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5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8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9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10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11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sacfpp01\Proj\SPJPA\668147SitesProp1\Phase2\FacilitySizing\NoReclamation\"/>
    </mc:Choice>
  </mc:AlternateContent>
  <xr:revisionPtr revIDLastSave="0" documentId="13_ncr:1_{C54E307E-0983-45E6-A093-7C311697F233}" xr6:coauthVersionLast="41" xr6:coauthVersionMax="41" xr10:uidLastSave="{00000000-0000-0000-0000-000000000000}"/>
  <bookViews>
    <workbookView xWindow="-108" yWindow="-108" windowWidth="23256" windowHeight="12600" firstSheet="11" activeTab="17" xr2:uid="{70243FAF-0CF7-43EB-ACFA-DC331316CBC2}"/>
  </bookViews>
  <sheets>
    <sheet name="Alternatives" sheetId="49" r:id="rId1"/>
    <sheet name="Assumptions" sheetId="36" r:id="rId2"/>
    <sheet name="TimeseriesPlot" sheetId="46" r:id="rId3"/>
    <sheet name="BarChart" sheetId="47" r:id="rId4"/>
    <sheet name="ExceedenceChart" sheetId="48" r:id="rId5"/>
    <sheet name="Table" sheetId="50" r:id="rId6"/>
    <sheet name="ChartData" sheetId="37" r:id="rId7"/>
    <sheet name="Calc-Upper2+NoPipe" sheetId="38" r:id="rId8"/>
    <sheet name="Calc-Upper2+1pipe" sheetId="35" r:id="rId9"/>
    <sheet name="Calc-Upper2+" sheetId="30" r:id="rId10"/>
    <sheet name="Calc-Upper2+BN" sheetId="34" r:id="rId11"/>
    <sheet name="Calc-Upper2+UWFE" sheetId="39" r:id="rId12"/>
    <sheet name="Calc-Upper2+Dec" sheetId="33" r:id="rId13"/>
    <sheet name="Calc-Upper1+" sheetId="32" r:id="rId14"/>
    <sheet name="Calc-Upper1+SHA" sheetId="40" r:id="rId15"/>
    <sheet name="COS" sheetId="3" r:id="rId16"/>
    <sheet name="Conversions" sheetId="5" r:id="rId17"/>
    <sheet name="Flags" sheetId="6" r:id="rId18"/>
  </sheets>
  <definedNames>
    <definedName name="_xlnm._FilterDatabase" localSheetId="13" hidden="1">'Calc-Upper1+'!#REF!</definedName>
    <definedName name="_xlnm._FilterDatabase" localSheetId="14" hidden="1">'Calc-Upper1+SHA'!#REF!</definedName>
    <definedName name="_xlnm._FilterDatabase" localSheetId="9" hidden="1">'Calc-Upper2+'!#REF!</definedName>
    <definedName name="_xlnm._FilterDatabase" localSheetId="8" hidden="1">'Calc-Upper2+1pipe'!#REF!</definedName>
    <definedName name="_xlnm._FilterDatabase" localSheetId="10" hidden="1">'Calc-Upper2+BN'!#REF!</definedName>
    <definedName name="_xlnm._FilterDatabase" localSheetId="12" hidden="1">'Calc-Upper2+Dec'!#REF!</definedName>
    <definedName name="_xlnm._FilterDatabase" localSheetId="7" hidden="1">'Calc-Upper2+NoPipe'!#REF!</definedName>
    <definedName name="_xlnm._FilterDatabase" localSheetId="11" hidden="1">'Calc-Upper2+UWFE'!#REF!</definedName>
    <definedName name="_xlnm.Print_Area" localSheetId="6">ChartData!#REF!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2" i="6" l="1"/>
  <c r="J12" i="6"/>
  <c r="K12" i="6"/>
  <c r="L12" i="6"/>
  <c r="M12" i="6"/>
  <c r="I13" i="6"/>
  <c r="J13" i="6"/>
  <c r="K13" i="6"/>
  <c r="L13" i="6"/>
  <c r="M13" i="6"/>
  <c r="I14" i="6"/>
  <c r="I7" i="6" s="1"/>
  <c r="J14" i="6"/>
  <c r="K14" i="6"/>
  <c r="L14" i="6"/>
  <c r="M14" i="6"/>
  <c r="M7" i="6" s="1"/>
  <c r="I15" i="6"/>
  <c r="J15" i="6"/>
  <c r="J7" i="6" s="1"/>
  <c r="K15" i="6"/>
  <c r="K7" i="6" s="1"/>
  <c r="L15" i="6"/>
  <c r="L7" i="6" s="1"/>
  <c r="M15" i="6"/>
  <c r="I16" i="6"/>
  <c r="J16" i="6"/>
  <c r="K16" i="6"/>
  <c r="L16" i="6"/>
  <c r="M16" i="6"/>
  <c r="I17" i="6"/>
  <c r="J17" i="6"/>
  <c r="K17" i="6"/>
  <c r="L17" i="6"/>
  <c r="M17" i="6"/>
  <c r="I18" i="6"/>
  <c r="J18" i="6"/>
  <c r="K18" i="6"/>
  <c r="L18" i="6"/>
  <c r="M18" i="6"/>
  <c r="I19" i="6"/>
  <c r="J19" i="6"/>
  <c r="K19" i="6"/>
  <c r="L19" i="6"/>
  <c r="M19" i="6"/>
  <c r="I20" i="6"/>
  <c r="J20" i="6"/>
  <c r="K20" i="6"/>
  <c r="L20" i="6"/>
  <c r="M20" i="6"/>
  <c r="I21" i="6"/>
  <c r="J21" i="6"/>
  <c r="K21" i="6"/>
  <c r="L21" i="6"/>
  <c r="M21" i="6"/>
  <c r="I22" i="6"/>
  <c r="J22" i="6"/>
  <c r="K22" i="6"/>
  <c r="L22" i="6"/>
  <c r="M22" i="6"/>
  <c r="I23" i="6"/>
  <c r="J23" i="6"/>
  <c r="K23" i="6"/>
  <c r="L23" i="6"/>
  <c r="M23" i="6"/>
  <c r="I24" i="6"/>
  <c r="J24" i="6"/>
  <c r="K24" i="6"/>
  <c r="L24" i="6"/>
  <c r="M24" i="6"/>
  <c r="I25" i="6"/>
  <c r="J25" i="6"/>
  <c r="K25" i="6"/>
  <c r="L25" i="6"/>
  <c r="M25" i="6"/>
  <c r="I26" i="6"/>
  <c r="J26" i="6"/>
  <c r="K26" i="6"/>
  <c r="L26" i="6"/>
  <c r="M26" i="6"/>
  <c r="I27" i="6"/>
  <c r="J27" i="6"/>
  <c r="K27" i="6"/>
  <c r="L27" i="6"/>
  <c r="M27" i="6"/>
  <c r="I28" i="6"/>
  <c r="J28" i="6"/>
  <c r="K28" i="6"/>
  <c r="L28" i="6"/>
  <c r="M28" i="6"/>
  <c r="I29" i="6"/>
  <c r="J29" i="6"/>
  <c r="K29" i="6"/>
  <c r="L29" i="6"/>
  <c r="M29" i="6"/>
  <c r="I30" i="6"/>
  <c r="J30" i="6"/>
  <c r="K30" i="6"/>
  <c r="L30" i="6"/>
  <c r="M30" i="6"/>
  <c r="I31" i="6"/>
  <c r="J31" i="6"/>
  <c r="K31" i="6"/>
  <c r="L31" i="6"/>
  <c r="M31" i="6"/>
  <c r="I32" i="6"/>
  <c r="J32" i="6"/>
  <c r="K32" i="6"/>
  <c r="L32" i="6"/>
  <c r="M32" i="6"/>
  <c r="I33" i="6"/>
  <c r="J33" i="6"/>
  <c r="K33" i="6"/>
  <c r="L33" i="6"/>
  <c r="M33" i="6"/>
  <c r="I34" i="6"/>
  <c r="J34" i="6"/>
  <c r="K34" i="6"/>
  <c r="L34" i="6"/>
  <c r="M34" i="6"/>
  <c r="I35" i="6"/>
  <c r="J35" i="6"/>
  <c r="K35" i="6"/>
  <c r="L35" i="6"/>
  <c r="M35" i="6"/>
  <c r="I36" i="6"/>
  <c r="J36" i="6"/>
  <c r="K36" i="6"/>
  <c r="L36" i="6"/>
  <c r="M36" i="6"/>
  <c r="I37" i="6"/>
  <c r="J37" i="6"/>
  <c r="K37" i="6"/>
  <c r="L37" i="6"/>
  <c r="M37" i="6"/>
  <c r="I38" i="6"/>
  <c r="J38" i="6"/>
  <c r="K38" i="6"/>
  <c r="L38" i="6"/>
  <c r="M38" i="6"/>
  <c r="I39" i="6"/>
  <c r="J39" i="6"/>
  <c r="K39" i="6"/>
  <c r="L39" i="6"/>
  <c r="M39" i="6"/>
  <c r="I40" i="6"/>
  <c r="J40" i="6"/>
  <c r="K40" i="6"/>
  <c r="L40" i="6"/>
  <c r="M40" i="6"/>
  <c r="I41" i="6"/>
  <c r="J41" i="6"/>
  <c r="K41" i="6"/>
  <c r="L41" i="6"/>
  <c r="M41" i="6"/>
  <c r="I42" i="6"/>
  <c r="J42" i="6"/>
  <c r="K42" i="6"/>
  <c r="L42" i="6"/>
  <c r="M42" i="6"/>
  <c r="I43" i="6"/>
  <c r="J43" i="6"/>
  <c r="K43" i="6"/>
  <c r="L43" i="6"/>
  <c r="M43" i="6"/>
  <c r="I44" i="6"/>
  <c r="J44" i="6"/>
  <c r="K44" i="6"/>
  <c r="L44" i="6"/>
  <c r="M44" i="6"/>
  <c r="I45" i="6"/>
  <c r="J45" i="6"/>
  <c r="K45" i="6"/>
  <c r="L45" i="6"/>
  <c r="M45" i="6"/>
  <c r="I46" i="6"/>
  <c r="J46" i="6"/>
  <c r="K46" i="6"/>
  <c r="L46" i="6"/>
  <c r="M46" i="6"/>
  <c r="I47" i="6"/>
  <c r="J47" i="6"/>
  <c r="K47" i="6"/>
  <c r="L47" i="6"/>
  <c r="M47" i="6"/>
  <c r="I48" i="6"/>
  <c r="J48" i="6"/>
  <c r="K48" i="6"/>
  <c r="L48" i="6"/>
  <c r="M48" i="6"/>
  <c r="I49" i="6"/>
  <c r="J49" i="6"/>
  <c r="K49" i="6"/>
  <c r="L49" i="6"/>
  <c r="M49" i="6"/>
  <c r="I50" i="6"/>
  <c r="J50" i="6"/>
  <c r="K50" i="6"/>
  <c r="L50" i="6"/>
  <c r="M50" i="6"/>
  <c r="I51" i="6"/>
  <c r="J51" i="6"/>
  <c r="K51" i="6"/>
  <c r="L51" i="6"/>
  <c r="M51" i="6"/>
  <c r="I52" i="6"/>
  <c r="J52" i="6"/>
  <c r="K52" i="6"/>
  <c r="L52" i="6"/>
  <c r="M52" i="6"/>
  <c r="I53" i="6"/>
  <c r="J53" i="6"/>
  <c r="K53" i="6"/>
  <c r="L53" i="6"/>
  <c r="M53" i="6"/>
  <c r="I54" i="6"/>
  <c r="J54" i="6"/>
  <c r="K54" i="6"/>
  <c r="L54" i="6"/>
  <c r="M54" i="6"/>
  <c r="I55" i="6"/>
  <c r="J55" i="6"/>
  <c r="K55" i="6"/>
  <c r="L55" i="6"/>
  <c r="M55" i="6"/>
  <c r="I56" i="6"/>
  <c r="J56" i="6"/>
  <c r="K56" i="6"/>
  <c r="L56" i="6"/>
  <c r="M56" i="6"/>
  <c r="I57" i="6"/>
  <c r="J57" i="6"/>
  <c r="K57" i="6"/>
  <c r="L57" i="6"/>
  <c r="M57" i="6"/>
  <c r="I58" i="6"/>
  <c r="J58" i="6"/>
  <c r="K58" i="6"/>
  <c r="L58" i="6"/>
  <c r="M58" i="6"/>
  <c r="I59" i="6"/>
  <c r="J59" i="6"/>
  <c r="K59" i="6"/>
  <c r="L59" i="6"/>
  <c r="M59" i="6"/>
  <c r="I60" i="6"/>
  <c r="J60" i="6"/>
  <c r="K60" i="6"/>
  <c r="L60" i="6"/>
  <c r="M60" i="6"/>
  <c r="I61" i="6"/>
  <c r="J61" i="6"/>
  <c r="K61" i="6"/>
  <c r="L61" i="6"/>
  <c r="M61" i="6"/>
  <c r="I62" i="6"/>
  <c r="J62" i="6"/>
  <c r="K62" i="6"/>
  <c r="L62" i="6"/>
  <c r="M62" i="6"/>
  <c r="I63" i="6"/>
  <c r="J63" i="6"/>
  <c r="K63" i="6"/>
  <c r="L63" i="6"/>
  <c r="M63" i="6"/>
  <c r="I64" i="6"/>
  <c r="J64" i="6"/>
  <c r="K64" i="6"/>
  <c r="L64" i="6"/>
  <c r="M64" i="6"/>
  <c r="I65" i="6"/>
  <c r="J65" i="6"/>
  <c r="K65" i="6"/>
  <c r="L65" i="6"/>
  <c r="M65" i="6"/>
  <c r="I66" i="6"/>
  <c r="J66" i="6"/>
  <c r="K66" i="6"/>
  <c r="L66" i="6"/>
  <c r="M66" i="6"/>
  <c r="I67" i="6"/>
  <c r="J67" i="6"/>
  <c r="K67" i="6"/>
  <c r="L67" i="6"/>
  <c r="M67" i="6"/>
  <c r="I68" i="6"/>
  <c r="J68" i="6"/>
  <c r="K68" i="6"/>
  <c r="L68" i="6"/>
  <c r="M68" i="6"/>
  <c r="I69" i="6"/>
  <c r="J69" i="6"/>
  <c r="K69" i="6"/>
  <c r="L69" i="6"/>
  <c r="M69" i="6"/>
  <c r="I70" i="6"/>
  <c r="J70" i="6"/>
  <c r="K70" i="6"/>
  <c r="L70" i="6"/>
  <c r="M70" i="6"/>
  <c r="I71" i="6"/>
  <c r="J71" i="6"/>
  <c r="K71" i="6"/>
  <c r="L71" i="6"/>
  <c r="M71" i="6"/>
  <c r="I72" i="6"/>
  <c r="J72" i="6"/>
  <c r="K72" i="6"/>
  <c r="L72" i="6"/>
  <c r="M72" i="6"/>
  <c r="I73" i="6"/>
  <c r="J73" i="6"/>
  <c r="K73" i="6"/>
  <c r="L73" i="6"/>
  <c r="M73" i="6"/>
  <c r="I74" i="6"/>
  <c r="J74" i="6"/>
  <c r="K74" i="6"/>
  <c r="L74" i="6"/>
  <c r="M74" i="6"/>
  <c r="I75" i="6"/>
  <c r="J75" i="6"/>
  <c r="K75" i="6"/>
  <c r="L75" i="6"/>
  <c r="M75" i="6"/>
  <c r="I76" i="6"/>
  <c r="J76" i="6"/>
  <c r="K76" i="6"/>
  <c r="L76" i="6"/>
  <c r="M76" i="6"/>
  <c r="I77" i="6"/>
  <c r="J77" i="6"/>
  <c r="K77" i="6"/>
  <c r="L77" i="6"/>
  <c r="M77" i="6"/>
  <c r="I78" i="6"/>
  <c r="J78" i="6"/>
  <c r="K78" i="6"/>
  <c r="L78" i="6"/>
  <c r="M78" i="6"/>
  <c r="I79" i="6"/>
  <c r="J79" i="6"/>
  <c r="K79" i="6"/>
  <c r="L79" i="6"/>
  <c r="M79" i="6"/>
  <c r="I80" i="6"/>
  <c r="J80" i="6"/>
  <c r="K80" i="6"/>
  <c r="L80" i="6"/>
  <c r="M80" i="6"/>
  <c r="I81" i="6"/>
  <c r="J81" i="6"/>
  <c r="K81" i="6"/>
  <c r="L81" i="6"/>
  <c r="M81" i="6"/>
  <c r="I82" i="6"/>
  <c r="J82" i="6"/>
  <c r="K82" i="6"/>
  <c r="L82" i="6"/>
  <c r="M82" i="6"/>
  <c r="I83" i="6"/>
  <c r="J83" i="6"/>
  <c r="K83" i="6"/>
  <c r="L83" i="6"/>
  <c r="M83" i="6"/>
  <c r="I84" i="6"/>
  <c r="J84" i="6"/>
  <c r="K84" i="6"/>
  <c r="L84" i="6"/>
  <c r="M84" i="6"/>
  <c r="I85" i="6"/>
  <c r="J85" i="6"/>
  <c r="K85" i="6"/>
  <c r="L85" i="6"/>
  <c r="M85" i="6"/>
  <c r="I86" i="6"/>
  <c r="J86" i="6"/>
  <c r="K86" i="6"/>
  <c r="L86" i="6"/>
  <c r="M86" i="6"/>
  <c r="I87" i="6"/>
  <c r="J87" i="6"/>
  <c r="K87" i="6"/>
  <c r="L87" i="6"/>
  <c r="M87" i="6"/>
  <c r="I88" i="6"/>
  <c r="J88" i="6"/>
  <c r="K88" i="6"/>
  <c r="L88" i="6"/>
  <c r="M88" i="6"/>
  <c r="I89" i="6"/>
  <c r="J89" i="6"/>
  <c r="K89" i="6"/>
  <c r="L89" i="6"/>
  <c r="M89" i="6"/>
  <c r="I90" i="6"/>
  <c r="J90" i="6"/>
  <c r="K90" i="6"/>
  <c r="L90" i="6"/>
  <c r="M90" i="6"/>
  <c r="I91" i="6"/>
  <c r="J91" i="6"/>
  <c r="K91" i="6"/>
  <c r="L91" i="6"/>
  <c r="M91" i="6"/>
  <c r="I92" i="6"/>
  <c r="J92" i="6"/>
  <c r="K92" i="6"/>
  <c r="L92" i="6"/>
  <c r="M92" i="6"/>
  <c r="I93" i="6"/>
  <c r="J93" i="6"/>
  <c r="K93" i="6"/>
  <c r="L93" i="6"/>
  <c r="M93" i="6"/>
  <c r="I94" i="6"/>
  <c r="J94" i="6"/>
  <c r="K94" i="6"/>
  <c r="L94" i="6"/>
  <c r="M94" i="6"/>
  <c r="I95" i="6"/>
  <c r="J95" i="6"/>
  <c r="K95" i="6"/>
  <c r="L95" i="6"/>
  <c r="M95" i="6"/>
  <c r="H7" i="6" l="1"/>
  <c r="K8" i="6" s="1"/>
  <c r="R737" i="38"/>
  <c r="R736" i="38"/>
  <c r="R735" i="38"/>
  <c r="R734" i="38"/>
  <c r="R728" i="38"/>
  <c r="R727" i="38"/>
  <c r="R726" i="38"/>
  <c r="R725" i="38"/>
  <c r="R719" i="38"/>
  <c r="R718" i="38"/>
  <c r="R717" i="38"/>
  <c r="R716" i="38"/>
  <c r="R710" i="38"/>
  <c r="R709" i="38"/>
  <c r="R708" i="38"/>
  <c r="R707" i="38"/>
  <c r="R701" i="38"/>
  <c r="R700" i="38"/>
  <c r="R699" i="38"/>
  <c r="R698" i="38"/>
  <c r="R692" i="38"/>
  <c r="R691" i="38"/>
  <c r="R690" i="38"/>
  <c r="R689" i="38"/>
  <c r="R683" i="38"/>
  <c r="R682" i="38"/>
  <c r="R681" i="38"/>
  <c r="R680" i="38"/>
  <c r="R674" i="38"/>
  <c r="R673" i="38"/>
  <c r="R672" i="38"/>
  <c r="R671" i="38"/>
  <c r="R665" i="38"/>
  <c r="R664" i="38"/>
  <c r="R663" i="38"/>
  <c r="R662" i="38"/>
  <c r="R656" i="38"/>
  <c r="R655" i="38"/>
  <c r="R654" i="38"/>
  <c r="R653" i="38"/>
  <c r="R647" i="38"/>
  <c r="R646" i="38"/>
  <c r="R645" i="38"/>
  <c r="R644" i="38"/>
  <c r="R638" i="38"/>
  <c r="R637" i="38"/>
  <c r="R636" i="38"/>
  <c r="R635" i="38"/>
  <c r="R629" i="38"/>
  <c r="R628" i="38"/>
  <c r="R627" i="38"/>
  <c r="R626" i="38"/>
  <c r="R620" i="38"/>
  <c r="R619" i="38"/>
  <c r="R618" i="38"/>
  <c r="R617" i="38"/>
  <c r="R611" i="38"/>
  <c r="R610" i="38"/>
  <c r="R609" i="38"/>
  <c r="R608" i="38"/>
  <c r="R602" i="38"/>
  <c r="R601" i="38"/>
  <c r="R600" i="38"/>
  <c r="R599" i="38"/>
  <c r="R593" i="38"/>
  <c r="R592" i="38"/>
  <c r="R591" i="38"/>
  <c r="R590" i="38"/>
  <c r="R584" i="38"/>
  <c r="R583" i="38"/>
  <c r="R582" i="38"/>
  <c r="R581" i="38"/>
  <c r="R575" i="38"/>
  <c r="R574" i="38"/>
  <c r="R573" i="38"/>
  <c r="R572" i="38"/>
  <c r="R566" i="38"/>
  <c r="R565" i="38"/>
  <c r="R564" i="38"/>
  <c r="R563" i="38"/>
  <c r="R557" i="38"/>
  <c r="R556" i="38"/>
  <c r="R555" i="38"/>
  <c r="R554" i="38"/>
  <c r="R548" i="38"/>
  <c r="R547" i="38"/>
  <c r="R546" i="38"/>
  <c r="R545" i="38"/>
  <c r="R539" i="38"/>
  <c r="R538" i="38"/>
  <c r="R537" i="38"/>
  <c r="R536" i="38"/>
  <c r="R530" i="38"/>
  <c r="R529" i="38"/>
  <c r="R528" i="38"/>
  <c r="R527" i="38"/>
  <c r="R521" i="38"/>
  <c r="R520" i="38"/>
  <c r="R519" i="38"/>
  <c r="R518" i="38"/>
  <c r="R512" i="38"/>
  <c r="R511" i="38"/>
  <c r="R510" i="38"/>
  <c r="R509" i="38"/>
  <c r="R503" i="38"/>
  <c r="R502" i="38"/>
  <c r="R501" i="38"/>
  <c r="R500" i="38"/>
  <c r="R494" i="38"/>
  <c r="R493" i="38"/>
  <c r="R492" i="38"/>
  <c r="R491" i="38"/>
  <c r="R485" i="38"/>
  <c r="R484" i="38"/>
  <c r="R483" i="38"/>
  <c r="R482" i="38"/>
  <c r="R476" i="38"/>
  <c r="R475" i="38"/>
  <c r="R474" i="38"/>
  <c r="R473" i="38"/>
  <c r="R467" i="38"/>
  <c r="R466" i="38"/>
  <c r="R465" i="38"/>
  <c r="R464" i="38"/>
  <c r="R458" i="38"/>
  <c r="R457" i="38"/>
  <c r="R456" i="38"/>
  <c r="R455" i="38"/>
  <c r="R449" i="38"/>
  <c r="R448" i="38"/>
  <c r="R447" i="38"/>
  <c r="R446" i="38"/>
  <c r="R440" i="38"/>
  <c r="R439" i="38"/>
  <c r="R438" i="38"/>
  <c r="R437" i="38"/>
  <c r="R431" i="38"/>
  <c r="R430" i="38"/>
  <c r="R429" i="38"/>
  <c r="R428" i="38"/>
  <c r="R422" i="38"/>
  <c r="R421" i="38"/>
  <c r="R420" i="38"/>
  <c r="R419" i="38"/>
  <c r="R413" i="38"/>
  <c r="R412" i="38"/>
  <c r="R411" i="38"/>
  <c r="R410" i="38"/>
  <c r="R404" i="38"/>
  <c r="R403" i="38"/>
  <c r="R402" i="38"/>
  <c r="R401" i="38"/>
  <c r="R395" i="38"/>
  <c r="R394" i="38"/>
  <c r="R393" i="38"/>
  <c r="R392" i="38"/>
  <c r="R386" i="38"/>
  <c r="R385" i="38"/>
  <c r="R384" i="38"/>
  <c r="R383" i="38"/>
  <c r="R377" i="38"/>
  <c r="R376" i="38"/>
  <c r="R375" i="38"/>
  <c r="R374" i="38"/>
  <c r="R368" i="38"/>
  <c r="R367" i="38"/>
  <c r="R366" i="38"/>
  <c r="R365" i="38"/>
  <c r="R359" i="38"/>
  <c r="R358" i="38"/>
  <c r="R357" i="38"/>
  <c r="R356" i="38"/>
  <c r="R350" i="38"/>
  <c r="R349" i="38"/>
  <c r="R348" i="38"/>
  <c r="R347" i="38"/>
  <c r="R341" i="38"/>
  <c r="R340" i="38"/>
  <c r="R339" i="38"/>
  <c r="R338" i="38"/>
  <c r="R332" i="38"/>
  <c r="R331" i="38"/>
  <c r="R330" i="38"/>
  <c r="R329" i="38"/>
  <c r="R323" i="38"/>
  <c r="R322" i="38"/>
  <c r="R321" i="38"/>
  <c r="R320" i="38"/>
  <c r="R314" i="38"/>
  <c r="R313" i="38"/>
  <c r="R312" i="38"/>
  <c r="R311" i="38"/>
  <c r="R305" i="38"/>
  <c r="R304" i="38"/>
  <c r="R303" i="38"/>
  <c r="R302" i="38"/>
  <c r="R296" i="38"/>
  <c r="R295" i="38"/>
  <c r="R294" i="38"/>
  <c r="R293" i="38"/>
  <c r="R287" i="38"/>
  <c r="R286" i="38"/>
  <c r="R285" i="38"/>
  <c r="R284" i="38"/>
  <c r="R278" i="38"/>
  <c r="R277" i="38"/>
  <c r="R276" i="38"/>
  <c r="R275" i="38"/>
  <c r="R269" i="38"/>
  <c r="R268" i="38"/>
  <c r="R267" i="38"/>
  <c r="R266" i="38"/>
  <c r="R260" i="38"/>
  <c r="R259" i="38"/>
  <c r="R258" i="38"/>
  <c r="R257" i="38"/>
  <c r="R251" i="38"/>
  <c r="R250" i="38"/>
  <c r="R249" i="38"/>
  <c r="R248" i="38"/>
  <c r="R242" i="38"/>
  <c r="R241" i="38"/>
  <c r="R240" i="38"/>
  <c r="R239" i="38"/>
  <c r="R233" i="38"/>
  <c r="R232" i="38"/>
  <c r="R231" i="38"/>
  <c r="R230" i="38"/>
  <c r="R224" i="38"/>
  <c r="R223" i="38"/>
  <c r="R222" i="38"/>
  <c r="R221" i="38"/>
  <c r="R215" i="38"/>
  <c r="R214" i="38"/>
  <c r="R213" i="38"/>
  <c r="R212" i="38"/>
  <c r="R206" i="38"/>
  <c r="R205" i="38"/>
  <c r="R204" i="38"/>
  <c r="R203" i="38"/>
  <c r="R197" i="38"/>
  <c r="R196" i="38"/>
  <c r="R195" i="38"/>
  <c r="R194" i="38"/>
  <c r="R188" i="38"/>
  <c r="R187" i="38"/>
  <c r="R186" i="38"/>
  <c r="R185" i="38"/>
  <c r="R179" i="38"/>
  <c r="R178" i="38"/>
  <c r="R177" i="38"/>
  <c r="R176" i="38"/>
  <c r="R170" i="38"/>
  <c r="R169" i="38"/>
  <c r="R168" i="38"/>
  <c r="R167" i="38"/>
  <c r="R161" i="38"/>
  <c r="R160" i="38"/>
  <c r="R159" i="38"/>
  <c r="R158" i="38"/>
  <c r="R152" i="38"/>
  <c r="R151" i="38"/>
  <c r="R150" i="38"/>
  <c r="R149" i="38"/>
  <c r="R143" i="38"/>
  <c r="R142" i="38"/>
  <c r="R141" i="38"/>
  <c r="R140" i="38"/>
  <c r="R134" i="38"/>
  <c r="R133" i="38"/>
  <c r="R132" i="38"/>
  <c r="R131" i="38"/>
  <c r="R125" i="38"/>
  <c r="R124" i="38"/>
  <c r="R123" i="38"/>
  <c r="R122" i="38"/>
  <c r="R116" i="38"/>
  <c r="R115" i="38"/>
  <c r="R114" i="38"/>
  <c r="R113" i="38"/>
  <c r="R107" i="38"/>
  <c r="R106" i="38"/>
  <c r="R105" i="38"/>
  <c r="R104" i="38"/>
  <c r="R98" i="38"/>
  <c r="R97" i="38"/>
  <c r="R96" i="38"/>
  <c r="R95" i="38"/>
  <c r="R89" i="38"/>
  <c r="R88" i="38"/>
  <c r="R87" i="38"/>
  <c r="R86" i="38"/>
  <c r="R80" i="38"/>
  <c r="R79" i="38"/>
  <c r="R78" i="38"/>
  <c r="R77" i="38"/>
  <c r="R71" i="38"/>
  <c r="R70" i="38"/>
  <c r="R69" i="38"/>
  <c r="R68" i="38"/>
  <c r="R62" i="38"/>
  <c r="R61" i="38"/>
  <c r="R60" i="38"/>
  <c r="R59" i="38"/>
  <c r="R53" i="38"/>
  <c r="R52" i="38"/>
  <c r="R51" i="38"/>
  <c r="R50" i="38"/>
  <c r="R44" i="38"/>
  <c r="R43" i="38"/>
  <c r="R42" i="38"/>
  <c r="R41" i="38"/>
  <c r="R35" i="38"/>
  <c r="R34" i="38"/>
  <c r="R33" i="38"/>
  <c r="R32" i="38"/>
  <c r="R26" i="38"/>
  <c r="R25" i="38"/>
  <c r="R24" i="38"/>
  <c r="R23" i="38"/>
  <c r="R17" i="38"/>
  <c r="R16" i="38"/>
  <c r="R15" i="38"/>
  <c r="R14" i="38"/>
  <c r="R737" i="35"/>
  <c r="R736" i="35"/>
  <c r="R735" i="35"/>
  <c r="R734" i="35"/>
  <c r="R728" i="35"/>
  <c r="R727" i="35"/>
  <c r="R726" i="35"/>
  <c r="R725" i="35"/>
  <c r="R719" i="35"/>
  <c r="R718" i="35"/>
  <c r="R717" i="35"/>
  <c r="R716" i="35"/>
  <c r="R710" i="35"/>
  <c r="R709" i="35"/>
  <c r="R708" i="35"/>
  <c r="R707" i="35"/>
  <c r="R701" i="35"/>
  <c r="R700" i="35"/>
  <c r="R699" i="35"/>
  <c r="R698" i="35"/>
  <c r="R692" i="35"/>
  <c r="R691" i="35"/>
  <c r="R690" i="35"/>
  <c r="R689" i="35"/>
  <c r="R683" i="35"/>
  <c r="R682" i="35"/>
  <c r="R681" i="35"/>
  <c r="R680" i="35"/>
  <c r="R674" i="35"/>
  <c r="R673" i="35"/>
  <c r="R672" i="35"/>
  <c r="R671" i="35"/>
  <c r="R665" i="35"/>
  <c r="R664" i="35"/>
  <c r="R663" i="35"/>
  <c r="R662" i="35"/>
  <c r="R656" i="35"/>
  <c r="R655" i="35"/>
  <c r="R654" i="35"/>
  <c r="R653" i="35"/>
  <c r="R647" i="35"/>
  <c r="R646" i="35"/>
  <c r="R645" i="35"/>
  <c r="R644" i="35"/>
  <c r="R638" i="35"/>
  <c r="R637" i="35"/>
  <c r="R636" i="35"/>
  <c r="R635" i="35"/>
  <c r="R629" i="35"/>
  <c r="R628" i="35"/>
  <c r="R627" i="35"/>
  <c r="R626" i="35"/>
  <c r="R620" i="35"/>
  <c r="R619" i="35"/>
  <c r="R618" i="35"/>
  <c r="R617" i="35"/>
  <c r="R611" i="35"/>
  <c r="R610" i="35"/>
  <c r="R609" i="35"/>
  <c r="R608" i="35"/>
  <c r="R602" i="35"/>
  <c r="R601" i="35"/>
  <c r="R600" i="35"/>
  <c r="R599" i="35"/>
  <c r="R593" i="35"/>
  <c r="R592" i="35"/>
  <c r="R591" i="35"/>
  <c r="R590" i="35"/>
  <c r="R584" i="35"/>
  <c r="R583" i="35"/>
  <c r="R582" i="35"/>
  <c r="R581" i="35"/>
  <c r="R575" i="35"/>
  <c r="R574" i="35"/>
  <c r="R573" i="35"/>
  <c r="R572" i="35"/>
  <c r="R566" i="35"/>
  <c r="R565" i="35"/>
  <c r="R564" i="35"/>
  <c r="R563" i="35"/>
  <c r="R557" i="35"/>
  <c r="R556" i="35"/>
  <c r="R555" i="35"/>
  <c r="R554" i="35"/>
  <c r="R548" i="35"/>
  <c r="R547" i="35"/>
  <c r="R546" i="35"/>
  <c r="R545" i="35"/>
  <c r="R539" i="35"/>
  <c r="R538" i="35"/>
  <c r="R537" i="35"/>
  <c r="R536" i="35"/>
  <c r="R530" i="35"/>
  <c r="R529" i="35"/>
  <c r="R528" i="35"/>
  <c r="R527" i="35"/>
  <c r="R521" i="35"/>
  <c r="R520" i="35"/>
  <c r="R519" i="35"/>
  <c r="R518" i="35"/>
  <c r="R512" i="35"/>
  <c r="R511" i="35"/>
  <c r="R510" i="35"/>
  <c r="R509" i="35"/>
  <c r="R503" i="35"/>
  <c r="R502" i="35"/>
  <c r="R501" i="35"/>
  <c r="R500" i="35"/>
  <c r="R494" i="35"/>
  <c r="R493" i="35"/>
  <c r="R492" i="35"/>
  <c r="R491" i="35"/>
  <c r="R485" i="35"/>
  <c r="R484" i="35"/>
  <c r="R483" i="35"/>
  <c r="R482" i="35"/>
  <c r="R476" i="35"/>
  <c r="R475" i="35"/>
  <c r="R474" i="35"/>
  <c r="R473" i="35"/>
  <c r="R467" i="35"/>
  <c r="R466" i="35"/>
  <c r="R465" i="35"/>
  <c r="R464" i="35"/>
  <c r="R458" i="35"/>
  <c r="R457" i="35"/>
  <c r="R456" i="35"/>
  <c r="R455" i="35"/>
  <c r="R449" i="35"/>
  <c r="R448" i="35"/>
  <c r="R447" i="35"/>
  <c r="R446" i="35"/>
  <c r="R440" i="35"/>
  <c r="R439" i="35"/>
  <c r="R438" i="35"/>
  <c r="R437" i="35"/>
  <c r="R431" i="35"/>
  <c r="R430" i="35"/>
  <c r="R429" i="35"/>
  <c r="R428" i="35"/>
  <c r="R422" i="35"/>
  <c r="R421" i="35"/>
  <c r="R420" i="35"/>
  <c r="R419" i="35"/>
  <c r="R413" i="35"/>
  <c r="R412" i="35"/>
  <c r="R411" i="35"/>
  <c r="R410" i="35"/>
  <c r="R404" i="35"/>
  <c r="R403" i="35"/>
  <c r="R402" i="35"/>
  <c r="R401" i="35"/>
  <c r="R395" i="35"/>
  <c r="R394" i="35"/>
  <c r="R393" i="35"/>
  <c r="R392" i="35"/>
  <c r="R386" i="35"/>
  <c r="R385" i="35"/>
  <c r="R384" i="35"/>
  <c r="R383" i="35"/>
  <c r="R377" i="35"/>
  <c r="R376" i="35"/>
  <c r="R375" i="35"/>
  <c r="R374" i="35"/>
  <c r="R368" i="35"/>
  <c r="R367" i="35"/>
  <c r="R366" i="35"/>
  <c r="R365" i="35"/>
  <c r="R359" i="35"/>
  <c r="R358" i="35"/>
  <c r="R357" i="35"/>
  <c r="R356" i="35"/>
  <c r="R350" i="35"/>
  <c r="R349" i="35"/>
  <c r="R348" i="35"/>
  <c r="R347" i="35"/>
  <c r="R341" i="35"/>
  <c r="R340" i="35"/>
  <c r="R339" i="35"/>
  <c r="R338" i="35"/>
  <c r="R332" i="35"/>
  <c r="R331" i="35"/>
  <c r="R330" i="35"/>
  <c r="R329" i="35"/>
  <c r="R323" i="35"/>
  <c r="R322" i="35"/>
  <c r="R321" i="35"/>
  <c r="R320" i="35"/>
  <c r="R314" i="35"/>
  <c r="R313" i="35"/>
  <c r="R312" i="35"/>
  <c r="R311" i="35"/>
  <c r="R305" i="35"/>
  <c r="R304" i="35"/>
  <c r="R303" i="35"/>
  <c r="R302" i="35"/>
  <c r="R296" i="35"/>
  <c r="R295" i="35"/>
  <c r="R294" i="35"/>
  <c r="R293" i="35"/>
  <c r="R287" i="35"/>
  <c r="R286" i="35"/>
  <c r="R285" i="35"/>
  <c r="R284" i="35"/>
  <c r="R278" i="35"/>
  <c r="R277" i="35"/>
  <c r="R276" i="35"/>
  <c r="R275" i="35"/>
  <c r="R269" i="35"/>
  <c r="R268" i="35"/>
  <c r="R267" i="35"/>
  <c r="R266" i="35"/>
  <c r="R260" i="35"/>
  <c r="R259" i="35"/>
  <c r="R258" i="35"/>
  <c r="R257" i="35"/>
  <c r="R251" i="35"/>
  <c r="R250" i="35"/>
  <c r="R249" i="35"/>
  <c r="R248" i="35"/>
  <c r="R242" i="35"/>
  <c r="R241" i="35"/>
  <c r="R240" i="35"/>
  <c r="R239" i="35"/>
  <c r="R233" i="35"/>
  <c r="R232" i="35"/>
  <c r="R231" i="35"/>
  <c r="R230" i="35"/>
  <c r="R224" i="35"/>
  <c r="R223" i="35"/>
  <c r="R222" i="35"/>
  <c r="R221" i="35"/>
  <c r="R215" i="35"/>
  <c r="R214" i="35"/>
  <c r="R213" i="35"/>
  <c r="R212" i="35"/>
  <c r="R206" i="35"/>
  <c r="R205" i="35"/>
  <c r="R204" i="35"/>
  <c r="R203" i="35"/>
  <c r="R197" i="35"/>
  <c r="R196" i="35"/>
  <c r="R195" i="35"/>
  <c r="R194" i="35"/>
  <c r="R188" i="35"/>
  <c r="R187" i="35"/>
  <c r="R186" i="35"/>
  <c r="R185" i="35"/>
  <c r="R179" i="35"/>
  <c r="R178" i="35"/>
  <c r="R177" i="35"/>
  <c r="R176" i="35"/>
  <c r="R170" i="35"/>
  <c r="R169" i="35"/>
  <c r="R168" i="35"/>
  <c r="R167" i="35"/>
  <c r="R161" i="35"/>
  <c r="R160" i="35"/>
  <c r="R159" i="35"/>
  <c r="R158" i="35"/>
  <c r="R152" i="35"/>
  <c r="R151" i="35"/>
  <c r="R150" i="35"/>
  <c r="R149" i="35"/>
  <c r="R143" i="35"/>
  <c r="R142" i="35"/>
  <c r="R141" i="35"/>
  <c r="R140" i="35"/>
  <c r="R134" i="35"/>
  <c r="R133" i="35"/>
  <c r="R132" i="35"/>
  <c r="R131" i="35"/>
  <c r="R125" i="35"/>
  <c r="R124" i="35"/>
  <c r="R123" i="35"/>
  <c r="R122" i="35"/>
  <c r="R116" i="35"/>
  <c r="R115" i="35"/>
  <c r="R114" i="35"/>
  <c r="R113" i="35"/>
  <c r="R107" i="35"/>
  <c r="R106" i="35"/>
  <c r="R105" i="35"/>
  <c r="R104" i="35"/>
  <c r="R98" i="35"/>
  <c r="R97" i="35"/>
  <c r="R96" i="35"/>
  <c r="R95" i="35"/>
  <c r="R89" i="35"/>
  <c r="R88" i="35"/>
  <c r="R87" i="35"/>
  <c r="R86" i="35"/>
  <c r="R80" i="35"/>
  <c r="R79" i="35"/>
  <c r="R78" i="35"/>
  <c r="R77" i="35"/>
  <c r="R71" i="35"/>
  <c r="R70" i="35"/>
  <c r="R69" i="35"/>
  <c r="R68" i="35"/>
  <c r="R62" i="35"/>
  <c r="R61" i="35"/>
  <c r="R60" i="35"/>
  <c r="R59" i="35"/>
  <c r="R53" i="35"/>
  <c r="R52" i="35"/>
  <c r="R51" i="35"/>
  <c r="R50" i="35"/>
  <c r="R44" i="35"/>
  <c r="R43" i="35"/>
  <c r="R42" i="35"/>
  <c r="R41" i="35"/>
  <c r="R35" i="35"/>
  <c r="R34" i="35"/>
  <c r="R33" i="35"/>
  <c r="R32" i="35"/>
  <c r="R26" i="35"/>
  <c r="R25" i="35"/>
  <c r="R24" i="35"/>
  <c r="R23" i="35"/>
  <c r="R17" i="35"/>
  <c r="R16" i="35"/>
  <c r="R15" i="35"/>
  <c r="R14" i="35"/>
  <c r="R737" i="30"/>
  <c r="R736" i="30"/>
  <c r="R735" i="30"/>
  <c r="R734" i="30"/>
  <c r="R728" i="30"/>
  <c r="R727" i="30"/>
  <c r="R726" i="30"/>
  <c r="R725" i="30"/>
  <c r="R719" i="30"/>
  <c r="R718" i="30"/>
  <c r="R717" i="30"/>
  <c r="R716" i="30"/>
  <c r="R710" i="30"/>
  <c r="R709" i="30"/>
  <c r="R708" i="30"/>
  <c r="R707" i="30"/>
  <c r="R701" i="30"/>
  <c r="R700" i="30"/>
  <c r="R699" i="30"/>
  <c r="R698" i="30"/>
  <c r="R692" i="30"/>
  <c r="R691" i="30"/>
  <c r="R690" i="30"/>
  <c r="R689" i="30"/>
  <c r="R683" i="30"/>
  <c r="R682" i="30"/>
  <c r="R681" i="30"/>
  <c r="R680" i="30"/>
  <c r="R674" i="30"/>
  <c r="R673" i="30"/>
  <c r="R672" i="30"/>
  <c r="R671" i="30"/>
  <c r="R665" i="30"/>
  <c r="R664" i="30"/>
  <c r="R663" i="30"/>
  <c r="R662" i="30"/>
  <c r="R656" i="30"/>
  <c r="R655" i="30"/>
  <c r="R654" i="30"/>
  <c r="R653" i="30"/>
  <c r="R647" i="30"/>
  <c r="R646" i="30"/>
  <c r="R645" i="30"/>
  <c r="R644" i="30"/>
  <c r="R638" i="30"/>
  <c r="R637" i="30"/>
  <c r="R636" i="30"/>
  <c r="R635" i="30"/>
  <c r="R629" i="30"/>
  <c r="R628" i="30"/>
  <c r="R627" i="30"/>
  <c r="R626" i="30"/>
  <c r="R620" i="30"/>
  <c r="R619" i="30"/>
  <c r="R618" i="30"/>
  <c r="R617" i="30"/>
  <c r="R611" i="30"/>
  <c r="R610" i="30"/>
  <c r="R609" i="30"/>
  <c r="R608" i="30"/>
  <c r="R602" i="30"/>
  <c r="R601" i="30"/>
  <c r="R600" i="30"/>
  <c r="R599" i="30"/>
  <c r="R593" i="30"/>
  <c r="R592" i="30"/>
  <c r="R591" i="30"/>
  <c r="R590" i="30"/>
  <c r="R584" i="30"/>
  <c r="R583" i="30"/>
  <c r="R582" i="30"/>
  <c r="R581" i="30"/>
  <c r="R575" i="30"/>
  <c r="R574" i="30"/>
  <c r="R573" i="30"/>
  <c r="R572" i="30"/>
  <c r="R566" i="30"/>
  <c r="R565" i="30"/>
  <c r="R564" i="30"/>
  <c r="R563" i="30"/>
  <c r="R557" i="30"/>
  <c r="R556" i="30"/>
  <c r="R555" i="30"/>
  <c r="R554" i="30"/>
  <c r="R548" i="30"/>
  <c r="R547" i="30"/>
  <c r="R546" i="30"/>
  <c r="R545" i="30"/>
  <c r="R539" i="30"/>
  <c r="R538" i="30"/>
  <c r="R537" i="30"/>
  <c r="R536" i="30"/>
  <c r="R530" i="30"/>
  <c r="R529" i="30"/>
  <c r="R528" i="30"/>
  <c r="R527" i="30"/>
  <c r="R521" i="30"/>
  <c r="R520" i="30"/>
  <c r="R519" i="30"/>
  <c r="R518" i="30"/>
  <c r="R512" i="30"/>
  <c r="R511" i="30"/>
  <c r="R510" i="30"/>
  <c r="R509" i="30"/>
  <c r="R503" i="30"/>
  <c r="R502" i="30"/>
  <c r="R501" i="30"/>
  <c r="R500" i="30"/>
  <c r="R494" i="30"/>
  <c r="R493" i="30"/>
  <c r="R492" i="30"/>
  <c r="R491" i="30"/>
  <c r="R485" i="30"/>
  <c r="R484" i="30"/>
  <c r="R483" i="30"/>
  <c r="R482" i="30"/>
  <c r="R476" i="30"/>
  <c r="R475" i="30"/>
  <c r="R474" i="30"/>
  <c r="R473" i="30"/>
  <c r="R467" i="30"/>
  <c r="R466" i="30"/>
  <c r="R465" i="30"/>
  <c r="R464" i="30"/>
  <c r="R458" i="30"/>
  <c r="R457" i="30"/>
  <c r="R456" i="30"/>
  <c r="R455" i="30"/>
  <c r="R449" i="30"/>
  <c r="R448" i="30"/>
  <c r="R447" i="30"/>
  <c r="R446" i="30"/>
  <c r="R440" i="30"/>
  <c r="R439" i="30"/>
  <c r="R438" i="30"/>
  <c r="R437" i="30"/>
  <c r="R431" i="30"/>
  <c r="R430" i="30"/>
  <c r="R429" i="30"/>
  <c r="R428" i="30"/>
  <c r="R422" i="30"/>
  <c r="R421" i="30"/>
  <c r="R420" i="30"/>
  <c r="R419" i="30"/>
  <c r="R413" i="30"/>
  <c r="R412" i="30"/>
  <c r="R411" i="30"/>
  <c r="R410" i="30"/>
  <c r="R404" i="30"/>
  <c r="R403" i="30"/>
  <c r="R402" i="30"/>
  <c r="R401" i="30"/>
  <c r="R395" i="30"/>
  <c r="R394" i="30"/>
  <c r="R393" i="30"/>
  <c r="R392" i="30"/>
  <c r="R386" i="30"/>
  <c r="R385" i="30"/>
  <c r="R384" i="30"/>
  <c r="R383" i="30"/>
  <c r="R377" i="30"/>
  <c r="R376" i="30"/>
  <c r="R375" i="30"/>
  <c r="R374" i="30"/>
  <c r="R368" i="30"/>
  <c r="R367" i="30"/>
  <c r="R366" i="30"/>
  <c r="R365" i="30"/>
  <c r="R359" i="30"/>
  <c r="R358" i="30"/>
  <c r="R357" i="30"/>
  <c r="R356" i="30"/>
  <c r="R350" i="30"/>
  <c r="R349" i="30"/>
  <c r="R348" i="30"/>
  <c r="R347" i="30"/>
  <c r="R341" i="30"/>
  <c r="R340" i="30"/>
  <c r="R339" i="30"/>
  <c r="R338" i="30"/>
  <c r="R332" i="30"/>
  <c r="R331" i="30"/>
  <c r="R330" i="30"/>
  <c r="R329" i="30"/>
  <c r="R323" i="30"/>
  <c r="R322" i="30"/>
  <c r="R321" i="30"/>
  <c r="R320" i="30"/>
  <c r="R314" i="30"/>
  <c r="R313" i="30"/>
  <c r="R312" i="30"/>
  <c r="R311" i="30"/>
  <c r="R305" i="30"/>
  <c r="R304" i="30"/>
  <c r="R303" i="30"/>
  <c r="R302" i="30"/>
  <c r="R296" i="30"/>
  <c r="R295" i="30"/>
  <c r="R294" i="30"/>
  <c r="R293" i="30"/>
  <c r="R287" i="30"/>
  <c r="R286" i="30"/>
  <c r="R285" i="30"/>
  <c r="R284" i="30"/>
  <c r="R278" i="30"/>
  <c r="R277" i="30"/>
  <c r="R276" i="30"/>
  <c r="R275" i="30"/>
  <c r="R269" i="30"/>
  <c r="R268" i="30"/>
  <c r="R267" i="30"/>
  <c r="R266" i="30"/>
  <c r="R260" i="30"/>
  <c r="R259" i="30"/>
  <c r="R258" i="30"/>
  <c r="R257" i="30"/>
  <c r="R251" i="30"/>
  <c r="R250" i="30"/>
  <c r="R249" i="30"/>
  <c r="R248" i="30"/>
  <c r="R242" i="30"/>
  <c r="R241" i="30"/>
  <c r="R240" i="30"/>
  <c r="R239" i="30"/>
  <c r="R233" i="30"/>
  <c r="R232" i="30"/>
  <c r="R231" i="30"/>
  <c r="R230" i="30"/>
  <c r="R224" i="30"/>
  <c r="R223" i="30"/>
  <c r="R222" i="30"/>
  <c r="R221" i="30"/>
  <c r="R215" i="30"/>
  <c r="R214" i="30"/>
  <c r="R213" i="30"/>
  <c r="R212" i="30"/>
  <c r="R206" i="30"/>
  <c r="R205" i="30"/>
  <c r="R204" i="30"/>
  <c r="R203" i="30"/>
  <c r="R197" i="30"/>
  <c r="R196" i="30"/>
  <c r="R195" i="30"/>
  <c r="R194" i="30"/>
  <c r="R188" i="30"/>
  <c r="R187" i="30"/>
  <c r="R186" i="30"/>
  <c r="R185" i="30"/>
  <c r="R179" i="30"/>
  <c r="R178" i="30"/>
  <c r="R177" i="30"/>
  <c r="R176" i="30"/>
  <c r="R170" i="30"/>
  <c r="R169" i="30"/>
  <c r="R168" i="30"/>
  <c r="R167" i="30"/>
  <c r="R161" i="30"/>
  <c r="R160" i="30"/>
  <c r="R159" i="30"/>
  <c r="R158" i="30"/>
  <c r="R152" i="30"/>
  <c r="R151" i="30"/>
  <c r="R150" i="30"/>
  <c r="R149" i="30"/>
  <c r="R143" i="30"/>
  <c r="R142" i="30"/>
  <c r="R141" i="30"/>
  <c r="R140" i="30"/>
  <c r="R134" i="30"/>
  <c r="R133" i="30"/>
  <c r="R132" i="30"/>
  <c r="R131" i="30"/>
  <c r="R125" i="30"/>
  <c r="R124" i="30"/>
  <c r="R123" i="30"/>
  <c r="R122" i="30"/>
  <c r="R116" i="30"/>
  <c r="R115" i="30"/>
  <c r="R114" i="30"/>
  <c r="R113" i="30"/>
  <c r="R107" i="30"/>
  <c r="R106" i="30"/>
  <c r="R105" i="30"/>
  <c r="R104" i="30"/>
  <c r="R98" i="30"/>
  <c r="R97" i="30"/>
  <c r="R96" i="30"/>
  <c r="R95" i="30"/>
  <c r="R89" i="30"/>
  <c r="R88" i="30"/>
  <c r="R87" i="30"/>
  <c r="R86" i="30"/>
  <c r="R80" i="30"/>
  <c r="R79" i="30"/>
  <c r="R78" i="30"/>
  <c r="R77" i="30"/>
  <c r="R71" i="30"/>
  <c r="R70" i="30"/>
  <c r="R69" i="30"/>
  <c r="R68" i="30"/>
  <c r="R62" i="30"/>
  <c r="R61" i="30"/>
  <c r="R60" i="30"/>
  <c r="R59" i="30"/>
  <c r="R53" i="30"/>
  <c r="R52" i="30"/>
  <c r="R51" i="30"/>
  <c r="R50" i="30"/>
  <c r="R44" i="30"/>
  <c r="R43" i="30"/>
  <c r="R42" i="30"/>
  <c r="R41" i="30"/>
  <c r="R35" i="30"/>
  <c r="R34" i="30"/>
  <c r="R33" i="30"/>
  <c r="R32" i="30"/>
  <c r="R26" i="30"/>
  <c r="R25" i="30"/>
  <c r="R24" i="30"/>
  <c r="R23" i="30"/>
  <c r="R17" i="30"/>
  <c r="R16" i="30"/>
  <c r="R15" i="30"/>
  <c r="R14" i="30"/>
  <c r="R737" i="34"/>
  <c r="R736" i="34"/>
  <c r="R735" i="34"/>
  <c r="R734" i="34"/>
  <c r="R728" i="34"/>
  <c r="R727" i="34"/>
  <c r="R726" i="34"/>
  <c r="R725" i="34"/>
  <c r="R719" i="34"/>
  <c r="R718" i="34"/>
  <c r="R717" i="34"/>
  <c r="R716" i="34"/>
  <c r="R710" i="34"/>
  <c r="R709" i="34"/>
  <c r="R708" i="34"/>
  <c r="R707" i="34"/>
  <c r="R701" i="34"/>
  <c r="R700" i="34"/>
  <c r="R699" i="34"/>
  <c r="R698" i="34"/>
  <c r="R692" i="34"/>
  <c r="R691" i="34"/>
  <c r="R690" i="34"/>
  <c r="R689" i="34"/>
  <c r="R683" i="34"/>
  <c r="R682" i="34"/>
  <c r="R681" i="34"/>
  <c r="R680" i="34"/>
  <c r="R674" i="34"/>
  <c r="R673" i="34"/>
  <c r="R672" i="34"/>
  <c r="R671" i="34"/>
  <c r="R665" i="34"/>
  <c r="R664" i="34"/>
  <c r="R663" i="34"/>
  <c r="R662" i="34"/>
  <c r="R656" i="34"/>
  <c r="R655" i="34"/>
  <c r="R654" i="34"/>
  <c r="R653" i="34"/>
  <c r="R647" i="34"/>
  <c r="R646" i="34"/>
  <c r="R645" i="34"/>
  <c r="R644" i="34"/>
  <c r="R638" i="34"/>
  <c r="R637" i="34"/>
  <c r="R636" i="34"/>
  <c r="R635" i="34"/>
  <c r="R629" i="34"/>
  <c r="R628" i="34"/>
  <c r="R627" i="34"/>
  <c r="R626" i="34"/>
  <c r="R620" i="34"/>
  <c r="R619" i="34"/>
  <c r="R618" i="34"/>
  <c r="R617" i="34"/>
  <c r="R611" i="34"/>
  <c r="R610" i="34"/>
  <c r="R609" i="34"/>
  <c r="R608" i="34"/>
  <c r="R602" i="34"/>
  <c r="R601" i="34"/>
  <c r="R600" i="34"/>
  <c r="R599" i="34"/>
  <c r="R593" i="34"/>
  <c r="R592" i="34"/>
  <c r="R591" i="34"/>
  <c r="R590" i="34"/>
  <c r="R584" i="34"/>
  <c r="R583" i="34"/>
  <c r="R582" i="34"/>
  <c r="R581" i="34"/>
  <c r="R575" i="34"/>
  <c r="R574" i="34"/>
  <c r="R573" i="34"/>
  <c r="R572" i="34"/>
  <c r="R566" i="34"/>
  <c r="R565" i="34"/>
  <c r="R564" i="34"/>
  <c r="R563" i="34"/>
  <c r="R557" i="34"/>
  <c r="R556" i="34"/>
  <c r="R555" i="34"/>
  <c r="R554" i="34"/>
  <c r="R548" i="34"/>
  <c r="R547" i="34"/>
  <c r="R546" i="34"/>
  <c r="R545" i="34"/>
  <c r="R539" i="34"/>
  <c r="R538" i="34"/>
  <c r="R537" i="34"/>
  <c r="R536" i="34"/>
  <c r="R530" i="34"/>
  <c r="R529" i="34"/>
  <c r="R528" i="34"/>
  <c r="R527" i="34"/>
  <c r="R521" i="34"/>
  <c r="R520" i="34"/>
  <c r="R519" i="34"/>
  <c r="R518" i="34"/>
  <c r="R512" i="34"/>
  <c r="R511" i="34"/>
  <c r="R510" i="34"/>
  <c r="R509" i="34"/>
  <c r="R503" i="34"/>
  <c r="R502" i="34"/>
  <c r="R501" i="34"/>
  <c r="R500" i="34"/>
  <c r="R494" i="34"/>
  <c r="R493" i="34"/>
  <c r="R492" i="34"/>
  <c r="R491" i="34"/>
  <c r="R485" i="34"/>
  <c r="R484" i="34"/>
  <c r="R483" i="34"/>
  <c r="R482" i="34"/>
  <c r="R476" i="34"/>
  <c r="R475" i="34"/>
  <c r="R474" i="34"/>
  <c r="R473" i="34"/>
  <c r="R467" i="34"/>
  <c r="R466" i="34"/>
  <c r="R465" i="34"/>
  <c r="R464" i="34"/>
  <c r="R458" i="34"/>
  <c r="R457" i="34"/>
  <c r="R456" i="34"/>
  <c r="R455" i="34"/>
  <c r="R449" i="34"/>
  <c r="R448" i="34"/>
  <c r="R447" i="34"/>
  <c r="R446" i="34"/>
  <c r="R440" i="34"/>
  <c r="R439" i="34"/>
  <c r="R438" i="34"/>
  <c r="R437" i="34"/>
  <c r="R431" i="34"/>
  <c r="R430" i="34"/>
  <c r="R429" i="34"/>
  <c r="R428" i="34"/>
  <c r="R422" i="34"/>
  <c r="R421" i="34"/>
  <c r="R420" i="34"/>
  <c r="R419" i="34"/>
  <c r="R413" i="34"/>
  <c r="R412" i="34"/>
  <c r="R411" i="34"/>
  <c r="R410" i="34"/>
  <c r="R404" i="34"/>
  <c r="R403" i="34"/>
  <c r="R402" i="34"/>
  <c r="R401" i="34"/>
  <c r="R395" i="34"/>
  <c r="R394" i="34"/>
  <c r="R393" i="34"/>
  <c r="R392" i="34"/>
  <c r="R386" i="34"/>
  <c r="R385" i="34"/>
  <c r="R384" i="34"/>
  <c r="R383" i="34"/>
  <c r="R377" i="34"/>
  <c r="R376" i="34"/>
  <c r="R375" i="34"/>
  <c r="R374" i="34"/>
  <c r="R368" i="34"/>
  <c r="R367" i="34"/>
  <c r="R366" i="34"/>
  <c r="R365" i="34"/>
  <c r="R359" i="34"/>
  <c r="R358" i="34"/>
  <c r="R357" i="34"/>
  <c r="R356" i="34"/>
  <c r="R350" i="34"/>
  <c r="R349" i="34"/>
  <c r="R348" i="34"/>
  <c r="R347" i="34"/>
  <c r="R341" i="34"/>
  <c r="R340" i="34"/>
  <c r="R339" i="34"/>
  <c r="R338" i="34"/>
  <c r="R332" i="34"/>
  <c r="R331" i="34"/>
  <c r="R330" i="34"/>
  <c r="R329" i="34"/>
  <c r="R323" i="34"/>
  <c r="R322" i="34"/>
  <c r="R321" i="34"/>
  <c r="R320" i="34"/>
  <c r="R314" i="34"/>
  <c r="R313" i="34"/>
  <c r="R312" i="34"/>
  <c r="R311" i="34"/>
  <c r="R305" i="34"/>
  <c r="R304" i="34"/>
  <c r="R303" i="34"/>
  <c r="R302" i="34"/>
  <c r="R296" i="34"/>
  <c r="R295" i="34"/>
  <c r="R294" i="34"/>
  <c r="R293" i="34"/>
  <c r="R287" i="34"/>
  <c r="R286" i="34"/>
  <c r="R285" i="34"/>
  <c r="R284" i="34"/>
  <c r="R278" i="34"/>
  <c r="R277" i="34"/>
  <c r="R276" i="34"/>
  <c r="R275" i="34"/>
  <c r="R269" i="34"/>
  <c r="R268" i="34"/>
  <c r="R267" i="34"/>
  <c r="R266" i="34"/>
  <c r="R260" i="34"/>
  <c r="R259" i="34"/>
  <c r="R258" i="34"/>
  <c r="R257" i="34"/>
  <c r="R251" i="34"/>
  <c r="R250" i="34"/>
  <c r="R249" i="34"/>
  <c r="R248" i="34"/>
  <c r="R242" i="34"/>
  <c r="R241" i="34"/>
  <c r="R240" i="34"/>
  <c r="R239" i="34"/>
  <c r="R233" i="34"/>
  <c r="R232" i="34"/>
  <c r="R231" i="34"/>
  <c r="R230" i="34"/>
  <c r="R224" i="34"/>
  <c r="R223" i="34"/>
  <c r="R222" i="34"/>
  <c r="R221" i="34"/>
  <c r="R215" i="34"/>
  <c r="R214" i="34"/>
  <c r="R213" i="34"/>
  <c r="R212" i="34"/>
  <c r="R206" i="34"/>
  <c r="R205" i="34"/>
  <c r="R204" i="34"/>
  <c r="R203" i="34"/>
  <c r="R197" i="34"/>
  <c r="R196" i="34"/>
  <c r="R195" i="34"/>
  <c r="R194" i="34"/>
  <c r="R188" i="34"/>
  <c r="R187" i="34"/>
  <c r="R186" i="34"/>
  <c r="R185" i="34"/>
  <c r="R179" i="34"/>
  <c r="R178" i="34"/>
  <c r="R177" i="34"/>
  <c r="R176" i="34"/>
  <c r="R170" i="34"/>
  <c r="R169" i="34"/>
  <c r="R168" i="34"/>
  <c r="R167" i="34"/>
  <c r="R161" i="34"/>
  <c r="R160" i="34"/>
  <c r="R159" i="34"/>
  <c r="R158" i="34"/>
  <c r="R152" i="34"/>
  <c r="R151" i="34"/>
  <c r="R150" i="34"/>
  <c r="R149" i="34"/>
  <c r="R143" i="34"/>
  <c r="R142" i="34"/>
  <c r="R141" i="34"/>
  <c r="R140" i="34"/>
  <c r="R134" i="34"/>
  <c r="R133" i="34"/>
  <c r="R132" i="34"/>
  <c r="R131" i="34"/>
  <c r="R125" i="34"/>
  <c r="R124" i="34"/>
  <c r="R123" i="34"/>
  <c r="R122" i="34"/>
  <c r="R116" i="34"/>
  <c r="R115" i="34"/>
  <c r="R114" i="34"/>
  <c r="R113" i="34"/>
  <c r="R107" i="34"/>
  <c r="R106" i="34"/>
  <c r="R105" i="34"/>
  <c r="R104" i="34"/>
  <c r="R98" i="34"/>
  <c r="R97" i="34"/>
  <c r="R96" i="34"/>
  <c r="R95" i="34"/>
  <c r="R89" i="34"/>
  <c r="R88" i="34"/>
  <c r="R87" i="34"/>
  <c r="R86" i="34"/>
  <c r="R80" i="34"/>
  <c r="R79" i="34"/>
  <c r="R78" i="34"/>
  <c r="R77" i="34"/>
  <c r="R71" i="34"/>
  <c r="R70" i="34"/>
  <c r="R69" i="34"/>
  <c r="R68" i="34"/>
  <c r="R62" i="34"/>
  <c r="R61" i="34"/>
  <c r="R60" i="34"/>
  <c r="R59" i="34"/>
  <c r="R53" i="34"/>
  <c r="R52" i="34"/>
  <c r="R51" i="34"/>
  <c r="R50" i="34"/>
  <c r="R44" i="34"/>
  <c r="R43" i="34"/>
  <c r="R42" i="34"/>
  <c r="R41" i="34"/>
  <c r="R35" i="34"/>
  <c r="R34" i="34"/>
  <c r="R33" i="34"/>
  <c r="R32" i="34"/>
  <c r="R26" i="34"/>
  <c r="R25" i="34"/>
  <c r="R24" i="34"/>
  <c r="R23" i="34"/>
  <c r="R17" i="34"/>
  <c r="R16" i="34"/>
  <c r="R15" i="34"/>
  <c r="R14" i="34"/>
  <c r="R737" i="32"/>
  <c r="R736" i="32"/>
  <c r="R735" i="32"/>
  <c r="R734" i="32"/>
  <c r="R728" i="32"/>
  <c r="R727" i="32"/>
  <c r="R726" i="32"/>
  <c r="R725" i="32"/>
  <c r="R719" i="32"/>
  <c r="R718" i="32"/>
  <c r="R717" i="32"/>
  <c r="R716" i="32"/>
  <c r="R710" i="32"/>
  <c r="R709" i="32"/>
  <c r="R708" i="32"/>
  <c r="R707" i="32"/>
  <c r="R701" i="32"/>
  <c r="R700" i="32"/>
  <c r="R699" i="32"/>
  <c r="R698" i="32"/>
  <c r="R692" i="32"/>
  <c r="R691" i="32"/>
  <c r="R690" i="32"/>
  <c r="R689" i="32"/>
  <c r="R683" i="32"/>
  <c r="R682" i="32"/>
  <c r="R681" i="32"/>
  <c r="R680" i="32"/>
  <c r="R674" i="32"/>
  <c r="R673" i="32"/>
  <c r="R672" i="32"/>
  <c r="R671" i="32"/>
  <c r="R665" i="32"/>
  <c r="R664" i="32"/>
  <c r="R663" i="32"/>
  <c r="R662" i="32"/>
  <c r="R656" i="32"/>
  <c r="R655" i="32"/>
  <c r="R654" i="32"/>
  <c r="R653" i="32"/>
  <c r="R647" i="32"/>
  <c r="R646" i="32"/>
  <c r="R645" i="32"/>
  <c r="R644" i="32"/>
  <c r="R638" i="32"/>
  <c r="R637" i="32"/>
  <c r="R636" i="32"/>
  <c r="R635" i="32"/>
  <c r="R629" i="32"/>
  <c r="R628" i="32"/>
  <c r="R627" i="32"/>
  <c r="R626" i="32"/>
  <c r="R620" i="32"/>
  <c r="R619" i="32"/>
  <c r="R618" i="32"/>
  <c r="R617" i="32"/>
  <c r="R611" i="32"/>
  <c r="R610" i="32"/>
  <c r="R609" i="32"/>
  <c r="R608" i="32"/>
  <c r="R602" i="32"/>
  <c r="R601" i="32"/>
  <c r="R600" i="32"/>
  <c r="R599" i="32"/>
  <c r="R593" i="32"/>
  <c r="R592" i="32"/>
  <c r="R591" i="32"/>
  <c r="R590" i="32"/>
  <c r="R584" i="32"/>
  <c r="R583" i="32"/>
  <c r="R582" i="32"/>
  <c r="R581" i="32"/>
  <c r="R575" i="32"/>
  <c r="R574" i="32"/>
  <c r="R573" i="32"/>
  <c r="R572" i="32"/>
  <c r="R566" i="32"/>
  <c r="R565" i="32"/>
  <c r="R564" i="32"/>
  <c r="R563" i="32"/>
  <c r="R557" i="32"/>
  <c r="R556" i="32"/>
  <c r="R555" i="32"/>
  <c r="R554" i="32"/>
  <c r="R548" i="32"/>
  <c r="R547" i="32"/>
  <c r="R546" i="32"/>
  <c r="R545" i="32"/>
  <c r="R539" i="32"/>
  <c r="R538" i="32"/>
  <c r="R537" i="32"/>
  <c r="R536" i="32"/>
  <c r="R530" i="32"/>
  <c r="R529" i="32"/>
  <c r="R528" i="32"/>
  <c r="R527" i="32"/>
  <c r="R521" i="32"/>
  <c r="R520" i="32"/>
  <c r="R519" i="32"/>
  <c r="R518" i="32"/>
  <c r="R512" i="32"/>
  <c r="R511" i="32"/>
  <c r="R510" i="32"/>
  <c r="R509" i="32"/>
  <c r="R503" i="32"/>
  <c r="R502" i="32"/>
  <c r="R501" i="32"/>
  <c r="R500" i="32"/>
  <c r="R494" i="32"/>
  <c r="R493" i="32"/>
  <c r="R492" i="32"/>
  <c r="R491" i="32"/>
  <c r="R485" i="32"/>
  <c r="R484" i="32"/>
  <c r="R483" i="32"/>
  <c r="R482" i="32"/>
  <c r="R476" i="32"/>
  <c r="R475" i="32"/>
  <c r="R474" i="32"/>
  <c r="R473" i="32"/>
  <c r="R467" i="32"/>
  <c r="R466" i="32"/>
  <c r="R465" i="32"/>
  <c r="R464" i="32"/>
  <c r="R458" i="32"/>
  <c r="R457" i="32"/>
  <c r="R456" i="32"/>
  <c r="R455" i="32"/>
  <c r="R449" i="32"/>
  <c r="R448" i="32"/>
  <c r="R447" i="32"/>
  <c r="R446" i="32"/>
  <c r="R440" i="32"/>
  <c r="R439" i="32"/>
  <c r="R438" i="32"/>
  <c r="R437" i="32"/>
  <c r="R431" i="32"/>
  <c r="R430" i="32"/>
  <c r="R429" i="32"/>
  <c r="R428" i="32"/>
  <c r="R422" i="32"/>
  <c r="R421" i="32"/>
  <c r="R420" i="32"/>
  <c r="R419" i="32"/>
  <c r="R413" i="32"/>
  <c r="R412" i="32"/>
  <c r="R411" i="32"/>
  <c r="R410" i="32"/>
  <c r="R404" i="32"/>
  <c r="R403" i="32"/>
  <c r="R402" i="32"/>
  <c r="R401" i="32"/>
  <c r="R395" i="32"/>
  <c r="R394" i="32"/>
  <c r="R393" i="32"/>
  <c r="R392" i="32"/>
  <c r="R386" i="32"/>
  <c r="R385" i="32"/>
  <c r="R384" i="32"/>
  <c r="R383" i="32"/>
  <c r="R377" i="32"/>
  <c r="R376" i="32"/>
  <c r="R375" i="32"/>
  <c r="R374" i="32"/>
  <c r="R368" i="32"/>
  <c r="R367" i="32"/>
  <c r="R366" i="32"/>
  <c r="R365" i="32"/>
  <c r="R359" i="32"/>
  <c r="R358" i="32"/>
  <c r="R357" i="32"/>
  <c r="R356" i="32"/>
  <c r="R350" i="32"/>
  <c r="R349" i="32"/>
  <c r="R348" i="32"/>
  <c r="R347" i="32"/>
  <c r="R341" i="32"/>
  <c r="R340" i="32"/>
  <c r="R339" i="32"/>
  <c r="R338" i="32"/>
  <c r="R332" i="32"/>
  <c r="R331" i="32"/>
  <c r="R330" i="32"/>
  <c r="R329" i="32"/>
  <c r="R323" i="32"/>
  <c r="R322" i="32"/>
  <c r="R321" i="32"/>
  <c r="R320" i="32"/>
  <c r="R314" i="32"/>
  <c r="R313" i="32"/>
  <c r="R312" i="32"/>
  <c r="R311" i="32"/>
  <c r="R305" i="32"/>
  <c r="R304" i="32"/>
  <c r="R303" i="32"/>
  <c r="R302" i="32"/>
  <c r="R296" i="32"/>
  <c r="R295" i="32"/>
  <c r="R294" i="32"/>
  <c r="R293" i="32"/>
  <c r="R287" i="32"/>
  <c r="R286" i="32"/>
  <c r="R285" i="32"/>
  <c r="R284" i="32"/>
  <c r="R278" i="32"/>
  <c r="R277" i="32"/>
  <c r="R276" i="32"/>
  <c r="R275" i="32"/>
  <c r="R269" i="32"/>
  <c r="R268" i="32"/>
  <c r="R267" i="32"/>
  <c r="R266" i="32"/>
  <c r="R260" i="32"/>
  <c r="R259" i="32"/>
  <c r="R258" i="32"/>
  <c r="R257" i="32"/>
  <c r="R251" i="32"/>
  <c r="R250" i="32"/>
  <c r="R249" i="32"/>
  <c r="R248" i="32"/>
  <c r="R242" i="32"/>
  <c r="R241" i="32"/>
  <c r="R240" i="32"/>
  <c r="R239" i="32"/>
  <c r="R233" i="32"/>
  <c r="R232" i="32"/>
  <c r="R231" i="32"/>
  <c r="R230" i="32"/>
  <c r="R224" i="32"/>
  <c r="R223" i="32"/>
  <c r="R222" i="32"/>
  <c r="R221" i="32"/>
  <c r="R215" i="32"/>
  <c r="R214" i="32"/>
  <c r="R213" i="32"/>
  <c r="R212" i="32"/>
  <c r="R206" i="32"/>
  <c r="R205" i="32"/>
  <c r="R204" i="32"/>
  <c r="R203" i="32"/>
  <c r="R197" i="32"/>
  <c r="R196" i="32"/>
  <c r="R195" i="32"/>
  <c r="R194" i="32"/>
  <c r="R188" i="32"/>
  <c r="R187" i="32"/>
  <c r="R186" i="32"/>
  <c r="R185" i="32"/>
  <c r="R179" i="32"/>
  <c r="R178" i="32"/>
  <c r="R177" i="32"/>
  <c r="R176" i="32"/>
  <c r="R170" i="32"/>
  <c r="R169" i="32"/>
  <c r="R168" i="32"/>
  <c r="R167" i="32"/>
  <c r="R161" i="32"/>
  <c r="R160" i="32"/>
  <c r="R159" i="32"/>
  <c r="R158" i="32"/>
  <c r="R152" i="32"/>
  <c r="R151" i="32"/>
  <c r="R150" i="32"/>
  <c r="R149" i="32"/>
  <c r="R143" i="32"/>
  <c r="R142" i="32"/>
  <c r="R141" i="32"/>
  <c r="R140" i="32"/>
  <c r="R134" i="32"/>
  <c r="R133" i="32"/>
  <c r="R132" i="32"/>
  <c r="R131" i="32"/>
  <c r="R125" i="32"/>
  <c r="R124" i="32"/>
  <c r="R123" i="32"/>
  <c r="R122" i="32"/>
  <c r="R116" i="32"/>
  <c r="R115" i="32"/>
  <c r="R114" i="32"/>
  <c r="R113" i="32"/>
  <c r="R107" i="32"/>
  <c r="R106" i="32"/>
  <c r="R105" i="32"/>
  <c r="R104" i="32"/>
  <c r="R98" i="32"/>
  <c r="R97" i="32"/>
  <c r="R96" i="32"/>
  <c r="R95" i="32"/>
  <c r="R89" i="32"/>
  <c r="R88" i="32"/>
  <c r="R87" i="32"/>
  <c r="R86" i="32"/>
  <c r="R80" i="32"/>
  <c r="R79" i="32"/>
  <c r="R78" i="32"/>
  <c r="R77" i="32"/>
  <c r="R71" i="32"/>
  <c r="R70" i="32"/>
  <c r="R69" i="32"/>
  <c r="R68" i="32"/>
  <c r="R62" i="32"/>
  <c r="R61" i="32"/>
  <c r="R60" i="32"/>
  <c r="R59" i="32"/>
  <c r="R53" i="32"/>
  <c r="R52" i="32"/>
  <c r="R51" i="32"/>
  <c r="R50" i="32"/>
  <c r="R44" i="32"/>
  <c r="R43" i="32"/>
  <c r="R42" i="32"/>
  <c r="R41" i="32"/>
  <c r="R35" i="32"/>
  <c r="R34" i="32"/>
  <c r="R33" i="32"/>
  <c r="R32" i="32"/>
  <c r="R26" i="32"/>
  <c r="R25" i="32"/>
  <c r="R24" i="32"/>
  <c r="R23" i="32"/>
  <c r="R17" i="32"/>
  <c r="R16" i="32"/>
  <c r="R15" i="32"/>
  <c r="R14" i="32"/>
  <c r="R737" i="40"/>
  <c r="R736" i="40"/>
  <c r="R735" i="40"/>
  <c r="R734" i="40"/>
  <c r="R728" i="40"/>
  <c r="R727" i="40"/>
  <c r="R726" i="40"/>
  <c r="R725" i="40"/>
  <c r="R719" i="40"/>
  <c r="R718" i="40"/>
  <c r="R717" i="40"/>
  <c r="R716" i="40"/>
  <c r="R710" i="40"/>
  <c r="R709" i="40"/>
  <c r="R708" i="40"/>
  <c r="R707" i="40"/>
  <c r="R701" i="40"/>
  <c r="R700" i="40"/>
  <c r="R699" i="40"/>
  <c r="R698" i="40"/>
  <c r="R692" i="40"/>
  <c r="R691" i="40"/>
  <c r="R690" i="40"/>
  <c r="R689" i="40"/>
  <c r="R683" i="40"/>
  <c r="R682" i="40"/>
  <c r="R681" i="40"/>
  <c r="R680" i="40"/>
  <c r="R674" i="40"/>
  <c r="R673" i="40"/>
  <c r="R672" i="40"/>
  <c r="R671" i="40"/>
  <c r="R665" i="40"/>
  <c r="R664" i="40"/>
  <c r="R663" i="40"/>
  <c r="R662" i="40"/>
  <c r="R656" i="40"/>
  <c r="R655" i="40"/>
  <c r="R654" i="40"/>
  <c r="R653" i="40"/>
  <c r="R647" i="40"/>
  <c r="R646" i="40"/>
  <c r="R645" i="40"/>
  <c r="R644" i="40"/>
  <c r="R638" i="40"/>
  <c r="R637" i="40"/>
  <c r="R636" i="40"/>
  <c r="R635" i="40"/>
  <c r="R629" i="40"/>
  <c r="R628" i="40"/>
  <c r="R627" i="40"/>
  <c r="R626" i="40"/>
  <c r="R620" i="40"/>
  <c r="R619" i="40"/>
  <c r="R618" i="40"/>
  <c r="R617" i="40"/>
  <c r="R611" i="40"/>
  <c r="R610" i="40"/>
  <c r="R609" i="40"/>
  <c r="R608" i="40"/>
  <c r="R602" i="40"/>
  <c r="R601" i="40"/>
  <c r="R600" i="40"/>
  <c r="R599" i="40"/>
  <c r="R593" i="40"/>
  <c r="R592" i="40"/>
  <c r="R591" i="40"/>
  <c r="R590" i="40"/>
  <c r="R584" i="40"/>
  <c r="R583" i="40"/>
  <c r="R582" i="40"/>
  <c r="R581" i="40"/>
  <c r="R575" i="40"/>
  <c r="R574" i="40"/>
  <c r="R573" i="40"/>
  <c r="R572" i="40"/>
  <c r="R566" i="40"/>
  <c r="R565" i="40"/>
  <c r="R564" i="40"/>
  <c r="R563" i="40"/>
  <c r="R557" i="40"/>
  <c r="R556" i="40"/>
  <c r="R555" i="40"/>
  <c r="R554" i="40"/>
  <c r="R548" i="40"/>
  <c r="R547" i="40"/>
  <c r="R546" i="40"/>
  <c r="R545" i="40"/>
  <c r="R539" i="40"/>
  <c r="R538" i="40"/>
  <c r="R537" i="40"/>
  <c r="R536" i="40"/>
  <c r="R530" i="40"/>
  <c r="R529" i="40"/>
  <c r="R528" i="40"/>
  <c r="R527" i="40"/>
  <c r="R521" i="40"/>
  <c r="R520" i="40"/>
  <c r="R519" i="40"/>
  <c r="R518" i="40"/>
  <c r="R512" i="40"/>
  <c r="R511" i="40"/>
  <c r="R510" i="40"/>
  <c r="R509" i="40"/>
  <c r="R503" i="40"/>
  <c r="R502" i="40"/>
  <c r="R501" i="40"/>
  <c r="R500" i="40"/>
  <c r="R494" i="40"/>
  <c r="R493" i="40"/>
  <c r="R492" i="40"/>
  <c r="R491" i="40"/>
  <c r="R485" i="40"/>
  <c r="R484" i="40"/>
  <c r="R483" i="40"/>
  <c r="R482" i="40"/>
  <c r="R476" i="40"/>
  <c r="R475" i="40"/>
  <c r="R474" i="40"/>
  <c r="R473" i="40"/>
  <c r="R467" i="40"/>
  <c r="R466" i="40"/>
  <c r="R465" i="40"/>
  <c r="R464" i="40"/>
  <c r="R458" i="40"/>
  <c r="R457" i="40"/>
  <c r="R456" i="40"/>
  <c r="R455" i="40"/>
  <c r="R449" i="40"/>
  <c r="R448" i="40"/>
  <c r="R447" i="40"/>
  <c r="R446" i="40"/>
  <c r="R440" i="40"/>
  <c r="R439" i="40"/>
  <c r="R438" i="40"/>
  <c r="R437" i="40"/>
  <c r="R431" i="40"/>
  <c r="R430" i="40"/>
  <c r="R429" i="40"/>
  <c r="R428" i="40"/>
  <c r="R422" i="40"/>
  <c r="R421" i="40"/>
  <c r="R420" i="40"/>
  <c r="R419" i="40"/>
  <c r="R413" i="40"/>
  <c r="R412" i="40"/>
  <c r="R411" i="40"/>
  <c r="R410" i="40"/>
  <c r="R404" i="40"/>
  <c r="R403" i="40"/>
  <c r="R402" i="40"/>
  <c r="R401" i="40"/>
  <c r="R395" i="40"/>
  <c r="R394" i="40"/>
  <c r="R393" i="40"/>
  <c r="R392" i="40"/>
  <c r="R386" i="40"/>
  <c r="R385" i="40"/>
  <c r="R384" i="40"/>
  <c r="R383" i="40"/>
  <c r="R377" i="40"/>
  <c r="R376" i="40"/>
  <c r="R375" i="40"/>
  <c r="R374" i="40"/>
  <c r="R368" i="40"/>
  <c r="R367" i="40"/>
  <c r="R366" i="40"/>
  <c r="R365" i="40"/>
  <c r="R359" i="40"/>
  <c r="R358" i="40"/>
  <c r="R357" i="40"/>
  <c r="R356" i="40"/>
  <c r="R350" i="40"/>
  <c r="R349" i="40"/>
  <c r="R348" i="40"/>
  <c r="R347" i="40"/>
  <c r="R341" i="40"/>
  <c r="R340" i="40"/>
  <c r="R339" i="40"/>
  <c r="R338" i="40"/>
  <c r="R332" i="40"/>
  <c r="R331" i="40"/>
  <c r="R330" i="40"/>
  <c r="R329" i="40"/>
  <c r="R323" i="40"/>
  <c r="R322" i="40"/>
  <c r="R321" i="40"/>
  <c r="R320" i="40"/>
  <c r="R314" i="40"/>
  <c r="R313" i="40"/>
  <c r="R312" i="40"/>
  <c r="R311" i="40"/>
  <c r="R305" i="40"/>
  <c r="R304" i="40"/>
  <c r="R303" i="40"/>
  <c r="R302" i="40"/>
  <c r="R296" i="40"/>
  <c r="R295" i="40"/>
  <c r="R294" i="40"/>
  <c r="R293" i="40"/>
  <c r="R287" i="40"/>
  <c r="R286" i="40"/>
  <c r="R285" i="40"/>
  <c r="R284" i="40"/>
  <c r="R278" i="40"/>
  <c r="R277" i="40"/>
  <c r="R276" i="40"/>
  <c r="R275" i="40"/>
  <c r="R269" i="40"/>
  <c r="R268" i="40"/>
  <c r="R267" i="40"/>
  <c r="R266" i="40"/>
  <c r="R260" i="40"/>
  <c r="R259" i="40"/>
  <c r="R258" i="40"/>
  <c r="R257" i="40"/>
  <c r="R251" i="40"/>
  <c r="R250" i="40"/>
  <c r="R249" i="40"/>
  <c r="R248" i="40"/>
  <c r="R242" i="40"/>
  <c r="R241" i="40"/>
  <c r="R240" i="40"/>
  <c r="R239" i="40"/>
  <c r="R233" i="40"/>
  <c r="R232" i="40"/>
  <c r="R231" i="40"/>
  <c r="R230" i="40"/>
  <c r="R224" i="40"/>
  <c r="R223" i="40"/>
  <c r="R222" i="40"/>
  <c r="R221" i="40"/>
  <c r="R215" i="40"/>
  <c r="R214" i="40"/>
  <c r="R213" i="40"/>
  <c r="R212" i="40"/>
  <c r="R206" i="40"/>
  <c r="R205" i="40"/>
  <c r="R204" i="40"/>
  <c r="R203" i="40"/>
  <c r="R197" i="40"/>
  <c r="R196" i="40"/>
  <c r="R195" i="40"/>
  <c r="R194" i="40"/>
  <c r="R188" i="40"/>
  <c r="R187" i="40"/>
  <c r="R186" i="40"/>
  <c r="R185" i="40"/>
  <c r="R179" i="40"/>
  <c r="R178" i="40"/>
  <c r="R177" i="40"/>
  <c r="R176" i="40"/>
  <c r="R170" i="40"/>
  <c r="R169" i="40"/>
  <c r="R168" i="40"/>
  <c r="R167" i="40"/>
  <c r="R161" i="40"/>
  <c r="R160" i="40"/>
  <c r="R159" i="40"/>
  <c r="R158" i="40"/>
  <c r="R152" i="40"/>
  <c r="R151" i="40"/>
  <c r="R150" i="40"/>
  <c r="R149" i="40"/>
  <c r="R143" i="40"/>
  <c r="R142" i="40"/>
  <c r="R141" i="40"/>
  <c r="R140" i="40"/>
  <c r="R134" i="40"/>
  <c r="R133" i="40"/>
  <c r="R132" i="40"/>
  <c r="R131" i="40"/>
  <c r="R125" i="40"/>
  <c r="R124" i="40"/>
  <c r="R123" i="40"/>
  <c r="R122" i="40"/>
  <c r="R116" i="40"/>
  <c r="R115" i="40"/>
  <c r="R114" i="40"/>
  <c r="R113" i="40"/>
  <c r="R107" i="40"/>
  <c r="R106" i="40"/>
  <c r="R105" i="40"/>
  <c r="R104" i="40"/>
  <c r="R98" i="40"/>
  <c r="R97" i="40"/>
  <c r="R96" i="40"/>
  <c r="R95" i="40"/>
  <c r="R89" i="40"/>
  <c r="R88" i="40"/>
  <c r="R87" i="40"/>
  <c r="R86" i="40"/>
  <c r="R80" i="40"/>
  <c r="R79" i="40"/>
  <c r="R78" i="40"/>
  <c r="R77" i="40"/>
  <c r="R71" i="40"/>
  <c r="R70" i="40"/>
  <c r="R69" i="40"/>
  <c r="R68" i="40"/>
  <c r="R62" i="40"/>
  <c r="R61" i="40"/>
  <c r="R60" i="40"/>
  <c r="R59" i="40"/>
  <c r="R53" i="40"/>
  <c r="R52" i="40"/>
  <c r="R51" i="40"/>
  <c r="R50" i="40"/>
  <c r="R44" i="40"/>
  <c r="R43" i="40"/>
  <c r="R42" i="40"/>
  <c r="R41" i="40"/>
  <c r="R35" i="40"/>
  <c r="R34" i="40"/>
  <c r="R33" i="40"/>
  <c r="R32" i="40"/>
  <c r="R26" i="40"/>
  <c r="R25" i="40"/>
  <c r="R24" i="40"/>
  <c r="R23" i="40"/>
  <c r="R17" i="40"/>
  <c r="R16" i="40"/>
  <c r="R15" i="40"/>
  <c r="R14" i="40"/>
  <c r="R737" i="33"/>
  <c r="R736" i="33"/>
  <c r="R735" i="33"/>
  <c r="R734" i="33"/>
  <c r="R728" i="33"/>
  <c r="R727" i="33"/>
  <c r="R726" i="33"/>
  <c r="R725" i="33"/>
  <c r="R719" i="33"/>
  <c r="R718" i="33"/>
  <c r="R717" i="33"/>
  <c r="R716" i="33"/>
  <c r="R710" i="33"/>
  <c r="R709" i="33"/>
  <c r="R708" i="33"/>
  <c r="R707" i="33"/>
  <c r="R701" i="33"/>
  <c r="R700" i="33"/>
  <c r="R699" i="33"/>
  <c r="R698" i="33"/>
  <c r="R692" i="33"/>
  <c r="R691" i="33"/>
  <c r="R690" i="33"/>
  <c r="R689" i="33"/>
  <c r="R683" i="33"/>
  <c r="R682" i="33"/>
  <c r="R681" i="33"/>
  <c r="R680" i="33"/>
  <c r="R674" i="33"/>
  <c r="R673" i="33"/>
  <c r="R672" i="33"/>
  <c r="R671" i="33"/>
  <c r="R665" i="33"/>
  <c r="R664" i="33"/>
  <c r="R663" i="33"/>
  <c r="R662" i="33"/>
  <c r="R656" i="33"/>
  <c r="R655" i="33"/>
  <c r="R654" i="33"/>
  <c r="R653" i="33"/>
  <c r="R647" i="33"/>
  <c r="R646" i="33"/>
  <c r="R645" i="33"/>
  <c r="R644" i="33"/>
  <c r="R638" i="33"/>
  <c r="R637" i="33"/>
  <c r="R636" i="33"/>
  <c r="R635" i="33"/>
  <c r="R629" i="33"/>
  <c r="R628" i="33"/>
  <c r="R627" i="33"/>
  <c r="R626" i="33"/>
  <c r="R620" i="33"/>
  <c r="R619" i="33"/>
  <c r="R618" i="33"/>
  <c r="R617" i="33"/>
  <c r="R611" i="33"/>
  <c r="R610" i="33"/>
  <c r="R609" i="33"/>
  <c r="R608" i="33"/>
  <c r="R602" i="33"/>
  <c r="R601" i="33"/>
  <c r="R600" i="33"/>
  <c r="R599" i="33"/>
  <c r="R593" i="33"/>
  <c r="R592" i="33"/>
  <c r="R591" i="33"/>
  <c r="R590" i="33"/>
  <c r="R584" i="33"/>
  <c r="R583" i="33"/>
  <c r="R582" i="33"/>
  <c r="R581" i="33"/>
  <c r="R575" i="33"/>
  <c r="R574" i="33"/>
  <c r="R573" i="33"/>
  <c r="R572" i="33"/>
  <c r="R566" i="33"/>
  <c r="R565" i="33"/>
  <c r="R564" i="33"/>
  <c r="R563" i="33"/>
  <c r="R557" i="33"/>
  <c r="R556" i="33"/>
  <c r="R555" i="33"/>
  <c r="R554" i="33"/>
  <c r="R548" i="33"/>
  <c r="R547" i="33"/>
  <c r="R546" i="33"/>
  <c r="R545" i="33"/>
  <c r="R539" i="33"/>
  <c r="R538" i="33"/>
  <c r="R537" i="33"/>
  <c r="R536" i="33"/>
  <c r="R530" i="33"/>
  <c r="R529" i="33"/>
  <c r="R528" i="33"/>
  <c r="R527" i="33"/>
  <c r="R521" i="33"/>
  <c r="R520" i="33"/>
  <c r="R519" i="33"/>
  <c r="R518" i="33"/>
  <c r="R512" i="33"/>
  <c r="R511" i="33"/>
  <c r="R510" i="33"/>
  <c r="R509" i="33"/>
  <c r="R503" i="33"/>
  <c r="R502" i="33"/>
  <c r="R501" i="33"/>
  <c r="R500" i="33"/>
  <c r="R494" i="33"/>
  <c r="R493" i="33"/>
  <c r="R492" i="33"/>
  <c r="R491" i="33"/>
  <c r="R485" i="33"/>
  <c r="R484" i="33"/>
  <c r="R483" i="33"/>
  <c r="R482" i="33"/>
  <c r="R476" i="33"/>
  <c r="R475" i="33"/>
  <c r="R474" i="33"/>
  <c r="R473" i="33"/>
  <c r="R467" i="33"/>
  <c r="R466" i="33"/>
  <c r="R465" i="33"/>
  <c r="R464" i="33"/>
  <c r="R458" i="33"/>
  <c r="R457" i="33"/>
  <c r="R456" i="33"/>
  <c r="R455" i="33"/>
  <c r="R449" i="33"/>
  <c r="R448" i="33"/>
  <c r="R447" i="33"/>
  <c r="R446" i="33"/>
  <c r="R440" i="33"/>
  <c r="R439" i="33"/>
  <c r="R438" i="33"/>
  <c r="R437" i="33"/>
  <c r="R431" i="33"/>
  <c r="R430" i="33"/>
  <c r="R429" i="33"/>
  <c r="R428" i="33"/>
  <c r="R422" i="33"/>
  <c r="R421" i="33"/>
  <c r="R420" i="33"/>
  <c r="R419" i="33"/>
  <c r="R413" i="33"/>
  <c r="R412" i="33"/>
  <c r="R411" i="33"/>
  <c r="R410" i="33"/>
  <c r="R404" i="33"/>
  <c r="R403" i="33"/>
  <c r="R402" i="33"/>
  <c r="R401" i="33"/>
  <c r="R395" i="33"/>
  <c r="R394" i="33"/>
  <c r="R393" i="33"/>
  <c r="R392" i="33"/>
  <c r="R386" i="33"/>
  <c r="R385" i="33"/>
  <c r="R384" i="33"/>
  <c r="R383" i="33"/>
  <c r="R377" i="33"/>
  <c r="R376" i="33"/>
  <c r="R375" i="33"/>
  <c r="R374" i="33"/>
  <c r="R368" i="33"/>
  <c r="R367" i="33"/>
  <c r="R366" i="33"/>
  <c r="R365" i="33"/>
  <c r="R359" i="33"/>
  <c r="R358" i="33"/>
  <c r="R357" i="33"/>
  <c r="R356" i="33"/>
  <c r="R350" i="33"/>
  <c r="R349" i="33"/>
  <c r="R348" i="33"/>
  <c r="R347" i="33"/>
  <c r="R341" i="33"/>
  <c r="R340" i="33"/>
  <c r="R339" i="33"/>
  <c r="R338" i="33"/>
  <c r="R332" i="33"/>
  <c r="R331" i="33"/>
  <c r="R330" i="33"/>
  <c r="R329" i="33"/>
  <c r="R323" i="33"/>
  <c r="R322" i="33"/>
  <c r="R321" i="33"/>
  <c r="R320" i="33"/>
  <c r="R314" i="33"/>
  <c r="R313" i="33"/>
  <c r="R312" i="33"/>
  <c r="R311" i="33"/>
  <c r="R305" i="33"/>
  <c r="R304" i="33"/>
  <c r="R303" i="33"/>
  <c r="R302" i="33"/>
  <c r="R296" i="33"/>
  <c r="R295" i="33"/>
  <c r="R294" i="33"/>
  <c r="R293" i="33"/>
  <c r="R287" i="33"/>
  <c r="R286" i="33"/>
  <c r="R285" i="33"/>
  <c r="R284" i="33"/>
  <c r="R278" i="33"/>
  <c r="R277" i="33"/>
  <c r="R276" i="33"/>
  <c r="R275" i="33"/>
  <c r="R269" i="33"/>
  <c r="R268" i="33"/>
  <c r="R267" i="33"/>
  <c r="R266" i="33"/>
  <c r="R260" i="33"/>
  <c r="R259" i="33"/>
  <c r="R258" i="33"/>
  <c r="R257" i="33"/>
  <c r="R251" i="33"/>
  <c r="R250" i="33"/>
  <c r="R249" i="33"/>
  <c r="R248" i="33"/>
  <c r="R242" i="33"/>
  <c r="R241" i="33"/>
  <c r="R240" i="33"/>
  <c r="R239" i="33"/>
  <c r="R233" i="33"/>
  <c r="R232" i="33"/>
  <c r="R231" i="33"/>
  <c r="R230" i="33"/>
  <c r="R224" i="33"/>
  <c r="R223" i="33"/>
  <c r="R222" i="33"/>
  <c r="R221" i="33"/>
  <c r="R215" i="33"/>
  <c r="R214" i="33"/>
  <c r="R213" i="33"/>
  <c r="R212" i="33"/>
  <c r="R206" i="33"/>
  <c r="R205" i="33"/>
  <c r="R204" i="33"/>
  <c r="R203" i="33"/>
  <c r="R197" i="33"/>
  <c r="R196" i="33"/>
  <c r="R195" i="33"/>
  <c r="R194" i="33"/>
  <c r="R188" i="33"/>
  <c r="R187" i="33"/>
  <c r="R186" i="33"/>
  <c r="R185" i="33"/>
  <c r="R179" i="33"/>
  <c r="R178" i="33"/>
  <c r="R177" i="33"/>
  <c r="R176" i="33"/>
  <c r="R170" i="33"/>
  <c r="R169" i="33"/>
  <c r="R168" i="33"/>
  <c r="R167" i="33"/>
  <c r="R161" i="33"/>
  <c r="R160" i="33"/>
  <c r="R159" i="33"/>
  <c r="R158" i="33"/>
  <c r="R152" i="33"/>
  <c r="R151" i="33"/>
  <c r="R150" i="33"/>
  <c r="R149" i="33"/>
  <c r="R143" i="33"/>
  <c r="R142" i="33"/>
  <c r="R141" i="33"/>
  <c r="R140" i="33"/>
  <c r="R134" i="33"/>
  <c r="R133" i="33"/>
  <c r="R132" i="33"/>
  <c r="R131" i="33"/>
  <c r="R125" i="33"/>
  <c r="R124" i="33"/>
  <c r="R123" i="33"/>
  <c r="R122" i="33"/>
  <c r="R116" i="33"/>
  <c r="R115" i="33"/>
  <c r="R114" i="33"/>
  <c r="R113" i="33"/>
  <c r="R107" i="33"/>
  <c r="R106" i="33"/>
  <c r="R105" i="33"/>
  <c r="R104" i="33"/>
  <c r="R98" i="33"/>
  <c r="R97" i="33"/>
  <c r="R96" i="33"/>
  <c r="R95" i="33"/>
  <c r="R89" i="33"/>
  <c r="R88" i="33"/>
  <c r="R87" i="33"/>
  <c r="R86" i="33"/>
  <c r="R80" i="33"/>
  <c r="R79" i="33"/>
  <c r="R78" i="33"/>
  <c r="R77" i="33"/>
  <c r="R71" i="33"/>
  <c r="R70" i="33"/>
  <c r="R69" i="33"/>
  <c r="R68" i="33"/>
  <c r="R62" i="33"/>
  <c r="R61" i="33"/>
  <c r="R60" i="33"/>
  <c r="R59" i="33"/>
  <c r="R53" i="33"/>
  <c r="R52" i="33"/>
  <c r="R51" i="33"/>
  <c r="R50" i="33"/>
  <c r="R44" i="33"/>
  <c r="R43" i="33"/>
  <c r="R42" i="33"/>
  <c r="R41" i="33"/>
  <c r="R35" i="33"/>
  <c r="R34" i="33"/>
  <c r="R33" i="33"/>
  <c r="R32" i="33"/>
  <c r="R26" i="33"/>
  <c r="R25" i="33"/>
  <c r="R24" i="33"/>
  <c r="R23" i="33"/>
  <c r="R17" i="33"/>
  <c r="R16" i="33"/>
  <c r="R15" i="33"/>
  <c r="R14" i="33"/>
  <c r="R23" i="39"/>
  <c r="R24" i="39"/>
  <c r="R25" i="39"/>
  <c r="R26" i="39"/>
  <c r="R32" i="39"/>
  <c r="R33" i="39"/>
  <c r="R34" i="39"/>
  <c r="R35" i="39"/>
  <c r="R41" i="39"/>
  <c r="R42" i="39"/>
  <c r="R43" i="39"/>
  <c r="R44" i="39"/>
  <c r="R50" i="39"/>
  <c r="R51" i="39"/>
  <c r="R52" i="39"/>
  <c r="R53" i="39"/>
  <c r="R59" i="39"/>
  <c r="R60" i="39"/>
  <c r="R61" i="39"/>
  <c r="R62" i="39"/>
  <c r="R68" i="39"/>
  <c r="R69" i="39"/>
  <c r="R70" i="39"/>
  <c r="R71" i="39"/>
  <c r="R77" i="39"/>
  <c r="R78" i="39"/>
  <c r="R79" i="39"/>
  <c r="R80" i="39"/>
  <c r="R86" i="39"/>
  <c r="R87" i="39"/>
  <c r="R88" i="39"/>
  <c r="R89" i="39"/>
  <c r="R95" i="39"/>
  <c r="R96" i="39"/>
  <c r="R97" i="39"/>
  <c r="R98" i="39"/>
  <c r="R104" i="39"/>
  <c r="R105" i="39"/>
  <c r="R106" i="39"/>
  <c r="R107" i="39"/>
  <c r="R113" i="39"/>
  <c r="R114" i="39"/>
  <c r="R115" i="39"/>
  <c r="R116" i="39"/>
  <c r="R122" i="39"/>
  <c r="R123" i="39"/>
  <c r="R124" i="39"/>
  <c r="R125" i="39"/>
  <c r="R131" i="39"/>
  <c r="R132" i="39"/>
  <c r="R133" i="39"/>
  <c r="R134" i="39"/>
  <c r="R140" i="39"/>
  <c r="R141" i="39"/>
  <c r="R142" i="39"/>
  <c r="R143" i="39"/>
  <c r="R149" i="39"/>
  <c r="R150" i="39"/>
  <c r="R151" i="39"/>
  <c r="R152" i="39"/>
  <c r="R158" i="39"/>
  <c r="R159" i="39"/>
  <c r="R160" i="39"/>
  <c r="R161" i="39"/>
  <c r="R167" i="39"/>
  <c r="R168" i="39"/>
  <c r="R169" i="39"/>
  <c r="R170" i="39"/>
  <c r="R176" i="39"/>
  <c r="R177" i="39"/>
  <c r="R178" i="39"/>
  <c r="R179" i="39"/>
  <c r="R185" i="39"/>
  <c r="R186" i="39"/>
  <c r="R187" i="39"/>
  <c r="R188" i="39"/>
  <c r="R194" i="39"/>
  <c r="R195" i="39"/>
  <c r="R196" i="39"/>
  <c r="R197" i="39"/>
  <c r="R203" i="39"/>
  <c r="R204" i="39"/>
  <c r="R205" i="39"/>
  <c r="R206" i="39"/>
  <c r="R212" i="39"/>
  <c r="R213" i="39"/>
  <c r="R214" i="39"/>
  <c r="R215" i="39"/>
  <c r="R221" i="39"/>
  <c r="R222" i="39"/>
  <c r="R223" i="39"/>
  <c r="R224" i="39"/>
  <c r="R230" i="39"/>
  <c r="R231" i="39"/>
  <c r="R232" i="39"/>
  <c r="R233" i="39"/>
  <c r="R239" i="39"/>
  <c r="R240" i="39"/>
  <c r="R241" i="39"/>
  <c r="R242" i="39"/>
  <c r="R248" i="39"/>
  <c r="R249" i="39"/>
  <c r="R250" i="39"/>
  <c r="R251" i="39"/>
  <c r="R257" i="39"/>
  <c r="R258" i="39"/>
  <c r="R259" i="39"/>
  <c r="R260" i="39"/>
  <c r="R266" i="39"/>
  <c r="R267" i="39"/>
  <c r="R268" i="39"/>
  <c r="R269" i="39"/>
  <c r="R275" i="39"/>
  <c r="R276" i="39"/>
  <c r="R277" i="39"/>
  <c r="R278" i="39"/>
  <c r="R284" i="39"/>
  <c r="R285" i="39"/>
  <c r="R286" i="39"/>
  <c r="R287" i="39"/>
  <c r="R293" i="39"/>
  <c r="R294" i="39"/>
  <c r="R295" i="39"/>
  <c r="R296" i="39"/>
  <c r="R302" i="39"/>
  <c r="R303" i="39"/>
  <c r="R304" i="39"/>
  <c r="R305" i="39"/>
  <c r="R311" i="39"/>
  <c r="R312" i="39"/>
  <c r="R313" i="39"/>
  <c r="R314" i="39"/>
  <c r="R320" i="39"/>
  <c r="R321" i="39"/>
  <c r="R322" i="39"/>
  <c r="R323" i="39"/>
  <c r="R329" i="39"/>
  <c r="R330" i="39"/>
  <c r="R331" i="39"/>
  <c r="R332" i="39"/>
  <c r="R338" i="39"/>
  <c r="R339" i="39"/>
  <c r="R340" i="39"/>
  <c r="R341" i="39"/>
  <c r="R347" i="39"/>
  <c r="R348" i="39"/>
  <c r="R349" i="39"/>
  <c r="R350" i="39"/>
  <c r="R356" i="39"/>
  <c r="R357" i="39"/>
  <c r="R358" i="39"/>
  <c r="R359" i="39"/>
  <c r="R365" i="39"/>
  <c r="R366" i="39"/>
  <c r="R367" i="39"/>
  <c r="R368" i="39"/>
  <c r="R374" i="39"/>
  <c r="R375" i="39"/>
  <c r="R376" i="39"/>
  <c r="R377" i="39"/>
  <c r="R383" i="39"/>
  <c r="R384" i="39"/>
  <c r="R385" i="39"/>
  <c r="R386" i="39"/>
  <c r="R392" i="39"/>
  <c r="R393" i="39"/>
  <c r="R394" i="39"/>
  <c r="R395" i="39"/>
  <c r="R401" i="39"/>
  <c r="R402" i="39"/>
  <c r="R403" i="39"/>
  <c r="R404" i="39"/>
  <c r="R410" i="39"/>
  <c r="R411" i="39"/>
  <c r="R412" i="39"/>
  <c r="R413" i="39"/>
  <c r="R419" i="39"/>
  <c r="R420" i="39"/>
  <c r="R421" i="39"/>
  <c r="R422" i="39"/>
  <c r="R428" i="39"/>
  <c r="R429" i="39"/>
  <c r="R430" i="39"/>
  <c r="R431" i="39"/>
  <c r="R437" i="39"/>
  <c r="R438" i="39"/>
  <c r="R439" i="39"/>
  <c r="R440" i="39"/>
  <c r="R446" i="39"/>
  <c r="R447" i="39"/>
  <c r="R448" i="39"/>
  <c r="R449" i="39"/>
  <c r="R455" i="39"/>
  <c r="R456" i="39"/>
  <c r="R457" i="39"/>
  <c r="R458" i="39"/>
  <c r="R464" i="39"/>
  <c r="R465" i="39"/>
  <c r="R466" i="39"/>
  <c r="R467" i="39"/>
  <c r="R473" i="39"/>
  <c r="R474" i="39"/>
  <c r="R475" i="39"/>
  <c r="R476" i="39"/>
  <c r="R482" i="39"/>
  <c r="R483" i="39"/>
  <c r="R484" i="39"/>
  <c r="R485" i="39"/>
  <c r="R491" i="39"/>
  <c r="R492" i="39"/>
  <c r="R493" i="39"/>
  <c r="R494" i="39"/>
  <c r="R500" i="39"/>
  <c r="R501" i="39"/>
  <c r="R502" i="39"/>
  <c r="R503" i="39"/>
  <c r="R509" i="39"/>
  <c r="R510" i="39"/>
  <c r="R511" i="39"/>
  <c r="R512" i="39"/>
  <c r="R518" i="39"/>
  <c r="R519" i="39"/>
  <c r="R520" i="39"/>
  <c r="R521" i="39"/>
  <c r="R527" i="39"/>
  <c r="R528" i="39"/>
  <c r="R529" i="39"/>
  <c r="R530" i="39"/>
  <c r="R536" i="39"/>
  <c r="R537" i="39"/>
  <c r="R538" i="39"/>
  <c r="R539" i="39"/>
  <c r="R545" i="39"/>
  <c r="R546" i="39"/>
  <c r="R547" i="39"/>
  <c r="R548" i="39"/>
  <c r="R554" i="39"/>
  <c r="R555" i="39"/>
  <c r="R556" i="39"/>
  <c r="R557" i="39"/>
  <c r="R563" i="39"/>
  <c r="R564" i="39"/>
  <c r="R565" i="39"/>
  <c r="R566" i="39"/>
  <c r="R572" i="39"/>
  <c r="R573" i="39"/>
  <c r="R574" i="39"/>
  <c r="R575" i="39"/>
  <c r="R581" i="39"/>
  <c r="R582" i="39"/>
  <c r="R583" i="39"/>
  <c r="R584" i="39"/>
  <c r="R590" i="39"/>
  <c r="R591" i="39"/>
  <c r="R592" i="39"/>
  <c r="R593" i="39"/>
  <c r="R599" i="39"/>
  <c r="R600" i="39"/>
  <c r="R601" i="39"/>
  <c r="R602" i="39"/>
  <c r="R608" i="39"/>
  <c r="R609" i="39"/>
  <c r="R610" i="39"/>
  <c r="R611" i="39"/>
  <c r="R617" i="39"/>
  <c r="R618" i="39"/>
  <c r="R619" i="39"/>
  <c r="R620" i="39"/>
  <c r="R626" i="39"/>
  <c r="R627" i="39"/>
  <c r="R628" i="39"/>
  <c r="R629" i="39"/>
  <c r="R635" i="39"/>
  <c r="R636" i="39"/>
  <c r="R637" i="39"/>
  <c r="R638" i="39"/>
  <c r="R644" i="39"/>
  <c r="R645" i="39"/>
  <c r="R646" i="39"/>
  <c r="R647" i="39"/>
  <c r="R653" i="39"/>
  <c r="R654" i="39"/>
  <c r="R655" i="39"/>
  <c r="R656" i="39"/>
  <c r="R662" i="39"/>
  <c r="R663" i="39"/>
  <c r="R664" i="39"/>
  <c r="R665" i="39"/>
  <c r="R671" i="39"/>
  <c r="R672" i="39"/>
  <c r="R673" i="39"/>
  <c r="R674" i="39"/>
  <c r="R680" i="39"/>
  <c r="R681" i="39"/>
  <c r="R682" i="39"/>
  <c r="R683" i="39"/>
  <c r="R689" i="39"/>
  <c r="R690" i="39"/>
  <c r="R691" i="39"/>
  <c r="R692" i="39"/>
  <c r="R698" i="39"/>
  <c r="R699" i="39"/>
  <c r="R700" i="39"/>
  <c r="R701" i="39"/>
  <c r="R707" i="39"/>
  <c r="R708" i="39"/>
  <c r="R709" i="39"/>
  <c r="R710" i="39"/>
  <c r="R716" i="39"/>
  <c r="R717" i="39"/>
  <c r="R718" i="39"/>
  <c r="R719" i="39"/>
  <c r="R725" i="39"/>
  <c r="R726" i="39"/>
  <c r="R727" i="39"/>
  <c r="R728" i="39"/>
  <c r="R734" i="39"/>
  <c r="R735" i="39"/>
  <c r="R736" i="39"/>
  <c r="R737" i="39"/>
  <c r="R17" i="39"/>
  <c r="R16" i="39"/>
  <c r="R15" i="39"/>
  <c r="R14" i="39"/>
  <c r="I8" i="6" l="1"/>
  <c r="M8" i="6"/>
  <c r="L8" i="6"/>
  <c r="J8" i="6"/>
  <c r="X54" i="36"/>
  <c r="X50" i="36"/>
  <c r="X49" i="36"/>
  <c r="X48" i="36"/>
  <c r="X47" i="36"/>
  <c r="X46" i="36"/>
  <c r="X36" i="36"/>
  <c r="X35" i="36"/>
  <c r="X34" i="36"/>
  <c r="X33" i="36"/>
  <c r="X32" i="36"/>
  <c r="X29" i="36"/>
  <c r="X28" i="36"/>
  <c r="X27" i="36"/>
  <c r="X26" i="36"/>
  <c r="X25" i="36"/>
  <c r="X24" i="36"/>
  <c r="X21" i="36"/>
  <c r="X20" i="36"/>
  <c r="X19" i="36"/>
  <c r="X18" i="36"/>
  <c r="X15" i="36"/>
  <c r="X14" i="36"/>
  <c r="X13" i="36"/>
  <c r="X12" i="36"/>
  <c r="U54" i="36"/>
  <c r="U50" i="36"/>
  <c r="U49" i="36"/>
  <c r="U48" i="36"/>
  <c r="U47" i="36"/>
  <c r="U46" i="36"/>
  <c r="U36" i="36"/>
  <c r="U35" i="36"/>
  <c r="U34" i="36"/>
  <c r="U33" i="36"/>
  <c r="U32" i="36"/>
  <c r="U29" i="36"/>
  <c r="U28" i="36"/>
  <c r="U27" i="36"/>
  <c r="U26" i="36"/>
  <c r="U25" i="36"/>
  <c r="U24" i="36"/>
  <c r="U21" i="36"/>
  <c r="U20" i="36"/>
  <c r="U19" i="36"/>
  <c r="U18" i="36"/>
  <c r="U15" i="36"/>
  <c r="U14" i="36"/>
  <c r="U13" i="36"/>
  <c r="U12" i="36"/>
  <c r="R54" i="36"/>
  <c r="R50" i="36"/>
  <c r="R49" i="36"/>
  <c r="R48" i="36"/>
  <c r="R47" i="36"/>
  <c r="R46" i="36"/>
  <c r="R36" i="36"/>
  <c r="R35" i="36"/>
  <c r="R34" i="36"/>
  <c r="R33" i="36"/>
  <c r="R32" i="36"/>
  <c r="R29" i="36"/>
  <c r="R28" i="36"/>
  <c r="R27" i="36"/>
  <c r="R26" i="36"/>
  <c r="R25" i="36"/>
  <c r="R24" i="36"/>
  <c r="R21" i="36"/>
  <c r="R20" i="36"/>
  <c r="R19" i="36"/>
  <c r="R18" i="36"/>
  <c r="R15" i="36"/>
  <c r="R14" i="36"/>
  <c r="R13" i="36"/>
  <c r="R12" i="36"/>
  <c r="O54" i="36"/>
  <c r="O50" i="36"/>
  <c r="O49" i="36"/>
  <c r="O48" i="36"/>
  <c r="O47" i="36"/>
  <c r="O46" i="36"/>
  <c r="O36" i="36"/>
  <c r="O35" i="36"/>
  <c r="O34" i="36"/>
  <c r="O33" i="36"/>
  <c r="O32" i="36"/>
  <c r="O29" i="36"/>
  <c r="O28" i="36"/>
  <c r="O27" i="36"/>
  <c r="O26" i="36"/>
  <c r="O25" i="36"/>
  <c r="O24" i="36"/>
  <c r="O21" i="36"/>
  <c r="O20" i="36"/>
  <c r="O19" i="36"/>
  <c r="O18" i="36"/>
  <c r="O15" i="36"/>
  <c r="O14" i="36"/>
  <c r="O13" i="36"/>
  <c r="O12" i="36"/>
  <c r="L54" i="36"/>
  <c r="L50" i="36"/>
  <c r="L49" i="36"/>
  <c r="L48" i="36"/>
  <c r="L47" i="36"/>
  <c r="L46" i="36"/>
  <c r="L36" i="36"/>
  <c r="L35" i="36"/>
  <c r="L34" i="36"/>
  <c r="L33" i="36"/>
  <c r="L32" i="36"/>
  <c r="L29" i="36"/>
  <c r="L28" i="36"/>
  <c r="L27" i="36"/>
  <c r="L26" i="36"/>
  <c r="L25" i="36"/>
  <c r="L24" i="36"/>
  <c r="L21" i="36"/>
  <c r="L20" i="36"/>
  <c r="L19" i="36"/>
  <c r="L18" i="36"/>
  <c r="L15" i="36"/>
  <c r="L14" i="36"/>
  <c r="L13" i="36"/>
  <c r="L12" i="36"/>
  <c r="I54" i="36"/>
  <c r="I50" i="36"/>
  <c r="I49" i="36"/>
  <c r="I48" i="36"/>
  <c r="I47" i="36"/>
  <c r="I46" i="36"/>
  <c r="I36" i="36"/>
  <c r="I35" i="36"/>
  <c r="I34" i="36"/>
  <c r="I33" i="36"/>
  <c r="I32" i="36"/>
  <c r="I29" i="36"/>
  <c r="I28" i="36"/>
  <c r="I27" i="36"/>
  <c r="I26" i="36"/>
  <c r="I25" i="36"/>
  <c r="I24" i="36"/>
  <c r="I21" i="36"/>
  <c r="I20" i="36"/>
  <c r="I19" i="36"/>
  <c r="I18" i="36"/>
  <c r="I15" i="36"/>
  <c r="I14" i="36"/>
  <c r="I13" i="36"/>
  <c r="I12" i="36"/>
  <c r="F54" i="36"/>
  <c r="F50" i="36"/>
  <c r="F49" i="36"/>
  <c r="F48" i="36"/>
  <c r="F47" i="36"/>
  <c r="F46" i="36"/>
  <c r="F36" i="36"/>
  <c r="F35" i="36"/>
  <c r="F34" i="36"/>
  <c r="F33" i="36"/>
  <c r="F32" i="36"/>
  <c r="F29" i="36"/>
  <c r="F28" i="36"/>
  <c r="F27" i="36"/>
  <c r="F26" i="36"/>
  <c r="F25" i="36"/>
  <c r="F24" i="36"/>
  <c r="F21" i="36"/>
  <c r="F20" i="36"/>
  <c r="F19" i="36"/>
  <c r="F18" i="36"/>
  <c r="F15" i="36"/>
  <c r="F14" i="36"/>
  <c r="F13" i="36"/>
  <c r="F12" i="36"/>
  <c r="C54" i="36"/>
  <c r="C50" i="36"/>
  <c r="C49" i="36"/>
  <c r="C48" i="36"/>
  <c r="C47" i="36"/>
  <c r="C46" i="36"/>
  <c r="C36" i="36"/>
  <c r="C35" i="36"/>
  <c r="C34" i="36"/>
  <c r="C33" i="36"/>
  <c r="C32" i="36"/>
  <c r="C29" i="36"/>
  <c r="C28" i="36"/>
  <c r="C27" i="36"/>
  <c r="C26" i="36"/>
  <c r="C25" i="36"/>
  <c r="C24" i="36"/>
  <c r="C21" i="36"/>
  <c r="C20" i="36"/>
  <c r="C19" i="36"/>
  <c r="C18" i="36"/>
  <c r="C15" i="36"/>
  <c r="C14" i="36"/>
  <c r="C13" i="36"/>
  <c r="C12" i="36"/>
  <c r="W2" i="36"/>
  <c r="T2" i="36"/>
  <c r="Q2" i="36"/>
  <c r="N2" i="36"/>
  <c r="K2" i="36"/>
  <c r="H2" i="36"/>
  <c r="E2" i="36"/>
  <c r="B2" i="36"/>
  <c r="S8" i="37" l="1"/>
  <c r="S7" i="37"/>
  <c r="S6" i="37"/>
  <c r="S5" i="37"/>
  <c r="S4" i="37"/>
  <c r="S3" i="37"/>
  <c r="S2" i="37"/>
  <c r="S1" i="37"/>
  <c r="W1" i="37"/>
  <c r="I2" i="50" s="1"/>
  <c r="J84" i="37"/>
  <c r="Y742" i="40"/>
  <c r="Z742" i="40" s="1"/>
  <c r="W742" i="40"/>
  <c r="X742" i="40" s="1"/>
  <c r="B742" i="40"/>
  <c r="A742" i="40"/>
  <c r="Y741" i="40"/>
  <c r="Z741" i="40" s="1"/>
  <c r="W741" i="40"/>
  <c r="X741" i="40" s="1"/>
  <c r="B741" i="40"/>
  <c r="A741" i="40"/>
  <c r="Y740" i="40"/>
  <c r="Z740" i="40" s="1"/>
  <c r="W740" i="40"/>
  <c r="X740" i="40" s="1"/>
  <c r="B740" i="40"/>
  <c r="A740" i="40"/>
  <c r="Y739" i="40"/>
  <c r="Z739" i="40" s="1"/>
  <c r="W739" i="40"/>
  <c r="X739" i="40" s="1"/>
  <c r="K739" i="40"/>
  <c r="L739" i="40" s="1"/>
  <c r="B739" i="40"/>
  <c r="A739" i="40"/>
  <c r="Y738" i="40"/>
  <c r="Z738" i="40" s="1"/>
  <c r="W738" i="40"/>
  <c r="X738" i="40" s="1"/>
  <c r="B738" i="40"/>
  <c r="A738" i="40"/>
  <c r="U737" i="40"/>
  <c r="S737" i="40"/>
  <c r="P737" i="40"/>
  <c r="Q737" i="40" s="1"/>
  <c r="N737" i="40"/>
  <c r="O737" i="40" s="1"/>
  <c r="K737" i="40"/>
  <c r="L737" i="40" s="1"/>
  <c r="F737" i="40"/>
  <c r="G737" i="40" s="1"/>
  <c r="D737" i="40"/>
  <c r="E737" i="40" s="1"/>
  <c r="B737" i="40"/>
  <c r="A737" i="40"/>
  <c r="M737" i="40" s="1"/>
  <c r="U736" i="40"/>
  <c r="S736" i="40"/>
  <c r="P736" i="40"/>
  <c r="Q736" i="40" s="1"/>
  <c r="N736" i="40"/>
  <c r="O736" i="40" s="1"/>
  <c r="K736" i="40"/>
  <c r="L736" i="40" s="1"/>
  <c r="F736" i="40"/>
  <c r="G736" i="40" s="1"/>
  <c r="D736" i="40"/>
  <c r="E736" i="40" s="1"/>
  <c r="B736" i="40"/>
  <c r="A736" i="40"/>
  <c r="M736" i="40" s="1"/>
  <c r="U735" i="40"/>
  <c r="S735" i="40"/>
  <c r="P735" i="40"/>
  <c r="Q735" i="40" s="1"/>
  <c r="N735" i="40"/>
  <c r="O735" i="40" s="1"/>
  <c r="K735" i="40"/>
  <c r="L735" i="40" s="1"/>
  <c r="F735" i="40"/>
  <c r="G735" i="40" s="1"/>
  <c r="D735" i="40"/>
  <c r="E735" i="40" s="1"/>
  <c r="B735" i="40"/>
  <c r="A735" i="40"/>
  <c r="M735" i="40" s="1"/>
  <c r="U734" i="40"/>
  <c r="S734" i="40"/>
  <c r="P734" i="40"/>
  <c r="Q734" i="40" s="1"/>
  <c r="N734" i="40"/>
  <c r="O734" i="40" s="1"/>
  <c r="K734" i="40"/>
  <c r="L734" i="40" s="1"/>
  <c r="F734" i="40"/>
  <c r="G734" i="40" s="1"/>
  <c r="D734" i="40"/>
  <c r="E734" i="40" s="1"/>
  <c r="B734" i="40"/>
  <c r="A734" i="40"/>
  <c r="M734" i="40" s="1"/>
  <c r="Y733" i="40"/>
  <c r="Z733" i="40" s="1"/>
  <c r="W733" i="40"/>
  <c r="X733" i="40" s="1"/>
  <c r="B733" i="40"/>
  <c r="A733" i="40"/>
  <c r="Y732" i="40"/>
  <c r="Z732" i="40" s="1"/>
  <c r="W732" i="40"/>
  <c r="B732" i="40"/>
  <c r="A732" i="40"/>
  <c r="Y731" i="40"/>
  <c r="Z731" i="40" s="1"/>
  <c r="W731" i="40"/>
  <c r="X731" i="40" s="1"/>
  <c r="B731" i="40"/>
  <c r="A731" i="40"/>
  <c r="Y730" i="40"/>
  <c r="Z730" i="40" s="1"/>
  <c r="W730" i="40"/>
  <c r="K730" i="40"/>
  <c r="L730" i="40" s="1"/>
  <c r="B730" i="40"/>
  <c r="A730" i="40"/>
  <c r="Y729" i="40"/>
  <c r="Z729" i="40" s="1"/>
  <c r="W729" i="40"/>
  <c r="X729" i="40" s="1"/>
  <c r="B729" i="40"/>
  <c r="A729" i="40"/>
  <c r="U728" i="40"/>
  <c r="S728" i="40"/>
  <c r="P728" i="40"/>
  <c r="Q728" i="40" s="1"/>
  <c r="N728" i="40"/>
  <c r="O728" i="40" s="1"/>
  <c r="K728" i="40"/>
  <c r="L728" i="40" s="1"/>
  <c r="F728" i="40"/>
  <c r="G728" i="40" s="1"/>
  <c r="D728" i="40"/>
  <c r="E728" i="40" s="1"/>
  <c r="B728" i="40"/>
  <c r="A728" i="40"/>
  <c r="M728" i="40" s="1"/>
  <c r="U727" i="40"/>
  <c r="S727" i="40"/>
  <c r="P727" i="40"/>
  <c r="Q727" i="40" s="1"/>
  <c r="N727" i="40"/>
  <c r="O727" i="40" s="1"/>
  <c r="K727" i="40"/>
  <c r="L727" i="40" s="1"/>
  <c r="F727" i="40"/>
  <c r="G727" i="40" s="1"/>
  <c r="D727" i="40"/>
  <c r="E727" i="40" s="1"/>
  <c r="B727" i="40"/>
  <c r="A727" i="40"/>
  <c r="M727" i="40" s="1"/>
  <c r="U726" i="40"/>
  <c r="S726" i="40"/>
  <c r="P726" i="40"/>
  <c r="Q726" i="40" s="1"/>
  <c r="N726" i="40"/>
  <c r="O726" i="40" s="1"/>
  <c r="K726" i="40"/>
  <c r="L726" i="40" s="1"/>
  <c r="F726" i="40"/>
  <c r="G726" i="40" s="1"/>
  <c r="D726" i="40"/>
  <c r="E726" i="40" s="1"/>
  <c r="B726" i="40"/>
  <c r="A726" i="40"/>
  <c r="M726" i="40" s="1"/>
  <c r="U725" i="40"/>
  <c r="S725" i="40"/>
  <c r="P725" i="40"/>
  <c r="Q725" i="40" s="1"/>
  <c r="N725" i="40"/>
  <c r="O725" i="40" s="1"/>
  <c r="K725" i="40"/>
  <c r="L725" i="40" s="1"/>
  <c r="F725" i="40"/>
  <c r="G725" i="40" s="1"/>
  <c r="D725" i="40"/>
  <c r="E725" i="40" s="1"/>
  <c r="B725" i="40"/>
  <c r="A725" i="40"/>
  <c r="M725" i="40" s="1"/>
  <c r="Y724" i="40"/>
  <c r="Z724" i="40" s="1"/>
  <c r="W724" i="40"/>
  <c r="B724" i="40"/>
  <c r="A724" i="40"/>
  <c r="Y723" i="40"/>
  <c r="Z723" i="40" s="1"/>
  <c r="W723" i="40"/>
  <c r="X723" i="40" s="1"/>
  <c r="B723" i="40"/>
  <c r="A723" i="40"/>
  <c r="Y722" i="40"/>
  <c r="Z722" i="40" s="1"/>
  <c r="W722" i="40"/>
  <c r="B722" i="40"/>
  <c r="A722" i="40"/>
  <c r="Y721" i="40"/>
  <c r="Z721" i="40" s="1"/>
  <c r="W721" i="40"/>
  <c r="K721" i="40"/>
  <c r="L721" i="40" s="1"/>
  <c r="B721" i="40"/>
  <c r="A721" i="40"/>
  <c r="Y720" i="40"/>
  <c r="Z720" i="40" s="1"/>
  <c r="W720" i="40"/>
  <c r="B720" i="40"/>
  <c r="A720" i="40"/>
  <c r="U719" i="40"/>
  <c r="S719" i="40"/>
  <c r="P719" i="40"/>
  <c r="Q719" i="40" s="1"/>
  <c r="N719" i="40"/>
  <c r="O719" i="40" s="1"/>
  <c r="K719" i="40"/>
  <c r="L719" i="40" s="1"/>
  <c r="F719" i="40"/>
  <c r="G719" i="40" s="1"/>
  <c r="D719" i="40"/>
  <c r="E719" i="40" s="1"/>
  <c r="B719" i="40"/>
  <c r="A719" i="40"/>
  <c r="M719" i="40" s="1"/>
  <c r="U718" i="40"/>
  <c r="S718" i="40"/>
  <c r="P718" i="40"/>
  <c r="Q718" i="40" s="1"/>
  <c r="N718" i="40"/>
  <c r="O718" i="40" s="1"/>
  <c r="K718" i="40"/>
  <c r="L718" i="40" s="1"/>
  <c r="F718" i="40"/>
  <c r="G718" i="40" s="1"/>
  <c r="D718" i="40"/>
  <c r="E718" i="40" s="1"/>
  <c r="B718" i="40"/>
  <c r="A718" i="40"/>
  <c r="M718" i="40" s="1"/>
  <c r="U717" i="40"/>
  <c r="S717" i="40"/>
  <c r="P717" i="40"/>
  <c r="Q717" i="40" s="1"/>
  <c r="N717" i="40"/>
  <c r="O717" i="40" s="1"/>
  <c r="K717" i="40"/>
  <c r="L717" i="40" s="1"/>
  <c r="F717" i="40"/>
  <c r="G717" i="40" s="1"/>
  <c r="D717" i="40"/>
  <c r="E717" i="40" s="1"/>
  <c r="B717" i="40"/>
  <c r="A717" i="40"/>
  <c r="M717" i="40" s="1"/>
  <c r="U716" i="40"/>
  <c r="S716" i="40"/>
  <c r="P716" i="40"/>
  <c r="Q716" i="40" s="1"/>
  <c r="N716" i="40"/>
  <c r="O716" i="40" s="1"/>
  <c r="K716" i="40"/>
  <c r="L716" i="40" s="1"/>
  <c r="F716" i="40"/>
  <c r="G716" i="40" s="1"/>
  <c r="D716" i="40"/>
  <c r="E716" i="40" s="1"/>
  <c r="B716" i="40"/>
  <c r="A716" i="40"/>
  <c r="M716" i="40" s="1"/>
  <c r="Y715" i="40"/>
  <c r="Z715" i="40" s="1"/>
  <c r="W715" i="40"/>
  <c r="B715" i="40"/>
  <c r="A715" i="40"/>
  <c r="Y714" i="40"/>
  <c r="Z714" i="40" s="1"/>
  <c r="W714" i="40"/>
  <c r="B714" i="40"/>
  <c r="A714" i="40"/>
  <c r="Y713" i="40"/>
  <c r="Z713" i="40" s="1"/>
  <c r="W713" i="40"/>
  <c r="B713" i="40"/>
  <c r="A713" i="40"/>
  <c r="Y712" i="40"/>
  <c r="Z712" i="40" s="1"/>
  <c r="W712" i="40"/>
  <c r="X712" i="40" s="1"/>
  <c r="K712" i="40"/>
  <c r="L712" i="40" s="1"/>
  <c r="B712" i="40"/>
  <c r="A712" i="40"/>
  <c r="Y711" i="40"/>
  <c r="Z711" i="40" s="1"/>
  <c r="W711" i="40"/>
  <c r="B711" i="40"/>
  <c r="A711" i="40"/>
  <c r="U710" i="40"/>
  <c r="S710" i="40"/>
  <c r="P710" i="40"/>
  <c r="Q710" i="40" s="1"/>
  <c r="N710" i="40"/>
  <c r="O710" i="40" s="1"/>
  <c r="K710" i="40"/>
  <c r="L710" i="40" s="1"/>
  <c r="F710" i="40"/>
  <c r="G710" i="40" s="1"/>
  <c r="D710" i="40"/>
  <c r="E710" i="40" s="1"/>
  <c r="B710" i="40"/>
  <c r="A710" i="40"/>
  <c r="M710" i="40" s="1"/>
  <c r="U709" i="40"/>
  <c r="S709" i="40"/>
  <c r="P709" i="40"/>
  <c r="Q709" i="40" s="1"/>
  <c r="N709" i="40"/>
  <c r="O709" i="40" s="1"/>
  <c r="K709" i="40"/>
  <c r="L709" i="40" s="1"/>
  <c r="F709" i="40"/>
  <c r="G709" i="40" s="1"/>
  <c r="D709" i="40"/>
  <c r="E709" i="40" s="1"/>
  <c r="B709" i="40"/>
  <c r="A709" i="40"/>
  <c r="M709" i="40" s="1"/>
  <c r="U708" i="40"/>
  <c r="S708" i="40"/>
  <c r="P708" i="40"/>
  <c r="Q708" i="40" s="1"/>
  <c r="N708" i="40"/>
  <c r="O708" i="40" s="1"/>
  <c r="K708" i="40"/>
  <c r="L708" i="40" s="1"/>
  <c r="F708" i="40"/>
  <c r="G708" i="40" s="1"/>
  <c r="D708" i="40"/>
  <c r="E708" i="40" s="1"/>
  <c r="B708" i="40"/>
  <c r="A708" i="40"/>
  <c r="M708" i="40" s="1"/>
  <c r="U707" i="40"/>
  <c r="S707" i="40"/>
  <c r="P707" i="40"/>
  <c r="Q707" i="40" s="1"/>
  <c r="N707" i="40"/>
  <c r="O707" i="40" s="1"/>
  <c r="K707" i="40"/>
  <c r="L707" i="40" s="1"/>
  <c r="F707" i="40"/>
  <c r="G707" i="40" s="1"/>
  <c r="D707" i="40"/>
  <c r="E707" i="40" s="1"/>
  <c r="B707" i="40"/>
  <c r="A707" i="40"/>
  <c r="M707" i="40" s="1"/>
  <c r="Y706" i="40"/>
  <c r="Z706" i="40" s="1"/>
  <c r="W706" i="40"/>
  <c r="X706" i="40" s="1"/>
  <c r="B706" i="40"/>
  <c r="A706" i="40"/>
  <c r="Y705" i="40"/>
  <c r="Z705" i="40" s="1"/>
  <c r="W705" i="40"/>
  <c r="B705" i="40"/>
  <c r="A705" i="40"/>
  <c r="Y704" i="40"/>
  <c r="Z704" i="40" s="1"/>
  <c r="W704" i="40"/>
  <c r="X704" i="40" s="1"/>
  <c r="B704" i="40"/>
  <c r="A704" i="40"/>
  <c r="Y703" i="40"/>
  <c r="Z703" i="40" s="1"/>
  <c r="W703" i="40"/>
  <c r="K703" i="40"/>
  <c r="L703" i="40" s="1"/>
  <c r="B703" i="40"/>
  <c r="A703" i="40"/>
  <c r="Y702" i="40"/>
  <c r="Z702" i="40" s="1"/>
  <c r="W702" i="40"/>
  <c r="X702" i="40" s="1"/>
  <c r="B702" i="40"/>
  <c r="A702" i="40"/>
  <c r="U701" i="40"/>
  <c r="S701" i="40"/>
  <c r="P701" i="40"/>
  <c r="Q701" i="40" s="1"/>
  <c r="N701" i="40"/>
  <c r="O701" i="40" s="1"/>
  <c r="K701" i="40"/>
  <c r="L701" i="40" s="1"/>
  <c r="F701" i="40"/>
  <c r="G701" i="40" s="1"/>
  <c r="D701" i="40"/>
  <c r="E701" i="40" s="1"/>
  <c r="B701" i="40"/>
  <c r="A701" i="40"/>
  <c r="M701" i="40" s="1"/>
  <c r="U700" i="40"/>
  <c r="S700" i="40"/>
  <c r="P700" i="40"/>
  <c r="Q700" i="40" s="1"/>
  <c r="N700" i="40"/>
  <c r="O700" i="40" s="1"/>
  <c r="K700" i="40"/>
  <c r="L700" i="40" s="1"/>
  <c r="F700" i="40"/>
  <c r="G700" i="40" s="1"/>
  <c r="D700" i="40"/>
  <c r="E700" i="40" s="1"/>
  <c r="B700" i="40"/>
  <c r="A700" i="40"/>
  <c r="M700" i="40" s="1"/>
  <c r="U699" i="40"/>
  <c r="S699" i="40"/>
  <c r="P699" i="40"/>
  <c r="Q699" i="40" s="1"/>
  <c r="N699" i="40"/>
  <c r="O699" i="40" s="1"/>
  <c r="K699" i="40"/>
  <c r="L699" i="40" s="1"/>
  <c r="F699" i="40"/>
  <c r="G699" i="40" s="1"/>
  <c r="D699" i="40"/>
  <c r="E699" i="40" s="1"/>
  <c r="B699" i="40"/>
  <c r="A699" i="40"/>
  <c r="M699" i="40" s="1"/>
  <c r="U698" i="40"/>
  <c r="S698" i="40"/>
  <c r="P698" i="40"/>
  <c r="Q698" i="40" s="1"/>
  <c r="N698" i="40"/>
  <c r="O698" i="40" s="1"/>
  <c r="K698" i="40"/>
  <c r="L698" i="40" s="1"/>
  <c r="F698" i="40"/>
  <c r="G698" i="40" s="1"/>
  <c r="D698" i="40"/>
  <c r="E698" i="40" s="1"/>
  <c r="B698" i="40"/>
  <c r="A698" i="40"/>
  <c r="M698" i="40" s="1"/>
  <c r="Y697" i="40"/>
  <c r="Z697" i="40" s="1"/>
  <c r="W697" i="40"/>
  <c r="X697" i="40" s="1"/>
  <c r="B697" i="40"/>
  <c r="A697" i="40"/>
  <c r="Y696" i="40"/>
  <c r="Z696" i="40" s="1"/>
  <c r="W696" i="40"/>
  <c r="B696" i="40"/>
  <c r="A696" i="40"/>
  <c r="Y695" i="40"/>
  <c r="Z695" i="40" s="1"/>
  <c r="W695" i="40"/>
  <c r="X695" i="40" s="1"/>
  <c r="B695" i="40"/>
  <c r="A695" i="40"/>
  <c r="Y694" i="40"/>
  <c r="Z694" i="40" s="1"/>
  <c r="W694" i="40"/>
  <c r="X694" i="40" s="1"/>
  <c r="K694" i="40"/>
  <c r="L694" i="40" s="1"/>
  <c r="B694" i="40"/>
  <c r="A694" i="40"/>
  <c r="Y693" i="40"/>
  <c r="Z693" i="40" s="1"/>
  <c r="W693" i="40"/>
  <c r="B693" i="40"/>
  <c r="A693" i="40"/>
  <c r="U692" i="40"/>
  <c r="S692" i="40"/>
  <c r="P692" i="40"/>
  <c r="Q692" i="40" s="1"/>
  <c r="N692" i="40"/>
  <c r="O692" i="40" s="1"/>
  <c r="K692" i="40"/>
  <c r="L692" i="40" s="1"/>
  <c r="F692" i="40"/>
  <c r="G692" i="40" s="1"/>
  <c r="D692" i="40"/>
  <c r="E692" i="40" s="1"/>
  <c r="B692" i="40"/>
  <c r="A692" i="40"/>
  <c r="M692" i="40" s="1"/>
  <c r="U691" i="40"/>
  <c r="S691" i="40"/>
  <c r="P691" i="40"/>
  <c r="Q691" i="40" s="1"/>
  <c r="N691" i="40"/>
  <c r="O691" i="40" s="1"/>
  <c r="K691" i="40"/>
  <c r="L691" i="40" s="1"/>
  <c r="F691" i="40"/>
  <c r="G691" i="40" s="1"/>
  <c r="D691" i="40"/>
  <c r="E691" i="40" s="1"/>
  <c r="B691" i="40"/>
  <c r="A691" i="40"/>
  <c r="M691" i="40" s="1"/>
  <c r="U690" i="40"/>
  <c r="S690" i="40"/>
  <c r="P690" i="40"/>
  <c r="Q690" i="40" s="1"/>
  <c r="N690" i="40"/>
  <c r="O690" i="40" s="1"/>
  <c r="K690" i="40"/>
  <c r="L690" i="40" s="1"/>
  <c r="F690" i="40"/>
  <c r="G690" i="40" s="1"/>
  <c r="D690" i="40"/>
  <c r="E690" i="40" s="1"/>
  <c r="B690" i="40"/>
  <c r="A690" i="40"/>
  <c r="M690" i="40" s="1"/>
  <c r="U689" i="40"/>
  <c r="S689" i="40"/>
  <c r="P689" i="40"/>
  <c r="Q689" i="40" s="1"/>
  <c r="N689" i="40"/>
  <c r="O689" i="40" s="1"/>
  <c r="K689" i="40"/>
  <c r="L689" i="40" s="1"/>
  <c r="F689" i="40"/>
  <c r="G689" i="40" s="1"/>
  <c r="D689" i="40"/>
  <c r="E689" i="40" s="1"/>
  <c r="B689" i="40"/>
  <c r="A689" i="40"/>
  <c r="M689" i="40" s="1"/>
  <c r="Y688" i="40"/>
  <c r="Z688" i="40" s="1"/>
  <c r="W688" i="40"/>
  <c r="X688" i="40" s="1"/>
  <c r="B688" i="40"/>
  <c r="A688" i="40"/>
  <c r="Y687" i="40"/>
  <c r="Z687" i="40" s="1"/>
  <c r="W687" i="40"/>
  <c r="X687" i="40" s="1"/>
  <c r="B687" i="40"/>
  <c r="A687" i="40"/>
  <c r="Y686" i="40"/>
  <c r="Z686" i="40" s="1"/>
  <c r="W686" i="40"/>
  <c r="B686" i="40"/>
  <c r="A686" i="40"/>
  <c r="Y685" i="40"/>
  <c r="Z685" i="40" s="1"/>
  <c r="W685" i="40"/>
  <c r="X685" i="40" s="1"/>
  <c r="K685" i="40"/>
  <c r="L685" i="40" s="1"/>
  <c r="B685" i="40"/>
  <c r="A685" i="40"/>
  <c r="Y684" i="40"/>
  <c r="Z684" i="40" s="1"/>
  <c r="W684" i="40"/>
  <c r="B684" i="40"/>
  <c r="A684" i="40"/>
  <c r="U683" i="40"/>
  <c r="S683" i="40"/>
  <c r="P683" i="40"/>
  <c r="Q683" i="40" s="1"/>
  <c r="N683" i="40"/>
  <c r="O683" i="40" s="1"/>
  <c r="K683" i="40"/>
  <c r="L683" i="40" s="1"/>
  <c r="F683" i="40"/>
  <c r="G683" i="40" s="1"/>
  <c r="D683" i="40"/>
  <c r="E683" i="40" s="1"/>
  <c r="B683" i="40"/>
  <c r="A683" i="40"/>
  <c r="M683" i="40" s="1"/>
  <c r="U682" i="40"/>
  <c r="S682" i="40"/>
  <c r="P682" i="40"/>
  <c r="Q682" i="40" s="1"/>
  <c r="N682" i="40"/>
  <c r="O682" i="40" s="1"/>
  <c r="K682" i="40"/>
  <c r="L682" i="40" s="1"/>
  <c r="F682" i="40"/>
  <c r="G682" i="40" s="1"/>
  <c r="D682" i="40"/>
  <c r="E682" i="40" s="1"/>
  <c r="B682" i="40"/>
  <c r="A682" i="40"/>
  <c r="M682" i="40" s="1"/>
  <c r="U681" i="40"/>
  <c r="S681" i="40"/>
  <c r="P681" i="40"/>
  <c r="Q681" i="40" s="1"/>
  <c r="N681" i="40"/>
  <c r="O681" i="40" s="1"/>
  <c r="K681" i="40"/>
  <c r="L681" i="40" s="1"/>
  <c r="F681" i="40"/>
  <c r="G681" i="40" s="1"/>
  <c r="D681" i="40"/>
  <c r="E681" i="40" s="1"/>
  <c r="B681" i="40"/>
  <c r="A681" i="40"/>
  <c r="M681" i="40" s="1"/>
  <c r="U680" i="40"/>
  <c r="S680" i="40"/>
  <c r="P680" i="40"/>
  <c r="Q680" i="40" s="1"/>
  <c r="N680" i="40"/>
  <c r="O680" i="40" s="1"/>
  <c r="K680" i="40"/>
  <c r="L680" i="40" s="1"/>
  <c r="F680" i="40"/>
  <c r="G680" i="40" s="1"/>
  <c r="D680" i="40"/>
  <c r="E680" i="40" s="1"/>
  <c r="B680" i="40"/>
  <c r="A680" i="40"/>
  <c r="M680" i="40" s="1"/>
  <c r="Y679" i="40"/>
  <c r="Z679" i="40" s="1"/>
  <c r="W679" i="40"/>
  <c r="X679" i="40" s="1"/>
  <c r="B679" i="40"/>
  <c r="A679" i="40"/>
  <c r="Y678" i="40"/>
  <c r="Z678" i="40" s="1"/>
  <c r="W678" i="40"/>
  <c r="X678" i="40" s="1"/>
  <c r="B678" i="40"/>
  <c r="A678" i="40"/>
  <c r="Y677" i="40"/>
  <c r="Z677" i="40" s="1"/>
  <c r="W677" i="40"/>
  <c r="B677" i="40"/>
  <c r="A677" i="40"/>
  <c r="Y676" i="40"/>
  <c r="Z676" i="40" s="1"/>
  <c r="W676" i="40"/>
  <c r="X676" i="40" s="1"/>
  <c r="K676" i="40"/>
  <c r="L676" i="40" s="1"/>
  <c r="B676" i="40"/>
  <c r="A676" i="40"/>
  <c r="Y675" i="40"/>
  <c r="Z675" i="40" s="1"/>
  <c r="W675" i="40"/>
  <c r="X675" i="40" s="1"/>
  <c r="B675" i="40"/>
  <c r="A675" i="40"/>
  <c r="U674" i="40"/>
  <c r="S674" i="40"/>
  <c r="P674" i="40"/>
  <c r="Q674" i="40" s="1"/>
  <c r="N674" i="40"/>
  <c r="O674" i="40" s="1"/>
  <c r="K674" i="40"/>
  <c r="L674" i="40" s="1"/>
  <c r="F674" i="40"/>
  <c r="G674" i="40" s="1"/>
  <c r="D674" i="40"/>
  <c r="E674" i="40" s="1"/>
  <c r="B674" i="40"/>
  <c r="A674" i="40"/>
  <c r="M674" i="40" s="1"/>
  <c r="U673" i="40"/>
  <c r="S673" i="40"/>
  <c r="P673" i="40"/>
  <c r="Q673" i="40" s="1"/>
  <c r="N673" i="40"/>
  <c r="O673" i="40" s="1"/>
  <c r="K673" i="40"/>
  <c r="L673" i="40" s="1"/>
  <c r="F673" i="40"/>
  <c r="G673" i="40" s="1"/>
  <c r="D673" i="40"/>
  <c r="E673" i="40" s="1"/>
  <c r="B673" i="40"/>
  <c r="A673" i="40"/>
  <c r="M673" i="40" s="1"/>
  <c r="U672" i="40"/>
  <c r="S672" i="40"/>
  <c r="P672" i="40"/>
  <c r="Q672" i="40" s="1"/>
  <c r="N672" i="40"/>
  <c r="O672" i="40" s="1"/>
  <c r="K672" i="40"/>
  <c r="L672" i="40" s="1"/>
  <c r="F672" i="40"/>
  <c r="G672" i="40" s="1"/>
  <c r="D672" i="40"/>
  <c r="E672" i="40" s="1"/>
  <c r="B672" i="40"/>
  <c r="A672" i="40"/>
  <c r="M672" i="40" s="1"/>
  <c r="U671" i="40"/>
  <c r="S671" i="40"/>
  <c r="P671" i="40"/>
  <c r="Q671" i="40" s="1"/>
  <c r="N671" i="40"/>
  <c r="O671" i="40" s="1"/>
  <c r="K671" i="40"/>
  <c r="L671" i="40" s="1"/>
  <c r="F671" i="40"/>
  <c r="G671" i="40" s="1"/>
  <c r="D671" i="40"/>
  <c r="E671" i="40" s="1"/>
  <c r="B671" i="40"/>
  <c r="A671" i="40"/>
  <c r="M671" i="40" s="1"/>
  <c r="Y670" i="40"/>
  <c r="Z670" i="40" s="1"/>
  <c r="W670" i="40"/>
  <c r="X670" i="40" s="1"/>
  <c r="B670" i="40"/>
  <c r="A670" i="40"/>
  <c r="Y669" i="40"/>
  <c r="Z669" i="40" s="1"/>
  <c r="W669" i="40"/>
  <c r="X669" i="40" s="1"/>
  <c r="B669" i="40"/>
  <c r="A669" i="40"/>
  <c r="Y668" i="40"/>
  <c r="Z668" i="40" s="1"/>
  <c r="W668" i="40"/>
  <c r="B668" i="40"/>
  <c r="A668" i="40"/>
  <c r="Y667" i="40"/>
  <c r="Z667" i="40" s="1"/>
  <c r="W667" i="40"/>
  <c r="X667" i="40" s="1"/>
  <c r="K667" i="40"/>
  <c r="L667" i="40" s="1"/>
  <c r="B667" i="40"/>
  <c r="A667" i="40"/>
  <c r="Y666" i="40"/>
  <c r="Z666" i="40" s="1"/>
  <c r="W666" i="40"/>
  <c r="B666" i="40"/>
  <c r="A666" i="40"/>
  <c r="U665" i="40"/>
  <c r="S665" i="40"/>
  <c r="P665" i="40"/>
  <c r="Q665" i="40" s="1"/>
  <c r="N665" i="40"/>
  <c r="O665" i="40" s="1"/>
  <c r="K665" i="40"/>
  <c r="L665" i="40" s="1"/>
  <c r="F665" i="40"/>
  <c r="G665" i="40" s="1"/>
  <c r="D665" i="40"/>
  <c r="E665" i="40" s="1"/>
  <c r="B665" i="40"/>
  <c r="A665" i="40"/>
  <c r="M665" i="40" s="1"/>
  <c r="U664" i="40"/>
  <c r="S664" i="40"/>
  <c r="P664" i="40"/>
  <c r="Q664" i="40" s="1"/>
  <c r="N664" i="40"/>
  <c r="O664" i="40" s="1"/>
  <c r="K664" i="40"/>
  <c r="L664" i="40" s="1"/>
  <c r="F664" i="40"/>
  <c r="G664" i="40" s="1"/>
  <c r="D664" i="40"/>
  <c r="E664" i="40" s="1"/>
  <c r="B664" i="40"/>
  <c r="A664" i="40"/>
  <c r="M664" i="40" s="1"/>
  <c r="U663" i="40"/>
  <c r="S663" i="40"/>
  <c r="P663" i="40"/>
  <c r="Q663" i="40" s="1"/>
  <c r="N663" i="40"/>
  <c r="O663" i="40" s="1"/>
  <c r="K663" i="40"/>
  <c r="L663" i="40" s="1"/>
  <c r="F663" i="40"/>
  <c r="G663" i="40" s="1"/>
  <c r="D663" i="40"/>
  <c r="E663" i="40" s="1"/>
  <c r="B663" i="40"/>
  <c r="A663" i="40"/>
  <c r="M663" i="40" s="1"/>
  <c r="U662" i="40"/>
  <c r="S662" i="40"/>
  <c r="P662" i="40"/>
  <c r="Q662" i="40" s="1"/>
  <c r="N662" i="40"/>
  <c r="O662" i="40" s="1"/>
  <c r="K662" i="40"/>
  <c r="L662" i="40" s="1"/>
  <c r="F662" i="40"/>
  <c r="G662" i="40" s="1"/>
  <c r="D662" i="40"/>
  <c r="E662" i="40" s="1"/>
  <c r="B662" i="40"/>
  <c r="A662" i="40"/>
  <c r="M662" i="40" s="1"/>
  <c r="Y661" i="40"/>
  <c r="Z661" i="40" s="1"/>
  <c r="W661" i="40"/>
  <c r="B661" i="40"/>
  <c r="A661" i="40"/>
  <c r="Y660" i="40"/>
  <c r="Z660" i="40" s="1"/>
  <c r="W660" i="40"/>
  <c r="X660" i="40" s="1"/>
  <c r="B660" i="40"/>
  <c r="A660" i="40"/>
  <c r="Y659" i="40"/>
  <c r="Z659" i="40" s="1"/>
  <c r="W659" i="40"/>
  <c r="B659" i="40"/>
  <c r="A659" i="40"/>
  <c r="Y658" i="40"/>
  <c r="Z658" i="40" s="1"/>
  <c r="W658" i="40"/>
  <c r="K658" i="40"/>
  <c r="L658" i="40" s="1"/>
  <c r="B658" i="40"/>
  <c r="A658" i="40"/>
  <c r="Y657" i="40"/>
  <c r="Z657" i="40" s="1"/>
  <c r="W657" i="40"/>
  <c r="X657" i="40" s="1"/>
  <c r="B657" i="40"/>
  <c r="A657" i="40"/>
  <c r="U656" i="40"/>
  <c r="S656" i="40"/>
  <c r="P656" i="40"/>
  <c r="Q656" i="40" s="1"/>
  <c r="N656" i="40"/>
  <c r="O656" i="40" s="1"/>
  <c r="K656" i="40"/>
  <c r="L656" i="40" s="1"/>
  <c r="F656" i="40"/>
  <c r="G656" i="40" s="1"/>
  <c r="D656" i="40"/>
  <c r="E656" i="40" s="1"/>
  <c r="B656" i="40"/>
  <c r="A656" i="40"/>
  <c r="M656" i="40" s="1"/>
  <c r="U655" i="40"/>
  <c r="S655" i="40"/>
  <c r="P655" i="40"/>
  <c r="Q655" i="40" s="1"/>
  <c r="N655" i="40"/>
  <c r="O655" i="40" s="1"/>
  <c r="K655" i="40"/>
  <c r="L655" i="40" s="1"/>
  <c r="F655" i="40"/>
  <c r="G655" i="40" s="1"/>
  <c r="D655" i="40"/>
  <c r="E655" i="40" s="1"/>
  <c r="B655" i="40"/>
  <c r="A655" i="40"/>
  <c r="M655" i="40" s="1"/>
  <c r="U654" i="40"/>
  <c r="S654" i="40"/>
  <c r="P654" i="40"/>
  <c r="Q654" i="40" s="1"/>
  <c r="N654" i="40"/>
  <c r="O654" i="40" s="1"/>
  <c r="K654" i="40"/>
  <c r="L654" i="40" s="1"/>
  <c r="F654" i="40"/>
  <c r="G654" i="40" s="1"/>
  <c r="D654" i="40"/>
  <c r="E654" i="40" s="1"/>
  <c r="B654" i="40"/>
  <c r="A654" i="40"/>
  <c r="M654" i="40" s="1"/>
  <c r="U653" i="40"/>
  <c r="S653" i="40"/>
  <c r="P653" i="40"/>
  <c r="Q653" i="40" s="1"/>
  <c r="N653" i="40"/>
  <c r="O653" i="40" s="1"/>
  <c r="K653" i="40"/>
  <c r="L653" i="40" s="1"/>
  <c r="F653" i="40"/>
  <c r="G653" i="40" s="1"/>
  <c r="D653" i="40"/>
  <c r="E653" i="40" s="1"/>
  <c r="B653" i="40"/>
  <c r="A653" i="40"/>
  <c r="M653" i="40" s="1"/>
  <c r="Y652" i="40"/>
  <c r="Z652" i="40" s="1"/>
  <c r="W652" i="40"/>
  <c r="X652" i="40" s="1"/>
  <c r="B652" i="40"/>
  <c r="A652" i="40"/>
  <c r="Y651" i="40"/>
  <c r="Z651" i="40" s="1"/>
  <c r="W651" i="40"/>
  <c r="B651" i="40"/>
  <c r="A651" i="40"/>
  <c r="Y650" i="40"/>
  <c r="Z650" i="40" s="1"/>
  <c r="W650" i="40"/>
  <c r="B650" i="40"/>
  <c r="A650" i="40"/>
  <c r="Y649" i="40"/>
  <c r="W649" i="40"/>
  <c r="X649" i="40" s="1"/>
  <c r="K649" i="40"/>
  <c r="L649" i="40" s="1"/>
  <c r="B649" i="40"/>
  <c r="A649" i="40"/>
  <c r="Y648" i="40"/>
  <c r="W648" i="40"/>
  <c r="X648" i="40" s="1"/>
  <c r="B648" i="40"/>
  <c r="A648" i="40"/>
  <c r="U647" i="40"/>
  <c r="S647" i="40"/>
  <c r="P647" i="40"/>
  <c r="Q647" i="40" s="1"/>
  <c r="N647" i="40"/>
  <c r="O647" i="40" s="1"/>
  <c r="K647" i="40"/>
  <c r="L647" i="40" s="1"/>
  <c r="F647" i="40"/>
  <c r="G647" i="40" s="1"/>
  <c r="D647" i="40"/>
  <c r="E647" i="40" s="1"/>
  <c r="B647" i="40"/>
  <c r="A647" i="40"/>
  <c r="M647" i="40" s="1"/>
  <c r="U646" i="40"/>
  <c r="S646" i="40"/>
  <c r="P646" i="40"/>
  <c r="Q646" i="40" s="1"/>
  <c r="N646" i="40"/>
  <c r="O646" i="40" s="1"/>
  <c r="K646" i="40"/>
  <c r="L646" i="40" s="1"/>
  <c r="F646" i="40"/>
  <c r="G646" i="40" s="1"/>
  <c r="D646" i="40"/>
  <c r="E646" i="40" s="1"/>
  <c r="B646" i="40"/>
  <c r="A646" i="40"/>
  <c r="M646" i="40" s="1"/>
  <c r="U645" i="40"/>
  <c r="S645" i="40"/>
  <c r="P645" i="40"/>
  <c r="Q645" i="40" s="1"/>
  <c r="N645" i="40"/>
  <c r="O645" i="40" s="1"/>
  <c r="K645" i="40"/>
  <c r="L645" i="40" s="1"/>
  <c r="F645" i="40"/>
  <c r="G645" i="40" s="1"/>
  <c r="D645" i="40"/>
  <c r="E645" i="40" s="1"/>
  <c r="B645" i="40"/>
  <c r="A645" i="40"/>
  <c r="M645" i="40" s="1"/>
  <c r="U644" i="40"/>
  <c r="S644" i="40"/>
  <c r="P644" i="40"/>
  <c r="Q644" i="40" s="1"/>
  <c r="N644" i="40"/>
  <c r="O644" i="40" s="1"/>
  <c r="K644" i="40"/>
  <c r="L644" i="40" s="1"/>
  <c r="F644" i="40"/>
  <c r="G644" i="40" s="1"/>
  <c r="D644" i="40"/>
  <c r="E644" i="40" s="1"/>
  <c r="B644" i="40"/>
  <c r="A644" i="40"/>
  <c r="M644" i="40" s="1"/>
  <c r="Y643" i="40"/>
  <c r="Z643" i="40" s="1"/>
  <c r="W643" i="40"/>
  <c r="X643" i="40" s="1"/>
  <c r="B643" i="40"/>
  <c r="A643" i="40"/>
  <c r="Y642" i="40"/>
  <c r="W642" i="40"/>
  <c r="X642" i="40" s="1"/>
  <c r="B642" i="40"/>
  <c r="A642" i="40"/>
  <c r="Y641" i="40"/>
  <c r="W641" i="40"/>
  <c r="X641" i="40" s="1"/>
  <c r="B641" i="40"/>
  <c r="A641" i="40"/>
  <c r="Y640" i="40"/>
  <c r="W640" i="40"/>
  <c r="X640" i="40" s="1"/>
  <c r="K640" i="40"/>
  <c r="L640" i="40" s="1"/>
  <c r="B640" i="40"/>
  <c r="A640" i="40"/>
  <c r="Y639" i="40"/>
  <c r="W639" i="40"/>
  <c r="X639" i="40" s="1"/>
  <c r="B639" i="40"/>
  <c r="A639" i="40"/>
  <c r="U638" i="40"/>
  <c r="S638" i="40"/>
  <c r="P638" i="40"/>
  <c r="Q638" i="40" s="1"/>
  <c r="N638" i="40"/>
  <c r="O638" i="40" s="1"/>
  <c r="K638" i="40"/>
  <c r="L638" i="40" s="1"/>
  <c r="F638" i="40"/>
  <c r="G638" i="40" s="1"/>
  <c r="D638" i="40"/>
  <c r="E638" i="40" s="1"/>
  <c r="B638" i="40"/>
  <c r="A638" i="40"/>
  <c r="M638" i="40" s="1"/>
  <c r="U637" i="40"/>
  <c r="S637" i="40"/>
  <c r="P637" i="40"/>
  <c r="Q637" i="40" s="1"/>
  <c r="N637" i="40"/>
  <c r="O637" i="40" s="1"/>
  <c r="K637" i="40"/>
  <c r="L637" i="40" s="1"/>
  <c r="F637" i="40"/>
  <c r="G637" i="40" s="1"/>
  <c r="D637" i="40"/>
  <c r="E637" i="40" s="1"/>
  <c r="B637" i="40"/>
  <c r="A637" i="40"/>
  <c r="M637" i="40" s="1"/>
  <c r="U636" i="40"/>
  <c r="S636" i="40"/>
  <c r="P636" i="40"/>
  <c r="Q636" i="40" s="1"/>
  <c r="N636" i="40"/>
  <c r="O636" i="40" s="1"/>
  <c r="K636" i="40"/>
  <c r="L636" i="40" s="1"/>
  <c r="F636" i="40"/>
  <c r="G636" i="40" s="1"/>
  <c r="D636" i="40"/>
  <c r="E636" i="40" s="1"/>
  <c r="B636" i="40"/>
  <c r="A636" i="40"/>
  <c r="M636" i="40" s="1"/>
  <c r="U635" i="40"/>
  <c r="S635" i="40"/>
  <c r="P635" i="40"/>
  <c r="Q635" i="40" s="1"/>
  <c r="N635" i="40"/>
  <c r="O635" i="40" s="1"/>
  <c r="K635" i="40"/>
  <c r="L635" i="40" s="1"/>
  <c r="F635" i="40"/>
  <c r="G635" i="40" s="1"/>
  <c r="D635" i="40"/>
  <c r="E635" i="40" s="1"/>
  <c r="B635" i="40"/>
  <c r="A635" i="40"/>
  <c r="M635" i="40" s="1"/>
  <c r="Y634" i="40"/>
  <c r="Z634" i="40" s="1"/>
  <c r="W634" i="40"/>
  <c r="X634" i="40" s="1"/>
  <c r="B634" i="40"/>
  <c r="A634" i="40"/>
  <c r="Y633" i="40"/>
  <c r="Z633" i="40" s="1"/>
  <c r="W633" i="40"/>
  <c r="B633" i="40"/>
  <c r="A633" i="40"/>
  <c r="Y632" i="40"/>
  <c r="Z632" i="40" s="1"/>
  <c r="W632" i="40"/>
  <c r="B632" i="40"/>
  <c r="A632" i="40"/>
  <c r="Y631" i="40"/>
  <c r="W631" i="40"/>
  <c r="X631" i="40" s="1"/>
  <c r="K631" i="40"/>
  <c r="L631" i="40" s="1"/>
  <c r="B631" i="40"/>
  <c r="A631" i="40"/>
  <c r="Y630" i="40"/>
  <c r="W630" i="40"/>
  <c r="X630" i="40" s="1"/>
  <c r="B630" i="40"/>
  <c r="A630" i="40"/>
  <c r="U629" i="40"/>
  <c r="S629" i="40"/>
  <c r="P629" i="40"/>
  <c r="Q629" i="40" s="1"/>
  <c r="N629" i="40"/>
  <c r="O629" i="40" s="1"/>
  <c r="K629" i="40"/>
  <c r="L629" i="40" s="1"/>
  <c r="F629" i="40"/>
  <c r="G629" i="40" s="1"/>
  <c r="D629" i="40"/>
  <c r="E629" i="40" s="1"/>
  <c r="B629" i="40"/>
  <c r="A629" i="40"/>
  <c r="M629" i="40" s="1"/>
  <c r="U628" i="40"/>
  <c r="S628" i="40"/>
  <c r="P628" i="40"/>
  <c r="Q628" i="40" s="1"/>
  <c r="N628" i="40"/>
  <c r="O628" i="40" s="1"/>
  <c r="K628" i="40"/>
  <c r="L628" i="40" s="1"/>
  <c r="F628" i="40"/>
  <c r="G628" i="40" s="1"/>
  <c r="D628" i="40"/>
  <c r="E628" i="40" s="1"/>
  <c r="B628" i="40"/>
  <c r="A628" i="40"/>
  <c r="M628" i="40" s="1"/>
  <c r="U627" i="40"/>
  <c r="S627" i="40"/>
  <c r="P627" i="40"/>
  <c r="Q627" i="40" s="1"/>
  <c r="N627" i="40"/>
  <c r="O627" i="40" s="1"/>
  <c r="K627" i="40"/>
  <c r="L627" i="40" s="1"/>
  <c r="F627" i="40"/>
  <c r="G627" i="40" s="1"/>
  <c r="D627" i="40"/>
  <c r="E627" i="40" s="1"/>
  <c r="B627" i="40"/>
  <c r="A627" i="40"/>
  <c r="M627" i="40" s="1"/>
  <c r="U626" i="40"/>
  <c r="S626" i="40"/>
  <c r="P626" i="40"/>
  <c r="Q626" i="40" s="1"/>
  <c r="N626" i="40"/>
  <c r="O626" i="40" s="1"/>
  <c r="K626" i="40"/>
  <c r="L626" i="40" s="1"/>
  <c r="F626" i="40"/>
  <c r="G626" i="40" s="1"/>
  <c r="D626" i="40"/>
  <c r="E626" i="40" s="1"/>
  <c r="B626" i="40"/>
  <c r="A626" i="40"/>
  <c r="M626" i="40" s="1"/>
  <c r="Y625" i="40"/>
  <c r="Z625" i="40" s="1"/>
  <c r="W625" i="40"/>
  <c r="B625" i="40"/>
  <c r="A625" i="40"/>
  <c r="Y624" i="40"/>
  <c r="W624" i="40"/>
  <c r="X624" i="40" s="1"/>
  <c r="B624" i="40"/>
  <c r="A624" i="40"/>
  <c r="Y623" i="40"/>
  <c r="Z623" i="40" s="1"/>
  <c r="W623" i="40"/>
  <c r="B623" i="40"/>
  <c r="A623" i="40"/>
  <c r="Y622" i="40"/>
  <c r="W622" i="40"/>
  <c r="X622" i="40" s="1"/>
  <c r="K622" i="40"/>
  <c r="L622" i="40" s="1"/>
  <c r="B622" i="40"/>
  <c r="A622" i="40"/>
  <c r="Y621" i="40"/>
  <c r="Z621" i="40" s="1"/>
  <c r="W621" i="40"/>
  <c r="B621" i="40"/>
  <c r="A621" i="40"/>
  <c r="U620" i="40"/>
  <c r="S620" i="40"/>
  <c r="P620" i="40"/>
  <c r="Q620" i="40" s="1"/>
  <c r="N620" i="40"/>
  <c r="O620" i="40" s="1"/>
  <c r="K620" i="40"/>
  <c r="L620" i="40" s="1"/>
  <c r="F620" i="40"/>
  <c r="G620" i="40" s="1"/>
  <c r="D620" i="40"/>
  <c r="E620" i="40" s="1"/>
  <c r="B620" i="40"/>
  <c r="A620" i="40"/>
  <c r="M620" i="40" s="1"/>
  <c r="U619" i="40"/>
  <c r="S619" i="40"/>
  <c r="P619" i="40"/>
  <c r="Q619" i="40" s="1"/>
  <c r="N619" i="40"/>
  <c r="O619" i="40" s="1"/>
  <c r="K619" i="40"/>
  <c r="L619" i="40" s="1"/>
  <c r="F619" i="40"/>
  <c r="G619" i="40" s="1"/>
  <c r="D619" i="40"/>
  <c r="E619" i="40" s="1"/>
  <c r="B619" i="40"/>
  <c r="A619" i="40"/>
  <c r="M619" i="40" s="1"/>
  <c r="U618" i="40"/>
  <c r="S618" i="40"/>
  <c r="P618" i="40"/>
  <c r="Q618" i="40" s="1"/>
  <c r="N618" i="40"/>
  <c r="O618" i="40" s="1"/>
  <c r="K618" i="40"/>
  <c r="L618" i="40" s="1"/>
  <c r="F618" i="40"/>
  <c r="G618" i="40" s="1"/>
  <c r="D618" i="40"/>
  <c r="E618" i="40" s="1"/>
  <c r="B618" i="40"/>
  <c r="A618" i="40"/>
  <c r="M618" i="40" s="1"/>
  <c r="U617" i="40"/>
  <c r="S617" i="40"/>
  <c r="Q617" i="40"/>
  <c r="P617" i="40"/>
  <c r="N617" i="40"/>
  <c r="O617" i="40" s="1"/>
  <c r="K617" i="40"/>
  <c r="L617" i="40" s="1"/>
  <c r="F617" i="40"/>
  <c r="G617" i="40" s="1"/>
  <c r="D617" i="40"/>
  <c r="E617" i="40" s="1"/>
  <c r="B617" i="40"/>
  <c r="A617" i="40"/>
  <c r="M617" i="40" s="1"/>
  <c r="Y616" i="40"/>
  <c r="Z616" i="40" s="1"/>
  <c r="W616" i="40"/>
  <c r="X616" i="40" s="1"/>
  <c r="B616" i="40"/>
  <c r="A616" i="40"/>
  <c r="Y615" i="40"/>
  <c r="Z615" i="40" s="1"/>
  <c r="W615" i="40"/>
  <c r="X615" i="40" s="1"/>
  <c r="B615" i="40"/>
  <c r="A615" i="40"/>
  <c r="Y614" i="40"/>
  <c r="Z614" i="40" s="1"/>
  <c r="W614" i="40"/>
  <c r="B614" i="40"/>
  <c r="A614" i="40"/>
  <c r="Y613" i="40"/>
  <c r="Z613" i="40" s="1"/>
  <c r="W613" i="40"/>
  <c r="K613" i="40"/>
  <c r="L613" i="40" s="1"/>
  <c r="B613" i="40"/>
  <c r="A613" i="40"/>
  <c r="Y612" i="40"/>
  <c r="Z612" i="40" s="1"/>
  <c r="W612" i="40"/>
  <c r="B612" i="40"/>
  <c r="A612" i="40"/>
  <c r="U611" i="40"/>
  <c r="S611" i="40"/>
  <c r="P611" i="40"/>
  <c r="Q611" i="40" s="1"/>
  <c r="N611" i="40"/>
  <c r="O611" i="40" s="1"/>
  <c r="K611" i="40"/>
  <c r="L611" i="40" s="1"/>
  <c r="F611" i="40"/>
  <c r="G611" i="40" s="1"/>
  <c r="D611" i="40"/>
  <c r="E611" i="40" s="1"/>
  <c r="B611" i="40"/>
  <c r="A611" i="40"/>
  <c r="M611" i="40" s="1"/>
  <c r="U610" i="40"/>
  <c r="S610" i="40"/>
  <c r="P610" i="40"/>
  <c r="Q610" i="40" s="1"/>
  <c r="N610" i="40"/>
  <c r="O610" i="40" s="1"/>
  <c r="K610" i="40"/>
  <c r="L610" i="40" s="1"/>
  <c r="F610" i="40"/>
  <c r="G610" i="40" s="1"/>
  <c r="D610" i="40"/>
  <c r="E610" i="40" s="1"/>
  <c r="B610" i="40"/>
  <c r="A610" i="40"/>
  <c r="M610" i="40" s="1"/>
  <c r="U609" i="40"/>
  <c r="S609" i="40"/>
  <c r="P609" i="40"/>
  <c r="Q609" i="40" s="1"/>
  <c r="N609" i="40"/>
  <c r="O609" i="40" s="1"/>
  <c r="K609" i="40"/>
  <c r="L609" i="40" s="1"/>
  <c r="F609" i="40"/>
  <c r="G609" i="40" s="1"/>
  <c r="D609" i="40"/>
  <c r="E609" i="40" s="1"/>
  <c r="B609" i="40"/>
  <c r="A609" i="40"/>
  <c r="M609" i="40" s="1"/>
  <c r="U608" i="40"/>
  <c r="S608" i="40"/>
  <c r="P608" i="40"/>
  <c r="Q608" i="40" s="1"/>
  <c r="N608" i="40"/>
  <c r="O608" i="40" s="1"/>
  <c r="K608" i="40"/>
  <c r="L608" i="40" s="1"/>
  <c r="F608" i="40"/>
  <c r="G608" i="40" s="1"/>
  <c r="D608" i="40"/>
  <c r="E608" i="40" s="1"/>
  <c r="B608" i="40"/>
  <c r="A608" i="40"/>
  <c r="M608" i="40" s="1"/>
  <c r="Y607" i="40"/>
  <c r="W607" i="40"/>
  <c r="X607" i="40" s="1"/>
  <c r="B607" i="40"/>
  <c r="A607" i="40"/>
  <c r="Y606" i="40"/>
  <c r="Z606" i="40" s="1"/>
  <c r="W606" i="40"/>
  <c r="X606" i="40" s="1"/>
  <c r="B606" i="40"/>
  <c r="A606" i="40"/>
  <c r="Y605" i="40"/>
  <c r="Z605" i="40" s="1"/>
  <c r="W605" i="40"/>
  <c r="X605" i="40" s="1"/>
  <c r="B605" i="40"/>
  <c r="A605" i="40"/>
  <c r="Y604" i="40"/>
  <c r="Z604" i="40" s="1"/>
  <c r="W604" i="40"/>
  <c r="X604" i="40" s="1"/>
  <c r="K604" i="40"/>
  <c r="L604" i="40" s="1"/>
  <c r="B604" i="40"/>
  <c r="A604" i="40"/>
  <c r="Y603" i="40"/>
  <c r="Z603" i="40" s="1"/>
  <c r="W603" i="40"/>
  <c r="B603" i="40"/>
  <c r="A603" i="40"/>
  <c r="U602" i="40"/>
  <c r="S602" i="40"/>
  <c r="P602" i="40"/>
  <c r="Q602" i="40" s="1"/>
  <c r="N602" i="40"/>
  <c r="O602" i="40" s="1"/>
  <c r="K602" i="40"/>
  <c r="L602" i="40" s="1"/>
  <c r="F602" i="40"/>
  <c r="G602" i="40" s="1"/>
  <c r="D602" i="40"/>
  <c r="E602" i="40" s="1"/>
  <c r="B602" i="40"/>
  <c r="A602" i="40"/>
  <c r="M602" i="40" s="1"/>
  <c r="U601" i="40"/>
  <c r="S601" i="40"/>
  <c r="P601" i="40"/>
  <c r="Q601" i="40" s="1"/>
  <c r="N601" i="40"/>
  <c r="O601" i="40" s="1"/>
  <c r="K601" i="40"/>
  <c r="L601" i="40" s="1"/>
  <c r="F601" i="40"/>
  <c r="G601" i="40" s="1"/>
  <c r="D601" i="40"/>
  <c r="E601" i="40" s="1"/>
  <c r="B601" i="40"/>
  <c r="A601" i="40"/>
  <c r="M601" i="40" s="1"/>
  <c r="U600" i="40"/>
  <c r="S600" i="40"/>
  <c r="P600" i="40"/>
  <c r="Q600" i="40" s="1"/>
  <c r="N600" i="40"/>
  <c r="O600" i="40" s="1"/>
  <c r="K600" i="40"/>
  <c r="L600" i="40" s="1"/>
  <c r="F600" i="40"/>
  <c r="G600" i="40" s="1"/>
  <c r="D600" i="40"/>
  <c r="E600" i="40" s="1"/>
  <c r="B600" i="40"/>
  <c r="A600" i="40"/>
  <c r="M600" i="40" s="1"/>
  <c r="U599" i="40"/>
  <c r="S599" i="40"/>
  <c r="P599" i="40"/>
  <c r="Q599" i="40" s="1"/>
  <c r="N599" i="40"/>
  <c r="O599" i="40" s="1"/>
  <c r="K599" i="40"/>
  <c r="L599" i="40" s="1"/>
  <c r="F599" i="40"/>
  <c r="G599" i="40" s="1"/>
  <c r="D599" i="40"/>
  <c r="E599" i="40" s="1"/>
  <c r="B599" i="40"/>
  <c r="A599" i="40"/>
  <c r="M599" i="40" s="1"/>
  <c r="Y598" i="40"/>
  <c r="Z598" i="40" s="1"/>
  <c r="W598" i="40"/>
  <c r="X598" i="40" s="1"/>
  <c r="B598" i="40"/>
  <c r="A598" i="40"/>
  <c r="Y597" i="40"/>
  <c r="Z597" i="40" s="1"/>
  <c r="W597" i="40"/>
  <c r="X597" i="40" s="1"/>
  <c r="B597" i="40"/>
  <c r="A597" i="40"/>
  <c r="Y596" i="40"/>
  <c r="Z596" i="40" s="1"/>
  <c r="W596" i="40"/>
  <c r="X596" i="40" s="1"/>
  <c r="B596" i="40"/>
  <c r="A596" i="40"/>
  <c r="Y595" i="40"/>
  <c r="Z595" i="40" s="1"/>
  <c r="W595" i="40"/>
  <c r="X595" i="40" s="1"/>
  <c r="K595" i="40"/>
  <c r="L595" i="40" s="1"/>
  <c r="B595" i="40"/>
  <c r="A595" i="40"/>
  <c r="Y594" i="40"/>
  <c r="Z594" i="40" s="1"/>
  <c r="W594" i="40"/>
  <c r="B594" i="40"/>
  <c r="A594" i="40"/>
  <c r="U593" i="40"/>
  <c r="S593" i="40"/>
  <c r="P593" i="40"/>
  <c r="Q593" i="40" s="1"/>
  <c r="N593" i="40"/>
  <c r="O593" i="40" s="1"/>
  <c r="K593" i="40"/>
  <c r="L593" i="40" s="1"/>
  <c r="F593" i="40"/>
  <c r="G593" i="40" s="1"/>
  <c r="D593" i="40"/>
  <c r="E593" i="40" s="1"/>
  <c r="B593" i="40"/>
  <c r="A593" i="40"/>
  <c r="M593" i="40" s="1"/>
  <c r="U592" i="40"/>
  <c r="S592" i="40"/>
  <c r="P592" i="40"/>
  <c r="Q592" i="40" s="1"/>
  <c r="N592" i="40"/>
  <c r="O592" i="40" s="1"/>
  <c r="K592" i="40"/>
  <c r="L592" i="40" s="1"/>
  <c r="F592" i="40"/>
  <c r="G592" i="40" s="1"/>
  <c r="D592" i="40"/>
  <c r="E592" i="40" s="1"/>
  <c r="B592" i="40"/>
  <c r="A592" i="40"/>
  <c r="M592" i="40" s="1"/>
  <c r="U591" i="40"/>
  <c r="S591" i="40"/>
  <c r="P591" i="40"/>
  <c r="Q591" i="40" s="1"/>
  <c r="N591" i="40"/>
  <c r="O591" i="40" s="1"/>
  <c r="K591" i="40"/>
  <c r="L591" i="40" s="1"/>
  <c r="F591" i="40"/>
  <c r="G591" i="40" s="1"/>
  <c r="D591" i="40"/>
  <c r="E591" i="40" s="1"/>
  <c r="B591" i="40"/>
  <c r="A591" i="40"/>
  <c r="M591" i="40" s="1"/>
  <c r="U590" i="40"/>
  <c r="S590" i="40"/>
  <c r="P590" i="40"/>
  <c r="Q590" i="40" s="1"/>
  <c r="N590" i="40"/>
  <c r="O590" i="40" s="1"/>
  <c r="K590" i="40"/>
  <c r="L590" i="40" s="1"/>
  <c r="F590" i="40"/>
  <c r="G590" i="40" s="1"/>
  <c r="D590" i="40"/>
  <c r="E590" i="40" s="1"/>
  <c r="B590" i="40"/>
  <c r="A590" i="40"/>
  <c r="M590" i="40" s="1"/>
  <c r="Y589" i="40"/>
  <c r="Z589" i="40" s="1"/>
  <c r="W589" i="40"/>
  <c r="B589" i="40"/>
  <c r="A589" i="40"/>
  <c r="Y588" i="40"/>
  <c r="Z588" i="40" s="1"/>
  <c r="W588" i="40"/>
  <c r="X588" i="40" s="1"/>
  <c r="B588" i="40"/>
  <c r="A588" i="40"/>
  <c r="Y587" i="40"/>
  <c r="Z587" i="40" s="1"/>
  <c r="W587" i="40"/>
  <c r="X587" i="40" s="1"/>
  <c r="B587" i="40"/>
  <c r="A587" i="40"/>
  <c r="Y586" i="40"/>
  <c r="Z586" i="40" s="1"/>
  <c r="W586" i="40"/>
  <c r="K586" i="40"/>
  <c r="L586" i="40" s="1"/>
  <c r="B586" i="40"/>
  <c r="A586" i="40"/>
  <c r="Y585" i="40"/>
  <c r="Z585" i="40" s="1"/>
  <c r="W585" i="40"/>
  <c r="B585" i="40"/>
  <c r="A585" i="40"/>
  <c r="U584" i="40"/>
  <c r="S584" i="40"/>
  <c r="P584" i="40"/>
  <c r="Q584" i="40" s="1"/>
  <c r="N584" i="40"/>
  <c r="O584" i="40" s="1"/>
  <c r="K584" i="40"/>
  <c r="L584" i="40" s="1"/>
  <c r="F584" i="40"/>
  <c r="G584" i="40" s="1"/>
  <c r="D584" i="40"/>
  <c r="E584" i="40" s="1"/>
  <c r="B584" i="40"/>
  <c r="A584" i="40"/>
  <c r="M584" i="40" s="1"/>
  <c r="U583" i="40"/>
  <c r="S583" i="40"/>
  <c r="P583" i="40"/>
  <c r="Q583" i="40" s="1"/>
  <c r="N583" i="40"/>
  <c r="O583" i="40" s="1"/>
  <c r="K583" i="40"/>
  <c r="L583" i="40" s="1"/>
  <c r="F583" i="40"/>
  <c r="G583" i="40" s="1"/>
  <c r="D583" i="40"/>
  <c r="E583" i="40" s="1"/>
  <c r="B583" i="40"/>
  <c r="A583" i="40"/>
  <c r="M583" i="40" s="1"/>
  <c r="U582" i="40"/>
  <c r="S582" i="40"/>
  <c r="P582" i="40"/>
  <c r="Q582" i="40" s="1"/>
  <c r="N582" i="40"/>
  <c r="O582" i="40" s="1"/>
  <c r="K582" i="40"/>
  <c r="L582" i="40" s="1"/>
  <c r="F582" i="40"/>
  <c r="G582" i="40" s="1"/>
  <c r="D582" i="40"/>
  <c r="E582" i="40" s="1"/>
  <c r="B582" i="40"/>
  <c r="A582" i="40"/>
  <c r="M582" i="40" s="1"/>
  <c r="U581" i="40"/>
  <c r="S581" i="40"/>
  <c r="P581" i="40"/>
  <c r="Q581" i="40" s="1"/>
  <c r="N581" i="40"/>
  <c r="O581" i="40" s="1"/>
  <c r="K581" i="40"/>
  <c r="L581" i="40" s="1"/>
  <c r="F581" i="40"/>
  <c r="G581" i="40" s="1"/>
  <c r="D581" i="40"/>
  <c r="E581" i="40" s="1"/>
  <c r="B581" i="40"/>
  <c r="A581" i="40"/>
  <c r="M581" i="40" s="1"/>
  <c r="Y580" i="40"/>
  <c r="Z580" i="40" s="1"/>
  <c r="W580" i="40"/>
  <c r="B580" i="40"/>
  <c r="A580" i="40"/>
  <c r="Y579" i="40"/>
  <c r="Z579" i="40" s="1"/>
  <c r="W579" i="40"/>
  <c r="B579" i="40"/>
  <c r="A579" i="40"/>
  <c r="Y578" i="40"/>
  <c r="Z578" i="40" s="1"/>
  <c r="W578" i="40"/>
  <c r="B578" i="40"/>
  <c r="A578" i="40"/>
  <c r="Y577" i="40"/>
  <c r="Z577" i="40" s="1"/>
  <c r="W577" i="40"/>
  <c r="K577" i="40"/>
  <c r="L577" i="40" s="1"/>
  <c r="B577" i="40"/>
  <c r="A577" i="40"/>
  <c r="Y576" i="40"/>
  <c r="Z576" i="40" s="1"/>
  <c r="W576" i="40"/>
  <c r="B576" i="40"/>
  <c r="A576" i="40"/>
  <c r="U575" i="40"/>
  <c r="S575" i="40"/>
  <c r="P575" i="40"/>
  <c r="Q575" i="40" s="1"/>
  <c r="N575" i="40"/>
  <c r="O575" i="40" s="1"/>
  <c r="K575" i="40"/>
  <c r="L575" i="40" s="1"/>
  <c r="F575" i="40"/>
  <c r="G575" i="40" s="1"/>
  <c r="J575" i="40" s="1"/>
  <c r="H575" i="40" s="1"/>
  <c r="I575" i="40" s="1"/>
  <c r="D575" i="40"/>
  <c r="E575" i="40" s="1"/>
  <c r="B575" i="40"/>
  <c r="A575" i="40"/>
  <c r="M575" i="40" s="1"/>
  <c r="U574" i="40"/>
  <c r="S574" i="40"/>
  <c r="P574" i="40"/>
  <c r="Q574" i="40" s="1"/>
  <c r="N574" i="40"/>
  <c r="O574" i="40" s="1"/>
  <c r="K574" i="40"/>
  <c r="L574" i="40" s="1"/>
  <c r="F574" i="40"/>
  <c r="G574" i="40" s="1"/>
  <c r="D574" i="40"/>
  <c r="E574" i="40" s="1"/>
  <c r="B574" i="40"/>
  <c r="A574" i="40"/>
  <c r="M574" i="40" s="1"/>
  <c r="U573" i="40"/>
  <c r="S573" i="40"/>
  <c r="P573" i="40"/>
  <c r="Q573" i="40" s="1"/>
  <c r="N573" i="40"/>
  <c r="O573" i="40" s="1"/>
  <c r="K573" i="40"/>
  <c r="L573" i="40" s="1"/>
  <c r="F573" i="40"/>
  <c r="G573" i="40" s="1"/>
  <c r="D573" i="40"/>
  <c r="E573" i="40" s="1"/>
  <c r="B573" i="40"/>
  <c r="A573" i="40"/>
  <c r="M573" i="40" s="1"/>
  <c r="U572" i="40"/>
  <c r="S572" i="40"/>
  <c r="P572" i="40"/>
  <c r="Q572" i="40" s="1"/>
  <c r="N572" i="40"/>
  <c r="O572" i="40" s="1"/>
  <c r="K572" i="40"/>
  <c r="L572" i="40" s="1"/>
  <c r="F572" i="40"/>
  <c r="G572" i="40" s="1"/>
  <c r="D572" i="40"/>
  <c r="E572" i="40" s="1"/>
  <c r="B572" i="40"/>
  <c r="A572" i="40"/>
  <c r="M572" i="40" s="1"/>
  <c r="Y571" i="40"/>
  <c r="Z571" i="40" s="1"/>
  <c r="W571" i="40"/>
  <c r="X571" i="40" s="1"/>
  <c r="B571" i="40"/>
  <c r="A571" i="40"/>
  <c r="Y570" i="40"/>
  <c r="Z570" i="40" s="1"/>
  <c r="W570" i="40"/>
  <c r="X570" i="40" s="1"/>
  <c r="B570" i="40"/>
  <c r="A570" i="40"/>
  <c r="Y569" i="40"/>
  <c r="Z569" i="40" s="1"/>
  <c r="W569" i="40"/>
  <c r="B569" i="40"/>
  <c r="A569" i="40"/>
  <c r="Y568" i="40"/>
  <c r="Z568" i="40" s="1"/>
  <c r="X568" i="40"/>
  <c r="W568" i="40"/>
  <c r="K568" i="40"/>
  <c r="L568" i="40" s="1"/>
  <c r="B568" i="40"/>
  <c r="A568" i="40"/>
  <c r="Y567" i="40"/>
  <c r="Z567" i="40" s="1"/>
  <c r="W567" i="40"/>
  <c r="B567" i="40"/>
  <c r="A567" i="40"/>
  <c r="U566" i="40"/>
  <c r="S566" i="40"/>
  <c r="P566" i="40"/>
  <c r="Q566" i="40" s="1"/>
  <c r="N566" i="40"/>
  <c r="O566" i="40" s="1"/>
  <c r="K566" i="40"/>
  <c r="L566" i="40" s="1"/>
  <c r="F566" i="40"/>
  <c r="G566" i="40" s="1"/>
  <c r="D566" i="40"/>
  <c r="E566" i="40" s="1"/>
  <c r="B566" i="40"/>
  <c r="A566" i="40"/>
  <c r="M566" i="40" s="1"/>
  <c r="U565" i="40"/>
  <c r="S565" i="40"/>
  <c r="P565" i="40"/>
  <c r="Q565" i="40" s="1"/>
  <c r="N565" i="40"/>
  <c r="O565" i="40" s="1"/>
  <c r="K565" i="40"/>
  <c r="L565" i="40" s="1"/>
  <c r="F565" i="40"/>
  <c r="G565" i="40" s="1"/>
  <c r="D565" i="40"/>
  <c r="E565" i="40" s="1"/>
  <c r="B565" i="40"/>
  <c r="A565" i="40"/>
  <c r="M565" i="40" s="1"/>
  <c r="U564" i="40"/>
  <c r="S564" i="40"/>
  <c r="P564" i="40"/>
  <c r="Q564" i="40" s="1"/>
  <c r="N564" i="40"/>
  <c r="O564" i="40" s="1"/>
  <c r="K564" i="40"/>
  <c r="L564" i="40" s="1"/>
  <c r="F564" i="40"/>
  <c r="G564" i="40" s="1"/>
  <c r="D564" i="40"/>
  <c r="E564" i="40" s="1"/>
  <c r="B564" i="40"/>
  <c r="A564" i="40"/>
  <c r="M564" i="40" s="1"/>
  <c r="U563" i="40"/>
  <c r="S563" i="40"/>
  <c r="P563" i="40"/>
  <c r="Q563" i="40" s="1"/>
  <c r="N563" i="40"/>
  <c r="O563" i="40" s="1"/>
  <c r="K563" i="40"/>
  <c r="L563" i="40" s="1"/>
  <c r="F563" i="40"/>
  <c r="G563" i="40" s="1"/>
  <c r="D563" i="40"/>
  <c r="E563" i="40" s="1"/>
  <c r="B563" i="40"/>
  <c r="A563" i="40"/>
  <c r="M563" i="40" s="1"/>
  <c r="Y562" i="40"/>
  <c r="Z562" i="40" s="1"/>
  <c r="W562" i="40"/>
  <c r="B562" i="40"/>
  <c r="A562" i="40"/>
  <c r="Y561" i="40"/>
  <c r="W561" i="40"/>
  <c r="X561" i="40" s="1"/>
  <c r="B561" i="40"/>
  <c r="A561" i="40"/>
  <c r="Y560" i="40"/>
  <c r="Z560" i="40" s="1"/>
  <c r="W560" i="40"/>
  <c r="B560" i="40"/>
  <c r="A560" i="40"/>
  <c r="Y559" i="40"/>
  <c r="Z559" i="40" s="1"/>
  <c r="W559" i="40"/>
  <c r="X559" i="40" s="1"/>
  <c r="K559" i="40"/>
  <c r="L559" i="40" s="1"/>
  <c r="B559" i="40"/>
  <c r="A559" i="40"/>
  <c r="Y558" i="40"/>
  <c r="W558" i="40"/>
  <c r="X558" i="40" s="1"/>
  <c r="B558" i="40"/>
  <c r="A558" i="40"/>
  <c r="U557" i="40"/>
  <c r="S557" i="40"/>
  <c r="P557" i="40"/>
  <c r="Q557" i="40" s="1"/>
  <c r="N557" i="40"/>
  <c r="O557" i="40" s="1"/>
  <c r="K557" i="40"/>
  <c r="L557" i="40" s="1"/>
  <c r="F557" i="40"/>
  <c r="G557" i="40" s="1"/>
  <c r="D557" i="40"/>
  <c r="E557" i="40" s="1"/>
  <c r="B557" i="40"/>
  <c r="A557" i="40"/>
  <c r="M557" i="40" s="1"/>
  <c r="U556" i="40"/>
  <c r="S556" i="40"/>
  <c r="P556" i="40"/>
  <c r="Q556" i="40" s="1"/>
  <c r="N556" i="40"/>
  <c r="O556" i="40" s="1"/>
  <c r="K556" i="40"/>
  <c r="L556" i="40" s="1"/>
  <c r="F556" i="40"/>
  <c r="G556" i="40" s="1"/>
  <c r="D556" i="40"/>
  <c r="E556" i="40" s="1"/>
  <c r="B556" i="40"/>
  <c r="A556" i="40"/>
  <c r="M556" i="40" s="1"/>
  <c r="U555" i="40"/>
  <c r="S555" i="40"/>
  <c r="P555" i="40"/>
  <c r="Q555" i="40" s="1"/>
  <c r="N555" i="40"/>
  <c r="O555" i="40" s="1"/>
  <c r="K555" i="40"/>
  <c r="L555" i="40" s="1"/>
  <c r="F555" i="40"/>
  <c r="G555" i="40" s="1"/>
  <c r="D555" i="40"/>
  <c r="E555" i="40" s="1"/>
  <c r="B555" i="40"/>
  <c r="A555" i="40"/>
  <c r="M555" i="40" s="1"/>
  <c r="U554" i="40"/>
  <c r="S554" i="40"/>
  <c r="P554" i="40"/>
  <c r="Q554" i="40" s="1"/>
  <c r="N554" i="40"/>
  <c r="O554" i="40" s="1"/>
  <c r="K554" i="40"/>
  <c r="L554" i="40" s="1"/>
  <c r="F554" i="40"/>
  <c r="G554" i="40" s="1"/>
  <c r="D554" i="40"/>
  <c r="E554" i="40" s="1"/>
  <c r="B554" i="40"/>
  <c r="A554" i="40"/>
  <c r="M554" i="40" s="1"/>
  <c r="Y553" i="40"/>
  <c r="W553" i="40"/>
  <c r="X553" i="40" s="1"/>
  <c r="B553" i="40"/>
  <c r="A553" i="40"/>
  <c r="Y552" i="40"/>
  <c r="Z552" i="40" s="1"/>
  <c r="W552" i="40"/>
  <c r="X552" i="40" s="1"/>
  <c r="B552" i="40"/>
  <c r="A552" i="40"/>
  <c r="Y551" i="40"/>
  <c r="Z551" i="40" s="1"/>
  <c r="W551" i="40"/>
  <c r="B551" i="40"/>
  <c r="A551" i="40"/>
  <c r="Y550" i="40"/>
  <c r="Z550" i="40" s="1"/>
  <c r="W550" i="40"/>
  <c r="K550" i="40"/>
  <c r="L550" i="40" s="1"/>
  <c r="B550" i="40"/>
  <c r="A550" i="40"/>
  <c r="Y549" i="40"/>
  <c r="Z549" i="40" s="1"/>
  <c r="W549" i="40"/>
  <c r="B549" i="40"/>
  <c r="A549" i="40"/>
  <c r="U548" i="40"/>
  <c r="S548" i="40"/>
  <c r="P548" i="40"/>
  <c r="Q548" i="40" s="1"/>
  <c r="N548" i="40"/>
  <c r="O548" i="40" s="1"/>
  <c r="K548" i="40"/>
  <c r="L548" i="40" s="1"/>
  <c r="F548" i="40"/>
  <c r="G548" i="40" s="1"/>
  <c r="D548" i="40"/>
  <c r="E548" i="40" s="1"/>
  <c r="B548" i="40"/>
  <c r="A548" i="40"/>
  <c r="M548" i="40" s="1"/>
  <c r="U547" i="40"/>
  <c r="S547" i="40"/>
  <c r="P547" i="40"/>
  <c r="Q547" i="40" s="1"/>
  <c r="N547" i="40"/>
  <c r="O547" i="40" s="1"/>
  <c r="K547" i="40"/>
  <c r="L547" i="40" s="1"/>
  <c r="F547" i="40"/>
  <c r="G547" i="40" s="1"/>
  <c r="D547" i="40"/>
  <c r="E547" i="40" s="1"/>
  <c r="B547" i="40"/>
  <c r="A547" i="40"/>
  <c r="M547" i="40" s="1"/>
  <c r="U546" i="40"/>
  <c r="S546" i="40"/>
  <c r="P546" i="40"/>
  <c r="Q546" i="40" s="1"/>
  <c r="N546" i="40"/>
  <c r="O546" i="40" s="1"/>
  <c r="K546" i="40"/>
  <c r="L546" i="40" s="1"/>
  <c r="F546" i="40"/>
  <c r="G546" i="40" s="1"/>
  <c r="D546" i="40"/>
  <c r="E546" i="40" s="1"/>
  <c r="B546" i="40"/>
  <c r="A546" i="40"/>
  <c r="M546" i="40" s="1"/>
  <c r="U545" i="40"/>
  <c r="S545" i="40"/>
  <c r="P545" i="40"/>
  <c r="Q545" i="40" s="1"/>
  <c r="N545" i="40"/>
  <c r="O545" i="40" s="1"/>
  <c r="K545" i="40"/>
  <c r="L545" i="40" s="1"/>
  <c r="F545" i="40"/>
  <c r="G545" i="40" s="1"/>
  <c r="D545" i="40"/>
  <c r="E545" i="40" s="1"/>
  <c r="B545" i="40"/>
  <c r="A545" i="40"/>
  <c r="M545" i="40" s="1"/>
  <c r="Y544" i="40"/>
  <c r="Z544" i="40" s="1"/>
  <c r="W544" i="40"/>
  <c r="B544" i="40"/>
  <c r="A544" i="40"/>
  <c r="Y543" i="40"/>
  <c r="Z543" i="40" s="1"/>
  <c r="W543" i="40"/>
  <c r="B543" i="40"/>
  <c r="A543" i="40"/>
  <c r="Y542" i="40"/>
  <c r="Z542" i="40" s="1"/>
  <c r="W542" i="40"/>
  <c r="B542" i="40"/>
  <c r="A542" i="40"/>
  <c r="Y541" i="40"/>
  <c r="Z541" i="40" s="1"/>
  <c r="W541" i="40"/>
  <c r="X541" i="40" s="1"/>
  <c r="K541" i="40"/>
  <c r="L541" i="40" s="1"/>
  <c r="B541" i="40"/>
  <c r="A541" i="40"/>
  <c r="Y540" i="40"/>
  <c r="Z540" i="40" s="1"/>
  <c r="W540" i="40"/>
  <c r="B540" i="40"/>
  <c r="A540" i="40"/>
  <c r="U539" i="40"/>
  <c r="S539" i="40"/>
  <c r="P539" i="40"/>
  <c r="Q539" i="40" s="1"/>
  <c r="N539" i="40"/>
  <c r="O539" i="40" s="1"/>
  <c r="K539" i="40"/>
  <c r="L539" i="40" s="1"/>
  <c r="F539" i="40"/>
  <c r="G539" i="40" s="1"/>
  <c r="D539" i="40"/>
  <c r="E539" i="40" s="1"/>
  <c r="B539" i="40"/>
  <c r="A539" i="40"/>
  <c r="M539" i="40" s="1"/>
  <c r="U538" i="40"/>
  <c r="S538" i="40"/>
  <c r="P538" i="40"/>
  <c r="Q538" i="40" s="1"/>
  <c r="N538" i="40"/>
  <c r="O538" i="40" s="1"/>
  <c r="K538" i="40"/>
  <c r="L538" i="40" s="1"/>
  <c r="F538" i="40"/>
  <c r="G538" i="40" s="1"/>
  <c r="D538" i="40"/>
  <c r="E538" i="40" s="1"/>
  <c r="B538" i="40"/>
  <c r="A538" i="40"/>
  <c r="M538" i="40" s="1"/>
  <c r="U537" i="40"/>
  <c r="S537" i="40"/>
  <c r="P537" i="40"/>
  <c r="Q537" i="40" s="1"/>
  <c r="N537" i="40"/>
  <c r="O537" i="40" s="1"/>
  <c r="K537" i="40"/>
  <c r="L537" i="40" s="1"/>
  <c r="F537" i="40"/>
  <c r="G537" i="40" s="1"/>
  <c r="D537" i="40"/>
  <c r="E537" i="40" s="1"/>
  <c r="B537" i="40"/>
  <c r="A537" i="40"/>
  <c r="M537" i="40" s="1"/>
  <c r="U536" i="40"/>
  <c r="S536" i="40"/>
  <c r="P536" i="40"/>
  <c r="Q536" i="40" s="1"/>
  <c r="N536" i="40"/>
  <c r="O536" i="40" s="1"/>
  <c r="K536" i="40"/>
  <c r="L536" i="40" s="1"/>
  <c r="F536" i="40"/>
  <c r="G536" i="40" s="1"/>
  <c r="D536" i="40"/>
  <c r="E536" i="40" s="1"/>
  <c r="B536" i="40"/>
  <c r="A536" i="40"/>
  <c r="M536" i="40" s="1"/>
  <c r="Y535" i="40"/>
  <c r="W535" i="40"/>
  <c r="X535" i="40" s="1"/>
  <c r="B535" i="40"/>
  <c r="A535" i="40"/>
  <c r="Y534" i="40"/>
  <c r="Z534" i="40" s="1"/>
  <c r="W534" i="40"/>
  <c r="X534" i="40" s="1"/>
  <c r="B534" i="40"/>
  <c r="A534" i="40"/>
  <c r="Y533" i="40"/>
  <c r="Z533" i="40" s="1"/>
  <c r="W533" i="40"/>
  <c r="B533" i="40"/>
  <c r="A533" i="40"/>
  <c r="Y532" i="40"/>
  <c r="Z532" i="40" s="1"/>
  <c r="W532" i="40"/>
  <c r="K532" i="40"/>
  <c r="L532" i="40" s="1"/>
  <c r="B532" i="40"/>
  <c r="A532" i="40"/>
  <c r="Y531" i="40"/>
  <c r="W531" i="40"/>
  <c r="X531" i="40" s="1"/>
  <c r="B531" i="40"/>
  <c r="A531" i="40"/>
  <c r="U530" i="40"/>
  <c r="S530" i="40"/>
  <c r="P530" i="40"/>
  <c r="Q530" i="40" s="1"/>
  <c r="N530" i="40"/>
  <c r="O530" i="40" s="1"/>
  <c r="K530" i="40"/>
  <c r="L530" i="40" s="1"/>
  <c r="F530" i="40"/>
  <c r="G530" i="40" s="1"/>
  <c r="D530" i="40"/>
  <c r="E530" i="40" s="1"/>
  <c r="B530" i="40"/>
  <c r="A530" i="40"/>
  <c r="M530" i="40" s="1"/>
  <c r="U529" i="40"/>
  <c r="S529" i="40"/>
  <c r="P529" i="40"/>
  <c r="Q529" i="40" s="1"/>
  <c r="N529" i="40"/>
  <c r="O529" i="40" s="1"/>
  <c r="K529" i="40"/>
  <c r="L529" i="40" s="1"/>
  <c r="F529" i="40"/>
  <c r="G529" i="40" s="1"/>
  <c r="D529" i="40"/>
  <c r="E529" i="40" s="1"/>
  <c r="B529" i="40"/>
  <c r="A529" i="40"/>
  <c r="M529" i="40" s="1"/>
  <c r="U528" i="40"/>
  <c r="S528" i="40"/>
  <c r="P528" i="40"/>
  <c r="Q528" i="40" s="1"/>
  <c r="N528" i="40"/>
  <c r="O528" i="40" s="1"/>
  <c r="K528" i="40"/>
  <c r="L528" i="40" s="1"/>
  <c r="F528" i="40"/>
  <c r="G528" i="40" s="1"/>
  <c r="D528" i="40"/>
  <c r="E528" i="40" s="1"/>
  <c r="B528" i="40"/>
  <c r="A528" i="40"/>
  <c r="M528" i="40" s="1"/>
  <c r="U527" i="40"/>
  <c r="S527" i="40"/>
  <c r="P527" i="40"/>
  <c r="Q527" i="40" s="1"/>
  <c r="N527" i="40"/>
  <c r="O527" i="40" s="1"/>
  <c r="K527" i="40"/>
  <c r="L527" i="40" s="1"/>
  <c r="F527" i="40"/>
  <c r="G527" i="40" s="1"/>
  <c r="D527" i="40"/>
  <c r="E527" i="40" s="1"/>
  <c r="B527" i="40"/>
  <c r="A527" i="40"/>
  <c r="M527" i="40" s="1"/>
  <c r="Y526" i="40"/>
  <c r="Z526" i="40" s="1"/>
  <c r="W526" i="40"/>
  <c r="B526" i="40"/>
  <c r="A526" i="40"/>
  <c r="Y525" i="40"/>
  <c r="Z525" i="40" s="1"/>
  <c r="W525" i="40"/>
  <c r="B525" i="40"/>
  <c r="A525" i="40"/>
  <c r="Y524" i="40"/>
  <c r="Z524" i="40" s="1"/>
  <c r="W524" i="40"/>
  <c r="B524" i="40"/>
  <c r="A524" i="40"/>
  <c r="Y523" i="40"/>
  <c r="Z523" i="40" s="1"/>
  <c r="W523" i="40"/>
  <c r="X523" i="40" s="1"/>
  <c r="K523" i="40"/>
  <c r="L523" i="40" s="1"/>
  <c r="B523" i="40"/>
  <c r="A523" i="40"/>
  <c r="Y522" i="40"/>
  <c r="Z522" i="40" s="1"/>
  <c r="W522" i="40"/>
  <c r="B522" i="40"/>
  <c r="A522" i="40"/>
  <c r="U521" i="40"/>
  <c r="S521" i="40"/>
  <c r="P521" i="40"/>
  <c r="Q521" i="40" s="1"/>
  <c r="N521" i="40"/>
  <c r="O521" i="40" s="1"/>
  <c r="K521" i="40"/>
  <c r="L521" i="40" s="1"/>
  <c r="F521" i="40"/>
  <c r="G521" i="40" s="1"/>
  <c r="D521" i="40"/>
  <c r="E521" i="40" s="1"/>
  <c r="B521" i="40"/>
  <c r="A521" i="40"/>
  <c r="M521" i="40" s="1"/>
  <c r="U520" i="40"/>
  <c r="S520" i="40"/>
  <c r="P520" i="40"/>
  <c r="Q520" i="40" s="1"/>
  <c r="N520" i="40"/>
  <c r="O520" i="40" s="1"/>
  <c r="K520" i="40"/>
  <c r="L520" i="40" s="1"/>
  <c r="F520" i="40"/>
  <c r="G520" i="40" s="1"/>
  <c r="D520" i="40"/>
  <c r="E520" i="40" s="1"/>
  <c r="B520" i="40"/>
  <c r="A520" i="40"/>
  <c r="M520" i="40" s="1"/>
  <c r="U519" i="40"/>
  <c r="S519" i="40"/>
  <c r="P519" i="40"/>
  <c r="Q519" i="40" s="1"/>
  <c r="N519" i="40"/>
  <c r="O519" i="40" s="1"/>
  <c r="K519" i="40"/>
  <c r="L519" i="40" s="1"/>
  <c r="F519" i="40"/>
  <c r="G519" i="40" s="1"/>
  <c r="D519" i="40"/>
  <c r="E519" i="40" s="1"/>
  <c r="B519" i="40"/>
  <c r="A519" i="40"/>
  <c r="M519" i="40" s="1"/>
  <c r="U518" i="40"/>
  <c r="S518" i="40"/>
  <c r="P518" i="40"/>
  <c r="Q518" i="40" s="1"/>
  <c r="N518" i="40"/>
  <c r="O518" i="40" s="1"/>
  <c r="K518" i="40"/>
  <c r="L518" i="40" s="1"/>
  <c r="F518" i="40"/>
  <c r="G518" i="40" s="1"/>
  <c r="D518" i="40"/>
  <c r="E518" i="40" s="1"/>
  <c r="B518" i="40"/>
  <c r="A518" i="40"/>
  <c r="M518" i="40" s="1"/>
  <c r="Y517" i="40"/>
  <c r="W517" i="40"/>
  <c r="X517" i="40" s="1"/>
  <c r="B517" i="40"/>
  <c r="A517" i="40"/>
  <c r="Y516" i="40"/>
  <c r="Z516" i="40" s="1"/>
  <c r="W516" i="40"/>
  <c r="X516" i="40" s="1"/>
  <c r="B516" i="40"/>
  <c r="A516" i="40"/>
  <c r="Y515" i="40"/>
  <c r="Z515" i="40" s="1"/>
  <c r="W515" i="40"/>
  <c r="B515" i="40"/>
  <c r="A515" i="40"/>
  <c r="Y514" i="40"/>
  <c r="Z514" i="40" s="1"/>
  <c r="W514" i="40"/>
  <c r="K514" i="40"/>
  <c r="L514" i="40" s="1"/>
  <c r="B514" i="40"/>
  <c r="A514" i="40"/>
  <c r="Y513" i="40"/>
  <c r="Z513" i="40" s="1"/>
  <c r="W513" i="40"/>
  <c r="B513" i="40"/>
  <c r="A513" i="40"/>
  <c r="U512" i="40"/>
  <c r="S512" i="40"/>
  <c r="P512" i="40"/>
  <c r="Q512" i="40" s="1"/>
  <c r="N512" i="40"/>
  <c r="O512" i="40" s="1"/>
  <c r="K512" i="40"/>
  <c r="L512" i="40" s="1"/>
  <c r="F512" i="40"/>
  <c r="G512" i="40" s="1"/>
  <c r="D512" i="40"/>
  <c r="E512" i="40" s="1"/>
  <c r="B512" i="40"/>
  <c r="A512" i="40"/>
  <c r="M512" i="40" s="1"/>
  <c r="U511" i="40"/>
  <c r="S511" i="40"/>
  <c r="P511" i="40"/>
  <c r="Q511" i="40" s="1"/>
  <c r="N511" i="40"/>
  <c r="O511" i="40" s="1"/>
  <c r="K511" i="40"/>
  <c r="L511" i="40" s="1"/>
  <c r="F511" i="40"/>
  <c r="G511" i="40" s="1"/>
  <c r="D511" i="40"/>
  <c r="E511" i="40" s="1"/>
  <c r="B511" i="40"/>
  <c r="A511" i="40"/>
  <c r="M511" i="40" s="1"/>
  <c r="U510" i="40"/>
  <c r="S510" i="40"/>
  <c r="P510" i="40"/>
  <c r="Q510" i="40" s="1"/>
  <c r="N510" i="40"/>
  <c r="O510" i="40" s="1"/>
  <c r="K510" i="40"/>
  <c r="L510" i="40" s="1"/>
  <c r="F510" i="40"/>
  <c r="G510" i="40" s="1"/>
  <c r="D510" i="40"/>
  <c r="E510" i="40" s="1"/>
  <c r="B510" i="40"/>
  <c r="A510" i="40"/>
  <c r="M510" i="40" s="1"/>
  <c r="U509" i="40"/>
  <c r="S509" i="40"/>
  <c r="P509" i="40"/>
  <c r="Q509" i="40" s="1"/>
  <c r="N509" i="40"/>
  <c r="O509" i="40" s="1"/>
  <c r="K509" i="40"/>
  <c r="L509" i="40" s="1"/>
  <c r="F509" i="40"/>
  <c r="G509" i="40" s="1"/>
  <c r="D509" i="40"/>
  <c r="E509" i="40" s="1"/>
  <c r="B509" i="40"/>
  <c r="A509" i="40"/>
  <c r="M509" i="40" s="1"/>
  <c r="Y508" i="40"/>
  <c r="Z508" i="40" s="1"/>
  <c r="W508" i="40"/>
  <c r="B508" i="40"/>
  <c r="A508" i="40"/>
  <c r="Y507" i="40"/>
  <c r="Z507" i="40" s="1"/>
  <c r="W507" i="40"/>
  <c r="B507" i="40"/>
  <c r="A507" i="40"/>
  <c r="Y506" i="40"/>
  <c r="Z506" i="40" s="1"/>
  <c r="W506" i="40"/>
  <c r="B506" i="40"/>
  <c r="A506" i="40"/>
  <c r="Y505" i="40"/>
  <c r="Z505" i="40" s="1"/>
  <c r="W505" i="40"/>
  <c r="K505" i="40"/>
  <c r="L505" i="40" s="1"/>
  <c r="B505" i="40"/>
  <c r="A505" i="40"/>
  <c r="Y504" i="40"/>
  <c r="Z504" i="40" s="1"/>
  <c r="W504" i="40"/>
  <c r="B504" i="40"/>
  <c r="A504" i="40"/>
  <c r="U503" i="40"/>
  <c r="S503" i="40"/>
  <c r="P503" i="40"/>
  <c r="Q503" i="40" s="1"/>
  <c r="N503" i="40"/>
  <c r="O503" i="40" s="1"/>
  <c r="K503" i="40"/>
  <c r="L503" i="40" s="1"/>
  <c r="F503" i="40"/>
  <c r="G503" i="40" s="1"/>
  <c r="D503" i="40"/>
  <c r="E503" i="40" s="1"/>
  <c r="B503" i="40"/>
  <c r="A503" i="40"/>
  <c r="M503" i="40" s="1"/>
  <c r="U502" i="40"/>
  <c r="S502" i="40"/>
  <c r="P502" i="40"/>
  <c r="Q502" i="40" s="1"/>
  <c r="N502" i="40"/>
  <c r="O502" i="40" s="1"/>
  <c r="K502" i="40"/>
  <c r="L502" i="40" s="1"/>
  <c r="F502" i="40"/>
  <c r="G502" i="40" s="1"/>
  <c r="D502" i="40"/>
  <c r="E502" i="40" s="1"/>
  <c r="B502" i="40"/>
  <c r="A502" i="40"/>
  <c r="M502" i="40" s="1"/>
  <c r="U501" i="40"/>
  <c r="S501" i="40"/>
  <c r="P501" i="40"/>
  <c r="Q501" i="40" s="1"/>
  <c r="N501" i="40"/>
  <c r="O501" i="40" s="1"/>
  <c r="K501" i="40"/>
  <c r="L501" i="40" s="1"/>
  <c r="F501" i="40"/>
  <c r="G501" i="40" s="1"/>
  <c r="D501" i="40"/>
  <c r="E501" i="40" s="1"/>
  <c r="B501" i="40"/>
  <c r="A501" i="40"/>
  <c r="M501" i="40" s="1"/>
  <c r="U500" i="40"/>
  <c r="S500" i="40"/>
  <c r="P500" i="40"/>
  <c r="Q500" i="40" s="1"/>
  <c r="N500" i="40"/>
  <c r="O500" i="40" s="1"/>
  <c r="K500" i="40"/>
  <c r="L500" i="40" s="1"/>
  <c r="F500" i="40"/>
  <c r="G500" i="40" s="1"/>
  <c r="D500" i="40"/>
  <c r="E500" i="40" s="1"/>
  <c r="B500" i="40"/>
  <c r="A500" i="40"/>
  <c r="M500" i="40" s="1"/>
  <c r="Y499" i="40"/>
  <c r="W499" i="40"/>
  <c r="X499" i="40" s="1"/>
  <c r="B499" i="40"/>
  <c r="A499" i="40"/>
  <c r="Y498" i="40"/>
  <c r="Z498" i="40" s="1"/>
  <c r="W498" i="40"/>
  <c r="X498" i="40" s="1"/>
  <c r="B498" i="40"/>
  <c r="A498" i="40"/>
  <c r="Y497" i="40"/>
  <c r="Z497" i="40" s="1"/>
  <c r="W497" i="40"/>
  <c r="B497" i="40"/>
  <c r="A497" i="40"/>
  <c r="Y496" i="40"/>
  <c r="Z496" i="40" s="1"/>
  <c r="W496" i="40"/>
  <c r="K496" i="40"/>
  <c r="L496" i="40" s="1"/>
  <c r="B496" i="40"/>
  <c r="A496" i="40"/>
  <c r="Y495" i="40"/>
  <c r="Z495" i="40" s="1"/>
  <c r="W495" i="40"/>
  <c r="X495" i="40" s="1"/>
  <c r="B495" i="40"/>
  <c r="A495" i="40"/>
  <c r="U494" i="40"/>
  <c r="S494" i="40"/>
  <c r="P494" i="40"/>
  <c r="Q494" i="40" s="1"/>
  <c r="N494" i="40"/>
  <c r="O494" i="40" s="1"/>
  <c r="K494" i="40"/>
  <c r="L494" i="40" s="1"/>
  <c r="F494" i="40"/>
  <c r="G494" i="40" s="1"/>
  <c r="D494" i="40"/>
  <c r="E494" i="40" s="1"/>
  <c r="B494" i="40"/>
  <c r="A494" i="40"/>
  <c r="M494" i="40" s="1"/>
  <c r="U493" i="40"/>
  <c r="S493" i="40"/>
  <c r="P493" i="40"/>
  <c r="Q493" i="40" s="1"/>
  <c r="N493" i="40"/>
  <c r="O493" i="40" s="1"/>
  <c r="K493" i="40"/>
  <c r="L493" i="40" s="1"/>
  <c r="F493" i="40"/>
  <c r="G493" i="40" s="1"/>
  <c r="D493" i="40"/>
  <c r="E493" i="40" s="1"/>
  <c r="B493" i="40"/>
  <c r="A493" i="40"/>
  <c r="M493" i="40" s="1"/>
  <c r="U492" i="40"/>
  <c r="S492" i="40"/>
  <c r="P492" i="40"/>
  <c r="Q492" i="40" s="1"/>
  <c r="N492" i="40"/>
  <c r="O492" i="40" s="1"/>
  <c r="K492" i="40"/>
  <c r="L492" i="40" s="1"/>
  <c r="F492" i="40"/>
  <c r="G492" i="40" s="1"/>
  <c r="D492" i="40"/>
  <c r="E492" i="40" s="1"/>
  <c r="B492" i="40"/>
  <c r="A492" i="40"/>
  <c r="M492" i="40" s="1"/>
  <c r="U491" i="40"/>
  <c r="S491" i="40"/>
  <c r="P491" i="40"/>
  <c r="Q491" i="40" s="1"/>
  <c r="N491" i="40"/>
  <c r="O491" i="40" s="1"/>
  <c r="K491" i="40"/>
  <c r="L491" i="40" s="1"/>
  <c r="F491" i="40"/>
  <c r="G491" i="40" s="1"/>
  <c r="D491" i="40"/>
  <c r="E491" i="40" s="1"/>
  <c r="B491" i="40"/>
  <c r="A491" i="40"/>
  <c r="M491" i="40" s="1"/>
  <c r="Y490" i="40"/>
  <c r="Z490" i="40" s="1"/>
  <c r="W490" i="40"/>
  <c r="B490" i="40"/>
  <c r="A490" i="40"/>
  <c r="Y489" i="40"/>
  <c r="Z489" i="40" s="1"/>
  <c r="W489" i="40"/>
  <c r="B489" i="40"/>
  <c r="A489" i="40"/>
  <c r="Y488" i="40"/>
  <c r="Z488" i="40" s="1"/>
  <c r="W488" i="40"/>
  <c r="B488" i="40"/>
  <c r="A488" i="40"/>
  <c r="Y487" i="40"/>
  <c r="Z487" i="40" s="1"/>
  <c r="W487" i="40"/>
  <c r="X487" i="40" s="1"/>
  <c r="K487" i="40"/>
  <c r="L487" i="40" s="1"/>
  <c r="B487" i="40"/>
  <c r="A487" i="40"/>
  <c r="Y486" i="40"/>
  <c r="Z486" i="40" s="1"/>
  <c r="W486" i="40"/>
  <c r="B486" i="40"/>
  <c r="A486" i="40"/>
  <c r="U485" i="40"/>
  <c r="S485" i="40"/>
  <c r="P485" i="40"/>
  <c r="Q485" i="40" s="1"/>
  <c r="N485" i="40"/>
  <c r="O485" i="40" s="1"/>
  <c r="K485" i="40"/>
  <c r="L485" i="40" s="1"/>
  <c r="F485" i="40"/>
  <c r="G485" i="40" s="1"/>
  <c r="D485" i="40"/>
  <c r="E485" i="40" s="1"/>
  <c r="B485" i="40"/>
  <c r="A485" i="40"/>
  <c r="M485" i="40" s="1"/>
  <c r="U484" i="40"/>
  <c r="S484" i="40"/>
  <c r="P484" i="40"/>
  <c r="Q484" i="40" s="1"/>
  <c r="N484" i="40"/>
  <c r="O484" i="40" s="1"/>
  <c r="K484" i="40"/>
  <c r="L484" i="40" s="1"/>
  <c r="F484" i="40"/>
  <c r="G484" i="40" s="1"/>
  <c r="D484" i="40"/>
  <c r="E484" i="40" s="1"/>
  <c r="B484" i="40"/>
  <c r="A484" i="40"/>
  <c r="M484" i="40" s="1"/>
  <c r="U483" i="40"/>
  <c r="S483" i="40"/>
  <c r="P483" i="40"/>
  <c r="Q483" i="40" s="1"/>
  <c r="N483" i="40"/>
  <c r="O483" i="40" s="1"/>
  <c r="K483" i="40"/>
  <c r="L483" i="40" s="1"/>
  <c r="F483" i="40"/>
  <c r="G483" i="40" s="1"/>
  <c r="D483" i="40"/>
  <c r="E483" i="40" s="1"/>
  <c r="B483" i="40"/>
  <c r="A483" i="40"/>
  <c r="M483" i="40" s="1"/>
  <c r="U482" i="40"/>
  <c r="S482" i="40"/>
  <c r="P482" i="40"/>
  <c r="Q482" i="40" s="1"/>
  <c r="N482" i="40"/>
  <c r="O482" i="40" s="1"/>
  <c r="K482" i="40"/>
  <c r="L482" i="40" s="1"/>
  <c r="F482" i="40"/>
  <c r="G482" i="40" s="1"/>
  <c r="D482" i="40"/>
  <c r="E482" i="40" s="1"/>
  <c r="B482" i="40"/>
  <c r="A482" i="40"/>
  <c r="M482" i="40" s="1"/>
  <c r="Y481" i="40"/>
  <c r="Z481" i="40" s="1"/>
  <c r="W481" i="40"/>
  <c r="X481" i="40" s="1"/>
  <c r="B481" i="40"/>
  <c r="A481" i="40"/>
  <c r="Y480" i="40"/>
  <c r="Z480" i="40" s="1"/>
  <c r="W480" i="40"/>
  <c r="X480" i="40" s="1"/>
  <c r="B480" i="40"/>
  <c r="A480" i="40"/>
  <c r="Y479" i="40"/>
  <c r="Z479" i="40" s="1"/>
  <c r="W479" i="40"/>
  <c r="X479" i="40" s="1"/>
  <c r="B479" i="40"/>
  <c r="A479" i="40"/>
  <c r="Y478" i="40"/>
  <c r="Z478" i="40" s="1"/>
  <c r="W478" i="40"/>
  <c r="X478" i="40" s="1"/>
  <c r="K478" i="40"/>
  <c r="L478" i="40" s="1"/>
  <c r="B478" i="40"/>
  <c r="A478" i="40"/>
  <c r="Y477" i="40"/>
  <c r="Z477" i="40" s="1"/>
  <c r="W477" i="40"/>
  <c r="B477" i="40"/>
  <c r="A477" i="40"/>
  <c r="U476" i="40"/>
  <c r="S476" i="40"/>
  <c r="P476" i="40"/>
  <c r="Q476" i="40" s="1"/>
  <c r="N476" i="40"/>
  <c r="O476" i="40" s="1"/>
  <c r="K476" i="40"/>
  <c r="L476" i="40" s="1"/>
  <c r="F476" i="40"/>
  <c r="G476" i="40" s="1"/>
  <c r="D476" i="40"/>
  <c r="E476" i="40" s="1"/>
  <c r="B476" i="40"/>
  <c r="A476" i="40"/>
  <c r="M476" i="40" s="1"/>
  <c r="U475" i="40"/>
  <c r="S475" i="40"/>
  <c r="P475" i="40"/>
  <c r="Q475" i="40" s="1"/>
  <c r="N475" i="40"/>
  <c r="O475" i="40" s="1"/>
  <c r="K475" i="40"/>
  <c r="L475" i="40" s="1"/>
  <c r="F475" i="40"/>
  <c r="G475" i="40" s="1"/>
  <c r="D475" i="40"/>
  <c r="E475" i="40" s="1"/>
  <c r="B475" i="40"/>
  <c r="A475" i="40"/>
  <c r="M475" i="40" s="1"/>
  <c r="U474" i="40"/>
  <c r="S474" i="40"/>
  <c r="P474" i="40"/>
  <c r="Q474" i="40" s="1"/>
  <c r="N474" i="40"/>
  <c r="O474" i="40" s="1"/>
  <c r="K474" i="40"/>
  <c r="L474" i="40" s="1"/>
  <c r="F474" i="40"/>
  <c r="G474" i="40" s="1"/>
  <c r="D474" i="40"/>
  <c r="E474" i="40" s="1"/>
  <c r="B474" i="40"/>
  <c r="A474" i="40"/>
  <c r="M474" i="40" s="1"/>
  <c r="U473" i="40"/>
  <c r="S473" i="40"/>
  <c r="P473" i="40"/>
  <c r="Q473" i="40" s="1"/>
  <c r="N473" i="40"/>
  <c r="O473" i="40" s="1"/>
  <c r="K473" i="40"/>
  <c r="L473" i="40" s="1"/>
  <c r="F473" i="40"/>
  <c r="G473" i="40" s="1"/>
  <c r="D473" i="40"/>
  <c r="E473" i="40" s="1"/>
  <c r="B473" i="40"/>
  <c r="A473" i="40"/>
  <c r="M473" i="40" s="1"/>
  <c r="Y472" i="40"/>
  <c r="Z472" i="40" s="1"/>
  <c r="W472" i="40"/>
  <c r="X472" i="40" s="1"/>
  <c r="B472" i="40"/>
  <c r="A472" i="40"/>
  <c r="Y471" i="40"/>
  <c r="Z471" i="40" s="1"/>
  <c r="W471" i="40"/>
  <c r="B471" i="40"/>
  <c r="A471" i="40"/>
  <c r="Y470" i="40"/>
  <c r="Z470" i="40" s="1"/>
  <c r="W470" i="40"/>
  <c r="B470" i="40"/>
  <c r="A470" i="40"/>
  <c r="Y469" i="40"/>
  <c r="Z469" i="40" s="1"/>
  <c r="W469" i="40"/>
  <c r="X469" i="40" s="1"/>
  <c r="K469" i="40"/>
  <c r="L469" i="40" s="1"/>
  <c r="B469" i="40"/>
  <c r="A469" i="40"/>
  <c r="Y468" i="40"/>
  <c r="Z468" i="40" s="1"/>
  <c r="W468" i="40"/>
  <c r="X468" i="40" s="1"/>
  <c r="B468" i="40"/>
  <c r="A468" i="40"/>
  <c r="U467" i="40"/>
  <c r="S467" i="40"/>
  <c r="P467" i="40"/>
  <c r="Q467" i="40" s="1"/>
  <c r="N467" i="40"/>
  <c r="O467" i="40" s="1"/>
  <c r="K467" i="40"/>
  <c r="L467" i="40" s="1"/>
  <c r="F467" i="40"/>
  <c r="G467" i="40" s="1"/>
  <c r="D467" i="40"/>
  <c r="E467" i="40" s="1"/>
  <c r="B467" i="40"/>
  <c r="A467" i="40"/>
  <c r="M467" i="40" s="1"/>
  <c r="U466" i="40"/>
  <c r="S466" i="40"/>
  <c r="P466" i="40"/>
  <c r="Q466" i="40" s="1"/>
  <c r="N466" i="40"/>
  <c r="O466" i="40" s="1"/>
  <c r="K466" i="40"/>
  <c r="L466" i="40" s="1"/>
  <c r="F466" i="40"/>
  <c r="G466" i="40" s="1"/>
  <c r="D466" i="40"/>
  <c r="E466" i="40" s="1"/>
  <c r="B466" i="40"/>
  <c r="A466" i="40"/>
  <c r="M466" i="40" s="1"/>
  <c r="U465" i="40"/>
  <c r="S465" i="40"/>
  <c r="P465" i="40"/>
  <c r="Q465" i="40" s="1"/>
  <c r="N465" i="40"/>
  <c r="O465" i="40" s="1"/>
  <c r="K465" i="40"/>
  <c r="L465" i="40" s="1"/>
  <c r="F465" i="40"/>
  <c r="G465" i="40" s="1"/>
  <c r="D465" i="40"/>
  <c r="E465" i="40" s="1"/>
  <c r="B465" i="40"/>
  <c r="A465" i="40"/>
  <c r="M465" i="40" s="1"/>
  <c r="U464" i="40"/>
  <c r="S464" i="40"/>
  <c r="P464" i="40"/>
  <c r="Q464" i="40" s="1"/>
  <c r="N464" i="40"/>
  <c r="O464" i="40" s="1"/>
  <c r="K464" i="40"/>
  <c r="L464" i="40" s="1"/>
  <c r="F464" i="40"/>
  <c r="G464" i="40" s="1"/>
  <c r="D464" i="40"/>
  <c r="E464" i="40" s="1"/>
  <c r="B464" i="40"/>
  <c r="A464" i="40"/>
  <c r="M464" i="40" s="1"/>
  <c r="Y463" i="40"/>
  <c r="Z463" i="40" s="1"/>
  <c r="W463" i="40"/>
  <c r="X463" i="40" s="1"/>
  <c r="B463" i="40"/>
  <c r="A463" i="40"/>
  <c r="Y462" i="40"/>
  <c r="Z462" i="40" s="1"/>
  <c r="W462" i="40"/>
  <c r="X462" i="40" s="1"/>
  <c r="B462" i="40"/>
  <c r="A462" i="40"/>
  <c r="Y461" i="40"/>
  <c r="Z461" i="40" s="1"/>
  <c r="W461" i="40"/>
  <c r="X461" i="40" s="1"/>
  <c r="B461" i="40"/>
  <c r="A461" i="40"/>
  <c r="Y460" i="40"/>
  <c r="Z460" i="40" s="1"/>
  <c r="W460" i="40"/>
  <c r="X460" i="40" s="1"/>
  <c r="K460" i="40"/>
  <c r="L460" i="40" s="1"/>
  <c r="B460" i="40"/>
  <c r="A460" i="40"/>
  <c r="Y459" i="40"/>
  <c r="Z459" i="40" s="1"/>
  <c r="X459" i="40"/>
  <c r="W459" i="40"/>
  <c r="B459" i="40"/>
  <c r="A459" i="40"/>
  <c r="U458" i="40"/>
  <c r="S458" i="40"/>
  <c r="P458" i="40"/>
  <c r="Q458" i="40" s="1"/>
  <c r="N458" i="40"/>
  <c r="O458" i="40" s="1"/>
  <c r="K458" i="40"/>
  <c r="L458" i="40" s="1"/>
  <c r="F458" i="40"/>
  <c r="G458" i="40" s="1"/>
  <c r="D458" i="40"/>
  <c r="E458" i="40" s="1"/>
  <c r="B458" i="40"/>
  <c r="A458" i="40"/>
  <c r="M458" i="40" s="1"/>
  <c r="U457" i="40"/>
  <c r="S457" i="40"/>
  <c r="P457" i="40"/>
  <c r="Q457" i="40" s="1"/>
  <c r="O457" i="40"/>
  <c r="N457" i="40"/>
  <c r="K457" i="40"/>
  <c r="L457" i="40" s="1"/>
  <c r="F457" i="40"/>
  <c r="G457" i="40" s="1"/>
  <c r="D457" i="40"/>
  <c r="E457" i="40" s="1"/>
  <c r="B457" i="40"/>
  <c r="A457" i="40"/>
  <c r="M457" i="40" s="1"/>
  <c r="U456" i="40"/>
  <c r="S456" i="40"/>
  <c r="P456" i="40"/>
  <c r="Q456" i="40" s="1"/>
  <c r="N456" i="40"/>
  <c r="O456" i="40" s="1"/>
  <c r="K456" i="40"/>
  <c r="L456" i="40" s="1"/>
  <c r="F456" i="40"/>
  <c r="G456" i="40" s="1"/>
  <c r="D456" i="40"/>
  <c r="E456" i="40" s="1"/>
  <c r="B456" i="40"/>
  <c r="A456" i="40"/>
  <c r="M456" i="40" s="1"/>
  <c r="U455" i="40"/>
  <c r="S455" i="40"/>
  <c r="P455" i="40"/>
  <c r="Q455" i="40" s="1"/>
  <c r="N455" i="40"/>
  <c r="O455" i="40" s="1"/>
  <c r="K455" i="40"/>
  <c r="L455" i="40" s="1"/>
  <c r="F455" i="40"/>
  <c r="G455" i="40" s="1"/>
  <c r="D455" i="40"/>
  <c r="E455" i="40" s="1"/>
  <c r="B455" i="40"/>
  <c r="A455" i="40"/>
  <c r="M455" i="40" s="1"/>
  <c r="Y454" i="40"/>
  <c r="Z454" i="40" s="1"/>
  <c r="W454" i="40"/>
  <c r="X454" i="40" s="1"/>
  <c r="B454" i="40"/>
  <c r="A454" i="40"/>
  <c r="Y453" i="40"/>
  <c r="Z453" i="40" s="1"/>
  <c r="X453" i="40"/>
  <c r="W453" i="40"/>
  <c r="B453" i="40"/>
  <c r="A453" i="40"/>
  <c r="Y452" i="40"/>
  <c r="Z452" i="40" s="1"/>
  <c r="W452" i="40"/>
  <c r="X452" i="40" s="1"/>
  <c r="B452" i="40"/>
  <c r="A452" i="40"/>
  <c r="Y451" i="40"/>
  <c r="Z451" i="40" s="1"/>
  <c r="W451" i="40"/>
  <c r="K451" i="40"/>
  <c r="L451" i="40" s="1"/>
  <c r="B451" i="40"/>
  <c r="A451" i="40"/>
  <c r="Y450" i="40"/>
  <c r="Z450" i="40" s="1"/>
  <c r="W450" i="40"/>
  <c r="B450" i="40"/>
  <c r="A450" i="40"/>
  <c r="U449" i="40"/>
  <c r="S449" i="40"/>
  <c r="P449" i="40"/>
  <c r="Q449" i="40" s="1"/>
  <c r="N449" i="40"/>
  <c r="O449" i="40" s="1"/>
  <c r="K449" i="40"/>
  <c r="L449" i="40" s="1"/>
  <c r="F449" i="40"/>
  <c r="G449" i="40" s="1"/>
  <c r="D449" i="40"/>
  <c r="E449" i="40" s="1"/>
  <c r="B449" i="40"/>
  <c r="A449" i="40"/>
  <c r="M449" i="40" s="1"/>
  <c r="U448" i="40"/>
  <c r="S448" i="40"/>
  <c r="P448" i="40"/>
  <c r="Q448" i="40" s="1"/>
  <c r="N448" i="40"/>
  <c r="O448" i="40" s="1"/>
  <c r="K448" i="40"/>
  <c r="L448" i="40" s="1"/>
  <c r="F448" i="40"/>
  <c r="G448" i="40" s="1"/>
  <c r="D448" i="40"/>
  <c r="E448" i="40" s="1"/>
  <c r="B448" i="40"/>
  <c r="A448" i="40"/>
  <c r="M448" i="40" s="1"/>
  <c r="U447" i="40"/>
  <c r="S447" i="40"/>
  <c r="P447" i="40"/>
  <c r="Q447" i="40" s="1"/>
  <c r="N447" i="40"/>
  <c r="O447" i="40" s="1"/>
  <c r="K447" i="40"/>
  <c r="L447" i="40" s="1"/>
  <c r="F447" i="40"/>
  <c r="G447" i="40" s="1"/>
  <c r="D447" i="40"/>
  <c r="E447" i="40" s="1"/>
  <c r="B447" i="40"/>
  <c r="A447" i="40"/>
  <c r="M447" i="40" s="1"/>
  <c r="U446" i="40"/>
  <c r="S446" i="40"/>
  <c r="P446" i="40"/>
  <c r="Q446" i="40" s="1"/>
  <c r="N446" i="40"/>
  <c r="O446" i="40" s="1"/>
  <c r="K446" i="40"/>
  <c r="L446" i="40" s="1"/>
  <c r="F446" i="40"/>
  <c r="G446" i="40" s="1"/>
  <c r="D446" i="40"/>
  <c r="E446" i="40" s="1"/>
  <c r="B446" i="40"/>
  <c r="A446" i="40"/>
  <c r="M446" i="40" s="1"/>
  <c r="Y445" i="40"/>
  <c r="Z445" i="40" s="1"/>
  <c r="W445" i="40"/>
  <c r="X445" i="40" s="1"/>
  <c r="B445" i="40"/>
  <c r="A445" i="40"/>
  <c r="Y444" i="40"/>
  <c r="Z444" i="40" s="1"/>
  <c r="W444" i="40"/>
  <c r="B444" i="40"/>
  <c r="A444" i="40"/>
  <c r="Y443" i="40"/>
  <c r="Z443" i="40" s="1"/>
  <c r="W443" i="40"/>
  <c r="B443" i="40"/>
  <c r="A443" i="40"/>
  <c r="Y442" i="40"/>
  <c r="Z442" i="40" s="1"/>
  <c r="W442" i="40"/>
  <c r="K442" i="40"/>
  <c r="L442" i="40" s="1"/>
  <c r="B442" i="40"/>
  <c r="A442" i="40"/>
  <c r="Y441" i="40"/>
  <c r="Z441" i="40" s="1"/>
  <c r="W441" i="40"/>
  <c r="B441" i="40"/>
  <c r="A441" i="40"/>
  <c r="U440" i="40"/>
  <c r="S440" i="40"/>
  <c r="P440" i="40"/>
  <c r="Q440" i="40" s="1"/>
  <c r="N440" i="40"/>
  <c r="O440" i="40" s="1"/>
  <c r="K440" i="40"/>
  <c r="L440" i="40" s="1"/>
  <c r="F440" i="40"/>
  <c r="G440" i="40" s="1"/>
  <c r="D440" i="40"/>
  <c r="E440" i="40" s="1"/>
  <c r="B440" i="40"/>
  <c r="A440" i="40"/>
  <c r="M440" i="40" s="1"/>
  <c r="U439" i="40"/>
  <c r="S439" i="40"/>
  <c r="P439" i="40"/>
  <c r="Q439" i="40" s="1"/>
  <c r="N439" i="40"/>
  <c r="O439" i="40" s="1"/>
  <c r="K439" i="40"/>
  <c r="L439" i="40" s="1"/>
  <c r="F439" i="40"/>
  <c r="G439" i="40" s="1"/>
  <c r="D439" i="40"/>
  <c r="E439" i="40" s="1"/>
  <c r="B439" i="40"/>
  <c r="A439" i="40"/>
  <c r="M439" i="40" s="1"/>
  <c r="U438" i="40"/>
  <c r="S438" i="40"/>
  <c r="P438" i="40"/>
  <c r="Q438" i="40" s="1"/>
  <c r="N438" i="40"/>
  <c r="O438" i="40" s="1"/>
  <c r="K438" i="40"/>
  <c r="L438" i="40" s="1"/>
  <c r="F438" i="40"/>
  <c r="G438" i="40" s="1"/>
  <c r="D438" i="40"/>
  <c r="E438" i="40" s="1"/>
  <c r="B438" i="40"/>
  <c r="A438" i="40"/>
  <c r="M438" i="40" s="1"/>
  <c r="U437" i="40"/>
  <c r="S437" i="40"/>
  <c r="P437" i="40"/>
  <c r="Q437" i="40" s="1"/>
  <c r="N437" i="40"/>
  <c r="O437" i="40" s="1"/>
  <c r="K437" i="40"/>
  <c r="L437" i="40" s="1"/>
  <c r="F437" i="40"/>
  <c r="G437" i="40" s="1"/>
  <c r="D437" i="40"/>
  <c r="E437" i="40" s="1"/>
  <c r="B437" i="40"/>
  <c r="A437" i="40"/>
  <c r="M437" i="40" s="1"/>
  <c r="Y436" i="40"/>
  <c r="Z436" i="40" s="1"/>
  <c r="W436" i="40"/>
  <c r="X436" i="40" s="1"/>
  <c r="B436" i="40"/>
  <c r="A436" i="40"/>
  <c r="Y435" i="40"/>
  <c r="Z435" i="40" s="1"/>
  <c r="W435" i="40"/>
  <c r="X435" i="40" s="1"/>
  <c r="B435" i="40"/>
  <c r="A435" i="40"/>
  <c r="Y434" i="40"/>
  <c r="Z434" i="40" s="1"/>
  <c r="W434" i="40"/>
  <c r="B434" i="40"/>
  <c r="A434" i="40"/>
  <c r="Y433" i="40"/>
  <c r="Z433" i="40" s="1"/>
  <c r="W433" i="40"/>
  <c r="X433" i="40" s="1"/>
  <c r="K433" i="40"/>
  <c r="L433" i="40" s="1"/>
  <c r="B433" i="40"/>
  <c r="A433" i="40"/>
  <c r="Y432" i="40"/>
  <c r="Z432" i="40" s="1"/>
  <c r="W432" i="40"/>
  <c r="X432" i="40" s="1"/>
  <c r="B432" i="40"/>
  <c r="A432" i="40"/>
  <c r="U431" i="40"/>
  <c r="S431" i="40"/>
  <c r="P431" i="40"/>
  <c r="Q431" i="40" s="1"/>
  <c r="N431" i="40"/>
  <c r="O431" i="40" s="1"/>
  <c r="K431" i="40"/>
  <c r="L431" i="40" s="1"/>
  <c r="F431" i="40"/>
  <c r="G431" i="40" s="1"/>
  <c r="D431" i="40"/>
  <c r="E431" i="40" s="1"/>
  <c r="B431" i="40"/>
  <c r="A431" i="40"/>
  <c r="M431" i="40" s="1"/>
  <c r="U430" i="40"/>
  <c r="S430" i="40"/>
  <c r="P430" i="40"/>
  <c r="Q430" i="40" s="1"/>
  <c r="N430" i="40"/>
  <c r="O430" i="40" s="1"/>
  <c r="K430" i="40"/>
  <c r="L430" i="40" s="1"/>
  <c r="F430" i="40"/>
  <c r="G430" i="40" s="1"/>
  <c r="E430" i="40"/>
  <c r="D430" i="40"/>
  <c r="B430" i="40"/>
  <c r="A430" i="40"/>
  <c r="M430" i="40" s="1"/>
  <c r="U429" i="40"/>
  <c r="S429" i="40"/>
  <c r="P429" i="40"/>
  <c r="Q429" i="40" s="1"/>
  <c r="N429" i="40"/>
  <c r="O429" i="40" s="1"/>
  <c r="K429" i="40"/>
  <c r="L429" i="40" s="1"/>
  <c r="F429" i="40"/>
  <c r="G429" i="40" s="1"/>
  <c r="D429" i="40"/>
  <c r="E429" i="40" s="1"/>
  <c r="B429" i="40"/>
  <c r="A429" i="40"/>
  <c r="M429" i="40" s="1"/>
  <c r="U428" i="40"/>
  <c r="S428" i="40"/>
  <c r="P428" i="40"/>
  <c r="Q428" i="40" s="1"/>
  <c r="N428" i="40"/>
  <c r="O428" i="40" s="1"/>
  <c r="K428" i="40"/>
  <c r="L428" i="40" s="1"/>
  <c r="F428" i="40"/>
  <c r="G428" i="40" s="1"/>
  <c r="D428" i="40"/>
  <c r="E428" i="40" s="1"/>
  <c r="B428" i="40"/>
  <c r="A428" i="40"/>
  <c r="M428" i="40" s="1"/>
  <c r="Y427" i="40"/>
  <c r="Z427" i="40" s="1"/>
  <c r="W427" i="40"/>
  <c r="B427" i="40"/>
  <c r="A427" i="40"/>
  <c r="Y426" i="40"/>
  <c r="Z426" i="40" s="1"/>
  <c r="W426" i="40"/>
  <c r="X426" i="40" s="1"/>
  <c r="B426" i="40"/>
  <c r="A426" i="40"/>
  <c r="Y425" i="40"/>
  <c r="Z425" i="40" s="1"/>
  <c r="W425" i="40"/>
  <c r="B425" i="40"/>
  <c r="A425" i="40"/>
  <c r="Y424" i="40"/>
  <c r="Z424" i="40" s="1"/>
  <c r="W424" i="40"/>
  <c r="K424" i="40"/>
  <c r="L424" i="40" s="1"/>
  <c r="B424" i="40"/>
  <c r="A424" i="40"/>
  <c r="Y423" i="40"/>
  <c r="Z423" i="40" s="1"/>
  <c r="W423" i="40"/>
  <c r="X423" i="40" s="1"/>
  <c r="B423" i="40"/>
  <c r="A423" i="40"/>
  <c r="U422" i="40"/>
  <c r="S422" i="40"/>
  <c r="P422" i="40"/>
  <c r="Q422" i="40" s="1"/>
  <c r="N422" i="40"/>
  <c r="O422" i="40" s="1"/>
  <c r="K422" i="40"/>
  <c r="L422" i="40" s="1"/>
  <c r="F422" i="40"/>
  <c r="G422" i="40" s="1"/>
  <c r="D422" i="40"/>
  <c r="E422" i="40" s="1"/>
  <c r="B422" i="40"/>
  <c r="A422" i="40"/>
  <c r="M422" i="40" s="1"/>
  <c r="U421" i="40"/>
  <c r="S421" i="40"/>
  <c r="P421" i="40"/>
  <c r="Q421" i="40" s="1"/>
  <c r="N421" i="40"/>
  <c r="O421" i="40" s="1"/>
  <c r="K421" i="40"/>
  <c r="L421" i="40" s="1"/>
  <c r="F421" i="40"/>
  <c r="G421" i="40" s="1"/>
  <c r="D421" i="40"/>
  <c r="E421" i="40" s="1"/>
  <c r="B421" i="40"/>
  <c r="A421" i="40"/>
  <c r="M421" i="40" s="1"/>
  <c r="U420" i="40"/>
  <c r="S420" i="40"/>
  <c r="P420" i="40"/>
  <c r="Q420" i="40" s="1"/>
  <c r="N420" i="40"/>
  <c r="O420" i="40" s="1"/>
  <c r="K420" i="40"/>
  <c r="L420" i="40" s="1"/>
  <c r="F420" i="40"/>
  <c r="G420" i="40" s="1"/>
  <c r="D420" i="40"/>
  <c r="E420" i="40" s="1"/>
  <c r="B420" i="40"/>
  <c r="A420" i="40"/>
  <c r="M420" i="40" s="1"/>
  <c r="U419" i="40"/>
  <c r="S419" i="40"/>
  <c r="P419" i="40"/>
  <c r="Q419" i="40" s="1"/>
  <c r="N419" i="40"/>
  <c r="O419" i="40" s="1"/>
  <c r="K419" i="40"/>
  <c r="L419" i="40" s="1"/>
  <c r="F419" i="40"/>
  <c r="G419" i="40" s="1"/>
  <c r="D419" i="40"/>
  <c r="E419" i="40" s="1"/>
  <c r="B419" i="40"/>
  <c r="A419" i="40"/>
  <c r="M419" i="40" s="1"/>
  <c r="Y418" i="40"/>
  <c r="Z418" i="40" s="1"/>
  <c r="W418" i="40"/>
  <c r="X418" i="40" s="1"/>
  <c r="B418" i="40"/>
  <c r="A418" i="40"/>
  <c r="Y417" i="40"/>
  <c r="Z417" i="40" s="1"/>
  <c r="W417" i="40"/>
  <c r="X417" i="40" s="1"/>
  <c r="B417" i="40"/>
  <c r="A417" i="40"/>
  <c r="Y416" i="40"/>
  <c r="Z416" i="40" s="1"/>
  <c r="W416" i="40"/>
  <c r="B416" i="40"/>
  <c r="A416" i="40"/>
  <c r="Y415" i="40"/>
  <c r="Z415" i="40" s="1"/>
  <c r="W415" i="40"/>
  <c r="X415" i="40" s="1"/>
  <c r="K415" i="40"/>
  <c r="L415" i="40" s="1"/>
  <c r="B415" i="40"/>
  <c r="A415" i="40"/>
  <c r="Y414" i="40"/>
  <c r="Z414" i="40" s="1"/>
  <c r="W414" i="40"/>
  <c r="X414" i="40" s="1"/>
  <c r="B414" i="40"/>
  <c r="A414" i="40"/>
  <c r="U413" i="40"/>
  <c r="S413" i="40"/>
  <c r="P413" i="40"/>
  <c r="Q413" i="40" s="1"/>
  <c r="N413" i="40"/>
  <c r="O413" i="40" s="1"/>
  <c r="K413" i="40"/>
  <c r="L413" i="40" s="1"/>
  <c r="F413" i="40"/>
  <c r="G413" i="40" s="1"/>
  <c r="D413" i="40"/>
  <c r="E413" i="40" s="1"/>
  <c r="B413" i="40"/>
  <c r="A413" i="40"/>
  <c r="M413" i="40" s="1"/>
  <c r="U412" i="40"/>
  <c r="S412" i="40"/>
  <c r="P412" i="40"/>
  <c r="Q412" i="40" s="1"/>
  <c r="N412" i="40"/>
  <c r="O412" i="40" s="1"/>
  <c r="K412" i="40"/>
  <c r="L412" i="40" s="1"/>
  <c r="F412" i="40"/>
  <c r="G412" i="40" s="1"/>
  <c r="D412" i="40"/>
  <c r="E412" i="40" s="1"/>
  <c r="B412" i="40"/>
  <c r="A412" i="40"/>
  <c r="M412" i="40" s="1"/>
  <c r="U411" i="40"/>
  <c r="S411" i="40"/>
  <c r="P411" i="40"/>
  <c r="Q411" i="40" s="1"/>
  <c r="N411" i="40"/>
  <c r="O411" i="40" s="1"/>
  <c r="K411" i="40"/>
  <c r="L411" i="40" s="1"/>
  <c r="F411" i="40"/>
  <c r="G411" i="40" s="1"/>
  <c r="D411" i="40"/>
  <c r="E411" i="40" s="1"/>
  <c r="B411" i="40"/>
  <c r="A411" i="40"/>
  <c r="M411" i="40" s="1"/>
  <c r="U410" i="40"/>
  <c r="S410" i="40"/>
  <c r="P410" i="40"/>
  <c r="Q410" i="40" s="1"/>
  <c r="N410" i="40"/>
  <c r="O410" i="40" s="1"/>
  <c r="K410" i="40"/>
  <c r="L410" i="40" s="1"/>
  <c r="F410" i="40"/>
  <c r="G410" i="40" s="1"/>
  <c r="D410" i="40"/>
  <c r="E410" i="40" s="1"/>
  <c r="B410" i="40"/>
  <c r="A410" i="40"/>
  <c r="M410" i="40" s="1"/>
  <c r="Y409" i="40"/>
  <c r="Z409" i="40" s="1"/>
  <c r="W409" i="40"/>
  <c r="B409" i="40"/>
  <c r="A409" i="40"/>
  <c r="Y408" i="40"/>
  <c r="Z408" i="40" s="1"/>
  <c r="W408" i="40"/>
  <c r="X408" i="40" s="1"/>
  <c r="B408" i="40"/>
  <c r="A408" i="40"/>
  <c r="Y407" i="40"/>
  <c r="Z407" i="40" s="1"/>
  <c r="W407" i="40"/>
  <c r="B407" i="40"/>
  <c r="A407" i="40"/>
  <c r="Y406" i="40"/>
  <c r="Z406" i="40" s="1"/>
  <c r="W406" i="40"/>
  <c r="X406" i="40" s="1"/>
  <c r="K406" i="40"/>
  <c r="L406" i="40" s="1"/>
  <c r="B406" i="40"/>
  <c r="A406" i="40"/>
  <c r="Y405" i="40"/>
  <c r="Z405" i="40" s="1"/>
  <c r="W405" i="40"/>
  <c r="X405" i="40" s="1"/>
  <c r="B405" i="40"/>
  <c r="A405" i="40"/>
  <c r="U404" i="40"/>
  <c r="S404" i="40"/>
  <c r="P404" i="40"/>
  <c r="Q404" i="40" s="1"/>
  <c r="N404" i="40"/>
  <c r="O404" i="40" s="1"/>
  <c r="K404" i="40"/>
  <c r="L404" i="40" s="1"/>
  <c r="F404" i="40"/>
  <c r="G404" i="40" s="1"/>
  <c r="D404" i="40"/>
  <c r="E404" i="40" s="1"/>
  <c r="B404" i="40"/>
  <c r="A404" i="40"/>
  <c r="M404" i="40" s="1"/>
  <c r="U403" i="40"/>
  <c r="S403" i="40"/>
  <c r="P403" i="40"/>
  <c r="Q403" i="40" s="1"/>
  <c r="N403" i="40"/>
  <c r="O403" i="40" s="1"/>
  <c r="K403" i="40"/>
  <c r="L403" i="40" s="1"/>
  <c r="F403" i="40"/>
  <c r="G403" i="40" s="1"/>
  <c r="D403" i="40"/>
  <c r="E403" i="40" s="1"/>
  <c r="B403" i="40"/>
  <c r="A403" i="40"/>
  <c r="M403" i="40" s="1"/>
  <c r="U402" i="40"/>
  <c r="S402" i="40"/>
  <c r="P402" i="40"/>
  <c r="Q402" i="40" s="1"/>
  <c r="N402" i="40"/>
  <c r="O402" i="40" s="1"/>
  <c r="K402" i="40"/>
  <c r="L402" i="40" s="1"/>
  <c r="F402" i="40"/>
  <c r="G402" i="40" s="1"/>
  <c r="D402" i="40"/>
  <c r="E402" i="40" s="1"/>
  <c r="B402" i="40"/>
  <c r="A402" i="40"/>
  <c r="M402" i="40" s="1"/>
  <c r="U401" i="40"/>
  <c r="S401" i="40"/>
  <c r="P401" i="40"/>
  <c r="Q401" i="40" s="1"/>
  <c r="N401" i="40"/>
  <c r="O401" i="40" s="1"/>
  <c r="K401" i="40"/>
  <c r="L401" i="40" s="1"/>
  <c r="F401" i="40"/>
  <c r="G401" i="40" s="1"/>
  <c r="D401" i="40"/>
  <c r="E401" i="40" s="1"/>
  <c r="B401" i="40"/>
  <c r="A401" i="40"/>
  <c r="M401" i="40" s="1"/>
  <c r="Y400" i="40"/>
  <c r="Z400" i="40" s="1"/>
  <c r="W400" i="40"/>
  <c r="X400" i="40" s="1"/>
  <c r="B400" i="40"/>
  <c r="A400" i="40"/>
  <c r="Y399" i="40"/>
  <c r="Z399" i="40" s="1"/>
  <c r="W399" i="40"/>
  <c r="B399" i="40"/>
  <c r="A399" i="40"/>
  <c r="Y398" i="40"/>
  <c r="Z398" i="40" s="1"/>
  <c r="W398" i="40"/>
  <c r="X398" i="40" s="1"/>
  <c r="B398" i="40"/>
  <c r="A398" i="40"/>
  <c r="Y397" i="40"/>
  <c r="Z397" i="40" s="1"/>
  <c r="W397" i="40"/>
  <c r="X397" i="40" s="1"/>
  <c r="K397" i="40"/>
  <c r="L397" i="40" s="1"/>
  <c r="B397" i="40"/>
  <c r="A397" i="40"/>
  <c r="Y396" i="40"/>
  <c r="Z396" i="40" s="1"/>
  <c r="W396" i="40"/>
  <c r="B396" i="40"/>
  <c r="A396" i="40"/>
  <c r="U395" i="40"/>
  <c r="S395" i="40"/>
  <c r="P395" i="40"/>
  <c r="Q395" i="40" s="1"/>
  <c r="N395" i="40"/>
  <c r="O395" i="40" s="1"/>
  <c r="K395" i="40"/>
  <c r="L395" i="40" s="1"/>
  <c r="F395" i="40"/>
  <c r="G395" i="40" s="1"/>
  <c r="D395" i="40"/>
  <c r="E395" i="40" s="1"/>
  <c r="B395" i="40"/>
  <c r="A395" i="40"/>
  <c r="M395" i="40" s="1"/>
  <c r="U394" i="40"/>
  <c r="S394" i="40"/>
  <c r="P394" i="40"/>
  <c r="Q394" i="40" s="1"/>
  <c r="N394" i="40"/>
  <c r="O394" i="40" s="1"/>
  <c r="K394" i="40"/>
  <c r="L394" i="40" s="1"/>
  <c r="F394" i="40"/>
  <c r="G394" i="40" s="1"/>
  <c r="D394" i="40"/>
  <c r="E394" i="40" s="1"/>
  <c r="B394" i="40"/>
  <c r="A394" i="40"/>
  <c r="M394" i="40" s="1"/>
  <c r="U393" i="40"/>
  <c r="S393" i="40"/>
  <c r="P393" i="40"/>
  <c r="Q393" i="40" s="1"/>
  <c r="N393" i="40"/>
  <c r="O393" i="40" s="1"/>
  <c r="K393" i="40"/>
  <c r="L393" i="40" s="1"/>
  <c r="F393" i="40"/>
  <c r="G393" i="40" s="1"/>
  <c r="D393" i="40"/>
  <c r="E393" i="40" s="1"/>
  <c r="B393" i="40"/>
  <c r="A393" i="40"/>
  <c r="M393" i="40" s="1"/>
  <c r="U392" i="40"/>
  <c r="S392" i="40"/>
  <c r="P392" i="40"/>
  <c r="Q392" i="40" s="1"/>
  <c r="N392" i="40"/>
  <c r="O392" i="40" s="1"/>
  <c r="K392" i="40"/>
  <c r="L392" i="40" s="1"/>
  <c r="F392" i="40"/>
  <c r="G392" i="40" s="1"/>
  <c r="D392" i="40"/>
  <c r="E392" i="40" s="1"/>
  <c r="B392" i="40"/>
  <c r="A392" i="40"/>
  <c r="M392" i="40" s="1"/>
  <c r="Y391" i="40"/>
  <c r="Z391" i="40" s="1"/>
  <c r="W391" i="40"/>
  <c r="X391" i="40" s="1"/>
  <c r="B391" i="40"/>
  <c r="A391" i="40"/>
  <c r="Y390" i="40"/>
  <c r="W390" i="40"/>
  <c r="X390" i="40" s="1"/>
  <c r="B390" i="40"/>
  <c r="A390" i="40"/>
  <c r="Y389" i="40"/>
  <c r="Z389" i="40" s="1"/>
  <c r="W389" i="40"/>
  <c r="X389" i="40" s="1"/>
  <c r="B389" i="40"/>
  <c r="A389" i="40"/>
  <c r="Y388" i="40"/>
  <c r="W388" i="40"/>
  <c r="X388" i="40" s="1"/>
  <c r="K388" i="40"/>
  <c r="L388" i="40" s="1"/>
  <c r="B388" i="40"/>
  <c r="A388" i="40"/>
  <c r="Y387" i="40"/>
  <c r="Z387" i="40" s="1"/>
  <c r="W387" i="40"/>
  <c r="B387" i="40"/>
  <c r="A387" i="40"/>
  <c r="U386" i="40"/>
  <c r="S386" i="40"/>
  <c r="P386" i="40"/>
  <c r="Q386" i="40" s="1"/>
  <c r="N386" i="40"/>
  <c r="O386" i="40" s="1"/>
  <c r="K386" i="40"/>
  <c r="L386" i="40" s="1"/>
  <c r="F386" i="40"/>
  <c r="G386" i="40" s="1"/>
  <c r="D386" i="40"/>
  <c r="E386" i="40" s="1"/>
  <c r="B386" i="40"/>
  <c r="A386" i="40"/>
  <c r="M386" i="40" s="1"/>
  <c r="U385" i="40"/>
  <c r="S385" i="40"/>
  <c r="P385" i="40"/>
  <c r="Q385" i="40" s="1"/>
  <c r="N385" i="40"/>
  <c r="O385" i="40" s="1"/>
  <c r="K385" i="40"/>
  <c r="L385" i="40" s="1"/>
  <c r="F385" i="40"/>
  <c r="G385" i="40" s="1"/>
  <c r="D385" i="40"/>
  <c r="E385" i="40" s="1"/>
  <c r="B385" i="40"/>
  <c r="A385" i="40"/>
  <c r="M385" i="40" s="1"/>
  <c r="U384" i="40"/>
  <c r="S384" i="40"/>
  <c r="P384" i="40"/>
  <c r="Q384" i="40" s="1"/>
  <c r="N384" i="40"/>
  <c r="O384" i="40" s="1"/>
  <c r="K384" i="40"/>
  <c r="L384" i="40" s="1"/>
  <c r="F384" i="40"/>
  <c r="G384" i="40" s="1"/>
  <c r="D384" i="40"/>
  <c r="E384" i="40" s="1"/>
  <c r="B384" i="40"/>
  <c r="A384" i="40"/>
  <c r="M384" i="40" s="1"/>
  <c r="U383" i="40"/>
  <c r="S383" i="40"/>
  <c r="P383" i="40"/>
  <c r="Q383" i="40" s="1"/>
  <c r="N383" i="40"/>
  <c r="O383" i="40" s="1"/>
  <c r="K383" i="40"/>
  <c r="L383" i="40" s="1"/>
  <c r="F383" i="40"/>
  <c r="G383" i="40" s="1"/>
  <c r="D383" i="40"/>
  <c r="E383" i="40" s="1"/>
  <c r="B383" i="40"/>
  <c r="A383" i="40"/>
  <c r="M383" i="40" s="1"/>
  <c r="Y382" i="40"/>
  <c r="Z382" i="40" s="1"/>
  <c r="W382" i="40"/>
  <c r="X382" i="40" s="1"/>
  <c r="B382" i="40"/>
  <c r="A382" i="40"/>
  <c r="Y381" i="40"/>
  <c r="Z381" i="40" s="1"/>
  <c r="W381" i="40"/>
  <c r="X381" i="40" s="1"/>
  <c r="B381" i="40"/>
  <c r="A381" i="40"/>
  <c r="Y380" i="40"/>
  <c r="Z380" i="40" s="1"/>
  <c r="W380" i="40"/>
  <c r="B380" i="40"/>
  <c r="A380" i="40"/>
  <c r="Y379" i="40"/>
  <c r="Z379" i="40" s="1"/>
  <c r="W379" i="40"/>
  <c r="X379" i="40" s="1"/>
  <c r="K379" i="40"/>
  <c r="L379" i="40" s="1"/>
  <c r="B379" i="40"/>
  <c r="A379" i="40"/>
  <c r="Y378" i="40"/>
  <c r="Z378" i="40" s="1"/>
  <c r="W378" i="40"/>
  <c r="B378" i="40"/>
  <c r="A378" i="40"/>
  <c r="U377" i="40"/>
  <c r="S377" i="40"/>
  <c r="P377" i="40"/>
  <c r="Q377" i="40" s="1"/>
  <c r="N377" i="40"/>
  <c r="O377" i="40" s="1"/>
  <c r="K377" i="40"/>
  <c r="L377" i="40" s="1"/>
  <c r="F377" i="40"/>
  <c r="G377" i="40" s="1"/>
  <c r="D377" i="40"/>
  <c r="E377" i="40" s="1"/>
  <c r="B377" i="40"/>
  <c r="A377" i="40"/>
  <c r="M377" i="40" s="1"/>
  <c r="U376" i="40"/>
  <c r="S376" i="40"/>
  <c r="P376" i="40"/>
  <c r="Q376" i="40" s="1"/>
  <c r="N376" i="40"/>
  <c r="O376" i="40" s="1"/>
  <c r="K376" i="40"/>
  <c r="L376" i="40" s="1"/>
  <c r="F376" i="40"/>
  <c r="G376" i="40" s="1"/>
  <c r="D376" i="40"/>
  <c r="E376" i="40" s="1"/>
  <c r="B376" i="40"/>
  <c r="A376" i="40"/>
  <c r="M376" i="40" s="1"/>
  <c r="U375" i="40"/>
  <c r="S375" i="40"/>
  <c r="P375" i="40"/>
  <c r="Q375" i="40" s="1"/>
  <c r="N375" i="40"/>
  <c r="O375" i="40" s="1"/>
  <c r="K375" i="40"/>
  <c r="L375" i="40" s="1"/>
  <c r="F375" i="40"/>
  <c r="G375" i="40" s="1"/>
  <c r="D375" i="40"/>
  <c r="E375" i="40" s="1"/>
  <c r="B375" i="40"/>
  <c r="A375" i="40"/>
  <c r="M375" i="40" s="1"/>
  <c r="U374" i="40"/>
  <c r="S374" i="40"/>
  <c r="P374" i="40"/>
  <c r="Q374" i="40" s="1"/>
  <c r="N374" i="40"/>
  <c r="O374" i="40" s="1"/>
  <c r="K374" i="40"/>
  <c r="L374" i="40" s="1"/>
  <c r="F374" i="40"/>
  <c r="G374" i="40" s="1"/>
  <c r="D374" i="40"/>
  <c r="E374" i="40" s="1"/>
  <c r="B374" i="40"/>
  <c r="A374" i="40"/>
  <c r="M374" i="40" s="1"/>
  <c r="Y373" i="40"/>
  <c r="Z373" i="40" s="1"/>
  <c r="W373" i="40"/>
  <c r="B373" i="40"/>
  <c r="A373" i="40"/>
  <c r="Y372" i="40"/>
  <c r="Z372" i="40" s="1"/>
  <c r="W372" i="40"/>
  <c r="B372" i="40"/>
  <c r="A372" i="40"/>
  <c r="Y371" i="40"/>
  <c r="W371" i="40"/>
  <c r="X371" i="40" s="1"/>
  <c r="B371" i="40"/>
  <c r="A371" i="40"/>
  <c r="Y370" i="40"/>
  <c r="Z370" i="40" s="1"/>
  <c r="W370" i="40"/>
  <c r="X370" i="40" s="1"/>
  <c r="K370" i="40"/>
  <c r="L370" i="40" s="1"/>
  <c r="B370" i="40"/>
  <c r="A370" i="40"/>
  <c r="Y369" i="40"/>
  <c r="Z369" i="40" s="1"/>
  <c r="W369" i="40"/>
  <c r="B369" i="40"/>
  <c r="A369" i="40"/>
  <c r="U368" i="40"/>
  <c r="S368" i="40"/>
  <c r="P368" i="40"/>
  <c r="Q368" i="40" s="1"/>
  <c r="N368" i="40"/>
  <c r="O368" i="40" s="1"/>
  <c r="K368" i="40"/>
  <c r="L368" i="40" s="1"/>
  <c r="F368" i="40"/>
  <c r="G368" i="40" s="1"/>
  <c r="D368" i="40"/>
  <c r="E368" i="40" s="1"/>
  <c r="B368" i="40"/>
  <c r="A368" i="40"/>
  <c r="M368" i="40" s="1"/>
  <c r="U367" i="40"/>
  <c r="S367" i="40"/>
  <c r="P367" i="40"/>
  <c r="Q367" i="40" s="1"/>
  <c r="N367" i="40"/>
  <c r="O367" i="40" s="1"/>
  <c r="K367" i="40"/>
  <c r="L367" i="40" s="1"/>
  <c r="F367" i="40"/>
  <c r="G367" i="40" s="1"/>
  <c r="D367" i="40"/>
  <c r="E367" i="40" s="1"/>
  <c r="B367" i="40"/>
  <c r="A367" i="40"/>
  <c r="M367" i="40" s="1"/>
  <c r="U366" i="40"/>
  <c r="S366" i="40"/>
  <c r="P366" i="40"/>
  <c r="Q366" i="40" s="1"/>
  <c r="N366" i="40"/>
  <c r="O366" i="40" s="1"/>
  <c r="K366" i="40"/>
  <c r="L366" i="40" s="1"/>
  <c r="F366" i="40"/>
  <c r="G366" i="40" s="1"/>
  <c r="D366" i="40"/>
  <c r="E366" i="40" s="1"/>
  <c r="B366" i="40"/>
  <c r="A366" i="40"/>
  <c r="M366" i="40" s="1"/>
  <c r="U365" i="40"/>
  <c r="S365" i="40"/>
  <c r="P365" i="40"/>
  <c r="Q365" i="40" s="1"/>
  <c r="N365" i="40"/>
  <c r="O365" i="40" s="1"/>
  <c r="K365" i="40"/>
  <c r="L365" i="40" s="1"/>
  <c r="F365" i="40"/>
  <c r="G365" i="40" s="1"/>
  <c r="D365" i="40"/>
  <c r="E365" i="40" s="1"/>
  <c r="B365" i="40"/>
  <c r="A365" i="40"/>
  <c r="M365" i="40" s="1"/>
  <c r="Y364" i="40"/>
  <c r="Z364" i="40" s="1"/>
  <c r="W364" i="40"/>
  <c r="X364" i="40" s="1"/>
  <c r="B364" i="40"/>
  <c r="A364" i="40"/>
  <c r="Y363" i="40"/>
  <c r="Z363" i="40" s="1"/>
  <c r="W363" i="40"/>
  <c r="B363" i="40"/>
  <c r="A363" i="40"/>
  <c r="Y362" i="40"/>
  <c r="W362" i="40"/>
  <c r="X362" i="40" s="1"/>
  <c r="B362" i="40"/>
  <c r="A362" i="40"/>
  <c r="Y361" i="40"/>
  <c r="Z361" i="40" s="1"/>
  <c r="W361" i="40"/>
  <c r="K361" i="40"/>
  <c r="L361" i="40" s="1"/>
  <c r="B361" i="40"/>
  <c r="A361" i="40"/>
  <c r="Y360" i="40"/>
  <c r="Z360" i="40" s="1"/>
  <c r="W360" i="40"/>
  <c r="X360" i="40" s="1"/>
  <c r="B360" i="40"/>
  <c r="A360" i="40"/>
  <c r="U359" i="40"/>
  <c r="S359" i="40"/>
  <c r="P359" i="40"/>
  <c r="Q359" i="40" s="1"/>
  <c r="N359" i="40"/>
  <c r="O359" i="40" s="1"/>
  <c r="K359" i="40"/>
  <c r="L359" i="40" s="1"/>
  <c r="F359" i="40"/>
  <c r="G359" i="40" s="1"/>
  <c r="D359" i="40"/>
  <c r="E359" i="40" s="1"/>
  <c r="B359" i="40"/>
  <c r="A359" i="40"/>
  <c r="M359" i="40" s="1"/>
  <c r="U358" i="40"/>
  <c r="S358" i="40"/>
  <c r="P358" i="40"/>
  <c r="Q358" i="40" s="1"/>
  <c r="N358" i="40"/>
  <c r="O358" i="40" s="1"/>
  <c r="K358" i="40"/>
  <c r="L358" i="40" s="1"/>
  <c r="F358" i="40"/>
  <c r="G358" i="40" s="1"/>
  <c r="D358" i="40"/>
  <c r="E358" i="40" s="1"/>
  <c r="B358" i="40"/>
  <c r="A358" i="40"/>
  <c r="M358" i="40" s="1"/>
  <c r="U357" i="40"/>
  <c r="S357" i="40"/>
  <c r="P357" i="40"/>
  <c r="Q357" i="40" s="1"/>
  <c r="N357" i="40"/>
  <c r="O357" i="40" s="1"/>
  <c r="K357" i="40"/>
  <c r="L357" i="40" s="1"/>
  <c r="F357" i="40"/>
  <c r="G357" i="40" s="1"/>
  <c r="D357" i="40"/>
  <c r="E357" i="40" s="1"/>
  <c r="B357" i="40"/>
  <c r="A357" i="40"/>
  <c r="M357" i="40" s="1"/>
  <c r="U356" i="40"/>
  <c r="S356" i="40"/>
  <c r="P356" i="40"/>
  <c r="Q356" i="40" s="1"/>
  <c r="N356" i="40"/>
  <c r="O356" i="40" s="1"/>
  <c r="K356" i="40"/>
  <c r="L356" i="40" s="1"/>
  <c r="F356" i="40"/>
  <c r="G356" i="40" s="1"/>
  <c r="D356" i="40"/>
  <c r="E356" i="40" s="1"/>
  <c r="B356" i="40"/>
  <c r="A356" i="40"/>
  <c r="M356" i="40" s="1"/>
  <c r="Y355" i="40"/>
  <c r="Z355" i="40" s="1"/>
  <c r="W355" i="40"/>
  <c r="B355" i="40"/>
  <c r="A355" i="40"/>
  <c r="Y354" i="40"/>
  <c r="Z354" i="40" s="1"/>
  <c r="W354" i="40"/>
  <c r="B354" i="40"/>
  <c r="A354" i="40"/>
  <c r="Y353" i="40"/>
  <c r="W353" i="40"/>
  <c r="X353" i="40" s="1"/>
  <c r="B353" i="40"/>
  <c r="A353" i="40"/>
  <c r="Y352" i="40"/>
  <c r="Z352" i="40" s="1"/>
  <c r="W352" i="40"/>
  <c r="K352" i="40"/>
  <c r="L352" i="40" s="1"/>
  <c r="B352" i="40"/>
  <c r="A352" i="40"/>
  <c r="Y351" i="40"/>
  <c r="Z351" i="40" s="1"/>
  <c r="W351" i="40"/>
  <c r="B351" i="40"/>
  <c r="A351" i="40"/>
  <c r="U350" i="40"/>
  <c r="S350" i="40"/>
  <c r="P350" i="40"/>
  <c r="Q350" i="40" s="1"/>
  <c r="N350" i="40"/>
  <c r="O350" i="40" s="1"/>
  <c r="K350" i="40"/>
  <c r="L350" i="40" s="1"/>
  <c r="F350" i="40"/>
  <c r="G350" i="40" s="1"/>
  <c r="D350" i="40"/>
  <c r="E350" i="40" s="1"/>
  <c r="B350" i="40"/>
  <c r="A350" i="40"/>
  <c r="M350" i="40" s="1"/>
  <c r="U349" i="40"/>
  <c r="S349" i="40"/>
  <c r="P349" i="40"/>
  <c r="Q349" i="40" s="1"/>
  <c r="N349" i="40"/>
  <c r="O349" i="40" s="1"/>
  <c r="K349" i="40"/>
  <c r="L349" i="40" s="1"/>
  <c r="F349" i="40"/>
  <c r="G349" i="40" s="1"/>
  <c r="J349" i="40" s="1"/>
  <c r="H349" i="40" s="1"/>
  <c r="I349" i="40" s="1"/>
  <c r="D349" i="40"/>
  <c r="E349" i="40" s="1"/>
  <c r="B349" i="40"/>
  <c r="A349" i="40"/>
  <c r="M349" i="40" s="1"/>
  <c r="U348" i="40"/>
  <c r="S348" i="40"/>
  <c r="P348" i="40"/>
  <c r="Q348" i="40" s="1"/>
  <c r="N348" i="40"/>
  <c r="O348" i="40" s="1"/>
  <c r="K348" i="40"/>
  <c r="L348" i="40" s="1"/>
  <c r="F348" i="40"/>
  <c r="G348" i="40" s="1"/>
  <c r="D348" i="40"/>
  <c r="E348" i="40" s="1"/>
  <c r="B348" i="40"/>
  <c r="A348" i="40"/>
  <c r="M348" i="40" s="1"/>
  <c r="U347" i="40"/>
  <c r="S347" i="40"/>
  <c r="P347" i="40"/>
  <c r="Q347" i="40" s="1"/>
  <c r="N347" i="40"/>
  <c r="O347" i="40" s="1"/>
  <c r="K347" i="40"/>
  <c r="L347" i="40" s="1"/>
  <c r="F347" i="40"/>
  <c r="G347" i="40" s="1"/>
  <c r="D347" i="40"/>
  <c r="E347" i="40" s="1"/>
  <c r="B347" i="40"/>
  <c r="A347" i="40"/>
  <c r="M347" i="40" s="1"/>
  <c r="Y346" i="40"/>
  <c r="Z346" i="40" s="1"/>
  <c r="W346" i="40"/>
  <c r="B346" i="40"/>
  <c r="A346" i="40"/>
  <c r="Y345" i="40"/>
  <c r="Z345" i="40" s="1"/>
  <c r="W345" i="40"/>
  <c r="B345" i="40"/>
  <c r="A345" i="40"/>
  <c r="Y344" i="40"/>
  <c r="Z344" i="40" s="1"/>
  <c r="W344" i="40"/>
  <c r="B344" i="40"/>
  <c r="A344" i="40"/>
  <c r="Y343" i="40"/>
  <c r="Z343" i="40" s="1"/>
  <c r="W343" i="40"/>
  <c r="K343" i="40"/>
  <c r="L343" i="40" s="1"/>
  <c r="B343" i="40"/>
  <c r="A343" i="40"/>
  <c r="Y342" i="40"/>
  <c r="Z342" i="40" s="1"/>
  <c r="W342" i="40"/>
  <c r="B342" i="40"/>
  <c r="A342" i="40"/>
  <c r="U341" i="40"/>
  <c r="S341" i="40"/>
  <c r="P341" i="40"/>
  <c r="Q341" i="40" s="1"/>
  <c r="N341" i="40"/>
  <c r="O341" i="40" s="1"/>
  <c r="K341" i="40"/>
  <c r="L341" i="40" s="1"/>
  <c r="F341" i="40"/>
  <c r="G341" i="40" s="1"/>
  <c r="D341" i="40"/>
  <c r="E341" i="40" s="1"/>
  <c r="B341" i="40"/>
  <c r="A341" i="40"/>
  <c r="M341" i="40" s="1"/>
  <c r="U340" i="40"/>
  <c r="S340" i="40"/>
  <c r="P340" i="40"/>
  <c r="Q340" i="40" s="1"/>
  <c r="N340" i="40"/>
  <c r="O340" i="40" s="1"/>
  <c r="K340" i="40"/>
  <c r="L340" i="40" s="1"/>
  <c r="F340" i="40"/>
  <c r="G340" i="40" s="1"/>
  <c r="D340" i="40"/>
  <c r="E340" i="40" s="1"/>
  <c r="B340" i="40"/>
  <c r="A340" i="40"/>
  <c r="M340" i="40" s="1"/>
  <c r="U339" i="40"/>
  <c r="S339" i="40"/>
  <c r="P339" i="40"/>
  <c r="Q339" i="40" s="1"/>
  <c r="N339" i="40"/>
  <c r="O339" i="40" s="1"/>
  <c r="K339" i="40"/>
  <c r="L339" i="40" s="1"/>
  <c r="F339" i="40"/>
  <c r="G339" i="40" s="1"/>
  <c r="D339" i="40"/>
  <c r="E339" i="40" s="1"/>
  <c r="B339" i="40"/>
  <c r="A339" i="40"/>
  <c r="M339" i="40" s="1"/>
  <c r="U338" i="40"/>
  <c r="S338" i="40"/>
  <c r="P338" i="40"/>
  <c r="Q338" i="40" s="1"/>
  <c r="N338" i="40"/>
  <c r="O338" i="40" s="1"/>
  <c r="K338" i="40"/>
  <c r="L338" i="40" s="1"/>
  <c r="F338" i="40"/>
  <c r="G338" i="40" s="1"/>
  <c r="D338" i="40"/>
  <c r="E338" i="40" s="1"/>
  <c r="B338" i="40"/>
  <c r="A338" i="40"/>
  <c r="M338" i="40" s="1"/>
  <c r="Y337" i="40"/>
  <c r="Z337" i="40" s="1"/>
  <c r="W337" i="40"/>
  <c r="B337" i="40"/>
  <c r="A337" i="40"/>
  <c r="Y336" i="40"/>
  <c r="Z336" i="40" s="1"/>
  <c r="W336" i="40"/>
  <c r="B336" i="40"/>
  <c r="A336" i="40"/>
  <c r="Y335" i="40"/>
  <c r="W335" i="40"/>
  <c r="X335" i="40" s="1"/>
  <c r="B335" i="40"/>
  <c r="A335" i="40"/>
  <c r="Y334" i="40"/>
  <c r="Z334" i="40" s="1"/>
  <c r="W334" i="40"/>
  <c r="X334" i="40" s="1"/>
  <c r="K334" i="40"/>
  <c r="L334" i="40" s="1"/>
  <c r="B334" i="40"/>
  <c r="A334" i="40"/>
  <c r="Y333" i="40"/>
  <c r="Z333" i="40" s="1"/>
  <c r="W333" i="40"/>
  <c r="B333" i="40"/>
  <c r="A333" i="40"/>
  <c r="U332" i="40"/>
  <c r="S332" i="40"/>
  <c r="P332" i="40"/>
  <c r="Q332" i="40" s="1"/>
  <c r="N332" i="40"/>
  <c r="O332" i="40" s="1"/>
  <c r="K332" i="40"/>
  <c r="L332" i="40" s="1"/>
  <c r="F332" i="40"/>
  <c r="G332" i="40" s="1"/>
  <c r="D332" i="40"/>
  <c r="E332" i="40" s="1"/>
  <c r="B332" i="40"/>
  <c r="A332" i="40"/>
  <c r="M332" i="40" s="1"/>
  <c r="U331" i="40"/>
  <c r="S331" i="40"/>
  <c r="P331" i="40"/>
  <c r="Q331" i="40" s="1"/>
  <c r="N331" i="40"/>
  <c r="O331" i="40" s="1"/>
  <c r="K331" i="40"/>
  <c r="L331" i="40" s="1"/>
  <c r="F331" i="40"/>
  <c r="G331" i="40" s="1"/>
  <c r="D331" i="40"/>
  <c r="E331" i="40" s="1"/>
  <c r="B331" i="40"/>
  <c r="A331" i="40"/>
  <c r="M331" i="40" s="1"/>
  <c r="U330" i="40"/>
  <c r="S330" i="40"/>
  <c r="P330" i="40"/>
  <c r="Q330" i="40" s="1"/>
  <c r="N330" i="40"/>
  <c r="O330" i="40" s="1"/>
  <c r="K330" i="40"/>
  <c r="L330" i="40" s="1"/>
  <c r="F330" i="40"/>
  <c r="G330" i="40" s="1"/>
  <c r="D330" i="40"/>
  <c r="E330" i="40" s="1"/>
  <c r="B330" i="40"/>
  <c r="A330" i="40"/>
  <c r="M330" i="40" s="1"/>
  <c r="U329" i="40"/>
  <c r="S329" i="40"/>
  <c r="P329" i="40"/>
  <c r="Q329" i="40" s="1"/>
  <c r="N329" i="40"/>
  <c r="O329" i="40" s="1"/>
  <c r="K329" i="40"/>
  <c r="L329" i="40" s="1"/>
  <c r="F329" i="40"/>
  <c r="G329" i="40" s="1"/>
  <c r="D329" i="40"/>
  <c r="E329" i="40" s="1"/>
  <c r="B329" i="40"/>
  <c r="A329" i="40"/>
  <c r="M329" i="40" s="1"/>
  <c r="Y328" i="40"/>
  <c r="Z328" i="40" s="1"/>
  <c r="W328" i="40"/>
  <c r="B328" i="40"/>
  <c r="A328" i="40"/>
  <c r="Y327" i="40"/>
  <c r="Z327" i="40" s="1"/>
  <c r="W327" i="40"/>
  <c r="B327" i="40"/>
  <c r="A327" i="40"/>
  <c r="Y326" i="40"/>
  <c r="Z326" i="40" s="1"/>
  <c r="W326" i="40"/>
  <c r="B326" i="40"/>
  <c r="A326" i="40"/>
  <c r="Y325" i="40"/>
  <c r="Z325" i="40" s="1"/>
  <c r="W325" i="40"/>
  <c r="K325" i="40"/>
  <c r="L325" i="40" s="1"/>
  <c r="B325" i="40"/>
  <c r="A325" i="40"/>
  <c r="Y324" i="40"/>
  <c r="Z324" i="40" s="1"/>
  <c r="W324" i="40"/>
  <c r="B324" i="40"/>
  <c r="A324" i="40"/>
  <c r="U323" i="40"/>
  <c r="S323" i="40"/>
  <c r="P323" i="40"/>
  <c r="Q323" i="40" s="1"/>
  <c r="N323" i="40"/>
  <c r="O323" i="40" s="1"/>
  <c r="K323" i="40"/>
  <c r="L323" i="40" s="1"/>
  <c r="F323" i="40"/>
  <c r="G323" i="40" s="1"/>
  <c r="D323" i="40"/>
  <c r="E323" i="40" s="1"/>
  <c r="B323" i="40"/>
  <c r="A323" i="40"/>
  <c r="M323" i="40" s="1"/>
  <c r="U322" i="40"/>
  <c r="S322" i="40"/>
  <c r="P322" i="40"/>
  <c r="Q322" i="40" s="1"/>
  <c r="N322" i="40"/>
  <c r="O322" i="40" s="1"/>
  <c r="K322" i="40"/>
  <c r="L322" i="40" s="1"/>
  <c r="F322" i="40"/>
  <c r="G322" i="40" s="1"/>
  <c r="D322" i="40"/>
  <c r="E322" i="40" s="1"/>
  <c r="B322" i="40"/>
  <c r="A322" i="40"/>
  <c r="M322" i="40" s="1"/>
  <c r="U321" i="40"/>
  <c r="S321" i="40"/>
  <c r="P321" i="40"/>
  <c r="Q321" i="40" s="1"/>
  <c r="N321" i="40"/>
  <c r="O321" i="40" s="1"/>
  <c r="K321" i="40"/>
  <c r="L321" i="40" s="1"/>
  <c r="F321" i="40"/>
  <c r="G321" i="40" s="1"/>
  <c r="D321" i="40"/>
  <c r="E321" i="40" s="1"/>
  <c r="B321" i="40"/>
  <c r="A321" i="40"/>
  <c r="M321" i="40" s="1"/>
  <c r="U320" i="40"/>
  <c r="S320" i="40"/>
  <c r="P320" i="40"/>
  <c r="Q320" i="40" s="1"/>
  <c r="N320" i="40"/>
  <c r="O320" i="40" s="1"/>
  <c r="K320" i="40"/>
  <c r="L320" i="40" s="1"/>
  <c r="F320" i="40"/>
  <c r="G320" i="40" s="1"/>
  <c r="D320" i="40"/>
  <c r="E320" i="40" s="1"/>
  <c r="B320" i="40"/>
  <c r="A320" i="40"/>
  <c r="M320" i="40" s="1"/>
  <c r="Y319" i="40"/>
  <c r="Z319" i="40" s="1"/>
  <c r="W319" i="40"/>
  <c r="B319" i="40"/>
  <c r="A319" i="40"/>
  <c r="Y318" i="40"/>
  <c r="Z318" i="40" s="1"/>
  <c r="W318" i="40"/>
  <c r="B318" i="40"/>
  <c r="A318" i="40"/>
  <c r="Y317" i="40"/>
  <c r="W317" i="40"/>
  <c r="X317" i="40" s="1"/>
  <c r="B317" i="40"/>
  <c r="A317" i="40"/>
  <c r="Y316" i="40"/>
  <c r="Z316" i="40" s="1"/>
  <c r="W316" i="40"/>
  <c r="X316" i="40" s="1"/>
  <c r="K316" i="40"/>
  <c r="L316" i="40" s="1"/>
  <c r="B316" i="40"/>
  <c r="A316" i="40"/>
  <c r="Y315" i="40"/>
  <c r="Z315" i="40" s="1"/>
  <c r="W315" i="40"/>
  <c r="B315" i="40"/>
  <c r="A315" i="40"/>
  <c r="U314" i="40"/>
  <c r="S314" i="40"/>
  <c r="P314" i="40"/>
  <c r="Q314" i="40" s="1"/>
  <c r="N314" i="40"/>
  <c r="O314" i="40" s="1"/>
  <c r="K314" i="40"/>
  <c r="L314" i="40" s="1"/>
  <c r="F314" i="40"/>
  <c r="G314" i="40" s="1"/>
  <c r="D314" i="40"/>
  <c r="E314" i="40" s="1"/>
  <c r="B314" i="40"/>
  <c r="A314" i="40"/>
  <c r="M314" i="40" s="1"/>
  <c r="U313" i="40"/>
  <c r="S313" i="40"/>
  <c r="P313" i="40"/>
  <c r="Q313" i="40" s="1"/>
  <c r="N313" i="40"/>
  <c r="O313" i="40" s="1"/>
  <c r="K313" i="40"/>
  <c r="L313" i="40" s="1"/>
  <c r="F313" i="40"/>
  <c r="G313" i="40" s="1"/>
  <c r="D313" i="40"/>
  <c r="E313" i="40" s="1"/>
  <c r="B313" i="40"/>
  <c r="A313" i="40"/>
  <c r="M313" i="40" s="1"/>
  <c r="U312" i="40"/>
  <c r="S312" i="40"/>
  <c r="P312" i="40"/>
  <c r="Q312" i="40" s="1"/>
  <c r="N312" i="40"/>
  <c r="O312" i="40" s="1"/>
  <c r="K312" i="40"/>
  <c r="L312" i="40" s="1"/>
  <c r="F312" i="40"/>
  <c r="G312" i="40" s="1"/>
  <c r="D312" i="40"/>
  <c r="E312" i="40" s="1"/>
  <c r="B312" i="40"/>
  <c r="A312" i="40"/>
  <c r="M312" i="40" s="1"/>
  <c r="U311" i="40"/>
  <c r="S311" i="40"/>
  <c r="P311" i="40"/>
  <c r="Q311" i="40" s="1"/>
  <c r="N311" i="40"/>
  <c r="O311" i="40" s="1"/>
  <c r="K311" i="40"/>
  <c r="L311" i="40" s="1"/>
  <c r="F311" i="40"/>
  <c r="G311" i="40" s="1"/>
  <c r="D311" i="40"/>
  <c r="E311" i="40" s="1"/>
  <c r="B311" i="40"/>
  <c r="A311" i="40"/>
  <c r="M311" i="40" s="1"/>
  <c r="Y310" i="40"/>
  <c r="Z310" i="40" s="1"/>
  <c r="W310" i="40"/>
  <c r="B310" i="40"/>
  <c r="A310" i="40"/>
  <c r="Y309" i="40"/>
  <c r="Z309" i="40" s="1"/>
  <c r="W309" i="40"/>
  <c r="B309" i="40"/>
  <c r="A309" i="40"/>
  <c r="Y308" i="40"/>
  <c r="Z308" i="40" s="1"/>
  <c r="W308" i="40"/>
  <c r="B308" i="40"/>
  <c r="A308" i="40"/>
  <c r="Y307" i="40"/>
  <c r="Z307" i="40" s="1"/>
  <c r="W307" i="40"/>
  <c r="K307" i="40"/>
  <c r="L307" i="40" s="1"/>
  <c r="B307" i="40"/>
  <c r="A307" i="40"/>
  <c r="Y306" i="40"/>
  <c r="Z306" i="40" s="1"/>
  <c r="W306" i="40"/>
  <c r="X306" i="40" s="1"/>
  <c r="B306" i="40"/>
  <c r="A306" i="40"/>
  <c r="U305" i="40"/>
  <c r="S305" i="40"/>
  <c r="P305" i="40"/>
  <c r="Q305" i="40" s="1"/>
  <c r="N305" i="40"/>
  <c r="O305" i="40" s="1"/>
  <c r="K305" i="40"/>
  <c r="L305" i="40" s="1"/>
  <c r="F305" i="40"/>
  <c r="G305" i="40" s="1"/>
  <c r="D305" i="40"/>
  <c r="E305" i="40" s="1"/>
  <c r="B305" i="40"/>
  <c r="A305" i="40"/>
  <c r="M305" i="40" s="1"/>
  <c r="U304" i="40"/>
  <c r="S304" i="40"/>
  <c r="P304" i="40"/>
  <c r="Q304" i="40" s="1"/>
  <c r="N304" i="40"/>
  <c r="O304" i="40" s="1"/>
  <c r="K304" i="40"/>
  <c r="L304" i="40" s="1"/>
  <c r="F304" i="40"/>
  <c r="G304" i="40" s="1"/>
  <c r="D304" i="40"/>
  <c r="E304" i="40" s="1"/>
  <c r="B304" i="40"/>
  <c r="A304" i="40"/>
  <c r="M304" i="40" s="1"/>
  <c r="U303" i="40"/>
  <c r="S303" i="40"/>
  <c r="P303" i="40"/>
  <c r="Q303" i="40" s="1"/>
  <c r="N303" i="40"/>
  <c r="O303" i="40" s="1"/>
  <c r="K303" i="40"/>
  <c r="L303" i="40" s="1"/>
  <c r="F303" i="40"/>
  <c r="G303" i="40" s="1"/>
  <c r="D303" i="40"/>
  <c r="E303" i="40" s="1"/>
  <c r="B303" i="40"/>
  <c r="A303" i="40"/>
  <c r="M303" i="40" s="1"/>
  <c r="U302" i="40"/>
  <c r="S302" i="40"/>
  <c r="P302" i="40"/>
  <c r="Q302" i="40" s="1"/>
  <c r="N302" i="40"/>
  <c r="O302" i="40" s="1"/>
  <c r="K302" i="40"/>
  <c r="L302" i="40" s="1"/>
  <c r="F302" i="40"/>
  <c r="G302" i="40" s="1"/>
  <c r="D302" i="40"/>
  <c r="E302" i="40" s="1"/>
  <c r="B302" i="40"/>
  <c r="A302" i="40"/>
  <c r="M302" i="40" s="1"/>
  <c r="Y301" i="40"/>
  <c r="Z301" i="40" s="1"/>
  <c r="W301" i="40"/>
  <c r="B301" i="40"/>
  <c r="A301" i="40"/>
  <c r="Y300" i="40"/>
  <c r="Z300" i="40" s="1"/>
  <c r="W300" i="40"/>
  <c r="B300" i="40"/>
  <c r="A300" i="40"/>
  <c r="Y299" i="40"/>
  <c r="W299" i="40"/>
  <c r="X299" i="40" s="1"/>
  <c r="B299" i="40"/>
  <c r="A299" i="40"/>
  <c r="Y298" i="40"/>
  <c r="Z298" i="40" s="1"/>
  <c r="W298" i="40"/>
  <c r="X298" i="40" s="1"/>
  <c r="K298" i="40"/>
  <c r="L298" i="40" s="1"/>
  <c r="B298" i="40"/>
  <c r="A298" i="40"/>
  <c r="Y297" i="40"/>
  <c r="Z297" i="40" s="1"/>
  <c r="W297" i="40"/>
  <c r="B297" i="40"/>
  <c r="A297" i="40"/>
  <c r="U296" i="40"/>
  <c r="S296" i="40"/>
  <c r="P296" i="40"/>
  <c r="Q296" i="40" s="1"/>
  <c r="N296" i="40"/>
  <c r="O296" i="40" s="1"/>
  <c r="K296" i="40"/>
  <c r="L296" i="40" s="1"/>
  <c r="F296" i="40"/>
  <c r="G296" i="40" s="1"/>
  <c r="D296" i="40"/>
  <c r="E296" i="40" s="1"/>
  <c r="B296" i="40"/>
  <c r="A296" i="40"/>
  <c r="M296" i="40" s="1"/>
  <c r="U295" i="40"/>
  <c r="S295" i="40"/>
  <c r="P295" i="40"/>
  <c r="Q295" i="40" s="1"/>
  <c r="N295" i="40"/>
  <c r="O295" i="40" s="1"/>
  <c r="K295" i="40"/>
  <c r="L295" i="40" s="1"/>
  <c r="F295" i="40"/>
  <c r="G295" i="40" s="1"/>
  <c r="D295" i="40"/>
  <c r="E295" i="40" s="1"/>
  <c r="B295" i="40"/>
  <c r="A295" i="40"/>
  <c r="M295" i="40" s="1"/>
  <c r="U294" i="40"/>
  <c r="S294" i="40"/>
  <c r="P294" i="40"/>
  <c r="Q294" i="40" s="1"/>
  <c r="N294" i="40"/>
  <c r="O294" i="40" s="1"/>
  <c r="K294" i="40"/>
  <c r="L294" i="40" s="1"/>
  <c r="F294" i="40"/>
  <c r="G294" i="40" s="1"/>
  <c r="D294" i="40"/>
  <c r="E294" i="40" s="1"/>
  <c r="B294" i="40"/>
  <c r="A294" i="40"/>
  <c r="M294" i="40" s="1"/>
  <c r="U293" i="40"/>
  <c r="S293" i="40"/>
  <c r="P293" i="40"/>
  <c r="Q293" i="40" s="1"/>
  <c r="N293" i="40"/>
  <c r="O293" i="40" s="1"/>
  <c r="K293" i="40"/>
  <c r="L293" i="40" s="1"/>
  <c r="F293" i="40"/>
  <c r="G293" i="40" s="1"/>
  <c r="D293" i="40"/>
  <c r="E293" i="40" s="1"/>
  <c r="B293" i="40"/>
  <c r="A293" i="40"/>
  <c r="M293" i="40" s="1"/>
  <c r="Y292" i="40"/>
  <c r="Z292" i="40" s="1"/>
  <c r="W292" i="40"/>
  <c r="B292" i="40"/>
  <c r="A292" i="40"/>
  <c r="Y291" i="40"/>
  <c r="Z291" i="40" s="1"/>
  <c r="W291" i="40"/>
  <c r="B291" i="40"/>
  <c r="A291" i="40"/>
  <c r="Y290" i="40"/>
  <c r="Z290" i="40" s="1"/>
  <c r="W290" i="40"/>
  <c r="B290" i="40"/>
  <c r="A290" i="40"/>
  <c r="Y289" i="40"/>
  <c r="Z289" i="40" s="1"/>
  <c r="W289" i="40"/>
  <c r="X289" i="40" s="1"/>
  <c r="K289" i="40"/>
  <c r="L289" i="40" s="1"/>
  <c r="B289" i="40"/>
  <c r="A289" i="40"/>
  <c r="Y288" i="40"/>
  <c r="Z288" i="40" s="1"/>
  <c r="W288" i="40"/>
  <c r="B288" i="40"/>
  <c r="A288" i="40"/>
  <c r="U287" i="40"/>
  <c r="S287" i="40"/>
  <c r="P287" i="40"/>
  <c r="Q287" i="40" s="1"/>
  <c r="N287" i="40"/>
  <c r="O287" i="40" s="1"/>
  <c r="K287" i="40"/>
  <c r="L287" i="40" s="1"/>
  <c r="F287" i="40"/>
  <c r="G287" i="40" s="1"/>
  <c r="D287" i="40"/>
  <c r="E287" i="40" s="1"/>
  <c r="B287" i="40"/>
  <c r="A287" i="40"/>
  <c r="M287" i="40" s="1"/>
  <c r="U286" i="40"/>
  <c r="S286" i="40"/>
  <c r="P286" i="40"/>
  <c r="Q286" i="40" s="1"/>
  <c r="N286" i="40"/>
  <c r="O286" i="40" s="1"/>
  <c r="K286" i="40"/>
  <c r="L286" i="40" s="1"/>
  <c r="F286" i="40"/>
  <c r="G286" i="40" s="1"/>
  <c r="D286" i="40"/>
  <c r="E286" i="40" s="1"/>
  <c r="B286" i="40"/>
  <c r="A286" i="40"/>
  <c r="M286" i="40" s="1"/>
  <c r="U285" i="40"/>
  <c r="S285" i="40"/>
  <c r="P285" i="40"/>
  <c r="Q285" i="40" s="1"/>
  <c r="N285" i="40"/>
  <c r="O285" i="40" s="1"/>
  <c r="K285" i="40"/>
  <c r="L285" i="40" s="1"/>
  <c r="F285" i="40"/>
  <c r="G285" i="40" s="1"/>
  <c r="D285" i="40"/>
  <c r="E285" i="40" s="1"/>
  <c r="B285" i="40"/>
  <c r="A285" i="40"/>
  <c r="M285" i="40" s="1"/>
  <c r="U284" i="40"/>
  <c r="S284" i="40"/>
  <c r="P284" i="40"/>
  <c r="Q284" i="40" s="1"/>
  <c r="N284" i="40"/>
  <c r="O284" i="40" s="1"/>
  <c r="K284" i="40"/>
  <c r="L284" i="40" s="1"/>
  <c r="F284" i="40"/>
  <c r="G284" i="40" s="1"/>
  <c r="D284" i="40"/>
  <c r="E284" i="40" s="1"/>
  <c r="B284" i="40"/>
  <c r="A284" i="40"/>
  <c r="M284" i="40" s="1"/>
  <c r="Y283" i="40"/>
  <c r="Z283" i="40" s="1"/>
  <c r="W283" i="40"/>
  <c r="B283" i="40"/>
  <c r="A283" i="40"/>
  <c r="Y282" i="40"/>
  <c r="W282" i="40"/>
  <c r="X282" i="40" s="1"/>
  <c r="B282" i="40"/>
  <c r="A282" i="40"/>
  <c r="Y281" i="40"/>
  <c r="Z281" i="40" s="1"/>
  <c r="W281" i="40"/>
  <c r="X281" i="40" s="1"/>
  <c r="B281" i="40"/>
  <c r="A281" i="40"/>
  <c r="Y280" i="40"/>
  <c r="Z280" i="40" s="1"/>
  <c r="W280" i="40"/>
  <c r="X280" i="40" s="1"/>
  <c r="K280" i="40"/>
  <c r="L280" i="40" s="1"/>
  <c r="B280" i="40"/>
  <c r="A280" i="40"/>
  <c r="Y279" i="40"/>
  <c r="Z279" i="40" s="1"/>
  <c r="W279" i="40"/>
  <c r="X279" i="40" s="1"/>
  <c r="B279" i="40"/>
  <c r="A279" i="40"/>
  <c r="U278" i="40"/>
  <c r="S278" i="40"/>
  <c r="P278" i="40"/>
  <c r="Q278" i="40" s="1"/>
  <c r="N278" i="40"/>
  <c r="O278" i="40" s="1"/>
  <c r="K278" i="40"/>
  <c r="L278" i="40" s="1"/>
  <c r="F278" i="40"/>
  <c r="G278" i="40" s="1"/>
  <c r="D278" i="40"/>
  <c r="E278" i="40" s="1"/>
  <c r="B278" i="40"/>
  <c r="A278" i="40"/>
  <c r="M278" i="40" s="1"/>
  <c r="U277" i="40"/>
  <c r="S277" i="40"/>
  <c r="P277" i="40"/>
  <c r="Q277" i="40" s="1"/>
  <c r="N277" i="40"/>
  <c r="O277" i="40" s="1"/>
  <c r="K277" i="40"/>
  <c r="L277" i="40" s="1"/>
  <c r="F277" i="40"/>
  <c r="G277" i="40" s="1"/>
  <c r="D277" i="40"/>
  <c r="E277" i="40" s="1"/>
  <c r="B277" i="40"/>
  <c r="A277" i="40"/>
  <c r="M277" i="40" s="1"/>
  <c r="U276" i="40"/>
  <c r="S276" i="40"/>
  <c r="P276" i="40"/>
  <c r="Q276" i="40" s="1"/>
  <c r="N276" i="40"/>
  <c r="O276" i="40" s="1"/>
  <c r="K276" i="40"/>
  <c r="L276" i="40" s="1"/>
  <c r="F276" i="40"/>
  <c r="G276" i="40" s="1"/>
  <c r="D276" i="40"/>
  <c r="E276" i="40" s="1"/>
  <c r="B276" i="40"/>
  <c r="A276" i="40"/>
  <c r="M276" i="40" s="1"/>
  <c r="U275" i="40"/>
  <c r="S275" i="40"/>
  <c r="P275" i="40"/>
  <c r="Q275" i="40" s="1"/>
  <c r="N275" i="40"/>
  <c r="O275" i="40" s="1"/>
  <c r="K275" i="40"/>
  <c r="L275" i="40" s="1"/>
  <c r="F275" i="40"/>
  <c r="G275" i="40" s="1"/>
  <c r="D275" i="40"/>
  <c r="E275" i="40" s="1"/>
  <c r="B275" i="40"/>
  <c r="A275" i="40"/>
  <c r="M275" i="40" s="1"/>
  <c r="Y274" i="40"/>
  <c r="W274" i="40"/>
  <c r="X274" i="40" s="1"/>
  <c r="B274" i="40"/>
  <c r="A274" i="40"/>
  <c r="Y273" i="40"/>
  <c r="Z273" i="40" s="1"/>
  <c r="W273" i="40"/>
  <c r="X273" i="40" s="1"/>
  <c r="B273" i="40"/>
  <c r="A273" i="40"/>
  <c r="Y272" i="40"/>
  <c r="W272" i="40"/>
  <c r="X272" i="40" s="1"/>
  <c r="B272" i="40"/>
  <c r="A272" i="40"/>
  <c r="Y271" i="40"/>
  <c r="Z271" i="40" s="1"/>
  <c r="W271" i="40"/>
  <c r="K271" i="40"/>
  <c r="L271" i="40" s="1"/>
  <c r="B271" i="40"/>
  <c r="A271" i="40"/>
  <c r="Y270" i="40"/>
  <c r="Z270" i="40" s="1"/>
  <c r="W270" i="40"/>
  <c r="B270" i="40"/>
  <c r="A270" i="40"/>
  <c r="U269" i="40"/>
  <c r="S269" i="40"/>
  <c r="P269" i="40"/>
  <c r="Q269" i="40" s="1"/>
  <c r="N269" i="40"/>
  <c r="O269" i="40" s="1"/>
  <c r="K269" i="40"/>
  <c r="L269" i="40" s="1"/>
  <c r="F269" i="40"/>
  <c r="G269" i="40" s="1"/>
  <c r="D269" i="40"/>
  <c r="E269" i="40" s="1"/>
  <c r="B269" i="40"/>
  <c r="A269" i="40"/>
  <c r="M269" i="40" s="1"/>
  <c r="U268" i="40"/>
  <c r="S268" i="40"/>
  <c r="P268" i="40"/>
  <c r="Q268" i="40" s="1"/>
  <c r="N268" i="40"/>
  <c r="O268" i="40" s="1"/>
  <c r="K268" i="40"/>
  <c r="L268" i="40" s="1"/>
  <c r="F268" i="40"/>
  <c r="G268" i="40" s="1"/>
  <c r="D268" i="40"/>
  <c r="E268" i="40" s="1"/>
  <c r="B268" i="40"/>
  <c r="A268" i="40"/>
  <c r="M268" i="40" s="1"/>
  <c r="U267" i="40"/>
  <c r="S267" i="40"/>
  <c r="P267" i="40"/>
  <c r="Q267" i="40" s="1"/>
  <c r="N267" i="40"/>
  <c r="O267" i="40" s="1"/>
  <c r="K267" i="40"/>
  <c r="L267" i="40" s="1"/>
  <c r="F267" i="40"/>
  <c r="G267" i="40" s="1"/>
  <c r="D267" i="40"/>
  <c r="E267" i="40" s="1"/>
  <c r="B267" i="40"/>
  <c r="A267" i="40"/>
  <c r="M267" i="40" s="1"/>
  <c r="U266" i="40"/>
  <c r="S266" i="40"/>
  <c r="P266" i="40"/>
  <c r="Q266" i="40" s="1"/>
  <c r="N266" i="40"/>
  <c r="O266" i="40" s="1"/>
  <c r="K266" i="40"/>
  <c r="L266" i="40" s="1"/>
  <c r="F266" i="40"/>
  <c r="G266" i="40" s="1"/>
  <c r="D266" i="40"/>
  <c r="E266" i="40" s="1"/>
  <c r="B266" i="40"/>
  <c r="A266" i="40"/>
  <c r="M266" i="40" s="1"/>
  <c r="Y265" i="40"/>
  <c r="Z265" i="40" s="1"/>
  <c r="W265" i="40"/>
  <c r="B265" i="40"/>
  <c r="A265" i="40"/>
  <c r="Y264" i="40"/>
  <c r="Z264" i="40" s="1"/>
  <c r="W264" i="40"/>
  <c r="X264" i="40" s="1"/>
  <c r="B264" i="40"/>
  <c r="A264" i="40"/>
  <c r="Y263" i="40"/>
  <c r="Z263" i="40" s="1"/>
  <c r="W263" i="40"/>
  <c r="B263" i="40"/>
  <c r="A263" i="40"/>
  <c r="Y262" i="40"/>
  <c r="Z262" i="40" s="1"/>
  <c r="W262" i="40"/>
  <c r="X262" i="40" s="1"/>
  <c r="K262" i="40"/>
  <c r="L262" i="40" s="1"/>
  <c r="B262" i="40"/>
  <c r="A262" i="40"/>
  <c r="Y261" i="40"/>
  <c r="Z261" i="40" s="1"/>
  <c r="W261" i="40"/>
  <c r="B261" i="40"/>
  <c r="A261" i="40"/>
  <c r="U260" i="40"/>
  <c r="S260" i="40"/>
  <c r="P260" i="40"/>
  <c r="Q260" i="40" s="1"/>
  <c r="N260" i="40"/>
  <c r="O260" i="40" s="1"/>
  <c r="K260" i="40"/>
  <c r="L260" i="40" s="1"/>
  <c r="F260" i="40"/>
  <c r="G260" i="40" s="1"/>
  <c r="D260" i="40"/>
  <c r="E260" i="40" s="1"/>
  <c r="B260" i="40"/>
  <c r="A260" i="40"/>
  <c r="M260" i="40" s="1"/>
  <c r="U259" i="40"/>
  <c r="S259" i="40"/>
  <c r="P259" i="40"/>
  <c r="Q259" i="40" s="1"/>
  <c r="N259" i="40"/>
  <c r="O259" i="40" s="1"/>
  <c r="K259" i="40"/>
  <c r="L259" i="40" s="1"/>
  <c r="F259" i="40"/>
  <c r="G259" i="40" s="1"/>
  <c r="D259" i="40"/>
  <c r="E259" i="40" s="1"/>
  <c r="B259" i="40"/>
  <c r="A259" i="40"/>
  <c r="M259" i="40" s="1"/>
  <c r="U258" i="40"/>
  <c r="S258" i="40"/>
  <c r="P258" i="40"/>
  <c r="Q258" i="40" s="1"/>
  <c r="N258" i="40"/>
  <c r="O258" i="40" s="1"/>
  <c r="K258" i="40"/>
  <c r="L258" i="40" s="1"/>
  <c r="F258" i="40"/>
  <c r="G258" i="40" s="1"/>
  <c r="D258" i="40"/>
  <c r="E258" i="40" s="1"/>
  <c r="B258" i="40"/>
  <c r="A258" i="40"/>
  <c r="M258" i="40" s="1"/>
  <c r="U257" i="40"/>
  <c r="S257" i="40"/>
  <c r="P257" i="40"/>
  <c r="Q257" i="40" s="1"/>
  <c r="N257" i="40"/>
  <c r="O257" i="40" s="1"/>
  <c r="K257" i="40"/>
  <c r="L257" i="40" s="1"/>
  <c r="F257" i="40"/>
  <c r="G257" i="40" s="1"/>
  <c r="D257" i="40"/>
  <c r="E257" i="40" s="1"/>
  <c r="B257" i="40"/>
  <c r="A257" i="40"/>
  <c r="M257" i="40" s="1"/>
  <c r="Y256" i="40"/>
  <c r="W256" i="40"/>
  <c r="X256" i="40" s="1"/>
  <c r="B256" i="40"/>
  <c r="A256" i="40"/>
  <c r="Y255" i="40"/>
  <c r="Z255" i="40" s="1"/>
  <c r="W255" i="40"/>
  <c r="X255" i="40" s="1"/>
  <c r="B255" i="40"/>
  <c r="A255" i="40"/>
  <c r="Y254" i="40"/>
  <c r="Z254" i="40" s="1"/>
  <c r="W254" i="40"/>
  <c r="B254" i="40"/>
  <c r="A254" i="40"/>
  <c r="Y253" i="40"/>
  <c r="Z253" i="40" s="1"/>
  <c r="W253" i="40"/>
  <c r="K253" i="40"/>
  <c r="L253" i="40" s="1"/>
  <c r="B253" i="40"/>
  <c r="A253" i="40"/>
  <c r="Y252" i="40"/>
  <c r="Z252" i="40" s="1"/>
  <c r="W252" i="40"/>
  <c r="B252" i="40"/>
  <c r="A252" i="40"/>
  <c r="U251" i="40"/>
  <c r="S251" i="40"/>
  <c r="P251" i="40"/>
  <c r="Q251" i="40" s="1"/>
  <c r="N251" i="40"/>
  <c r="O251" i="40" s="1"/>
  <c r="K251" i="40"/>
  <c r="L251" i="40" s="1"/>
  <c r="F251" i="40"/>
  <c r="G251" i="40" s="1"/>
  <c r="D251" i="40"/>
  <c r="E251" i="40" s="1"/>
  <c r="B251" i="40"/>
  <c r="A251" i="40"/>
  <c r="M251" i="40" s="1"/>
  <c r="U250" i="40"/>
  <c r="S250" i="40"/>
  <c r="P250" i="40"/>
  <c r="Q250" i="40" s="1"/>
  <c r="N250" i="40"/>
  <c r="O250" i="40" s="1"/>
  <c r="K250" i="40"/>
  <c r="L250" i="40" s="1"/>
  <c r="F250" i="40"/>
  <c r="G250" i="40" s="1"/>
  <c r="D250" i="40"/>
  <c r="E250" i="40" s="1"/>
  <c r="B250" i="40"/>
  <c r="A250" i="40"/>
  <c r="M250" i="40" s="1"/>
  <c r="U249" i="40"/>
  <c r="S249" i="40"/>
  <c r="P249" i="40"/>
  <c r="Q249" i="40" s="1"/>
  <c r="N249" i="40"/>
  <c r="O249" i="40" s="1"/>
  <c r="K249" i="40"/>
  <c r="L249" i="40" s="1"/>
  <c r="F249" i="40"/>
  <c r="G249" i="40" s="1"/>
  <c r="D249" i="40"/>
  <c r="E249" i="40" s="1"/>
  <c r="B249" i="40"/>
  <c r="A249" i="40"/>
  <c r="M249" i="40" s="1"/>
  <c r="U248" i="40"/>
  <c r="S248" i="40"/>
  <c r="P248" i="40"/>
  <c r="Q248" i="40" s="1"/>
  <c r="N248" i="40"/>
  <c r="O248" i="40" s="1"/>
  <c r="K248" i="40"/>
  <c r="L248" i="40" s="1"/>
  <c r="F248" i="40"/>
  <c r="G248" i="40" s="1"/>
  <c r="D248" i="40"/>
  <c r="E248" i="40" s="1"/>
  <c r="B248" i="40"/>
  <c r="A248" i="40"/>
  <c r="M248" i="40" s="1"/>
  <c r="Y247" i="40"/>
  <c r="Z247" i="40" s="1"/>
  <c r="W247" i="40"/>
  <c r="B247" i="40"/>
  <c r="A247" i="40"/>
  <c r="Y246" i="40"/>
  <c r="Z246" i="40" s="1"/>
  <c r="W246" i="40"/>
  <c r="B246" i="40"/>
  <c r="A246" i="40"/>
  <c r="Y245" i="40"/>
  <c r="Z245" i="40" s="1"/>
  <c r="W245" i="40"/>
  <c r="B245" i="40"/>
  <c r="A245" i="40"/>
  <c r="Y244" i="40"/>
  <c r="Z244" i="40" s="1"/>
  <c r="W244" i="40"/>
  <c r="X244" i="40" s="1"/>
  <c r="K244" i="40"/>
  <c r="L244" i="40" s="1"/>
  <c r="B244" i="40"/>
  <c r="A244" i="40"/>
  <c r="Y243" i="40"/>
  <c r="Z243" i="40" s="1"/>
  <c r="W243" i="40"/>
  <c r="B243" i="40"/>
  <c r="A243" i="40"/>
  <c r="U242" i="40"/>
  <c r="S242" i="40"/>
  <c r="P242" i="40"/>
  <c r="Q242" i="40" s="1"/>
  <c r="N242" i="40"/>
  <c r="O242" i="40" s="1"/>
  <c r="K242" i="40"/>
  <c r="L242" i="40" s="1"/>
  <c r="F242" i="40"/>
  <c r="G242" i="40" s="1"/>
  <c r="D242" i="40"/>
  <c r="E242" i="40" s="1"/>
  <c r="B242" i="40"/>
  <c r="A242" i="40"/>
  <c r="M242" i="40" s="1"/>
  <c r="U241" i="40"/>
  <c r="S241" i="40"/>
  <c r="P241" i="40"/>
  <c r="Q241" i="40" s="1"/>
  <c r="N241" i="40"/>
  <c r="O241" i="40" s="1"/>
  <c r="K241" i="40"/>
  <c r="L241" i="40" s="1"/>
  <c r="F241" i="40"/>
  <c r="G241" i="40" s="1"/>
  <c r="D241" i="40"/>
  <c r="E241" i="40" s="1"/>
  <c r="B241" i="40"/>
  <c r="A241" i="40"/>
  <c r="M241" i="40" s="1"/>
  <c r="U240" i="40"/>
  <c r="S240" i="40"/>
  <c r="P240" i="40"/>
  <c r="Q240" i="40" s="1"/>
  <c r="N240" i="40"/>
  <c r="O240" i="40" s="1"/>
  <c r="K240" i="40"/>
  <c r="L240" i="40" s="1"/>
  <c r="F240" i="40"/>
  <c r="G240" i="40" s="1"/>
  <c r="D240" i="40"/>
  <c r="E240" i="40" s="1"/>
  <c r="B240" i="40"/>
  <c r="A240" i="40"/>
  <c r="M240" i="40" s="1"/>
  <c r="U239" i="40"/>
  <c r="S239" i="40"/>
  <c r="P239" i="40"/>
  <c r="Q239" i="40" s="1"/>
  <c r="N239" i="40"/>
  <c r="O239" i="40" s="1"/>
  <c r="K239" i="40"/>
  <c r="L239" i="40" s="1"/>
  <c r="F239" i="40"/>
  <c r="G239" i="40" s="1"/>
  <c r="D239" i="40"/>
  <c r="E239" i="40" s="1"/>
  <c r="B239" i="40"/>
  <c r="A239" i="40"/>
  <c r="M239" i="40" s="1"/>
  <c r="Y238" i="40"/>
  <c r="W238" i="40"/>
  <c r="X238" i="40" s="1"/>
  <c r="B238" i="40"/>
  <c r="A238" i="40"/>
  <c r="Y237" i="40"/>
  <c r="Z237" i="40" s="1"/>
  <c r="W237" i="40"/>
  <c r="X237" i="40" s="1"/>
  <c r="B237" i="40"/>
  <c r="A237" i="40"/>
  <c r="Y236" i="40"/>
  <c r="Z236" i="40" s="1"/>
  <c r="W236" i="40"/>
  <c r="B236" i="40"/>
  <c r="A236" i="40"/>
  <c r="Y235" i="40"/>
  <c r="Z235" i="40" s="1"/>
  <c r="W235" i="40"/>
  <c r="K235" i="40"/>
  <c r="L235" i="40" s="1"/>
  <c r="B235" i="40"/>
  <c r="A235" i="40"/>
  <c r="Y234" i="40"/>
  <c r="Z234" i="40" s="1"/>
  <c r="W234" i="40"/>
  <c r="X234" i="40" s="1"/>
  <c r="B234" i="40"/>
  <c r="A234" i="40"/>
  <c r="U233" i="40"/>
  <c r="S233" i="40"/>
  <c r="P233" i="40"/>
  <c r="Q233" i="40" s="1"/>
  <c r="N233" i="40"/>
  <c r="O233" i="40" s="1"/>
  <c r="K233" i="40"/>
  <c r="L233" i="40" s="1"/>
  <c r="F233" i="40"/>
  <c r="G233" i="40" s="1"/>
  <c r="D233" i="40"/>
  <c r="E233" i="40" s="1"/>
  <c r="B233" i="40"/>
  <c r="A233" i="40"/>
  <c r="M233" i="40" s="1"/>
  <c r="U232" i="40"/>
  <c r="S232" i="40"/>
  <c r="P232" i="40"/>
  <c r="Q232" i="40" s="1"/>
  <c r="N232" i="40"/>
  <c r="O232" i="40" s="1"/>
  <c r="K232" i="40"/>
  <c r="L232" i="40" s="1"/>
  <c r="F232" i="40"/>
  <c r="G232" i="40" s="1"/>
  <c r="D232" i="40"/>
  <c r="E232" i="40" s="1"/>
  <c r="B232" i="40"/>
  <c r="A232" i="40"/>
  <c r="M232" i="40" s="1"/>
  <c r="U231" i="40"/>
  <c r="S231" i="40"/>
  <c r="P231" i="40"/>
  <c r="Q231" i="40" s="1"/>
  <c r="N231" i="40"/>
  <c r="O231" i="40" s="1"/>
  <c r="K231" i="40"/>
  <c r="L231" i="40" s="1"/>
  <c r="F231" i="40"/>
  <c r="G231" i="40" s="1"/>
  <c r="D231" i="40"/>
  <c r="E231" i="40" s="1"/>
  <c r="B231" i="40"/>
  <c r="A231" i="40"/>
  <c r="M231" i="40" s="1"/>
  <c r="U230" i="40"/>
  <c r="S230" i="40"/>
  <c r="P230" i="40"/>
  <c r="Q230" i="40" s="1"/>
  <c r="N230" i="40"/>
  <c r="O230" i="40" s="1"/>
  <c r="K230" i="40"/>
  <c r="L230" i="40" s="1"/>
  <c r="F230" i="40"/>
  <c r="G230" i="40" s="1"/>
  <c r="D230" i="40"/>
  <c r="E230" i="40" s="1"/>
  <c r="B230" i="40"/>
  <c r="A230" i="40"/>
  <c r="M230" i="40" s="1"/>
  <c r="Y229" i="40"/>
  <c r="Z229" i="40" s="1"/>
  <c r="W229" i="40"/>
  <c r="B229" i="40"/>
  <c r="A229" i="40"/>
  <c r="Y228" i="40"/>
  <c r="Z228" i="40" s="1"/>
  <c r="W228" i="40"/>
  <c r="B228" i="40"/>
  <c r="A228" i="40"/>
  <c r="Y227" i="40"/>
  <c r="Z227" i="40" s="1"/>
  <c r="W227" i="40"/>
  <c r="B227" i="40"/>
  <c r="A227" i="40"/>
  <c r="Y226" i="40"/>
  <c r="Z226" i="40" s="1"/>
  <c r="W226" i="40"/>
  <c r="X226" i="40" s="1"/>
  <c r="K226" i="40"/>
  <c r="L226" i="40" s="1"/>
  <c r="B226" i="40"/>
  <c r="A226" i="40"/>
  <c r="Y225" i="40"/>
  <c r="Z225" i="40" s="1"/>
  <c r="W225" i="40"/>
  <c r="B225" i="40"/>
  <c r="A225" i="40"/>
  <c r="U224" i="40"/>
  <c r="S224" i="40"/>
  <c r="P224" i="40"/>
  <c r="Q224" i="40" s="1"/>
  <c r="O224" i="40"/>
  <c r="N224" i="40"/>
  <c r="K224" i="40"/>
  <c r="L224" i="40" s="1"/>
  <c r="F224" i="40"/>
  <c r="G224" i="40" s="1"/>
  <c r="E224" i="40"/>
  <c r="D224" i="40"/>
  <c r="B224" i="40"/>
  <c r="A224" i="40"/>
  <c r="M224" i="40" s="1"/>
  <c r="U223" i="40"/>
  <c r="S223" i="40"/>
  <c r="P223" i="40"/>
  <c r="Q223" i="40" s="1"/>
  <c r="N223" i="40"/>
  <c r="O223" i="40" s="1"/>
  <c r="K223" i="40"/>
  <c r="L223" i="40" s="1"/>
  <c r="F223" i="40"/>
  <c r="G223" i="40" s="1"/>
  <c r="D223" i="40"/>
  <c r="E223" i="40" s="1"/>
  <c r="B223" i="40"/>
  <c r="A223" i="40"/>
  <c r="M223" i="40" s="1"/>
  <c r="U222" i="40"/>
  <c r="S222" i="40"/>
  <c r="P222" i="40"/>
  <c r="Q222" i="40" s="1"/>
  <c r="N222" i="40"/>
  <c r="O222" i="40" s="1"/>
  <c r="K222" i="40"/>
  <c r="L222" i="40" s="1"/>
  <c r="F222" i="40"/>
  <c r="G222" i="40" s="1"/>
  <c r="D222" i="40"/>
  <c r="E222" i="40" s="1"/>
  <c r="B222" i="40"/>
  <c r="A222" i="40"/>
  <c r="M222" i="40" s="1"/>
  <c r="U221" i="40"/>
  <c r="S221" i="40"/>
  <c r="P221" i="40"/>
  <c r="Q221" i="40" s="1"/>
  <c r="N221" i="40"/>
  <c r="O221" i="40" s="1"/>
  <c r="K221" i="40"/>
  <c r="L221" i="40" s="1"/>
  <c r="F221" i="40"/>
  <c r="G221" i="40" s="1"/>
  <c r="D221" i="40"/>
  <c r="E221" i="40" s="1"/>
  <c r="B221" i="40"/>
  <c r="A221" i="40"/>
  <c r="M221" i="40" s="1"/>
  <c r="Y220" i="40"/>
  <c r="W220" i="40"/>
  <c r="X220" i="40" s="1"/>
  <c r="B220" i="40"/>
  <c r="A220" i="40"/>
  <c r="Y219" i="40"/>
  <c r="Z219" i="40" s="1"/>
  <c r="W219" i="40"/>
  <c r="X219" i="40" s="1"/>
  <c r="B219" i="40"/>
  <c r="A219" i="40"/>
  <c r="Y218" i="40"/>
  <c r="Z218" i="40" s="1"/>
  <c r="W218" i="40"/>
  <c r="B218" i="40"/>
  <c r="A218" i="40"/>
  <c r="Y217" i="40"/>
  <c r="Z217" i="40" s="1"/>
  <c r="W217" i="40"/>
  <c r="K217" i="40"/>
  <c r="L217" i="40" s="1"/>
  <c r="B217" i="40"/>
  <c r="A217" i="40"/>
  <c r="Y216" i="40"/>
  <c r="Z216" i="40" s="1"/>
  <c r="W216" i="40"/>
  <c r="X216" i="40" s="1"/>
  <c r="B216" i="40"/>
  <c r="A216" i="40"/>
  <c r="U215" i="40"/>
  <c r="S215" i="40"/>
  <c r="P215" i="40"/>
  <c r="Q215" i="40" s="1"/>
  <c r="N215" i="40"/>
  <c r="O215" i="40" s="1"/>
  <c r="K215" i="40"/>
  <c r="L215" i="40" s="1"/>
  <c r="F215" i="40"/>
  <c r="G215" i="40" s="1"/>
  <c r="D215" i="40"/>
  <c r="E215" i="40" s="1"/>
  <c r="B215" i="40"/>
  <c r="A215" i="40"/>
  <c r="M215" i="40" s="1"/>
  <c r="U214" i="40"/>
  <c r="S214" i="40"/>
  <c r="P214" i="40"/>
  <c r="Q214" i="40" s="1"/>
  <c r="N214" i="40"/>
  <c r="O214" i="40" s="1"/>
  <c r="K214" i="40"/>
  <c r="L214" i="40" s="1"/>
  <c r="F214" i="40"/>
  <c r="G214" i="40" s="1"/>
  <c r="D214" i="40"/>
  <c r="E214" i="40" s="1"/>
  <c r="B214" i="40"/>
  <c r="A214" i="40"/>
  <c r="M214" i="40" s="1"/>
  <c r="U213" i="40"/>
  <c r="S213" i="40"/>
  <c r="P213" i="40"/>
  <c r="Q213" i="40" s="1"/>
  <c r="N213" i="40"/>
  <c r="O213" i="40" s="1"/>
  <c r="K213" i="40"/>
  <c r="L213" i="40" s="1"/>
  <c r="F213" i="40"/>
  <c r="G213" i="40" s="1"/>
  <c r="D213" i="40"/>
  <c r="E213" i="40" s="1"/>
  <c r="B213" i="40"/>
  <c r="A213" i="40"/>
  <c r="M213" i="40" s="1"/>
  <c r="U212" i="40"/>
  <c r="S212" i="40"/>
  <c r="P212" i="40"/>
  <c r="Q212" i="40" s="1"/>
  <c r="N212" i="40"/>
  <c r="O212" i="40" s="1"/>
  <c r="K212" i="40"/>
  <c r="L212" i="40" s="1"/>
  <c r="F212" i="40"/>
  <c r="G212" i="40" s="1"/>
  <c r="D212" i="40"/>
  <c r="E212" i="40" s="1"/>
  <c r="B212" i="40"/>
  <c r="A212" i="40"/>
  <c r="M212" i="40" s="1"/>
  <c r="Y211" i="40"/>
  <c r="Z211" i="40" s="1"/>
  <c r="W211" i="40"/>
  <c r="B211" i="40"/>
  <c r="A211" i="40"/>
  <c r="Y210" i="40"/>
  <c r="Z210" i="40" s="1"/>
  <c r="W210" i="40"/>
  <c r="X210" i="40" s="1"/>
  <c r="B210" i="40"/>
  <c r="A210" i="40"/>
  <c r="Y209" i="40"/>
  <c r="Z209" i="40" s="1"/>
  <c r="W209" i="40"/>
  <c r="B209" i="40"/>
  <c r="A209" i="40"/>
  <c r="Y208" i="40"/>
  <c r="Z208" i="40" s="1"/>
  <c r="W208" i="40"/>
  <c r="X208" i="40" s="1"/>
  <c r="K208" i="40"/>
  <c r="L208" i="40" s="1"/>
  <c r="B208" i="40"/>
  <c r="A208" i="40"/>
  <c r="Y207" i="40"/>
  <c r="Z207" i="40" s="1"/>
  <c r="W207" i="40"/>
  <c r="X207" i="40" s="1"/>
  <c r="B207" i="40"/>
  <c r="A207" i="40"/>
  <c r="U206" i="40"/>
  <c r="S206" i="40"/>
  <c r="P206" i="40"/>
  <c r="Q206" i="40" s="1"/>
  <c r="N206" i="40"/>
  <c r="O206" i="40" s="1"/>
  <c r="K206" i="40"/>
  <c r="L206" i="40" s="1"/>
  <c r="F206" i="40"/>
  <c r="G206" i="40" s="1"/>
  <c r="D206" i="40"/>
  <c r="E206" i="40" s="1"/>
  <c r="B206" i="40"/>
  <c r="A206" i="40"/>
  <c r="M206" i="40" s="1"/>
  <c r="U205" i="40"/>
  <c r="S205" i="40"/>
  <c r="P205" i="40"/>
  <c r="Q205" i="40" s="1"/>
  <c r="N205" i="40"/>
  <c r="O205" i="40" s="1"/>
  <c r="K205" i="40"/>
  <c r="L205" i="40" s="1"/>
  <c r="F205" i="40"/>
  <c r="G205" i="40" s="1"/>
  <c r="D205" i="40"/>
  <c r="E205" i="40" s="1"/>
  <c r="B205" i="40"/>
  <c r="A205" i="40"/>
  <c r="M205" i="40" s="1"/>
  <c r="U204" i="40"/>
  <c r="S204" i="40"/>
  <c r="P204" i="40"/>
  <c r="Q204" i="40" s="1"/>
  <c r="N204" i="40"/>
  <c r="O204" i="40" s="1"/>
  <c r="K204" i="40"/>
  <c r="L204" i="40" s="1"/>
  <c r="F204" i="40"/>
  <c r="G204" i="40" s="1"/>
  <c r="D204" i="40"/>
  <c r="E204" i="40" s="1"/>
  <c r="B204" i="40"/>
  <c r="A204" i="40"/>
  <c r="M204" i="40" s="1"/>
  <c r="U203" i="40"/>
  <c r="S203" i="40"/>
  <c r="P203" i="40"/>
  <c r="Q203" i="40" s="1"/>
  <c r="N203" i="40"/>
  <c r="O203" i="40" s="1"/>
  <c r="K203" i="40"/>
  <c r="L203" i="40" s="1"/>
  <c r="F203" i="40"/>
  <c r="G203" i="40" s="1"/>
  <c r="D203" i="40"/>
  <c r="E203" i="40" s="1"/>
  <c r="B203" i="40"/>
  <c r="A203" i="40"/>
  <c r="M203" i="40" s="1"/>
  <c r="Y202" i="40"/>
  <c r="W202" i="40"/>
  <c r="X202" i="40" s="1"/>
  <c r="B202" i="40"/>
  <c r="A202" i="40"/>
  <c r="Y201" i="40"/>
  <c r="Z201" i="40" s="1"/>
  <c r="W201" i="40"/>
  <c r="X201" i="40" s="1"/>
  <c r="B201" i="40"/>
  <c r="A201" i="40"/>
  <c r="Y200" i="40"/>
  <c r="Z200" i="40" s="1"/>
  <c r="W200" i="40"/>
  <c r="B200" i="40"/>
  <c r="A200" i="40"/>
  <c r="Y199" i="40"/>
  <c r="Z199" i="40" s="1"/>
  <c r="W199" i="40"/>
  <c r="K199" i="40"/>
  <c r="L199" i="40" s="1"/>
  <c r="B199" i="40"/>
  <c r="A199" i="40"/>
  <c r="Y198" i="40"/>
  <c r="Z198" i="40" s="1"/>
  <c r="W198" i="40"/>
  <c r="B198" i="40"/>
  <c r="A198" i="40"/>
  <c r="U197" i="40"/>
  <c r="S197" i="40"/>
  <c r="P197" i="40"/>
  <c r="Q197" i="40" s="1"/>
  <c r="N197" i="40"/>
  <c r="O197" i="40" s="1"/>
  <c r="K197" i="40"/>
  <c r="L197" i="40" s="1"/>
  <c r="F197" i="40"/>
  <c r="G197" i="40" s="1"/>
  <c r="D197" i="40"/>
  <c r="E197" i="40" s="1"/>
  <c r="B197" i="40"/>
  <c r="A197" i="40"/>
  <c r="M197" i="40" s="1"/>
  <c r="U196" i="40"/>
  <c r="S196" i="40"/>
  <c r="P196" i="40"/>
  <c r="Q196" i="40" s="1"/>
  <c r="N196" i="40"/>
  <c r="O196" i="40" s="1"/>
  <c r="K196" i="40"/>
  <c r="L196" i="40" s="1"/>
  <c r="F196" i="40"/>
  <c r="G196" i="40" s="1"/>
  <c r="D196" i="40"/>
  <c r="E196" i="40" s="1"/>
  <c r="B196" i="40"/>
  <c r="A196" i="40"/>
  <c r="M196" i="40" s="1"/>
  <c r="U195" i="40"/>
  <c r="S195" i="40"/>
  <c r="P195" i="40"/>
  <c r="Q195" i="40" s="1"/>
  <c r="N195" i="40"/>
  <c r="O195" i="40" s="1"/>
  <c r="K195" i="40"/>
  <c r="L195" i="40" s="1"/>
  <c r="F195" i="40"/>
  <c r="G195" i="40" s="1"/>
  <c r="D195" i="40"/>
  <c r="E195" i="40" s="1"/>
  <c r="B195" i="40"/>
  <c r="A195" i="40"/>
  <c r="M195" i="40" s="1"/>
  <c r="U194" i="40"/>
  <c r="S194" i="40"/>
  <c r="P194" i="40"/>
  <c r="Q194" i="40" s="1"/>
  <c r="N194" i="40"/>
  <c r="O194" i="40" s="1"/>
  <c r="K194" i="40"/>
  <c r="L194" i="40" s="1"/>
  <c r="F194" i="40"/>
  <c r="G194" i="40" s="1"/>
  <c r="D194" i="40"/>
  <c r="E194" i="40" s="1"/>
  <c r="B194" i="40"/>
  <c r="A194" i="40"/>
  <c r="M194" i="40" s="1"/>
  <c r="Y193" i="40"/>
  <c r="Z193" i="40" s="1"/>
  <c r="W193" i="40"/>
  <c r="B193" i="40"/>
  <c r="A193" i="40"/>
  <c r="Y192" i="40"/>
  <c r="Z192" i="40" s="1"/>
  <c r="W192" i="40"/>
  <c r="X192" i="40" s="1"/>
  <c r="B192" i="40"/>
  <c r="A192" i="40"/>
  <c r="Y191" i="40"/>
  <c r="Z191" i="40" s="1"/>
  <c r="W191" i="40"/>
  <c r="B191" i="40"/>
  <c r="A191" i="40"/>
  <c r="Y190" i="40"/>
  <c r="Z190" i="40" s="1"/>
  <c r="W190" i="40"/>
  <c r="X190" i="40" s="1"/>
  <c r="K190" i="40"/>
  <c r="L190" i="40" s="1"/>
  <c r="B190" i="40"/>
  <c r="A190" i="40"/>
  <c r="Y189" i="40"/>
  <c r="Z189" i="40" s="1"/>
  <c r="W189" i="40"/>
  <c r="B189" i="40"/>
  <c r="A189" i="40"/>
  <c r="U188" i="40"/>
  <c r="S188" i="40"/>
  <c r="P188" i="40"/>
  <c r="Q188" i="40" s="1"/>
  <c r="N188" i="40"/>
  <c r="O188" i="40" s="1"/>
  <c r="K188" i="40"/>
  <c r="L188" i="40" s="1"/>
  <c r="F188" i="40"/>
  <c r="G188" i="40" s="1"/>
  <c r="D188" i="40"/>
  <c r="E188" i="40" s="1"/>
  <c r="B188" i="40"/>
  <c r="A188" i="40"/>
  <c r="M188" i="40" s="1"/>
  <c r="U187" i="40"/>
  <c r="S187" i="40"/>
  <c r="P187" i="40"/>
  <c r="Q187" i="40" s="1"/>
  <c r="N187" i="40"/>
  <c r="O187" i="40" s="1"/>
  <c r="K187" i="40"/>
  <c r="L187" i="40" s="1"/>
  <c r="F187" i="40"/>
  <c r="G187" i="40" s="1"/>
  <c r="D187" i="40"/>
  <c r="E187" i="40" s="1"/>
  <c r="B187" i="40"/>
  <c r="A187" i="40"/>
  <c r="M187" i="40" s="1"/>
  <c r="U186" i="40"/>
  <c r="S186" i="40"/>
  <c r="P186" i="40"/>
  <c r="Q186" i="40" s="1"/>
  <c r="N186" i="40"/>
  <c r="O186" i="40" s="1"/>
  <c r="K186" i="40"/>
  <c r="L186" i="40" s="1"/>
  <c r="F186" i="40"/>
  <c r="G186" i="40" s="1"/>
  <c r="D186" i="40"/>
  <c r="E186" i="40" s="1"/>
  <c r="B186" i="40"/>
  <c r="A186" i="40"/>
  <c r="M186" i="40" s="1"/>
  <c r="U185" i="40"/>
  <c r="S185" i="40"/>
  <c r="P185" i="40"/>
  <c r="Q185" i="40" s="1"/>
  <c r="N185" i="40"/>
  <c r="O185" i="40" s="1"/>
  <c r="K185" i="40"/>
  <c r="L185" i="40" s="1"/>
  <c r="F185" i="40"/>
  <c r="G185" i="40" s="1"/>
  <c r="D185" i="40"/>
  <c r="E185" i="40" s="1"/>
  <c r="B185" i="40"/>
  <c r="A185" i="40"/>
  <c r="M185" i="40" s="1"/>
  <c r="Y184" i="40"/>
  <c r="W184" i="40"/>
  <c r="X184" i="40" s="1"/>
  <c r="B184" i="40"/>
  <c r="A184" i="40"/>
  <c r="Y183" i="40"/>
  <c r="Z183" i="40" s="1"/>
  <c r="W183" i="40"/>
  <c r="X183" i="40" s="1"/>
  <c r="B183" i="40"/>
  <c r="A183" i="40"/>
  <c r="Y182" i="40"/>
  <c r="Z182" i="40" s="1"/>
  <c r="W182" i="40"/>
  <c r="B182" i="40"/>
  <c r="A182" i="40"/>
  <c r="Y181" i="40"/>
  <c r="Z181" i="40" s="1"/>
  <c r="W181" i="40"/>
  <c r="K181" i="40"/>
  <c r="L181" i="40" s="1"/>
  <c r="B181" i="40"/>
  <c r="A181" i="40"/>
  <c r="Y180" i="40"/>
  <c r="Z180" i="40" s="1"/>
  <c r="W180" i="40"/>
  <c r="X180" i="40" s="1"/>
  <c r="B180" i="40"/>
  <c r="A180" i="40"/>
  <c r="U179" i="40"/>
  <c r="S179" i="40"/>
  <c r="P179" i="40"/>
  <c r="Q179" i="40" s="1"/>
  <c r="N179" i="40"/>
  <c r="O179" i="40" s="1"/>
  <c r="K179" i="40"/>
  <c r="L179" i="40" s="1"/>
  <c r="F179" i="40"/>
  <c r="G179" i="40" s="1"/>
  <c r="D179" i="40"/>
  <c r="E179" i="40" s="1"/>
  <c r="B179" i="40"/>
  <c r="A179" i="40"/>
  <c r="M179" i="40" s="1"/>
  <c r="U178" i="40"/>
  <c r="S178" i="40"/>
  <c r="P178" i="40"/>
  <c r="Q178" i="40" s="1"/>
  <c r="N178" i="40"/>
  <c r="O178" i="40" s="1"/>
  <c r="K178" i="40"/>
  <c r="L178" i="40" s="1"/>
  <c r="F178" i="40"/>
  <c r="G178" i="40" s="1"/>
  <c r="D178" i="40"/>
  <c r="E178" i="40" s="1"/>
  <c r="B178" i="40"/>
  <c r="A178" i="40"/>
  <c r="M178" i="40" s="1"/>
  <c r="U177" i="40"/>
  <c r="S177" i="40"/>
  <c r="P177" i="40"/>
  <c r="Q177" i="40" s="1"/>
  <c r="N177" i="40"/>
  <c r="O177" i="40" s="1"/>
  <c r="K177" i="40"/>
  <c r="L177" i="40" s="1"/>
  <c r="F177" i="40"/>
  <c r="G177" i="40" s="1"/>
  <c r="D177" i="40"/>
  <c r="E177" i="40" s="1"/>
  <c r="B177" i="40"/>
  <c r="A177" i="40"/>
  <c r="M177" i="40" s="1"/>
  <c r="U176" i="40"/>
  <c r="S176" i="40"/>
  <c r="P176" i="40"/>
  <c r="Q176" i="40" s="1"/>
  <c r="N176" i="40"/>
  <c r="O176" i="40" s="1"/>
  <c r="K176" i="40"/>
  <c r="L176" i="40" s="1"/>
  <c r="F176" i="40"/>
  <c r="G176" i="40" s="1"/>
  <c r="D176" i="40"/>
  <c r="E176" i="40" s="1"/>
  <c r="B176" i="40"/>
  <c r="A176" i="40"/>
  <c r="M176" i="40" s="1"/>
  <c r="Y175" i="40"/>
  <c r="Z175" i="40" s="1"/>
  <c r="W175" i="40"/>
  <c r="B175" i="40"/>
  <c r="A175" i="40"/>
  <c r="Y174" i="40"/>
  <c r="Z174" i="40" s="1"/>
  <c r="W174" i="40"/>
  <c r="X174" i="40" s="1"/>
  <c r="B174" i="40"/>
  <c r="A174" i="40"/>
  <c r="Y173" i="40"/>
  <c r="Z173" i="40" s="1"/>
  <c r="W173" i="40"/>
  <c r="B173" i="40"/>
  <c r="A173" i="40"/>
  <c r="Y172" i="40"/>
  <c r="Z172" i="40" s="1"/>
  <c r="W172" i="40"/>
  <c r="X172" i="40" s="1"/>
  <c r="K172" i="40"/>
  <c r="L172" i="40" s="1"/>
  <c r="B172" i="40"/>
  <c r="A172" i="40"/>
  <c r="Y171" i="40"/>
  <c r="Z171" i="40" s="1"/>
  <c r="W171" i="40"/>
  <c r="B171" i="40"/>
  <c r="A171" i="40"/>
  <c r="U170" i="40"/>
  <c r="S170" i="40"/>
  <c r="P170" i="40"/>
  <c r="Q170" i="40" s="1"/>
  <c r="N170" i="40"/>
  <c r="O170" i="40" s="1"/>
  <c r="K170" i="40"/>
  <c r="L170" i="40" s="1"/>
  <c r="F170" i="40"/>
  <c r="G170" i="40" s="1"/>
  <c r="D170" i="40"/>
  <c r="E170" i="40" s="1"/>
  <c r="B170" i="40"/>
  <c r="A170" i="40"/>
  <c r="M170" i="40" s="1"/>
  <c r="U169" i="40"/>
  <c r="S169" i="40"/>
  <c r="P169" i="40"/>
  <c r="Q169" i="40" s="1"/>
  <c r="N169" i="40"/>
  <c r="O169" i="40" s="1"/>
  <c r="K169" i="40"/>
  <c r="L169" i="40" s="1"/>
  <c r="F169" i="40"/>
  <c r="G169" i="40" s="1"/>
  <c r="D169" i="40"/>
  <c r="E169" i="40" s="1"/>
  <c r="B169" i="40"/>
  <c r="A169" i="40"/>
  <c r="M169" i="40" s="1"/>
  <c r="U168" i="40"/>
  <c r="S168" i="40"/>
  <c r="P168" i="40"/>
  <c r="Q168" i="40" s="1"/>
  <c r="N168" i="40"/>
  <c r="O168" i="40" s="1"/>
  <c r="K168" i="40"/>
  <c r="L168" i="40" s="1"/>
  <c r="F168" i="40"/>
  <c r="G168" i="40" s="1"/>
  <c r="D168" i="40"/>
  <c r="E168" i="40" s="1"/>
  <c r="B168" i="40"/>
  <c r="A168" i="40"/>
  <c r="M168" i="40" s="1"/>
  <c r="U167" i="40"/>
  <c r="S167" i="40"/>
  <c r="P167" i="40"/>
  <c r="Q167" i="40" s="1"/>
  <c r="N167" i="40"/>
  <c r="O167" i="40" s="1"/>
  <c r="K167" i="40"/>
  <c r="L167" i="40" s="1"/>
  <c r="F167" i="40"/>
  <c r="G167" i="40" s="1"/>
  <c r="D167" i="40"/>
  <c r="E167" i="40" s="1"/>
  <c r="B167" i="40"/>
  <c r="A167" i="40"/>
  <c r="M167" i="40" s="1"/>
  <c r="Y166" i="40"/>
  <c r="W166" i="40"/>
  <c r="X166" i="40" s="1"/>
  <c r="B166" i="40"/>
  <c r="A166" i="40"/>
  <c r="Y165" i="40"/>
  <c r="Z165" i="40" s="1"/>
  <c r="W165" i="40"/>
  <c r="X165" i="40" s="1"/>
  <c r="B165" i="40"/>
  <c r="A165" i="40"/>
  <c r="Y164" i="40"/>
  <c r="Z164" i="40" s="1"/>
  <c r="W164" i="40"/>
  <c r="B164" i="40"/>
  <c r="A164" i="40"/>
  <c r="Y163" i="40"/>
  <c r="Z163" i="40" s="1"/>
  <c r="W163" i="40"/>
  <c r="X163" i="40" s="1"/>
  <c r="K163" i="40"/>
  <c r="L163" i="40" s="1"/>
  <c r="B163" i="40"/>
  <c r="A163" i="40"/>
  <c r="Y162" i="40"/>
  <c r="Z162" i="40" s="1"/>
  <c r="W162" i="40"/>
  <c r="X162" i="40" s="1"/>
  <c r="B162" i="40"/>
  <c r="A162" i="40"/>
  <c r="U161" i="40"/>
  <c r="S161" i="40"/>
  <c r="P161" i="40"/>
  <c r="Q161" i="40" s="1"/>
  <c r="N161" i="40"/>
  <c r="O161" i="40" s="1"/>
  <c r="K161" i="40"/>
  <c r="L161" i="40" s="1"/>
  <c r="F161" i="40"/>
  <c r="G161" i="40" s="1"/>
  <c r="D161" i="40"/>
  <c r="E161" i="40" s="1"/>
  <c r="B161" i="40"/>
  <c r="A161" i="40"/>
  <c r="M161" i="40" s="1"/>
  <c r="U160" i="40"/>
  <c r="S160" i="40"/>
  <c r="P160" i="40"/>
  <c r="Q160" i="40" s="1"/>
  <c r="N160" i="40"/>
  <c r="O160" i="40" s="1"/>
  <c r="K160" i="40"/>
  <c r="L160" i="40" s="1"/>
  <c r="F160" i="40"/>
  <c r="G160" i="40" s="1"/>
  <c r="D160" i="40"/>
  <c r="E160" i="40" s="1"/>
  <c r="B160" i="40"/>
  <c r="A160" i="40"/>
  <c r="M160" i="40" s="1"/>
  <c r="U159" i="40"/>
  <c r="S159" i="40"/>
  <c r="P159" i="40"/>
  <c r="Q159" i="40" s="1"/>
  <c r="N159" i="40"/>
  <c r="O159" i="40" s="1"/>
  <c r="K159" i="40"/>
  <c r="L159" i="40" s="1"/>
  <c r="F159" i="40"/>
  <c r="G159" i="40" s="1"/>
  <c r="D159" i="40"/>
  <c r="E159" i="40" s="1"/>
  <c r="B159" i="40"/>
  <c r="A159" i="40"/>
  <c r="M159" i="40" s="1"/>
  <c r="U158" i="40"/>
  <c r="S158" i="40"/>
  <c r="P158" i="40"/>
  <c r="Q158" i="40" s="1"/>
  <c r="N158" i="40"/>
  <c r="O158" i="40" s="1"/>
  <c r="K158" i="40"/>
  <c r="L158" i="40" s="1"/>
  <c r="F158" i="40"/>
  <c r="G158" i="40" s="1"/>
  <c r="D158" i="40"/>
  <c r="E158" i="40" s="1"/>
  <c r="B158" i="40"/>
  <c r="A158" i="40"/>
  <c r="M158" i="40" s="1"/>
  <c r="Y157" i="40"/>
  <c r="Z157" i="40" s="1"/>
  <c r="W157" i="40"/>
  <c r="B157" i="40"/>
  <c r="A157" i="40"/>
  <c r="Y156" i="40"/>
  <c r="Z156" i="40" s="1"/>
  <c r="W156" i="40"/>
  <c r="X156" i="40" s="1"/>
  <c r="B156" i="40"/>
  <c r="A156" i="40"/>
  <c r="Y155" i="40"/>
  <c r="Z155" i="40" s="1"/>
  <c r="W155" i="40"/>
  <c r="B155" i="40"/>
  <c r="A155" i="40"/>
  <c r="Y154" i="40"/>
  <c r="Z154" i="40" s="1"/>
  <c r="W154" i="40"/>
  <c r="K154" i="40"/>
  <c r="L154" i="40" s="1"/>
  <c r="B154" i="40"/>
  <c r="A154" i="40"/>
  <c r="Y153" i="40"/>
  <c r="Z153" i="40" s="1"/>
  <c r="W153" i="40"/>
  <c r="X153" i="40" s="1"/>
  <c r="B153" i="40"/>
  <c r="A153" i="40"/>
  <c r="U152" i="40"/>
  <c r="S152" i="40"/>
  <c r="P152" i="40"/>
  <c r="Q152" i="40" s="1"/>
  <c r="N152" i="40"/>
  <c r="O152" i="40" s="1"/>
  <c r="K152" i="40"/>
  <c r="L152" i="40" s="1"/>
  <c r="F152" i="40"/>
  <c r="G152" i="40" s="1"/>
  <c r="D152" i="40"/>
  <c r="E152" i="40" s="1"/>
  <c r="B152" i="40"/>
  <c r="A152" i="40"/>
  <c r="M152" i="40" s="1"/>
  <c r="U151" i="40"/>
  <c r="S151" i="40"/>
  <c r="P151" i="40"/>
  <c r="Q151" i="40" s="1"/>
  <c r="N151" i="40"/>
  <c r="O151" i="40" s="1"/>
  <c r="K151" i="40"/>
  <c r="L151" i="40" s="1"/>
  <c r="F151" i="40"/>
  <c r="G151" i="40" s="1"/>
  <c r="D151" i="40"/>
  <c r="E151" i="40" s="1"/>
  <c r="B151" i="40"/>
  <c r="A151" i="40"/>
  <c r="M151" i="40" s="1"/>
  <c r="U150" i="40"/>
  <c r="S150" i="40"/>
  <c r="P150" i="40"/>
  <c r="Q150" i="40" s="1"/>
  <c r="N150" i="40"/>
  <c r="O150" i="40" s="1"/>
  <c r="K150" i="40"/>
  <c r="L150" i="40" s="1"/>
  <c r="F150" i="40"/>
  <c r="G150" i="40" s="1"/>
  <c r="D150" i="40"/>
  <c r="E150" i="40" s="1"/>
  <c r="B150" i="40"/>
  <c r="A150" i="40"/>
  <c r="M150" i="40" s="1"/>
  <c r="U149" i="40"/>
  <c r="S149" i="40"/>
  <c r="P149" i="40"/>
  <c r="Q149" i="40" s="1"/>
  <c r="N149" i="40"/>
  <c r="O149" i="40" s="1"/>
  <c r="K149" i="40"/>
  <c r="L149" i="40" s="1"/>
  <c r="F149" i="40"/>
  <c r="G149" i="40" s="1"/>
  <c r="D149" i="40"/>
  <c r="E149" i="40" s="1"/>
  <c r="B149" i="40"/>
  <c r="A149" i="40"/>
  <c r="M149" i="40" s="1"/>
  <c r="Y148" i="40"/>
  <c r="W148" i="40"/>
  <c r="X148" i="40" s="1"/>
  <c r="B148" i="40"/>
  <c r="A148" i="40"/>
  <c r="Y147" i="40"/>
  <c r="Z147" i="40" s="1"/>
  <c r="X147" i="40"/>
  <c r="W147" i="40"/>
  <c r="B147" i="40"/>
  <c r="A147" i="40"/>
  <c r="Y146" i="40"/>
  <c r="Z146" i="40" s="1"/>
  <c r="W146" i="40"/>
  <c r="B146" i="40"/>
  <c r="A146" i="40"/>
  <c r="Y145" i="40"/>
  <c r="Z145" i="40" s="1"/>
  <c r="W145" i="40"/>
  <c r="X145" i="40" s="1"/>
  <c r="K145" i="40"/>
  <c r="L145" i="40" s="1"/>
  <c r="B145" i="40"/>
  <c r="A145" i="40"/>
  <c r="Y144" i="40"/>
  <c r="Z144" i="40" s="1"/>
  <c r="W144" i="40"/>
  <c r="B144" i="40"/>
  <c r="A144" i="40"/>
  <c r="U143" i="40"/>
  <c r="S143" i="40"/>
  <c r="P143" i="40"/>
  <c r="Q143" i="40" s="1"/>
  <c r="N143" i="40"/>
  <c r="O143" i="40" s="1"/>
  <c r="K143" i="40"/>
  <c r="L143" i="40" s="1"/>
  <c r="F143" i="40"/>
  <c r="G143" i="40" s="1"/>
  <c r="D143" i="40"/>
  <c r="E143" i="40" s="1"/>
  <c r="B143" i="40"/>
  <c r="A143" i="40"/>
  <c r="M143" i="40" s="1"/>
  <c r="U142" i="40"/>
  <c r="S142" i="40"/>
  <c r="P142" i="40"/>
  <c r="Q142" i="40" s="1"/>
  <c r="N142" i="40"/>
  <c r="O142" i="40" s="1"/>
  <c r="K142" i="40"/>
  <c r="L142" i="40" s="1"/>
  <c r="F142" i="40"/>
  <c r="G142" i="40" s="1"/>
  <c r="D142" i="40"/>
  <c r="E142" i="40" s="1"/>
  <c r="B142" i="40"/>
  <c r="A142" i="40"/>
  <c r="M142" i="40" s="1"/>
  <c r="U141" i="40"/>
  <c r="S141" i="40"/>
  <c r="P141" i="40"/>
  <c r="Q141" i="40" s="1"/>
  <c r="N141" i="40"/>
  <c r="O141" i="40" s="1"/>
  <c r="K141" i="40"/>
  <c r="L141" i="40" s="1"/>
  <c r="F141" i="40"/>
  <c r="G141" i="40" s="1"/>
  <c r="D141" i="40"/>
  <c r="E141" i="40" s="1"/>
  <c r="B141" i="40"/>
  <c r="A141" i="40"/>
  <c r="M141" i="40" s="1"/>
  <c r="U140" i="40"/>
  <c r="S140" i="40"/>
  <c r="P140" i="40"/>
  <c r="Q140" i="40" s="1"/>
  <c r="N140" i="40"/>
  <c r="O140" i="40" s="1"/>
  <c r="K140" i="40"/>
  <c r="L140" i="40" s="1"/>
  <c r="F140" i="40"/>
  <c r="G140" i="40" s="1"/>
  <c r="D140" i="40"/>
  <c r="E140" i="40" s="1"/>
  <c r="B140" i="40"/>
  <c r="A140" i="40"/>
  <c r="M140" i="40" s="1"/>
  <c r="Y139" i="40"/>
  <c r="Z139" i="40" s="1"/>
  <c r="W139" i="40"/>
  <c r="B139" i="40"/>
  <c r="A139" i="40"/>
  <c r="Y138" i="40"/>
  <c r="Z138" i="40" s="1"/>
  <c r="W138" i="40"/>
  <c r="B138" i="40"/>
  <c r="A138" i="40"/>
  <c r="Y137" i="40"/>
  <c r="Z137" i="40" s="1"/>
  <c r="W137" i="40"/>
  <c r="B137" i="40"/>
  <c r="A137" i="40"/>
  <c r="Y136" i="40"/>
  <c r="Z136" i="40" s="1"/>
  <c r="W136" i="40"/>
  <c r="X136" i="40" s="1"/>
  <c r="K136" i="40"/>
  <c r="L136" i="40" s="1"/>
  <c r="B136" i="40"/>
  <c r="A136" i="40"/>
  <c r="Y135" i="40"/>
  <c r="Z135" i="40" s="1"/>
  <c r="W135" i="40"/>
  <c r="B135" i="40"/>
  <c r="A135" i="40"/>
  <c r="U134" i="40"/>
  <c r="S134" i="40"/>
  <c r="P134" i="40"/>
  <c r="Q134" i="40" s="1"/>
  <c r="N134" i="40"/>
  <c r="O134" i="40" s="1"/>
  <c r="K134" i="40"/>
  <c r="L134" i="40" s="1"/>
  <c r="F134" i="40"/>
  <c r="G134" i="40" s="1"/>
  <c r="D134" i="40"/>
  <c r="E134" i="40" s="1"/>
  <c r="B134" i="40"/>
  <c r="A134" i="40"/>
  <c r="M134" i="40" s="1"/>
  <c r="U133" i="40"/>
  <c r="S133" i="40"/>
  <c r="P133" i="40"/>
  <c r="Q133" i="40" s="1"/>
  <c r="N133" i="40"/>
  <c r="O133" i="40" s="1"/>
  <c r="K133" i="40"/>
  <c r="L133" i="40" s="1"/>
  <c r="F133" i="40"/>
  <c r="G133" i="40" s="1"/>
  <c r="D133" i="40"/>
  <c r="E133" i="40" s="1"/>
  <c r="B133" i="40"/>
  <c r="A133" i="40"/>
  <c r="M133" i="40" s="1"/>
  <c r="U132" i="40"/>
  <c r="S132" i="40"/>
  <c r="P132" i="40"/>
  <c r="Q132" i="40" s="1"/>
  <c r="N132" i="40"/>
  <c r="O132" i="40" s="1"/>
  <c r="K132" i="40"/>
  <c r="L132" i="40" s="1"/>
  <c r="F132" i="40"/>
  <c r="G132" i="40" s="1"/>
  <c r="D132" i="40"/>
  <c r="E132" i="40" s="1"/>
  <c r="B132" i="40"/>
  <c r="A132" i="40"/>
  <c r="M132" i="40" s="1"/>
  <c r="U131" i="40"/>
  <c r="S131" i="40"/>
  <c r="P131" i="40"/>
  <c r="Q131" i="40" s="1"/>
  <c r="N131" i="40"/>
  <c r="O131" i="40" s="1"/>
  <c r="K131" i="40"/>
  <c r="L131" i="40" s="1"/>
  <c r="F131" i="40"/>
  <c r="G131" i="40" s="1"/>
  <c r="D131" i="40"/>
  <c r="E131" i="40" s="1"/>
  <c r="B131" i="40"/>
  <c r="A131" i="40"/>
  <c r="M131" i="40" s="1"/>
  <c r="Y130" i="40"/>
  <c r="W130" i="40"/>
  <c r="X130" i="40" s="1"/>
  <c r="B130" i="40"/>
  <c r="A130" i="40"/>
  <c r="Y129" i="40"/>
  <c r="Z129" i="40" s="1"/>
  <c r="W129" i="40"/>
  <c r="X129" i="40" s="1"/>
  <c r="B129" i="40"/>
  <c r="A129" i="40"/>
  <c r="Y128" i="40"/>
  <c r="Z128" i="40" s="1"/>
  <c r="W128" i="40"/>
  <c r="B128" i="40"/>
  <c r="A128" i="40"/>
  <c r="Y127" i="40"/>
  <c r="Z127" i="40" s="1"/>
  <c r="W127" i="40"/>
  <c r="K127" i="40"/>
  <c r="L127" i="40" s="1"/>
  <c r="B127" i="40"/>
  <c r="A127" i="40"/>
  <c r="Y126" i="40"/>
  <c r="Z126" i="40" s="1"/>
  <c r="W126" i="40"/>
  <c r="X126" i="40" s="1"/>
  <c r="B126" i="40"/>
  <c r="A126" i="40"/>
  <c r="U125" i="40"/>
  <c r="S125" i="40"/>
  <c r="P125" i="40"/>
  <c r="Q125" i="40" s="1"/>
  <c r="N125" i="40"/>
  <c r="O125" i="40" s="1"/>
  <c r="K125" i="40"/>
  <c r="L125" i="40" s="1"/>
  <c r="F125" i="40"/>
  <c r="G125" i="40" s="1"/>
  <c r="D125" i="40"/>
  <c r="E125" i="40" s="1"/>
  <c r="B125" i="40"/>
  <c r="A125" i="40"/>
  <c r="M125" i="40" s="1"/>
  <c r="U124" i="40"/>
  <c r="S124" i="40"/>
  <c r="P124" i="40"/>
  <c r="Q124" i="40" s="1"/>
  <c r="N124" i="40"/>
  <c r="O124" i="40" s="1"/>
  <c r="K124" i="40"/>
  <c r="L124" i="40" s="1"/>
  <c r="F124" i="40"/>
  <c r="G124" i="40" s="1"/>
  <c r="D124" i="40"/>
  <c r="E124" i="40" s="1"/>
  <c r="B124" i="40"/>
  <c r="A124" i="40"/>
  <c r="M124" i="40" s="1"/>
  <c r="U123" i="40"/>
  <c r="S123" i="40"/>
  <c r="P123" i="40"/>
  <c r="Q123" i="40" s="1"/>
  <c r="N123" i="40"/>
  <c r="O123" i="40" s="1"/>
  <c r="K123" i="40"/>
  <c r="L123" i="40" s="1"/>
  <c r="F123" i="40"/>
  <c r="G123" i="40" s="1"/>
  <c r="D123" i="40"/>
  <c r="E123" i="40" s="1"/>
  <c r="B123" i="40"/>
  <c r="A123" i="40"/>
  <c r="M123" i="40" s="1"/>
  <c r="U122" i="40"/>
  <c r="S122" i="40"/>
  <c r="P122" i="40"/>
  <c r="Q122" i="40" s="1"/>
  <c r="N122" i="40"/>
  <c r="O122" i="40" s="1"/>
  <c r="K122" i="40"/>
  <c r="L122" i="40" s="1"/>
  <c r="F122" i="40"/>
  <c r="G122" i="40" s="1"/>
  <c r="D122" i="40"/>
  <c r="E122" i="40" s="1"/>
  <c r="B122" i="40"/>
  <c r="A122" i="40"/>
  <c r="M122" i="40" s="1"/>
  <c r="Y121" i="40"/>
  <c r="Z121" i="40" s="1"/>
  <c r="W121" i="40"/>
  <c r="B121" i="40"/>
  <c r="A121" i="40"/>
  <c r="Y120" i="40"/>
  <c r="Z120" i="40" s="1"/>
  <c r="W120" i="40"/>
  <c r="B120" i="40"/>
  <c r="A120" i="40"/>
  <c r="Y119" i="40"/>
  <c r="Z119" i="40" s="1"/>
  <c r="W119" i="40"/>
  <c r="B119" i="40"/>
  <c r="A119" i="40"/>
  <c r="Y118" i="40"/>
  <c r="W118" i="40"/>
  <c r="X118" i="40" s="1"/>
  <c r="K118" i="40"/>
  <c r="L118" i="40" s="1"/>
  <c r="B118" i="40"/>
  <c r="A118" i="40"/>
  <c r="Y117" i="40"/>
  <c r="Z117" i="40" s="1"/>
  <c r="W117" i="40"/>
  <c r="X117" i="40" s="1"/>
  <c r="B117" i="40"/>
  <c r="A117" i="40"/>
  <c r="U116" i="40"/>
  <c r="S116" i="40"/>
  <c r="P116" i="40"/>
  <c r="Q116" i="40" s="1"/>
  <c r="N116" i="40"/>
  <c r="O116" i="40" s="1"/>
  <c r="K116" i="40"/>
  <c r="L116" i="40" s="1"/>
  <c r="F116" i="40"/>
  <c r="G116" i="40" s="1"/>
  <c r="D116" i="40"/>
  <c r="E116" i="40" s="1"/>
  <c r="B116" i="40"/>
  <c r="A116" i="40"/>
  <c r="M116" i="40" s="1"/>
  <c r="U115" i="40"/>
  <c r="S115" i="40"/>
  <c r="P115" i="40"/>
  <c r="Q115" i="40" s="1"/>
  <c r="N115" i="40"/>
  <c r="O115" i="40" s="1"/>
  <c r="K115" i="40"/>
  <c r="L115" i="40" s="1"/>
  <c r="F115" i="40"/>
  <c r="G115" i="40" s="1"/>
  <c r="D115" i="40"/>
  <c r="E115" i="40" s="1"/>
  <c r="B115" i="40"/>
  <c r="A115" i="40"/>
  <c r="M115" i="40" s="1"/>
  <c r="U114" i="40"/>
  <c r="S114" i="40"/>
  <c r="P114" i="40"/>
  <c r="Q114" i="40" s="1"/>
  <c r="N114" i="40"/>
  <c r="O114" i="40" s="1"/>
  <c r="K114" i="40"/>
  <c r="L114" i="40" s="1"/>
  <c r="F114" i="40"/>
  <c r="G114" i="40" s="1"/>
  <c r="D114" i="40"/>
  <c r="E114" i="40" s="1"/>
  <c r="B114" i="40"/>
  <c r="A114" i="40"/>
  <c r="M114" i="40" s="1"/>
  <c r="U113" i="40"/>
  <c r="S113" i="40"/>
  <c r="P113" i="40"/>
  <c r="Q113" i="40" s="1"/>
  <c r="N113" i="40"/>
  <c r="O113" i="40" s="1"/>
  <c r="K113" i="40"/>
  <c r="L113" i="40" s="1"/>
  <c r="F113" i="40"/>
  <c r="G113" i="40" s="1"/>
  <c r="D113" i="40"/>
  <c r="E113" i="40" s="1"/>
  <c r="B113" i="40"/>
  <c r="A113" i="40"/>
  <c r="M113" i="40" s="1"/>
  <c r="Y112" i="40"/>
  <c r="W112" i="40"/>
  <c r="X112" i="40" s="1"/>
  <c r="B112" i="40"/>
  <c r="A112" i="40"/>
  <c r="Y111" i="40"/>
  <c r="Z111" i="40" s="1"/>
  <c r="W111" i="40"/>
  <c r="X111" i="40" s="1"/>
  <c r="B111" i="40"/>
  <c r="A111" i="40"/>
  <c r="Y110" i="40"/>
  <c r="Z110" i="40" s="1"/>
  <c r="W110" i="40"/>
  <c r="B110" i="40"/>
  <c r="A110" i="40"/>
  <c r="Y109" i="40"/>
  <c r="Z109" i="40" s="1"/>
  <c r="W109" i="40"/>
  <c r="K109" i="40"/>
  <c r="L109" i="40" s="1"/>
  <c r="B109" i="40"/>
  <c r="A109" i="40"/>
  <c r="Y108" i="40"/>
  <c r="Z108" i="40" s="1"/>
  <c r="W108" i="40"/>
  <c r="X108" i="40" s="1"/>
  <c r="B108" i="40"/>
  <c r="A108" i="40"/>
  <c r="U107" i="40"/>
  <c r="S107" i="40"/>
  <c r="P107" i="40"/>
  <c r="Q107" i="40" s="1"/>
  <c r="N107" i="40"/>
  <c r="O107" i="40" s="1"/>
  <c r="K107" i="40"/>
  <c r="L107" i="40" s="1"/>
  <c r="F107" i="40"/>
  <c r="G107" i="40" s="1"/>
  <c r="D107" i="40"/>
  <c r="E107" i="40" s="1"/>
  <c r="B107" i="40"/>
  <c r="A107" i="40"/>
  <c r="M107" i="40" s="1"/>
  <c r="U106" i="40"/>
  <c r="S106" i="40"/>
  <c r="P106" i="40"/>
  <c r="Q106" i="40" s="1"/>
  <c r="N106" i="40"/>
  <c r="O106" i="40" s="1"/>
  <c r="K106" i="40"/>
  <c r="L106" i="40" s="1"/>
  <c r="F106" i="40"/>
  <c r="G106" i="40" s="1"/>
  <c r="D106" i="40"/>
  <c r="E106" i="40" s="1"/>
  <c r="B106" i="40"/>
  <c r="A106" i="40"/>
  <c r="M106" i="40" s="1"/>
  <c r="U105" i="40"/>
  <c r="S105" i="40"/>
  <c r="P105" i="40"/>
  <c r="Q105" i="40" s="1"/>
  <c r="N105" i="40"/>
  <c r="O105" i="40" s="1"/>
  <c r="K105" i="40"/>
  <c r="L105" i="40" s="1"/>
  <c r="F105" i="40"/>
  <c r="G105" i="40" s="1"/>
  <c r="D105" i="40"/>
  <c r="E105" i="40" s="1"/>
  <c r="J105" i="40" s="1"/>
  <c r="H105" i="40" s="1"/>
  <c r="I105" i="40" s="1"/>
  <c r="B105" i="40"/>
  <c r="A105" i="40"/>
  <c r="M105" i="40" s="1"/>
  <c r="U104" i="40"/>
  <c r="S104" i="40"/>
  <c r="P104" i="40"/>
  <c r="Q104" i="40" s="1"/>
  <c r="N104" i="40"/>
  <c r="O104" i="40" s="1"/>
  <c r="K104" i="40"/>
  <c r="L104" i="40" s="1"/>
  <c r="F104" i="40"/>
  <c r="G104" i="40" s="1"/>
  <c r="D104" i="40"/>
  <c r="E104" i="40" s="1"/>
  <c r="B104" i="40"/>
  <c r="A104" i="40"/>
  <c r="M104" i="40" s="1"/>
  <c r="Y103" i="40"/>
  <c r="Z103" i="40" s="1"/>
  <c r="W103" i="40"/>
  <c r="B103" i="40"/>
  <c r="A103" i="40"/>
  <c r="Y102" i="40"/>
  <c r="Z102" i="40" s="1"/>
  <c r="W102" i="40"/>
  <c r="X102" i="40" s="1"/>
  <c r="B102" i="40"/>
  <c r="A102" i="40"/>
  <c r="Y101" i="40"/>
  <c r="Z101" i="40" s="1"/>
  <c r="W101" i="40"/>
  <c r="B101" i="40"/>
  <c r="A101" i="40"/>
  <c r="Y100" i="40"/>
  <c r="Z100" i="40" s="1"/>
  <c r="W100" i="40"/>
  <c r="K100" i="40"/>
  <c r="L100" i="40" s="1"/>
  <c r="B100" i="40"/>
  <c r="A100" i="40"/>
  <c r="Y99" i="40"/>
  <c r="Z99" i="40" s="1"/>
  <c r="W99" i="40"/>
  <c r="X99" i="40" s="1"/>
  <c r="B99" i="40"/>
  <c r="A99" i="40"/>
  <c r="U98" i="40"/>
  <c r="S98" i="40"/>
  <c r="P98" i="40"/>
  <c r="Q98" i="40" s="1"/>
  <c r="N98" i="40"/>
  <c r="O98" i="40" s="1"/>
  <c r="K98" i="40"/>
  <c r="L98" i="40" s="1"/>
  <c r="F98" i="40"/>
  <c r="G98" i="40" s="1"/>
  <c r="D98" i="40"/>
  <c r="E98" i="40" s="1"/>
  <c r="B98" i="40"/>
  <c r="A98" i="40"/>
  <c r="M98" i="40" s="1"/>
  <c r="U97" i="40"/>
  <c r="S97" i="40"/>
  <c r="P97" i="40"/>
  <c r="Q97" i="40" s="1"/>
  <c r="N97" i="40"/>
  <c r="O97" i="40" s="1"/>
  <c r="K97" i="40"/>
  <c r="L97" i="40" s="1"/>
  <c r="F97" i="40"/>
  <c r="G97" i="40" s="1"/>
  <c r="D97" i="40"/>
  <c r="E97" i="40" s="1"/>
  <c r="B97" i="40"/>
  <c r="A97" i="40"/>
  <c r="M97" i="40" s="1"/>
  <c r="U96" i="40"/>
  <c r="S96" i="40"/>
  <c r="P96" i="40"/>
  <c r="Q96" i="40" s="1"/>
  <c r="N96" i="40"/>
  <c r="O96" i="40" s="1"/>
  <c r="K96" i="40"/>
  <c r="L96" i="40" s="1"/>
  <c r="F96" i="40"/>
  <c r="G96" i="40" s="1"/>
  <c r="D96" i="40"/>
  <c r="E96" i="40" s="1"/>
  <c r="B96" i="40"/>
  <c r="A96" i="40"/>
  <c r="M96" i="40" s="1"/>
  <c r="U95" i="40"/>
  <c r="S95" i="40"/>
  <c r="P95" i="40"/>
  <c r="Q95" i="40" s="1"/>
  <c r="N95" i="40"/>
  <c r="O95" i="40" s="1"/>
  <c r="K95" i="40"/>
  <c r="L95" i="40" s="1"/>
  <c r="F95" i="40"/>
  <c r="G95" i="40" s="1"/>
  <c r="D95" i="40"/>
  <c r="E95" i="40" s="1"/>
  <c r="B95" i="40"/>
  <c r="A95" i="40"/>
  <c r="M95" i="40" s="1"/>
  <c r="AE94" i="40"/>
  <c r="Y94" i="40"/>
  <c r="Z94" i="40" s="1"/>
  <c r="W94" i="40"/>
  <c r="B94" i="40"/>
  <c r="A94" i="40"/>
  <c r="AE93" i="40"/>
  <c r="Y93" i="40"/>
  <c r="Z93" i="40" s="1"/>
  <c r="W93" i="40"/>
  <c r="X93" i="40" s="1"/>
  <c r="B93" i="40"/>
  <c r="A93" i="40"/>
  <c r="AE92" i="40"/>
  <c r="Y92" i="40"/>
  <c r="W92" i="40"/>
  <c r="X92" i="40" s="1"/>
  <c r="B92" i="40"/>
  <c r="A92" i="40"/>
  <c r="AE91" i="40"/>
  <c r="Y91" i="40"/>
  <c r="Z91" i="40" s="1"/>
  <c r="W91" i="40"/>
  <c r="X91" i="40" s="1"/>
  <c r="K91" i="40"/>
  <c r="L91" i="40" s="1"/>
  <c r="B91" i="40"/>
  <c r="A91" i="40"/>
  <c r="AE90" i="40"/>
  <c r="Y90" i="40"/>
  <c r="Z90" i="40" s="1"/>
  <c r="W90" i="40"/>
  <c r="B90" i="40"/>
  <c r="A90" i="40"/>
  <c r="AE89" i="40"/>
  <c r="U89" i="40"/>
  <c r="S89" i="40"/>
  <c r="P89" i="40"/>
  <c r="Q89" i="40" s="1"/>
  <c r="N89" i="40"/>
  <c r="O89" i="40" s="1"/>
  <c r="K89" i="40"/>
  <c r="L89" i="40" s="1"/>
  <c r="F89" i="40"/>
  <c r="G89" i="40" s="1"/>
  <c r="D89" i="40"/>
  <c r="E89" i="40" s="1"/>
  <c r="B89" i="40"/>
  <c r="A89" i="40"/>
  <c r="M89" i="40" s="1"/>
  <c r="AE88" i="40"/>
  <c r="U88" i="40"/>
  <c r="S88" i="40"/>
  <c r="P88" i="40"/>
  <c r="Q88" i="40" s="1"/>
  <c r="N88" i="40"/>
  <c r="O88" i="40" s="1"/>
  <c r="K88" i="40"/>
  <c r="L88" i="40" s="1"/>
  <c r="F88" i="40"/>
  <c r="G88" i="40" s="1"/>
  <c r="D88" i="40"/>
  <c r="E88" i="40" s="1"/>
  <c r="B88" i="40"/>
  <c r="A88" i="40"/>
  <c r="M88" i="40" s="1"/>
  <c r="AE87" i="40"/>
  <c r="U87" i="40"/>
  <c r="S87" i="40"/>
  <c r="P87" i="40"/>
  <c r="Q87" i="40" s="1"/>
  <c r="N87" i="40"/>
  <c r="O87" i="40" s="1"/>
  <c r="K87" i="40"/>
  <c r="L87" i="40" s="1"/>
  <c r="F87" i="40"/>
  <c r="G87" i="40" s="1"/>
  <c r="D87" i="40"/>
  <c r="E87" i="40" s="1"/>
  <c r="B87" i="40"/>
  <c r="A87" i="40"/>
  <c r="M87" i="40" s="1"/>
  <c r="AE86" i="40"/>
  <c r="U86" i="40"/>
  <c r="S86" i="40"/>
  <c r="P86" i="40"/>
  <c r="Q86" i="40" s="1"/>
  <c r="N86" i="40"/>
  <c r="O86" i="40" s="1"/>
  <c r="K86" i="40"/>
  <c r="L86" i="40" s="1"/>
  <c r="F86" i="40"/>
  <c r="G86" i="40" s="1"/>
  <c r="D86" i="40"/>
  <c r="E86" i="40" s="1"/>
  <c r="B86" i="40"/>
  <c r="A86" i="40"/>
  <c r="M86" i="40" s="1"/>
  <c r="AE85" i="40"/>
  <c r="Y85" i="40"/>
  <c r="W85" i="40"/>
  <c r="X85" i="40" s="1"/>
  <c r="B85" i="40"/>
  <c r="A85" i="40"/>
  <c r="AE84" i="40"/>
  <c r="Y84" i="40"/>
  <c r="W84" i="40"/>
  <c r="X84" i="40" s="1"/>
  <c r="B84" i="40"/>
  <c r="A84" i="40"/>
  <c r="AE83" i="40"/>
  <c r="Y83" i="40"/>
  <c r="W83" i="40"/>
  <c r="X83" i="40" s="1"/>
  <c r="B83" i="40"/>
  <c r="A83" i="40"/>
  <c r="AE82" i="40"/>
  <c r="Y82" i="40"/>
  <c r="W82" i="40"/>
  <c r="X82" i="40" s="1"/>
  <c r="K82" i="40"/>
  <c r="L82" i="40" s="1"/>
  <c r="B82" i="40"/>
  <c r="A82" i="40"/>
  <c r="AE81" i="40"/>
  <c r="Y81" i="40"/>
  <c r="Z81" i="40" s="1"/>
  <c r="W81" i="40"/>
  <c r="B81" i="40"/>
  <c r="A81" i="40"/>
  <c r="AE80" i="40"/>
  <c r="U80" i="40"/>
  <c r="S80" i="40"/>
  <c r="P80" i="40"/>
  <c r="Q80" i="40" s="1"/>
  <c r="N80" i="40"/>
  <c r="O80" i="40" s="1"/>
  <c r="K80" i="40"/>
  <c r="L80" i="40" s="1"/>
  <c r="F80" i="40"/>
  <c r="G80" i="40" s="1"/>
  <c r="D80" i="40"/>
  <c r="E80" i="40" s="1"/>
  <c r="B80" i="40"/>
  <c r="A80" i="40"/>
  <c r="M80" i="40" s="1"/>
  <c r="AE79" i="40"/>
  <c r="U79" i="40"/>
  <c r="S79" i="40"/>
  <c r="P79" i="40"/>
  <c r="Q79" i="40" s="1"/>
  <c r="N79" i="40"/>
  <c r="O79" i="40" s="1"/>
  <c r="K79" i="40"/>
  <c r="L79" i="40" s="1"/>
  <c r="F79" i="40"/>
  <c r="G79" i="40" s="1"/>
  <c r="D79" i="40"/>
  <c r="E79" i="40" s="1"/>
  <c r="B79" i="40"/>
  <c r="A79" i="40"/>
  <c r="M79" i="40" s="1"/>
  <c r="AE78" i="40"/>
  <c r="U78" i="40"/>
  <c r="S78" i="40"/>
  <c r="P78" i="40"/>
  <c r="Q78" i="40" s="1"/>
  <c r="N78" i="40"/>
  <c r="O78" i="40" s="1"/>
  <c r="K78" i="40"/>
  <c r="L78" i="40" s="1"/>
  <c r="F78" i="40"/>
  <c r="G78" i="40" s="1"/>
  <c r="D78" i="40"/>
  <c r="E78" i="40" s="1"/>
  <c r="B78" i="40"/>
  <c r="A78" i="40"/>
  <c r="M78" i="40" s="1"/>
  <c r="AE77" i="40"/>
  <c r="U77" i="40"/>
  <c r="S77" i="40"/>
  <c r="P77" i="40"/>
  <c r="Q77" i="40" s="1"/>
  <c r="N77" i="40"/>
  <c r="O77" i="40" s="1"/>
  <c r="K77" i="40"/>
  <c r="L77" i="40" s="1"/>
  <c r="F77" i="40"/>
  <c r="G77" i="40" s="1"/>
  <c r="D77" i="40"/>
  <c r="E77" i="40" s="1"/>
  <c r="B77" i="40"/>
  <c r="A77" i="40"/>
  <c r="M77" i="40" s="1"/>
  <c r="AE76" i="40"/>
  <c r="Y76" i="40"/>
  <c r="W76" i="40"/>
  <c r="X76" i="40" s="1"/>
  <c r="B76" i="40"/>
  <c r="A76" i="40"/>
  <c r="AE75" i="40"/>
  <c r="Y75" i="40"/>
  <c r="Z75" i="40" s="1"/>
  <c r="W75" i="40"/>
  <c r="X75" i="40" s="1"/>
  <c r="B75" i="40"/>
  <c r="A75" i="40"/>
  <c r="AE74" i="40"/>
  <c r="Y74" i="40"/>
  <c r="Z74" i="40" s="1"/>
  <c r="W74" i="40"/>
  <c r="B74" i="40"/>
  <c r="A74" i="40"/>
  <c r="AE73" i="40"/>
  <c r="Y73" i="40"/>
  <c r="Z73" i="40" s="1"/>
  <c r="W73" i="40"/>
  <c r="X73" i="40" s="1"/>
  <c r="K73" i="40"/>
  <c r="L73" i="40" s="1"/>
  <c r="B73" i="40"/>
  <c r="A73" i="40"/>
  <c r="AE72" i="40"/>
  <c r="Y72" i="40"/>
  <c r="Z72" i="40" s="1"/>
  <c r="W72" i="40"/>
  <c r="B72" i="40"/>
  <c r="A72" i="40"/>
  <c r="AE71" i="40"/>
  <c r="U71" i="40"/>
  <c r="S71" i="40"/>
  <c r="P71" i="40"/>
  <c r="Q71" i="40" s="1"/>
  <c r="N71" i="40"/>
  <c r="O71" i="40" s="1"/>
  <c r="K71" i="40"/>
  <c r="L71" i="40" s="1"/>
  <c r="F71" i="40"/>
  <c r="G71" i="40" s="1"/>
  <c r="D71" i="40"/>
  <c r="E71" i="40" s="1"/>
  <c r="B71" i="40"/>
  <c r="A71" i="40"/>
  <c r="M71" i="40" s="1"/>
  <c r="AE70" i="40"/>
  <c r="U70" i="40"/>
  <c r="S70" i="40"/>
  <c r="P70" i="40"/>
  <c r="Q70" i="40" s="1"/>
  <c r="N70" i="40"/>
  <c r="O70" i="40" s="1"/>
  <c r="K70" i="40"/>
  <c r="L70" i="40" s="1"/>
  <c r="F70" i="40"/>
  <c r="G70" i="40" s="1"/>
  <c r="D70" i="40"/>
  <c r="E70" i="40" s="1"/>
  <c r="B70" i="40"/>
  <c r="A70" i="40"/>
  <c r="M70" i="40" s="1"/>
  <c r="AE69" i="40"/>
  <c r="U69" i="40"/>
  <c r="S69" i="40"/>
  <c r="P69" i="40"/>
  <c r="Q69" i="40" s="1"/>
  <c r="N69" i="40"/>
  <c r="O69" i="40" s="1"/>
  <c r="K69" i="40"/>
  <c r="L69" i="40" s="1"/>
  <c r="F69" i="40"/>
  <c r="G69" i="40" s="1"/>
  <c r="D69" i="40"/>
  <c r="E69" i="40" s="1"/>
  <c r="B69" i="40"/>
  <c r="A69" i="40"/>
  <c r="M69" i="40" s="1"/>
  <c r="AE68" i="40"/>
  <c r="U68" i="40"/>
  <c r="S68" i="40"/>
  <c r="P68" i="40"/>
  <c r="Q68" i="40" s="1"/>
  <c r="N68" i="40"/>
  <c r="O68" i="40" s="1"/>
  <c r="K68" i="40"/>
  <c r="L68" i="40" s="1"/>
  <c r="F68" i="40"/>
  <c r="G68" i="40" s="1"/>
  <c r="D68" i="40"/>
  <c r="E68" i="40" s="1"/>
  <c r="B68" i="40"/>
  <c r="A68" i="40"/>
  <c r="M68" i="40" s="1"/>
  <c r="AE67" i="40"/>
  <c r="Y67" i="40"/>
  <c r="Z67" i="40" s="1"/>
  <c r="W67" i="40"/>
  <c r="X67" i="40" s="1"/>
  <c r="B67" i="40"/>
  <c r="A67" i="40"/>
  <c r="AE66" i="40"/>
  <c r="Y66" i="40"/>
  <c r="Z66" i="40" s="1"/>
  <c r="W66" i="40"/>
  <c r="B66" i="40"/>
  <c r="A66" i="40"/>
  <c r="AE65" i="40"/>
  <c r="Y65" i="40"/>
  <c r="Z65" i="40" s="1"/>
  <c r="W65" i="40"/>
  <c r="X65" i="40" s="1"/>
  <c r="B65" i="40"/>
  <c r="A65" i="40"/>
  <c r="AE64" i="40"/>
  <c r="Y64" i="40"/>
  <c r="Z64" i="40" s="1"/>
  <c r="W64" i="40"/>
  <c r="X64" i="40" s="1"/>
  <c r="K64" i="40"/>
  <c r="L64" i="40" s="1"/>
  <c r="B64" i="40"/>
  <c r="A64" i="40"/>
  <c r="AE63" i="40"/>
  <c r="Y63" i="40"/>
  <c r="Z63" i="40" s="1"/>
  <c r="W63" i="40"/>
  <c r="X63" i="40" s="1"/>
  <c r="B63" i="40"/>
  <c r="A63" i="40"/>
  <c r="AE62" i="40"/>
  <c r="U62" i="40"/>
  <c r="S62" i="40"/>
  <c r="P62" i="40"/>
  <c r="Q62" i="40" s="1"/>
  <c r="N62" i="40"/>
  <c r="O62" i="40" s="1"/>
  <c r="K62" i="40"/>
  <c r="L62" i="40" s="1"/>
  <c r="F62" i="40"/>
  <c r="G62" i="40" s="1"/>
  <c r="D62" i="40"/>
  <c r="E62" i="40" s="1"/>
  <c r="B62" i="40"/>
  <c r="A62" i="40"/>
  <c r="M62" i="40" s="1"/>
  <c r="AE61" i="40"/>
  <c r="U61" i="40"/>
  <c r="S61" i="40"/>
  <c r="P61" i="40"/>
  <c r="Q61" i="40" s="1"/>
  <c r="N61" i="40"/>
  <c r="O61" i="40" s="1"/>
  <c r="K61" i="40"/>
  <c r="L61" i="40" s="1"/>
  <c r="F61" i="40"/>
  <c r="G61" i="40" s="1"/>
  <c r="D61" i="40"/>
  <c r="E61" i="40" s="1"/>
  <c r="B61" i="40"/>
  <c r="A61" i="40"/>
  <c r="M61" i="40" s="1"/>
  <c r="AE60" i="40"/>
  <c r="U60" i="40"/>
  <c r="S60" i="40"/>
  <c r="P60" i="40"/>
  <c r="Q60" i="40" s="1"/>
  <c r="N60" i="40"/>
  <c r="O60" i="40" s="1"/>
  <c r="K60" i="40"/>
  <c r="L60" i="40" s="1"/>
  <c r="F60" i="40"/>
  <c r="G60" i="40" s="1"/>
  <c r="D60" i="40"/>
  <c r="E60" i="40" s="1"/>
  <c r="B60" i="40"/>
  <c r="A60" i="40"/>
  <c r="M60" i="40" s="1"/>
  <c r="AE59" i="40"/>
  <c r="U59" i="40"/>
  <c r="S59" i="40"/>
  <c r="P59" i="40"/>
  <c r="Q59" i="40" s="1"/>
  <c r="N59" i="40"/>
  <c r="O59" i="40" s="1"/>
  <c r="K59" i="40"/>
  <c r="L59" i="40" s="1"/>
  <c r="F59" i="40"/>
  <c r="G59" i="40" s="1"/>
  <c r="D59" i="40"/>
  <c r="E59" i="40" s="1"/>
  <c r="B59" i="40"/>
  <c r="A59" i="40"/>
  <c r="M59" i="40" s="1"/>
  <c r="AE58" i="40"/>
  <c r="Y58" i="40"/>
  <c r="Z58" i="40" s="1"/>
  <c r="W58" i="40"/>
  <c r="X58" i="40" s="1"/>
  <c r="B58" i="40"/>
  <c r="A58" i="40"/>
  <c r="AE57" i="40"/>
  <c r="Y57" i="40"/>
  <c r="Z57" i="40" s="1"/>
  <c r="W57" i="40"/>
  <c r="B57" i="40"/>
  <c r="A57" i="40"/>
  <c r="AE56" i="40"/>
  <c r="Y56" i="40"/>
  <c r="Z56" i="40" s="1"/>
  <c r="W56" i="40"/>
  <c r="B56" i="40"/>
  <c r="A56" i="40"/>
  <c r="AE55" i="40"/>
  <c r="Y55" i="40"/>
  <c r="Z55" i="40" s="1"/>
  <c r="W55" i="40"/>
  <c r="K55" i="40"/>
  <c r="L55" i="40" s="1"/>
  <c r="B55" i="40"/>
  <c r="A55" i="40"/>
  <c r="AE54" i="40"/>
  <c r="Y54" i="40"/>
  <c r="Z54" i="40" s="1"/>
  <c r="W54" i="40"/>
  <c r="B54" i="40"/>
  <c r="A54" i="40"/>
  <c r="AE53" i="40"/>
  <c r="U53" i="40"/>
  <c r="S53" i="40"/>
  <c r="P53" i="40"/>
  <c r="Q53" i="40" s="1"/>
  <c r="N53" i="40"/>
  <c r="O53" i="40" s="1"/>
  <c r="K53" i="40"/>
  <c r="L53" i="40" s="1"/>
  <c r="F53" i="40"/>
  <c r="G53" i="40" s="1"/>
  <c r="D53" i="40"/>
  <c r="E53" i="40" s="1"/>
  <c r="B53" i="40"/>
  <c r="A53" i="40"/>
  <c r="M53" i="40" s="1"/>
  <c r="AE52" i="40"/>
  <c r="U52" i="40"/>
  <c r="S52" i="40"/>
  <c r="P52" i="40"/>
  <c r="Q52" i="40" s="1"/>
  <c r="N52" i="40"/>
  <c r="O52" i="40" s="1"/>
  <c r="K52" i="40"/>
  <c r="L52" i="40" s="1"/>
  <c r="F52" i="40"/>
  <c r="G52" i="40" s="1"/>
  <c r="D52" i="40"/>
  <c r="E52" i="40" s="1"/>
  <c r="B52" i="40"/>
  <c r="A52" i="40"/>
  <c r="M52" i="40" s="1"/>
  <c r="AE51" i="40"/>
  <c r="U51" i="40"/>
  <c r="S51" i="40"/>
  <c r="P51" i="40"/>
  <c r="Q51" i="40" s="1"/>
  <c r="N51" i="40"/>
  <c r="O51" i="40" s="1"/>
  <c r="K51" i="40"/>
  <c r="L51" i="40" s="1"/>
  <c r="F51" i="40"/>
  <c r="G51" i="40" s="1"/>
  <c r="D51" i="40"/>
  <c r="E51" i="40" s="1"/>
  <c r="B51" i="40"/>
  <c r="A51" i="40"/>
  <c r="M51" i="40" s="1"/>
  <c r="AE50" i="40"/>
  <c r="U50" i="40"/>
  <c r="S50" i="40"/>
  <c r="P50" i="40"/>
  <c r="Q50" i="40" s="1"/>
  <c r="N50" i="40"/>
  <c r="O50" i="40" s="1"/>
  <c r="K50" i="40"/>
  <c r="L50" i="40" s="1"/>
  <c r="F50" i="40"/>
  <c r="G50" i="40" s="1"/>
  <c r="D50" i="40"/>
  <c r="E50" i="40" s="1"/>
  <c r="B50" i="40"/>
  <c r="A50" i="40"/>
  <c r="M50" i="40" s="1"/>
  <c r="AE49" i="40"/>
  <c r="Y49" i="40"/>
  <c r="Z49" i="40" s="1"/>
  <c r="W49" i="40"/>
  <c r="X49" i="40" s="1"/>
  <c r="B49" i="40"/>
  <c r="A49" i="40"/>
  <c r="AE48" i="40"/>
  <c r="Y48" i="40"/>
  <c r="Z48" i="40" s="1"/>
  <c r="W48" i="40"/>
  <c r="X48" i="40" s="1"/>
  <c r="B48" i="40"/>
  <c r="A48" i="40"/>
  <c r="AE47" i="40"/>
  <c r="Y47" i="40"/>
  <c r="Z47" i="40" s="1"/>
  <c r="W47" i="40"/>
  <c r="B47" i="40"/>
  <c r="A47" i="40"/>
  <c r="AE46" i="40"/>
  <c r="Y46" i="40"/>
  <c r="Z46" i="40" s="1"/>
  <c r="W46" i="40"/>
  <c r="X46" i="40" s="1"/>
  <c r="K46" i="40"/>
  <c r="L46" i="40" s="1"/>
  <c r="B46" i="40"/>
  <c r="A46" i="40"/>
  <c r="AE45" i="40"/>
  <c r="Y45" i="40"/>
  <c r="Z45" i="40" s="1"/>
  <c r="W45" i="40"/>
  <c r="X45" i="40" s="1"/>
  <c r="B45" i="40"/>
  <c r="A45" i="40"/>
  <c r="AE44" i="40"/>
  <c r="U44" i="40"/>
  <c r="S44" i="40"/>
  <c r="P44" i="40"/>
  <c r="Q44" i="40" s="1"/>
  <c r="N44" i="40"/>
  <c r="O44" i="40" s="1"/>
  <c r="K44" i="40"/>
  <c r="L44" i="40" s="1"/>
  <c r="F44" i="40"/>
  <c r="G44" i="40" s="1"/>
  <c r="D44" i="40"/>
  <c r="E44" i="40" s="1"/>
  <c r="B44" i="40"/>
  <c r="A44" i="40"/>
  <c r="M44" i="40" s="1"/>
  <c r="AE43" i="40"/>
  <c r="U43" i="40"/>
  <c r="S43" i="40"/>
  <c r="P43" i="40"/>
  <c r="Q43" i="40" s="1"/>
  <c r="N43" i="40"/>
  <c r="O43" i="40" s="1"/>
  <c r="K43" i="40"/>
  <c r="L43" i="40" s="1"/>
  <c r="F43" i="40"/>
  <c r="G43" i="40" s="1"/>
  <c r="D43" i="40"/>
  <c r="E43" i="40" s="1"/>
  <c r="B43" i="40"/>
  <c r="A43" i="40"/>
  <c r="M43" i="40" s="1"/>
  <c r="AE42" i="40"/>
  <c r="U42" i="40"/>
  <c r="S42" i="40"/>
  <c r="P42" i="40"/>
  <c r="Q42" i="40" s="1"/>
  <c r="N42" i="40"/>
  <c r="O42" i="40" s="1"/>
  <c r="K42" i="40"/>
  <c r="L42" i="40" s="1"/>
  <c r="F42" i="40"/>
  <c r="G42" i="40" s="1"/>
  <c r="D42" i="40"/>
  <c r="E42" i="40" s="1"/>
  <c r="B42" i="40"/>
  <c r="A42" i="40"/>
  <c r="M42" i="40" s="1"/>
  <c r="AE41" i="40"/>
  <c r="U41" i="40"/>
  <c r="S41" i="40"/>
  <c r="P41" i="40"/>
  <c r="Q41" i="40" s="1"/>
  <c r="N41" i="40"/>
  <c r="O41" i="40" s="1"/>
  <c r="K41" i="40"/>
  <c r="L41" i="40" s="1"/>
  <c r="F41" i="40"/>
  <c r="G41" i="40" s="1"/>
  <c r="D41" i="40"/>
  <c r="E41" i="40" s="1"/>
  <c r="B41" i="40"/>
  <c r="A41" i="40"/>
  <c r="M41" i="40" s="1"/>
  <c r="AE40" i="40"/>
  <c r="Y40" i="40"/>
  <c r="Z40" i="40" s="1"/>
  <c r="W40" i="40"/>
  <c r="X40" i="40" s="1"/>
  <c r="B40" i="40"/>
  <c r="A40" i="40"/>
  <c r="AE39" i="40"/>
  <c r="Y39" i="40"/>
  <c r="Z39" i="40" s="1"/>
  <c r="W39" i="40"/>
  <c r="X39" i="40" s="1"/>
  <c r="B39" i="40"/>
  <c r="A39" i="40"/>
  <c r="AE38" i="40"/>
  <c r="Y38" i="40"/>
  <c r="Z38" i="40" s="1"/>
  <c r="W38" i="40"/>
  <c r="B38" i="40"/>
  <c r="A38" i="40"/>
  <c r="AE37" i="40"/>
  <c r="Y37" i="40"/>
  <c r="Z37" i="40" s="1"/>
  <c r="W37" i="40"/>
  <c r="X37" i="40" s="1"/>
  <c r="K37" i="40"/>
  <c r="L37" i="40" s="1"/>
  <c r="B37" i="40"/>
  <c r="A37" i="40"/>
  <c r="AE36" i="40"/>
  <c r="Y36" i="40"/>
  <c r="Z36" i="40" s="1"/>
  <c r="W36" i="40"/>
  <c r="X36" i="40" s="1"/>
  <c r="B36" i="40"/>
  <c r="A36" i="40"/>
  <c r="AE35" i="40"/>
  <c r="U35" i="40"/>
  <c r="S35" i="40"/>
  <c r="P35" i="40"/>
  <c r="Q35" i="40" s="1"/>
  <c r="N35" i="40"/>
  <c r="O35" i="40" s="1"/>
  <c r="K35" i="40"/>
  <c r="L35" i="40" s="1"/>
  <c r="F35" i="40"/>
  <c r="G35" i="40" s="1"/>
  <c r="D35" i="40"/>
  <c r="E35" i="40" s="1"/>
  <c r="B35" i="40"/>
  <c r="A35" i="40"/>
  <c r="M35" i="40" s="1"/>
  <c r="AE34" i="40"/>
  <c r="U34" i="40"/>
  <c r="S34" i="40"/>
  <c r="P34" i="40"/>
  <c r="Q34" i="40" s="1"/>
  <c r="N34" i="40"/>
  <c r="O34" i="40" s="1"/>
  <c r="K34" i="40"/>
  <c r="L34" i="40" s="1"/>
  <c r="F34" i="40"/>
  <c r="G34" i="40" s="1"/>
  <c r="D34" i="40"/>
  <c r="E34" i="40" s="1"/>
  <c r="B34" i="40"/>
  <c r="A34" i="40"/>
  <c r="M34" i="40" s="1"/>
  <c r="AE33" i="40"/>
  <c r="U33" i="40"/>
  <c r="S33" i="40"/>
  <c r="P33" i="40"/>
  <c r="Q33" i="40" s="1"/>
  <c r="N33" i="40"/>
  <c r="O33" i="40" s="1"/>
  <c r="K33" i="40"/>
  <c r="L33" i="40" s="1"/>
  <c r="F33" i="40"/>
  <c r="G33" i="40" s="1"/>
  <c r="D33" i="40"/>
  <c r="E33" i="40" s="1"/>
  <c r="B33" i="40"/>
  <c r="A33" i="40"/>
  <c r="M33" i="40" s="1"/>
  <c r="AE32" i="40"/>
  <c r="U32" i="40"/>
  <c r="S32" i="40"/>
  <c r="P32" i="40"/>
  <c r="Q32" i="40" s="1"/>
  <c r="N32" i="40"/>
  <c r="O32" i="40" s="1"/>
  <c r="K32" i="40"/>
  <c r="L32" i="40" s="1"/>
  <c r="F32" i="40"/>
  <c r="G32" i="40" s="1"/>
  <c r="D32" i="40"/>
  <c r="E32" i="40" s="1"/>
  <c r="B32" i="40"/>
  <c r="A32" i="40"/>
  <c r="M32" i="40" s="1"/>
  <c r="AE31" i="40"/>
  <c r="Y31" i="40"/>
  <c r="W31" i="40"/>
  <c r="X31" i="40" s="1"/>
  <c r="B31" i="40"/>
  <c r="A31" i="40"/>
  <c r="AE30" i="40"/>
  <c r="Y30" i="40"/>
  <c r="Z30" i="40" s="1"/>
  <c r="W30" i="40"/>
  <c r="X30" i="40" s="1"/>
  <c r="B30" i="40"/>
  <c r="A30" i="40"/>
  <c r="AE29" i="40"/>
  <c r="Y29" i="40"/>
  <c r="Z29" i="40" s="1"/>
  <c r="W29" i="40"/>
  <c r="X29" i="40" s="1"/>
  <c r="B29" i="40"/>
  <c r="A29" i="40"/>
  <c r="AE28" i="40"/>
  <c r="Y28" i="40"/>
  <c r="Z28" i="40" s="1"/>
  <c r="W28" i="40"/>
  <c r="X28" i="40" s="1"/>
  <c r="K28" i="40"/>
  <c r="L28" i="40" s="1"/>
  <c r="B28" i="40"/>
  <c r="A28" i="40"/>
  <c r="AE27" i="40"/>
  <c r="Y27" i="40"/>
  <c r="Z27" i="40" s="1"/>
  <c r="W27" i="40"/>
  <c r="X27" i="40" s="1"/>
  <c r="B27" i="40"/>
  <c r="A27" i="40"/>
  <c r="AE26" i="40"/>
  <c r="U26" i="40"/>
  <c r="S26" i="40"/>
  <c r="P26" i="40"/>
  <c r="Q26" i="40" s="1"/>
  <c r="N26" i="40"/>
  <c r="O26" i="40" s="1"/>
  <c r="K26" i="40"/>
  <c r="L26" i="40" s="1"/>
  <c r="F26" i="40"/>
  <c r="G26" i="40" s="1"/>
  <c r="D26" i="40"/>
  <c r="E26" i="40" s="1"/>
  <c r="B26" i="40"/>
  <c r="A26" i="40"/>
  <c r="M26" i="40" s="1"/>
  <c r="AE25" i="40"/>
  <c r="U25" i="40"/>
  <c r="S25" i="40"/>
  <c r="P25" i="40"/>
  <c r="Q25" i="40" s="1"/>
  <c r="N25" i="40"/>
  <c r="O25" i="40" s="1"/>
  <c r="K25" i="40"/>
  <c r="L25" i="40" s="1"/>
  <c r="F25" i="40"/>
  <c r="G25" i="40" s="1"/>
  <c r="D25" i="40"/>
  <c r="E25" i="40" s="1"/>
  <c r="B25" i="40"/>
  <c r="A25" i="40"/>
  <c r="M25" i="40" s="1"/>
  <c r="AE24" i="40"/>
  <c r="U24" i="40"/>
  <c r="S24" i="40"/>
  <c r="P24" i="40"/>
  <c r="Q24" i="40" s="1"/>
  <c r="N24" i="40"/>
  <c r="O24" i="40" s="1"/>
  <c r="K24" i="40"/>
  <c r="L24" i="40" s="1"/>
  <c r="F24" i="40"/>
  <c r="G24" i="40" s="1"/>
  <c r="D24" i="40"/>
  <c r="E24" i="40" s="1"/>
  <c r="B24" i="40"/>
  <c r="A24" i="40"/>
  <c r="M24" i="40" s="1"/>
  <c r="AE23" i="40"/>
  <c r="U23" i="40"/>
  <c r="S23" i="40"/>
  <c r="P23" i="40"/>
  <c r="Q23" i="40" s="1"/>
  <c r="N23" i="40"/>
  <c r="O23" i="40" s="1"/>
  <c r="K23" i="40"/>
  <c r="L23" i="40" s="1"/>
  <c r="F23" i="40"/>
  <c r="G23" i="40" s="1"/>
  <c r="D23" i="40"/>
  <c r="E23" i="40" s="1"/>
  <c r="B23" i="40"/>
  <c r="A23" i="40"/>
  <c r="M23" i="40" s="1"/>
  <c r="AE22" i="40"/>
  <c r="Y22" i="40"/>
  <c r="Z22" i="40" s="1"/>
  <c r="W22" i="40"/>
  <c r="B22" i="40"/>
  <c r="A22" i="40"/>
  <c r="AE21" i="40"/>
  <c r="Y21" i="40"/>
  <c r="Z21" i="40" s="1"/>
  <c r="W21" i="40"/>
  <c r="X21" i="40" s="1"/>
  <c r="B21" i="40"/>
  <c r="A21" i="40"/>
  <c r="AE20" i="40"/>
  <c r="Y20" i="40"/>
  <c r="Z20" i="40" s="1"/>
  <c r="W20" i="40"/>
  <c r="X20" i="40" s="1"/>
  <c r="B20" i="40"/>
  <c r="A20" i="40"/>
  <c r="AE19" i="40"/>
  <c r="Y19" i="40"/>
  <c r="Z19" i="40" s="1"/>
  <c r="W19" i="40"/>
  <c r="X19" i="40" s="1"/>
  <c r="K19" i="40"/>
  <c r="L19" i="40" s="1"/>
  <c r="B19" i="40"/>
  <c r="A19" i="40"/>
  <c r="AE18" i="40"/>
  <c r="Y18" i="40"/>
  <c r="Z18" i="40" s="1"/>
  <c r="W18" i="40"/>
  <c r="X18" i="40" s="1"/>
  <c r="B18" i="40"/>
  <c r="A18" i="40"/>
  <c r="AE17" i="40"/>
  <c r="U17" i="40"/>
  <c r="S17" i="40"/>
  <c r="P17" i="40"/>
  <c r="Q17" i="40" s="1"/>
  <c r="N17" i="40"/>
  <c r="O17" i="40" s="1"/>
  <c r="K17" i="40"/>
  <c r="L17" i="40" s="1"/>
  <c r="F17" i="40"/>
  <c r="G17" i="40" s="1"/>
  <c r="D17" i="40"/>
  <c r="E17" i="40" s="1"/>
  <c r="B17" i="40"/>
  <c r="A17" i="40"/>
  <c r="M17" i="40" s="1"/>
  <c r="AE16" i="40"/>
  <c r="U16" i="40"/>
  <c r="S16" i="40"/>
  <c r="P16" i="40"/>
  <c r="Q16" i="40" s="1"/>
  <c r="N16" i="40"/>
  <c r="O16" i="40" s="1"/>
  <c r="K16" i="40"/>
  <c r="L16" i="40" s="1"/>
  <c r="F16" i="40"/>
  <c r="G16" i="40" s="1"/>
  <c r="D16" i="40"/>
  <c r="E16" i="40" s="1"/>
  <c r="B16" i="40"/>
  <c r="A16" i="40"/>
  <c r="M16" i="40" s="1"/>
  <c r="AE15" i="40"/>
  <c r="U15" i="40"/>
  <c r="S15" i="40"/>
  <c r="P15" i="40"/>
  <c r="Q15" i="40" s="1"/>
  <c r="N15" i="40"/>
  <c r="O15" i="40" s="1"/>
  <c r="K15" i="40"/>
  <c r="L15" i="40" s="1"/>
  <c r="F15" i="40"/>
  <c r="G15" i="40" s="1"/>
  <c r="D15" i="40"/>
  <c r="E15" i="40" s="1"/>
  <c r="B15" i="40"/>
  <c r="A15" i="40"/>
  <c r="M15" i="40" s="1"/>
  <c r="AE14" i="40"/>
  <c r="U14" i="40"/>
  <c r="S14" i="40"/>
  <c r="P14" i="40"/>
  <c r="Q14" i="40" s="1"/>
  <c r="N14" i="40"/>
  <c r="O14" i="40" s="1"/>
  <c r="K14" i="40"/>
  <c r="L14" i="40" s="1"/>
  <c r="F14" i="40"/>
  <c r="G14" i="40" s="1"/>
  <c r="D14" i="40"/>
  <c r="E14" i="40" s="1"/>
  <c r="B14" i="40"/>
  <c r="A14" i="40"/>
  <c r="M14" i="40" s="1"/>
  <c r="AA274" i="40" l="1"/>
  <c r="AB274" i="40" s="1"/>
  <c r="AA567" i="40"/>
  <c r="AB567" i="40" s="1"/>
  <c r="J170" i="40"/>
  <c r="H170" i="40" s="1"/>
  <c r="I170" i="40" s="1"/>
  <c r="J728" i="40"/>
  <c r="H728" i="40" s="1"/>
  <c r="I728" i="40" s="1"/>
  <c r="J35" i="40"/>
  <c r="H35" i="40" s="1"/>
  <c r="I35" i="40" s="1"/>
  <c r="J600" i="40"/>
  <c r="H600" i="40" s="1"/>
  <c r="I600" i="40" s="1"/>
  <c r="AA118" i="40"/>
  <c r="AB118" i="40" s="1"/>
  <c r="J367" i="40"/>
  <c r="H367" i="40" s="1"/>
  <c r="I367" i="40" s="1"/>
  <c r="J674" i="40"/>
  <c r="H674" i="40" s="1"/>
  <c r="I674" i="40" s="1"/>
  <c r="AA22" i="40"/>
  <c r="AB22" i="40" s="1"/>
  <c r="J134" i="40"/>
  <c r="H134" i="40" s="1"/>
  <c r="I134" i="40" s="1"/>
  <c r="J177" i="40"/>
  <c r="H177" i="40" s="1"/>
  <c r="I177" i="40" s="1"/>
  <c r="AA283" i="40"/>
  <c r="AB283" i="40" s="1"/>
  <c r="AA414" i="40"/>
  <c r="AB414" i="40" s="1"/>
  <c r="T484" i="40"/>
  <c r="J556" i="40"/>
  <c r="H556" i="40" s="1"/>
  <c r="I556" i="40" s="1"/>
  <c r="V556" i="40" s="1"/>
  <c r="J608" i="40"/>
  <c r="H608" i="40" s="1"/>
  <c r="I608" i="40" s="1"/>
  <c r="T662" i="40"/>
  <c r="J95" i="40"/>
  <c r="H95" i="40" s="1"/>
  <c r="I95" i="40" s="1"/>
  <c r="J249" i="40"/>
  <c r="H249" i="40" s="1"/>
  <c r="I249" i="40" s="1"/>
  <c r="V249" i="40" s="1"/>
  <c r="J322" i="40"/>
  <c r="H322" i="40" s="1"/>
  <c r="I322" i="40" s="1"/>
  <c r="AA379" i="40"/>
  <c r="AB379" i="40" s="1"/>
  <c r="AA388" i="40"/>
  <c r="AB388" i="40" s="1"/>
  <c r="T464" i="40"/>
  <c r="AA470" i="40"/>
  <c r="AB470" i="40" s="1"/>
  <c r="J529" i="40"/>
  <c r="H529" i="40" s="1"/>
  <c r="I529" i="40" s="1"/>
  <c r="AA541" i="40"/>
  <c r="AB541" i="40" s="1"/>
  <c r="T573" i="40"/>
  <c r="J645" i="40"/>
  <c r="H645" i="40" s="1"/>
  <c r="I645" i="40" s="1"/>
  <c r="T656" i="40"/>
  <c r="AA54" i="40"/>
  <c r="AB54" i="40" s="1"/>
  <c r="AA57" i="40"/>
  <c r="AB57" i="40" s="1"/>
  <c r="AA208" i="40"/>
  <c r="AB208" i="40" s="1"/>
  <c r="J242" i="40"/>
  <c r="H242" i="40" s="1"/>
  <c r="I242" i="40" s="1"/>
  <c r="J304" i="40"/>
  <c r="H304" i="40" s="1"/>
  <c r="I304" i="40" s="1"/>
  <c r="J313" i="40"/>
  <c r="H313" i="40" s="1"/>
  <c r="I313" i="40" s="1"/>
  <c r="AA391" i="40"/>
  <c r="AB391" i="40" s="1"/>
  <c r="J440" i="40"/>
  <c r="H440" i="40" s="1"/>
  <c r="I440" i="40" s="1"/>
  <c r="J455" i="40"/>
  <c r="H455" i="40" s="1"/>
  <c r="I455" i="40" s="1"/>
  <c r="AA487" i="40"/>
  <c r="AB487" i="40" s="1"/>
  <c r="J563" i="40"/>
  <c r="H563" i="40" s="1"/>
  <c r="I563" i="40" s="1"/>
  <c r="T215" i="40"/>
  <c r="X261" i="40"/>
  <c r="AA261" i="40"/>
  <c r="AB261" i="40" s="1"/>
  <c r="J42" i="40"/>
  <c r="H42" i="40" s="1"/>
  <c r="I42" i="40" s="1"/>
  <c r="V42" i="40" s="1"/>
  <c r="J53" i="40"/>
  <c r="H53" i="40" s="1"/>
  <c r="I53" i="40" s="1"/>
  <c r="AA145" i="40"/>
  <c r="AB145" i="40" s="1"/>
  <c r="AA21" i="40"/>
  <c r="AB21" i="40" s="1"/>
  <c r="AA31" i="40"/>
  <c r="AB31" i="40" s="1"/>
  <c r="J142" i="40"/>
  <c r="H142" i="40" s="1"/>
  <c r="I142" i="40" s="1"/>
  <c r="AA156" i="40"/>
  <c r="AB156" i="40" s="1"/>
  <c r="Z274" i="40"/>
  <c r="T277" i="40"/>
  <c r="J356" i="40"/>
  <c r="H356" i="40" s="1"/>
  <c r="I356" i="40" s="1"/>
  <c r="J401" i="40"/>
  <c r="H401" i="40" s="1"/>
  <c r="I401" i="40" s="1"/>
  <c r="Z641" i="40"/>
  <c r="AA641" i="40"/>
  <c r="AB641" i="40" s="1"/>
  <c r="T115" i="40"/>
  <c r="X228" i="40"/>
  <c r="AA228" i="40"/>
  <c r="AB228" i="40" s="1"/>
  <c r="X513" i="40"/>
  <c r="AA513" i="40"/>
  <c r="AB513" i="40" s="1"/>
  <c r="X549" i="40"/>
  <c r="AA549" i="40"/>
  <c r="AB549" i="40" s="1"/>
  <c r="J692" i="40"/>
  <c r="H692" i="40" s="1"/>
  <c r="I692" i="40" s="1"/>
  <c r="V692" i="40" s="1"/>
  <c r="J106" i="40"/>
  <c r="H106" i="40" s="1"/>
  <c r="I106" i="40" s="1"/>
  <c r="T122" i="40"/>
  <c r="T150" i="40"/>
  <c r="J206" i="40"/>
  <c r="H206" i="40" s="1"/>
  <c r="I206" i="40" s="1"/>
  <c r="V206" i="40" s="1"/>
  <c r="J277" i="40"/>
  <c r="H277" i="40" s="1"/>
  <c r="I277" i="40" s="1"/>
  <c r="J293" i="40"/>
  <c r="H293" i="40" s="1"/>
  <c r="I293" i="40" s="1"/>
  <c r="T295" i="40"/>
  <c r="J393" i="40"/>
  <c r="H393" i="40" s="1"/>
  <c r="I393" i="40" s="1"/>
  <c r="V393" i="40" s="1"/>
  <c r="J412" i="40"/>
  <c r="H412" i="40" s="1"/>
  <c r="I412" i="40" s="1"/>
  <c r="J484" i="40"/>
  <c r="H484" i="40" s="1"/>
  <c r="I484" i="40" s="1"/>
  <c r="X567" i="40"/>
  <c r="AA586" i="40"/>
  <c r="AB586" i="40" s="1"/>
  <c r="AA721" i="40"/>
  <c r="AB721" i="40" s="1"/>
  <c r="T735" i="40"/>
  <c r="J737" i="40"/>
  <c r="H737" i="40" s="1"/>
  <c r="I737" i="40" s="1"/>
  <c r="J358" i="40"/>
  <c r="H358" i="40" s="1"/>
  <c r="I358" i="40" s="1"/>
  <c r="J365" i="40"/>
  <c r="H365" i="40" s="1"/>
  <c r="I365" i="40" s="1"/>
  <c r="J430" i="40"/>
  <c r="H430" i="40" s="1"/>
  <c r="I430" i="40" s="1"/>
  <c r="J564" i="40"/>
  <c r="H564" i="40" s="1"/>
  <c r="I564" i="40" s="1"/>
  <c r="J566" i="40"/>
  <c r="H566" i="40" s="1"/>
  <c r="I566" i="40" s="1"/>
  <c r="AA580" i="40"/>
  <c r="AB580" i="40" s="1"/>
  <c r="J601" i="40"/>
  <c r="H601" i="40" s="1"/>
  <c r="I601" i="40" s="1"/>
  <c r="AA679" i="40"/>
  <c r="AB679" i="40" s="1"/>
  <c r="J699" i="40"/>
  <c r="H699" i="40" s="1"/>
  <c r="I699" i="40" s="1"/>
  <c r="V699" i="40" s="1"/>
  <c r="T194" i="40"/>
  <c r="T284" i="40"/>
  <c r="T296" i="40"/>
  <c r="T186" i="40"/>
  <c r="T224" i="40"/>
  <c r="T258" i="40"/>
  <c r="T303" i="40"/>
  <c r="T467" i="40"/>
  <c r="T17" i="40"/>
  <c r="T44" i="40"/>
  <c r="T105" i="40"/>
  <c r="T332" i="40"/>
  <c r="T376" i="40"/>
  <c r="T411" i="40"/>
  <c r="T518" i="40"/>
  <c r="T520" i="40"/>
  <c r="T554" i="40"/>
  <c r="T556" i="40"/>
  <c r="T681" i="40"/>
  <c r="T690" i="40"/>
  <c r="T170" i="40"/>
  <c r="X72" i="40"/>
  <c r="AA72" i="40"/>
  <c r="AB72" i="40" s="1"/>
  <c r="X217" i="40"/>
  <c r="AA217" i="40"/>
  <c r="AB217" i="40" s="1"/>
  <c r="X346" i="40"/>
  <c r="AA346" i="40"/>
  <c r="AB346" i="40" s="1"/>
  <c r="J23" i="40"/>
  <c r="H23" i="40" s="1"/>
  <c r="I23" i="40" s="1"/>
  <c r="AI15" i="40"/>
  <c r="Z118" i="40"/>
  <c r="T152" i="40"/>
  <c r="AA153" i="40"/>
  <c r="AB153" i="40" s="1"/>
  <c r="AA163" i="40"/>
  <c r="AB163" i="40" s="1"/>
  <c r="X189" i="40"/>
  <c r="AA189" i="40"/>
  <c r="AB189" i="40" s="1"/>
  <c r="X198" i="40"/>
  <c r="AA198" i="40"/>
  <c r="AB198" i="40" s="1"/>
  <c r="J212" i="40"/>
  <c r="H212" i="40" s="1"/>
  <c r="I212" i="40" s="1"/>
  <c r="T231" i="40"/>
  <c r="X283" i="40"/>
  <c r="AI43" i="40" s="1"/>
  <c r="X292" i="40"/>
  <c r="AA292" i="40"/>
  <c r="AB292" i="40" s="1"/>
  <c r="J302" i="40"/>
  <c r="H302" i="40" s="1"/>
  <c r="I302" i="40" s="1"/>
  <c r="J458" i="40"/>
  <c r="H458" i="40" s="1"/>
  <c r="I458" i="40" s="1"/>
  <c r="V458" i="40" s="1"/>
  <c r="X246" i="40"/>
  <c r="AA246" i="40"/>
  <c r="AB246" i="40" s="1"/>
  <c r="X270" i="40"/>
  <c r="AA270" i="40"/>
  <c r="AB270" i="40" s="1"/>
  <c r="Z31" i="40"/>
  <c r="J60" i="40"/>
  <c r="H60" i="40" s="1"/>
  <c r="I60" i="40" s="1"/>
  <c r="X235" i="40"/>
  <c r="AA235" i="40"/>
  <c r="AB235" i="40" s="1"/>
  <c r="X252" i="40"/>
  <c r="AA252" i="40"/>
  <c r="AB252" i="40" s="1"/>
  <c r="X505" i="40"/>
  <c r="AA505" i="40"/>
  <c r="AB505" i="40" s="1"/>
  <c r="AA47" i="40"/>
  <c r="AB47" i="40" s="1"/>
  <c r="T77" i="40"/>
  <c r="X135" i="40"/>
  <c r="AA135" i="40"/>
  <c r="AB135" i="40" s="1"/>
  <c r="T143" i="40"/>
  <c r="T242" i="40"/>
  <c r="J268" i="40"/>
  <c r="H268" i="40" s="1"/>
  <c r="I268" i="40" s="1"/>
  <c r="V268" i="40" s="1"/>
  <c r="T268" i="40"/>
  <c r="X308" i="40"/>
  <c r="AA308" i="40"/>
  <c r="AB308" i="40" s="1"/>
  <c r="T375" i="40"/>
  <c r="AA390" i="40"/>
  <c r="AB390" i="40" s="1"/>
  <c r="Z390" i="40"/>
  <c r="T494" i="40"/>
  <c r="X625" i="40"/>
  <c r="AA625" i="40"/>
  <c r="AB625" i="40" s="1"/>
  <c r="T14" i="40"/>
  <c r="T62" i="40"/>
  <c r="T89" i="40"/>
  <c r="J169" i="40"/>
  <c r="H169" i="40" s="1"/>
  <c r="I169" i="40" s="1"/>
  <c r="AA174" i="40"/>
  <c r="AB174" i="40" s="1"/>
  <c r="T178" i="40"/>
  <c r="AA180" i="40"/>
  <c r="AB180" i="40" s="1"/>
  <c r="J221" i="40"/>
  <c r="H221" i="40" s="1"/>
  <c r="I221" i="40" s="1"/>
  <c r="V221" i="40" s="1"/>
  <c r="T221" i="40"/>
  <c r="J266" i="40"/>
  <c r="H266" i="40" s="1"/>
  <c r="I266" i="40" s="1"/>
  <c r="T266" i="40"/>
  <c r="J295" i="40"/>
  <c r="H295" i="40" s="1"/>
  <c r="I295" i="40" s="1"/>
  <c r="V295" i="40" s="1"/>
  <c r="T347" i="40"/>
  <c r="T384" i="40"/>
  <c r="T393" i="40"/>
  <c r="T395" i="40"/>
  <c r="T403" i="40"/>
  <c r="AA453" i="40"/>
  <c r="AB453" i="40" s="1"/>
  <c r="T465" i="40"/>
  <c r="J485" i="40"/>
  <c r="H485" i="40" s="1"/>
  <c r="I485" i="40" s="1"/>
  <c r="V485" i="40" s="1"/>
  <c r="J493" i="40"/>
  <c r="H493" i="40" s="1"/>
  <c r="I493" i="40" s="1"/>
  <c r="V493" i="40" s="1"/>
  <c r="AA531" i="40"/>
  <c r="AB531" i="40" s="1"/>
  <c r="X532" i="40"/>
  <c r="AA532" i="40"/>
  <c r="AB532" i="40" s="1"/>
  <c r="J717" i="40"/>
  <c r="H717" i="40" s="1"/>
  <c r="I717" i="40" s="1"/>
  <c r="V717" i="40" s="1"/>
  <c r="T485" i="40"/>
  <c r="X496" i="40"/>
  <c r="AA496" i="40"/>
  <c r="AB496" i="40" s="1"/>
  <c r="AA55" i="40"/>
  <c r="AB55" i="40" s="1"/>
  <c r="AA66" i="40"/>
  <c r="AB66" i="40" s="1"/>
  <c r="J98" i="40"/>
  <c r="H98" i="40" s="1"/>
  <c r="I98" i="40" s="1"/>
  <c r="V98" i="40" s="1"/>
  <c r="J141" i="40"/>
  <c r="H141" i="40" s="1"/>
  <c r="I141" i="40" s="1"/>
  <c r="V141" i="40" s="1"/>
  <c r="T159" i="40"/>
  <c r="J196" i="40"/>
  <c r="H196" i="40" s="1"/>
  <c r="I196" i="40" s="1"/>
  <c r="J213" i="40"/>
  <c r="H213" i="40" s="1"/>
  <c r="I213" i="40" s="1"/>
  <c r="V213" i="40" s="1"/>
  <c r="T213" i="40"/>
  <c r="J214" i="40"/>
  <c r="H214" i="40" s="1"/>
  <c r="I214" i="40" s="1"/>
  <c r="J241" i="40"/>
  <c r="H241" i="40" s="1"/>
  <c r="I241" i="40" s="1"/>
  <c r="T250" i="40"/>
  <c r="X326" i="40"/>
  <c r="AA326" i="40"/>
  <c r="AB326" i="40" s="1"/>
  <c r="T329" i="40"/>
  <c r="T331" i="40"/>
  <c r="T386" i="40"/>
  <c r="X450" i="40"/>
  <c r="AA450" i="40"/>
  <c r="AB450" i="40" s="1"/>
  <c r="T456" i="40"/>
  <c r="T492" i="40"/>
  <c r="T510" i="40"/>
  <c r="T530" i="40"/>
  <c r="J644" i="40"/>
  <c r="H644" i="40" s="1"/>
  <c r="I644" i="40" s="1"/>
  <c r="V644" i="40" s="1"/>
  <c r="T645" i="40"/>
  <c r="AA714" i="40"/>
  <c r="AB714" i="40" s="1"/>
  <c r="J320" i="40"/>
  <c r="H320" i="40" s="1"/>
  <c r="I320" i="40" s="1"/>
  <c r="AA324" i="40"/>
  <c r="AB324" i="40" s="1"/>
  <c r="T421" i="40"/>
  <c r="J492" i="40"/>
  <c r="H492" i="40" s="1"/>
  <c r="I492" i="40" s="1"/>
  <c r="J503" i="40"/>
  <c r="H503" i="40" s="1"/>
  <c r="I503" i="40" s="1"/>
  <c r="AA523" i="40"/>
  <c r="AB523" i="40" s="1"/>
  <c r="T528" i="40"/>
  <c r="T566" i="40"/>
  <c r="J573" i="40"/>
  <c r="H573" i="40" s="1"/>
  <c r="I573" i="40" s="1"/>
  <c r="T599" i="40"/>
  <c r="T600" i="40"/>
  <c r="J609" i="40"/>
  <c r="H609" i="40" s="1"/>
  <c r="I609" i="40" s="1"/>
  <c r="T610" i="40"/>
  <c r="T653" i="40"/>
  <c r="J656" i="40"/>
  <c r="H656" i="40" s="1"/>
  <c r="I656" i="40" s="1"/>
  <c r="V656" i="40" s="1"/>
  <c r="J665" i="40"/>
  <c r="H665" i="40" s="1"/>
  <c r="I665" i="40" s="1"/>
  <c r="T673" i="40"/>
  <c r="T683" i="40"/>
  <c r="J690" i="40"/>
  <c r="H690" i="40" s="1"/>
  <c r="I690" i="40" s="1"/>
  <c r="V690" i="40" s="1"/>
  <c r="AA723" i="40"/>
  <c r="AB723" i="40" s="1"/>
  <c r="J521" i="40"/>
  <c r="H521" i="40" s="1"/>
  <c r="I521" i="40" s="1"/>
  <c r="T521" i="40"/>
  <c r="J528" i="40"/>
  <c r="H528" i="40" s="1"/>
  <c r="I528" i="40" s="1"/>
  <c r="V528" i="40" s="1"/>
  <c r="J539" i="40"/>
  <c r="H539" i="40" s="1"/>
  <c r="I539" i="40" s="1"/>
  <c r="J565" i="40"/>
  <c r="H565" i="40" s="1"/>
  <c r="I565" i="40" s="1"/>
  <c r="AA577" i="40"/>
  <c r="AB577" i="40" s="1"/>
  <c r="AA578" i="40"/>
  <c r="AB578" i="40" s="1"/>
  <c r="AA585" i="40"/>
  <c r="AB585" i="40" s="1"/>
  <c r="T591" i="40"/>
  <c r="J637" i="40"/>
  <c r="H637" i="40" s="1"/>
  <c r="I637" i="40" s="1"/>
  <c r="V637" i="40" s="1"/>
  <c r="T655" i="40"/>
  <c r="AA667" i="40"/>
  <c r="AB667" i="40" s="1"/>
  <c r="T680" i="40"/>
  <c r="AA688" i="40"/>
  <c r="AB688" i="40" s="1"/>
  <c r="J698" i="40"/>
  <c r="H698" i="40" s="1"/>
  <c r="I698" i="40" s="1"/>
  <c r="V698" i="40" s="1"/>
  <c r="T719" i="40"/>
  <c r="T141" i="40"/>
  <c r="T114" i="40"/>
  <c r="T98" i="40"/>
  <c r="J33" i="40"/>
  <c r="H33" i="40" s="1"/>
  <c r="I33" i="40" s="1"/>
  <c r="T32" i="40"/>
  <c r="T113" i="40"/>
  <c r="X171" i="40"/>
  <c r="AA171" i="40"/>
  <c r="AB171" i="40" s="1"/>
  <c r="X243" i="40"/>
  <c r="AA243" i="40"/>
  <c r="AB243" i="40" s="1"/>
  <c r="AA378" i="40"/>
  <c r="AB378" i="40" s="1"/>
  <c r="X378" i="40"/>
  <c r="X560" i="40"/>
  <c r="AA560" i="40"/>
  <c r="AB560" i="40" s="1"/>
  <c r="T629" i="40"/>
  <c r="X632" i="40"/>
  <c r="AA632" i="40"/>
  <c r="AB632" i="40" s="1"/>
  <c r="X658" i="40"/>
  <c r="AA658" i="40"/>
  <c r="AB658" i="40" s="1"/>
  <c r="AA696" i="40"/>
  <c r="AB696" i="40" s="1"/>
  <c r="X696" i="40"/>
  <c r="T16" i="40"/>
  <c r="AG14" i="40" s="1"/>
  <c r="AA18" i="40"/>
  <c r="AB18" i="40" s="1"/>
  <c r="X54" i="40"/>
  <c r="X66" i="40"/>
  <c r="T79" i="40"/>
  <c r="X181" i="40"/>
  <c r="AA181" i="40"/>
  <c r="AB181" i="40" s="1"/>
  <c r="X199" i="40"/>
  <c r="AA199" i="40"/>
  <c r="AB199" i="40" s="1"/>
  <c r="X253" i="40"/>
  <c r="AA253" i="40"/>
  <c r="AB253" i="40" s="1"/>
  <c r="T267" i="40"/>
  <c r="X328" i="40"/>
  <c r="AA328" i="40"/>
  <c r="AB328" i="40" s="1"/>
  <c r="X344" i="40"/>
  <c r="AA344" i="40"/>
  <c r="AB344" i="40" s="1"/>
  <c r="X372" i="40"/>
  <c r="AA372" i="40"/>
  <c r="AB372" i="40" s="1"/>
  <c r="AA451" i="40"/>
  <c r="AB451" i="40" s="1"/>
  <c r="X451" i="40"/>
  <c r="X507" i="40"/>
  <c r="AA507" i="40"/>
  <c r="AB507" i="40" s="1"/>
  <c r="T574" i="40"/>
  <c r="AA666" i="40"/>
  <c r="AB666" i="40" s="1"/>
  <c r="X666" i="40"/>
  <c r="X693" i="40"/>
  <c r="AI89" i="40" s="1"/>
  <c r="AA693" i="40"/>
  <c r="AB693" i="40" s="1"/>
  <c r="AA703" i="40"/>
  <c r="AB703" i="40" s="1"/>
  <c r="X703" i="40"/>
  <c r="AA711" i="40"/>
  <c r="AB711" i="40" s="1"/>
  <c r="X711" i="40"/>
  <c r="AA732" i="40"/>
  <c r="AB732" i="40" s="1"/>
  <c r="X732" i="40"/>
  <c r="AI93" i="40" s="1"/>
  <c r="AA20" i="40"/>
  <c r="AB20" i="40" s="1"/>
  <c r="T24" i="40"/>
  <c r="AA28" i="40"/>
  <c r="AB28" i="40" s="1"/>
  <c r="AA36" i="40"/>
  <c r="AB36" i="40" s="1"/>
  <c r="AA46" i="40"/>
  <c r="AB46" i="40" s="1"/>
  <c r="AA49" i="40"/>
  <c r="AB49" i="40" s="1"/>
  <c r="AA56" i="40"/>
  <c r="AB56" i="40" s="1"/>
  <c r="AA65" i="40"/>
  <c r="AB65" i="40" s="1"/>
  <c r="AA67" i="40"/>
  <c r="AB67" i="40" s="1"/>
  <c r="T68" i="40"/>
  <c r="T69" i="40"/>
  <c r="T71" i="40"/>
  <c r="AA75" i="40"/>
  <c r="AB75" i="40" s="1"/>
  <c r="J79" i="40"/>
  <c r="H79" i="40" s="1"/>
  <c r="I79" i="40" s="1"/>
  <c r="J97" i="40"/>
  <c r="H97" i="40" s="1"/>
  <c r="I97" i="40" s="1"/>
  <c r="J104" i="40"/>
  <c r="H104" i="40" s="1"/>
  <c r="I104" i="40" s="1"/>
  <c r="V104" i="40" s="1"/>
  <c r="T106" i="40"/>
  <c r="J124" i="40"/>
  <c r="H124" i="40" s="1"/>
  <c r="I124" i="40" s="1"/>
  <c r="V124" i="40" s="1"/>
  <c r="T134" i="40"/>
  <c r="X138" i="40"/>
  <c r="AA138" i="40"/>
  <c r="AB138" i="40" s="1"/>
  <c r="T187" i="40"/>
  <c r="AA190" i="40"/>
  <c r="AB190" i="40" s="1"/>
  <c r="AA207" i="40"/>
  <c r="AB207" i="40" s="1"/>
  <c r="T259" i="40"/>
  <c r="AA262" i="40"/>
  <c r="AB262" i="40" s="1"/>
  <c r="AA281" i="40"/>
  <c r="AB281" i="40" s="1"/>
  <c r="T285" i="40"/>
  <c r="X310" i="40"/>
  <c r="AA310" i="40"/>
  <c r="AB310" i="40" s="1"/>
  <c r="T313" i="40"/>
  <c r="T314" i="40"/>
  <c r="X318" i="40"/>
  <c r="AA318" i="40"/>
  <c r="AB318" i="40" s="1"/>
  <c r="T322" i="40"/>
  <c r="J323" i="40"/>
  <c r="H323" i="40" s="1"/>
  <c r="I323" i="40" s="1"/>
  <c r="V323" i="40" s="1"/>
  <c r="X324" i="40"/>
  <c r="T358" i="40"/>
  <c r="J366" i="40"/>
  <c r="H366" i="40" s="1"/>
  <c r="I366" i="40" s="1"/>
  <c r="T374" i="40"/>
  <c r="Z388" i="40"/>
  <c r="AJ55" i="40" s="1"/>
  <c r="X396" i="40"/>
  <c r="AA396" i="40"/>
  <c r="AB396" i="40" s="1"/>
  <c r="T410" i="40"/>
  <c r="AA416" i="40"/>
  <c r="AB416" i="40" s="1"/>
  <c r="X416" i="40"/>
  <c r="T422" i="40"/>
  <c r="X424" i="40"/>
  <c r="AA424" i="40"/>
  <c r="AB424" i="40" s="1"/>
  <c r="T439" i="40"/>
  <c r="X443" i="40"/>
  <c r="AA443" i="40"/>
  <c r="AB443" i="40" s="1"/>
  <c r="X470" i="40"/>
  <c r="T474" i="40"/>
  <c r="X489" i="40"/>
  <c r="AA489" i="40"/>
  <c r="AB489" i="40" s="1"/>
  <c r="X504" i="40"/>
  <c r="AA504" i="40"/>
  <c r="AB504" i="40" s="1"/>
  <c r="T512" i="40"/>
  <c r="J520" i="40"/>
  <c r="H520" i="40" s="1"/>
  <c r="I520" i="40" s="1"/>
  <c r="V520" i="40" s="1"/>
  <c r="X525" i="40"/>
  <c r="AA525" i="40"/>
  <c r="AB525" i="40" s="1"/>
  <c r="X540" i="40"/>
  <c r="AA540" i="40"/>
  <c r="AB540" i="40" s="1"/>
  <c r="T548" i="40"/>
  <c r="AA569" i="40"/>
  <c r="AB569" i="40" s="1"/>
  <c r="X569" i="40"/>
  <c r="T581" i="40"/>
  <c r="T583" i="40"/>
  <c r="AA603" i="40"/>
  <c r="AB603" i="40" s="1"/>
  <c r="X603" i="40"/>
  <c r="AA621" i="40"/>
  <c r="AB621" i="40" s="1"/>
  <c r="T672" i="40"/>
  <c r="T682" i="40"/>
  <c r="T698" i="40"/>
  <c r="J701" i="40"/>
  <c r="H701" i="40" s="1"/>
  <c r="I701" i="40" s="1"/>
  <c r="V701" i="40" s="1"/>
  <c r="X714" i="40"/>
  <c r="X721" i="40"/>
  <c r="T15" i="40"/>
  <c r="X154" i="40"/>
  <c r="AA154" i="40"/>
  <c r="AB154" i="40" s="1"/>
  <c r="J359" i="40"/>
  <c r="H359" i="40" s="1"/>
  <c r="I359" i="40" s="1"/>
  <c r="AA434" i="40"/>
  <c r="AB434" i="40" s="1"/>
  <c r="X434" i="40"/>
  <c r="AI60" i="40" s="1"/>
  <c r="AA441" i="40"/>
  <c r="AB441" i="40" s="1"/>
  <c r="X441" i="40"/>
  <c r="T546" i="40"/>
  <c r="T611" i="40"/>
  <c r="T618" i="40"/>
  <c r="X650" i="40"/>
  <c r="AA650" i="40"/>
  <c r="AB650" i="40" s="1"/>
  <c r="X47" i="40"/>
  <c r="AI17" i="40" s="1"/>
  <c r="AA91" i="40"/>
  <c r="AB91" i="40" s="1"/>
  <c r="T107" i="40"/>
  <c r="AA117" i="40"/>
  <c r="AB117" i="40" s="1"/>
  <c r="T195" i="40"/>
  <c r="AA288" i="40"/>
  <c r="AB288" i="40" s="1"/>
  <c r="X288" i="40"/>
  <c r="T311" i="40"/>
  <c r="X336" i="40"/>
  <c r="AA336" i="40"/>
  <c r="AB336" i="40" s="1"/>
  <c r="T340" i="40"/>
  <c r="X354" i="40"/>
  <c r="AA354" i="40"/>
  <c r="AB354" i="40" s="1"/>
  <c r="T483" i="40"/>
  <c r="Z531" i="40"/>
  <c r="X543" i="40"/>
  <c r="AA543" i="40"/>
  <c r="AB543" i="40" s="1"/>
  <c r="T565" i="40"/>
  <c r="X586" i="40"/>
  <c r="AA643" i="40"/>
  <c r="AB643" i="40" s="1"/>
  <c r="AA686" i="40"/>
  <c r="AB686" i="40" s="1"/>
  <c r="X686" i="40"/>
  <c r="T25" i="40"/>
  <c r="T26" i="40"/>
  <c r="AA27" i="40"/>
  <c r="AB27" i="40" s="1"/>
  <c r="AA29" i="40"/>
  <c r="AB29" i="40" s="1"/>
  <c r="T34" i="40"/>
  <c r="AA38" i="40"/>
  <c r="AB38" i="40" s="1"/>
  <c r="T41" i="40"/>
  <c r="AA48" i="40"/>
  <c r="AB48" i="40" s="1"/>
  <c r="T51" i="40"/>
  <c r="AA64" i="40"/>
  <c r="AB64" i="40" s="1"/>
  <c r="T70" i="40"/>
  <c r="AA99" i="40"/>
  <c r="AB99" i="40" s="1"/>
  <c r="X100" i="40"/>
  <c r="AA100" i="40"/>
  <c r="AB100" i="40" s="1"/>
  <c r="AA102" i="40"/>
  <c r="AB102" i="40" s="1"/>
  <c r="AA108" i="40"/>
  <c r="AB108" i="40" s="1"/>
  <c r="X109" i="40"/>
  <c r="AA109" i="40"/>
  <c r="AB109" i="40" s="1"/>
  <c r="T116" i="40"/>
  <c r="X120" i="40"/>
  <c r="AA120" i="40"/>
  <c r="AB120" i="40" s="1"/>
  <c r="T123" i="40"/>
  <c r="AA126" i="40"/>
  <c r="AB126" i="40" s="1"/>
  <c r="X127" i="40"/>
  <c r="AA127" i="40"/>
  <c r="AB127" i="40" s="1"/>
  <c r="J133" i="40"/>
  <c r="H133" i="40" s="1"/>
  <c r="I133" i="40" s="1"/>
  <c r="AA136" i="40"/>
  <c r="AB136" i="40" s="1"/>
  <c r="J140" i="40"/>
  <c r="H140" i="40" s="1"/>
  <c r="I140" i="40" s="1"/>
  <c r="V140" i="40" s="1"/>
  <c r="X144" i="40"/>
  <c r="AA144" i="40"/>
  <c r="AB144" i="40" s="1"/>
  <c r="J149" i="40"/>
  <c r="H149" i="40" s="1"/>
  <c r="I149" i="40" s="1"/>
  <c r="T149" i="40"/>
  <c r="J167" i="40"/>
  <c r="H167" i="40" s="1"/>
  <c r="I167" i="40" s="1"/>
  <c r="T179" i="40"/>
  <c r="X225" i="40"/>
  <c r="AA225" i="40"/>
  <c r="AB225" i="40" s="1"/>
  <c r="J239" i="40"/>
  <c r="H239" i="40" s="1"/>
  <c r="I239" i="40" s="1"/>
  <c r="T251" i="40"/>
  <c r="X271" i="40"/>
  <c r="AI42" i="40" s="1"/>
  <c r="AA271" i="40"/>
  <c r="AB271" i="40" s="1"/>
  <c r="X290" i="40"/>
  <c r="AA290" i="40"/>
  <c r="AB290" i="40" s="1"/>
  <c r="AA301" i="40"/>
  <c r="AB301" i="40" s="1"/>
  <c r="T302" i="40"/>
  <c r="J305" i="40"/>
  <c r="H305" i="40" s="1"/>
  <c r="I305" i="40" s="1"/>
  <c r="V305" i="40" s="1"/>
  <c r="T321" i="40"/>
  <c r="T339" i="40"/>
  <c r="J347" i="40"/>
  <c r="H347" i="40" s="1"/>
  <c r="I347" i="40" s="1"/>
  <c r="J348" i="40"/>
  <c r="H348" i="40" s="1"/>
  <c r="I348" i="40" s="1"/>
  <c r="T357" i="40"/>
  <c r="T365" i="40"/>
  <c r="T368" i="40"/>
  <c r="J377" i="40"/>
  <c r="H377" i="40" s="1"/>
  <c r="I377" i="40" s="1"/>
  <c r="J383" i="40"/>
  <c r="H383" i="40" s="1"/>
  <c r="I383" i="40" s="1"/>
  <c r="T385" i="40"/>
  <c r="AA387" i="40"/>
  <c r="AB387" i="40" s="1"/>
  <c r="X387" i="40"/>
  <c r="AA389" i="40"/>
  <c r="AB389" i="40" s="1"/>
  <c r="T428" i="40"/>
  <c r="T429" i="40"/>
  <c r="AA432" i="40"/>
  <c r="AB432" i="40" s="1"/>
  <c r="T457" i="40"/>
  <c r="T482" i="40"/>
  <c r="AG66" i="40" s="1"/>
  <c r="X486" i="40"/>
  <c r="AA486" i="40"/>
  <c r="AB486" i="40" s="1"/>
  <c r="J500" i="40"/>
  <c r="H500" i="40" s="1"/>
  <c r="I500" i="40" s="1"/>
  <c r="V500" i="40" s="1"/>
  <c r="T503" i="40"/>
  <c r="V503" i="40" s="1"/>
  <c r="X514" i="40"/>
  <c r="AA514" i="40"/>
  <c r="AB514" i="40" s="1"/>
  <c r="T519" i="40"/>
  <c r="X522" i="40"/>
  <c r="AA522" i="40"/>
  <c r="AB522" i="40" s="1"/>
  <c r="J536" i="40"/>
  <c r="H536" i="40" s="1"/>
  <c r="I536" i="40" s="1"/>
  <c r="V536" i="40" s="1"/>
  <c r="T539" i="40"/>
  <c r="X550" i="40"/>
  <c r="AA550" i="40"/>
  <c r="AB550" i="40" s="1"/>
  <c r="AA589" i="40"/>
  <c r="AB589" i="40" s="1"/>
  <c r="X589" i="40"/>
  <c r="AA606" i="40"/>
  <c r="AB606" i="40" s="1"/>
  <c r="X612" i="40"/>
  <c r="AA612" i="40"/>
  <c r="AB612" i="40" s="1"/>
  <c r="AA616" i="40"/>
  <c r="AB616" i="40" s="1"/>
  <c r="X623" i="40"/>
  <c r="AA623" i="40"/>
  <c r="AB623" i="40" s="1"/>
  <c r="J638" i="40"/>
  <c r="H638" i="40" s="1"/>
  <c r="I638" i="40" s="1"/>
  <c r="T647" i="40"/>
  <c r="T654" i="40"/>
  <c r="T664" i="40"/>
  <c r="J682" i="40"/>
  <c r="H682" i="40" s="1"/>
  <c r="I682" i="40" s="1"/>
  <c r="V682" i="40" s="1"/>
  <c r="AA705" i="40"/>
  <c r="AB705" i="40" s="1"/>
  <c r="X705" i="40"/>
  <c r="AI90" i="40" s="1"/>
  <c r="T718" i="40"/>
  <c r="AA720" i="40"/>
  <c r="AB720" i="40" s="1"/>
  <c r="X720" i="40"/>
  <c r="T727" i="40"/>
  <c r="T728" i="40"/>
  <c r="AA730" i="40"/>
  <c r="AB730" i="40" s="1"/>
  <c r="X730" i="40"/>
  <c r="AA729" i="40"/>
  <c r="AB729" i="40" s="1"/>
  <c r="T737" i="40"/>
  <c r="V737" i="40" s="1"/>
  <c r="J113" i="40"/>
  <c r="H113" i="40" s="1"/>
  <c r="I113" i="40" s="1"/>
  <c r="V113" i="40" s="1"/>
  <c r="J131" i="40"/>
  <c r="H131" i="40" s="1"/>
  <c r="I131" i="40" s="1"/>
  <c r="T142" i="40"/>
  <c r="T151" i="40"/>
  <c r="J160" i="40"/>
  <c r="H160" i="40" s="1"/>
  <c r="I160" i="40" s="1"/>
  <c r="V160" i="40" s="1"/>
  <c r="AA162" i="40"/>
  <c r="AB162" i="40" s="1"/>
  <c r="AA172" i="40"/>
  <c r="AB172" i="40" s="1"/>
  <c r="J185" i="40"/>
  <c r="H185" i="40" s="1"/>
  <c r="I185" i="40" s="1"/>
  <c r="V185" i="40" s="1"/>
  <c r="AA192" i="40"/>
  <c r="AB192" i="40" s="1"/>
  <c r="J203" i="40"/>
  <c r="H203" i="40" s="1"/>
  <c r="I203" i="40" s="1"/>
  <c r="AA210" i="40"/>
  <c r="AB210" i="40" s="1"/>
  <c r="T214" i="40"/>
  <c r="AA216" i="40"/>
  <c r="AB216" i="40" s="1"/>
  <c r="T223" i="40"/>
  <c r="AA226" i="40"/>
  <c r="AB226" i="40" s="1"/>
  <c r="J232" i="40"/>
  <c r="H232" i="40" s="1"/>
  <c r="I232" i="40" s="1"/>
  <c r="V232" i="40" s="1"/>
  <c r="AA234" i="40"/>
  <c r="AB234" i="40" s="1"/>
  <c r="AA244" i="40"/>
  <c r="AB244" i="40" s="1"/>
  <c r="J257" i="40"/>
  <c r="H257" i="40" s="1"/>
  <c r="I257" i="40" s="1"/>
  <c r="V257" i="40" s="1"/>
  <c r="AA264" i="40"/>
  <c r="AB264" i="40" s="1"/>
  <c r="T293" i="40"/>
  <c r="T294" i="40"/>
  <c r="AA298" i="40"/>
  <c r="AB298" i="40" s="1"/>
  <c r="J311" i="40"/>
  <c r="H311" i="40" s="1"/>
  <c r="I311" i="40" s="1"/>
  <c r="T338" i="40"/>
  <c r="AA342" i="40"/>
  <c r="AB342" i="40" s="1"/>
  <c r="AA352" i="40"/>
  <c r="AB352" i="40" s="1"/>
  <c r="T356" i="40"/>
  <c r="AA362" i="40"/>
  <c r="AB362" i="40" s="1"/>
  <c r="T367" i="40"/>
  <c r="V367" i="40" s="1"/>
  <c r="AA380" i="40"/>
  <c r="AB380" i="40" s="1"/>
  <c r="AA399" i="40"/>
  <c r="AB399" i="40" s="1"/>
  <c r="T402" i="40"/>
  <c r="AA426" i="40"/>
  <c r="AB426" i="40" s="1"/>
  <c r="AA445" i="40"/>
  <c r="AB445" i="40" s="1"/>
  <c r="J465" i="40"/>
  <c r="H465" i="40" s="1"/>
  <c r="I465" i="40" s="1"/>
  <c r="AA471" i="40"/>
  <c r="AB471" i="40" s="1"/>
  <c r="AA477" i="40"/>
  <c r="AB477" i="40" s="1"/>
  <c r="J491" i="40"/>
  <c r="H491" i="40" s="1"/>
  <c r="I491" i="40" s="1"/>
  <c r="V491" i="40" s="1"/>
  <c r="T491" i="40"/>
  <c r="T493" i="40"/>
  <c r="AA495" i="40"/>
  <c r="AB495" i="40" s="1"/>
  <c r="J510" i="40"/>
  <c r="H510" i="40" s="1"/>
  <c r="I510" i="40" s="1"/>
  <c r="V510" i="40" s="1"/>
  <c r="J527" i="40"/>
  <c r="H527" i="40" s="1"/>
  <c r="I527" i="40" s="1"/>
  <c r="T527" i="40"/>
  <c r="T529" i="40"/>
  <c r="J546" i="40"/>
  <c r="H546" i="40" s="1"/>
  <c r="I546" i="40" s="1"/>
  <c r="V546" i="40" s="1"/>
  <c r="T575" i="40"/>
  <c r="AA576" i="40"/>
  <c r="AB576" i="40" s="1"/>
  <c r="AA594" i="40"/>
  <c r="AB594" i="40" s="1"/>
  <c r="T602" i="40"/>
  <c r="T617" i="40"/>
  <c r="T638" i="40"/>
  <c r="AA660" i="40"/>
  <c r="AB660" i="40" s="1"/>
  <c r="AA668" i="40"/>
  <c r="AB668" i="40" s="1"/>
  <c r="T691" i="40"/>
  <c r="T692" i="40"/>
  <c r="AA713" i="40"/>
  <c r="AB713" i="40" s="1"/>
  <c r="AA715" i="40"/>
  <c r="AB715" i="40" s="1"/>
  <c r="AA722" i="40"/>
  <c r="AB722" i="40" s="1"/>
  <c r="AK92" i="40" s="1"/>
  <c r="AA724" i="40"/>
  <c r="AB724" i="40" s="1"/>
  <c r="T726" i="40"/>
  <c r="AA731" i="40"/>
  <c r="AB731" i="40" s="1"/>
  <c r="AA733" i="40"/>
  <c r="AB733" i="40" s="1"/>
  <c r="T158" i="40"/>
  <c r="J176" i="40"/>
  <c r="H176" i="40" s="1"/>
  <c r="I176" i="40" s="1"/>
  <c r="T177" i="40"/>
  <c r="J178" i="40"/>
  <c r="H178" i="40" s="1"/>
  <c r="I178" i="40" s="1"/>
  <c r="T185" i="40"/>
  <c r="T188" i="40"/>
  <c r="J205" i="40"/>
  <c r="H205" i="40" s="1"/>
  <c r="I205" i="40" s="1"/>
  <c r="V205" i="40" s="1"/>
  <c r="T206" i="40"/>
  <c r="T222" i="40"/>
  <c r="T230" i="40"/>
  <c r="J248" i="40"/>
  <c r="H248" i="40" s="1"/>
  <c r="I248" i="40" s="1"/>
  <c r="T249" i="40"/>
  <c r="J250" i="40"/>
  <c r="H250" i="40" s="1"/>
  <c r="I250" i="40" s="1"/>
  <c r="T257" i="40"/>
  <c r="T260" i="40"/>
  <c r="T275" i="40"/>
  <c r="T278" i="40"/>
  <c r="T286" i="40"/>
  <c r="AA316" i="40"/>
  <c r="AB316" i="40" s="1"/>
  <c r="T320" i="40"/>
  <c r="AA334" i="40"/>
  <c r="AB334" i="40" s="1"/>
  <c r="J338" i="40"/>
  <c r="H338" i="40" s="1"/>
  <c r="I338" i="40" s="1"/>
  <c r="X342" i="40"/>
  <c r="T349" i="40"/>
  <c r="T350" i="40"/>
  <c r="X352" i="40"/>
  <c r="AA360" i="40"/>
  <c r="AB360" i="40" s="1"/>
  <c r="Z362" i="40"/>
  <c r="AJ52" i="40" s="1"/>
  <c r="AA364" i="40"/>
  <c r="AB364" i="40" s="1"/>
  <c r="AA370" i="40"/>
  <c r="AB370" i="40" s="1"/>
  <c r="X380" i="40"/>
  <c r="AA397" i="40"/>
  <c r="AB397" i="40" s="1"/>
  <c r="X399" i="40"/>
  <c r="T401" i="40"/>
  <c r="T413" i="40"/>
  <c r="AA418" i="40"/>
  <c r="AB418" i="40" s="1"/>
  <c r="T420" i="40"/>
  <c r="T431" i="40"/>
  <c r="AA436" i="40"/>
  <c r="AB436" i="40" s="1"/>
  <c r="T438" i="40"/>
  <c r="T446" i="40"/>
  <c r="T458" i="40"/>
  <c r="AA469" i="40"/>
  <c r="AB469" i="40" s="1"/>
  <c r="X471" i="40"/>
  <c r="AA472" i="40"/>
  <c r="AB472" i="40" s="1"/>
  <c r="X477" i="40"/>
  <c r="J483" i="40"/>
  <c r="H483" i="40" s="1"/>
  <c r="I483" i="40" s="1"/>
  <c r="V483" i="40" s="1"/>
  <c r="J518" i="40"/>
  <c r="H518" i="40" s="1"/>
  <c r="I518" i="40" s="1"/>
  <c r="J554" i="40"/>
  <c r="H554" i="40" s="1"/>
  <c r="I554" i="40" s="1"/>
  <c r="AA568" i="40"/>
  <c r="AB568" i="40" s="1"/>
  <c r="X576" i="40"/>
  <c r="AA579" i="40"/>
  <c r="AB579" i="40" s="1"/>
  <c r="X594" i="40"/>
  <c r="AA598" i="40"/>
  <c r="AB598" i="40" s="1"/>
  <c r="AA614" i="40"/>
  <c r="AB614" i="40" s="1"/>
  <c r="AA615" i="40"/>
  <c r="AB615" i="40" s="1"/>
  <c r="J626" i="40"/>
  <c r="H626" i="40" s="1"/>
  <c r="I626" i="40" s="1"/>
  <c r="T628" i="40"/>
  <c r="T644" i="40"/>
  <c r="X668" i="40"/>
  <c r="AA697" i="40"/>
  <c r="AB697" i="40" s="1"/>
  <c r="AA704" i="40"/>
  <c r="AB704" i="40" s="1"/>
  <c r="AA706" i="40"/>
  <c r="AB706" i="40" s="1"/>
  <c r="T708" i="40"/>
  <c r="X713" i="40"/>
  <c r="X715" i="40"/>
  <c r="X722" i="40"/>
  <c r="X724" i="40"/>
  <c r="T734" i="40"/>
  <c r="AA738" i="40"/>
  <c r="AB738" i="40" s="1"/>
  <c r="V518" i="40"/>
  <c r="V266" i="40"/>
  <c r="V212" i="40"/>
  <c r="V728" i="40"/>
  <c r="V674" i="40"/>
  <c r="V554" i="40"/>
  <c r="V97" i="40"/>
  <c r="V430" i="40"/>
  <c r="V35" i="40"/>
  <c r="V529" i="40"/>
  <c r="V564" i="40"/>
  <c r="V133" i="40"/>
  <c r="V455" i="40"/>
  <c r="V176" i="40"/>
  <c r="V412" i="40"/>
  <c r="J16" i="40"/>
  <c r="H16" i="40" s="1"/>
  <c r="I16" i="40" s="1"/>
  <c r="V16" i="40" s="1"/>
  <c r="J26" i="40"/>
  <c r="H26" i="40" s="1"/>
  <c r="I26" i="40" s="1"/>
  <c r="V26" i="40" s="1"/>
  <c r="V60" i="40"/>
  <c r="V196" i="40"/>
  <c r="AJ25" i="40"/>
  <c r="J34" i="40"/>
  <c r="H34" i="40" s="1"/>
  <c r="I34" i="40" s="1"/>
  <c r="V34" i="40" s="1"/>
  <c r="J51" i="40"/>
  <c r="H51" i="40" s="1"/>
  <c r="I51" i="40" s="1"/>
  <c r="V51" i="40" s="1"/>
  <c r="X146" i="40"/>
  <c r="AA146" i="40"/>
  <c r="AB146" i="40" s="1"/>
  <c r="J197" i="40"/>
  <c r="H197" i="40" s="1"/>
  <c r="I197" i="40" s="1"/>
  <c r="V197" i="40" s="1"/>
  <c r="J275" i="40"/>
  <c r="H275" i="40" s="1"/>
  <c r="I275" i="40" s="1"/>
  <c r="V275" i="40" s="1"/>
  <c r="J331" i="40"/>
  <c r="H331" i="40" s="1"/>
  <c r="I331" i="40" s="1"/>
  <c r="V331" i="40" s="1"/>
  <c r="AJ14" i="40"/>
  <c r="T23" i="40"/>
  <c r="J24" i="40"/>
  <c r="H24" i="40" s="1"/>
  <c r="I24" i="40" s="1"/>
  <c r="V24" i="40" s="1"/>
  <c r="J25" i="40"/>
  <c r="H25" i="40" s="1"/>
  <c r="I25" i="40" s="1"/>
  <c r="V25" i="40" s="1"/>
  <c r="T33" i="40"/>
  <c r="V33" i="40" s="1"/>
  <c r="AJ37" i="40"/>
  <c r="AJ39" i="40"/>
  <c r="J44" i="40"/>
  <c r="H44" i="40" s="1"/>
  <c r="I44" i="40" s="1"/>
  <c r="V44" i="40" s="1"/>
  <c r="T53" i="40"/>
  <c r="V53" i="40" s="1"/>
  <c r="T60" i="40"/>
  <c r="T61" i="40"/>
  <c r="J68" i="40"/>
  <c r="H68" i="40" s="1"/>
  <c r="I68" i="40" s="1"/>
  <c r="J71" i="40"/>
  <c r="H71" i="40" s="1"/>
  <c r="I71" i="40" s="1"/>
  <c r="V71" i="40" s="1"/>
  <c r="J78" i="40"/>
  <c r="H78" i="40" s="1"/>
  <c r="I78" i="40" s="1"/>
  <c r="V78" i="40" s="1"/>
  <c r="AA81" i="40"/>
  <c r="AB81" i="40" s="1"/>
  <c r="X81" i="40"/>
  <c r="AI21" i="40" s="1"/>
  <c r="AA83" i="40"/>
  <c r="AB83" i="40" s="1"/>
  <c r="Z83" i="40"/>
  <c r="J86" i="40"/>
  <c r="H86" i="40" s="1"/>
  <c r="I86" i="40" s="1"/>
  <c r="V86" i="40" s="1"/>
  <c r="J87" i="40"/>
  <c r="H87" i="40" s="1"/>
  <c r="I87" i="40" s="1"/>
  <c r="J88" i="40"/>
  <c r="H88" i="40" s="1"/>
  <c r="I88" i="40" s="1"/>
  <c r="V88" i="40" s="1"/>
  <c r="T88" i="40"/>
  <c r="J96" i="40"/>
  <c r="H96" i="40" s="1"/>
  <c r="I96" i="40" s="1"/>
  <c r="X101" i="40"/>
  <c r="AA101" i="40"/>
  <c r="AB101" i="40" s="1"/>
  <c r="Z112" i="40"/>
  <c r="AJ24" i="40" s="1"/>
  <c r="AA112" i="40"/>
  <c r="AB112" i="40" s="1"/>
  <c r="J115" i="40"/>
  <c r="H115" i="40" s="1"/>
  <c r="I115" i="40" s="1"/>
  <c r="V115" i="40" s="1"/>
  <c r="X121" i="40"/>
  <c r="AA121" i="40"/>
  <c r="AB121" i="40" s="1"/>
  <c r="J122" i="40"/>
  <c r="H122" i="40" s="1"/>
  <c r="I122" i="40" s="1"/>
  <c r="V122" i="40" s="1"/>
  <c r="T124" i="40"/>
  <c r="T125" i="40"/>
  <c r="V131" i="40"/>
  <c r="J132" i="40"/>
  <c r="H132" i="40" s="1"/>
  <c r="I132" i="40" s="1"/>
  <c r="X137" i="40"/>
  <c r="AA137" i="40"/>
  <c r="AB137" i="40" s="1"/>
  <c r="Z148" i="40"/>
  <c r="AJ28" i="40" s="1"/>
  <c r="AA148" i="40"/>
  <c r="AB148" i="40" s="1"/>
  <c r="J151" i="40"/>
  <c r="H151" i="40" s="1"/>
  <c r="I151" i="40" s="1"/>
  <c r="V151" i="40" s="1"/>
  <c r="X157" i="40"/>
  <c r="AA157" i="40"/>
  <c r="AB157" i="40" s="1"/>
  <c r="J158" i="40"/>
  <c r="H158" i="40" s="1"/>
  <c r="I158" i="40" s="1"/>
  <c r="V158" i="40" s="1"/>
  <c r="T160" i="40"/>
  <c r="T161" i="40"/>
  <c r="V167" i="40"/>
  <c r="J168" i="40"/>
  <c r="H168" i="40" s="1"/>
  <c r="I168" i="40" s="1"/>
  <c r="X173" i="40"/>
  <c r="AA173" i="40"/>
  <c r="AB173" i="40" s="1"/>
  <c r="Z184" i="40"/>
  <c r="AA184" i="40"/>
  <c r="AB184" i="40" s="1"/>
  <c r="J187" i="40"/>
  <c r="H187" i="40" s="1"/>
  <c r="I187" i="40" s="1"/>
  <c r="V187" i="40" s="1"/>
  <c r="X193" i="40"/>
  <c r="AA193" i="40"/>
  <c r="AB193" i="40" s="1"/>
  <c r="J194" i="40"/>
  <c r="H194" i="40" s="1"/>
  <c r="I194" i="40" s="1"/>
  <c r="V194" i="40" s="1"/>
  <c r="T196" i="40"/>
  <c r="T197" i="40"/>
  <c r="V203" i="40"/>
  <c r="J204" i="40"/>
  <c r="H204" i="40" s="1"/>
  <c r="I204" i="40" s="1"/>
  <c r="V204" i="40" s="1"/>
  <c r="X209" i="40"/>
  <c r="AA209" i="40"/>
  <c r="AB209" i="40" s="1"/>
  <c r="Z220" i="40"/>
  <c r="AJ36" i="40" s="1"/>
  <c r="AA220" i="40"/>
  <c r="AB220" i="40" s="1"/>
  <c r="J223" i="40"/>
  <c r="H223" i="40" s="1"/>
  <c r="I223" i="40" s="1"/>
  <c r="V223" i="40" s="1"/>
  <c r="X229" i="40"/>
  <c r="AA229" i="40"/>
  <c r="AB229" i="40" s="1"/>
  <c r="J230" i="40"/>
  <c r="H230" i="40" s="1"/>
  <c r="I230" i="40" s="1"/>
  <c r="V230" i="40" s="1"/>
  <c r="T232" i="40"/>
  <c r="T233" i="40"/>
  <c r="V239" i="40"/>
  <c r="J240" i="40"/>
  <c r="H240" i="40" s="1"/>
  <c r="I240" i="40" s="1"/>
  <c r="AF39" i="40" s="1"/>
  <c r="X245" i="40"/>
  <c r="AA245" i="40"/>
  <c r="AB245" i="40" s="1"/>
  <c r="Z256" i="40"/>
  <c r="AJ40" i="40" s="1"/>
  <c r="AA256" i="40"/>
  <c r="AB256" i="40" s="1"/>
  <c r="J259" i="40"/>
  <c r="H259" i="40" s="1"/>
  <c r="I259" i="40" s="1"/>
  <c r="X265" i="40"/>
  <c r="AA265" i="40"/>
  <c r="AB265" i="40" s="1"/>
  <c r="T269" i="40"/>
  <c r="AA272" i="40"/>
  <c r="AB272" i="40" s="1"/>
  <c r="Z272" i="40"/>
  <c r="AJ42" i="40" s="1"/>
  <c r="Z282" i="40"/>
  <c r="AJ43" i="40" s="1"/>
  <c r="AA282" i="40"/>
  <c r="AB282" i="40" s="1"/>
  <c r="X291" i="40"/>
  <c r="AA291" i="40"/>
  <c r="AB291" i="40" s="1"/>
  <c r="X300" i="40"/>
  <c r="AA300" i="40"/>
  <c r="AB300" i="40" s="1"/>
  <c r="J332" i="40"/>
  <c r="H332" i="40" s="1"/>
  <c r="I332" i="40" s="1"/>
  <c r="V332" i="40" s="1"/>
  <c r="J340" i="40"/>
  <c r="H340" i="40" s="1"/>
  <c r="I340" i="40" s="1"/>
  <c r="V340" i="40" s="1"/>
  <c r="J422" i="40"/>
  <c r="H422" i="40" s="1"/>
  <c r="I422" i="40" s="1"/>
  <c r="V422" i="40" s="1"/>
  <c r="J431" i="40"/>
  <c r="H431" i="40" s="1"/>
  <c r="I431" i="40" s="1"/>
  <c r="V431" i="40" s="1"/>
  <c r="J437" i="40"/>
  <c r="H437" i="40" s="1"/>
  <c r="I437" i="40" s="1"/>
  <c r="V437" i="40" s="1"/>
  <c r="AJ31" i="40"/>
  <c r="X110" i="40"/>
  <c r="AI24" i="40" s="1"/>
  <c r="AA110" i="40"/>
  <c r="AB110" i="40" s="1"/>
  <c r="J125" i="40"/>
  <c r="H125" i="40" s="1"/>
  <c r="I125" i="40" s="1"/>
  <c r="V125" i="40" s="1"/>
  <c r="X659" i="40"/>
  <c r="AA659" i="40"/>
  <c r="AB659" i="40" s="1"/>
  <c r="AJ56" i="40"/>
  <c r="AJ57" i="40"/>
  <c r="AJ58" i="40"/>
  <c r="J62" i="40"/>
  <c r="H62" i="40" s="1"/>
  <c r="I62" i="40" s="1"/>
  <c r="V62" i="40" s="1"/>
  <c r="AI78" i="40"/>
  <c r="J89" i="40"/>
  <c r="H89" i="40" s="1"/>
  <c r="I89" i="40" s="1"/>
  <c r="V89" i="40" s="1"/>
  <c r="X119" i="40"/>
  <c r="AA119" i="40"/>
  <c r="AB119" i="40" s="1"/>
  <c r="Z130" i="40"/>
  <c r="AJ26" i="40" s="1"/>
  <c r="AA130" i="40"/>
  <c r="AB130" i="40" s="1"/>
  <c r="X155" i="40"/>
  <c r="AA155" i="40"/>
  <c r="AB155" i="40" s="1"/>
  <c r="X263" i="40"/>
  <c r="AA263" i="40"/>
  <c r="AB263" i="40" s="1"/>
  <c r="X345" i="40"/>
  <c r="AA345" i="40"/>
  <c r="AB345" i="40" s="1"/>
  <c r="X361" i="40"/>
  <c r="AA361" i="40"/>
  <c r="AB361" i="40" s="1"/>
  <c r="J376" i="40"/>
  <c r="H376" i="40" s="1"/>
  <c r="I376" i="40" s="1"/>
  <c r="V376" i="40" s="1"/>
  <c r="J457" i="40"/>
  <c r="H457" i="40" s="1"/>
  <c r="I457" i="40" s="1"/>
  <c r="V457" i="40" s="1"/>
  <c r="AI19" i="40"/>
  <c r="J43" i="40"/>
  <c r="H43" i="40" s="1"/>
  <c r="I43" i="40" s="1"/>
  <c r="V43" i="40" s="1"/>
  <c r="AJ44" i="40"/>
  <c r="J52" i="40"/>
  <c r="H52" i="40" s="1"/>
  <c r="I52" i="40" s="1"/>
  <c r="J59" i="40"/>
  <c r="H59" i="40" s="1"/>
  <c r="I59" i="40" s="1"/>
  <c r="V59" i="40" s="1"/>
  <c r="AA82" i="40"/>
  <c r="AB82" i="40" s="1"/>
  <c r="Z82" i="40"/>
  <c r="AJ90" i="40"/>
  <c r="Z92" i="40"/>
  <c r="AJ22" i="40" s="1"/>
  <c r="AA92" i="40"/>
  <c r="AB92" i="40" s="1"/>
  <c r="J161" i="40"/>
  <c r="H161" i="40" s="1"/>
  <c r="I161" i="40" s="1"/>
  <c r="V161" i="40" s="1"/>
  <c r="X182" i="40"/>
  <c r="AA182" i="40"/>
  <c r="AB182" i="40" s="1"/>
  <c r="X218" i="40"/>
  <c r="AA218" i="40"/>
  <c r="AB218" i="40" s="1"/>
  <c r="J233" i="40"/>
  <c r="H233" i="40" s="1"/>
  <c r="I233" i="40" s="1"/>
  <c r="V233" i="40" s="1"/>
  <c r="X254" i="40"/>
  <c r="AA254" i="40"/>
  <c r="AB254" i="40" s="1"/>
  <c r="J269" i="40"/>
  <c r="H269" i="40" s="1"/>
  <c r="I269" i="40" s="1"/>
  <c r="V269" i="40" s="1"/>
  <c r="J278" i="40"/>
  <c r="H278" i="40" s="1"/>
  <c r="I278" i="40" s="1"/>
  <c r="V278" i="40" s="1"/>
  <c r="X297" i="40"/>
  <c r="AA297" i="40"/>
  <c r="AB297" i="40" s="1"/>
  <c r="Z299" i="40"/>
  <c r="AJ45" i="40" s="1"/>
  <c r="AA299" i="40"/>
  <c r="AB299" i="40" s="1"/>
  <c r="J689" i="40"/>
  <c r="H689" i="40" s="1"/>
  <c r="I689" i="40" s="1"/>
  <c r="V689" i="40" s="1"/>
  <c r="J726" i="40"/>
  <c r="H726" i="40" s="1"/>
  <c r="I726" i="40" s="1"/>
  <c r="V726" i="40" s="1"/>
  <c r="AJ94" i="40"/>
  <c r="AJ93" i="40"/>
  <c r="AJ92" i="40"/>
  <c r="AJ91" i="40"/>
  <c r="AJ87" i="40"/>
  <c r="AJ80" i="40"/>
  <c r="AJ76" i="40"/>
  <c r="AJ75" i="40"/>
  <c r="AJ88" i="40"/>
  <c r="AJ86" i="40"/>
  <c r="AI83" i="40"/>
  <c r="AJ72" i="40"/>
  <c r="AJ66" i="40"/>
  <c r="AJ65" i="40"/>
  <c r="AJ64" i="40"/>
  <c r="AJ60" i="40"/>
  <c r="AJ54" i="40"/>
  <c r="AJ48" i="40"/>
  <c r="AJ35" i="40"/>
  <c r="AJ33" i="40"/>
  <c r="AJ15" i="40"/>
  <c r="AJ78" i="40"/>
  <c r="AJ59" i="40"/>
  <c r="AJ41" i="40"/>
  <c r="AJ70" i="40"/>
  <c r="AJ85" i="40"/>
  <c r="AI79" i="40"/>
  <c r="AJ77" i="40"/>
  <c r="AJ68" i="40"/>
  <c r="AI63" i="40"/>
  <c r="AI62" i="40"/>
  <c r="AJ61" i="40"/>
  <c r="AI58" i="40"/>
  <c r="AI56" i="40"/>
  <c r="AI55" i="40"/>
  <c r="AJ50" i="40"/>
  <c r="AI44" i="40"/>
  <c r="AJ32" i="40"/>
  <c r="AJ18" i="40"/>
  <c r="AG15" i="40"/>
  <c r="AJ46" i="40"/>
  <c r="AJ27" i="40"/>
  <c r="AJ23" i="40"/>
  <c r="AJ19" i="40"/>
  <c r="AJ17" i="40"/>
  <c r="AI65" i="40"/>
  <c r="J15" i="40"/>
  <c r="H15" i="40" s="1"/>
  <c r="I15" i="40" s="1"/>
  <c r="V15" i="40" s="1"/>
  <c r="J17" i="40"/>
  <c r="H17" i="40" s="1"/>
  <c r="I17" i="40" s="1"/>
  <c r="V17" i="40" s="1"/>
  <c r="AJ29" i="40"/>
  <c r="J32" i="40"/>
  <c r="H32" i="40" s="1"/>
  <c r="I32" i="40" s="1"/>
  <c r="AF16" i="40" s="1"/>
  <c r="T35" i="40"/>
  <c r="T42" i="40"/>
  <c r="T43" i="40"/>
  <c r="J50" i="40"/>
  <c r="H50" i="40" s="1"/>
  <c r="I50" i="40" s="1"/>
  <c r="Z76" i="40"/>
  <c r="AJ20" i="40" s="1"/>
  <c r="AA76" i="40"/>
  <c r="AB76" i="40" s="1"/>
  <c r="AA85" i="40"/>
  <c r="AB85" i="40" s="1"/>
  <c r="Z85" i="40"/>
  <c r="X90" i="40"/>
  <c r="AA90" i="40"/>
  <c r="AB90" i="40" s="1"/>
  <c r="AA94" i="40"/>
  <c r="AB94" i="40" s="1"/>
  <c r="X94" i="40"/>
  <c r="AI94" i="40"/>
  <c r="X103" i="40"/>
  <c r="AA103" i="40"/>
  <c r="AB103" i="40" s="1"/>
  <c r="J114" i="40"/>
  <c r="H114" i="40" s="1"/>
  <c r="I114" i="40" s="1"/>
  <c r="X139" i="40"/>
  <c r="AA139" i="40"/>
  <c r="AB139" i="40" s="1"/>
  <c r="J150" i="40"/>
  <c r="H150" i="40" s="1"/>
  <c r="I150" i="40" s="1"/>
  <c r="V150" i="40" s="1"/>
  <c r="Z166" i="40"/>
  <c r="AJ30" i="40" s="1"/>
  <c r="AA166" i="40"/>
  <c r="AB166" i="40" s="1"/>
  <c r="X175" i="40"/>
  <c r="AA175" i="40"/>
  <c r="AB175" i="40" s="1"/>
  <c r="J186" i="40"/>
  <c r="H186" i="40" s="1"/>
  <c r="I186" i="40" s="1"/>
  <c r="V186" i="40" s="1"/>
  <c r="X191" i="40"/>
  <c r="AA191" i="40"/>
  <c r="AB191" i="40" s="1"/>
  <c r="Z202" i="40"/>
  <c r="AJ34" i="40" s="1"/>
  <c r="AA202" i="40"/>
  <c r="AB202" i="40" s="1"/>
  <c r="X211" i="40"/>
  <c r="AI35" i="40" s="1"/>
  <c r="AA211" i="40"/>
  <c r="AB211" i="40" s="1"/>
  <c r="J222" i="40"/>
  <c r="H222" i="40" s="1"/>
  <c r="I222" i="40" s="1"/>
  <c r="X227" i="40"/>
  <c r="AA227" i="40"/>
  <c r="AB227" i="40" s="1"/>
  <c r="Z238" i="40"/>
  <c r="AJ38" i="40" s="1"/>
  <c r="AA238" i="40"/>
  <c r="AB238" i="40" s="1"/>
  <c r="X247" i="40"/>
  <c r="AI39" i="40" s="1"/>
  <c r="AA247" i="40"/>
  <c r="AB247" i="40" s="1"/>
  <c r="J258" i="40"/>
  <c r="H258" i="40" s="1"/>
  <c r="I258" i="40" s="1"/>
  <c r="V258" i="40" s="1"/>
  <c r="J14" i="40"/>
  <c r="H14" i="40" s="1"/>
  <c r="I14" i="40" s="1"/>
  <c r="V14" i="40" s="1"/>
  <c r="AJ16" i="40"/>
  <c r="AA19" i="40"/>
  <c r="AB19" i="40" s="1"/>
  <c r="AA30" i="40"/>
  <c r="AB30" i="40" s="1"/>
  <c r="J41" i="40"/>
  <c r="H41" i="40" s="1"/>
  <c r="I41" i="40" s="1"/>
  <c r="T50" i="40"/>
  <c r="T52" i="40"/>
  <c r="T59" i="40"/>
  <c r="J61" i="40"/>
  <c r="H61" i="40" s="1"/>
  <c r="I61" i="40" s="1"/>
  <c r="V61" i="40" s="1"/>
  <c r="AJ62" i="40"/>
  <c r="AJ63" i="40"/>
  <c r="J69" i="40"/>
  <c r="H69" i="40" s="1"/>
  <c r="I69" i="40" s="1"/>
  <c r="V69" i="40" s="1"/>
  <c r="J70" i="40"/>
  <c r="H70" i="40" s="1"/>
  <c r="I70" i="40" s="1"/>
  <c r="V70" i="40" s="1"/>
  <c r="AA74" i="40"/>
  <c r="AB74" i="40" s="1"/>
  <c r="X74" i="40"/>
  <c r="AI20" i="40" s="1"/>
  <c r="J77" i="40"/>
  <c r="H77" i="40" s="1"/>
  <c r="I77" i="40" s="1"/>
  <c r="V77" i="40" s="1"/>
  <c r="T78" i="40"/>
  <c r="J80" i="40"/>
  <c r="H80" i="40" s="1"/>
  <c r="I80" i="40" s="1"/>
  <c r="V80" i="40" s="1"/>
  <c r="T80" i="40"/>
  <c r="AA84" i="40"/>
  <c r="AB84" i="40" s="1"/>
  <c r="Z84" i="40"/>
  <c r="T86" i="40"/>
  <c r="T87" i="40"/>
  <c r="AJ89" i="40"/>
  <c r="T95" i="40"/>
  <c r="V95" i="40" s="1"/>
  <c r="T96" i="40"/>
  <c r="T97" i="40"/>
  <c r="T104" i="40"/>
  <c r="V105" i="40"/>
  <c r="V106" i="40"/>
  <c r="J107" i="40"/>
  <c r="H107" i="40" s="1"/>
  <c r="I107" i="40" s="1"/>
  <c r="J116" i="40"/>
  <c r="H116" i="40" s="1"/>
  <c r="I116" i="40" s="1"/>
  <c r="V116" i="40" s="1"/>
  <c r="J123" i="40"/>
  <c r="H123" i="40" s="1"/>
  <c r="I123" i="40" s="1"/>
  <c r="V123" i="40" s="1"/>
  <c r="AA128" i="40"/>
  <c r="AB128" i="40" s="1"/>
  <c r="X128" i="40"/>
  <c r="T131" i="40"/>
  <c r="T132" i="40"/>
  <c r="T133" i="40"/>
  <c r="V134" i="40"/>
  <c r="T140" i="40"/>
  <c r="V142" i="40"/>
  <c r="J143" i="40"/>
  <c r="H143" i="40" s="1"/>
  <c r="I143" i="40" s="1"/>
  <c r="V143" i="40" s="1"/>
  <c r="J152" i="40"/>
  <c r="H152" i="40" s="1"/>
  <c r="I152" i="40" s="1"/>
  <c r="V152" i="40" s="1"/>
  <c r="J159" i="40"/>
  <c r="H159" i="40" s="1"/>
  <c r="I159" i="40" s="1"/>
  <c r="V159" i="40" s="1"/>
  <c r="X164" i="40"/>
  <c r="AI30" i="40" s="1"/>
  <c r="AA164" i="40"/>
  <c r="AB164" i="40" s="1"/>
  <c r="T167" i="40"/>
  <c r="T168" i="40"/>
  <c r="T169" i="40"/>
  <c r="V170" i="40"/>
  <c r="T176" i="40"/>
  <c r="V177" i="40"/>
  <c r="V178" i="40"/>
  <c r="J179" i="40"/>
  <c r="H179" i="40" s="1"/>
  <c r="I179" i="40" s="1"/>
  <c r="V179" i="40" s="1"/>
  <c r="J188" i="40"/>
  <c r="H188" i="40" s="1"/>
  <c r="I188" i="40" s="1"/>
  <c r="V188" i="40" s="1"/>
  <c r="J195" i="40"/>
  <c r="H195" i="40" s="1"/>
  <c r="I195" i="40" s="1"/>
  <c r="V195" i="40" s="1"/>
  <c r="X200" i="40"/>
  <c r="AA200" i="40"/>
  <c r="AB200" i="40" s="1"/>
  <c r="T203" i="40"/>
  <c r="T204" i="40"/>
  <c r="T205" i="40"/>
  <c r="T212" i="40"/>
  <c r="V214" i="40"/>
  <c r="J215" i="40"/>
  <c r="H215" i="40" s="1"/>
  <c r="I215" i="40" s="1"/>
  <c r="J224" i="40"/>
  <c r="H224" i="40" s="1"/>
  <c r="I224" i="40" s="1"/>
  <c r="V224" i="40" s="1"/>
  <c r="J231" i="40"/>
  <c r="H231" i="40" s="1"/>
  <c r="I231" i="40" s="1"/>
  <c r="V231" i="40" s="1"/>
  <c r="X236" i="40"/>
  <c r="AI38" i="40" s="1"/>
  <c r="AA236" i="40"/>
  <c r="AB236" i="40" s="1"/>
  <c r="T239" i="40"/>
  <c r="T240" i="40"/>
  <c r="T241" i="40"/>
  <c r="V241" i="40" s="1"/>
  <c r="V242" i="40"/>
  <c r="T248" i="40"/>
  <c r="V250" i="40"/>
  <c r="J251" i="40"/>
  <c r="H251" i="40" s="1"/>
  <c r="I251" i="40" s="1"/>
  <c r="V251" i="40" s="1"/>
  <c r="J260" i="40"/>
  <c r="H260" i="40" s="1"/>
  <c r="I260" i="40" s="1"/>
  <c r="J267" i="40"/>
  <c r="H267" i="40" s="1"/>
  <c r="I267" i="40" s="1"/>
  <c r="V267" i="40" s="1"/>
  <c r="J284" i="40"/>
  <c r="H284" i="40" s="1"/>
  <c r="I284" i="40" s="1"/>
  <c r="V284" i="40" s="1"/>
  <c r="J286" i="40"/>
  <c r="H286" i="40" s="1"/>
  <c r="I286" i="40" s="1"/>
  <c r="V286" i="40" s="1"/>
  <c r="T304" i="40"/>
  <c r="X325" i="40"/>
  <c r="AA325" i="40"/>
  <c r="AB325" i="40" s="1"/>
  <c r="J329" i="40"/>
  <c r="H329" i="40" s="1"/>
  <c r="I329" i="40" s="1"/>
  <c r="V348" i="40"/>
  <c r="V366" i="40"/>
  <c r="J374" i="40"/>
  <c r="H374" i="40" s="1"/>
  <c r="I374" i="40" s="1"/>
  <c r="AA37" i="40"/>
  <c r="AB37" i="40" s="1"/>
  <c r="AA39" i="40"/>
  <c r="AB39" i="40" s="1"/>
  <c r="AA40" i="40"/>
  <c r="AB40" i="40" s="1"/>
  <c r="AA45" i="40"/>
  <c r="AB45" i="40" s="1"/>
  <c r="AA58" i="40"/>
  <c r="AB58" i="40" s="1"/>
  <c r="AA63" i="40"/>
  <c r="AB63" i="40" s="1"/>
  <c r="X38" i="40"/>
  <c r="AI16" i="40" s="1"/>
  <c r="X55" i="40"/>
  <c r="X56" i="40"/>
  <c r="X57" i="40"/>
  <c r="X22" i="40"/>
  <c r="AI14" i="40" s="1"/>
  <c r="V79" i="40"/>
  <c r="AA273" i="40"/>
  <c r="AB273" i="40" s="1"/>
  <c r="J276" i="40"/>
  <c r="H276" i="40" s="1"/>
  <c r="I276" i="40" s="1"/>
  <c r="V276" i="40" s="1"/>
  <c r="AA279" i="40"/>
  <c r="AB279" i="40" s="1"/>
  <c r="AA280" i="40"/>
  <c r="AB280" i="40" s="1"/>
  <c r="J285" i="40"/>
  <c r="H285" i="40" s="1"/>
  <c r="I285" i="40" s="1"/>
  <c r="V285" i="40" s="1"/>
  <c r="J287" i="40"/>
  <c r="H287" i="40" s="1"/>
  <c r="I287" i="40" s="1"/>
  <c r="V287" i="40" s="1"/>
  <c r="AA289" i="40"/>
  <c r="AB289" i="40" s="1"/>
  <c r="V293" i="40"/>
  <c r="J296" i="40"/>
  <c r="H296" i="40" s="1"/>
  <c r="I296" i="40" s="1"/>
  <c r="V296" i="40" s="1"/>
  <c r="X301" i="40"/>
  <c r="X309" i="40"/>
  <c r="AA309" i="40"/>
  <c r="AB309" i="40" s="1"/>
  <c r="J312" i="40"/>
  <c r="H312" i="40" s="1"/>
  <c r="I312" i="40" s="1"/>
  <c r="V312" i="40" s="1"/>
  <c r="V320" i="40"/>
  <c r="J321" i="40"/>
  <c r="H321" i="40" s="1"/>
  <c r="I321" i="40" s="1"/>
  <c r="T330" i="40"/>
  <c r="X333" i="40"/>
  <c r="AA333" i="40"/>
  <c r="AB333" i="40" s="1"/>
  <c r="Z335" i="40"/>
  <c r="AJ49" i="40" s="1"/>
  <c r="AA335" i="40"/>
  <c r="AB335" i="40" s="1"/>
  <c r="X337" i="40"/>
  <c r="AA337" i="40"/>
  <c r="AB337" i="40" s="1"/>
  <c r="T341" i="40"/>
  <c r="V356" i="40"/>
  <c r="J357" i="40"/>
  <c r="H357" i="40" s="1"/>
  <c r="I357" i="40" s="1"/>
  <c r="J368" i="40"/>
  <c r="H368" i="40" s="1"/>
  <c r="I368" i="40" s="1"/>
  <c r="AF53" i="40" s="1"/>
  <c r="V383" i="40"/>
  <c r="J386" i="40"/>
  <c r="H386" i="40" s="1"/>
  <c r="I386" i="40" s="1"/>
  <c r="V386" i="40" s="1"/>
  <c r="J476" i="40"/>
  <c r="H476" i="40" s="1"/>
  <c r="I476" i="40" s="1"/>
  <c r="V476" i="40" s="1"/>
  <c r="T276" i="40"/>
  <c r="T287" i="40"/>
  <c r="V302" i="40"/>
  <c r="J303" i="40"/>
  <c r="H303" i="40" s="1"/>
  <c r="I303" i="40" s="1"/>
  <c r="X307" i="40"/>
  <c r="AA307" i="40"/>
  <c r="AB307" i="40" s="1"/>
  <c r="V311" i="40"/>
  <c r="T312" i="40"/>
  <c r="X315" i="40"/>
  <c r="AA315" i="40"/>
  <c r="AB315" i="40" s="1"/>
  <c r="Z317" i="40"/>
  <c r="AJ47" i="40" s="1"/>
  <c r="AA317" i="40"/>
  <c r="AB317" i="40" s="1"/>
  <c r="X319" i="40"/>
  <c r="AA319" i="40"/>
  <c r="AB319" i="40" s="1"/>
  <c r="T323" i="40"/>
  <c r="V338" i="40"/>
  <c r="J339" i="40"/>
  <c r="H339" i="40" s="1"/>
  <c r="I339" i="40" s="1"/>
  <c r="V339" i="40" s="1"/>
  <c r="T348" i="40"/>
  <c r="AG51" i="40" s="1"/>
  <c r="X351" i="40"/>
  <c r="AA351" i="40"/>
  <c r="AB351" i="40" s="1"/>
  <c r="Z353" i="40"/>
  <c r="AJ51" i="40" s="1"/>
  <c r="AA353" i="40"/>
  <c r="AB353" i="40" s="1"/>
  <c r="X355" i="40"/>
  <c r="AA355" i="40"/>
  <c r="AB355" i="40" s="1"/>
  <c r="T359" i="40"/>
  <c r="V359" i="40" s="1"/>
  <c r="X363" i="40"/>
  <c r="AA363" i="40"/>
  <c r="AB363" i="40" s="1"/>
  <c r="T366" i="40"/>
  <c r="J375" i="40"/>
  <c r="H375" i="40" s="1"/>
  <c r="I375" i="40" s="1"/>
  <c r="V375" i="40" s="1"/>
  <c r="V377" i="40"/>
  <c r="J449" i="40"/>
  <c r="H449" i="40" s="1"/>
  <c r="I449" i="40" s="1"/>
  <c r="V449" i="40" s="1"/>
  <c r="X506" i="40"/>
  <c r="AA506" i="40"/>
  <c r="AB506" i="40" s="1"/>
  <c r="AA73" i="40"/>
  <c r="AB73" i="40" s="1"/>
  <c r="AA93" i="40"/>
  <c r="AB93" i="40" s="1"/>
  <c r="AA111" i="40"/>
  <c r="AB111" i="40" s="1"/>
  <c r="AA129" i="40"/>
  <c r="AB129" i="40" s="1"/>
  <c r="AA147" i="40"/>
  <c r="AB147" i="40" s="1"/>
  <c r="AA165" i="40"/>
  <c r="AB165" i="40" s="1"/>
  <c r="AA183" i="40"/>
  <c r="AB183" i="40" s="1"/>
  <c r="AA201" i="40"/>
  <c r="AB201" i="40" s="1"/>
  <c r="AA219" i="40"/>
  <c r="AB219" i="40" s="1"/>
  <c r="AA237" i="40"/>
  <c r="AB237" i="40" s="1"/>
  <c r="AA255" i="40"/>
  <c r="AB255" i="40" s="1"/>
  <c r="V277" i="40"/>
  <c r="J294" i="40"/>
  <c r="H294" i="40" s="1"/>
  <c r="I294" i="40" s="1"/>
  <c r="V294" i="40" s="1"/>
  <c r="V304" i="40"/>
  <c r="T305" i="40"/>
  <c r="AA306" i="40"/>
  <c r="AB306" i="40" s="1"/>
  <c r="V313" i="40"/>
  <c r="J314" i="40"/>
  <c r="H314" i="40" s="1"/>
  <c r="I314" i="40" s="1"/>
  <c r="V322" i="40"/>
  <c r="X327" i="40"/>
  <c r="AA327" i="40"/>
  <c r="AB327" i="40" s="1"/>
  <c r="J330" i="40"/>
  <c r="H330" i="40" s="1"/>
  <c r="I330" i="40" s="1"/>
  <c r="V330" i="40" s="1"/>
  <c r="J341" i="40"/>
  <c r="H341" i="40" s="1"/>
  <c r="I341" i="40" s="1"/>
  <c r="V341" i="40" s="1"/>
  <c r="X343" i="40"/>
  <c r="AA343" i="40"/>
  <c r="AB343" i="40" s="1"/>
  <c r="AK50" i="40" s="1"/>
  <c r="V347" i="40"/>
  <c r="V349" i="40"/>
  <c r="J350" i="40"/>
  <c r="H350" i="40" s="1"/>
  <c r="I350" i="40" s="1"/>
  <c r="V350" i="40" s="1"/>
  <c r="V365" i="40"/>
  <c r="X369" i="40"/>
  <c r="AA369" i="40"/>
  <c r="AB369" i="40" s="1"/>
  <c r="Z371" i="40"/>
  <c r="AJ53" i="40" s="1"/>
  <c r="AA371" i="40"/>
  <c r="AB371" i="40" s="1"/>
  <c r="X373" i="40"/>
  <c r="AA373" i="40"/>
  <c r="AB373" i="40" s="1"/>
  <c r="J404" i="40"/>
  <c r="H404" i="40" s="1"/>
  <c r="I404" i="40" s="1"/>
  <c r="V404" i="40" s="1"/>
  <c r="J413" i="40"/>
  <c r="H413" i="40" s="1"/>
  <c r="I413" i="40" s="1"/>
  <c r="V413" i="40" s="1"/>
  <c r="J419" i="40"/>
  <c r="H419" i="40" s="1"/>
  <c r="I419" i="40" s="1"/>
  <c r="V419" i="40" s="1"/>
  <c r="X490" i="40"/>
  <c r="AA490" i="40"/>
  <c r="AB490" i="40" s="1"/>
  <c r="T377" i="40"/>
  <c r="AA381" i="40"/>
  <c r="AB381" i="40" s="1"/>
  <c r="J395" i="40"/>
  <c r="H395" i="40" s="1"/>
  <c r="I395" i="40" s="1"/>
  <c r="X407" i="40"/>
  <c r="AA407" i="40"/>
  <c r="AB407" i="40" s="1"/>
  <c r="X442" i="40"/>
  <c r="AA442" i="40"/>
  <c r="AB442" i="40" s="1"/>
  <c r="J447" i="40"/>
  <c r="H447" i="40" s="1"/>
  <c r="I447" i="40" s="1"/>
  <c r="V447" i="40" s="1"/>
  <c r="J501" i="40"/>
  <c r="H501" i="40" s="1"/>
  <c r="I501" i="40" s="1"/>
  <c r="X526" i="40"/>
  <c r="AA526" i="40"/>
  <c r="AB526" i="40" s="1"/>
  <c r="V527" i="40"/>
  <c r="X542" i="40"/>
  <c r="AA542" i="40"/>
  <c r="AB542" i="40" s="1"/>
  <c r="Z561" i="40"/>
  <c r="AA561" i="40"/>
  <c r="AB561" i="40" s="1"/>
  <c r="J385" i="40"/>
  <c r="H385" i="40" s="1"/>
  <c r="I385" i="40" s="1"/>
  <c r="V385" i="40" s="1"/>
  <c r="J394" i="40"/>
  <c r="H394" i="40" s="1"/>
  <c r="I394" i="40" s="1"/>
  <c r="V394" i="40" s="1"/>
  <c r="J402" i="40"/>
  <c r="H402" i="40" s="1"/>
  <c r="I402" i="40" s="1"/>
  <c r="X409" i="40"/>
  <c r="AA409" i="40"/>
  <c r="AB409" i="40" s="1"/>
  <c r="J411" i="40"/>
  <c r="H411" i="40" s="1"/>
  <c r="I411" i="40" s="1"/>
  <c r="V411" i="40" s="1"/>
  <c r="X427" i="40"/>
  <c r="AA427" i="40"/>
  <c r="AB427" i="40" s="1"/>
  <c r="J429" i="40"/>
  <c r="H429" i="40" s="1"/>
  <c r="I429" i="40" s="1"/>
  <c r="V429" i="40" s="1"/>
  <c r="T440" i="40"/>
  <c r="J446" i="40"/>
  <c r="H446" i="40" s="1"/>
  <c r="I446" i="40" s="1"/>
  <c r="V446" i="40" s="1"/>
  <c r="J456" i="40"/>
  <c r="H456" i="40" s="1"/>
  <c r="I456" i="40" s="1"/>
  <c r="J547" i="40"/>
  <c r="H547" i="40" s="1"/>
  <c r="I547" i="40" s="1"/>
  <c r="Z553" i="40"/>
  <c r="AJ73" i="40" s="1"/>
  <c r="AA553" i="40"/>
  <c r="AB553" i="40" s="1"/>
  <c r="T383" i="40"/>
  <c r="J384" i="40"/>
  <c r="H384" i="40" s="1"/>
  <c r="I384" i="40" s="1"/>
  <c r="V384" i="40" s="1"/>
  <c r="T392" i="40"/>
  <c r="V401" i="40"/>
  <c r="J403" i="40"/>
  <c r="H403" i="40" s="1"/>
  <c r="I403" i="40" s="1"/>
  <c r="V403" i="40" s="1"/>
  <c r="J420" i="40"/>
  <c r="H420" i="40" s="1"/>
  <c r="I420" i="40" s="1"/>
  <c r="V420" i="40" s="1"/>
  <c r="X425" i="40"/>
  <c r="AA425" i="40"/>
  <c r="AB425" i="40" s="1"/>
  <c r="J438" i="40"/>
  <c r="H438" i="40" s="1"/>
  <c r="I438" i="40" s="1"/>
  <c r="V438" i="40" s="1"/>
  <c r="V440" i="40"/>
  <c r="X444" i="40"/>
  <c r="AA444" i="40"/>
  <c r="AB444" i="40" s="1"/>
  <c r="T447" i="40"/>
  <c r="J448" i="40"/>
  <c r="H448" i="40" s="1"/>
  <c r="I448" i="40" s="1"/>
  <c r="V448" i="40" s="1"/>
  <c r="T449" i="40"/>
  <c r="V484" i="40"/>
  <c r="J511" i="40"/>
  <c r="H511" i="40" s="1"/>
  <c r="I511" i="40" s="1"/>
  <c r="Z517" i="40"/>
  <c r="AJ69" i="40" s="1"/>
  <c r="AA517" i="40"/>
  <c r="AB517" i="40" s="1"/>
  <c r="J537" i="40"/>
  <c r="H537" i="40" s="1"/>
  <c r="I537" i="40" s="1"/>
  <c r="V537" i="40" s="1"/>
  <c r="AA382" i="40"/>
  <c r="AB382" i="40" s="1"/>
  <c r="AA398" i="40"/>
  <c r="AB398" i="40" s="1"/>
  <c r="AA400" i="40"/>
  <c r="AB400" i="40" s="1"/>
  <c r="T412" i="40"/>
  <c r="T430" i="40"/>
  <c r="AA452" i="40"/>
  <c r="AB452" i="40" s="1"/>
  <c r="AA454" i="40"/>
  <c r="AB454" i="40" s="1"/>
  <c r="AA459" i="40"/>
  <c r="AB459" i="40" s="1"/>
  <c r="J464" i="40"/>
  <c r="H464" i="40" s="1"/>
  <c r="I464" i="40" s="1"/>
  <c r="V464" i="40" s="1"/>
  <c r="T466" i="40"/>
  <c r="T473" i="40"/>
  <c r="T475" i="40"/>
  <c r="T476" i="40"/>
  <c r="J482" i="40"/>
  <c r="H482" i="40" s="1"/>
  <c r="I482" i="40" s="1"/>
  <c r="X497" i="40"/>
  <c r="AA497" i="40"/>
  <c r="AB497" i="40" s="1"/>
  <c r="T500" i="40"/>
  <c r="T501" i="40"/>
  <c r="T502" i="40"/>
  <c r="T509" i="40"/>
  <c r="J512" i="40"/>
  <c r="H512" i="40" s="1"/>
  <c r="I512" i="40" s="1"/>
  <c r="V512" i="40" s="1"/>
  <c r="X533" i="40"/>
  <c r="AI71" i="40" s="1"/>
  <c r="AA533" i="40"/>
  <c r="AB533" i="40" s="1"/>
  <c r="T536" i="40"/>
  <c r="T537" i="40"/>
  <c r="T538" i="40"/>
  <c r="V539" i="40"/>
  <c r="T545" i="40"/>
  <c r="J548" i="40"/>
  <c r="H548" i="40" s="1"/>
  <c r="I548" i="40" s="1"/>
  <c r="V548" i="40" s="1"/>
  <c r="X562" i="40"/>
  <c r="AI74" i="40" s="1"/>
  <c r="AA562" i="40"/>
  <c r="AB562" i="40" s="1"/>
  <c r="J592" i="40"/>
  <c r="H592" i="40" s="1"/>
  <c r="I592" i="40" s="1"/>
  <c r="V592" i="40" s="1"/>
  <c r="J602" i="40"/>
  <c r="H602" i="40" s="1"/>
  <c r="I602" i="40" s="1"/>
  <c r="J392" i="40"/>
  <c r="H392" i="40" s="1"/>
  <c r="I392" i="40" s="1"/>
  <c r="V392" i="40" s="1"/>
  <c r="AA406" i="40"/>
  <c r="AB406" i="40" s="1"/>
  <c r="AA408" i="40"/>
  <c r="AB408" i="40" s="1"/>
  <c r="T419" i="40"/>
  <c r="J421" i="40"/>
  <c r="H421" i="40" s="1"/>
  <c r="I421" i="40" s="1"/>
  <c r="V421" i="40" s="1"/>
  <c r="T437" i="40"/>
  <c r="J439" i="40"/>
  <c r="H439" i="40" s="1"/>
  <c r="I439" i="40" s="1"/>
  <c r="V439" i="40" s="1"/>
  <c r="T448" i="40"/>
  <c r="T455" i="40"/>
  <c r="V465" i="40"/>
  <c r="J466" i="40"/>
  <c r="H466" i="40" s="1"/>
  <c r="I466" i="40" s="1"/>
  <c r="V466" i="40" s="1"/>
  <c r="J473" i="40"/>
  <c r="H473" i="40" s="1"/>
  <c r="I473" i="40" s="1"/>
  <c r="V473" i="40" s="1"/>
  <c r="V492" i="40"/>
  <c r="J494" i="40"/>
  <c r="H494" i="40" s="1"/>
  <c r="I494" i="40" s="1"/>
  <c r="V494" i="40" s="1"/>
  <c r="X515" i="40"/>
  <c r="AA515" i="40"/>
  <c r="AB515" i="40" s="1"/>
  <c r="V521" i="40"/>
  <c r="J530" i="40"/>
  <c r="H530" i="40" s="1"/>
  <c r="I530" i="40" s="1"/>
  <c r="V530" i="40" s="1"/>
  <c r="X551" i="40"/>
  <c r="AA551" i="40"/>
  <c r="AB551" i="40" s="1"/>
  <c r="T555" i="40"/>
  <c r="J557" i="40"/>
  <c r="H557" i="40" s="1"/>
  <c r="I557" i="40" s="1"/>
  <c r="V557" i="40" s="1"/>
  <c r="T394" i="40"/>
  <c r="T404" i="40"/>
  <c r="AA405" i="40"/>
  <c r="AB405" i="40" s="1"/>
  <c r="J410" i="40"/>
  <c r="H410" i="40" s="1"/>
  <c r="I410" i="40" s="1"/>
  <c r="AA415" i="40"/>
  <c r="AB415" i="40" s="1"/>
  <c r="AA417" i="40"/>
  <c r="AB417" i="40" s="1"/>
  <c r="AA423" i="40"/>
  <c r="AB423" i="40" s="1"/>
  <c r="J428" i="40"/>
  <c r="H428" i="40" s="1"/>
  <c r="I428" i="40" s="1"/>
  <c r="V428" i="40" s="1"/>
  <c r="AA433" i="40"/>
  <c r="AB433" i="40" s="1"/>
  <c r="AA435" i="40"/>
  <c r="AB435" i="40" s="1"/>
  <c r="J467" i="40"/>
  <c r="H467" i="40" s="1"/>
  <c r="I467" i="40" s="1"/>
  <c r="V467" i="40" s="1"/>
  <c r="J474" i="40"/>
  <c r="H474" i="40" s="1"/>
  <c r="I474" i="40" s="1"/>
  <c r="V474" i="40" s="1"/>
  <c r="J475" i="40"/>
  <c r="H475" i="40" s="1"/>
  <c r="I475" i="40" s="1"/>
  <c r="V475" i="40" s="1"/>
  <c r="X488" i="40"/>
  <c r="AA488" i="40"/>
  <c r="AB488" i="40" s="1"/>
  <c r="Z499" i="40"/>
  <c r="AJ67" i="40" s="1"/>
  <c r="AA499" i="40"/>
  <c r="AB499" i="40" s="1"/>
  <c r="J502" i="40"/>
  <c r="H502" i="40" s="1"/>
  <c r="I502" i="40" s="1"/>
  <c r="X508" i="40"/>
  <c r="AA508" i="40"/>
  <c r="AB508" i="40" s="1"/>
  <c r="J509" i="40"/>
  <c r="H509" i="40" s="1"/>
  <c r="I509" i="40" s="1"/>
  <c r="V509" i="40" s="1"/>
  <c r="T511" i="40"/>
  <c r="J519" i="40"/>
  <c r="H519" i="40" s="1"/>
  <c r="I519" i="40" s="1"/>
  <c r="V519" i="40" s="1"/>
  <c r="X524" i="40"/>
  <c r="AA524" i="40"/>
  <c r="AB524" i="40" s="1"/>
  <c r="Z535" i="40"/>
  <c r="AJ71" i="40" s="1"/>
  <c r="AA535" i="40"/>
  <c r="AB535" i="40" s="1"/>
  <c r="J538" i="40"/>
  <c r="H538" i="40" s="1"/>
  <c r="I538" i="40" s="1"/>
  <c r="V538" i="40" s="1"/>
  <c r="X544" i="40"/>
  <c r="AA544" i="40"/>
  <c r="AB544" i="40" s="1"/>
  <c r="J545" i="40"/>
  <c r="H545" i="40" s="1"/>
  <c r="I545" i="40" s="1"/>
  <c r="T547" i="40"/>
  <c r="J555" i="40"/>
  <c r="H555" i="40" s="1"/>
  <c r="I555" i="40" s="1"/>
  <c r="V555" i="40" s="1"/>
  <c r="Z558" i="40"/>
  <c r="AA558" i="40"/>
  <c r="AB558" i="40" s="1"/>
  <c r="T557" i="40"/>
  <c r="AA559" i="40"/>
  <c r="AB559" i="40" s="1"/>
  <c r="T563" i="40"/>
  <c r="T564" i="40"/>
  <c r="V565" i="40"/>
  <c r="V575" i="40"/>
  <c r="J582" i="40"/>
  <c r="H582" i="40" s="1"/>
  <c r="I582" i="40" s="1"/>
  <c r="T582" i="40"/>
  <c r="J583" i="40"/>
  <c r="H583" i="40" s="1"/>
  <c r="I583" i="40" s="1"/>
  <c r="V583" i="40" s="1"/>
  <c r="T584" i="40"/>
  <c r="J590" i="40"/>
  <c r="H590" i="40" s="1"/>
  <c r="I590" i="40" s="1"/>
  <c r="V590" i="40" s="1"/>
  <c r="T590" i="40"/>
  <c r="T592" i="40"/>
  <c r="J593" i="40"/>
  <c r="H593" i="40" s="1"/>
  <c r="I593" i="40" s="1"/>
  <c r="V593" i="40" s="1"/>
  <c r="V608" i="40"/>
  <c r="T609" i="40"/>
  <c r="V609" i="40" s="1"/>
  <c r="X613" i="40"/>
  <c r="AA613" i="40"/>
  <c r="AB613" i="40" s="1"/>
  <c r="J618" i="40"/>
  <c r="H618" i="40" s="1"/>
  <c r="I618" i="40" s="1"/>
  <c r="V618" i="40" s="1"/>
  <c r="X661" i="40"/>
  <c r="AA661" i="40"/>
  <c r="AB661" i="40" s="1"/>
  <c r="AA460" i="40"/>
  <c r="AB460" i="40" s="1"/>
  <c r="AA461" i="40"/>
  <c r="AB461" i="40" s="1"/>
  <c r="AA462" i="40"/>
  <c r="AB462" i="40" s="1"/>
  <c r="AA463" i="40"/>
  <c r="AB463" i="40" s="1"/>
  <c r="AA468" i="40"/>
  <c r="AB468" i="40" s="1"/>
  <c r="AA478" i="40"/>
  <c r="AB478" i="40" s="1"/>
  <c r="AA479" i="40"/>
  <c r="AB479" i="40" s="1"/>
  <c r="AA480" i="40"/>
  <c r="AB480" i="40" s="1"/>
  <c r="AA481" i="40"/>
  <c r="AB481" i="40" s="1"/>
  <c r="V563" i="40"/>
  <c r="J581" i="40"/>
  <c r="H581" i="40" s="1"/>
  <c r="I581" i="40" s="1"/>
  <c r="V581" i="40" s="1"/>
  <c r="J584" i="40"/>
  <c r="H584" i="40" s="1"/>
  <c r="I584" i="40" s="1"/>
  <c r="J653" i="40"/>
  <c r="H653" i="40" s="1"/>
  <c r="I653" i="40" s="1"/>
  <c r="V653" i="40" s="1"/>
  <c r="AA498" i="40"/>
  <c r="AB498" i="40" s="1"/>
  <c r="AA516" i="40"/>
  <c r="AB516" i="40" s="1"/>
  <c r="AA534" i="40"/>
  <c r="AB534" i="40" s="1"/>
  <c r="AA552" i="40"/>
  <c r="AB552" i="40" s="1"/>
  <c r="J572" i="40"/>
  <c r="H572" i="40" s="1"/>
  <c r="I572" i="40" s="1"/>
  <c r="V572" i="40" s="1"/>
  <c r="V573" i="40"/>
  <c r="J591" i="40"/>
  <c r="H591" i="40" s="1"/>
  <c r="I591" i="40" s="1"/>
  <c r="V591" i="40" s="1"/>
  <c r="T593" i="40"/>
  <c r="Z607" i="40"/>
  <c r="AJ79" i="40" s="1"/>
  <c r="AA607" i="40"/>
  <c r="AB607" i="40" s="1"/>
  <c r="J611" i="40"/>
  <c r="H611" i="40" s="1"/>
  <c r="I611" i="40" s="1"/>
  <c r="V611" i="40" s="1"/>
  <c r="J628" i="40"/>
  <c r="H628" i="40" s="1"/>
  <c r="I628" i="40" s="1"/>
  <c r="V628" i="40" s="1"/>
  <c r="Z639" i="40"/>
  <c r="AA639" i="40"/>
  <c r="AB639" i="40" s="1"/>
  <c r="AA570" i="40"/>
  <c r="AB570" i="40" s="1"/>
  <c r="X577" i="40"/>
  <c r="X578" i="40"/>
  <c r="X579" i="40"/>
  <c r="X580" i="40"/>
  <c r="X585" i="40"/>
  <c r="AI77" i="40" s="1"/>
  <c r="AA587" i="40"/>
  <c r="AB587" i="40" s="1"/>
  <c r="AA604" i="40"/>
  <c r="AB604" i="40" s="1"/>
  <c r="X614" i="40"/>
  <c r="T619" i="40"/>
  <c r="J620" i="40"/>
  <c r="H620" i="40" s="1"/>
  <c r="I620" i="40" s="1"/>
  <c r="T620" i="40"/>
  <c r="V626" i="40"/>
  <c r="Z631" i="40"/>
  <c r="AA631" i="40"/>
  <c r="AB631" i="40" s="1"/>
  <c r="X633" i="40"/>
  <c r="AA633" i="40"/>
  <c r="AB633" i="40" s="1"/>
  <c r="J636" i="40"/>
  <c r="H636" i="40" s="1"/>
  <c r="I636" i="40" s="1"/>
  <c r="V636" i="40" s="1"/>
  <c r="J646" i="40"/>
  <c r="H646" i="40" s="1"/>
  <c r="I646" i="40" s="1"/>
  <c r="V646" i="40" s="1"/>
  <c r="T646" i="40"/>
  <c r="J673" i="40"/>
  <c r="H673" i="40" s="1"/>
  <c r="I673" i="40" s="1"/>
  <c r="V673" i="40" s="1"/>
  <c r="J683" i="40"/>
  <c r="H683" i="40" s="1"/>
  <c r="I683" i="40" s="1"/>
  <c r="V683" i="40" s="1"/>
  <c r="AA595" i="40"/>
  <c r="AB595" i="40" s="1"/>
  <c r="AA596" i="40"/>
  <c r="AB596" i="40" s="1"/>
  <c r="AA597" i="40"/>
  <c r="AB597" i="40" s="1"/>
  <c r="J610" i="40"/>
  <c r="H610" i="40" s="1"/>
  <c r="I610" i="40" s="1"/>
  <c r="V610" i="40" s="1"/>
  <c r="J617" i="40"/>
  <c r="H617" i="40" s="1"/>
  <c r="I617" i="40" s="1"/>
  <c r="J619" i="40"/>
  <c r="H619" i="40" s="1"/>
  <c r="I619" i="40" s="1"/>
  <c r="AA622" i="40"/>
  <c r="AB622" i="40" s="1"/>
  <c r="Z622" i="40"/>
  <c r="T626" i="40"/>
  <c r="J627" i="40"/>
  <c r="H627" i="40" s="1"/>
  <c r="I627" i="40" s="1"/>
  <c r="V627" i="40" s="1"/>
  <c r="T627" i="40"/>
  <c r="J635" i="40"/>
  <c r="H635" i="40" s="1"/>
  <c r="I635" i="40" s="1"/>
  <c r="V635" i="40" s="1"/>
  <c r="T635" i="40"/>
  <c r="T637" i="40"/>
  <c r="AA640" i="40"/>
  <c r="AB640" i="40" s="1"/>
  <c r="Z640" i="40"/>
  <c r="J647" i="40"/>
  <c r="H647" i="40" s="1"/>
  <c r="I647" i="40" s="1"/>
  <c r="V647" i="40" s="1"/>
  <c r="AA648" i="40"/>
  <c r="AB648" i="40" s="1"/>
  <c r="Z648" i="40"/>
  <c r="J664" i="40"/>
  <c r="H664" i="40" s="1"/>
  <c r="I664" i="40" s="1"/>
  <c r="V664" i="40" s="1"/>
  <c r="X677" i="40"/>
  <c r="AI87" i="40" s="1"/>
  <c r="AA677" i="40"/>
  <c r="AB677" i="40" s="1"/>
  <c r="AA571" i="40"/>
  <c r="AB571" i="40" s="1"/>
  <c r="T572" i="40"/>
  <c r="J574" i="40"/>
  <c r="H574" i="40" s="1"/>
  <c r="I574" i="40" s="1"/>
  <c r="V574" i="40" s="1"/>
  <c r="AA588" i="40"/>
  <c r="AB588" i="40" s="1"/>
  <c r="J599" i="40"/>
  <c r="H599" i="40" s="1"/>
  <c r="I599" i="40" s="1"/>
  <c r="V599" i="40" s="1"/>
  <c r="T601" i="40"/>
  <c r="V601" i="40" s="1"/>
  <c r="AA605" i="40"/>
  <c r="AB605" i="40" s="1"/>
  <c r="T608" i="40"/>
  <c r="AA624" i="40"/>
  <c r="AB624" i="40" s="1"/>
  <c r="Z624" i="40"/>
  <c r="J629" i="40"/>
  <c r="H629" i="40" s="1"/>
  <c r="I629" i="40" s="1"/>
  <c r="V629" i="40" s="1"/>
  <c r="AA630" i="40"/>
  <c r="AB630" i="40" s="1"/>
  <c r="Z630" i="40"/>
  <c r="T636" i="40"/>
  <c r="AA642" i="40"/>
  <c r="AB642" i="40" s="1"/>
  <c r="Z642" i="40"/>
  <c r="Z649" i="40"/>
  <c r="AA649" i="40"/>
  <c r="AB649" i="40" s="1"/>
  <c r="X651" i="40"/>
  <c r="AI84" i="40" s="1"/>
  <c r="AA651" i="40"/>
  <c r="AB651" i="40" s="1"/>
  <c r="J654" i="40"/>
  <c r="H654" i="40" s="1"/>
  <c r="I654" i="40" s="1"/>
  <c r="J662" i="40"/>
  <c r="H662" i="40" s="1"/>
  <c r="I662" i="40" s="1"/>
  <c r="X621" i="40"/>
  <c r="V638" i="40"/>
  <c r="V645" i="40"/>
  <c r="J655" i="40"/>
  <c r="H655" i="40" s="1"/>
  <c r="I655" i="40" s="1"/>
  <c r="V655" i="40" s="1"/>
  <c r="T663" i="40"/>
  <c r="X684" i="40"/>
  <c r="AA684" i="40"/>
  <c r="AB684" i="40" s="1"/>
  <c r="T717" i="40"/>
  <c r="J718" i="40"/>
  <c r="H718" i="40" s="1"/>
  <c r="I718" i="40" s="1"/>
  <c r="V718" i="40" s="1"/>
  <c r="J663" i="40"/>
  <c r="H663" i="40" s="1"/>
  <c r="I663" i="40" s="1"/>
  <c r="V663" i="40" s="1"/>
  <c r="T665" i="40"/>
  <c r="J672" i="40"/>
  <c r="H672" i="40" s="1"/>
  <c r="I672" i="40" s="1"/>
  <c r="V672" i="40" s="1"/>
  <c r="T709" i="40"/>
  <c r="J725" i="40"/>
  <c r="H725" i="40" s="1"/>
  <c r="I725" i="40" s="1"/>
  <c r="V725" i="40" s="1"/>
  <c r="J735" i="40"/>
  <c r="H735" i="40" s="1"/>
  <c r="I735" i="40" s="1"/>
  <c r="V735" i="40" s="1"/>
  <c r="AA634" i="40"/>
  <c r="AB634" i="40" s="1"/>
  <c r="AA652" i="40"/>
  <c r="AB652" i="40" s="1"/>
  <c r="V665" i="40"/>
  <c r="T671" i="40"/>
  <c r="J709" i="40"/>
  <c r="H709" i="40" s="1"/>
  <c r="I709" i="40" s="1"/>
  <c r="V709" i="40" s="1"/>
  <c r="AA669" i="40"/>
  <c r="AB669" i="40" s="1"/>
  <c r="T674" i="40"/>
  <c r="AA675" i="40"/>
  <c r="AB675" i="40" s="1"/>
  <c r="J680" i="40"/>
  <c r="H680" i="40" s="1"/>
  <c r="I680" i="40" s="1"/>
  <c r="AA685" i="40"/>
  <c r="AB685" i="40" s="1"/>
  <c r="AA687" i="40"/>
  <c r="AB687" i="40" s="1"/>
  <c r="J691" i="40"/>
  <c r="H691" i="40" s="1"/>
  <c r="I691" i="40" s="1"/>
  <c r="J700" i="40"/>
  <c r="H700" i="40" s="1"/>
  <c r="I700" i="40" s="1"/>
  <c r="T701" i="40"/>
  <c r="J707" i="40"/>
  <c r="H707" i="40" s="1"/>
  <c r="I707" i="40" s="1"/>
  <c r="T707" i="40"/>
  <c r="J708" i="40"/>
  <c r="H708" i="40" s="1"/>
  <c r="I708" i="40" s="1"/>
  <c r="V708" i="40" s="1"/>
  <c r="T710" i="40"/>
  <c r="J719" i="40"/>
  <c r="H719" i="40" s="1"/>
  <c r="I719" i="40" s="1"/>
  <c r="V719" i="40" s="1"/>
  <c r="AA657" i="40"/>
  <c r="AB657" i="40" s="1"/>
  <c r="AA670" i="40"/>
  <c r="AB670" i="40" s="1"/>
  <c r="J671" i="40"/>
  <c r="H671" i="40" s="1"/>
  <c r="I671" i="40" s="1"/>
  <c r="V671" i="40" s="1"/>
  <c r="AA676" i="40"/>
  <c r="AB676" i="40" s="1"/>
  <c r="AA678" i="40"/>
  <c r="AB678" i="40" s="1"/>
  <c r="J681" i="40"/>
  <c r="H681" i="40" s="1"/>
  <c r="I681" i="40" s="1"/>
  <c r="V681" i="40" s="1"/>
  <c r="T689" i="40"/>
  <c r="T699" i="40"/>
  <c r="T700" i="40"/>
  <c r="J710" i="40"/>
  <c r="H710" i="40" s="1"/>
  <c r="I710" i="40" s="1"/>
  <c r="V710" i="40" s="1"/>
  <c r="J734" i="40"/>
  <c r="H734" i="40" s="1"/>
  <c r="I734" i="40" s="1"/>
  <c r="AA694" i="40"/>
  <c r="AB694" i="40" s="1"/>
  <c r="AA702" i="40"/>
  <c r="AB702" i="40" s="1"/>
  <c r="J716" i="40"/>
  <c r="H716" i="40" s="1"/>
  <c r="I716" i="40" s="1"/>
  <c r="T725" i="40"/>
  <c r="J736" i="40"/>
  <c r="H736" i="40" s="1"/>
  <c r="I736" i="40" s="1"/>
  <c r="AA695" i="40"/>
  <c r="AB695" i="40" s="1"/>
  <c r="AA712" i="40"/>
  <c r="AB712" i="40" s="1"/>
  <c r="T716" i="40"/>
  <c r="J727" i="40"/>
  <c r="H727" i="40" s="1"/>
  <c r="I727" i="40" s="1"/>
  <c r="T736" i="40"/>
  <c r="AG94" i="40" s="1"/>
  <c r="AA739" i="40"/>
  <c r="AB739" i="40" s="1"/>
  <c r="AA740" i="40"/>
  <c r="AB740" i="40" s="1"/>
  <c r="AA741" i="40"/>
  <c r="AB741" i="40" s="1"/>
  <c r="AA742" i="40"/>
  <c r="AB742" i="40" s="1"/>
  <c r="G84" i="37"/>
  <c r="T1" i="37"/>
  <c r="F2" i="50" s="1"/>
  <c r="Y742" i="39"/>
  <c r="Z742" i="39" s="1"/>
  <c r="W742" i="39"/>
  <c r="X742" i="39" s="1"/>
  <c r="B742" i="39"/>
  <c r="A742" i="39"/>
  <c r="Y741" i="39"/>
  <c r="Z741" i="39" s="1"/>
  <c r="W741" i="39"/>
  <c r="X741" i="39" s="1"/>
  <c r="B741" i="39"/>
  <c r="A741" i="39"/>
  <c r="Y740" i="39"/>
  <c r="Z740" i="39" s="1"/>
  <c r="W740" i="39"/>
  <c r="B740" i="39"/>
  <c r="A740" i="39"/>
  <c r="Y739" i="39"/>
  <c r="Z739" i="39" s="1"/>
  <c r="W739" i="39"/>
  <c r="K739" i="39"/>
  <c r="L739" i="39" s="1"/>
  <c r="B739" i="39"/>
  <c r="A739" i="39"/>
  <c r="Y738" i="39"/>
  <c r="Z738" i="39" s="1"/>
  <c r="W738" i="39"/>
  <c r="X738" i="39" s="1"/>
  <c r="B738" i="39"/>
  <c r="A738" i="39"/>
  <c r="U737" i="39"/>
  <c r="S737" i="39"/>
  <c r="P737" i="39"/>
  <c r="Q737" i="39" s="1"/>
  <c r="N737" i="39"/>
  <c r="O737" i="39" s="1"/>
  <c r="K737" i="39"/>
  <c r="L737" i="39" s="1"/>
  <c r="F737" i="39"/>
  <c r="G737" i="39" s="1"/>
  <c r="D737" i="39"/>
  <c r="E737" i="39" s="1"/>
  <c r="B737" i="39"/>
  <c r="A737" i="39"/>
  <c r="M737" i="39" s="1"/>
  <c r="U736" i="39"/>
  <c r="S736" i="39"/>
  <c r="P736" i="39"/>
  <c r="Q736" i="39" s="1"/>
  <c r="N736" i="39"/>
  <c r="O736" i="39" s="1"/>
  <c r="K736" i="39"/>
  <c r="L736" i="39" s="1"/>
  <c r="F736" i="39"/>
  <c r="G736" i="39" s="1"/>
  <c r="D736" i="39"/>
  <c r="E736" i="39" s="1"/>
  <c r="B736" i="39"/>
  <c r="A736" i="39"/>
  <c r="M736" i="39" s="1"/>
  <c r="U735" i="39"/>
  <c r="S735" i="39"/>
  <c r="P735" i="39"/>
  <c r="Q735" i="39" s="1"/>
  <c r="N735" i="39"/>
  <c r="O735" i="39" s="1"/>
  <c r="K735" i="39"/>
  <c r="L735" i="39" s="1"/>
  <c r="F735" i="39"/>
  <c r="G735" i="39" s="1"/>
  <c r="D735" i="39"/>
  <c r="E735" i="39" s="1"/>
  <c r="B735" i="39"/>
  <c r="A735" i="39"/>
  <c r="M735" i="39" s="1"/>
  <c r="U734" i="39"/>
  <c r="S734" i="39"/>
  <c r="P734" i="39"/>
  <c r="Q734" i="39" s="1"/>
  <c r="N734" i="39"/>
  <c r="O734" i="39" s="1"/>
  <c r="K734" i="39"/>
  <c r="L734" i="39" s="1"/>
  <c r="F734" i="39"/>
  <c r="G734" i="39" s="1"/>
  <c r="D734" i="39"/>
  <c r="E734" i="39" s="1"/>
  <c r="B734" i="39"/>
  <c r="A734" i="39"/>
  <c r="M734" i="39" s="1"/>
  <c r="Y733" i="39"/>
  <c r="Z733" i="39" s="1"/>
  <c r="W733" i="39"/>
  <c r="X733" i="39" s="1"/>
  <c r="B733" i="39"/>
  <c r="A733" i="39"/>
  <c r="Y732" i="39"/>
  <c r="Z732" i="39" s="1"/>
  <c r="W732" i="39"/>
  <c r="X732" i="39" s="1"/>
  <c r="B732" i="39"/>
  <c r="A732" i="39"/>
  <c r="Y731" i="39"/>
  <c r="Z731" i="39" s="1"/>
  <c r="W731" i="39"/>
  <c r="X731" i="39" s="1"/>
  <c r="B731" i="39"/>
  <c r="A731" i="39"/>
  <c r="Y730" i="39"/>
  <c r="Z730" i="39" s="1"/>
  <c r="W730" i="39"/>
  <c r="X730" i="39" s="1"/>
  <c r="K730" i="39"/>
  <c r="L730" i="39" s="1"/>
  <c r="B730" i="39"/>
  <c r="A730" i="39"/>
  <c r="Y729" i="39"/>
  <c r="Z729" i="39" s="1"/>
  <c r="W729" i="39"/>
  <c r="B729" i="39"/>
  <c r="A729" i="39"/>
  <c r="U728" i="39"/>
  <c r="S728" i="39"/>
  <c r="P728" i="39"/>
  <c r="Q728" i="39" s="1"/>
  <c r="N728" i="39"/>
  <c r="O728" i="39" s="1"/>
  <c r="K728" i="39"/>
  <c r="L728" i="39" s="1"/>
  <c r="F728" i="39"/>
  <c r="G728" i="39" s="1"/>
  <c r="D728" i="39"/>
  <c r="E728" i="39" s="1"/>
  <c r="B728" i="39"/>
  <c r="A728" i="39"/>
  <c r="M728" i="39" s="1"/>
  <c r="U727" i="39"/>
  <c r="S727" i="39"/>
  <c r="P727" i="39"/>
  <c r="Q727" i="39" s="1"/>
  <c r="N727" i="39"/>
  <c r="O727" i="39" s="1"/>
  <c r="K727" i="39"/>
  <c r="L727" i="39" s="1"/>
  <c r="F727" i="39"/>
  <c r="G727" i="39" s="1"/>
  <c r="D727" i="39"/>
  <c r="E727" i="39" s="1"/>
  <c r="B727" i="39"/>
  <c r="A727" i="39"/>
  <c r="M727" i="39" s="1"/>
  <c r="U726" i="39"/>
  <c r="S726" i="39"/>
  <c r="P726" i="39"/>
  <c r="Q726" i="39" s="1"/>
  <c r="N726" i="39"/>
  <c r="O726" i="39" s="1"/>
  <c r="K726" i="39"/>
  <c r="L726" i="39" s="1"/>
  <c r="F726" i="39"/>
  <c r="G726" i="39" s="1"/>
  <c r="D726" i="39"/>
  <c r="E726" i="39" s="1"/>
  <c r="B726" i="39"/>
  <c r="A726" i="39"/>
  <c r="M726" i="39" s="1"/>
  <c r="U725" i="39"/>
  <c r="S725" i="39"/>
  <c r="P725" i="39"/>
  <c r="Q725" i="39" s="1"/>
  <c r="N725" i="39"/>
  <c r="O725" i="39" s="1"/>
  <c r="K725" i="39"/>
  <c r="L725" i="39" s="1"/>
  <c r="F725" i="39"/>
  <c r="G725" i="39" s="1"/>
  <c r="D725" i="39"/>
  <c r="E725" i="39" s="1"/>
  <c r="B725" i="39"/>
  <c r="A725" i="39"/>
  <c r="M725" i="39" s="1"/>
  <c r="Y724" i="39"/>
  <c r="Z724" i="39" s="1"/>
  <c r="W724" i="39"/>
  <c r="X724" i="39" s="1"/>
  <c r="B724" i="39"/>
  <c r="A724" i="39"/>
  <c r="Y723" i="39"/>
  <c r="Z723" i="39" s="1"/>
  <c r="W723" i="39"/>
  <c r="B723" i="39"/>
  <c r="A723" i="39"/>
  <c r="Y722" i="39"/>
  <c r="Z722" i="39" s="1"/>
  <c r="W722" i="39"/>
  <c r="X722" i="39" s="1"/>
  <c r="B722" i="39"/>
  <c r="A722" i="39"/>
  <c r="Y721" i="39"/>
  <c r="Z721" i="39" s="1"/>
  <c r="W721" i="39"/>
  <c r="X721" i="39" s="1"/>
  <c r="K721" i="39"/>
  <c r="L721" i="39" s="1"/>
  <c r="B721" i="39"/>
  <c r="A721" i="39"/>
  <c r="Y720" i="39"/>
  <c r="Z720" i="39" s="1"/>
  <c r="W720" i="39"/>
  <c r="B720" i="39"/>
  <c r="A720" i="39"/>
  <c r="U719" i="39"/>
  <c r="S719" i="39"/>
  <c r="P719" i="39"/>
  <c r="Q719" i="39" s="1"/>
  <c r="N719" i="39"/>
  <c r="O719" i="39" s="1"/>
  <c r="K719" i="39"/>
  <c r="L719" i="39" s="1"/>
  <c r="F719" i="39"/>
  <c r="G719" i="39" s="1"/>
  <c r="D719" i="39"/>
  <c r="E719" i="39" s="1"/>
  <c r="B719" i="39"/>
  <c r="A719" i="39"/>
  <c r="M719" i="39" s="1"/>
  <c r="U718" i="39"/>
  <c r="S718" i="39"/>
  <c r="P718" i="39"/>
  <c r="Q718" i="39" s="1"/>
  <c r="N718" i="39"/>
  <c r="O718" i="39" s="1"/>
  <c r="K718" i="39"/>
  <c r="L718" i="39" s="1"/>
  <c r="F718" i="39"/>
  <c r="G718" i="39" s="1"/>
  <c r="D718" i="39"/>
  <c r="E718" i="39" s="1"/>
  <c r="B718" i="39"/>
  <c r="A718" i="39"/>
  <c r="M718" i="39" s="1"/>
  <c r="U717" i="39"/>
  <c r="S717" i="39"/>
  <c r="P717" i="39"/>
  <c r="Q717" i="39" s="1"/>
  <c r="N717" i="39"/>
  <c r="O717" i="39" s="1"/>
  <c r="K717" i="39"/>
  <c r="L717" i="39" s="1"/>
  <c r="F717" i="39"/>
  <c r="G717" i="39" s="1"/>
  <c r="D717" i="39"/>
  <c r="E717" i="39" s="1"/>
  <c r="B717" i="39"/>
  <c r="A717" i="39"/>
  <c r="M717" i="39" s="1"/>
  <c r="U716" i="39"/>
  <c r="S716" i="39"/>
  <c r="P716" i="39"/>
  <c r="Q716" i="39" s="1"/>
  <c r="N716" i="39"/>
  <c r="O716" i="39" s="1"/>
  <c r="K716" i="39"/>
  <c r="L716" i="39" s="1"/>
  <c r="F716" i="39"/>
  <c r="G716" i="39" s="1"/>
  <c r="D716" i="39"/>
  <c r="E716" i="39" s="1"/>
  <c r="B716" i="39"/>
  <c r="A716" i="39"/>
  <c r="M716" i="39" s="1"/>
  <c r="Y715" i="39"/>
  <c r="Z715" i="39" s="1"/>
  <c r="W715" i="39"/>
  <c r="X715" i="39" s="1"/>
  <c r="B715" i="39"/>
  <c r="A715" i="39"/>
  <c r="Y714" i="39"/>
  <c r="Z714" i="39" s="1"/>
  <c r="W714" i="39"/>
  <c r="X714" i="39" s="1"/>
  <c r="B714" i="39"/>
  <c r="A714" i="39"/>
  <c r="Y713" i="39"/>
  <c r="Z713" i="39" s="1"/>
  <c r="W713" i="39"/>
  <c r="X713" i="39" s="1"/>
  <c r="B713" i="39"/>
  <c r="A713" i="39"/>
  <c r="Y712" i="39"/>
  <c r="Z712" i="39" s="1"/>
  <c r="W712" i="39"/>
  <c r="K712" i="39"/>
  <c r="L712" i="39" s="1"/>
  <c r="B712" i="39"/>
  <c r="A712" i="39"/>
  <c r="Y711" i="39"/>
  <c r="Z711" i="39" s="1"/>
  <c r="W711" i="39"/>
  <c r="X711" i="39" s="1"/>
  <c r="B711" i="39"/>
  <c r="A711" i="39"/>
  <c r="U710" i="39"/>
  <c r="S710" i="39"/>
  <c r="P710" i="39"/>
  <c r="Q710" i="39" s="1"/>
  <c r="N710" i="39"/>
  <c r="O710" i="39" s="1"/>
  <c r="K710" i="39"/>
  <c r="L710" i="39" s="1"/>
  <c r="F710" i="39"/>
  <c r="G710" i="39" s="1"/>
  <c r="D710" i="39"/>
  <c r="E710" i="39" s="1"/>
  <c r="B710" i="39"/>
  <c r="A710" i="39"/>
  <c r="M710" i="39" s="1"/>
  <c r="U709" i="39"/>
  <c r="S709" i="39"/>
  <c r="P709" i="39"/>
  <c r="Q709" i="39" s="1"/>
  <c r="N709" i="39"/>
  <c r="O709" i="39" s="1"/>
  <c r="K709" i="39"/>
  <c r="L709" i="39" s="1"/>
  <c r="F709" i="39"/>
  <c r="G709" i="39" s="1"/>
  <c r="D709" i="39"/>
  <c r="E709" i="39" s="1"/>
  <c r="B709" i="39"/>
  <c r="A709" i="39"/>
  <c r="M709" i="39" s="1"/>
  <c r="U708" i="39"/>
  <c r="S708" i="39"/>
  <c r="P708" i="39"/>
  <c r="Q708" i="39" s="1"/>
  <c r="N708" i="39"/>
  <c r="O708" i="39" s="1"/>
  <c r="K708" i="39"/>
  <c r="L708" i="39" s="1"/>
  <c r="F708" i="39"/>
  <c r="G708" i="39" s="1"/>
  <c r="D708" i="39"/>
  <c r="E708" i="39" s="1"/>
  <c r="B708" i="39"/>
  <c r="A708" i="39"/>
  <c r="M708" i="39" s="1"/>
  <c r="U707" i="39"/>
  <c r="S707" i="39"/>
  <c r="P707" i="39"/>
  <c r="Q707" i="39" s="1"/>
  <c r="N707" i="39"/>
  <c r="O707" i="39" s="1"/>
  <c r="K707" i="39"/>
  <c r="L707" i="39" s="1"/>
  <c r="F707" i="39"/>
  <c r="G707" i="39" s="1"/>
  <c r="D707" i="39"/>
  <c r="E707" i="39" s="1"/>
  <c r="B707" i="39"/>
  <c r="A707" i="39"/>
  <c r="M707" i="39" s="1"/>
  <c r="Y706" i="39"/>
  <c r="Z706" i="39" s="1"/>
  <c r="W706" i="39"/>
  <c r="X706" i="39" s="1"/>
  <c r="B706" i="39"/>
  <c r="A706" i="39"/>
  <c r="Y705" i="39"/>
  <c r="Z705" i="39" s="1"/>
  <c r="W705" i="39"/>
  <c r="X705" i="39" s="1"/>
  <c r="B705" i="39"/>
  <c r="A705" i="39"/>
  <c r="Z704" i="39"/>
  <c r="Y704" i="39"/>
  <c r="W704" i="39"/>
  <c r="B704" i="39"/>
  <c r="A704" i="39"/>
  <c r="Y703" i="39"/>
  <c r="Z703" i="39" s="1"/>
  <c r="W703" i="39"/>
  <c r="X703" i="39" s="1"/>
  <c r="K703" i="39"/>
  <c r="L703" i="39" s="1"/>
  <c r="B703" i="39"/>
  <c r="A703" i="39"/>
  <c r="Y702" i="39"/>
  <c r="Z702" i="39" s="1"/>
  <c r="W702" i="39"/>
  <c r="X702" i="39" s="1"/>
  <c r="B702" i="39"/>
  <c r="A702" i="39"/>
  <c r="U701" i="39"/>
  <c r="S701" i="39"/>
  <c r="P701" i="39"/>
  <c r="Q701" i="39" s="1"/>
  <c r="N701" i="39"/>
  <c r="O701" i="39" s="1"/>
  <c r="K701" i="39"/>
  <c r="L701" i="39" s="1"/>
  <c r="F701" i="39"/>
  <c r="G701" i="39" s="1"/>
  <c r="D701" i="39"/>
  <c r="E701" i="39" s="1"/>
  <c r="B701" i="39"/>
  <c r="A701" i="39"/>
  <c r="M701" i="39" s="1"/>
  <c r="U700" i="39"/>
  <c r="S700" i="39"/>
  <c r="P700" i="39"/>
  <c r="Q700" i="39" s="1"/>
  <c r="N700" i="39"/>
  <c r="O700" i="39" s="1"/>
  <c r="K700" i="39"/>
  <c r="L700" i="39" s="1"/>
  <c r="F700" i="39"/>
  <c r="G700" i="39" s="1"/>
  <c r="D700" i="39"/>
  <c r="E700" i="39" s="1"/>
  <c r="B700" i="39"/>
  <c r="A700" i="39"/>
  <c r="M700" i="39" s="1"/>
  <c r="U699" i="39"/>
  <c r="S699" i="39"/>
  <c r="P699" i="39"/>
  <c r="Q699" i="39" s="1"/>
  <c r="N699" i="39"/>
  <c r="O699" i="39" s="1"/>
  <c r="K699" i="39"/>
  <c r="L699" i="39" s="1"/>
  <c r="F699" i="39"/>
  <c r="G699" i="39" s="1"/>
  <c r="D699" i="39"/>
  <c r="E699" i="39" s="1"/>
  <c r="B699" i="39"/>
  <c r="A699" i="39"/>
  <c r="M699" i="39" s="1"/>
  <c r="U698" i="39"/>
  <c r="S698" i="39"/>
  <c r="P698" i="39"/>
  <c r="Q698" i="39" s="1"/>
  <c r="N698" i="39"/>
  <c r="O698" i="39" s="1"/>
  <c r="K698" i="39"/>
  <c r="L698" i="39" s="1"/>
  <c r="F698" i="39"/>
  <c r="G698" i="39" s="1"/>
  <c r="D698" i="39"/>
  <c r="E698" i="39" s="1"/>
  <c r="B698" i="39"/>
  <c r="A698" i="39"/>
  <c r="M698" i="39" s="1"/>
  <c r="Y697" i="39"/>
  <c r="Z697" i="39" s="1"/>
  <c r="W697" i="39"/>
  <c r="B697" i="39"/>
  <c r="A697" i="39"/>
  <c r="Y696" i="39"/>
  <c r="Z696" i="39" s="1"/>
  <c r="W696" i="39"/>
  <c r="X696" i="39" s="1"/>
  <c r="B696" i="39"/>
  <c r="A696" i="39"/>
  <c r="Y695" i="39"/>
  <c r="Z695" i="39" s="1"/>
  <c r="W695" i="39"/>
  <c r="B695" i="39"/>
  <c r="A695" i="39"/>
  <c r="Y694" i="39"/>
  <c r="Z694" i="39" s="1"/>
  <c r="W694" i="39"/>
  <c r="X694" i="39" s="1"/>
  <c r="K694" i="39"/>
  <c r="L694" i="39" s="1"/>
  <c r="B694" i="39"/>
  <c r="A694" i="39"/>
  <c r="Y693" i="39"/>
  <c r="Z693" i="39" s="1"/>
  <c r="W693" i="39"/>
  <c r="X693" i="39" s="1"/>
  <c r="B693" i="39"/>
  <c r="A693" i="39"/>
  <c r="U692" i="39"/>
  <c r="S692" i="39"/>
  <c r="P692" i="39"/>
  <c r="Q692" i="39" s="1"/>
  <c r="N692" i="39"/>
  <c r="O692" i="39" s="1"/>
  <c r="K692" i="39"/>
  <c r="L692" i="39" s="1"/>
  <c r="F692" i="39"/>
  <c r="G692" i="39" s="1"/>
  <c r="D692" i="39"/>
  <c r="E692" i="39" s="1"/>
  <c r="B692" i="39"/>
  <c r="A692" i="39"/>
  <c r="M692" i="39" s="1"/>
  <c r="U691" i="39"/>
  <c r="S691" i="39"/>
  <c r="P691" i="39"/>
  <c r="Q691" i="39" s="1"/>
  <c r="N691" i="39"/>
  <c r="O691" i="39" s="1"/>
  <c r="K691" i="39"/>
  <c r="L691" i="39" s="1"/>
  <c r="F691" i="39"/>
  <c r="G691" i="39" s="1"/>
  <c r="D691" i="39"/>
  <c r="E691" i="39" s="1"/>
  <c r="B691" i="39"/>
  <c r="A691" i="39"/>
  <c r="M691" i="39" s="1"/>
  <c r="U690" i="39"/>
  <c r="S690" i="39"/>
  <c r="P690" i="39"/>
  <c r="Q690" i="39" s="1"/>
  <c r="N690" i="39"/>
  <c r="O690" i="39" s="1"/>
  <c r="K690" i="39"/>
  <c r="L690" i="39" s="1"/>
  <c r="F690" i="39"/>
  <c r="G690" i="39" s="1"/>
  <c r="D690" i="39"/>
  <c r="E690" i="39" s="1"/>
  <c r="B690" i="39"/>
  <c r="A690" i="39"/>
  <c r="M690" i="39" s="1"/>
  <c r="U689" i="39"/>
  <c r="S689" i="39"/>
  <c r="P689" i="39"/>
  <c r="Q689" i="39" s="1"/>
  <c r="N689" i="39"/>
  <c r="O689" i="39" s="1"/>
  <c r="K689" i="39"/>
  <c r="L689" i="39" s="1"/>
  <c r="F689" i="39"/>
  <c r="G689" i="39" s="1"/>
  <c r="D689" i="39"/>
  <c r="E689" i="39" s="1"/>
  <c r="B689" i="39"/>
  <c r="A689" i="39"/>
  <c r="M689" i="39" s="1"/>
  <c r="Y688" i="39"/>
  <c r="Z688" i="39" s="1"/>
  <c r="W688" i="39"/>
  <c r="X688" i="39" s="1"/>
  <c r="B688" i="39"/>
  <c r="A688" i="39"/>
  <c r="Y687" i="39"/>
  <c r="Z687" i="39" s="1"/>
  <c r="W687" i="39"/>
  <c r="X687" i="39" s="1"/>
  <c r="B687" i="39"/>
  <c r="A687" i="39"/>
  <c r="Y686" i="39"/>
  <c r="Z686" i="39" s="1"/>
  <c r="W686" i="39"/>
  <c r="X686" i="39" s="1"/>
  <c r="B686" i="39"/>
  <c r="A686" i="39"/>
  <c r="Y685" i="39"/>
  <c r="Z685" i="39" s="1"/>
  <c r="W685" i="39"/>
  <c r="X685" i="39" s="1"/>
  <c r="K685" i="39"/>
  <c r="L685" i="39" s="1"/>
  <c r="B685" i="39"/>
  <c r="A685" i="39"/>
  <c r="Y684" i="39"/>
  <c r="Z684" i="39" s="1"/>
  <c r="W684" i="39"/>
  <c r="B684" i="39"/>
  <c r="A684" i="39"/>
  <c r="U683" i="39"/>
  <c r="S683" i="39"/>
  <c r="P683" i="39"/>
  <c r="Q683" i="39" s="1"/>
  <c r="N683" i="39"/>
  <c r="O683" i="39" s="1"/>
  <c r="K683" i="39"/>
  <c r="L683" i="39" s="1"/>
  <c r="F683" i="39"/>
  <c r="G683" i="39" s="1"/>
  <c r="D683" i="39"/>
  <c r="E683" i="39" s="1"/>
  <c r="B683" i="39"/>
  <c r="A683" i="39"/>
  <c r="M683" i="39" s="1"/>
  <c r="U682" i="39"/>
  <c r="S682" i="39"/>
  <c r="P682" i="39"/>
  <c r="Q682" i="39" s="1"/>
  <c r="N682" i="39"/>
  <c r="O682" i="39" s="1"/>
  <c r="K682" i="39"/>
  <c r="L682" i="39" s="1"/>
  <c r="F682" i="39"/>
  <c r="G682" i="39" s="1"/>
  <c r="D682" i="39"/>
  <c r="E682" i="39" s="1"/>
  <c r="B682" i="39"/>
  <c r="A682" i="39"/>
  <c r="M682" i="39" s="1"/>
  <c r="U681" i="39"/>
  <c r="S681" i="39"/>
  <c r="P681" i="39"/>
  <c r="Q681" i="39" s="1"/>
  <c r="N681" i="39"/>
  <c r="O681" i="39" s="1"/>
  <c r="K681" i="39"/>
  <c r="L681" i="39" s="1"/>
  <c r="F681" i="39"/>
  <c r="G681" i="39" s="1"/>
  <c r="D681" i="39"/>
  <c r="E681" i="39" s="1"/>
  <c r="B681" i="39"/>
  <c r="A681" i="39"/>
  <c r="M681" i="39" s="1"/>
  <c r="U680" i="39"/>
  <c r="S680" i="39"/>
  <c r="P680" i="39"/>
  <c r="Q680" i="39" s="1"/>
  <c r="N680" i="39"/>
  <c r="O680" i="39" s="1"/>
  <c r="K680" i="39"/>
  <c r="L680" i="39" s="1"/>
  <c r="F680" i="39"/>
  <c r="G680" i="39" s="1"/>
  <c r="D680" i="39"/>
  <c r="E680" i="39" s="1"/>
  <c r="B680" i="39"/>
  <c r="A680" i="39"/>
  <c r="M680" i="39" s="1"/>
  <c r="Y679" i="39"/>
  <c r="Z679" i="39" s="1"/>
  <c r="W679" i="39"/>
  <c r="X679" i="39" s="1"/>
  <c r="B679" i="39"/>
  <c r="A679" i="39"/>
  <c r="Y678" i="39"/>
  <c r="Z678" i="39" s="1"/>
  <c r="W678" i="39"/>
  <c r="X678" i="39" s="1"/>
  <c r="B678" i="39"/>
  <c r="A678" i="39"/>
  <c r="Y677" i="39"/>
  <c r="Z677" i="39" s="1"/>
  <c r="W677" i="39"/>
  <c r="B677" i="39"/>
  <c r="A677" i="39"/>
  <c r="Y676" i="39"/>
  <c r="Z676" i="39" s="1"/>
  <c r="W676" i="39"/>
  <c r="K676" i="39"/>
  <c r="L676" i="39" s="1"/>
  <c r="B676" i="39"/>
  <c r="A676" i="39"/>
  <c r="Y675" i="39"/>
  <c r="Z675" i="39" s="1"/>
  <c r="W675" i="39"/>
  <c r="X675" i="39" s="1"/>
  <c r="B675" i="39"/>
  <c r="A675" i="39"/>
  <c r="U674" i="39"/>
  <c r="S674" i="39"/>
  <c r="P674" i="39"/>
  <c r="Q674" i="39" s="1"/>
  <c r="N674" i="39"/>
  <c r="O674" i="39" s="1"/>
  <c r="K674" i="39"/>
  <c r="L674" i="39" s="1"/>
  <c r="F674" i="39"/>
  <c r="G674" i="39" s="1"/>
  <c r="D674" i="39"/>
  <c r="E674" i="39" s="1"/>
  <c r="B674" i="39"/>
  <c r="A674" i="39"/>
  <c r="M674" i="39" s="1"/>
  <c r="U673" i="39"/>
  <c r="S673" i="39"/>
  <c r="P673" i="39"/>
  <c r="Q673" i="39" s="1"/>
  <c r="N673" i="39"/>
  <c r="O673" i="39" s="1"/>
  <c r="K673" i="39"/>
  <c r="L673" i="39" s="1"/>
  <c r="F673" i="39"/>
  <c r="G673" i="39" s="1"/>
  <c r="D673" i="39"/>
  <c r="E673" i="39" s="1"/>
  <c r="B673" i="39"/>
  <c r="A673" i="39"/>
  <c r="M673" i="39" s="1"/>
  <c r="U672" i="39"/>
  <c r="S672" i="39"/>
  <c r="P672" i="39"/>
  <c r="Q672" i="39" s="1"/>
  <c r="N672" i="39"/>
  <c r="O672" i="39" s="1"/>
  <c r="K672" i="39"/>
  <c r="L672" i="39" s="1"/>
  <c r="F672" i="39"/>
  <c r="G672" i="39" s="1"/>
  <c r="D672" i="39"/>
  <c r="E672" i="39" s="1"/>
  <c r="B672" i="39"/>
  <c r="A672" i="39"/>
  <c r="M672" i="39" s="1"/>
  <c r="U671" i="39"/>
  <c r="S671" i="39"/>
  <c r="P671" i="39"/>
  <c r="Q671" i="39" s="1"/>
  <c r="O671" i="39"/>
  <c r="N671" i="39"/>
  <c r="K671" i="39"/>
  <c r="L671" i="39" s="1"/>
  <c r="F671" i="39"/>
  <c r="G671" i="39" s="1"/>
  <c r="D671" i="39"/>
  <c r="E671" i="39" s="1"/>
  <c r="B671" i="39"/>
  <c r="A671" i="39"/>
  <c r="M671" i="39" s="1"/>
  <c r="Y670" i="39"/>
  <c r="Z670" i="39" s="1"/>
  <c r="W670" i="39"/>
  <c r="X670" i="39" s="1"/>
  <c r="B670" i="39"/>
  <c r="A670" i="39"/>
  <c r="Y669" i="39"/>
  <c r="Z669" i="39" s="1"/>
  <c r="W669" i="39"/>
  <c r="X669" i="39" s="1"/>
  <c r="B669" i="39"/>
  <c r="A669" i="39"/>
  <c r="Y668" i="39"/>
  <c r="Z668" i="39" s="1"/>
  <c r="W668" i="39"/>
  <c r="X668" i="39" s="1"/>
  <c r="B668" i="39"/>
  <c r="A668" i="39"/>
  <c r="Y667" i="39"/>
  <c r="Z667" i="39" s="1"/>
  <c r="W667" i="39"/>
  <c r="X667" i="39" s="1"/>
  <c r="K667" i="39"/>
  <c r="L667" i="39" s="1"/>
  <c r="B667" i="39"/>
  <c r="A667" i="39"/>
  <c r="Y666" i="39"/>
  <c r="Z666" i="39" s="1"/>
  <c r="W666" i="39"/>
  <c r="B666" i="39"/>
  <c r="A666" i="39"/>
  <c r="U665" i="39"/>
  <c r="S665" i="39"/>
  <c r="P665" i="39"/>
  <c r="Q665" i="39" s="1"/>
  <c r="N665" i="39"/>
  <c r="O665" i="39" s="1"/>
  <c r="K665" i="39"/>
  <c r="L665" i="39" s="1"/>
  <c r="F665" i="39"/>
  <c r="G665" i="39" s="1"/>
  <c r="D665" i="39"/>
  <c r="E665" i="39" s="1"/>
  <c r="B665" i="39"/>
  <c r="A665" i="39"/>
  <c r="M665" i="39" s="1"/>
  <c r="U664" i="39"/>
  <c r="S664" i="39"/>
  <c r="P664" i="39"/>
  <c r="Q664" i="39" s="1"/>
  <c r="N664" i="39"/>
  <c r="O664" i="39" s="1"/>
  <c r="K664" i="39"/>
  <c r="L664" i="39" s="1"/>
  <c r="F664" i="39"/>
  <c r="G664" i="39" s="1"/>
  <c r="D664" i="39"/>
  <c r="E664" i="39" s="1"/>
  <c r="B664" i="39"/>
  <c r="A664" i="39"/>
  <c r="M664" i="39" s="1"/>
  <c r="U663" i="39"/>
  <c r="S663" i="39"/>
  <c r="P663" i="39"/>
  <c r="Q663" i="39" s="1"/>
  <c r="N663" i="39"/>
  <c r="O663" i="39" s="1"/>
  <c r="K663" i="39"/>
  <c r="L663" i="39" s="1"/>
  <c r="F663" i="39"/>
  <c r="G663" i="39" s="1"/>
  <c r="D663" i="39"/>
  <c r="E663" i="39" s="1"/>
  <c r="B663" i="39"/>
  <c r="A663" i="39"/>
  <c r="M663" i="39" s="1"/>
  <c r="U662" i="39"/>
  <c r="S662" i="39"/>
  <c r="P662" i="39"/>
  <c r="Q662" i="39" s="1"/>
  <c r="N662" i="39"/>
  <c r="O662" i="39" s="1"/>
  <c r="K662" i="39"/>
  <c r="L662" i="39" s="1"/>
  <c r="F662" i="39"/>
  <c r="G662" i="39" s="1"/>
  <c r="D662" i="39"/>
  <c r="E662" i="39" s="1"/>
  <c r="B662" i="39"/>
  <c r="A662" i="39"/>
  <c r="M662" i="39" s="1"/>
  <c r="Y661" i="39"/>
  <c r="Z661" i="39" s="1"/>
  <c r="X661" i="39"/>
  <c r="W661" i="39"/>
  <c r="B661" i="39"/>
  <c r="A661" i="39"/>
  <c r="Y660" i="39"/>
  <c r="Z660" i="39" s="1"/>
  <c r="W660" i="39"/>
  <c r="X660" i="39" s="1"/>
  <c r="B660" i="39"/>
  <c r="A660" i="39"/>
  <c r="Y659" i="39"/>
  <c r="Z659" i="39" s="1"/>
  <c r="W659" i="39"/>
  <c r="B659" i="39"/>
  <c r="A659" i="39"/>
  <c r="Y658" i="39"/>
  <c r="Z658" i="39" s="1"/>
  <c r="W658" i="39"/>
  <c r="K658" i="39"/>
  <c r="L658" i="39" s="1"/>
  <c r="B658" i="39"/>
  <c r="A658" i="39"/>
  <c r="Y657" i="39"/>
  <c r="Z657" i="39" s="1"/>
  <c r="W657" i="39"/>
  <c r="B657" i="39"/>
  <c r="A657" i="39"/>
  <c r="U656" i="39"/>
  <c r="S656" i="39"/>
  <c r="P656" i="39"/>
  <c r="Q656" i="39" s="1"/>
  <c r="N656" i="39"/>
  <c r="O656" i="39" s="1"/>
  <c r="K656" i="39"/>
  <c r="L656" i="39" s="1"/>
  <c r="F656" i="39"/>
  <c r="G656" i="39" s="1"/>
  <c r="E656" i="39"/>
  <c r="D656" i="39"/>
  <c r="B656" i="39"/>
  <c r="A656" i="39"/>
  <c r="M656" i="39" s="1"/>
  <c r="U655" i="39"/>
  <c r="S655" i="39"/>
  <c r="P655" i="39"/>
  <c r="Q655" i="39" s="1"/>
  <c r="N655" i="39"/>
  <c r="O655" i="39" s="1"/>
  <c r="K655" i="39"/>
  <c r="L655" i="39" s="1"/>
  <c r="F655" i="39"/>
  <c r="G655" i="39" s="1"/>
  <c r="D655" i="39"/>
  <c r="E655" i="39" s="1"/>
  <c r="B655" i="39"/>
  <c r="A655" i="39"/>
  <c r="M655" i="39" s="1"/>
  <c r="U654" i="39"/>
  <c r="S654" i="39"/>
  <c r="P654" i="39"/>
  <c r="Q654" i="39" s="1"/>
  <c r="N654" i="39"/>
  <c r="O654" i="39" s="1"/>
  <c r="K654" i="39"/>
  <c r="L654" i="39" s="1"/>
  <c r="F654" i="39"/>
  <c r="G654" i="39" s="1"/>
  <c r="D654" i="39"/>
  <c r="E654" i="39" s="1"/>
  <c r="B654" i="39"/>
  <c r="A654" i="39"/>
  <c r="M654" i="39" s="1"/>
  <c r="U653" i="39"/>
  <c r="S653" i="39"/>
  <c r="P653" i="39"/>
  <c r="Q653" i="39" s="1"/>
  <c r="N653" i="39"/>
  <c r="O653" i="39" s="1"/>
  <c r="K653" i="39"/>
  <c r="L653" i="39" s="1"/>
  <c r="F653" i="39"/>
  <c r="G653" i="39" s="1"/>
  <c r="D653" i="39"/>
  <c r="E653" i="39" s="1"/>
  <c r="B653" i="39"/>
  <c r="A653" i="39"/>
  <c r="M653" i="39" s="1"/>
  <c r="Y652" i="39"/>
  <c r="W652" i="39"/>
  <c r="X652" i="39" s="1"/>
  <c r="B652" i="39"/>
  <c r="A652" i="39"/>
  <c r="Y651" i="39"/>
  <c r="W651" i="39"/>
  <c r="X651" i="39" s="1"/>
  <c r="B651" i="39"/>
  <c r="A651" i="39"/>
  <c r="Y650" i="39"/>
  <c r="Z650" i="39" s="1"/>
  <c r="W650" i="39"/>
  <c r="X650" i="39" s="1"/>
  <c r="B650" i="39"/>
  <c r="A650" i="39"/>
  <c r="Y649" i="39"/>
  <c r="W649" i="39"/>
  <c r="X649" i="39" s="1"/>
  <c r="K649" i="39"/>
  <c r="L649" i="39" s="1"/>
  <c r="B649" i="39"/>
  <c r="A649" i="39"/>
  <c r="Y648" i="39"/>
  <c r="Z648" i="39" s="1"/>
  <c r="W648" i="39"/>
  <c r="X648" i="39" s="1"/>
  <c r="B648" i="39"/>
  <c r="A648" i="39"/>
  <c r="U647" i="39"/>
  <c r="S647" i="39"/>
  <c r="P647" i="39"/>
  <c r="Q647" i="39" s="1"/>
  <c r="N647" i="39"/>
  <c r="O647" i="39" s="1"/>
  <c r="K647" i="39"/>
  <c r="L647" i="39" s="1"/>
  <c r="F647" i="39"/>
  <c r="G647" i="39" s="1"/>
  <c r="D647" i="39"/>
  <c r="E647" i="39" s="1"/>
  <c r="B647" i="39"/>
  <c r="A647" i="39"/>
  <c r="M647" i="39" s="1"/>
  <c r="U646" i="39"/>
  <c r="S646" i="39"/>
  <c r="P646" i="39"/>
  <c r="Q646" i="39" s="1"/>
  <c r="N646" i="39"/>
  <c r="O646" i="39" s="1"/>
  <c r="K646" i="39"/>
  <c r="L646" i="39" s="1"/>
  <c r="F646" i="39"/>
  <c r="G646" i="39" s="1"/>
  <c r="D646" i="39"/>
  <c r="E646" i="39" s="1"/>
  <c r="B646" i="39"/>
  <c r="A646" i="39"/>
  <c r="M646" i="39" s="1"/>
  <c r="U645" i="39"/>
  <c r="S645" i="39"/>
  <c r="P645" i="39"/>
  <c r="Q645" i="39" s="1"/>
  <c r="N645" i="39"/>
  <c r="O645" i="39" s="1"/>
  <c r="K645" i="39"/>
  <c r="L645" i="39" s="1"/>
  <c r="F645" i="39"/>
  <c r="G645" i="39" s="1"/>
  <c r="D645" i="39"/>
  <c r="E645" i="39" s="1"/>
  <c r="B645" i="39"/>
  <c r="A645" i="39"/>
  <c r="M645" i="39" s="1"/>
  <c r="U644" i="39"/>
  <c r="S644" i="39"/>
  <c r="P644" i="39"/>
  <c r="Q644" i="39" s="1"/>
  <c r="N644" i="39"/>
  <c r="O644" i="39" s="1"/>
  <c r="K644" i="39"/>
  <c r="L644" i="39" s="1"/>
  <c r="F644" i="39"/>
  <c r="G644" i="39" s="1"/>
  <c r="D644" i="39"/>
  <c r="E644" i="39" s="1"/>
  <c r="B644" i="39"/>
  <c r="A644" i="39"/>
  <c r="M644" i="39" s="1"/>
  <c r="Y643" i="39"/>
  <c r="Z643" i="39" s="1"/>
  <c r="W643" i="39"/>
  <c r="X643" i="39" s="1"/>
  <c r="B643" i="39"/>
  <c r="A643" i="39"/>
  <c r="Y642" i="39"/>
  <c r="Z642" i="39" s="1"/>
  <c r="W642" i="39"/>
  <c r="B642" i="39"/>
  <c r="A642" i="39"/>
  <c r="Y641" i="39"/>
  <c r="Z641" i="39" s="1"/>
  <c r="W641" i="39"/>
  <c r="B641" i="39"/>
  <c r="A641" i="39"/>
  <c r="Y640" i="39"/>
  <c r="Z640" i="39" s="1"/>
  <c r="W640" i="39"/>
  <c r="X640" i="39" s="1"/>
  <c r="K640" i="39"/>
  <c r="L640" i="39" s="1"/>
  <c r="B640" i="39"/>
  <c r="A640" i="39"/>
  <c r="Y639" i="39"/>
  <c r="W639" i="39"/>
  <c r="X639" i="39" s="1"/>
  <c r="B639" i="39"/>
  <c r="A639" i="39"/>
  <c r="U638" i="39"/>
  <c r="S638" i="39"/>
  <c r="P638" i="39"/>
  <c r="Q638" i="39" s="1"/>
  <c r="N638" i="39"/>
  <c r="O638" i="39" s="1"/>
  <c r="K638" i="39"/>
  <c r="L638" i="39" s="1"/>
  <c r="F638" i="39"/>
  <c r="G638" i="39" s="1"/>
  <c r="D638" i="39"/>
  <c r="E638" i="39" s="1"/>
  <c r="B638" i="39"/>
  <c r="A638" i="39"/>
  <c r="M638" i="39" s="1"/>
  <c r="U637" i="39"/>
  <c r="S637" i="39"/>
  <c r="P637" i="39"/>
  <c r="Q637" i="39" s="1"/>
  <c r="N637" i="39"/>
  <c r="O637" i="39" s="1"/>
  <c r="K637" i="39"/>
  <c r="L637" i="39" s="1"/>
  <c r="F637" i="39"/>
  <c r="G637" i="39" s="1"/>
  <c r="D637" i="39"/>
  <c r="E637" i="39" s="1"/>
  <c r="B637" i="39"/>
  <c r="A637" i="39"/>
  <c r="M637" i="39" s="1"/>
  <c r="U636" i="39"/>
  <c r="S636" i="39"/>
  <c r="P636" i="39"/>
  <c r="Q636" i="39" s="1"/>
  <c r="N636" i="39"/>
  <c r="O636" i="39" s="1"/>
  <c r="K636" i="39"/>
  <c r="L636" i="39" s="1"/>
  <c r="F636" i="39"/>
  <c r="G636" i="39" s="1"/>
  <c r="D636" i="39"/>
  <c r="E636" i="39" s="1"/>
  <c r="B636" i="39"/>
  <c r="A636" i="39"/>
  <c r="M636" i="39" s="1"/>
  <c r="U635" i="39"/>
  <c r="S635" i="39"/>
  <c r="P635" i="39"/>
  <c r="Q635" i="39" s="1"/>
  <c r="N635" i="39"/>
  <c r="O635" i="39" s="1"/>
  <c r="K635" i="39"/>
  <c r="L635" i="39" s="1"/>
  <c r="F635" i="39"/>
  <c r="G635" i="39" s="1"/>
  <c r="D635" i="39"/>
  <c r="E635" i="39" s="1"/>
  <c r="B635" i="39"/>
  <c r="A635" i="39"/>
  <c r="M635" i="39" s="1"/>
  <c r="Y634" i="39"/>
  <c r="Z634" i="39" s="1"/>
  <c r="W634" i="39"/>
  <c r="B634" i="39"/>
  <c r="A634" i="39"/>
  <c r="Y633" i="39"/>
  <c r="Z633" i="39" s="1"/>
  <c r="W633" i="39"/>
  <c r="X633" i="39" s="1"/>
  <c r="B633" i="39"/>
  <c r="A633" i="39"/>
  <c r="Y632" i="39"/>
  <c r="Z632" i="39" s="1"/>
  <c r="W632" i="39"/>
  <c r="B632" i="39"/>
  <c r="A632" i="39"/>
  <c r="Y631" i="39"/>
  <c r="Z631" i="39" s="1"/>
  <c r="W631" i="39"/>
  <c r="X631" i="39" s="1"/>
  <c r="K631" i="39"/>
  <c r="L631" i="39" s="1"/>
  <c r="B631" i="39"/>
  <c r="A631" i="39"/>
  <c r="Y630" i="39"/>
  <c r="Z630" i="39" s="1"/>
  <c r="W630" i="39"/>
  <c r="X630" i="39" s="1"/>
  <c r="B630" i="39"/>
  <c r="A630" i="39"/>
  <c r="U629" i="39"/>
  <c r="S629" i="39"/>
  <c r="P629" i="39"/>
  <c r="Q629" i="39" s="1"/>
  <c r="N629" i="39"/>
  <c r="O629" i="39" s="1"/>
  <c r="K629" i="39"/>
  <c r="L629" i="39" s="1"/>
  <c r="F629" i="39"/>
  <c r="G629" i="39" s="1"/>
  <c r="D629" i="39"/>
  <c r="E629" i="39" s="1"/>
  <c r="B629" i="39"/>
  <c r="A629" i="39"/>
  <c r="M629" i="39" s="1"/>
  <c r="U628" i="39"/>
  <c r="S628" i="39"/>
  <c r="P628" i="39"/>
  <c r="Q628" i="39" s="1"/>
  <c r="N628" i="39"/>
  <c r="O628" i="39" s="1"/>
  <c r="K628" i="39"/>
  <c r="L628" i="39" s="1"/>
  <c r="F628" i="39"/>
  <c r="G628" i="39" s="1"/>
  <c r="D628" i="39"/>
  <c r="E628" i="39" s="1"/>
  <c r="B628" i="39"/>
  <c r="A628" i="39"/>
  <c r="M628" i="39" s="1"/>
  <c r="U627" i="39"/>
  <c r="S627" i="39"/>
  <c r="P627" i="39"/>
  <c r="Q627" i="39" s="1"/>
  <c r="N627" i="39"/>
  <c r="O627" i="39" s="1"/>
  <c r="K627" i="39"/>
  <c r="L627" i="39" s="1"/>
  <c r="F627" i="39"/>
  <c r="G627" i="39" s="1"/>
  <c r="D627" i="39"/>
  <c r="E627" i="39" s="1"/>
  <c r="B627" i="39"/>
  <c r="A627" i="39"/>
  <c r="M627" i="39" s="1"/>
  <c r="U626" i="39"/>
  <c r="S626" i="39"/>
  <c r="P626" i="39"/>
  <c r="Q626" i="39" s="1"/>
  <c r="N626" i="39"/>
  <c r="O626" i="39" s="1"/>
  <c r="K626" i="39"/>
  <c r="L626" i="39" s="1"/>
  <c r="F626" i="39"/>
  <c r="G626" i="39" s="1"/>
  <c r="D626" i="39"/>
  <c r="E626" i="39" s="1"/>
  <c r="B626" i="39"/>
  <c r="A626" i="39"/>
  <c r="M626" i="39" s="1"/>
  <c r="Y625" i="39"/>
  <c r="Z625" i="39" s="1"/>
  <c r="W625" i="39"/>
  <c r="X625" i="39" s="1"/>
  <c r="B625" i="39"/>
  <c r="A625" i="39"/>
  <c r="Y624" i="39"/>
  <c r="Z624" i="39" s="1"/>
  <c r="W624" i="39"/>
  <c r="X624" i="39" s="1"/>
  <c r="B624" i="39"/>
  <c r="A624" i="39"/>
  <c r="Y623" i="39"/>
  <c r="Z623" i="39" s="1"/>
  <c r="W623" i="39"/>
  <c r="B623" i="39"/>
  <c r="A623" i="39"/>
  <c r="Y622" i="39"/>
  <c r="Z622" i="39" s="1"/>
  <c r="W622" i="39"/>
  <c r="K622" i="39"/>
  <c r="L622" i="39" s="1"/>
  <c r="B622" i="39"/>
  <c r="A622" i="39"/>
  <c r="Y621" i="39"/>
  <c r="Z621" i="39" s="1"/>
  <c r="W621" i="39"/>
  <c r="X621" i="39" s="1"/>
  <c r="B621" i="39"/>
  <c r="A621" i="39"/>
  <c r="U620" i="39"/>
  <c r="S620" i="39"/>
  <c r="P620" i="39"/>
  <c r="Q620" i="39" s="1"/>
  <c r="N620" i="39"/>
  <c r="O620" i="39" s="1"/>
  <c r="K620" i="39"/>
  <c r="L620" i="39" s="1"/>
  <c r="F620" i="39"/>
  <c r="G620" i="39" s="1"/>
  <c r="D620" i="39"/>
  <c r="E620" i="39" s="1"/>
  <c r="B620" i="39"/>
  <c r="A620" i="39"/>
  <c r="M620" i="39" s="1"/>
  <c r="U619" i="39"/>
  <c r="S619" i="39"/>
  <c r="Q619" i="39"/>
  <c r="P619" i="39"/>
  <c r="N619" i="39"/>
  <c r="O619" i="39" s="1"/>
  <c r="K619" i="39"/>
  <c r="L619" i="39" s="1"/>
  <c r="F619" i="39"/>
  <c r="G619" i="39" s="1"/>
  <c r="D619" i="39"/>
  <c r="E619" i="39" s="1"/>
  <c r="B619" i="39"/>
  <c r="A619" i="39"/>
  <c r="M619" i="39" s="1"/>
  <c r="U618" i="39"/>
  <c r="S618" i="39"/>
  <c r="P618" i="39"/>
  <c r="Q618" i="39" s="1"/>
  <c r="N618" i="39"/>
  <c r="O618" i="39" s="1"/>
  <c r="K618" i="39"/>
  <c r="L618" i="39" s="1"/>
  <c r="F618" i="39"/>
  <c r="G618" i="39" s="1"/>
  <c r="D618" i="39"/>
  <c r="E618" i="39" s="1"/>
  <c r="B618" i="39"/>
  <c r="A618" i="39"/>
  <c r="M618" i="39" s="1"/>
  <c r="U617" i="39"/>
  <c r="S617" i="39"/>
  <c r="P617" i="39"/>
  <c r="Q617" i="39" s="1"/>
  <c r="N617" i="39"/>
  <c r="O617" i="39" s="1"/>
  <c r="K617" i="39"/>
  <c r="L617" i="39" s="1"/>
  <c r="F617" i="39"/>
  <c r="G617" i="39" s="1"/>
  <c r="D617" i="39"/>
  <c r="E617" i="39" s="1"/>
  <c r="B617" i="39"/>
  <c r="A617" i="39"/>
  <c r="M617" i="39" s="1"/>
  <c r="Y616" i="39"/>
  <c r="Z616" i="39" s="1"/>
  <c r="W616" i="39"/>
  <c r="X616" i="39" s="1"/>
  <c r="B616" i="39"/>
  <c r="A616" i="39"/>
  <c r="Y615" i="39"/>
  <c r="Z615" i="39" s="1"/>
  <c r="W615" i="39"/>
  <c r="X615" i="39" s="1"/>
  <c r="B615" i="39"/>
  <c r="A615" i="39"/>
  <c r="Y614" i="39"/>
  <c r="Z614" i="39" s="1"/>
  <c r="W614" i="39"/>
  <c r="X614" i="39" s="1"/>
  <c r="B614" i="39"/>
  <c r="A614" i="39"/>
  <c r="Y613" i="39"/>
  <c r="Z613" i="39" s="1"/>
  <c r="W613" i="39"/>
  <c r="X613" i="39" s="1"/>
  <c r="K613" i="39"/>
  <c r="L613" i="39" s="1"/>
  <c r="B613" i="39"/>
  <c r="A613" i="39"/>
  <c r="Y612" i="39"/>
  <c r="Z612" i="39" s="1"/>
  <c r="W612" i="39"/>
  <c r="B612" i="39"/>
  <c r="A612" i="39"/>
  <c r="U611" i="39"/>
  <c r="S611" i="39"/>
  <c r="P611" i="39"/>
  <c r="Q611" i="39" s="1"/>
  <c r="N611" i="39"/>
  <c r="O611" i="39" s="1"/>
  <c r="K611" i="39"/>
  <c r="L611" i="39" s="1"/>
  <c r="F611" i="39"/>
  <c r="G611" i="39" s="1"/>
  <c r="D611" i="39"/>
  <c r="E611" i="39" s="1"/>
  <c r="B611" i="39"/>
  <c r="A611" i="39"/>
  <c r="M611" i="39" s="1"/>
  <c r="U610" i="39"/>
  <c r="S610" i="39"/>
  <c r="P610" i="39"/>
  <c r="Q610" i="39" s="1"/>
  <c r="N610" i="39"/>
  <c r="O610" i="39" s="1"/>
  <c r="K610" i="39"/>
  <c r="L610" i="39" s="1"/>
  <c r="F610" i="39"/>
  <c r="G610" i="39" s="1"/>
  <c r="D610" i="39"/>
  <c r="E610" i="39" s="1"/>
  <c r="B610" i="39"/>
  <c r="A610" i="39"/>
  <c r="M610" i="39" s="1"/>
  <c r="U609" i="39"/>
  <c r="S609" i="39"/>
  <c r="P609" i="39"/>
  <c r="Q609" i="39" s="1"/>
  <c r="N609" i="39"/>
  <c r="O609" i="39" s="1"/>
  <c r="K609" i="39"/>
  <c r="L609" i="39" s="1"/>
  <c r="F609" i="39"/>
  <c r="G609" i="39" s="1"/>
  <c r="D609" i="39"/>
  <c r="E609" i="39" s="1"/>
  <c r="B609" i="39"/>
  <c r="A609" i="39"/>
  <c r="M609" i="39" s="1"/>
  <c r="U608" i="39"/>
  <c r="S608" i="39"/>
  <c r="P608" i="39"/>
  <c r="Q608" i="39" s="1"/>
  <c r="N608" i="39"/>
  <c r="O608" i="39" s="1"/>
  <c r="K608" i="39"/>
  <c r="L608" i="39" s="1"/>
  <c r="F608" i="39"/>
  <c r="G608" i="39" s="1"/>
  <c r="D608" i="39"/>
  <c r="E608" i="39" s="1"/>
  <c r="B608" i="39"/>
  <c r="A608" i="39"/>
  <c r="M608" i="39" s="1"/>
  <c r="Y607" i="39"/>
  <c r="Z607" i="39" s="1"/>
  <c r="W607" i="39"/>
  <c r="X607" i="39" s="1"/>
  <c r="B607" i="39"/>
  <c r="A607" i="39"/>
  <c r="Y606" i="39"/>
  <c r="Z606" i="39" s="1"/>
  <c r="W606" i="39"/>
  <c r="X606" i="39" s="1"/>
  <c r="B606" i="39"/>
  <c r="A606" i="39"/>
  <c r="Y605" i="39"/>
  <c r="Z605" i="39" s="1"/>
  <c r="W605" i="39"/>
  <c r="X605" i="39" s="1"/>
  <c r="B605" i="39"/>
  <c r="A605" i="39"/>
  <c r="Y604" i="39"/>
  <c r="Z604" i="39" s="1"/>
  <c r="W604" i="39"/>
  <c r="K604" i="39"/>
  <c r="L604" i="39" s="1"/>
  <c r="B604" i="39"/>
  <c r="A604" i="39"/>
  <c r="Y603" i="39"/>
  <c r="Z603" i="39" s="1"/>
  <c r="W603" i="39"/>
  <c r="B603" i="39"/>
  <c r="A603" i="39"/>
  <c r="U602" i="39"/>
  <c r="S602" i="39"/>
  <c r="P602" i="39"/>
  <c r="Q602" i="39" s="1"/>
  <c r="N602" i="39"/>
  <c r="O602" i="39" s="1"/>
  <c r="K602" i="39"/>
  <c r="L602" i="39" s="1"/>
  <c r="F602" i="39"/>
  <c r="G602" i="39" s="1"/>
  <c r="D602" i="39"/>
  <c r="E602" i="39" s="1"/>
  <c r="B602" i="39"/>
  <c r="A602" i="39"/>
  <c r="M602" i="39" s="1"/>
  <c r="U601" i="39"/>
  <c r="S601" i="39"/>
  <c r="P601" i="39"/>
  <c r="Q601" i="39" s="1"/>
  <c r="N601" i="39"/>
  <c r="O601" i="39" s="1"/>
  <c r="K601" i="39"/>
  <c r="L601" i="39" s="1"/>
  <c r="F601" i="39"/>
  <c r="G601" i="39" s="1"/>
  <c r="E601" i="39"/>
  <c r="D601" i="39"/>
  <c r="B601" i="39"/>
  <c r="A601" i="39"/>
  <c r="M601" i="39" s="1"/>
  <c r="U600" i="39"/>
  <c r="S600" i="39"/>
  <c r="P600" i="39"/>
  <c r="Q600" i="39" s="1"/>
  <c r="N600" i="39"/>
  <c r="O600" i="39" s="1"/>
  <c r="K600" i="39"/>
  <c r="L600" i="39" s="1"/>
  <c r="F600" i="39"/>
  <c r="G600" i="39" s="1"/>
  <c r="D600" i="39"/>
  <c r="E600" i="39" s="1"/>
  <c r="B600" i="39"/>
  <c r="A600" i="39"/>
  <c r="M600" i="39" s="1"/>
  <c r="U599" i="39"/>
  <c r="S599" i="39"/>
  <c r="P599" i="39"/>
  <c r="Q599" i="39" s="1"/>
  <c r="N599" i="39"/>
  <c r="O599" i="39" s="1"/>
  <c r="K599" i="39"/>
  <c r="L599" i="39" s="1"/>
  <c r="F599" i="39"/>
  <c r="G599" i="39" s="1"/>
  <c r="D599" i="39"/>
  <c r="E599" i="39" s="1"/>
  <c r="B599" i="39"/>
  <c r="A599" i="39"/>
  <c r="M599" i="39" s="1"/>
  <c r="Y598" i="39"/>
  <c r="Z598" i="39" s="1"/>
  <c r="W598" i="39"/>
  <c r="X598" i="39" s="1"/>
  <c r="B598" i="39"/>
  <c r="A598" i="39"/>
  <c r="Y597" i="39"/>
  <c r="W597" i="39"/>
  <c r="X597" i="39" s="1"/>
  <c r="B597" i="39"/>
  <c r="A597" i="39"/>
  <c r="Y596" i="39"/>
  <c r="Z596" i="39" s="1"/>
  <c r="W596" i="39"/>
  <c r="X596" i="39" s="1"/>
  <c r="B596" i="39"/>
  <c r="A596" i="39"/>
  <c r="Y595" i="39"/>
  <c r="W595" i="39"/>
  <c r="X595" i="39" s="1"/>
  <c r="K595" i="39"/>
  <c r="L595" i="39" s="1"/>
  <c r="B595" i="39"/>
  <c r="A595" i="39"/>
  <c r="Y594" i="39"/>
  <c r="Z594" i="39" s="1"/>
  <c r="W594" i="39"/>
  <c r="X594" i="39" s="1"/>
  <c r="B594" i="39"/>
  <c r="A594" i="39"/>
  <c r="U593" i="39"/>
  <c r="S593" i="39"/>
  <c r="P593" i="39"/>
  <c r="Q593" i="39" s="1"/>
  <c r="N593" i="39"/>
  <c r="O593" i="39" s="1"/>
  <c r="K593" i="39"/>
  <c r="L593" i="39" s="1"/>
  <c r="F593" i="39"/>
  <c r="G593" i="39" s="1"/>
  <c r="D593" i="39"/>
  <c r="E593" i="39" s="1"/>
  <c r="B593" i="39"/>
  <c r="A593" i="39"/>
  <c r="M593" i="39" s="1"/>
  <c r="U592" i="39"/>
  <c r="S592" i="39"/>
  <c r="P592" i="39"/>
  <c r="Q592" i="39" s="1"/>
  <c r="N592" i="39"/>
  <c r="O592" i="39" s="1"/>
  <c r="K592" i="39"/>
  <c r="L592" i="39" s="1"/>
  <c r="F592" i="39"/>
  <c r="G592" i="39" s="1"/>
  <c r="D592" i="39"/>
  <c r="E592" i="39" s="1"/>
  <c r="B592" i="39"/>
  <c r="A592" i="39"/>
  <c r="M592" i="39" s="1"/>
  <c r="U591" i="39"/>
  <c r="S591" i="39"/>
  <c r="Q591" i="39"/>
  <c r="P591" i="39"/>
  <c r="N591" i="39"/>
  <c r="O591" i="39" s="1"/>
  <c r="K591" i="39"/>
  <c r="L591" i="39" s="1"/>
  <c r="F591" i="39"/>
  <c r="G591" i="39" s="1"/>
  <c r="D591" i="39"/>
  <c r="E591" i="39" s="1"/>
  <c r="B591" i="39"/>
  <c r="A591" i="39"/>
  <c r="M591" i="39" s="1"/>
  <c r="U590" i="39"/>
  <c r="S590" i="39"/>
  <c r="P590" i="39"/>
  <c r="Q590" i="39" s="1"/>
  <c r="N590" i="39"/>
  <c r="O590" i="39" s="1"/>
  <c r="K590" i="39"/>
  <c r="L590" i="39" s="1"/>
  <c r="F590" i="39"/>
  <c r="G590" i="39" s="1"/>
  <c r="D590" i="39"/>
  <c r="E590" i="39" s="1"/>
  <c r="B590" i="39"/>
  <c r="A590" i="39"/>
  <c r="M590" i="39" s="1"/>
  <c r="Y589" i="39"/>
  <c r="Z589" i="39" s="1"/>
  <c r="X589" i="39"/>
  <c r="W589" i="39"/>
  <c r="B589" i="39"/>
  <c r="A589" i="39"/>
  <c r="Z588" i="39"/>
  <c r="Y588" i="39"/>
  <c r="W588" i="39"/>
  <c r="B588" i="39"/>
  <c r="A588" i="39"/>
  <c r="Y587" i="39"/>
  <c r="Z587" i="39" s="1"/>
  <c r="W587" i="39"/>
  <c r="X587" i="39" s="1"/>
  <c r="B587" i="39"/>
  <c r="A587" i="39"/>
  <c r="Y586" i="39"/>
  <c r="Z586" i="39" s="1"/>
  <c r="W586" i="39"/>
  <c r="X586" i="39" s="1"/>
  <c r="K586" i="39"/>
  <c r="L586" i="39" s="1"/>
  <c r="B586" i="39"/>
  <c r="A586" i="39"/>
  <c r="Y585" i="39"/>
  <c r="Z585" i="39" s="1"/>
  <c r="W585" i="39"/>
  <c r="X585" i="39" s="1"/>
  <c r="B585" i="39"/>
  <c r="A585" i="39"/>
  <c r="U584" i="39"/>
  <c r="S584" i="39"/>
  <c r="P584" i="39"/>
  <c r="Q584" i="39" s="1"/>
  <c r="N584" i="39"/>
  <c r="O584" i="39" s="1"/>
  <c r="K584" i="39"/>
  <c r="L584" i="39" s="1"/>
  <c r="F584" i="39"/>
  <c r="G584" i="39" s="1"/>
  <c r="D584" i="39"/>
  <c r="E584" i="39" s="1"/>
  <c r="B584" i="39"/>
  <c r="A584" i="39"/>
  <c r="M584" i="39" s="1"/>
  <c r="U583" i="39"/>
  <c r="S583" i="39"/>
  <c r="P583" i="39"/>
  <c r="Q583" i="39" s="1"/>
  <c r="N583" i="39"/>
  <c r="O583" i="39" s="1"/>
  <c r="K583" i="39"/>
  <c r="L583" i="39" s="1"/>
  <c r="F583" i="39"/>
  <c r="G583" i="39" s="1"/>
  <c r="D583" i="39"/>
  <c r="E583" i="39" s="1"/>
  <c r="B583" i="39"/>
  <c r="A583" i="39"/>
  <c r="M583" i="39" s="1"/>
  <c r="U582" i="39"/>
  <c r="S582" i="39"/>
  <c r="P582" i="39"/>
  <c r="Q582" i="39" s="1"/>
  <c r="N582" i="39"/>
  <c r="O582" i="39" s="1"/>
  <c r="K582" i="39"/>
  <c r="L582" i="39" s="1"/>
  <c r="F582" i="39"/>
  <c r="G582" i="39" s="1"/>
  <c r="D582" i="39"/>
  <c r="E582" i="39" s="1"/>
  <c r="B582" i="39"/>
  <c r="A582" i="39"/>
  <c r="M582" i="39" s="1"/>
  <c r="U581" i="39"/>
  <c r="S581" i="39"/>
  <c r="P581" i="39"/>
  <c r="Q581" i="39" s="1"/>
  <c r="N581" i="39"/>
  <c r="O581" i="39" s="1"/>
  <c r="K581" i="39"/>
  <c r="L581" i="39" s="1"/>
  <c r="F581" i="39"/>
  <c r="G581" i="39" s="1"/>
  <c r="D581" i="39"/>
  <c r="E581" i="39" s="1"/>
  <c r="B581" i="39"/>
  <c r="A581" i="39"/>
  <c r="M581" i="39" s="1"/>
  <c r="Y580" i="39"/>
  <c r="Z580" i="39" s="1"/>
  <c r="W580" i="39"/>
  <c r="X580" i="39" s="1"/>
  <c r="B580" i="39"/>
  <c r="A580" i="39"/>
  <c r="Y579" i="39"/>
  <c r="Z579" i="39" s="1"/>
  <c r="W579" i="39"/>
  <c r="X579" i="39" s="1"/>
  <c r="B579" i="39"/>
  <c r="A579" i="39"/>
  <c r="Y578" i="39"/>
  <c r="Z578" i="39" s="1"/>
  <c r="W578" i="39"/>
  <c r="B578" i="39"/>
  <c r="A578" i="39"/>
  <c r="Y577" i="39"/>
  <c r="Z577" i="39" s="1"/>
  <c r="W577" i="39"/>
  <c r="K577" i="39"/>
  <c r="L577" i="39" s="1"/>
  <c r="B577" i="39"/>
  <c r="A577" i="39"/>
  <c r="Y576" i="39"/>
  <c r="Z576" i="39" s="1"/>
  <c r="W576" i="39"/>
  <c r="X576" i="39" s="1"/>
  <c r="B576" i="39"/>
  <c r="A576" i="39"/>
  <c r="U575" i="39"/>
  <c r="S575" i="39"/>
  <c r="P575" i="39"/>
  <c r="Q575" i="39" s="1"/>
  <c r="N575" i="39"/>
  <c r="O575" i="39" s="1"/>
  <c r="K575" i="39"/>
  <c r="L575" i="39" s="1"/>
  <c r="F575" i="39"/>
  <c r="G575" i="39" s="1"/>
  <c r="D575" i="39"/>
  <c r="E575" i="39" s="1"/>
  <c r="B575" i="39"/>
  <c r="A575" i="39"/>
  <c r="M575" i="39" s="1"/>
  <c r="U574" i="39"/>
  <c r="S574" i="39"/>
  <c r="P574" i="39"/>
  <c r="Q574" i="39" s="1"/>
  <c r="N574" i="39"/>
  <c r="O574" i="39" s="1"/>
  <c r="K574" i="39"/>
  <c r="L574" i="39" s="1"/>
  <c r="F574" i="39"/>
  <c r="G574" i="39" s="1"/>
  <c r="E574" i="39"/>
  <c r="D574" i="39"/>
  <c r="B574" i="39"/>
  <c r="A574" i="39"/>
  <c r="M574" i="39" s="1"/>
  <c r="U573" i="39"/>
  <c r="S573" i="39"/>
  <c r="P573" i="39"/>
  <c r="Q573" i="39" s="1"/>
  <c r="N573" i="39"/>
  <c r="O573" i="39" s="1"/>
  <c r="K573" i="39"/>
  <c r="L573" i="39" s="1"/>
  <c r="F573" i="39"/>
  <c r="G573" i="39" s="1"/>
  <c r="D573" i="39"/>
  <c r="E573" i="39" s="1"/>
  <c r="B573" i="39"/>
  <c r="A573" i="39"/>
  <c r="M573" i="39" s="1"/>
  <c r="U572" i="39"/>
  <c r="S572" i="39"/>
  <c r="P572" i="39"/>
  <c r="Q572" i="39" s="1"/>
  <c r="N572" i="39"/>
  <c r="O572" i="39" s="1"/>
  <c r="K572" i="39"/>
  <c r="L572" i="39" s="1"/>
  <c r="F572" i="39"/>
  <c r="G572" i="39" s="1"/>
  <c r="D572" i="39"/>
  <c r="E572" i="39" s="1"/>
  <c r="B572" i="39"/>
  <c r="A572" i="39"/>
  <c r="M572" i="39" s="1"/>
  <c r="Z571" i="39"/>
  <c r="Y571" i="39"/>
  <c r="W571" i="39"/>
  <c r="X571" i="39" s="1"/>
  <c r="B571" i="39"/>
  <c r="A571" i="39"/>
  <c r="Y570" i="39"/>
  <c r="Z570" i="39" s="1"/>
  <c r="W570" i="39"/>
  <c r="X570" i="39" s="1"/>
  <c r="B570" i="39"/>
  <c r="A570" i="39"/>
  <c r="Y569" i="39"/>
  <c r="Z569" i="39" s="1"/>
  <c r="W569" i="39"/>
  <c r="X569" i="39" s="1"/>
  <c r="B569" i="39"/>
  <c r="A569" i="39"/>
  <c r="Y568" i="39"/>
  <c r="Z568" i="39" s="1"/>
  <c r="W568" i="39"/>
  <c r="X568" i="39" s="1"/>
  <c r="K568" i="39"/>
  <c r="L568" i="39" s="1"/>
  <c r="B568" i="39"/>
  <c r="A568" i="39"/>
  <c r="Y567" i="39"/>
  <c r="Z567" i="39" s="1"/>
  <c r="W567" i="39"/>
  <c r="X567" i="39" s="1"/>
  <c r="B567" i="39"/>
  <c r="A567" i="39"/>
  <c r="U566" i="39"/>
  <c r="S566" i="39"/>
  <c r="P566" i="39"/>
  <c r="Q566" i="39" s="1"/>
  <c r="N566" i="39"/>
  <c r="O566" i="39" s="1"/>
  <c r="K566" i="39"/>
  <c r="L566" i="39" s="1"/>
  <c r="F566" i="39"/>
  <c r="G566" i="39" s="1"/>
  <c r="D566" i="39"/>
  <c r="E566" i="39" s="1"/>
  <c r="B566" i="39"/>
  <c r="A566" i="39"/>
  <c r="M566" i="39" s="1"/>
  <c r="U565" i="39"/>
  <c r="S565" i="39"/>
  <c r="P565" i="39"/>
  <c r="Q565" i="39" s="1"/>
  <c r="O565" i="39"/>
  <c r="N565" i="39"/>
  <c r="K565" i="39"/>
  <c r="L565" i="39" s="1"/>
  <c r="F565" i="39"/>
  <c r="G565" i="39" s="1"/>
  <c r="D565" i="39"/>
  <c r="E565" i="39" s="1"/>
  <c r="B565" i="39"/>
  <c r="A565" i="39"/>
  <c r="M565" i="39" s="1"/>
  <c r="U564" i="39"/>
  <c r="S564" i="39"/>
  <c r="P564" i="39"/>
  <c r="Q564" i="39" s="1"/>
  <c r="N564" i="39"/>
  <c r="O564" i="39" s="1"/>
  <c r="K564" i="39"/>
  <c r="L564" i="39" s="1"/>
  <c r="F564" i="39"/>
  <c r="G564" i="39" s="1"/>
  <c r="D564" i="39"/>
  <c r="E564" i="39" s="1"/>
  <c r="B564" i="39"/>
  <c r="A564" i="39"/>
  <c r="M564" i="39" s="1"/>
  <c r="U563" i="39"/>
  <c r="S563" i="39"/>
  <c r="P563" i="39"/>
  <c r="Q563" i="39" s="1"/>
  <c r="N563" i="39"/>
  <c r="O563" i="39" s="1"/>
  <c r="K563" i="39"/>
  <c r="L563" i="39" s="1"/>
  <c r="F563" i="39"/>
  <c r="G563" i="39" s="1"/>
  <c r="D563" i="39"/>
  <c r="E563" i="39" s="1"/>
  <c r="B563" i="39"/>
  <c r="A563" i="39"/>
  <c r="M563" i="39" s="1"/>
  <c r="Y562" i="39"/>
  <c r="Z562" i="39" s="1"/>
  <c r="W562" i="39"/>
  <c r="B562" i="39"/>
  <c r="A562" i="39"/>
  <c r="Y561" i="39"/>
  <c r="Z561" i="39" s="1"/>
  <c r="W561" i="39"/>
  <c r="B561" i="39"/>
  <c r="A561" i="39"/>
  <c r="Y560" i="39"/>
  <c r="Z560" i="39" s="1"/>
  <c r="W560" i="39"/>
  <c r="B560" i="39"/>
  <c r="A560" i="39"/>
  <c r="Y559" i="39"/>
  <c r="Z559" i="39" s="1"/>
  <c r="W559" i="39"/>
  <c r="K559" i="39"/>
  <c r="L559" i="39" s="1"/>
  <c r="B559" i="39"/>
  <c r="A559" i="39"/>
  <c r="Y558" i="39"/>
  <c r="Z558" i="39" s="1"/>
  <c r="W558" i="39"/>
  <c r="X558" i="39" s="1"/>
  <c r="B558" i="39"/>
  <c r="A558" i="39"/>
  <c r="U557" i="39"/>
  <c r="S557" i="39"/>
  <c r="P557" i="39"/>
  <c r="Q557" i="39" s="1"/>
  <c r="N557" i="39"/>
  <c r="O557" i="39" s="1"/>
  <c r="K557" i="39"/>
  <c r="L557" i="39" s="1"/>
  <c r="F557" i="39"/>
  <c r="G557" i="39" s="1"/>
  <c r="D557" i="39"/>
  <c r="E557" i="39" s="1"/>
  <c r="B557" i="39"/>
  <c r="A557" i="39"/>
  <c r="M557" i="39" s="1"/>
  <c r="U556" i="39"/>
  <c r="S556" i="39"/>
  <c r="P556" i="39"/>
  <c r="Q556" i="39" s="1"/>
  <c r="N556" i="39"/>
  <c r="O556" i="39" s="1"/>
  <c r="K556" i="39"/>
  <c r="L556" i="39" s="1"/>
  <c r="F556" i="39"/>
  <c r="G556" i="39" s="1"/>
  <c r="D556" i="39"/>
  <c r="E556" i="39" s="1"/>
  <c r="B556" i="39"/>
  <c r="A556" i="39"/>
  <c r="M556" i="39" s="1"/>
  <c r="U555" i="39"/>
  <c r="S555" i="39"/>
  <c r="P555" i="39"/>
  <c r="Q555" i="39" s="1"/>
  <c r="N555" i="39"/>
  <c r="O555" i="39" s="1"/>
  <c r="K555" i="39"/>
  <c r="L555" i="39" s="1"/>
  <c r="F555" i="39"/>
  <c r="G555" i="39" s="1"/>
  <c r="D555" i="39"/>
  <c r="E555" i="39" s="1"/>
  <c r="B555" i="39"/>
  <c r="A555" i="39"/>
  <c r="M555" i="39" s="1"/>
  <c r="U554" i="39"/>
  <c r="S554" i="39"/>
  <c r="P554" i="39"/>
  <c r="Q554" i="39" s="1"/>
  <c r="N554" i="39"/>
  <c r="O554" i="39" s="1"/>
  <c r="K554" i="39"/>
  <c r="L554" i="39" s="1"/>
  <c r="F554" i="39"/>
  <c r="G554" i="39" s="1"/>
  <c r="D554" i="39"/>
  <c r="E554" i="39" s="1"/>
  <c r="B554" i="39"/>
  <c r="A554" i="39"/>
  <c r="M554" i="39" s="1"/>
  <c r="Y553" i="39"/>
  <c r="Z553" i="39" s="1"/>
  <c r="W553" i="39"/>
  <c r="X553" i="39" s="1"/>
  <c r="B553" i="39"/>
  <c r="A553" i="39"/>
  <c r="Y552" i="39"/>
  <c r="Z552" i="39" s="1"/>
  <c r="W552" i="39"/>
  <c r="B552" i="39"/>
  <c r="A552" i="39"/>
  <c r="Y551" i="39"/>
  <c r="Z551" i="39" s="1"/>
  <c r="W551" i="39"/>
  <c r="B551" i="39"/>
  <c r="A551" i="39"/>
  <c r="Y550" i="39"/>
  <c r="Z550" i="39" s="1"/>
  <c r="W550" i="39"/>
  <c r="K550" i="39"/>
  <c r="L550" i="39" s="1"/>
  <c r="B550" i="39"/>
  <c r="A550" i="39"/>
  <c r="Y549" i="39"/>
  <c r="Z549" i="39" s="1"/>
  <c r="W549" i="39"/>
  <c r="X549" i="39" s="1"/>
  <c r="B549" i="39"/>
  <c r="A549" i="39"/>
  <c r="U548" i="39"/>
  <c r="S548" i="39"/>
  <c r="P548" i="39"/>
  <c r="Q548" i="39" s="1"/>
  <c r="N548" i="39"/>
  <c r="O548" i="39" s="1"/>
  <c r="K548" i="39"/>
  <c r="L548" i="39" s="1"/>
  <c r="F548" i="39"/>
  <c r="G548" i="39" s="1"/>
  <c r="D548" i="39"/>
  <c r="E548" i="39" s="1"/>
  <c r="B548" i="39"/>
  <c r="A548" i="39"/>
  <c r="M548" i="39" s="1"/>
  <c r="U547" i="39"/>
  <c r="S547" i="39"/>
  <c r="P547" i="39"/>
  <c r="Q547" i="39" s="1"/>
  <c r="N547" i="39"/>
  <c r="O547" i="39" s="1"/>
  <c r="K547" i="39"/>
  <c r="L547" i="39" s="1"/>
  <c r="F547" i="39"/>
  <c r="G547" i="39" s="1"/>
  <c r="D547" i="39"/>
  <c r="E547" i="39" s="1"/>
  <c r="B547" i="39"/>
  <c r="A547" i="39"/>
  <c r="M547" i="39" s="1"/>
  <c r="U546" i="39"/>
  <c r="S546" i="39"/>
  <c r="P546" i="39"/>
  <c r="Q546" i="39" s="1"/>
  <c r="N546" i="39"/>
  <c r="O546" i="39" s="1"/>
  <c r="K546" i="39"/>
  <c r="L546" i="39" s="1"/>
  <c r="F546" i="39"/>
  <c r="G546" i="39" s="1"/>
  <c r="E546" i="39"/>
  <c r="D546" i="39"/>
  <c r="B546" i="39"/>
  <c r="A546" i="39"/>
  <c r="M546" i="39" s="1"/>
  <c r="U545" i="39"/>
  <c r="S545" i="39"/>
  <c r="P545" i="39"/>
  <c r="Q545" i="39" s="1"/>
  <c r="N545" i="39"/>
  <c r="O545" i="39" s="1"/>
  <c r="K545" i="39"/>
  <c r="L545" i="39" s="1"/>
  <c r="F545" i="39"/>
  <c r="G545" i="39" s="1"/>
  <c r="D545" i="39"/>
  <c r="E545" i="39" s="1"/>
  <c r="B545" i="39"/>
  <c r="A545" i="39"/>
  <c r="M545" i="39" s="1"/>
  <c r="Y544" i="39"/>
  <c r="Z544" i="39" s="1"/>
  <c r="W544" i="39"/>
  <c r="X544" i="39" s="1"/>
  <c r="B544" i="39"/>
  <c r="A544" i="39"/>
  <c r="Y543" i="39"/>
  <c r="Z543" i="39" s="1"/>
  <c r="W543" i="39"/>
  <c r="B543" i="39"/>
  <c r="A543" i="39"/>
  <c r="Y542" i="39"/>
  <c r="Z542" i="39" s="1"/>
  <c r="W542" i="39"/>
  <c r="X542" i="39" s="1"/>
  <c r="B542" i="39"/>
  <c r="A542" i="39"/>
  <c r="Y541" i="39"/>
  <c r="Z541" i="39" s="1"/>
  <c r="W541" i="39"/>
  <c r="K541" i="39"/>
  <c r="L541" i="39" s="1"/>
  <c r="B541" i="39"/>
  <c r="A541" i="39"/>
  <c r="Y540" i="39"/>
  <c r="Z540" i="39" s="1"/>
  <c r="W540" i="39"/>
  <c r="B540" i="39"/>
  <c r="A540" i="39"/>
  <c r="U539" i="39"/>
  <c r="S539" i="39"/>
  <c r="P539" i="39"/>
  <c r="Q539" i="39" s="1"/>
  <c r="N539" i="39"/>
  <c r="O539" i="39" s="1"/>
  <c r="K539" i="39"/>
  <c r="L539" i="39" s="1"/>
  <c r="F539" i="39"/>
  <c r="G539" i="39" s="1"/>
  <c r="D539" i="39"/>
  <c r="E539" i="39" s="1"/>
  <c r="B539" i="39"/>
  <c r="A539" i="39"/>
  <c r="M539" i="39" s="1"/>
  <c r="U538" i="39"/>
  <c r="S538" i="39"/>
  <c r="P538" i="39"/>
  <c r="Q538" i="39" s="1"/>
  <c r="N538" i="39"/>
  <c r="O538" i="39" s="1"/>
  <c r="K538" i="39"/>
  <c r="L538" i="39" s="1"/>
  <c r="F538" i="39"/>
  <c r="G538" i="39" s="1"/>
  <c r="D538" i="39"/>
  <c r="E538" i="39" s="1"/>
  <c r="B538" i="39"/>
  <c r="A538" i="39"/>
  <c r="M538" i="39" s="1"/>
  <c r="U537" i="39"/>
  <c r="S537" i="39"/>
  <c r="P537" i="39"/>
  <c r="Q537" i="39" s="1"/>
  <c r="N537" i="39"/>
  <c r="O537" i="39" s="1"/>
  <c r="K537" i="39"/>
  <c r="L537" i="39" s="1"/>
  <c r="F537" i="39"/>
  <c r="G537" i="39" s="1"/>
  <c r="D537" i="39"/>
  <c r="E537" i="39" s="1"/>
  <c r="B537" i="39"/>
  <c r="A537" i="39"/>
  <c r="M537" i="39" s="1"/>
  <c r="U536" i="39"/>
  <c r="S536" i="39"/>
  <c r="P536" i="39"/>
  <c r="Q536" i="39" s="1"/>
  <c r="N536" i="39"/>
  <c r="O536" i="39" s="1"/>
  <c r="K536" i="39"/>
  <c r="L536" i="39" s="1"/>
  <c r="F536" i="39"/>
  <c r="G536" i="39" s="1"/>
  <c r="D536" i="39"/>
  <c r="E536" i="39" s="1"/>
  <c r="B536" i="39"/>
  <c r="A536" i="39"/>
  <c r="M536" i="39" s="1"/>
  <c r="Y535" i="39"/>
  <c r="Z535" i="39" s="1"/>
  <c r="W535" i="39"/>
  <c r="B535" i="39"/>
  <c r="A535" i="39"/>
  <c r="Y534" i="39"/>
  <c r="Z534" i="39" s="1"/>
  <c r="W534" i="39"/>
  <c r="X534" i="39" s="1"/>
  <c r="B534" i="39"/>
  <c r="A534" i="39"/>
  <c r="Y533" i="39"/>
  <c r="Z533" i="39" s="1"/>
  <c r="W533" i="39"/>
  <c r="B533" i="39"/>
  <c r="A533" i="39"/>
  <c r="Y532" i="39"/>
  <c r="Z532" i="39" s="1"/>
  <c r="W532" i="39"/>
  <c r="K532" i="39"/>
  <c r="L532" i="39" s="1"/>
  <c r="B532" i="39"/>
  <c r="A532" i="39"/>
  <c r="Y531" i="39"/>
  <c r="Z531" i="39" s="1"/>
  <c r="W531" i="39"/>
  <c r="X531" i="39" s="1"/>
  <c r="B531" i="39"/>
  <c r="A531" i="39"/>
  <c r="U530" i="39"/>
  <c r="S530" i="39"/>
  <c r="P530" i="39"/>
  <c r="Q530" i="39" s="1"/>
  <c r="N530" i="39"/>
  <c r="O530" i="39" s="1"/>
  <c r="K530" i="39"/>
  <c r="L530" i="39" s="1"/>
  <c r="F530" i="39"/>
  <c r="G530" i="39" s="1"/>
  <c r="D530" i="39"/>
  <c r="E530" i="39" s="1"/>
  <c r="B530" i="39"/>
  <c r="A530" i="39"/>
  <c r="M530" i="39" s="1"/>
  <c r="U529" i="39"/>
  <c r="S529" i="39"/>
  <c r="P529" i="39"/>
  <c r="Q529" i="39" s="1"/>
  <c r="N529" i="39"/>
  <c r="O529" i="39" s="1"/>
  <c r="K529" i="39"/>
  <c r="L529" i="39" s="1"/>
  <c r="F529" i="39"/>
  <c r="G529" i="39" s="1"/>
  <c r="D529" i="39"/>
  <c r="E529" i="39" s="1"/>
  <c r="B529" i="39"/>
  <c r="A529" i="39"/>
  <c r="M529" i="39" s="1"/>
  <c r="U528" i="39"/>
  <c r="S528" i="39"/>
  <c r="P528" i="39"/>
  <c r="Q528" i="39" s="1"/>
  <c r="N528" i="39"/>
  <c r="O528" i="39" s="1"/>
  <c r="K528" i="39"/>
  <c r="L528" i="39" s="1"/>
  <c r="F528" i="39"/>
  <c r="G528" i="39" s="1"/>
  <c r="D528" i="39"/>
  <c r="E528" i="39" s="1"/>
  <c r="B528" i="39"/>
  <c r="A528" i="39"/>
  <c r="M528" i="39" s="1"/>
  <c r="U527" i="39"/>
  <c r="S527" i="39"/>
  <c r="P527" i="39"/>
  <c r="Q527" i="39" s="1"/>
  <c r="N527" i="39"/>
  <c r="O527" i="39" s="1"/>
  <c r="K527" i="39"/>
  <c r="L527" i="39" s="1"/>
  <c r="F527" i="39"/>
  <c r="G527" i="39" s="1"/>
  <c r="D527" i="39"/>
  <c r="E527" i="39" s="1"/>
  <c r="B527" i="39"/>
  <c r="A527" i="39"/>
  <c r="M527" i="39" s="1"/>
  <c r="Y526" i="39"/>
  <c r="Z526" i="39" s="1"/>
  <c r="W526" i="39"/>
  <c r="X526" i="39" s="1"/>
  <c r="B526" i="39"/>
  <c r="A526" i="39"/>
  <c r="Y525" i="39"/>
  <c r="Z525" i="39" s="1"/>
  <c r="W525" i="39"/>
  <c r="X525" i="39" s="1"/>
  <c r="B525" i="39"/>
  <c r="A525" i="39"/>
  <c r="Y524" i="39"/>
  <c r="Z524" i="39" s="1"/>
  <c r="W524" i="39"/>
  <c r="X524" i="39" s="1"/>
  <c r="B524" i="39"/>
  <c r="A524" i="39"/>
  <c r="Y523" i="39"/>
  <c r="Z523" i="39" s="1"/>
  <c r="W523" i="39"/>
  <c r="X523" i="39" s="1"/>
  <c r="K523" i="39"/>
  <c r="L523" i="39" s="1"/>
  <c r="B523" i="39"/>
  <c r="A523" i="39"/>
  <c r="Y522" i="39"/>
  <c r="Z522" i="39" s="1"/>
  <c r="W522" i="39"/>
  <c r="X522" i="39" s="1"/>
  <c r="B522" i="39"/>
  <c r="A522" i="39"/>
  <c r="U521" i="39"/>
  <c r="S521" i="39"/>
  <c r="P521" i="39"/>
  <c r="Q521" i="39" s="1"/>
  <c r="N521" i="39"/>
  <c r="O521" i="39" s="1"/>
  <c r="K521" i="39"/>
  <c r="L521" i="39" s="1"/>
  <c r="F521" i="39"/>
  <c r="G521" i="39" s="1"/>
  <c r="D521" i="39"/>
  <c r="E521" i="39" s="1"/>
  <c r="B521" i="39"/>
  <c r="A521" i="39"/>
  <c r="M521" i="39" s="1"/>
  <c r="U520" i="39"/>
  <c r="S520" i="39"/>
  <c r="P520" i="39"/>
  <c r="Q520" i="39" s="1"/>
  <c r="N520" i="39"/>
  <c r="O520" i="39" s="1"/>
  <c r="K520" i="39"/>
  <c r="L520" i="39" s="1"/>
  <c r="F520" i="39"/>
  <c r="G520" i="39" s="1"/>
  <c r="D520" i="39"/>
  <c r="E520" i="39" s="1"/>
  <c r="B520" i="39"/>
  <c r="A520" i="39"/>
  <c r="M520" i="39" s="1"/>
  <c r="U519" i="39"/>
  <c r="S519" i="39"/>
  <c r="P519" i="39"/>
  <c r="Q519" i="39" s="1"/>
  <c r="N519" i="39"/>
  <c r="O519" i="39" s="1"/>
  <c r="K519" i="39"/>
  <c r="L519" i="39" s="1"/>
  <c r="F519" i="39"/>
  <c r="G519" i="39" s="1"/>
  <c r="D519" i="39"/>
  <c r="E519" i="39" s="1"/>
  <c r="B519" i="39"/>
  <c r="A519" i="39"/>
  <c r="M519" i="39" s="1"/>
  <c r="U518" i="39"/>
  <c r="S518" i="39"/>
  <c r="P518" i="39"/>
  <c r="Q518" i="39" s="1"/>
  <c r="N518" i="39"/>
  <c r="O518" i="39" s="1"/>
  <c r="K518" i="39"/>
  <c r="L518" i="39" s="1"/>
  <c r="F518" i="39"/>
  <c r="G518" i="39" s="1"/>
  <c r="D518" i="39"/>
  <c r="E518" i="39" s="1"/>
  <c r="B518" i="39"/>
  <c r="A518" i="39"/>
  <c r="M518" i="39" s="1"/>
  <c r="Y517" i="39"/>
  <c r="Z517" i="39" s="1"/>
  <c r="W517" i="39"/>
  <c r="X517" i="39" s="1"/>
  <c r="B517" i="39"/>
  <c r="A517" i="39"/>
  <c r="Y516" i="39"/>
  <c r="Z516" i="39" s="1"/>
  <c r="W516" i="39"/>
  <c r="B516" i="39"/>
  <c r="A516" i="39"/>
  <c r="Y515" i="39"/>
  <c r="Z515" i="39" s="1"/>
  <c r="W515" i="39"/>
  <c r="B515" i="39"/>
  <c r="A515" i="39"/>
  <c r="Y514" i="39"/>
  <c r="Z514" i="39" s="1"/>
  <c r="W514" i="39"/>
  <c r="K514" i="39"/>
  <c r="L514" i="39" s="1"/>
  <c r="B514" i="39"/>
  <c r="A514" i="39"/>
  <c r="Y513" i="39"/>
  <c r="Z513" i="39" s="1"/>
  <c r="W513" i="39"/>
  <c r="X513" i="39" s="1"/>
  <c r="B513" i="39"/>
  <c r="A513" i="39"/>
  <c r="U512" i="39"/>
  <c r="S512" i="39"/>
  <c r="P512" i="39"/>
  <c r="Q512" i="39" s="1"/>
  <c r="N512" i="39"/>
  <c r="O512" i="39" s="1"/>
  <c r="K512" i="39"/>
  <c r="L512" i="39" s="1"/>
  <c r="F512" i="39"/>
  <c r="G512" i="39" s="1"/>
  <c r="D512" i="39"/>
  <c r="E512" i="39" s="1"/>
  <c r="B512" i="39"/>
  <c r="A512" i="39"/>
  <c r="M512" i="39" s="1"/>
  <c r="U511" i="39"/>
  <c r="S511" i="39"/>
  <c r="P511" i="39"/>
  <c r="Q511" i="39" s="1"/>
  <c r="N511" i="39"/>
  <c r="O511" i="39" s="1"/>
  <c r="K511" i="39"/>
  <c r="L511" i="39" s="1"/>
  <c r="F511" i="39"/>
  <c r="G511" i="39" s="1"/>
  <c r="D511" i="39"/>
  <c r="E511" i="39" s="1"/>
  <c r="B511" i="39"/>
  <c r="A511" i="39"/>
  <c r="M511" i="39" s="1"/>
  <c r="U510" i="39"/>
  <c r="S510" i="39"/>
  <c r="P510" i="39"/>
  <c r="Q510" i="39" s="1"/>
  <c r="N510" i="39"/>
  <c r="O510" i="39" s="1"/>
  <c r="K510" i="39"/>
  <c r="L510" i="39" s="1"/>
  <c r="F510" i="39"/>
  <c r="G510" i="39" s="1"/>
  <c r="D510" i="39"/>
  <c r="E510" i="39" s="1"/>
  <c r="B510" i="39"/>
  <c r="A510" i="39"/>
  <c r="M510" i="39" s="1"/>
  <c r="U509" i="39"/>
  <c r="S509" i="39"/>
  <c r="P509" i="39"/>
  <c r="Q509" i="39" s="1"/>
  <c r="N509" i="39"/>
  <c r="O509" i="39" s="1"/>
  <c r="K509" i="39"/>
  <c r="L509" i="39" s="1"/>
  <c r="F509" i="39"/>
  <c r="G509" i="39" s="1"/>
  <c r="D509" i="39"/>
  <c r="E509" i="39" s="1"/>
  <c r="B509" i="39"/>
  <c r="A509" i="39"/>
  <c r="M509" i="39" s="1"/>
  <c r="Y508" i="39"/>
  <c r="Z508" i="39" s="1"/>
  <c r="W508" i="39"/>
  <c r="X508" i="39" s="1"/>
  <c r="B508" i="39"/>
  <c r="A508" i="39"/>
  <c r="Y507" i="39"/>
  <c r="Z507" i="39" s="1"/>
  <c r="W507" i="39"/>
  <c r="X507" i="39" s="1"/>
  <c r="B507" i="39"/>
  <c r="A507" i="39"/>
  <c r="Y506" i="39"/>
  <c r="Z506" i="39" s="1"/>
  <c r="W506" i="39"/>
  <c r="X506" i="39" s="1"/>
  <c r="B506" i="39"/>
  <c r="A506" i="39"/>
  <c r="Y505" i="39"/>
  <c r="Z505" i="39" s="1"/>
  <c r="W505" i="39"/>
  <c r="X505" i="39" s="1"/>
  <c r="K505" i="39"/>
  <c r="L505" i="39" s="1"/>
  <c r="B505" i="39"/>
  <c r="A505" i="39"/>
  <c r="Y504" i="39"/>
  <c r="Z504" i="39" s="1"/>
  <c r="W504" i="39"/>
  <c r="B504" i="39"/>
  <c r="A504" i="39"/>
  <c r="U503" i="39"/>
  <c r="S503" i="39"/>
  <c r="P503" i="39"/>
  <c r="Q503" i="39" s="1"/>
  <c r="N503" i="39"/>
  <c r="O503" i="39" s="1"/>
  <c r="K503" i="39"/>
  <c r="L503" i="39" s="1"/>
  <c r="F503" i="39"/>
  <c r="G503" i="39" s="1"/>
  <c r="D503" i="39"/>
  <c r="E503" i="39" s="1"/>
  <c r="B503" i="39"/>
  <c r="A503" i="39"/>
  <c r="M503" i="39" s="1"/>
  <c r="U502" i="39"/>
  <c r="S502" i="39"/>
  <c r="P502" i="39"/>
  <c r="Q502" i="39" s="1"/>
  <c r="N502" i="39"/>
  <c r="O502" i="39" s="1"/>
  <c r="K502" i="39"/>
  <c r="L502" i="39" s="1"/>
  <c r="F502" i="39"/>
  <c r="G502" i="39" s="1"/>
  <c r="D502" i="39"/>
  <c r="E502" i="39" s="1"/>
  <c r="B502" i="39"/>
  <c r="A502" i="39"/>
  <c r="M502" i="39" s="1"/>
  <c r="U501" i="39"/>
  <c r="S501" i="39"/>
  <c r="P501" i="39"/>
  <c r="Q501" i="39" s="1"/>
  <c r="N501" i="39"/>
  <c r="O501" i="39" s="1"/>
  <c r="K501" i="39"/>
  <c r="L501" i="39" s="1"/>
  <c r="F501" i="39"/>
  <c r="G501" i="39" s="1"/>
  <c r="D501" i="39"/>
  <c r="E501" i="39" s="1"/>
  <c r="B501" i="39"/>
  <c r="A501" i="39"/>
  <c r="M501" i="39" s="1"/>
  <c r="U500" i="39"/>
  <c r="S500" i="39"/>
  <c r="P500" i="39"/>
  <c r="Q500" i="39" s="1"/>
  <c r="N500" i="39"/>
  <c r="O500" i="39" s="1"/>
  <c r="K500" i="39"/>
  <c r="L500" i="39" s="1"/>
  <c r="F500" i="39"/>
  <c r="G500" i="39" s="1"/>
  <c r="D500" i="39"/>
  <c r="E500" i="39" s="1"/>
  <c r="B500" i="39"/>
  <c r="A500" i="39"/>
  <c r="M500" i="39" s="1"/>
  <c r="Y499" i="39"/>
  <c r="Z499" i="39" s="1"/>
  <c r="W499" i="39"/>
  <c r="X499" i="39" s="1"/>
  <c r="B499" i="39"/>
  <c r="A499" i="39"/>
  <c r="Y498" i="39"/>
  <c r="Z498" i="39" s="1"/>
  <c r="W498" i="39"/>
  <c r="X498" i="39" s="1"/>
  <c r="B498" i="39"/>
  <c r="A498" i="39"/>
  <c r="Y497" i="39"/>
  <c r="Z497" i="39" s="1"/>
  <c r="W497" i="39"/>
  <c r="B497" i="39"/>
  <c r="A497" i="39"/>
  <c r="Y496" i="39"/>
  <c r="Z496" i="39" s="1"/>
  <c r="W496" i="39"/>
  <c r="K496" i="39"/>
  <c r="L496" i="39" s="1"/>
  <c r="B496" i="39"/>
  <c r="A496" i="39"/>
  <c r="Y495" i="39"/>
  <c r="W495" i="39"/>
  <c r="X495" i="39" s="1"/>
  <c r="B495" i="39"/>
  <c r="A495" i="39"/>
  <c r="U494" i="39"/>
  <c r="S494" i="39"/>
  <c r="P494" i="39"/>
  <c r="Q494" i="39" s="1"/>
  <c r="N494" i="39"/>
  <c r="O494" i="39" s="1"/>
  <c r="K494" i="39"/>
  <c r="L494" i="39" s="1"/>
  <c r="F494" i="39"/>
  <c r="G494" i="39" s="1"/>
  <c r="D494" i="39"/>
  <c r="E494" i="39" s="1"/>
  <c r="B494" i="39"/>
  <c r="A494" i="39"/>
  <c r="M494" i="39" s="1"/>
  <c r="U493" i="39"/>
  <c r="S493" i="39"/>
  <c r="P493" i="39"/>
  <c r="Q493" i="39" s="1"/>
  <c r="N493" i="39"/>
  <c r="O493" i="39" s="1"/>
  <c r="K493" i="39"/>
  <c r="L493" i="39" s="1"/>
  <c r="F493" i="39"/>
  <c r="G493" i="39" s="1"/>
  <c r="D493" i="39"/>
  <c r="E493" i="39" s="1"/>
  <c r="B493" i="39"/>
  <c r="A493" i="39"/>
  <c r="M493" i="39" s="1"/>
  <c r="U492" i="39"/>
  <c r="S492" i="39"/>
  <c r="P492" i="39"/>
  <c r="Q492" i="39" s="1"/>
  <c r="N492" i="39"/>
  <c r="O492" i="39" s="1"/>
  <c r="K492" i="39"/>
  <c r="L492" i="39" s="1"/>
  <c r="F492" i="39"/>
  <c r="G492" i="39" s="1"/>
  <c r="D492" i="39"/>
  <c r="E492" i="39" s="1"/>
  <c r="B492" i="39"/>
  <c r="A492" i="39"/>
  <c r="M492" i="39" s="1"/>
  <c r="U491" i="39"/>
  <c r="S491" i="39"/>
  <c r="P491" i="39"/>
  <c r="Q491" i="39" s="1"/>
  <c r="N491" i="39"/>
  <c r="O491" i="39" s="1"/>
  <c r="K491" i="39"/>
  <c r="L491" i="39" s="1"/>
  <c r="F491" i="39"/>
  <c r="G491" i="39" s="1"/>
  <c r="D491" i="39"/>
  <c r="E491" i="39" s="1"/>
  <c r="B491" i="39"/>
  <c r="A491" i="39"/>
  <c r="M491" i="39" s="1"/>
  <c r="Y490" i="39"/>
  <c r="Z490" i="39" s="1"/>
  <c r="W490" i="39"/>
  <c r="B490" i="39"/>
  <c r="A490" i="39"/>
  <c r="Y489" i="39"/>
  <c r="Z489" i="39" s="1"/>
  <c r="W489" i="39"/>
  <c r="B489" i="39"/>
  <c r="A489" i="39"/>
  <c r="Y488" i="39"/>
  <c r="Z488" i="39" s="1"/>
  <c r="W488" i="39"/>
  <c r="X488" i="39" s="1"/>
  <c r="B488" i="39"/>
  <c r="A488" i="39"/>
  <c r="Y487" i="39"/>
  <c r="Z487" i="39" s="1"/>
  <c r="W487" i="39"/>
  <c r="K487" i="39"/>
  <c r="L487" i="39" s="1"/>
  <c r="B487" i="39"/>
  <c r="A487" i="39"/>
  <c r="Y486" i="39"/>
  <c r="Z486" i="39" s="1"/>
  <c r="W486" i="39"/>
  <c r="B486" i="39"/>
  <c r="A486" i="39"/>
  <c r="U485" i="39"/>
  <c r="S485" i="39"/>
  <c r="P485" i="39"/>
  <c r="Q485" i="39" s="1"/>
  <c r="N485" i="39"/>
  <c r="O485" i="39" s="1"/>
  <c r="K485" i="39"/>
  <c r="L485" i="39" s="1"/>
  <c r="F485" i="39"/>
  <c r="G485" i="39" s="1"/>
  <c r="D485" i="39"/>
  <c r="E485" i="39" s="1"/>
  <c r="B485" i="39"/>
  <c r="A485" i="39"/>
  <c r="M485" i="39" s="1"/>
  <c r="U484" i="39"/>
  <c r="S484" i="39"/>
  <c r="P484" i="39"/>
  <c r="Q484" i="39" s="1"/>
  <c r="N484" i="39"/>
  <c r="O484" i="39" s="1"/>
  <c r="K484" i="39"/>
  <c r="L484" i="39" s="1"/>
  <c r="F484" i="39"/>
  <c r="G484" i="39" s="1"/>
  <c r="D484" i="39"/>
  <c r="E484" i="39" s="1"/>
  <c r="B484" i="39"/>
  <c r="A484" i="39"/>
  <c r="M484" i="39" s="1"/>
  <c r="U483" i="39"/>
  <c r="S483" i="39"/>
  <c r="P483" i="39"/>
  <c r="Q483" i="39" s="1"/>
  <c r="N483" i="39"/>
  <c r="O483" i="39" s="1"/>
  <c r="K483" i="39"/>
  <c r="L483" i="39" s="1"/>
  <c r="F483" i="39"/>
  <c r="G483" i="39" s="1"/>
  <c r="D483" i="39"/>
  <c r="E483" i="39" s="1"/>
  <c r="B483" i="39"/>
  <c r="A483" i="39"/>
  <c r="M483" i="39" s="1"/>
  <c r="U482" i="39"/>
  <c r="S482" i="39"/>
  <c r="P482" i="39"/>
  <c r="Q482" i="39" s="1"/>
  <c r="N482" i="39"/>
  <c r="O482" i="39" s="1"/>
  <c r="K482" i="39"/>
  <c r="L482" i="39" s="1"/>
  <c r="F482" i="39"/>
  <c r="G482" i="39" s="1"/>
  <c r="D482" i="39"/>
  <c r="E482" i="39" s="1"/>
  <c r="B482" i="39"/>
  <c r="A482" i="39"/>
  <c r="M482" i="39" s="1"/>
  <c r="Y481" i="39"/>
  <c r="Z481" i="39" s="1"/>
  <c r="W481" i="39"/>
  <c r="X481" i="39" s="1"/>
  <c r="B481" i="39"/>
  <c r="A481" i="39"/>
  <c r="Y480" i="39"/>
  <c r="Z480" i="39" s="1"/>
  <c r="W480" i="39"/>
  <c r="B480" i="39"/>
  <c r="A480" i="39"/>
  <c r="Y479" i="39"/>
  <c r="Z479" i="39" s="1"/>
  <c r="W479" i="39"/>
  <c r="B479" i="39"/>
  <c r="A479" i="39"/>
  <c r="Y478" i="39"/>
  <c r="Z478" i="39" s="1"/>
  <c r="W478" i="39"/>
  <c r="K478" i="39"/>
  <c r="L478" i="39" s="1"/>
  <c r="B478" i="39"/>
  <c r="A478" i="39"/>
  <c r="Y477" i="39"/>
  <c r="Z477" i="39" s="1"/>
  <c r="W477" i="39"/>
  <c r="B477" i="39"/>
  <c r="A477" i="39"/>
  <c r="U476" i="39"/>
  <c r="S476" i="39"/>
  <c r="P476" i="39"/>
  <c r="Q476" i="39" s="1"/>
  <c r="N476" i="39"/>
  <c r="O476" i="39" s="1"/>
  <c r="K476" i="39"/>
  <c r="L476" i="39" s="1"/>
  <c r="F476" i="39"/>
  <c r="G476" i="39" s="1"/>
  <c r="D476" i="39"/>
  <c r="E476" i="39" s="1"/>
  <c r="B476" i="39"/>
  <c r="A476" i="39"/>
  <c r="M476" i="39" s="1"/>
  <c r="U475" i="39"/>
  <c r="S475" i="39"/>
  <c r="P475" i="39"/>
  <c r="Q475" i="39" s="1"/>
  <c r="N475" i="39"/>
  <c r="O475" i="39" s="1"/>
  <c r="K475" i="39"/>
  <c r="L475" i="39" s="1"/>
  <c r="F475" i="39"/>
  <c r="G475" i="39" s="1"/>
  <c r="D475" i="39"/>
  <c r="E475" i="39" s="1"/>
  <c r="B475" i="39"/>
  <c r="A475" i="39"/>
  <c r="M475" i="39" s="1"/>
  <c r="U474" i="39"/>
  <c r="S474" i="39"/>
  <c r="P474" i="39"/>
  <c r="Q474" i="39" s="1"/>
  <c r="N474" i="39"/>
  <c r="O474" i="39" s="1"/>
  <c r="K474" i="39"/>
  <c r="L474" i="39" s="1"/>
  <c r="F474" i="39"/>
  <c r="G474" i="39" s="1"/>
  <c r="D474" i="39"/>
  <c r="E474" i="39" s="1"/>
  <c r="B474" i="39"/>
  <c r="A474" i="39"/>
  <c r="M474" i="39" s="1"/>
  <c r="U473" i="39"/>
  <c r="S473" i="39"/>
  <c r="P473" i="39"/>
  <c r="Q473" i="39" s="1"/>
  <c r="N473" i="39"/>
  <c r="O473" i="39" s="1"/>
  <c r="K473" i="39"/>
  <c r="L473" i="39" s="1"/>
  <c r="F473" i="39"/>
  <c r="G473" i="39" s="1"/>
  <c r="D473" i="39"/>
  <c r="E473" i="39" s="1"/>
  <c r="B473" i="39"/>
  <c r="A473" i="39"/>
  <c r="M473" i="39" s="1"/>
  <c r="Y472" i="39"/>
  <c r="Z472" i="39" s="1"/>
  <c r="W472" i="39"/>
  <c r="B472" i="39"/>
  <c r="A472" i="39"/>
  <c r="Y471" i="39"/>
  <c r="Z471" i="39" s="1"/>
  <c r="W471" i="39"/>
  <c r="B471" i="39"/>
  <c r="A471" i="39"/>
  <c r="Y470" i="39"/>
  <c r="Z470" i="39" s="1"/>
  <c r="W470" i="39"/>
  <c r="X470" i="39" s="1"/>
  <c r="B470" i="39"/>
  <c r="A470" i="39"/>
  <c r="Y469" i="39"/>
  <c r="Z469" i="39" s="1"/>
  <c r="W469" i="39"/>
  <c r="X469" i="39" s="1"/>
  <c r="K469" i="39"/>
  <c r="L469" i="39" s="1"/>
  <c r="B469" i="39"/>
  <c r="A469" i="39"/>
  <c r="Y468" i="39"/>
  <c r="Z468" i="39" s="1"/>
  <c r="W468" i="39"/>
  <c r="X468" i="39" s="1"/>
  <c r="B468" i="39"/>
  <c r="A468" i="39"/>
  <c r="U467" i="39"/>
  <c r="S467" i="39"/>
  <c r="P467" i="39"/>
  <c r="Q467" i="39" s="1"/>
  <c r="N467" i="39"/>
  <c r="O467" i="39" s="1"/>
  <c r="K467" i="39"/>
  <c r="L467" i="39" s="1"/>
  <c r="F467" i="39"/>
  <c r="G467" i="39" s="1"/>
  <c r="D467" i="39"/>
  <c r="E467" i="39" s="1"/>
  <c r="B467" i="39"/>
  <c r="A467" i="39"/>
  <c r="M467" i="39" s="1"/>
  <c r="U466" i="39"/>
  <c r="S466" i="39"/>
  <c r="P466" i="39"/>
  <c r="Q466" i="39" s="1"/>
  <c r="N466" i="39"/>
  <c r="O466" i="39" s="1"/>
  <c r="K466" i="39"/>
  <c r="L466" i="39" s="1"/>
  <c r="F466" i="39"/>
  <c r="G466" i="39" s="1"/>
  <c r="D466" i="39"/>
  <c r="E466" i="39" s="1"/>
  <c r="B466" i="39"/>
  <c r="A466" i="39"/>
  <c r="M466" i="39" s="1"/>
  <c r="U465" i="39"/>
  <c r="S465" i="39"/>
  <c r="P465" i="39"/>
  <c r="Q465" i="39" s="1"/>
  <c r="N465" i="39"/>
  <c r="O465" i="39" s="1"/>
  <c r="K465" i="39"/>
  <c r="L465" i="39" s="1"/>
  <c r="F465" i="39"/>
  <c r="G465" i="39" s="1"/>
  <c r="D465" i="39"/>
  <c r="E465" i="39" s="1"/>
  <c r="B465" i="39"/>
  <c r="A465" i="39"/>
  <c r="M465" i="39" s="1"/>
  <c r="U464" i="39"/>
  <c r="S464" i="39"/>
  <c r="P464" i="39"/>
  <c r="Q464" i="39" s="1"/>
  <c r="N464" i="39"/>
  <c r="O464" i="39" s="1"/>
  <c r="K464" i="39"/>
  <c r="L464" i="39" s="1"/>
  <c r="F464" i="39"/>
  <c r="G464" i="39" s="1"/>
  <c r="D464" i="39"/>
  <c r="E464" i="39" s="1"/>
  <c r="B464" i="39"/>
  <c r="A464" i="39"/>
  <c r="M464" i="39" s="1"/>
  <c r="Y463" i="39"/>
  <c r="Z463" i="39" s="1"/>
  <c r="W463" i="39"/>
  <c r="B463" i="39"/>
  <c r="A463" i="39"/>
  <c r="Y462" i="39"/>
  <c r="Z462" i="39" s="1"/>
  <c r="W462" i="39"/>
  <c r="X462" i="39" s="1"/>
  <c r="B462" i="39"/>
  <c r="A462" i="39"/>
  <c r="Y461" i="39"/>
  <c r="Z461" i="39" s="1"/>
  <c r="W461" i="39"/>
  <c r="B461" i="39"/>
  <c r="A461" i="39"/>
  <c r="Y460" i="39"/>
  <c r="Z460" i="39" s="1"/>
  <c r="W460" i="39"/>
  <c r="X460" i="39" s="1"/>
  <c r="K460" i="39"/>
  <c r="L460" i="39" s="1"/>
  <c r="B460" i="39"/>
  <c r="A460" i="39"/>
  <c r="Y459" i="39"/>
  <c r="Z459" i="39" s="1"/>
  <c r="W459" i="39"/>
  <c r="X459" i="39" s="1"/>
  <c r="B459" i="39"/>
  <c r="A459" i="39"/>
  <c r="U458" i="39"/>
  <c r="S458" i="39"/>
  <c r="P458" i="39"/>
  <c r="Q458" i="39" s="1"/>
  <c r="N458" i="39"/>
  <c r="O458" i="39" s="1"/>
  <c r="K458" i="39"/>
  <c r="L458" i="39" s="1"/>
  <c r="F458" i="39"/>
  <c r="G458" i="39" s="1"/>
  <c r="D458" i="39"/>
  <c r="E458" i="39" s="1"/>
  <c r="B458" i="39"/>
  <c r="A458" i="39"/>
  <c r="M458" i="39" s="1"/>
  <c r="U457" i="39"/>
  <c r="S457" i="39"/>
  <c r="P457" i="39"/>
  <c r="Q457" i="39" s="1"/>
  <c r="N457" i="39"/>
  <c r="O457" i="39" s="1"/>
  <c r="K457" i="39"/>
  <c r="L457" i="39" s="1"/>
  <c r="F457" i="39"/>
  <c r="G457" i="39" s="1"/>
  <c r="D457" i="39"/>
  <c r="E457" i="39" s="1"/>
  <c r="B457" i="39"/>
  <c r="A457" i="39"/>
  <c r="M457" i="39" s="1"/>
  <c r="U456" i="39"/>
  <c r="S456" i="39"/>
  <c r="P456" i="39"/>
  <c r="Q456" i="39" s="1"/>
  <c r="N456" i="39"/>
  <c r="O456" i="39" s="1"/>
  <c r="K456" i="39"/>
  <c r="L456" i="39" s="1"/>
  <c r="F456" i="39"/>
  <c r="G456" i="39" s="1"/>
  <c r="D456" i="39"/>
  <c r="E456" i="39" s="1"/>
  <c r="B456" i="39"/>
  <c r="A456" i="39"/>
  <c r="M456" i="39" s="1"/>
  <c r="U455" i="39"/>
  <c r="S455" i="39"/>
  <c r="P455" i="39"/>
  <c r="Q455" i="39" s="1"/>
  <c r="N455" i="39"/>
  <c r="O455" i="39" s="1"/>
  <c r="K455" i="39"/>
  <c r="L455" i="39" s="1"/>
  <c r="F455" i="39"/>
  <c r="G455" i="39" s="1"/>
  <c r="D455" i="39"/>
  <c r="E455" i="39" s="1"/>
  <c r="B455" i="39"/>
  <c r="A455" i="39"/>
  <c r="M455" i="39" s="1"/>
  <c r="Y454" i="39"/>
  <c r="Z454" i="39" s="1"/>
  <c r="W454" i="39"/>
  <c r="X454" i="39" s="1"/>
  <c r="B454" i="39"/>
  <c r="A454" i="39"/>
  <c r="Y453" i="39"/>
  <c r="Z453" i="39" s="1"/>
  <c r="W453" i="39"/>
  <c r="X453" i="39" s="1"/>
  <c r="B453" i="39"/>
  <c r="A453" i="39"/>
  <c r="Y452" i="39"/>
  <c r="Z452" i="39" s="1"/>
  <c r="W452" i="39"/>
  <c r="X452" i="39" s="1"/>
  <c r="B452" i="39"/>
  <c r="A452" i="39"/>
  <c r="Z451" i="39"/>
  <c r="Y451" i="39"/>
  <c r="W451" i="39"/>
  <c r="X451" i="39" s="1"/>
  <c r="K451" i="39"/>
  <c r="L451" i="39" s="1"/>
  <c r="B451" i="39"/>
  <c r="A451" i="39"/>
  <c r="Y450" i="39"/>
  <c r="Z450" i="39" s="1"/>
  <c r="W450" i="39"/>
  <c r="X450" i="39" s="1"/>
  <c r="B450" i="39"/>
  <c r="A450" i="39"/>
  <c r="U449" i="39"/>
  <c r="S449" i="39"/>
  <c r="P449" i="39"/>
  <c r="Q449" i="39" s="1"/>
  <c r="N449" i="39"/>
  <c r="O449" i="39" s="1"/>
  <c r="K449" i="39"/>
  <c r="L449" i="39" s="1"/>
  <c r="F449" i="39"/>
  <c r="G449" i="39" s="1"/>
  <c r="D449" i="39"/>
  <c r="E449" i="39" s="1"/>
  <c r="B449" i="39"/>
  <c r="A449" i="39"/>
  <c r="M449" i="39" s="1"/>
  <c r="U448" i="39"/>
  <c r="S448" i="39"/>
  <c r="P448" i="39"/>
  <c r="Q448" i="39" s="1"/>
  <c r="N448" i="39"/>
  <c r="O448" i="39" s="1"/>
  <c r="K448" i="39"/>
  <c r="L448" i="39" s="1"/>
  <c r="F448" i="39"/>
  <c r="G448" i="39" s="1"/>
  <c r="D448" i="39"/>
  <c r="E448" i="39" s="1"/>
  <c r="B448" i="39"/>
  <c r="A448" i="39"/>
  <c r="M448" i="39" s="1"/>
  <c r="U447" i="39"/>
  <c r="S447" i="39"/>
  <c r="P447" i="39"/>
  <c r="Q447" i="39" s="1"/>
  <c r="N447" i="39"/>
  <c r="O447" i="39" s="1"/>
  <c r="K447" i="39"/>
  <c r="L447" i="39" s="1"/>
  <c r="F447" i="39"/>
  <c r="G447" i="39" s="1"/>
  <c r="D447" i="39"/>
  <c r="E447" i="39" s="1"/>
  <c r="B447" i="39"/>
  <c r="A447" i="39"/>
  <c r="M447" i="39" s="1"/>
  <c r="U446" i="39"/>
  <c r="S446" i="39"/>
  <c r="P446" i="39"/>
  <c r="Q446" i="39" s="1"/>
  <c r="N446" i="39"/>
  <c r="O446" i="39" s="1"/>
  <c r="K446" i="39"/>
  <c r="L446" i="39" s="1"/>
  <c r="F446" i="39"/>
  <c r="G446" i="39" s="1"/>
  <c r="D446" i="39"/>
  <c r="E446" i="39" s="1"/>
  <c r="B446" i="39"/>
  <c r="A446" i="39"/>
  <c r="M446" i="39" s="1"/>
  <c r="Y445" i="39"/>
  <c r="Z445" i="39" s="1"/>
  <c r="W445" i="39"/>
  <c r="B445" i="39"/>
  <c r="A445" i="39"/>
  <c r="Y444" i="39"/>
  <c r="Z444" i="39" s="1"/>
  <c r="W444" i="39"/>
  <c r="X444" i="39" s="1"/>
  <c r="B444" i="39"/>
  <c r="A444" i="39"/>
  <c r="Y443" i="39"/>
  <c r="Z443" i="39" s="1"/>
  <c r="W443" i="39"/>
  <c r="B443" i="39"/>
  <c r="A443" i="39"/>
  <c r="Y442" i="39"/>
  <c r="Z442" i="39" s="1"/>
  <c r="W442" i="39"/>
  <c r="X442" i="39" s="1"/>
  <c r="K442" i="39"/>
  <c r="L442" i="39" s="1"/>
  <c r="B442" i="39"/>
  <c r="A442" i="39"/>
  <c r="Y441" i="39"/>
  <c r="Z441" i="39" s="1"/>
  <c r="W441" i="39"/>
  <c r="X441" i="39" s="1"/>
  <c r="B441" i="39"/>
  <c r="A441" i="39"/>
  <c r="U440" i="39"/>
  <c r="S440" i="39"/>
  <c r="P440" i="39"/>
  <c r="Q440" i="39" s="1"/>
  <c r="N440" i="39"/>
  <c r="O440" i="39" s="1"/>
  <c r="K440" i="39"/>
  <c r="L440" i="39" s="1"/>
  <c r="F440" i="39"/>
  <c r="G440" i="39" s="1"/>
  <c r="D440" i="39"/>
  <c r="E440" i="39" s="1"/>
  <c r="B440" i="39"/>
  <c r="A440" i="39"/>
  <c r="M440" i="39" s="1"/>
  <c r="U439" i="39"/>
  <c r="S439" i="39"/>
  <c r="P439" i="39"/>
  <c r="Q439" i="39" s="1"/>
  <c r="N439" i="39"/>
  <c r="O439" i="39" s="1"/>
  <c r="K439" i="39"/>
  <c r="L439" i="39" s="1"/>
  <c r="F439" i="39"/>
  <c r="G439" i="39" s="1"/>
  <c r="D439" i="39"/>
  <c r="E439" i="39" s="1"/>
  <c r="B439" i="39"/>
  <c r="A439" i="39"/>
  <c r="M439" i="39" s="1"/>
  <c r="U438" i="39"/>
  <c r="S438" i="39"/>
  <c r="P438" i="39"/>
  <c r="Q438" i="39" s="1"/>
  <c r="N438" i="39"/>
  <c r="O438" i="39" s="1"/>
  <c r="K438" i="39"/>
  <c r="L438" i="39" s="1"/>
  <c r="F438" i="39"/>
  <c r="G438" i="39" s="1"/>
  <c r="D438" i="39"/>
  <c r="E438" i="39" s="1"/>
  <c r="B438" i="39"/>
  <c r="A438" i="39"/>
  <c r="M438" i="39" s="1"/>
  <c r="U437" i="39"/>
  <c r="S437" i="39"/>
  <c r="P437" i="39"/>
  <c r="Q437" i="39" s="1"/>
  <c r="N437" i="39"/>
  <c r="O437" i="39" s="1"/>
  <c r="K437" i="39"/>
  <c r="L437" i="39" s="1"/>
  <c r="F437" i="39"/>
  <c r="G437" i="39" s="1"/>
  <c r="D437" i="39"/>
  <c r="E437" i="39" s="1"/>
  <c r="B437" i="39"/>
  <c r="A437" i="39"/>
  <c r="M437" i="39" s="1"/>
  <c r="Y436" i="39"/>
  <c r="Z436" i="39" s="1"/>
  <c r="W436" i="39"/>
  <c r="X436" i="39" s="1"/>
  <c r="B436" i="39"/>
  <c r="A436" i="39"/>
  <c r="Y435" i="39"/>
  <c r="Z435" i="39" s="1"/>
  <c r="W435" i="39"/>
  <c r="X435" i="39" s="1"/>
  <c r="B435" i="39"/>
  <c r="A435" i="39"/>
  <c r="Y434" i="39"/>
  <c r="Z434" i="39" s="1"/>
  <c r="W434" i="39"/>
  <c r="X434" i="39" s="1"/>
  <c r="B434" i="39"/>
  <c r="A434" i="39"/>
  <c r="Y433" i="39"/>
  <c r="Z433" i="39" s="1"/>
  <c r="W433" i="39"/>
  <c r="X433" i="39" s="1"/>
  <c r="K433" i="39"/>
  <c r="L433" i="39" s="1"/>
  <c r="B433" i="39"/>
  <c r="A433" i="39"/>
  <c r="Y432" i="39"/>
  <c r="Z432" i="39" s="1"/>
  <c r="W432" i="39"/>
  <c r="X432" i="39" s="1"/>
  <c r="B432" i="39"/>
  <c r="A432" i="39"/>
  <c r="U431" i="39"/>
  <c r="S431" i="39"/>
  <c r="P431" i="39"/>
  <c r="Q431" i="39" s="1"/>
  <c r="N431" i="39"/>
  <c r="O431" i="39" s="1"/>
  <c r="K431" i="39"/>
  <c r="L431" i="39" s="1"/>
  <c r="F431" i="39"/>
  <c r="G431" i="39" s="1"/>
  <c r="D431" i="39"/>
  <c r="E431" i="39" s="1"/>
  <c r="B431" i="39"/>
  <c r="A431" i="39"/>
  <c r="M431" i="39" s="1"/>
  <c r="U430" i="39"/>
  <c r="S430" i="39"/>
  <c r="P430" i="39"/>
  <c r="Q430" i="39" s="1"/>
  <c r="N430" i="39"/>
  <c r="O430" i="39" s="1"/>
  <c r="K430" i="39"/>
  <c r="L430" i="39" s="1"/>
  <c r="F430" i="39"/>
  <c r="G430" i="39" s="1"/>
  <c r="D430" i="39"/>
  <c r="E430" i="39" s="1"/>
  <c r="B430" i="39"/>
  <c r="A430" i="39"/>
  <c r="M430" i="39" s="1"/>
  <c r="U429" i="39"/>
  <c r="S429" i="39"/>
  <c r="P429" i="39"/>
  <c r="Q429" i="39" s="1"/>
  <c r="N429" i="39"/>
  <c r="O429" i="39" s="1"/>
  <c r="K429" i="39"/>
  <c r="L429" i="39" s="1"/>
  <c r="F429" i="39"/>
  <c r="G429" i="39" s="1"/>
  <c r="D429" i="39"/>
  <c r="E429" i="39" s="1"/>
  <c r="B429" i="39"/>
  <c r="A429" i="39"/>
  <c r="M429" i="39" s="1"/>
  <c r="U428" i="39"/>
  <c r="S428" i="39"/>
  <c r="P428" i="39"/>
  <c r="Q428" i="39" s="1"/>
  <c r="N428" i="39"/>
  <c r="O428" i="39" s="1"/>
  <c r="K428" i="39"/>
  <c r="L428" i="39" s="1"/>
  <c r="F428" i="39"/>
  <c r="G428" i="39" s="1"/>
  <c r="D428" i="39"/>
  <c r="E428" i="39" s="1"/>
  <c r="B428" i="39"/>
  <c r="A428" i="39"/>
  <c r="M428" i="39" s="1"/>
  <c r="Y427" i="39"/>
  <c r="Z427" i="39" s="1"/>
  <c r="W427" i="39"/>
  <c r="X427" i="39" s="1"/>
  <c r="B427" i="39"/>
  <c r="A427" i="39"/>
  <c r="Y426" i="39"/>
  <c r="Z426" i="39" s="1"/>
  <c r="W426" i="39"/>
  <c r="B426" i="39"/>
  <c r="A426" i="39"/>
  <c r="Y425" i="39"/>
  <c r="Z425" i="39" s="1"/>
  <c r="W425" i="39"/>
  <c r="B425" i="39"/>
  <c r="A425" i="39"/>
  <c r="Y424" i="39"/>
  <c r="W424" i="39"/>
  <c r="X424" i="39" s="1"/>
  <c r="K424" i="39"/>
  <c r="L424" i="39" s="1"/>
  <c r="B424" i="39"/>
  <c r="A424" i="39"/>
  <c r="Y423" i="39"/>
  <c r="Z423" i="39" s="1"/>
  <c r="W423" i="39"/>
  <c r="X423" i="39" s="1"/>
  <c r="B423" i="39"/>
  <c r="A423" i="39"/>
  <c r="U422" i="39"/>
  <c r="S422" i="39"/>
  <c r="P422" i="39"/>
  <c r="Q422" i="39" s="1"/>
  <c r="N422" i="39"/>
  <c r="O422" i="39" s="1"/>
  <c r="K422" i="39"/>
  <c r="L422" i="39" s="1"/>
  <c r="F422" i="39"/>
  <c r="G422" i="39" s="1"/>
  <c r="D422" i="39"/>
  <c r="E422" i="39" s="1"/>
  <c r="B422" i="39"/>
  <c r="A422" i="39"/>
  <c r="M422" i="39" s="1"/>
  <c r="U421" i="39"/>
  <c r="S421" i="39"/>
  <c r="P421" i="39"/>
  <c r="Q421" i="39" s="1"/>
  <c r="N421" i="39"/>
  <c r="O421" i="39" s="1"/>
  <c r="K421" i="39"/>
  <c r="L421" i="39" s="1"/>
  <c r="F421" i="39"/>
  <c r="G421" i="39" s="1"/>
  <c r="D421" i="39"/>
  <c r="E421" i="39" s="1"/>
  <c r="B421" i="39"/>
  <c r="A421" i="39"/>
  <c r="M421" i="39" s="1"/>
  <c r="U420" i="39"/>
  <c r="S420" i="39"/>
  <c r="P420" i="39"/>
  <c r="Q420" i="39" s="1"/>
  <c r="N420" i="39"/>
  <c r="O420" i="39" s="1"/>
  <c r="K420" i="39"/>
  <c r="L420" i="39" s="1"/>
  <c r="F420" i="39"/>
  <c r="G420" i="39" s="1"/>
  <c r="D420" i="39"/>
  <c r="E420" i="39" s="1"/>
  <c r="B420" i="39"/>
  <c r="A420" i="39"/>
  <c r="M420" i="39" s="1"/>
  <c r="U419" i="39"/>
  <c r="S419" i="39"/>
  <c r="P419" i="39"/>
  <c r="Q419" i="39" s="1"/>
  <c r="N419" i="39"/>
  <c r="O419" i="39" s="1"/>
  <c r="K419" i="39"/>
  <c r="L419" i="39" s="1"/>
  <c r="F419" i="39"/>
  <c r="G419" i="39" s="1"/>
  <c r="D419" i="39"/>
  <c r="E419" i="39" s="1"/>
  <c r="B419" i="39"/>
  <c r="A419" i="39"/>
  <c r="M419" i="39" s="1"/>
  <c r="Y418" i="39"/>
  <c r="W418" i="39"/>
  <c r="X418" i="39" s="1"/>
  <c r="B418" i="39"/>
  <c r="A418" i="39"/>
  <c r="Y417" i="39"/>
  <c r="W417" i="39"/>
  <c r="X417" i="39" s="1"/>
  <c r="B417" i="39"/>
  <c r="A417" i="39"/>
  <c r="Y416" i="39"/>
  <c r="Z416" i="39" s="1"/>
  <c r="W416" i="39"/>
  <c r="B416" i="39"/>
  <c r="A416" i="39"/>
  <c r="Y415" i="39"/>
  <c r="W415" i="39"/>
  <c r="X415" i="39" s="1"/>
  <c r="K415" i="39"/>
  <c r="L415" i="39" s="1"/>
  <c r="B415" i="39"/>
  <c r="A415" i="39"/>
  <c r="Y414" i="39"/>
  <c r="Z414" i="39" s="1"/>
  <c r="W414" i="39"/>
  <c r="B414" i="39"/>
  <c r="A414" i="39"/>
  <c r="U413" i="39"/>
  <c r="S413" i="39"/>
  <c r="P413" i="39"/>
  <c r="Q413" i="39" s="1"/>
  <c r="N413" i="39"/>
  <c r="O413" i="39" s="1"/>
  <c r="K413" i="39"/>
  <c r="L413" i="39" s="1"/>
  <c r="F413" i="39"/>
  <c r="G413" i="39" s="1"/>
  <c r="D413" i="39"/>
  <c r="E413" i="39" s="1"/>
  <c r="B413" i="39"/>
  <c r="A413" i="39"/>
  <c r="M413" i="39" s="1"/>
  <c r="U412" i="39"/>
  <c r="S412" i="39"/>
  <c r="P412" i="39"/>
  <c r="Q412" i="39" s="1"/>
  <c r="N412" i="39"/>
  <c r="O412" i="39" s="1"/>
  <c r="K412" i="39"/>
  <c r="L412" i="39" s="1"/>
  <c r="F412" i="39"/>
  <c r="G412" i="39" s="1"/>
  <c r="D412" i="39"/>
  <c r="E412" i="39" s="1"/>
  <c r="B412" i="39"/>
  <c r="A412" i="39"/>
  <c r="M412" i="39" s="1"/>
  <c r="U411" i="39"/>
  <c r="S411" i="39"/>
  <c r="P411" i="39"/>
  <c r="Q411" i="39" s="1"/>
  <c r="N411" i="39"/>
  <c r="O411" i="39" s="1"/>
  <c r="K411" i="39"/>
  <c r="L411" i="39" s="1"/>
  <c r="F411" i="39"/>
  <c r="G411" i="39" s="1"/>
  <c r="D411" i="39"/>
  <c r="E411" i="39" s="1"/>
  <c r="B411" i="39"/>
  <c r="A411" i="39"/>
  <c r="M411" i="39" s="1"/>
  <c r="U410" i="39"/>
  <c r="S410" i="39"/>
  <c r="P410" i="39"/>
  <c r="Q410" i="39" s="1"/>
  <c r="N410" i="39"/>
  <c r="O410" i="39" s="1"/>
  <c r="K410" i="39"/>
  <c r="L410" i="39" s="1"/>
  <c r="F410" i="39"/>
  <c r="G410" i="39" s="1"/>
  <c r="D410" i="39"/>
  <c r="E410" i="39" s="1"/>
  <c r="B410" i="39"/>
  <c r="A410" i="39"/>
  <c r="M410" i="39" s="1"/>
  <c r="Y409" i="39"/>
  <c r="W409" i="39"/>
  <c r="X409" i="39" s="1"/>
  <c r="B409" i="39"/>
  <c r="A409" i="39"/>
  <c r="Y408" i="39"/>
  <c r="Z408" i="39" s="1"/>
  <c r="W408" i="39"/>
  <c r="B408" i="39"/>
  <c r="A408" i="39"/>
  <c r="Y407" i="39"/>
  <c r="Z407" i="39" s="1"/>
  <c r="W407" i="39"/>
  <c r="B407" i="39"/>
  <c r="A407" i="39"/>
  <c r="Y406" i="39"/>
  <c r="Z406" i="39" s="1"/>
  <c r="W406" i="39"/>
  <c r="K406" i="39"/>
  <c r="L406" i="39" s="1"/>
  <c r="B406" i="39"/>
  <c r="A406" i="39"/>
  <c r="Y405" i="39"/>
  <c r="W405" i="39"/>
  <c r="X405" i="39" s="1"/>
  <c r="B405" i="39"/>
  <c r="A405" i="39"/>
  <c r="U404" i="39"/>
  <c r="S404" i="39"/>
  <c r="P404" i="39"/>
  <c r="Q404" i="39" s="1"/>
  <c r="N404" i="39"/>
  <c r="O404" i="39" s="1"/>
  <c r="K404" i="39"/>
  <c r="L404" i="39" s="1"/>
  <c r="F404" i="39"/>
  <c r="G404" i="39" s="1"/>
  <c r="D404" i="39"/>
  <c r="E404" i="39" s="1"/>
  <c r="B404" i="39"/>
  <c r="A404" i="39"/>
  <c r="M404" i="39" s="1"/>
  <c r="U403" i="39"/>
  <c r="S403" i="39"/>
  <c r="P403" i="39"/>
  <c r="Q403" i="39" s="1"/>
  <c r="N403" i="39"/>
  <c r="O403" i="39" s="1"/>
  <c r="K403" i="39"/>
  <c r="L403" i="39" s="1"/>
  <c r="F403" i="39"/>
  <c r="G403" i="39" s="1"/>
  <c r="D403" i="39"/>
  <c r="E403" i="39" s="1"/>
  <c r="B403" i="39"/>
  <c r="A403" i="39"/>
  <c r="M403" i="39" s="1"/>
  <c r="U402" i="39"/>
  <c r="S402" i="39"/>
  <c r="P402" i="39"/>
  <c r="Q402" i="39" s="1"/>
  <c r="N402" i="39"/>
  <c r="O402" i="39" s="1"/>
  <c r="K402" i="39"/>
  <c r="L402" i="39" s="1"/>
  <c r="F402" i="39"/>
  <c r="G402" i="39" s="1"/>
  <c r="D402" i="39"/>
  <c r="E402" i="39" s="1"/>
  <c r="B402" i="39"/>
  <c r="A402" i="39"/>
  <c r="M402" i="39" s="1"/>
  <c r="U401" i="39"/>
  <c r="S401" i="39"/>
  <c r="P401" i="39"/>
  <c r="Q401" i="39" s="1"/>
  <c r="N401" i="39"/>
  <c r="O401" i="39" s="1"/>
  <c r="K401" i="39"/>
  <c r="L401" i="39" s="1"/>
  <c r="F401" i="39"/>
  <c r="G401" i="39" s="1"/>
  <c r="D401" i="39"/>
  <c r="E401" i="39" s="1"/>
  <c r="B401" i="39"/>
  <c r="A401" i="39"/>
  <c r="M401" i="39" s="1"/>
  <c r="Y400" i="39"/>
  <c r="Z400" i="39" s="1"/>
  <c r="W400" i="39"/>
  <c r="B400" i="39"/>
  <c r="A400" i="39"/>
  <c r="Y399" i="39"/>
  <c r="Z399" i="39" s="1"/>
  <c r="W399" i="39"/>
  <c r="X399" i="39" s="1"/>
  <c r="B399" i="39"/>
  <c r="A399" i="39"/>
  <c r="Y398" i="39"/>
  <c r="Z398" i="39" s="1"/>
  <c r="W398" i="39"/>
  <c r="B398" i="39"/>
  <c r="A398" i="39"/>
  <c r="Y397" i="39"/>
  <c r="Z397" i="39" s="1"/>
  <c r="W397" i="39"/>
  <c r="X397" i="39" s="1"/>
  <c r="K397" i="39"/>
  <c r="L397" i="39" s="1"/>
  <c r="B397" i="39"/>
  <c r="A397" i="39"/>
  <c r="Y396" i="39"/>
  <c r="Z396" i="39" s="1"/>
  <c r="W396" i="39"/>
  <c r="B396" i="39"/>
  <c r="A396" i="39"/>
  <c r="U395" i="39"/>
  <c r="S395" i="39"/>
  <c r="P395" i="39"/>
  <c r="Q395" i="39" s="1"/>
  <c r="N395" i="39"/>
  <c r="O395" i="39" s="1"/>
  <c r="K395" i="39"/>
  <c r="L395" i="39" s="1"/>
  <c r="F395" i="39"/>
  <c r="G395" i="39" s="1"/>
  <c r="D395" i="39"/>
  <c r="E395" i="39" s="1"/>
  <c r="B395" i="39"/>
  <c r="A395" i="39"/>
  <c r="M395" i="39" s="1"/>
  <c r="U394" i="39"/>
  <c r="S394" i="39"/>
  <c r="P394" i="39"/>
  <c r="Q394" i="39" s="1"/>
  <c r="N394" i="39"/>
  <c r="O394" i="39" s="1"/>
  <c r="K394" i="39"/>
  <c r="L394" i="39" s="1"/>
  <c r="F394" i="39"/>
  <c r="G394" i="39" s="1"/>
  <c r="D394" i="39"/>
  <c r="E394" i="39" s="1"/>
  <c r="B394" i="39"/>
  <c r="A394" i="39"/>
  <c r="M394" i="39" s="1"/>
  <c r="U393" i="39"/>
  <c r="S393" i="39"/>
  <c r="P393" i="39"/>
  <c r="Q393" i="39" s="1"/>
  <c r="N393" i="39"/>
  <c r="O393" i="39" s="1"/>
  <c r="K393" i="39"/>
  <c r="L393" i="39" s="1"/>
  <c r="G393" i="39"/>
  <c r="F393" i="39"/>
  <c r="D393" i="39"/>
  <c r="E393" i="39" s="1"/>
  <c r="B393" i="39"/>
  <c r="A393" i="39"/>
  <c r="M393" i="39" s="1"/>
  <c r="U392" i="39"/>
  <c r="S392" i="39"/>
  <c r="P392" i="39"/>
  <c r="Q392" i="39" s="1"/>
  <c r="N392" i="39"/>
  <c r="O392" i="39" s="1"/>
  <c r="K392" i="39"/>
  <c r="L392" i="39" s="1"/>
  <c r="F392" i="39"/>
  <c r="G392" i="39" s="1"/>
  <c r="D392" i="39"/>
  <c r="E392" i="39" s="1"/>
  <c r="B392" i="39"/>
  <c r="A392" i="39"/>
  <c r="M392" i="39" s="1"/>
  <c r="Y391" i="39"/>
  <c r="Z391" i="39" s="1"/>
  <c r="W391" i="39"/>
  <c r="B391" i="39"/>
  <c r="A391" i="39"/>
  <c r="Y390" i="39"/>
  <c r="Z390" i="39" s="1"/>
  <c r="W390" i="39"/>
  <c r="X390" i="39" s="1"/>
  <c r="B390" i="39"/>
  <c r="A390" i="39"/>
  <c r="Y389" i="39"/>
  <c r="Z389" i="39" s="1"/>
  <c r="W389" i="39"/>
  <c r="B389" i="39"/>
  <c r="A389" i="39"/>
  <c r="Y388" i="39"/>
  <c r="Z388" i="39" s="1"/>
  <c r="W388" i="39"/>
  <c r="X388" i="39" s="1"/>
  <c r="K388" i="39"/>
  <c r="L388" i="39" s="1"/>
  <c r="B388" i="39"/>
  <c r="A388" i="39"/>
  <c r="Y387" i="39"/>
  <c r="Z387" i="39" s="1"/>
  <c r="W387" i="39"/>
  <c r="X387" i="39" s="1"/>
  <c r="B387" i="39"/>
  <c r="A387" i="39"/>
  <c r="U386" i="39"/>
  <c r="S386" i="39"/>
  <c r="P386" i="39"/>
  <c r="Q386" i="39" s="1"/>
  <c r="N386" i="39"/>
  <c r="O386" i="39" s="1"/>
  <c r="K386" i="39"/>
  <c r="L386" i="39" s="1"/>
  <c r="F386" i="39"/>
  <c r="G386" i="39" s="1"/>
  <c r="D386" i="39"/>
  <c r="E386" i="39" s="1"/>
  <c r="B386" i="39"/>
  <c r="A386" i="39"/>
  <c r="M386" i="39" s="1"/>
  <c r="U385" i="39"/>
  <c r="S385" i="39"/>
  <c r="P385" i="39"/>
  <c r="Q385" i="39" s="1"/>
  <c r="N385" i="39"/>
  <c r="O385" i="39" s="1"/>
  <c r="K385" i="39"/>
  <c r="L385" i="39" s="1"/>
  <c r="F385" i="39"/>
  <c r="G385" i="39" s="1"/>
  <c r="D385" i="39"/>
  <c r="E385" i="39" s="1"/>
  <c r="B385" i="39"/>
  <c r="A385" i="39"/>
  <c r="M385" i="39" s="1"/>
  <c r="U384" i="39"/>
  <c r="S384" i="39"/>
  <c r="P384" i="39"/>
  <c r="Q384" i="39" s="1"/>
  <c r="N384" i="39"/>
  <c r="O384" i="39" s="1"/>
  <c r="K384" i="39"/>
  <c r="L384" i="39" s="1"/>
  <c r="F384" i="39"/>
  <c r="G384" i="39" s="1"/>
  <c r="D384" i="39"/>
  <c r="E384" i="39" s="1"/>
  <c r="B384" i="39"/>
  <c r="A384" i="39"/>
  <c r="M384" i="39" s="1"/>
  <c r="U383" i="39"/>
  <c r="S383" i="39"/>
  <c r="P383" i="39"/>
  <c r="Q383" i="39" s="1"/>
  <c r="N383" i="39"/>
  <c r="O383" i="39" s="1"/>
  <c r="K383" i="39"/>
  <c r="L383" i="39" s="1"/>
  <c r="F383" i="39"/>
  <c r="G383" i="39" s="1"/>
  <c r="D383" i="39"/>
  <c r="E383" i="39" s="1"/>
  <c r="B383" i="39"/>
  <c r="A383" i="39"/>
  <c r="M383" i="39" s="1"/>
  <c r="Y382" i="39"/>
  <c r="Z382" i="39" s="1"/>
  <c r="W382" i="39"/>
  <c r="B382" i="39"/>
  <c r="A382" i="39"/>
  <c r="Y381" i="39"/>
  <c r="Z381" i="39" s="1"/>
  <c r="W381" i="39"/>
  <c r="B381" i="39"/>
  <c r="A381" i="39"/>
  <c r="Y380" i="39"/>
  <c r="Z380" i="39" s="1"/>
  <c r="W380" i="39"/>
  <c r="X380" i="39" s="1"/>
  <c r="B380" i="39"/>
  <c r="A380" i="39"/>
  <c r="Y379" i="39"/>
  <c r="Z379" i="39" s="1"/>
  <c r="W379" i="39"/>
  <c r="K379" i="39"/>
  <c r="L379" i="39" s="1"/>
  <c r="B379" i="39"/>
  <c r="A379" i="39"/>
  <c r="Y378" i="39"/>
  <c r="Z378" i="39" s="1"/>
  <c r="W378" i="39"/>
  <c r="B378" i="39"/>
  <c r="A378" i="39"/>
  <c r="U377" i="39"/>
  <c r="S377" i="39"/>
  <c r="P377" i="39"/>
  <c r="Q377" i="39" s="1"/>
  <c r="N377" i="39"/>
  <c r="O377" i="39" s="1"/>
  <c r="K377" i="39"/>
  <c r="L377" i="39" s="1"/>
  <c r="F377" i="39"/>
  <c r="G377" i="39" s="1"/>
  <c r="D377" i="39"/>
  <c r="E377" i="39" s="1"/>
  <c r="B377" i="39"/>
  <c r="A377" i="39"/>
  <c r="M377" i="39" s="1"/>
  <c r="U376" i="39"/>
  <c r="S376" i="39"/>
  <c r="P376" i="39"/>
  <c r="Q376" i="39" s="1"/>
  <c r="N376" i="39"/>
  <c r="O376" i="39" s="1"/>
  <c r="K376" i="39"/>
  <c r="L376" i="39" s="1"/>
  <c r="F376" i="39"/>
  <c r="G376" i="39" s="1"/>
  <c r="D376" i="39"/>
  <c r="E376" i="39" s="1"/>
  <c r="B376" i="39"/>
  <c r="A376" i="39"/>
  <c r="M376" i="39" s="1"/>
  <c r="U375" i="39"/>
  <c r="S375" i="39"/>
  <c r="P375" i="39"/>
  <c r="Q375" i="39" s="1"/>
  <c r="N375" i="39"/>
  <c r="O375" i="39" s="1"/>
  <c r="K375" i="39"/>
  <c r="L375" i="39" s="1"/>
  <c r="F375" i="39"/>
  <c r="G375" i="39" s="1"/>
  <c r="D375" i="39"/>
  <c r="E375" i="39" s="1"/>
  <c r="B375" i="39"/>
  <c r="A375" i="39"/>
  <c r="M375" i="39" s="1"/>
  <c r="U374" i="39"/>
  <c r="S374" i="39"/>
  <c r="P374" i="39"/>
  <c r="Q374" i="39" s="1"/>
  <c r="N374" i="39"/>
  <c r="O374" i="39" s="1"/>
  <c r="K374" i="39"/>
  <c r="L374" i="39" s="1"/>
  <c r="F374" i="39"/>
  <c r="G374" i="39" s="1"/>
  <c r="D374" i="39"/>
  <c r="E374" i="39" s="1"/>
  <c r="B374" i="39"/>
  <c r="A374" i="39"/>
  <c r="M374" i="39" s="1"/>
  <c r="Y373" i="39"/>
  <c r="Z373" i="39" s="1"/>
  <c r="W373" i="39"/>
  <c r="X373" i="39" s="1"/>
  <c r="B373" i="39"/>
  <c r="A373" i="39"/>
  <c r="Y372" i="39"/>
  <c r="Z372" i="39" s="1"/>
  <c r="W372" i="39"/>
  <c r="X372" i="39" s="1"/>
  <c r="B372" i="39"/>
  <c r="A372" i="39"/>
  <c r="Y371" i="39"/>
  <c r="Z371" i="39" s="1"/>
  <c r="W371" i="39"/>
  <c r="B371" i="39"/>
  <c r="A371" i="39"/>
  <c r="Y370" i="39"/>
  <c r="Z370" i="39" s="1"/>
  <c r="W370" i="39"/>
  <c r="X370" i="39" s="1"/>
  <c r="K370" i="39"/>
  <c r="L370" i="39" s="1"/>
  <c r="B370" i="39"/>
  <c r="A370" i="39"/>
  <c r="Z369" i="39"/>
  <c r="Y369" i="39"/>
  <c r="W369" i="39"/>
  <c r="B369" i="39"/>
  <c r="A369" i="39"/>
  <c r="U368" i="39"/>
  <c r="S368" i="39"/>
  <c r="P368" i="39"/>
  <c r="Q368" i="39" s="1"/>
  <c r="N368" i="39"/>
  <c r="O368" i="39" s="1"/>
  <c r="K368" i="39"/>
  <c r="L368" i="39" s="1"/>
  <c r="F368" i="39"/>
  <c r="G368" i="39" s="1"/>
  <c r="D368" i="39"/>
  <c r="E368" i="39" s="1"/>
  <c r="B368" i="39"/>
  <c r="A368" i="39"/>
  <c r="M368" i="39" s="1"/>
  <c r="U367" i="39"/>
  <c r="S367" i="39"/>
  <c r="P367" i="39"/>
  <c r="Q367" i="39" s="1"/>
  <c r="N367" i="39"/>
  <c r="O367" i="39" s="1"/>
  <c r="K367" i="39"/>
  <c r="L367" i="39" s="1"/>
  <c r="F367" i="39"/>
  <c r="G367" i="39" s="1"/>
  <c r="D367" i="39"/>
  <c r="E367" i="39" s="1"/>
  <c r="B367" i="39"/>
  <c r="A367" i="39"/>
  <c r="M367" i="39" s="1"/>
  <c r="U366" i="39"/>
  <c r="S366" i="39"/>
  <c r="P366" i="39"/>
  <c r="Q366" i="39" s="1"/>
  <c r="N366" i="39"/>
  <c r="O366" i="39" s="1"/>
  <c r="K366" i="39"/>
  <c r="L366" i="39" s="1"/>
  <c r="F366" i="39"/>
  <c r="G366" i="39" s="1"/>
  <c r="D366" i="39"/>
  <c r="E366" i="39" s="1"/>
  <c r="B366" i="39"/>
  <c r="A366" i="39"/>
  <c r="M366" i="39" s="1"/>
  <c r="U365" i="39"/>
  <c r="S365" i="39"/>
  <c r="P365" i="39"/>
  <c r="Q365" i="39" s="1"/>
  <c r="N365" i="39"/>
  <c r="O365" i="39" s="1"/>
  <c r="K365" i="39"/>
  <c r="L365" i="39" s="1"/>
  <c r="F365" i="39"/>
  <c r="G365" i="39" s="1"/>
  <c r="D365" i="39"/>
  <c r="E365" i="39" s="1"/>
  <c r="B365" i="39"/>
  <c r="A365" i="39"/>
  <c r="M365" i="39" s="1"/>
  <c r="Y364" i="39"/>
  <c r="Z364" i="39" s="1"/>
  <c r="W364" i="39"/>
  <c r="B364" i="39"/>
  <c r="A364" i="39"/>
  <c r="Y363" i="39"/>
  <c r="Z363" i="39" s="1"/>
  <c r="W363" i="39"/>
  <c r="B363" i="39"/>
  <c r="A363" i="39"/>
  <c r="Y362" i="39"/>
  <c r="W362" i="39"/>
  <c r="X362" i="39" s="1"/>
  <c r="B362" i="39"/>
  <c r="A362" i="39"/>
  <c r="Y361" i="39"/>
  <c r="Z361" i="39" s="1"/>
  <c r="W361" i="39"/>
  <c r="K361" i="39"/>
  <c r="L361" i="39" s="1"/>
  <c r="B361" i="39"/>
  <c r="A361" i="39"/>
  <c r="Y360" i="39"/>
  <c r="Z360" i="39" s="1"/>
  <c r="W360" i="39"/>
  <c r="B360" i="39"/>
  <c r="A360" i="39"/>
  <c r="U359" i="39"/>
  <c r="S359" i="39"/>
  <c r="P359" i="39"/>
  <c r="Q359" i="39" s="1"/>
  <c r="N359" i="39"/>
  <c r="O359" i="39" s="1"/>
  <c r="K359" i="39"/>
  <c r="L359" i="39" s="1"/>
  <c r="F359" i="39"/>
  <c r="G359" i="39" s="1"/>
  <c r="D359" i="39"/>
  <c r="E359" i="39" s="1"/>
  <c r="B359" i="39"/>
  <c r="A359" i="39"/>
  <c r="M359" i="39" s="1"/>
  <c r="U358" i="39"/>
  <c r="S358" i="39"/>
  <c r="P358" i="39"/>
  <c r="Q358" i="39" s="1"/>
  <c r="N358" i="39"/>
  <c r="O358" i="39" s="1"/>
  <c r="K358" i="39"/>
  <c r="L358" i="39" s="1"/>
  <c r="F358" i="39"/>
  <c r="G358" i="39" s="1"/>
  <c r="D358" i="39"/>
  <c r="E358" i="39" s="1"/>
  <c r="B358" i="39"/>
  <c r="A358" i="39"/>
  <c r="M358" i="39" s="1"/>
  <c r="U357" i="39"/>
  <c r="S357" i="39"/>
  <c r="P357" i="39"/>
  <c r="Q357" i="39" s="1"/>
  <c r="N357" i="39"/>
  <c r="O357" i="39" s="1"/>
  <c r="K357" i="39"/>
  <c r="L357" i="39" s="1"/>
  <c r="F357" i="39"/>
  <c r="G357" i="39" s="1"/>
  <c r="D357" i="39"/>
  <c r="E357" i="39" s="1"/>
  <c r="B357" i="39"/>
  <c r="A357" i="39"/>
  <c r="M357" i="39" s="1"/>
  <c r="U356" i="39"/>
  <c r="S356" i="39"/>
  <c r="P356" i="39"/>
  <c r="Q356" i="39" s="1"/>
  <c r="N356" i="39"/>
  <c r="O356" i="39" s="1"/>
  <c r="K356" i="39"/>
  <c r="L356" i="39" s="1"/>
  <c r="F356" i="39"/>
  <c r="G356" i="39" s="1"/>
  <c r="D356" i="39"/>
  <c r="E356" i="39" s="1"/>
  <c r="B356" i="39"/>
  <c r="A356" i="39"/>
  <c r="M356" i="39" s="1"/>
  <c r="Y355" i="39"/>
  <c r="Z355" i="39" s="1"/>
  <c r="W355" i="39"/>
  <c r="B355" i="39"/>
  <c r="A355" i="39"/>
  <c r="Y354" i="39"/>
  <c r="Z354" i="39" s="1"/>
  <c r="W354" i="39"/>
  <c r="B354" i="39"/>
  <c r="A354" i="39"/>
  <c r="Y353" i="39"/>
  <c r="Z353" i="39" s="1"/>
  <c r="W353" i="39"/>
  <c r="X353" i="39" s="1"/>
  <c r="B353" i="39"/>
  <c r="A353" i="39"/>
  <c r="Y352" i="39"/>
  <c r="Z352" i="39" s="1"/>
  <c r="W352" i="39"/>
  <c r="K352" i="39"/>
  <c r="L352" i="39" s="1"/>
  <c r="B352" i="39"/>
  <c r="A352" i="39"/>
  <c r="Y351" i="39"/>
  <c r="Z351" i="39" s="1"/>
  <c r="W351" i="39"/>
  <c r="B351" i="39"/>
  <c r="A351" i="39"/>
  <c r="U350" i="39"/>
  <c r="S350" i="39"/>
  <c r="P350" i="39"/>
  <c r="Q350" i="39" s="1"/>
  <c r="N350" i="39"/>
  <c r="O350" i="39" s="1"/>
  <c r="K350" i="39"/>
  <c r="L350" i="39" s="1"/>
  <c r="F350" i="39"/>
  <c r="G350" i="39" s="1"/>
  <c r="D350" i="39"/>
  <c r="E350" i="39" s="1"/>
  <c r="B350" i="39"/>
  <c r="A350" i="39"/>
  <c r="M350" i="39" s="1"/>
  <c r="U349" i="39"/>
  <c r="S349" i="39"/>
  <c r="P349" i="39"/>
  <c r="Q349" i="39" s="1"/>
  <c r="N349" i="39"/>
  <c r="O349" i="39" s="1"/>
  <c r="K349" i="39"/>
  <c r="L349" i="39" s="1"/>
  <c r="F349" i="39"/>
  <c r="G349" i="39" s="1"/>
  <c r="D349" i="39"/>
  <c r="E349" i="39" s="1"/>
  <c r="B349" i="39"/>
  <c r="A349" i="39"/>
  <c r="M349" i="39" s="1"/>
  <c r="U348" i="39"/>
  <c r="S348" i="39"/>
  <c r="P348" i="39"/>
  <c r="Q348" i="39" s="1"/>
  <c r="N348" i="39"/>
  <c r="O348" i="39" s="1"/>
  <c r="K348" i="39"/>
  <c r="L348" i="39" s="1"/>
  <c r="F348" i="39"/>
  <c r="G348" i="39" s="1"/>
  <c r="D348" i="39"/>
  <c r="E348" i="39" s="1"/>
  <c r="B348" i="39"/>
  <c r="A348" i="39"/>
  <c r="M348" i="39" s="1"/>
  <c r="U347" i="39"/>
  <c r="S347" i="39"/>
  <c r="P347" i="39"/>
  <c r="Q347" i="39" s="1"/>
  <c r="N347" i="39"/>
  <c r="O347" i="39" s="1"/>
  <c r="K347" i="39"/>
  <c r="L347" i="39" s="1"/>
  <c r="F347" i="39"/>
  <c r="G347" i="39" s="1"/>
  <c r="D347" i="39"/>
  <c r="E347" i="39" s="1"/>
  <c r="B347" i="39"/>
  <c r="A347" i="39"/>
  <c r="M347" i="39" s="1"/>
  <c r="Y346" i="39"/>
  <c r="W346" i="39"/>
  <c r="X346" i="39" s="1"/>
  <c r="B346" i="39"/>
  <c r="A346" i="39"/>
  <c r="Y345" i="39"/>
  <c r="Z345" i="39" s="1"/>
  <c r="W345" i="39"/>
  <c r="B345" i="39"/>
  <c r="A345" i="39"/>
  <c r="Y344" i="39"/>
  <c r="W344" i="39"/>
  <c r="X344" i="39" s="1"/>
  <c r="B344" i="39"/>
  <c r="A344" i="39"/>
  <c r="Y343" i="39"/>
  <c r="Z343" i="39" s="1"/>
  <c r="W343" i="39"/>
  <c r="K343" i="39"/>
  <c r="L343" i="39" s="1"/>
  <c r="B343" i="39"/>
  <c r="A343" i="39"/>
  <c r="Y342" i="39"/>
  <c r="Z342" i="39" s="1"/>
  <c r="W342" i="39"/>
  <c r="B342" i="39"/>
  <c r="A342" i="39"/>
  <c r="U341" i="39"/>
  <c r="S341" i="39"/>
  <c r="P341" i="39"/>
  <c r="Q341" i="39" s="1"/>
  <c r="N341" i="39"/>
  <c r="O341" i="39" s="1"/>
  <c r="K341" i="39"/>
  <c r="L341" i="39" s="1"/>
  <c r="F341" i="39"/>
  <c r="G341" i="39" s="1"/>
  <c r="D341" i="39"/>
  <c r="E341" i="39" s="1"/>
  <c r="B341" i="39"/>
  <c r="A341" i="39"/>
  <c r="M341" i="39" s="1"/>
  <c r="U340" i="39"/>
  <c r="S340" i="39"/>
  <c r="P340" i="39"/>
  <c r="Q340" i="39" s="1"/>
  <c r="N340" i="39"/>
  <c r="O340" i="39" s="1"/>
  <c r="K340" i="39"/>
  <c r="L340" i="39" s="1"/>
  <c r="F340" i="39"/>
  <c r="G340" i="39" s="1"/>
  <c r="D340" i="39"/>
  <c r="E340" i="39" s="1"/>
  <c r="B340" i="39"/>
  <c r="A340" i="39"/>
  <c r="M340" i="39" s="1"/>
  <c r="U339" i="39"/>
  <c r="S339" i="39"/>
  <c r="P339" i="39"/>
  <c r="Q339" i="39" s="1"/>
  <c r="N339" i="39"/>
  <c r="O339" i="39" s="1"/>
  <c r="K339" i="39"/>
  <c r="L339" i="39" s="1"/>
  <c r="F339" i="39"/>
  <c r="G339" i="39" s="1"/>
  <c r="D339" i="39"/>
  <c r="E339" i="39" s="1"/>
  <c r="B339" i="39"/>
  <c r="A339" i="39"/>
  <c r="M339" i="39" s="1"/>
  <c r="U338" i="39"/>
  <c r="S338" i="39"/>
  <c r="P338" i="39"/>
  <c r="Q338" i="39" s="1"/>
  <c r="N338" i="39"/>
  <c r="O338" i="39" s="1"/>
  <c r="K338" i="39"/>
  <c r="L338" i="39" s="1"/>
  <c r="F338" i="39"/>
  <c r="G338" i="39" s="1"/>
  <c r="D338" i="39"/>
  <c r="E338" i="39" s="1"/>
  <c r="B338" i="39"/>
  <c r="A338" i="39"/>
  <c r="M338" i="39" s="1"/>
  <c r="Y337" i="39"/>
  <c r="Z337" i="39" s="1"/>
  <c r="W337" i="39"/>
  <c r="X337" i="39" s="1"/>
  <c r="B337" i="39"/>
  <c r="A337" i="39"/>
  <c r="Y336" i="39"/>
  <c r="Z336" i="39" s="1"/>
  <c r="W336" i="39"/>
  <c r="X336" i="39" s="1"/>
  <c r="B336" i="39"/>
  <c r="A336" i="39"/>
  <c r="Y335" i="39"/>
  <c r="Z335" i="39" s="1"/>
  <c r="W335" i="39"/>
  <c r="X335" i="39" s="1"/>
  <c r="B335" i="39"/>
  <c r="A335" i="39"/>
  <c r="Y334" i="39"/>
  <c r="Z334" i="39" s="1"/>
  <c r="W334" i="39"/>
  <c r="X334" i="39" s="1"/>
  <c r="K334" i="39"/>
  <c r="L334" i="39" s="1"/>
  <c r="B334" i="39"/>
  <c r="A334" i="39"/>
  <c r="Y333" i="39"/>
  <c r="Z333" i="39" s="1"/>
  <c r="W333" i="39"/>
  <c r="B333" i="39"/>
  <c r="A333" i="39"/>
  <c r="U332" i="39"/>
  <c r="S332" i="39"/>
  <c r="P332" i="39"/>
  <c r="Q332" i="39" s="1"/>
  <c r="N332" i="39"/>
  <c r="O332" i="39" s="1"/>
  <c r="K332" i="39"/>
  <c r="L332" i="39" s="1"/>
  <c r="F332" i="39"/>
  <c r="G332" i="39" s="1"/>
  <c r="D332" i="39"/>
  <c r="E332" i="39" s="1"/>
  <c r="B332" i="39"/>
  <c r="A332" i="39"/>
  <c r="M332" i="39" s="1"/>
  <c r="U331" i="39"/>
  <c r="S331" i="39"/>
  <c r="P331" i="39"/>
  <c r="Q331" i="39" s="1"/>
  <c r="N331" i="39"/>
  <c r="O331" i="39" s="1"/>
  <c r="K331" i="39"/>
  <c r="L331" i="39" s="1"/>
  <c r="F331" i="39"/>
  <c r="G331" i="39" s="1"/>
  <c r="D331" i="39"/>
  <c r="E331" i="39" s="1"/>
  <c r="B331" i="39"/>
  <c r="A331" i="39"/>
  <c r="M331" i="39" s="1"/>
  <c r="U330" i="39"/>
  <c r="S330" i="39"/>
  <c r="P330" i="39"/>
  <c r="Q330" i="39" s="1"/>
  <c r="N330" i="39"/>
  <c r="O330" i="39" s="1"/>
  <c r="K330" i="39"/>
  <c r="L330" i="39" s="1"/>
  <c r="F330" i="39"/>
  <c r="G330" i="39" s="1"/>
  <c r="D330" i="39"/>
  <c r="E330" i="39" s="1"/>
  <c r="B330" i="39"/>
  <c r="A330" i="39"/>
  <c r="M330" i="39" s="1"/>
  <c r="U329" i="39"/>
  <c r="S329" i="39"/>
  <c r="P329" i="39"/>
  <c r="Q329" i="39" s="1"/>
  <c r="N329" i="39"/>
  <c r="O329" i="39" s="1"/>
  <c r="K329" i="39"/>
  <c r="L329" i="39" s="1"/>
  <c r="F329" i="39"/>
  <c r="G329" i="39" s="1"/>
  <c r="D329" i="39"/>
  <c r="E329" i="39" s="1"/>
  <c r="B329" i="39"/>
  <c r="A329" i="39"/>
  <c r="M329" i="39" s="1"/>
  <c r="Y328" i="39"/>
  <c r="Z328" i="39" s="1"/>
  <c r="W328" i="39"/>
  <c r="B328" i="39"/>
  <c r="A328" i="39"/>
  <c r="Y327" i="39"/>
  <c r="Z327" i="39" s="1"/>
  <c r="W327" i="39"/>
  <c r="B327" i="39"/>
  <c r="A327" i="39"/>
  <c r="Y326" i="39"/>
  <c r="Z326" i="39" s="1"/>
  <c r="W326" i="39"/>
  <c r="X326" i="39" s="1"/>
  <c r="B326" i="39"/>
  <c r="A326" i="39"/>
  <c r="Y325" i="39"/>
  <c r="Z325" i="39" s="1"/>
  <c r="W325" i="39"/>
  <c r="X325" i="39" s="1"/>
  <c r="K325" i="39"/>
  <c r="L325" i="39" s="1"/>
  <c r="B325" i="39"/>
  <c r="A325" i="39"/>
  <c r="Y324" i="39"/>
  <c r="Z324" i="39" s="1"/>
  <c r="W324" i="39"/>
  <c r="X324" i="39" s="1"/>
  <c r="B324" i="39"/>
  <c r="A324" i="39"/>
  <c r="U323" i="39"/>
  <c r="S323" i="39"/>
  <c r="P323" i="39"/>
  <c r="Q323" i="39" s="1"/>
  <c r="O323" i="39"/>
  <c r="N323" i="39"/>
  <c r="K323" i="39"/>
  <c r="L323" i="39" s="1"/>
  <c r="G323" i="39"/>
  <c r="F323" i="39"/>
  <c r="D323" i="39"/>
  <c r="E323" i="39" s="1"/>
  <c r="B323" i="39"/>
  <c r="A323" i="39"/>
  <c r="M323" i="39" s="1"/>
  <c r="U322" i="39"/>
  <c r="S322" i="39"/>
  <c r="P322" i="39"/>
  <c r="Q322" i="39" s="1"/>
  <c r="N322" i="39"/>
  <c r="O322" i="39" s="1"/>
  <c r="K322" i="39"/>
  <c r="L322" i="39" s="1"/>
  <c r="F322" i="39"/>
  <c r="G322" i="39" s="1"/>
  <c r="D322" i="39"/>
  <c r="E322" i="39" s="1"/>
  <c r="B322" i="39"/>
  <c r="A322" i="39"/>
  <c r="M322" i="39" s="1"/>
  <c r="U321" i="39"/>
  <c r="S321" i="39"/>
  <c r="P321" i="39"/>
  <c r="Q321" i="39" s="1"/>
  <c r="N321" i="39"/>
  <c r="O321" i="39" s="1"/>
  <c r="K321" i="39"/>
  <c r="L321" i="39" s="1"/>
  <c r="F321" i="39"/>
  <c r="G321" i="39" s="1"/>
  <c r="D321" i="39"/>
  <c r="E321" i="39" s="1"/>
  <c r="B321" i="39"/>
  <c r="A321" i="39"/>
  <c r="M321" i="39" s="1"/>
  <c r="U320" i="39"/>
  <c r="S320" i="39"/>
  <c r="P320" i="39"/>
  <c r="Q320" i="39" s="1"/>
  <c r="N320" i="39"/>
  <c r="O320" i="39" s="1"/>
  <c r="K320" i="39"/>
  <c r="L320" i="39" s="1"/>
  <c r="F320" i="39"/>
  <c r="G320" i="39" s="1"/>
  <c r="D320" i="39"/>
  <c r="E320" i="39" s="1"/>
  <c r="B320" i="39"/>
  <c r="A320" i="39"/>
  <c r="M320" i="39" s="1"/>
  <c r="Y319" i="39"/>
  <c r="Z319" i="39" s="1"/>
  <c r="W319" i="39"/>
  <c r="X319" i="39" s="1"/>
  <c r="B319" i="39"/>
  <c r="A319" i="39"/>
  <c r="Y318" i="39"/>
  <c r="Z318" i="39" s="1"/>
  <c r="W318" i="39"/>
  <c r="X318" i="39" s="1"/>
  <c r="B318" i="39"/>
  <c r="A318" i="39"/>
  <c r="Y317" i="39"/>
  <c r="Z317" i="39" s="1"/>
  <c r="W317" i="39"/>
  <c r="X317" i="39" s="1"/>
  <c r="B317" i="39"/>
  <c r="A317" i="39"/>
  <c r="Y316" i="39"/>
  <c r="Z316" i="39" s="1"/>
  <c r="W316" i="39"/>
  <c r="X316" i="39" s="1"/>
  <c r="K316" i="39"/>
  <c r="L316" i="39" s="1"/>
  <c r="B316" i="39"/>
  <c r="A316" i="39"/>
  <c r="Y315" i="39"/>
  <c r="Z315" i="39" s="1"/>
  <c r="W315" i="39"/>
  <c r="B315" i="39"/>
  <c r="A315" i="39"/>
  <c r="U314" i="39"/>
  <c r="S314" i="39"/>
  <c r="P314" i="39"/>
  <c r="Q314" i="39" s="1"/>
  <c r="N314" i="39"/>
  <c r="O314" i="39" s="1"/>
  <c r="K314" i="39"/>
  <c r="L314" i="39" s="1"/>
  <c r="F314" i="39"/>
  <c r="G314" i="39" s="1"/>
  <c r="D314" i="39"/>
  <c r="E314" i="39" s="1"/>
  <c r="B314" i="39"/>
  <c r="A314" i="39"/>
  <c r="M314" i="39" s="1"/>
  <c r="U313" i="39"/>
  <c r="S313" i="39"/>
  <c r="P313" i="39"/>
  <c r="Q313" i="39" s="1"/>
  <c r="N313" i="39"/>
  <c r="O313" i="39" s="1"/>
  <c r="K313" i="39"/>
  <c r="L313" i="39" s="1"/>
  <c r="F313" i="39"/>
  <c r="G313" i="39" s="1"/>
  <c r="D313" i="39"/>
  <c r="E313" i="39" s="1"/>
  <c r="B313" i="39"/>
  <c r="A313" i="39"/>
  <c r="M313" i="39" s="1"/>
  <c r="U312" i="39"/>
  <c r="S312" i="39"/>
  <c r="P312" i="39"/>
  <c r="Q312" i="39" s="1"/>
  <c r="N312" i="39"/>
  <c r="O312" i="39" s="1"/>
  <c r="K312" i="39"/>
  <c r="L312" i="39" s="1"/>
  <c r="F312" i="39"/>
  <c r="G312" i="39" s="1"/>
  <c r="D312" i="39"/>
  <c r="E312" i="39" s="1"/>
  <c r="B312" i="39"/>
  <c r="A312" i="39"/>
  <c r="M312" i="39" s="1"/>
  <c r="U311" i="39"/>
  <c r="S311" i="39"/>
  <c r="P311" i="39"/>
  <c r="Q311" i="39" s="1"/>
  <c r="N311" i="39"/>
  <c r="O311" i="39" s="1"/>
  <c r="K311" i="39"/>
  <c r="L311" i="39" s="1"/>
  <c r="F311" i="39"/>
  <c r="G311" i="39" s="1"/>
  <c r="D311" i="39"/>
  <c r="E311" i="39" s="1"/>
  <c r="B311" i="39"/>
  <c r="A311" i="39"/>
  <c r="M311" i="39" s="1"/>
  <c r="Y310" i="39"/>
  <c r="Z310" i="39" s="1"/>
  <c r="W310" i="39"/>
  <c r="X310" i="39" s="1"/>
  <c r="B310" i="39"/>
  <c r="A310" i="39"/>
  <c r="Y309" i="39"/>
  <c r="Z309" i="39" s="1"/>
  <c r="W309" i="39"/>
  <c r="X309" i="39" s="1"/>
  <c r="B309" i="39"/>
  <c r="A309" i="39"/>
  <c r="Y308" i="39"/>
  <c r="Z308" i="39" s="1"/>
  <c r="W308" i="39"/>
  <c r="X308" i="39" s="1"/>
  <c r="B308" i="39"/>
  <c r="A308" i="39"/>
  <c r="Y307" i="39"/>
  <c r="Z307" i="39" s="1"/>
  <c r="W307" i="39"/>
  <c r="X307" i="39" s="1"/>
  <c r="K307" i="39"/>
  <c r="L307" i="39" s="1"/>
  <c r="B307" i="39"/>
  <c r="A307" i="39"/>
  <c r="Y306" i="39"/>
  <c r="Z306" i="39" s="1"/>
  <c r="W306" i="39"/>
  <c r="X306" i="39" s="1"/>
  <c r="B306" i="39"/>
  <c r="A306" i="39"/>
  <c r="U305" i="39"/>
  <c r="S305" i="39"/>
  <c r="P305" i="39"/>
  <c r="Q305" i="39" s="1"/>
  <c r="N305" i="39"/>
  <c r="O305" i="39" s="1"/>
  <c r="K305" i="39"/>
  <c r="L305" i="39" s="1"/>
  <c r="F305" i="39"/>
  <c r="G305" i="39" s="1"/>
  <c r="D305" i="39"/>
  <c r="E305" i="39" s="1"/>
  <c r="B305" i="39"/>
  <c r="A305" i="39"/>
  <c r="M305" i="39" s="1"/>
  <c r="U304" i="39"/>
  <c r="S304" i="39"/>
  <c r="P304" i="39"/>
  <c r="Q304" i="39" s="1"/>
  <c r="N304" i="39"/>
  <c r="O304" i="39" s="1"/>
  <c r="K304" i="39"/>
  <c r="L304" i="39" s="1"/>
  <c r="F304" i="39"/>
  <c r="G304" i="39" s="1"/>
  <c r="D304" i="39"/>
  <c r="E304" i="39" s="1"/>
  <c r="B304" i="39"/>
  <c r="A304" i="39"/>
  <c r="M304" i="39" s="1"/>
  <c r="U303" i="39"/>
  <c r="S303" i="39"/>
  <c r="P303" i="39"/>
  <c r="Q303" i="39" s="1"/>
  <c r="N303" i="39"/>
  <c r="O303" i="39" s="1"/>
  <c r="K303" i="39"/>
  <c r="L303" i="39" s="1"/>
  <c r="F303" i="39"/>
  <c r="G303" i="39" s="1"/>
  <c r="D303" i="39"/>
  <c r="E303" i="39" s="1"/>
  <c r="B303" i="39"/>
  <c r="A303" i="39"/>
  <c r="M303" i="39" s="1"/>
  <c r="U302" i="39"/>
  <c r="S302" i="39"/>
  <c r="P302" i="39"/>
  <c r="Q302" i="39" s="1"/>
  <c r="N302" i="39"/>
  <c r="O302" i="39" s="1"/>
  <c r="K302" i="39"/>
  <c r="L302" i="39" s="1"/>
  <c r="F302" i="39"/>
  <c r="G302" i="39" s="1"/>
  <c r="D302" i="39"/>
  <c r="E302" i="39" s="1"/>
  <c r="B302" i="39"/>
  <c r="A302" i="39"/>
  <c r="M302" i="39" s="1"/>
  <c r="Y301" i="39"/>
  <c r="Z301" i="39" s="1"/>
  <c r="W301" i="39"/>
  <c r="X301" i="39" s="1"/>
  <c r="B301" i="39"/>
  <c r="A301" i="39"/>
  <c r="Y300" i="39"/>
  <c r="Z300" i="39" s="1"/>
  <c r="W300" i="39"/>
  <c r="X300" i="39" s="1"/>
  <c r="B300" i="39"/>
  <c r="A300" i="39"/>
  <c r="Y299" i="39"/>
  <c r="W299" i="39"/>
  <c r="X299" i="39" s="1"/>
  <c r="B299" i="39"/>
  <c r="A299" i="39"/>
  <c r="Y298" i="39"/>
  <c r="Z298" i="39" s="1"/>
  <c r="W298" i="39"/>
  <c r="X298" i="39" s="1"/>
  <c r="K298" i="39"/>
  <c r="L298" i="39" s="1"/>
  <c r="B298" i="39"/>
  <c r="A298" i="39"/>
  <c r="Y297" i="39"/>
  <c r="Z297" i="39" s="1"/>
  <c r="W297" i="39"/>
  <c r="X297" i="39" s="1"/>
  <c r="B297" i="39"/>
  <c r="A297" i="39"/>
  <c r="U296" i="39"/>
  <c r="S296" i="39"/>
  <c r="P296" i="39"/>
  <c r="Q296" i="39" s="1"/>
  <c r="N296" i="39"/>
  <c r="O296" i="39" s="1"/>
  <c r="K296" i="39"/>
  <c r="L296" i="39" s="1"/>
  <c r="F296" i="39"/>
  <c r="G296" i="39" s="1"/>
  <c r="D296" i="39"/>
  <c r="E296" i="39" s="1"/>
  <c r="B296" i="39"/>
  <c r="A296" i="39"/>
  <c r="M296" i="39" s="1"/>
  <c r="U295" i="39"/>
  <c r="S295" i="39"/>
  <c r="P295" i="39"/>
  <c r="Q295" i="39" s="1"/>
  <c r="N295" i="39"/>
  <c r="O295" i="39" s="1"/>
  <c r="K295" i="39"/>
  <c r="L295" i="39" s="1"/>
  <c r="F295" i="39"/>
  <c r="G295" i="39" s="1"/>
  <c r="D295" i="39"/>
  <c r="E295" i="39" s="1"/>
  <c r="B295" i="39"/>
  <c r="A295" i="39"/>
  <c r="M295" i="39" s="1"/>
  <c r="U294" i="39"/>
  <c r="S294" i="39"/>
  <c r="P294" i="39"/>
  <c r="Q294" i="39" s="1"/>
  <c r="N294" i="39"/>
  <c r="O294" i="39" s="1"/>
  <c r="K294" i="39"/>
  <c r="L294" i="39" s="1"/>
  <c r="F294" i="39"/>
  <c r="G294" i="39" s="1"/>
  <c r="D294" i="39"/>
  <c r="E294" i="39" s="1"/>
  <c r="B294" i="39"/>
  <c r="A294" i="39"/>
  <c r="M294" i="39" s="1"/>
  <c r="U293" i="39"/>
  <c r="S293" i="39"/>
  <c r="P293" i="39"/>
  <c r="Q293" i="39" s="1"/>
  <c r="N293" i="39"/>
  <c r="O293" i="39" s="1"/>
  <c r="K293" i="39"/>
  <c r="L293" i="39" s="1"/>
  <c r="F293" i="39"/>
  <c r="G293" i="39" s="1"/>
  <c r="D293" i="39"/>
  <c r="E293" i="39" s="1"/>
  <c r="B293" i="39"/>
  <c r="A293" i="39"/>
  <c r="M293" i="39" s="1"/>
  <c r="Y292" i="39"/>
  <c r="Z292" i="39" s="1"/>
  <c r="W292" i="39"/>
  <c r="X292" i="39" s="1"/>
  <c r="B292" i="39"/>
  <c r="A292" i="39"/>
  <c r="Y291" i="39"/>
  <c r="Z291" i="39" s="1"/>
  <c r="W291" i="39"/>
  <c r="X291" i="39" s="1"/>
  <c r="B291" i="39"/>
  <c r="A291" i="39"/>
  <c r="Y290" i="39"/>
  <c r="Z290" i="39" s="1"/>
  <c r="W290" i="39"/>
  <c r="X290" i="39" s="1"/>
  <c r="B290" i="39"/>
  <c r="A290" i="39"/>
  <c r="Y289" i="39"/>
  <c r="Z289" i="39" s="1"/>
  <c r="W289" i="39"/>
  <c r="X289" i="39" s="1"/>
  <c r="K289" i="39"/>
  <c r="L289" i="39" s="1"/>
  <c r="B289" i="39"/>
  <c r="A289" i="39"/>
  <c r="Y288" i="39"/>
  <c r="Z288" i="39" s="1"/>
  <c r="W288" i="39"/>
  <c r="X288" i="39" s="1"/>
  <c r="B288" i="39"/>
  <c r="A288" i="39"/>
  <c r="U287" i="39"/>
  <c r="S287" i="39"/>
  <c r="P287" i="39"/>
  <c r="Q287" i="39" s="1"/>
  <c r="N287" i="39"/>
  <c r="O287" i="39" s="1"/>
  <c r="K287" i="39"/>
  <c r="L287" i="39" s="1"/>
  <c r="F287" i="39"/>
  <c r="G287" i="39" s="1"/>
  <c r="D287" i="39"/>
  <c r="E287" i="39" s="1"/>
  <c r="B287" i="39"/>
  <c r="A287" i="39"/>
  <c r="M287" i="39" s="1"/>
  <c r="U286" i="39"/>
  <c r="S286" i="39"/>
  <c r="P286" i="39"/>
  <c r="Q286" i="39" s="1"/>
  <c r="N286" i="39"/>
  <c r="O286" i="39" s="1"/>
  <c r="K286" i="39"/>
  <c r="L286" i="39" s="1"/>
  <c r="F286" i="39"/>
  <c r="G286" i="39" s="1"/>
  <c r="D286" i="39"/>
  <c r="E286" i="39" s="1"/>
  <c r="B286" i="39"/>
  <c r="A286" i="39"/>
  <c r="M286" i="39" s="1"/>
  <c r="U285" i="39"/>
  <c r="S285" i="39"/>
  <c r="P285" i="39"/>
  <c r="Q285" i="39" s="1"/>
  <c r="N285" i="39"/>
  <c r="O285" i="39" s="1"/>
  <c r="K285" i="39"/>
  <c r="L285" i="39" s="1"/>
  <c r="F285" i="39"/>
  <c r="G285" i="39" s="1"/>
  <c r="D285" i="39"/>
  <c r="E285" i="39" s="1"/>
  <c r="B285" i="39"/>
  <c r="A285" i="39"/>
  <c r="M285" i="39" s="1"/>
  <c r="U284" i="39"/>
  <c r="S284" i="39"/>
  <c r="P284" i="39"/>
  <c r="Q284" i="39" s="1"/>
  <c r="N284" i="39"/>
  <c r="O284" i="39" s="1"/>
  <c r="K284" i="39"/>
  <c r="L284" i="39" s="1"/>
  <c r="F284" i="39"/>
  <c r="G284" i="39" s="1"/>
  <c r="D284" i="39"/>
  <c r="E284" i="39" s="1"/>
  <c r="B284" i="39"/>
  <c r="A284" i="39"/>
  <c r="M284" i="39" s="1"/>
  <c r="Y283" i="39"/>
  <c r="Z283" i="39" s="1"/>
  <c r="W283" i="39"/>
  <c r="X283" i="39" s="1"/>
  <c r="B283" i="39"/>
  <c r="A283" i="39"/>
  <c r="Y282" i="39"/>
  <c r="Z282" i="39" s="1"/>
  <c r="W282" i="39"/>
  <c r="X282" i="39" s="1"/>
  <c r="B282" i="39"/>
  <c r="A282" i="39"/>
  <c r="Y281" i="39"/>
  <c r="Z281" i="39" s="1"/>
  <c r="W281" i="39"/>
  <c r="B281" i="39"/>
  <c r="A281" i="39"/>
  <c r="Y280" i="39"/>
  <c r="Z280" i="39" s="1"/>
  <c r="W280" i="39"/>
  <c r="X280" i="39" s="1"/>
  <c r="K280" i="39"/>
  <c r="L280" i="39" s="1"/>
  <c r="B280" i="39"/>
  <c r="A280" i="39"/>
  <c r="Y279" i="39"/>
  <c r="Z279" i="39" s="1"/>
  <c r="W279" i="39"/>
  <c r="X279" i="39" s="1"/>
  <c r="B279" i="39"/>
  <c r="A279" i="39"/>
  <c r="U278" i="39"/>
  <c r="S278" i="39"/>
  <c r="P278" i="39"/>
  <c r="Q278" i="39" s="1"/>
  <c r="N278" i="39"/>
  <c r="O278" i="39" s="1"/>
  <c r="K278" i="39"/>
  <c r="L278" i="39" s="1"/>
  <c r="F278" i="39"/>
  <c r="G278" i="39" s="1"/>
  <c r="D278" i="39"/>
  <c r="E278" i="39" s="1"/>
  <c r="B278" i="39"/>
  <c r="A278" i="39"/>
  <c r="M278" i="39" s="1"/>
  <c r="U277" i="39"/>
  <c r="S277" i="39"/>
  <c r="P277" i="39"/>
  <c r="Q277" i="39" s="1"/>
  <c r="N277" i="39"/>
  <c r="O277" i="39" s="1"/>
  <c r="K277" i="39"/>
  <c r="L277" i="39" s="1"/>
  <c r="F277" i="39"/>
  <c r="G277" i="39" s="1"/>
  <c r="D277" i="39"/>
  <c r="E277" i="39" s="1"/>
  <c r="B277" i="39"/>
  <c r="A277" i="39"/>
  <c r="M277" i="39" s="1"/>
  <c r="U276" i="39"/>
  <c r="S276" i="39"/>
  <c r="P276" i="39"/>
  <c r="Q276" i="39" s="1"/>
  <c r="N276" i="39"/>
  <c r="O276" i="39" s="1"/>
  <c r="K276" i="39"/>
  <c r="L276" i="39" s="1"/>
  <c r="F276" i="39"/>
  <c r="G276" i="39" s="1"/>
  <c r="D276" i="39"/>
  <c r="E276" i="39" s="1"/>
  <c r="B276" i="39"/>
  <c r="A276" i="39"/>
  <c r="M276" i="39" s="1"/>
  <c r="U275" i="39"/>
  <c r="S275" i="39"/>
  <c r="P275" i="39"/>
  <c r="Q275" i="39" s="1"/>
  <c r="N275" i="39"/>
  <c r="O275" i="39" s="1"/>
  <c r="K275" i="39"/>
  <c r="L275" i="39" s="1"/>
  <c r="F275" i="39"/>
  <c r="G275" i="39" s="1"/>
  <c r="D275" i="39"/>
  <c r="E275" i="39" s="1"/>
  <c r="B275" i="39"/>
  <c r="A275" i="39"/>
  <c r="M275" i="39" s="1"/>
  <c r="Y274" i="39"/>
  <c r="Z274" i="39" s="1"/>
  <c r="W274" i="39"/>
  <c r="X274" i="39" s="1"/>
  <c r="B274" i="39"/>
  <c r="A274" i="39"/>
  <c r="Y273" i="39"/>
  <c r="Z273" i="39" s="1"/>
  <c r="W273" i="39"/>
  <c r="X273" i="39" s="1"/>
  <c r="B273" i="39"/>
  <c r="A273" i="39"/>
  <c r="Y272" i="39"/>
  <c r="Z272" i="39" s="1"/>
  <c r="W272" i="39"/>
  <c r="X272" i="39" s="1"/>
  <c r="B272" i="39"/>
  <c r="A272" i="39"/>
  <c r="Y271" i="39"/>
  <c r="Z271" i="39" s="1"/>
  <c r="W271" i="39"/>
  <c r="X271" i="39" s="1"/>
  <c r="K271" i="39"/>
  <c r="L271" i="39" s="1"/>
  <c r="B271" i="39"/>
  <c r="A271" i="39"/>
  <c r="Y270" i="39"/>
  <c r="Z270" i="39" s="1"/>
  <c r="W270" i="39"/>
  <c r="X270" i="39" s="1"/>
  <c r="B270" i="39"/>
  <c r="A270" i="39"/>
  <c r="U269" i="39"/>
  <c r="S269" i="39"/>
  <c r="P269" i="39"/>
  <c r="Q269" i="39" s="1"/>
  <c r="N269" i="39"/>
  <c r="O269" i="39" s="1"/>
  <c r="K269" i="39"/>
  <c r="L269" i="39" s="1"/>
  <c r="F269" i="39"/>
  <c r="G269" i="39" s="1"/>
  <c r="D269" i="39"/>
  <c r="E269" i="39" s="1"/>
  <c r="B269" i="39"/>
  <c r="A269" i="39"/>
  <c r="M269" i="39" s="1"/>
  <c r="U268" i="39"/>
  <c r="S268" i="39"/>
  <c r="P268" i="39"/>
  <c r="Q268" i="39" s="1"/>
  <c r="N268" i="39"/>
  <c r="O268" i="39" s="1"/>
  <c r="K268" i="39"/>
  <c r="L268" i="39" s="1"/>
  <c r="F268" i="39"/>
  <c r="G268" i="39" s="1"/>
  <c r="D268" i="39"/>
  <c r="E268" i="39" s="1"/>
  <c r="B268" i="39"/>
  <c r="A268" i="39"/>
  <c r="M268" i="39" s="1"/>
  <c r="U267" i="39"/>
  <c r="S267" i="39"/>
  <c r="P267" i="39"/>
  <c r="Q267" i="39" s="1"/>
  <c r="N267" i="39"/>
  <c r="O267" i="39" s="1"/>
  <c r="K267" i="39"/>
  <c r="L267" i="39" s="1"/>
  <c r="F267" i="39"/>
  <c r="G267" i="39" s="1"/>
  <c r="D267" i="39"/>
  <c r="E267" i="39" s="1"/>
  <c r="B267" i="39"/>
  <c r="A267" i="39"/>
  <c r="M267" i="39" s="1"/>
  <c r="U266" i="39"/>
  <c r="S266" i="39"/>
  <c r="P266" i="39"/>
  <c r="Q266" i="39" s="1"/>
  <c r="N266" i="39"/>
  <c r="O266" i="39" s="1"/>
  <c r="K266" i="39"/>
  <c r="L266" i="39" s="1"/>
  <c r="F266" i="39"/>
  <c r="G266" i="39" s="1"/>
  <c r="D266" i="39"/>
  <c r="E266" i="39" s="1"/>
  <c r="B266" i="39"/>
  <c r="A266" i="39"/>
  <c r="M266" i="39" s="1"/>
  <c r="Y265" i="39"/>
  <c r="Z265" i="39" s="1"/>
  <c r="W265" i="39"/>
  <c r="X265" i="39" s="1"/>
  <c r="B265" i="39"/>
  <c r="A265" i="39"/>
  <c r="Y264" i="39"/>
  <c r="Z264" i="39" s="1"/>
  <c r="W264" i="39"/>
  <c r="X264" i="39" s="1"/>
  <c r="B264" i="39"/>
  <c r="A264" i="39"/>
  <c r="Y263" i="39"/>
  <c r="W263" i="39"/>
  <c r="X263" i="39" s="1"/>
  <c r="B263" i="39"/>
  <c r="A263" i="39"/>
  <c r="Y262" i="39"/>
  <c r="Z262" i="39" s="1"/>
  <c r="W262" i="39"/>
  <c r="X262" i="39" s="1"/>
  <c r="K262" i="39"/>
  <c r="L262" i="39" s="1"/>
  <c r="B262" i="39"/>
  <c r="A262" i="39"/>
  <c r="Y261" i="39"/>
  <c r="W261" i="39"/>
  <c r="X261" i="39" s="1"/>
  <c r="B261" i="39"/>
  <c r="A261" i="39"/>
  <c r="U260" i="39"/>
  <c r="S260" i="39"/>
  <c r="P260" i="39"/>
  <c r="Q260" i="39" s="1"/>
  <c r="N260" i="39"/>
  <c r="O260" i="39" s="1"/>
  <c r="K260" i="39"/>
  <c r="L260" i="39" s="1"/>
  <c r="F260" i="39"/>
  <c r="G260" i="39" s="1"/>
  <c r="D260" i="39"/>
  <c r="E260" i="39" s="1"/>
  <c r="B260" i="39"/>
  <c r="A260" i="39"/>
  <c r="M260" i="39" s="1"/>
  <c r="U259" i="39"/>
  <c r="S259" i="39"/>
  <c r="P259" i="39"/>
  <c r="Q259" i="39" s="1"/>
  <c r="N259" i="39"/>
  <c r="O259" i="39" s="1"/>
  <c r="K259" i="39"/>
  <c r="L259" i="39" s="1"/>
  <c r="F259" i="39"/>
  <c r="G259" i="39" s="1"/>
  <c r="D259" i="39"/>
  <c r="E259" i="39" s="1"/>
  <c r="B259" i="39"/>
  <c r="A259" i="39"/>
  <c r="M259" i="39" s="1"/>
  <c r="U258" i="39"/>
  <c r="S258" i="39"/>
  <c r="P258" i="39"/>
  <c r="Q258" i="39" s="1"/>
  <c r="N258" i="39"/>
  <c r="O258" i="39" s="1"/>
  <c r="K258" i="39"/>
  <c r="L258" i="39" s="1"/>
  <c r="F258" i="39"/>
  <c r="G258" i="39" s="1"/>
  <c r="D258" i="39"/>
  <c r="E258" i="39" s="1"/>
  <c r="B258" i="39"/>
  <c r="A258" i="39"/>
  <c r="M258" i="39" s="1"/>
  <c r="U257" i="39"/>
  <c r="S257" i="39"/>
  <c r="P257" i="39"/>
  <c r="Q257" i="39" s="1"/>
  <c r="N257" i="39"/>
  <c r="O257" i="39" s="1"/>
  <c r="K257" i="39"/>
  <c r="L257" i="39" s="1"/>
  <c r="F257" i="39"/>
  <c r="G257" i="39" s="1"/>
  <c r="D257" i="39"/>
  <c r="E257" i="39" s="1"/>
  <c r="B257" i="39"/>
  <c r="A257" i="39"/>
  <c r="M257" i="39" s="1"/>
  <c r="Y256" i="39"/>
  <c r="Z256" i="39" s="1"/>
  <c r="W256" i="39"/>
  <c r="X256" i="39" s="1"/>
  <c r="B256" i="39"/>
  <c r="A256" i="39"/>
  <c r="Y255" i="39"/>
  <c r="Z255" i="39" s="1"/>
  <c r="W255" i="39"/>
  <c r="X255" i="39" s="1"/>
  <c r="B255" i="39"/>
  <c r="A255" i="39"/>
  <c r="Y254" i="39"/>
  <c r="Z254" i="39" s="1"/>
  <c r="W254" i="39"/>
  <c r="B254" i="39"/>
  <c r="A254" i="39"/>
  <c r="Y253" i="39"/>
  <c r="W253" i="39"/>
  <c r="X253" i="39" s="1"/>
  <c r="K253" i="39"/>
  <c r="L253" i="39" s="1"/>
  <c r="B253" i="39"/>
  <c r="A253" i="39"/>
  <c r="Y252" i="39"/>
  <c r="Z252" i="39" s="1"/>
  <c r="W252" i="39"/>
  <c r="X252" i="39" s="1"/>
  <c r="B252" i="39"/>
  <c r="A252" i="39"/>
  <c r="U251" i="39"/>
  <c r="S251" i="39"/>
  <c r="P251" i="39"/>
  <c r="Q251" i="39" s="1"/>
  <c r="N251" i="39"/>
  <c r="O251" i="39" s="1"/>
  <c r="K251" i="39"/>
  <c r="L251" i="39" s="1"/>
  <c r="F251" i="39"/>
  <c r="G251" i="39" s="1"/>
  <c r="D251" i="39"/>
  <c r="E251" i="39" s="1"/>
  <c r="B251" i="39"/>
  <c r="A251" i="39"/>
  <c r="M251" i="39" s="1"/>
  <c r="U250" i="39"/>
  <c r="S250" i="39"/>
  <c r="P250" i="39"/>
  <c r="Q250" i="39" s="1"/>
  <c r="N250" i="39"/>
  <c r="O250" i="39" s="1"/>
  <c r="K250" i="39"/>
  <c r="L250" i="39" s="1"/>
  <c r="F250" i="39"/>
  <c r="G250" i="39" s="1"/>
  <c r="D250" i="39"/>
  <c r="E250" i="39" s="1"/>
  <c r="B250" i="39"/>
  <c r="A250" i="39"/>
  <c r="M250" i="39" s="1"/>
  <c r="U249" i="39"/>
  <c r="S249" i="39"/>
  <c r="Q249" i="39"/>
  <c r="P249" i="39"/>
  <c r="N249" i="39"/>
  <c r="O249" i="39" s="1"/>
  <c r="K249" i="39"/>
  <c r="L249" i="39" s="1"/>
  <c r="F249" i="39"/>
  <c r="G249" i="39" s="1"/>
  <c r="D249" i="39"/>
  <c r="E249" i="39" s="1"/>
  <c r="B249" i="39"/>
  <c r="A249" i="39"/>
  <c r="M249" i="39" s="1"/>
  <c r="U248" i="39"/>
  <c r="S248" i="39"/>
  <c r="P248" i="39"/>
  <c r="Q248" i="39" s="1"/>
  <c r="N248" i="39"/>
  <c r="O248" i="39" s="1"/>
  <c r="K248" i="39"/>
  <c r="L248" i="39" s="1"/>
  <c r="F248" i="39"/>
  <c r="G248" i="39" s="1"/>
  <c r="D248" i="39"/>
  <c r="E248" i="39" s="1"/>
  <c r="B248" i="39"/>
  <c r="A248" i="39"/>
  <c r="M248" i="39" s="1"/>
  <c r="Y247" i="39"/>
  <c r="Z247" i="39" s="1"/>
  <c r="W247" i="39"/>
  <c r="B247" i="39"/>
  <c r="A247" i="39"/>
  <c r="Y246" i="39"/>
  <c r="W246" i="39"/>
  <c r="X246" i="39" s="1"/>
  <c r="B246" i="39"/>
  <c r="A246" i="39"/>
  <c r="Y245" i="39"/>
  <c r="Z245" i="39" s="1"/>
  <c r="W245" i="39"/>
  <c r="B245" i="39"/>
  <c r="A245" i="39"/>
  <c r="Y244" i="39"/>
  <c r="Z244" i="39" s="1"/>
  <c r="W244" i="39"/>
  <c r="X244" i="39" s="1"/>
  <c r="K244" i="39"/>
  <c r="L244" i="39" s="1"/>
  <c r="B244" i="39"/>
  <c r="A244" i="39"/>
  <c r="Y243" i="39"/>
  <c r="W243" i="39"/>
  <c r="X243" i="39" s="1"/>
  <c r="B243" i="39"/>
  <c r="A243" i="39"/>
  <c r="U242" i="39"/>
  <c r="S242" i="39"/>
  <c r="P242" i="39"/>
  <c r="Q242" i="39" s="1"/>
  <c r="N242" i="39"/>
  <c r="O242" i="39" s="1"/>
  <c r="K242" i="39"/>
  <c r="L242" i="39" s="1"/>
  <c r="F242" i="39"/>
  <c r="G242" i="39" s="1"/>
  <c r="D242" i="39"/>
  <c r="E242" i="39" s="1"/>
  <c r="B242" i="39"/>
  <c r="A242" i="39"/>
  <c r="M242" i="39" s="1"/>
  <c r="U241" i="39"/>
  <c r="S241" i="39"/>
  <c r="P241" i="39"/>
  <c r="Q241" i="39" s="1"/>
  <c r="N241" i="39"/>
  <c r="O241" i="39" s="1"/>
  <c r="K241" i="39"/>
  <c r="L241" i="39" s="1"/>
  <c r="F241" i="39"/>
  <c r="G241" i="39" s="1"/>
  <c r="D241" i="39"/>
  <c r="E241" i="39" s="1"/>
  <c r="B241" i="39"/>
  <c r="A241" i="39"/>
  <c r="M241" i="39" s="1"/>
  <c r="U240" i="39"/>
  <c r="S240" i="39"/>
  <c r="P240" i="39"/>
  <c r="Q240" i="39" s="1"/>
  <c r="N240" i="39"/>
  <c r="O240" i="39" s="1"/>
  <c r="K240" i="39"/>
  <c r="L240" i="39" s="1"/>
  <c r="F240" i="39"/>
  <c r="G240" i="39" s="1"/>
  <c r="D240" i="39"/>
  <c r="E240" i="39" s="1"/>
  <c r="B240" i="39"/>
  <c r="A240" i="39"/>
  <c r="M240" i="39" s="1"/>
  <c r="U239" i="39"/>
  <c r="S239" i="39"/>
  <c r="P239" i="39"/>
  <c r="Q239" i="39" s="1"/>
  <c r="N239" i="39"/>
  <c r="O239" i="39" s="1"/>
  <c r="K239" i="39"/>
  <c r="L239" i="39" s="1"/>
  <c r="F239" i="39"/>
  <c r="G239" i="39" s="1"/>
  <c r="D239" i="39"/>
  <c r="E239" i="39" s="1"/>
  <c r="B239" i="39"/>
  <c r="A239" i="39"/>
  <c r="M239" i="39" s="1"/>
  <c r="Y238" i="39"/>
  <c r="Z238" i="39" s="1"/>
  <c r="W238" i="39"/>
  <c r="X238" i="39" s="1"/>
  <c r="B238" i="39"/>
  <c r="A238" i="39"/>
  <c r="Y237" i="39"/>
  <c r="Z237" i="39" s="1"/>
  <c r="W237" i="39"/>
  <c r="X237" i="39" s="1"/>
  <c r="B237" i="39"/>
  <c r="A237" i="39"/>
  <c r="Y236" i="39"/>
  <c r="Z236" i="39" s="1"/>
  <c r="W236" i="39"/>
  <c r="B236" i="39"/>
  <c r="A236" i="39"/>
  <c r="Y235" i="39"/>
  <c r="W235" i="39"/>
  <c r="X235" i="39" s="1"/>
  <c r="K235" i="39"/>
  <c r="L235" i="39" s="1"/>
  <c r="B235" i="39"/>
  <c r="A235" i="39"/>
  <c r="Y234" i="39"/>
  <c r="Z234" i="39" s="1"/>
  <c r="W234" i="39"/>
  <c r="X234" i="39" s="1"/>
  <c r="B234" i="39"/>
  <c r="A234" i="39"/>
  <c r="U233" i="39"/>
  <c r="S233" i="39"/>
  <c r="P233" i="39"/>
  <c r="Q233" i="39" s="1"/>
  <c r="N233" i="39"/>
  <c r="O233" i="39" s="1"/>
  <c r="K233" i="39"/>
  <c r="L233" i="39" s="1"/>
  <c r="F233" i="39"/>
  <c r="G233" i="39" s="1"/>
  <c r="D233" i="39"/>
  <c r="E233" i="39" s="1"/>
  <c r="B233" i="39"/>
  <c r="A233" i="39"/>
  <c r="M233" i="39" s="1"/>
  <c r="U232" i="39"/>
  <c r="S232" i="39"/>
  <c r="P232" i="39"/>
  <c r="Q232" i="39" s="1"/>
  <c r="N232" i="39"/>
  <c r="O232" i="39" s="1"/>
  <c r="K232" i="39"/>
  <c r="L232" i="39" s="1"/>
  <c r="F232" i="39"/>
  <c r="G232" i="39" s="1"/>
  <c r="D232" i="39"/>
  <c r="E232" i="39" s="1"/>
  <c r="B232" i="39"/>
  <c r="A232" i="39"/>
  <c r="M232" i="39" s="1"/>
  <c r="U231" i="39"/>
  <c r="S231" i="39"/>
  <c r="P231" i="39"/>
  <c r="Q231" i="39" s="1"/>
  <c r="N231" i="39"/>
  <c r="O231" i="39" s="1"/>
  <c r="K231" i="39"/>
  <c r="L231" i="39" s="1"/>
  <c r="F231" i="39"/>
  <c r="G231" i="39" s="1"/>
  <c r="D231" i="39"/>
  <c r="E231" i="39" s="1"/>
  <c r="B231" i="39"/>
  <c r="A231" i="39"/>
  <c r="M231" i="39" s="1"/>
  <c r="U230" i="39"/>
  <c r="S230" i="39"/>
  <c r="P230" i="39"/>
  <c r="Q230" i="39" s="1"/>
  <c r="N230" i="39"/>
  <c r="O230" i="39" s="1"/>
  <c r="K230" i="39"/>
  <c r="L230" i="39" s="1"/>
  <c r="F230" i="39"/>
  <c r="G230" i="39" s="1"/>
  <c r="D230" i="39"/>
  <c r="E230" i="39" s="1"/>
  <c r="B230" i="39"/>
  <c r="A230" i="39"/>
  <c r="M230" i="39" s="1"/>
  <c r="Y229" i="39"/>
  <c r="Z229" i="39" s="1"/>
  <c r="W229" i="39"/>
  <c r="B229" i="39"/>
  <c r="A229" i="39"/>
  <c r="Y228" i="39"/>
  <c r="W228" i="39"/>
  <c r="X228" i="39" s="1"/>
  <c r="B228" i="39"/>
  <c r="A228" i="39"/>
  <c r="Y227" i="39"/>
  <c r="Z227" i="39" s="1"/>
  <c r="W227" i="39"/>
  <c r="B227" i="39"/>
  <c r="A227" i="39"/>
  <c r="Y226" i="39"/>
  <c r="Z226" i="39" s="1"/>
  <c r="W226" i="39"/>
  <c r="X226" i="39" s="1"/>
  <c r="K226" i="39"/>
  <c r="L226" i="39" s="1"/>
  <c r="B226" i="39"/>
  <c r="A226" i="39"/>
  <c r="Y225" i="39"/>
  <c r="W225" i="39"/>
  <c r="X225" i="39" s="1"/>
  <c r="B225" i="39"/>
  <c r="A225" i="39"/>
  <c r="U224" i="39"/>
  <c r="S224" i="39"/>
  <c r="P224" i="39"/>
  <c r="Q224" i="39" s="1"/>
  <c r="N224" i="39"/>
  <c r="O224" i="39" s="1"/>
  <c r="K224" i="39"/>
  <c r="L224" i="39" s="1"/>
  <c r="F224" i="39"/>
  <c r="G224" i="39" s="1"/>
  <c r="D224" i="39"/>
  <c r="E224" i="39" s="1"/>
  <c r="B224" i="39"/>
  <c r="A224" i="39"/>
  <c r="M224" i="39" s="1"/>
  <c r="U223" i="39"/>
  <c r="S223" i="39"/>
  <c r="P223" i="39"/>
  <c r="Q223" i="39" s="1"/>
  <c r="N223" i="39"/>
  <c r="O223" i="39" s="1"/>
  <c r="K223" i="39"/>
  <c r="L223" i="39" s="1"/>
  <c r="F223" i="39"/>
  <c r="G223" i="39" s="1"/>
  <c r="D223" i="39"/>
  <c r="E223" i="39" s="1"/>
  <c r="B223" i="39"/>
  <c r="A223" i="39"/>
  <c r="M223" i="39" s="1"/>
  <c r="U222" i="39"/>
  <c r="S222" i="39"/>
  <c r="P222" i="39"/>
  <c r="Q222" i="39" s="1"/>
  <c r="N222" i="39"/>
  <c r="O222" i="39" s="1"/>
  <c r="K222" i="39"/>
  <c r="L222" i="39" s="1"/>
  <c r="F222" i="39"/>
  <c r="G222" i="39" s="1"/>
  <c r="D222" i="39"/>
  <c r="E222" i="39" s="1"/>
  <c r="B222" i="39"/>
  <c r="A222" i="39"/>
  <c r="M222" i="39" s="1"/>
  <c r="U221" i="39"/>
  <c r="S221" i="39"/>
  <c r="P221" i="39"/>
  <c r="Q221" i="39" s="1"/>
  <c r="N221" i="39"/>
  <c r="O221" i="39" s="1"/>
  <c r="K221" i="39"/>
  <c r="L221" i="39" s="1"/>
  <c r="F221" i="39"/>
  <c r="G221" i="39" s="1"/>
  <c r="D221" i="39"/>
  <c r="E221" i="39" s="1"/>
  <c r="B221" i="39"/>
  <c r="A221" i="39"/>
  <c r="M221" i="39" s="1"/>
  <c r="Y220" i="39"/>
  <c r="Z220" i="39" s="1"/>
  <c r="W220" i="39"/>
  <c r="B220" i="39"/>
  <c r="A220" i="39"/>
  <c r="Y219" i="39"/>
  <c r="W219" i="39"/>
  <c r="X219" i="39" s="1"/>
  <c r="B219" i="39"/>
  <c r="A219" i="39"/>
  <c r="Y218" i="39"/>
  <c r="Z218" i="39" s="1"/>
  <c r="W218" i="39"/>
  <c r="B218" i="39"/>
  <c r="A218" i="39"/>
  <c r="Y217" i="39"/>
  <c r="W217" i="39"/>
  <c r="X217" i="39" s="1"/>
  <c r="K217" i="39"/>
  <c r="L217" i="39" s="1"/>
  <c r="B217" i="39"/>
  <c r="A217" i="39"/>
  <c r="Y216" i="39"/>
  <c r="W216" i="39"/>
  <c r="X216" i="39" s="1"/>
  <c r="B216" i="39"/>
  <c r="A216" i="39"/>
  <c r="U215" i="39"/>
  <c r="S215" i="39"/>
  <c r="P215" i="39"/>
  <c r="Q215" i="39" s="1"/>
  <c r="N215" i="39"/>
  <c r="O215" i="39" s="1"/>
  <c r="K215" i="39"/>
  <c r="L215" i="39" s="1"/>
  <c r="F215" i="39"/>
  <c r="G215" i="39" s="1"/>
  <c r="D215" i="39"/>
  <c r="E215" i="39" s="1"/>
  <c r="B215" i="39"/>
  <c r="A215" i="39"/>
  <c r="M215" i="39" s="1"/>
  <c r="U214" i="39"/>
  <c r="S214" i="39"/>
  <c r="P214" i="39"/>
  <c r="Q214" i="39" s="1"/>
  <c r="N214" i="39"/>
  <c r="O214" i="39" s="1"/>
  <c r="K214" i="39"/>
  <c r="L214" i="39" s="1"/>
  <c r="F214" i="39"/>
  <c r="G214" i="39" s="1"/>
  <c r="D214" i="39"/>
  <c r="E214" i="39" s="1"/>
  <c r="B214" i="39"/>
  <c r="A214" i="39"/>
  <c r="M214" i="39" s="1"/>
  <c r="U213" i="39"/>
  <c r="S213" i="39"/>
  <c r="P213" i="39"/>
  <c r="Q213" i="39" s="1"/>
  <c r="N213" i="39"/>
  <c r="O213" i="39" s="1"/>
  <c r="K213" i="39"/>
  <c r="L213" i="39" s="1"/>
  <c r="F213" i="39"/>
  <c r="G213" i="39" s="1"/>
  <c r="D213" i="39"/>
  <c r="E213" i="39" s="1"/>
  <c r="B213" i="39"/>
  <c r="A213" i="39"/>
  <c r="M213" i="39" s="1"/>
  <c r="U212" i="39"/>
  <c r="S212" i="39"/>
  <c r="P212" i="39"/>
  <c r="Q212" i="39" s="1"/>
  <c r="N212" i="39"/>
  <c r="O212" i="39" s="1"/>
  <c r="K212" i="39"/>
  <c r="L212" i="39" s="1"/>
  <c r="F212" i="39"/>
  <c r="G212" i="39" s="1"/>
  <c r="D212" i="39"/>
  <c r="E212" i="39" s="1"/>
  <c r="B212" i="39"/>
  <c r="A212" i="39"/>
  <c r="M212" i="39" s="1"/>
  <c r="Y211" i="39"/>
  <c r="Z211" i="39" s="1"/>
  <c r="W211" i="39"/>
  <c r="B211" i="39"/>
  <c r="A211" i="39"/>
  <c r="Y210" i="39"/>
  <c r="Z210" i="39" s="1"/>
  <c r="W210" i="39"/>
  <c r="B210" i="39"/>
  <c r="A210" i="39"/>
  <c r="Y209" i="39"/>
  <c r="Z209" i="39" s="1"/>
  <c r="W209" i="39"/>
  <c r="B209" i="39"/>
  <c r="A209" i="39"/>
  <c r="Y208" i="39"/>
  <c r="Z208" i="39" s="1"/>
  <c r="W208" i="39"/>
  <c r="K208" i="39"/>
  <c r="L208" i="39" s="1"/>
  <c r="B208" i="39"/>
  <c r="A208" i="39"/>
  <c r="Y207" i="39"/>
  <c r="Z207" i="39" s="1"/>
  <c r="W207" i="39"/>
  <c r="B207" i="39"/>
  <c r="A207" i="39"/>
  <c r="U206" i="39"/>
  <c r="S206" i="39"/>
  <c r="P206" i="39"/>
  <c r="Q206" i="39" s="1"/>
  <c r="N206" i="39"/>
  <c r="O206" i="39" s="1"/>
  <c r="K206" i="39"/>
  <c r="L206" i="39" s="1"/>
  <c r="F206" i="39"/>
  <c r="G206" i="39" s="1"/>
  <c r="D206" i="39"/>
  <c r="E206" i="39" s="1"/>
  <c r="B206" i="39"/>
  <c r="A206" i="39"/>
  <c r="M206" i="39" s="1"/>
  <c r="U205" i="39"/>
  <c r="S205" i="39"/>
  <c r="P205" i="39"/>
  <c r="Q205" i="39" s="1"/>
  <c r="N205" i="39"/>
  <c r="O205" i="39" s="1"/>
  <c r="K205" i="39"/>
  <c r="L205" i="39" s="1"/>
  <c r="F205" i="39"/>
  <c r="G205" i="39" s="1"/>
  <c r="D205" i="39"/>
  <c r="E205" i="39" s="1"/>
  <c r="B205" i="39"/>
  <c r="A205" i="39"/>
  <c r="M205" i="39" s="1"/>
  <c r="U204" i="39"/>
  <c r="S204" i="39"/>
  <c r="P204" i="39"/>
  <c r="Q204" i="39" s="1"/>
  <c r="N204" i="39"/>
  <c r="O204" i="39" s="1"/>
  <c r="K204" i="39"/>
  <c r="L204" i="39" s="1"/>
  <c r="F204" i="39"/>
  <c r="G204" i="39" s="1"/>
  <c r="D204" i="39"/>
  <c r="E204" i="39" s="1"/>
  <c r="B204" i="39"/>
  <c r="A204" i="39"/>
  <c r="M204" i="39" s="1"/>
  <c r="U203" i="39"/>
  <c r="S203" i="39"/>
  <c r="Q203" i="39"/>
  <c r="P203" i="39"/>
  <c r="N203" i="39"/>
  <c r="O203" i="39" s="1"/>
  <c r="K203" i="39"/>
  <c r="L203" i="39" s="1"/>
  <c r="F203" i="39"/>
  <c r="G203" i="39" s="1"/>
  <c r="D203" i="39"/>
  <c r="E203" i="39" s="1"/>
  <c r="B203" i="39"/>
  <c r="A203" i="39"/>
  <c r="M203" i="39" s="1"/>
  <c r="Y202" i="39"/>
  <c r="Z202" i="39" s="1"/>
  <c r="W202" i="39"/>
  <c r="X202" i="39" s="1"/>
  <c r="B202" i="39"/>
  <c r="A202" i="39"/>
  <c r="Y201" i="39"/>
  <c r="Z201" i="39" s="1"/>
  <c r="W201" i="39"/>
  <c r="B201" i="39"/>
  <c r="A201" i="39"/>
  <c r="Y200" i="39"/>
  <c r="Z200" i="39" s="1"/>
  <c r="W200" i="39"/>
  <c r="X200" i="39" s="1"/>
  <c r="B200" i="39"/>
  <c r="A200" i="39"/>
  <c r="Y199" i="39"/>
  <c r="Z199" i="39" s="1"/>
  <c r="W199" i="39"/>
  <c r="X199" i="39" s="1"/>
  <c r="K199" i="39"/>
  <c r="L199" i="39" s="1"/>
  <c r="B199" i="39"/>
  <c r="A199" i="39"/>
  <c r="Y198" i="39"/>
  <c r="Z198" i="39" s="1"/>
  <c r="W198" i="39"/>
  <c r="X198" i="39" s="1"/>
  <c r="B198" i="39"/>
  <c r="A198" i="39"/>
  <c r="U197" i="39"/>
  <c r="S197" i="39"/>
  <c r="P197" i="39"/>
  <c r="Q197" i="39" s="1"/>
  <c r="N197" i="39"/>
  <c r="O197" i="39" s="1"/>
  <c r="K197" i="39"/>
  <c r="L197" i="39" s="1"/>
  <c r="F197" i="39"/>
  <c r="G197" i="39" s="1"/>
  <c r="D197" i="39"/>
  <c r="E197" i="39" s="1"/>
  <c r="B197" i="39"/>
  <c r="A197" i="39"/>
  <c r="M197" i="39" s="1"/>
  <c r="U196" i="39"/>
  <c r="S196" i="39"/>
  <c r="Q196" i="39"/>
  <c r="P196" i="39"/>
  <c r="N196" i="39"/>
  <c r="O196" i="39" s="1"/>
  <c r="K196" i="39"/>
  <c r="L196" i="39" s="1"/>
  <c r="F196" i="39"/>
  <c r="G196" i="39" s="1"/>
  <c r="D196" i="39"/>
  <c r="E196" i="39" s="1"/>
  <c r="B196" i="39"/>
  <c r="A196" i="39"/>
  <c r="M196" i="39" s="1"/>
  <c r="U195" i="39"/>
  <c r="S195" i="39"/>
  <c r="P195" i="39"/>
  <c r="Q195" i="39" s="1"/>
  <c r="N195" i="39"/>
  <c r="O195" i="39" s="1"/>
  <c r="K195" i="39"/>
  <c r="L195" i="39" s="1"/>
  <c r="F195" i="39"/>
  <c r="G195" i="39" s="1"/>
  <c r="D195" i="39"/>
  <c r="E195" i="39" s="1"/>
  <c r="B195" i="39"/>
  <c r="A195" i="39"/>
  <c r="M195" i="39" s="1"/>
  <c r="U194" i="39"/>
  <c r="S194" i="39"/>
  <c r="P194" i="39"/>
  <c r="Q194" i="39" s="1"/>
  <c r="N194" i="39"/>
  <c r="O194" i="39" s="1"/>
  <c r="K194" i="39"/>
  <c r="L194" i="39" s="1"/>
  <c r="G194" i="39"/>
  <c r="F194" i="39"/>
  <c r="D194" i="39"/>
  <c r="E194" i="39" s="1"/>
  <c r="B194" i="39"/>
  <c r="A194" i="39"/>
  <c r="M194" i="39" s="1"/>
  <c r="Y193" i="39"/>
  <c r="Z193" i="39" s="1"/>
  <c r="W193" i="39"/>
  <c r="B193" i="39"/>
  <c r="A193" i="39"/>
  <c r="Y192" i="39"/>
  <c r="Z192" i="39" s="1"/>
  <c r="W192" i="39"/>
  <c r="X192" i="39" s="1"/>
  <c r="B192" i="39"/>
  <c r="A192" i="39"/>
  <c r="Y191" i="39"/>
  <c r="Z191" i="39" s="1"/>
  <c r="W191" i="39"/>
  <c r="B191" i="39"/>
  <c r="A191" i="39"/>
  <c r="Y190" i="39"/>
  <c r="Z190" i="39" s="1"/>
  <c r="W190" i="39"/>
  <c r="X190" i="39" s="1"/>
  <c r="K190" i="39"/>
  <c r="L190" i="39" s="1"/>
  <c r="B190" i="39"/>
  <c r="A190" i="39"/>
  <c r="Y189" i="39"/>
  <c r="Z189" i="39" s="1"/>
  <c r="W189" i="39"/>
  <c r="X189" i="39" s="1"/>
  <c r="B189" i="39"/>
  <c r="A189" i="39"/>
  <c r="U188" i="39"/>
  <c r="S188" i="39"/>
  <c r="P188" i="39"/>
  <c r="Q188" i="39" s="1"/>
  <c r="N188" i="39"/>
  <c r="O188" i="39" s="1"/>
  <c r="K188" i="39"/>
  <c r="L188" i="39" s="1"/>
  <c r="F188" i="39"/>
  <c r="G188" i="39" s="1"/>
  <c r="D188" i="39"/>
  <c r="E188" i="39" s="1"/>
  <c r="B188" i="39"/>
  <c r="A188" i="39"/>
  <c r="M188" i="39" s="1"/>
  <c r="U187" i="39"/>
  <c r="S187" i="39"/>
  <c r="P187" i="39"/>
  <c r="Q187" i="39" s="1"/>
  <c r="N187" i="39"/>
  <c r="O187" i="39" s="1"/>
  <c r="K187" i="39"/>
  <c r="L187" i="39" s="1"/>
  <c r="F187" i="39"/>
  <c r="G187" i="39" s="1"/>
  <c r="D187" i="39"/>
  <c r="E187" i="39" s="1"/>
  <c r="B187" i="39"/>
  <c r="A187" i="39"/>
  <c r="M187" i="39" s="1"/>
  <c r="U186" i="39"/>
  <c r="S186" i="39"/>
  <c r="P186" i="39"/>
  <c r="Q186" i="39" s="1"/>
  <c r="N186" i="39"/>
  <c r="O186" i="39" s="1"/>
  <c r="K186" i="39"/>
  <c r="L186" i="39" s="1"/>
  <c r="F186" i="39"/>
  <c r="G186" i="39" s="1"/>
  <c r="D186" i="39"/>
  <c r="E186" i="39" s="1"/>
  <c r="B186" i="39"/>
  <c r="A186" i="39"/>
  <c r="M186" i="39" s="1"/>
  <c r="U185" i="39"/>
  <c r="S185" i="39"/>
  <c r="P185" i="39"/>
  <c r="Q185" i="39" s="1"/>
  <c r="N185" i="39"/>
  <c r="O185" i="39" s="1"/>
  <c r="K185" i="39"/>
  <c r="L185" i="39" s="1"/>
  <c r="F185" i="39"/>
  <c r="G185" i="39" s="1"/>
  <c r="D185" i="39"/>
  <c r="E185" i="39" s="1"/>
  <c r="B185" i="39"/>
  <c r="A185" i="39"/>
  <c r="M185" i="39" s="1"/>
  <c r="Y184" i="39"/>
  <c r="Z184" i="39" s="1"/>
  <c r="W184" i="39"/>
  <c r="X184" i="39" s="1"/>
  <c r="B184" i="39"/>
  <c r="A184" i="39"/>
  <c r="Y183" i="39"/>
  <c r="Z183" i="39" s="1"/>
  <c r="W183" i="39"/>
  <c r="X183" i="39" s="1"/>
  <c r="B183" i="39"/>
  <c r="A183" i="39"/>
  <c r="Y182" i="39"/>
  <c r="Z182" i="39" s="1"/>
  <c r="W182" i="39"/>
  <c r="X182" i="39" s="1"/>
  <c r="B182" i="39"/>
  <c r="A182" i="39"/>
  <c r="Y181" i="39"/>
  <c r="Z181" i="39" s="1"/>
  <c r="W181" i="39"/>
  <c r="X181" i="39" s="1"/>
  <c r="K181" i="39"/>
  <c r="L181" i="39" s="1"/>
  <c r="B181" i="39"/>
  <c r="A181" i="39"/>
  <c r="Y180" i="39"/>
  <c r="Z180" i="39" s="1"/>
  <c r="W180" i="39"/>
  <c r="B180" i="39"/>
  <c r="A180" i="39"/>
  <c r="U179" i="39"/>
  <c r="S179" i="39"/>
  <c r="P179" i="39"/>
  <c r="Q179" i="39" s="1"/>
  <c r="N179" i="39"/>
  <c r="O179" i="39" s="1"/>
  <c r="K179" i="39"/>
  <c r="L179" i="39" s="1"/>
  <c r="F179" i="39"/>
  <c r="G179" i="39" s="1"/>
  <c r="D179" i="39"/>
  <c r="E179" i="39" s="1"/>
  <c r="B179" i="39"/>
  <c r="A179" i="39"/>
  <c r="M179" i="39" s="1"/>
  <c r="U178" i="39"/>
  <c r="S178" i="39"/>
  <c r="P178" i="39"/>
  <c r="Q178" i="39" s="1"/>
  <c r="N178" i="39"/>
  <c r="O178" i="39" s="1"/>
  <c r="K178" i="39"/>
  <c r="L178" i="39" s="1"/>
  <c r="F178" i="39"/>
  <c r="G178" i="39" s="1"/>
  <c r="D178" i="39"/>
  <c r="E178" i="39" s="1"/>
  <c r="B178" i="39"/>
  <c r="A178" i="39"/>
  <c r="M178" i="39" s="1"/>
  <c r="U177" i="39"/>
  <c r="S177" i="39"/>
  <c r="P177" i="39"/>
  <c r="Q177" i="39" s="1"/>
  <c r="N177" i="39"/>
  <c r="O177" i="39" s="1"/>
  <c r="K177" i="39"/>
  <c r="L177" i="39" s="1"/>
  <c r="F177" i="39"/>
  <c r="G177" i="39" s="1"/>
  <c r="D177" i="39"/>
  <c r="E177" i="39" s="1"/>
  <c r="B177" i="39"/>
  <c r="A177" i="39"/>
  <c r="M177" i="39" s="1"/>
  <c r="U176" i="39"/>
  <c r="S176" i="39"/>
  <c r="P176" i="39"/>
  <c r="Q176" i="39" s="1"/>
  <c r="N176" i="39"/>
  <c r="O176" i="39" s="1"/>
  <c r="K176" i="39"/>
  <c r="L176" i="39" s="1"/>
  <c r="F176" i="39"/>
  <c r="G176" i="39" s="1"/>
  <c r="D176" i="39"/>
  <c r="E176" i="39" s="1"/>
  <c r="B176" i="39"/>
  <c r="A176" i="39"/>
  <c r="M176" i="39" s="1"/>
  <c r="Y175" i="39"/>
  <c r="Z175" i="39" s="1"/>
  <c r="W175" i="39"/>
  <c r="B175" i="39"/>
  <c r="A175" i="39"/>
  <c r="Y174" i="39"/>
  <c r="Z174" i="39" s="1"/>
  <c r="W174" i="39"/>
  <c r="B174" i="39"/>
  <c r="A174" i="39"/>
  <c r="Y173" i="39"/>
  <c r="Z173" i="39" s="1"/>
  <c r="W173" i="39"/>
  <c r="B173" i="39"/>
  <c r="A173" i="39"/>
  <c r="Y172" i="39"/>
  <c r="Z172" i="39" s="1"/>
  <c r="W172" i="39"/>
  <c r="X172" i="39" s="1"/>
  <c r="K172" i="39"/>
  <c r="L172" i="39" s="1"/>
  <c r="B172" i="39"/>
  <c r="A172" i="39"/>
  <c r="Y171" i="39"/>
  <c r="Z171" i="39" s="1"/>
  <c r="W171" i="39"/>
  <c r="B171" i="39"/>
  <c r="A171" i="39"/>
  <c r="U170" i="39"/>
  <c r="S170" i="39"/>
  <c r="P170" i="39"/>
  <c r="Q170" i="39" s="1"/>
  <c r="N170" i="39"/>
  <c r="O170" i="39" s="1"/>
  <c r="K170" i="39"/>
  <c r="L170" i="39" s="1"/>
  <c r="F170" i="39"/>
  <c r="G170" i="39" s="1"/>
  <c r="J170" i="39" s="1"/>
  <c r="H170" i="39" s="1"/>
  <c r="I170" i="39" s="1"/>
  <c r="D170" i="39"/>
  <c r="E170" i="39" s="1"/>
  <c r="B170" i="39"/>
  <c r="A170" i="39"/>
  <c r="M170" i="39" s="1"/>
  <c r="U169" i="39"/>
  <c r="S169" i="39"/>
  <c r="P169" i="39"/>
  <c r="Q169" i="39" s="1"/>
  <c r="N169" i="39"/>
  <c r="O169" i="39" s="1"/>
  <c r="K169" i="39"/>
  <c r="L169" i="39" s="1"/>
  <c r="F169" i="39"/>
  <c r="G169" i="39" s="1"/>
  <c r="D169" i="39"/>
  <c r="E169" i="39" s="1"/>
  <c r="B169" i="39"/>
  <c r="A169" i="39"/>
  <c r="M169" i="39" s="1"/>
  <c r="U168" i="39"/>
  <c r="S168" i="39"/>
  <c r="P168" i="39"/>
  <c r="Q168" i="39" s="1"/>
  <c r="N168" i="39"/>
  <c r="O168" i="39" s="1"/>
  <c r="K168" i="39"/>
  <c r="L168" i="39" s="1"/>
  <c r="F168" i="39"/>
  <c r="G168" i="39" s="1"/>
  <c r="D168" i="39"/>
  <c r="E168" i="39" s="1"/>
  <c r="B168" i="39"/>
  <c r="A168" i="39"/>
  <c r="M168" i="39" s="1"/>
  <c r="U167" i="39"/>
  <c r="S167" i="39"/>
  <c r="P167" i="39"/>
  <c r="Q167" i="39" s="1"/>
  <c r="N167" i="39"/>
  <c r="O167" i="39" s="1"/>
  <c r="K167" i="39"/>
  <c r="L167" i="39" s="1"/>
  <c r="F167" i="39"/>
  <c r="G167" i="39" s="1"/>
  <c r="D167" i="39"/>
  <c r="E167" i="39" s="1"/>
  <c r="B167" i="39"/>
  <c r="A167" i="39"/>
  <c r="M167" i="39" s="1"/>
  <c r="Y166" i="39"/>
  <c r="Z166" i="39" s="1"/>
  <c r="W166" i="39"/>
  <c r="B166" i="39"/>
  <c r="A166" i="39"/>
  <c r="Y165" i="39"/>
  <c r="Z165" i="39" s="1"/>
  <c r="W165" i="39"/>
  <c r="X165" i="39" s="1"/>
  <c r="B165" i="39"/>
  <c r="A165" i="39"/>
  <c r="Y164" i="39"/>
  <c r="Z164" i="39" s="1"/>
  <c r="W164" i="39"/>
  <c r="X164" i="39" s="1"/>
  <c r="B164" i="39"/>
  <c r="A164" i="39"/>
  <c r="Y163" i="39"/>
  <c r="Z163" i="39" s="1"/>
  <c r="W163" i="39"/>
  <c r="K163" i="39"/>
  <c r="L163" i="39" s="1"/>
  <c r="B163" i="39"/>
  <c r="A163" i="39"/>
  <c r="Y162" i="39"/>
  <c r="Z162" i="39" s="1"/>
  <c r="W162" i="39"/>
  <c r="B162" i="39"/>
  <c r="A162" i="39"/>
  <c r="U161" i="39"/>
  <c r="S161" i="39"/>
  <c r="P161" i="39"/>
  <c r="Q161" i="39" s="1"/>
  <c r="N161" i="39"/>
  <c r="O161" i="39" s="1"/>
  <c r="K161" i="39"/>
  <c r="L161" i="39" s="1"/>
  <c r="F161" i="39"/>
  <c r="G161" i="39" s="1"/>
  <c r="D161" i="39"/>
  <c r="E161" i="39" s="1"/>
  <c r="B161" i="39"/>
  <c r="A161" i="39"/>
  <c r="M161" i="39" s="1"/>
  <c r="U160" i="39"/>
  <c r="S160" i="39"/>
  <c r="P160" i="39"/>
  <c r="Q160" i="39" s="1"/>
  <c r="N160" i="39"/>
  <c r="O160" i="39" s="1"/>
  <c r="K160" i="39"/>
  <c r="L160" i="39" s="1"/>
  <c r="F160" i="39"/>
  <c r="G160" i="39" s="1"/>
  <c r="D160" i="39"/>
  <c r="E160" i="39" s="1"/>
  <c r="B160" i="39"/>
  <c r="A160" i="39"/>
  <c r="M160" i="39" s="1"/>
  <c r="U159" i="39"/>
  <c r="S159" i="39"/>
  <c r="P159" i="39"/>
  <c r="Q159" i="39" s="1"/>
  <c r="N159" i="39"/>
  <c r="O159" i="39" s="1"/>
  <c r="K159" i="39"/>
  <c r="L159" i="39" s="1"/>
  <c r="F159" i="39"/>
  <c r="G159" i="39" s="1"/>
  <c r="D159" i="39"/>
  <c r="E159" i="39" s="1"/>
  <c r="B159" i="39"/>
  <c r="A159" i="39"/>
  <c r="M159" i="39" s="1"/>
  <c r="U158" i="39"/>
  <c r="S158" i="39"/>
  <c r="P158" i="39"/>
  <c r="Q158" i="39" s="1"/>
  <c r="N158" i="39"/>
  <c r="O158" i="39" s="1"/>
  <c r="K158" i="39"/>
  <c r="L158" i="39" s="1"/>
  <c r="F158" i="39"/>
  <c r="G158" i="39" s="1"/>
  <c r="D158" i="39"/>
  <c r="E158" i="39" s="1"/>
  <c r="B158" i="39"/>
  <c r="A158" i="39"/>
  <c r="M158" i="39" s="1"/>
  <c r="Y157" i="39"/>
  <c r="Z157" i="39" s="1"/>
  <c r="W157" i="39"/>
  <c r="B157" i="39"/>
  <c r="A157" i="39"/>
  <c r="Y156" i="39"/>
  <c r="Z156" i="39" s="1"/>
  <c r="W156" i="39"/>
  <c r="X156" i="39" s="1"/>
  <c r="B156" i="39"/>
  <c r="A156" i="39"/>
  <c r="Y155" i="39"/>
  <c r="Z155" i="39" s="1"/>
  <c r="W155" i="39"/>
  <c r="B155" i="39"/>
  <c r="A155" i="39"/>
  <c r="Y154" i="39"/>
  <c r="Z154" i="39" s="1"/>
  <c r="W154" i="39"/>
  <c r="X154" i="39" s="1"/>
  <c r="K154" i="39"/>
  <c r="L154" i="39" s="1"/>
  <c r="B154" i="39"/>
  <c r="A154" i="39"/>
  <c r="Y153" i="39"/>
  <c r="Z153" i="39" s="1"/>
  <c r="W153" i="39"/>
  <c r="X153" i="39" s="1"/>
  <c r="B153" i="39"/>
  <c r="A153" i="39"/>
  <c r="U152" i="39"/>
  <c r="S152" i="39"/>
  <c r="P152" i="39"/>
  <c r="Q152" i="39" s="1"/>
  <c r="N152" i="39"/>
  <c r="O152" i="39" s="1"/>
  <c r="K152" i="39"/>
  <c r="L152" i="39" s="1"/>
  <c r="F152" i="39"/>
  <c r="G152" i="39" s="1"/>
  <c r="D152" i="39"/>
  <c r="E152" i="39" s="1"/>
  <c r="B152" i="39"/>
  <c r="A152" i="39"/>
  <c r="M152" i="39" s="1"/>
  <c r="U151" i="39"/>
  <c r="S151" i="39"/>
  <c r="P151" i="39"/>
  <c r="Q151" i="39" s="1"/>
  <c r="N151" i="39"/>
  <c r="O151" i="39" s="1"/>
  <c r="K151" i="39"/>
  <c r="L151" i="39" s="1"/>
  <c r="F151" i="39"/>
  <c r="G151" i="39" s="1"/>
  <c r="D151" i="39"/>
  <c r="E151" i="39" s="1"/>
  <c r="B151" i="39"/>
  <c r="A151" i="39"/>
  <c r="M151" i="39" s="1"/>
  <c r="U150" i="39"/>
  <c r="S150" i="39"/>
  <c r="P150" i="39"/>
  <c r="Q150" i="39" s="1"/>
  <c r="N150" i="39"/>
  <c r="O150" i="39" s="1"/>
  <c r="K150" i="39"/>
  <c r="L150" i="39" s="1"/>
  <c r="F150" i="39"/>
  <c r="G150" i="39" s="1"/>
  <c r="D150" i="39"/>
  <c r="E150" i="39" s="1"/>
  <c r="B150" i="39"/>
  <c r="A150" i="39"/>
  <c r="M150" i="39" s="1"/>
  <c r="U149" i="39"/>
  <c r="S149" i="39"/>
  <c r="P149" i="39"/>
  <c r="Q149" i="39" s="1"/>
  <c r="N149" i="39"/>
  <c r="O149" i="39" s="1"/>
  <c r="K149" i="39"/>
  <c r="L149" i="39" s="1"/>
  <c r="F149" i="39"/>
  <c r="G149" i="39" s="1"/>
  <c r="D149" i="39"/>
  <c r="E149" i="39" s="1"/>
  <c r="B149" i="39"/>
  <c r="A149" i="39"/>
  <c r="M149" i="39" s="1"/>
  <c r="Y148" i="39"/>
  <c r="Z148" i="39" s="1"/>
  <c r="W148" i="39"/>
  <c r="X148" i="39" s="1"/>
  <c r="B148" i="39"/>
  <c r="A148" i="39"/>
  <c r="Y147" i="39"/>
  <c r="Z147" i="39" s="1"/>
  <c r="W147" i="39"/>
  <c r="X147" i="39" s="1"/>
  <c r="B147" i="39"/>
  <c r="A147" i="39"/>
  <c r="Y146" i="39"/>
  <c r="Z146" i="39" s="1"/>
  <c r="W146" i="39"/>
  <c r="X146" i="39" s="1"/>
  <c r="B146" i="39"/>
  <c r="A146" i="39"/>
  <c r="Y145" i="39"/>
  <c r="Z145" i="39" s="1"/>
  <c r="W145" i="39"/>
  <c r="K145" i="39"/>
  <c r="L145" i="39" s="1"/>
  <c r="B145" i="39"/>
  <c r="A145" i="39"/>
  <c r="Y144" i="39"/>
  <c r="Z144" i="39" s="1"/>
  <c r="W144" i="39"/>
  <c r="B144" i="39"/>
  <c r="A144" i="39"/>
  <c r="U143" i="39"/>
  <c r="S143" i="39"/>
  <c r="P143" i="39"/>
  <c r="Q143" i="39" s="1"/>
  <c r="N143" i="39"/>
  <c r="O143" i="39" s="1"/>
  <c r="K143" i="39"/>
  <c r="L143" i="39" s="1"/>
  <c r="F143" i="39"/>
  <c r="G143" i="39" s="1"/>
  <c r="D143" i="39"/>
  <c r="E143" i="39" s="1"/>
  <c r="B143" i="39"/>
  <c r="A143" i="39"/>
  <c r="M143" i="39" s="1"/>
  <c r="U142" i="39"/>
  <c r="S142" i="39"/>
  <c r="P142" i="39"/>
  <c r="Q142" i="39" s="1"/>
  <c r="N142" i="39"/>
  <c r="O142" i="39" s="1"/>
  <c r="K142" i="39"/>
  <c r="L142" i="39" s="1"/>
  <c r="F142" i="39"/>
  <c r="G142" i="39" s="1"/>
  <c r="D142" i="39"/>
  <c r="E142" i="39" s="1"/>
  <c r="B142" i="39"/>
  <c r="A142" i="39"/>
  <c r="M142" i="39" s="1"/>
  <c r="U141" i="39"/>
  <c r="S141" i="39"/>
  <c r="P141" i="39"/>
  <c r="Q141" i="39" s="1"/>
  <c r="N141" i="39"/>
  <c r="O141" i="39" s="1"/>
  <c r="K141" i="39"/>
  <c r="L141" i="39" s="1"/>
  <c r="F141" i="39"/>
  <c r="G141" i="39" s="1"/>
  <c r="D141" i="39"/>
  <c r="E141" i="39" s="1"/>
  <c r="B141" i="39"/>
  <c r="A141" i="39"/>
  <c r="M141" i="39" s="1"/>
  <c r="U140" i="39"/>
  <c r="S140" i="39"/>
  <c r="P140" i="39"/>
  <c r="Q140" i="39" s="1"/>
  <c r="N140" i="39"/>
  <c r="O140" i="39" s="1"/>
  <c r="K140" i="39"/>
  <c r="L140" i="39" s="1"/>
  <c r="F140" i="39"/>
  <c r="G140" i="39" s="1"/>
  <c r="D140" i="39"/>
  <c r="E140" i="39" s="1"/>
  <c r="B140" i="39"/>
  <c r="A140" i="39"/>
  <c r="M140" i="39" s="1"/>
  <c r="Y139" i="39"/>
  <c r="Z139" i="39" s="1"/>
  <c r="W139" i="39"/>
  <c r="X139" i="39" s="1"/>
  <c r="B139" i="39"/>
  <c r="A139" i="39"/>
  <c r="Y138" i="39"/>
  <c r="Z138" i="39" s="1"/>
  <c r="W138" i="39"/>
  <c r="B138" i="39"/>
  <c r="A138" i="39"/>
  <c r="Y137" i="39"/>
  <c r="Z137" i="39" s="1"/>
  <c r="W137" i="39"/>
  <c r="X137" i="39" s="1"/>
  <c r="B137" i="39"/>
  <c r="A137" i="39"/>
  <c r="Y136" i="39"/>
  <c r="W136" i="39"/>
  <c r="X136" i="39" s="1"/>
  <c r="K136" i="39"/>
  <c r="L136" i="39" s="1"/>
  <c r="B136" i="39"/>
  <c r="A136" i="39"/>
  <c r="Y135" i="39"/>
  <c r="Z135" i="39" s="1"/>
  <c r="W135" i="39"/>
  <c r="X135" i="39" s="1"/>
  <c r="B135" i="39"/>
  <c r="A135" i="39"/>
  <c r="U134" i="39"/>
  <c r="S134" i="39"/>
  <c r="P134" i="39"/>
  <c r="Q134" i="39" s="1"/>
  <c r="N134" i="39"/>
  <c r="O134" i="39" s="1"/>
  <c r="K134" i="39"/>
  <c r="L134" i="39" s="1"/>
  <c r="F134" i="39"/>
  <c r="G134" i="39" s="1"/>
  <c r="D134" i="39"/>
  <c r="E134" i="39" s="1"/>
  <c r="B134" i="39"/>
  <c r="A134" i="39"/>
  <c r="M134" i="39" s="1"/>
  <c r="U133" i="39"/>
  <c r="S133" i="39"/>
  <c r="P133" i="39"/>
  <c r="Q133" i="39" s="1"/>
  <c r="N133" i="39"/>
  <c r="O133" i="39" s="1"/>
  <c r="K133" i="39"/>
  <c r="L133" i="39" s="1"/>
  <c r="F133" i="39"/>
  <c r="G133" i="39" s="1"/>
  <c r="D133" i="39"/>
  <c r="E133" i="39" s="1"/>
  <c r="B133" i="39"/>
  <c r="A133" i="39"/>
  <c r="M133" i="39" s="1"/>
  <c r="U132" i="39"/>
  <c r="S132" i="39"/>
  <c r="P132" i="39"/>
  <c r="Q132" i="39" s="1"/>
  <c r="N132" i="39"/>
  <c r="O132" i="39" s="1"/>
  <c r="K132" i="39"/>
  <c r="L132" i="39" s="1"/>
  <c r="F132" i="39"/>
  <c r="G132" i="39" s="1"/>
  <c r="D132" i="39"/>
  <c r="E132" i="39" s="1"/>
  <c r="B132" i="39"/>
  <c r="A132" i="39"/>
  <c r="M132" i="39" s="1"/>
  <c r="U131" i="39"/>
  <c r="S131" i="39"/>
  <c r="P131" i="39"/>
  <c r="Q131" i="39" s="1"/>
  <c r="N131" i="39"/>
  <c r="O131" i="39" s="1"/>
  <c r="K131" i="39"/>
  <c r="L131" i="39" s="1"/>
  <c r="F131" i="39"/>
  <c r="G131" i="39" s="1"/>
  <c r="D131" i="39"/>
  <c r="E131" i="39" s="1"/>
  <c r="B131" i="39"/>
  <c r="A131" i="39"/>
  <c r="M131" i="39" s="1"/>
  <c r="Y130" i="39"/>
  <c r="Z130" i="39" s="1"/>
  <c r="W130" i="39"/>
  <c r="B130" i="39"/>
  <c r="A130" i="39"/>
  <c r="Y129" i="39"/>
  <c r="Z129" i="39" s="1"/>
  <c r="W129" i="39"/>
  <c r="X129" i="39" s="1"/>
  <c r="B129" i="39"/>
  <c r="A129" i="39"/>
  <c r="Y128" i="39"/>
  <c r="Z128" i="39" s="1"/>
  <c r="W128" i="39"/>
  <c r="B128" i="39"/>
  <c r="A128" i="39"/>
  <c r="Y127" i="39"/>
  <c r="Z127" i="39" s="1"/>
  <c r="W127" i="39"/>
  <c r="X127" i="39" s="1"/>
  <c r="K127" i="39"/>
  <c r="L127" i="39" s="1"/>
  <c r="B127" i="39"/>
  <c r="A127" i="39"/>
  <c r="Y126" i="39"/>
  <c r="Z126" i="39" s="1"/>
  <c r="W126" i="39"/>
  <c r="X126" i="39" s="1"/>
  <c r="B126" i="39"/>
  <c r="A126" i="39"/>
  <c r="U125" i="39"/>
  <c r="S125" i="39"/>
  <c r="P125" i="39"/>
  <c r="Q125" i="39" s="1"/>
  <c r="N125" i="39"/>
  <c r="O125" i="39" s="1"/>
  <c r="K125" i="39"/>
  <c r="L125" i="39" s="1"/>
  <c r="F125" i="39"/>
  <c r="G125" i="39" s="1"/>
  <c r="D125" i="39"/>
  <c r="E125" i="39" s="1"/>
  <c r="B125" i="39"/>
  <c r="A125" i="39"/>
  <c r="M125" i="39" s="1"/>
  <c r="U124" i="39"/>
  <c r="S124" i="39"/>
  <c r="P124" i="39"/>
  <c r="Q124" i="39" s="1"/>
  <c r="N124" i="39"/>
  <c r="O124" i="39" s="1"/>
  <c r="K124" i="39"/>
  <c r="L124" i="39" s="1"/>
  <c r="F124" i="39"/>
  <c r="G124" i="39" s="1"/>
  <c r="D124" i="39"/>
  <c r="E124" i="39" s="1"/>
  <c r="B124" i="39"/>
  <c r="A124" i="39"/>
  <c r="M124" i="39" s="1"/>
  <c r="U123" i="39"/>
  <c r="S123" i="39"/>
  <c r="P123" i="39"/>
  <c r="Q123" i="39" s="1"/>
  <c r="N123" i="39"/>
  <c r="O123" i="39" s="1"/>
  <c r="K123" i="39"/>
  <c r="L123" i="39" s="1"/>
  <c r="F123" i="39"/>
  <c r="G123" i="39" s="1"/>
  <c r="D123" i="39"/>
  <c r="E123" i="39" s="1"/>
  <c r="B123" i="39"/>
  <c r="A123" i="39"/>
  <c r="M123" i="39" s="1"/>
  <c r="U122" i="39"/>
  <c r="S122" i="39"/>
  <c r="P122" i="39"/>
  <c r="Q122" i="39" s="1"/>
  <c r="N122" i="39"/>
  <c r="O122" i="39" s="1"/>
  <c r="K122" i="39"/>
  <c r="L122" i="39" s="1"/>
  <c r="F122" i="39"/>
  <c r="G122" i="39" s="1"/>
  <c r="D122" i="39"/>
  <c r="E122" i="39" s="1"/>
  <c r="B122" i="39"/>
  <c r="A122" i="39"/>
  <c r="M122" i="39" s="1"/>
  <c r="Y121" i="39"/>
  <c r="Z121" i="39" s="1"/>
  <c r="W121" i="39"/>
  <c r="B121" i="39"/>
  <c r="A121" i="39"/>
  <c r="Y120" i="39"/>
  <c r="Z120" i="39" s="1"/>
  <c r="W120" i="39"/>
  <c r="X120" i="39" s="1"/>
  <c r="B120" i="39"/>
  <c r="A120" i="39"/>
  <c r="Y119" i="39"/>
  <c r="Z119" i="39" s="1"/>
  <c r="W119" i="39"/>
  <c r="B119" i="39"/>
  <c r="A119" i="39"/>
  <c r="Y118" i="39"/>
  <c r="Z118" i="39" s="1"/>
  <c r="W118" i="39"/>
  <c r="X118" i="39" s="1"/>
  <c r="K118" i="39"/>
  <c r="L118" i="39" s="1"/>
  <c r="B118" i="39"/>
  <c r="A118" i="39"/>
  <c r="Y117" i="39"/>
  <c r="Z117" i="39" s="1"/>
  <c r="W117" i="39"/>
  <c r="X117" i="39" s="1"/>
  <c r="B117" i="39"/>
  <c r="A117" i="39"/>
  <c r="U116" i="39"/>
  <c r="S116" i="39"/>
  <c r="P116" i="39"/>
  <c r="Q116" i="39" s="1"/>
  <c r="N116" i="39"/>
  <c r="O116" i="39" s="1"/>
  <c r="K116" i="39"/>
  <c r="L116" i="39" s="1"/>
  <c r="F116" i="39"/>
  <c r="G116" i="39" s="1"/>
  <c r="D116" i="39"/>
  <c r="E116" i="39" s="1"/>
  <c r="B116" i="39"/>
  <c r="A116" i="39"/>
  <c r="M116" i="39" s="1"/>
  <c r="U115" i="39"/>
  <c r="S115" i="39"/>
  <c r="P115" i="39"/>
  <c r="Q115" i="39" s="1"/>
  <c r="N115" i="39"/>
  <c r="O115" i="39" s="1"/>
  <c r="K115" i="39"/>
  <c r="L115" i="39" s="1"/>
  <c r="F115" i="39"/>
  <c r="G115" i="39" s="1"/>
  <c r="D115" i="39"/>
  <c r="E115" i="39" s="1"/>
  <c r="B115" i="39"/>
  <c r="A115" i="39"/>
  <c r="M115" i="39" s="1"/>
  <c r="U114" i="39"/>
  <c r="S114" i="39"/>
  <c r="P114" i="39"/>
  <c r="Q114" i="39" s="1"/>
  <c r="N114" i="39"/>
  <c r="O114" i="39" s="1"/>
  <c r="K114" i="39"/>
  <c r="L114" i="39" s="1"/>
  <c r="F114" i="39"/>
  <c r="G114" i="39" s="1"/>
  <c r="D114" i="39"/>
  <c r="E114" i="39" s="1"/>
  <c r="B114" i="39"/>
  <c r="A114" i="39"/>
  <c r="M114" i="39" s="1"/>
  <c r="U113" i="39"/>
  <c r="S113" i="39"/>
  <c r="P113" i="39"/>
  <c r="Q113" i="39" s="1"/>
  <c r="N113" i="39"/>
  <c r="O113" i="39" s="1"/>
  <c r="K113" i="39"/>
  <c r="L113" i="39" s="1"/>
  <c r="F113" i="39"/>
  <c r="G113" i="39" s="1"/>
  <c r="D113" i="39"/>
  <c r="E113" i="39" s="1"/>
  <c r="B113" i="39"/>
  <c r="A113" i="39"/>
  <c r="M113" i="39" s="1"/>
  <c r="Y112" i="39"/>
  <c r="Z112" i="39" s="1"/>
  <c r="W112" i="39"/>
  <c r="X112" i="39" s="1"/>
  <c r="B112" i="39"/>
  <c r="A112" i="39"/>
  <c r="Y111" i="39"/>
  <c r="Z111" i="39" s="1"/>
  <c r="W111" i="39"/>
  <c r="B111" i="39"/>
  <c r="A111" i="39"/>
  <c r="Y110" i="39"/>
  <c r="Z110" i="39" s="1"/>
  <c r="W110" i="39"/>
  <c r="B110" i="39"/>
  <c r="A110" i="39"/>
  <c r="Y109" i="39"/>
  <c r="Z109" i="39" s="1"/>
  <c r="W109" i="39"/>
  <c r="K109" i="39"/>
  <c r="L109" i="39" s="1"/>
  <c r="B109" i="39"/>
  <c r="A109" i="39"/>
  <c r="Y108" i="39"/>
  <c r="Z108" i="39" s="1"/>
  <c r="W108" i="39"/>
  <c r="X108" i="39" s="1"/>
  <c r="B108" i="39"/>
  <c r="A108" i="39"/>
  <c r="U107" i="39"/>
  <c r="S107" i="39"/>
  <c r="P107" i="39"/>
  <c r="Q107" i="39" s="1"/>
  <c r="N107" i="39"/>
  <c r="O107" i="39" s="1"/>
  <c r="K107" i="39"/>
  <c r="L107" i="39" s="1"/>
  <c r="F107" i="39"/>
  <c r="G107" i="39" s="1"/>
  <c r="D107" i="39"/>
  <c r="E107" i="39" s="1"/>
  <c r="B107" i="39"/>
  <c r="A107" i="39"/>
  <c r="M107" i="39" s="1"/>
  <c r="U106" i="39"/>
  <c r="S106" i="39"/>
  <c r="P106" i="39"/>
  <c r="Q106" i="39" s="1"/>
  <c r="N106" i="39"/>
  <c r="O106" i="39" s="1"/>
  <c r="K106" i="39"/>
  <c r="L106" i="39" s="1"/>
  <c r="F106" i="39"/>
  <c r="G106" i="39" s="1"/>
  <c r="D106" i="39"/>
  <c r="E106" i="39" s="1"/>
  <c r="B106" i="39"/>
  <c r="A106" i="39"/>
  <c r="M106" i="39" s="1"/>
  <c r="U105" i="39"/>
  <c r="S105" i="39"/>
  <c r="P105" i="39"/>
  <c r="Q105" i="39" s="1"/>
  <c r="N105" i="39"/>
  <c r="O105" i="39" s="1"/>
  <c r="K105" i="39"/>
  <c r="L105" i="39" s="1"/>
  <c r="F105" i="39"/>
  <c r="G105" i="39" s="1"/>
  <c r="D105" i="39"/>
  <c r="E105" i="39" s="1"/>
  <c r="B105" i="39"/>
  <c r="A105" i="39"/>
  <c r="M105" i="39" s="1"/>
  <c r="U104" i="39"/>
  <c r="S104" i="39"/>
  <c r="P104" i="39"/>
  <c r="Q104" i="39" s="1"/>
  <c r="N104" i="39"/>
  <c r="O104" i="39" s="1"/>
  <c r="K104" i="39"/>
  <c r="L104" i="39" s="1"/>
  <c r="F104" i="39"/>
  <c r="G104" i="39" s="1"/>
  <c r="D104" i="39"/>
  <c r="E104" i="39" s="1"/>
  <c r="B104" i="39"/>
  <c r="A104" i="39"/>
  <c r="M104" i="39" s="1"/>
  <c r="Y103" i="39"/>
  <c r="Z103" i="39" s="1"/>
  <c r="W103" i="39"/>
  <c r="B103" i="39"/>
  <c r="A103" i="39"/>
  <c r="Y102" i="39"/>
  <c r="Z102" i="39" s="1"/>
  <c r="W102" i="39"/>
  <c r="X102" i="39" s="1"/>
  <c r="B102" i="39"/>
  <c r="A102" i="39"/>
  <c r="Y101" i="39"/>
  <c r="Z101" i="39" s="1"/>
  <c r="W101" i="39"/>
  <c r="B101" i="39"/>
  <c r="A101" i="39"/>
  <c r="Y100" i="39"/>
  <c r="Z100" i="39" s="1"/>
  <c r="W100" i="39"/>
  <c r="X100" i="39" s="1"/>
  <c r="K100" i="39"/>
  <c r="L100" i="39" s="1"/>
  <c r="B100" i="39"/>
  <c r="A100" i="39"/>
  <c r="Y99" i="39"/>
  <c r="Z99" i="39" s="1"/>
  <c r="W99" i="39"/>
  <c r="B99" i="39"/>
  <c r="A99" i="39"/>
  <c r="U98" i="39"/>
  <c r="S98" i="39"/>
  <c r="P98" i="39"/>
  <c r="Q98" i="39" s="1"/>
  <c r="N98" i="39"/>
  <c r="O98" i="39" s="1"/>
  <c r="K98" i="39"/>
  <c r="L98" i="39" s="1"/>
  <c r="F98" i="39"/>
  <c r="G98" i="39" s="1"/>
  <c r="D98" i="39"/>
  <c r="E98" i="39" s="1"/>
  <c r="B98" i="39"/>
  <c r="A98" i="39"/>
  <c r="M98" i="39" s="1"/>
  <c r="U97" i="39"/>
  <c r="S97" i="39"/>
  <c r="P97" i="39"/>
  <c r="Q97" i="39" s="1"/>
  <c r="N97" i="39"/>
  <c r="O97" i="39" s="1"/>
  <c r="K97" i="39"/>
  <c r="L97" i="39" s="1"/>
  <c r="F97" i="39"/>
  <c r="G97" i="39" s="1"/>
  <c r="D97" i="39"/>
  <c r="E97" i="39" s="1"/>
  <c r="B97" i="39"/>
  <c r="A97" i="39"/>
  <c r="M97" i="39" s="1"/>
  <c r="U96" i="39"/>
  <c r="S96" i="39"/>
  <c r="P96" i="39"/>
  <c r="Q96" i="39" s="1"/>
  <c r="N96" i="39"/>
  <c r="O96" i="39" s="1"/>
  <c r="K96" i="39"/>
  <c r="L96" i="39" s="1"/>
  <c r="F96" i="39"/>
  <c r="G96" i="39" s="1"/>
  <c r="D96" i="39"/>
  <c r="E96" i="39" s="1"/>
  <c r="B96" i="39"/>
  <c r="A96" i="39"/>
  <c r="M96" i="39" s="1"/>
  <c r="U95" i="39"/>
  <c r="S95" i="39"/>
  <c r="P95" i="39"/>
  <c r="Q95" i="39" s="1"/>
  <c r="N95" i="39"/>
  <c r="O95" i="39" s="1"/>
  <c r="K95" i="39"/>
  <c r="L95" i="39" s="1"/>
  <c r="F95" i="39"/>
  <c r="G95" i="39" s="1"/>
  <c r="D95" i="39"/>
  <c r="E95" i="39" s="1"/>
  <c r="B95" i="39"/>
  <c r="A95" i="39"/>
  <c r="M95" i="39" s="1"/>
  <c r="AE94" i="39"/>
  <c r="Y94" i="39"/>
  <c r="Z94" i="39" s="1"/>
  <c r="W94" i="39"/>
  <c r="B94" i="39"/>
  <c r="A94" i="39"/>
  <c r="AE93" i="39"/>
  <c r="Y93" i="39"/>
  <c r="Z93" i="39" s="1"/>
  <c r="W93" i="39"/>
  <c r="B93" i="39"/>
  <c r="A93" i="39"/>
  <c r="AE92" i="39"/>
  <c r="Y92" i="39"/>
  <c r="Z92" i="39" s="1"/>
  <c r="W92" i="39"/>
  <c r="X92" i="39" s="1"/>
  <c r="B92" i="39"/>
  <c r="A92" i="39"/>
  <c r="AE91" i="39"/>
  <c r="Y91" i="39"/>
  <c r="Z91" i="39" s="1"/>
  <c r="W91" i="39"/>
  <c r="K91" i="39"/>
  <c r="L91" i="39" s="1"/>
  <c r="B91" i="39"/>
  <c r="A91" i="39"/>
  <c r="AE90" i="39"/>
  <c r="Y90" i="39"/>
  <c r="Z90" i="39" s="1"/>
  <c r="W90" i="39"/>
  <c r="B90" i="39"/>
  <c r="A90" i="39"/>
  <c r="AE89" i="39"/>
  <c r="U89" i="39"/>
  <c r="S89" i="39"/>
  <c r="P89" i="39"/>
  <c r="Q89" i="39" s="1"/>
  <c r="N89" i="39"/>
  <c r="O89" i="39" s="1"/>
  <c r="K89" i="39"/>
  <c r="L89" i="39" s="1"/>
  <c r="F89" i="39"/>
  <c r="G89" i="39" s="1"/>
  <c r="D89" i="39"/>
  <c r="E89" i="39" s="1"/>
  <c r="B89" i="39"/>
  <c r="A89" i="39"/>
  <c r="M89" i="39" s="1"/>
  <c r="AE88" i="39"/>
  <c r="U88" i="39"/>
  <c r="S88" i="39"/>
  <c r="P88" i="39"/>
  <c r="Q88" i="39" s="1"/>
  <c r="N88" i="39"/>
  <c r="O88" i="39" s="1"/>
  <c r="K88" i="39"/>
  <c r="L88" i="39" s="1"/>
  <c r="F88" i="39"/>
  <c r="G88" i="39" s="1"/>
  <c r="D88" i="39"/>
  <c r="E88" i="39" s="1"/>
  <c r="B88" i="39"/>
  <c r="A88" i="39"/>
  <c r="M88" i="39" s="1"/>
  <c r="AE87" i="39"/>
  <c r="U87" i="39"/>
  <c r="S87" i="39"/>
  <c r="P87" i="39"/>
  <c r="Q87" i="39" s="1"/>
  <c r="N87" i="39"/>
  <c r="O87" i="39" s="1"/>
  <c r="K87" i="39"/>
  <c r="L87" i="39" s="1"/>
  <c r="F87" i="39"/>
  <c r="G87" i="39" s="1"/>
  <c r="D87" i="39"/>
  <c r="E87" i="39" s="1"/>
  <c r="B87" i="39"/>
  <c r="A87" i="39"/>
  <c r="M87" i="39" s="1"/>
  <c r="AE86" i="39"/>
  <c r="U86" i="39"/>
  <c r="S86" i="39"/>
  <c r="P86" i="39"/>
  <c r="Q86" i="39" s="1"/>
  <c r="N86" i="39"/>
  <c r="O86" i="39" s="1"/>
  <c r="K86" i="39"/>
  <c r="L86" i="39" s="1"/>
  <c r="F86" i="39"/>
  <c r="G86" i="39" s="1"/>
  <c r="D86" i="39"/>
  <c r="E86" i="39" s="1"/>
  <c r="B86" i="39"/>
  <c r="A86" i="39"/>
  <c r="M86" i="39" s="1"/>
  <c r="AE85" i="39"/>
  <c r="Y85" i="39"/>
  <c r="W85" i="39"/>
  <c r="X85" i="39" s="1"/>
  <c r="B85" i="39"/>
  <c r="A85" i="39"/>
  <c r="AE84" i="39"/>
  <c r="Y84" i="39"/>
  <c r="W84" i="39"/>
  <c r="X84" i="39" s="1"/>
  <c r="B84" i="39"/>
  <c r="A84" i="39"/>
  <c r="AE83" i="39"/>
  <c r="Y83" i="39"/>
  <c r="W83" i="39"/>
  <c r="X83" i="39" s="1"/>
  <c r="B83" i="39"/>
  <c r="A83" i="39"/>
  <c r="AE82" i="39"/>
  <c r="Y82" i="39"/>
  <c r="W82" i="39"/>
  <c r="X82" i="39" s="1"/>
  <c r="K82" i="39"/>
  <c r="L82" i="39" s="1"/>
  <c r="B82" i="39"/>
  <c r="A82" i="39"/>
  <c r="AE81" i="39"/>
  <c r="Y81" i="39"/>
  <c r="Z81" i="39" s="1"/>
  <c r="W81" i="39"/>
  <c r="B81" i="39"/>
  <c r="A81" i="39"/>
  <c r="AE80" i="39"/>
  <c r="U80" i="39"/>
  <c r="S80" i="39"/>
  <c r="P80" i="39"/>
  <c r="Q80" i="39" s="1"/>
  <c r="N80" i="39"/>
  <c r="O80" i="39" s="1"/>
  <c r="K80" i="39"/>
  <c r="L80" i="39" s="1"/>
  <c r="F80" i="39"/>
  <c r="G80" i="39" s="1"/>
  <c r="D80" i="39"/>
  <c r="E80" i="39" s="1"/>
  <c r="B80" i="39"/>
  <c r="A80" i="39"/>
  <c r="M80" i="39" s="1"/>
  <c r="AE79" i="39"/>
  <c r="U79" i="39"/>
  <c r="S79" i="39"/>
  <c r="P79" i="39"/>
  <c r="Q79" i="39" s="1"/>
  <c r="N79" i="39"/>
  <c r="O79" i="39" s="1"/>
  <c r="K79" i="39"/>
  <c r="L79" i="39" s="1"/>
  <c r="F79" i="39"/>
  <c r="G79" i="39" s="1"/>
  <c r="D79" i="39"/>
  <c r="E79" i="39" s="1"/>
  <c r="B79" i="39"/>
  <c r="A79" i="39"/>
  <c r="M79" i="39" s="1"/>
  <c r="AE78" i="39"/>
  <c r="U78" i="39"/>
  <c r="S78" i="39"/>
  <c r="P78" i="39"/>
  <c r="Q78" i="39" s="1"/>
  <c r="N78" i="39"/>
  <c r="O78" i="39" s="1"/>
  <c r="K78" i="39"/>
  <c r="L78" i="39" s="1"/>
  <c r="F78" i="39"/>
  <c r="G78" i="39" s="1"/>
  <c r="D78" i="39"/>
  <c r="E78" i="39" s="1"/>
  <c r="B78" i="39"/>
  <c r="A78" i="39"/>
  <c r="M78" i="39" s="1"/>
  <c r="AE77" i="39"/>
  <c r="U77" i="39"/>
  <c r="S77" i="39"/>
  <c r="P77" i="39"/>
  <c r="Q77" i="39" s="1"/>
  <c r="N77" i="39"/>
  <c r="O77" i="39" s="1"/>
  <c r="M77" i="39"/>
  <c r="K77" i="39"/>
  <c r="L77" i="39" s="1"/>
  <c r="F77" i="39"/>
  <c r="G77" i="39" s="1"/>
  <c r="D77" i="39"/>
  <c r="E77" i="39" s="1"/>
  <c r="B77" i="39"/>
  <c r="A77" i="39"/>
  <c r="AE76" i="39"/>
  <c r="Y76" i="39"/>
  <c r="Z76" i="39" s="1"/>
  <c r="W76" i="39"/>
  <c r="X76" i="39" s="1"/>
  <c r="B76" i="39"/>
  <c r="A76" i="39"/>
  <c r="AE75" i="39"/>
  <c r="Y75" i="39"/>
  <c r="Z75" i="39" s="1"/>
  <c r="W75" i="39"/>
  <c r="X75" i="39" s="1"/>
  <c r="B75" i="39"/>
  <c r="A75" i="39"/>
  <c r="AE74" i="39"/>
  <c r="Y74" i="39"/>
  <c r="Z74" i="39" s="1"/>
  <c r="W74" i="39"/>
  <c r="B74" i="39"/>
  <c r="A74" i="39"/>
  <c r="AE73" i="39"/>
  <c r="Y73" i="39"/>
  <c r="Z73" i="39" s="1"/>
  <c r="W73" i="39"/>
  <c r="X73" i="39" s="1"/>
  <c r="K73" i="39"/>
  <c r="L73" i="39" s="1"/>
  <c r="B73" i="39"/>
  <c r="A73" i="39"/>
  <c r="AE72" i="39"/>
  <c r="Y72" i="39"/>
  <c r="Z72" i="39" s="1"/>
  <c r="W72" i="39"/>
  <c r="X72" i="39" s="1"/>
  <c r="B72" i="39"/>
  <c r="A72" i="39"/>
  <c r="AE71" i="39"/>
  <c r="U71" i="39"/>
  <c r="S71" i="39"/>
  <c r="P71" i="39"/>
  <c r="Q71" i="39" s="1"/>
  <c r="N71" i="39"/>
  <c r="O71" i="39" s="1"/>
  <c r="K71" i="39"/>
  <c r="L71" i="39" s="1"/>
  <c r="F71" i="39"/>
  <c r="G71" i="39" s="1"/>
  <c r="D71" i="39"/>
  <c r="E71" i="39" s="1"/>
  <c r="B71" i="39"/>
  <c r="A71" i="39"/>
  <c r="M71" i="39" s="1"/>
  <c r="AE70" i="39"/>
  <c r="U70" i="39"/>
  <c r="S70" i="39"/>
  <c r="P70" i="39"/>
  <c r="Q70" i="39" s="1"/>
  <c r="N70" i="39"/>
  <c r="O70" i="39" s="1"/>
  <c r="K70" i="39"/>
  <c r="L70" i="39" s="1"/>
  <c r="F70" i="39"/>
  <c r="G70" i="39" s="1"/>
  <c r="D70" i="39"/>
  <c r="E70" i="39" s="1"/>
  <c r="B70" i="39"/>
  <c r="A70" i="39"/>
  <c r="M70" i="39" s="1"/>
  <c r="AE69" i="39"/>
  <c r="U69" i="39"/>
  <c r="S69" i="39"/>
  <c r="P69" i="39"/>
  <c r="Q69" i="39" s="1"/>
  <c r="N69" i="39"/>
  <c r="O69" i="39" s="1"/>
  <c r="K69" i="39"/>
  <c r="L69" i="39" s="1"/>
  <c r="F69" i="39"/>
  <c r="G69" i="39" s="1"/>
  <c r="D69" i="39"/>
  <c r="E69" i="39" s="1"/>
  <c r="B69" i="39"/>
  <c r="A69" i="39"/>
  <c r="M69" i="39" s="1"/>
  <c r="AE68" i="39"/>
  <c r="U68" i="39"/>
  <c r="S68" i="39"/>
  <c r="P68" i="39"/>
  <c r="Q68" i="39" s="1"/>
  <c r="N68" i="39"/>
  <c r="O68" i="39" s="1"/>
  <c r="K68" i="39"/>
  <c r="L68" i="39" s="1"/>
  <c r="F68" i="39"/>
  <c r="G68" i="39" s="1"/>
  <c r="D68" i="39"/>
  <c r="E68" i="39" s="1"/>
  <c r="B68" i="39"/>
  <c r="A68" i="39"/>
  <c r="M68" i="39" s="1"/>
  <c r="AE67" i="39"/>
  <c r="Y67" i="39"/>
  <c r="Z67" i="39" s="1"/>
  <c r="W67" i="39"/>
  <c r="B67" i="39"/>
  <c r="A67" i="39"/>
  <c r="AE66" i="39"/>
  <c r="Y66" i="39"/>
  <c r="Z66" i="39" s="1"/>
  <c r="W66" i="39"/>
  <c r="B66" i="39"/>
  <c r="A66" i="39"/>
  <c r="AE65" i="39"/>
  <c r="Y65" i="39"/>
  <c r="Z65" i="39" s="1"/>
  <c r="W65" i="39"/>
  <c r="B65" i="39"/>
  <c r="A65" i="39"/>
  <c r="AE64" i="39"/>
  <c r="Y64" i="39"/>
  <c r="Z64" i="39" s="1"/>
  <c r="W64" i="39"/>
  <c r="K64" i="39"/>
  <c r="L64" i="39" s="1"/>
  <c r="B64" i="39"/>
  <c r="A64" i="39"/>
  <c r="AE63" i="39"/>
  <c r="Y63" i="39"/>
  <c r="Z63" i="39" s="1"/>
  <c r="W63" i="39"/>
  <c r="B63" i="39"/>
  <c r="A63" i="39"/>
  <c r="AE62" i="39"/>
  <c r="U62" i="39"/>
  <c r="S62" i="39"/>
  <c r="P62" i="39"/>
  <c r="Q62" i="39" s="1"/>
  <c r="N62" i="39"/>
  <c r="O62" i="39" s="1"/>
  <c r="K62" i="39"/>
  <c r="L62" i="39" s="1"/>
  <c r="F62" i="39"/>
  <c r="G62" i="39" s="1"/>
  <c r="D62" i="39"/>
  <c r="E62" i="39" s="1"/>
  <c r="B62" i="39"/>
  <c r="A62" i="39"/>
  <c r="M62" i="39" s="1"/>
  <c r="AE61" i="39"/>
  <c r="U61" i="39"/>
  <c r="S61" i="39"/>
  <c r="P61" i="39"/>
  <c r="Q61" i="39" s="1"/>
  <c r="N61" i="39"/>
  <c r="O61" i="39" s="1"/>
  <c r="K61" i="39"/>
  <c r="L61" i="39" s="1"/>
  <c r="F61" i="39"/>
  <c r="G61" i="39" s="1"/>
  <c r="D61" i="39"/>
  <c r="E61" i="39" s="1"/>
  <c r="B61" i="39"/>
  <c r="A61" i="39"/>
  <c r="M61" i="39" s="1"/>
  <c r="AE60" i="39"/>
  <c r="U60" i="39"/>
  <c r="S60" i="39"/>
  <c r="P60" i="39"/>
  <c r="Q60" i="39" s="1"/>
  <c r="N60" i="39"/>
  <c r="O60" i="39" s="1"/>
  <c r="K60" i="39"/>
  <c r="L60" i="39" s="1"/>
  <c r="F60" i="39"/>
  <c r="G60" i="39" s="1"/>
  <c r="D60" i="39"/>
  <c r="E60" i="39" s="1"/>
  <c r="B60" i="39"/>
  <c r="A60" i="39"/>
  <c r="M60" i="39" s="1"/>
  <c r="AE59" i="39"/>
  <c r="U59" i="39"/>
  <c r="S59" i="39"/>
  <c r="P59" i="39"/>
  <c r="Q59" i="39" s="1"/>
  <c r="N59" i="39"/>
  <c r="O59" i="39" s="1"/>
  <c r="K59" i="39"/>
  <c r="L59" i="39" s="1"/>
  <c r="F59" i="39"/>
  <c r="G59" i="39" s="1"/>
  <c r="D59" i="39"/>
  <c r="E59" i="39" s="1"/>
  <c r="B59" i="39"/>
  <c r="A59" i="39"/>
  <c r="M59" i="39" s="1"/>
  <c r="AE58" i="39"/>
  <c r="Y58" i="39"/>
  <c r="Z58" i="39" s="1"/>
  <c r="W58" i="39"/>
  <c r="X58" i="39" s="1"/>
  <c r="B58" i="39"/>
  <c r="A58" i="39"/>
  <c r="AE57" i="39"/>
  <c r="Y57" i="39"/>
  <c r="Z57" i="39" s="1"/>
  <c r="W57" i="39"/>
  <c r="X57" i="39" s="1"/>
  <c r="B57" i="39"/>
  <c r="A57" i="39"/>
  <c r="AE56" i="39"/>
  <c r="Y56" i="39"/>
  <c r="Z56" i="39" s="1"/>
  <c r="W56" i="39"/>
  <c r="B56" i="39"/>
  <c r="A56" i="39"/>
  <c r="AE55" i="39"/>
  <c r="Y55" i="39"/>
  <c r="Z55" i="39" s="1"/>
  <c r="W55" i="39"/>
  <c r="K55" i="39"/>
  <c r="L55" i="39" s="1"/>
  <c r="B55" i="39"/>
  <c r="A55" i="39"/>
  <c r="AE54" i="39"/>
  <c r="Y54" i="39"/>
  <c r="Z54" i="39" s="1"/>
  <c r="W54" i="39"/>
  <c r="B54" i="39"/>
  <c r="A54" i="39"/>
  <c r="AE53" i="39"/>
  <c r="U53" i="39"/>
  <c r="S53" i="39"/>
  <c r="P53" i="39"/>
  <c r="Q53" i="39" s="1"/>
  <c r="N53" i="39"/>
  <c r="O53" i="39" s="1"/>
  <c r="K53" i="39"/>
  <c r="L53" i="39" s="1"/>
  <c r="F53" i="39"/>
  <c r="G53" i="39" s="1"/>
  <c r="D53" i="39"/>
  <c r="E53" i="39" s="1"/>
  <c r="B53" i="39"/>
  <c r="A53" i="39"/>
  <c r="M53" i="39" s="1"/>
  <c r="AE52" i="39"/>
  <c r="U52" i="39"/>
  <c r="S52" i="39"/>
  <c r="P52" i="39"/>
  <c r="Q52" i="39" s="1"/>
  <c r="N52" i="39"/>
  <c r="O52" i="39" s="1"/>
  <c r="K52" i="39"/>
  <c r="L52" i="39" s="1"/>
  <c r="F52" i="39"/>
  <c r="G52" i="39" s="1"/>
  <c r="D52" i="39"/>
  <c r="E52" i="39" s="1"/>
  <c r="B52" i="39"/>
  <c r="A52" i="39"/>
  <c r="M52" i="39" s="1"/>
  <c r="AE51" i="39"/>
  <c r="U51" i="39"/>
  <c r="S51" i="39"/>
  <c r="P51" i="39"/>
  <c r="Q51" i="39" s="1"/>
  <c r="N51" i="39"/>
  <c r="O51" i="39" s="1"/>
  <c r="K51" i="39"/>
  <c r="L51" i="39" s="1"/>
  <c r="F51" i="39"/>
  <c r="G51" i="39" s="1"/>
  <c r="D51" i="39"/>
  <c r="E51" i="39" s="1"/>
  <c r="B51" i="39"/>
  <c r="A51" i="39"/>
  <c r="M51" i="39" s="1"/>
  <c r="AE50" i="39"/>
  <c r="U50" i="39"/>
  <c r="S50" i="39"/>
  <c r="P50" i="39"/>
  <c r="Q50" i="39" s="1"/>
  <c r="N50" i="39"/>
  <c r="O50" i="39" s="1"/>
  <c r="K50" i="39"/>
  <c r="L50" i="39" s="1"/>
  <c r="F50" i="39"/>
  <c r="G50" i="39" s="1"/>
  <c r="D50" i="39"/>
  <c r="E50" i="39" s="1"/>
  <c r="B50" i="39"/>
  <c r="A50" i="39"/>
  <c r="M50" i="39" s="1"/>
  <c r="AE49" i="39"/>
  <c r="Y49" i="39"/>
  <c r="Z49" i="39" s="1"/>
  <c r="W49" i="39"/>
  <c r="B49" i="39"/>
  <c r="A49" i="39"/>
  <c r="AE48" i="39"/>
  <c r="Y48" i="39"/>
  <c r="Z48" i="39" s="1"/>
  <c r="W48" i="39"/>
  <c r="B48" i="39"/>
  <c r="A48" i="39"/>
  <c r="AE47" i="39"/>
  <c r="Y47" i="39"/>
  <c r="Z47" i="39" s="1"/>
  <c r="W47" i="39"/>
  <c r="X47" i="39" s="1"/>
  <c r="B47" i="39"/>
  <c r="A47" i="39"/>
  <c r="AE46" i="39"/>
  <c r="Y46" i="39"/>
  <c r="Z46" i="39" s="1"/>
  <c r="W46" i="39"/>
  <c r="X46" i="39" s="1"/>
  <c r="K46" i="39"/>
  <c r="L46" i="39" s="1"/>
  <c r="B46" i="39"/>
  <c r="A46" i="39"/>
  <c r="AE45" i="39"/>
  <c r="Y45" i="39"/>
  <c r="Z45" i="39" s="1"/>
  <c r="W45" i="39"/>
  <c r="X45" i="39" s="1"/>
  <c r="B45" i="39"/>
  <c r="A45" i="39"/>
  <c r="AE44" i="39"/>
  <c r="U44" i="39"/>
  <c r="S44" i="39"/>
  <c r="P44" i="39"/>
  <c r="Q44" i="39" s="1"/>
  <c r="N44" i="39"/>
  <c r="O44" i="39" s="1"/>
  <c r="K44" i="39"/>
  <c r="L44" i="39" s="1"/>
  <c r="F44" i="39"/>
  <c r="G44" i="39" s="1"/>
  <c r="D44" i="39"/>
  <c r="E44" i="39" s="1"/>
  <c r="B44" i="39"/>
  <c r="A44" i="39"/>
  <c r="M44" i="39" s="1"/>
  <c r="AE43" i="39"/>
  <c r="U43" i="39"/>
  <c r="S43" i="39"/>
  <c r="P43" i="39"/>
  <c r="Q43" i="39" s="1"/>
  <c r="N43" i="39"/>
  <c r="O43" i="39" s="1"/>
  <c r="K43" i="39"/>
  <c r="L43" i="39" s="1"/>
  <c r="F43" i="39"/>
  <c r="G43" i="39" s="1"/>
  <c r="D43" i="39"/>
  <c r="E43" i="39" s="1"/>
  <c r="B43" i="39"/>
  <c r="A43" i="39"/>
  <c r="M43" i="39" s="1"/>
  <c r="AE42" i="39"/>
  <c r="U42" i="39"/>
  <c r="S42" i="39"/>
  <c r="P42" i="39"/>
  <c r="Q42" i="39" s="1"/>
  <c r="N42" i="39"/>
  <c r="O42" i="39" s="1"/>
  <c r="K42" i="39"/>
  <c r="L42" i="39" s="1"/>
  <c r="F42" i="39"/>
  <c r="G42" i="39" s="1"/>
  <c r="D42" i="39"/>
  <c r="E42" i="39" s="1"/>
  <c r="B42" i="39"/>
  <c r="A42" i="39"/>
  <c r="M42" i="39" s="1"/>
  <c r="AE41" i="39"/>
  <c r="U41" i="39"/>
  <c r="S41" i="39"/>
  <c r="P41" i="39"/>
  <c r="Q41" i="39" s="1"/>
  <c r="N41" i="39"/>
  <c r="O41" i="39" s="1"/>
  <c r="K41" i="39"/>
  <c r="L41" i="39" s="1"/>
  <c r="F41" i="39"/>
  <c r="G41" i="39" s="1"/>
  <c r="D41" i="39"/>
  <c r="E41" i="39" s="1"/>
  <c r="B41" i="39"/>
  <c r="A41" i="39"/>
  <c r="M41" i="39" s="1"/>
  <c r="AE40" i="39"/>
  <c r="Y40" i="39"/>
  <c r="Z40" i="39" s="1"/>
  <c r="W40" i="39"/>
  <c r="X40" i="39" s="1"/>
  <c r="B40" i="39"/>
  <c r="A40" i="39"/>
  <c r="AE39" i="39"/>
  <c r="Y39" i="39"/>
  <c r="Z39" i="39" s="1"/>
  <c r="W39" i="39"/>
  <c r="B39" i="39"/>
  <c r="A39" i="39"/>
  <c r="AE38" i="39"/>
  <c r="Y38" i="39"/>
  <c r="Z38" i="39" s="1"/>
  <c r="W38" i="39"/>
  <c r="B38" i="39"/>
  <c r="A38" i="39"/>
  <c r="AE37" i="39"/>
  <c r="Y37" i="39"/>
  <c r="Z37" i="39" s="1"/>
  <c r="W37" i="39"/>
  <c r="X37" i="39" s="1"/>
  <c r="K37" i="39"/>
  <c r="L37" i="39" s="1"/>
  <c r="B37" i="39"/>
  <c r="A37" i="39"/>
  <c r="AE36" i="39"/>
  <c r="Z36" i="39"/>
  <c r="Y36" i="39"/>
  <c r="W36" i="39"/>
  <c r="X36" i="39" s="1"/>
  <c r="B36" i="39"/>
  <c r="A36" i="39"/>
  <c r="AE35" i="39"/>
  <c r="U35" i="39"/>
  <c r="S35" i="39"/>
  <c r="P35" i="39"/>
  <c r="Q35" i="39" s="1"/>
  <c r="N35" i="39"/>
  <c r="O35" i="39" s="1"/>
  <c r="K35" i="39"/>
  <c r="L35" i="39" s="1"/>
  <c r="F35" i="39"/>
  <c r="G35" i="39" s="1"/>
  <c r="D35" i="39"/>
  <c r="E35" i="39" s="1"/>
  <c r="B35" i="39"/>
  <c r="A35" i="39"/>
  <c r="M35" i="39" s="1"/>
  <c r="AE34" i="39"/>
  <c r="U34" i="39"/>
  <c r="S34" i="39"/>
  <c r="P34" i="39"/>
  <c r="Q34" i="39" s="1"/>
  <c r="N34" i="39"/>
  <c r="O34" i="39" s="1"/>
  <c r="K34" i="39"/>
  <c r="L34" i="39" s="1"/>
  <c r="F34" i="39"/>
  <c r="G34" i="39" s="1"/>
  <c r="D34" i="39"/>
  <c r="E34" i="39" s="1"/>
  <c r="B34" i="39"/>
  <c r="A34" i="39"/>
  <c r="M34" i="39" s="1"/>
  <c r="AE33" i="39"/>
  <c r="U33" i="39"/>
  <c r="S33" i="39"/>
  <c r="P33" i="39"/>
  <c r="Q33" i="39" s="1"/>
  <c r="N33" i="39"/>
  <c r="O33" i="39" s="1"/>
  <c r="K33" i="39"/>
  <c r="L33" i="39" s="1"/>
  <c r="F33" i="39"/>
  <c r="G33" i="39" s="1"/>
  <c r="D33" i="39"/>
  <c r="E33" i="39" s="1"/>
  <c r="B33" i="39"/>
  <c r="A33" i="39"/>
  <c r="M33" i="39" s="1"/>
  <c r="AE32" i="39"/>
  <c r="U32" i="39"/>
  <c r="S32" i="39"/>
  <c r="P32" i="39"/>
  <c r="Q32" i="39" s="1"/>
  <c r="N32" i="39"/>
  <c r="O32" i="39" s="1"/>
  <c r="K32" i="39"/>
  <c r="L32" i="39" s="1"/>
  <c r="F32" i="39"/>
  <c r="G32" i="39" s="1"/>
  <c r="D32" i="39"/>
  <c r="E32" i="39" s="1"/>
  <c r="B32" i="39"/>
  <c r="A32" i="39"/>
  <c r="M32" i="39" s="1"/>
  <c r="AE31" i="39"/>
  <c r="Y31" i="39"/>
  <c r="Z31" i="39" s="1"/>
  <c r="W31" i="39"/>
  <c r="X31" i="39" s="1"/>
  <c r="B31" i="39"/>
  <c r="A31" i="39"/>
  <c r="AE30" i="39"/>
  <c r="Y30" i="39"/>
  <c r="Z30" i="39" s="1"/>
  <c r="W30" i="39"/>
  <c r="B30" i="39"/>
  <c r="A30" i="39"/>
  <c r="AE29" i="39"/>
  <c r="Y29" i="39"/>
  <c r="Z29" i="39" s="1"/>
  <c r="W29" i="39"/>
  <c r="B29" i="39"/>
  <c r="A29" i="39"/>
  <c r="AE28" i="39"/>
  <c r="Y28" i="39"/>
  <c r="Z28" i="39" s="1"/>
  <c r="W28" i="39"/>
  <c r="X28" i="39" s="1"/>
  <c r="K28" i="39"/>
  <c r="L28" i="39" s="1"/>
  <c r="B28" i="39"/>
  <c r="A28" i="39"/>
  <c r="AE27" i="39"/>
  <c r="Y27" i="39"/>
  <c r="Z27" i="39" s="1"/>
  <c r="W27" i="39"/>
  <c r="X27" i="39" s="1"/>
  <c r="B27" i="39"/>
  <c r="A27" i="39"/>
  <c r="AE26" i="39"/>
  <c r="U26" i="39"/>
  <c r="S26" i="39"/>
  <c r="P26" i="39"/>
  <c r="Q26" i="39" s="1"/>
  <c r="N26" i="39"/>
  <c r="O26" i="39" s="1"/>
  <c r="K26" i="39"/>
  <c r="L26" i="39" s="1"/>
  <c r="F26" i="39"/>
  <c r="G26" i="39" s="1"/>
  <c r="D26" i="39"/>
  <c r="E26" i="39" s="1"/>
  <c r="B26" i="39"/>
  <c r="A26" i="39"/>
  <c r="M26" i="39" s="1"/>
  <c r="AE25" i="39"/>
  <c r="U25" i="39"/>
  <c r="S25" i="39"/>
  <c r="P25" i="39"/>
  <c r="Q25" i="39" s="1"/>
  <c r="N25" i="39"/>
  <c r="O25" i="39" s="1"/>
  <c r="K25" i="39"/>
  <c r="L25" i="39" s="1"/>
  <c r="F25" i="39"/>
  <c r="G25" i="39" s="1"/>
  <c r="D25" i="39"/>
  <c r="E25" i="39" s="1"/>
  <c r="B25" i="39"/>
  <c r="A25" i="39"/>
  <c r="M25" i="39" s="1"/>
  <c r="AE24" i="39"/>
  <c r="U24" i="39"/>
  <c r="S24" i="39"/>
  <c r="P24" i="39"/>
  <c r="Q24" i="39" s="1"/>
  <c r="N24" i="39"/>
  <c r="O24" i="39" s="1"/>
  <c r="K24" i="39"/>
  <c r="L24" i="39" s="1"/>
  <c r="F24" i="39"/>
  <c r="G24" i="39" s="1"/>
  <c r="D24" i="39"/>
  <c r="E24" i="39" s="1"/>
  <c r="B24" i="39"/>
  <c r="A24" i="39"/>
  <c r="M24" i="39" s="1"/>
  <c r="AE23" i="39"/>
  <c r="U23" i="39"/>
  <c r="S23" i="39"/>
  <c r="P23" i="39"/>
  <c r="Q23" i="39" s="1"/>
  <c r="N23" i="39"/>
  <c r="O23" i="39" s="1"/>
  <c r="K23" i="39"/>
  <c r="L23" i="39" s="1"/>
  <c r="F23" i="39"/>
  <c r="G23" i="39" s="1"/>
  <c r="D23" i="39"/>
  <c r="E23" i="39" s="1"/>
  <c r="B23" i="39"/>
  <c r="A23" i="39"/>
  <c r="M23" i="39" s="1"/>
  <c r="AE22" i="39"/>
  <c r="Y22" i="39"/>
  <c r="Z22" i="39" s="1"/>
  <c r="W22" i="39"/>
  <c r="B22" i="39"/>
  <c r="A22" i="39"/>
  <c r="AE21" i="39"/>
  <c r="Y21" i="39"/>
  <c r="Z21" i="39" s="1"/>
  <c r="W21" i="39"/>
  <c r="X21" i="39" s="1"/>
  <c r="B21" i="39"/>
  <c r="A21" i="39"/>
  <c r="AE20" i="39"/>
  <c r="Y20" i="39"/>
  <c r="Z20" i="39" s="1"/>
  <c r="W20" i="39"/>
  <c r="X20" i="39" s="1"/>
  <c r="B20" i="39"/>
  <c r="A20" i="39"/>
  <c r="AE19" i="39"/>
  <c r="Y19" i="39"/>
  <c r="Z19" i="39" s="1"/>
  <c r="W19" i="39"/>
  <c r="X19" i="39" s="1"/>
  <c r="K19" i="39"/>
  <c r="L19" i="39" s="1"/>
  <c r="B19" i="39"/>
  <c r="A19" i="39"/>
  <c r="AE18" i="39"/>
  <c r="Y18" i="39"/>
  <c r="Z18" i="39" s="1"/>
  <c r="W18" i="39"/>
  <c r="X18" i="39" s="1"/>
  <c r="B18" i="39"/>
  <c r="A18" i="39"/>
  <c r="AE17" i="39"/>
  <c r="U17" i="39"/>
  <c r="S17" i="39"/>
  <c r="P17" i="39"/>
  <c r="Q17" i="39" s="1"/>
  <c r="N17" i="39"/>
  <c r="O17" i="39" s="1"/>
  <c r="K17" i="39"/>
  <c r="L17" i="39" s="1"/>
  <c r="F17" i="39"/>
  <c r="G17" i="39" s="1"/>
  <c r="D17" i="39"/>
  <c r="E17" i="39" s="1"/>
  <c r="B17" i="39"/>
  <c r="A17" i="39"/>
  <c r="M17" i="39" s="1"/>
  <c r="AE16" i="39"/>
  <c r="U16" i="39"/>
  <c r="S16" i="39"/>
  <c r="P16" i="39"/>
  <c r="Q16" i="39" s="1"/>
  <c r="N16" i="39"/>
  <c r="O16" i="39" s="1"/>
  <c r="K16" i="39"/>
  <c r="L16" i="39" s="1"/>
  <c r="F16" i="39"/>
  <c r="G16" i="39" s="1"/>
  <c r="D16" i="39"/>
  <c r="E16" i="39" s="1"/>
  <c r="B16" i="39"/>
  <c r="A16" i="39"/>
  <c r="M16" i="39" s="1"/>
  <c r="AE15" i="39"/>
  <c r="U15" i="39"/>
  <c r="S15" i="39"/>
  <c r="P15" i="39"/>
  <c r="Q15" i="39" s="1"/>
  <c r="N15" i="39"/>
  <c r="O15" i="39" s="1"/>
  <c r="K15" i="39"/>
  <c r="L15" i="39" s="1"/>
  <c r="F15" i="39"/>
  <c r="G15" i="39" s="1"/>
  <c r="D15" i="39"/>
  <c r="E15" i="39" s="1"/>
  <c r="B15" i="39"/>
  <c r="A15" i="39"/>
  <c r="M15" i="39" s="1"/>
  <c r="AE14" i="39"/>
  <c r="U14" i="39"/>
  <c r="S14" i="39"/>
  <c r="P14" i="39"/>
  <c r="Q14" i="39" s="1"/>
  <c r="N14" i="39"/>
  <c r="O14" i="39" s="1"/>
  <c r="K14" i="39"/>
  <c r="L14" i="39" s="1"/>
  <c r="F14" i="39"/>
  <c r="G14" i="39" s="1"/>
  <c r="D14" i="39"/>
  <c r="E14" i="39" s="1"/>
  <c r="B14" i="39"/>
  <c r="A14" i="39"/>
  <c r="M14" i="39" s="1"/>
  <c r="C84" i="37"/>
  <c r="O1" i="37"/>
  <c r="B2" i="50" s="1"/>
  <c r="Y742" i="38"/>
  <c r="Z742" i="38" s="1"/>
  <c r="W742" i="38"/>
  <c r="X742" i="38" s="1"/>
  <c r="B742" i="38"/>
  <c r="A742" i="38"/>
  <c r="Y741" i="38"/>
  <c r="Z741" i="38" s="1"/>
  <c r="W741" i="38"/>
  <c r="B741" i="38"/>
  <c r="A741" i="38"/>
  <c r="Y740" i="38"/>
  <c r="W740" i="38"/>
  <c r="X740" i="38" s="1"/>
  <c r="B740" i="38"/>
  <c r="A740" i="38"/>
  <c r="Y739" i="38"/>
  <c r="Z739" i="38" s="1"/>
  <c r="W739" i="38"/>
  <c r="K739" i="38"/>
  <c r="B739" i="38"/>
  <c r="A739" i="38"/>
  <c r="Y738" i="38"/>
  <c r="W738" i="38"/>
  <c r="X738" i="38" s="1"/>
  <c r="B738" i="38"/>
  <c r="A738" i="38"/>
  <c r="U737" i="38"/>
  <c r="S737" i="38"/>
  <c r="P737" i="38"/>
  <c r="Q737" i="38" s="1"/>
  <c r="N737" i="38"/>
  <c r="O737" i="38" s="1"/>
  <c r="K737" i="38"/>
  <c r="L737" i="38" s="1"/>
  <c r="F737" i="38"/>
  <c r="G737" i="38" s="1"/>
  <c r="D737" i="38"/>
  <c r="E737" i="38" s="1"/>
  <c r="B737" i="38"/>
  <c r="A737" i="38"/>
  <c r="M737" i="38" s="1"/>
  <c r="U736" i="38"/>
  <c r="S736" i="38"/>
  <c r="P736" i="38"/>
  <c r="Q736" i="38" s="1"/>
  <c r="N736" i="38"/>
  <c r="O736" i="38" s="1"/>
  <c r="K736" i="38"/>
  <c r="L736" i="38" s="1"/>
  <c r="F736" i="38"/>
  <c r="G736" i="38" s="1"/>
  <c r="D736" i="38"/>
  <c r="E736" i="38" s="1"/>
  <c r="B736" i="38"/>
  <c r="A736" i="38"/>
  <c r="M736" i="38" s="1"/>
  <c r="U735" i="38"/>
  <c r="S735" i="38"/>
  <c r="P735" i="38"/>
  <c r="Q735" i="38" s="1"/>
  <c r="N735" i="38"/>
  <c r="O735" i="38" s="1"/>
  <c r="K735" i="38"/>
  <c r="L735" i="38" s="1"/>
  <c r="F735" i="38"/>
  <c r="G735" i="38" s="1"/>
  <c r="D735" i="38"/>
  <c r="E735" i="38" s="1"/>
  <c r="B735" i="38"/>
  <c r="A735" i="38"/>
  <c r="M735" i="38" s="1"/>
  <c r="U734" i="38"/>
  <c r="S734" i="38"/>
  <c r="P734" i="38"/>
  <c r="Q734" i="38" s="1"/>
  <c r="N734" i="38"/>
  <c r="O734" i="38" s="1"/>
  <c r="K734" i="38"/>
  <c r="L734" i="38" s="1"/>
  <c r="F734" i="38"/>
  <c r="G734" i="38" s="1"/>
  <c r="D734" i="38"/>
  <c r="E734" i="38" s="1"/>
  <c r="B734" i="38"/>
  <c r="A734" i="38"/>
  <c r="M734" i="38" s="1"/>
  <c r="Y733" i="38"/>
  <c r="W733" i="38"/>
  <c r="X733" i="38" s="1"/>
  <c r="B733" i="38"/>
  <c r="A733" i="38"/>
  <c r="Y732" i="38"/>
  <c r="Z732" i="38" s="1"/>
  <c r="W732" i="38"/>
  <c r="B732" i="38"/>
  <c r="A732" i="38"/>
  <c r="Y731" i="38"/>
  <c r="Z731" i="38" s="1"/>
  <c r="W731" i="38"/>
  <c r="X731" i="38" s="1"/>
  <c r="B731" i="38"/>
  <c r="A731" i="38"/>
  <c r="Y730" i="38"/>
  <c r="Z730" i="38" s="1"/>
  <c r="W730" i="38"/>
  <c r="K730" i="38"/>
  <c r="B730" i="38"/>
  <c r="A730" i="38"/>
  <c r="Y729" i="38"/>
  <c r="Z729" i="38" s="1"/>
  <c r="W729" i="38"/>
  <c r="B729" i="38"/>
  <c r="A729" i="38"/>
  <c r="U728" i="38"/>
  <c r="S728" i="38"/>
  <c r="P728" i="38"/>
  <c r="Q728" i="38" s="1"/>
  <c r="N728" i="38"/>
  <c r="O728" i="38" s="1"/>
  <c r="K728" i="38"/>
  <c r="L728" i="38" s="1"/>
  <c r="F728" i="38"/>
  <c r="G728" i="38" s="1"/>
  <c r="D728" i="38"/>
  <c r="E728" i="38" s="1"/>
  <c r="B728" i="38"/>
  <c r="A728" i="38"/>
  <c r="M728" i="38" s="1"/>
  <c r="U727" i="38"/>
  <c r="S727" i="38"/>
  <c r="P727" i="38"/>
  <c r="Q727" i="38" s="1"/>
  <c r="N727" i="38"/>
  <c r="O727" i="38" s="1"/>
  <c r="K727" i="38"/>
  <c r="L727" i="38" s="1"/>
  <c r="F727" i="38"/>
  <c r="G727" i="38" s="1"/>
  <c r="D727" i="38"/>
  <c r="E727" i="38" s="1"/>
  <c r="B727" i="38"/>
  <c r="A727" i="38"/>
  <c r="M727" i="38" s="1"/>
  <c r="U726" i="38"/>
  <c r="S726" i="38"/>
  <c r="P726" i="38"/>
  <c r="Q726" i="38" s="1"/>
  <c r="N726" i="38"/>
  <c r="O726" i="38" s="1"/>
  <c r="K726" i="38"/>
  <c r="L726" i="38" s="1"/>
  <c r="F726" i="38"/>
  <c r="G726" i="38" s="1"/>
  <c r="D726" i="38"/>
  <c r="E726" i="38" s="1"/>
  <c r="B726" i="38"/>
  <c r="A726" i="38"/>
  <c r="M726" i="38" s="1"/>
  <c r="U725" i="38"/>
  <c r="S725" i="38"/>
  <c r="P725" i="38"/>
  <c r="Q725" i="38" s="1"/>
  <c r="N725" i="38"/>
  <c r="O725" i="38" s="1"/>
  <c r="K725" i="38"/>
  <c r="L725" i="38" s="1"/>
  <c r="F725" i="38"/>
  <c r="G725" i="38" s="1"/>
  <c r="D725" i="38"/>
  <c r="E725" i="38" s="1"/>
  <c r="B725" i="38"/>
  <c r="A725" i="38"/>
  <c r="M725" i="38" s="1"/>
  <c r="Y724" i="38"/>
  <c r="Z724" i="38" s="1"/>
  <c r="W724" i="38"/>
  <c r="X724" i="38" s="1"/>
  <c r="B724" i="38"/>
  <c r="A724" i="38"/>
  <c r="Y723" i="38"/>
  <c r="Z723" i="38" s="1"/>
  <c r="W723" i="38"/>
  <c r="B723" i="38"/>
  <c r="A723" i="38"/>
  <c r="Y722" i="38"/>
  <c r="W722" i="38"/>
  <c r="X722" i="38" s="1"/>
  <c r="B722" i="38"/>
  <c r="A722" i="38"/>
  <c r="Y721" i="38"/>
  <c r="Z721" i="38" s="1"/>
  <c r="W721" i="38"/>
  <c r="K721" i="38"/>
  <c r="L721" i="38" s="1"/>
  <c r="B721" i="38"/>
  <c r="A721" i="38"/>
  <c r="Y720" i="38"/>
  <c r="Z720" i="38" s="1"/>
  <c r="W720" i="38"/>
  <c r="B720" i="38"/>
  <c r="A720" i="38"/>
  <c r="U719" i="38"/>
  <c r="S719" i="38"/>
  <c r="P719" i="38"/>
  <c r="Q719" i="38" s="1"/>
  <c r="N719" i="38"/>
  <c r="O719" i="38" s="1"/>
  <c r="K719" i="38"/>
  <c r="F719" i="38"/>
  <c r="G719" i="38" s="1"/>
  <c r="D719" i="38"/>
  <c r="E719" i="38" s="1"/>
  <c r="B719" i="38"/>
  <c r="A719" i="38"/>
  <c r="M719" i="38" s="1"/>
  <c r="U718" i="38"/>
  <c r="S718" i="38"/>
  <c r="P718" i="38"/>
  <c r="Q718" i="38" s="1"/>
  <c r="N718" i="38"/>
  <c r="O718" i="38" s="1"/>
  <c r="K718" i="38"/>
  <c r="L718" i="38" s="1"/>
  <c r="F718" i="38"/>
  <c r="G718" i="38" s="1"/>
  <c r="D718" i="38"/>
  <c r="E718" i="38" s="1"/>
  <c r="B718" i="38"/>
  <c r="A718" i="38"/>
  <c r="M718" i="38" s="1"/>
  <c r="U717" i="38"/>
  <c r="S717" i="38"/>
  <c r="P717" i="38"/>
  <c r="Q717" i="38" s="1"/>
  <c r="N717" i="38"/>
  <c r="O717" i="38" s="1"/>
  <c r="K717" i="38"/>
  <c r="F717" i="38"/>
  <c r="G717" i="38" s="1"/>
  <c r="D717" i="38"/>
  <c r="E717" i="38" s="1"/>
  <c r="B717" i="38"/>
  <c r="A717" i="38"/>
  <c r="M717" i="38" s="1"/>
  <c r="U716" i="38"/>
  <c r="S716" i="38"/>
  <c r="P716" i="38"/>
  <c r="Q716" i="38" s="1"/>
  <c r="N716" i="38"/>
  <c r="O716" i="38" s="1"/>
  <c r="K716" i="38"/>
  <c r="L716" i="38" s="1"/>
  <c r="F716" i="38"/>
  <c r="G716" i="38" s="1"/>
  <c r="D716" i="38"/>
  <c r="E716" i="38" s="1"/>
  <c r="B716" i="38"/>
  <c r="A716" i="38"/>
  <c r="M716" i="38" s="1"/>
  <c r="Y715" i="38"/>
  <c r="W715" i="38"/>
  <c r="X715" i="38" s="1"/>
  <c r="B715" i="38"/>
  <c r="A715" i="38"/>
  <c r="Y714" i="38"/>
  <c r="Z714" i="38" s="1"/>
  <c r="W714" i="38"/>
  <c r="B714" i="38"/>
  <c r="A714" i="38"/>
  <c r="Y713" i="38"/>
  <c r="Z713" i="38" s="1"/>
  <c r="W713" i="38"/>
  <c r="X713" i="38" s="1"/>
  <c r="B713" i="38"/>
  <c r="A713" i="38"/>
  <c r="Y712" i="38"/>
  <c r="Z712" i="38" s="1"/>
  <c r="W712" i="38"/>
  <c r="K712" i="38"/>
  <c r="L712" i="38" s="1"/>
  <c r="B712" i="38"/>
  <c r="A712" i="38"/>
  <c r="Y711" i="38"/>
  <c r="Z711" i="38" s="1"/>
  <c r="W711" i="38"/>
  <c r="B711" i="38"/>
  <c r="A711" i="38"/>
  <c r="U710" i="38"/>
  <c r="S710" i="38"/>
  <c r="P710" i="38"/>
  <c r="Q710" i="38" s="1"/>
  <c r="N710" i="38"/>
  <c r="O710" i="38" s="1"/>
  <c r="K710" i="38"/>
  <c r="L710" i="38" s="1"/>
  <c r="F710" i="38"/>
  <c r="G710" i="38" s="1"/>
  <c r="D710" i="38"/>
  <c r="E710" i="38" s="1"/>
  <c r="B710" i="38"/>
  <c r="A710" i="38"/>
  <c r="M710" i="38" s="1"/>
  <c r="U709" i="38"/>
  <c r="S709" i="38"/>
  <c r="P709" i="38"/>
  <c r="Q709" i="38" s="1"/>
  <c r="N709" i="38"/>
  <c r="O709" i="38" s="1"/>
  <c r="K709" i="38"/>
  <c r="L709" i="38" s="1"/>
  <c r="F709" i="38"/>
  <c r="G709" i="38" s="1"/>
  <c r="D709" i="38"/>
  <c r="E709" i="38" s="1"/>
  <c r="B709" i="38"/>
  <c r="A709" i="38"/>
  <c r="M709" i="38" s="1"/>
  <c r="U708" i="38"/>
  <c r="S708" i="38"/>
  <c r="P708" i="38"/>
  <c r="Q708" i="38" s="1"/>
  <c r="N708" i="38"/>
  <c r="O708" i="38" s="1"/>
  <c r="K708" i="38"/>
  <c r="F708" i="38"/>
  <c r="G708" i="38" s="1"/>
  <c r="D708" i="38"/>
  <c r="E708" i="38" s="1"/>
  <c r="B708" i="38"/>
  <c r="A708" i="38"/>
  <c r="M708" i="38" s="1"/>
  <c r="U707" i="38"/>
  <c r="S707" i="38"/>
  <c r="P707" i="38"/>
  <c r="Q707" i="38" s="1"/>
  <c r="N707" i="38"/>
  <c r="O707" i="38" s="1"/>
  <c r="K707" i="38"/>
  <c r="F707" i="38"/>
  <c r="G707" i="38" s="1"/>
  <c r="D707" i="38"/>
  <c r="E707" i="38" s="1"/>
  <c r="B707" i="38"/>
  <c r="A707" i="38"/>
  <c r="M707" i="38" s="1"/>
  <c r="Y706" i="38"/>
  <c r="Z706" i="38" s="1"/>
  <c r="W706" i="38"/>
  <c r="X706" i="38" s="1"/>
  <c r="B706" i="38"/>
  <c r="A706" i="38"/>
  <c r="Y705" i="38"/>
  <c r="W705" i="38"/>
  <c r="X705" i="38" s="1"/>
  <c r="B705" i="38"/>
  <c r="A705" i="38"/>
  <c r="Y704" i="38"/>
  <c r="Z704" i="38" s="1"/>
  <c r="W704" i="38"/>
  <c r="X704" i="38" s="1"/>
  <c r="B704" i="38"/>
  <c r="A704" i="38"/>
  <c r="Y703" i="38"/>
  <c r="Z703" i="38" s="1"/>
  <c r="W703" i="38"/>
  <c r="X703" i="38" s="1"/>
  <c r="K703" i="38"/>
  <c r="L703" i="38" s="1"/>
  <c r="B703" i="38"/>
  <c r="A703" i="38"/>
  <c r="Y702" i="38"/>
  <c r="Z702" i="38" s="1"/>
  <c r="W702" i="38"/>
  <c r="B702" i="38"/>
  <c r="A702" i="38"/>
  <c r="U701" i="38"/>
  <c r="S701" i="38"/>
  <c r="P701" i="38"/>
  <c r="Q701" i="38" s="1"/>
  <c r="N701" i="38"/>
  <c r="O701" i="38" s="1"/>
  <c r="K701" i="38"/>
  <c r="L701" i="38" s="1"/>
  <c r="F701" i="38"/>
  <c r="G701" i="38" s="1"/>
  <c r="D701" i="38"/>
  <c r="E701" i="38" s="1"/>
  <c r="B701" i="38"/>
  <c r="A701" i="38"/>
  <c r="M701" i="38" s="1"/>
  <c r="U700" i="38"/>
  <c r="S700" i="38"/>
  <c r="P700" i="38"/>
  <c r="Q700" i="38" s="1"/>
  <c r="N700" i="38"/>
  <c r="O700" i="38" s="1"/>
  <c r="K700" i="38"/>
  <c r="L700" i="38" s="1"/>
  <c r="F700" i="38"/>
  <c r="G700" i="38" s="1"/>
  <c r="D700" i="38"/>
  <c r="E700" i="38" s="1"/>
  <c r="B700" i="38"/>
  <c r="A700" i="38"/>
  <c r="M700" i="38" s="1"/>
  <c r="U699" i="38"/>
  <c r="S699" i="38"/>
  <c r="P699" i="38"/>
  <c r="Q699" i="38" s="1"/>
  <c r="N699" i="38"/>
  <c r="O699" i="38" s="1"/>
  <c r="K699" i="38"/>
  <c r="L699" i="38" s="1"/>
  <c r="F699" i="38"/>
  <c r="G699" i="38" s="1"/>
  <c r="D699" i="38"/>
  <c r="E699" i="38" s="1"/>
  <c r="B699" i="38"/>
  <c r="A699" i="38"/>
  <c r="M699" i="38" s="1"/>
  <c r="U698" i="38"/>
  <c r="S698" i="38"/>
  <c r="P698" i="38"/>
  <c r="Q698" i="38" s="1"/>
  <c r="N698" i="38"/>
  <c r="O698" i="38" s="1"/>
  <c r="K698" i="38"/>
  <c r="L698" i="38" s="1"/>
  <c r="F698" i="38"/>
  <c r="G698" i="38" s="1"/>
  <c r="D698" i="38"/>
  <c r="E698" i="38" s="1"/>
  <c r="B698" i="38"/>
  <c r="A698" i="38"/>
  <c r="M698" i="38" s="1"/>
  <c r="Y697" i="38"/>
  <c r="Z697" i="38" s="1"/>
  <c r="W697" i="38"/>
  <c r="B697" i="38"/>
  <c r="A697" i="38"/>
  <c r="Y696" i="38"/>
  <c r="Z696" i="38" s="1"/>
  <c r="W696" i="38"/>
  <c r="X696" i="38" s="1"/>
  <c r="B696" i="38"/>
  <c r="A696" i="38"/>
  <c r="Y695" i="38"/>
  <c r="Z695" i="38" s="1"/>
  <c r="W695" i="38"/>
  <c r="B695" i="38"/>
  <c r="A695" i="38"/>
  <c r="Y694" i="38"/>
  <c r="Z694" i="38" s="1"/>
  <c r="W694" i="38"/>
  <c r="K694" i="38"/>
  <c r="B694" i="38"/>
  <c r="A694" i="38"/>
  <c r="Y693" i="38"/>
  <c r="Z693" i="38" s="1"/>
  <c r="W693" i="38"/>
  <c r="B693" i="38"/>
  <c r="A693" i="38"/>
  <c r="U692" i="38"/>
  <c r="S692" i="38"/>
  <c r="P692" i="38"/>
  <c r="Q692" i="38" s="1"/>
  <c r="N692" i="38"/>
  <c r="O692" i="38" s="1"/>
  <c r="K692" i="38"/>
  <c r="L692" i="38" s="1"/>
  <c r="F692" i="38"/>
  <c r="G692" i="38" s="1"/>
  <c r="D692" i="38"/>
  <c r="E692" i="38" s="1"/>
  <c r="B692" i="38"/>
  <c r="A692" i="38"/>
  <c r="M692" i="38" s="1"/>
  <c r="U691" i="38"/>
  <c r="S691" i="38"/>
  <c r="P691" i="38"/>
  <c r="Q691" i="38" s="1"/>
  <c r="N691" i="38"/>
  <c r="O691" i="38" s="1"/>
  <c r="K691" i="38"/>
  <c r="L691" i="38" s="1"/>
  <c r="F691" i="38"/>
  <c r="G691" i="38" s="1"/>
  <c r="D691" i="38"/>
  <c r="E691" i="38" s="1"/>
  <c r="B691" i="38"/>
  <c r="A691" i="38"/>
  <c r="M691" i="38" s="1"/>
  <c r="U690" i="38"/>
  <c r="S690" i="38"/>
  <c r="P690" i="38"/>
  <c r="Q690" i="38" s="1"/>
  <c r="N690" i="38"/>
  <c r="O690" i="38" s="1"/>
  <c r="K690" i="38"/>
  <c r="L690" i="38" s="1"/>
  <c r="F690" i="38"/>
  <c r="G690" i="38" s="1"/>
  <c r="D690" i="38"/>
  <c r="E690" i="38" s="1"/>
  <c r="B690" i="38"/>
  <c r="A690" i="38"/>
  <c r="M690" i="38" s="1"/>
  <c r="U689" i="38"/>
  <c r="S689" i="38"/>
  <c r="P689" i="38"/>
  <c r="Q689" i="38" s="1"/>
  <c r="N689" i="38"/>
  <c r="O689" i="38" s="1"/>
  <c r="K689" i="38"/>
  <c r="L689" i="38" s="1"/>
  <c r="F689" i="38"/>
  <c r="G689" i="38" s="1"/>
  <c r="D689" i="38"/>
  <c r="E689" i="38" s="1"/>
  <c r="B689" i="38"/>
  <c r="A689" i="38"/>
  <c r="M689" i="38" s="1"/>
  <c r="Y688" i="38"/>
  <c r="Z688" i="38" s="1"/>
  <c r="W688" i="38"/>
  <c r="B688" i="38"/>
  <c r="A688" i="38"/>
  <c r="Y687" i="38"/>
  <c r="Z687" i="38" s="1"/>
  <c r="W687" i="38"/>
  <c r="B687" i="38"/>
  <c r="A687" i="38"/>
  <c r="Y686" i="38"/>
  <c r="W686" i="38"/>
  <c r="X686" i="38" s="1"/>
  <c r="B686" i="38"/>
  <c r="A686" i="38"/>
  <c r="Y685" i="38"/>
  <c r="Z685" i="38" s="1"/>
  <c r="W685" i="38"/>
  <c r="K685" i="38"/>
  <c r="B685" i="38"/>
  <c r="A685" i="38"/>
  <c r="Y684" i="38"/>
  <c r="Z684" i="38" s="1"/>
  <c r="W684" i="38"/>
  <c r="B684" i="38"/>
  <c r="A684" i="38"/>
  <c r="U683" i="38"/>
  <c r="S683" i="38"/>
  <c r="P683" i="38"/>
  <c r="Q683" i="38" s="1"/>
  <c r="N683" i="38"/>
  <c r="O683" i="38" s="1"/>
  <c r="K683" i="38"/>
  <c r="L683" i="38" s="1"/>
  <c r="F683" i="38"/>
  <c r="G683" i="38" s="1"/>
  <c r="D683" i="38"/>
  <c r="E683" i="38" s="1"/>
  <c r="B683" i="38"/>
  <c r="A683" i="38"/>
  <c r="M683" i="38" s="1"/>
  <c r="U682" i="38"/>
  <c r="S682" i="38"/>
  <c r="P682" i="38"/>
  <c r="Q682" i="38" s="1"/>
  <c r="N682" i="38"/>
  <c r="O682" i="38" s="1"/>
  <c r="K682" i="38"/>
  <c r="L682" i="38" s="1"/>
  <c r="F682" i="38"/>
  <c r="G682" i="38" s="1"/>
  <c r="D682" i="38"/>
  <c r="E682" i="38" s="1"/>
  <c r="B682" i="38"/>
  <c r="A682" i="38"/>
  <c r="M682" i="38" s="1"/>
  <c r="U681" i="38"/>
  <c r="S681" i="38"/>
  <c r="P681" i="38"/>
  <c r="Q681" i="38" s="1"/>
  <c r="N681" i="38"/>
  <c r="O681" i="38" s="1"/>
  <c r="M681" i="38"/>
  <c r="K681" i="38"/>
  <c r="F681" i="38"/>
  <c r="G681" i="38" s="1"/>
  <c r="D681" i="38"/>
  <c r="E681" i="38" s="1"/>
  <c r="B681" i="38"/>
  <c r="A681" i="38"/>
  <c r="U680" i="38"/>
  <c r="S680" i="38"/>
  <c r="P680" i="38"/>
  <c r="Q680" i="38" s="1"/>
  <c r="N680" i="38"/>
  <c r="O680" i="38" s="1"/>
  <c r="K680" i="38"/>
  <c r="F680" i="38"/>
  <c r="G680" i="38" s="1"/>
  <c r="D680" i="38"/>
  <c r="E680" i="38" s="1"/>
  <c r="B680" i="38"/>
  <c r="A680" i="38"/>
  <c r="M680" i="38" s="1"/>
  <c r="Y679" i="38"/>
  <c r="Z679" i="38" s="1"/>
  <c r="W679" i="38"/>
  <c r="B679" i="38"/>
  <c r="A679" i="38"/>
  <c r="Y678" i="38"/>
  <c r="Z678" i="38" s="1"/>
  <c r="W678" i="38"/>
  <c r="B678" i="38"/>
  <c r="A678" i="38"/>
  <c r="Y677" i="38"/>
  <c r="Z677" i="38" s="1"/>
  <c r="W677" i="38"/>
  <c r="X677" i="38" s="1"/>
  <c r="B677" i="38"/>
  <c r="A677" i="38"/>
  <c r="Y676" i="38"/>
  <c r="Z676" i="38" s="1"/>
  <c r="X676" i="38"/>
  <c r="W676" i="38"/>
  <c r="K676" i="38"/>
  <c r="L676" i="38" s="1"/>
  <c r="B676" i="38"/>
  <c r="A676" i="38"/>
  <c r="Y675" i="38"/>
  <c r="Z675" i="38" s="1"/>
  <c r="W675" i="38"/>
  <c r="X675" i="38" s="1"/>
  <c r="B675" i="38"/>
  <c r="A675" i="38"/>
  <c r="U674" i="38"/>
  <c r="S674" i="38"/>
  <c r="P674" i="38"/>
  <c r="Q674" i="38" s="1"/>
  <c r="N674" i="38"/>
  <c r="O674" i="38" s="1"/>
  <c r="K674" i="38"/>
  <c r="F674" i="38"/>
  <c r="G674" i="38" s="1"/>
  <c r="D674" i="38"/>
  <c r="E674" i="38" s="1"/>
  <c r="B674" i="38"/>
  <c r="A674" i="38"/>
  <c r="M674" i="38" s="1"/>
  <c r="U673" i="38"/>
  <c r="S673" i="38"/>
  <c r="P673" i="38"/>
  <c r="Q673" i="38" s="1"/>
  <c r="N673" i="38"/>
  <c r="O673" i="38" s="1"/>
  <c r="K673" i="38"/>
  <c r="L673" i="38" s="1"/>
  <c r="F673" i="38"/>
  <c r="G673" i="38" s="1"/>
  <c r="D673" i="38"/>
  <c r="E673" i="38" s="1"/>
  <c r="B673" i="38"/>
  <c r="A673" i="38"/>
  <c r="M673" i="38" s="1"/>
  <c r="U672" i="38"/>
  <c r="S672" i="38"/>
  <c r="P672" i="38"/>
  <c r="Q672" i="38" s="1"/>
  <c r="N672" i="38"/>
  <c r="O672" i="38" s="1"/>
  <c r="K672" i="38"/>
  <c r="F672" i="38"/>
  <c r="G672" i="38" s="1"/>
  <c r="D672" i="38"/>
  <c r="E672" i="38" s="1"/>
  <c r="B672" i="38"/>
  <c r="A672" i="38"/>
  <c r="M672" i="38" s="1"/>
  <c r="U671" i="38"/>
  <c r="S671" i="38"/>
  <c r="P671" i="38"/>
  <c r="Q671" i="38" s="1"/>
  <c r="N671" i="38"/>
  <c r="O671" i="38" s="1"/>
  <c r="K671" i="38"/>
  <c r="F671" i="38"/>
  <c r="G671" i="38" s="1"/>
  <c r="D671" i="38"/>
  <c r="E671" i="38" s="1"/>
  <c r="B671" i="38"/>
  <c r="A671" i="38"/>
  <c r="M671" i="38" s="1"/>
  <c r="Y670" i="38"/>
  <c r="Z670" i="38" s="1"/>
  <c r="W670" i="38"/>
  <c r="X670" i="38" s="1"/>
  <c r="B670" i="38"/>
  <c r="A670" i="38"/>
  <c r="Y669" i="38"/>
  <c r="Z669" i="38" s="1"/>
  <c r="W669" i="38"/>
  <c r="X669" i="38" s="1"/>
  <c r="B669" i="38"/>
  <c r="A669" i="38"/>
  <c r="Y668" i="38"/>
  <c r="Z668" i="38" s="1"/>
  <c r="W668" i="38"/>
  <c r="X668" i="38" s="1"/>
  <c r="B668" i="38"/>
  <c r="A668" i="38"/>
  <c r="Y667" i="38"/>
  <c r="Z667" i="38" s="1"/>
  <c r="W667" i="38"/>
  <c r="X667" i="38" s="1"/>
  <c r="K667" i="38"/>
  <c r="L667" i="38" s="1"/>
  <c r="B667" i="38"/>
  <c r="A667" i="38"/>
  <c r="Y666" i="38"/>
  <c r="Z666" i="38" s="1"/>
  <c r="W666" i="38"/>
  <c r="B666" i="38"/>
  <c r="A666" i="38"/>
  <c r="U665" i="38"/>
  <c r="S665" i="38"/>
  <c r="P665" i="38"/>
  <c r="Q665" i="38" s="1"/>
  <c r="N665" i="38"/>
  <c r="O665" i="38" s="1"/>
  <c r="K665" i="38"/>
  <c r="L665" i="38" s="1"/>
  <c r="F665" i="38"/>
  <c r="G665" i="38" s="1"/>
  <c r="D665" i="38"/>
  <c r="E665" i="38" s="1"/>
  <c r="B665" i="38"/>
  <c r="A665" i="38"/>
  <c r="M665" i="38" s="1"/>
  <c r="U664" i="38"/>
  <c r="S664" i="38"/>
  <c r="P664" i="38"/>
  <c r="Q664" i="38" s="1"/>
  <c r="N664" i="38"/>
  <c r="O664" i="38" s="1"/>
  <c r="K664" i="38"/>
  <c r="L664" i="38" s="1"/>
  <c r="F664" i="38"/>
  <c r="G664" i="38" s="1"/>
  <c r="D664" i="38"/>
  <c r="E664" i="38" s="1"/>
  <c r="B664" i="38"/>
  <c r="A664" i="38"/>
  <c r="M664" i="38" s="1"/>
  <c r="U663" i="38"/>
  <c r="S663" i="38"/>
  <c r="P663" i="38"/>
  <c r="Q663" i="38" s="1"/>
  <c r="N663" i="38"/>
  <c r="O663" i="38" s="1"/>
  <c r="M663" i="38"/>
  <c r="K663" i="38"/>
  <c r="L663" i="38" s="1"/>
  <c r="F663" i="38"/>
  <c r="G663" i="38" s="1"/>
  <c r="D663" i="38"/>
  <c r="E663" i="38" s="1"/>
  <c r="B663" i="38"/>
  <c r="A663" i="38"/>
  <c r="U662" i="38"/>
  <c r="S662" i="38"/>
  <c r="P662" i="38"/>
  <c r="Q662" i="38" s="1"/>
  <c r="N662" i="38"/>
  <c r="O662" i="38" s="1"/>
  <c r="K662" i="38"/>
  <c r="L662" i="38" s="1"/>
  <c r="F662" i="38"/>
  <c r="G662" i="38" s="1"/>
  <c r="D662" i="38"/>
  <c r="E662" i="38" s="1"/>
  <c r="B662" i="38"/>
  <c r="A662" i="38"/>
  <c r="M662" i="38" s="1"/>
  <c r="Y661" i="38"/>
  <c r="Z661" i="38" s="1"/>
  <c r="W661" i="38"/>
  <c r="B661" i="38"/>
  <c r="A661" i="38"/>
  <c r="Y660" i="38"/>
  <c r="Z660" i="38" s="1"/>
  <c r="W660" i="38"/>
  <c r="X660" i="38" s="1"/>
  <c r="B660" i="38"/>
  <c r="A660" i="38"/>
  <c r="Y659" i="38"/>
  <c r="Z659" i="38" s="1"/>
  <c r="W659" i="38"/>
  <c r="X659" i="38" s="1"/>
  <c r="B659" i="38"/>
  <c r="A659" i="38"/>
  <c r="Y658" i="38"/>
  <c r="Z658" i="38" s="1"/>
  <c r="W658" i="38"/>
  <c r="K658" i="38"/>
  <c r="L658" i="38" s="1"/>
  <c r="B658" i="38"/>
  <c r="A658" i="38"/>
  <c r="Y657" i="38"/>
  <c r="Z657" i="38" s="1"/>
  <c r="W657" i="38"/>
  <c r="B657" i="38"/>
  <c r="A657" i="38"/>
  <c r="U656" i="38"/>
  <c r="S656" i="38"/>
  <c r="P656" i="38"/>
  <c r="Q656" i="38" s="1"/>
  <c r="N656" i="38"/>
  <c r="O656" i="38" s="1"/>
  <c r="K656" i="38"/>
  <c r="L656" i="38" s="1"/>
  <c r="F656" i="38"/>
  <c r="G656" i="38" s="1"/>
  <c r="D656" i="38"/>
  <c r="E656" i="38" s="1"/>
  <c r="B656" i="38"/>
  <c r="A656" i="38"/>
  <c r="M656" i="38" s="1"/>
  <c r="U655" i="38"/>
  <c r="S655" i="38"/>
  <c r="P655" i="38"/>
  <c r="Q655" i="38" s="1"/>
  <c r="N655" i="38"/>
  <c r="O655" i="38" s="1"/>
  <c r="K655" i="38"/>
  <c r="L655" i="38" s="1"/>
  <c r="F655" i="38"/>
  <c r="G655" i="38" s="1"/>
  <c r="D655" i="38"/>
  <c r="E655" i="38" s="1"/>
  <c r="B655" i="38"/>
  <c r="A655" i="38"/>
  <c r="M655" i="38" s="1"/>
  <c r="U654" i="38"/>
  <c r="S654" i="38"/>
  <c r="P654" i="38"/>
  <c r="Q654" i="38" s="1"/>
  <c r="N654" i="38"/>
  <c r="O654" i="38" s="1"/>
  <c r="K654" i="38"/>
  <c r="L654" i="38" s="1"/>
  <c r="F654" i="38"/>
  <c r="G654" i="38" s="1"/>
  <c r="D654" i="38"/>
  <c r="E654" i="38" s="1"/>
  <c r="B654" i="38"/>
  <c r="A654" i="38"/>
  <c r="M654" i="38" s="1"/>
  <c r="U653" i="38"/>
  <c r="S653" i="38"/>
  <c r="P653" i="38"/>
  <c r="Q653" i="38" s="1"/>
  <c r="N653" i="38"/>
  <c r="O653" i="38" s="1"/>
  <c r="K653" i="38"/>
  <c r="L653" i="38" s="1"/>
  <c r="F653" i="38"/>
  <c r="G653" i="38" s="1"/>
  <c r="D653" i="38"/>
  <c r="E653" i="38" s="1"/>
  <c r="B653" i="38"/>
  <c r="A653" i="38"/>
  <c r="M653" i="38" s="1"/>
  <c r="Y652" i="38"/>
  <c r="Z652" i="38" s="1"/>
  <c r="W652" i="38"/>
  <c r="B652" i="38"/>
  <c r="A652" i="38"/>
  <c r="Y651" i="38"/>
  <c r="Z651" i="38" s="1"/>
  <c r="W651" i="38"/>
  <c r="B651" i="38"/>
  <c r="A651" i="38"/>
  <c r="Y650" i="38"/>
  <c r="Z650" i="38" s="1"/>
  <c r="W650" i="38"/>
  <c r="B650" i="38"/>
  <c r="A650" i="38"/>
  <c r="Y649" i="38"/>
  <c r="Z649" i="38" s="1"/>
  <c r="W649" i="38"/>
  <c r="K649" i="38"/>
  <c r="L649" i="38" s="1"/>
  <c r="B649" i="38"/>
  <c r="A649" i="38"/>
  <c r="Y648" i="38"/>
  <c r="Z648" i="38" s="1"/>
  <c r="W648" i="38"/>
  <c r="X648" i="38" s="1"/>
  <c r="B648" i="38"/>
  <c r="A648" i="38"/>
  <c r="U647" i="38"/>
  <c r="S647" i="38"/>
  <c r="P647" i="38"/>
  <c r="Q647" i="38" s="1"/>
  <c r="N647" i="38"/>
  <c r="O647" i="38" s="1"/>
  <c r="K647" i="38"/>
  <c r="F647" i="38"/>
  <c r="G647" i="38" s="1"/>
  <c r="D647" i="38"/>
  <c r="E647" i="38" s="1"/>
  <c r="B647" i="38"/>
  <c r="A647" i="38"/>
  <c r="M647" i="38" s="1"/>
  <c r="U646" i="38"/>
  <c r="S646" i="38"/>
  <c r="P646" i="38"/>
  <c r="Q646" i="38" s="1"/>
  <c r="N646" i="38"/>
  <c r="O646" i="38" s="1"/>
  <c r="K646" i="38"/>
  <c r="F646" i="38"/>
  <c r="G646" i="38" s="1"/>
  <c r="D646" i="38"/>
  <c r="E646" i="38" s="1"/>
  <c r="B646" i="38"/>
  <c r="A646" i="38"/>
  <c r="M646" i="38" s="1"/>
  <c r="U645" i="38"/>
  <c r="S645" i="38"/>
  <c r="P645" i="38"/>
  <c r="Q645" i="38" s="1"/>
  <c r="N645" i="38"/>
  <c r="O645" i="38" s="1"/>
  <c r="K645" i="38"/>
  <c r="F645" i="38"/>
  <c r="G645" i="38" s="1"/>
  <c r="D645" i="38"/>
  <c r="E645" i="38" s="1"/>
  <c r="B645" i="38"/>
  <c r="A645" i="38"/>
  <c r="M645" i="38" s="1"/>
  <c r="U644" i="38"/>
  <c r="S644" i="38"/>
  <c r="P644" i="38"/>
  <c r="Q644" i="38" s="1"/>
  <c r="N644" i="38"/>
  <c r="O644" i="38" s="1"/>
  <c r="K644" i="38"/>
  <c r="L644" i="38" s="1"/>
  <c r="F644" i="38"/>
  <c r="G644" i="38" s="1"/>
  <c r="D644" i="38"/>
  <c r="E644" i="38" s="1"/>
  <c r="B644" i="38"/>
  <c r="A644" i="38"/>
  <c r="M644" i="38" s="1"/>
  <c r="Y643" i="38"/>
  <c r="W643" i="38"/>
  <c r="X643" i="38" s="1"/>
  <c r="B643" i="38"/>
  <c r="A643" i="38"/>
  <c r="Y642" i="38"/>
  <c r="Z642" i="38" s="1"/>
  <c r="W642" i="38"/>
  <c r="B642" i="38"/>
  <c r="A642" i="38"/>
  <c r="Y641" i="38"/>
  <c r="Z641" i="38" s="1"/>
  <c r="W641" i="38"/>
  <c r="X641" i="38" s="1"/>
  <c r="B641" i="38"/>
  <c r="A641" i="38"/>
  <c r="Y640" i="38"/>
  <c r="Z640" i="38" s="1"/>
  <c r="W640" i="38"/>
  <c r="K640" i="38"/>
  <c r="L640" i="38" s="1"/>
  <c r="B640" i="38"/>
  <c r="A640" i="38"/>
  <c r="Y639" i="38"/>
  <c r="Z639" i="38" s="1"/>
  <c r="W639" i="38"/>
  <c r="B639" i="38"/>
  <c r="A639" i="38"/>
  <c r="U638" i="38"/>
  <c r="S638" i="38"/>
  <c r="P638" i="38"/>
  <c r="Q638" i="38" s="1"/>
  <c r="N638" i="38"/>
  <c r="O638" i="38" s="1"/>
  <c r="K638" i="38"/>
  <c r="F638" i="38"/>
  <c r="G638" i="38" s="1"/>
  <c r="D638" i="38"/>
  <c r="E638" i="38" s="1"/>
  <c r="B638" i="38"/>
  <c r="A638" i="38"/>
  <c r="M638" i="38" s="1"/>
  <c r="U637" i="38"/>
  <c r="S637" i="38"/>
  <c r="P637" i="38"/>
  <c r="Q637" i="38" s="1"/>
  <c r="N637" i="38"/>
  <c r="O637" i="38" s="1"/>
  <c r="K637" i="38"/>
  <c r="L637" i="38" s="1"/>
  <c r="F637" i="38"/>
  <c r="G637" i="38" s="1"/>
  <c r="D637" i="38"/>
  <c r="E637" i="38" s="1"/>
  <c r="B637" i="38"/>
  <c r="A637" i="38"/>
  <c r="M637" i="38" s="1"/>
  <c r="U636" i="38"/>
  <c r="S636" i="38"/>
  <c r="P636" i="38"/>
  <c r="Q636" i="38" s="1"/>
  <c r="N636" i="38"/>
  <c r="O636" i="38" s="1"/>
  <c r="K636" i="38"/>
  <c r="F636" i="38"/>
  <c r="G636" i="38" s="1"/>
  <c r="D636" i="38"/>
  <c r="E636" i="38" s="1"/>
  <c r="B636" i="38"/>
  <c r="A636" i="38"/>
  <c r="M636" i="38" s="1"/>
  <c r="U635" i="38"/>
  <c r="S635" i="38"/>
  <c r="P635" i="38"/>
  <c r="Q635" i="38" s="1"/>
  <c r="N635" i="38"/>
  <c r="O635" i="38" s="1"/>
  <c r="K635" i="38"/>
  <c r="L635" i="38" s="1"/>
  <c r="F635" i="38"/>
  <c r="G635" i="38" s="1"/>
  <c r="D635" i="38"/>
  <c r="E635" i="38" s="1"/>
  <c r="B635" i="38"/>
  <c r="A635" i="38"/>
  <c r="M635" i="38" s="1"/>
  <c r="Y634" i="38"/>
  <c r="Z634" i="38" s="1"/>
  <c r="W634" i="38"/>
  <c r="B634" i="38"/>
  <c r="A634" i="38"/>
  <c r="Y633" i="38"/>
  <c r="Z633" i="38" s="1"/>
  <c r="W633" i="38"/>
  <c r="B633" i="38"/>
  <c r="A633" i="38"/>
  <c r="Y632" i="38"/>
  <c r="Z632" i="38" s="1"/>
  <c r="W632" i="38"/>
  <c r="B632" i="38"/>
  <c r="A632" i="38"/>
  <c r="Y631" i="38"/>
  <c r="Z631" i="38" s="1"/>
  <c r="W631" i="38"/>
  <c r="K631" i="38"/>
  <c r="L631" i="38" s="1"/>
  <c r="B631" i="38"/>
  <c r="A631" i="38"/>
  <c r="Y630" i="38"/>
  <c r="Z630" i="38" s="1"/>
  <c r="W630" i="38"/>
  <c r="B630" i="38"/>
  <c r="A630" i="38"/>
  <c r="U629" i="38"/>
  <c r="S629" i="38"/>
  <c r="P629" i="38"/>
  <c r="Q629" i="38" s="1"/>
  <c r="N629" i="38"/>
  <c r="O629" i="38" s="1"/>
  <c r="K629" i="38"/>
  <c r="L629" i="38" s="1"/>
  <c r="F629" i="38"/>
  <c r="G629" i="38" s="1"/>
  <c r="D629" i="38"/>
  <c r="E629" i="38" s="1"/>
  <c r="B629" i="38"/>
  <c r="A629" i="38"/>
  <c r="M629" i="38" s="1"/>
  <c r="U628" i="38"/>
  <c r="S628" i="38"/>
  <c r="P628" i="38"/>
  <c r="Q628" i="38" s="1"/>
  <c r="N628" i="38"/>
  <c r="O628" i="38" s="1"/>
  <c r="K628" i="38"/>
  <c r="L628" i="38" s="1"/>
  <c r="F628" i="38"/>
  <c r="G628" i="38" s="1"/>
  <c r="J628" i="38" s="1"/>
  <c r="H628" i="38" s="1"/>
  <c r="I628" i="38" s="1"/>
  <c r="D628" i="38"/>
  <c r="E628" i="38" s="1"/>
  <c r="B628" i="38"/>
  <c r="A628" i="38"/>
  <c r="M628" i="38" s="1"/>
  <c r="U627" i="38"/>
  <c r="S627" i="38"/>
  <c r="P627" i="38"/>
  <c r="Q627" i="38" s="1"/>
  <c r="N627" i="38"/>
  <c r="O627" i="38" s="1"/>
  <c r="K627" i="38"/>
  <c r="L627" i="38" s="1"/>
  <c r="F627" i="38"/>
  <c r="G627" i="38" s="1"/>
  <c r="D627" i="38"/>
  <c r="E627" i="38" s="1"/>
  <c r="B627" i="38"/>
  <c r="A627" i="38"/>
  <c r="M627" i="38" s="1"/>
  <c r="U626" i="38"/>
  <c r="S626" i="38"/>
  <c r="P626" i="38"/>
  <c r="Q626" i="38" s="1"/>
  <c r="N626" i="38"/>
  <c r="O626" i="38" s="1"/>
  <c r="K626" i="38"/>
  <c r="L626" i="38" s="1"/>
  <c r="F626" i="38"/>
  <c r="G626" i="38" s="1"/>
  <c r="D626" i="38"/>
  <c r="E626" i="38" s="1"/>
  <c r="B626" i="38"/>
  <c r="A626" i="38"/>
  <c r="M626" i="38" s="1"/>
  <c r="Y625" i="38"/>
  <c r="Z625" i="38" s="1"/>
  <c r="W625" i="38"/>
  <c r="X625" i="38" s="1"/>
  <c r="B625" i="38"/>
  <c r="A625" i="38"/>
  <c r="Y624" i="38"/>
  <c r="Z624" i="38" s="1"/>
  <c r="W624" i="38"/>
  <c r="B624" i="38"/>
  <c r="A624" i="38"/>
  <c r="Y623" i="38"/>
  <c r="Z623" i="38" s="1"/>
  <c r="W623" i="38"/>
  <c r="X623" i="38" s="1"/>
  <c r="B623" i="38"/>
  <c r="A623" i="38"/>
  <c r="Y622" i="38"/>
  <c r="Z622" i="38" s="1"/>
  <c r="W622" i="38"/>
  <c r="K622" i="38"/>
  <c r="L622" i="38" s="1"/>
  <c r="B622" i="38"/>
  <c r="A622" i="38"/>
  <c r="Z621" i="38"/>
  <c r="Y621" i="38"/>
  <c r="W621" i="38"/>
  <c r="X621" i="38" s="1"/>
  <c r="B621" i="38"/>
  <c r="A621" i="38"/>
  <c r="U620" i="38"/>
  <c r="S620" i="38"/>
  <c r="P620" i="38"/>
  <c r="Q620" i="38" s="1"/>
  <c r="O620" i="38"/>
  <c r="N620" i="38"/>
  <c r="K620" i="38"/>
  <c r="L620" i="38" s="1"/>
  <c r="F620" i="38"/>
  <c r="G620" i="38" s="1"/>
  <c r="D620" i="38"/>
  <c r="E620" i="38" s="1"/>
  <c r="B620" i="38"/>
  <c r="A620" i="38"/>
  <c r="M620" i="38" s="1"/>
  <c r="U619" i="38"/>
  <c r="S619" i="38"/>
  <c r="P619" i="38"/>
  <c r="Q619" i="38" s="1"/>
  <c r="N619" i="38"/>
  <c r="O619" i="38" s="1"/>
  <c r="K619" i="38"/>
  <c r="L619" i="38" s="1"/>
  <c r="F619" i="38"/>
  <c r="G619" i="38" s="1"/>
  <c r="D619" i="38"/>
  <c r="E619" i="38" s="1"/>
  <c r="B619" i="38"/>
  <c r="A619" i="38"/>
  <c r="M619" i="38" s="1"/>
  <c r="U618" i="38"/>
  <c r="S618" i="38"/>
  <c r="P618" i="38"/>
  <c r="Q618" i="38" s="1"/>
  <c r="N618" i="38"/>
  <c r="O618" i="38" s="1"/>
  <c r="K618" i="38"/>
  <c r="L618" i="38" s="1"/>
  <c r="F618" i="38"/>
  <c r="G618" i="38" s="1"/>
  <c r="D618" i="38"/>
  <c r="E618" i="38" s="1"/>
  <c r="B618" i="38"/>
  <c r="A618" i="38"/>
  <c r="M618" i="38" s="1"/>
  <c r="U617" i="38"/>
  <c r="S617" i="38"/>
  <c r="P617" i="38"/>
  <c r="Q617" i="38" s="1"/>
  <c r="N617" i="38"/>
  <c r="O617" i="38" s="1"/>
  <c r="K617" i="38"/>
  <c r="L617" i="38" s="1"/>
  <c r="F617" i="38"/>
  <c r="G617" i="38" s="1"/>
  <c r="D617" i="38"/>
  <c r="E617" i="38" s="1"/>
  <c r="B617" i="38"/>
  <c r="A617" i="38"/>
  <c r="M617" i="38" s="1"/>
  <c r="Y616" i="38"/>
  <c r="Z616" i="38" s="1"/>
  <c r="W616" i="38"/>
  <c r="X616" i="38" s="1"/>
  <c r="B616" i="38"/>
  <c r="A616" i="38"/>
  <c r="Y615" i="38"/>
  <c r="Z615" i="38" s="1"/>
  <c r="W615" i="38"/>
  <c r="X615" i="38" s="1"/>
  <c r="B615" i="38"/>
  <c r="A615" i="38"/>
  <c r="Y614" i="38"/>
  <c r="Z614" i="38" s="1"/>
  <c r="W614" i="38"/>
  <c r="X614" i="38" s="1"/>
  <c r="B614" i="38"/>
  <c r="A614" i="38"/>
  <c r="Y613" i="38"/>
  <c r="Z613" i="38" s="1"/>
  <c r="W613" i="38"/>
  <c r="X613" i="38" s="1"/>
  <c r="K613" i="38"/>
  <c r="L613" i="38" s="1"/>
  <c r="B613" i="38"/>
  <c r="A613" i="38"/>
  <c r="Y612" i="38"/>
  <c r="Z612" i="38" s="1"/>
  <c r="X612" i="38"/>
  <c r="W612" i="38"/>
  <c r="B612" i="38"/>
  <c r="A612" i="38"/>
  <c r="U611" i="38"/>
  <c r="S611" i="38"/>
  <c r="P611" i="38"/>
  <c r="Q611" i="38" s="1"/>
  <c r="N611" i="38"/>
  <c r="O611" i="38" s="1"/>
  <c r="K611" i="38"/>
  <c r="L611" i="38" s="1"/>
  <c r="F611" i="38"/>
  <c r="G611" i="38" s="1"/>
  <c r="D611" i="38"/>
  <c r="E611" i="38" s="1"/>
  <c r="B611" i="38"/>
  <c r="A611" i="38"/>
  <c r="M611" i="38" s="1"/>
  <c r="U610" i="38"/>
  <c r="S610" i="38"/>
  <c r="P610" i="38"/>
  <c r="Q610" i="38" s="1"/>
  <c r="N610" i="38"/>
  <c r="O610" i="38" s="1"/>
  <c r="K610" i="38"/>
  <c r="L610" i="38" s="1"/>
  <c r="F610" i="38"/>
  <c r="G610" i="38" s="1"/>
  <c r="D610" i="38"/>
  <c r="E610" i="38" s="1"/>
  <c r="B610" i="38"/>
  <c r="A610" i="38"/>
  <c r="M610" i="38" s="1"/>
  <c r="U609" i="38"/>
  <c r="S609" i="38"/>
  <c r="P609" i="38"/>
  <c r="Q609" i="38" s="1"/>
  <c r="N609" i="38"/>
  <c r="O609" i="38" s="1"/>
  <c r="K609" i="38"/>
  <c r="L609" i="38" s="1"/>
  <c r="F609" i="38"/>
  <c r="G609" i="38" s="1"/>
  <c r="D609" i="38"/>
  <c r="E609" i="38" s="1"/>
  <c r="B609" i="38"/>
  <c r="A609" i="38"/>
  <c r="M609" i="38" s="1"/>
  <c r="U608" i="38"/>
  <c r="S608" i="38"/>
  <c r="P608" i="38"/>
  <c r="Q608" i="38" s="1"/>
  <c r="N608" i="38"/>
  <c r="O608" i="38" s="1"/>
  <c r="K608" i="38"/>
  <c r="L608" i="38" s="1"/>
  <c r="F608" i="38"/>
  <c r="G608" i="38" s="1"/>
  <c r="D608" i="38"/>
  <c r="E608" i="38" s="1"/>
  <c r="B608" i="38"/>
  <c r="A608" i="38"/>
  <c r="M608" i="38" s="1"/>
  <c r="Y607" i="38"/>
  <c r="Z607" i="38" s="1"/>
  <c r="W607" i="38"/>
  <c r="X607" i="38" s="1"/>
  <c r="B607" i="38"/>
  <c r="A607" i="38"/>
  <c r="Y606" i="38"/>
  <c r="Z606" i="38" s="1"/>
  <c r="W606" i="38"/>
  <c r="X606" i="38" s="1"/>
  <c r="B606" i="38"/>
  <c r="A606" i="38"/>
  <c r="Y605" i="38"/>
  <c r="Z605" i="38" s="1"/>
  <c r="W605" i="38"/>
  <c r="X605" i="38" s="1"/>
  <c r="B605" i="38"/>
  <c r="A605" i="38"/>
  <c r="Y604" i="38"/>
  <c r="Z604" i="38" s="1"/>
  <c r="X604" i="38"/>
  <c r="W604" i="38"/>
  <c r="K604" i="38"/>
  <c r="L604" i="38" s="1"/>
  <c r="B604" i="38"/>
  <c r="A604" i="38"/>
  <c r="Y603" i="38"/>
  <c r="Z603" i="38" s="1"/>
  <c r="W603" i="38"/>
  <c r="X603" i="38" s="1"/>
  <c r="B603" i="38"/>
  <c r="A603" i="38"/>
  <c r="U602" i="38"/>
  <c r="S602" i="38"/>
  <c r="P602" i="38"/>
  <c r="Q602" i="38" s="1"/>
  <c r="N602" i="38"/>
  <c r="O602" i="38" s="1"/>
  <c r="K602" i="38"/>
  <c r="L602" i="38" s="1"/>
  <c r="F602" i="38"/>
  <c r="G602" i="38" s="1"/>
  <c r="D602" i="38"/>
  <c r="E602" i="38" s="1"/>
  <c r="B602" i="38"/>
  <c r="A602" i="38"/>
  <c r="M602" i="38" s="1"/>
  <c r="U601" i="38"/>
  <c r="S601" i="38"/>
  <c r="P601" i="38"/>
  <c r="Q601" i="38" s="1"/>
  <c r="N601" i="38"/>
  <c r="O601" i="38" s="1"/>
  <c r="K601" i="38"/>
  <c r="L601" i="38" s="1"/>
  <c r="F601" i="38"/>
  <c r="G601" i="38" s="1"/>
  <c r="D601" i="38"/>
  <c r="E601" i="38" s="1"/>
  <c r="B601" i="38"/>
  <c r="A601" i="38"/>
  <c r="M601" i="38" s="1"/>
  <c r="U600" i="38"/>
  <c r="S600" i="38"/>
  <c r="P600" i="38"/>
  <c r="Q600" i="38" s="1"/>
  <c r="N600" i="38"/>
  <c r="O600" i="38" s="1"/>
  <c r="K600" i="38"/>
  <c r="L600" i="38" s="1"/>
  <c r="F600" i="38"/>
  <c r="G600" i="38" s="1"/>
  <c r="D600" i="38"/>
  <c r="E600" i="38" s="1"/>
  <c r="B600" i="38"/>
  <c r="A600" i="38"/>
  <c r="M600" i="38" s="1"/>
  <c r="U599" i="38"/>
  <c r="S599" i="38"/>
  <c r="P599" i="38"/>
  <c r="Q599" i="38" s="1"/>
  <c r="N599" i="38"/>
  <c r="O599" i="38" s="1"/>
  <c r="K599" i="38"/>
  <c r="F599" i="38"/>
  <c r="G599" i="38" s="1"/>
  <c r="D599" i="38"/>
  <c r="E599" i="38" s="1"/>
  <c r="B599" i="38"/>
  <c r="A599" i="38"/>
  <c r="M599" i="38" s="1"/>
  <c r="Y598" i="38"/>
  <c r="Z598" i="38" s="1"/>
  <c r="W598" i="38"/>
  <c r="X598" i="38" s="1"/>
  <c r="B598" i="38"/>
  <c r="A598" i="38"/>
  <c r="Y597" i="38"/>
  <c r="Z597" i="38" s="1"/>
  <c r="W597" i="38"/>
  <c r="X597" i="38" s="1"/>
  <c r="B597" i="38"/>
  <c r="A597" i="38"/>
  <c r="Y596" i="38"/>
  <c r="Z596" i="38" s="1"/>
  <c r="W596" i="38"/>
  <c r="X596" i="38" s="1"/>
  <c r="B596" i="38"/>
  <c r="A596" i="38"/>
  <c r="Y595" i="38"/>
  <c r="Z595" i="38" s="1"/>
  <c r="W595" i="38"/>
  <c r="X595" i="38" s="1"/>
  <c r="K595" i="38"/>
  <c r="L595" i="38" s="1"/>
  <c r="B595" i="38"/>
  <c r="A595" i="38"/>
  <c r="Y594" i="38"/>
  <c r="Z594" i="38" s="1"/>
  <c r="W594" i="38"/>
  <c r="X594" i="38" s="1"/>
  <c r="B594" i="38"/>
  <c r="A594" i="38"/>
  <c r="U593" i="38"/>
  <c r="S593" i="38"/>
  <c r="P593" i="38"/>
  <c r="Q593" i="38" s="1"/>
  <c r="N593" i="38"/>
  <c r="O593" i="38" s="1"/>
  <c r="K593" i="38"/>
  <c r="L593" i="38" s="1"/>
  <c r="F593" i="38"/>
  <c r="G593" i="38" s="1"/>
  <c r="D593" i="38"/>
  <c r="E593" i="38" s="1"/>
  <c r="B593" i="38"/>
  <c r="A593" i="38"/>
  <c r="M593" i="38" s="1"/>
  <c r="U592" i="38"/>
  <c r="S592" i="38"/>
  <c r="P592" i="38"/>
  <c r="Q592" i="38" s="1"/>
  <c r="N592" i="38"/>
  <c r="O592" i="38" s="1"/>
  <c r="K592" i="38"/>
  <c r="F592" i="38"/>
  <c r="G592" i="38" s="1"/>
  <c r="D592" i="38"/>
  <c r="E592" i="38" s="1"/>
  <c r="B592" i="38"/>
  <c r="A592" i="38"/>
  <c r="M592" i="38" s="1"/>
  <c r="U591" i="38"/>
  <c r="S591" i="38"/>
  <c r="P591" i="38"/>
  <c r="Q591" i="38" s="1"/>
  <c r="N591" i="38"/>
  <c r="O591" i="38" s="1"/>
  <c r="K591" i="38"/>
  <c r="L591" i="38" s="1"/>
  <c r="F591" i="38"/>
  <c r="G591" i="38" s="1"/>
  <c r="D591" i="38"/>
  <c r="E591" i="38" s="1"/>
  <c r="B591" i="38"/>
  <c r="A591" i="38"/>
  <c r="M591" i="38" s="1"/>
  <c r="U590" i="38"/>
  <c r="S590" i="38"/>
  <c r="P590" i="38"/>
  <c r="Q590" i="38" s="1"/>
  <c r="N590" i="38"/>
  <c r="O590" i="38" s="1"/>
  <c r="K590" i="38"/>
  <c r="L590" i="38" s="1"/>
  <c r="F590" i="38"/>
  <c r="G590" i="38" s="1"/>
  <c r="D590" i="38"/>
  <c r="E590" i="38" s="1"/>
  <c r="B590" i="38"/>
  <c r="A590" i="38"/>
  <c r="M590" i="38" s="1"/>
  <c r="Y589" i="38"/>
  <c r="Z589" i="38" s="1"/>
  <c r="W589" i="38"/>
  <c r="B589" i="38"/>
  <c r="A589" i="38"/>
  <c r="Y588" i="38"/>
  <c r="Z588" i="38" s="1"/>
  <c r="W588" i="38"/>
  <c r="X588" i="38" s="1"/>
  <c r="B588" i="38"/>
  <c r="A588" i="38"/>
  <c r="Y587" i="38"/>
  <c r="Z587" i="38" s="1"/>
  <c r="W587" i="38"/>
  <c r="B587" i="38"/>
  <c r="A587" i="38"/>
  <c r="Y586" i="38"/>
  <c r="Z586" i="38" s="1"/>
  <c r="W586" i="38"/>
  <c r="X586" i="38" s="1"/>
  <c r="K586" i="38"/>
  <c r="L586" i="38" s="1"/>
  <c r="B586" i="38"/>
  <c r="A586" i="38"/>
  <c r="Y585" i="38"/>
  <c r="Z585" i="38" s="1"/>
  <c r="W585" i="38"/>
  <c r="X585" i="38" s="1"/>
  <c r="B585" i="38"/>
  <c r="A585" i="38"/>
  <c r="U584" i="38"/>
  <c r="S584" i="38"/>
  <c r="P584" i="38"/>
  <c r="Q584" i="38" s="1"/>
  <c r="N584" i="38"/>
  <c r="O584" i="38" s="1"/>
  <c r="K584" i="38"/>
  <c r="L584" i="38" s="1"/>
  <c r="F584" i="38"/>
  <c r="G584" i="38" s="1"/>
  <c r="D584" i="38"/>
  <c r="E584" i="38" s="1"/>
  <c r="B584" i="38"/>
  <c r="A584" i="38"/>
  <c r="M584" i="38" s="1"/>
  <c r="U583" i="38"/>
  <c r="S583" i="38"/>
  <c r="P583" i="38"/>
  <c r="Q583" i="38" s="1"/>
  <c r="N583" i="38"/>
  <c r="O583" i="38" s="1"/>
  <c r="K583" i="38"/>
  <c r="L583" i="38" s="1"/>
  <c r="F583" i="38"/>
  <c r="G583" i="38" s="1"/>
  <c r="D583" i="38"/>
  <c r="E583" i="38" s="1"/>
  <c r="B583" i="38"/>
  <c r="A583" i="38"/>
  <c r="M583" i="38" s="1"/>
  <c r="U582" i="38"/>
  <c r="S582" i="38"/>
  <c r="P582" i="38"/>
  <c r="Q582" i="38" s="1"/>
  <c r="N582" i="38"/>
  <c r="O582" i="38" s="1"/>
  <c r="K582" i="38"/>
  <c r="L582" i="38" s="1"/>
  <c r="F582" i="38"/>
  <c r="G582" i="38" s="1"/>
  <c r="D582" i="38"/>
  <c r="E582" i="38" s="1"/>
  <c r="B582" i="38"/>
  <c r="A582" i="38"/>
  <c r="M582" i="38" s="1"/>
  <c r="U581" i="38"/>
  <c r="S581" i="38"/>
  <c r="P581" i="38"/>
  <c r="Q581" i="38" s="1"/>
  <c r="N581" i="38"/>
  <c r="O581" i="38" s="1"/>
  <c r="K581" i="38"/>
  <c r="F581" i="38"/>
  <c r="G581" i="38" s="1"/>
  <c r="D581" i="38"/>
  <c r="E581" i="38" s="1"/>
  <c r="B581" i="38"/>
  <c r="A581" i="38"/>
  <c r="M581" i="38" s="1"/>
  <c r="Y580" i="38"/>
  <c r="Z580" i="38" s="1"/>
  <c r="W580" i="38"/>
  <c r="X580" i="38" s="1"/>
  <c r="B580" i="38"/>
  <c r="A580" i="38"/>
  <c r="Y579" i="38"/>
  <c r="Z579" i="38" s="1"/>
  <c r="W579" i="38"/>
  <c r="X579" i="38" s="1"/>
  <c r="B579" i="38"/>
  <c r="A579" i="38"/>
  <c r="Y578" i="38"/>
  <c r="Z578" i="38" s="1"/>
  <c r="W578" i="38"/>
  <c r="X578" i="38" s="1"/>
  <c r="B578" i="38"/>
  <c r="A578" i="38"/>
  <c r="Y577" i="38"/>
  <c r="Z577" i="38" s="1"/>
  <c r="W577" i="38"/>
  <c r="X577" i="38" s="1"/>
  <c r="K577" i="38"/>
  <c r="L577" i="38" s="1"/>
  <c r="B577" i="38"/>
  <c r="A577" i="38"/>
  <c r="Y576" i="38"/>
  <c r="Z576" i="38" s="1"/>
  <c r="W576" i="38"/>
  <c r="B576" i="38"/>
  <c r="A576" i="38"/>
  <c r="U575" i="38"/>
  <c r="S575" i="38"/>
  <c r="P575" i="38"/>
  <c r="Q575" i="38" s="1"/>
  <c r="N575" i="38"/>
  <c r="O575" i="38" s="1"/>
  <c r="K575" i="38"/>
  <c r="L575" i="38" s="1"/>
  <c r="F575" i="38"/>
  <c r="G575" i="38" s="1"/>
  <c r="D575" i="38"/>
  <c r="E575" i="38" s="1"/>
  <c r="B575" i="38"/>
  <c r="A575" i="38"/>
  <c r="M575" i="38" s="1"/>
  <c r="U574" i="38"/>
  <c r="S574" i="38"/>
  <c r="P574" i="38"/>
  <c r="Q574" i="38" s="1"/>
  <c r="N574" i="38"/>
  <c r="O574" i="38" s="1"/>
  <c r="K574" i="38"/>
  <c r="L574" i="38" s="1"/>
  <c r="F574" i="38"/>
  <c r="G574" i="38" s="1"/>
  <c r="D574" i="38"/>
  <c r="E574" i="38" s="1"/>
  <c r="B574" i="38"/>
  <c r="A574" i="38"/>
  <c r="M574" i="38" s="1"/>
  <c r="U573" i="38"/>
  <c r="S573" i="38"/>
  <c r="P573" i="38"/>
  <c r="Q573" i="38" s="1"/>
  <c r="N573" i="38"/>
  <c r="O573" i="38" s="1"/>
  <c r="K573" i="38"/>
  <c r="L573" i="38" s="1"/>
  <c r="F573" i="38"/>
  <c r="G573" i="38" s="1"/>
  <c r="D573" i="38"/>
  <c r="E573" i="38" s="1"/>
  <c r="B573" i="38"/>
  <c r="A573" i="38"/>
  <c r="M573" i="38" s="1"/>
  <c r="U572" i="38"/>
  <c r="S572" i="38"/>
  <c r="P572" i="38"/>
  <c r="Q572" i="38" s="1"/>
  <c r="N572" i="38"/>
  <c r="O572" i="38" s="1"/>
  <c r="K572" i="38"/>
  <c r="L572" i="38" s="1"/>
  <c r="F572" i="38"/>
  <c r="G572" i="38" s="1"/>
  <c r="D572" i="38"/>
  <c r="E572" i="38" s="1"/>
  <c r="B572" i="38"/>
  <c r="A572" i="38"/>
  <c r="M572" i="38" s="1"/>
  <c r="Y571" i="38"/>
  <c r="Z571" i="38" s="1"/>
  <c r="W571" i="38"/>
  <c r="X571" i="38" s="1"/>
  <c r="B571" i="38"/>
  <c r="A571" i="38"/>
  <c r="Y570" i="38"/>
  <c r="Z570" i="38" s="1"/>
  <c r="W570" i="38"/>
  <c r="B570" i="38"/>
  <c r="A570" i="38"/>
  <c r="Y569" i="38"/>
  <c r="Z569" i="38" s="1"/>
  <c r="W569" i="38"/>
  <c r="X569" i="38" s="1"/>
  <c r="B569" i="38"/>
  <c r="A569" i="38"/>
  <c r="Y568" i="38"/>
  <c r="Z568" i="38" s="1"/>
  <c r="W568" i="38"/>
  <c r="K568" i="38"/>
  <c r="L568" i="38" s="1"/>
  <c r="B568" i="38"/>
  <c r="A568" i="38"/>
  <c r="Y567" i="38"/>
  <c r="Z567" i="38" s="1"/>
  <c r="W567" i="38"/>
  <c r="B567" i="38"/>
  <c r="A567" i="38"/>
  <c r="U566" i="38"/>
  <c r="S566" i="38"/>
  <c r="P566" i="38"/>
  <c r="Q566" i="38" s="1"/>
  <c r="N566" i="38"/>
  <c r="O566" i="38" s="1"/>
  <c r="K566" i="38"/>
  <c r="L566" i="38" s="1"/>
  <c r="F566" i="38"/>
  <c r="G566" i="38" s="1"/>
  <c r="D566" i="38"/>
  <c r="E566" i="38" s="1"/>
  <c r="B566" i="38"/>
  <c r="A566" i="38"/>
  <c r="M566" i="38" s="1"/>
  <c r="U565" i="38"/>
  <c r="S565" i="38"/>
  <c r="P565" i="38"/>
  <c r="Q565" i="38" s="1"/>
  <c r="N565" i="38"/>
  <c r="O565" i="38" s="1"/>
  <c r="K565" i="38"/>
  <c r="L565" i="38" s="1"/>
  <c r="F565" i="38"/>
  <c r="G565" i="38" s="1"/>
  <c r="D565" i="38"/>
  <c r="E565" i="38" s="1"/>
  <c r="B565" i="38"/>
  <c r="A565" i="38"/>
  <c r="M565" i="38" s="1"/>
  <c r="U564" i="38"/>
  <c r="S564" i="38"/>
  <c r="P564" i="38"/>
  <c r="Q564" i="38" s="1"/>
  <c r="N564" i="38"/>
  <c r="O564" i="38" s="1"/>
  <c r="K564" i="38"/>
  <c r="L564" i="38" s="1"/>
  <c r="F564" i="38"/>
  <c r="G564" i="38" s="1"/>
  <c r="D564" i="38"/>
  <c r="E564" i="38" s="1"/>
  <c r="B564" i="38"/>
  <c r="A564" i="38"/>
  <c r="M564" i="38" s="1"/>
  <c r="U563" i="38"/>
  <c r="S563" i="38"/>
  <c r="P563" i="38"/>
  <c r="Q563" i="38" s="1"/>
  <c r="N563" i="38"/>
  <c r="O563" i="38" s="1"/>
  <c r="K563" i="38"/>
  <c r="L563" i="38" s="1"/>
  <c r="F563" i="38"/>
  <c r="G563" i="38" s="1"/>
  <c r="D563" i="38"/>
  <c r="E563" i="38" s="1"/>
  <c r="B563" i="38"/>
  <c r="A563" i="38"/>
  <c r="M563" i="38" s="1"/>
  <c r="Y562" i="38"/>
  <c r="Z562" i="38" s="1"/>
  <c r="W562" i="38"/>
  <c r="B562" i="38"/>
  <c r="A562" i="38"/>
  <c r="Y561" i="38"/>
  <c r="Z561" i="38" s="1"/>
  <c r="W561" i="38"/>
  <c r="B561" i="38"/>
  <c r="A561" i="38"/>
  <c r="Y560" i="38"/>
  <c r="Z560" i="38" s="1"/>
  <c r="W560" i="38"/>
  <c r="B560" i="38"/>
  <c r="A560" i="38"/>
  <c r="Y559" i="38"/>
  <c r="Z559" i="38" s="1"/>
  <c r="W559" i="38"/>
  <c r="K559" i="38"/>
  <c r="L559" i="38" s="1"/>
  <c r="B559" i="38"/>
  <c r="A559" i="38"/>
  <c r="Y558" i="38"/>
  <c r="Z558" i="38" s="1"/>
  <c r="W558" i="38"/>
  <c r="X558" i="38" s="1"/>
  <c r="B558" i="38"/>
  <c r="A558" i="38"/>
  <c r="U557" i="38"/>
  <c r="S557" i="38"/>
  <c r="P557" i="38"/>
  <c r="Q557" i="38" s="1"/>
  <c r="N557" i="38"/>
  <c r="O557" i="38" s="1"/>
  <c r="K557" i="38"/>
  <c r="F557" i="38"/>
  <c r="G557" i="38" s="1"/>
  <c r="D557" i="38"/>
  <c r="E557" i="38" s="1"/>
  <c r="B557" i="38"/>
  <c r="A557" i="38"/>
  <c r="M557" i="38" s="1"/>
  <c r="U556" i="38"/>
  <c r="S556" i="38"/>
  <c r="P556" i="38"/>
  <c r="Q556" i="38" s="1"/>
  <c r="N556" i="38"/>
  <c r="O556" i="38" s="1"/>
  <c r="K556" i="38"/>
  <c r="F556" i="38"/>
  <c r="G556" i="38" s="1"/>
  <c r="D556" i="38"/>
  <c r="E556" i="38" s="1"/>
  <c r="B556" i="38"/>
  <c r="A556" i="38"/>
  <c r="M556" i="38" s="1"/>
  <c r="U555" i="38"/>
  <c r="S555" i="38"/>
  <c r="P555" i="38"/>
  <c r="Q555" i="38" s="1"/>
  <c r="N555" i="38"/>
  <c r="O555" i="38" s="1"/>
  <c r="K555" i="38"/>
  <c r="L555" i="38" s="1"/>
  <c r="F555" i="38"/>
  <c r="G555" i="38" s="1"/>
  <c r="D555" i="38"/>
  <c r="E555" i="38" s="1"/>
  <c r="B555" i="38"/>
  <c r="A555" i="38"/>
  <c r="M555" i="38" s="1"/>
  <c r="U554" i="38"/>
  <c r="S554" i="38"/>
  <c r="P554" i="38"/>
  <c r="Q554" i="38" s="1"/>
  <c r="N554" i="38"/>
  <c r="O554" i="38" s="1"/>
  <c r="K554" i="38"/>
  <c r="L554" i="38" s="1"/>
  <c r="F554" i="38"/>
  <c r="G554" i="38" s="1"/>
  <c r="D554" i="38"/>
  <c r="E554" i="38" s="1"/>
  <c r="B554" i="38"/>
  <c r="A554" i="38"/>
  <c r="M554" i="38" s="1"/>
  <c r="Y553" i="38"/>
  <c r="Z553" i="38" s="1"/>
  <c r="W553" i="38"/>
  <c r="X553" i="38" s="1"/>
  <c r="B553" i="38"/>
  <c r="A553" i="38"/>
  <c r="Y552" i="38"/>
  <c r="Z552" i="38" s="1"/>
  <c r="W552" i="38"/>
  <c r="X552" i="38" s="1"/>
  <c r="B552" i="38"/>
  <c r="A552" i="38"/>
  <c r="Y551" i="38"/>
  <c r="Z551" i="38" s="1"/>
  <c r="W551" i="38"/>
  <c r="B551" i="38"/>
  <c r="A551" i="38"/>
  <c r="Y550" i="38"/>
  <c r="Z550" i="38" s="1"/>
  <c r="W550" i="38"/>
  <c r="X550" i="38" s="1"/>
  <c r="K550" i="38"/>
  <c r="L550" i="38" s="1"/>
  <c r="B550" i="38"/>
  <c r="A550" i="38"/>
  <c r="Y549" i="38"/>
  <c r="Z549" i="38" s="1"/>
  <c r="W549" i="38"/>
  <c r="B549" i="38"/>
  <c r="A549" i="38"/>
  <c r="U548" i="38"/>
  <c r="S548" i="38"/>
  <c r="P548" i="38"/>
  <c r="Q548" i="38" s="1"/>
  <c r="N548" i="38"/>
  <c r="O548" i="38" s="1"/>
  <c r="K548" i="38"/>
  <c r="L548" i="38" s="1"/>
  <c r="F548" i="38"/>
  <c r="G548" i="38" s="1"/>
  <c r="D548" i="38"/>
  <c r="E548" i="38" s="1"/>
  <c r="B548" i="38"/>
  <c r="A548" i="38"/>
  <c r="M548" i="38" s="1"/>
  <c r="U547" i="38"/>
  <c r="S547" i="38"/>
  <c r="P547" i="38"/>
  <c r="Q547" i="38" s="1"/>
  <c r="N547" i="38"/>
  <c r="O547" i="38" s="1"/>
  <c r="K547" i="38"/>
  <c r="L547" i="38" s="1"/>
  <c r="F547" i="38"/>
  <c r="G547" i="38" s="1"/>
  <c r="D547" i="38"/>
  <c r="E547" i="38" s="1"/>
  <c r="B547" i="38"/>
  <c r="A547" i="38"/>
  <c r="M547" i="38" s="1"/>
  <c r="U546" i="38"/>
  <c r="S546" i="38"/>
  <c r="P546" i="38"/>
  <c r="Q546" i="38" s="1"/>
  <c r="N546" i="38"/>
  <c r="O546" i="38" s="1"/>
  <c r="K546" i="38"/>
  <c r="F546" i="38"/>
  <c r="G546" i="38" s="1"/>
  <c r="D546" i="38"/>
  <c r="E546" i="38" s="1"/>
  <c r="B546" i="38"/>
  <c r="A546" i="38"/>
  <c r="M546" i="38" s="1"/>
  <c r="U545" i="38"/>
  <c r="S545" i="38"/>
  <c r="P545" i="38"/>
  <c r="Q545" i="38" s="1"/>
  <c r="N545" i="38"/>
  <c r="O545" i="38" s="1"/>
  <c r="K545" i="38"/>
  <c r="F545" i="38"/>
  <c r="G545" i="38" s="1"/>
  <c r="D545" i="38"/>
  <c r="E545" i="38" s="1"/>
  <c r="B545" i="38"/>
  <c r="A545" i="38"/>
  <c r="M545" i="38" s="1"/>
  <c r="Y544" i="38"/>
  <c r="Z544" i="38" s="1"/>
  <c r="W544" i="38"/>
  <c r="B544" i="38"/>
  <c r="A544" i="38"/>
  <c r="Y543" i="38"/>
  <c r="Z543" i="38" s="1"/>
  <c r="W543" i="38"/>
  <c r="B543" i="38"/>
  <c r="A543" i="38"/>
  <c r="Y542" i="38"/>
  <c r="Z542" i="38" s="1"/>
  <c r="W542" i="38"/>
  <c r="B542" i="38"/>
  <c r="A542" i="38"/>
  <c r="Y541" i="38"/>
  <c r="Z541" i="38" s="1"/>
  <c r="W541" i="38"/>
  <c r="K541" i="38"/>
  <c r="L541" i="38" s="1"/>
  <c r="B541" i="38"/>
  <c r="A541" i="38"/>
  <c r="Y540" i="38"/>
  <c r="Z540" i="38" s="1"/>
  <c r="W540" i="38"/>
  <c r="B540" i="38"/>
  <c r="A540" i="38"/>
  <c r="U539" i="38"/>
  <c r="S539" i="38"/>
  <c r="P539" i="38"/>
  <c r="Q539" i="38" s="1"/>
  <c r="N539" i="38"/>
  <c r="O539" i="38" s="1"/>
  <c r="K539" i="38"/>
  <c r="F539" i="38"/>
  <c r="G539" i="38" s="1"/>
  <c r="D539" i="38"/>
  <c r="E539" i="38" s="1"/>
  <c r="B539" i="38"/>
  <c r="A539" i="38"/>
  <c r="M539" i="38" s="1"/>
  <c r="U538" i="38"/>
  <c r="S538" i="38"/>
  <c r="P538" i="38"/>
  <c r="Q538" i="38" s="1"/>
  <c r="N538" i="38"/>
  <c r="O538" i="38" s="1"/>
  <c r="K538" i="38"/>
  <c r="L538" i="38" s="1"/>
  <c r="F538" i="38"/>
  <c r="G538" i="38" s="1"/>
  <c r="D538" i="38"/>
  <c r="E538" i="38" s="1"/>
  <c r="B538" i="38"/>
  <c r="A538" i="38"/>
  <c r="M538" i="38" s="1"/>
  <c r="U537" i="38"/>
  <c r="S537" i="38"/>
  <c r="P537" i="38"/>
  <c r="Q537" i="38" s="1"/>
  <c r="N537" i="38"/>
  <c r="O537" i="38" s="1"/>
  <c r="K537" i="38"/>
  <c r="L537" i="38" s="1"/>
  <c r="F537" i="38"/>
  <c r="G537" i="38" s="1"/>
  <c r="D537" i="38"/>
  <c r="E537" i="38" s="1"/>
  <c r="B537" i="38"/>
  <c r="A537" i="38"/>
  <c r="M537" i="38" s="1"/>
  <c r="U536" i="38"/>
  <c r="S536" i="38"/>
  <c r="P536" i="38"/>
  <c r="Q536" i="38" s="1"/>
  <c r="N536" i="38"/>
  <c r="O536" i="38" s="1"/>
  <c r="K536" i="38"/>
  <c r="L536" i="38" s="1"/>
  <c r="F536" i="38"/>
  <c r="G536" i="38" s="1"/>
  <c r="D536" i="38"/>
  <c r="E536" i="38" s="1"/>
  <c r="B536" i="38"/>
  <c r="A536" i="38"/>
  <c r="M536" i="38" s="1"/>
  <c r="Y535" i="38"/>
  <c r="Z535" i="38" s="1"/>
  <c r="W535" i="38"/>
  <c r="X535" i="38" s="1"/>
  <c r="B535" i="38"/>
  <c r="A535" i="38"/>
  <c r="Y534" i="38"/>
  <c r="Z534" i="38" s="1"/>
  <c r="W534" i="38"/>
  <c r="X534" i="38" s="1"/>
  <c r="B534" i="38"/>
  <c r="A534" i="38"/>
  <c r="Y533" i="38"/>
  <c r="Z533" i="38" s="1"/>
  <c r="W533" i="38"/>
  <c r="B533" i="38"/>
  <c r="A533" i="38"/>
  <c r="Y532" i="38"/>
  <c r="Z532" i="38" s="1"/>
  <c r="W532" i="38"/>
  <c r="K532" i="38"/>
  <c r="B532" i="38"/>
  <c r="A532" i="38"/>
  <c r="Y531" i="38"/>
  <c r="Z531" i="38" s="1"/>
  <c r="W531" i="38"/>
  <c r="B531" i="38"/>
  <c r="A531" i="38"/>
  <c r="U530" i="38"/>
  <c r="S530" i="38"/>
  <c r="P530" i="38"/>
  <c r="Q530" i="38" s="1"/>
  <c r="N530" i="38"/>
  <c r="O530" i="38" s="1"/>
  <c r="K530" i="38"/>
  <c r="L530" i="38" s="1"/>
  <c r="F530" i="38"/>
  <c r="G530" i="38" s="1"/>
  <c r="D530" i="38"/>
  <c r="E530" i="38" s="1"/>
  <c r="B530" i="38"/>
  <c r="A530" i="38"/>
  <c r="M530" i="38" s="1"/>
  <c r="U529" i="38"/>
  <c r="S529" i="38"/>
  <c r="P529" i="38"/>
  <c r="Q529" i="38" s="1"/>
  <c r="N529" i="38"/>
  <c r="O529" i="38" s="1"/>
  <c r="K529" i="38"/>
  <c r="L529" i="38" s="1"/>
  <c r="F529" i="38"/>
  <c r="G529" i="38" s="1"/>
  <c r="D529" i="38"/>
  <c r="E529" i="38" s="1"/>
  <c r="B529" i="38"/>
  <c r="A529" i="38"/>
  <c r="M529" i="38" s="1"/>
  <c r="U528" i="38"/>
  <c r="S528" i="38"/>
  <c r="P528" i="38"/>
  <c r="Q528" i="38" s="1"/>
  <c r="N528" i="38"/>
  <c r="O528" i="38" s="1"/>
  <c r="K528" i="38"/>
  <c r="L528" i="38" s="1"/>
  <c r="F528" i="38"/>
  <c r="G528" i="38" s="1"/>
  <c r="D528" i="38"/>
  <c r="E528" i="38" s="1"/>
  <c r="B528" i="38"/>
  <c r="A528" i="38"/>
  <c r="M528" i="38" s="1"/>
  <c r="U527" i="38"/>
  <c r="S527" i="38"/>
  <c r="P527" i="38"/>
  <c r="Q527" i="38" s="1"/>
  <c r="N527" i="38"/>
  <c r="O527" i="38" s="1"/>
  <c r="K527" i="38"/>
  <c r="L527" i="38" s="1"/>
  <c r="F527" i="38"/>
  <c r="G527" i="38" s="1"/>
  <c r="D527" i="38"/>
  <c r="E527" i="38" s="1"/>
  <c r="B527" i="38"/>
  <c r="A527" i="38"/>
  <c r="M527" i="38" s="1"/>
  <c r="Y526" i="38"/>
  <c r="Z526" i="38" s="1"/>
  <c r="W526" i="38"/>
  <c r="X526" i="38" s="1"/>
  <c r="B526" i="38"/>
  <c r="A526" i="38"/>
  <c r="Y525" i="38"/>
  <c r="Z525" i="38" s="1"/>
  <c r="W525" i="38"/>
  <c r="X525" i="38" s="1"/>
  <c r="B525" i="38"/>
  <c r="A525" i="38"/>
  <c r="Y524" i="38"/>
  <c r="Z524" i="38" s="1"/>
  <c r="W524" i="38"/>
  <c r="B524" i="38"/>
  <c r="A524" i="38"/>
  <c r="Y523" i="38"/>
  <c r="Z523" i="38" s="1"/>
  <c r="W523" i="38"/>
  <c r="X523" i="38" s="1"/>
  <c r="K523" i="38"/>
  <c r="L523" i="38" s="1"/>
  <c r="B523" i="38"/>
  <c r="A523" i="38"/>
  <c r="Y522" i="38"/>
  <c r="Z522" i="38" s="1"/>
  <c r="W522" i="38"/>
  <c r="X522" i="38" s="1"/>
  <c r="B522" i="38"/>
  <c r="A522" i="38"/>
  <c r="U521" i="38"/>
  <c r="S521" i="38"/>
  <c r="P521" i="38"/>
  <c r="Q521" i="38" s="1"/>
  <c r="N521" i="38"/>
  <c r="O521" i="38" s="1"/>
  <c r="K521" i="38"/>
  <c r="L521" i="38" s="1"/>
  <c r="F521" i="38"/>
  <c r="G521" i="38" s="1"/>
  <c r="D521" i="38"/>
  <c r="E521" i="38" s="1"/>
  <c r="B521" i="38"/>
  <c r="A521" i="38"/>
  <c r="M521" i="38" s="1"/>
  <c r="U520" i="38"/>
  <c r="S520" i="38"/>
  <c r="P520" i="38"/>
  <c r="Q520" i="38" s="1"/>
  <c r="N520" i="38"/>
  <c r="O520" i="38" s="1"/>
  <c r="K520" i="38"/>
  <c r="F520" i="38"/>
  <c r="G520" i="38" s="1"/>
  <c r="D520" i="38"/>
  <c r="E520" i="38" s="1"/>
  <c r="B520" i="38"/>
  <c r="A520" i="38"/>
  <c r="M520" i="38" s="1"/>
  <c r="U519" i="38"/>
  <c r="S519" i="38"/>
  <c r="P519" i="38"/>
  <c r="Q519" i="38" s="1"/>
  <c r="N519" i="38"/>
  <c r="O519" i="38" s="1"/>
  <c r="K519" i="38"/>
  <c r="L519" i="38" s="1"/>
  <c r="F519" i="38"/>
  <c r="G519" i="38" s="1"/>
  <c r="D519" i="38"/>
  <c r="E519" i="38" s="1"/>
  <c r="B519" i="38"/>
  <c r="A519" i="38"/>
  <c r="M519" i="38" s="1"/>
  <c r="U518" i="38"/>
  <c r="S518" i="38"/>
  <c r="P518" i="38"/>
  <c r="Q518" i="38" s="1"/>
  <c r="N518" i="38"/>
  <c r="O518" i="38" s="1"/>
  <c r="K518" i="38"/>
  <c r="L518" i="38" s="1"/>
  <c r="F518" i="38"/>
  <c r="G518" i="38" s="1"/>
  <c r="D518" i="38"/>
  <c r="E518" i="38" s="1"/>
  <c r="B518" i="38"/>
  <c r="A518" i="38"/>
  <c r="M518" i="38" s="1"/>
  <c r="Y517" i="38"/>
  <c r="Z517" i="38" s="1"/>
  <c r="W517" i="38"/>
  <c r="B517" i="38"/>
  <c r="A517" i="38"/>
  <c r="Y516" i="38"/>
  <c r="Z516" i="38" s="1"/>
  <c r="W516" i="38"/>
  <c r="B516" i="38"/>
  <c r="A516" i="38"/>
  <c r="Y515" i="38"/>
  <c r="Z515" i="38" s="1"/>
  <c r="W515" i="38"/>
  <c r="B515" i="38"/>
  <c r="A515" i="38"/>
  <c r="Y514" i="38"/>
  <c r="Z514" i="38" s="1"/>
  <c r="W514" i="38"/>
  <c r="K514" i="38"/>
  <c r="B514" i="38"/>
  <c r="A514" i="38"/>
  <c r="Y513" i="38"/>
  <c r="Z513" i="38" s="1"/>
  <c r="W513" i="38"/>
  <c r="X513" i="38" s="1"/>
  <c r="B513" i="38"/>
  <c r="A513" i="38"/>
  <c r="U512" i="38"/>
  <c r="S512" i="38"/>
  <c r="P512" i="38"/>
  <c r="Q512" i="38" s="1"/>
  <c r="N512" i="38"/>
  <c r="O512" i="38" s="1"/>
  <c r="K512" i="38"/>
  <c r="L512" i="38" s="1"/>
  <c r="F512" i="38"/>
  <c r="G512" i="38" s="1"/>
  <c r="D512" i="38"/>
  <c r="E512" i="38" s="1"/>
  <c r="B512" i="38"/>
  <c r="A512" i="38"/>
  <c r="M512" i="38" s="1"/>
  <c r="U511" i="38"/>
  <c r="S511" i="38"/>
  <c r="P511" i="38"/>
  <c r="Q511" i="38" s="1"/>
  <c r="N511" i="38"/>
  <c r="O511" i="38" s="1"/>
  <c r="K511" i="38"/>
  <c r="L511" i="38" s="1"/>
  <c r="F511" i="38"/>
  <c r="G511" i="38" s="1"/>
  <c r="D511" i="38"/>
  <c r="E511" i="38" s="1"/>
  <c r="B511" i="38"/>
  <c r="A511" i="38"/>
  <c r="M511" i="38" s="1"/>
  <c r="U510" i="38"/>
  <c r="S510" i="38"/>
  <c r="P510" i="38"/>
  <c r="Q510" i="38" s="1"/>
  <c r="N510" i="38"/>
  <c r="O510" i="38" s="1"/>
  <c r="K510" i="38"/>
  <c r="L510" i="38" s="1"/>
  <c r="F510" i="38"/>
  <c r="G510" i="38" s="1"/>
  <c r="D510" i="38"/>
  <c r="E510" i="38" s="1"/>
  <c r="B510" i="38"/>
  <c r="A510" i="38"/>
  <c r="M510" i="38" s="1"/>
  <c r="U509" i="38"/>
  <c r="S509" i="38"/>
  <c r="P509" i="38"/>
  <c r="Q509" i="38" s="1"/>
  <c r="N509" i="38"/>
  <c r="O509" i="38" s="1"/>
  <c r="K509" i="38"/>
  <c r="F509" i="38"/>
  <c r="G509" i="38" s="1"/>
  <c r="D509" i="38"/>
  <c r="E509" i="38" s="1"/>
  <c r="B509" i="38"/>
  <c r="A509" i="38"/>
  <c r="M509" i="38" s="1"/>
  <c r="Y508" i="38"/>
  <c r="Z508" i="38" s="1"/>
  <c r="W508" i="38"/>
  <c r="X508" i="38" s="1"/>
  <c r="B508" i="38"/>
  <c r="A508" i="38"/>
  <c r="Y507" i="38"/>
  <c r="W507" i="38"/>
  <c r="X507" i="38" s="1"/>
  <c r="B507" i="38"/>
  <c r="A507" i="38"/>
  <c r="Y506" i="38"/>
  <c r="Z506" i="38" s="1"/>
  <c r="W506" i="38"/>
  <c r="B506" i="38"/>
  <c r="A506" i="38"/>
  <c r="Y505" i="38"/>
  <c r="W505" i="38"/>
  <c r="X505" i="38" s="1"/>
  <c r="K505" i="38"/>
  <c r="L505" i="38" s="1"/>
  <c r="B505" i="38"/>
  <c r="A505" i="38"/>
  <c r="Y504" i="38"/>
  <c r="Z504" i="38" s="1"/>
  <c r="W504" i="38"/>
  <c r="X504" i="38" s="1"/>
  <c r="B504" i="38"/>
  <c r="A504" i="38"/>
  <c r="U503" i="38"/>
  <c r="S503" i="38"/>
  <c r="P503" i="38"/>
  <c r="Q503" i="38" s="1"/>
  <c r="N503" i="38"/>
  <c r="O503" i="38" s="1"/>
  <c r="K503" i="38"/>
  <c r="L503" i="38" s="1"/>
  <c r="F503" i="38"/>
  <c r="G503" i="38" s="1"/>
  <c r="D503" i="38"/>
  <c r="E503" i="38" s="1"/>
  <c r="B503" i="38"/>
  <c r="A503" i="38"/>
  <c r="M503" i="38" s="1"/>
  <c r="U502" i="38"/>
  <c r="S502" i="38"/>
  <c r="P502" i="38"/>
  <c r="Q502" i="38" s="1"/>
  <c r="N502" i="38"/>
  <c r="O502" i="38" s="1"/>
  <c r="K502" i="38"/>
  <c r="L502" i="38" s="1"/>
  <c r="F502" i="38"/>
  <c r="G502" i="38" s="1"/>
  <c r="D502" i="38"/>
  <c r="E502" i="38" s="1"/>
  <c r="B502" i="38"/>
  <c r="A502" i="38"/>
  <c r="M502" i="38" s="1"/>
  <c r="U501" i="38"/>
  <c r="S501" i="38"/>
  <c r="P501" i="38"/>
  <c r="Q501" i="38" s="1"/>
  <c r="N501" i="38"/>
  <c r="O501" i="38" s="1"/>
  <c r="K501" i="38"/>
  <c r="L501" i="38" s="1"/>
  <c r="F501" i="38"/>
  <c r="G501" i="38" s="1"/>
  <c r="D501" i="38"/>
  <c r="E501" i="38" s="1"/>
  <c r="B501" i="38"/>
  <c r="A501" i="38"/>
  <c r="M501" i="38" s="1"/>
  <c r="U500" i="38"/>
  <c r="S500" i="38"/>
  <c r="P500" i="38"/>
  <c r="Q500" i="38" s="1"/>
  <c r="N500" i="38"/>
  <c r="O500" i="38" s="1"/>
  <c r="K500" i="38"/>
  <c r="L500" i="38" s="1"/>
  <c r="F500" i="38"/>
  <c r="G500" i="38" s="1"/>
  <c r="D500" i="38"/>
  <c r="E500" i="38" s="1"/>
  <c r="B500" i="38"/>
  <c r="A500" i="38"/>
  <c r="M500" i="38" s="1"/>
  <c r="Y499" i="38"/>
  <c r="Z499" i="38" s="1"/>
  <c r="W499" i="38"/>
  <c r="X499" i="38" s="1"/>
  <c r="B499" i="38"/>
  <c r="A499" i="38"/>
  <c r="Y498" i="38"/>
  <c r="Z498" i="38" s="1"/>
  <c r="W498" i="38"/>
  <c r="B498" i="38"/>
  <c r="A498" i="38"/>
  <c r="Y497" i="38"/>
  <c r="W497" i="38"/>
  <c r="X497" i="38" s="1"/>
  <c r="B497" i="38"/>
  <c r="A497" i="38"/>
  <c r="Y496" i="38"/>
  <c r="Z496" i="38" s="1"/>
  <c r="W496" i="38"/>
  <c r="K496" i="38"/>
  <c r="B496" i="38"/>
  <c r="A496" i="38"/>
  <c r="Y495" i="38"/>
  <c r="Z495" i="38" s="1"/>
  <c r="W495" i="38"/>
  <c r="B495" i="38"/>
  <c r="A495" i="38"/>
  <c r="U494" i="38"/>
  <c r="S494" i="38"/>
  <c r="P494" i="38"/>
  <c r="Q494" i="38" s="1"/>
  <c r="N494" i="38"/>
  <c r="O494" i="38" s="1"/>
  <c r="K494" i="38"/>
  <c r="L494" i="38" s="1"/>
  <c r="F494" i="38"/>
  <c r="G494" i="38" s="1"/>
  <c r="D494" i="38"/>
  <c r="E494" i="38" s="1"/>
  <c r="B494" i="38"/>
  <c r="A494" i="38"/>
  <c r="M494" i="38" s="1"/>
  <c r="U493" i="38"/>
  <c r="S493" i="38"/>
  <c r="P493" i="38"/>
  <c r="Q493" i="38" s="1"/>
  <c r="N493" i="38"/>
  <c r="O493" i="38" s="1"/>
  <c r="K493" i="38"/>
  <c r="L493" i="38" s="1"/>
  <c r="F493" i="38"/>
  <c r="G493" i="38" s="1"/>
  <c r="D493" i="38"/>
  <c r="E493" i="38" s="1"/>
  <c r="B493" i="38"/>
  <c r="A493" i="38"/>
  <c r="M493" i="38" s="1"/>
  <c r="U492" i="38"/>
  <c r="S492" i="38"/>
  <c r="P492" i="38"/>
  <c r="Q492" i="38" s="1"/>
  <c r="N492" i="38"/>
  <c r="O492" i="38" s="1"/>
  <c r="K492" i="38"/>
  <c r="F492" i="38"/>
  <c r="G492" i="38" s="1"/>
  <c r="D492" i="38"/>
  <c r="E492" i="38" s="1"/>
  <c r="B492" i="38"/>
  <c r="A492" i="38"/>
  <c r="M492" i="38" s="1"/>
  <c r="U491" i="38"/>
  <c r="S491" i="38"/>
  <c r="P491" i="38"/>
  <c r="Q491" i="38" s="1"/>
  <c r="N491" i="38"/>
  <c r="O491" i="38" s="1"/>
  <c r="K491" i="38"/>
  <c r="L491" i="38" s="1"/>
  <c r="F491" i="38"/>
  <c r="G491" i="38" s="1"/>
  <c r="D491" i="38"/>
  <c r="E491" i="38" s="1"/>
  <c r="B491" i="38"/>
  <c r="A491" i="38"/>
  <c r="M491" i="38" s="1"/>
  <c r="Y490" i="38"/>
  <c r="W490" i="38"/>
  <c r="X490" i="38" s="1"/>
  <c r="B490" i="38"/>
  <c r="A490" i="38"/>
  <c r="Y489" i="38"/>
  <c r="Z489" i="38" s="1"/>
  <c r="W489" i="38"/>
  <c r="B489" i="38"/>
  <c r="A489" i="38"/>
  <c r="Y488" i="38"/>
  <c r="W488" i="38"/>
  <c r="X488" i="38" s="1"/>
  <c r="B488" i="38"/>
  <c r="A488" i="38"/>
  <c r="Y487" i="38"/>
  <c r="W487" i="38"/>
  <c r="X487" i="38" s="1"/>
  <c r="K487" i="38"/>
  <c r="L487" i="38" s="1"/>
  <c r="B487" i="38"/>
  <c r="A487" i="38"/>
  <c r="Y486" i="38"/>
  <c r="Z486" i="38" s="1"/>
  <c r="W486" i="38"/>
  <c r="X486" i="38" s="1"/>
  <c r="B486" i="38"/>
  <c r="A486" i="38"/>
  <c r="U485" i="38"/>
  <c r="S485" i="38"/>
  <c r="P485" i="38"/>
  <c r="Q485" i="38" s="1"/>
  <c r="N485" i="38"/>
  <c r="O485" i="38" s="1"/>
  <c r="K485" i="38"/>
  <c r="F485" i="38"/>
  <c r="G485" i="38" s="1"/>
  <c r="D485" i="38"/>
  <c r="E485" i="38" s="1"/>
  <c r="B485" i="38"/>
  <c r="A485" i="38"/>
  <c r="M485" i="38" s="1"/>
  <c r="U484" i="38"/>
  <c r="S484" i="38"/>
  <c r="P484" i="38"/>
  <c r="Q484" i="38" s="1"/>
  <c r="N484" i="38"/>
  <c r="O484" i="38" s="1"/>
  <c r="K484" i="38"/>
  <c r="F484" i="38"/>
  <c r="G484" i="38" s="1"/>
  <c r="D484" i="38"/>
  <c r="E484" i="38" s="1"/>
  <c r="B484" i="38"/>
  <c r="A484" i="38"/>
  <c r="M484" i="38" s="1"/>
  <c r="U483" i="38"/>
  <c r="S483" i="38"/>
  <c r="P483" i="38"/>
  <c r="Q483" i="38" s="1"/>
  <c r="N483" i="38"/>
  <c r="O483" i="38" s="1"/>
  <c r="K483" i="38"/>
  <c r="L483" i="38" s="1"/>
  <c r="F483" i="38"/>
  <c r="G483" i="38" s="1"/>
  <c r="D483" i="38"/>
  <c r="E483" i="38" s="1"/>
  <c r="B483" i="38"/>
  <c r="A483" i="38"/>
  <c r="M483" i="38" s="1"/>
  <c r="U482" i="38"/>
  <c r="S482" i="38"/>
  <c r="P482" i="38"/>
  <c r="Q482" i="38" s="1"/>
  <c r="N482" i="38"/>
  <c r="O482" i="38" s="1"/>
  <c r="K482" i="38"/>
  <c r="L482" i="38" s="1"/>
  <c r="F482" i="38"/>
  <c r="G482" i="38" s="1"/>
  <c r="D482" i="38"/>
  <c r="E482" i="38" s="1"/>
  <c r="B482" i="38"/>
  <c r="A482" i="38"/>
  <c r="M482" i="38" s="1"/>
  <c r="Y481" i="38"/>
  <c r="Z481" i="38" s="1"/>
  <c r="W481" i="38"/>
  <c r="B481" i="38"/>
  <c r="A481" i="38"/>
  <c r="Y480" i="38"/>
  <c r="Z480" i="38" s="1"/>
  <c r="W480" i="38"/>
  <c r="X480" i="38" s="1"/>
  <c r="B480" i="38"/>
  <c r="A480" i="38"/>
  <c r="Y479" i="38"/>
  <c r="Z479" i="38" s="1"/>
  <c r="W479" i="38"/>
  <c r="X479" i="38" s="1"/>
  <c r="B479" i="38"/>
  <c r="A479" i="38"/>
  <c r="Y478" i="38"/>
  <c r="Z478" i="38" s="1"/>
  <c r="W478" i="38"/>
  <c r="K478" i="38"/>
  <c r="L478" i="38" s="1"/>
  <c r="B478" i="38"/>
  <c r="A478" i="38"/>
  <c r="Y477" i="38"/>
  <c r="W477" i="38"/>
  <c r="X477" i="38" s="1"/>
  <c r="B477" i="38"/>
  <c r="A477" i="38"/>
  <c r="U476" i="38"/>
  <c r="S476" i="38"/>
  <c r="P476" i="38"/>
  <c r="Q476" i="38" s="1"/>
  <c r="N476" i="38"/>
  <c r="O476" i="38" s="1"/>
  <c r="K476" i="38"/>
  <c r="L476" i="38" s="1"/>
  <c r="F476" i="38"/>
  <c r="G476" i="38" s="1"/>
  <c r="D476" i="38"/>
  <c r="E476" i="38" s="1"/>
  <c r="B476" i="38"/>
  <c r="A476" i="38"/>
  <c r="M476" i="38" s="1"/>
  <c r="U475" i="38"/>
  <c r="S475" i="38"/>
  <c r="P475" i="38"/>
  <c r="Q475" i="38" s="1"/>
  <c r="N475" i="38"/>
  <c r="O475" i="38" s="1"/>
  <c r="K475" i="38"/>
  <c r="L475" i="38" s="1"/>
  <c r="F475" i="38"/>
  <c r="G475" i="38" s="1"/>
  <c r="D475" i="38"/>
  <c r="E475" i="38" s="1"/>
  <c r="B475" i="38"/>
  <c r="A475" i="38"/>
  <c r="M475" i="38" s="1"/>
  <c r="U474" i="38"/>
  <c r="S474" i="38"/>
  <c r="P474" i="38"/>
  <c r="Q474" i="38" s="1"/>
  <c r="N474" i="38"/>
  <c r="O474" i="38" s="1"/>
  <c r="K474" i="38"/>
  <c r="F474" i="38"/>
  <c r="G474" i="38" s="1"/>
  <c r="D474" i="38"/>
  <c r="E474" i="38" s="1"/>
  <c r="B474" i="38"/>
  <c r="A474" i="38"/>
  <c r="M474" i="38" s="1"/>
  <c r="U473" i="38"/>
  <c r="S473" i="38"/>
  <c r="P473" i="38"/>
  <c r="Q473" i="38" s="1"/>
  <c r="N473" i="38"/>
  <c r="O473" i="38" s="1"/>
  <c r="K473" i="38"/>
  <c r="F473" i="38"/>
  <c r="G473" i="38" s="1"/>
  <c r="D473" i="38"/>
  <c r="E473" i="38" s="1"/>
  <c r="B473" i="38"/>
  <c r="A473" i="38"/>
  <c r="M473" i="38" s="1"/>
  <c r="Y472" i="38"/>
  <c r="W472" i="38"/>
  <c r="X472" i="38" s="1"/>
  <c r="B472" i="38"/>
  <c r="A472" i="38"/>
  <c r="Y471" i="38"/>
  <c r="W471" i="38"/>
  <c r="X471" i="38" s="1"/>
  <c r="B471" i="38"/>
  <c r="A471" i="38"/>
  <c r="Y470" i="38"/>
  <c r="Z470" i="38" s="1"/>
  <c r="W470" i="38"/>
  <c r="X470" i="38" s="1"/>
  <c r="B470" i="38"/>
  <c r="A470" i="38"/>
  <c r="Y469" i="38"/>
  <c r="Z469" i="38" s="1"/>
  <c r="W469" i="38"/>
  <c r="K469" i="38"/>
  <c r="L469" i="38" s="1"/>
  <c r="B469" i="38"/>
  <c r="A469" i="38"/>
  <c r="Y468" i="38"/>
  <c r="Z468" i="38" s="1"/>
  <c r="W468" i="38"/>
  <c r="B468" i="38"/>
  <c r="A468" i="38"/>
  <c r="U467" i="38"/>
  <c r="S467" i="38"/>
  <c r="P467" i="38"/>
  <c r="Q467" i="38" s="1"/>
  <c r="N467" i="38"/>
  <c r="O467" i="38" s="1"/>
  <c r="K467" i="38"/>
  <c r="L467" i="38" s="1"/>
  <c r="F467" i="38"/>
  <c r="G467" i="38" s="1"/>
  <c r="D467" i="38"/>
  <c r="E467" i="38" s="1"/>
  <c r="B467" i="38"/>
  <c r="A467" i="38"/>
  <c r="M467" i="38" s="1"/>
  <c r="U466" i="38"/>
  <c r="S466" i="38"/>
  <c r="P466" i="38"/>
  <c r="Q466" i="38" s="1"/>
  <c r="N466" i="38"/>
  <c r="O466" i="38" s="1"/>
  <c r="K466" i="38"/>
  <c r="F466" i="38"/>
  <c r="G466" i="38" s="1"/>
  <c r="D466" i="38"/>
  <c r="E466" i="38" s="1"/>
  <c r="B466" i="38"/>
  <c r="A466" i="38"/>
  <c r="M466" i="38" s="1"/>
  <c r="U465" i="38"/>
  <c r="S465" i="38"/>
  <c r="P465" i="38"/>
  <c r="Q465" i="38" s="1"/>
  <c r="N465" i="38"/>
  <c r="O465" i="38" s="1"/>
  <c r="K465" i="38"/>
  <c r="F465" i="38"/>
  <c r="G465" i="38" s="1"/>
  <c r="D465" i="38"/>
  <c r="E465" i="38" s="1"/>
  <c r="B465" i="38"/>
  <c r="A465" i="38"/>
  <c r="M465" i="38" s="1"/>
  <c r="U464" i="38"/>
  <c r="S464" i="38"/>
  <c r="P464" i="38"/>
  <c r="Q464" i="38" s="1"/>
  <c r="N464" i="38"/>
  <c r="O464" i="38" s="1"/>
  <c r="K464" i="38"/>
  <c r="L464" i="38" s="1"/>
  <c r="F464" i="38"/>
  <c r="G464" i="38" s="1"/>
  <c r="D464" i="38"/>
  <c r="E464" i="38" s="1"/>
  <c r="B464" i="38"/>
  <c r="A464" i="38"/>
  <c r="M464" i="38" s="1"/>
  <c r="Y463" i="38"/>
  <c r="Z463" i="38" s="1"/>
  <c r="W463" i="38"/>
  <c r="B463" i="38"/>
  <c r="A463" i="38"/>
  <c r="Y462" i="38"/>
  <c r="Z462" i="38" s="1"/>
  <c r="W462" i="38"/>
  <c r="X462" i="38" s="1"/>
  <c r="B462" i="38"/>
  <c r="A462" i="38"/>
  <c r="Y461" i="38"/>
  <c r="Z461" i="38" s="1"/>
  <c r="W461" i="38"/>
  <c r="X461" i="38" s="1"/>
  <c r="B461" i="38"/>
  <c r="A461" i="38"/>
  <c r="Y460" i="38"/>
  <c r="Z460" i="38" s="1"/>
  <c r="W460" i="38"/>
  <c r="K460" i="38"/>
  <c r="L460" i="38" s="1"/>
  <c r="B460" i="38"/>
  <c r="A460" i="38"/>
  <c r="Y459" i="38"/>
  <c r="Z459" i="38" s="1"/>
  <c r="W459" i="38"/>
  <c r="B459" i="38"/>
  <c r="A459" i="38"/>
  <c r="U458" i="38"/>
  <c r="S458" i="38"/>
  <c r="P458" i="38"/>
  <c r="Q458" i="38" s="1"/>
  <c r="N458" i="38"/>
  <c r="O458" i="38" s="1"/>
  <c r="K458" i="38"/>
  <c r="L458" i="38" s="1"/>
  <c r="F458" i="38"/>
  <c r="G458" i="38" s="1"/>
  <c r="D458" i="38"/>
  <c r="E458" i="38" s="1"/>
  <c r="B458" i="38"/>
  <c r="A458" i="38"/>
  <c r="M458" i="38" s="1"/>
  <c r="U457" i="38"/>
  <c r="S457" i="38"/>
  <c r="P457" i="38"/>
  <c r="Q457" i="38" s="1"/>
  <c r="N457" i="38"/>
  <c r="O457" i="38" s="1"/>
  <c r="K457" i="38"/>
  <c r="L457" i="38" s="1"/>
  <c r="F457" i="38"/>
  <c r="G457" i="38" s="1"/>
  <c r="D457" i="38"/>
  <c r="E457" i="38" s="1"/>
  <c r="B457" i="38"/>
  <c r="A457" i="38"/>
  <c r="M457" i="38" s="1"/>
  <c r="U456" i="38"/>
  <c r="S456" i="38"/>
  <c r="P456" i="38"/>
  <c r="Q456" i="38" s="1"/>
  <c r="N456" i="38"/>
  <c r="O456" i="38" s="1"/>
  <c r="K456" i="38"/>
  <c r="F456" i="38"/>
  <c r="G456" i="38" s="1"/>
  <c r="D456" i="38"/>
  <c r="E456" i="38" s="1"/>
  <c r="B456" i="38"/>
  <c r="A456" i="38"/>
  <c r="M456" i="38" s="1"/>
  <c r="U455" i="38"/>
  <c r="S455" i="38"/>
  <c r="P455" i="38"/>
  <c r="Q455" i="38" s="1"/>
  <c r="N455" i="38"/>
  <c r="O455" i="38" s="1"/>
  <c r="K455" i="38"/>
  <c r="L455" i="38" s="1"/>
  <c r="F455" i="38"/>
  <c r="G455" i="38" s="1"/>
  <c r="D455" i="38"/>
  <c r="E455" i="38" s="1"/>
  <c r="B455" i="38"/>
  <c r="A455" i="38"/>
  <c r="M455" i="38" s="1"/>
  <c r="Y454" i="38"/>
  <c r="W454" i="38"/>
  <c r="X454" i="38" s="1"/>
  <c r="B454" i="38"/>
  <c r="A454" i="38"/>
  <c r="Y453" i="38"/>
  <c r="Z453" i="38" s="1"/>
  <c r="W453" i="38"/>
  <c r="X453" i="38" s="1"/>
  <c r="B453" i="38"/>
  <c r="A453" i="38"/>
  <c r="Y452" i="38"/>
  <c r="W452" i="38"/>
  <c r="X452" i="38" s="1"/>
  <c r="B452" i="38"/>
  <c r="A452" i="38"/>
  <c r="Y451" i="38"/>
  <c r="Z451" i="38" s="1"/>
  <c r="W451" i="38"/>
  <c r="K451" i="38"/>
  <c r="L451" i="38" s="1"/>
  <c r="B451" i="38"/>
  <c r="A451" i="38"/>
  <c r="Y450" i="38"/>
  <c r="Z450" i="38" s="1"/>
  <c r="W450" i="38"/>
  <c r="B450" i="38"/>
  <c r="A450" i="38"/>
  <c r="U449" i="38"/>
  <c r="S449" i="38"/>
  <c r="P449" i="38"/>
  <c r="Q449" i="38" s="1"/>
  <c r="N449" i="38"/>
  <c r="O449" i="38" s="1"/>
  <c r="K449" i="38"/>
  <c r="F449" i="38"/>
  <c r="G449" i="38" s="1"/>
  <c r="D449" i="38"/>
  <c r="E449" i="38" s="1"/>
  <c r="B449" i="38"/>
  <c r="A449" i="38"/>
  <c r="M449" i="38" s="1"/>
  <c r="U448" i="38"/>
  <c r="S448" i="38"/>
  <c r="P448" i="38"/>
  <c r="Q448" i="38" s="1"/>
  <c r="N448" i="38"/>
  <c r="O448" i="38" s="1"/>
  <c r="K448" i="38"/>
  <c r="L448" i="38" s="1"/>
  <c r="F448" i="38"/>
  <c r="G448" i="38" s="1"/>
  <c r="D448" i="38"/>
  <c r="E448" i="38" s="1"/>
  <c r="B448" i="38"/>
  <c r="A448" i="38"/>
  <c r="M448" i="38" s="1"/>
  <c r="U447" i="38"/>
  <c r="S447" i="38"/>
  <c r="P447" i="38"/>
  <c r="Q447" i="38" s="1"/>
  <c r="N447" i="38"/>
  <c r="O447" i="38" s="1"/>
  <c r="K447" i="38"/>
  <c r="L447" i="38" s="1"/>
  <c r="F447" i="38"/>
  <c r="G447" i="38" s="1"/>
  <c r="D447" i="38"/>
  <c r="E447" i="38" s="1"/>
  <c r="B447" i="38"/>
  <c r="A447" i="38"/>
  <c r="M447" i="38" s="1"/>
  <c r="U446" i="38"/>
  <c r="S446" i="38"/>
  <c r="P446" i="38"/>
  <c r="Q446" i="38" s="1"/>
  <c r="N446" i="38"/>
  <c r="O446" i="38" s="1"/>
  <c r="K446" i="38"/>
  <c r="L446" i="38" s="1"/>
  <c r="F446" i="38"/>
  <c r="G446" i="38" s="1"/>
  <c r="D446" i="38"/>
  <c r="E446" i="38" s="1"/>
  <c r="B446" i="38"/>
  <c r="A446" i="38"/>
  <c r="M446" i="38" s="1"/>
  <c r="Y445" i="38"/>
  <c r="W445" i="38"/>
  <c r="X445" i="38" s="1"/>
  <c r="B445" i="38"/>
  <c r="A445" i="38"/>
  <c r="Y444" i="38"/>
  <c r="Z444" i="38" s="1"/>
  <c r="W444" i="38"/>
  <c r="X444" i="38" s="1"/>
  <c r="B444" i="38"/>
  <c r="A444" i="38"/>
  <c r="Y443" i="38"/>
  <c r="W443" i="38"/>
  <c r="X443" i="38" s="1"/>
  <c r="B443" i="38"/>
  <c r="A443" i="38"/>
  <c r="Y442" i="38"/>
  <c r="Z442" i="38" s="1"/>
  <c r="W442" i="38"/>
  <c r="K442" i="38"/>
  <c r="B442" i="38"/>
  <c r="A442" i="38"/>
  <c r="Y441" i="38"/>
  <c r="Z441" i="38" s="1"/>
  <c r="W441" i="38"/>
  <c r="X441" i="38" s="1"/>
  <c r="B441" i="38"/>
  <c r="A441" i="38"/>
  <c r="U440" i="38"/>
  <c r="S440" i="38"/>
  <c r="P440" i="38"/>
  <c r="Q440" i="38" s="1"/>
  <c r="N440" i="38"/>
  <c r="O440" i="38" s="1"/>
  <c r="K440" i="38"/>
  <c r="L440" i="38" s="1"/>
  <c r="F440" i="38"/>
  <c r="G440" i="38" s="1"/>
  <c r="D440" i="38"/>
  <c r="E440" i="38" s="1"/>
  <c r="B440" i="38"/>
  <c r="A440" i="38"/>
  <c r="M440" i="38" s="1"/>
  <c r="U439" i="38"/>
  <c r="S439" i="38"/>
  <c r="P439" i="38"/>
  <c r="Q439" i="38" s="1"/>
  <c r="N439" i="38"/>
  <c r="O439" i="38" s="1"/>
  <c r="K439" i="38"/>
  <c r="L439" i="38" s="1"/>
  <c r="F439" i="38"/>
  <c r="G439" i="38" s="1"/>
  <c r="D439" i="38"/>
  <c r="E439" i="38" s="1"/>
  <c r="B439" i="38"/>
  <c r="A439" i="38"/>
  <c r="M439" i="38" s="1"/>
  <c r="U438" i="38"/>
  <c r="S438" i="38"/>
  <c r="P438" i="38"/>
  <c r="Q438" i="38" s="1"/>
  <c r="N438" i="38"/>
  <c r="O438" i="38" s="1"/>
  <c r="K438" i="38"/>
  <c r="L438" i="38" s="1"/>
  <c r="F438" i="38"/>
  <c r="G438" i="38" s="1"/>
  <c r="D438" i="38"/>
  <c r="E438" i="38" s="1"/>
  <c r="B438" i="38"/>
  <c r="A438" i="38"/>
  <c r="M438" i="38" s="1"/>
  <c r="U437" i="38"/>
  <c r="S437" i="38"/>
  <c r="P437" i="38"/>
  <c r="Q437" i="38" s="1"/>
  <c r="N437" i="38"/>
  <c r="O437" i="38" s="1"/>
  <c r="K437" i="38"/>
  <c r="L437" i="38" s="1"/>
  <c r="F437" i="38"/>
  <c r="G437" i="38" s="1"/>
  <c r="D437" i="38"/>
  <c r="E437" i="38" s="1"/>
  <c r="B437" i="38"/>
  <c r="A437" i="38"/>
  <c r="M437" i="38" s="1"/>
  <c r="Y436" i="38"/>
  <c r="W436" i="38"/>
  <c r="X436" i="38" s="1"/>
  <c r="B436" i="38"/>
  <c r="A436" i="38"/>
  <c r="Y435" i="38"/>
  <c r="W435" i="38"/>
  <c r="X435" i="38" s="1"/>
  <c r="B435" i="38"/>
  <c r="A435" i="38"/>
  <c r="Y434" i="38"/>
  <c r="W434" i="38"/>
  <c r="X434" i="38" s="1"/>
  <c r="B434" i="38"/>
  <c r="A434" i="38"/>
  <c r="Y433" i="38"/>
  <c r="Z433" i="38" s="1"/>
  <c r="W433" i="38"/>
  <c r="K433" i="38"/>
  <c r="L433" i="38" s="1"/>
  <c r="B433" i="38"/>
  <c r="A433" i="38"/>
  <c r="Y432" i="38"/>
  <c r="Z432" i="38" s="1"/>
  <c r="W432" i="38"/>
  <c r="B432" i="38"/>
  <c r="A432" i="38"/>
  <c r="U431" i="38"/>
  <c r="S431" i="38"/>
  <c r="P431" i="38"/>
  <c r="Q431" i="38" s="1"/>
  <c r="N431" i="38"/>
  <c r="O431" i="38" s="1"/>
  <c r="K431" i="38"/>
  <c r="L431" i="38" s="1"/>
  <c r="F431" i="38"/>
  <c r="G431" i="38" s="1"/>
  <c r="D431" i="38"/>
  <c r="E431" i="38" s="1"/>
  <c r="B431" i="38"/>
  <c r="A431" i="38"/>
  <c r="M431" i="38" s="1"/>
  <c r="U430" i="38"/>
  <c r="S430" i="38"/>
  <c r="P430" i="38"/>
  <c r="Q430" i="38" s="1"/>
  <c r="N430" i="38"/>
  <c r="O430" i="38" s="1"/>
  <c r="K430" i="38"/>
  <c r="L430" i="38" s="1"/>
  <c r="F430" i="38"/>
  <c r="G430" i="38" s="1"/>
  <c r="D430" i="38"/>
  <c r="E430" i="38" s="1"/>
  <c r="B430" i="38"/>
  <c r="A430" i="38"/>
  <c r="M430" i="38" s="1"/>
  <c r="U429" i="38"/>
  <c r="S429" i="38"/>
  <c r="P429" i="38"/>
  <c r="Q429" i="38" s="1"/>
  <c r="N429" i="38"/>
  <c r="O429" i="38" s="1"/>
  <c r="K429" i="38"/>
  <c r="L429" i="38" s="1"/>
  <c r="F429" i="38"/>
  <c r="G429" i="38" s="1"/>
  <c r="D429" i="38"/>
  <c r="E429" i="38" s="1"/>
  <c r="B429" i="38"/>
  <c r="A429" i="38"/>
  <c r="M429" i="38" s="1"/>
  <c r="U428" i="38"/>
  <c r="S428" i="38"/>
  <c r="P428" i="38"/>
  <c r="Q428" i="38" s="1"/>
  <c r="N428" i="38"/>
  <c r="O428" i="38" s="1"/>
  <c r="K428" i="38"/>
  <c r="L428" i="38" s="1"/>
  <c r="F428" i="38"/>
  <c r="G428" i="38" s="1"/>
  <c r="D428" i="38"/>
  <c r="E428" i="38" s="1"/>
  <c r="B428" i="38"/>
  <c r="A428" i="38"/>
  <c r="M428" i="38" s="1"/>
  <c r="Y427" i="38"/>
  <c r="Z427" i="38" s="1"/>
  <c r="W427" i="38"/>
  <c r="X427" i="38" s="1"/>
  <c r="B427" i="38"/>
  <c r="A427" i="38"/>
  <c r="Y426" i="38"/>
  <c r="Z426" i="38" s="1"/>
  <c r="W426" i="38"/>
  <c r="X426" i="38" s="1"/>
  <c r="B426" i="38"/>
  <c r="A426" i="38"/>
  <c r="Y425" i="38"/>
  <c r="Z425" i="38" s="1"/>
  <c r="W425" i="38"/>
  <c r="B425" i="38"/>
  <c r="A425" i="38"/>
  <c r="Y424" i="38"/>
  <c r="Z424" i="38" s="1"/>
  <c r="W424" i="38"/>
  <c r="K424" i="38"/>
  <c r="L424" i="38" s="1"/>
  <c r="B424" i="38"/>
  <c r="A424" i="38"/>
  <c r="Y423" i="38"/>
  <c r="Z423" i="38" s="1"/>
  <c r="W423" i="38"/>
  <c r="B423" i="38"/>
  <c r="A423" i="38"/>
  <c r="U422" i="38"/>
  <c r="S422" i="38"/>
  <c r="P422" i="38"/>
  <c r="Q422" i="38" s="1"/>
  <c r="N422" i="38"/>
  <c r="O422" i="38" s="1"/>
  <c r="K422" i="38"/>
  <c r="L422" i="38" s="1"/>
  <c r="F422" i="38"/>
  <c r="G422" i="38" s="1"/>
  <c r="D422" i="38"/>
  <c r="E422" i="38" s="1"/>
  <c r="B422" i="38"/>
  <c r="A422" i="38"/>
  <c r="M422" i="38" s="1"/>
  <c r="U421" i="38"/>
  <c r="S421" i="38"/>
  <c r="P421" i="38"/>
  <c r="Q421" i="38" s="1"/>
  <c r="N421" i="38"/>
  <c r="O421" i="38" s="1"/>
  <c r="K421" i="38"/>
  <c r="L421" i="38" s="1"/>
  <c r="F421" i="38"/>
  <c r="G421" i="38" s="1"/>
  <c r="D421" i="38"/>
  <c r="E421" i="38" s="1"/>
  <c r="B421" i="38"/>
  <c r="A421" i="38"/>
  <c r="M421" i="38" s="1"/>
  <c r="U420" i="38"/>
  <c r="S420" i="38"/>
  <c r="P420" i="38"/>
  <c r="Q420" i="38" s="1"/>
  <c r="N420" i="38"/>
  <c r="O420" i="38" s="1"/>
  <c r="K420" i="38"/>
  <c r="F420" i="38"/>
  <c r="G420" i="38" s="1"/>
  <c r="D420" i="38"/>
  <c r="E420" i="38" s="1"/>
  <c r="B420" i="38"/>
  <c r="A420" i="38"/>
  <c r="M420" i="38" s="1"/>
  <c r="U419" i="38"/>
  <c r="S419" i="38"/>
  <c r="P419" i="38"/>
  <c r="Q419" i="38" s="1"/>
  <c r="N419" i="38"/>
  <c r="O419" i="38" s="1"/>
  <c r="K419" i="38"/>
  <c r="F419" i="38"/>
  <c r="G419" i="38" s="1"/>
  <c r="D419" i="38"/>
  <c r="E419" i="38" s="1"/>
  <c r="B419" i="38"/>
  <c r="A419" i="38"/>
  <c r="M419" i="38" s="1"/>
  <c r="Y418" i="38"/>
  <c r="Z418" i="38" s="1"/>
  <c r="W418" i="38"/>
  <c r="B418" i="38"/>
  <c r="A418" i="38"/>
  <c r="Y417" i="38"/>
  <c r="Z417" i="38" s="1"/>
  <c r="W417" i="38"/>
  <c r="B417" i="38"/>
  <c r="A417" i="38"/>
  <c r="Y416" i="38"/>
  <c r="Z416" i="38" s="1"/>
  <c r="W416" i="38"/>
  <c r="X416" i="38" s="1"/>
  <c r="B416" i="38"/>
  <c r="A416" i="38"/>
  <c r="Y415" i="38"/>
  <c r="Z415" i="38" s="1"/>
  <c r="W415" i="38"/>
  <c r="K415" i="38"/>
  <c r="L415" i="38" s="1"/>
  <c r="B415" i="38"/>
  <c r="A415" i="38"/>
  <c r="Y414" i="38"/>
  <c r="Z414" i="38" s="1"/>
  <c r="W414" i="38"/>
  <c r="B414" i="38"/>
  <c r="A414" i="38"/>
  <c r="U413" i="38"/>
  <c r="S413" i="38"/>
  <c r="P413" i="38"/>
  <c r="Q413" i="38" s="1"/>
  <c r="N413" i="38"/>
  <c r="O413" i="38" s="1"/>
  <c r="K413" i="38"/>
  <c r="L413" i="38" s="1"/>
  <c r="F413" i="38"/>
  <c r="G413" i="38" s="1"/>
  <c r="D413" i="38"/>
  <c r="E413" i="38" s="1"/>
  <c r="B413" i="38"/>
  <c r="A413" i="38"/>
  <c r="M413" i="38" s="1"/>
  <c r="U412" i="38"/>
  <c r="S412" i="38"/>
  <c r="P412" i="38"/>
  <c r="Q412" i="38" s="1"/>
  <c r="N412" i="38"/>
  <c r="O412" i="38" s="1"/>
  <c r="K412" i="38"/>
  <c r="F412" i="38"/>
  <c r="G412" i="38" s="1"/>
  <c r="D412" i="38"/>
  <c r="E412" i="38" s="1"/>
  <c r="B412" i="38"/>
  <c r="A412" i="38"/>
  <c r="M412" i="38" s="1"/>
  <c r="U411" i="38"/>
  <c r="S411" i="38"/>
  <c r="P411" i="38"/>
  <c r="Q411" i="38" s="1"/>
  <c r="N411" i="38"/>
  <c r="O411" i="38" s="1"/>
  <c r="K411" i="38"/>
  <c r="L411" i="38" s="1"/>
  <c r="F411" i="38"/>
  <c r="G411" i="38" s="1"/>
  <c r="D411" i="38"/>
  <c r="E411" i="38" s="1"/>
  <c r="B411" i="38"/>
  <c r="A411" i="38"/>
  <c r="M411" i="38" s="1"/>
  <c r="U410" i="38"/>
  <c r="S410" i="38"/>
  <c r="P410" i="38"/>
  <c r="Q410" i="38" s="1"/>
  <c r="N410" i="38"/>
  <c r="O410" i="38" s="1"/>
  <c r="K410" i="38"/>
  <c r="F410" i="38"/>
  <c r="G410" i="38" s="1"/>
  <c r="D410" i="38"/>
  <c r="E410" i="38" s="1"/>
  <c r="B410" i="38"/>
  <c r="A410" i="38"/>
  <c r="M410" i="38" s="1"/>
  <c r="Y409" i="38"/>
  <c r="Z409" i="38" s="1"/>
  <c r="W409" i="38"/>
  <c r="B409" i="38"/>
  <c r="A409" i="38"/>
  <c r="Y408" i="38"/>
  <c r="Z408" i="38" s="1"/>
  <c r="W408" i="38"/>
  <c r="B408" i="38"/>
  <c r="A408" i="38"/>
  <c r="Y407" i="38"/>
  <c r="Z407" i="38" s="1"/>
  <c r="W407" i="38"/>
  <c r="X407" i="38" s="1"/>
  <c r="B407" i="38"/>
  <c r="A407" i="38"/>
  <c r="Y406" i="38"/>
  <c r="Z406" i="38" s="1"/>
  <c r="W406" i="38"/>
  <c r="K406" i="38"/>
  <c r="L406" i="38" s="1"/>
  <c r="B406" i="38"/>
  <c r="A406" i="38"/>
  <c r="Y405" i="38"/>
  <c r="Z405" i="38" s="1"/>
  <c r="W405" i="38"/>
  <c r="X405" i="38" s="1"/>
  <c r="B405" i="38"/>
  <c r="A405" i="38"/>
  <c r="U404" i="38"/>
  <c r="S404" i="38"/>
  <c r="P404" i="38"/>
  <c r="Q404" i="38" s="1"/>
  <c r="N404" i="38"/>
  <c r="O404" i="38" s="1"/>
  <c r="K404" i="38"/>
  <c r="L404" i="38" s="1"/>
  <c r="F404" i="38"/>
  <c r="G404" i="38" s="1"/>
  <c r="D404" i="38"/>
  <c r="E404" i="38" s="1"/>
  <c r="B404" i="38"/>
  <c r="A404" i="38"/>
  <c r="M404" i="38" s="1"/>
  <c r="U403" i="38"/>
  <c r="S403" i="38"/>
  <c r="P403" i="38"/>
  <c r="Q403" i="38" s="1"/>
  <c r="N403" i="38"/>
  <c r="O403" i="38" s="1"/>
  <c r="K403" i="38"/>
  <c r="L403" i="38" s="1"/>
  <c r="F403" i="38"/>
  <c r="G403" i="38" s="1"/>
  <c r="D403" i="38"/>
  <c r="E403" i="38" s="1"/>
  <c r="B403" i="38"/>
  <c r="A403" i="38"/>
  <c r="M403" i="38" s="1"/>
  <c r="U402" i="38"/>
  <c r="S402" i="38"/>
  <c r="P402" i="38"/>
  <c r="Q402" i="38" s="1"/>
  <c r="N402" i="38"/>
  <c r="O402" i="38" s="1"/>
  <c r="K402" i="38"/>
  <c r="L402" i="38" s="1"/>
  <c r="F402" i="38"/>
  <c r="G402" i="38" s="1"/>
  <c r="D402" i="38"/>
  <c r="E402" i="38" s="1"/>
  <c r="B402" i="38"/>
  <c r="A402" i="38"/>
  <c r="M402" i="38" s="1"/>
  <c r="U401" i="38"/>
  <c r="S401" i="38"/>
  <c r="P401" i="38"/>
  <c r="Q401" i="38" s="1"/>
  <c r="N401" i="38"/>
  <c r="O401" i="38" s="1"/>
  <c r="K401" i="38"/>
  <c r="F401" i="38"/>
  <c r="G401" i="38" s="1"/>
  <c r="D401" i="38"/>
  <c r="E401" i="38" s="1"/>
  <c r="B401" i="38"/>
  <c r="A401" i="38"/>
  <c r="M401" i="38" s="1"/>
  <c r="Y400" i="38"/>
  <c r="Z400" i="38" s="1"/>
  <c r="W400" i="38"/>
  <c r="B400" i="38"/>
  <c r="A400" i="38"/>
  <c r="Y399" i="38"/>
  <c r="Z399" i="38" s="1"/>
  <c r="W399" i="38"/>
  <c r="B399" i="38"/>
  <c r="A399" i="38"/>
  <c r="Y398" i="38"/>
  <c r="Z398" i="38" s="1"/>
  <c r="W398" i="38"/>
  <c r="B398" i="38"/>
  <c r="A398" i="38"/>
  <c r="Y397" i="38"/>
  <c r="Z397" i="38" s="1"/>
  <c r="W397" i="38"/>
  <c r="K397" i="38"/>
  <c r="L397" i="38" s="1"/>
  <c r="B397" i="38"/>
  <c r="A397" i="38"/>
  <c r="Y396" i="38"/>
  <c r="Z396" i="38" s="1"/>
  <c r="W396" i="38"/>
  <c r="X396" i="38" s="1"/>
  <c r="B396" i="38"/>
  <c r="A396" i="38"/>
  <c r="U395" i="38"/>
  <c r="S395" i="38"/>
  <c r="P395" i="38"/>
  <c r="Q395" i="38" s="1"/>
  <c r="N395" i="38"/>
  <c r="O395" i="38" s="1"/>
  <c r="K395" i="38"/>
  <c r="L395" i="38" s="1"/>
  <c r="F395" i="38"/>
  <c r="G395" i="38" s="1"/>
  <c r="D395" i="38"/>
  <c r="E395" i="38" s="1"/>
  <c r="B395" i="38"/>
  <c r="A395" i="38"/>
  <c r="M395" i="38" s="1"/>
  <c r="U394" i="38"/>
  <c r="S394" i="38"/>
  <c r="P394" i="38"/>
  <c r="Q394" i="38" s="1"/>
  <c r="N394" i="38"/>
  <c r="O394" i="38" s="1"/>
  <c r="K394" i="38"/>
  <c r="F394" i="38"/>
  <c r="G394" i="38" s="1"/>
  <c r="D394" i="38"/>
  <c r="E394" i="38" s="1"/>
  <c r="B394" i="38"/>
  <c r="A394" i="38"/>
  <c r="M394" i="38" s="1"/>
  <c r="U393" i="38"/>
  <c r="S393" i="38"/>
  <c r="P393" i="38"/>
  <c r="Q393" i="38" s="1"/>
  <c r="N393" i="38"/>
  <c r="O393" i="38" s="1"/>
  <c r="K393" i="38"/>
  <c r="L393" i="38" s="1"/>
  <c r="F393" i="38"/>
  <c r="G393" i="38" s="1"/>
  <c r="D393" i="38"/>
  <c r="E393" i="38" s="1"/>
  <c r="B393" i="38"/>
  <c r="A393" i="38"/>
  <c r="M393" i="38" s="1"/>
  <c r="U392" i="38"/>
  <c r="S392" i="38"/>
  <c r="P392" i="38"/>
  <c r="Q392" i="38" s="1"/>
  <c r="N392" i="38"/>
  <c r="O392" i="38" s="1"/>
  <c r="K392" i="38"/>
  <c r="F392" i="38"/>
  <c r="G392" i="38" s="1"/>
  <c r="D392" i="38"/>
  <c r="E392" i="38" s="1"/>
  <c r="B392" i="38"/>
  <c r="A392" i="38"/>
  <c r="M392" i="38" s="1"/>
  <c r="Y391" i="38"/>
  <c r="Z391" i="38" s="1"/>
  <c r="W391" i="38"/>
  <c r="B391" i="38"/>
  <c r="A391" i="38"/>
  <c r="Y390" i="38"/>
  <c r="Z390" i="38" s="1"/>
  <c r="W390" i="38"/>
  <c r="X390" i="38" s="1"/>
  <c r="B390" i="38"/>
  <c r="A390" i="38"/>
  <c r="Y389" i="38"/>
  <c r="Z389" i="38" s="1"/>
  <c r="W389" i="38"/>
  <c r="B389" i="38"/>
  <c r="A389" i="38"/>
  <c r="Y388" i="38"/>
  <c r="Z388" i="38" s="1"/>
  <c r="W388" i="38"/>
  <c r="K388" i="38"/>
  <c r="L388" i="38" s="1"/>
  <c r="B388" i="38"/>
  <c r="A388" i="38"/>
  <c r="Y387" i="38"/>
  <c r="Z387" i="38" s="1"/>
  <c r="W387" i="38"/>
  <c r="B387" i="38"/>
  <c r="A387" i="38"/>
  <c r="U386" i="38"/>
  <c r="S386" i="38"/>
  <c r="P386" i="38"/>
  <c r="Q386" i="38" s="1"/>
  <c r="N386" i="38"/>
  <c r="O386" i="38" s="1"/>
  <c r="K386" i="38"/>
  <c r="L386" i="38" s="1"/>
  <c r="F386" i="38"/>
  <c r="G386" i="38" s="1"/>
  <c r="D386" i="38"/>
  <c r="E386" i="38" s="1"/>
  <c r="B386" i="38"/>
  <c r="A386" i="38"/>
  <c r="M386" i="38" s="1"/>
  <c r="U385" i="38"/>
  <c r="S385" i="38"/>
  <c r="P385" i="38"/>
  <c r="Q385" i="38" s="1"/>
  <c r="N385" i="38"/>
  <c r="O385" i="38" s="1"/>
  <c r="K385" i="38"/>
  <c r="F385" i="38"/>
  <c r="G385" i="38" s="1"/>
  <c r="D385" i="38"/>
  <c r="E385" i="38" s="1"/>
  <c r="B385" i="38"/>
  <c r="A385" i="38"/>
  <c r="M385" i="38" s="1"/>
  <c r="U384" i="38"/>
  <c r="S384" i="38"/>
  <c r="P384" i="38"/>
  <c r="Q384" i="38" s="1"/>
  <c r="N384" i="38"/>
  <c r="O384" i="38" s="1"/>
  <c r="K384" i="38"/>
  <c r="L384" i="38" s="1"/>
  <c r="F384" i="38"/>
  <c r="G384" i="38" s="1"/>
  <c r="D384" i="38"/>
  <c r="E384" i="38" s="1"/>
  <c r="B384" i="38"/>
  <c r="A384" i="38"/>
  <c r="M384" i="38" s="1"/>
  <c r="U383" i="38"/>
  <c r="S383" i="38"/>
  <c r="P383" i="38"/>
  <c r="Q383" i="38" s="1"/>
  <c r="N383" i="38"/>
  <c r="O383" i="38" s="1"/>
  <c r="K383" i="38"/>
  <c r="L383" i="38" s="1"/>
  <c r="F383" i="38"/>
  <c r="G383" i="38" s="1"/>
  <c r="D383" i="38"/>
  <c r="E383" i="38" s="1"/>
  <c r="B383" i="38"/>
  <c r="A383" i="38"/>
  <c r="M383" i="38" s="1"/>
  <c r="Y382" i="38"/>
  <c r="Z382" i="38" s="1"/>
  <c r="W382" i="38"/>
  <c r="B382" i="38"/>
  <c r="A382" i="38"/>
  <c r="Y381" i="38"/>
  <c r="Z381" i="38" s="1"/>
  <c r="W381" i="38"/>
  <c r="X381" i="38" s="1"/>
  <c r="B381" i="38"/>
  <c r="A381" i="38"/>
  <c r="Y380" i="38"/>
  <c r="Z380" i="38" s="1"/>
  <c r="W380" i="38"/>
  <c r="B380" i="38"/>
  <c r="A380" i="38"/>
  <c r="Y379" i="38"/>
  <c r="Z379" i="38" s="1"/>
  <c r="W379" i="38"/>
  <c r="K379" i="38"/>
  <c r="L379" i="38" s="1"/>
  <c r="B379" i="38"/>
  <c r="A379" i="38"/>
  <c r="Y378" i="38"/>
  <c r="Z378" i="38" s="1"/>
  <c r="W378" i="38"/>
  <c r="B378" i="38"/>
  <c r="A378" i="38"/>
  <c r="U377" i="38"/>
  <c r="S377" i="38"/>
  <c r="P377" i="38"/>
  <c r="Q377" i="38" s="1"/>
  <c r="N377" i="38"/>
  <c r="O377" i="38" s="1"/>
  <c r="K377" i="38"/>
  <c r="L377" i="38" s="1"/>
  <c r="F377" i="38"/>
  <c r="G377" i="38" s="1"/>
  <c r="D377" i="38"/>
  <c r="E377" i="38" s="1"/>
  <c r="B377" i="38"/>
  <c r="A377" i="38"/>
  <c r="M377" i="38" s="1"/>
  <c r="U376" i="38"/>
  <c r="S376" i="38"/>
  <c r="P376" i="38"/>
  <c r="Q376" i="38" s="1"/>
  <c r="N376" i="38"/>
  <c r="O376" i="38" s="1"/>
  <c r="K376" i="38"/>
  <c r="L376" i="38" s="1"/>
  <c r="F376" i="38"/>
  <c r="G376" i="38" s="1"/>
  <c r="D376" i="38"/>
  <c r="E376" i="38" s="1"/>
  <c r="B376" i="38"/>
  <c r="A376" i="38"/>
  <c r="M376" i="38" s="1"/>
  <c r="U375" i="38"/>
  <c r="S375" i="38"/>
  <c r="P375" i="38"/>
  <c r="Q375" i="38" s="1"/>
  <c r="N375" i="38"/>
  <c r="O375" i="38" s="1"/>
  <c r="K375" i="38"/>
  <c r="L375" i="38" s="1"/>
  <c r="F375" i="38"/>
  <c r="G375" i="38" s="1"/>
  <c r="D375" i="38"/>
  <c r="E375" i="38" s="1"/>
  <c r="B375" i="38"/>
  <c r="A375" i="38"/>
  <c r="M375" i="38" s="1"/>
  <c r="U374" i="38"/>
  <c r="S374" i="38"/>
  <c r="P374" i="38"/>
  <c r="Q374" i="38" s="1"/>
  <c r="N374" i="38"/>
  <c r="O374" i="38" s="1"/>
  <c r="K374" i="38"/>
  <c r="L374" i="38" s="1"/>
  <c r="F374" i="38"/>
  <c r="G374" i="38" s="1"/>
  <c r="D374" i="38"/>
  <c r="E374" i="38" s="1"/>
  <c r="B374" i="38"/>
  <c r="A374" i="38"/>
  <c r="M374" i="38" s="1"/>
  <c r="Y373" i="38"/>
  <c r="Z373" i="38" s="1"/>
  <c r="W373" i="38"/>
  <c r="X373" i="38" s="1"/>
  <c r="B373" i="38"/>
  <c r="A373" i="38"/>
  <c r="Y372" i="38"/>
  <c r="Z372" i="38" s="1"/>
  <c r="W372" i="38"/>
  <c r="B372" i="38"/>
  <c r="A372" i="38"/>
  <c r="Y371" i="38"/>
  <c r="Z371" i="38" s="1"/>
  <c r="W371" i="38"/>
  <c r="X371" i="38" s="1"/>
  <c r="B371" i="38"/>
  <c r="A371" i="38"/>
  <c r="Y370" i="38"/>
  <c r="Z370" i="38" s="1"/>
  <c r="W370" i="38"/>
  <c r="K370" i="38"/>
  <c r="L370" i="38" s="1"/>
  <c r="B370" i="38"/>
  <c r="A370" i="38"/>
  <c r="Y369" i="38"/>
  <c r="Z369" i="38" s="1"/>
  <c r="W369" i="38"/>
  <c r="B369" i="38"/>
  <c r="A369" i="38"/>
  <c r="U368" i="38"/>
  <c r="S368" i="38"/>
  <c r="P368" i="38"/>
  <c r="Q368" i="38" s="1"/>
  <c r="N368" i="38"/>
  <c r="O368" i="38" s="1"/>
  <c r="K368" i="38"/>
  <c r="L368" i="38" s="1"/>
  <c r="F368" i="38"/>
  <c r="G368" i="38" s="1"/>
  <c r="D368" i="38"/>
  <c r="E368" i="38" s="1"/>
  <c r="B368" i="38"/>
  <c r="A368" i="38"/>
  <c r="M368" i="38" s="1"/>
  <c r="U367" i="38"/>
  <c r="S367" i="38"/>
  <c r="P367" i="38"/>
  <c r="Q367" i="38" s="1"/>
  <c r="N367" i="38"/>
  <c r="O367" i="38" s="1"/>
  <c r="K367" i="38"/>
  <c r="F367" i="38"/>
  <c r="G367" i="38" s="1"/>
  <c r="D367" i="38"/>
  <c r="E367" i="38" s="1"/>
  <c r="B367" i="38"/>
  <c r="A367" i="38"/>
  <c r="M367" i="38" s="1"/>
  <c r="U366" i="38"/>
  <c r="S366" i="38"/>
  <c r="P366" i="38"/>
  <c r="Q366" i="38" s="1"/>
  <c r="N366" i="38"/>
  <c r="O366" i="38" s="1"/>
  <c r="K366" i="38"/>
  <c r="L366" i="38" s="1"/>
  <c r="F366" i="38"/>
  <c r="G366" i="38" s="1"/>
  <c r="D366" i="38"/>
  <c r="E366" i="38" s="1"/>
  <c r="B366" i="38"/>
  <c r="A366" i="38"/>
  <c r="M366" i="38" s="1"/>
  <c r="U365" i="38"/>
  <c r="S365" i="38"/>
  <c r="P365" i="38"/>
  <c r="Q365" i="38" s="1"/>
  <c r="N365" i="38"/>
  <c r="O365" i="38" s="1"/>
  <c r="K365" i="38"/>
  <c r="F365" i="38"/>
  <c r="G365" i="38" s="1"/>
  <c r="D365" i="38"/>
  <c r="E365" i="38" s="1"/>
  <c r="B365" i="38"/>
  <c r="A365" i="38"/>
  <c r="M365" i="38" s="1"/>
  <c r="Y364" i="38"/>
  <c r="Z364" i="38" s="1"/>
  <c r="W364" i="38"/>
  <c r="X364" i="38" s="1"/>
  <c r="B364" i="38"/>
  <c r="A364" i="38"/>
  <c r="Y363" i="38"/>
  <c r="Z363" i="38" s="1"/>
  <c r="W363" i="38"/>
  <c r="B363" i="38"/>
  <c r="A363" i="38"/>
  <c r="Y362" i="38"/>
  <c r="Z362" i="38" s="1"/>
  <c r="W362" i="38"/>
  <c r="B362" i="38"/>
  <c r="A362" i="38"/>
  <c r="Y361" i="38"/>
  <c r="Z361" i="38" s="1"/>
  <c r="W361" i="38"/>
  <c r="K361" i="38"/>
  <c r="L361" i="38" s="1"/>
  <c r="B361" i="38"/>
  <c r="A361" i="38"/>
  <c r="Y360" i="38"/>
  <c r="Z360" i="38" s="1"/>
  <c r="W360" i="38"/>
  <c r="X360" i="38" s="1"/>
  <c r="B360" i="38"/>
  <c r="A360" i="38"/>
  <c r="U359" i="38"/>
  <c r="S359" i="38"/>
  <c r="P359" i="38"/>
  <c r="Q359" i="38" s="1"/>
  <c r="N359" i="38"/>
  <c r="O359" i="38" s="1"/>
  <c r="K359" i="38"/>
  <c r="L359" i="38" s="1"/>
  <c r="F359" i="38"/>
  <c r="G359" i="38" s="1"/>
  <c r="D359" i="38"/>
  <c r="E359" i="38" s="1"/>
  <c r="B359" i="38"/>
  <c r="A359" i="38"/>
  <c r="M359" i="38" s="1"/>
  <c r="U358" i="38"/>
  <c r="S358" i="38"/>
  <c r="P358" i="38"/>
  <c r="Q358" i="38" s="1"/>
  <c r="N358" i="38"/>
  <c r="O358" i="38" s="1"/>
  <c r="K358" i="38"/>
  <c r="F358" i="38"/>
  <c r="G358" i="38" s="1"/>
  <c r="D358" i="38"/>
  <c r="E358" i="38" s="1"/>
  <c r="B358" i="38"/>
  <c r="A358" i="38"/>
  <c r="M358" i="38" s="1"/>
  <c r="U357" i="38"/>
  <c r="S357" i="38"/>
  <c r="P357" i="38"/>
  <c r="Q357" i="38" s="1"/>
  <c r="N357" i="38"/>
  <c r="O357" i="38" s="1"/>
  <c r="K357" i="38"/>
  <c r="L357" i="38" s="1"/>
  <c r="F357" i="38"/>
  <c r="G357" i="38" s="1"/>
  <c r="D357" i="38"/>
  <c r="E357" i="38" s="1"/>
  <c r="B357" i="38"/>
  <c r="A357" i="38"/>
  <c r="M357" i="38" s="1"/>
  <c r="U356" i="38"/>
  <c r="S356" i="38"/>
  <c r="P356" i="38"/>
  <c r="Q356" i="38" s="1"/>
  <c r="N356" i="38"/>
  <c r="O356" i="38" s="1"/>
  <c r="K356" i="38"/>
  <c r="F356" i="38"/>
  <c r="G356" i="38" s="1"/>
  <c r="D356" i="38"/>
  <c r="E356" i="38" s="1"/>
  <c r="B356" i="38"/>
  <c r="A356" i="38"/>
  <c r="M356" i="38" s="1"/>
  <c r="Y355" i="38"/>
  <c r="Z355" i="38" s="1"/>
  <c r="W355" i="38"/>
  <c r="B355" i="38"/>
  <c r="A355" i="38"/>
  <c r="Y354" i="38"/>
  <c r="Z354" i="38" s="1"/>
  <c r="W354" i="38"/>
  <c r="B354" i="38"/>
  <c r="A354" i="38"/>
  <c r="Y353" i="38"/>
  <c r="Z353" i="38" s="1"/>
  <c r="W353" i="38"/>
  <c r="B353" i="38"/>
  <c r="A353" i="38"/>
  <c r="Y352" i="38"/>
  <c r="Z352" i="38" s="1"/>
  <c r="W352" i="38"/>
  <c r="K352" i="38"/>
  <c r="L352" i="38" s="1"/>
  <c r="B352" i="38"/>
  <c r="A352" i="38"/>
  <c r="Y351" i="38"/>
  <c r="Z351" i="38" s="1"/>
  <c r="W351" i="38"/>
  <c r="B351" i="38"/>
  <c r="A351" i="38"/>
  <c r="U350" i="38"/>
  <c r="S350" i="38"/>
  <c r="P350" i="38"/>
  <c r="Q350" i="38" s="1"/>
  <c r="N350" i="38"/>
  <c r="O350" i="38" s="1"/>
  <c r="K350" i="38"/>
  <c r="L350" i="38" s="1"/>
  <c r="F350" i="38"/>
  <c r="G350" i="38" s="1"/>
  <c r="D350" i="38"/>
  <c r="E350" i="38" s="1"/>
  <c r="B350" i="38"/>
  <c r="A350" i="38"/>
  <c r="M350" i="38" s="1"/>
  <c r="U349" i="38"/>
  <c r="S349" i="38"/>
  <c r="P349" i="38"/>
  <c r="Q349" i="38" s="1"/>
  <c r="N349" i="38"/>
  <c r="O349" i="38" s="1"/>
  <c r="K349" i="38"/>
  <c r="F349" i="38"/>
  <c r="G349" i="38" s="1"/>
  <c r="D349" i="38"/>
  <c r="E349" i="38" s="1"/>
  <c r="B349" i="38"/>
  <c r="A349" i="38"/>
  <c r="M349" i="38" s="1"/>
  <c r="U348" i="38"/>
  <c r="S348" i="38"/>
  <c r="P348" i="38"/>
  <c r="Q348" i="38" s="1"/>
  <c r="N348" i="38"/>
  <c r="O348" i="38" s="1"/>
  <c r="K348" i="38"/>
  <c r="L348" i="38" s="1"/>
  <c r="F348" i="38"/>
  <c r="G348" i="38" s="1"/>
  <c r="D348" i="38"/>
  <c r="E348" i="38" s="1"/>
  <c r="B348" i="38"/>
  <c r="A348" i="38"/>
  <c r="M348" i="38" s="1"/>
  <c r="U347" i="38"/>
  <c r="S347" i="38"/>
  <c r="P347" i="38"/>
  <c r="Q347" i="38" s="1"/>
  <c r="N347" i="38"/>
  <c r="O347" i="38" s="1"/>
  <c r="K347" i="38"/>
  <c r="F347" i="38"/>
  <c r="G347" i="38" s="1"/>
  <c r="D347" i="38"/>
  <c r="E347" i="38" s="1"/>
  <c r="B347" i="38"/>
  <c r="A347" i="38"/>
  <c r="M347" i="38" s="1"/>
  <c r="Y346" i="38"/>
  <c r="Z346" i="38" s="1"/>
  <c r="W346" i="38"/>
  <c r="B346" i="38"/>
  <c r="A346" i="38"/>
  <c r="Y345" i="38"/>
  <c r="Z345" i="38" s="1"/>
  <c r="W345" i="38"/>
  <c r="X345" i="38" s="1"/>
  <c r="B345" i="38"/>
  <c r="A345" i="38"/>
  <c r="Y344" i="38"/>
  <c r="Z344" i="38" s="1"/>
  <c r="W344" i="38"/>
  <c r="B344" i="38"/>
  <c r="A344" i="38"/>
  <c r="Y343" i="38"/>
  <c r="Z343" i="38" s="1"/>
  <c r="W343" i="38"/>
  <c r="X343" i="38" s="1"/>
  <c r="K343" i="38"/>
  <c r="L343" i="38" s="1"/>
  <c r="B343" i="38"/>
  <c r="A343" i="38"/>
  <c r="Y342" i="38"/>
  <c r="Z342" i="38" s="1"/>
  <c r="W342" i="38"/>
  <c r="X342" i="38" s="1"/>
  <c r="B342" i="38"/>
  <c r="A342" i="38"/>
  <c r="U341" i="38"/>
  <c r="S341" i="38"/>
  <c r="P341" i="38"/>
  <c r="Q341" i="38" s="1"/>
  <c r="N341" i="38"/>
  <c r="O341" i="38" s="1"/>
  <c r="K341" i="38"/>
  <c r="L341" i="38" s="1"/>
  <c r="F341" i="38"/>
  <c r="G341" i="38" s="1"/>
  <c r="D341" i="38"/>
  <c r="E341" i="38" s="1"/>
  <c r="B341" i="38"/>
  <c r="A341" i="38"/>
  <c r="M341" i="38" s="1"/>
  <c r="U340" i="38"/>
  <c r="S340" i="38"/>
  <c r="P340" i="38"/>
  <c r="Q340" i="38" s="1"/>
  <c r="N340" i="38"/>
  <c r="O340" i="38" s="1"/>
  <c r="K340" i="38"/>
  <c r="L340" i="38" s="1"/>
  <c r="F340" i="38"/>
  <c r="G340" i="38" s="1"/>
  <c r="D340" i="38"/>
  <c r="E340" i="38" s="1"/>
  <c r="B340" i="38"/>
  <c r="A340" i="38"/>
  <c r="M340" i="38" s="1"/>
  <c r="U339" i="38"/>
  <c r="S339" i="38"/>
  <c r="P339" i="38"/>
  <c r="Q339" i="38" s="1"/>
  <c r="N339" i="38"/>
  <c r="O339" i="38" s="1"/>
  <c r="K339" i="38"/>
  <c r="L339" i="38" s="1"/>
  <c r="F339" i="38"/>
  <c r="G339" i="38" s="1"/>
  <c r="D339" i="38"/>
  <c r="E339" i="38" s="1"/>
  <c r="B339" i="38"/>
  <c r="A339" i="38"/>
  <c r="M339" i="38" s="1"/>
  <c r="U338" i="38"/>
  <c r="S338" i="38"/>
  <c r="P338" i="38"/>
  <c r="Q338" i="38" s="1"/>
  <c r="N338" i="38"/>
  <c r="O338" i="38" s="1"/>
  <c r="K338" i="38"/>
  <c r="L338" i="38" s="1"/>
  <c r="F338" i="38"/>
  <c r="G338" i="38" s="1"/>
  <c r="D338" i="38"/>
  <c r="E338" i="38" s="1"/>
  <c r="B338" i="38"/>
  <c r="A338" i="38"/>
  <c r="M338" i="38" s="1"/>
  <c r="Y337" i="38"/>
  <c r="Z337" i="38" s="1"/>
  <c r="W337" i="38"/>
  <c r="X337" i="38" s="1"/>
  <c r="B337" i="38"/>
  <c r="A337" i="38"/>
  <c r="Y336" i="38"/>
  <c r="Z336" i="38" s="1"/>
  <c r="W336" i="38"/>
  <c r="X336" i="38" s="1"/>
  <c r="B336" i="38"/>
  <c r="A336" i="38"/>
  <c r="Y335" i="38"/>
  <c r="Z335" i="38" s="1"/>
  <c r="W335" i="38"/>
  <c r="X335" i="38" s="1"/>
  <c r="B335" i="38"/>
  <c r="A335" i="38"/>
  <c r="Y334" i="38"/>
  <c r="Z334" i="38" s="1"/>
  <c r="W334" i="38"/>
  <c r="X334" i="38" s="1"/>
  <c r="K334" i="38"/>
  <c r="L334" i="38" s="1"/>
  <c r="B334" i="38"/>
  <c r="A334" i="38"/>
  <c r="Y333" i="38"/>
  <c r="Z333" i="38" s="1"/>
  <c r="W333" i="38"/>
  <c r="B333" i="38"/>
  <c r="A333" i="38"/>
  <c r="U332" i="38"/>
  <c r="S332" i="38"/>
  <c r="P332" i="38"/>
  <c r="Q332" i="38" s="1"/>
  <c r="N332" i="38"/>
  <c r="O332" i="38" s="1"/>
  <c r="K332" i="38"/>
  <c r="L332" i="38" s="1"/>
  <c r="F332" i="38"/>
  <c r="G332" i="38" s="1"/>
  <c r="D332" i="38"/>
  <c r="E332" i="38" s="1"/>
  <c r="B332" i="38"/>
  <c r="A332" i="38"/>
  <c r="M332" i="38" s="1"/>
  <c r="U331" i="38"/>
  <c r="S331" i="38"/>
  <c r="P331" i="38"/>
  <c r="Q331" i="38" s="1"/>
  <c r="N331" i="38"/>
  <c r="O331" i="38" s="1"/>
  <c r="K331" i="38"/>
  <c r="L331" i="38" s="1"/>
  <c r="F331" i="38"/>
  <c r="G331" i="38" s="1"/>
  <c r="D331" i="38"/>
  <c r="E331" i="38" s="1"/>
  <c r="B331" i="38"/>
  <c r="A331" i="38"/>
  <c r="M331" i="38" s="1"/>
  <c r="U330" i="38"/>
  <c r="S330" i="38"/>
  <c r="P330" i="38"/>
  <c r="Q330" i="38" s="1"/>
  <c r="N330" i="38"/>
  <c r="O330" i="38" s="1"/>
  <c r="K330" i="38"/>
  <c r="L330" i="38" s="1"/>
  <c r="F330" i="38"/>
  <c r="G330" i="38" s="1"/>
  <c r="D330" i="38"/>
  <c r="E330" i="38" s="1"/>
  <c r="B330" i="38"/>
  <c r="A330" i="38"/>
  <c r="M330" i="38" s="1"/>
  <c r="U329" i="38"/>
  <c r="S329" i="38"/>
  <c r="P329" i="38"/>
  <c r="Q329" i="38" s="1"/>
  <c r="N329" i="38"/>
  <c r="O329" i="38" s="1"/>
  <c r="K329" i="38"/>
  <c r="L329" i="38" s="1"/>
  <c r="F329" i="38"/>
  <c r="G329" i="38" s="1"/>
  <c r="D329" i="38"/>
  <c r="E329" i="38" s="1"/>
  <c r="B329" i="38"/>
  <c r="A329" i="38"/>
  <c r="M329" i="38" s="1"/>
  <c r="Y328" i="38"/>
  <c r="Z328" i="38" s="1"/>
  <c r="W328" i="38"/>
  <c r="B328" i="38"/>
  <c r="A328" i="38"/>
  <c r="Y327" i="38"/>
  <c r="Z327" i="38" s="1"/>
  <c r="W327" i="38"/>
  <c r="X327" i="38" s="1"/>
  <c r="B327" i="38"/>
  <c r="A327" i="38"/>
  <c r="Y326" i="38"/>
  <c r="Z326" i="38" s="1"/>
  <c r="W326" i="38"/>
  <c r="B326" i="38"/>
  <c r="A326" i="38"/>
  <c r="Y325" i="38"/>
  <c r="Z325" i="38" s="1"/>
  <c r="W325" i="38"/>
  <c r="X325" i="38" s="1"/>
  <c r="K325" i="38"/>
  <c r="L325" i="38" s="1"/>
  <c r="B325" i="38"/>
  <c r="A325" i="38"/>
  <c r="Y324" i="38"/>
  <c r="Z324" i="38" s="1"/>
  <c r="W324" i="38"/>
  <c r="X324" i="38" s="1"/>
  <c r="B324" i="38"/>
  <c r="A324" i="38"/>
  <c r="U323" i="38"/>
  <c r="S323" i="38"/>
  <c r="P323" i="38"/>
  <c r="Q323" i="38" s="1"/>
  <c r="N323" i="38"/>
  <c r="O323" i="38" s="1"/>
  <c r="K323" i="38"/>
  <c r="L323" i="38" s="1"/>
  <c r="F323" i="38"/>
  <c r="G323" i="38" s="1"/>
  <c r="D323" i="38"/>
  <c r="E323" i="38" s="1"/>
  <c r="B323" i="38"/>
  <c r="A323" i="38"/>
  <c r="M323" i="38" s="1"/>
  <c r="U322" i="38"/>
  <c r="S322" i="38"/>
  <c r="P322" i="38"/>
  <c r="Q322" i="38" s="1"/>
  <c r="N322" i="38"/>
  <c r="O322" i="38" s="1"/>
  <c r="K322" i="38"/>
  <c r="L322" i="38" s="1"/>
  <c r="F322" i="38"/>
  <c r="G322" i="38" s="1"/>
  <c r="D322" i="38"/>
  <c r="E322" i="38" s="1"/>
  <c r="B322" i="38"/>
  <c r="A322" i="38"/>
  <c r="M322" i="38" s="1"/>
  <c r="U321" i="38"/>
  <c r="S321" i="38"/>
  <c r="P321" i="38"/>
  <c r="Q321" i="38" s="1"/>
  <c r="N321" i="38"/>
  <c r="O321" i="38" s="1"/>
  <c r="K321" i="38"/>
  <c r="L321" i="38" s="1"/>
  <c r="F321" i="38"/>
  <c r="G321" i="38" s="1"/>
  <c r="D321" i="38"/>
  <c r="E321" i="38" s="1"/>
  <c r="B321" i="38"/>
  <c r="A321" i="38"/>
  <c r="M321" i="38" s="1"/>
  <c r="U320" i="38"/>
  <c r="S320" i="38"/>
  <c r="P320" i="38"/>
  <c r="Q320" i="38" s="1"/>
  <c r="N320" i="38"/>
  <c r="O320" i="38" s="1"/>
  <c r="K320" i="38"/>
  <c r="L320" i="38" s="1"/>
  <c r="F320" i="38"/>
  <c r="G320" i="38" s="1"/>
  <c r="D320" i="38"/>
  <c r="E320" i="38" s="1"/>
  <c r="B320" i="38"/>
  <c r="A320" i="38"/>
  <c r="M320" i="38" s="1"/>
  <c r="Y319" i="38"/>
  <c r="Z319" i="38" s="1"/>
  <c r="W319" i="38"/>
  <c r="X319" i="38" s="1"/>
  <c r="B319" i="38"/>
  <c r="A319" i="38"/>
  <c r="Y318" i="38"/>
  <c r="Z318" i="38" s="1"/>
  <c r="W318" i="38"/>
  <c r="B318" i="38"/>
  <c r="A318" i="38"/>
  <c r="Y317" i="38"/>
  <c r="Z317" i="38" s="1"/>
  <c r="W317" i="38"/>
  <c r="X317" i="38" s="1"/>
  <c r="B317" i="38"/>
  <c r="A317" i="38"/>
  <c r="Y316" i="38"/>
  <c r="Z316" i="38" s="1"/>
  <c r="W316" i="38"/>
  <c r="K316" i="38"/>
  <c r="L316" i="38" s="1"/>
  <c r="B316" i="38"/>
  <c r="A316" i="38"/>
  <c r="Y315" i="38"/>
  <c r="Z315" i="38" s="1"/>
  <c r="W315" i="38"/>
  <c r="B315" i="38"/>
  <c r="A315" i="38"/>
  <c r="U314" i="38"/>
  <c r="S314" i="38"/>
  <c r="P314" i="38"/>
  <c r="Q314" i="38" s="1"/>
  <c r="N314" i="38"/>
  <c r="O314" i="38" s="1"/>
  <c r="K314" i="38"/>
  <c r="L314" i="38" s="1"/>
  <c r="F314" i="38"/>
  <c r="G314" i="38" s="1"/>
  <c r="D314" i="38"/>
  <c r="E314" i="38" s="1"/>
  <c r="B314" i="38"/>
  <c r="A314" i="38"/>
  <c r="M314" i="38" s="1"/>
  <c r="U313" i="38"/>
  <c r="S313" i="38"/>
  <c r="P313" i="38"/>
  <c r="Q313" i="38" s="1"/>
  <c r="N313" i="38"/>
  <c r="O313" i="38" s="1"/>
  <c r="K313" i="38"/>
  <c r="L313" i="38" s="1"/>
  <c r="F313" i="38"/>
  <c r="G313" i="38" s="1"/>
  <c r="D313" i="38"/>
  <c r="E313" i="38" s="1"/>
  <c r="B313" i="38"/>
  <c r="A313" i="38"/>
  <c r="M313" i="38" s="1"/>
  <c r="U312" i="38"/>
  <c r="S312" i="38"/>
  <c r="P312" i="38"/>
  <c r="Q312" i="38" s="1"/>
  <c r="N312" i="38"/>
  <c r="O312" i="38" s="1"/>
  <c r="K312" i="38"/>
  <c r="L312" i="38" s="1"/>
  <c r="F312" i="38"/>
  <c r="G312" i="38" s="1"/>
  <c r="D312" i="38"/>
  <c r="E312" i="38" s="1"/>
  <c r="B312" i="38"/>
  <c r="A312" i="38"/>
  <c r="M312" i="38" s="1"/>
  <c r="U311" i="38"/>
  <c r="S311" i="38"/>
  <c r="P311" i="38"/>
  <c r="Q311" i="38" s="1"/>
  <c r="N311" i="38"/>
  <c r="O311" i="38" s="1"/>
  <c r="K311" i="38"/>
  <c r="L311" i="38" s="1"/>
  <c r="F311" i="38"/>
  <c r="G311" i="38" s="1"/>
  <c r="D311" i="38"/>
  <c r="E311" i="38" s="1"/>
  <c r="B311" i="38"/>
  <c r="A311" i="38"/>
  <c r="M311" i="38" s="1"/>
  <c r="Y310" i="38"/>
  <c r="Z310" i="38" s="1"/>
  <c r="W310" i="38"/>
  <c r="X310" i="38" s="1"/>
  <c r="B310" i="38"/>
  <c r="A310" i="38"/>
  <c r="Y309" i="38"/>
  <c r="Z309" i="38" s="1"/>
  <c r="W309" i="38"/>
  <c r="B309" i="38"/>
  <c r="A309" i="38"/>
  <c r="Y308" i="38"/>
  <c r="Z308" i="38" s="1"/>
  <c r="W308" i="38"/>
  <c r="X308" i="38" s="1"/>
  <c r="B308" i="38"/>
  <c r="A308" i="38"/>
  <c r="Y307" i="38"/>
  <c r="Z307" i="38" s="1"/>
  <c r="W307" i="38"/>
  <c r="K307" i="38"/>
  <c r="L307" i="38" s="1"/>
  <c r="B307" i="38"/>
  <c r="A307" i="38"/>
  <c r="Y306" i="38"/>
  <c r="Z306" i="38" s="1"/>
  <c r="W306" i="38"/>
  <c r="B306" i="38"/>
  <c r="A306" i="38"/>
  <c r="U305" i="38"/>
  <c r="S305" i="38"/>
  <c r="P305" i="38"/>
  <c r="Q305" i="38" s="1"/>
  <c r="N305" i="38"/>
  <c r="O305" i="38" s="1"/>
  <c r="K305" i="38"/>
  <c r="L305" i="38" s="1"/>
  <c r="F305" i="38"/>
  <c r="G305" i="38" s="1"/>
  <c r="D305" i="38"/>
  <c r="E305" i="38" s="1"/>
  <c r="B305" i="38"/>
  <c r="A305" i="38"/>
  <c r="M305" i="38" s="1"/>
  <c r="U304" i="38"/>
  <c r="S304" i="38"/>
  <c r="P304" i="38"/>
  <c r="Q304" i="38" s="1"/>
  <c r="N304" i="38"/>
  <c r="O304" i="38" s="1"/>
  <c r="K304" i="38"/>
  <c r="L304" i="38" s="1"/>
  <c r="F304" i="38"/>
  <c r="G304" i="38" s="1"/>
  <c r="D304" i="38"/>
  <c r="E304" i="38" s="1"/>
  <c r="B304" i="38"/>
  <c r="A304" i="38"/>
  <c r="M304" i="38" s="1"/>
  <c r="U303" i="38"/>
  <c r="S303" i="38"/>
  <c r="P303" i="38"/>
  <c r="Q303" i="38" s="1"/>
  <c r="N303" i="38"/>
  <c r="O303" i="38" s="1"/>
  <c r="K303" i="38"/>
  <c r="L303" i="38" s="1"/>
  <c r="F303" i="38"/>
  <c r="G303" i="38" s="1"/>
  <c r="D303" i="38"/>
  <c r="E303" i="38" s="1"/>
  <c r="B303" i="38"/>
  <c r="A303" i="38"/>
  <c r="M303" i="38" s="1"/>
  <c r="U302" i="38"/>
  <c r="S302" i="38"/>
  <c r="P302" i="38"/>
  <c r="Q302" i="38" s="1"/>
  <c r="N302" i="38"/>
  <c r="O302" i="38" s="1"/>
  <c r="K302" i="38"/>
  <c r="L302" i="38" s="1"/>
  <c r="F302" i="38"/>
  <c r="G302" i="38" s="1"/>
  <c r="D302" i="38"/>
  <c r="E302" i="38" s="1"/>
  <c r="B302" i="38"/>
  <c r="A302" i="38"/>
  <c r="M302" i="38" s="1"/>
  <c r="Y301" i="38"/>
  <c r="Z301" i="38" s="1"/>
  <c r="W301" i="38"/>
  <c r="B301" i="38"/>
  <c r="A301" i="38"/>
  <c r="Y300" i="38"/>
  <c r="Z300" i="38" s="1"/>
  <c r="W300" i="38"/>
  <c r="B300" i="38"/>
  <c r="A300" i="38"/>
  <c r="Y299" i="38"/>
  <c r="Z299" i="38" s="1"/>
  <c r="W299" i="38"/>
  <c r="B299" i="38"/>
  <c r="A299" i="38"/>
  <c r="Y298" i="38"/>
  <c r="Z298" i="38" s="1"/>
  <c r="W298" i="38"/>
  <c r="K298" i="38"/>
  <c r="L298" i="38" s="1"/>
  <c r="B298" i="38"/>
  <c r="A298" i="38"/>
  <c r="Y297" i="38"/>
  <c r="Z297" i="38" s="1"/>
  <c r="W297" i="38"/>
  <c r="X297" i="38" s="1"/>
  <c r="B297" i="38"/>
  <c r="A297" i="38"/>
  <c r="U296" i="38"/>
  <c r="S296" i="38"/>
  <c r="P296" i="38"/>
  <c r="Q296" i="38" s="1"/>
  <c r="N296" i="38"/>
  <c r="O296" i="38" s="1"/>
  <c r="K296" i="38"/>
  <c r="L296" i="38" s="1"/>
  <c r="F296" i="38"/>
  <c r="G296" i="38" s="1"/>
  <c r="D296" i="38"/>
  <c r="E296" i="38" s="1"/>
  <c r="B296" i="38"/>
  <c r="A296" i="38"/>
  <c r="M296" i="38" s="1"/>
  <c r="U295" i="38"/>
  <c r="S295" i="38"/>
  <c r="P295" i="38"/>
  <c r="Q295" i="38" s="1"/>
  <c r="N295" i="38"/>
  <c r="O295" i="38" s="1"/>
  <c r="K295" i="38"/>
  <c r="L295" i="38" s="1"/>
  <c r="F295" i="38"/>
  <c r="G295" i="38" s="1"/>
  <c r="D295" i="38"/>
  <c r="E295" i="38" s="1"/>
  <c r="B295" i="38"/>
  <c r="A295" i="38"/>
  <c r="M295" i="38" s="1"/>
  <c r="U294" i="38"/>
  <c r="S294" i="38"/>
  <c r="P294" i="38"/>
  <c r="Q294" i="38" s="1"/>
  <c r="N294" i="38"/>
  <c r="O294" i="38" s="1"/>
  <c r="K294" i="38"/>
  <c r="L294" i="38" s="1"/>
  <c r="F294" i="38"/>
  <c r="G294" i="38" s="1"/>
  <c r="D294" i="38"/>
  <c r="E294" i="38" s="1"/>
  <c r="B294" i="38"/>
  <c r="A294" i="38"/>
  <c r="M294" i="38" s="1"/>
  <c r="U293" i="38"/>
  <c r="S293" i="38"/>
  <c r="P293" i="38"/>
  <c r="Q293" i="38" s="1"/>
  <c r="N293" i="38"/>
  <c r="O293" i="38" s="1"/>
  <c r="K293" i="38"/>
  <c r="F293" i="38"/>
  <c r="G293" i="38" s="1"/>
  <c r="D293" i="38"/>
  <c r="E293" i="38" s="1"/>
  <c r="B293" i="38"/>
  <c r="A293" i="38"/>
  <c r="M293" i="38" s="1"/>
  <c r="Y292" i="38"/>
  <c r="Z292" i="38" s="1"/>
  <c r="W292" i="38"/>
  <c r="B292" i="38"/>
  <c r="A292" i="38"/>
  <c r="Y291" i="38"/>
  <c r="Z291" i="38" s="1"/>
  <c r="W291" i="38"/>
  <c r="B291" i="38"/>
  <c r="A291" i="38"/>
  <c r="Y290" i="38"/>
  <c r="Z290" i="38" s="1"/>
  <c r="W290" i="38"/>
  <c r="B290" i="38"/>
  <c r="A290" i="38"/>
  <c r="Y289" i="38"/>
  <c r="Z289" i="38" s="1"/>
  <c r="W289" i="38"/>
  <c r="K289" i="38"/>
  <c r="L289" i="38" s="1"/>
  <c r="B289" i="38"/>
  <c r="A289" i="38"/>
  <c r="Y288" i="38"/>
  <c r="Z288" i="38" s="1"/>
  <c r="X288" i="38"/>
  <c r="W288" i="38"/>
  <c r="B288" i="38"/>
  <c r="A288" i="38"/>
  <c r="U287" i="38"/>
  <c r="S287" i="38"/>
  <c r="P287" i="38"/>
  <c r="Q287" i="38" s="1"/>
  <c r="N287" i="38"/>
  <c r="O287" i="38" s="1"/>
  <c r="K287" i="38"/>
  <c r="L287" i="38" s="1"/>
  <c r="F287" i="38"/>
  <c r="G287" i="38" s="1"/>
  <c r="D287" i="38"/>
  <c r="E287" i="38" s="1"/>
  <c r="B287" i="38"/>
  <c r="A287" i="38"/>
  <c r="M287" i="38" s="1"/>
  <c r="U286" i="38"/>
  <c r="S286" i="38"/>
  <c r="P286" i="38"/>
  <c r="Q286" i="38" s="1"/>
  <c r="N286" i="38"/>
  <c r="O286" i="38" s="1"/>
  <c r="K286" i="38"/>
  <c r="L286" i="38" s="1"/>
  <c r="F286" i="38"/>
  <c r="G286" i="38" s="1"/>
  <c r="D286" i="38"/>
  <c r="E286" i="38" s="1"/>
  <c r="B286" i="38"/>
  <c r="A286" i="38"/>
  <c r="M286" i="38" s="1"/>
  <c r="U285" i="38"/>
  <c r="S285" i="38"/>
  <c r="P285" i="38"/>
  <c r="Q285" i="38" s="1"/>
  <c r="N285" i="38"/>
  <c r="O285" i="38" s="1"/>
  <c r="K285" i="38"/>
  <c r="L285" i="38" s="1"/>
  <c r="F285" i="38"/>
  <c r="G285" i="38" s="1"/>
  <c r="D285" i="38"/>
  <c r="E285" i="38" s="1"/>
  <c r="B285" i="38"/>
  <c r="A285" i="38"/>
  <c r="M285" i="38" s="1"/>
  <c r="U284" i="38"/>
  <c r="S284" i="38"/>
  <c r="P284" i="38"/>
  <c r="Q284" i="38" s="1"/>
  <c r="N284" i="38"/>
  <c r="O284" i="38" s="1"/>
  <c r="K284" i="38"/>
  <c r="L284" i="38" s="1"/>
  <c r="F284" i="38"/>
  <c r="G284" i="38" s="1"/>
  <c r="D284" i="38"/>
  <c r="E284" i="38" s="1"/>
  <c r="B284" i="38"/>
  <c r="A284" i="38"/>
  <c r="M284" i="38" s="1"/>
  <c r="Y283" i="38"/>
  <c r="Z283" i="38" s="1"/>
  <c r="W283" i="38"/>
  <c r="X283" i="38" s="1"/>
  <c r="B283" i="38"/>
  <c r="A283" i="38"/>
  <c r="Y282" i="38"/>
  <c r="Z282" i="38" s="1"/>
  <c r="W282" i="38"/>
  <c r="B282" i="38"/>
  <c r="A282" i="38"/>
  <c r="Y281" i="38"/>
  <c r="Z281" i="38" s="1"/>
  <c r="W281" i="38"/>
  <c r="X281" i="38" s="1"/>
  <c r="B281" i="38"/>
  <c r="A281" i="38"/>
  <c r="Y280" i="38"/>
  <c r="Z280" i="38" s="1"/>
  <c r="W280" i="38"/>
  <c r="K280" i="38"/>
  <c r="L280" i="38" s="1"/>
  <c r="B280" i="38"/>
  <c r="A280" i="38"/>
  <c r="Y279" i="38"/>
  <c r="Z279" i="38" s="1"/>
  <c r="W279" i="38"/>
  <c r="X279" i="38" s="1"/>
  <c r="B279" i="38"/>
  <c r="A279" i="38"/>
  <c r="U278" i="38"/>
  <c r="S278" i="38"/>
  <c r="P278" i="38"/>
  <c r="Q278" i="38" s="1"/>
  <c r="N278" i="38"/>
  <c r="O278" i="38" s="1"/>
  <c r="K278" i="38"/>
  <c r="L278" i="38" s="1"/>
  <c r="F278" i="38"/>
  <c r="G278" i="38" s="1"/>
  <c r="D278" i="38"/>
  <c r="E278" i="38" s="1"/>
  <c r="B278" i="38"/>
  <c r="A278" i="38"/>
  <c r="M278" i="38" s="1"/>
  <c r="U277" i="38"/>
  <c r="S277" i="38"/>
  <c r="P277" i="38"/>
  <c r="Q277" i="38" s="1"/>
  <c r="N277" i="38"/>
  <c r="O277" i="38" s="1"/>
  <c r="K277" i="38"/>
  <c r="L277" i="38" s="1"/>
  <c r="F277" i="38"/>
  <c r="G277" i="38" s="1"/>
  <c r="D277" i="38"/>
  <c r="E277" i="38" s="1"/>
  <c r="B277" i="38"/>
  <c r="A277" i="38"/>
  <c r="M277" i="38" s="1"/>
  <c r="U276" i="38"/>
  <c r="S276" i="38"/>
  <c r="P276" i="38"/>
  <c r="Q276" i="38" s="1"/>
  <c r="N276" i="38"/>
  <c r="O276" i="38" s="1"/>
  <c r="K276" i="38"/>
  <c r="L276" i="38" s="1"/>
  <c r="F276" i="38"/>
  <c r="G276" i="38" s="1"/>
  <c r="D276" i="38"/>
  <c r="E276" i="38" s="1"/>
  <c r="B276" i="38"/>
  <c r="A276" i="38"/>
  <c r="M276" i="38" s="1"/>
  <c r="U275" i="38"/>
  <c r="S275" i="38"/>
  <c r="P275" i="38"/>
  <c r="Q275" i="38" s="1"/>
  <c r="N275" i="38"/>
  <c r="O275" i="38" s="1"/>
  <c r="K275" i="38"/>
  <c r="L275" i="38" s="1"/>
  <c r="F275" i="38"/>
  <c r="G275" i="38" s="1"/>
  <c r="D275" i="38"/>
  <c r="E275" i="38" s="1"/>
  <c r="B275" i="38"/>
  <c r="A275" i="38"/>
  <c r="M275" i="38" s="1"/>
  <c r="Y274" i="38"/>
  <c r="Z274" i="38" s="1"/>
  <c r="W274" i="38"/>
  <c r="X274" i="38" s="1"/>
  <c r="B274" i="38"/>
  <c r="A274" i="38"/>
  <c r="Y273" i="38"/>
  <c r="Z273" i="38" s="1"/>
  <c r="W273" i="38"/>
  <c r="X273" i="38" s="1"/>
  <c r="B273" i="38"/>
  <c r="A273" i="38"/>
  <c r="Y272" i="38"/>
  <c r="Z272" i="38" s="1"/>
  <c r="W272" i="38"/>
  <c r="B272" i="38"/>
  <c r="A272" i="38"/>
  <c r="Y271" i="38"/>
  <c r="Z271" i="38" s="1"/>
  <c r="W271" i="38"/>
  <c r="X271" i="38" s="1"/>
  <c r="K271" i="38"/>
  <c r="L271" i="38" s="1"/>
  <c r="B271" i="38"/>
  <c r="A271" i="38"/>
  <c r="Y270" i="38"/>
  <c r="Z270" i="38" s="1"/>
  <c r="W270" i="38"/>
  <c r="B270" i="38"/>
  <c r="A270" i="38"/>
  <c r="U269" i="38"/>
  <c r="S269" i="38"/>
  <c r="P269" i="38"/>
  <c r="Q269" i="38" s="1"/>
  <c r="N269" i="38"/>
  <c r="O269" i="38" s="1"/>
  <c r="K269" i="38"/>
  <c r="L269" i="38" s="1"/>
  <c r="F269" i="38"/>
  <c r="G269" i="38" s="1"/>
  <c r="D269" i="38"/>
  <c r="E269" i="38" s="1"/>
  <c r="B269" i="38"/>
  <c r="A269" i="38"/>
  <c r="M269" i="38" s="1"/>
  <c r="U268" i="38"/>
  <c r="S268" i="38"/>
  <c r="P268" i="38"/>
  <c r="Q268" i="38" s="1"/>
  <c r="N268" i="38"/>
  <c r="O268" i="38" s="1"/>
  <c r="K268" i="38"/>
  <c r="F268" i="38"/>
  <c r="G268" i="38" s="1"/>
  <c r="D268" i="38"/>
  <c r="E268" i="38" s="1"/>
  <c r="B268" i="38"/>
  <c r="A268" i="38"/>
  <c r="M268" i="38" s="1"/>
  <c r="U267" i="38"/>
  <c r="S267" i="38"/>
  <c r="P267" i="38"/>
  <c r="Q267" i="38" s="1"/>
  <c r="N267" i="38"/>
  <c r="O267" i="38" s="1"/>
  <c r="K267" i="38"/>
  <c r="F267" i="38"/>
  <c r="G267" i="38" s="1"/>
  <c r="D267" i="38"/>
  <c r="E267" i="38" s="1"/>
  <c r="B267" i="38"/>
  <c r="A267" i="38"/>
  <c r="M267" i="38" s="1"/>
  <c r="U266" i="38"/>
  <c r="S266" i="38"/>
  <c r="P266" i="38"/>
  <c r="Q266" i="38" s="1"/>
  <c r="N266" i="38"/>
  <c r="O266" i="38" s="1"/>
  <c r="K266" i="38"/>
  <c r="L266" i="38" s="1"/>
  <c r="F266" i="38"/>
  <c r="G266" i="38" s="1"/>
  <c r="D266" i="38"/>
  <c r="E266" i="38" s="1"/>
  <c r="B266" i="38"/>
  <c r="A266" i="38"/>
  <c r="M266" i="38" s="1"/>
  <c r="Y265" i="38"/>
  <c r="Z265" i="38" s="1"/>
  <c r="W265" i="38"/>
  <c r="B265" i="38"/>
  <c r="A265" i="38"/>
  <c r="Y264" i="38"/>
  <c r="Z264" i="38" s="1"/>
  <c r="W264" i="38"/>
  <c r="B264" i="38"/>
  <c r="A264" i="38"/>
  <c r="Y263" i="38"/>
  <c r="Z263" i="38" s="1"/>
  <c r="W263" i="38"/>
  <c r="B263" i="38"/>
  <c r="A263" i="38"/>
  <c r="Y262" i="38"/>
  <c r="Z262" i="38" s="1"/>
  <c r="W262" i="38"/>
  <c r="X262" i="38" s="1"/>
  <c r="K262" i="38"/>
  <c r="L262" i="38" s="1"/>
  <c r="B262" i="38"/>
  <c r="A262" i="38"/>
  <c r="Y261" i="38"/>
  <c r="Z261" i="38" s="1"/>
  <c r="W261" i="38"/>
  <c r="X261" i="38" s="1"/>
  <c r="B261" i="38"/>
  <c r="A261" i="38"/>
  <c r="U260" i="38"/>
  <c r="S260" i="38"/>
  <c r="P260" i="38"/>
  <c r="Q260" i="38" s="1"/>
  <c r="N260" i="38"/>
  <c r="O260" i="38" s="1"/>
  <c r="K260" i="38"/>
  <c r="L260" i="38" s="1"/>
  <c r="F260" i="38"/>
  <c r="G260" i="38" s="1"/>
  <c r="D260" i="38"/>
  <c r="E260" i="38" s="1"/>
  <c r="B260" i="38"/>
  <c r="A260" i="38"/>
  <c r="M260" i="38" s="1"/>
  <c r="U259" i="38"/>
  <c r="S259" i="38"/>
  <c r="P259" i="38"/>
  <c r="Q259" i="38" s="1"/>
  <c r="N259" i="38"/>
  <c r="O259" i="38" s="1"/>
  <c r="K259" i="38"/>
  <c r="L259" i="38" s="1"/>
  <c r="F259" i="38"/>
  <c r="G259" i="38" s="1"/>
  <c r="D259" i="38"/>
  <c r="E259" i="38" s="1"/>
  <c r="B259" i="38"/>
  <c r="A259" i="38"/>
  <c r="M259" i="38" s="1"/>
  <c r="U258" i="38"/>
  <c r="S258" i="38"/>
  <c r="P258" i="38"/>
  <c r="Q258" i="38" s="1"/>
  <c r="N258" i="38"/>
  <c r="O258" i="38" s="1"/>
  <c r="K258" i="38"/>
  <c r="L258" i="38" s="1"/>
  <c r="F258" i="38"/>
  <c r="G258" i="38" s="1"/>
  <c r="D258" i="38"/>
  <c r="E258" i="38" s="1"/>
  <c r="B258" i="38"/>
  <c r="A258" i="38"/>
  <c r="M258" i="38" s="1"/>
  <c r="U257" i="38"/>
  <c r="S257" i="38"/>
  <c r="P257" i="38"/>
  <c r="Q257" i="38" s="1"/>
  <c r="N257" i="38"/>
  <c r="O257" i="38" s="1"/>
  <c r="K257" i="38"/>
  <c r="L257" i="38" s="1"/>
  <c r="F257" i="38"/>
  <c r="G257" i="38" s="1"/>
  <c r="D257" i="38"/>
  <c r="E257" i="38" s="1"/>
  <c r="B257" i="38"/>
  <c r="A257" i="38"/>
  <c r="M257" i="38" s="1"/>
  <c r="Y256" i="38"/>
  <c r="Z256" i="38" s="1"/>
  <c r="W256" i="38"/>
  <c r="X256" i="38" s="1"/>
  <c r="B256" i="38"/>
  <c r="A256" i="38"/>
  <c r="Y255" i="38"/>
  <c r="Z255" i="38" s="1"/>
  <c r="W255" i="38"/>
  <c r="B255" i="38"/>
  <c r="A255" i="38"/>
  <c r="Y254" i="38"/>
  <c r="Z254" i="38" s="1"/>
  <c r="W254" i="38"/>
  <c r="X254" i="38" s="1"/>
  <c r="B254" i="38"/>
  <c r="A254" i="38"/>
  <c r="Y253" i="38"/>
  <c r="Z253" i="38" s="1"/>
  <c r="W253" i="38"/>
  <c r="X253" i="38" s="1"/>
  <c r="K253" i="38"/>
  <c r="B253" i="38"/>
  <c r="A253" i="38"/>
  <c r="Y252" i="38"/>
  <c r="Z252" i="38" s="1"/>
  <c r="W252" i="38"/>
  <c r="B252" i="38"/>
  <c r="A252" i="38"/>
  <c r="U251" i="38"/>
  <c r="S251" i="38"/>
  <c r="P251" i="38"/>
  <c r="Q251" i="38" s="1"/>
  <c r="N251" i="38"/>
  <c r="O251" i="38" s="1"/>
  <c r="K251" i="38"/>
  <c r="L251" i="38" s="1"/>
  <c r="F251" i="38"/>
  <c r="G251" i="38" s="1"/>
  <c r="D251" i="38"/>
  <c r="E251" i="38" s="1"/>
  <c r="B251" i="38"/>
  <c r="A251" i="38"/>
  <c r="M251" i="38" s="1"/>
  <c r="U250" i="38"/>
  <c r="S250" i="38"/>
  <c r="P250" i="38"/>
  <c r="Q250" i="38" s="1"/>
  <c r="N250" i="38"/>
  <c r="O250" i="38" s="1"/>
  <c r="K250" i="38"/>
  <c r="L250" i="38" s="1"/>
  <c r="F250" i="38"/>
  <c r="G250" i="38" s="1"/>
  <c r="D250" i="38"/>
  <c r="E250" i="38" s="1"/>
  <c r="B250" i="38"/>
  <c r="A250" i="38"/>
  <c r="M250" i="38" s="1"/>
  <c r="U249" i="38"/>
  <c r="S249" i="38"/>
  <c r="P249" i="38"/>
  <c r="Q249" i="38" s="1"/>
  <c r="N249" i="38"/>
  <c r="O249" i="38" s="1"/>
  <c r="K249" i="38"/>
  <c r="L249" i="38" s="1"/>
  <c r="F249" i="38"/>
  <c r="G249" i="38" s="1"/>
  <c r="D249" i="38"/>
  <c r="E249" i="38" s="1"/>
  <c r="B249" i="38"/>
  <c r="A249" i="38"/>
  <c r="M249" i="38" s="1"/>
  <c r="U248" i="38"/>
  <c r="S248" i="38"/>
  <c r="P248" i="38"/>
  <c r="Q248" i="38" s="1"/>
  <c r="N248" i="38"/>
  <c r="O248" i="38" s="1"/>
  <c r="K248" i="38"/>
  <c r="L248" i="38" s="1"/>
  <c r="F248" i="38"/>
  <c r="G248" i="38" s="1"/>
  <c r="D248" i="38"/>
  <c r="E248" i="38" s="1"/>
  <c r="B248" i="38"/>
  <c r="A248" i="38"/>
  <c r="M248" i="38" s="1"/>
  <c r="Y247" i="38"/>
  <c r="W247" i="38"/>
  <c r="X247" i="38" s="1"/>
  <c r="B247" i="38"/>
  <c r="A247" i="38"/>
  <c r="Y246" i="38"/>
  <c r="Z246" i="38" s="1"/>
  <c r="W246" i="38"/>
  <c r="B246" i="38"/>
  <c r="A246" i="38"/>
  <c r="Y245" i="38"/>
  <c r="W245" i="38"/>
  <c r="X245" i="38" s="1"/>
  <c r="B245" i="38"/>
  <c r="A245" i="38"/>
  <c r="Y244" i="38"/>
  <c r="W244" i="38"/>
  <c r="X244" i="38" s="1"/>
  <c r="K244" i="38"/>
  <c r="L244" i="38" s="1"/>
  <c r="B244" i="38"/>
  <c r="A244" i="38"/>
  <c r="Y243" i="38"/>
  <c r="Z243" i="38" s="1"/>
  <c r="W243" i="38"/>
  <c r="B243" i="38"/>
  <c r="A243" i="38"/>
  <c r="U242" i="38"/>
  <c r="S242" i="38"/>
  <c r="P242" i="38"/>
  <c r="Q242" i="38" s="1"/>
  <c r="N242" i="38"/>
  <c r="O242" i="38" s="1"/>
  <c r="K242" i="38"/>
  <c r="F242" i="38"/>
  <c r="G242" i="38" s="1"/>
  <c r="D242" i="38"/>
  <c r="E242" i="38" s="1"/>
  <c r="B242" i="38"/>
  <c r="A242" i="38"/>
  <c r="M242" i="38" s="1"/>
  <c r="U241" i="38"/>
  <c r="S241" i="38"/>
  <c r="P241" i="38"/>
  <c r="Q241" i="38" s="1"/>
  <c r="N241" i="38"/>
  <c r="O241" i="38" s="1"/>
  <c r="K241" i="38"/>
  <c r="L241" i="38" s="1"/>
  <c r="F241" i="38"/>
  <c r="G241" i="38" s="1"/>
  <c r="D241" i="38"/>
  <c r="E241" i="38" s="1"/>
  <c r="B241" i="38"/>
  <c r="A241" i="38"/>
  <c r="M241" i="38" s="1"/>
  <c r="U240" i="38"/>
  <c r="S240" i="38"/>
  <c r="P240" i="38"/>
  <c r="Q240" i="38" s="1"/>
  <c r="N240" i="38"/>
  <c r="O240" i="38" s="1"/>
  <c r="K240" i="38"/>
  <c r="L240" i="38" s="1"/>
  <c r="F240" i="38"/>
  <c r="G240" i="38" s="1"/>
  <c r="D240" i="38"/>
  <c r="E240" i="38" s="1"/>
  <c r="B240" i="38"/>
  <c r="A240" i="38"/>
  <c r="M240" i="38" s="1"/>
  <c r="U239" i="38"/>
  <c r="S239" i="38"/>
  <c r="P239" i="38"/>
  <c r="Q239" i="38" s="1"/>
  <c r="N239" i="38"/>
  <c r="O239" i="38" s="1"/>
  <c r="K239" i="38"/>
  <c r="F239" i="38"/>
  <c r="G239" i="38" s="1"/>
  <c r="D239" i="38"/>
  <c r="E239" i="38" s="1"/>
  <c r="B239" i="38"/>
  <c r="A239" i="38"/>
  <c r="M239" i="38" s="1"/>
  <c r="Y238" i="38"/>
  <c r="Z238" i="38" s="1"/>
  <c r="W238" i="38"/>
  <c r="X238" i="38" s="1"/>
  <c r="B238" i="38"/>
  <c r="A238" i="38"/>
  <c r="Y237" i="38"/>
  <c r="Z237" i="38" s="1"/>
  <c r="W237" i="38"/>
  <c r="B237" i="38"/>
  <c r="A237" i="38"/>
  <c r="Y236" i="38"/>
  <c r="Z236" i="38" s="1"/>
  <c r="W236" i="38"/>
  <c r="X236" i="38" s="1"/>
  <c r="B236" i="38"/>
  <c r="A236" i="38"/>
  <c r="Y235" i="38"/>
  <c r="Z235" i="38" s="1"/>
  <c r="W235" i="38"/>
  <c r="K235" i="38"/>
  <c r="L235" i="38" s="1"/>
  <c r="B235" i="38"/>
  <c r="A235" i="38"/>
  <c r="Y234" i="38"/>
  <c r="Z234" i="38" s="1"/>
  <c r="W234" i="38"/>
  <c r="X234" i="38" s="1"/>
  <c r="B234" i="38"/>
  <c r="A234" i="38"/>
  <c r="U233" i="38"/>
  <c r="S233" i="38"/>
  <c r="P233" i="38"/>
  <c r="Q233" i="38" s="1"/>
  <c r="N233" i="38"/>
  <c r="O233" i="38" s="1"/>
  <c r="K233" i="38"/>
  <c r="L233" i="38" s="1"/>
  <c r="F233" i="38"/>
  <c r="G233" i="38" s="1"/>
  <c r="D233" i="38"/>
  <c r="E233" i="38" s="1"/>
  <c r="B233" i="38"/>
  <c r="A233" i="38"/>
  <c r="M233" i="38" s="1"/>
  <c r="U232" i="38"/>
  <c r="S232" i="38"/>
  <c r="P232" i="38"/>
  <c r="Q232" i="38" s="1"/>
  <c r="N232" i="38"/>
  <c r="O232" i="38" s="1"/>
  <c r="K232" i="38"/>
  <c r="L232" i="38" s="1"/>
  <c r="F232" i="38"/>
  <c r="G232" i="38" s="1"/>
  <c r="D232" i="38"/>
  <c r="E232" i="38" s="1"/>
  <c r="B232" i="38"/>
  <c r="A232" i="38"/>
  <c r="M232" i="38" s="1"/>
  <c r="U231" i="38"/>
  <c r="S231" i="38"/>
  <c r="P231" i="38"/>
  <c r="Q231" i="38" s="1"/>
  <c r="N231" i="38"/>
  <c r="O231" i="38" s="1"/>
  <c r="K231" i="38"/>
  <c r="F231" i="38"/>
  <c r="G231" i="38" s="1"/>
  <c r="D231" i="38"/>
  <c r="E231" i="38" s="1"/>
  <c r="B231" i="38"/>
  <c r="A231" i="38"/>
  <c r="M231" i="38" s="1"/>
  <c r="U230" i="38"/>
  <c r="S230" i="38"/>
  <c r="P230" i="38"/>
  <c r="Q230" i="38" s="1"/>
  <c r="N230" i="38"/>
  <c r="O230" i="38" s="1"/>
  <c r="K230" i="38"/>
  <c r="L230" i="38" s="1"/>
  <c r="F230" i="38"/>
  <c r="G230" i="38" s="1"/>
  <c r="D230" i="38"/>
  <c r="E230" i="38" s="1"/>
  <c r="B230" i="38"/>
  <c r="A230" i="38"/>
  <c r="M230" i="38" s="1"/>
  <c r="Y229" i="38"/>
  <c r="Z229" i="38" s="1"/>
  <c r="W229" i="38"/>
  <c r="X229" i="38" s="1"/>
  <c r="B229" i="38"/>
  <c r="A229" i="38"/>
  <c r="Y228" i="38"/>
  <c r="Z228" i="38" s="1"/>
  <c r="W228" i="38"/>
  <c r="X228" i="38" s="1"/>
  <c r="B228" i="38"/>
  <c r="A228" i="38"/>
  <c r="Y227" i="38"/>
  <c r="Z227" i="38" s="1"/>
  <c r="W227" i="38"/>
  <c r="X227" i="38" s="1"/>
  <c r="B227" i="38"/>
  <c r="A227" i="38"/>
  <c r="Y226" i="38"/>
  <c r="Z226" i="38" s="1"/>
  <c r="W226" i="38"/>
  <c r="X226" i="38" s="1"/>
  <c r="K226" i="38"/>
  <c r="L226" i="38" s="1"/>
  <c r="B226" i="38"/>
  <c r="A226" i="38"/>
  <c r="Z225" i="38"/>
  <c r="Y225" i="38"/>
  <c r="W225" i="38"/>
  <c r="B225" i="38"/>
  <c r="A225" i="38"/>
  <c r="U224" i="38"/>
  <c r="S224" i="38"/>
  <c r="P224" i="38"/>
  <c r="Q224" i="38" s="1"/>
  <c r="N224" i="38"/>
  <c r="O224" i="38" s="1"/>
  <c r="K224" i="38"/>
  <c r="F224" i="38"/>
  <c r="G224" i="38" s="1"/>
  <c r="D224" i="38"/>
  <c r="E224" i="38" s="1"/>
  <c r="B224" i="38"/>
  <c r="A224" i="38"/>
  <c r="M224" i="38" s="1"/>
  <c r="U223" i="38"/>
  <c r="S223" i="38"/>
  <c r="P223" i="38"/>
  <c r="Q223" i="38" s="1"/>
  <c r="N223" i="38"/>
  <c r="O223" i="38" s="1"/>
  <c r="K223" i="38"/>
  <c r="L223" i="38" s="1"/>
  <c r="F223" i="38"/>
  <c r="G223" i="38" s="1"/>
  <c r="D223" i="38"/>
  <c r="E223" i="38" s="1"/>
  <c r="B223" i="38"/>
  <c r="A223" i="38"/>
  <c r="M223" i="38" s="1"/>
  <c r="U222" i="38"/>
  <c r="S222" i="38"/>
  <c r="P222" i="38"/>
  <c r="Q222" i="38" s="1"/>
  <c r="N222" i="38"/>
  <c r="O222" i="38" s="1"/>
  <c r="K222" i="38"/>
  <c r="L222" i="38" s="1"/>
  <c r="F222" i="38"/>
  <c r="G222" i="38" s="1"/>
  <c r="D222" i="38"/>
  <c r="E222" i="38" s="1"/>
  <c r="B222" i="38"/>
  <c r="A222" i="38"/>
  <c r="M222" i="38" s="1"/>
  <c r="U221" i="38"/>
  <c r="S221" i="38"/>
  <c r="P221" i="38"/>
  <c r="Q221" i="38" s="1"/>
  <c r="N221" i="38"/>
  <c r="O221" i="38" s="1"/>
  <c r="K221" i="38"/>
  <c r="F221" i="38"/>
  <c r="G221" i="38" s="1"/>
  <c r="D221" i="38"/>
  <c r="E221" i="38" s="1"/>
  <c r="B221" i="38"/>
  <c r="A221" i="38"/>
  <c r="M221" i="38" s="1"/>
  <c r="Y220" i="38"/>
  <c r="Z220" i="38" s="1"/>
  <c r="W220" i="38"/>
  <c r="B220" i="38"/>
  <c r="A220" i="38"/>
  <c r="Y219" i="38"/>
  <c r="Z219" i="38" s="1"/>
  <c r="W219" i="38"/>
  <c r="X219" i="38" s="1"/>
  <c r="B219" i="38"/>
  <c r="A219" i="38"/>
  <c r="Y218" i="38"/>
  <c r="Z218" i="38" s="1"/>
  <c r="W218" i="38"/>
  <c r="B218" i="38"/>
  <c r="A218" i="38"/>
  <c r="Y217" i="38"/>
  <c r="Z217" i="38" s="1"/>
  <c r="W217" i="38"/>
  <c r="X217" i="38" s="1"/>
  <c r="K217" i="38"/>
  <c r="L217" i="38" s="1"/>
  <c r="B217" i="38"/>
  <c r="A217" i="38"/>
  <c r="Y216" i="38"/>
  <c r="Z216" i="38" s="1"/>
  <c r="W216" i="38"/>
  <c r="B216" i="38"/>
  <c r="A216" i="38"/>
  <c r="U215" i="38"/>
  <c r="S215" i="38"/>
  <c r="P215" i="38"/>
  <c r="Q215" i="38" s="1"/>
  <c r="N215" i="38"/>
  <c r="O215" i="38" s="1"/>
  <c r="K215" i="38"/>
  <c r="L215" i="38" s="1"/>
  <c r="F215" i="38"/>
  <c r="G215" i="38" s="1"/>
  <c r="D215" i="38"/>
  <c r="E215" i="38" s="1"/>
  <c r="B215" i="38"/>
  <c r="A215" i="38"/>
  <c r="M215" i="38" s="1"/>
  <c r="U214" i="38"/>
  <c r="S214" i="38"/>
  <c r="P214" i="38"/>
  <c r="Q214" i="38" s="1"/>
  <c r="N214" i="38"/>
  <c r="O214" i="38" s="1"/>
  <c r="K214" i="38"/>
  <c r="L214" i="38" s="1"/>
  <c r="F214" i="38"/>
  <c r="G214" i="38" s="1"/>
  <c r="D214" i="38"/>
  <c r="E214" i="38" s="1"/>
  <c r="B214" i="38"/>
  <c r="A214" i="38"/>
  <c r="M214" i="38" s="1"/>
  <c r="U213" i="38"/>
  <c r="S213" i="38"/>
  <c r="P213" i="38"/>
  <c r="Q213" i="38" s="1"/>
  <c r="N213" i="38"/>
  <c r="O213" i="38" s="1"/>
  <c r="K213" i="38"/>
  <c r="L213" i="38" s="1"/>
  <c r="G213" i="38"/>
  <c r="F213" i="38"/>
  <c r="D213" i="38"/>
  <c r="E213" i="38" s="1"/>
  <c r="B213" i="38"/>
  <c r="A213" i="38"/>
  <c r="M213" i="38" s="1"/>
  <c r="U212" i="38"/>
  <c r="S212" i="38"/>
  <c r="P212" i="38"/>
  <c r="Q212" i="38" s="1"/>
  <c r="O212" i="38"/>
  <c r="N212" i="38"/>
  <c r="K212" i="38"/>
  <c r="L212" i="38" s="1"/>
  <c r="G212" i="38"/>
  <c r="F212" i="38"/>
  <c r="D212" i="38"/>
  <c r="E212" i="38" s="1"/>
  <c r="B212" i="38"/>
  <c r="A212" i="38"/>
  <c r="M212" i="38" s="1"/>
  <c r="Y211" i="38"/>
  <c r="Z211" i="38" s="1"/>
  <c r="W211" i="38"/>
  <c r="X211" i="38" s="1"/>
  <c r="B211" i="38"/>
  <c r="A211" i="38"/>
  <c r="Y210" i="38"/>
  <c r="W210" i="38"/>
  <c r="X210" i="38" s="1"/>
  <c r="B210" i="38"/>
  <c r="A210" i="38"/>
  <c r="Y209" i="38"/>
  <c r="Z209" i="38" s="1"/>
  <c r="W209" i="38"/>
  <c r="X209" i="38" s="1"/>
  <c r="B209" i="38"/>
  <c r="A209" i="38"/>
  <c r="Y208" i="38"/>
  <c r="Z208" i="38" s="1"/>
  <c r="W208" i="38"/>
  <c r="K208" i="38"/>
  <c r="L208" i="38" s="1"/>
  <c r="B208" i="38"/>
  <c r="A208" i="38"/>
  <c r="Y207" i="38"/>
  <c r="Z207" i="38" s="1"/>
  <c r="W207" i="38"/>
  <c r="X207" i="38" s="1"/>
  <c r="B207" i="38"/>
  <c r="A207" i="38"/>
  <c r="U206" i="38"/>
  <c r="S206" i="38"/>
  <c r="P206" i="38"/>
  <c r="Q206" i="38" s="1"/>
  <c r="N206" i="38"/>
  <c r="O206" i="38" s="1"/>
  <c r="K206" i="38"/>
  <c r="L206" i="38" s="1"/>
  <c r="F206" i="38"/>
  <c r="G206" i="38" s="1"/>
  <c r="D206" i="38"/>
  <c r="E206" i="38" s="1"/>
  <c r="B206" i="38"/>
  <c r="A206" i="38"/>
  <c r="M206" i="38" s="1"/>
  <c r="U205" i="38"/>
  <c r="S205" i="38"/>
  <c r="P205" i="38"/>
  <c r="Q205" i="38" s="1"/>
  <c r="N205" i="38"/>
  <c r="O205" i="38" s="1"/>
  <c r="K205" i="38"/>
  <c r="L205" i="38" s="1"/>
  <c r="F205" i="38"/>
  <c r="G205" i="38" s="1"/>
  <c r="D205" i="38"/>
  <c r="E205" i="38" s="1"/>
  <c r="B205" i="38"/>
  <c r="A205" i="38"/>
  <c r="M205" i="38" s="1"/>
  <c r="U204" i="38"/>
  <c r="S204" i="38"/>
  <c r="P204" i="38"/>
  <c r="Q204" i="38" s="1"/>
  <c r="N204" i="38"/>
  <c r="O204" i="38" s="1"/>
  <c r="K204" i="38"/>
  <c r="L204" i="38" s="1"/>
  <c r="F204" i="38"/>
  <c r="G204" i="38" s="1"/>
  <c r="D204" i="38"/>
  <c r="E204" i="38" s="1"/>
  <c r="B204" i="38"/>
  <c r="A204" i="38"/>
  <c r="M204" i="38" s="1"/>
  <c r="U203" i="38"/>
  <c r="S203" i="38"/>
  <c r="P203" i="38"/>
  <c r="Q203" i="38" s="1"/>
  <c r="N203" i="38"/>
  <c r="O203" i="38" s="1"/>
  <c r="K203" i="38"/>
  <c r="L203" i="38" s="1"/>
  <c r="F203" i="38"/>
  <c r="G203" i="38" s="1"/>
  <c r="D203" i="38"/>
  <c r="E203" i="38" s="1"/>
  <c r="B203" i="38"/>
  <c r="A203" i="38"/>
  <c r="M203" i="38" s="1"/>
  <c r="Y202" i="38"/>
  <c r="Z202" i="38" s="1"/>
  <c r="W202" i="38"/>
  <c r="X202" i="38" s="1"/>
  <c r="B202" i="38"/>
  <c r="A202" i="38"/>
  <c r="Y201" i="38"/>
  <c r="Z201" i="38" s="1"/>
  <c r="W201" i="38"/>
  <c r="B201" i="38"/>
  <c r="A201" i="38"/>
  <c r="Y200" i="38"/>
  <c r="Z200" i="38" s="1"/>
  <c r="W200" i="38"/>
  <c r="X200" i="38" s="1"/>
  <c r="B200" i="38"/>
  <c r="A200" i="38"/>
  <c r="Y199" i="38"/>
  <c r="Z199" i="38" s="1"/>
  <c r="W199" i="38"/>
  <c r="X199" i="38" s="1"/>
  <c r="K199" i="38"/>
  <c r="L199" i="38" s="1"/>
  <c r="B199" i="38"/>
  <c r="A199" i="38"/>
  <c r="Y198" i="38"/>
  <c r="Z198" i="38" s="1"/>
  <c r="W198" i="38"/>
  <c r="B198" i="38"/>
  <c r="A198" i="38"/>
  <c r="U197" i="38"/>
  <c r="S197" i="38"/>
  <c r="P197" i="38"/>
  <c r="Q197" i="38" s="1"/>
  <c r="N197" i="38"/>
  <c r="O197" i="38" s="1"/>
  <c r="K197" i="38"/>
  <c r="L197" i="38" s="1"/>
  <c r="F197" i="38"/>
  <c r="G197" i="38" s="1"/>
  <c r="D197" i="38"/>
  <c r="E197" i="38" s="1"/>
  <c r="B197" i="38"/>
  <c r="A197" i="38"/>
  <c r="M197" i="38" s="1"/>
  <c r="U196" i="38"/>
  <c r="S196" i="38"/>
  <c r="P196" i="38"/>
  <c r="Q196" i="38" s="1"/>
  <c r="N196" i="38"/>
  <c r="O196" i="38" s="1"/>
  <c r="K196" i="38"/>
  <c r="F196" i="38"/>
  <c r="G196" i="38" s="1"/>
  <c r="D196" i="38"/>
  <c r="E196" i="38" s="1"/>
  <c r="B196" i="38"/>
  <c r="A196" i="38"/>
  <c r="M196" i="38" s="1"/>
  <c r="U195" i="38"/>
  <c r="S195" i="38"/>
  <c r="P195" i="38"/>
  <c r="Q195" i="38" s="1"/>
  <c r="N195" i="38"/>
  <c r="O195" i="38" s="1"/>
  <c r="K195" i="38"/>
  <c r="F195" i="38"/>
  <c r="G195" i="38" s="1"/>
  <c r="D195" i="38"/>
  <c r="E195" i="38" s="1"/>
  <c r="B195" i="38"/>
  <c r="A195" i="38"/>
  <c r="M195" i="38" s="1"/>
  <c r="U194" i="38"/>
  <c r="S194" i="38"/>
  <c r="P194" i="38"/>
  <c r="Q194" i="38" s="1"/>
  <c r="N194" i="38"/>
  <c r="O194" i="38" s="1"/>
  <c r="K194" i="38"/>
  <c r="F194" i="38"/>
  <c r="G194" i="38" s="1"/>
  <c r="D194" i="38"/>
  <c r="E194" i="38" s="1"/>
  <c r="B194" i="38"/>
  <c r="A194" i="38"/>
  <c r="M194" i="38" s="1"/>
  <c r="Y193" i="38"/>
  <c r="Z193" i="38" s="1"/>
  <c r="W193" i="38"/>
  <c r="B193" i="38"/>
  <c r="A193" i="38"/>
  <c r="Y192" i="38"/>
  <c r="Z192" i="38" s="1"/>
  <c r="W192" i="38"/>
  <c r="B192" i="38"/>
  <c r="A192" i="38"/>
  <c r="Y191" i="38"/>
  <c r="Z191" i="38" s="1"/>
  <c r="W191" i="38"/>
  <c r="B191" i="38"/>
  <c r="A191" i="38"/>
  <c r="Y190" i="38"/>
  <c r="Z190" i="38" s="1"/>
  <c r="W190" i="38"/>
  <c r="K190" i="38"/>
  <c r="L190" i="38" s="1"/>
  <c r="B190" i="38"/>
  <c r="A190" i="38"/>
  <c r="Y189" i="38"/>
  <c r="Z189" i="38" s="1"/>
  <c r="W189" i="38"/>
  <c r="B189" i="38"/>
  <c r="A189" i="38"/>
  <c r="U188" i="38"/>
  <c r="S188" i="38"/>
  <c r="P188" i="38"/>
  <c r="Q188" i="38" s="1"/>
  <c r="N188" i="38"/>
  <c r="O188" i="38" s="1"/>
  <c r="K188" i="38"/>
  <c r="F188" i="38"/>
  <c r="G188" i="38" s="1"/>
  <c r="D188" i="38"/>
  <c r="E188" i="38" s="1"/>
  <c r="B188" i="38"/>
  <c r="A188" i="38"/>
  <c r="M188" i="38" s="1"/>
  <c r="U187" i="38"/>
  <c r="S187" i="38"/>
  <c r="P187" i="38"/>
  <c r="Q187" i="38" s="1"/>
  <c r="N187" i="38"/>
  <c r="O187" i="38" s="1"/>
  <c r="K187" i="38"/>
  <c r="F187" i="38"/>
  <c r="G187" i="38" s="1"/>
  <c r="D187" i="38"/>
  <c r="E187" i="38" s="1"/>
  <c r="B187" i="38"/>
  <c r="A187" i="38"/>
  <c r="M187" i="38" s="1"/>
  <c r="U186" i="38"/>
  <c r="S186" i="38"/>
  <c r="P186" i="38"/>
  <c r="Q186" i="38" s="1"/>
  <c r="N186" i="38"/>
  <c r="O186" i="38" s="1"/>
  <c r="K186" i="38"/>
  <c r="L186" i="38" s="1"/>
  <c r="F186" i="38"/>
  <c r="G186" i="38" s="1"/>
  <c r="D186" i="38"/>
  <c r="E186" i="38" s="1"/>
  <c r="B186" i="38"/>
  <c r="A186" i="38"/>
  <c r="M186" i="38" s="1"/>
  <c r="U185" i="38"/>
  <c r="S185" i="38"/>
  <c r="P185" i="38"/>
  <c r="Q185" i="38" s="1"/>
  <c r="N185" i="38"/>
  <c r="O185" i="38" s="1"/>
  <c r="K185" i="38"/>
  <c r="L185" i="38" s="1"/>
  <c r="F185" i="38"/>
  <c r="G185" i="38" s="1"/>
  <c r="D185" i="38"/>
  <c r="E185" i="38" s="1"/>
  <c r="J185" i="38" s="1"/>
  <c r="H185" i="38" s="1"/>
  <c r="I185" i="38" s="1"/>
  <c r="B185" i="38"/>
  <c r="A185" i="38"/>
  <c r="M185" i="38" s="1"/>
  <c r="Y184" i="38"/>
  <c r="Z184" i="38" s="1"/>
  <c r="W184" i="38"/>
  <c r="B184" i="38"/>
  <c r="A184" i="38"/>
  <c r="Y183" i="38"/>
  <c r="Z183" i="38" s="1"/>
  <c r="W183" i="38"/>
  <c r="X183" i="38" s="1"/>
  <c r="B183" i="38"/>
  <c r="A183" i="38"/>
  <c r="Y182" i="38"/>
  <c r="Z182" i="38" s="1"/>
  <c r="W182" i="38"/>
  <c r="X182" i="38" s="1"/>
  <c r="B182" i="38"/>
  <c r="A182" i="38"/>
  <c r="Y181" i="38"/>
  <c r="Z181" i="38" s="1"/>
  <c r="W181" i="38"/>
  <c r="X181" i="38" s="1"/>
  <c r="K181" i="38"/>
  <c r="B181" i="38"/>
  <c r="A181" i="38"/>
  <c r="Y180" i="38"/>
  <c r="Z180" i="38" s="1"/>
  <c r="W180" i="38"/>
  <c r="X180" i="38" s="1"/>
  <c r="B180" i="38"/>
  <c r="A180" i="38"/>
  <c r="U179" i="38"/>
  <c r="S179" i="38"/>
  <c r="P179" i="38"/>
  <c r="Q179" i="38" s="1"/>
  <c r="N179" i="38"/>
  <c r="O179" i="38" s="1"/>
  <c r="K179" i="38"/>
  <c r="L179" i="38" s="1"/>
  <c r="F179" i="38"/>
  <c r="G179" i="38" s="1"/>
  <c r="D179" i="38"/>
  <c r="E179" i="38" s="1"/>
  <c r="B179" i="38"/>
  <c r="A179" i="38"/>
  <c r="M179" i="38" s="1"/>
  <c r="U178" i="38"/>
  <c r="S178" i="38"/>
  <c r="P178" i="38"/>
  <c r="Q178" i="38" s="1"/>
  <c r="N178" i="38"/>
  <c r="O178" i="38" s="1"/>
  <c r="K178" i="38"/>
  <c r="L178" i="38" s="1"/>
  <c r="F178" i="38"/>
  <c r="G178" i="38" s="1"/>
  <c r="D178" i="38"/>
  <c r="E178" i="38" s="1"/>
  <c r="B178" i="38"/>
  <c r="A178" i="38"/>
  <c r="M178" i="38" s="1"/>
  <c r="U177" i="38"/>
  <c r="S177" i="38"/>
  <c r="P177" i="38"/>
  <c r="Q177" i="38" s="1"/>
  <c r="N177" i="38"/>
  <c r="O177" i="38" s="1"/>
  <c r="K177" i="38"/>
  <c r="L177" i="38" s="1"/>
  <c r="F177" i="38"/>
  <c r="G177" i="38" s="1"/>
  <c r="D177" i="38"/>
  <c r="E177" i="38" s="1"/>
  <c r="B177" i="38"/>
  <c r="A177" i="38"/>
  <c r="M177" i="38" s="1"/>
  <c r="U176" i="38"/>
  <c r="S176" i="38"/>
  <c r="P176" i="38"/>
  <c r="Q176" i="38" s="1"/>
  <c r="N176" i="38"/>
  <c r="O176" i="38" s="1"/>
  <c r="K176" i="38"/>
  <c r="L176" i="38" s="1"/>
  <c r="F176" i="38"/>
  <c r="G176" i="38" s="1"/>
  <c r="D176" i="38"/>
  <c r="E176" i="38" s="1"/>
  <c r="B176" i="38"/>
  <c r="A176" i="38"/>
  <c r="M176" i="38" s="1"/>
  <c r="Y175" i="38"/>
  <c r="Z175" i="38" s="1"/>
  <c r="W175" i="38"/>
  <c r="X175" i="38" s="1"/>
  <c r="B175" i="38"/>
  <c r="A175" i="38"/>
  <c r="Y174" i="38"/>
  <c r="W174" i="38"/>
  <c r="X174" i="38" s="1"/>
  <c r="B174" i="38"/>
  <c r="A174" i="38"/>
  <c r="Y173" i="38"/>
  <c r="Z173" i="38" s="1"/>
  <c r="W173" i="38"/>
  <c r="X173" i="38" s="1"/>
  <c r="B173" i="38"/>
  <c r="A173" i="38"/>
  <c r="Y172" i="38"/>
  <c r="Z172" i="38" s="1"/>
  <c r="W172" i="38"/>
  <c r="K172" i="38"/>
  <c r="L172" i="38" s="1"/>
  <c r="B172" i="38"/>
  <c r="A172" i="38"/>
  <c r="Y171" i="38"/>
  <c r="Z171" i="38" s="1"/>
  <c r="W171" i="38"/>
  <c r="X171" i="38" s="1"/>
  <c r="B171" i="38"/>
  <c r="A171" i="38"/>
  <c r="U170" i="38"/>
  <c r="S170" i="38"/>
  <c r="P170" i="38"/>
  <c r="Q170" i="38" s="1"/>
  <c r="N170" i="38"/>
  <c r="O170" i="38" s="1"/>
  <c r="K170" i="38"/>
  <c r="L170" i="38" s="1"/>
  <c r="F170" i="38"/>
  <c r="G170" i="38" s="1"/>
  <c r="D170" i="38"/>
  <c r="E170" i="38" s="1"/>
  <c r="B170" i="38"/>
  <c r="A170" i="38"/>
  <c r="M170" i="38" s="1"/>
  <c r="U169" i="38"/>
  <c r="S169" i="38"/>
  <c r="P169" i="38"/>
  <c r="Q169" i="38" s="1"/>
  <c r="N169" i="38"/>
  <c r="O169" i="38" s="1"/>
  <c r="K169" i="38"/>
  <c r="L169" i="38" s="1"/>
  <c r="F169" i="38"/>
  <c r="G169" i="38" s="1"/>
  <c r="D169" i="38"/>
  <c r="E169" i="38" s="1"/>
  <c r="B169" i="38"/>
  <c r="A169" i="38"/>
  <c r="M169" i="38" s="1"/>
  <c r="U168" i="38"/>
  <c r="S168" i="38"/>
  <c r="P168" i="38"/>
  <c r="Q168" i="38" s="1"/>
  <c r="N168" i="38"/>
  <c r="O168" i="38" s="1"/>
  <c r="K168" i="38"/>
  <c r="L168" i="38" s="1"/>
  <c r="F168" i="38"/>
  <c r="G168" i="38" s="1"/>
  <c r="D168" i="38"/>
  <c r="E168" i="38" s="1"/>
  <c r="B168" i="38"/>
  <c r="A168" i="38"/>
  <c r="M168" i="38" s="1"/>
  <c r="U167" i="38"/>
  <c r="S167" i="38"/>
  <c r="P167" i="38"/>
  <c r="Q167" i="38" s="1"/>
  <c r="N167" i="38"/>
  <c r="O167" i="38" s="1"/>
  <c r="K167" i="38"/>
  <c r="L167" i="38" s="1"/>
  <c r="F167" i="38"/>
  <c r="G167" i="38" s="1"/>
  <c r="D167" i="38"/>
  <c r="E167" i="38" s="1"/>
  <c r="B167" i="38"/>
  <c r="A167" i="38"/>
  <c r="M167" i="38" s="1"/>
  <c r="Y166" i="38"/>
  <c r="Z166" i="38" s="1"/>
  <c r="W166" i="38"/>
  <c r="X166" i="38" s="1"/>
  <c r="B166" i="38"/>
  <c r="A166" i="38"/>
  <c r="Y165" i="38"/>
  <c r="Z165" i="38" s="1"/>
  <c r="W165" i="38"/>
  <c r="B165" i="38"/>
  <c r="A165" i="38"/>
  <c r="Y164" i="38"/>
  <c r="Z164" i="38" s="1"/>
  <c r="W164" i="38"/>
  <c r="X164" i="38" s="1"/>
  <c r="B164" i="38"/>
  <c r="A164" i="38"/>
  <c r="Y163" i="38"/>
  <c r="Z163" i="38" s="1"/>
  <c r="W163" i="38"/>
  <c r="X163" i="38" s="1"/>
  <c r="K163" i="38"/>
  <c r="L163" i="38" s="1"/>
  <c r="B163" i="38"/>
  <c r="A163" i="38"/>
  <c r="Y162" i="38"/>
  <c r="Z162" i="38" s="1"/>
  <c r="W162" i="38"/>
  <c r="B162" i="38"/>
  <c r="A162" i="38"/>
  <c r="U161" i="38"/>
  <c r="S161" i="38"/>
  <c r="P161" i="38"/>
  <c r="Q161" i="38" s="1"/>
  <c r="N161" i="38"/>
  <c r="O161" i="38" s="1"/>
  <c r="K161" i="38"/>
  <c r="L161" i="38" s="1"/>
  <c r="F161" i="38"/>
  <c r="G161" i="38" s="1"/>
  <c r="D161" i="38"/>
  <c r="E161" i="38" s="1"/>
  <c r="B161" i="38"/>
  <c r="A161" i="38"/>
  <c r="M161" i="38" s="1"/>
  <c r="U160" i="38"/>
  <c r="S160" i="38"/>
  <c r="P160" i="38"/>
  <c r="Q160" i="38" s="1"/>
  <c r="N160" i="38"/>
  <c r="O160" i="38" s="1"/>
  <c r="K160" i="38"/>
  <c r="L160" i="38" s="1"/>
  <c r="F160" i="38"/>
  <c r="G160" i="38" s="1"/>
  <c r="D160" i="38"/>
  <c r="E160" i="38" s="1"/>
  <c r="B160" i="38"/>
  <c r="A160" i="38"/>
  <c r="M160" i="38" s="1"/>
  <c r="U159" i="38"/>
  <c r="S159" i="38"/>
  <c r="P159" i="38"/>
  <c r="Q159" i="38" s="1"/>
  <c r="N159" i="38"/>
  <c r="O159" i="38" s="1"/>
  <c r="K159" i="38"/>
  <c r="F159" i="38"/>
  <c r="G159" i="38" s="1"/>
  <c r="D159" i="38"/>
  <c r="E159" i="38" s="1"/>
  <c r="B159" i="38"/>
  <c r="A159" i="38"/>
  <c r="M159" i="38" s="1"/>
  <c r="U158" i="38"/>
  <c r="S158" i="38"/>
  <c r="P158" i="38"/>
  <c r="Q158" i="38" s="1"/>
  <c r="N158" i="38"/>
  <c r="O158" i="38" s="1"/>
  <c r="K158" i="38"/>
  <c r="L158" i="38" s="1"/>
  <c r="F158" i="38"/>
  <c r="G158" i="38" s="1"/>
  <c r="D158" i="38"/>
  <c r="E158" i="38" s="1"/>
  <c r="B158" i="38"/>
  <c r="A158" i="38"/>
  <c r="M158" i="38" s="1"/>
  <c r="Y157" i="38"/>
  <c r="Z157" i="38" s="1"/>
  <c r="W157" i="38"/>
  <c r="B157" i="38"/>
  <c r="A157" i="38"/>
  <c r="Y156" i="38"/>
  <c r="W156" i="38"/>
  <c r="X156" i="38" s="1"/>
  <c r="B156" i="38"/>
  <c r="A156" i="38"/>
  <c r="Y155" i="38"/>
  <c r="Z155" i="38" s="1"/>
  <c r="W155" i="38"/>
  <c r="B155" i="38"/>
  <c r="A155" i="38"/>
  <c r="Y154" i="38"/>
  <c r="W154" i="38"/>
  <c r="X154" i="38" s="1"/>
  <c r="K154" i="38"/>
  <c r="L154" i="38" s="1"/>
  <c r="B154" i="38"/>
  <c r="A154" i="38"/>
  <c r="Y153" i="38"/>
  <c r="Z153" i="38" s="1"/>
  <c r="W153" i="38"/>
  <c r="X153" i="38" s="1"/>
  <c r="B153" i="38"/>
  <c r="A153" i="38"/>
  <c r="U152" i="38"/>
  <c r="S152" i="38"/>
  <c r="P152" i="38"/>
  <c r="Q152" i="38" s="1"/>
  <c r="N152" i="38"/>
  <c r="O152" i="38" s="1"/>
  <c r="K152" i="38"/>
  <c r="F152" i="38"/>
  <c r="G152" i="38" s="1"/>
  <c r="D152" i="38"/>
  <c r="E152" i="38" s="1"/>
  <c r="B152" i="38"/>
  <c r="A152" i="38"/>
  <c r="M152" i="38" s="1"/>
  <c r="U151" i="38"/>
  <c r="S151" i="38"/>
  <c r="P151" i="38"/>
  <c r="Q151" i="38" s="1"/>
  <c r="N151" i="38"/>
  <c r="O151" i="38" s="1"/>
  <c r="K151" i="38"/>
  <c r="F151" i="38"/>
  <c r="G151" i="38" s="1"/>
  <c r="D151" i="38"/>
  <c r="E151" i="38" s="1"/>
  <c r="B151" i="38"/>
  <c r="A151" i="38"/>
  <c r="M151" i="38" s="1"/>
  <c r="U150" i="38"/>
  <c r="S150" i="38"/>
  <c r="P150" i="38"/>
  <c r="Q150" i="38" s="1"/>
  <c r="N150" i="38"/>
  <c r="O150" i="38" s="1"/>
  <c r="K150" i="38"/>
  <c r="L150" i="38" s="1"/>
  <c r="F150" i="38"/>
  <c r="G150" i="38" s="1"/>
  <c r="D150" i="38"/>
  <c r="E150" i="38" s="1"/>
  <c r="B150" i="38"/>
  <c r="A150" i="38"/>
  <c r="M150" i="38" s="1"/>
  <c r="U149" i="38"/>
  <c r="S149" i="38"/>
  <c r="P149" i="38"/>
  <c r="Q149" i="38" s="1"/>
  <c r="N149" i="38"/>
  <c r="O149" i="38" s="1"/>
  <c r="K149" i="38"/>
  <c r="L149" i="38" s="1"/>
  <c r="F149" i="38"/>
  <c r="G149" i="38" s="1"/>
  <c r="D149" i="38"/>
  <c r="E149" i="38" s="1"/>
  <c r="B149" i="38"/>
  <c r="A149" i="38"/>
  <c r="M149" i="38" s="1"/>
  <c r="Y148" i="38"/>
  <c r="Z148" i="38" s="1"/>
  <c r="W148" i="38"/>
  <c r="X148" i="38" s="1"/>
  <c r="B148" i="38"/>
  <c r="A148" i="38"/>
  <c r="Y147" i="38"/>
  <c r="Z147" i="38" s="1"/>
  <c r="W147" i="38"/>
  <c r="B147" i="38"/>
  <c r="A147" i="38"/>
  <c r="Y146" i="38"/>
  <c r="Z146" i="38" s="1"/>
  <c r="W146" i="38"/>
  <c r="X146" i="38" s="1"/>
  <c r="B146" i="38"/>
  <c r="A146" i="38"/>
  <c r="Y145" i="38"/>
  <c r="Z145" i="38" s="1"/>
  <c r="W145" i="38"/>
  <c r="X145" i="38" s="1"/>
  <c r="K145" i="38"/>
  <c r="L145" i="38" s="1"/>
  <c r="B145" i="38"/>
  <c r="A145" i="38"/>
  <c r="Y144" i="38"/>
  <c r="Z144" i="38" s="1"/>
  <c r="W144" i="38"/>
  <c r="B144" i="38"/>
  <c r="A144" i="38"/>
  <c r="U143" i="38"/>
  <c r="S143" i="38"/>
  <c r="P143" i="38"/>
  <c r="Q143" i="38" s="1"/>
  <c r="N143" i="38"/>
  <c r="O143" i="38" s="1"/>
  <c r="K143" i="38"/>
  <c r="L143" i="38" s="1"/>
  <c r="F143" i="38"/>
  <c r="G143" i="38" s="1"/>
  <c r="D143" i="38"/>
  <c r="E143" i="38" s="1"/>
  <c r="B143" i="38"/>
  <c r="A143" i="38"/>
  <c r="M143" i="38" s="1"/>
  <c r="U142" i="38"/>
  <c r="S142" i="38"/>
  <c r="P142" i="38"/>
  <c r="Q142" i="38" s="1"/>
  <c r="N142" i="38"/>
  <c r="O142" i="38" s="1"/>
  <c r="K142" i="38"/>
  <c r="L142" i="38" s="1"/>
  <c r="F142" i="38"/>
  <c r="G142" i="38" s="1"/>
  <c r="D142" i="38"/>
  <c r="E142" i="38" s="1"/>
  <c r="B142" i="38"/>
  <c r="A142" i="38"/>
  <c r="M142" i="38" s="1"/>
  <c r="U141" i="38"/>
  <c r="S141" i="38"/>
  <c r="P141" i="38"/>
  <c r="Q141" i="38" s="1"/>
  <c r="N141" i="38"/>
  <c r="O141" i="38" s="1"/>
  <c r="K141" i="38"/>
  <c r="F141" i="38"/>
  <c r="G141" i="38" s="1"/>
  <c r="D141" i="38"/>
  <c r="E141" i="38" s="1"/>
  <c r="B141" i="38"/>
  <c r="A141" i="38"/>
  <c r="M141" i="38" s="1"/>
  <c r="U140" i="38"/>
  <c r="S140" i="38"/>
  <c r="P140" i="38"/>
  <c r="Q140" i="38" s="1"/>
  <c r="N140" i="38"/>
  <c r="O140" i="38" s="1"/>
  <c r="K140" i="38"/>
  <c r="L140" i="38" s="1"/>
  <c r="F140" i="38"/>
  <c r="G140" i="38" s="1"/>
  <c r="D140" i="38"/>
  <c r="E140" i="38" s="1"/>
  <c r="B140" i="38"/>
  <c r="A140" i="38"/>
  <c r="M140" i="38" s="1"/>
  <c r="Y139" i="38"/>
  <c r="W139" i="38"/>
  <c r="X139" i="38" s="1"/>
  <c r="B139" i="38"/>
  <c r="A139" i="38"/>
  <c r="Y138" i="38"/>
  <c r="Z138" i="38" s="1"/>
  <c r="W138" i="38"/>
  <c r="B138" i="38"/>
  <c r="A138" i="38"/>
  <c r="Y137" i="38"/>
  <c r="Z137" i="38" s="1"/>
  <c r="W137" i="38"/>
  <c r="B137" i="38"/>
  <c r="A137" i="38"/>
  <c r="Y136" i="38"/>
  <c r="Z136" i="38" s="1"/>
  <c r="W136" i="38"/>
  <c r="K136" i="38"/>
  <c r="L136" i="38" s="1"/>
  <c r="B136" i="38"/>
  <c r="A136" i="38"/>
  <c r="Y135" i="38"/>
  <c r="Z135" i="38" s="1"/>
  <c r="W135" i="38"/>
  <c r="B135" i="38"/>
  <c r="A135" i="38"/>
  <c r="U134" i="38"/>
  <c r="S134" i="38"/>
  <c r="P134" i="38"/>
  <c r="Q134" i="38" s="1"/>
  <c r="N134" i="38"/>
  <c r="O134" i="38" s="1"/>
  <c r="K134" i="38"/>
  <c r="L134" i="38" s="1"/>
  <c r="F134" i="38"/>
  <c r="G134" i="38" s="1"/>
  <c r="D134" i="38"/>
  <c r="E134" i="38" s="1"/>
  <c r="B134" i="38"/>
  <c r="A134" i="38"/>
  <c r="M134" i="38" s="1"/>
  <c r="U133" i="38"/>
  <c r="S133" i="38"/>
  <c r="P133" i="38"/>
  <c r="Q133" i="38" s="1"/>
  <c r="N133" i="38"/>
  <c r="O133" i="38" s="1"/>
  <c r="K133" i="38"/>
  <c r="L133" i="38" s="1"/>
  <c r="F133" i="38"/>
  <c r="G133" i="38" s="1"/>
  <c r="D133" i="38"/>
  <c r="E133" i="38" s="1"/>
  <c r="B133" i="38"/>
  <c r="A133" i="38"/>
  <c r="M133" i="38" s="1"/>
  <c r="U132" i="38"/>
  <c r="S132" i="38"/>
  <c r="P132" i="38"/>
  <c r="Q132" i="38" s="1"/>
  <c r="N132" i="38"/>
  <c r="O132" i="38" s="1"/>
  <c r="K132" i="38"/>
  <c r="L132" i="38" s="1"/>
  <c r="F132" i="38"/>
  <c r="G132" i="38" s="1"/>
  <c r="D132" i="38"/>
  <c r="E132" i="38" s="1"/>
  <c r="B132" i="38"/>
  <c r="A132" i="38"/>
  <c r="M132" i="38" s="1"/>
  <c r="U131" i="38"/>
  <c r="S131" i="38"/>
  <c r="P131" i="38"/>
  <c r="Q131" i="38" s="1"/>
  <c r="N131" i="38"/>
  <c r="O131" i="38" s="1"/>
  <c r="K131" i="38"/>
  <c r="L131" i="38" s="1"/>
  <c r="F131" i="38"/>
  <c r="G131" i="38" s="1"/>
  <c r="D131" i="38"/>
  <c r="E131" i="38" s="1"/>
  <c r="B131" i="38"/>
  <c r="A131" i="38"/>
  <c r="M131" i="38" s="1"/>
  <c r="Y130" i="38"/>
  <c r="Z130" i="38" s="1"/>
  <c r="W130" i="38"/>
  <c r="B130" i="38"/>
  <c r="A130" i="38"/>
  <c r="Y129" i="38"/>
  <c r="Z129" i="38" s="1"/>
  <c r="W129" i="38"/>
  <c r="B129" i="38"/>
  <c r="A129" i="38"/>
  <c r="Y128" i="38"/>
  <c r="W128" i="38"/>
  <c r="X128" i="38" s="1"/>
  <c r="B128" i="38"/>
  <c r="A128" i="38"/>
  <c r="Y127" i="38"/>
  <c r="Z127" i="38" s="1"/>
  <c r="W127" i="38"/>
  <c r="X127" i="38" s="1"/>
  <c r="K127" i="38"/>
  <c r="L127" i="38" s="1"/>
  <c r="B127" i="38"/>
  <c r="A127" i="38"/>
  <c r="Y126" i="38"/>
  <c r="Z126" i="38" s="1"/>
  <c r="W126" i="38"/>
  <c r="B126" i="38"/>
  <c r="A126" i="38"/>
  <c r="U125" i="38"/>
  <c r="S125" i="38"/>
  <c r="P125" i="38"/>
  <c r="Q125" i="38" s="1"/>
  <c r="N125" i="38"/>
  <c r="O125" i="38" s="1"/>
  <c r="K125" i="38"/>
  <c r="L125" i="38" s="1"/>
  <c r="F125" i="38"/>
  <c r="G125" i="38" s="1"/>
  <c r="D125" i="38"/>
  <c r="E125" i="38" s="1"/>
  <c r="B125" i="38"/>
  <c r="A125" i="38"/>
  <c r="M125" i="38" s="1"/>
  <c r="U124" i="38"/>
  <c r="S124" i="38"/>
  <c r="P124" i="38"/>
  <c r="Q124" i="38" s="1"/>
  <c r="N124" i="38"/>
  <c r="O124" i="38" s="1"/>
  <c r="K124" i="38"/>
  <c r="L124" i="38" s="1"/>
  <c r="F124" i="38"/>
  <c r="G124" i="38" s="1"/>
  <c r="D124" i="38"/>
  <c r="E124" i="38" s="1"/>
  <c r="B124" i="38"/>
  <c r="A124" i="38"/>
  <c r="M124" i="38" s="1"/>
  <c r="U123" i="38"/>
  <c r="S123" i="38"/>
  <c r="P123" i="38"/>
  <c r="Q123" i="38" s="1"/>
  <c r="N123" i="38"/>
  <c r="O123" i="38" s="1"/>
  <c r="K123" i="38"/>
  <c r="L123" i="38" s="1"/>
  <c r="F123" i="38"/>
  <c r="G123" i="38" s="1"/>
  <c r="D123" i="38"/>
  <c r="E123" i="38" s="1"/>
  <c r="B123" i="38"/>
  <c r="A123" i="38"/>
  <c r="M123" i="38" s="1"/>
  <c r="U122" i="38"/>
  <c r="S122" i="38"/>
  <c r="P122" i="38"/>
  <c r="Q122" i="38" s="1"/>
  <c r="N122" i="38"/>
  <c r="O122" i="38" s="1"/>
  <c r="K122" i="38"/>
  <c r="L122" i="38" s="1"/>
  <c r="F122" i="38"/>
  <c r="G122" i="38" s="1"/>
  <c r="D122" i="38"/>
  <c r="E122" i="38" s="1"/>
  <c r="B122" i="38"/>
  <c r="A122" i="38"/>
  <c r="M122" i="38" s="1"/>
  <c r="Y121" i="38"/>
  <c r="W121" i="38"/>
  <c r="X121" i="38" s="1"/>
  <c r="B121" i="38"/>
  <c r="A121" i="38"/>
  <c r="Y120" i="38"/>
  <c r="Z120" i="38" s="1"/>
  <c r="W120" i="38"/>
  <c r="B120" i="38"/>
  <c r="A120" i="38"/>
  <c r="Y119" i="38"/>
  <c r="Z119" i="38" s="1"/>
  <c r="W119" i="38"/>
  <c r="B119" i="38"/>
  <c r="A119" i="38"/>
  <c r="Y118" i="38"/>
  <c r="Z118" i="38" s="1"/>
  <c r="W118" i="38"/>
  <c r="K118" i="38"/>
  <c r="L118" i="38" s="1"/>
  <c r="B118" i="38"/>
  <c r="A118" i="38"/>
  <c r="Y117" i="38"/>
  <c r="Z117" i="38" s="1"/>
  <c r="X117" i="38"/>
  <c r="W117" i="38"/>
  <c r="B117" i="38"/>
  <c r="A117" i="38"/>
  <c r="U116" i="38"/>
  <c r="S116" i="38"/>
  <c r="P116" i="38"/>
  <c r="Q116" i="38" s="1"/>
  <c r="N116" i="38"/>
  <c r="O116" i="38" s="1"/>
  <c r="K116" i="38"/>
  <c r="L116" i="38" s="1"/>
  <c r="F116" i="38"/>
  <c r="G116" i="38" s="1"/>
  <c r="D116" i="38"/>
  <c r="E116" i="38" s="1"/>
  <c r="B116" i="38"/>
  <c r="A116" i="38"/>
  <c r="M116" i="38" s="1"/>
  <c r="U115" i="38"/>
  <c r="S115" i="38"/>
  <c r="P115" i="38"/>
  <c r="Q115" i="38" s="1"/>
  <c r="N115" i="38"/>
  <c r="O115" i="38" s="1"/>
  <c r="K115" i="38"/>
  <c r="L115" i="38" s="1"/>
  <c r="F115" i="38"/>
  <c r="G115" i="38" s="1"/>
  <c r="D115" i="38"/>
  <c r="E115" i="38" s="1"/>
  <c r="B115" i="38"/>
  <c r="A115" i="38"/>
  <c r="M115" i="38" s="1"/>
  <c r="U114" i="38"/>
  <c r="S114" i="38"/>
  <c r="P114" i="38"/>
  <c r="Q114" i="38" s="1"/>
  <c r="N114" i="38"/>
  <c r="O114" i="38" s="1"/>
  <c r="K114" i="38"/>
  <c r="L114" i="38" s="1"/>
  <c r="F114" i="38"/>
  <c r="G114" i="38" s="1"/>
  <c r="D114" i="38"/>
  <c r="E114" i="38" s="1"/>
  <c r="B114" i="38"/>
  <c r="A114" i="38"/>
  <c r="M114" i="38" s="1"/>
  <c r="U113" i="38"/>
  <c r="S113" i="38"/>
  <c r="P113" i="38"/>
  <c r="Q113" i="38" s="1"/>
  <c r="N113" i="38"/>
  <c r="O113" i="38" s="1"/>
  <c r="K113" i="38"/>
  <c r="L113" i="38" s="1"/>
  <c r="F113" i="38"/>
  <c r="G113" i="38" s="1"/>
  <c r="D113" i="38"/>
  <c r="E113" i="38" s="1"/>
  <c r="B113" i="38"/>
  <c r="A113" i="38"/>
  <c r="M113" i="38" s="1"/>
  <c r="Y112" i="38"/>
  <c r="Z112" i="38" s="1"/>
  <c r="W112" i="38"/>
  <c r="B112" i="38"/>
  <c r="A112" i="38"/>
  <c r="Y111" i="38"/>
  <c r="Z111" i="38" s="1"/>
  <c r="W111" i="38"/>
  <c r="B111" i="38"/>
  <c r="A111" i="38"/>
  <c r="Y110" i="38"/>
  <c r="W110" i="38"/>
  <c r="X110" i="38" s="1"/>
  <c r="B110" i="38"/>
  <c r="A110" i="38"/>
  <c r="Y109" i="38"/>
  <c r="Z109" i="38" s="1"/>
  <c r="W109" i="38"/>
  <c r="X109" i="38" s="1"/>
  <c r="K109" i="38"/>
  <c r="L109" i="38" s="1"/>
  <c r="B109" i="38"/>
  <c r="A109" i="38"/>
  <c r="Y108" i="38"/>
  <c r="Z108" i="38" s="1"/>
  <c r="W108" i="38"/>
  <c r="B108" i="38"/>
  <c r="A108" i="38"/>
  <c r="U107" i="38"/>
  <c r="S107" i="38"/>
  <c r="P107" i="38"/>
  <c r="Q107" i="38" s="1"/>
  <c r="N107" i="38"/>
  <c r="O107" i="38" s="1"/>
  <c r="K107" i="38"/>
  <c r="L107" i="38" s="1"/>
  <c r="F107" i="38"/>
  <c r="G107" i="38" s="1"/>
  <c r="D107" i="38"/>
  <c r="E107" i="38" s="1"/>
  <c r="B107" i="38"/>
  <c r="A107" i="38"/>
  <c r="M107" i="38" s="1"/>
  <c r="U106" i="38"/>
  <c r="S106" i="38"/>
  <c r="P106" i="38"/>
  <c r="Q106" i="38" s="1"/>
  <c r="N106" i="38"/>
  <c r="O106" i="38" s="1"/>
  <c r="K106" i="38"/>
  <c r="L106" i="38" s="1"/>
  <c r="F106" i="38"/>
  <c r="G106" i="38" s="1"/>
  <c r="D106" i="38"/>
  <c r="E106" i="38" s="1"/>
  <c r="B106" i="38"/>
  <c r="A106" i="38"/>
  <c r="M106" i="38" s="1"/>
  <c r="U105" i="38"/>
  <c r="S105" i="38"/>
  <c r="P105" i="38"/>
  <c r="Q105" i="38" s="1"/>
  <c r="N105" i="38"/>
  <c r="O105" i="38" s="1"/>
  <c r="K105" i="38"/>
  <c r="L105" i="38" s="1"/>
  <c r="F105" i="38"/>
  <c r="G105" i="38" s="1"/>
  <c r="D105" i="38"/>
  <c r="E105" i="38" s="1"/>
  <c r="B105" i="38"/>
  <c r="A105" i="38"/>
  <c r="M105" i="38" s="1"/>
  <c r="U104" i="38"/>
  <c r="S104" i="38"/>
  <c r="P104" i="38"/>
  <c r="Q104" i="38" s="1"/>
  <c r="N104" i="38"/>
  <c r="O104" i="38" s="1"/>
  <c r="K104" i="38"/>
  <c r="L104" i="38" s="1"/>
  <c r="F104" i="38"/>
  <c r="G104" i="38" s="1"/>
  <c r="D104" i="38"/>
  <c r="E104" i="38" s="1"/>
  <c r="B104" i="38"/>
  <c r="A104" i="38"/>
  <c r="M104" i="38" s="1"/>
  <c r="Y103" i="38"/>
  <c r="Z103" i="38" s="1"/>
  <c r="W103" i="38"/>
  <c r="X103" i="38" s="1"/>
  <c r="B103" i="38"/>
  <c r="A103" i="38"/>
  <c r="Y102" i="38"/>
  <c r="Z102" i="38" s="1"/>
  <c r="W102" i="38"/>
  <c r="B102" i="38"/>
  <c r="A102" i="38"/>
  <c r="Y101" i="38"/>
  <c r="Z101" i="38" s="1"/>
  <c r="W101" i="38"/>
  <c r="B101" i="38"/>
  <c r="A101" i="38"/>
  <c r="Y100" i="38"/>
  <c r="Z100" i="38" s="1"/>
  <c r="W100" i="38"/>
  <c r="K100" i="38"/>
  <c r="L100" i="38" s="1"/>
  <c r="B100" i="38"/>
  <c r="A100" i="38"/>
  <c r="Y99" i="38"/>
  <c r="Z99" i="38" s="1"/>
  <c r="W99" i="38"/>
  <c r="X99" i="38" s="1"/>
  <c r="B99" i="38"/>
  <c r="A99" i="38"/>
  <c r="U98" i="38"/>
  <c r="S98" i="38"/>
  <c r="P98" i="38"/>
  <c r="Q98" i="38" s="1"/>
  <c r="N98" i="38"/>
  <c r="O98" i="38" s="1"/>
  <c r="K98" i="38"/>
  <c r="L98" i="38" s="1"/>
  <c r="F98" i="38"/>
  <c r="G98" i="38" s="1"/>
  <c r="D98" i="38"/>
  <c r="E98" i="38" s="1"/>
  <c r="B98" i="38"/>
  <c r="A98" i="38"/>
  <c r="M98" i="38" s="1"/>
  <c r="U97" i="38"/>
  <c r="S97" i="38"/>
  <c r="P97" i="38"/>
  <c r="Q97" i="38" s="1"/>
  <c r="N97" i="38"/>
  <c r="O97" i="38" s="1"/>
  <c r="K97" i="38"/>
  <c r="L97" i="38" s="1"/>
  <c r="F97" i="38"/>
  <c r="G97" i="38" s="1"/>
  <c r="D97" i="38"/>
  <c r="E97" i="38" s="1"/>
  <c r="B97" i="38"/>
  <c r="A97" i="38"/>
  <c r="M97" i="38" s="1"/>
  <c r="U96" i="38"/>
  <c r="S96" i="38"/>
  <c r="P96" i="38"/>
  <c r="Q96" i="38" s="1"/>
  <c r="N96" i="38"/>
  <c r="O96" i="38" s="1"/>
  <c r="K96" i="38"/>
  <c r="L96" i="38" s="1"/>
  <c r="F96" i="38"/>
  <c r="G96" i="38" s="1"/>
  <c r="D96" i="38"/>
  <c r="E96" i="38" s="1"/>
  <c r="B96" i="38"/>
  <c r="A96" i="38"/>
  <c r="M96" i="38" s="1"/>
  <c r="U95" i="38"/>
  <c r="S95" i="38"/>
  <c r="P95" i="38"/>
  <c r="Q95" i="38" s="1"/>
  <c r="N95" i="38"/>
  <c r="O95" i="38" s="1"/>
  <c r="K95" i="38"/>
  <c r="L95" i="38" s="1"/>
  <c r="F95" i="38"/>
  <c r="G95" i="38" s="1"/>
  <c r="D95" i="38"/>
  <c r="E95" i="38" s="1"/>
  <c r="B95" i="38"/>
  <c r="A95" i="38"/>
  <c r="M95" i="38" s="1"/>
  <c r="AE94" i="38"/>
  <c r="Y94" i="38"/>
  <c r="Z94" i="38" s="1"/>
  <c r="W94" i="38"/>
  <c r="B94" i="38"/>
  <c r="A94" i="38"/>
  <c r="AE93" i="38"/>
  <c r="Y93" i="38"/>
  <c r="Z93" i="38" s="1"/>
  <c r="W93" i="38"/>
  <c r="X93" i="38" s="1"/>
  <c r="B93" i="38"/>
  <c r="A93" i="38"/>
  <c r="AE92" i="38"/>
  <c r="Y92" i="38"/>
  <c r="Z92" i="38" s="1"/>
  <c r="W92" i="38"/>
  <c r="B92" i="38"/>
  <c r="A92" i="38"/>
  <c r="AE91" i="38"/>
  <c r="Y91" i="38"/>
  <c r="W91" i="38"/>
  <c r="X91" i="38" s="1"/>
  <c r="K91" i="38"/>
  <c r="L91" i="38" s="1"/>
  <c r="B91" i="38"/>
  <c r="A91" i="38"/>
  <c r="AE90" i="38"/>
  <c r="Y90" i="38"/>
  <c r="Z90" i="38" s="1"/>
  <c r="W90" i="38"/>
  <c r="B90" i="38"/>
  <c r="A90" i="38"/>
  <c r="AE89" i="38"/>
  <c r="U89" i="38"/>
  <c r="S89" i="38"/>
  <c r="P89" i="38"/>
  <c r="Q89" i="38" s="1"/>
  <c r="N89" i="38"/>
  <c r="O89" i="38" s="1"/>
  <c r="K89" i="38"/>
  <c r="F89" i="38"/>
  <c r="G89" i="38" s="1"/>
  <c r="D89" i="38"/>
  <c r="E89" i="38" s="1"/>
  <c r="B89" i="38"/>
  <c r="A89" i="38"/>
  <c r="M89" i="38" s="1"/>
  <c r="AE88" i="38"/>
  <c r="U88" i="38"/>
  <c r="S88" i="38"/>
  <c r="P88" i="38"/>
  <c r="Q88" i="38" s="1"/>
  <c r="N88" i="38"/>
  <c r="O88" i="38" s="1"/>
  <c r="K88" i="38"/>
  <c r="L88" i="38" s="1"/>
  <c r="F88" i="38"/>
  <c r="G88" i="38" s="1"/>
  <c r="D88" i="38"/>
  <c r="E88" i="38" s="1"/>
  <c r="B88" i="38"/>
  <c r="A88" i="38"/>
  <c r="M88" i="38" s="1"/>
  <c r="AE87" i="38"/>
  <c r="U87" i="38"/>
  <c r="S87" i="38"/>
  <c r="P87" i="38"/>
  <c r="Q87" i="38" s="1"/>
  <c r="N87" i="38"/>
  <c r="O87" i="38" s="1"/>
  <c r="K87" i="38"/>
  <c r="L87" i="38" s="1"/>
  <c r="F87" i="38"/>
  <c r="G87" i="38" s="1"/>
  <c r="D87" i="38"/>
  <c r="E87" i="38" s="1"/>
  <c r="B87" i="38"/>
  <c r="A87" i="38"/>
  <c r="M87" i="38" s="1"/>
  <c r="AE86" i="38"/>
  <c r="U86" i="38"/>
  <c r="S86" i="38"/>
  <c r="P86" i="38"/>
  <c r="Q86" i="38" s="1"/>
  <c r="N86" i="38"/>
  <c r="O86" i="38" s="1"/>
  <c r="K86" i="38"/>
  <c r="L86" i="38" s="1"/>
  <c r="F86" i="38"/>
  <c r="G86" i="38" s="1"/>
  <c r="D86" i="38"/>
  <c r="E86" i="38" s="1"/>
  <c r="B86" i="38"/>
  <c r="A86" i="38"/>
  <c r="M86" i="38" s="1"/>
  <c r="AE85" i="38"/>
  <c r="Y85" i="38"/>
  <c r="Z85" i="38" s="1"/>
  <c r="W85" i="38"/>
  <c r="B85" i="38"/>
  <c r="A85" i="38"/>
  <c r="AE84" i="38"/>
  <c r="Y84" i="38"/>
  <c r="Z84" i="38" s="1"/>
  <c r="W84" i="38"/>
  <c r="X84" i="38" s="1"/>
  <c r="B84" i="38"/>
  <c r="A84" i="38"/>
  <c r="AE83" i="38"/>
  <c r="Y83" i="38"/>
  <c r="Z83" i="38" s="1"/>
  <c r="W83" i="38"/>
  <c r="B83" i="38"/>
  <c r="A83" i="38"/>
  <c r="AE82" i="38"/>
  <c r="Y82" i="38"/>
  <c r="Z82" i="38" s="1"/>
  <c r="W82" i="38"/>
  <c r="X82" i="38" s="1"/>
  <c r="K82" i="38"/>
  <c r="L82" i="38" s="1"/>
  <c r="B82" i="38"/>
  <c r="A82" i="38"/>
  <c r="AE81" i="38"/>
  <c r="Y81" i="38"/>
  <c r="Z81" i="38" s="1"/>
  <c r="W81" i="38"/>
  <c r="B81" i="38"/>
  <c r="A81" i="38"/>
  <c r="AE80" i="38"/>
  <c r="U80" i="38"/>
  <c r="S80" i="38"/>
  <c r="P80" i="38"/>
  <c r="Q80" i="38" s="1"/>
  <c r="N80" i="38"/>
  <c r="O80" i="38" s="1"/>
  <c r="K80" i="38"/>
  <c r="L80" i="38" s="1"/>
  <c r="F80" i="38"/>
  <c r="G80" i="38" s="1"/>
  <c r="D80" i="38"/>
  <c r="E80" i="38" s="1"/>
  <c r="B80" i="38"/>
  <c r="A80" i="38"/>
  <c r="M80" i="38" s="1"/>
  <c r="AE79" i="38"/>
  <c r="U79" i="38"/>
  <c r="S79" i="38"/>
  <c r="P79" i="38"/>
  <c r="Q79" i="38" s="1"/>
  <c r="N79" i="38"/>
  <c r="O79" i="38" s="1"/>
  <c r="K79" i="38"/>
  <c r="L79" i="38" s="1"/>
  <c r="F79" i="38"/>
  <c r="G79" i="38" s="1"/>
  <c r="D79" i="38"/>
  <c r="E79" i="38" s="1"/>
  <c r="B79" i="38"/>
  <c r="A79" i="38"/>
  <c r="M79" i="38" s="1"/>
  <c r="AE78" i="38"/>
  <c r="U78" i="38"/>
  <c r="S78" i="38"/>
  <c r="P78" i="38"/>
  <c r="Q78" i="38" s="1"/>
  <c r="N78" i="38"/>
  <c r="O78" i="38" s="1"/>
  <c r="K78" i="38"/>
  <c r="L78" i="38" s="1"/>
  <c r="F78" i="38"/>
  <c r="G78" i="38" s="1"/>
  <c r="D78" i="38"/>
  <c r="E78" i="38" s="1"/>
  <c r="B78" i="38"/>
  <c r="A78" i="38"/>
  <c r="M78" i="38" s="1"/>
  <c r="AE77" i="38"/>
  <c r="U77" i="38"/>
  <c r="S77" i="38"/>
  <c r="P77" i="38"/>
  <c r="Q77" i="38" s="1"/>
  <c r="N77" i="38"/>
  <c r="O77" i="38" s="1"/>
  <c r="K77" i="38"/>
  <c r="L77" i="38" s="1"/>
  <c r="F77" i="38"/>
  <c r="G77" i="38" s="1"/>
  <c r="D77" i="38"/>
  <c r="E77" i="38" s="1"/>
  <c r="B77" i="38"/>
  <c r="A77" i="38"/>
  <c r="M77" i="38" s="1"/>
  <c r="AE76" i="38"/>
  <c r="Y76" i="38"/>
  <c r="Z76" i="38" s="1"/>
  <c r="W76" i="38"/>
  <c r="X76" i="38" s="1"/>
  <c r="B76" i="38"/>
  <c r="A76" i="38"/>
  <c r="AE75" i="38"/>
  <c r="Y75" i="38"/>
  <c r="Z75" i="38" s="1"/>
  <c r="W75" i="38"/>
  <c r="B75" i="38"/>
  <c r="A75" i="38"/>
  <c r="AE74" i="38"/>
  <c r="Y74" i="38"/>
  <c r="Z74" i="38" s="1"/>
  <c r="W74" i="38"/>
  <c r="X74" i="38" s="1"/>
  <c r="B74" i="38"/>
  <c r="A74" i="38"/>
  <c r="AE73" i="38"/>
  <c r="Y73" i="38"/>
  <c r="Z73" i="38" s="1"/>
  <c r="W73" i="38"/>
  <c r="X73" i="38" s="1"/>
  <c r="K73" i="38"/>
  <c r="L73" i="38" s="1"/>
  <c r="B73" i="38"/>
  <c r="A73" i="38"/>
  <c r="AE72" i="38"/>
  <c r="Y72" i="38"/>
  <c r="Z72" i="38" s="1"/>
  <c r="W72" i="38"/>
  <c r="B72" i="38"/>
  <c r="A72" i="38"/>
  <c r="AE71" i="38"/>
  <c r="U71" i="38"/>
  <c r="S71" i="38"/>
  <c r="P71" i="38"/>
  <c r="Q71" i="38" s="1"/>
  <c r="N71" i="38"/>
  <c r="O71" i="38" s="1"/>
  <c r="K71" i="38"/>
  <c r="L71" i="38" s="1"/>
  <c r="F71" i="38"/>
  <c r="G71" i="38" s="1"/>
  <c r="D71" i="38"/>
  <c r="E71" i="38" s="1"/>
  <c r="B71" i="38"/>
  <c r="A71" i="38"/>
  <c r="M71" i="38" s="1"/>
  <c r="AE70" i="38"/>
  <c r="U70" i="38"/>
  <c r="S70" i="38"/>
  <c r="P70" i="38"/>
  <c r="Q70" i="38" s="1"/>
  <c r="N70" i="38"/>
  <c r="O70" i="38" s="1"/>
  <c r="K70" i="38"/>
  <c r="L70" i="38" s="1"/>
  <c r="F70" i="38"/>
  <c r="G70" i="38" s="1"/>
  <c r="D70" i="38"/>
  <c r="E70" i="38" s="1"/>
  <c r="B70" i="38"/>
  <c r="A70" i="38"/>
  <c r="M70" i="38" s="1"/>
  <c r="AE69" i="38"/>
  <c r="U69" i="38"/>
  <c r="S69" i="38"/>
  <c r="P69" i="38"/>
  <c r="Q69" i="38" s="1"/>
  <c r="N69" i="38"/>
  <c r="O69" i="38" s="1"/>
  <c r="K69" i="38"/>
  <c r="L69" i="38" s="1"/>
  <c r="F69" i="38"/>
  <c r="G69" i="38" s="1"/>
  <c r="D69" i="38"/>
  <c r="E69" i="38" s="1"/>
  <c r="B69" i="38"/>
  <c r="A69" i="38"/>
  <c r="M69" i="38" s="1"/>
  <c r="AE68" i="38"/>
  <c r="U68" i="38"/>
  <c r="S68" i="38"/>
  <c r="P68" i="38"/>
  <c r="Q68" i="38" s="1"/>
  <c r="N68" i="38"/>
  <c r="O68" i="38" s="1"/>
  <c r="K68" i="38"/>
  <c r="L68" i="38" s="1"/>
  <c r="F68" i="38"/>
  <c r="G68" i="38" s="1"/>
  <c r="D68" i="38"/>
  <c r="E68" i="38" s="1"/>
  <c r="B68" i="38"/>
  <c r="A68" i="38"/>
  <c r="M68" i="38" s="1"/>
  <c r="AE67" i="38"/>
  <c r="Y67" i="38"/>
  <c r="Z67" i="38" s="1"/>
  <c r="W67" i="38"/>
  <c r="B67" i="38"/>
  <c r="A67" i="38"/>
  <c r="AE66" i="38"/>
  <c r="Y66" i="38"/>
  <c r="Z66" i="38" s="1"/>
  <c r="W66" i="38"/>
  <c r="X66" i="38" s="1"/>
  <c r="B66" i="38"/>
  <c r="A66" i="38"/>
  <c r="AE65" i="38"/>
  <c r="Y65" i="38"/>
  <c r="Z65" i="38" s="1"/>
  <c r="W65" i="38"/>
  <c r="B65" i="38"/>
  <c r="A65" i="38"/>
  <c r="AE64" i="38"/>
  <c r="Y64" i="38"/>
  <c r="Z64" i="38" s="1"/>
  <c r="W64" i="38"/>
  <c r="X64" i="38" s="1"/>
  <c r="K64" i="38"/>
  <c r="L64" i="38" s="1"/>
  <c r="B64" i="38"/>
  <c r="A64" i="38"/>
  <c r="AE63" i="38"/>
  <c r="Y63" i="38"/>
  <c r="W63" i="38"/>
  <c r="X63" i="38" s="1"/>
  <c r="B63" i="38"/>
  <c r="A63" i="38"/>
  <c r="AE62" i="38"/>
  <c r="U62" i="38"/>
  <c r="S62" i="38"/>
  <c r="P62" i="38"/>
  <c r="Q62" i="38" s="1"/>
  <c r="N62" i="38"/>
  <c r="O62" i="38" s="1"/>
  <c r="K62" i="38"/>
  <c r="L62" i="38" s="1"/>
  <c r="F62" i="38"/>
  <c r="G62" i="38" s="1"/>
  <c r="D62" i="38"/>
  <c r="E62" i="38" s="1"/>
  <c r="B62" i="38"/>
  <c r="A62" i="38"/>
  <c r="M62" i="38" s="1"/>
  <c r="AE61" i="38"/>
  <c r="U61" i="38"/>
  <c r="S61" i="38"/>
  <c r="P61" i="38"/>
  <c r="Q61" i="38" s="1"/>
  <c r="N61" i="38"/>
  <c r="O61" i="38" s="1"/>
  <c r="K61" i="38"/>
  <c r="L61" i="38" s="1"/>
  <c r="F61" i="38"/>
  <c r="G61" i="38" s="1"/>
  <c r="D61" i="38"/>
  <c r="E61" i="38" s="1"/>
  <c r="B61" i="38"/>
  <c r="A61" i="38"/>
  <c r="M61" i="38" s="1"/>
  <c r="AE60" i="38"/>
  <c r="U60" i="38"/>
  <c r="S60" i="38"/>
  <c r="P60" i="38"/>
  <c r="Q60" i="38" s="1"/>
  <c r="N60" i="38"/>
  <c r="O60" i="38" s="1"/>
  <c r="K60" i="38"/>
  <c r="L60" i="38" s="1"/>
  <c r="F60" i="38"/>
  <c r="G60" i="38" s="1"/>
  <c r="D60" i="38"/>
  <c r="E60" i="38" s="1"/>
  <c r="B60" i="38"/>
  <c r="A60" i="38"/>
  <c r="M60" i="38" s="1"/>
  <c r="AE59" i="38"/>
  <c r="U59" i="38"/>
  <c r="S59" i="38"/>
  <c r="P59" i="38"/>
  <c r="Q59" i="38" s="1"/>
  <c r="N59" i="38"/>
  <c r="O59" i="38" s="1"/>
  <c r="K59" i="38"/>
  <c r="L59" i="38" s="1"/>
  <c r="F59" i="38"/>
  <c r="G59" i="38" s="1"/>
  <c r="D59" i="38"/>
  <c r="E59" i="38" s="1"/>
  <c r="B59" i="38"/>
  <c r="A59" i="38"/>
  <c r="M59" i="38" s="1"/>
  <c r="AE58" i="38"/>
  <c r="Y58" i="38"/>
  <c r="Z58" i="38" s="1"/>
  <c r="W58" i="38"/>
  <c r="X58" i="38" s="1"/>
  <c r="B58" i="38"/>
  <c r="A58" i="38"/>
  <c r="AE57" i="38"/>
  <c r="Y57" i="38"/>
  <c r="Z57" i="38" s="1"/>
  <c r="W57" i="38"/>
  <c r="X57" i="38" s="1"/>
  <c r="B57" i="38"/>
  <c r="A57" i="38"/>
  <c r="AE56" i="38"/>
  <c r="Y56" i="38"/>
  <c r="Z56" i="38" s="1"/>
  <c r="W56" i="38"/>
  <c r="X56" i="38" s="1"/>
  <c r="B56" i="38"/>
  <c r="A56" i="38"/>
  <c r="AE55" i="38"/>
  <c r="Y55" i="38"/>
  <c r="Z55" i="38" s="1"/>
  <c r="W55" i="38"/>
  <c r="X55" i="38" s="1"/>
  <c r="K55" i="38"/>
  <c r="L55" i="38" s="1"/>
  <c r="B55" i="38"/>
  <c r="A55" i="38"/>
  <c r="AE54" i="38"/>
  <c r="Y54" i="38"/>
  <c r="Z54" i="38" s="1"/>
  <c r="W54" i="38"/>
  <c r="X54" i="38" s="1"/>
  <c r="B54" i="38"/>
  <c r="A54" i="38"/>
  <c r="AE53" i="38"/>
  <c r="U53" i="38"/>
  <c r="S53" i="38"/>
  <c r="P53" i="38"/>
  <c r="Q53" i="38" s="1"/>
  <c r="N53" i="38"/>
  <c r="O53" i="38" s="1"/>
  <c r="K53" i="38"/>
  <c r="F53" i="38"/>
  <c r="G53" i="38" s="1"/>
  <c r="D53" i="38"/>
  <c r="E53" i="38" s="1"/>
  <c r="B53" i="38"/>
  <c r="A53" i="38"/>
  <c r="M53" i="38" s="1"/>
  <c r="AE52" i="38"/>
  <c r="U52" i="38"/>
  <c r="S52" i="38"/>
  <c r="P52" i="38"/>
  <c r="Q52" i="38" s="1"/>
  <c r="N52" i="38"/>
  <c r="O52" i="38" s="1"/>
  <c r="K52" i="38"/>
  <c r="L52" i="38" s="1"/>
  <c r="F52" i="38"/>
  <c r="G52" i="38" s="1"/>
  <c r="D52" i="38"/>
  <c r="E52" i="38" s="1"/>
  <c r="B52" i="38"/>
  <c r="A52" i="38"/>
  <c r="M52" i="38" s="1"/>
  <c r="AE51" i="38"/>
  <c r="U51" i="38"/>
  <c r="S51" i="38"/>
  <c r="P51" i="38"/>
  <c r="Q51" i="38" s="1"/>
  <c r="N51" i="38"/>
  <c r="O51" i="38" s="1"/>
  <c r="K51" i="38"/>
  <c r="L51" i="38" s="1"/>
  <c r="F51" i="38"/>
  <c r="G51" i="38" s="1"/>
  <c r="D51" i="38"/>
  <c r="E51" i="38" s="1"/>
  <c r="B51" i="38"/>
  <c r="A51" i="38"/>
  <c r="M51" i="38" s="1"/>
  <c r="AE50" i="38"/>
  <c r="U50" i="38"/>
  <c r="S50" i="38"/>
  <c r="P50" i="38"/>
  <c r="Q50" i="38" s="1"/>
  <c r="N50" i="38"/>
  <c r="O50" i="38" s="1"/>
  <c r="K50" i="38"/>
  <c r="L50" i="38" s="1"/>
  <c r="F50" i="38"/>
  <c r="G50" i="38" s="1"/>
  <c r="D50" i="38"/>
  <c r="E50" i="38" s="1"/>
  <c r="B50" i="38"/>
  <c r="A50" i="38"/>
  <c r="M50" i="38" s="1"/>
  <c r="AE49" i="38"/>
  <c r="Y49" i="38"/>
  <c r="Z49" i="38" s="1"/>
  <c r="W49" i="38"/>
  <c r="X49" i="38" s="1"/>
  <c r="B49" i="38"/>
  <c r="A49" i="38"/>
  <c r="AE48" i="38"/>
  <c r="Y48" i="38"/>
  <c r="Z48" i="38" s="1"/>
  <c r="W48" i="38"/>
  <c r="X48" i="38" s="1"/>
  <c r="B48" i="38"/>
  <c r="A48" i="38"/>
  <c r="AE47" i="38"/>
  <c r="Y47" i="38"/>
  <c r="Z47" i="38" s="1"/>
  <c r="W47" i="38"/>
  <c r="X47" i="38" s="1"/>
  <c r="B47" i="38"/>
  <c r="A47" i="38"/>
  <c r="AE46" i="38"/>
  <c r="Y46" i="38"/>
  <c r="Z46" i="38" s="1"/>
  <c r="W46" i="38"/>
  <c r="K46" i="38"/>
  <c r="L46" i="38" s="1"/>
  <c r="B46" i="38"/>
  <c r="A46" i="38"/>
  <c r="AE45" i="38"/>
  <c r="Y45" i="38"/>
  <c r="Z45" i="38" s="1"/>
  <c r="W45" i="38"/>
  <c r="X45" i="38" s="1"/>
  <c r="B45" i="38"/>
  <c r="A45" i="38"/>
  <c r="AE44" i="38"/>
  <c r="U44" i="38"/>
  <c r="S44" i="38"/>
  <c r="P44" i="38"/>
  <c r="Q44" i="38" s="1"/>
  <c r="N44" i="38"/>
  <c r="O44" i="38" s="1"/>
  <c r="K44" i="38"/>
  <c r="L44" i="38" s="1"/>
  <c r="F44" i="38"/>
  <c r="G44" i="38" s="1"/>
  <c r="D44" i="38"/>
  <c r="E44" i="38" s="1"/>
  <c r="B44" i="38"/>
  <c r="A44" i="38"/>
  <c r="M44" i="38" s="1"/>
  <c r="AE43" i="38"/>
  <c r="U43" i="38"/>
  <c r="S43" i="38"/>
  <c r="P43" i="38"/>
  <c r="Q43" i="38" s="1"/>
  <c r="N43" i="38"/>
  <c r="O43" i="38" s="1"/>
  <c r="K43" i="38"/>
  <c r="L43" i="38" s="1"/>
  <c r="F43" i="38"/>
  <c r="G43" i="38" s="1"/>
  <c r="D43" i="38"/>
  <c r="E43" i="38" s="1"/>
  <c r="B43" i="38"/>
  <c r="A43" i="38"/>
  <c r="M43" i="38" s="1"/>
  <c r="AE42" i="38"/>
  <c r="U42" i="38"/>
  <c r="S42" i="38"/>
  <c r="P42" i="38"/>
  <c r="Q42" i="38" s="1"/>
  <c r="N42" i="38"/>
  <c r="O42" i="38" s="1"/>
  <c r="K42" i="38"/>
  <c r="L42" i="38" s="1"/>
  <c r="F42" i="38"/>
  <c r="G42" i="38" s="1"/>
  <c r="D42" i="38"/>
  <c r="E42" i="38" s="1"/>
  <c r="B42" i="38"/>
  <c r="A42" i="38"/>
  <c r="M42" i="38" s="1"/>
  <c r="AE41" i="38"/>
  <c r="U41" i="38"/>
  <c r="S41" i="38"/>
  <c r="P41" i="38"/>
  <c r="Q41" i="38" s="1"/>
  <c r="N41" i="38"/>
  <c r="O41" i="38" s="1"/>
  <c r="K41" i="38"/>
  <c r="L41" i="38" s="1"/>
  <c r="F41" i="38"/>
  <c r="G41" i="38" s="1"/>
  <c r="D41" i="38"/>
  <c r="E41" i="38" s="1"/>
  <c r="B41" i="38"/>
  <c r="A41" i="38"/>
  <c r="M41" i="38" s="1"/>
  <c r="AE40" i="38"/>
  <c r="Y40" i="38"/>
  <c r="Z40" i="38" s="1"/>
  <c r="W40" i="38"/>
  <c r="B40" i="38"/>
  <c r="A40" i="38"/>
  <c r="AE39" i="38"/>
  <c r="Y39" i="38"/>
  <c r="Z39" i="38" s="1"/>
  <c r="W39" i="38"/>
  <c r="B39" i="38"/>
  <c r="A39" i="38"/>
  <c r="AE38" i="38"/>
  <c r="Y38" i="38"/>
  <c r="Z38" i="38" s="1"/>
  <c r="W38" i="38"/>
  <c r="B38" i="38"/>
  <c r="A38" i="38"/>
  <c r="AE37" i="38"/>
  <c r="Y37" i="38"/>
  <c r="Z37" i="38" s="1"/>
  <c r="W37" i="38"/>
  <c r="K37" i="38"/>
  <c r="B37" i="38"/>
  <c r="A37" i="38"/>
  <c r="AE36" i="38"/>
  <c r="Y36" i="38"/>
  <c r="Z36" i="38" s="1"/>
  <c r="W36" i="38"/>
  <c r="X36" i="38" s="1"/>
  <c r="B36" i="38"/>
  <c r="A36" i="38"/>
  <c r="AE35" i="38"/>
  <c r="U35" i="38"/>
  <c r="S35" i="38"/>
  <c r="P35" i="38"/>
  <c r="Q35" i="38" s="1"/>
  <c r="N35" i="38"/>
  <c r="O35" i="38" s="1"/>
  <c r="K35" i="38"/>
  <c r="L35" i="38" s="1"/>
  <c r="F35" i="38"/>
  <c r="G35" i="38" s="1"/>
  <c r="D35" i="38"/>
  <c r="E35" i="38" s="1"/>
  <c r="B35" i="38"/>
  <c r="A35" i="38"/>
  <c r="M35" i="38" s="1"/>
  <c r="AE34" i="38"/>
  <c r="U34" i="38"/>
  <c r="S34" i="38"/>
  <c r="P34" i="38"/>
  <c r="Q34" i="38" s="1"/>
  <c r="N34" i="38"/>
  <c r="O34" i="38" s="1"/>
  <c r="K34" i="38"/>
  <c r="L34" i="38" s="1"/>
  <c r="F34" i="38"/>
  <c r="G34" i="38" s="1"/>
  <c r="D34" i="38"/>
  <c r="E34" i="38" s="1"/>
  <c r="B34" i="38"/>
  <c r="A34" i="38"/>
  <c r="M34" i="38" s="1"/>
  <c r="AE33" i="38"/>
  <c r="U33" i="38"/>
  <c r="S33" i="38"/>
  <c r="P33" i="38"/>
  <c r="Q33" i="38" s="1"/>
  <c r="N33" i="38"/>
  <c r="O33" i="38" s="1"/>
  <c r="K33" i="38"/>
  <c r="L33" i="38" s="1"/>
  <c r="F33" i="38"/>
  <c r="G33" i="38" s="1"/>
  <c r="D33" i="38"/>
  <c r="E33" i="38" s="1"/>
  <c r="B33" i="38"/>
  <c r="A33" i="38"/>
  <c r="M33" i="38" s="1"/>
  <c r="AE32" i="38"/>
  <c r="U32" i="38"/>
  <c r="S32" i="38"/>
  <c r="P32" i="38"/>
  <c r="Q32" i="38" s="1"/>
  <c r="N32" i="38"/>
  <c r="O32" i="38" s="1"/>
  <c r="K32" i="38"/>
  <c r="L32" i="38" s="1"/>
  <c r="F32" i="38"/>
  <c r="G32" i="38" s="1"/>
  <c r="D32" i="38"/>
  <c r="E32" i="38" s="1"/>
  <c r="B32" i="38"/>
  <c r="A32" i="38"/>
  <c r="M32" i="38" s="1"/>
  <c r="AE31" i="38"/>
  <c r="Y31" i="38"/>
  <c r="Z31" i="38" s="1"/>
  <c r="W31" i="38"/>
  <c r="X31" i="38" s="1"/>
  <c r="B31" i="38"/>
  <c r="A31" i="38"/>
  <c r="AE30" i="38"/>
  <c r="Y30" i="38"/>
  <c r="Z30" i="38" s="1"/>
  <c r="W30" i="38"/>
  <c r="X30" i="38" s="1"/>
  <c r="B30" i="38"/>
  <c r="A30" i="38"/>
  <c r="AE29" i="38"/>
  <c r="Y29" i="38"/>
  <c r="Z29" i="38" s="1"/>
  <c r="W29" i="38"/>
  <c r="X29" i="38" s="1"/>
  <c r="B29" i="38"/>
  <c r="A29" i="38"/>
  <c r="AE28" i="38"/>
  <c r="Y28" i="38"/>
  <c r="Z28" i="38" s="1"/>
  <c r="W28" i="38"/>
  <c r="X28" i="38" s="1"/>
  <c r="K28" i="38"/>
  <c r="L28" i="38" s="1"/>
  <c r="B28" i="38"/>
  <c r="A28" i="38"/>
  <c r="AE27" i="38"/>
  <c r="Y27" i="38"/>
  <c r="Z27" i="38" s="1"/>
  <c r="W27" i="38"/>
  <c r="X27" i="38" s="1"/>
  <c r="B27" i="38"/>
  <c r="A27" i="38"/>
  <c r="AE26" i="38"/>
  <c r="U26" i="38"/>
  <c r="S26" i="38"/>
  <c r="P26" i="38"/>
  <c r="Q26" i="38" s="1"/>
  <c r="N26" i="38"/>
  <c r="O26" i="38" s="1"/>
  <c r="K26" i="38"/>
  <c r="F26" i="38"/>
  <c r="G26" i="38" s="1"/>
  <c r="D26" i="38"/>
  <c r="E26" i="38" s="1"/>
  <c r="B26" i="38"/>
  <c r="A26" i="38"/>
  <c r="M26" i="38" s="1"/>
  <c r="AE25" i="38"/>
  <c r="U25" i="38"/>
  <c r="S25" i="38"/>
  <c r="P25" i="38"/>
  <c r="Q25" i="38" s="1"/>
  <c r="N25" i="38"/>
  <c r="O25" i="38" s="1"/>
  <c r="K25" i="38"/>
  <c r="L25" i="38" s="1"/>
  <c r="F25" i="38"/>
  <c r="G25" i="38" s="1"/>
  <c r="D25" i="38"/>
  <c r="E25" i="38" s="1"/>
  <c r="B25" i="38"/>
  <c r="A25" i="38"/>
  <c r="M25" i="38" s="1"/>
  <c r="AE24" i="38"/>
  <c r="U24" i="38"/>
  <c r="S24" i="38"/>
  <c r="P24" i="38"/>
  <c r="Q24" i="38" s="1"/>
  <c r="N24" i="38"/>
  <c r="O24" i="38" s="1"/>
  <c r="K24" i="38"/>
  <c r="L24" i="38" s="1"/>
  <c r="F24" i="38"/>
  <c r="G24" i="38" s="1"/>
  <c r="D24" i="38"/>
  <c r="E24" i="38" s="1"/>
  <c r="B24" i="38"/>
  <c r="A24" i="38"/>
  <c r="M24" i="38" s="1"/>
  <c r="AE23" i="38"/>
  <c r="U23" i="38"/>
  <c r="S23" i="38"/>
  <c r="P23" i="38"/>
  <c r="Q23" i="38" s="1"/>
  <c r="N23" i="38"/>
  <c r="O23" i="38" s="1"/>
  <c r="K23" i="38"/>
  <c r="L23" i="38" s="1"/>
  <c r="F23" i="38"/>
  <c r="G23" i="38" s="1"/>
  <c r="D23" i="38"/>
  <c r="E23" i="38" s="1"/>
  <c r="B23" i="38"/>
  <c r="A23" i="38"/>
  <c r="M23" i="38" s="1"/>
  <c r="AE22" i="38"/>
  <c r="Y22" i="38"/>
  <c r="Z22" i="38" s="1"/>
  <c r="W22" i="38"/>
  <c r="X22" i="38" s="1"/>
  <c r="B22" i="38"/>
  <c r="A22" i="38"/>
  <c r="AE21" i="38"/>
  <c r="Y21" i="38"/>
  <c r="Z21" i="38" s="1"/>
  <c r="W21" i="38"/>
  <c r="B21" i="38"/>
  <c r="A21" i="38"/>
  <c r="AE20" i="38"/>
  <c r="Y20" i="38"/>
  <c r="Z20" i="38" s="1"/>
  <c r="W20" i="38"/>
  <c r="X20" i="38" s="1"/>
  <c r="B20" i="38"/>
  <c r="A20" i="38"/>
  <c r="AE19" i="38"/>
  <c r="Y19" i="38"/>
  <c r="Z19" i="38" s="1"/>
  <c r="W19" i="38"/>
  <c r="X19" i="38" s="1"/>
  <c r="K19" i="38"/>
  <c r="L19" i="38" s="1"/>
  <c r="B19" i="38"/>
  <c r="A19" i="38"/>
  <c r="AE18" i="38"/>
  <c r="Y18" i="38"/>
  <c r="Z18" i="38" s="1"/>
  <c r="W18" i="38"/>
  <c r="B18" i="38"/>
  <c r="A18" i="38"/>
  <c r="AE17" i="38"/>
  <c r="U17" i="38"/>
  <c r="S17" i="38"/>
  <c r="P17" i="38"/>
  <c r="Q17" i="38" s="1"/>
  <c r="N17" i="38"/>
  <c r="O17" i="38" s="1"/>
  <c r="K17" i="38"/>
  <c r="L17" i="38" s="1"/>
  <c r="F17" i="38"/>
  <c r="G17" i="38" s="1"/>
  <c r="D17" i="38"/>
  <c r="E17" i="38" s="1"/>
  <c r="B17" i="38"/>
  <c r="A17" i="38"/>
  <c r="M17" i="38" s="1"/>
  <c r="AE16" i="38"/>
  <c r="U16" i="38"/>
  <c r="S16" i="38"/>
  <c r="P16" i="38"/>
  <c r="Q16" i="38" s="1"/>
  <c r="N16" i="38"/>
  <c r="O16" i="38" s="1"/>
  <c r="K16" i="38"/>
  <c r="L16" i="38" s="1"/>
  <c r="F16" i="38"/>
  <c r="G16" i="38" s="1"/>
  <c r="D16" i="38"/>
  <c r="E16" i="38" s="1"/>
  <c r="B16" i="38"/>
  <c r="A16" i="38"/>
  <c r="M16" i="38" s="1"/>
  <c r="AE15" i="38"/>
  <c r="U15" i="38"/>
  <c r="S15" i="38"/>
  <c r="P15" i="38"/>
  <c r="Q15" i="38" s="1"/>
  <c r="N15" i="38"/>
  <c r="O15" i="38" s="1"/>
  <c r="K15" i="38"/>
  <c r="L15" i="38" s="1"/>
  <c r="F15" i="38"/>
  <c r="G15" i="38" s="1"/>
  <c r="D15" i="38"/>
  <c r="E15" i="38" s="1"/>
  <c r="B15" i="38"/>
  <c r="A15" i="38"/>
  <c r="M15" i="38" s="1"/>
  <c r="AE14" i="38"/>
  <c r="U14" i="38"/>
  <c r="S14" i="38"/>
  <c r="P14" i="38"/>
  <c r="Q14" i="38" s="1"/>
  <c r="N14" i="38"/>
  <c r="O14" i="38" s="1"/>
  <c r="K14" i="38"/>
  <c r="L14" i="38" s="1"/>
  <c r="F14" i="38"/>
  <c r="G14" i="38" s="1"/>
  <c r="D14" i="38"/>
  <c r="E14" i="38" s="1"/>
  <c r="B14" i="38"/>
  <c r="A14" i="38"/>
  <c r="M14" i="38" s="1"/>
  <c r="B165" i="37"/>
  <c r="B164" i="37"/>
  <c r="B163" i="37"/>
  <c r="B162" i="37"/>
  <c r="B161" i="37"/>
  <c r="B160" i="37"/>
  <c r="B159" i="37"/>
  <c r="B158" i="37"/>
  <c r="B157" i="37"/>
  <c r="B156" i="37"/>
  <c r="B155" i="37"/>
  <c r="B154" i="37"/>
  <c r="B153" i="37"/>
  <c r="B152" i="37"/>
  <c r="B151" i="37"/>
  <c r="B150" i="37"/>
  <c r="B149" i="37"/>
  <c r="B148" i="37"/>
  <c r="B147" i="37"/>
  <c r="B146" i="37"/>
  <c r="B145" i="37"/>
  <c r="B144" i="37"/>
  <c r="B143" i="37"/>
  <c r="B142" i="37"/>
  <c r="B141" i="37"/>
  <c r="B140" i="37"/>
  <c r="B139" i="37"/>
  <c r="B138" i="37"/>
  <c r="B137" i="37"/>
  <c r="B136" i="37"/>
  <c r="B135" i="37"/>
  <c r="B134" i="37"/>
  <c r="B133" i="37"/>
  <c r="B132" i="37"/>
  <c r="B131" i="37"/>
  <c r="B130" i="37"/>
  <c r="B129" i="37"/>
  <c r="B128" i="37"/>
  <c r="B127" i="37"/>
  <c r="B126" i="37"/>
  <c r="B125" i="37"/>
  <c r="B124" i="37"/>
  <c r="B123" i="37"/>
  <c r="B122" i="37"/>
  <c r="B121" i="37"/>
  <c r="B120" i="37"/>
  <c r="B119" i="37"/>
  <c r="B118" i="37"/>
  <c r="B117" i="37"/>
  <c r="B116" i="37"/>
  <c r="B115" i="37"/>
  <c r="B114" i="37"/>
  <c r="B113" i="37"/>
  <c r="B112" i="37"/>
  <c r="B111" i="37"/>
  <c r="B110" i="37"/>
  <c r="B109" i="37"/>
  <c r="B108" i="37"/>
  <c r="B107" i="37"/>
  <c r="B106" i="37"/>
  <c r="B105" i="37"/>
  <c r="B104" i="37"/>
  <c r="B103" i="37"/>
  <c r="B102" i="37"/>
  <c r="B101" i="37"/>
  <c r="B100" i="37"/>
  <c r="B99" i="37"/>
  <c r="B98" i="37"/>
  <c r="B97" i="37"/>
  <c r="B96" i="37"/>
  <c r="B95" i="37"/>
  <c r="B94" i="37"/>
  <c r="B93" i="37"/>
  <c r="B92" i="37"/>
  <c r="B91" i="37"/>
  <c r="B90" i="37"/>
  <c r="B89" i="37"/>
  <c r="B88" i="37"/>
  <c r="B87" i="37"/>
  <c r="B86" i="37"/>
  <c r="B85" i="37"/>
  <c r="D84" i="37"/>
  <c r="P1" i="37"/>
  <c r="C2" i="50" s="1"/>
  <c r="F84" i="37"/>
  <c r="H84" i="37"/>
  <c r="E84" i="37"/>
  <c r="V1" i="37"/>
  <c r="H2" i="50" s="1"/>
  <c r="Y742" i="35"/>
  <c r="Z742" i="35" s="1"/>
  <c r="W742" i="35"/>
  <c r="X742" i="35" s="1"/>
  <c r="B742" i="35"/>
  <c r="A742" i="35"/>
  <c r="Y741" i="35"/>
  <c r="Z741" i="35" s="1"/>
  <c r="W741" i="35"/>
  <c r="B741" i="35"/>
  <c r="A741" i="35"/>
  <c r="Y740" i="35"/>
  <c r="Z740" i="35" s="1"/>
  <c r="W740" i="35"/>
  <c r="X740" i="35" s="1"/>
  <c r="B740" i="35"/>
  <c r="A740" i="35"/>
  <c r="Y739" i="35"/>
  <c r="Z739" i="35" s="1"/>
  <c r="W739" i="35"/>
  <c r="X739" i="35" s="1"/>
  <c r="K739" i="35"/>
  <c r="L739" i="35" s="1"/>
  <c r="B739" i="35"/>
  <c r="A739" i="35"/>
  <c r="Y738" i="35"/>
  <c r="Z738" i="35" s="1"/>
  <c r="W738" i="35"/>
  <c r="B738" i="35"/>
  <c r="A738" i="35"/>
  <c r="U737" i="35"/>
  <c r="S737" i="35"/>
  <c r="P737" i="35"/>
  <c r="Q737" i="35" s="1"/>
  <c r="N737" i="35"/>
  <c r="O737" i="35" s="1"/>
  <c r="K737" i="35"/>
  <c r="L737" i="35" s="1"/>
  <c r="F737" i="35"/>
  <c r="G737" i="35" s="1"/>
  <c r="D737" i="35"/>
  <c r="E737" i="35" s="1"/>
  <c r="B737" i="35"/>
  <c r="A737" i="35"/>
  <c r="M737" i="35" s="1"/>
  <c r="U736" i="35"/>
  <c r="S736" i="35"/>
  <c r="P736" i="35"/>
  <c r="Q736" i="35" s="1"/>
  <c r="N736" i="35"/>
  <c r="O736" i="35" s="1"/>
  <c r="K736" i="35"/>
  <c r="L736" i="35" s="1"/>
  <c r="F736" i="35"/>
  <c r="G736" i="35" s="1"/>
  <c r="D736" i="35"/>
  <c r="E736" i="35" s="1"/>
  <c r="B736" i="35"/>
  <c r="A736" i="35"/>
  <c r="M736" i="35" s="1"/>
  <c r="U735" i="35"/>
  <c r="S735" i="35"/>
  <c r="P735" i="35"/>
  <c r="Q735" i="35" s="1"/>
  <c r="N735" i="35"/>
  <c r="O735" i="35" s="1"/>
  <c r="K735" i="35"/>
  <c r="L735" i="35" s="1"/>
  <c r="F735" i="35"/>
  <c r="G735" i="35" s="1"/>
  <c r="D735" i="35"/>
  <c r="E735" i="35" s="1"/>
  <c r="B735" i="35"/>
  <c r="A735" i="35"/>
  <c r="M735" i="35" s="1"/>
  <c r="U734" i="35"/>
  <c r="S734" i="35"/>
  <c r="P734" i="35"/>
  <c r="Q734" i="35" s="1"/>
  <c r="N734" i="35"/>
  <c r="O734" i="35" s="1"/>
  <c r="K734" i="35"/>
  <c r="L734" i="35" s="1"/>
  <c r="F734" i="35"/>
  <c r="G734" i="35" s="1"/>
  <c r="D734" i="35"/>
  <c r="E734" i="35" s="1"/>
  <c r="B734" i="35"/>
  <c r="A734" i="35"/>
  <c r="M734" i="35" s="1"/>
  <c r="Y733" i="35"/>
  <c r="Z733" i="35" s="1"/>
  <c r="W733" i="35"/>
  <c r="B733" i="35"/>
  <c r="A733" i="35"/>
  <c r="Y732" i="35"/>
  <c r="Z732" i="35" s="1"/>
  <c r="W732" i="35"/>
  <c r="X732" i="35" s="1"/>
  <c r="B732" i="35"/>
  <c r="A732" i="35"/>
  <c r="Y731" i="35"/>
  <c r="Z731" i="35" s="1"/>
  <c r="W731" i="35"/>
  <c r="B731" i="35"/>
  <c r="A731" i="35"/>
  <c r="Y730" i="35"/>
  <c r="Z730" i="35" s="1"/>
  <c r="W730" i="35"/>
  <c r="X730" i="35" s="1"/>
  <c r="K730" i="35"/>
  <c r="L730" i="35" s="1"/>
  <c r="B730" i="35"/>
  <c r="A730" i="35"/>
  <c r="Y729" i="35"/>
  <c r="Z729" i="35" s="1"/>
  <c r="W729" i="35"/>
  <c r="X729" i="35" s="1"/>
  <c r="B729" i="35"/>
  <c r="A729" i="35"/>
  <c r="U728" i="35"/>
  <c r="S728" i="35"/>
  <c r="P728" i="35"/>
  <c r="Q728" i="35" s="1"/>
  <c r="N728" i="35"/>
  <c r="O728" i="35" s="1"/>
  <c r="K728" i="35"/>
  <c r="L728" i="35" s="1"/>
  <c r="F728" i="35"/>
  <c r="G728" i="35" s="1"/>
  <c r="D728" i="35"/>
  <c r="E728" i="35" s="1"/>
  <c r="B728" i="35"/>
  <c r="A728" i="35"/>
  <c r="M728" i="35" s="1"/>
  <c r="U727" i="35"/>
  <c r="S727" i="35"/>
  <c r="P727" i="35"/>
  <c r="Q727" i="35" s="1"/>
  <c r="N727" i="35"/>
  <c r="O727" i="35" s="1"/>
  <c r="K727" i="35"/>
  <c r="L727" i="35" s="1"/>
  <c r="F727" i="35"/>
  <c r="G727" i="35" s="1"/>
  <c r="D727" i="35"/>
  <c r="E727" i="35" s="1"/>
  <c r="B727" i="35"/>
  <c r="A727" i="35"/>
  <c r="M727" i="35" s="1"/>
  <c r="U726" i="35"/>
  <c r="S726" i="35"/>
  <c r="P726" i="35"/>
  <c r="Q726" i="35" s="1"/>
  <c r="N726" i="35"/>
  <c r="O726" i="35" s="1"/>
  <c r="K726" i="35"/>
  <c r="L726" i="35" s="1"/>
  <c r="F726" i="35"/>
  <c r="G726" i="35" s="1"/>
  <c r="D726" i="35"/>
  <c r="E726" i="35" s="1"/>
  <c r="B726" i="35"/>
  <c r="A726" i="35"/>
  <c r="M726" i="35" s="1"/>
  <c r="U725" i="35"/>
  <c r="S725" i="35"/>
  <c r="P725" i="35"/>
  <c r="Q725" i="35" s="1"/>
  <c r="N725" i="35"/>
  <c r="O725" i="35" s="1"/>
  <c r="K725" i="35"/>
  <c r="L725" i="35" s="1"/>
  <c r="F725" i="35"/>
  <c r="G725" i="35" s="1"/>
  <c r="D725" i="35"/>
  <c r="E725" i="35" s="1"/>
  <c r="B725" i="35"/>
  <c r="A725" i="35"/>
  <c r="M725" i="35" s="1"/>
  <c r="Y724" i="35"/>
  <c r="Z724" i="35" s="1"/>
  <c r="W724" i="35"/>
  <c r="X724" i="35" s="1"/>
  <c r="B724" i="35"/>
  <c r="A724" i="35"/>
  <c r="Y723" i="35"/>
  <c r="Z723" i="35" s="1"/>
  <c r="W723" i="35"/>
  <c r="X723" i="35" s="1"/>
  <c r="B723" i="35"/>
  <c r="A723" i="35"/>
  <c r="Y722" i="35"/>
  <c r="Z722" i="35" s="1"/>
  <c r="W722" i="35"/>
  <c r="X722" i="35" s="1"/>
  <c r="B722" i="35"/>
  <c r="A722" i="35"/>
  <c r="Y721" i="35"/>
  <c r="W721" i="35"/>
  <c r="X721" i="35" s="1"/>
  <c r="K721" i="35"/>
  <c r="L721" i="35" s="1"/>
  <c r="B721" i="35"/>
  <c r="A721" i="35"/>
  <c r="Y720" i="35"/>
  <c r="Z720" i="35" s="1"/>
  <c r="W720" i="35"/>
  <c r="X720" i="35" s="1"/>
  <c r="B720" i="35"/>
  <c r="A720" i="35"/>
  <c r="U719" i="35"/>
  <c r="S719" i="35"/>
  <c r="P719" i="35"/>
  <c r="Q719" i="35" s="1"/>
  <c r="N719" i="35"/>
  <c r="O719" i="35" s="1"/>
  <c r="K719" i="35"/>
  <c r="L719" i="35" s="1"/>
  <c r="F719" i="35"/>
  <c r="G719" i="35" s="1"/>
  <c r="D719" i="35"/>
  <c r="E719" i="35" s="1"/>
  <c r="B719" i="35"/>
  <c r="A719" i="35"/>
  <c r="M719" i="35" s="1"/>
  <c r="U718" i="35"/>
  <c r="S718" i="35"/>
  <c r="P718" i="35"/>
  <c r="Q718" i="35" s="1"/>
  <c r="N718" i="35"/>
  <c r="O718" i="35" s="1"/>
  <c r="K718" i="35"/>
  <c r="L718" i="35" s="1"/>
  <c r="F718" i="35"/>
  <c r="G718" i="35" s="1"/>
  <c r="D718" i="35"/>
  <c r="E718" i="35" s="1"/>
  <c r="B718" i="35"/>
  <c r="A718" i="35"/>
  <c r="M718" i="35" s="1"/>
  <c r="U717" i="35"/>
  <c r="S717" i="35"/>
  <c r="P717" i="35"/>
  <c r="Q717" i="35" s="1"/>
  <c r="N717" i="35"/>
  <c r="O717" i="35" s="1"/>
  <c r="K717" i="35"/>
  <c r="L717" i="35" s="1"/>
  <c r="F717" i="35"/>
  <c r="G717" i="35" s="1"/>
  <c r="D717" i="35"/>
  <c r="E717" i="35" s="1"/>
  <c r="B717" i="35"/>
  <c r="A717" i="35"/>
  <c r="M717" i="35" s="1"/>
  <c r="U716" i="35"/>
  <c r="S716" i="35"/>
  <c r="P716" i="35"/>
  <c r="Q716" i="35" s="1"/>
  <c r="N716" i="35"/>
  <c r="O716" i="35" s="1"/>
  <c r="K716" i="35"/>
  <c r="L716" i="35" s="1"/>
  <c r="F716" i="35"/>
  <c r="G716" i="35" s="1"/>
  <c r="D716" i="35"/>
  <c r="E716" i="35" s="1"/>
  <c r="B716" i="35"/>
  <c r="A716" i="35"/>
  <c r="M716" i="35" s="1"/>
  <c r="Y715" i="35"/>
  <c r="Z715" i="35" s="1"/>
  <c r="W715" i="35"/>
  <c r="X715" i="35" s="1"/>
  <c r="B715" i="35"/>
  <c r="A715" i="35"/>
  <c r="Y714" i="35"/>
  <c r="Z714" i="35" s="1"/>
  <c r="W714" i="35"/>
  <c r="B714" i="35"/>
  <c r="A714" i="35"/>
  <c r="Y713" i="35"/>
  <c r="Z713" i="35" s="1"/>
  <c r="W713" i="35"/>
  <c r="X713" i="35" s="1"/>
  <c r="B713" i="35"/>
  <c r="A713" i="35"/>
  <c r="Y712" i="35"/>
  <c r="Z712" i="35" s="1"/>
  <c r="W712" i="35"/>
  <c r="X712" i="35" s="1"/>
  <c r="K712" i="35"/>
  <c r="L712" i="35" s="1"/>
  <c r="B712" i="35"/>
  <c r="A712" i="35"/>
  <c r="Y711" i="35"/>
  <c r="Z711" i="35" s="1"/>
  <c r="W711" i="35"/>
  <c r="B711" i="35"/>
  <c r="A711" i="35"/>
  <c r="U710" i="35"/>
  <c r="S710" i="35"/>
  <c r="P710" i="35"/>
  <c r="Q710" i="35" s="1"/>
  <c r="N710" i="35"/>
  <c r="O710" i="35" s="1"/>
  <c r="K710" i="35"/>
  <c r="F710" i="35"/>
  <c r="G710" i="35" s="1"/>
  <c r="D710" i="35"/>
  <c r="E710" i="35" s="1"/>
  <c r="B710" i="35"/>
  <c r="A710" i="35"/>
  <c r="M710" i="35" s="1"/>
  <c r="U709" i="35"/>
  <c r="S709" i="35"/>
  <c r="P709" i="35"/>
  <c r="Q709" i="35" s="1"/>
  <c r="N709" i="35"/>
  <c r="O709" i="35" s="1"/>
  <c r="K709" i="35"/>
  <c r="L709" i="35" s="1"/>
  <c r="F709" i="35"/>
  <c r="G709" i="35" s="1"/>
  <c r="D709" i="35"/>
  <c r="E709" i="35" s="1"/>
  <c r="B709" i="35"/>
  <c r="A709" i="35"/>
  <c r="M709" i="35" s="1"/>
  <c r="U708" i="35"/>
  <c r="S708" i="35"/>
  <c r="P708" i="35"/>
  <c r="Q708" i="35" s="1"/>
  <c r="N708" i="35"/>
  <c r="O708" i="35" s="1"/>
  <c r="K708" i="35"/>
  <c r="F708" i="35"/>
  <c r="G708" i="35" s="1"/>
  <c r="D708" i="35"/>
  <c r="E708" i="35" s="1"/>
  <c r="B708" i="35"/>
  <c r="A708" i="35"/>
  <c r="M708" i="35" s="1"/>
  <c r="U707" i="35"/>
  <c r="S707" i="35"/>
  <c r="P707" i="35"/>
  <c r="Q707" i="35" s="1"/>
  <c r="N707" i="35"/>
  <c r="O707" i="35" s="1"/>
  <c r="K707" i="35"/>
  <c r="L707" i="35" s="1"/>
  <c r="F707" i="35"/>
  <c r="G707" i="35" s="1"/>
  <c r="D707" i="35"/>
  <c r="E707" i="35" s="1"/>
  <c r="B707" i="35"/>
  <c r="A707" i="35"/>
  <c r="M707" i="35" s="1"/>
  <c r="Y706" i="35"/>
  <c r="Z706" i="35" s="1"/>
  <c r="W706" i="35"/>
  <c r="X706" i="35" s="1"/>
  <c r="B706" i="35"/>
  <c r="A706" i="35"/>
  <c r="Y705" i="35"/>
  <c r="Z705" i="35" s="1"/>
  <c r="W705" i="35"/>
  <c r="B705" i="35"/>
  <c r="A705" i="35"/>
  <c r="Y704" i="35"/>
  <c r="Z704" i="35" s="1"/>
  <c r="W704" i="35"/>
  <c r="X704" i="35" s="1"/>
  <c r="B704" i="35"/>
  <c r="A704" i="35"/>
  <c r="Y703" i="35"/>
  <c r="Z703" i="35" s="1"/>
  <c r="W703" i="35"/>
  <c r="K703" i="35"/>
  <c r="L703" i="35" s="1"/>
  <c r="B703" i="35"/>
  <c r="A703" i="35"/>
  <c r="Y702" i="35"/>
  <c r="Z702" i="35" s="1"/>
  <c r="W702" i="35"/>
  <c r="X702" i="35" s="1"/>
  <c r="B702" i="35"/>
  <c r="A702" i="35"/>
  <c r="U701" i="35"/>
  <c r="S701" i="35"/>
  <c r="P701" i="35"/>
  <c r="Q701" i="35" s="1"/>
  <c r="N701" i="35"/>
  <c r="O701" i="35" s="1"/>
  <c r="K701" i="35"/>
  <c r="L701" i="35" s="1"/>
  <c r="F701" i="35"/>
  <c r="G701" i="35" s="1"/>
  <c r="D701" i="35"/>
  <c r="E701" i="35" s="1"/>
  <c r="B701" i="35"/>
  <c r="A701" i="35"/>
  <c r="M701" i="35" s="1"/>
  <c r="U700" i="35"/>
  <c r="S700" i="35"/>
  <c r="P700" i="35"/>
  <c r="Q700" i="35" s="1"/>
  <c r="N700" i="35"/>
  <c r="O700" i="35" s="1"/>
  <c r="K700" i="35"/>
  <c r="L700" i="35" s="1"/>
  <c r="F700" i="35"/>
  <c r="G700" i="35" s="1"/>
  <c r="D700" i="35"/>
  <c r="E700" i="35" s="1"/>
  <c r="B700" i="35"/>
  <c r="A700" i="35"/>
  <c r="M700" i="35" s="1"/>
  <c r="U699" i="35"/>
  <c r="S699" i="35"/>
  <c r="P699" i="35"/>
  <c r="Q699" i="35" s="1"/>
  <c r="N699" i="35"/>
  <c r="O699" i="35" s="1"/>
  <c r="K699" i="35"/>
  <c r="F699" i="35"/>
  <c r="G699" i="35" s="1"/>
  <c r="D699" i="35"/>
  <c r="E699" i="35" s="1"/>
  <c r="B699" i="35"/>
  <c r="A699" i="35"/>
  <c r="M699" i="35" s="1"/>
  <c r="U698" i="35"/>
  <c r="S698" i="35"/>
  <c r="P698" i="35"/>
  <c r="Q698" i="35" s="1"/>
  <c r="N698" i="35"/>
  <c r="O698" i="35" s="1"/>
  <c r="K698" i="35"/>
  <c r="L698" i="35" s="1"/>
  <c r="F698" i="35"/>
  <c r="G698" i="35" s="1"/>
  <c r="D698" i="35"/>
  <c r="E698" i="35" s="1"/>
  <c r="B698" i="35"/>
  <c r="A698" i="35"/>
  <c r="M698" i="35" s="1"/>
  <c r="Y697" i="35"/>
  <c r="Z697" i="35" s="1"/>
  <c r="W697" i="35"/>
  <c r="X697" i="35" s="1"/>
  <c r="B697" i="35"/>
  <c r="A697" i="35"/>
  <c r="Y696" i="35"/>
  <c r="Z696" i="35" s="1"/>
  <c r="W696" i="35"/>
  <c r="X696" i="35" s="1"/>
  <c r="B696" i="35"/>
  <c r="A696" i="35"/>
  <c r="Y695" i="35"/>
  <c r="Z695" i="35" s="1"/>
  <c r="W695" i="35"/>
  <c r="X695" i="35" s="1"/>
  <c r="B695" i="35"/>
  <c r="A695" i="35"/>
  <c r="Y694" i="35"/>
  <c r="Z694" i="35" s="1"/>
  <c r="W694" i="35"/>
  <c r="X694" i="35" s="1"/>
  <c r="K694" i="35"/>
  <c r="L694" i="35" s="1"/>
  <c r="B694" i="35"/>
  <c r="A694" i="35"/>
  <c r="Y693" i="35"/>
  <c r="Z693" i="35" s="1"/>
  <c r="W693" i="35"/>
  <c r="B693" i="35"/>
  <c r="A693" i="35"/>
  <c r="U692" i="35"/>
  <c r="S692" i="35"/>
  <c r="P692" i="35"/>
  <c r="Q692" i="35" s="1"/>
  <c r="N692" i="35"/>
  <c r="O692" i="35" s="1"/>
  <c r="K692" i="35"/>
  <c r="F692" i="35"/>
  <c r="G692" i="35" s="1"/>
  <c r="D692" i="35"/>
  <c r="E692" i="35" s="1"/>
  <c r="B692" i="35"/>
  <c r="A692" i="35"/>
  <c r="M692" i="35" s="1"/>
  <c r="U691" i="35"/>
  <c r="S691" i="35"/>
  <c r="P691" i="35"/>
  <c r="Q691" i="35" s="1"/>
  <c r="N691" i="35"/>
  <c r="O691" i="35" s="1"/>
  <c r="K691" i="35"/>
  <c r="F691" i="35"/>
  <c r="G691" i="35" s="1"/>
  <c r="D691" i="35"/>
  <c r="E691" i="35" s="1"/>
  <c r="B691" i="35"/>
  <c r="A691" i="35"/>
  <c r="M691" i="35" s="1"/>
  <c r="U690" i="35"/>
  <c r="S690" i="35"/>
  <c r="P690" i="35"/>
  <c r="Q690" i="35" s="1"/>
  <c r="N690" i="35"/>
  <c r="O690" i="35" s="1"/>
  <c r="K690" i="35"/>
  <c r="L690" i="35" s="1"/>
  <c r="F690" i="35"/>
  <c r="G690" i="35" s="1"/>
  <c r="D690" i="35"/>
  <c r="E690" i="35" s="1"/>
  <c r="B690" i="35"/>
  <c r="A690" i="35"/>
  <c r="M690" i="35" s="1"/>
  <c r="U689" i="35"/>
  <c r="S689" i="35"/>
  <c r="P689" i="35"/>
  <c r="Q689" i="35" s="1"/>
  <c r="N689" i="35"/>
  <c r="O689" i="35" s="1"/>
  <c r="K689" i="35"/>
  <c r="L689" i="35" s="1"/>
  <c r="F689" i="35"/>
  <c r="G689" i="35" s="1"/>
  <c r="D689" i="35"/>
  <c r="E689" i="35" s="1"/>
  <c r="B689" i="35"/>
  <c r="A689" i="35"/>
  <c r="M689" i="35" s="1"/>
  <c r="Y688" i="35"/>
  <c r="Z688" i="35" s="1"/>
  <c r="W688" i="35"/>
  <c r="B688" i="35"/>
  <c r="A688" i="35"/>
  <c r="Y687" i="35"/>
  <c r="Z687" i="35" s="1"/>
  <c r="W687" i="35"/>
  <c r="B687" i="35"/>
  <c r="A687" i="35"/>
  <c r="Y686" i="35"/>
  <c r="Z686" i="35" s="1"/>
  <c r="W686" i="35"/>
  <c r="X686" i="35" s="1"/>
  <c r="B686" i="35"/>
  <c r="A686" i="35"/>
  <c r="Y685" i="35"/>
  <c r="Z685" i="35" s="1"/>
  <c r="W685" i="35"/>
  <c r="K685" i="35"/>
  <c r="L685" i="35" s="1"/>
  <c r="B685" i="35"/>
  <c r="A685" i="35"/>
  <c r="Y684" i="35"/>
  <c r="Z684" i="35" s="1"/>
  <c r="W684" i="35"/>
  <c r="X684" i="35" s="1"/>
  <c r="B684" i="35"/>
  <c r="A684" i="35"/>
  <c r="U683" i="35"/>
  <c r="S683" i="35"/>
  <c r="P683" i="35"/>
  <c r="Q683" i="35" s="1"/>
  <c r="N683" i="35"/>
  <c r="O683" i="35" s="1"/>
  <c r="K683" i="35"/>
  <c r="L683" i="35" s="1"/>
  <c r="F683" i="35"/>
  <c r="G683" i="35" s="1"/>
  <c r="D683" i="35"/>
  <c r="E683" i="35" s="1"/>
  <c r="B683" i="35"/>
  <c r="A683" i="35"/>
  <c r="M683" i="35" s="1"/>
  <c r="U682" i="35"/>
  <c r="S682" i="35"/>
  <c r="P682" i="35"/>
  <c r="Q682" i="35" s="1"/>
  <c r="N682" i="35"/>
  <c r="O682" i="35" s="1"/>
  <c r="K682" i="35"/>
  <c r="L682" i="35" s="1"/>
  <c r="F682" i="35"/>
  <c r="G682" i="35" s="1"/>
  <c r="D682" i="35"/>
  <c r="E682" i="35" s="1"/>
  <c r="B682" i="35"/>
  <c r="A682" i="35"/>
  <c r="M682" i="35" s="1"/>
  <c r="U681" i="35"/>
  <c r="S681" i="35"/>
  <c r="P681" i="35"/>
  <c r="Q681" i="35" s="1"/>
  <c r="N681" i="35"/>
  <c r="O681" i="35" s="1"/>
  <c r="K681" i="35"/>
  <c r="L681" i="35" s="1"/>
  <c r="F681" i="35"/>
  <c r="G681" i="35" s="1"/>
  <c r="D681" i="35"/>
  <c r="E681" i="35" s="1"/>
  <c r="B681" i="35"/>
  <c r="A681" i="35"/>
  <c r="M681" i="35" s="1"/>
  <c r="U680" i="35"/>
  <c r="S680" i="35"/>
  <c r="P680" i="35"/>
  <c r="Q680" i="35" s="1"/>
  <c r="N680" i="35"/>
  <c r="O680" i="35" s="1"/>
  <c r="K680" i="35"/>
  <c r="L680" i="35" s="1"/>
  <c r="F680" i="35"/>
  <c r="G680" i="35" s="1"/>
  <c r="D680" i="35"/>
  <c r="E680" i="35" s="1"/>
  <c r="B680" i="35"/>
  <c r="A680" i="35"/>
  <c r="M680" i="35" s="1"/>
  <c r="Y679" i="35"/>
  <c r="Z679" i="35" s="1"/>
  <c r="W679" i="35"/>
  <c r="X679" i="35" s="1"/>
  <c r="B679" i="35"/>
  <c r="A679" i="35"/>
  <c r="Y678" i="35"/>
  <c r="Z678" i="35" s="1"/>
  <c r="W678" i="35"/>
  <c r="X678" i="35" s="1"/>
  <c r="B678" i="35"/>
  <c r="A678" i="35"/>
  <c r="Y677" i="35"/>
  <c r="Z677" i="35" s="1"/>
  <c r="W677" i="35"/>
  <c r="X677" i="35" s="1"/>
  <c r="B677" i="35"/>
  <c r="A677" i="35"/>
  <c r="Z676" i="35"/>
  <c r="Y676" i="35"/>
  <c r="W676" i="35"/>
  <c r="X676" i="35" s="1"/>
  <c r="K676" i="35"/>
  <c r="L676" i="35" s="1"/>
  <c r="B676" i="35"/>
  <c r="A676" i="35"/>
  <c r="Y675" i="35"/>
  <c r="Z675" i="35" s="1"/>
  <c r="W675" i="35"/>
  <c r="B675" i="35"/>
  <c r="A675" i="35"/>
  <c r="U674" i="35"/>
  <c r="S674" i="35"/>
  <c r="P674" i="35"/>
  <c r="Q674" i="35" s="1"/>
  <c r="N674" i="35"/>
  <c r="O674" i="35" s="1"/>
  <c r="K674" i="35"/>
  <c r="L674" i="35" s="1"/>
  <c r="F674" i="35"/>
  <c r="G674" i="35" s="1"/>
  <c r="D674" i="35"/>
  <c r="E674" i="35" s="1"/>
  <c r="B674" i="35"/>
  <c r="A674" i="35"/>
  <c r="M674" i="35" s="1"/>
  <c r="U673" i="35"/>
  <c r="S673" i="35"/>
  <c r="P673" i="35"/>
  <c r="Q673" i="35" s="1"/>
  <c r="N673" i="35"/>
  <c r="O673" i="35" s="1"/>
  <c r="K673" i="35"/>
  <c r="L673" i="35" s="1"/>
  <c r="F673" i="35"/>
  <c r="G673" i="35" s="1"/>
  <c r="D673" i="35"/>
  <c r="E673" i="35" s="1"/>
  <c r="B673" i="35"/>
  <c r="A673" i="35"/>
  <c r="M673" i="35" s="1"/>
  <c r="U672" i="35"/>
  <c r="S672" i="35"/>
  <c r="P672" i="35"/>
  <c r="Q672" i="35" s="1"/>
  <c r="N672" i="35"/>
  <c r="O672" i="35" s="1"/>
  <c r="K672" i="35"/>
  <c r="L672" i="35" s="1"/>
  <c r="F672" i="35"/>
  <c r="G672" i="35" s="1"/>
  <c r="D672" i="35"/>
  <c r="E672" i="35" s="1"/>
  <c r="B672" i="35"/>
  <c r="A672" i="35"/>
  <c r="M672" i="35" s="1"/>
  <c r="U671" i="35"/>
  <c r="S671" i="35"/>
  <c r="P671" i="35"/>
  <c r="Q671" i="35" s="1"/>
  <c r="N671" i="35"/>
  <c r="O671" i="35" s="1"/>
  <c r="K671" i="35"/>
  <c r="L671" i="35" s="1"/>
  <c r="F671" i="35"/>
  <c r="G671" i="35" s="1"/>
  <c r="D671" i="35"/>
  <c r="E671" i="35" s="1"/>
  <c r="B671" i="35"/>
  <c r="A671" i="35"/>
  <c r="M671" i="35" s="1"/>
  <c r="Y670" i="35"/>
  <c r="Z670" i="35" s="1"/>
  <c r="W670" i="35"/>
  <c r="X670" i="35" s="1"/>
  <c r="B670" i="35"/>
  <c r="A670" i="35"/>
  <c r="Y669" i="35"/>
  <c r="Z669" i="35" s="1"/>
  <c r="W669" i="35"/>
  <c r="B669" i="35"/>
  <c r="A669" i="35"/>
  <c r="Y668" i="35"/>
  <c r="Z668" i="35" s="1"/>
  <c r="W668" i="35"/>
  <c r="B668" i="35"/>
  <c r="A668" i="35"/>
  <c r="Y667" i="35"/>
  <c r="Z667" i="35" s="1"/>
  <c r="W667" i="35"/>
  <c r="X667" i="35" s="1"/>
  <c r="K667" i="35"/>
  <c r="L667" i="35" s="1"/>
  <c r="B667" i="35"/>
  <c r="A667" i="35"/>
  <c r="Y666" i="35"/>
  <c r="AA666" i="35" s="1"/>
  <c r="AB666" i="35" s="1"/>
  <c r="W666" i="35"/>
  <c r="X666" i="35" s="1"/>
  <c r="B666" i="35"/>
  <c r="A666" i="35"/>
  <c r="U665" i="35"/>
  <c r="S665" i="35"/>
  <c r="P665" i="35"/>
  <c r="Q665" i="35" s="1"/>
  <c r="N665" i="35"/>
  <c r="O665" i="35" s="1"/>
  <c r="K665" i="35"/>
  <c r="L665" i="35" s="1"/>
  <c r="F665" i="35"/>
  <c r="G665" i="35" s="1"/>
  <c r="D665" i="35"/>
  <c r="E665" i="35" s="1"/>
  <c r="B665" i="35"/>
  <c r="A665" i="35"/>
  <c r="M665" i="35" s="1"/>
  <c r="U664" i="35"/>
  <c r="S664" i="35"/>
  <c r="P664" i="35"/>
  <c r="Q664" i="35" s="1"/>
  <c r="N664" i="35"/>
  <c r="O664" i="35" s="1"/>
  <c r="K664" i="35"/>
  <c r="L664" i="35" s="1"/>
  <c r="F664" i="35"/>
  <c r="G664" i="35" s="1"/>
  <c r="D664" i="35"/>
  <c r="E664" i="35" s="1"/>
  <c r="B664" i="35"/>
  <c r="A664" i="35"/>
  <c r="M664" i="35" s="1"/>
  <c r="U663" i="35"/>
  <c r="S663" i="35"/>
  <c r="P663" i="35"/>
  <c r="Q663" i="35" s="1"/>
  <c r="N663" i="35"/>
  <c r="O663" i="35" s="1"/>
  <c r="K663" i="35"/>
  <c r="L663" i="35" s="1"/>
  <c r="F663" i="35"/>
  <c r="G663" i="35" s="1"/>
  <c r="D663" i="35"/>
  <c r="E663" i="35" s="1"/>
  <c r="B663" i="35"/>
  <c r="A663" i="35"/>
  <c r="M663" i="35" s="1"/>
  <c r="U662" i="35"/>
  <c r="S662" i="35"/>
  <c r="P662" i="35"/>
  <c r="Q662" i="35" s="1"/>
  <c r="N662" i="35"/>
  <c r="O662" i="35" s="1"/>
  <c r="K662" i="35"/>
  <c r="L662" i="35" s="1"/>
  <c r="F662" i="35"/>
  <c r="G662" i="35" s="1"/>
  <c r="D662" i="35"/>
  <c r="E662" i="35" s="1"/>
  <c r="B662" i="35"/>
  <c r="A662" i="35"/>
  <c r="M662" i="35" s="1"/>
  <c r="Y661" i="35"/>
  <c r="Z661" i="35" s="1"/>
  <c r="W661" i="35"/>
  <c r="X661" i="35" s="1"/>
  <c r="B661" i="35"/>
  <c r="A661" i="35"/>
  <c r="Y660" i="35"/>
  <c r="W660" i="35"/>
  <c r="X660" i="35" s="1"/>
  <c r="B660" i="35"/>
  <c r="A660" i="35"/>
  <c r="Y659" i="35"/>
  <c r="Z659" i="35" s="1"/>
  <c r="W659" i="35"/>
  <c r="B659" i="35"/>
  <c r="A659" i="35"/>
  <c r="Y658" i="35"/>
  <c r="W658" i="35"/>
  <c r="X658" i="35" s="1"/>
  <c r="K658" i="35"/>
  <c r="L658" i="35" s="1"/>
  <c r="B658" i="35"/>
  <c r="A658" i="35"/>
  <c r="Y657" i="35"/>
  <c r="Z657" i="35" s="1"/>
  <c r="W657" i="35"/>
  <c r="X657" i="35" s="1"/>
  <c r="B657" i="35"/>
  <c r="A657" i="35"/>
  <c r="U656" i="35"/>
  <c r="S656" i="35"/>
  <c r="P656" i="35"/>
  <c r="Q656" i="35" s="1"/>
  <c r="N656" i="35"/>
  <c r="O656" i="35" s="1"/>
  <c r="K656" i="35"/>
  <c r="L656" i="35" s="1"/>
  <c r="F656" i="35"/>
  <c r="G656" i="35" s="1"/>
  <c r="D656" i="35"/>
  <c r="E656" i="35" s="1"/>
  <c r="B656" i="35"/>
  <c r="A656" i="35"/>
  <c r="M656" i="35" s="1"/>
  <c r="U655" i="35"/>
  <c r="S655" i="35"/>
  <c r="P655" i="35"/>
  <c r="Q655" i="35" s="1"/>
  <c r="N655" i="35"/>
  <c r="O655" i="35" s="1"/>
  <c r="K655" i="35"/>
  <c r="L655" i="35" s="1"/>
  <c r="F655" i="35"/>
  <c r="G655" i="35" s="1"/>
  <c r="D655" i="35"/>
  <c r="E655" i="35" s="1"/>
  <c r="B655" i="35"/>
  <c r="A655" i="35"/>
  <c r="M655" i="35" s="1"/>
  <c r="U654" i="35"/>
  <c r="S654" i="35"/>
  <c r="P654" i="35"/>
  <c r="Q654" i="35" s="1"/>
  <c r="N654" i="35"/>
  <c r="O654" i="35" s="1"/>
  <c r="K654" i="35"/>
  <c r="L654" i="35" s="1"/>
  <c r="F654" i="35"/>
  <c r="G654" i="35" s="1"/>
  <c r="D654" i="35"/>
  <c r="E654" i="35" s="1"/>
  <c r="B654" i="35"/>
  <c r="A654" i="35"/>
  <c r="M654" i="35" s="1"/>
  <c r="U653" i="35"/>
  <c r="S653" i="35"/>
  <c r="P653" i="35"/>
  <c r="Q653" i="35" s="1"/>
  <c r="N653" i="35"/>
  <c r="O653" i="35" s="1"/>
  <c r="K653" i="35"/>
  <c r="L653" i="35" s="1"/>
  <c r="F653" i="35"/>
  <c r="G653" i="35" s="1"/>
  <c r="D653" i="35"/>
  <c r="E653" i="35" s="1"/>
  <c r="B653" i="35"/>
  <c r="A653" i="35"/>
  <c r="M653" i="35" s="1"/>
  <c r="Y652" i="35"/>
  <c r="Z652" i="35" s="1"/>
  <c r="W652" i="35"/>
  <c r="B652" i="35"/>
  <c r="A652" i="35"/>
  <c r="Y651" i="35"/>
  <c r="Z651" i="35" s="1"/>
  <c r="W651" i="35"/>
  <c r="B651" i="35"/>
  <c r="A651" i="35"/>
  <c r="Y650" i="35"/>
  <c r="Z650" i="35" s="1"/>
  <c r="W650" i="35"/>
  <c r="X650" i="35" s="1"/>
  <c r="B650" i="35"/>
  <c r="A650" i="35"/>
  <c r="Y649" i="35"/>
  <c r="Z649" i="35" s="1"/>
  <c r="W649" i="35"/>
  <c r="K649" i="35"/>
  <c r="L649" i="35" s="1"/>
  <c r="B649" i="35"/>
  <c r="A649" i="35"/>
  <c r="Y648" i="35"/>
  <c r="Z648" i="35" s="1"/>
  <c r="W648" i="35"/>
  <c r="X648" i="35" s="1"/>
  <c r="B648" i="35"/>
  <c r="A648" i="35"/>
  <c r="U647" i="35"/>
  <c r="S647" i="35"/>
  <c r="P647" i="35"/>
  <c r="Q647" i="35" s="1"/>
  <c r="N647" i="35"/>
  <c r="O647" i="35" s="1"/>
  <c r="K647" i="35"/>
  <c r="L647" i="35" s="1"/>
  <c r="F647" i="35"/>
  <c r="G647" i="35" s="1"/>
  <c r="D647" i="35"/>
  <c r="E647" i="35" s="1"/>
  <c r="B647" i="35"/>
  <c r="A647" i="35"/>
  <c r="M647" i="35" s="1"/>
  <c r="U646" i="35"/>
  <c r="S646" i="35"/>
  <c r="P646" i="35"/>
  <c r="Q646" i="35" s="1"/>
  <c r="N646" i="35"/>
  <c r="O646" i="35" s="1"/>
  <c r="K646" i="35"/>
  <c r="L646" i="35" s="1"/>
  <c r="F646" i="35"/>
  <c r="G646" i="35" s="1"/>
  <c r="D646" i="35"/>
  <c r="E646" i="35" s="1"/>
  <c r="B646" i="35"/>
  <c r="A646" i="35"/>
  <c r="M646" i="35" s="1"/>
  <c r="U645" i="35"/>
  <c r="S645" i="35"/>
  <c r="P645" i="35"/>
  <c r="Q645" i="35" s="1"/>
  <c r="N645" i="35"/>
  <c r="O645" i="35" s="1"/>
  <c r="K645" i="35"/>
  <c r="F645" i="35"/>
  <c r="G645" i="35" s="1"/>
  <c r="D645" i="35"/>
  <c r="E645" i="35" s="1"/>
  <c r="B645" i="35"/>
  <c r="A645" i="35"/>
  <c r="M645" i="35" s="1"/>
  <c r="U644" i="35"/>
  <c r="S644" i="35"/>
  <c r="P644" i="35"/>
  <c r="Q644" i="35" s="1"/>
  <c r="N644" i="35"/>
  <c r="O644" i="35" s="1"/>
  <c r="K644" i="35"/>
  <c r="L644" i="35" s="1"/>
  <c r="F644" i="35"/>
  <c r="G644" i="35" s="1"/>
  <c r="D644" i="35"/>
  <c r="E644" i="35" s="1"/>
  <c r="B644" i="35"/>
  <c r="A644" i="35"/>
  <c r="M644" i="35" s="1"/>
  <c r="Y643" i="35"/>
  <c r="Z643" i="35" s="1"/>
  <c r="W643" i="35"/>
  <c r="X643" i="35" s="1"/>
  <c r="B643" i="35"/>
  <c r="A643" i="35"/>
  <c r="Y642" i="35"/>
  <c r="Z642" i="35" s="1"/>
  <c r="W642" i="35"/>
  <c r="X642" i="35" s="1"/>
  <c r="B642" i="35"/>
  <c r="A642" i="35"/>
  <c r="Y641" i="35"/>
  <c r="W641" i="35"/>
  <c r="X641" i="35" s="1"/>
  <c r="B641" i="35"/>
  <c r="A641" i="35"/>
  <c r="Y640" i="35"/>
  <c r="Z640" i="35" s="1"/>
  <c r="W640" i="35"/>
  <c r="X640" i="35" s="1"/>
  <c r="K640" i="35"/>
  <c r="L640" i="35" s="1"/>
  <c r="B640" i="35"/>
  <c r="A640" i="35"/>
  <c r="Y639" i="35"/>
  <c r="Z639" i="35" s="1"/>
  <c r="W639" i="35"/>
  <c r="X639" i="35" s="1"/>
  <c r="B639" i="35"/>
  <c r="A639" i="35"/>
  <c r="U638" i="35"/>
  <c r="S638" i="35"/>
  <c r="P638" i="35"/>
  <c r="Q638" i="35" s="1"/>
  <c r="N638" i="35"/>
  <c r="O638" i="35" s="1"/>
  <c r="K638" i="35"/>
  <c r="L638" i="35" s="1"/>
  <c r="F638" i="35"/>
  <c r="G638" i="35" s="1"/>
  <c r="D638" i="35"/>
  <c r="E638" i="35" s="1"/>
  <c r="B638" i="35"/>
  <c r="A638" i="35"/>
  <c r="M638" i="35" s="1"/>
  <c r="U637" i="35"/>
  <c r="S637" i="35"/>
  <c r="P637" i="35"/>
  <c r="Q637" i="35" s="1"/>
  <c r="N637" i="35"/>
  <c r="O637" i="35" s="1"/>
  <c r="K637" i="35"/>
  <c r="L637" i="35" s="1"/>
  <c r="F637" i="35"/>
  <c r="G637" i="35" s="1"/>
  <c r="D637" i="35"/>
  <c r="E637" i="35" s="1"/>
  <c r="B637" i="35"/>
  <c r="A637" i="35"/>
  <c r="M637" i="35" s="1"/>
  <c r="U636" i="35"/>
  <c r="S636" i="35"/>
  <c r="P636" i="35"/>
  <c r="Q636" i="35" s="1"/>
  <c r="N636" i="35"/>
  <c r="O636" i="35" s="1"/>
  <c r="K636" i="35"/>
  <c r="L636" i="35" s="1"/>
  <c r="F636" i="35"/>
  <c r="G636" i="35" s="1"/>
  <c r="D636" i="35"/>
  <c r="E636" i="35" s="1"/>
  <c r="B636" i="35"/>
  <c r="A636" i="35"/>
  <c r="M636" i="35" s="1"/>
  <c r="U635" i="35"/>
  <c r="S635" i="35"/>
  <c r="P635" i="35"/>
  <c r="Q635" i="35" s="1"/>
  <c r="N635" i="35"/>
  <c r="O635" i="35" s="1"/>
  <c r="K635" i="35"/>
  <c r="L635" i="35" s="1"/>
  <c r="F635" i="35"/>
  <c r="G635" i="35" s="1"/>
  <c r="D635" i="35"/>
  <c r="E635" i="35" s="1"/>
  <c r="B635" i="35"/>
  <c r="A635" i="35"/>
  <c r="M635" i="35" s="1"/>
  <c r="Y634" i="35"/>
  <c r="Z634" i="35" s="1"/>
  <c r="W634" i="35"/>
  <c r="X634" i="35" s="1"/>
  <c r="B634" i="35"/>
  <c r="A634" i="35"/>
  <c r="Y633" i="35"/>
  <c r="Z633" i="35" s="1"/>
  <c r="W633" i="35"/>
  <c r="X633" i="35" s="1"/>
  <c r="B633" i="35"/>
  <c r="A633" i="35"/>
  <c r="Y632" i="35"/>
  <c r="Z632" i="35" s="1"/>
  <c r="W632" i="35"/>
  <c r="X632" i="35" s="1"/>
  <c r="B632" i="35"/>
  <c r="A632" i="35"/>
  <c r="Y631" i="35"/>
  <c r="Z631" i="35" s="1"/>
  <c r="W631" i="35"/>
  <c r="X631" i="35" s="1"/>
  <c r="K631" i="35"/>
  <c r="L631" i="35" s="1"/>
  <c r="B631" i="35"/>
  <c r="A631" i="35"/>
  <c r="Y630" i="35"/>
  <c r="Z630" i="35" s="1"/>
  <c r="W630" i="35"/>
  <c r="B630" i="35"/>
  <c r="A630" i="35"/>
  <c r="U629" i="35"/>
  <c r="S629" i="35"/>
  <c r="P629" i="35"/>
  <c r="Q629" i="35" s="1"/>
  <c r="N629" i="35"/>
  <c r="O629" i="35" s="1"/>
  <c r="K629" i="35"/>
  <c r="F629" i="35"/>
  <c r="G629" i="35" s="1"/>
  <c r="D629" i="35"/>
  <c r="E629" i="35" s="1"/>
  <c r="B629" i="35"/>
  <c r="A629" i="35"/>
  <c r="M629" i="35" s="1"/>
  <c r="U628" i="35"/>
  <c r="S628" i="35"/>
  <c r="P628" i="35"/>
  <c r="Q628" i="35" s="1"/>
  <c r="N628" i="35"/>
  <c r="O628" i="35" s="1"/>
  <c r="K628" i="35"/>
  <c r="F628" i="35"/>
  <c r="G628" i="35" s="1"/>
  <c r="D628" i="35"/>
  <c r="E628" i="35" s="1"/>
  <c r="B628" i="35"/>
  <c r="A628" i="35"/>
  <c r="M628" i="35" s="1"/>
  <c r="U627" i="35"/>
  <c r="S627" i="35"/>
  <c r="P627" i="35"/>
  <c r="Q627" i="35" s="1"/>
  <c r="N627" i="35"/>
  <c r="O627" i="35" s="1"/>
  <c r="K627" i="35"/>
  <c r="L627" i="35" s="1"/>
  <c r="F627" i="35"/>
  <c r="G627" i="35" s="1"/>
  <c r="D627" i="35"/>
  <c r="E627" i="35" s="1"/>
  <c r="B627" i="35"/>
  <c r="A627" i="35"/>
  <c r="M627" i="35" s="1"/>
  <c r="U626" i="35"/>
  <c r="S626" i="35"/>
  <c r="P626" i="35"/>
  <c r="Q626" i="35" s="1"/>
  <c r="N626" i="35"/>
  <c r="O626" i="35" s="1"/>
  <c r="K626" i="35"/>
  <c r="L626" i="35" s="1"/>
  <c r="F626" i="35"/>
  <c r="G626" i="35" s="1"/>
  <c r="D626" i="35"/>
  <c r="E626" i="35" s="1"/>
  <c r="B626" i="35"/>
  <c r="A626" i="35"/>
  <c r="M626" i="35" s="1"/>
  <c r="Y625" i="35"/>
  <c r="Z625" i="35" s="1"/>
  <c r="X625" i="35"/>
  <c r="W625" i="35"/>
  <c r="B625" i="35"/>
  <c r="A625" i="35"/>
  <c r="Y624" i="35"/>
  <c r="Z624" i="35" s="1"/>
  <c r="W624" i="35"/>
  <c r="B624" i="35"/>
  <c r="A624" i="35"/>
  <c r="Y623" i="35"/>
  <c r="Z623" i="35" s="1"/>
  <c r="W623" i="35"/>
  <c r="B623" i="35"/>
  <c r="A623" i="35"/>
  <c r="Y622" i="35"/>
  <c r="Z622" i="35" s="1"/>
  <c r="W622" i="35"/>
  <c r="K622" i="35"/>
  <c r="L622" i="35" s="1"/>
  <c r="B622" i="35"/>
  <c r="A622" i="35"/>
  <c r="Y621" i="35"/>
  <c r="Z621" i="35" s="1"/>
  <c r="W621" i="35"/>
  <c r="X621" i="35" s="1"/>
  <c r="B621" i="35"/>
  <c r="A621" i="35"/>
  <c r="U620" i="35"/>
  <c r="S620" i="35"/>
  <c r="P620" i="35"/>
  <c r="Q620" i="35" s="1"/>
  <c r="N620" i="35"/>
  <c r="O620" i="35" s="1"/>
  <c r="K620" i="35"/>
  <c r="L620" i="35" s="1"/>
  <c r="F620" i="35"/>
  <c r="G620" i="35" s="1"/>
  <c r="D620" i="35"/>
  <c r="E620" i="35" s="1"/>
  <c r="B620" i="35"/>
  <c r="A620" i="35"/>
  <c r="M620" i="35" s="1"/>
  <c r="U619" i="35"/>
  <c r="S619" i="35"/>
  <c r="P619" i="35"/>
  <c r="Q619" i="35" s="1"/>
  <c r="N619" i="35"/>
  <c r="O619" i="35" s="1"/>
  <c r="K619" i="35"/>
  <c r="L619" i="35" s="1"/>
  <c r="F619" i="35"/>
  <c r="G619" i="35" s="1"/>
  <c r="D619" i="35"/>
  <c r="E619" i="35" s="1"/>
  <c r="B619" i="35"/>
  <c r="A619" i="35"/>
  <c r="M619" i="35" s="1"/>
  <c r="U618" i="35"/>
  <c r="S618" i="35"/>
  <c r="P618" i="35"/>
  <c r="Q618" i="35" s="1"/>
  <c r="N618" i="35"/>
  <c r="O618" i="35" s="1"/>
  <c r="K618" i="35"/>
  <c r="L618" i="35" s="1"/>
  <c r="F618" i="35"/>
  <c r="G618" i="35" s="1"/>
  <c r="D618" i="35"/>
  <c r="E618" i="35" s="1"/>
  <c r="B618" i="35"/>
  <c r="A618" i="35"/>
  <c r="M618" i="35" s="1"/>
  <c r="U617" i="35"/>
  <c r="S617" i="35"/>
  <c r="P617" i="35"/>
  <c r="Q617" i="35" s="1"/>
  <c r="N617" i="35"/>
  <c r="O617" i="35" s="1"/>
  <c r="K617" i="35"/>
  <c r="L617" i="35" s="1"/>
  <c r="F617" i="35"/>
  <c r="G617" i="35" s="1"/>
  <c r="D617" i="35"/>
  <c r="E617" i="35" s="1"/>
  <c r="B617" i="35"/>
  <c r="A617" i="35"/>
  <c r="M617" i="35" s="1"/>
  <c r="Y616" i="35"/>
  <c r="Z616" i="35" s="1"/>
  <c r="W616" i="35"/>
  <c r="X616" i="35" s="1"/>
  <c r="B616" i="35"/>
  <c r="A616" i="35"/>
  <c r="Y615" i="35"/>
  <c r="Z615" i="35" s="1"/>
  <c r="W615" i="35"/>
  <c r="X615" i="35" s="1"/>
  <c r="B615" i="35"/>
  <c r="A615" i="35"/>
  <c r="Y614" i="35"/>
  <c r="Z614" i="35" s="1"/>
  <c r="W614" i="35"/>
  <c r="X614" i="35" s="1"/>
  <c r="B614" i="35"/>
  <c r="A614" i="35"/>
  <c r="Y613" i="35"/>
  <c r="Z613" i="35" s="1"/>
  <c r="W613" i="35"/>
  <c r="X613" i="35" s="1"/>
  <c r="K613" i="35"/>
  <c r="L613" i="35" s="1"/>
  <c r="B613" i="35"/>
  <c r="A613" i="35"/>
  <c r="Y612" i="35"/>
  <c r="Z612" i="35" s="1"/>
  <c r="W612" i="35"/>
  <c r="B612" i="35"/>
  <c r="A612" i="35"/>
  <c r="U611" i="35"/>
  <c r="S611" i="35"/>
  <c r="P611" i="35"/>
  <c r="Q611" i="35" s="1"/>
  <c r="N611" i="35"/>
  <c r="O611" i="35" s="1"/>
  <c r="K611" i="35"/>
  <c r="L611" i="35" s="1"/>
  <c r="F611" i="35"/>
  <c r="G611" i="35" s="1"/>
  <c r="D611" i="35"/>
  <c r="E611" i="35" s="1"/>
  <c r="B611" i="35"/>
  <c r="A611" i="35"/>
  <c r="M611" i="35" s="1"/>
  <c r="U610" i="35"/>
  <c r="S610" i="35"/>
  <c r="P610" i="35"/>
  <c r="Q610" i="35" s="1"/>
  <c r="N610" i="35"/>
  <c r="O610" i="35" s="1"/>
  <c r="K610" i="35"/>
  <c r="L610" i="35" s="1"/>
  <c r="F610" i="35"/>
  <c r="G610" i="35" s="1"/>
  <c r="D610" i="35"/>
  <c r="E610" i="35" s="1"/>
  <c r="B610" i="35"/>
  <c r="A610" i="35"/>
  <c r="M610" i="35" s="1"/>
  <c r="U609" i="35"/>
  <c r="S609" i="35"/>
  <c r="P609" i="35"/>
  <c r="Q609" i="35" s="1"/>
  <c r="N609" i="35"/>
  <c r="O609" i="35" s="1"/>
  <c r="K609" i="35"/>
  <c r="L609" i="35" s="1"/>
  <c r="F609" i="35"/>
  <c r="G609" i="35" s="1"/>
  <c r="D609" i="35"/>
  <c r="E609" i="35" s="1"/>
  <c r="B609" i="35"/>
  <c r="A609" i="35"/>
  <c r="M609" i="35" s="1"/>
  <c r="U608" i="35"/>
  <c r="S608" i="35"/>
  <c r="P608" i="35"/>
  <c r="Q608" i="35" s="1"/>
  <c r="N608" i="35"/>
  <c r="O608" i="35" s="1"/>
  <c r="K608" i="35"/>
  <c r="L608" i="35" s="1"/>
  <c r="F608" i="35"/>
  <c r="G608" i="35" s="1"/>
  <c r="D608" i="35"/>
  <c r="E608" i="35" s="1"/>
  <c r="B608" i="35"/>
  <c r="A608" i="35"/>
  <c r="M608" i="35" s="1"/>
  <c r="Y607" i="35"/>
  <c r="Z607" i="35" s="1"/>
  <c r="W607" i="35"/>
  <c r="B607" i="35"/>
  <c r="A607" i="35"/>
  <c r="Y606" i="35"/>
  <c r="Z606" i="35" s="1"/>
  <c r="W606" i="35"/>
  <c r="B606" i="35"/>
  <c r="A606" i="35"/>
  <c r="Y605" i="35"/>
  <c r="Z605" i="35" s="1"/>
  <c r="W605" i="35"/>
  <c r="B605" i="35"/>
  <c r="A605" i="35"/>
  <c r="Y604" i="35"/>
  <c r="Z604" i="35" s="1"/>
  <c r="W604" i="35"/>
  <c r="K604" i="35"/>
  <c r="L604" i="35" s="1"/>
  <c r="B604" i="35"/>
  <c r="A604" i="35"/>
  <c r="Y603" i="35"/>
  <c r="Z603" i="35" s="1"/>
  <c r="W603" i="35"/>
  <c r="X603" i="35" s="1"/>
  <c r="B603" i="35"/>
  <c r="A603" i="35"/>
  <c r="U602" i="35"/>
  <c r="S602" i="35"/>
  <c r="P602" i="35"/>
  <c r="Q602" i="35" s="1"/>
  <c r="N602" i="35"/>
  <c r="O602" i="35" s="1"/>
  <c r="K602" i="35"/>
  <c r="L602" i="35" s="1"/>
  <c r="F602" i="35"/>
  <c r="G602" i="35" s="1"/>
  <c r="D602" i="35"/>
  <c r="E602" i="35" s="1"/>
  <c r="B602" i="35"/>
  <c r="A602" i="35"/>
  <c r="M602" i="35" s="1"/>
  <c r="U601" i="35"/>
  <c r="S601" i="35"/>
  <c r="P601" i="35"/>
  <c r="Q601" i="35" s="1"/>
  <c r="N601" i="35"/>
  <c r="O601" i="35" s="1"/>
  <c r="K601" i="35"/>
  <c r="L601" i="35" s="1"/>
  <c r="F601" i="35"/>
  <c r="G601" i="35" s="1"/>
  <c r="D601" i="35"/>
  <c r="E601" i="35" s="1"/>
  <c r="B601" i="35"/>
  <c r="A601" i="35"/>
  <c r="M601" i="35" s="1"/>
  <c r="U600" i="35"/>
  <c r="S600" i="35"/>
  <c r="P600" i="35"/>
  <c r="Q600" i="35" s="1"/>
  <c r="N600" i="35"/>
  <c r="O600" i="35" s="1"/>
  <c r="K600" i="35"/>
  <c r="L600" i="35" s="1"/>
  <c r="F600" i="35"/>
  <c r="G600" i="35" s="1"/>
  <c r="D600" i="35"/>
  <c r="E600" i="35" s="1"/>
  <c r="B600" i="35"/>
  <c r="A600" i="35"/>
  <c r="M600" i="35" s="1"/>
  <c r="U599" i="35"/>
  <c r="S599" i="35"/>
  <c r="P599" i="35"/>
  <c r="Q599" i="35" s="1"/>
  <c r="N599" i="35"/>
  <c r="O599" i="35" s="1"/>
  <c r="K599" i="35"/>
  <c r="L599" i="35" s="1"/>
  <c r="F599" i="35"/>
  <c r="G599" i="35" s="1"/>
  <c r="D599" i="35"/>
  <c r="E599" i="35" s="1"/>
  <c r="B599" i="35"/>
  <c r="A599" i="35"/>
  <c r="M599" i="35" s="1"/>
  <c r="Y598" i="35"/>
  <c r="Z598" i="35" s="1"/>
  <c r="W598" i="35"/>
  <c r="X598" i="35" s="1"/>
  <c r="B598" i="35"/>
  <c r="A598" i="35"/>
  <c r="Y597" i="35"/>
  <c r="Z597" i="35" s="1"/>
  <c r="W597" i="35"/>
  <c r="X597" i="35" s="1"/>
  <c r="B597" i="35"/>
  <c r="A597" i="35"/>
  <c r="Y596" i="35"/>
  <c r="Z596" i="35" s="1"/>
  <c r="W596" i="35"/>
  <c r="X596" i="35" s="1"/>
  <c r="B596" i="35"/>
  <c r="A596" i="35"/>
  <c r="Y595" i="35"/>
  <c r="Z595" i="35" s="1"/>
  <c r="W595" i="35"/>
  <c r="X595" i="35" s="1"/>
  <c r="K595" i="35"/>
  <c r="L595" i="35" s="1"/>
  <c r="B595" i="35"/>
  <c r="A595" i="35"/>
  <c r="Y594" i="35"/>
  <c r="Z594" i="35" s="1"/>
  <c r="W594" i="35"/>
  <c r="B594" i="35"/>
  <c r="A594" i="35"/>
  <c r="U593" i="35"/>
  <c r="S593" i="35"/>
  <c r="P593" i="35"/>
  <c r="Q593" i="35" s="1"/>
  <c r="N593" i="35"/>
  <c r="O593" i="35" s="1"/>
  <c r="K593" i="35"/>
  <c r="F593" i="35"/>
  <c r="G593" i="35" s="1"/>
  <c r="D593" i="35"/>
  <c r="E593" i="35" s="1"/>
  <c r="B593" i="35"/>
  <c r="A593" i="35"/>
  <c r="M593" i="35" s="1"/>
  <c r="U592" i="35"/>
  <c r="S592" i="35"/>
  <c r="P592" i="35"/>
  <c r="Q592" i="35" s="1"/>
  <c r="N592" i="35"/>
  <c r="O592" i="35" s="1"/>
  <c r="K592" i="35"/>
  <c r="L592" i="35" s="1"/>
  <c r="F592" i="35"/>
  <c r="G592" i="35" s="1"/>
  <c r="D592" i="35"/>
  <c r="E592" i="35" s="1"/>
  <c r="B592" i="35"/>
  <c r="A592" i="35"/>
  <c r="M592" i="35" s="1"/>
  <c r="U591" i="35"/>
  <c r="S591" i="35"/>
  <c r="P591" i="35"/>
  <c r="Q591" i="35" s="1"/>
  <c r="N591" i="35"/>
  <c r="O591" i="35" s="1"/>
  <c r="K591" i="35"/>
  <c r="F591" i="35"/>
  <c r="G591" i="35" s="1"/>
  <c r="D591" i="35"/>
  <c r="E591" i="35" s="1"/>
  <c r="B591" i="35"/>
  <c r="A591" i="35"/>
  <c r="M591" i="35" s="1"/>
  <c r="U590" i="35"/>
  <c r="S590" i="35"/>
  <c r="P590" i="35"/>
  <c r="Q590" i="35" s="1"/>
  <c r="N590" i="35"/>
  <c r="O590" i="35" s="1"/>
  <c r="K590" i="35"/>
  <c r="L590" i="35" s="1"/>
  <c r="F590" i="35"/>
  <c r="G590" i="35" s="1"/>
  <c r="D590" i="35"/>
  <c r="E590" i="35" s="1"/>
  <c r="B590" i="35"/>
  <c r="A590" i="35"/>
  <c r="M590" i="35" s="1"/>
  <c r="Y589" i="35"/>
  <c r="Z589" i="35" s="1"/>
  <c r="W589" i="35"/>
  <c r="X589" i="35" s="1"/>
  <c r="B589" i="35"/>
  <c r="A589" i="35"/>
  <c r="Y588" i="35"/>
  <c r="Z588" i="35" s="1"/>
  <c r="W588" i="35"/>
  <c r="B588" i="35"/>
  <c r="A588" i="35"/>
  <c r="Y587" i="35"/>
  <c r="W587" i="35"/>
  <c r="X587" i="35" s="1"/>
  <c r="B587" i="35"/>
  <c r="A587" i="35"/>
  <c r="Y586" i="35"/>
  <c r="Z586" i="35" s="1"/>
  <c r="W586" i="35"/>
  <c r="X586" i="35" s="1"/>
  <c r="K586" i="35"/>
  <c r="L586" i="35" s="1"/>
  <c r="B586" i="35"/>
  <c r="A586" i="35"/>
  <c r="Y585" i="35"/>
  <c r="Z585" i="35" s="1"/>
  <c r="W585" i="35"/>
  <c r="B585" i="35"/>
  <c r="A585" i="35"/>
  <c r="U584" i="35"/>
  <c r="S584" i="35"/>
  <c r="P584" i="35"/>
  <c r="Q584" i="35" s="1"/>
  <c r="N584" i="35"/>
  <c r="O584" i="35" s="1"/>
  <c r="K584" i="35"/>
  <c r="L584" i="35" s="1"/>
  <c r="F584" i="35"/>
  <c r="G584" i="35" s="1"/>
  <c r="D584" i="35"/>
  <c r="E584" i="35" s="1"/>
  <c r="B584" i="35"/>
  <c r="A584" i="35"/>
  <c r="M584" i="35" s="1"/>
  <c r="U583" i="35"/>
  <c r="S583" i="35"/>
  <c r="P583" i="35"/>
  <c r="Q583" i="35" s="1"/>
  <c r="N583" i="35"/>
  <c r="O583" i="35" s="1"/>
  <c r="K583" i="35"/>
  <c r="L583" i="35" s="1"/>
  <c r="F583" i="35"/>
  <c r="G583" i="35" s="1"/>
  <c r="D583" i="35"/>
  <c r="E583" i="35" s="1"/>
  <c r="B583" i="35"/>
  <c r="A583" i="35"/>
  <c r="M583" i="35" s="1"/>
  <c r="U582" i="35"/>
  <c r="S582" i="35"/>
  <c r="P582" i="35"/>
  <c r="Q582" i="35" s="1"/>
  <c r="N582" i="35"/>
  <c r="O582" i="35" s="1"/>
  <c r="K582" i="35"/>
  <c r="F582" i="35"/>
  <c r="G582" i="35" s="1"/>
  <c r="D582" i="35"/>
  <c r="E582" i="35" s="1"/>
  <c r="B582" i="35"/>
  <c r="A582" i="35"/>
  <c r="M582" i="35" s="1"/>
  <c r="U581" i="35"/>
  <c r="S581" i="35"/>
  <c r="P581" i="35"/>
  <c r="Q581" i="35" s="1"/>
  <c r="N581" i="35"/>
  <c r="O581" i="35" s="1"/>
  <c r="K581" i="35"/>
  <c r="L581" i="35" s="1"/>
  <c r="F581" i="35"/>
  <c r="G581" i="35" s="1"/>
  <c r="D581" i="35"/>
  <c r="E581" i="35" s="1"/>
  <c r="B581" i="35"/>
  <c r="A581" i="35"/>
  <c r="M581" i="35" s="1"/>
  <c r="Y580" i="35"/>
  <c r="W580" i="35"/>
  <c r="X580" i="35" s="1"/>
  <c r="B580" i="35"/>
  <c r="A580" i="35"/>
  <c r="Y579" i="35"/>
  <c r="W579" i="35"/>
  <c r="X579" i="35" s="1"/>
  <c r="B579" i="35"/>
  <c r="A579" i="35"/>
  <c r="Y578" i="35"/>
  <c r="Z578" i="35" s="1"/>
  <c r="W578" i="35"/>
  <c r="B578" i="35"/>
  <c r="A578" i="35"/>
  <c r="Y577" i="35"/>
  <c r="W577" i="35"/>
  <c r="X577" i="35" s="1"/>
  <c r="K577" i="35"/>
  <c r="L577" i="35" s="1"/>
  <c r="B577" i="35"/>
  <c r="A577" i="35"/>
  <c r="Y576" i="35"/>
  <c r="W576" i="35"/>
  <c r="X576" i="35" s="1"/>
  <c r="B576" i="35"/>
  <c r="A576" i="35"/>
  <c r="U575" i="35"/>
  <c r="S575" i="35"/>
  <c r="P575" i="35"/>
  <c r="Q575" i="35" s="1"/>
  <c r="N575" i="35"/>
  <c r="O575" i="35" s="1"/>
  <c r="K575" i="35"/>
  <c r="F575" i="35"/>
  <c r="G575" i="35" s="1"/>
  <c r="D575" i="35"/>
  <c r="E575" i="35" s="1"/>
  <c r="B575" i="35"/>
  <c r="A575" i="35"/>
  <c r="M575" i="35" s="1"/>
  <c r="U574" i="35"/>
  <c r="S574" i="35"/>
  <c r="P574" i="35"/>
  <c r="Q574" i="35" s="1"/>
  <c r="N574" i="35"/>
  <c r="O574" i="35" s="1"/>
  <c r="K574" i="35"/>
  <c r="L574" i="35" s="1"/>
  <c r="F574" i="35"/>
  <c r="G574" i="35" s="1"/>
  <c r="D574" i="35"/>
  <c r="E574" i="35" s="1"/>
  <c r="B574" i="35"/>
  <c r="A574" i="35"/>
  <c r="M574" i="35" s="1"/>
  <c r="U573" i="35"/>
  <c r="S573" i="35"/>
  <c r="P573" i="35"/>
  <c r="Q573" i="35" s="1"/>
  <c r="N573" i="35"/>
  <c r="O573" i="35" s="1"/>
  <c r="K573" i="35"/>
  <c r="L573" i="35" s="1"/>
  <c r="F573" i="35"/>
  <c r="G573" i="35" s="1"/>
  <c r="D573" i="35"/>
  <c r="E573" i="35" s="1"/>
  <c r="B573" i="35"/>
  <c r="A573" i="35"/>
  <c r="M573" i="35" s="1"/>
  <c r="U572" i="35"/>
  <c r="S572" i="35"/>
  <c r="P572" i="35"/>
  <c r="Q572" i="35" s="1"/>
  <c r="N572" i="35"/>
  <c r="O572" i="35" s="1"/>
  <c r="K572" i="35"/>
  <c r="L572" i="35" s="1"/>
  <c r="F572" i="35"/>
  <c r="G572" i="35" s="1"/>
  <c r="D572" i="35"/>
  <c r="E572" i="35" s="1"/>
  <c r="B572" i="35"/>
  <c r="A572" i="35"/>
  <c r="M572" i="35" s="1"/>
  <c r="Y571" i="35"/>
  <c r="W571" i="35"/>
  <c r="X571" i="35" s="1"/>
  <c r="B571" i="35"/>
  <c r="A571" i="35"/>
  <c r="Y570" i="35"/>
  <c r="Z570" i="35" s="1"/>
  <c r="W570" i="35"/>
  <c r="B570" i="35"/>
  <c r="A570" i="35"/>
  <c r="Y569" i="35"/>
  <c r="Z569" i="35" s="1"/>
  <c r="W569" i="35"/>
  <c r="B569" i="35"/>
  <c r="A569" i="35"/>
  <c r="Y568" i="35"/>
  <c r="Z568" i="35" s="1"/>
  <c r="W568" i="35"/>
  <c r="X568" i="35" s="1"/>
  <c r="K568" i="35"/>
  <c r="L568" i="35" s="1"/>
  <c r="B568" i="35"/>
  <c r="A568" i="35"/>
  <c r="Y567" i="35"/>
  <c r="W567" i="35"/>
  <c r="X567" i="35" s="1"/>
  <c r="B567" i="35"/>
  <c r="A567" i="35"/>
  <c r="U566" i="35"/>
  <c r="S566" i="35"/>
  <c r="P566" i="35"/>
  <c r="Q566" i="35" s="1"/>
  <c r="N566" i="35"/>
  <c r="O566" i="35" s="1"/>
  <c r="K566" i="35"/>
  <c r="L566" i="35" s="1"/>
  <c r="F566" i="35"/>
  <c r="G566" i="35" s="1"/>
  <c r="D566" i="35"/>
  <c r="E566" i="35" s="1"/>
  <c r="B566" i="35"/>
  <c r="A566" i="35"/>
  <c r="M566" i="35" s="1"/>
  <c r="U565" i="35"/>
  <c r="S565" i="35"/>
  <c r="P565" i="35"/>
  <c r="Q565" i="35" s="1"/>
  <c r="N565" i="35"/>
  <c r="O565" i="35" s="1"/>
  <c r="K565" i="35"/>
  <c r="L565" i="35" s="1"/>
  <c r="F565" i="35"/>
  <c r="G565" i="35" s="1"/>
  <c r="D565" i="35"/>
  <c r="E565" i="35" s="1"/>
  <c r="B565" i="35"/>
  <c r="A565" i="35"/>
  <c r="M565" i="35" s="1"/>
  <c r="U564" i="35"/>
  <c r="S564" i="35"/>
  <c r="P564" i="35"/>
  <c r="Q564" i="35" s="1"/>
  <c r="N564" i="35"/>
  <c r="O564" i="35" s="1"/>
  <c r="K564" i="35"/>
  <c r="L564" i="35" s="1"/>
  <c r="F564" i="35"/>
  <c r="G564" i="35" s="1"/>
  <c r="D564" i="35"/>
  <c r="E564" i="35" s="1"/>
  <c r="B564" i="35"/>
  <c r="A564" i="35"/>
  <c r="M564" i="35" s="1"/>
  <c r="U563" i="35"/>
  <c r="S563" i="35"/>
  <c r="P563" i="35"/>
  <c r="Q563" i="35" s="1"/>
  <c r="N563" i="35"/>
  <c r="O563" i="35" s="1"/>
  <c r="K563" i="35"/>
  <c r="L563" i="35" s="1"/>
  <c r="F563" i="35"/>
  <c r="G563" i="35" s="1"/>
  <c r="D563" i="35"/>
  <c r="E563" i="35" s="1"/>
  <c r="B563" i="35"/>
  <c r="A563" i="35"/>
  <c r="M563" i="35" s="1"/>
  <c r="Y562" i="35"/>
  <c r="Z562" i="35" s="1"/>
  <c r="W562" i="35"/>
  <c r="B562" i="35"/>
  <c r="A562" i="35"/>
  <c r="Y561" i="35"/>
  <c r="Z561" i="35" s="1"/>
  <c r="W561" i="35"/>
  <c r="B561" i="35"/>
  <c r="A561" i="35"/>
  <c r="Y560" i="35"/>
  <c r="Z560" i="35" s="1"/>
  <c r="W560" i="35"/>
  <c r="X560" i="35" s="1"/>
  <c r="B560" i="35"/>
  <c r="A560" i="35"/>
  <c r="Y559" i="35"/>
  <c r="Z559" i="35" s="1"/>
  <c r="W559" i="35"/>
  <c r="X559" i="35" s="1"/>
  <c r="K559" i="35"/>
  <c r="L559" i="35" s="1"/>
  <c r="B559" i="35"/>
  <c r="A559" i="35"/>
  <c r="Y558" i="35"/>
  <c r="Z558" i="35" s="1"/>
  <c r="W558" i="35"/>
  <c r="X558" i="35" s="1"/>
  <c r="B558" i="35"/>
  <c r="A558" i="35"/>
  <c r="U557" i="35"/>
  <c r="S557" i="35"/>
  <c r="P557" i="35"/>
  <c r="Q557" i="35" s="1"/>
  <c r="N557" i="35"/>
  <c r="O557" i="35" s="1"/>
  <c r="K557" i="35"/>
  <c r="L557" i="35" s="1"/>
  <c r="F557" i="35"/>
  <c r="G557" i="35" s="1"/>
  <c r="D557" i="35"/>
  <c r="E557" i="35" s="1"/>
  <c r="B557" i="35"/>
  <c r="A557" i="35"/>
  <c r="M557" i="35" s="1"/>
  <c r="U556" i="35"/>
  <c r="S556" i="35"/>
  <c r="P556" i="35"/>
  <c r="Q556" i="35" s="1"/>
  <c r="N556" i="35"/>
  <c r="O556" i="35" s="1"/>
  <c r="K556" i="35"/>
  <c r="L556" i="35" s="1"/>
  <c r="F556" i="35"/>
  <c r="G556" i="35" s="1"/>
  <c r="D556" i="35"/>
  <c r="E556" i="35" s="1"/>
  <c r="B556" i="35"/>
  <c r="A556" i="35"/>
  <c r="M556" i="35" s="1"/>
  <c r="U555" i="35"/>
  <c r="S555" i="35"/>
  <c r="P555" i="35"/>
  <c r="Q555" i="35" s="1"/>
  <c r="N555" i="35"/>
  <c r="O555" i="35" s="1"/>
  <c r="K555" i="35"/>
  <c r="L555" i="35" s="1"/>
  <c r="F555" i="35"/>
  <c r="G555" i="35" s="1"/>
  <c r="D555" i="35"/>
  <c r="E555" i="35" s="1"/>
  <c r="B555" i="35"/>
  <c r="A555" i="35"/>
  <c r="M555" i="35" s="1"/>
  <c r="U554" i="35"/>
  <c r="S554" i="35"/>
  <c r="P554" i="35"/>
  <c r="Q554" i="35" s="1"/>
  <c r="N554" i="35"/>
  <c r="O554" i="35" s="1"/>
  <c r="K554" i="35"/>
  <c r="L554" i="35" s="1"/>
  <c r="F554" i="35"/>
  <c r="G554" i="35" s="1"/>
  <c r="D554" i="35"/>
  <c r="E554" i="35" s="1"/>
  <c r="B554" i="35"/>
  <c r="A554" i="35"/>
  <c r="M554" i="35" s="1"/>
  <c r="Y553" i="35"/>
  <c r="Z553" i="35" s="1"/>
  <c r="W553" i="35"/>
  <c r="X553" i="35" s="1"/>
  <c r="B553" i="35"/>
  <c r="A553" i="35"/>
  <c r="Y552" i="35"/>
  <c r="Z552" i="35" s="1"/>
  <c r="W552" i="35"/>
  <c r="B552" i="35"/>
  <c r="A552" i="35"/>
  <c r="Y551" i="35"/>
  <c r="W551" i="35"/>
  <c r="X551" i="35" s="1"/>
  <c r="B551" i="35"/>
  <c r="A551" i="35"/>
  <c r="Y550" i="35"/>
  <c r="Z550" i="35" s="1"/>
  <c r="W550" i="35"/>
  <c r="K550" i="35"/>
  <c r="L550" i="35" s="1"/>
  <c r="B550" i="35"/>
  <c r="A550" i="35"/>
  <c r="Y549" i="35"/>
  <c r="Z549" i="35" s="1"/>
  <c r="W549" i="35"/>
  <c r="B549" i="35"/>
  <c r="A549" i="35"/>
  <c r="U548" i="35"/>
  <c r="S548" i="35"/>
  <c r="P548" i="35"/>
  <c r="Q548" i="35" s="1"/>
  <c r="N548" i="35"/>
  <c r="O548" i="35" s="1"/>
  <c r="K548" i="35"/>
  <c r="L548" i="35" s="1"/>
  <c r="F548" i="35"/>
  <c r="G548" i="35" s="1"/>
  <c r="D548" i="35"/>
  <c r="E548" i="35" s="1"/>
  <c r="B548" i="35"/>
  <c r="A548" i="35"/>
  <c r="M548" i="35" s="1"/>
  <c r="U547" i="35"/>
  <c r="S547" i="35"/>
  <c r="P547" i="35"/>
  <c r="Q547" i="35" s="1"/>
  <c r="N547" i="35"/>
  <c r="O547" i="35" s="1"/>
  <c r="K547" i="35"/>
  <c r="L547" i="35" s="1"/>
  <c r="F547" i="35"/>
  <c r="G547" i="35" s="1"/>
  <c r="D547" i="35"/>
  <c r="E547" i="35" s="1"/>
  <c r="J547" i="35" s="1"/>
  <c r="H547" i="35" s="1"/>
  <c r="I547" i="35" s="1"/>
  <c r="B547" i="35"/>
  <c r="A547" i="35"/>
  <c r="M547" i="35" s="1"/>
  <c r="U546" i="35"/>
  <c r="S546" i="35"/>
  <c r="P546" i="35"/>
  <c r="Q546" i="35" s="1"/>
  <c r="N546" i="35"/>
  <c r="O546" i="35" s="1"/>
  <c r="K546" i="35"/>
  <c r="F546" i="35"/>
  <c r="G546" i="35" s="1"/>
  <c r="E546" i="35"/>
  <c r="D546" i="35"/>
  <c r="B546" i="35"/>
  <c r="A546" i="35"/>
  <c r="M546" i="35" s="1"/>
  <c r="U545" i="35"/>
  <c r="S545" i="35"/>
  <c r="P545" i="35"/>
  <c r="Q545" i="35" s="1"/>
  <c r="N545" i="35"/>
  <c r="O545" i="35" s="1"/>
  <c r="K545" i="35"/>
  <c r="L545" i="35" s="1"/>
  <c r="F545" i="35"/>
  <c r="G545" i="35" s="1"/>
  <c r="D545" i="35"/>
  <c r="E545" i="35" s="1"/>
  <c r="B545" i="35"/>
  <c r="A545" i="35"/>
  <c r="M545" i="35" s="1"/>
  <c r="Y544" i="35"/>
  <c r="Z544" i="35" s="1"/>
  <c r="W544" i="35"/>
  <c r="B544" i="35"/>
  <c r="A544" i="35"/>
  <c r="Y543" i="35"/>
  <c r="Z543" i="35" s="1"/>
  <c r="W543" i="35"/>
  <c r="B543" i="35"/>
  <c r="A543" i="35"/>
  <c r="Y542" i="35"/>
  <c r="Z542" i="35" s="1"/>
  <c r="W542" i="35"/>
  <c r="B542" i="35"/>
  <c r="A542" i="35"/>
  <c r="Y541" i="35"/>
  <c r="Z541" i="35" s="1"/>
  <c r="W541" i="35"/>
  <c r="X541" i="35" s="1"/>
  <c r="K541" i="35"/>
  <c r="L541" i="35" s="1"/>
  <c r="B541" i="35"/>
  <c r="A541" i="35"/>
  <c r="Y540" i="35"/>
  <c r="Z540" i="35" s="1"/>
  <c r="W540" i="35"/>
  <c r="B540" i="35"/>
  <c r="A540" i="35"/>
  <c r="U539" i="35"/>
  <c r="S539" i="35"/>
  <c r="P539" i="35"/>
  <c r="Q539" i="35" s="1"/>
  <c r="N539" i="35"/>
  <c r="O539" i="35" s="1"/>
  <c r="K539" i="35"/>
  <c r="L539" i="35" s="1"/>
  <c r="F539" i="35"/>
  <c r="G539" i="35" s="1"/>
  <c r="D539" i="35"/>
  <c r="E539" i="35" s="1"/>
  <c r="B539" i="35"/>
  <c r="A539" i="35"/>
  <c r="M539" i="35" s="1"/>
  <c r="U538" i="35"/>
  <c r="S538" i="35"/>
  <c r="P538" i="35"/>
  <c r="Q538" i="35" s="1"/>
  <c r="N538" i="35"/>
  <c r="O538" i="35" s="1"/>
  <c r="K538" i="35"/>
  <c r="L538" i="35" s="1"/>
  <c r="F538" i="35"/>
  <c r="G538" i="35" s="1"/>
  <c r="D538" i="35"/>
  <c r="E538" i="35" s="1"/>
  <c r="B538" i="35"/>
  <c r="A538" i="35"/>
  <c r="M538" i="35" s="1"/>
  <c r="U537" i="35"/>
  <c r="S537" i="35"/>
  <c r="P537" i="35"/>
  <c r="Q537" i="35" s="1"/>
  <c r="N537" i="35"/>
  <c r="O537" i="35" s="1"/>
  <c r="K537" i="35"/>
  <c r="F537" i="35"/>
  <c r="G537" i="35" s="1"/>
  <c r="D537" i="35"/>
  <c r="E537" i="35" s="1"/>
  <c r="B537" i="35"/>
  <c r="A537" i="35"/>
  <c r="M537" i="35" s="1"/>
  <c r="U536" i="35"/>
  <c r="S536" i="35"/>
  <c r="P536" i="35"/>
  <c r="Q536" i="35" s="1"/>
  <c r="N536" i="35"/>
  <c r="O536" i="35" s="1"/>
  <c r="K536" i="35"/>
  <c r="F536" i="35"/>
  <c r="G536" i="35" s="1"/>
  <c r="D536" i="35"/>
  <c r="E536" i="35" s="1"/>
  <c r="B536" i="35"/>
  <c r="A536" i="35"/>
  <c r="M536" i="35" s="1"/>
  <c r="Y535" i="35"/>
  <c r="Z535" i="35" s="1"/>
  <c r="W535" i="35"/>
  <c r="X535" i="35" s="1"/>
  <c r="B535" i="35"/>
  <c r="A535" i="35"/>
  <c r="Y534" i="35"/>
  <c r="Z534" i="35" s="1"/>
  <c r="W534" i="35"/>
  <c r="X534" i="35" s="1"/>
  <c r="B534" i="35"/>
  <c r="A534" i="35"/>
  <c r="Y533" i="35"/>
  <c r="Z533" i="35" s="1"/>
  <c r="W533" i="35"/>
  <c r="X533" i="35" s="1"/>
  <c r="B533" i="35"/>
  <c r="A533" i="35"/>
  <c r="Y532" i="35"/>
  <c r="Z532" i="35" s="1"/>
  <c r="W532" i="35"/>
  <c r="X532" i="35" s="1"/>
  <c r="K532" i="35"/>
  <c r="L532" i="35" s="1"/>
  <c r="B532" i="35"/>
  <c r="A532" i="35"/>
  <c r="Y531" i="35"/>
  <c r="Z531" i="35" s="1"/>
  <c r="W531" i="35"/>
  <c r="B531" i="35"/>
  <c r="A531" i="35"/>
  <c r="U530" i="35"/>
  <c r="S530" i="35"/>
  <c r="P530" i="35"/>
  <c r="Q530" i="35" s="1"/>
  <c r="N530" i="35"/>
  <c r="O530" i="35" s="1"/>
  <c r="K530" i="35"/>
  <c r="L530" i="35" s="1"/>
  <c r="F530" i="35"/>
  <c r="G530" i="35" s="1"/>
  <c r="D530" i="35"/>
  <c r="E530" i="35" s="1"/>
  <c r="B530" i="35"/>
  <c r="A530" i="35"/>
  <c r="M530" i="35" s="1"/>
  <c r="U529" i="35"/>
  <c r="S529" i="35"/>
  <c r="P529" i="35"/>
  <c r="Q529" i="35" s="1"/>
  <c r="N529" i="35"/>
  <c r="O529" i="35" s="1"/>
  <c r="K529" i="35"/>
  <c r="F529" i="35"/>
  <c r="G529" i="35" s="1"/>
  <c r="D529" i="35"/>
  <c r="E529" i="35" s="1"/>
  <c r="B529" i="35"/>
  <c r="A529" i="35"/>
  <c r="M529" i="35" s="1"/>
  <c r="U528" i="35"/>
  <c r="S528" i="35"/>
  <c r="P528" i="35"/>
  <c r="Q528" i="35" s="1"/>
  <c r="N528" i="35"/>
  <c r="O528" i="35" s="1"/>
  <c r="K528" i="35"/>
  <c r="L528" i="35" s="1"/>
  <c r="F528" i="35"/>
  <c r="G528" i="35" s="1"/>
  <c r="D528" i="35"/>
  <c r="E528" i="35" s="1"/>
  <c r="B528" i="35"/>
  <c r="A528" i="35"/>
  <c r="M528" i="35" s="1"/>
  <c r="U527" i="35"/>
  <c r="S527" i="35"/>
  <c r="P527" i="35"/>
  <c r="Q527" i="35" s="1"/>
  <c r="N527" i="35"/>
  <c r="O527" i="35" s="1"/>
  <c r="K527" i="35"/>
  <c r="L527" i="35" s="1"/>
  <c r="F527" i="35"/>
  <c r="G527" i="35" s="1"/>
  <c r="D527" i="35"/>
  <c r="E527" i="35" s="1"/>
  <c r="B527" i="35"/>
  <c r="A527" i="35"/>
  <c r="M527" i="35" s="1"/>
  <c r="Y526" i="35"/>
  <c r="Z526" i="35" s="1"/>
  <c r="W526" i="35"/>
  <c r="B526" i="35"/>
  <c r="A526" i="35"/>
  <c r="Y525" i="35"/>
  <c r="Z525" i="35" s="1"/>
  <c r="W525" i="35"/>
  <c r="B525" i="35"/>
  <c r="A525" i="35"/>
  <c r="Y524" i="35"/>
  <c r="Z524" i="35" s="1"/>
  <c r="W524" i="35"/>
  <c r="B524" i="35"/>
  <c r="A524" i="35"/>
  <c r="Y523" i="35"/>
  <c r="Z523" i="35" s="1"/>
  <c r="W523" i="35"/>
  <c r="K523" i="35"/>
  <c r="L523" i="35" s="1"/>
  <c r="B523" i="35"/>
  <c r="A523" i="35"/>
  <c r="Y522" i="35"/>
  <c r="Z522" i="35" s="1"/>
  <c r="W522" i="35"/>
  <c r="X522" i="35" s="1"/>
  <c r="B522" i="35"/>
  <c r="A522" i="35"/>
  <c r="U521" i="35"/>
  <c r="S521" i="35"/>
  <c r="P521" i="35"/>
  <c r="Q521" i="35" s="1"/>
  <c r="N521" i="35"/>
  <c r="O521" i="35" s="1"/>
  <c r="K521" i="35"/>
  <c r="L521" i="35" s="1"/>
  <c r="F521" i="35"/>
  <c r="G521" i="35" s="1"/>
  <c r="D521" i="35"/>
  <c r="E521" i="35" s="1"/>
  <c r="B521" i="35"/>
  <c r="A521" i="35"/>
  <c r="M521" i="35" s="1"/>
  <c r="U520" i="35"/>
  <c r="S520" i="35"/>
  <c r="P520" i="35"/>
  <c r="Q520" i="35" s="1"/>
  <c r="N520" i="35"/>
  <c r="O520" i="35" s="1"/>
  <c r="K520" i="35"/>
  <c r="F520" i="35"/>
  <c r="G520" i="35" s="1"/>
  <c r="D520" i="35"/>
  <c r="E520" i="35" s="1"/>
  <c r="B520" i="35"/>
  <c r="A520" i="35"/>
  <c r="M520" i="35" s="1"/>
  <c r="U519" i="35"/>
  <c r="S519" i="35"/>
  <c r="P519" i="35"/>
  <c r="Q519" i="35" s="1"/>
  <c r="N519" i="35"/>
  <c r="O519" i="35" s="1"/>
  <c r="K519" i="35"/>
  <c r="F519" i="35"/>
  <c r="G519" i="35" s="1"/>
  <c r="D519" i="35"/>
  <c r="E519" i="35" s="1"/>
  <c r="B519" i="35"/>
  <c r="A519" i="35"/>
  <c r="M519" i="35" s="1"/>
  <c r="U518" i="35"/>
  <c r="S518" i="35"/>
  <c r="P518" i="35"/>
  <c r="Q518" i="35" s="1"/>
  <c r="N518" i="35"/>
  <c r="O518" i="35" s="1"/>
  <c r="K518" i="35"/>
  <c r="F518" i="35"/>
  <c r="G518" i="35" s="1"/>
  <c r="D518" i="35"/>
  <c r="E518" i="35" s="1"/>
  <c r="B518" i="35"/>
  <c r="A518" i="35"/>
  <c r="M518" i="35" s="1"/>
  <c r="Y517" i="35"/>
  <c r="Z517" i="35" s="1"/>
  <c r="W517" i="35"/>
  <c r="X517" i="35" s="1"/>
  <c r="B517" i="35"/>
  <c r="A517" i="35"/>
  <c r="Y516" i="35"/>
  <c r="Z516" i="35" s="1"/>
  <c r="W516" i="35"/>
  <c r="X516" i="35" s="1"/>
  <c r="B516" i="35"/>
  <c r="A516" i="35"/>
  <c r="Y515" i="35"/>
  <c r="Z515" i="35" s="1"/>
  <c r="W515" i="35"/>
  <c r="X515" i="35" s="1"/>
  <c r="B515" i="35"/>
  <c r="A515" i="35"/>
  <c r="Y514" i="35"/>
  <c r="Z514" i="35" s="1"/>
  <c r="W514" i="35"/>
  <c r="X514" i="35" s="1"/>
  <c r="K514" i="35"/>
  <c r="L514" i="35" s="1"/>
  <c r="B514" i="35"/>
  <c r="A514" i="35"/>
  <c r="Y513" i="35"/>
  <c r="Z513" i="35" s="1"/>
  <c r="W513" i="35"/>
  <c r="B513" i="35"/>
  <c r="A513" i="35"/>
  <c r="U512" i="35"/>
  <c r="S512" i="35"/>
  <c r="P512" i="35"/>
  <c r="Q512" i="35" s="1"/>
  <c r="N512" i="35"/>
  <c r="O512" i="35" s="1"/>
  <c r="K512" i="35"/>
  <c r="L512" i="35" s="1"/>
  <c r="F512" i="35"/>
  <c r="G512" i="35" s="1"/>
  <c r="D512" i="35"/>
  <c r="E512" i="35" s="1"/>
  <c r="B512" i="35"/>
  <c r="A512" i="35"/>
  <c r="M512" i="35" s="1"/>
  <c r="U511" i="35"/>
  <c r="S511" i="35"/>
  <c r="P511" i="35"/>
  <c r="Q511" i="35" s="1"/>
  <c r="N511" i="35"/>
  <c r="O511" i="35" s="1"/>
  <c r="K511" i="35"/>
  <c r="L511" i="35" s="1"/>
  <c r="F511" i="35"/>
  <c r="G511" i="35" s="1"/>
  <c r="D511" i="35"/>
  <c r="E511" i="35" s="1"/>
  <c r="B511" i="35"/>
  <c r="A511" i="35"/>
  <c r="M511" i="35" s="1"/>
  <c r="U510" i="35"/>
  <c r="S510" i="35"/>
  <c r="P510" i="35"/>
  <c r="Q510" i="35" s="1"/>
  <c r="N510" i="35"/>
  <c r="O510" i="35" s="1"/>
  <c r="K510" i="35"/>
  <c r="L510" i="35" s="1"/>
  <c r="F510" i="35"/>
  <c r="G510" i="35" s="1"/>
  <c r="D510" i="35"/>
  <c r="E510" i="35" s="1"/>
  <c r="B510" i="35"/>
  <c r="A510" i="35"/>
  <c r="M510" i="35" s="1"/>
  <c r="U509" i="35"/>
  <c r="S509" i="35"/>
  <c r="P509" i="35"/>
  <c r="Q509" i="35" s="1"/>
  <c r="N509" i="35"/>
  <c r="O509" i="35" s="1"/>
  <c r="K509" i="35"/>
  <c r="L509" i="35" s="1"/>
  <c r="F509" i="35"/>
  <c r="G509" i="35" s="1"/>
  <c r="D509" i="35"/>
  <c r="E509" i="35" s="1"/>
  <c r="B509" i="35"/>
  <c r="A509" i="35"/>
  <c r="M509" i="35" s="1"/>
  <c r="Y508" i="35"/>
  <c r="Z508" i="35" s="1"/>
  <c r="W508" i="35"/>
  <c r="B508" i="35"/>
  <c r="A508" i="35"/>
  <c r="Y507" i="35"/>
  <c r="Z507" i="35" s="1"/>
  <c r="W507" i="35"/>
  <c r="X507" i="35" s="1"/>
  <c r="B507" i="35"/>
  <c r="A507" i="35"/>
  <c r="Y506" i="35"/>
  <c r="Z506" i="35" s="1"/>
  <c r="W506" i="35"/>
  <c r="X506" i="35" s="1"/>
  <c r="B506" i="35"/>
  <c r="A506" i="35"/>
  <c r="Y505" i="35"/>
  <c r="Z505" i="35" s="1"/>
  <c r="W505" i="35"/>
  <c r="K505" i="35"/>
  <c r="L505" i="35" s="1"/>
  <c r="B505" i="35"/>
  <c r="A505" i="35"/>
  <c r="Y504" i="35"/>
  <c r="Z504" i="35" s="1"/>
  <c r="W504" i="35"/>
  <c r="X504" i="35" s="1"/>
  <c r="B504" i="35"/>
  <c r="A504" i="35"/>
  <c r="U503" i="35"/>
  <c r="S503" i="35"/>
  <c r="P503" i="35"/>
  <c r="Q503" i="35" s="1"/>
  <c r="N503" i="35"/>
  <c r="O503" i="35" s="1"/>
  <c r="K503" i="35"/>
  <c r="L503" i="35" s="1"/>
  <c r="F503" i="35"/>
  <c r="G503" i="35" s="1"/>
  <c r="D503" i="35"/>
  <c r="E503" i="35" s="1"/>
  <c r="B503" i="35"/>
  <c r="A503" i="35"/>
  <c r="M503" i="35" s="1"/>
  <c r="U502" i="35"/>
  <c r="S502" i="35"/>
  <c r="P502" i="35"/>
  <c r="Q502" i="35" s="1"/>
  <c r="N502" i="35"/>
  <c r="O502" i="35" s="1"/>
  <c r="K502" i="35"/>
  <c r="L502" i="35" s="1"/>
  <c r="F502" i="35"/>
  <c r="G502" i="35" s="1"/>
  <c r="D502" i="35"/>
  <c r="E502" i="35" s="1"/>
  <c r="B502" i="35"/>
  <c r="A502" i="35"/>
  <c r="M502" i="35" s="1"/>
  <c r="U501" i="35"/>
  <c r="S501" i="35"/>
  <c r="P501" i="35"/>
  <c r="Q501" i="35" s="1"/>
  <c r="N501" i="35"/>
  <c r="O501" i="35" s="1"/>
  <c r="K501" i="35"/>
  <c r="L501" i="35" s="1"/>
  <c r="F501" i="35"/>
  <c r="G501" i="35" s="1"/>
  <c r="D501" i="35"/>
  <c r="E501" i="35" s="1"/>
  <c r="B501" i="35"/>
  <c r="A501" i="35"/>
  <c r="M501" i="35" s="1"/>
  <c r="U500" i="35"/>
  <c r="S500" i="35"/>
  <c r="P500" i="35"/>
  <c r="Q500" i="35" s="1"/>
  <c r="N500" i="35"/>
  <c r="O500" i="35" s="1"/>
  <c r="K500" i="35"/>
  <c r="L500" i="35" s="1"/>
  <c r="F500" i="35"/>
  <c r="G500" i="35" s="1"/>
  <c r="D500" i="35"/>
  <c r="E500" i="35" s="1"/>
  <c r="B500" i="35"/>
  <c r="A500" i="35"/>
  <c r="M500" i="35" s="1"/>
  <c r="Y499" i="35"/>
  <c r="Z499" i="35" s="1"/>
  <c r="W499" i="35"/>
  <c r="X499" i="35" s="1"/>
  <c r="B499" i="35"/>
  <c r="A499" i="35"/>
  <c r="Y498" i="35"/>
  <c r="Z498" i="35" s="1"/>
  <c r="W498" i="35"/>
  <c r="X498" i="35" s="1"/>
  <c r="B498" i="35"/>
  <c r="A498" i="35"/>
  <c r="Y497" i="35"/>
  <c r="Z497" i="35" s="1"/>
  <c r="W497" i="35"/>
  <c r="X497" i="35" s="1"/>
  <c r="B497" i="35"/>
  <c r="A497" i="35"/>
  <c r="Y496" i="35"/>
  <c r="Z496" i="35" s="1"/>
  <c r="W496" i="35"/>
  <c r="X496" i="35" s="1"/>
  <c r="K496" i="35"/>
  <c r="L496" i="35" s="1"/>
  <c r="B496" i="35"/>
  <c r="A496" i="35"/>
  <c r="Y495" i="35"/>
  <c r="Z495" i="35" s="1"/>
  <c r="W495" i="35"/>
  <c r="B495" i="35"/>
  <c r="A495" i="35"/>
  <c r="U494" i="35"/>
  <c r="S494" i="35"/>
  <c r="P494" i="35"/>
  <c r="Q494" i="35" s="1"/>
  <c r="N494" i="35"/>
  <c r="O494" i="35" s="1"/>
  <c r="K494" i="35"/>
  <c r="L494" i="35" s="1"/>
  <c r="F494" i="35"/>
  <c r="G494" i="35" s="1"/>
  <c r="D494" i="35"/>
  <c r="E494" i="35" s="1"/>
  <c r="B494" i="35"/>
  <c r="A494" i="35"/>
  <c r="M494" i="35" s="1"/>
  <c r="U493" i="35"/>
  <c r="S493" i="35"/>
  <c r="P493" i="35"/>
  <c r="Q493" i="35" s="1"/>
  <c r="N493" i="35"/>
  <c r="O493" i="35" s="1"/>
  <c r="K493" i="35"/>
  <c r="F493" i="35"/>
  <c r="G493" i="35" s="1"/>
  <c r="D493" i="35"/>
  <c r="E493" i="35" s="1"/>
  <c r="B493" i="35"/>
  <c r="A493" i="35"/>
  <c r="M493" i="35" s="1"/>
  <c r="U492" i="35"/>
  <c r="S492" i="35"/>
  <c r="P492" i="35"/>
  <c r="Q492" i="35" s="1"/>
  <c r="N492" i="35"/>
  <c r="O492" i="35" s="1"/>
  <c r="K492" i="35"/>
  <c r="L492" i="35" s="1"/>
  <c r="F492" i="35"/>
  <c r="G492" i="35" s="1"/>
  <c r="D492" i="35"/>
  <c r="E492" i="35" s="1"/>
  <c r="B492" i="35"/>
  <c r="A492" i="35"/>
  <c r="M492" i="35" s="1"/>
  <c r="U491" i="35"/>
  <c r="S491" i="35"/>
  <c r="P491" i="35"/>
  <c r="Q491" i="35" s="1"/>
  <c r="N491" i="35"/>
  <c r="O491" i="35" s="1"/>
  <c r="K491" i="35"/>
  <c r="L491" i="35" s="1"/>
  <c r="F491" i="35"/>
  <c r="G491" i="35" s="1"/>
  <c r="D491" i="35"/>
  <c r="E491" i="35" s="1"/>
  <c r="B491" i="35"/>
  <c r="A491" i="35"/>
  <c r="M491" i="35" s="1"/>
  <c r="Y490" i="35"/>
  <c r="Z490" i="35" s="1"/>
  <c r="W490" i="35"/>
  <c r="X490" i="35" s="1"/>
  <c r="B490" i="35"/>
  <c r="A490" i="35"/>
  <c r="Y489" i="35"/>
  <c r="Z489" i="35" s="1"/>
  <c r="W489" i="35"/>
  <c r="X489" i="35" s="1"/>
  <c r="B489" i="35"/>
  <c r="A489" i="35"/>
  <c r="Y488" i="35"/>
  <c r="Z488" i="35" s="1"/>
  <c r="W488" i="35"/>
  <c r="X488" i="35" s="1"/>
  <c r="B488" i="35"/>
  <c r="A488" i="35"/>
  <c r="Y487" i="35"/>
  <c r="Z487" i="35" s="1"/>
  <c r="W487" i="35"/>
  <c r="K487" i="35"/>
  <c r="L487" i="35" s="1"/>
  <c r="B487" i="35"/>
  <c r="A487" i="35"/>
  <c r="Y486" i="35"/>
  <c r="Z486" i="35" s="1"/>
  <c r="W486" i="35"/>
  <c r="B486" i="35"/>
  <c r="A486" i="35"/>
  <c r="U485" i="35"/>
  <c r="S485" i="35"/>
  <c r="P485" i="35"/>
  <c r="Q485" i="35" s="1"/>
  <c r="N485" i="35"/>
  <c r="O485" i="35" s="1"/>
  <c r="K485" i="35"/>
  <c r="L485" i="35" s="1"/>
  <c r="F485" i="35"/>
  <c r="G485" i="35" s="1"/>
  <c r="D485" i="35"/>
  <c r="E485" i="35" s="1"/>
  <c r="B485" i="35"/>
  <c r="A485" i="35"/>
  <c r="M485" i="35" s="1"/>
  <c r="U484" i="35"/>
  <c r="S484" i="35"/>
  <c r="P484" i="35"/>
  <c r="Q484" i="35" s="1"/>
  <c r="N484" i="35"/>
  <c r="O484" i="35" s="1"/>
  <c r="K484" i="35"/>
  <c r="L484" i="35" s="1"/>
  <c r="F484" i="35"/>
  <c r="G484" i="35" s="1"/>
  <c r="D484" i="35"/>
  <c r="E484" i="35" s="1"/>
  <c r="B484" i="35"/>
  <c r="A484" i="35"/>
  <c r="M484" i="35" s="1"/>
  <c r="U483" i="35"/>
  <c r="S483" i="35"/>
  <c r="P483" i="35"/>
  <c r="Q483" i="35" s="1"/>
  <c r="N483" i="35"/>
  <c r="O483" i="35" s="1"/>
  <c r="K483" i="35"/>
  <c r="F483" i="35"/>
  <c r="G483" i="35" s="1"/>
  <c r="D483" i="35"/>
  <c r="E483" i="35" s="1"/>
  <c r="B483" i="35"/>
  <c r="A483" i="35"/>
  <c r="M483" i="35" s="1"/>
  <c r="U482" i="35"/>
  <c r="S482" i="35"/>
  <c r="P482" i="35"/>
  <c r="Q482" i="35" s="1"/>
  <c r="N482" i="35"/>
  <c r="O482" i="35" s="1"/>
  <c r="K482" i="35"/>
  <c r="L482" i="35" s="1"/>
  <c r="F482" i="35"/>
  <c r="G482" i="35" s="1"/>
  <c r="D482" i="35"/>
  <c r="E482" i="35" s="1"/>
  <c r="B482" i="35"/>
  <c r="A482" i="35"/>
  <c r="M482" i="35" s="1"/>
  <c r="Y481" i="35"/>
  <c r="W481" i="35"/>
  <c r="X481" i="35" s="1"/>
  <c r="B481" i="35"/>
  <c r="A481" i="35"/>
  <c r="Y480" i="35"/>
  <c r="Z480" i="35" s="1"/>
  <c r="W480" i="35"/>
  <c r="B480" i="35"/>
  <c r="A480" i="35"/>
  <c r="Y479" i="35"/>
  <c r="W479" i="35"/>
  <c r="X479" i="35" s="1"/>
  <c r="B479" i="35"/>
  <c r="A479" i="35"/>
  <c r="Y478" i="35"/>
  <c r="Z478" i="35" s="1"/>
  <c r="W478" i="35"/>
  <c r="K478" i="35"/>
  <c r="L478" i="35" s="1"/>
  <c r="B478" i="35"/>
  <c r="A478" i="35"/>
  <c r="Y477" i="35"/>
  <c r="Z477" i="35" s="1"/>
  <c r="W477" i="35"/>
  <c r="B477" i="35"/>
  <c r="A477" i="35"/>
  <c r="U476" i="35"/>
  <c r="S476" i="35"/>
  <c r="P476" i="35"/>
  <c r="Q476" i="35" s="1"/>
  <c r="N476" i="35"/>
  <c r="O476" i="35" s="1"/>
  <c r="K476" i="35"/>
  <c r="L476" i="35" s="1"/>
  <c r="F476" i="35"/>
  <c r="G476" i="35" s="1"/>
  <c r="D476" i="35"/>
  <c r="E476" i="35" s="1"/>
  <c r="B476" i="35"/>
  <c r="A476" i="35"/>
  <c r="M476" i="35" s="1"/>
  <c r="U475" i="35"/>
  <c r="S475" i="35"/>
  <c r="P475" i="35"/>
  <c r="Q475" i="35" s="1"/>
  <c r="N475" i="35"/>
  <c r="O475" i="35" s="1"/>
  <c r="K475" i="35"/>
  <c r="L475" i="35" s="1"/>
  <c r="F475" i="35"/>
  <c r="G475" i="35" s="1"/>
  <c r="D475" i="35"/>
  <c r="E475" i="35" s="1"/>
  <c r="B475" i="35"/>
  <c r="A475" i="35"/>
  <c r="M475" i="35" s="1"/>
  <c r="U474" i="35"/>
  <c r="S474" i="35"/>
  <c r="P474" i="35"/>
  <c r="Q474" i="35" s="1"/>
  <c r="N474" i="35"/>
  <c r="O474" i="35" s="1"/>
  <c r="K474" i="35"/>
  <c r="L474" i="35" s="1"/>
  <c r="F474" i="35"/>
  <c r="G474" i="35" s="1"/>
  <c r="D474" i="35"/>
  <c r="E474" i="35" s="1"/>
  <c r="B474" i="35"/>
  <c r="A474" i="35"/>
  <c r="M474" i="35" s="1"/>
  <c r="U473" i="35"/>
  <c r="S473" i="35"/>
  <c r="P473" i="35"/>
  <c r="Q473" i="35" s="1"/>
  <c r="N473" i="35"/>
  <c r="O473" i="35" s="1"/>
  <c r="K473" i="35"/>
  <c r="L473" i="35" s="1"/>
  <c r="F473" i="35"/>
  <c r="G473" i="35" s="1"/>
  <c r="D473" i="35"/>
  <c r="E473" i="35" s="1"/>
  <c r="B473" i="35"/>
  <c r="A473" i="35"/>
  <c r="M473" i="35" s="1"/>
  <c r="Y472" i="35"/>
  <c r="Z472" i="35" s="1"/>
  <c r="W472" i="35"/>
  <c r="X472" i="35" s="1"/>
  <c r="B472" i="35"/>
  <c r="A472" i="35"/>
  <c r="Y471" i="35"/>
  <c r="Z471" i="35" s="1"/>
  <c r="W471" i="35"/>
  <c r="B471" i="35"/>
  <c r="A471" i="35"/>
  <c r="Y470" i="35"/>
  <c r="Z470" i="35" s="1"/>
  <c r="W470" i="35"/>
  <c r="B470" i="35"/>
  <c r="A470" i="35"/>
  <c r="Y469" i="35"/>
  <c r="Z469" i="35" s="1"/>
  <c r="W469" i="35"/>
  <c r="K469" i="35"/>
  <c r="L469" i="35" s="1"/>
  <c r="B469" i="35"/>
  <c r="A469" i="35"/>
  <c r="Y468" i="35"/>
  <c r="Z468" i="35" s="1"/>
  <c r="W468" i="35"/>
  <c r="B468" i="35"/>
  <c r="A468" i="35"/>
  <c r="U467" i="35"/>
  <c r="S467" i="35"/>
  <c r="P467" i="35"/>
  <c r="Q467" i="35" s="1"/>
  <c r="N467" i="35"/>
  <c r="O467" i="35" s="1"/>
  <c r="K467" i="35"/>
  <c r="L467" i="35" s="1"/>
  <c r="F467" i="35"/>
  <c r="G467" i="35" s="1"/>
  <c r="D467" i="35"/>
  <c r="E467" i="35" s="1"/>
  <c r="B467" i="35"/>
  <c r="A467" i="35"/>
  <c r="M467" i="35" s="1"/>
  <c r="U466" i="35"/>
  <c r="S466" i="35"/>
  <c r="P466" i="35"/>
  <c r="Q466" i="35" s="1"/>
  <c r="N466" i="35"/>
  <c r="O466" i="35" s="1"/>
  <c r="K466" i="35"/>
  <c r="L466" i="35" s="1"/>
  <c r="F466" i="35"/>
  <c r="G466" i="35" s="1"/>
  <c r="D466" i="35"/>
  <c r="E466" i="35" s="1"/>
  <c r="B466" i="35"/>
  <c r="A466" i="35"/>
  <c r="M466" i="35" s="1"/>
  <c r="U465" i="35"/>
  <c r="S465" i="35"/>
  <c r="P465" i="35"/>
  <c r="Q465" i="35" s="1"/>
  <c r="N465" i="35"/>
  <c r="O465" i="35" s="1"/>
  <c r="K465" i="35"/>
  <c r="L465" i="35" s="1"/>
  <c r="F465" i="35"/>
  <c r="G465" i="35" s="1"/>
  <c r="D465" i="35"/>
  <c r="E465" i="35" s="1"/>
  <c r="B465" i="35"/>
  <c r="A465" i="35"/>
  <c r="M465" i="35" s="1"/>
  <c r="U464" i="35"/>
  <c r="S464" i="35"/>
  <c r="P464" i="35"/>
  <c r="Q464" i="35" s="1"/>
  <c r="N464" i="35"/>
  <c r="O464" i="35" s="1"/>
  <c r="K464" i="35"/>
  <c r="L464" i="35" s="1"/>
  <c r="F464" i="35"/>
  <c r="G464" i="35" s="1"/>
  <c r="D464" i="35"/>
  <c r="E464" i="35" s="1"/>
  <c r="B464" i="35"/>
  <c r="A464" i="35"/>
  <c r="M464" i="35" s="1"/>
  <c r="Y463" i="35"/>
  <c r="Z463" i="35" s="1"/>
  <c r="W463" i="35"/>
  <c r="B463" i="35"/>
  <c r="A463" i="35"/>
  <c r="Y462" i="35"/>
  <c r="Z462" i="35" s="1"/>
  <c r="W462" i="35"/>
  <c r="B462" i="35"/>
  <c r="A462" i="35"/>
  <c r="Y461" i="35"/>
  <c r="Z461" i="35" s="1"/>
  <c r="W461" i="35"/>
  <c r="B461" i="35"/>
  <c r="A461" i="35"/>
  <c r="Y460" i="35"/>
  <c r="Z460" i="35" s="1"/>
  <c r="W460" i="35"/>
  <c r="K460" i="35"/>
  <c r="L460" i="35" s="1"/>
  <c r="B460" i="35"/>
  <c r="A460" i="35"/>
  <c r="Y459" i="35"/>
  <c r="Z459" i="35" s="1"/>
  <c r="W459" i="35"/>
  <c r="X459" i="35" s="1"/>
  <c r="B459" i="35"/>
  <c r="A459" i="35"/>
  <c r="U458" i="35"/>
  <c r="S458" i="35"/>
  <c r="P458" i="35"/>
  <c r="Q458" i="35" s="1"/>
  <c r="N458" i="35"/>
  <c r="O458" i="35" s="1"/>
  <c r="K458" i="35"/>
  <c r="L458" i="35" s="1"/>
  <c r="F458" i="35"/>
  <c r="G458" i="35" s="1"/>
  <c r="D458" i="35"/>
  <c r="E458" i="35" s="1"/>
  <c r="B458" i="35"/>
  <c r="A458" i="35"/>
  <c r="M458" i="35" s="1"/>
  <c r="U457" i="35"/>
  <c r="S457" i="35"/>
  <c r="P457" i="35"/>
  <c r="Q457" i="35" s="1"/>
  <c r="N457" i="35"/>
  <c r="O457" i="35" s="1"/>
  <c r="K457" i="35"/>
  <c r="L457" i="35" s="1"/>
  <c r="F457" i="35"/>
  <c r="G457" i="35" s="1"/>
  <c r="D457" i="35"/>
  <c r="E457" i="35" s="1"/>
  <c r="B457" i="35"/>
  <c r="A457" i="35"/>
  <c r="M457" i="35" s="1"/>
  <c r="U456" i="35"/>
  <c r="S456" i="35"/>
  <c r="P456" i="35"/>
  <c r="Q456" i="35" s="1"/>
  <c r="N456" i="35"/>
  <c r="O456" i="35" s="1"/>
  <c r="K456" i="35"/>
  <c r="F456" i="35"/>
  <c r="G456" i="35" s="1"/>
  <c r="D456" i="35"/>
  <c r="E456" i="35" s="1"/>
  <c r="B456" i="35"/>
  <c r="A456" i="35"/>
  <c r="M456" i="35" s="1"/>
  <c r="U455" i="35"/>
  <c r="S455" i="35"/>
  <c r="P455" i="35"/>
  <c r="Q455" i="35" s="1"/>
  <c r="N455" i="35"/>
  <c r="O455" i="35" s="1"/>
  <c r="K455" i="35"/>
  <c r="L455" i="35" s="1"/>
  <c r="F455" i="35"/>
  <c r="G455" i="35" s="1"/>
  <c r="D455" i="35"/>
  <c r="E455" i="35" s="1"/>
  <c r="B455" i="35"/>
  <c r="A455" i="35"/>
  <c r="M455" i="35" s="1"/>
  <c r="Y454" i="35"/>
  <c r="Z454" i="35" s="1"/>
  <c r="W454" i="35"/>
  <c r="X454" i="35" s="1"/>
  <c r="B454" i="35"/>
  <c r="A454" i="35"/>
  <c r="Y453" i="35"/>
  <c r="Z453" i="35" s="1"/>
  <c r="W453" i="35"/>
  <c r="X453" i="35" s="1"/>
  <c r="B453" i="35"/>
  <c r="A453" i="35"/>
  <c r="Y452" i="35"/>
  <c r="Z452" i="35" s="1"/>
  <c r="W452" i="35"/>
  <c r="B452" i="35"/>
  <c r="A452" i="35"/>
  <c r="Y451" i="35"/>
  <c r="Z451" i="35" s="1"/>
  <c r="W451" i="35"/>
  <c r="K451" i="35"/>
  <c r="L451" i="35" s="1"/>
  <c r="B451" i="35"/>
  <c r="A451" i="35"/>
  <c r="Y450" i="35"/>
  <c r="Z450" i="35" s="1"/>
  <c r="W450" i="35"/>
  <c r="B450" i="35"/>
  <c r="A450" i="35"/>
  <c r="U449" i="35"/>
  <c r="S449" i="35"/>
  <c r="P449" i="35"/>
  <c r="Q449" i="35" s="1"/>
  <c r="N449" i="35"/>
  <c r="O449" i="35" s="1"/>
  <c r="K449" i="35"/>
  <c r="L449" i="35" s="1"/>
  <c r="F449" i="35"/>
  <c r="G449" i="35" s="1"/>
  <c r="D449" i="35"/>
  <c r="E449" i="35" s="1"/>
  <c r="B449" i="35"/>
  <c r="A449" i="35"/>
  <c r="M449" i="35" s="1"/>
  <c r="U448" i="35"/>
  <c r="S448" i="35"/>
  <c r="P448" i="35"/>
  <c r="Q448" i="35" s="1"/>
  <c r="N448" i="35"/>
  <c r="O448" i="35" s="1"/>
  <c r="K448" i="35"/>
  <c r="L448" i="35" s="1"/>
  <c r="F448" i="35"/>
  <c r="G448" i="35" s="1"/>
  <c r="D448" i="35"/>
  <c r="E448" i="35" s="1"/>
  <c r="B448" i="35"/>
  <c r="A448" i="35"/>
  <c r="M448" i="35" s="1"/>
  <c r="U447" i="35"/>
  <c r="S447" i="35"/>
  <c r="P447" i="35"/>
  <c r="Q447" i="35" s="1"/>
  <c r="N447" i="35"/>
  <c r="O447" i="35" s="1"/>
  <c r="K447" i="35"/>
  <c r="F447" i="35"/>
  <c r="G447" i="35" s="1"/>
  <c r="D447" i="35"/>
  <c r="E447" i="35" s="1"/>
  <c r="B447" i="35"/>
  <c r="A447" i="35"/>
  <c r="M447" i="35" s="1"/>
  <c r="U446" i="35"/>
  <c r="S446" i="35"/>
  <c r="P446" i="35"/>
  <c r="Q446" i="35" s="1"/>
  <c r="N446" i="35"/>
  <c r="O446" i="35" s="1"/>
  <c r="K446" i="35"/>
  <c r="L446" i="35" s="1"/>
  <c r="F446" i="35"/>
  <c r="G446" i="35" s="1"/>
  <c r="D446" i="35"/>
  <c r="E446" i="35" s="1"/>
  <c r="B446" i="35"/>
  <c r="A446" i="35"/>
  <c r="M446" i="35" s="1"/>
  <c r="Y445" i="35"/>
  <c r="W445" i="35"/>
  <c r="X445" i="35" s="1"/>
  <c r="B445" i="35"/>
  <c r="A445" i="35"/>
  <c r="Y444" i="35"/>
  <c r="Z444" i="35" s="1"/>
  <c r="W444" i="35"/>
  <c r="X444" i="35" s="1"/>
  <c r="B444" i="35"/>
  <c r="A444" i="35"/>
  <c r="Y443" i="35"/>
  <c r="Z443" i="35" s="1"/>
  <c r="W443" i="35"/>
  <c r="X443" i="35" s="1"/>
  <c r="B443" i="35"/>
  <c r="A443" i="35"/>
  <c r="Y442" i="35"/>
  <c r="Z442" i="35" s="1"/>
  <c r="W442" i="35"/>
  <c r="K442" i="35"/>
  <c r="L442" i="35" s="1"/>
  <c r="B442" i="35"/>
  <c r="A442" i="35"/>
  <c r="Y441" i="35"/>
  <c r="Z441" i="35" s="1"/>
  <c r="W441" i="35"/>
  <c r="B441" i="35"/>
  <c r="A441" i="35"/>
  <c r="U440" i="35"/>
  <c r="S440" i="35"/>
  <c r="Q440" i="35"/>
  <c r="P440" i="35"/>
  <c r="N440" i="35"/>
  <c r="O440" i="35" s="1"/>
  <c r="K440" i="35"/>
  <c r="L440" i="35" s="1"/>
  <c r="F440" i="35"/>
  <c r="G440" i="35" s="1"/>
  <c r="D440" i="35"/>
  <c r="E440" i="35" s="1"/>
  <c r="B440" i="35"/>
  <c r="A440" i="35"/>
  <c r="M440" i="35" s="1"/>
  <c r="U439" i="35"/>
  <c r="S439" i="35"/>
  <c r="P439" i="35"/>
  <c r="Q439" i="35" s="1"/>
  <c r="N439" i="35"/>
  <c r="O439" i="35" s="1"/>
  <c r="K439" i="35"/>
  <c r="L439" i="35" s="1"/>
  <c r="F439" i="35"/>
  <c r="G439" i="35" s="1"/>
  <c r="D439" i="35"/>
  <c r="E439" i="35" s="1"/>
  <c r="B439" i="35"/>
  <c r="A439" i="35"/>
  <c r="M439" i="35" s="1"/>
  <c r="U438" i="35"/>
  <c r="S438" i="35"/>
  <c r="P438" i="35"/>
  <c r="Q438" i="35" s="1"/>
  <c r="N438" i="35"/>
  <c r="O438" i="35" s="1"/>
  <c r="K438" i="35"/>
  <c r="L438" i="35" s="1"/>
  <c r="F438" i="35"/>
  <c r="G438" i="35" s="1"/>
  <c r="D438" i="35"/>
  <c r="E438" i="35" s="1"/>
  <c r="B438" i="35"/>
  <c r="A438" i="35"/>
  <c r="M438" i="35" s="1"/>
  <c r="U437" i="35"/>
  <c r="S437" i="35"/>
  <c r="P437" i="35"/>
  <c r="Q437" i="35" s="1"/>
  <c r="N437" i="35"/>
  <c r="O437" i="35" s="1"/>
  <c r="K437" i="35"/>
  <c r="L437" i="35" s="1"/>
  <c r="F437" i="35"/>
  <c r="G437" i="35" s="1"/>
  <c r="D437" i="35"/>
  <c r="E437" i="35" s="1"/>
  <c r="B437" i="35"/>
  <c r="A437" i="35"/>
  <c r="M437" i="35" s="1"/>
  <c r="Y436" i="35"/>
  <c r="Z436" i="35" s="1"/>
  <c r="W436" i="35"/>
  <c r="X436" i="35" s="1"/>
  <c r="B436" i="35"/>
  <c r="A436" i="35"/>
  <c r="Y435" i="35"/>
  <c r="Z435" i="35" s="1"/>
  <c r="W435" i="35"/>
  <c r="B435" i="35"/>
  <c r="A435" i="35"/>
  <c r="Y434" i="35"/>
  <c r="W434" i="35"/>
  <c r="X434" i="35" s="1"/>
  <c r="B434" i="35"/>
  <c r="A434" i="35"/>
  <c r="Y433" i="35"/>
  <c r="Z433" i="35" s="1"/>
  <c r="W433" i="35"/>
  <c r="K433" i="35"/>
  <c r="L433" i="35" s="1"/>
  <c r="B433" i="35"/>
  <c r="A433" i="35"/>
  <c r="Y432" i="35"/>
  <c r="Z432" i="35" s="1"/>
  <c r="W432" i="35"/>
  <c r="B432" i="35"/>
  <c r="A432" i="35"/>
  <c r="U431" i="35"/>
  <c r="S431" i="35"/>
  <c r="P431" i="35"/>
  <c r="Q431" i="35" s="1"/>
  <c r="N431" i="35"/>
  <c r="O431" i="35" s="1"/>
  <c r="K431" i="35"/>
  <c r="L431" i="35" s="1"/>
  <c r="F431" i="35"/>
  <c r="G431" i="35" s="1"/>
  <c r="D431" i="35"/>
  <c r="E431" i="35" s="1"/>
  <c r="B431" i="35"/>
  <c r="A431" i="35"/>
  <c r="M431" i="35" s="1"/>
  <c r="U430" i="35"/>
  <c r="S430" i="35"/>
  <c r="P430" i="35"/>
  <c r="Q430" i="35" s="1"/>
  <c r="N430" i="35"/>
  <c r="O430" i="35" s="1"/>
  <c r="K430" i="35"/>
  <c r="L430" i="35" s="1"/>
  <c r="F430" i="35"/>
  <c r="G430" i="35" s="1"/>
  <c r="D430" i="35"/>
  <c r="E430" i="35" s="1"/>
  <c r="B430" i="35"/>
  <c r="A430" i="35"/>
  <c r="M430" i="35" s="1"/>
  <c r="U429" i="35"/>
  <c r="S429" i="35"/>
  <c r="P429" i="35"/>
  <c r="Q429" i="35" s="1"/>
  <c r="N429" i="35"/>
  <c r="O429" i="35" s="1"/>
  <c r="K429" i="35"/>
  <c r="L429" i="35" s="1"/>
  <c r="F429" i="35"/>
  <c r="G429" i="35" s="1"/>
  <c r="D429" i="35"/>
  <c r="E429" i="35" s="1"/>
  <c r="B429" i="35"/>
  <c r="A429" i="35"/>
  <c r="M429" i="35" s="1"/>
  <c r="U428" i="35"/>
  <c r="S428" i="35"/>
  <c r="P428" i="35"/>
  <c r="Q428" i="35" s="1"/>
  <c r="N428" i="35"/>
  <c r="O428" i="35" s="1"/>
  <c r="K428" i="35"/>
  <c r="L428" i="35" s="1"/>
  <c r="F428" i="35"/>
  <c r="G428" i="35" s="1"/>
  <c r="D428" i="35"/>
  <c r="E428" i="35" s="1"/>
  <c r="B428" i="35"/>
  <c r="A428" i="35"/>
  <c r="M428" i="35" s="1"/>
  <c r="Y427" i="35"/>
  <c r="W427" i="35"/>
  <c r="X427" i="35" s="1"/>
  <c r="B427" i="35"/>
  <c r="A427" i="35"/>
  <c r="Y426" i="35"/>
  <c r="Z426" i="35" s="1"/>
  <c r="W426" i="35"/>
  <c r="X426" i="35" s="1"/>
  <c r="B426" i="35"/>
  <c r="A426" i="35"/>
  <c r="Y425" i="35"/>
  <c r="Z425" i="35" s="1"/>
  <c r="W425" i="35"/>
  <c r="X425" i="35" s="1"/>
  <c r="B425" i="35"/>
  <c r="A425" i="35"/>
  <c r="Y424" i="35"/>
  <c r="Z424" i="35" s="1"/>
  <c r="W424" i="35"/>
  <c r="K424" i="35"/>
  <c r="L424" i="35" s="1"/>
  <c r="B424" i="35"/>
  <c r="A424" i="35"/>
  <c r="Y423" i="35"/>
  <c r="Z423" i="35" s="1"/>
  <c r="W423" i="35"/>
  <c r="B423" i="35"/>
  <c r="A423" i="35"/>
  <c r="U422" i="35"/>
  <c r="S422" i="35"/>
  <c r="P422" i="35"/>
  <c r="Q422" i="35" s="1"/>
  <c r="O422" i="35"/>
  <c r="N422" i="35"/>
  <c r="K422" i="35"/>
  <c r="L422" i="35" s="1"/>
  <c r="G422" i="35"/>
  <c r="F422" i="35"/>
  <c r="D422" i="35"/>
  <c r="E422" i="35" s="1"/>
  <c r="B422" i="35"/>
  <c r="A422" i="35"/>
  <c r="M422" i="35" s="1"/>
  <c r="U421" i="35"/>
  <c r="S421" i="35"/>
  <c r="P421" i="35"/>
  <c r="Q421" i="35" s="1"/>
  <c r="N421" i="35"/>
  <c r="O421" i="35" s="1"/>
  <c r="K421" i="35"/>
  <c r="L421" i="35" s="1"/>
  <c r="F421" i="35"/>
  <c r="G421" i="35" s="1"/>
  <c r="D421" i="35"/>
  <c r="E421" i="35" s="1"/>
  <c r="B421" i="35"/>
  <c r="A421" i="35"/>
  <c r="M421" i="35" s="1"/>
  <c r="U420" i="35"/>
  <c r="S420" i="35"/>
  <c r="Q420" i="35"/>
  <c r="P420" i="35"/>
  <c r="N420" i="35"/>
  <c r="O420" i="35" s="1"/>
  <c r="K420" i="35"/>
  <c r="L420" i="35" s="1"/>
  <c r="F420" i="35"/>
  <c r="G420" i="35" s="1"/>
  <c r="D420" i="35"/>
  <c r="E420" i="35" s="1"/>
  <c r="B420" i="35"/>
  <c r="A420" i="35"/>
  <c r="M420" i="35" s="1"/>
  <c r="U419" i="35"/>
  <c r="S419" i="35"/>
  <c r="P419" i="35"/>
  <c r="Q419" i="35" s="1"/>
  <c r="N419" i="35"/>
  <c r="O419" i="35" s="1"/>
  <c r="K419" i="35"/>
  <c r="L419" i="35" s="1"/>
  <c r="F419" i="35"/>
  <c r="G419" i="35" s="1"/>
  <c r="D419" i="35"/>
  <c r="E419" i="35" s="1"/>
  <c r="B419" i="35"/>
  <c r="A419" i="35"/>
  <c r="M419" i="35" s="1"/>
  <c r="Y418" i="35"/>
  <c r="Z418" i="35" s="1"/>
  <c r="W418" i="35"/>
  <c r="B418" i="35"/>
  <c r="A418" i="35"/>
  <c r="Y417" i="35"/>
  <c r="Z417" i="35" s="1"/>
  <c r="W417" i="35"/>
  <c r="B417" i="35"/>
  <c r="A417" i="35"/>
  <c r="Y416" i="35"/>
  <c r="W416" i="35"/>
  <c r="X416" i="35" s="1"/>
  <c r="B416" i="35"/>
  <c r="A416" i="35"/>
  <c r="Y415" i="35"/>
  <c r="Z415" i="35" s="1"/>
  <c r="W415" i="35"/>
  <c r="K415" i="35"/>
  <c r="L415" i="35" s="1"/>
  <c r="B415" i="35"/>
  <c r="A415" i="35"/>
  <c r="Y414" i="35"/>
  <c r="W414" i="35"/>
  <c r="X414" i="35" s="1"/>
  <c r="B414" i="35"/>
  <c r="A414" i="35"/>
  <c r="U413" i="35"/>
  <c r="S413" i="35"/>
  <c r="P413" i="35"/>
  <c r="Q413" i="35" s="1"/>
  <c r="N413" i="35"/>
  <c r="O413" i="35" s="1"/>
  <c r="K413" i="35"/>
  <c r="L413" i="35" s="1"/>
  <c r="F413" i="35"/>
  <c r="G413" i="35" s="1"/>
  <c r="D413" i="35"/>
  <c r="E413" i="35" s="1"/>
  <c r="B413" i="35"/>
  <c r="A413" i="35"/>
  <c r="M413" i="35" s="1"/>
  <c r="U412" i="35"/>
  <c r="S412" i="35"/>
  <c r="P412" i="35"/>
  <c r="Q412" i="35" s="1"/>
  <c r="N412" i="35"/>
  <c r="O412" i="35" s="1"/>
  <c r="K412" i="35"/>
  <c r="L412" i="35" s="1"/>
  <c r="F412" i="35"/>
  <c r="G412" i="35" s="1"/>
  <c r="D412" i="35"/>
  <c r="E412" i="35" s="1"/>
  <c r="B412" i="35"/>
  <c r="A412" i="35"/>
  <c r="M412" i="35" s="1"/>
  <c r="U411" i="35"/>
  <c r="S411" i="35"/>
  <c r="P411" i="35"/>
  <c r="Q411" i="35" s="1"/>
  <c r="N411" i="35"/>
  <c r="O411" i="35" s="1"/>
  <c r="K411" i="35"/>
  <c r="L411" i="35" s="1"/>
  <c r="F411" i="35"/>
  <c r="G411" i="35" s="1"/>
  <c r="D411" i="35"/>
  <c r="E411" i="35" s="1"/>
  <c r="B411" i="35"/>
  <c r="A411" i="35"/>
  <c r="M411" i="35" s="1"/>
  <c r="U410" i="35"/>
  <c r="S410" i="35"/>
  <c r="P410" i="35"/>
  <c r="Q410" i="35" s="1"/>
  <c r="N410" i="35"/>
  <c r="O410" i="35" s="1"/>
  <c r="K410" i="35"/>
  <c r="L410" i="35" s="1"/>
  <c r="F410" i="35"/>
  <c r="G410" i="35" s="1"/>
  <c r="D410" i="35"/>
  <c r="E410" i="35" s="1"/>
  <c r="B410" i="35"/>
  <c r="A410" i="35"/>
  <c r="M410" i="35" s="1"/>
  <c r="Y409" i="35"/>
  <c r="Z409" i="35" s="1"/>
  <c r="W409" i="35"/>
  <c r="X409" i="35" s="1"/>
  <c r="B409" i="35"/>
  <c r="A409" i="35"/>
  <c r="Y408" i="35"/>
  <c r="Z408" i="35" s="1"/>
  <c r="W408" i="35"/>
  <c r="X408" i="35" s="1"/>
  <c r="B408" i="35"/>
  <c r="A408" i="35"/>
  <c r="Y407" i="35"/>
  <c r="Z407" i="35" s="1"/>
  <c r="W407" i="35"/>
  <c r="X407" i="35" s="1"/>
  <c r="B407" i="35"/>
  <c r="A407" i="35"/>
  <c r="Y406" i="35"/>
  <c r="Z406" i="35" s="1"/>
  <c r="W406" i="35"/>
  <c r="X406" i="35" s="1"/>
  <c r="K406" i="35"/>
  <c r="L406" i="35" s="1"/>
  <c r="B406" i="35"/>
  <c r="A406" i="35"/>
  <c r="Y405" i="35"/>
  <c r="Z405" i="35" s="1"/>
  <c r="W405" i="35"/>
  <c r="B405" i="35"/>
  <c r="A405" i="35"/>
  <c r="U404" i="35"/>
  <c r="S404" i="35"/>
  <c r="P404" i="35"/>
  <c r="Q404" i="35" s="1"/>
  <c r="N404" i="35"/>
  <c r="O404" i="35" s="1"/>
  <c r="K404" i="35"/>
  <c r="F404" i="35"/>
  <c r="G404" i="35" s="1"/>
  <c r="D404" i="35"/>
  <c r="E404" i="35" s="1"/>
  <c r="B404" i="35"/>
  <c r="A404" i="35"/>
  <c r="M404" i="35" s="1"/>
  <c r="U403" i="35"/>
  <c r="S403" i="35"/>
  <c r="P403" i="35"/>
  <c r="Q403" i="35" s="1"/>
  <c r="N403" i="35"/>
  <c r="O403" i="35" s="1"/>
  <c r="K403" i="35"/>
  <c r="L403" i="35" s="1"/>
  <c r="F403" i="35"/>
  <c r="G403" i="35" s="1"/>
  <c r="D403" i="35"/>
  <c r="E403" i="35" s="1"/>
  <c r="B403" i="35"/>
  <c r="A403" i="35"/>
  <c r="M403" i="35" s="1"/>
  <c r="U402" i="35"/>
  <c r="S402" i="35"/>
  <c r="P402" i="35"/>
  <c r="Q402" i="35" s="1"/>
  <c r="N402" i="35"/>
  <c r="O402" i="35" s="1"/>
  <c r="K402" i="35"/>
  <c r="L402" i="35" s="1"/>
  <c r="F402" i="35"/>
  <c r="G402" i="35" s="1"/>
  <c r="D402" i="35"/>
  <c r="E402" i="35" s="1"/>
  <c r="B402" i="35"/>
  <c r="A402" i="35"/>
  <c r="M402" i="35" s="1"/>
  <c r="U401" i="35"/>
  <c r="S401" i="35"/>
  <c r="P401" i="35"/>
  <c r="Q401" i="35" s="1"/>
  <c r="N401" i="35"/>
  <c r="O401" i="35" s="1"/>
  <c r="K401" i="35"/>
  <c r="L401" i="35" s="1"/>
  <c r="F401" i="35"/>
  <c r="G401" i="35" s="1"/>
  <c r="D401" i="35"/>
  <c r="E401" i="35" s="1"/>
  <c r="B401" i="35"/>
  <c r="A401" i="35"/>
  <c r="M401" i="35" s="1"/>
  <c r="Y400" i="35"/>
  <c r="Z400" i="35" s="1"/>
  <c r="W400" i="35"/>
  <c r="B400" i="35"/>
  <c r="A400" i="35"/>
  <c r="Y399" i="35"/>
  <c r="Z399" i="35" s="1"/>
  <c r="W399" i="35"/>
  <c r="B399" i="35"/>
  <c r="A399" i="35"/>
  <c r="Y398" i="35"/>
  <c r="Z398" i="35" s="1"/>
  <c r="W398" i="35"/>
  <c r="B398" i="35"/>
  <c r="A398" i="35"/>
  <c r="Y397" i="35"/>
  <c r="Z397" i="35" s="1"/>
  <c r="W397" i="35"/>
  <c r="K397" i="35"/>
  <c r="L397" i="35" s="1"/>
  <c r="B397" i="35"/>
  <c r="A397" i="35"/>
  <c r="Y396" i="35"/>
  <c r="Z396" i="35" s="1"/>
  <c r="W396" i="35"/>
  <c r="B396" i="35"/>
  <c r="A396" i="35"/>
  <c r="U395" i="35"/>
  <c r="S395" i="35"/>
  <c r="P395" i="35"/>
  <c r="Q395" i="35" s="1"/>
  <c r="N395" i="35"/>
  <c r="O395" i="35" s="1"/>
  <c r="K395" i="35"/>
  <c r="L395" i="35" s="1"/>
  <c r="F395" i="35"/>
  <c r="G395" i="35" s="1"/>
  <c r="D395" i="35"/>
  <c r="E395" i="35" s="1"/>
  <c r="B395" i="35"/>
  <c r="A395" i="35"/>
  <c r="M395" i="35" s="1"/>
  <c r="U394" i="35"/>
  <c r="S394" i="35"/>
  <c r="P394" i="35"/>
  <c r="Q394" i="35" s="1"/>
  <c r="N394" i="35"/>
  <c r="O394" i="35" s="1"/>
  <c r="K394" i="35"/>
  <c r="L394" i="35" s="1"/>
  <c r="F394" i="35"/>
  <c r="G394" i="35" s="1"/>
  <c r="D394" i="35"/>
  <c r="E394" i="35" s="1"/>
  <c r="B394" i="35"/>
  <c r="A394" i="35"/>
  <c r="M394" i="35" s="1"/>
  <c r="U393" i="35"/>
  <c r="S393" i="35"/>
  <c r="P393" i="35"/>
  <c r="Q393" i="35" s="1"/>
  <c r="N393" i="35"/>
  <c r="O393" i="35" s="1"/>
  <c r="K393" i="35"/>
  <c r="L393" i="35" s="1"/>
  <c r="F393" i="35"/>
  <c r="G393" i="35" s="1"/>
  <c r="D393" i="35"/>
  <c r="E393" i="35" s="1"/>
  <c r="B393" i="35"/>
  <c r="A393" i="35"/>
  <c r="M393" i="35" s="1"/>
  <c r="U392" i="35"/>
  <c r="S392" i="35"/>
  <c r="P392" i="35"/>
  <c r="Q392" i="35" s="1"/>
  <c r="N392" i="35"/>
  <c r="O392" i="35" s="1"/>
  <c r="K392" i="35"/>
  <c r="L392" i="35" s="1"/>
  <c r="F392" i="35"/>
  <c r="G392" i="35" s="1"/>
  <c r="D392" i="35"/>
  <c r="E392" i="35" s="1"/>
  <c r="B392" i="35"/>
  <c r="A392" i="35"/>
  <c r="M392" i="35" s="1"/>
  <c r="Y391" i="35"/>
  <c r="Z391" i="35" s="1"/>
  <c r="W391" i="35"/>
  <c r="X391" i="35" s="1"/>
  <c r="B391" i="35"/>
  <c r="A391" i="35"/>
  <c r="Y390" i="35"/>
  <c r="Z390" i="35" s="1"/>
  <c r="W390" i="35"/>
  <c r="B390" i="35"/>
  <c r="A390" i="35"/>
  <c r="Y389" i="35"/>
  <c r="Z389" i="35" s="1"/>
  <c r="W389" i="35"/>
  <c r="X389" i="35" s="1"/>
  <c r="B389" i="35"/>
  <c r="A389" i="35"/>
  <c r="Y388" i="35"/>
  <c r="Z388" i="35" s="1"/>
  <c r="W388" i="35"/>
  <c r="K388" i="35"/>
  <c r="L388" i="35" s="1"/>
  <c r="B388" i="35"/>
  <c r="A388" i="35"/>
  <c r="Y387" i="35"/>
  <c r="Z387" i="35" s="1"/>
  <c r="W387" i="35"/>
  <c r="B387" i="35"/>
  <c r="A387" i="35"/>
  <c r="U386" i="35"/>
  <c r="S386" i="35"/>
  <c r="P386" i="35"/>
  <c r="Q386" i="35" s="1"/>
  <c r="N386" i="35"/>
  <c r="O386" i="35" s="1"/>
  <c r="K386" i="35"/>
  <c r="L386" i="35" s="1"/>
  <c r="F386" i="35"/>
  <c r="G386" i="35" s="1"/>
  <c r="D386" i="35"/>
  <c r="E386" i="35" s="1"/>
  <c r="B386" i="35"/>
  <c r="A386" i="35"/>
  <c r="M386" i="35" s="1"/>
  <c r="U385" i="35"/>
  <c r="S385" i="35"/>
  <c r="P385" i="35"/>
  <c r="Q385" i="35" s="1"/>
  <c r="N385" i="35"/>
  <c r="O385" i="35" s="1"/>
  <c r="K385" i="35"/>
  <c r="L385" i="35" s="1"/>
  <c r="F385" i="35"/>
  <c r="G385" i="35" s="1"/>
  <c r="D385" i="35"/>
  <c r="E385" i="35" s="1"/>
  <c r="B385" i="35"/>
  <c r="A385" i="35"/>
  <c r="M385" i="35" s="1"/>
  <c r="U384" i="35"/>
  <c r="S384" i="35"/>
  <c r="P384" i="35"/>
  <c r="Q384" i="35" s="1"/>
  <c r="N384" i="35"/>
  <c r="O384" i="35" s="1"/>
  <c r="K384" i="35"/>
  <c r="L384" i="35" s="1"/>
  <c r="F384" i="35"/>
  <c r="G384" i="35" s="1"/>
  <c r="D384" i="35"/>
  <c r="E384" i="35" s="1"/>
  <c r="B384" i="35"/>
  <c r="A384" i="35"/>
  <c r="M384" i="35" s="1"/>
  <c r="U383" i="35"/>
  <c r="S383" i="35"/>
  <c r="P383" i="35"/>
  <c r="Q383" i="35" s="1"/>
  <c r="N383" i="35"/>
  <c r="O383" i="35" s="1"/>
  <c r="K383" i="35"/>
  <c r="L383" i="35" s="1"/>
  <c r="F383" i="35"/>
  <c r="G383" i="35" s="1"/>
  <c r="D383" i="35"/>
  <c r="E383" i="35" s="1"/>
  <c r="B383" i="35"/>
  <c r="A383" i="35"/>
  <c r="M383" i="35" s="1"/>
  <c r="Y382" i="35"/>
  <c r="Z382" i="35" s="1"/>
  <c r="W382" i="35"/>
  <c r="B382" i="35"/>
  <c r="A382" i="35"/>
  <c r="Y381" i="35"/>
  <c r="Z381" i="35" s="1"/>
  <c r="W381" i="35"/>
  <c r="B381" i="35"/>
  <c r="A381" i="35"/>
  <c r="Y380" i="35"/>
  <c r="Z380" i="35" s="1"/>
  <c r="W380" i="35"/>
  <c r="B380" i="35"/>
  <c r="A380" i="35"/>
  <c r="Y379" i="35"/>
  <c r="Z379" i="35" s="1"/>
  <c r="W379" i="35"/>
  <c r="K379" i="35"/>
  <c r="L379" i="35" s="1"/>
  <c r="B379" i="35"/>
  <c r="A379" i="35"/>
  <c r="Y378" i="35"/>
  <c r="Z378" i="35" s="1"/>
  <c r="W378" i="35"/>
  <c r="B378" i="35"/>
  <c r="A378" i="35"/>
  <c r="U377" i="35"/>
  <c r="S377" i="35"/>
  <c r="P377" i="35"/>
  <c r="Q377" i="35" s="1"/>
  <c r="N377" i="35"/>
  <c r="O377" i="35" s="1"/>
  <c r="K377" i="35"/>
  <c r="L377" i="35" s="1"/>
  <c r="F377" i="35"/>
  <c r="G377" i="35" s="1"/>
  <c r="D377" i="35"/>
  <c r="E377" i="35" s="1"/>
  <c r="B377" i="35"/>
  <c r="A377" i="35"/>
  <c r="M377" i="35" s="1"/>
  <c r="U376" i="35"/>
  <c r="S376" i="35"/>
  <c r="P376" i="35"/>
  <c r="Q376" i="35" s="1"/>
  <c r="N376" i="35"/>
  <c r="O376" i="35" s="1"/>
  <c r="K376" i="35"/>
  <c r="L376" i="35" s="1"/>
  <c r="F376" i="35"/>
  <c r="G376" i="35" s="1"/>
  <c r="D376" i="35"/>
  <c r="E376" i="35" s="1"/>
  <c r="B376" i="35"/>
  <c r="A376" i="35"/>
  <c r="M376" i="35" s="1"/>
  <c r="U375" i="35"/>
  <c r="S375" i="35"/>
  <c r="P375" i="35"/>
  <c r="Q375" i="35" s="1"/>
  <c r="N375" i="35"/>
  <c r="O375" i="35" s="1"/>
  <c r="K375" i="35"/>
  <c r="F375" i="35"/>
  <c r="G375" i="35" s="1"/>
  <c r="D375" i="35"/>
  <c r="E375" i="35" s="1"/>
  <c r="B375" i="35"/>
  <c r="A375" i="35"/>
  <c r="M375" i="35" s="1"/>
  <c r="U374" i="35"/>
  <c r="S374" i="35"/>
  <c r="P374" i="35"/>
  <c r="Q374" i="35" s="1"/>
  <c r="N374" i="35"/>
  <c r="O374" i="35" s="1"/>
  <c r="K374" i="35"/>
  <c r="L374" i="35" s="1"/>
  <c r="F374" i="35"/>
  <c r="G374" i="35" s="1"/>
  <c r="D374" i="35"/>
  <c r="E374" i="35" s="1"/>
  <c r="B374" i="35"/>
  <c r="A374" i="35"/>
  <c r="M374" i="35" s="1"/>
  <c r="Y373" i="35"/>
  <c r="Z373" i="35" s="1"/>
  <c r="W373" i="35"/>
  <c r="B373" i="35"/>
  <c r="A373" i="35"/>
  <c r="Y372" i="35"/>
  <c r="Z372" i="35" s="1"/>
  <c r="W372" i="35"/>
  <c r="X372" i="35" s="1"/>
  <c r="B372" i="35"/>
  <c r="A372" i="35"/>
  <c r="Y371" i="35"/>
  <c r="Z371" i="35" s="1"/>
  <c r="W371" i="35"/>
  <c r="B371" i="35"/>
  <c r="A371" i="35"/>
  <c r="Y370" i="35"/>
  <c r="Z370" i="35" s="1"/>
  <c r="W370" i="35"/>
  <c r="X370" i="35" s="1"/>
  <c r="K370" i="35"/>
  <c r="L370" i="35" s="1"/>
  <c r="B370" i="35"/>
  <c r="A370" i="35"/>
  <c r="Y369" i="35"/>
  <c r="Z369" i="35" s="1"/>
  <c r="W369" i="35"/>
  <c r="B369" i="35"/>
  <c r="A369" i="35"/>
  <c r="U368" i="35"/>
  <c r="S368" i="35"/>
  <c r="P368" i="35"/>
  <c r="Q368" i="35" s="1"/>
  <c r="N368" i="35"/>
  <c r="O368" i="35" s="1"/>
  <c r="K368" i="35"/>
  <c r="F368" i="35"/>
  <c r="G368" i="35" s="1"/>
  <c r="D368" i="35"/>
  <c r="E368" i="35" s="1"/>
  <c r="B368" i="35"/>
  <c r="A368" i="35"/>
  <c r="M368" i="35" s="1"/>
  <c r="U367" i="35"/>
  <c r="S367" i="35"/>
  <c r="P367" i="35"/>
  <c r="Q367" i="35" s="1"/>
  <c r="N367" i="35"/>
  <c r="O367" i="35" s="1"/>
  <c r="K367" i="35"/>
  <c r="L367" i="35" s="1"/>
  <c r="F367" i="35"/>
  <c r="G367" i="35" s="1"/>
  <c r="D367" i="35"/>
  <c r="E367" i="35" s="1"/>
  <c r="B367" i="35"/>
  <c r="A367" i="35"/>
  <c r="M367" i="35" s="1"/>
  <c r="U366" i="35"/>
  <c r="S366" i="35"/>
  <c r="P366" i="35"/>
  <c r="Q366" i="35" s="1"/>
  <c r="N366" i="35"/>
  <c r="O366" i="35" s="1"/>
  <c r="K366" i="35"/>
  <c r="F366" i="35"/>
  <c r="G366" i="35" s="1"/>
  <c r="D366" i="35"/>
  <c r="E366" i="35" s="1"/>
  <c r="B366" i="35"/>
  <c r="A366" i="35"/>
  <c r="M366" i="35" s="1"/>
  <c r="U365" i="35"/>
  <c r="S365" i="35"/>
  <c r="P365" i="35"/>
  <c r="Q365" i="35" s="1"/>
  <c r="N365" i="35"/>
  <c r="O365" i="35" s="1"/>
  <c r="K365" i="35"/>
  <c r="L365" i="35" s="1"/>
  <c r="F365" i="35"/>
  <c r="G365" i="35" s="1"/>
  <c r="D365" i="35"/>
  <c r="E365" i="35" s="1"/>
  <c r="B365" i="35"/>
  <c r="A365" i="35"/>
  <c r="M365" i="35" s="1"/>
  <c r="Y364" i="35"/>
  <c r="Z364" i="35" s="1"/>
  <c r="W364" i="35"/>
  <c r="B364" i="35"/>
  <c r="A364" i="35"/>
  <c r="Y363" i="35"/>
  <c r="Z363" i="35" s="1"/>
  <c r="W363" i="35"/>
  <c r="B363" i="35"/>
  <c r="A363" i="35"/>
  <c r="Y362" i="35"/>
  <c r="Z362" i="35" s="1"/>
  <c r="W362" i="35"/>
  <c r="B362" i="35"/>
  <c r="A362" i="35"/>
  <c r="Y361" i="35"/>
  <c r="Z361" i="35" s="1"/>
  <c r="W361" i="35"/>
  <c r="K361" i="35"/>
  <c r="L361" i="35" s="1"/>
  <c r="B361" i="35"/>
  <c r="A361" i="35"/>
  <c r="Y360" i="35"/>
  <c r="Z360" i="35" s="1"/>
  <c r="W360" i="35"/>
  <c r="X360" i="35" s="1"/>
  <c r="B360" i="35"/>
  <c r="A360" i="35"/>
  <c r="U359" i="35"/>
  <c r="S359" i="35"/>
  <c r="P359" i="35"/>
  <c r="Q359" i="35" s="1"/>
  <c r="N359" i="35"/>
  <c r="O359" i="35" s="1"/>
  <c r="K359" i="35"/>
  <c r="L359" i="35" s="1"/>
  <c r="F359" i="35"/>
  <c r="G359" i="35" s="1"/>
  <c r="D359" i="35"/>
  <c r="E359" i="35" s="1"/>
  <c r="B359" i="35"/>
  <c r="A359" i="35"/>
  <c r="M359" i="35" s="1"/>
  <c r="U358" i="35"/>
  <c r="S358" i="35"/>
  <c r="P358" i="35"/>
  <c r="Q358" i="35" s="1"/>
  <c r="N358" i="35"/>
  <c r="O358" i="35" s="1"/>
  <c r="K358" i="35"/>
  <c r="L358" i="35" s="1"/>
  <c r="F358" i="35"/>
  <c r="G358" i="35" s="1"/>
  <c r="D358" i="35"/>
  <c r="E358" i="35" s="1"/>
  <c r="B358" i="35"/>
  <c r="A358" i="35"/>
  <c r="M358" i="35" s="1"/>
  <c r="U357" i="35"/>
  <c r="S357" i="35"/>
  <c r="P357" i="35"/>
  <c r="Q357" i="35" s="1"/>
  <c r="N357" i="35"/>
  <c r="O357" i="35" s="1"/>
  <c r="K357" i="35"/>
  <c r="L357" i="35" s="1"/>
  <c r="F357" i="35"/>
  <c r="G357" i="35" s="1"/>
  <c r="D357" i="35"/>
  <c r="E357" i="35" s="1"/>
  <c r="B357" i="35"/>
  <c r="A357" i="35"/>
  <c r="M357" i="35" s="1"/>
  <c r="U356" i="35"/>
  <c r="S356" i="35"/>
  <c r="P356" i="35"/>
  <c r="Q356" i="35" s="1"/>
  <c r="N356" i="35"/>
  <c r="O356" i="35" s="1"/>
  <c r="K356" i="35"/>
  <c r="L356" i="35" s="1"/>
  <c r="F356" i="35"/>
  <c r="G356" i="35" s="1"/>
  <c r="D356" i="35"/>
  <c r="E356" i="35" s="1"/>
  <c r="B356" i="35"/>
  <c r="A356" i="35"/>
  <c r="M356" i="35" s="1"/>
  <c r="Y355" i="35"/>
  <c r="Z355" i="35" s="1"/>
  <c r="W355" i="35"/>
  <c r="X355" i="35" s="1"/>
  <c r="B355" i="35"/>
  <c r="A355" i="35"/>
  <c r="Y354" i="35"/>
  <c r="Z354" i="35" s="1"/>
  <c r="W354" i="35"/>
  <c r="B354" i="35"/>
  <c r="A354" i="35"/>
  <c r="Y353" i="35"/>
  <c r="Z353" i="35" s="1"/>
  <c r="W353" i="35"/>
  <c r="B353" i="35"/>
  <c r="A353" i="35"/>
  <c r="Y352" i="35"/>
  <c r="Z352" i="35" s="1"/>
  <c r="W352" i="35"/>
  <c r="X352" i="35" s="1"/>
  <c r="K352" i="35"/>
  <c r="L352" i="35" s="1"/>
  <c r="B352" i="35"/>
  <c r="A352" i="35"/>
  <c r="Y351" i="35"/>
  <c r="Z351" i="35" s="1"/>
  <c r="W351" i="35"/>
  <c r="B351" i="35"/>
  <c r="A351" i="35"/>
  <c r="U350" i="35"/>
  <c r="S350" i="35"/>
  <c r="P350" i="35"/>
  <c r="Q350" i="35" s="1"/>
  <c r="N350" i="35"/>
  <c r="O350" i="35" s="1"/>
  <c r="K350" i="35"/>
  <c r="L350" i="35" s="1"/>
  <c r="F350" i="35"/>
  <c r="G350" i="35" s="1"/>
  <c r="D350" i="35"/>
  <c r="E350" i="35" s="1"/>
  <c r="B350" i="35"/>
  <c r="A350" i="35"/>
  <c r="M350" i="35" s="1"/>
  <c r="U349" i="35"/>
  <c r="S349" i="35"/>
  <c r="P349" i="35"/>
  <c r="Q349" i="35" s="1"/>
  <c r="N349" i="35"/>
  <c r="O349" i="35" s="1"/>
  <c r="K349" i="35"/>
  <c r="L349" i="35" s="1"/>
  <c r="F349" i="35"/>
  <c r="G349" i="35" s="1"/>
  <c r="D349" i="35"/>
  <c r="E349" i="35" s="1"/>
  <c r="B349" i="35"/>
  <c r="A349" i="35"/>
  <c r="M349" i="35" s="1"/>
  <c r="U348" i="35"/>
  <c r="S348" i="35"/>
  <c r="P348" i="35"/>
  <c r="Q348" i="35" s="1"/>
  <c r="N348" i="35"/>
  <c r="O348" i="35" s="1"/>
  <c r="K348" i="35"/>
  <c r="L348" i="35" s="1"/>
  <c r="F348" i="35"/>
  <c r="G348" i="35" s="1"/>
  <c r="D348" i="35"/>
  <c r="E348" i="35" s="1"/>
  <c r="B348" i="35"/>
  <c r="A348" i="35"/>
  <c r="M348" i="35" s="1"/>
  <c r="U347" i="35"/>
  <c r="S347" i="35"/>
  <c r="P347" i="35"/>
  <c r="Q347" i="35" s="1"/>
  <c r="N347" i="35"/>
  <c r="O347" i="35" s="1"/>
  <c r="K347" i="35"/>
  <c r="L347" i="35" s="1"/>
  <c r="F347" i="35"/>
  <c r="G347" i="35" s="1"/>
  <c r="D347" i="35"/>
  <c r="E347" i="35" s="1"/>
  <c r="B347" i="35"/>
  <c r="A347" i="35"/>
  <c r="M347" i="35" s="1"/>
  <c r="Y346" i="35"/>
  <c r="Z346" i="35" s="1"/>
  <c r="W346" i="35"/>
  <c r="B346" i="35"/>
  <c r="A346" i="35"/>
  <c r="Y345" i="35"/>
  <c r="Z345" i="35" s="1"/>
  <c r="W345" i="35"/>
  <c r="B345" i="35"/>
  <c r="A345" i="35"/>
  <c r="Y344" i="35"/>
  <c r="Z344" i="35" s="1"/>
  <c r="W344" i="35"/>
  <c r="B344" i="35"/>
  <c r="A344" i="35"/>
  <c r="Y343" i="35"/>
  <c r="Z343" i="35" s="1"/>
  <c r="W343" i="35"/>
  <c r="K343" i="35"/>
  <c r="L343" i="35" s="1"/>
  <c r="B343" i="35"/>
  <c r="A343" i="35"/>
  <c r="Y342" i="35"/>
  <c r="Z342" i="35" s="1"/>
  <c r="W342" i="35"/>
  <c r="B342" i="35"/>
  <c r="A342" i="35"/>
  <c r="U341" i="35"/>
  <c r="S341" i="35"/>
  <c r="P341" i="35"/>
  <c r="Q341" i="35" s="1"/>
  <c r="N341" i="35"/>
  <c r="O341" i="35" s="1"/>
  <c r="K341" i="35"/>
  <c r="L341" i="35" s="1"/>
  <c r="F341" i="35"/>
  <c r="G341" i="35" s="1"/>
  <c r="D341" i="35"/>
  <c r="E341" i="35" s="1"/>
  <c r="B341" i="35"/>
  <c r="A341" i="35"/>
  <c r="M341" i="35" s="1"/>
  <c r="U340" i="35"/>
  <c r="S340" i="35"/>
  <c r="P340" i="35"/>
  <c r="Q340" i="35" s="1"/>
  <c r="N340" i="35"/>
  <c r="O340" i="35" s="1"/>
  <c r="K340" i="35"/>
  <c r="L340" i="35" s="1"/>
  <c r="F340" i="35"/>
  <c r="G340" i="35" s="1"/>
  <c r="D340" i="35"/>
  <c r="E340" i="35" s="1"/>
  <c r="B340" i="35"/>
  <c r="A340" i="35"/>
  <c r="M340" i="35" s="1"/>
  <c r="U339" i="35"/>
  <c r="S339" i="35"/>
  <c r="P339" i="35"/>
  <c r="Q339" i="35" s="1"/>
  <c r="N339" i="35"/>
  <c r="O339" i="35" s="1"/>
  <c r="K339" i="35"/>
  <c r="L339" i="35" s="1"/>
  <c r="F339" i="35"/>
  <c r="G339" i="35" s="1"/>
  <c r="D339" i="35"/>
  <c r="E339" i="35" s="1"/>
  <c r="B339" i="35"/>
  <c r="A339" i="35"/>
  <c r="M339" i="35" s="1"/>
  <c r="U338" i="35"/>
  <c r="S338" i="35"/>
  <c r="P338" i="35"/>
  <c r="Q338" i="35" s="1"/>
  <c r="N338" i="35"/>
  <c r="O338" i="35" s="1"/>
  <c r="K338" i="35"/>
  <c r="L338" i="35" s="1"/>
  <c r="F338" i="35"/>
  <c r="G338" i="35" s="1"/>
  <c r="D338" i="35"/>
  <c r="E338" i="35" s="1"/>
  <c r="B338" i="35"/>
  <c r="A338" i="35"/>
  <c r="M338" i="35" s="1"/>
  <c r="Y337" i="35"/>
  <c r="Z337" i="35" s="1"/>
  <c r="W337" i="35"/>
  <c r="B337" i="35"/>
  <c r="A337" i="35"/>
  <c r="Y336" i="35"/>
  <c r="Z336" i="35" s="1"/>
  <c r="W336" i="35"/>
  <c r="X336" i="35" s="1"/>
  <c r="B336" i="35"/>
  <c r="A336" i="35"/>
  <c r="Y335" i="35"/>
  <c r="Z335" i="35" s="1"/>
  <c r="W335" i="35"/>
  <c r="B335" i="35"/>
  <c r="A335" i="35"/>
  <c r="Y334" i="35"/>
  <c r="Z334" i="35" s="1"/>
  <c r="W334" i="35"/>
  <c r="X334" i="35" s="1"/>
  <c r="K334" i="35"/>
  <c r="L334" i="35" s="1"/>
  <c r="B334" i="35"/>
  <c r="A334" i="35"/>
  <c r="Y333" i="35"/>
  <c r="Z333" i="35" s="1"/>
  <c r="W333" i="35"/>
  <c r="B333" i="35"/>
  <c r="A333" i="35"/>
  <c r="U332" i="35"/>
  <c r="S332" i="35"/>
  <c r="P332" i="35"/>
  <c r="Q332" i="35" s="1"/>
  <c r="N332" i="35"/>
  <c r="O332" i="35" s="1"/>
  <c r="K332" i="35"/>
  <c r="F332" i="35"/>
  <c r="G332" i="35" s="1"/>
  <c r="D332" i="35"/>
  <c r="E332" i="35" s="1"/>
  <c r="B332" i="35"/>
  <c r="A332" i="35"/>
  <c r="M332" i="35" s="1"/>
  <c r="U331" i="35"/>
  <c r="S331" i="35"/>
  <c r="P331" i="35"/>
  <c r="Q331" i="35" s="1"/>
  <c r="N331" i="35"/>
  <c r="O331" i="35" s="1"/>
  <c r="K331" i="35"/>
  <c r="L331" i="35" s="1"/>
  <c r="F331" i="35"/>
  <c r="G331" i="35" s="1"/>
  <c r="D331" i="35"/>
  <c r="E331" i="35" s="1"/>
  <c r="B331" i="35"/>
  <c r="A331" i="35"/>
  <c r="M331" i="35" s="1"/>
  <c r="U330" i="35"/>
  <c r="S330" i="35"/>
  <c r="P330" i="35"/>
  <c r="Q330" i="35" s="1"/>
  <c r="N330" i="35"/>
  <c r="O330" i="35" s="1"/>
  <c r="K330" i="35"/>
  <c r="F330" i="35"/>
  <c r="G330" i="35" s="1"/>
  <c r="D330" i="35"/>
  <c r="E330" i="35" s="1"/>
  <c r="B330" i="35"/>
  <c r="A330" i="35"/>
  <c r="M330" i="35" s="1"/>
  <c r="U329" i="35"/>
  <c r="S329" i="35"/>
  <c r="P329" i="35"/>
  <c r="Q329" i="35" s="1"/>
  <c r="N329" i="35"/>
  <c r="O329" i="35" s="1"/>
  <c r="K329" i="35"/>
  <c r="L329" i="35" s="1"/>
  <c r="F329" i="35"/>
  <c r="G329" i="35" s="1"/>
  <c r="D329" i="35"/>
  <c r="E329" i="35" s="1"/>
  <c r="B329" i="35"/>
  <c r="A329" i="35"/>
  <c r="M329" i="35" s="1"/>
  <c r="Y328" i="35"/>
  <c r="Z328" i="35" s="1"/>
  <c r="W328" i="35"/>
  <c r="X328" i="35" s="1"/>
  <c r="B328" i="35"/>
  <c r="A328" i="35"/>
  <c r="Y327" i="35"/>
  <c r="Z327" i="35" s="1"/>
  <c r="W327" i="35"/>
  <c r="B327" i="35"/>
  <c r="A327" i="35"/>
  <c r="Y326" i="35"/>
  <c r="W326" i="35"/>
  <c r="X326" i="35" s="1"/>
  <c r="B326" i="35"/>
  <c r="A326" i="35"/>
  <c r="Y325" i="35"/>
  <c r="Z325" i="35" s="1"/>
  <c r="W325" i="35"/>
  <c r="X325" i="35" s="1"/>
  <c r="K325" i="35"/>
  <c r="L325" i="35" s="1"/>
  <c r="B325" i="35"/>
  <c r="A325" i="35"/>
  <c r="Y324" i="35"/>
  <c r="Z324" i="35" s="1"/>
  <c r="W324" i="35"/>
  <c r="B324" i="35"/>
  <c r="A324" i="35"/>
  <c r="U323" i="35"/>
  <c r="S323" i="35"/>
  <c r="P323" i="35"/>
  <c r="Q323" i="35" s="1"/>
  <c r="N323" i="35"/>
  <c r="O323" i="35" s="1"/>
  <c r="K323" i="35"/>
  <c r="L323" i="35" s="1"/>
  <c r="F323" i="35"/>
  <c r="G323" i="35" s="1"/>
  <c r="D323" i="35"/>
  <c r="E323" i="35" s="1"/>
  <c r="B323" i="35"/>
  <c r="A323" i="35"/>
  <c r="M323" i="35" s="1"/>
  <c r="U322" i="35"/>
  <c r="S322" i="35"/>
  <c r="P322" i="35"/>
  <c r="Q322" i="35" s="1"/>
  <c r="N322" i="35"/>
  <c r="O322" i="35" s="1"/>
  <c r="K322" i="35"/>
  <c r="L322" i="35" s="1"/>
  <c r="F322" i="35"/>
  <c r="G322" i="35" s="1"/>
  <c r="D322" i="35"/>
  <c r="E322" i="35" s="1"/>
  <c r="B322" i="35"/>
  <c r="A322" i="35"/>
  <c r="M322" i="35" s="1"/>
  <c r="U321" i="35"/>
  <c r="S321" i="35"/>
  <c r="P321" i="35"/>
  <c r="Q321" i="35" s="1"/>
  <c r="N321" i="35"/>
  <c r="O321" i="35" s="1"/>
  <c r="K321" i="35"/>
  <c r="L321" i="35" s="1"/>
  <c r="F321" i="35"/>
  <c r="G321" i="35" s="1"/>
  <c r="D321" i="35"/>
  <c r="E321" i="35" s="1"/>
  <c r="B321" i="35"/>
  <c r="A321" i="35"/>
  <c r="M321" i="35" s="1"/>
  <c r="U320" i="35"/>
  <c r="S320" i="35"/>
  <c r="P320" i="35"/>
  <c r="Q320" i="35" s="1"/>
  <c r="N320" i="35"/>
  <c r="O320" i="35" s="1"/>
  <c r="K320" i="35"/>
  <c r="L320" i="35" s="1"/>
  <c r="F320" i="35"/>
  <c r="G320" i="35" s="1"/>
  <c r="D320" i="35"/>
  <c r="E320" i="35" s="1"/>
  <c r="B320" i="35"/>
  <c r="A320" i="35"/>
  <c r="M320" i="35" s="1"/>
  <c r="Y319" i="35"/>
  <c r="W319" i="35"/>
  <c r="X319" i="35" s="1"/>
  <c r="B319" i="35"/>
  <c r="A319" i="35"/>
  <c r="Y318" i="35"/>
  <c r="Z318" i="35" s="1"/>
  <c r="W318" i="35"/>
  <c r="B318" i="35"/>
  <c r="A318" i="35"/>
  <c r="Y317" i="35"/>
  <c r="Z317" i="35" s="1"/>
  <c r="W317" i="35"/>
  <c r="X317" i="35" s="1"/>
  <c r="B317" i="35"/>
  <c r="A317" i="35"/>
  <c r="Y316" i="35"/>
  <c r="Z316" i="35" s="1"/>
  <c r="W316" i="35"/>
  <c r="K316" i="35"/>
  <c r="L316" i="35" s="1"/>
  <c r="B316" i="35"/>
  <c r="A316" i="35"/>
  <c r="Y315" i="35"/>
  <c r="Z315" i="35" s="1"/>
  <c r="W315" i="35"/>
  <c r="B315" i="35"/>
  <c r="A315" i="35"/>
  <c r="U314" i="35"/>
  <c r="S314" i="35"/>
  <c r="P314" i="35"/>
  <c r="Q314" i="35" s="1"/>
  <c r="N314" i="35"/>
  <c r="O314" i="35" s="1"/>
  <c r="K314" i="35"/>
  <c r="F314" i="35"/>
  <c r="G314" i="35" s="1"/>
  <c r="D314" i="35"/>
  <c r="E314" i="35" s="1"/>
  <c r="B314" i="35"/>
  <c r="A314" i="35"/>
  <c r="M314" i="35" s="1"/>
  <c r="U313" i="35"/>
  <c r="S313" i="35"/>
  <c r="P313" i="35"/>
  <c r="Q313" i="35" s="1"/>
  <c r="N313" i="35"/>
  <c r="O313" i="35" s="1"/>
  <c r="K313" i="35"/>
  <c r="L313" i="35" s="1"/>
  <c r="F313" i="35"/>
  <c r="G313" i="35" s="1"/>
  <c r="D313" i="35"/>
  <c r="E313" i="35" s="1"/>
  <c r="B313" i="35"/>
  <c r="A313" i="35"/>
  <c r="M313" i="35" s="1"/>
  <c r="U312" i="35"/>
  <c r="S312" i="35"/>
  <c r="P312" i="35"/>
  <c r="Q312" i="35" s="1"/>
  <c r="N312" i="35"/>
  <c r="O312" i="35" s="1"/>
  <c r="K312" i="35"/>
  <c r="F312" i="35"/>
  <c r="G312" i="35" s="1"/>
  <c r="D312" i="35"/>
  <c r="E312" i="35" s="1"/>
  <c r="B312" i="35"/>
  <c r="A312" i="35"/>
  <c r="M312" i="35" s="1"/>
  <c r="U311" i="35"/>
  <c r="S311" i="35"/>
  <c r="P311" i="35"/>
  <c r="Q311" i="35" s="1"/>
  <c r="N311" i="35"/>
  <c r="O311" i="35" s="1"/>
  <c r="K311" i="35"/>
  <c r="L311" i="35" s="1"/>
  <c r="F311" i="35"/>
  <c r="G311" i="35" s="1"/>
  <c r="D311" i="35"/>
  <c r="E311" i="35" s="1"/>
  <c r="B311" i="35"/>
  <c r="A311" i="35"/>
  <c r="M311" i="35" s="1"/>
  <c r="Y310" i="35"/>
  <c r="Z310" i="35" s="1"/>
  <c r="W310" i="35"/>
  <c r="X310" i="35" s="1"/>
  <c r="B310" i="35"/>
  <c r="A310" i="35"/>
  <c r="Y309" i="35"/>
  <c r="Z309" i="35" s="1"/>
  <c r="W309" i="35"/>
  <c r="B309" i="35"/>
  <c r="A309" i="35"/>
  <c r="Y308" i="35"/>
  <c r="W308" i="35"/>
  <c r="X308" i="35" s="1"/>
  <c r="B308" i="35"/>
  <c r="A308" i="35"/>
  <c r="Y307" i="35"/>
  <c r="Z307" i="35" s="1"/>
  <c r="W307" i="35"/>
  <c r="K307" i="35"/>
  <c r="L307" i="35" s="1"/>
  <c r="B307" i="35"/>
  <c r="A307" i="35"/>
  <c r="Y306" i="35"/>
  <c r="Z306" i="35" s="1"/>
  <c r="W306" i="35"/>
  <c r="B306" i="35"/>
  <c r="A306" i="35"/>
  <c r="U305" i="35"/>
  <c r="S305" i="35"/>
  <c r="P305" i="35"/>
  <c r="Q305" i="35" s="1"/>
  <c r="N305" i="35"/>
  <c r="O305" i="35" s="1"/>
  <c r="K305" i="35"/>
  <c r="L305" i="35" s="1"/>
  <c r="F305" i="35"/>
  <c r="G305" i="35" s="1"/>
  <c r="D305" i="35"/>
  <c r="E305" i="35" s="1"/>
  <c r="B305" i="35"/>
  <c r="A305" i="35"/>
  <c r="M305" i="35" s="1"/>
  <c r="U304" i="35"/>
  <c r="S304" i="35"/>
  <c r="P304" i="35"/>
  <c r="Q304" i="35" s="1"/>
  <c r="N304" i="35"/>
  <c r="O304" i="35" s="1"/>
  <c r="K304" i="35"/>
  <c r="L304" i="35" s="1"/>
  <c r="F304" i="35"/>
  <c r="G304" i="35" s="1"/>
  <c r="D304" i="35"/>
  <c r="E304" i="35" s="1"/>
  <c r="B304" i="35"/>
  <c r="A304" i="35"/>
  <c r="M304" i="35" s="1"/>
  <c r="U303" i="35"/>
  <c r="S303" i="35"/>
  <c r="P303" i="35"/>
  <c r="Q303" i="35" s="1"/>
  <c r="N303" i="35"/>
  <c r="O303" i="35" s="1"/>
  <c r="K303" i="35"/>
  <c r="L303" i="35" s="1"/>
  <c r="F303" i="35"/>
  <c r="G303" i="35" s="1"/>
  <c r="D303" i="35"/>
  <c r="E303" i="35" s="1"/>
  <c r="B303" i="35"/>
  <c r="A303" i="35"/>
  <c r="M303" i="35" s="1"/>
  <c r="U302" i="35"/>
  <c r="S302" i="35"/>
  <c r="P302" i="35"/>
  <c r="Q302" i="35" s="1"/>
  <c r="N302" i="35"/>
  <c r="O302" i="35" s="1"/>
  <c r="K302" i="35"/>
  <c r="L302" i="35" s="1"/>
  <c r="F302" i="35"/>
  <c r="G302" i="35" s="1"/>
  <c r="D302" i="35"/>
  <c r="E302" i="35" s="1"/>
  <c r="B302" i="35"/>
  <c r="A302" i="35"/>
  <c r="M302" i="35" s="1"/>
  <c r="Y301" i="35"/>
  <c r="W301" i="35"/>
  <c r="X301" i="35" s="1"/>
  <c r="B301" i="35"/>
  <c r="A301" i="35"/>
  <c r="Y300" i="35"/>
  <c r="Z300" i="35" s="1"/>
  <c r="W300" i="35"/>
  <c r="B300" i="35"/>
  <c r="A300" i="35"/>
  <c r="Y299" i="35"/>
  <c r="Z299" i="35" s="1"/>
  <c r="W299" i="35"/>
  <c r="X299" i="35" s="1"/>
  <c r="B299" i="35"/>
  <c r="A299" i="35"/>
  <c r="Y298" i="35"/>
  <c r="Z298" i="35" s="1"/>
  <c r="W298" i="35"/>
  <c r="K298" i="35"/>
  <c r="L298" i="35" s="1"/>
  <c r="B298" i="35"/>
  <c r="A298" i="35"/>
  <c r="Y297" i="35"/>
  <c r="Z297" i="35" s="1"/>
  <c r="W297" i="35"/>
  <c r="B297" i="35"/>
  <c r="A297" i="35"/>
  <c r="U296" i="35"/>
  <c r="S296" i="35"/>
  <c r="P296" i="35"/>
  <c r="Q296" i="35" s="1"/>
  <c r="N296" i="35"/>
  <c r="O296" i="35" s="1"/>
  <c r="K296" i="35"/>
  <c r="L296" i="35" s="1"/>
  <c r="F296" i="35"/>
  <c r="G296" i="35" s="1"/>
  <c r="D296" i="35"/>
  <c r="E296" i="35" s="1"/>
  <c r="B296" i="35"/>
  <c r="A296" i="35"/>
  <c r="M296" i="35" s="1"/>
  <c r="U295" i="35"/>
  <c r="S295" i="35"/>
  <c r="P295" i="35"/>
  <c r="Q295" i="35" s="1"/>
  <c r="N295" i="35"/>
  <c r="O295" i="35" s="1"/>
  <c r="K295" i="35"/>
  <c r="L295" i="35" s="1"/>
  <c r="F295" i="35"/>
  <c r="G295" i="35" s="1"/>
  <c r="D295" i="35"/>
  <c r="E295" i="35" s="1"/>
  <c r="B295" i="35"/>
  <c r="A295" i="35"/>
  <c r="M295" i="35" s="1"/>
  <c r="U294" i="35"/>
  <c r="S294" i="35"/>
  <c r="P294" i="35"/>
  <c r="Q294" i="35" s="1"/>
  <c r="N294" i="35"/>
  <c r="O294" i="35" s="1"/>
  <c r="K294" i="35"/>
  <c r="L294" i="35" s="1"/>
  <c r="F294" i="35"/>
  <c r="G294" i="35" s="1"/>
  <c r="D294" i="35"/>
  <c r="E294" i="35" s="1"/>
  <c r="B294" i="35"/>
  <c r="A294" i="35"/>
  <c r="M294" i="35" s="1"/>
  <c r="U293" i="35"/>
  <c r="S293" i="35"/>
  <c r="P293" i="35"/>
  <c r="Q293" i="35" s="1"/>
  <c r="N293" i="35"/>
  <c r="O293" i="35" s="1"/>
  <c r="K293" i="35"/>
  <c r="L293" i="35" s="1"/>
  <c r="F293" i="35"/>
  <c r="G293" i="35" s="1"/>
  <c r="D293" i="35"/>
  <c r="E293" i="35" s="1"/>
  <c r="B293" i="35"/>
  <c r="A293" i="35"/>
  <c r="M293" i="35" s="1"/>
  <c r="Y292" i="35"/>
  <c r="Z292" i="35" s="1"/>
  <c r="W292" i="35"/>
  <c r="X292" i="35" s="1"/>
  <c r="B292" i="35"/>
  <c r="A292" i="35"/>
  <c r="Y291" i="35"/>
  <c r="Z291" i="35" s="1"/>
  <c r="W291" i="35"/>
  <c r="B291" i="35"/>
  <c r="A291" i="35"/>
  <c r="Y290" i="35"/>
  <c r="W290" i="35"/>
  <c r="X290" i="35" s="1"/>
  <c r="B290" i="35"/>
  <c r="A290" i="35"/>
  <c r="Y289" i="35"/>
  <c r="Z289" i="35" s="1"/>
  <c r="W289" i="35"/>
  <c r="X289" i="35" s="1"/>
  <c r="K289" i="35"/>
  <c r="L289" i="35" s="1"/>
  <c r="B289" i="35"/>
  <c r="A289" i="35"/>
  <c r="Y288" i="35"/>
  <c r="Z288" i="35" s="1"/>
  <c r="W288" i="35"/>
  <c r="B288" i="35"/>
  <c r="A288" i="35"/>
  <c r="U287" i="35"/>
  <c r="S287" i="35"/>
  <c r="P287" i="35"/>
  <c r="Q287" i="35" s="1"/>
  <c r="N287" i="35"/>
  <c r="O287" i="35" s="1"/>
  <c r="K287" i="35"/>
  <c r="L287" i="35" s="1"/>
  <c r="F287" i="35"/>
  <c r="G287" i="35" s="1"/>
  <c r="D287" i="35"/>
  <c r="E287" i="35" s="1"/>
  <c r="B287" i="35"/>
  <c r="A287" i="35"/>
  <c r="M287" i="35" s="1"/>
  <c r="U286" i="35"/>
  <c r="S286" i="35"/>
  <c r="P286" i="35"/>
  <c r="Q286" i="35" s="1"/>
  <c r="N286" i="35"/>
  <c r="O286" i="35" s="1"/>
  <c r="K286" i="35"/>
  <c r="L286" i="35" s="1"/>
  <c r="F286" i="35"/>
  <c r="G286" i="35" s="1"/>
  <c r="D286" i="35"/>
  <c r="E286" i="35" s="1"/>
  <c r="B286" i="35"/>
  <c r="A286" i="35"/>
  <c r="M286" i="35" s="1"/>
  <c r="U285" i="35"/>
  <c r="S285" i="35"/>
  <c r="P285" i="35"/>
  <c r="Q285" i="35" s="1"/>
  <c r="N285" i="35"/>
  <c r="O285" i="35" s="1"/>
  <c r="K285" i="35"/>
  <c r="L285" i="35" s="1"/>
  <c r="F285" i="35"/>
  <c r="G285" i="35" s="1"/>
  <c r="D285" i="35"/>
  <c r="E285" i="35" s="1"/>
  <c r="B285" i="35"/>
  <c r="A285" i="35"/>
  <c r="M285" i="35" s="1"/>
  <c r="U284" i="35"/>
  <c r="S284" i="35"/>
  <c r="P284" i="35"/>
  <c r="Q284" i="35" s="1"/>
  <c r="N284" i="35"/>
  <c r="O284" i="35" s="1"/>
  <c r="K284" i="35"/>
  <c r="L284" i="35" s="1"/>
  <c r="F284" i="35"/>
  <c r="G284" i="35" s="1"/>
  <c r="D284" i="35"/>
  <c r="E284" i="35" s="1"/>
  <c r="B284" i="35"/>
  <c r="A284" i="35"/>
  <c r="M284" i="35" s="1"/>
  <c r="Y283" i="35"/>
  <c r="W283" i="35"/>
  <c r="X283" i="35" s="1"/>
  <c r="B283" i="35"/>
  <c r="A283" i="35"/>
  <c r="Y282" i="35"/>
  <c r="Z282" i="35" s="1"/>
  <c r="W282" i="35"/>
  <c r="B282" i="35"/>
  <c r="A282" i="35"/>
  <c r="Y281" i="35"/>
  <c r="Z281" i="35" s="1"/>
  <c r="W281" i="35"/>
  <c r="X281" i="35" s="1"/>
  <c r="B281" i="35"/>
  <c r="A281" i="35"/>
  <c r="Y280" i="35"/>
  <c r="Z280" i="35" s="1"/>
  <c r="W280" i="35"/>
  <c r="K280" i="35"/>
  <c r="L280" i="35" s="1"/>
  <c r="B280" i="35"/>
  <c r="A280" i="35"/>
  <c r="Y279" i="35"/>
  <c r="W279" i="35"/>
  <c r="X279" i="35" s="1"/>
  <c r="B279" i="35"/>
  <c r="A279" i="35"/>
  <c r="U278" i="35"/>
  <c r="S278" i="35"/>
  <c r="P278" i="35"/>
  <c r="Q278" i="35" s="1"/>
  <c r="N278" i="35"/>
  <c r="O278" i="35" s="1"/>
  <c r="K278" i="35"/>
  <c r="L278" i="35" s="1"/>
  <c r="F278" i="35"/>
  <c r="G278" i="35" s="1"/>
  <c r="D278" i="35"/>
  <c r="E278" i="35" s="1"/>
  <c r="B278" i="35"/>
  <c r="A278" i="35"/>
  <c r="M278" i="35" s="1"/>
  <c r="U277" i="35"/>
  <c r="S277" i="35"/>
  <c r="P277" i="35"/>
  <c r="Q277" i="35" s="1"/>
  <c r="N277" i="35"/>
  <c r="O277" i="35" s="1"/>
  <c r="K277" i="35"/>
  <c r="L277" i="35" s="1"/>
  <c r="F277" i="35"/>
  <c r="G277" i="35" s="1"/>
  <c r="D277" i="35"/>
  <c r="E277" i="35" s="1"/>
  <c r="B277" i="35"/>
  <c r="A277" i="35"/>
  <c r="M277" i="35" s="1"/>
  <c r="U276" i="35"/>
  <c r="S276" i="35"/>
  <c r="P276" i="35"/>
  <c r="Q276" i="35" s="1"/>
  <c r="N276" i="35"/>
  <c r="O276" i="35" s="1"/>
  <c r="K276" i="35"/>
  <c r="F276" i="35"/>
  <c r="G276" i="35" s="1"/>
  <c r="D276" i="35"/>
  <c r="E276" i="35" s="1"/>
  <c r="B276" i="35"/>
  <c r="A276" i="35"/>
  <c r="M276" i="35" s="1"/>
  <c r="U275" i="35"/>
  <c r="S275" i="35"/>
  <c r="P275" i="35"/>
  <c r="Q275" i="35" s="1"/>
  <c r="N275" i="35"/>
  <c r="O275" i="35" s="1"/>
  <c r="K275" i="35"/>
  <c r="L275" i="35" s="1"/>
  <c r="F275" i="35"/>
  <c r="G275" i="35" s="1"/>
  <c r="D275" i="35"/>
  <c r="E275" i="35" s="1"/>
  <c r="B275" i="35"/>
  <c r="A275" i="35"/>
  <c r="M275" i="35" s="1"/>
  <c r="Y274" i="35"/>
  <c r="Z274" i="35" s="1"/>
  <c r="W274" i="35"/>
  <c r="X274" i="35" s="1"/>
  <c r="B274" i="35"/>
  <c r="A274" i="35"/>
  <c r="Y273" i="35"/>
  <c r="Z273" i="35" s="1"/>
  <c r="W273" i="35"/>
  <c r="B273" i="35"/>
  <c r="A273" i="35"/>
  <c r="Y272" i="35"/>
  <c r="Z272" i="35" s="1"/>
  <c r="W272" i="35"/>
  <c r="X272" i="35" s="1"/>
  <c r="B272" i="35"/>
  <c r="A272" i="35"/>
  <c r="Y271" i="35"/>
  <c r="Z271" i="35" s="1"/>
  <c r="W271" i="35"/>
  <c r="K271" i="35"/>
  <c r="L271" i="35" s="1"/>
  <c r="B271" i="35"/>
  <c r="A271" i="35"/>
  <c r="Y270" i="35"/>
  <c r="Z270" i="35" s="1"/>
  <c r="W270" i="35"/>
  <c r="B270" i="35"/>
  <c r="A270" i="35"/>
  <c r="U269" i="35"/>
  <c r="S269" i="35"/>
  <c r="P269" i="35"/>
  <c r="Q269" i="35" s="1"/>
  <c r="N269" i="35"/>
  <c r="O269" i="35" s="1"/>
  <c r="K269" i="35"/>
  <c r="L269" i="35" s="1"/>
  <c r="F269" i="35"/>
  <c r="G269" i="35" s="1"/>
  <c r="D269" i="35"/>
  <c r="E269" i="35" s="1"/>
  <c r="B269" i="35"/>
  <c r="A269" i="35"/>
  <c r="M269" i="35" s="1"/>
  <c r="U268" i="35"/>
  <c r="S268" i="35"/>
  <c r="P268" i="35"/>
  <c r="Q268" i="35" s="1"/>
  <c r="N268" i="35"/>
  <c r="O268" i="35" s="1"/>
  <c r="K268" i="35"/>
  <c r="L268" i="35" s="1"/>
  <c r="F268" i="35"/>
  <c r="G268" i="35" s="1"/>
  <c r="D268" i="35"/>
  <c r="E268" i="35" s="1"/>
  <c r="B268" i="35"/>
  <c r="A268" i="35"/>
  <c r="M268" i="35" s="1"/>
  <c r="U267" i="35"/>
  <c r="S267" i="35"/>
  <c r="P267" i="35"/>
  <c r="Q267" i="35" s="1"/>
  <c r="N267" i="35"/>
  <c r="O267" i="35" s="1"/>
  <c r="K267" i="35"/>
  <c r="L267" i="35" s="1"/>
  <c r="F267" i="35"/>
  <c r="G267" i="35" s="1"/>
  <c r="D267" i="35"/>
  <c r="E267" i="35" s="1"/>
  <c r="B267" i="35"/>
  <c r="A267" i="35"/>
  <c r="M267" i="35" s="1"/>
  <c r="U266" i="35"/>
  <c r="S266" i="35"/>
  <c r="P266" i="35"/>
  <c r="Q266" i="35" s="1"/>
  <c r="N266" i="35"/>
  <c r="O266" i="35" s="1"/>
  <c r="K266" i="35"/>
  <c r="L266" i="35" s="1"/>
  <c r="F266" i="35"/>
  <c r="G266" i="35" s="1"/>
  <c r="D266" i="35"/>
  <c r="E266" i="35" s="1"/>
  <c r="B266" i="35"/>
  <c r="A266" i="35"/>
  <c r="M266" i="35" s="1"/>
  <c r="Y265" i="35"/>
  <c r="Z265" i="35" s="1"/>
  <c r="W265" i="35"/>
  <c r="B265" i="35"/>
  <c r="A265" i="35"/>
  <c r="Y264" i="35"/>
  <c r="Z264" i="35" s="1"/>
  <c r="W264" i="35"/>
  <c r="B264" i="35"/>
  <c r="A264" i="35"/>
  <c r="Y263" i="35"/>
  <c r="Z263" i="35" s="1"/>
  <c r="W263" i="35"/>
  <c r="B263" i="35"/>
  <c r="A263" i="35"/>
  <c r="Y262" i="35"/>
  <c r="Z262" i="35" s="1"/>
  <c r="W262" i="35"/>
  <c r="X262" i="35" s="1"/>
  <c r="K262" i="35"/>
  <c r="L262" i="35" s="1"/>
  <c r="B262" i="35"/>
  <c r="A262" i="35"/>
  <c r="Y261" i="35"/>
  <c r="Z261" i="35" s="1"/>
  <c r="W261" i="35"/>
  <c r="B261" i="35"/>
  <c r="A261" i="35"/>
  <c r="U260" i="35"/>
  <c r="S260" i="35"/>
  <c r="P260" i="35"/>
  <c r="Q260" i="35" s="1"/>
  <c r="N260" i="35"/>
  <c r="O260" i="35" s="1"/>
  <c r="K260" i="35"/>
  <c r="L260" i="35" s="1"/>
  <c r="F260" i="35"/>
  <c r="G260" i="35" s="1"/>
  <c r="D260" i="35"/>
  <c r="E260" i="35" s="1"/>
  <c r="B260" i="35"/>
  <c r="A260" i="35"/>
  <c r="M260" i="35" s="1"/>
  <c r="U259" i="35"/>
  <c r="S259" i="35"/>
  <c r="P259" i="35"/>
  <c r="Q259" i="35" s="1"/>
  <c r="N259" i="35"/>
  <c r="O259" i="35" s="1"/>
  <c r="K259" i="35"/>
  <c r="L259" i="35" s="1"/>
  <c r="F259" i="35"/>
  <c r="G259" i="35" s="1"/>
  <c r="D259" i="35"/>
  <c r="E259" i="35" s="1"/>
  <c r="B259" i="35"/>
  <c r="A259" i="35"/>
  <c r="M259" i="35" s="1"/>
  <c r="U258" i="35"/>
  <c r="S258" i="35"/>
  <c r="P258" i="35"/>
  <c r="Q258" i="35" s="1"/>
  <c r="N258" i="35"/>
  <c r="O258" i="35" s="1"/>
  <c r="K258" i="35"/>
  <c r="L258" i="35" s="1"/>
  <c r="F258" i="35"/>
  <c r="G258" i="35" s="1"/>
  <c r="D258" i="35"/>
  <c r="E258" i="35" s="1"/>
  <c r="B258" i="35"/>
  <c r="A258" i="35"/>
  <c r="M258" i="35" s="1"/>
  <c r="U257" i="35"/>
  <c r="S257" i="35"/>
  <c r="P257" i="35"/>
  <c r="Q257" i="35" s="1"/>
  <c r="N257" i="35"/>
  <c r="O257" i="35" s="1"/>
  <c r="K257" i="35"/>
  <c r="L257" i="35" s="1"/>
  <c r="F257" i="35"/>
  <c r="G257" i="35" s="1"/>
  <c r="D257" i="35"/>
  <c r="E257" i="35" s="1"/>
  <c r="B257" i="35"/>
  <c r="A257" i="35"/>
  <c r="M257" i="35" s="1"/>
  <c r="Y256" i="35"/>
  <c r="Z256" i="35" s="1"/>
  <c r="W256" i="35"/>
  <c r="B256" i="35"/>
  <c r="A256" i="35"/>
  <c r="Y255" i="35"/>
  <c r="Z255" i="35" s="1"/>
  <c r="W255" i="35"/>
  <c r="X255" i="35" s="1"/>
  <c r="B255" i="35"/>
  <c r="A255" i="35"/>
  <c r="Y254" i="35"/>
  <c r="Z254" i="35" s="1"/>
  <c r="W254" i="35"/>
  <c r="B254" i="35"/>
  <c r="A254" i="35"/>
  <c r="Y253" i="35"/>
  <c r="Z253" i="35" s="1"/>
  <c r="W253" i="35"/>
  <c r="X253" i="35" s="1"/>
  <c r="K253" i="35"/>
  <c r="L253" i="35" s="1"/>
  <c r="B253" i="35"/>
  <c r="A253" i="35"/>
  <c r="Y252" i="35"/>
  <c r="Z252" i="35" s="1"/>
  <c r="W252" i="35"/>
  <c r="B252" i="35"/>
  <c r="A252" i="35"/>
  <c r="U251" i="35"/>
  <c r="S251" i="35"/>
  <c r="P251" i="35"/>
  <c r="Q251" i="35" s="1"/>
  <c r="N251" i="35"/>
  <c r="O251" i="35" s="1"/>
  <c r="K251" i="35"/>
  <c r="L251" i="35" s="1"/>
  <c r="F251" i="35"/>
  <c r="G251" i="35" s="1"/>
  <c r="D251" i="35"/>
  <c r="E251" i="35" s="1"/>
  <c r="B251" i="35"/>
  <c r="A251" i="35"/>
  <c r="M251" i="35" s="1"/>
  <c r="U250" i="35"/>
  <c r="S250" i="35"/>
  <c r="P250" i="35"/>
  <c r="Q250" i="35" s="1"/>
  <c r="N250" i="35"/>
  <c r="O250" i="35" s="1"/>
  <c r="K250" i="35"/>
  <c r="L250" i="35" s="1"/>
  <c r="F250" i="35"/>
  <c r="G250" i="35" s="1"/>
  <c r="D250" i="35"/>
  <c r="E250" i="35" s="1"/>
  <c r="B250" i="35"/>
  <c r="A250" i="35"/>
  <c r="M250" i="35" s="1"/>
  <c r="U249" i="35"/>
  <c r="S249" i="35"/>
  <c r="P249" i="35"/>
  <c r="Q249" i="35" s="1"/>
  <c r="N249" i="35"/>
  <c r="O249" i="35" s="1"/>
  <c r="K249" i="35"/>
  <c r="L249" i="35" s="1"/>
  <c r="F249" i="35"/>
  <c r="G249" i="35" s="1"/>
  <c r="D249" i="35"/>
  <c r="E249" i="35" s="1"/>
  <c r="B249" i="35"/>
  <c r="A249" i="35"/>
  <c r="M249" i="35" s="1"/>
  <c r="U248" i="35"/>
  <c r="S248" i="35"/>
  <c r="P248" i="35"/>
  <c r="Q248" i="35" s="1"/>
  <c r="N248" i="35"/>
  <c r="O248" i="35" s="1"/>
  <c r="K248" i="35"/>
  <c r="L248" i="35" s="1"/>
  <c r="F248" i="35"/>
  <c r="G248" i="35" s="1"/>
  <c r="D248" i="35"/>
  <c r="E248" i="35" s="1"/>
  <c r="B248" i="35"/>
  <c r="A248" i="35"/>
  <c r="M248" i="35" s="1"/>
  <c r="Y247" i="35"/>
  <c r="Z247" i="35" s="1"/>
  <c r="W247" i="35"/>
  <c r="B247" i="35"/>
  <c r="A247" i="35"/>
  <c r="Y246" i="35"/>
  <c r="Z246" i="35" s="1"/>
  <c r="W246" i="35"/>
  <c r="B246" i="35"/>
  <c r="A246" i="35"/>
  <c r="Y245" i="35"/>
  <c r="Z245" i="35" s="1"/>
  <c r="W245" i="35"/>
  <c r="B245" i="35"/>
  <c r="A245" i="35"/>
  <c r="Y244" i="35"/>
  <c r="Z244" i="35" s="1"/>
  <c r="W244" i="35"/>
  <c r="K244" i="35"/>
  <c r="L244" i="35" s="1"/>
  <c r="B244" i="35"/>
  <c r="A244" i="35"/>
  <c r="Y243" i="35"/>
  <c r="Z243" i="35" s="1"/>
  <c r="W243" i="35"/>
  <c r="B243" i="35"/>
  <c r="A243" i="35"/>
  <c r="U242" i="35"/>
  <c r="S242" i="35"/>
  <c r="P242" i="35"/>
  <c r="Q242" i="35" s="1"/>
  <c r="N242" i="35"/>
  <c r="O242" i="35" s="1"/>
  <c r="K242" i="35"/>
  <c r="L242" i="35" s="1"/>
  <c r="F242" i="35"/>
  <c r="G242" i="35" s="1"/>
  <c r="D242" i="35"/>
  <c r="E242" i="35" s="1"/>
  <c r="B242" i="35"/>
  <c r="A242" i="35"/>
  <c r="M242" i="35" s="1"/>
  <c r="U241" i="35"/>
  <c r="S241" i="35"/>
  <c r="P241" i="35"/>
  <c r="Q241" i="35" s="1"/>
  <c r="N241" i="35"/>
  <c r="O241" i="35" s="1"/>
  <c r="K241" i="35"/>
  <c r="F241" i="35"/>
  <c r="G241" i="35" s="1"/>
  <c r="D241" i="35"/>
  <c r="E241" i="35" s="1"/>
  <c r="B241" i="35"/>
  <c r="A241" i="35"/>
  <c r="M241" i="35" s="1"/>
  <c r="U240" i="35"/>
  <c r="S240" i="35"/>
  <c r="P240" i="35"/>
  <c r="Q240" i="35" s="1"/>
  <c r="N240" i="35"/>
  <c r="O240" i="35" s="1"/>
  <c r="K240" i="35"/>
  <c r="L240" i="35" s="1"/>
  <c r="F240" i="35"/>
  <c r="G240" i="35" s="1"/>
  <c r="D240" i="35"/>
  <c r="E240" i="35" s="1"/>
  <c r="B240" i="35"/>
  <c r="A240" i="35"/>
  <c r="M240" i="35" s="1"/>
  <c r="U239" i="35"/>
  <c r="S239" i="35"/>
  <c r="P239" i="35"/>
  <c r="Q239" i="35" s="1"/>
  <c r="N239" i="35"/>
  <c r="O239" i="35" s="1"/>
  <c r="K239" i="35"/>
  <c r="F239" i="35"/>
  <c r="G239" i="35" s="1"/>
  <c r="D239" i="35"/>
  <c r="E239" i="35" s="1"/>
  <c r="B239" i="35"/>
  <c r="A239" i="35"/>
  <c r="M239" i="35" s="1"/>
  <c r="Y238" i="35"/>
  <c r="Z238" i="35" s="1"/>
  <c r="W238" i="35"/>
  <c r="X238" i="35" s="1"/>
  <c r="B238" i="35"/>
  <c r="A238" i="35"/>
  <c r="Y237" i="35"/>
  <c r="Z237" i="35" s="1"/>
  <c r="W237" i="35"/>
  <c r="B237" i="35"/>
  <c r="A237" i="35"/>
  <c r="Y236" i="35"/>
  <c r="Z236" i="35" s="1"/>
  <c r="W236" i="35"/>
  <c r="X236" i="35" s="1"/>
  <c r="B236" i="35"/>
  <c r="A236" i="35"/>
  <c r="Y235" i="35"/>
  <c r="Z235" i="35" s="1"/>
  <c r="W235" i="35"/>
  <c r="K235" i="35"/>
  <c r="L235" i="35" s="1"/>
  <c r="B235" i="35"/>
  <c r="A235" i="35"/>
  <c r="Y234" i="35"/>
  <c r="Z234" i="35" s="1"/>
  <c r="W234" i="35"/>
  <c r="B234" i="35"/>
  <c r="A234" i="35"/>
  <c r="U233" i="35"/>
  <c r="S233" i="35"/>
  <c r="P233" i="35"/>
  <c r="Q233" i="35" s="1"/>
  <c r="N233" i="35"/>
  <c r="O233" i="35" s="1"/>
  <c r="K233" i="35"/>
  <c r="L233" i="35" s="1"/>
  <c r="F233" i="35"/>
  <c r="G233" i="35" s="1"/>
  <c r="D233" i="35"/>
  <c r="E233" i="35" s="1"/>
  <c r="B233" i="35"/>
  <c r="A233" i="35"/>
  <c r="M233" i="35" s="1"/>
  <c r="U232" i="35"/>
  <c r="S232" i="35"/>
  <c r="P232" i="35"/>
  <c r="Q232" i="35" s="1"/>
  <c r="N232" i="35"/>
  <c r="O232" i="35" s="1"/>
  <c r="K232" i="35"/>
  <c r="L232" i="35" s="1"/>
  <c r="F232" i="35"/>
  <c r="G232" i="35" s="1"/>
  <c r="D232" i="35"/>
  <c r="E232" i="35" s="1"/>
  <c r="B232" i="35"/>
  <c r="A232" i="35"/>
  <c r="M232" i="35" s="1"/>
  <c r="U231" i="35"/>
  <c r="S231" i="35"/>
  <c r="P231" i="35"/>
  <c r="Q231" i="35" s="1"/>
  <c r="N231" i="35"/>
  <c r="O231" i="35" s="1"/>
  <c r="K231" i="35"/>
  <c r="L231" i="35" s="1"/>
  <c r="F231" i="35"/>
  <c r="G231" i="35" s="1"/>
  <c r="D231" i="35"/>
  <c r="E231" i="35" s="1"/>
  <c r="B231" i="35"/>
  <c r="A231" i="35"/>
  <c r="M231" i="35" s="1"/>
  <c r="U230" i="35"/>
  <c r="S230" i="35"/>
  <c r="P230" i="35"/>
  <c r="Q230" i="35" s="1"/>
  <c r="N230" i="35"/>
  <c r="O230" i="35" s="1"/>
  <c r="K230" i="35"/>
  <c r="L230" i="35" s="1"/>
  <c r="F230" i="35"/>
  <c r="G230" i="35" s="1"/>
  <c r="D230" i="35"/>
  <c r="E230" i="35" s="1"/>
  <c r="B230" i="35"/>
  <c r="A230" i="35"/>
  <c r="M230" i="35" s="1"/>
  <c r="Y229" i="35"/>
  <c r="Z229" i="35" s="1"/>
  <c r="W229" i="35"/>
  <c r="X229" i="35" s="1"/>
  <c r="B229" i="35"/>
  <c r="A229" i="35"/>
  <c r="Y228" i="35"/>
  <c r="Z228" i="35" s="1"/>
  <c r="W228" i="35"/>
  <c r="B228" i="35"/>
  <c r="A228" i="35"/>
  <c r="Y227" i="35"/>
  <c r="Z227" i="35" s="1"/>
  <c r="W227" i="35"/>
  <c r="X227" i="35" s="1"/>
  <c r="B227" i="35"/>
  <c r="A227" i="35"/>
  <c r="Y226" i="35"/>
  <c r="Z226" i="35" s="1"/>
  <c r="W226" i="35"/>
  <c r="K226" i="35"/>
  <c r="L226" i="35" s="1"/>
  <c r="B226" i="35"/>
  <c r="A226" i="35"/>
  <c r="Y225" i="35"/>
  <c r="Z225" i="35" s="1"/>
  <c r="W225" i="35"/>
  <c r="B225" i="35"/>
  <c r="A225" i="35"/>
  <c r="U224" i="35"/>
  <c r="S224" i="35"/>
  <c r="P224" i="35"/>
  <c r="Q224" i="35" s="1"/>
  <c r="N224" i="35"/>
  <c r="O224" i="35" s="1"/>
  <c r="K224" i="35"/>
  <c r="L224" i="35" s="1"/>
  <c r="F224" i="35"/>
  <c r="G224" i="35" s="1"/>
  <c r="D224" i="35"/>
  <c r="E224" i="35" s="1"/>
  <c r="B224" i="35"/>
  <c r="A224" i="35"/>
  <c r="M224" i="35" s="1"/>
  <c r="U223" i="35"/>
  <c r="S223" i="35"/>
  <c r="P223" i="35"/>
  <c r="Q223" i="35" s="1"/>
  <c r="N223" i="35"/>
  <c r="O223" i="35" s="1"/>
  <c r="K223" i="35"/>
  <c r="L223" i="35" s="1"/>
  <c r="F223" i="35"/>
  <c r="G223" i="35" s="1"/>
  <c r="D223" i="35"/>
  <c r="E223" i="35" s="1"/>
  <c r="B223" i="35"/>
  <c r="A223" i="35"/>
  <c r="M223" i="35" s="1"/>
  <c r="U222" i="35"/>
  <c r="S222" i="35"/>
  <c r="P222" i="35"/>
  <c r="Q222" i="35" s="1"/>
  <c r="N222" i="35"/>
  <c r="O222" i="35" s="1"/>
  <c r="K222" i="35"/>
  <c r="L222" i="35" s="1"/>
  <c r="F222" i="35"/>
  <c r="G222" i="35" s="1"/>
  <c r="D222" i="35"/>
  <c r="E222" i="35" s="1"/>
  <c r="B222" i="35"/>
  <c r="A222" i="35"/>
  <c r="M222" i="35" s="1"/>
  <c r="U221" i="35"/>
  <c r="S221" i="35"/>
  <c r="P221" i="35"/>
  <c r="Q221" i="35" s="1"/>
  <c r="N221" i="35"/>
  <c r="O221" i="35" s="1"/>
  <c r="K221" i="35"/>
  <c r="F221" i="35"/>
  <c r="G221" i="35" s="1"/>
  <c r="D221" i="35"/>
  <c r="E221" i="35" s="1"/>
  <c r="B221" i="35"/>
  <c r="A221" i="35"/>
  <c r="M221" i="35" s="1"/>
  <c r="Y220" i="35"/>
  <c r="Z220" i="35" s="1"/>
  <c r="W220" i="35"/>
  <c r="B220" i="35"/>
  <c r="A220" i="35"/>
  <c r="Y219" i="35"/>
  <c r="Z219" i="35" s="1"/>
  <c r="W219" i="35"/>
  <c r="X219" i="35" s="1"/>
  <c r="B219" i="35"/>
  <c r="A219" i="35"/>
  <c r="Y218" i="35"/>
  <c r="Z218" i="35" s="1"/>
  <c r="W218" i="35"/>
  <c r="B218" i="35"/>
  <c r="A218" i="35"/>
  <c r="Y217" i="35"/>
  <c r="Z217" i="35" s="1"/>
  <c r="W217" i="35"/>
  <c r="X217" i="35" s="1"/>
  <c r="K217" i="35"/>
  <c r="L217" i="35" s="1"/>
  <c r="B217" i="35"/>
  <c r="A217" i="35"/>
  <c r="Y216" i="35"/>
  <c r="Z216" i="35" s="1"/>
  <c r="W216" i="35"/>
  <c r="B216" i="35"/>
  <c r="A216" i="35"/>
  <c r="U215" i="35"/>
  <c r="S215" i="35"/>
  <c r="P215" i="35"/>
  <c r="Q215" i="35" s="1"/>
  <c r="N215" i="35"/>
  <c r="O215" i="35" s="1"/>
  <c r="K215" i="35"/>
  <c r="L215" i="35" s="1"/>
  <c r="F215" i="35"/>
  <c r="G215" i="35" s="1"/>
  <c r="D215" i="35"/>
  <c r="E215" i="35" s="1"/>
  <c r="B215" i="35"/>
  <c r="A215" i="35"/>
  <c r="M215" i="35" s="1"/>
  <c r="U214" i="35"/>
  <c r="S214" i="35"/>
  <c r="P214" i="35"/>
  <c r="Q214" i="35" s="1"/>
  <c r="N214" i="35"/>
  <c r="O214" i="35" s="1"/>
  <c r="K214" i="35"/>
  <c r="L214" i="35" s="1"/>
  <c r="F214" i="35"/>
  <c r="G214" i="35" s="1"/>
  <c r="E214" i="35"/>
  <c r="D214" i="35"/>
  <c r="B214" i="35"/>
  <c r="A214" i="35"/>
  <c r="M214" i="35" s="1"/>
  <c r="U213" i="35"/>
  <c r="S213" i="35"/>
  <c r="P213" i="35"/>
  <c r="Q213" i="35" s="1"/>
  <c r="N213" i="35"/>
  <c r="O213" i="35" s="1"/>
  <c r="K213" i="35"/>
  <c r="L213" i="35" s="1"/>
  <c r="F213" i="35"/>
  <c r="G213" i="35" s="1"/>
  <c r="D213" i="35"/>
  <c r="E213" i="35" s="1"/>
  <c r="B213" i="35"/>
  <c r="A213" i="35"/>
  <c r="M213" i="35" s="1"/>
  <c r="U212" i="35"/>
  <c r="S212" i="35"/>
  <c r="P212" i="35"/>
  <c r="Q212" i="35" s="1"/>
  <c r="N212" i="35"/>
  <c r="O212" i="35" s="1"/>
  <c r="K212" i="35"/>
  <c r="L212" i="35" s="1"/>
  <c r="F212" i="35"/>
  <c r="G212" i="35" s="1"/>
  <c r="D212" i="35"/>
  <c r="E212" i="35" s="1"/>
  <c r="B212" i="35"/>
  <c r="A212" i="35"/>
  <c r="M212" i="35" s="1"/>
  <c r="Y211" i="35"/>
  <c r="Z211" i="35" s="1"/>
  <c r="W211" i="35"/>
  <c r="B211" i="35"/>
  <c r="A211" i="35"/>
  <c r="Y210" i="35"/>
  <c r="Z210" i="35" s="1"/>
  <c r="W210" i="35"/>
  <c r="X210" i="35" s="1"/>
  <c r="B210" i="35"/>
  <c r="A210" i="35"/>
  <c r="Y209" i="35"/>
  <c r="Z209" i="35" s="1"/>
  <c r="W209" i="35"/>
  <c r="B209" i="35"/>
  <c r="A209" i="35"/>
  <c r="Y208" i="35"/>
  <c r="Z208" i="35" s="1"/>
  <c r="W208" i="35"/>
  <c r="K208" i="35"/>
  <c r="L208" i="35" s="1"/>
  <c r="B208" i="35"/>
  <c r="A208" i="35"/>
  <c r="Y207" i="35"/>
  <c r="Z207" i="35" s="1"/>
  <c r="W207" i="35"/>
  <c r="X207" i="35" s="1"/>
  <c r="B207" i="35"/>
  <c r="A207" i="35"/>
  <c r="U206" i="35"/>
  <c r="S206" i="35"/>
  <c r="P206" i="35"/>
  <c r="Q206" i="35" s="1"/>
  <c r="N206" i="35"/>
  <c r="O206" i="35" s="1"/>
  <c r="K206" i="35"/>
  <c r="L206" i="35" s="1"/>
  <c r="F206" i="35"/>
  <c r="G206" i="35" s="1"/>
  <c r="D206" i="35"/>
  <c r="E206" i="35" s="1"/>
  <c r="B206" i="35"/>
  <c r="A206" i="35"/>
  <c r="M206" i="35" s="1"/>
  <c r="U205" i="35"/>
  <c r="S205" i="35"/>
  <c r="P205" i="35"/>
  <c r="Q205" i="35" s="1"/>
  <c r="N205" i="35"/>
  <c r="O205" i="35" s="1"/>
  <c r="K205" i="35"/>
  <c r="L205" i="35" s="1"/>
  <c r="F205" i="35"/>
  <c r="G205" i="35" s="1"/>
  <c r="D205" i="35"/>
  <c r="E205" i="35" s="1"/>
  <c r="B205" i="35"/>
  <c r="A205" i="35"/>
  <c r="M205" i="35" s="1"/>
  <c r="U204" i="35"/>
  <c r="S204" i="35"/>
  <c r="P204" i="35"/>
  <c r="Q204" i="35" s="1"/>
  <c r="N204" i="35"/>
  <c r="O204" i="35" s="1"/>
  <c r="K204" i="35"/>
  <c r="L204" i="35" s="1"/>
  <c r="F204" i="35"/>
  <c r="G204" i="35" s="1"/>
  <c r="D204" i="35"/>
  <c r="E204" i="35" s="1"/>
  <c r="B204" i="35"/>
  <c r="A204" i="35"/>
  <c r="M204" i="35" s="1"/>
  <c r="U203" i="35"/>
  <c r="S203" i="35"/>
  <c r="P203" i="35"/>
  <c r="Q203" i="35" s="1"/>
  <c r="N203" i="35"/>
  <c r="O203" i="35" s="1"/>
  <c r="K203" i="35"/>
  <c r="L203" i="35" s="1"/>
  <c r="F203" i="35"/>
  <c r="G203" i="35" s="1"/>
  <c r="D203" i="35"/>
  <c r="E203" i="35" s="1"/>
  <c r="B203" i="35"/>
  <c r="A203" i="35"/>
  <c r="M203" i="35" s="1"/>
  <c r="Y202" i="35"/>
  <c r="Z202" i="35" s="1"/>
  <c r="W202" i="35"/>
  <c r="X202" i="35" s="1"/>
  <c r="B202" i="35"/>
  <c r="A202" i="35"/>
  <c r="Y201" i="35"/>
  <c r="Z201" i="35" s="1"/>
  <c r="W201" i="35"/>
  <c r="X201" i="35" s="1"/>
  <c r="B201" i="35"/>
  <c r="A201" i="35"/>
  <c r="Y200" i="35"/>
  <c r="Z200" i="35" s="1"/>
  <c r="W200" i="35"/>
  <c r="X200" i="35" s="1"/>
  <c r="B200" i="35"/>
  <c r="A200" i="35"/>
  <c r="Y199" i="35"/>
  <c r="Z199" i="35" s="1"/>
  <c r="W199" i="35"/>
  <c r="X199" i="35" s="1"/>
  <c r="K199" i="35"/>
  <c r="L199" i="35" s="1"/>
  <c r="B199" i="35"/>
  <c r="A199" i="35"/>
  <c r="Y198" i="35"/>
  <c r="Z198" i="35" s="1"/>
  <c r="W198" i="35"/>
  <c r="B198" i="35"/>
  <c r="A198" i="35"/>
  <c r="U197" i="35"/>
  <c r="S197" i="35"/>
  <c r="P197" i="35"/>
  <c r="Q197" i="35" s="1"/>
  <c r="N197" i="35"/>
  <c r="O197" i="35" s="1"/>
  <c r="K197" i="35"/>
  <c r="L197" i="35" s="1"/>
  <c r="F197" i="35"/>
  <c r="G197" i="35" s="1"/>
  <c r="D197" i="35"/>
  <c r="E197" i="35" s="1"/>
  <c r="B197" i="35"/>
  <c r="A197" i="35"/>
  <c r="M197" i="35" s="1"/>
  <c r="U196" i="35"/>
  <c r="S196" i="35"/>
  <c r="P196" i="35"/>
  <c r="Q196" i="35" s="1"/>
  <c r="N196" i="35"/>
  <c r="O196" i="35" s="1"/>
  <c r="K196" i="35"/>
  <c r="L196" i="35" s="1"/>
  <c r="F196" i="35"/>
  <c r="G196" i="35" s="1"/>
  <c r="D196" i="35"/>
  <c r="E196" i="35" s="1"/>
  <c r="B196" i="35"/>
  <c r="A196" i="35"/>
  <c r="M196" i="35" s="1"/>
  <c r="U195" i="35"/>
  <c r="S195" i="35"/>
  <c r="P195" i="35"/>
  <c r="Q195" i="35" s="1"/>
  <c r="N195" i="35"/>
  <c r="O195" i="35" s="1"/>
  <c r="K195" i="35"/>
  <c r="L195" i="35" s="1"/>
  <c r="F195" i="35"/>
  <c r="G195" i="35" s="1"/>
  <c r="D195" i="35"/>
  <c r="E195" i="35" s="1"/>
  <c r="B195" i="35"/>
  <c r="A195" i="35"/>
  <c r="M195" i="35" s="1"/>
  <c r="U194" i="35"/>
  <c r="S194" i="35"/>
  <c r="P194" i="35"/>
  <c r="Q194" i="35" s="1"/>
  <c r="N194" i="35"/>
  <c r="O194" i="35" s="1"/>
  <c r="K194" i="35"/>
  <c r="L194" i="35" s="1"/>
  <c r="F194" i="35"/>
  <c r="G194" i="35" s="1"/>
  <c r="D194" i="35"/>
  <c r="E194" i="35" s="1"/>
  <c r="B194" i="35"/>
  <c r="A194" i="35"/>
  <c r="M194" i="35" s="1"/>
  <c r="Y193" i="35"/>
  <c r="Z193" i="35" s="1"/>
  <c r="W193" i="35"/>
  <c r="X193" i="35" s="1"/>
  <c r="B193" i="35"/>
  <c r="A193" i="35"/>
  <c r="Y192" i="35"/>
  <c r="Z192" i="35" s="1"/>
  <c r="W192" i="35"/>
  <c r="B192" i="35"/>
  <c r="A192" i="35"/>
  <c r="Y191" i="35"/>
  <c r="Z191" i="35" s="1"/>
  <c r="W191" i="35"/>
  <c r="X191" i="35" s="1"/>
  <c r="B191" i="35"/>
  <c r="A191" i="35"/>
  <c r="Y190" i="35"/>
  <c r="Z190" i="35" s="1"/>
  <c r="W190" i="35"/>
  <c r="K190" i="35"/>
  <c r="L190" i="35" s="1"/>
  <c r="B190" i="35"/>
  <c r="A190" i="35"/>
  <c r="Y189" i="35"/>
  <c r="Z189" i="35" s="1"/>
  <c r="W189" i="35"/>
  <c r="B189" i="35"/>
  <c r="A189" i="35"/>
  <c r="U188" i="35"/>
  <c r="S188" i="35"/>
  <c r="P188" i="35"/>
  <c r="Q188" i="35" s="1"/>
  <c r="N188" i="35"/>
  <c r="O188" i="35" s="1"/>
  <c r="K188" i="35"/>
  <c r="L188" i="35" s="1"/>
  <c r="F188" i="35"/>
  <c r="G188" i="35" s="1"/>
  <c r="D188" i="35"/>
  <c r="E188" i="35" s="1"/>
  <c r="B188" i="35"/>
  <c r="A188" i="35"/>
  <c r="M188" i="35" s="1"/>
  <c r="U187" i="35"/>
  <c r="S187" i="35"/>
  <c r="P187" i="35"/>
  <c r="Q187" i="35" s="1"/>
  <c r="N187" i="35"/>
  <c r="O187" i="35" s="1"/>
  <c r="K187" i="35"/>
  <c r="L187" i="35" s="1"/>
  <c r="F187" i="35"/>
  <c r="G187" i="35" s="1"/>
  <c r="D187" i="35"/>
  <c r="E187" i="35" s="1"/>
  <c r="B187" i="35"/>
  <c r="A187" i="35"/>
  <c r="M187" i="35" s="1"/>
  <c r="U186" i="35"/>
  <c r="S186" i="35"/>
  <c r="P186" i="35"/>
  <c r="Q186" i="35" s="1"/>
  <c r="N186" i="35"/>
  <c r="O186" i="35" s="1"/>
  <c r="K186" i="35"/>
  <c r="F186" i="35"/>
  <c r="G186" i="35" s="1"/>
  <c r="D186" i="35"/>
  <c r="E186" i="35" s="1"/>
  <c r="B186" i="35"/>
  <c r="A186" i="35"/>
  <c r="M186" i="35" s="1"/>
  <c r="U185" i="35"/>
  <c r="S185" i="35"/>
  <c r="P185" i="35"/>
  <c r="Q185" i="35" s="1"/>
  <c r="N185" i="35"/>
  <c r="O185" i="35" s="1"/>
  <c r="K185" i="35"/>
  <c r="L185" i="35" s="1"/>
  <c r="F185" i="35"/>
  <c r="G185" i="35" s="1"/>
  <c r="D185" i="35"/>
  <c r="E185" i="35" s="1"/>
  <c r="B185" i="35"/>
  <c r="A185" i="35"/>
  <c r="M185" i="35" s="1"/>
  <c r="Y184" i="35"/>
  <c r="Z184" i="35" s="1"/>
  <c r="W184" i="35"/>
  <c r="B184" i="35"/>
  <c r="A184" i="35"/>
  <c r="Y183" i="35"/>
  <c r="Z183" i="35" s="1"/>
  <c r="W183" i="35"/>
  <c r="X183" i="35" s="1"/>
  <c r="B183" i="35"/>
  <c r="A183" i="35"/>
  <c r="Y182" i="35"/>
  <c r="W182" i="35"/>
  <c r="X182" i="35" s="1"/>
  <c r="B182" i="35"/>
  <c r="A182" i="35"/>
  <c r="Y181" i="35"/>
  <c r="Z181" i="35" s="1"/>
  <c r="W181" i="35"/>
  <c r="X181" i="35" s="1"/>
  <c r="K181" i="35"/>
  <c r="L181" i="35" s="1"/>
  <c r="B181" i="35"/>
  <c r="A181" i="35"/>
  <c r="Y180" i="35"/>
  <c r="Z180" i="35" s="1"/>
  <c r="W180" i="35"/>
  <c r="B180" i="35"/>
  <c r="A180" i="35"/>
  <c r="U179" i="35"/>
  <c r="S179" i="35"/>
  <c r="P179" i="35"/>
  <c r="Q179" i="35" s="1"/>
  <c r="N179" i="35"/>
  <c r="O179" i="35" s="1"/>
  <c r="K179" i="35"/>
  <c r="L179" i="35" s="1"/>
  <c r="F179" i="35"/>
  <c r="G179" i="35" s="1"/>
  <c r="D179" i="35"/>
  <c r="E179" i="35" s="1"/>
  <c r="B179" i="35"/>
  <c r="A179" i="35"/>
  <c r="M179" i="35" s="1"/>
  <c r="U178" i="35"/>
  <c r="S178" i="35"/>
  <c r="P178" i="35"/>
  <c r="Q178" i="35" s="1"/>
  <c r="N178" i="35"/>
  <c r="O178" i="35" s="1"/>
  <c r="K178" i="35"/>
  <c r="L178" i="35" s="1"/>
  <c r="F178" i="35"/>
  <c r="G178" i="35" s="1"/>
  <c r="D178" i="35"/>
  <c r="E178" i="35" s="1"/>
  <c r="B178" i="35"/>
  <c r="A178" i="35"/>
  <c r="M178" i="35" s="1"/>
  <c r="U177" i="35"/>
  <c r="S177" i="35"/>
  <c r="P177" i="35"/>
  <c r="Q177" i="35" s="1"/>
  <c r="N177" i="35"/>
  <c r="O177" i="35" s="1"/>
  <c r="K177" i="35"/>
  <c r="L177" i="35" s="1"/>
  <c r="F177" i="35"/>
  <c r="G177" i="35" s="1"/>
  <c r="D177" i="35"/>
  <c r="E177" i="35" s="1"/>
  <c r="B177" i="35"/>
  <c r="A177" i="35"/>
  <c r="M177" i="35" s="1"/>
  <c r="U176" i="35"/>
  <c r="S176" i="35"/>
  <c r="P176" i="35"/>
  <c r="Q176" i="35" s="1"/>
  <c r="N176" i="35"/>
  <c r="O176" i="35" s="1"/>
  <c r="K176" i="35"/>
  <c r="L176" i="35" s="1"/>
  <c r="F176" i="35"/>
  <c r="G176" i="35" s="1"/>
  <c r="D176" i="35"/>
  <c r="E176" i="35" s="1"/>
  <c r="B176" i="35"/>
  <c r="A176" i="35"/>
  <c r="M176" i="35" s="1"/>
  <c r="Y175" i="35"/>
  <c r="Z175" i="35" s="1"/>
  <c r="W175" i="35"/>
  <c r="B175" i="35"/>
  <c r="A175" i="35"/>
  <c r="Y174" i="35"/>
  <c r="Z174" i="35" s="1"/>
  <c r="W174" i="35"/>
  <c r="X174" i="35" s="1"/>
  <c r="B174" i="35"/>
  <c r="A174" i="35"/>
  <c r="Y173" i="35"/>
  <c r="Z173" i="35" s="1"/>
  <c r="W173" i="35"/>
  <c r="B173" i="35"/>
  <c r="A173" i="35"/>
  <c r="Y172" i="35"/>
  <c r="Z172" i="35" s="1"/>
  <c r="W172" i="35"/>
  <c r="X172" i="35" s="1"/>
  <c r="K172" i="35"/>
  <c r="L172" i="35" s="1"/>
  <c r="B172" i="35"/>
  <c r="A172" i="35"/>
  <c r="Y171" i="35"/>
  <c r="Z171" i="35" s="1"/>
  <c r="W171" i="35"/>
  <c r="B171" i="35"/>
  <c r="A171" i="35"/>
  <c r="U170" i="35"/>
  <c r="S170" i="35"/>
  <c r="P170" i="35"/>
  <c r="Q170" i="35" s="1"/>
  <c r="N170" i="35"/>
  <c r="O170" i="35" s="1"/>
  <c r="K170" i="35"/>
  <c r="L170" i="35" s="1"/>
  <c r="F170" i="35"/>
  <c r="G170" i="35" s="1"/>
  <c r="D170" i="35"/>
  <c r="E170" i="35" s="1"/>
  <c r="B170" i="35"/>
  <c r="A170" i="35"/>
  <c r="M170" i="35" s="1"/>
  <c r="U169" i="35"/>
  <c r="S169" i="35"/>
  <c r="P169" i="35"/>
  <c r="Q169" i="35" s="1"/>
  <c r="N169" i="35"/>
  <c r="O169" i="35" s="1"/>
  <c r="K169" i="35"/>
  <c r="L169" i="35" s="1"/>
  <c r="F169" i="35"/>
  <c r="G169" i="35" s="1"/>
  <c r="D169" i="35"/>
  <c r="E169" i="35" s="1"/>
  <c r="B169" i="35"/>
  <c r="A169" i="35"/>
  <c r="M169" i="35" s="1"/>
  <c r="U168" i="35"/>
  <c r="S168" i="35"/>
  <c r="P168" i="35"/>
  <c r="Q168" i="35" s="1"/>
  <c r="N168" i="35"/>
  <c r="O168" i="35" s="1"/>
  <c r="K168" i="35"/>
  <c r="L168" i="35" s="1"/>
  <c r="F168" i="35"/>
  <c r="G168" i="35" s="1"/>
  <c r="D168" i="35"/>
  <c r="E168" i="35" s="1"/>
  <c r="B168" i="35"/>
  <c r="A168" i="35"/>
  <c r="M168" i="35" s="1"/>
  <c r="U167" i="35"/>
  <c r="S167" i="35"/>
  <c r="P167" i="35"/>
  <c r="Q167" i="35" s="1"/>
  <c r="N167" i="35"/>
  <c r="O167" i="35" s="1"/>
  <c r="K167" i="35"/>
  <c r="F167" i="35"/>
  <c r="G167" i="35" s="1"/>
  <c r="D167" i="35"/>
  <c r="E167" i="35" s="1"/>
  <c r="B167" i="35"/>
  <c r="A167" i="35"/>
  <c r="M167" i="35" s="1"/>
  <c r="Y166" i="35"/>
  <c r="Z166" i="35" s="1"/>
  <c r="W166" i="35"/>
  <c r="X166" i="35" s="1"/>
  <c r="B166" i="35"/>
  <c r="A166" i="35"/>
  <c r="Y165" i="35"/>
  <c r="W165" i="35"/>
  <c r="X165" i="35" s="1"/>
  <c r="B165" i="35"/>
  <c r="A165" i="35"/>
  <c r="Y164" i="35"/>
  <c r="Z164" i="35" s="1"/>
  <c r="W164" i="35"/>
  <c r="B164" i="35"/>
  <c r="A164" i="35"/>
  <c r="Y163" i="35"/>
  <c r="W163" i="35"/>
  <c r="X163" i="35" s="1"/>
  <c r="K163" i="35"/>
  <c r="L163" i="35" s="1"/>
  <c r="B163" i="35"/>
  <c r="A163" i="35"/>
  <c r="Y162" i="35"/>
  <c r="Z162" i="35" s="1"/>
  <c r="W162" i="35"/>
  <c r="B162" i="35"/>
  <c r="A162" i="35"/>
  <c r="U161" i="35"/>
  <c r="S161" i="35"/>
  <c r="P161" i="35"/>
  <c r="Q161" i="35" s="1"/>
  <c r="N161" i="35"/>
  <c r="O161" i="35" s="1"/>
  <c r="K161" i="35"/>
  <c r="F161" i="35"/>
  <c r="G161" i="35" s="1"/>
  <c r="D161" i="35"/>
  <c r="E161" i="35" s="1"/>
  <c r="B161" i="35"/>
  <c r="A161" i="35"/>
  <c r="M161" i="35" s="1"/>
  <c r="U160" i="35"/>
  <c r="S160" i="35"/>
  <c r="P160" i="35"/>
  <c r="Q160" i="35" s="1"/>
  <c r="N160" i="35"/>
  <c r="O160" i="35" s="1"/>
  <c r="K160" i="35"/>
  <c r="F160" i="35"/>
  <c r="G160" i="35" s="1"/>
  <c r="D160" i="35"/>
  <c r="E160" i="35" s="1"/>
  <c r="B160" i="35"/>
  <c r="A160" i="35"/>
  <c r="M160" i="35" s="1"/>
  <c r="U159" i="35"/>
  <c r="S159" i="35"/>
  <c r="P159" i="35"/>
  <c r="Q159" i="35" s="1"/>
  <c r="N159" i="35"/>
  <c r="O159" i="35" s="1"/>
  <c r="K159" i="35"/>
  <c r="L159" i="35" s="1"/>
  <c r="F159" i="35"/>
  <c r="G159" i="35" s="1"/>
  <c r="D159" i="35"/>
  <c r="E159" i="35" s="1"/>
  <c r="B159" i="35"/>
  <c r="A159" i="35"/>
  <c r="M159" i="35" s="1"/>
  <c r="U158" i="35"/>
  <c r="S158" i="35"/>
  <c r="P158" i="35"/>
  <c r="Q158" i="35" s="1"/>
  <c r="N158" i="35"/>
  <c r="O158" i="35" s="1"/>
  <c r="K158" i="35"/>
  <c r="L158" i="35" s="1"/>
  <c r="F158" i="35"/>
  <c r="G158" i="35" s="1"/>
  <c r="D158" i="35"/>
  <c r="E158" i="35" s="1"/>
  <c r="B158" i="35"/>
  <c r="A158" i="35"/>
  <c r="M158" i="35" s="1"/>
  <c r="Y157" i="35"/>
  <c r="Z157" i="35" s="1"/>
  <c r="W157" i="35"/>
  <c r="B157" i="35"/>
  <c r="A157" i="35"/>
  <c r="Y156" i="35"/>
  <c r="Z156" i="35" s="1"/>
  <c r="W156" i="35"/>
  <c r="X156" i="35" s="1"/>
  <c r="B156" i="35"/>
  <c r="A156" i="35"/>
  <c r="Y155" i="35"/>
  <c r="Z155" i="35" s="1"/>
  <c r="W155" i="35"/>
  <c r="B155" i="35"/>
  <c r="A155" i="35"/>
  <c r="Y154" i="35"/>
  <c r="Z154" i="35" s="1"/>
  <c r="W154" i="35"/>
  <c r="X154" i="35" s="1"/>
  <c r="K154" i="35"/>
  <c r="L154" i="35" s="1"/>
  <c r="B154" i="35"/>
  <c r="A154" i="35"/>
  <c r="Y153" i="35"/>
  <c r="Z153" i="35" s="1"/>
  <c r="W153" i="35"/>
  <c r="X153" i="35" s="1"/>
  <c r="B153" i="35"/>
  <c r="A153" i="35"/>
  <c r="U152" i="35"/>
  <c r="S152" i="35"/>
  <c r="P152" i="35"/>
  <c r="Q152" i="35" s="1"/>
  <c r="N152" i="35"/>
  <c r="O152" i="35" s="1"/>
  <c r="K152" i="35"/>
  <c r="L152" i="35" s="1"/>
  <c r="F152" i="35"/>
  <c r="G152" i="35" s="1"/>
  <c r="D152" i="35"/>
  <c r="E152" i="35" s="1"/>
  <c r="B152" i="35"/>
  <c r="A152" i="35"/>
  <c r="M152" i="35" s="1"/>
  <c r="U151" i="35"/>
  <c r="S151" i="35"/>
  <c r="P151" i="35"/>
  <c r="Q151" i="35" s="1"/>
  <c r="N151" i="35"/>
  <c r="O151" i="35" s="1"/>
  <c r="K151" i="35"/>
  <c r="L151" i="35" s="1"/>
  <c r="F151" i="35"/>
  <c r="G151" i="35" s="1"/>
  <c r="D151" i="35"/>
  <c r="E151" i="35" s="1"/>
  <c r="J151" i="35" s="1"/>
  <c r="H151" i="35" s="1"/>
  <c r="I151" i="35" s="1"/>
  <c r="B151" i="35"/>
  <c r="A151" i="35"/>
  <c r="M151" i="35" s="1"/>
  <c r="U150" i="35"/>
  <c r="S150" i="35"/>
  <c r="P150" i="35"/>
  <c r="Q150" i="35" s="1"/>
  <c r="N150" i="35"/>
  <c r="O150" i="35" s="1"/>
  <c r="K150" i="35"/>
  <c r="L150" i="35" s="1"/>
  <c r="F150" i="35"/>
  <c r="G150" i="35" s="1"/>
  <c r="D150" i="35"/>
  <c r="E150" i="35" s="1"/>
  <c r="B150" i="35"/>
  <c r="A150" i="35"/>
  <c r="M150" i="35" s="1"/>
  <c r="U149" i="35"/>
  <c r="S149" i="35"/>
  <c r="P149" i="35"/>
  <c r="Q149" i="35" s="1"/>
  <c r="N149" i="35"/>
  <c r="O149" i="35" s="1"/>
  <c r="K149" i="35"/>
  <c r="L149" i="35" s="1"/>
  <c r="F149" i="35"/>
  <c r="G149" i="35" s="1"/>
  <c r="D149" i="35"/>
  <c r="E149" i="35" s="1"/>
  <c r="B149" i="35"/>
  <c r="A149" i="35"/>
  <c r="M149" i="35" s="1"/>
  <c r="Y148" i="35"/>
  <c r="Z148" i="35" s="1"/>
  <c r="W148" i="35"/>
  <c r="X148" i="35" s="1"/>
  <c r="B148" i="35"/>
  <c r="A148" i="35"/>
  <c r="Y147" i="35"/>
  <c r="W147" i="35"/>
  <c r="X147" i="35" s="1"/>
  <c r="B147" i="35"/>
  <c r="A147" i="35"/>
  <c r="Y146" i="35"/>
  <c r="Z146" i="35" s="1"/>
  <c r="W146" i="35"/>
  <c r="X146" i="35" s="1"/>
  <c r="B146" i="35"/>
  <c r="A146" i="35"/>
  <c r="Y145" i="35"/>
  <c r="W145" i="35"/>
  <c r="X145" i="35" s="1"/>
  <c r="K145" i="35"/>
  <c r="L145" i="35" s="1"/>
  <c r="B145" i="35"/>
  <c r="A145" i="35"/>
  <c r="Y144" i="35"/>
  <c r="Z144" i="35" s="1"/>
  <c r="W144" i="35"/>
  <c r="X144" i="35" s="1"/>
  <c r="B144" i="35"/>
  <c r="A144" i="35"/>
  <c r="U143" i="35"/>
  <c r="S143" i="35"/>
  <c r="P143" i="35"/>
  <c r="Q143" i="35" s="1"/>
  <c r="N143" i="35"/>
  <c r="O143" i="35" s="1"/>
  <c r="K143" i="35"/>
  <c r="L143" i="35" s="1"/>
  <c r="F143" i="35"/>
  <c r="G143" i="35" s="1"/>
  <c r="D143" i="35"/>
  <c r="E143" i="35" s="1"/>
  <c r="B143" i="35"/>
  <c r="A143" i="35"/>
  <c r="M143" i="35" s="1"/>
  <c r="U142" i="35"/>
  <c r="S142" i="35"/>
  <c r="P142" i="35"/>
  <c r="Q142" i="35" s="1"/>
  <c r="N142" i="35"/>
  <c r="O142" i="35" s="1"/>
  <c r="K142" i="35"/>
  <c r="L142" i="35" s="1"/>
  <c r="F142" i="35"/>
  <c r="G142" i="35" s="1"/>
  <c r="D142" i="35"/>
  <c r="E142" i="35" s="1"/>
  <c r="B142" i="35"/>
  <c r="A142" i="35"/>
  <c r="M142" i="35" s="1"/>
  <c r="U141" i="35"/>
  <c r="S141" i="35"/>
  <c r="P141" i="35"/>
  <c r="Q141" i="35" s="1"/>
  <c r="N141" i="35"/>
  <c r="O141" i="35" s="1"/>
  <c r="K141" i="35"/>
  <c r="L141" i="35" s="1"/>
  <c r="F141" i="35"/>
  <c r="G141" i="35" s="1"/>
  <c r="D141" i="35"/>
  <c r="E141" i="35" s="1"/>
  <c r="B141" i="35"/>
  <c r="A141" i="35"/>
  <c r="M141" i="35" s="1"/>
  <c r="U140" i="35"/>
  <c r="S140" i="35"/>
  <c r="P140" i="35"/>
  <c r="Q140" i="35" s="1"/>
  <c r="N140" i="35"/>
  <c r="O140" i="35" s="1"/>
  <c r="K140" i="35"/>
  <c r="L140" i="35" s="1"/>
  <c r="F140" i="35"/>
  <c r="G140" i="35" s="1"/>
  <c r="D140" i="35"/>
  <c r="E140" i="35" s="1"/>
  <c r="B140" i="35"/>
  <c r="A140" i="35"/>
  <c r="M140" i="35" s="1"/>
  <c r="Y139" i="35"/>
  <c r="Z139" i="35" s="1"/>
  <c r="W139" i="35"/>
  <c r="X139" i="35" s="1"/>
  <c r="B139" i="35"/>
  <c r="A139" i="35"/>
  <c r="Y138" i="35"/>
  <c r="Z138" i="35" s="1"/>
  <c r="W138" i="35"/>
  <c r="B138" i="35"/>
  <c r="A138" i="35"/>
  <c r="Y137" i="35"/>
  <c r="Z137" i="35" s="1"/>
  <c r="W137" i="35"/>
  <c r="X137" i="35" s="1"/>
  <c r="B137" i="35"/>
  <c r="A137" i="35"/>
  <c r="Y136" i="35"/>
  <c r="Z136" i="35" s="1"/>
  <c r="W136" i="35"/>
  <c r="K136" i="35"/>
  <c r="L136" i="35" s="1"/>
  <c r="B136" i="35"/>
  <c r="A136" i="35"/>
  <c r="Y135" i="35"/>
  <c r="W135" i="35"/>
  <c r="X135" i="35" s="1"/>
  <c r="B135" i="35"/>
  <c r="A135" i="35"/>
  <c r="U134" i="35"/>
  <c r="S134" i="35"/>
  <c r="P134" i="35"/>
  <c r="Q134" i="35" s="1"/>
  <c r="N134" i="35"/>
  <c r="O134" i="35" s="1"/>
  <c r="K134" i="35"/>
  <c r="L134" i="35" s="1"/>
  <c r="F134" i="35"/>
  <c r="G134" i="35" s="1"/>
  <c r="D134" i="35"/>
  <c r="E134" i="35" s="1"/>
  <c r="B134" i="35"/>
  <c r="A134" i="35"/>
  <c r="M134" i="35" s="1"/>
  <c r="U133" i="35"/>
  <c r="S133" i="35"/>
  <c r="P133" i="35"/>
  <c r="Q133" i="35" s="1"/>
  <c r="N133" i="35"/>
  <c r="O133" i="35" s="1"/>
  <c r="K133" i="35"/>
  <c r="L133" i="35" s="1"/>
  <c r="F133" i="35"/>
  <c r="G133" i="35" s="1"/>
  <c r="D133" i="35"/>
  <c r="E133" i="35" s="1"/>
  <c r="B133" i="35"/>
  <c r="A133" i="35"/>
  <c r="M133" i="35" s="1"/>
  <c r="U132" i="35"/>
  <c r="S132" i="35"/>
  <c r="P132" i="35"/>
  <c r="Q132" i="35" s="1"/>
  <c r="N132" i="35"/>
  <c r="O132" i="35" s="1"/>
  <c r="K132" i="35"/>
  <c r="L132" i="35" s="1"/>
  <c r="F132" i="35"/>
  <c r="G132" i="35" s="1"/>
  <c r="D132" i="35"/>
  <c r="E132" i="35" s="1"/>
  <c r="B132" i="35"/>
  <c r="A132" i="35"/>
  <c r="M132" i="35" s="1"/>
  <c r="U131" i="35"/>
  <c r="S131" i="35"/>
  <c r="P131" i="35"/>
  <c r="Q131" i="35" s="1"/>
  <c r="N131" i="35"/>
  <c r="O131" i="35" s="1"/>
  <c r="K131" i="35"/>
  <c r="L131" i="35" s="1"/>
  <c r="F131" i="35"/>
  <c r="G131" i="35" s="1"/>
  <c r="D131" i="35"/>
  <c r="E131" i="35" s="1"/>
  <c r="B131" i="35"/>
  <c r="A131" i="35"/>
  <c r="M131" i="35" s="1"/>
  <c r="Y130" i="35"/>
  <c r="Z130" i="35" s="1"/>
  <c r="W130" i="35"/>
  <c r="B130" i="35"/>
  <c r="A130" i="35"/>
  <c r="Y129" i="35"/>
  <c r="Z129" i="35" s="1"/>
  <c r="W129" i="35"/>
  <c r="X129" i="35" s="1"/>
  <c r="B129" i="35"/>
  <c r="A129" i="35"/>
  <c r="Y128" i="35"/>
  <c r="W128" i="35"/>
  <c r="X128" i="35" s="1"/>
  <c r="B128" i="35"/>
  <c r="A128" i="35"/>
  <c r="Y127" i="35"/>
  <c r="Z127" i="35" s="1"/>
  <c r="W127" i="35"/>
  <c r="X127" i="35" s="1"/>
  <c r="K127" i="35"/>
  <c r="L127" i="35" s="1"/>
  <c r="B127" i="35"/>
  <c r="A127" i="35"/>
  <c r="Y126" i="35"/>
  <c r="Z126" i="35" s="1"/>
  <c r="W126" i="35"/>
  <c r="X126" i="35" s="1"/>
  <c r="B126" i="35"/>
  <c r="A126" i="35"/>
  <c r="U125" i="35"/>
  <c r="S125" i="35"/>
  <c r="P125" i="35"/>
  <c r="Q125" i="35" s="1"/>
  <c r="N125" i="35"/>
  <c r="O125" i="35" s="1"/>
  <c r="K125" i="35"/>
  <c r="L125" i="35" s="1"/>
  <c r="F125" i="35"/>
  <c r="G125" i="35" s="1"/>
  <c r="D125" i="35"/>
  <c r="E125" i="35" s="1"/>
  <c r="B125" i="35"/>
  <c r="A125" i="35"/>
  <c r="M125" i="35" s="1"/>
  <c r="U124" i="35"/>
  <c r="S124" i="35"/>
  <c r="P124" i="35"/>
  <c r="Q124" i="35" s="1"/>
  <c r="N124" i="35"/>
  <c r="O124" i="35" s="1"/>
  <c r="K124" i="35"/>
  <c r="F124" i="35"/>
  <c r="G124" i="35" s="1"/>
  <c r="D124" i="35"/>
  <c r="E124" i="35" s="1"/>
  <c r="B124" i="35"/>
  <c r="A124" i="35"/>
  <c r="M124" i="35" s="1"/>
  <c r="U123" i="35"/>
  <c r="S123" i="35"/>
  <c r="P123" i="35"/>
  <c r="Q123" i="35" s="1"/>
  <c r="N123" i="35"/>
  <c r="O123" i="35" s="1"/>
  <c r="K123" i="35"/>
  <c r="F123" i="35"/>
  <c r="G123" i="35" s="1"/>
  <c r="D123" i="35"/>
  <c r="E123" i="35" s="1"/>
  <c r="B123" i="35"/>
  <c r="A123" i="35"/>
  <c r="M123" i="35" s="1"/>
  <c r="U122" i="35"/>
  <c r="S122" i="35"/>
  <c r="P122" i="35"/>
  <c r="Q122" i="35" s="1"/>
  <c r="N122" i="35"/>
  <c r="O122" i="35" s="1"/>
  <c r="K122" i="35"/>
  <c r="L122" i="35" s="1"/>
  <c r="F122" i="35"/>
  <c r="G122" i="35" s="1"/>
  <c r="D122" i="35"/>
  <c r="E122" i="35" s="1"/>
  <c r="B122" i="35"/>
  <c r="A122" i="35"/>
  <c r="M122" i="35" s="1"/>
  <c r="Y121" i="35"/>
  <c r="Z121" i="35" s="1"/>
  <c r="W121" i="35"/>
  <c r="X121" i="35" s="1"/>
  <c r="B121" i="35"/>
  <c r="A121" i="35"/>
  <c r="Y120" i="35"/>
  <c r="Z120" i="35" s="1"/>
  <c r="W120" i="35"/>
  <c r="B120" i="35"/>
  <c r="A120" i="35"/>
  <c r="Y119" i="35"/>
  <c r="Z119" i="35" s="1"/>
  <c r="W119" i="35"/>
  <c r="B119" i="35"/>
  <c r="A119" i="35"/>
  <c r="Y118" i="35"/>
  <c r="W118" i="35"/>
  <c r="X118" i="35" s="1"/>
  <c r="K118" i="35"/>
  <c r="L118" i="35" s="1"/>
  <c r="B118" i="35"/>
  <c r="A118" i="35"/>
  <c r="Y117" i="35"/>
  <c r="W117" i="35"/>
  <c r="X117" i="35" s="1"/>
  <c r="B117" i="35"/>
  <c r="A117" i="35"/>
  <c r="U116" i="35"/>
  <c r="S116" i="35"/>
  <c r="P116" i="35"/>
  <c r="Q116" i="35" s="1"/>
  <c r="N116" i="35"/>
  <c r="O116" i="35" s="1"/>
  <c r="K116" i="35"/>
  <c r="L116" i="35" s="1"/>
  <c r="F116" i="35"/>
  <c r="G116" i="35" s="1"/>
  <c r="D116" i="35"/>
  <c r="E116" i="35" s="1"/>
  <c r="B116" i="35"/>
  <c r="A116" i="35"/>
  <c r="M116" i="35" s="1"/>
  <c r="U115" i="35"/>
  <c r="S115" i="35"/>
  <c r="P115" i="35"/>
  <c r="Q115" i="35" s="1"/>
  <c r="N115" i="35"/>
  <c r="O115" i="35" s="1"/>
  <c r="K115" i="35"/>
  <c r="L115" i="35" s="1"/>
  <c r="F115" i="35"/>
  <c r="G115" i="35" s="1"/>
  <c r="D115" i="35"/>
  <c r="E115" i="35" s="1"/>
  <c r="B115" i="35"/>
  <c r="A115" i="35"/>
  <c r="M115" i="35" s="1"/>
  <c r="U114" i="35"/>
  <c r="S114" i="35"/>
  <c r="P114" i="35"/>
  <c r="Q114" i="35" s="1"/>
  <c r="N114" i="35"/>
  <c r="O114" i="35" s="1"/>
  <c r="K114" i="35"/>
  <c r="L114" i="35" s="1"/>
  <c r="F114" i="35"/>
  <c r="G114" i="35" s="1"/>
  <c r="D114" i="35"/>
  <c r="E114" i="35" s="1"/>
  <c r="B114" i="35"/>
  <c r="A114" i="35"/>
  <c r="M114" i="35" s="1"/>
  <c r="U113" i="35"/>
  <c r="S113" i="35"/>
  <c r="P113" i="35"/>
  <c r="Q113" i="35" s="1"/>
  <c r="N113" i="35"/>
  <c r="O113" i="35" s="1"/>
  <c r="K113" i="35"/>
  <c r="L113" i="35" s="1"/>
  <c r="F113" i="35"/>
  <c r="G113" i="35" s="1"/>
  <c r="D113" i="35"/>
  <c r="E113" i="35" s="1"/>
  <c r="B113" i="35"/>
  <c r="A113" i="35"/>
  <c r="M113" i="35" s="1"/>
  <c r="Y112" i="35"/>
  <c r="Z112" i="35" s="1"/>
  <c r="W112" i="35"/>
  <c r="B112" i="35"/>
  <c r="A112" i="35"/>
  <c r="Y111" i="35"/>
  <c r="W111" i="35"/>
  <c r="X111" i="35" s="1"/>
  <c r="B111" i="35"/>
  <c r="A111" i="35"/>
  <c r="Y110" i="35"/>
  <c r="W110" i="35"/>
  <c r="X110" i="35" s="1"/>
  <c r="B110" i="35"/>
  <c r="A110" i="35"/>
  <c r="Y109" i="35"/>
  <c r="W109" i="35"/>
  <c r="X109" i="35" s="1"/>
  <c r="K109" i="35"/>
  <c r="L109" i="35" s="1"/>
  <c r="B109" i="35"/>
  <c r="A109" i="35"/>
  <c r="Y108" i="35"/>
  <c r="Z108" i="35" s="1"/>
  <c r="W108" i="35"/>
  <c r="B108" i="35"/>
  <c r="A108" i="35"/>
  <c r="U107" i="35"/>
  <c r="S107" i="35"/>
  <c r="P107" i="35"/>
  <c r="Q107" i="35" s="1"/>
  <c r="N107" i="35"/>
  <c r="O107" i="35" s="1"/>
  <c r="K107" i="35"/>
  <c r="F107" i="35"/>
  <c r="G107" i="35" s="1"/>
  <c r="D107" i="35"/>
  <c r="E107" i="35" s="1"/>
  <c r="B107" i="35"/>
  <c r="A107" i="35"/>
  <c r="M107" i="35" s="1"/>
  <c r="U106" i="35"/>
  <c r="S106" i="35"/>
  <c r="P106" i="35"/>
  <c r="Q106" i="35" s="1"/>
  <c r="N106" i="35"/>
  <c r="O106" i="35" s="1"/>
  <c r="K106" i="35"/>
  <c r="L106" i="35" s="1"/>
  <c r="F106" i="35"/>
  <c r="G106" i="35" s="1"/>
  <c r="D106" i="35"/>
  <c r="E106" i="35" s="1"/>
  <c r="B106" i="35"/>
  <c r="A106" i="35"/>
  <c r="M106" i="35" s="1"/>
  <c r="U105" i="35"/>
  <c r="S105" i="35"/>
  <c r="P105" i="35"/>
  <c r="Q105" i="35" s="1"/>
  <c r="N105" i="35"/>
  <c r="O105" i="35" s="1"/>
  <c r="K105" i="35"/>
  <c r="F105" i="35"/>
  <c r="G105" i="35" s="1"/>
  <c r="D105" i="35"/>
  <c r="E105" i="35" s="1"/>
  <c r="B105" i="35"/>
  <c r="A105" i="35"/>
  <c r="M105" i="35" s="1"/>
  <c r="U104" i="35"/>
  <c r="S104" i="35"/>
  <c r="P104" i="35"/>
  <c r="Q104" i="35" s="1"/>
  <c r="N104" i="35"/>
  <c r="O104" i="35" s="1"/>
  <c r="K104" i="35"/>
  <c r="L104" i="35" s="1"/>
  <c r="F104" i="35"/>
  <c r="G104" i="35" s="1"/>
  <c r="D104" i="35"/>
  <c r="E104" i="35" s="1"/>
  <c r="B104" i="35"/>
  <c r="A104" i="35"/>
  <c r="M104" i="35" s="1"/>
  <c r="Y103" i="35"/>
  <c r="Z103" i="35" s="1"/>
  <c r="W103" i="35"/>
  <c r="X103" i="35" s="1"/>
  <c r="B103" i="35"/>
  <c r="A103" i="35"/>
  <c r="Y102" i="35"/>
  <c r="Z102" i="35" s="1"/>
  <c r="W102" i="35"/>
  <c r="B102" i="35"/>
  <c r="A102" i="35"/>
  <c r="Y101" i="35"/>
  <c r="W101" i="35"/>
  <c r="X101" i="35" s="1"/>
  <c r="B101" i="35"/>
  <c r="A101" i="35"/>
  <c r="Y100" i="35"/>
  <c r="Z100" i="35" s="1"/>
  <c r="W100" i="35"/>
  <c r="K100" i="35"/>
  <c r="L100" i="35" s="1"/>
  <c r="B100" i="35"/>
  <c r="A100" i="35"/>
  <c r="Y99" i="35"/>
  <c r="W99" i="35"/>
  <c r="X99" i="35" s="1"/>
  <c r="B99" i="35"/>
  <c r="A99" i="35"/>
  <c r="U98" i="35"/>
  <c r="S98" i="35"/>
  <c r="P98" i="35"/>
  <c r="Q98" i="35" s="1"/>
  <c r="N98" i="35"/>
  <c r="O98" i="35" s="1"/>
  <c r="K98" i="35"/>
  <c r="L98" i="35" s="1"/>
  <c r="F98" i="35"/>
  <c r="G98" i="35" s="1"/>
  <c r="D98" i="35"/>
  <c r="E98" i="35" s="1"/>
  <c r="B98" i="35"/>
  <c r="A98" i="35"/>
  <c r="M98" i="35" s="1"/>
  <c r="U97" i="35"/>
  <c r="S97" i="35"/>
  <c r="P97" i="35"/>
  <c r="Q97" i="35" s="1"/>
  <c r="N97" i="35"/>
  <c r="O97" i="35" s="1"/>
  <c r="K97" i="35"/>
  <c r="L97" i="35" s="1"/>
  <c r="F97" i="35"/>
  <c r="G97" i="35" s="1"/>
  <c r="D97" i="35"/>
  <c r="E97" i="35" s="1"/>
  <c r="B97" i="35"/>
  <c r="A97" i="35"/>
  <c r="M97" i="35" s="1"/>
  <c r="U96" i="35"/>
  <c r="S96" i="35"/>
  <c r="P96" i="35"/>
  <c r="Q96" i="35" s="1"/>
  <c r="N96" i="35"/>
  <c r="O96" i="35" s="1"/>
  <c r="K96" i="35"/>
  <c r="L96" i="35" s="1"/>
  <c r="F96" i="35"/>
  <c r="G96" i="35" s="1"/>
  <c r="D96" i="35"/>
  <c r="E96" i="35" s="1"/>
  <c r="B96" i="35"/>
  <c r="A96" i="35"/>
  <c r="M96" i="35" s="1"/>
  <c r="U95" i="35"/>
  <c r="S95" i="35"/>
  <c r="P95" i="35"/>
  <c r="Q95" i="35" s="1"/>
  <c r="N95" i="35"/>
  <c r="O95" i="35" s="1"/>
  <c r="K95" i="35"/>
  <c r="L95" i="35" s="1"/>
  <c r="F95" i="35"/>
  <c r="G95" i="35" s="1"/>
  <c r="D95" i="35"/>
  <c r="E95" i="35" s="1"/>
  <c r="B95" i="35"/>
  <c r="A95" i="35"/>
  <c r="M95" i="35" s="1"/>
  <c r="AE94" i="35"/>
  <c r="Y94" i="35"/>
  <c r="W94" i="35"/>
  <c r="X94" i="35" s="1"/>
  <c r="B94" i="35"/>
  <c r="A94" i="35"/>
  <c r="AE93" i="35"/>
  <c r="Y93" i="35"/>
  <c r="W93" i="35"/>
  <c r="X93" i="35" s="1"/>
  <c r="B93" i="35"/>
  <c r="A93" i="35"/>
  <c r="AE92" i="35"/>
  <c r="Y92" i="35"/>
  <c r="W92" i="35"/>
  <c r="X92" i="35" s="1"/>
  <c r="B92" i="35"/>
  <c r="A92" i="35"/>
  <c r="AE91" i="35"/>
  <c r="Y91" i="35"/>
  <c r="W91" i="35"/>
  <c r="X91" i="35" s="1"/>
  <c r="K91" i="35"/>
  <c r="L91" i="35" s="1"/>
  <c r="B91" i="35"/>
  <c r="A91" i="35"/>
  <c r="AE90" i="35"/>
  <c r="Y90" i="35"/>
  <c r="Z90" i="35" s="1"/>
  <c r="W90" i="35"/>
  <c r="B90" i="35"/>
  <c r="A90" i="35"/>
  <c r="AE89" i="35"/>
  <c r="U89" i="35"/>
  <c r="S89" i="35"/>
  <c r="P89" i="35"/>
  <c r="Q89" i="35" s="1"/>
  <c r="N89" i="35"/>
  <c r="O89" i="35" s="1"/>
  <c r="K89" i="35"/>
  <c r="L89" i="35" s="1"/>
  <c r="F89" i="35"/>
  <c r="G89" i="35" s="1"/>
  <c r="D89" i="35"/>
  <c r="E89" i="35" s="1"/>
  <c r="B89" i="35"/>
  <c r="A89" i="35"/>
  <c r="M89" i="35" s="1"/>
  <c r="AE88" i="35"/>
  <c r="U88" i="35"/>
  <c r="S88" i="35"/>
  <c r="P88" i="35"/>
  <c r="Q88" i="35" s="1"/>
  <c r="N88" i="35"/>
  <c r="O88" i="35" s="1"/>
  <c r="K88" i="35"/>
  <c r="L88" i="35" s="1"/>
  <c r="F88" i="35"/>
  <c r="G88" i="35" s="1"/>
  <c r="D88" i="35"/>
  <c r="E88" i="35" s="1"/>
  <c r="J88" i="35" s="1"/>
  <c r="H88" i="35" s="1"/>
  <c r="I88" i="35" s="1"/>
  <c r="B88" i="35"/>
  <c r="A88" i="35"/>
  <c r="M88" i="35" s="1"/>
  <c r="AE87" i="35"/>
  <c r="U87" i="35"/>
  <c r="S87" i="35"/>
  <c r="P87" i="35"/>
  <c r="Q87" i="35" s="1"/>
  <c r="N87" i="35"/>
  <c r="O87" i="35" s="1"/>
  <c r="K87" i="35"/>
  <c r="F87" i="35"/>
  <c r="G87" i="35" s="1"/>
  <c r="D87" i="35"/>
  <c r="E87" i="35" s="1"/>
  <c r="B87" i="35"/>
  <c r="A87" i="35"/>
  <c r="M87" i="35" s="1"/>
  <c r="AE86" i="35"/>
  <c r="U86" i="35"/>
  <c r="S86" i="35"/>
  <c r="P86" i="35"/>
  <c r="Q86" i="35" s="1"/>
  <c r="N86" i="35"/>
  <c r="O86" i="35" s="1"/>
  <c r="K86" i="35"/>
  <c r="L86" i="35" s="1"/>
  <c r="F86" i="35"/>
  <c r="G86" i="35" s="1"/>
  <c r="D86" i="35"/>
  <c r="E86" i="35" s="1"/>
  <c r="B86" i="35"/>
  <c r="A86" i="35"/>
  <c r="M86" i="35" s="1"/>
  <c r="AE85" i="35"/>
  <c r="Y85" i="35"/>
  <c r="Z85" i="35" s="1"/>
  <c r="W85" i="35"/>
  <c r="X85" i="35" s="1"/>
  <c r="B85" i="35"/>
  <c r="A85" i="35"/>
  <c r="AE84" i="35"/>
  <c r="Y84" i="35"/>
  <c r="Z84" i="35" s="1"/>
  <c r="W84" i="35"/>
  <c r="B84" i="35"/>
  <c r="A84" i="35"/>
  <c r="AE83" i="35"/>
  <c r="Y83" i="35"/>
  <c r="Z83" i="35" s="1"/>
  <c r="W83" i="35"/>
  <c r="B83" i="35"/>
  <c r="A83" i="35"/>
  <c r="AE82" i="35"/>
  <c r="Y82" i="35"/>
  <c r="Z82" i="35" s="1"/>
  <c r="W82" i="35"/>
  <c r="K82" i="35"/>
  <c r="L82" i="35" s="1"/>
  <c r="B82" i="35"/>
  <c r="A82" i="35"/>
  <c r="AE81" i="35"/>
  <c r="Y81" i="35"/>
  <c r="Z81" i="35" s="1"/>
  <c r="W81" i="35"/>
  <c r="B81" i="35"/>
  <c r="A81" i="35"/>
  <c r="AE80" i="35"/>
  <c r="U80" i="35"/>
  <c r="S80" i="35"/>
  <c r="P80" i="35"/>
  <c r="Q80" i="35" s="1"/>
  <c r="N80" i="35"/>
  <c r="O80" i="35" s="1"/>
  <c r="K80" i="35"/>
  <c r="L80" i="35" s="1"/>
  <c r="F80" i="35"/>
  <c r="G80" i="35" s="1"/>
  <c r="D80" i="35"/>
  <c r="E80" i="35" s="1"/>
  <c r="B80" i="35"/>
  <c r="A80" i="35"/>
  <c r="M80" i="35" s="1"/>
  <c r="AE79" i="35"/>
  <c r="U79" i="35"/>
  <c r="S79" i="35"/>
  <c r="P79" i="35"/>
  <c r="Q79" i="35" s="1"/>
  <c r="N79" i="35"/>
  <c r="O79" i="35" s="1"/>
  <c r="K79" i="35"/>
  <c r="L79" i="35" s="1"/>
  <c r="F79" i="35"/>
  <c r="G79" i="35" s="1"/>
  <c r="D79" i="35"/>
  <c r="E79" i="35" s="1"/>
  <c r="B79" i="35"/>
  <c r="A79" i="35"/>
  <c r="M79" i="35" s="1"/>
  <c r="AE78" i="35"/>
  <c r="U78" i="35"/>
  <c r="S78" i="35"/>
  <c r="P78" i="35"/>
  <c r="Q78" i="35" s="1"/>
  <c r="N78" i="35"/>
  <c r="O78" i="35" s="1"/>
  <c r="K78" i="35"/>
  <c r="L78" i="35" s="1"/>
  <c r="F78" i="35"/>
  <c r="G78" i="35" s="1"/>
  <c r="D78" i="35"/>
  <c r="E78" i="35" s="1"/>
  <c r="B78" i="35"/>
  <c r="A78" i="35"/>
  <c r="M78" i="35" s="1"/>
  <c r="AE77" i="35"/>
  <c r="U77" i="35"/>
  <c r="S77" i="35"/>
  <c r="P77" i="35"/>
  <c r="Q77" i="35" s="1"/>
  <c r="N77" i="35"/>
  <c r="O77" i="35" s="1"/>
  <c r="K77" i="35"/>
  <c r="F77" i="35"/>
  <c r="G77" i="35" s="1"/>
  <c r="D77" i="35"/>
  <c r="E77" i="35" s="1"/>
  <c r="B77" i="35"/>
  <c r="A77" i="35"/>
  <c r="M77" i="35" s="1"/>
  <c r="AE76" i="35"/>
  <c r="Y76" i="35"/>
  <c r="Z76" i="35" s="1"/>
  <c r="W76" i="35"/>
  <c r="X76" i="35" s="1"/>
  <c r="B76" i="35"/>
  <c r="A76" i="35"/>
  <c r="AE75" i="35"/>
  <c r="Y75" i="35"/>
  <c r="Z75" i="35" s="1"/>
  <c r="W75" i="35"/>
  <c r="B75" i="35"/>
  <c r="A75" i="35"/>
  <c r="AE74" i="35"/>
  <c r="Y74" i="35"/>
  <c r="Z74" i="35" s="1"/>
  <c r="W74" i="35"/>
  <c r="B74" i="35"/>
  <c r="A74" i="35"/>
  <c r="AE73" i="35"/>
  <c r="Y73" i="35"/>
  <c r="Z73" i="35" s="1"/>
  <c r="W73" i="35"/>
  <c r="K73" i="35"/>
  <c r="L73" i="35" s="1"/>
  <c r="B73" i="35"/>
  <c r="A73" i="35"/>
  <c r="AE72" i="35"/>
  <c r="Y72" i="35"/>
  <c r="Z72" i="35" s="1"/>
  <c r="W72" i="35"/>
  <c r="B72" i="35"/>
  <c r="A72" i="35"/>
  <c r="AE71" i="35"/>
  <c r="U71" i="35"/>
  <c r="S71" i="35"/>
  <c r="P71" i="35"/>
  <c r="Q71" i="35" s="1"/>
  <c r="N71" i="35"/>
  <c r="O71" i="35" s="1"/>
  <c r="K71" i="35"/>
  <c r="L71" i="35" s="1"/>
  <c r="F71" i="35"/>
  <c r="G71" i="35" s="1"/>
  <c r="D71" i="35"/>
  <c r="E71" i="35" s="1"/>
  <c r="B71" i="35"/>
  <c r="A71" i="35"/>
  <c r="M71" i="35" s="1"/>
  <c r="AE70" i="35"/>
  <c r="U70" i="35"/>
  <c r="S70" i="35"/>
  <c r="P70" i="35"/>
  <c r="Q70" i="35" s="1"/>
  <c r="N70" i="35"/>
  <c r="O70" i="35" s="1"/>
  <c r="K70" i="35"/>
  <c r="L70" i="35" s="1"/>
  <c r="F70" i="35"/>
  <c r="G70" i="35" s="1"/>
  <c r="D70" i="35"/>
  <c r="E70" i="35" s="1"/>
  <c r="B70" i="35"/>
  <c r="A70" i="35"/>
  <c r="M70" i="35" s="1"/>
  <c r="AE69" i="35"/>
  <c r="U69" i="35"/>
  <c r="S69" i="35"/>
  <c r="P69" i="35"/>
  <c r="Q69" i="35" s="1"/>
  <c r="N69" i="35"/>
  <c r="O69" i="35" s="1"/>
  <c r="K69" i="35"/>
  <c r="L69" i="35" s="1"/>
  <c r="F69" i="35"/>
  <c r="G69" i="35" s="1"/>
  <c r="D69" i="35"/>
  <c r="E69" i="35" s="1"/>
  <c r="B69" i="35"/>
  <c r="A69" i="35"/>
  <c r="M69" i="35" s="1"/>
  <c r="AE68" i="35"/>
  <c r="U68" i="35"/>
  <c r="S68" i="35"/>
  <c r="P68" i="35"/>
  <c r="Q68" i="35" s="1"/>
  <c r="N68" i="35"/>
  <c r="O68" i="35" s="1"/>
  <c r="K68" i="35"/>
  <c r="L68" i="35" s="1"/>
  <c r="F68" i="35"/>
  <c r="G68" i="35" s="1"/>
  <c r="D68" i="35"/>
  <c r="E68" i="35" s="1"/>
  <c r="B68" i="35"/>
  <c r="A68" i="35"/>
  <c r="M68" i="35" s="1"/>
  <c r="AE67" i="35"/>
  <c r="Y67" i="35"/>
  <c r="Z67" i="35" s="1"/>
  <c r="W67" i="35"/>
  <c r="B67" i="35"/>
  <c r="A67" i="35"/>
  <c r="AE66" i="35"/>
  <c r="Y66" i="35"/>
  <c r="Z66" i="35" s="1"/>
  <c r="W66" i="35"/>
  <c r="B66" i="35"/>
  <c r="A66" i="35"/>
  <c r="AE65" i="35"/>
  <c r="Y65" i="35"/>
  <c r="Z65" i="35" s="1"/>
  <c r="W65" i="35"/>
  <c r="B65" i="35"/>
  <c r="A65" i="35"/>
  <c r="AE64" i="35"/>
  <c r="Y64" i="35"/>
  <c r="Z64" i="35" s="1"/>
  <c r="W64" i="35"/>
  <c r="K64" i="35"/>
  <c r="L64" i="35" s="1"/>
  <c r="B64" i="35"/>
  <c r="A64" i="35"/>
  <c r="AE63" i="35"/>
  <c r="Y63" i="35"/>
  <c r="Z63" i="35" s="1"/>
  <c r="W63" i="35"/>
  <c r="B63" i="35"/>
  <c r="A63" i="35"/>
  <c r="AE62" i="35"/>
  <c r="U62" i="35"/>
  <c r="S62" i="35"/>
  <c r="P62" i="35"/>
  <c r="Q62" i="35" s="1"/>
  <c r="N62" i="35"/>
  <c r="O62" i="35" s="1"/>
  <c r="K62" i="35"/>
  <c r="L62" i="35" s="1"/>
  <c r="F62" i="35"/>
  <c r="G62" i="35" s="1"/>
  <c r="D62" i="35"/>
  <c r="E62" i="35" s="1"/>
  <c r="B62" i="35"/>
  <c r="A62" i="35"/>
  <c r="M62" i="35" s="1"/>
  <c r="AE61" i="35"/>
  <c r="U61" i="35"/>
  <c r="S61" i="35"/>
  <c r="P61" i="35"/>
  <c r="Q61" i="35" s="1"/>
  <c r="N61" i="35"/>
  <c r="O61" i="35" s="1"/>
  <c r="K61" i="35"/>
  <c r="L61" i="35" s="1"/>
  <c r="F61" i="35"/>
  <c r="G61" i="35" s="1"/>
  <c r="D61" i="35"/>
  <c r="E61" i="35" s="1"/>
  <c r="B61" i="35"/>
  <c r="A61" i="35"/>
  <c r="M61" i="35" s="1"/>
  <c r="AE60" i="35"/>
  <c r="U60" i="35"/>
  <c r="S60" i="35"/>
  <c r="P60" i="35"/>
  <c r="Q60" i="35" s="1"/>
  <c r="N60" i="35"/>
  <c r="O60" i="35" s="1"/>
  <c r="K60" i="35"/>
  <c r="L60" i="35" s="1"/>
  <c r="F60" i="35"/>
  <c r="G60" i="35" s="1"/>
  <c r="D60" i="35"/>
  <c r="E60" i="35" s="1"/>
  <c r="B60" i="35"/>
  <c r="A60" i="35"/>
  <c r="M60" i="35" s="1"/>
  <c r="AE59" i="35"/>
  <c r="U59" i="35"/>
  <c r="S59" i="35"/>
  <c r="P59" i="35"/>
  <c r="Q59" i="35" s="1"/>
  <c r="N59" i="35"/>
  <c r="O59" i="35" s="1"/>
  <c r="K59" i="35"/>
  <c r="F59" i="35"/>
  <c r="G59" i="35" s="1"/>
  <c r="D59" i="35"/>
  <c r="E59" i="35" s="1"/>
  <c r="B59" i="35"/>
  <c r="A59" i="35"/>
  <c r="M59" i="35" s="1"/>
  <c r="AE58" i="35"/>
  <c r="Y58" i="35"/>
  <c r="Z58" i="35" s="1"/>
  <c r="W58" i="35"/>
  <c r="X58" i="35" s="1"/>
  <c r="B58" i="35"/>
  <c r="A58" i="35"/>
  <c r="AE57" i="35"/>
  <c r="Y57" i="35"/>
  <c r="Z57" i="35" s="1"/>
  <c r="W57" i="35"/>
  <c r="B57" i="35"/>
  <c r="A57" i="35"/>
  <c r="AE56" i="35"/>
  <c r="Y56" i="35"/>
  <c r="Z56" i="35" s="1"/>
  <c r="W56" i="35"/>
  <c r="B56" i="35"/>
  <c r="A56" i="35"/>
  <c r="AE55" i="35"/>
  <c r="Y55" i="35"/>
  <c r="Z55" i="35" s="1"/>
  <c r="W55" i="35"/>
  <c r="X55" i="35" s="1"/>
  <c r="K55" i="35"/>
  <c r="L55" i="35" s="1"/>
  <c r="B55" i="35"/>
  <c r="A55" i="35"/>
  <c r="AE54" i="35"/>
  <c r="Y54" i="35"/>
  <c r="Z54" i="35" s="1"/>
  <c r="W54" i="35"/>
  <c r="B54" i="35"/>
  <c r="A54" i="35"/>
  <c r="AE53" i="35"/>
  <c r="U53" i="35"/>
  <c r="S53" i="35"/>
  <c r="P53" i="35"/>
  <c r="Q53" i="35" s="1"/>
  <c r="N53" i="35"/>
  <c r="O53" i="35" s="1"/>
  <c r="K53" i="35"/>
  <c r="L53" i="35" s="1"/>
  <c r="F53" i="35"/>
  <c r="G53" i="35" s="1"/>
  <c r="D53" i="35"/>
  <c r="E53" i="35" s="1"/>
  <c r="B53" i="35"/>
  <c r="A53" i="35"/>
  <c r="M53" i="35" s="1"/>
  <c r="AE52" i="35"/>
  <c r="U52" i="35"/>
  <c r="S52" i="35"/>
  <c r="P52" i="35"/>
  <c r="Q52" i="35" s="1"/>
  <c r="N52" i="35"/>
  <c r="O52" i="35" s="1"/>
  <c r="K52" i="35"/>
  <c r="L52" i="35" s="1"/>
  <c r="F52" i="35"/>
  <c r="G52" i="35" s="1"/>
  <c r="D52" i="35"/>
  <c r="E52" i="35" s="1"/>
  <c r="B52" i="35"/>
  <c r="A52" i="35"/>
  <c r="M52" i="35" s="1"/>
  <c r="AE51" i="35"/>
  <c r="U51" i="35"/>
  <c r="S51" i="35"/>
  <c r="P51" i="35"/>
  <c r="Q51" i="35" s="1"/>
  <c r="N51" i="35"/>
  <c r="O51" i="35" s="1"/>
  <c r="K51" i="35"/>
  <c r="L51" i="35" s="1"/>
  <c r="F51" i="35"/>
  <c r="G51" i="35" s="1"/>
  <c r="D51" i="35"/>
  <c r="E51" i="35" s="1"/>
  <c r="B51" i="35"/>
  <c r="A51" i="35"/>
  <c r="M51" i="35" s="1"/>
  <c r="AE50" i="35"/>
  <c r="U50" i="35"/>
  <c r="S50" i="35"/>
  <c r="P50" i="35"/>
  <c r="Q50" i="35" s="1"/>
  <c r="N50" i="35"/>
  <c r="O50" i="35" s="1"/>
  <c r="K50" i="35"/>
  <c r="F50" i="35"/>
  <c r="G50" i="35" s="1"/>
  <c r="D50" i="35"/>
  <c r="E50" i="35" s="1"/>
  <c r="B50" i="35"/>
  <c r="A50" i="35"/>
  <c r="M50" i="35" s="1"/>
  <c r="AE49" i="35"/>
  <c r="Y49" i="35"/>
  <c r="Z49" i="35" s="1"/>
  <c r="W49" i="35"/>
  <c r="B49" i="35"/>
  <c r="A49" i="35"/>
  <c r="AE48" i="35"/>
  <c r="Y48" i="35"/>
  <c r="Z48" i="35" s="1"/>
  <c r="W48" i="35"/>
  <c r="B48" i="35"/>
  <c r="A48" i="35"/>
  <c r="AE47" i="35"/>
  <c r="Y47" i="35"/>
  <c r="Z47" i="35" s="1"/>
  <c r="W47" i="35"/>
  <c r="B47" i="35"/>
  <c r="A47" i="35"/>
  <c r="AE46" i="35"/>
  <c r="Y46" i="35"/>
  <c r="Z46" i="35" s="1"/>
  <c r="W46" i="35"/>
  <c r="K46" i="35"/>
  <c r="L46" i="35" s="1"/>
  <c r="B46" i="35"/>
  <c r="A46" i="35"/>
  <c r="AE45" i="35"/>
  <c r="Y45" i="35"/>
  <c r="Z45" i="35" s="1"/>
  <c r="W45" i="35"/>
  <c r="X45" i="35" s="1"/>
  <c r="B45" i="35"/>
  <c r="A45" i="35"/>
  <c r="AE44" i="35"/>
  <c r="U44" i="35"/>
  <c r="S44" i="35"/>
  <c r="P44" i="35"/>
  <c r="Q44" i="35" s="1"/>
  <c r="N44" i="35"/>
  <c r="O44" i="35" s="1"/>
  <c r="K44" i="35"/>
  <c r="L44" i="35" s="1"/>
  <c r="F44" i="35"/>
  <c r="G44" i="35" s="1"/>
  <c r="D44" i="35"/>
  <c r="E44" i="35" s="1"/>
  <c r="B44" i="35"/>
  <c r="A44" i="35"/>
  <c r="M44" i="35" s="1"/>
  <c r="AE43" i="35"/>
  <c r="U43" i="35"/>
  <c r="S43" i="35"/>
  <c r="P43" i="35"/>
  <c r="Q43" i="35" s="1"/>
  <c r="N43" i="35"/>
  <c r="O43" i="35" s="1"/>
  <c r="K43" i="35"/>
  <c r="L43" i="35" s="1"/>
  <c r="F43" i="35"/>
  <c r="G43" i="35" s="1"/>
  <c r="D43" i="35"/>
  <c r="E43" i="35" s="1"/>
  <c r="B43" i="35"/>
  <c r="A43" i="35"/>
  <c r="M43" i="35" s="1"/>
  <c r="AE42" i="35"/>
  <c r="U42" i="35"/>
  <c r="S42" i="35"/>
  <c r="P42" i="35"/>
  <c r="Q42" i="35" s="1"/>
  <c r="N42" i="35"/>
  <c r="O42" i="35" s="1"/>
  <c r="K42" i="35"/>
  <c r="L42" i="35" s="1"/>
  <c r="F42" i="35"/>
  <c r="G42" i="35" s="1"/>
  <c r="D42" i="35"/>
  <c r="E42" i="35" s="1"/>
  <c r="B42" i="35"/>
  <c r="A42" i="35"/>
  <c r="M42" i="35" s="1"/>
  <c r="AE41" i="35"/>
  <c r="U41" i="35"/>
  <c r="S41" i="35"/>
  <c r="P41" i="35"/>
  <c r="Q41" i="35" s="1"/>
  <c r="N41" i="35"/>
  <c r="O41" i="35" s="1"/>
  <c r="K41" i="35"/>
  <c r="L41" i="35" s="1"/>
  <c r="F41" i="35"/>
  <c r="G41" i="35" s="1"/>
  <c r="D41" i="35"/>
  <c r="E41" i="35" s="1"/>
  <c r="B41" i="35"/>
  <c r="A41" i="35"/>
  <c r="M41" i="35" s="1"/>
  <c r="AE40" i="35"/>
  <c r="Y40" i="35"/>
  <c r="Z40" i="35" s="1"/>
  <c r="W40" i="35"/>
  <c r="B40" i="35"/>
  <c r="A40" i="35"/>
  <c r="AE39" i="35"/>
  <c r="Y39" i="35"/>
  <c r="Z39" i="35" s="1"/>
  <c r="W39" i="35"/>
  <c r="B39" i="35"/>
  <c r="A39" i="35"/>
  <c r="AE38" i="35"/>
  <c r="Y38" i="35"/>
  <c r="Z38" i="35" s="1"/>
  <c r="W38" i="35"/>
  <c r="B38" i="35"/>
  <c r="A38" i="35"/>
  <c r="AE37" i="35"/>
  <c r="Y37" i="35"/>
  <c r="Z37" i="35" s="1"/>
  <c r="W37" i="35"/>
  <c r="X37" i="35" s="1"/>
  <c r="K37" i="35"/>
  <c r="L37" i="35" s="1"/>
  <c r="B37" i="35"/>
  <c r="A37" i="35"/>
  <c r="AE36" i="35"/>
  <c r="Y36" i="35"/>
  <c r="Z36" i="35" s="1"/>
  <c r="W36" i="35"/>
  <c r="B36" i="35"/>
  <c r="A36" i="35"/>
  <c r="AE35" i="35"/>
  <c r="U35" i="35"/>
  <c r="S35" i="35"/>
  <c r="P35" i="35"/>
  <c r="Q35" i="35" s="1"/>
  <c r="N35" i="35"/>
  <c r="O35" i="35" s="1"/>
  <c r="K35" i="35"/>
  <c r="L35" i="35" s="1"/>
  <c r="F35" i="35"/>
  <c r="G35" i="35" s="1"/>
  <c r="D35" i="35"/>
  <c r="E35" i="35" s="1"/>
  <c r="B35" i="35"/>
  <c r="A35" i="35"/>
  <c r="M35" i="35" s="1"/>
  <c r="AE34" i="35"/>
  <c r="U34" i="35"/>
  <c r="S34" i="35"/>
  <c r="P34" i="35"/>
  <c r="Q34" i="35" s="1"/>
  <c r="N34" i="35"/>
  <c r="O34" i="35" s="1"/>
  <c r="K34" i="35"/>
  <c r="L34" i="35" s="1"/>
  <c r="F34" i="35"/>
  <c r="G34" i="35" s="1"/>
  <c r="D34" i="35"/>
  <c r="E34" i="35" s="1"/>
  <c r="B34" i="35"/>
  <c r="A34" i="35"/>
  <c r="M34" i="35" s="1"/>
  <c r="AE33" i="35"/>
  <c r="U33" i="35"/>
  <c r="S33" i="35"/>
  <c r="P33" i="35"/>
  <c r="Q33" i="35" s="1"/>
  <c r="N33" i="35"/>
  <c r="O33" i="35" s="1"/>
  <c r="K33" i="35"/>
  <c r="L33" i="35" s="1"/>
  <c r="F33" i="35"/>
  <c r="G33" i="35" s="1"/>
  <c r="D33" i="35"/>
  <c r="E33" i="35" s="1"/>
  <c r="B33" i="35"/>
  <c r="A33" i="35"/>
  <c r="M33" i="35" s="1"/>
  <c r="AE32" i="35"/>
  <c r="U32" i="35"/>
  <c r="S32" i="35"/>
  <c r="P32" i="35"/>
  <c r="Q32" i="35" s="1"/>
  <c r="N32" i="35"/>
  <c r="O32" i="35" s="1"/>
  <c r="K32" i="35"/>
  <c r="L32" i="35" s="1"/>
  <c r="F32" i="35"/>
  <c r="G32" i="35" s="1"/>
  <c r="D32" i="35"/>
  <c r="E32" i="35" s="1"/>
  <c r="B32" i="35"/>
  <c r="A32" i="35"/>
  <c r="M32" i="35" s="1"/>
  <c r="AE31" i="35"/>
  <c r="Y31" i="35"/>
  <c r="Z31" i="35" s="1"/>
  <c r="W31" i="35"/>
  <c r="X31" i="35" s="1"/>
  <c r="B31" i="35"/>
  <c r="A31" i="35"/>
  <c r="AE30" i="35"/>
  <c r="Y30" i="35"/>
  <c r="Z30" i="35" s="1"/>
  <c r="W30" i="35"/>
  <c r="B30" i="35"/>
  <c r="A30" i="35"/>
  <c r="AE29" i="35"/>
  <c r="Y29" i="35"/>
  <c r="Z29" i="35" s="1"/>
  <c r="W29" i="35"/>
  <c r="X29" i="35" s="1"/>
  <c r="B29" i="35"/>
  <c r="A29" i="35"/>
  <c r="AE28" i="35"/>
  <c r="Y28" i="35"/>
  <c r="Z28" i="35" s="1"/>
  <c r="W28" i="35"/>
  <c r="K28" i="35"/>
  <c r="L28" i="35" s="1"/>
  <c r="B28" i="35"/>
  <c r="A28" i="35"/>
  <c r="AE27" i="35"/>
  <c r="Y27" i="35"/>
  <c r="Z27" i="35" s="1"/>
  <c r="W27" i="35"/>
  <c r="B27" i="35"/>
  <c r="A27" i="35"/>
  <c r="AE26" i="35"/>
  <c r="U26" i="35"/>
  <c r="S26" i="35"/>
  <c r="P26" i="35"/>
  <c r="Q26" i="35" s="1"/>
  <c r="N26" i="35"/>
  <c r="O26" i="35" s="1"/>
  <c r="K26" i="35"/>
  <c r="L26" i="35" s="1"/>
  <c r="F26" i="35"/>
  <c r="G26" i="35" s="1"/>
  <c r="D26" i="35"/>
  <c r="E26" i="35" s="1"/>
  <c r="B26" i="35"/>
  <c r="A26" i="35"/>
  <c r="M26" i="35" s="1"/>
  <c r="AE25" i="35"/>
  <c r="U25" i="35"/>
  <c r="S25" i="35"/>
  <c r="P25" i="35"/>
  <c r="Q25" i="35" s="1"/>
  <c r="N25" i="35"/>
  <c r="O25" i="35" s="1"/>
  <c r="K25" i="35"/>
  <c r="L25" i="35" s="1"/>
  <c r="F25" i="35"/>
  <c r="G25" i="35" s="1"/>
  <c r="D25" i="35"/>
  <c r="E25" i="35" s="1"/>
  <c r="B25" i="35"/>
  <c r="A25" i="35"/>
  <c r="M25" i="35" s="1"/>
  <c r="AE24" i="35"/>
  <c r="U24" i="35"/>
  <c r="S24" i="35"/>
  <c r="P24" i="35"/>
  <c r="Q24" i="35" s="1"/>
  <c r="N24" i="35"/>
  <c r="O24" i="35" s="1"/>
  <c r="K24" i="35"/>
  <c r="L24" i="35" s="1"/>
  <c r="F24" i="35"/>
  <c r="G24" i="35" s="1"/>
  <c r="D24" i="35"/>
  <c r="E24" i="35" s="1"/>
  <c r="B24" i="35"/>
  <c r="A24" i="35"/>
  <c r="M24" i="35" s="1"/>
  <c r="AE23" i="35"/>
  <c r="U23" i="35"/>
  <c r="S23" i="35"/>
  <c r="P23" i="35"/>
  <c r="Q23" i="35" s="1"/>
  <c r="N23" i="35"/>
  <c r="O23" i="35" s="1"/>
  <c r="K23" i="35"/>
  <c r="L23" i="35" s="1"/>
  <c r="F23" i="35"/>
  <c r="G23" i="35" s="1"/>
  <c r="D23" i="35"/>
  <c r="E23" i="35" s="1"/>
  <c r="B23" i="35"/>
  <c r="A23" i="35"/>
  <c r="M23" i="35" s="1"/>
  <c r="AE22" i="35"/>
  <c r="Y22" i="35"/>
  <c r="Z22" i="35" s="1"/>
  <c r="W22" i="35"/>
  <c r="X22" i="35" s="1"/>
  <c r="B22" i="35"/>
  <c r="A22" i="35"/>
  <c r="AE21" i="35"/>
  <c r="Y21" i="35"/>
  <c r="Z21" i="35" s="1"/>
  <c r="W21" i="35"/>
  <c r="B21" i="35"/>
  <c r="A21" i="35"/>
  <c r="AE20" i="35"/>
  <c r="Y20" i="35"/>
  <c r="Z20" i="35" s="1"/>
  <c r="W20" i="35"/>
  <c r="B20" i="35"/>
  <c r="A20" i="35"/>
  <c r="AE19" i="35"/>
  <c r="Y19" i="35"/>
  <c r="Z19" i="35" s="1"/>
  <c r="W19" i="35"/>
  <c r="X19" i="35" s="1"/>
  <c r="K19" i="35"/>
  <c r="L19" i="35" s="1"/>
  <c r="B19" i="35"/>
  <c r="A19" i="35"/>
  <c r="AE18" i="35"/>
  <c r="Y18" i="35"/>
  <c r="Z18" i="35" s="1"/>
  <c r="W18" i="35"/>
  <c r="X18" i="35" s="1"/>
  <c r="B18" i="35"/>
  <c r="A18" i="35"/>
  <c r="AE17" i="35"/>
  <c r="U17" i="35"/>
  <c r="S17" i="35"/>
  <c r="P17" i="35"/>
  <c r="Q17" i="35" s="1"/>
  <c r="N17" i="35"/>
  <c r="O17" i="35" s="1"/>
  <c r="K17" i="35"/>
  <c r="L17" i="35" s="1"/>
  <c r="F17" i="35"/>
  <c r="G17" i="35" s="1"/>
  <c r="D17" i="35"/>
  <c r="E17" i="35" s="1"/>
  <c r="B17" i="35"/>
  <c r="A17" i="35"/>
  <c r="M17" i="35" s="1"/>
  <c r="AE16" i="35"/>
  <c r="U16" i="35"/>
  <c r="S16" i="35"/>
  <c r="P16" i="35"/>
  <c r="Q16" i="35" s="1"/>
  <c r="N16" i="35"/>
  <c r="O16" i="35" s="1"/>
  <c r="K16" i="35"/>
  <c r="L16" i="35" s="1"/>
  <c r="F16" i="35"/>
  <c r="G16" i="35" s="1"/>
  <c r="D16" i="35"/>
  <c r="E16" i="35" s="1"/>
  <c r="B16" i="35"/>
  <c r="A16" i="35"/>
  <c r="M16" i="35" s="1"/>
  <c r="AE15" i="35"/>
  <c r="U15" i="35"/>
  <c r="S15" i="35"/>
  <c r="P15" i="35"/>
  <c r="Q15" i="35" s="1"/>
  <c r="N15" i="35"/>
  <c r="O15" i="35" s="1"/>
  <c r="K15" i="35"/>
  <c r="L15" i="35" s="1"/>
  <c r="F15" i="35"/>
  <c r="G15" i="35" s="1"/>
  <c r="D15" i="35"/>
  <c r="E15" i="35" s="1"/>
  <c r="B15" i="35"/>
  <c r="A15" i="35"/>
  <c r="M15" i="35" s="1"/>
  <c r="AE14" i="35"/>
  <c r="U14" i="35"/>
  <c r="S14" i="35"/>
  <c r="P14" i="35"/>
  <c r="Q14" i="35" s="1"/>
  <c r="N14" i="35"/>
  <c r="O14" i="35" s="1"/>
  <c r="K14" i="35"/>
  <c r="F14" i="35"/>
  <c r="G14" i="35" s="1"/>
  <c r="D14" i="35"/>
  <c r="E14" i="35" s="1"/>
  <c r="B14" i="35"/>
  <c r="A14" i="35"/>
  <c r="M14" i="35" s="1"/>
  <c r="Y742" i="34"/>
  <c r="Z742" i="34" s="1"/>
  <c r="W742" i="34"/>
  <c r="B742" i="34"/>
  <c r="A742" i="34"/>
  <c r="Y741" i="34"/>
  <c r="W741" i="34"/>
  <c r="X741" i="34" s="1"/>
  <c r="B741" i="34"/>
  <c r="A741" i="34"/>
  <c r="Y740" i="34"/>
  <c r="Z740" i="34" s="1"/>
  <c r="W740" i="34"/>
  <c r="B740" i="34"/>
  <c r="A740" i="34"/>
  <c r="Y739" i="34"/>
  <c r="Z739" i="34" s="1"/>
  <c r="W739" i="34"/>
  <c r="X739" i="34" s="1"/>
  <c r="K739" i="34"/>
  <c r="L739" i="34" s="1"/>
  <c r="B739" i="34"/>
  <c r="A739" i="34"/>
  <c r="Y738" i="34"/>
  <c r="Z738" i="34" s="1"/>
  <c r="W738" i="34"/>
  <c r="X738" i="34" s="1"/>
  <c r="B738" i="34"/>
  <c r="A738" i="34"/>
  <c r="U737" i="34"/>
  <c r="S737" i="34"/>
  <c r="P737" i="34"/>
  <c r="Q737" i="34" s="1"/>
  <c r="N737" i="34"/>
  <c r="O737" i="34" s="1"/>
  <c r="K737" i="34"/>
  <c r="L737" i="34" s="1"/>
  <c r="F737" i="34"/>
  <c r="G737" i="34" s="1"/>
  <c r="D737" i="34"/>
  <c r="E737" i="34" s="1"/>
  <c r="B737" i="34"/>
  <c r="A737" i="34"/>
  <c r="M737" i="34" s="1"/>
  <c r="U736" i="34"/>
  <c r="S736" i="34"/>
  <c r="P736" i="34"/>
  <c r="Q736" i="34" s="1"/>
  <c r="N736" i="34"/>
  <c r="O736" i="34" s="1"/>
  <c r="K736" i="34"/>
  <c r="L736" i="34" s="1"/>
  <c r="F736" i="34"/>
  <c r="G736" i="34" s="1"/>
  <c r="D736" i="34"/>
  <c r="E736" i="34" s="1"/>
  <c r="B736" i="34"/>
  <c r="A736" i="34"/>
  <c r="M736" i="34" s="1"/>
  <c r="U735" i="34"/>
  <c r="S735" i="34"/>
  <c r="P735" i="34"/>
  <c r="Q735" i="34" s="1"/>
  <c r="N735" i="34"/>
  <c r="O735" i="34" s="1"/>
  <c r="K735" i="34"/>
  <c r="L735" i="34" s="1"/>
  <c r="F735" i="34"/>
  <c r="G735" i="34" s="1"/>
  <c r="D735" i="34"/>
  <c r="E735" i="34" s="1"/>
  <c r="B735" i="34"/>
  <c r="A735" i="34"/>
  <c r="M735" i="34" s="1"/>
  <c r="U734" i="34"/>
  <c r="S734" i="34"/>
  <c r="P734" i="34"/>
  <c r="Q734" i="34" s="1"/>
  <c r="N734" i="34"/>
  <c r="O734" i="34" s="1"/>
  <c r="K734" i="34"/>
  <c r="L734" i="34" s="1"/>
  <c r="F734" i="34"/>
  <c r="G734" i="34" s="1"/>
  <c r="D734" i="34"/>
  <c r="E734" i="34" s="1"/>
  <c r="B734" i="34"/>
  <c r="A734" i="34"/>
  <c r="M734" i="34" s="1"/>
  <c r="Y733" i="34"/>
  <c r="Z733" i="34" s="1"/>
  <c r="W733" i="34"/>
  <c r="B733" i="34"/>
  <c r="A733" i="34"/>
  <c r="Y732" i="34"/>
  <c r="Z732" i="34" s="1"/>
  <c r="W732" i="34"/>
  <c r="X732" i="34" s="1"/>
  <c r="B732" i="34"/>
  <c r="A732" i="34"/>
  <c r="Y731" i="34"/>
  <c r="Z731" i="34" s="1"/>
  <c r="W731" i="34"/>
  <c r="B731" i="34"/>
  <c r="A731" i="34"/>
  <c r="Y730" i="34"/>
  <c r="Z730" i="34" s="1"/>
  <c r="W730" i="34"/>
  <c r="X730" i="34" s="1"/>
  <c r="K730" i="34"/>
  <c r="L730" i="34" s="1"/>
  <c r="B730" i="34"/>
  <c r="A730" i="34"/>
  <c r="Y729" i="34"/>
  <c r="Z729" i="34" s="1"/>
  <c r="W729" i="34"/>
  <c r="X729" i="34" s="1"/>
  <c r="B729" i="34"/>
  <c r="A729" i="34"/>
  <c r="U728" i="34"/>
  <c r="S728" i="34"/>
  <c r="P728" i="34"/>
  <c r="Q728" i="34" s="1"/>
  <c r="N728" i="34"/>
  <c r="O728" i="34" s="1"/>
  <c r="K728" i="34"/>
  <c r="L728" i="34" s="1"/>
  <c r="F728" i="34"/>
  <c r="G728" i="34" s="1"/>
  <c r="D728" i="34"/>
  <c r="E728" i="34" s="1"/>
  <c r="B728" i="34"/>
  <c r="A728" i="34"/>
  <c r="M728" i="34" s="1"/>
  <c r="U727" i="34"/>
  <c r="S727" i="34"/>
  <c r="P727" i="34"/>
  <c r="Q727" i="34" s="1"/>
  <c r="N727" i="34"/>
  <c r="O727" i="34" s="1"/>
  <c r="K727" i="34"/>
  <c r="L727" i="34" s="1"/>
  <c r="F727" i="34"/>
  <c r="G727" i="34" s="1"/>
  <c r="D727" i="34"/>
  <c r="E727" i="34" s="1"/>
  <c r="B727" i="34"/>
  <c r="A727" i="34"/>
  <c r="M727" i="34" s="1"/>
  <c r="U726" i="34"/>
  <c r="S726" i="34"/>
  <c r="P726" i="34"/>
  <c r="Q726" i="34" s="1"/>
  <c r="N726" i="34"/>
  <c r="O726" i="34" s="1"/>
  <c r="K726" i="34"/>
  <c r="L726" i="34" s="1"/>
  <c r="F726" i="34"/>
  <c r="G726" i="34" s="1"/>
  <c r="D726" i="34"/>
  <c r="E726" i="34" s="1"/>
  <c r="B726" i="34"/>
  <c r="A726" i="34"/>
  <c r="M726" i="34" s="1"/>
  <c r="U725" i="34"/>
  <c r="S725" i="34"/>
  <c r="P725" i="34"/>
  <c r="Q725" i="34" s="1"/>
  <c r="N725" i="34"/>
  <c r="O725" i="34" s="1"/>
  <c r="K725" i="34"/>
  <c r="L725" i="34" s="1"/>
  <c r="F725" i="34"/>
  <c r="G725" i="34" s="1"/>
  <c r="D725" i="34"/>
  <c r="E725" i="34" s="1"/>
  <c r="B725" i="34"/>
  <c r="A725" i="34"/>
  <c r="M725" i="34" s="1"/>
  <c r="Y724" i="34"/>
  <c r="Z724" i="34" s="1"/>
  <c r="W724" i="34"/>
  <c r="B724" i="34"/>
  <c r="A724" i="34"/>
  <c r="Y723" i="34"/>
  <c r="Z723" i="34" s="1"/>
  <c r="W723" i="34"/>
  <c r="X723" i="34" s="1"/>
  <c r="B723" i="34"/>
  <c r="A723" i="34"/>
  <c r="Y722" i="34"/>
  <c r="Z722" i="34" s="1"/>
  <c r="W722" i="34"/>
  <c r="X722" i="34" s="1"/>
  <c r="B722" i="34"/>
  <c r="A722" i="34"/>
  <c r="Y721" i="34"/>
  <c r="Z721" i="34" s="1"/>
  <c r="W721" i="34"/>
  <c r="X721" i="34" s="1"/>
  <c r="K721" i="34"/>
  <c r="L721" i="34" s="1"/>
  <c r="B721" i="34"/>
  <c r="A721" i="34"/>
  <c r="Y720" i="34"/>
  <c r="Z720" i="34" s="1"/>
  <c r="W720" i="34"/>
  <c r="X720" i="34" s="1"/>
  <c r="B720" i="34"/>
  <c r="A720" i="34"/>
  <c r="U719" i="34"/>
  <c r="S719" i="34"/>
  <c r="P719" i="34"/>
  <c r="Q719" i="34" s="1"/>
  <c r="N719" i="34"/>
  <c r="O719" i="34" s="1"/>
  <c r="K719" i="34"/>
  <c r="L719" i="34" s="1"/>
  <c r="F719" i="34"/>
  <c r="G719" i="34" s="1"/>
  <c r="D719" i="34"/>
  <c r="E719" i="34" s="1"/>
  <c r="B719" i="34"/>
  <c r="A719" i="34"/>
  <c r="M719" i="34" s="1"/>
  <c r="U718" i="34"/>
  <c r="S718" i="34"/>
  <c r="P718" i="34"/>
  <c r="Q718" i="34" s="1"/>
  <c r="N718" i="34"/>
  <c r="O718" i="34" s="1"/>
  <c r="K718" i="34"/>
  <c r="L718" i="34" s="1"/>
  <c r="F718" i="34"/>
  <c r="G718" i="34" s="1"/>
  <c r="D718" i="34"/>
  <c r="E718" i="34" s="1"/>
  <c r="B718" i="34"/>
  <c r="A718" i="34"/>
  <c r="M718" i="34" s="1"/>
  <c r="U717" i="34"/>
  <c r="S717" i="34"/>
  <c r="P717" i="34"/>
  <c r="Q717" i="34" s="1"/>
  <c r="N717" i="34"/>
  <c r="O717" i="34" s="1"/>
  <c r="K717" i="34"/>
  <c r="F717" i="34"/>
  <c r="G717" i="34" s="1"/>
  <c r="D717" i="34"/>
  <c r="E717" i="34" s="1"/>
  <c r="B717" i="34"/>
  <c r="A717" i="34"/>
  <c r="M717" i="34" s="1"/>
  <c r="U716" i="34"/>
  <c r="S716" i="34"/>
  <c r="P716" i="34"/>
  <c r="Q716" i="34" s="1"/>
  <c r="N716" i="34"/>
  <c r="O716" i="34" s="1"/>
  <c r="K716" i="34"/>
  <c r="L716" i="34" s="1"/>
  <c r="F716" i="34"/>
  <c r="G716" i="34" s="1"/>
  <c r="D716" i="34"/>
  <c r="E716" i="34" s="1"/>
  <c r="B716" i="34"/>
  <c r="A716" i="34"/>
  <c r="M716" i="34" s="1"/>
  <c r="Y715" i="34"/>
  <c r="Z715" i="34" s="1"/>
  <c r="W715" i="34"/>
  <c r="B715" i="34"/>
  <c r="A715" i="34"/>
  <c r="Y714" i="34"/>
  <c r="Z714" i="34" s="1"/>
  <c r="W714" i="34"/>
  <c r="X714" i="34" s="1"/>
  <c r="B714" i="34"/>
  <c r="A714" i="34"/>
  <c r="Y713" i="34"/>
  <c r="Z713" i="34" s="1"/>
  <c r="W713" i="34"/>
  <c r="B713" i="34"/>
  <c r="A713" i="34"/>
  <c r="Y712" i="34"/>
  <c r="Z712" i="34" s="1"/>
  <c r="W712" i="34"/>
  <c r="X712" i="34" s="1"/>
  <c r="K712" i="34"/>
  <c r="L712" i="34" s="1"/>
  <c r="B712" i="34"/>
  <c r="A712" i="34"/>
  <c r="Y711" i="34"/>
  <c r="Z711" i="34" s="1"/>
  <c r="W711" i="34"/>
  <c r="X711" i="34" s="1"/>
  <c r="B711" i="34"/>
  <c r="A711" i="34"/>
  <c r="U710" i="34"/>
  <c r="S710" i="34"/>
  <c r="P710" i="34"/>
  <c r="Q710" i="34" s="1"/>
  <c r="N710" i="34"/>
  <c r="O710" i="34" s="1"/>
  <c r="K710" i="34"/>
  <c r="F710" i="34"/>
  <c r="G710" i="34" s="1"/>
  <c r="D710" i="34"/>
  <c r="E710" i="34" s="1"/>
  <c r="B710" i="34"/>
  <c r="A710" i="34"/>
  <c r="M710" i="34" s="1"/>
  <c r="U709" i="34"/>
  <c r="S709" i="34"/>
  <c r="P709" i="34"/>
  <c r="Q709" i="34" s="1"/>
  <c r="N709" i="34"/>
  <c r="O709" i="34" s="1"/>
  <c r="K709" i="34"/>
  <c r="L709" i="34" s="1"/>
  <c r="F709" i="34"/>
  <c r="G709" i="34" s="1"/>
  <c r="D709" i="34"/>
  <c r="E709" i="34" s="1"/>
  <c r="B709" i="34"/>
  <c r="A709" i="34"/>
  <c r="M709" i="34" s="1"/>
  <c r="U708" i="34"/>
  <c r="S708" i="34"/>
  <c r="P708" i="34"/>
  <c r="Q708" i="34" s="1"/>
  <c r="N708" i="34"/>
  <c r="O708" i="34" s="1"/>
  <c r="K708" i="34"/>
  <c r="L708" i="34" s="1"/>
  <c r="F708" i="34"/>
  <c r="G708" i="34" s="1"/>
  <c r="D708" i="34"/>
  <c r="E708" i="34" s="1"/>
  <c r="B708" i="34"/>
  <c r="A708" i="34"/>
  <c r="M708" i="34" s="1"/>
  <c r="U707" i="34"/>
  <c r="S707" i="34"/>
  <c r="P707" i="34"/>
  <c r="Q707" i="34" s="1"/>
  <c r="N707" i="34"/>
  <c r="O707" i="34" s="1"/>
  <c r="K707" i="34"/>
  <c r="L707" i="34" s="1"/>
  <c r="F707" i="34"/>
  <c r="G707" i="34" s="1"/>
  <c r="D707" i="34"/>
  <c r="E707" i="34" s="1"/>
  <c r="B707" i="34"/>
  <c r="A707" i="34"/>
  <c r="M707" i="34" s="1"/>
  <c r="Y706" i="34"/>
  <c r="Z706" i="34" s="1"/>
  <c r="W706" i="34"/>
  <c r="B706" i="34"/>
  <c r="A706" i="34"/>
  <c r="Y705" i="34"/>
  <c r="Z705" i="34" s="1"/>
  <c r="W705" i="34"/>
  <c r="X705" i="34" s="1"/>
  <c r="B705" i="34"/>
  <c r="A705" i="34"/>
  <c r="Y704" i="34"/>
  <c r="Z704" i="34" s="1"/>
  <c r="W704" i="34"/>
  <c r="B704" i="34"/>
  <c r="A704" i="34"/>
  <c r="Y703" i="34"/>
  <c r="Z703" i="34" s="1"/>
  <c r="W703" i="34"/>
  <c r="X703" i="34" s="1"/>
  <c r="K703" i="34"/>
  <c r="L703" i="34" s="1"/>
  <c r="B703" i="34"/>
  <c r="A703" i="34"/>
  <c r="Y702" i="34"/>
  <c r="Z702" i="34" s="1"/>
  <c r="W702" i="34"/>
  <c r="B702" i="34"/>
  <c r="A702" i="34"/>
  <c r="U701" i="34"/>
  <c r="S701" i="34"/>
  <c r="P701" i="34"/>
  <c r="Q701" i="34" s="1"/>
  <c r="N701" i="34"/>
  <c r="O701" i="34" s="1"/>
  <c r="K701" i="34"/>
  <c r="L701" i="34" s="1"/>
  <c r="F701" i="34"/>
  <c r="G701" i="34" s="1"/>
  <c r="D701" i="34"/>
  <c r="E701" i="34" s="1"/>
  <c r="B701" i="34"/>
  <c r="A701" i="34"/>
  <c r="M701" i="34" s="1"/>
  <c r="U700" i="34"/>
  <c r="S700" i="34"/>
  <c r="P700" i="34"/>
  <c r="Q700" i="34" s="1"/>
  <c r="N700" i="34"/>
  <c r="O700" i="34" s="1"/>
  <c r="K700" i="34"/>
  <c r="L700" i="34" s="1"/>
  <c r="F700" i="34"/>
  <c r="G700" i="34" s="1"/>
  <c r="D700" i="34"/>
  <c r="E700" i="34" s="1"/>
  <c r="B700" i="34"/>
  <c r="A700" i="34"/>
  <c r="M700" i="34" s="1"/>
  <c r="U699" i="34"/>
  <c r="S699" i="34"/>
  <c r="P699" i="34"/>
  <c r="Q699" i="34" s="1"/>
  <c r="N699" i="34"/>
  <c r="O699" i="34" s="1"/>
  <c r="K699" i="34"/>
  <c r="L699" i="34" s="1"/>
  <c r="F699" i="34"/>
  <c r="G699" i="34" s="1"/>
  <c r="D699" i="34"/>
  <c r="E699" i="34" s="1"/>
  <c r="B699" i="34"/>
  <c r="A699" i="34"/>
  <c r="M699" i="34" s="1"/>
  <c r="U698" i="34"/>
  <c r="S698" i="34"/>
  <c r="P698" i="34"/>
  <c r="Q698" i="34" s="1"/>
  <c r="N698" i="34"/>
  <c r="O698" i="34" s="1"/>
  <c r="K698" i="34"/>
  <c r="L698" i="34" s="1"/>
  <c r="F698" i="34"/>
  <c r="G698" i="34" s="1"/>
  <c r="D698" i="34"/>
  <c r="E698" i="34" s="1"/>
  <c r="B698" i="34"/>
  <c r="A698" i="34"/>
  <c r="M698" i="34" s="1"/>
  <c r="Y697" i="34"/>
  <c r="Z697" i="34" s="1"/>
  <c r="W697" i="34"/>
  <c r="B697" i="34"/>
  <c r="A697" i="34"/>
  <c r="Y696" i="34"/>
  <c r="Z696" i="34" s="1"/>
  <c r="W696" i="34"/>
  <c r="B696" i="34"/>
  <c r="A696" i="34"/>
  <c r="Y695" i="34"/>
  <c r="Z695" i="34" s="1"/>
  <c r="W695" i="34"/>
  <c r="B695" i="34"/>
  <c r="A695" i="34"/>
  <c r="Y694" i="34"/>
  <c r="Z694" i="34" s="1"/>
  <c r="W694" i="34"/>
  <c r="K694" i="34"/>
  <c r="L694" i="34" s="1"/>
  <c r="B694" i="34"/>
  <c r="A694" i="34"/>
  <c r="Y693" i="34"/>
  <c r="Z693" i="34" s="1"/>
  <c r="W693" i="34"/>
  <c r="X693" i="34" s="1"/>
  <c r="B693" i="34"/>
  <c r="A693" i="34"/>
  <c r="U692" i="34"/>
  <c r="S692" i="34"/>
  <c r="P692" i="34"/>
  <c r="Q692" i="34" s="1"/>
  <c r="N692" i="34"/>
  <c r="O692" i="34" s="1"/>
  <c r="K692" i="34"/>
  <c r="L692" i="34" s="1"/>
  <c r="F692" i="34"/>
  <c r="G692" i="34" s="1"/>
  <c r="D692" i="34"/>
  <c r="E692" i="34" s="1"/>
  <c r="B692" i="34"/>
  <c r="A692" i="34"/>
  <c r="M692" i="34" s="1"/>
  <c r="U691" i="34"/>
  <c r="S691" i="34"/>
  <c r="P691" i="34"/>
  <c r="Q691" i="34" s="1"/>
  <c r="N691" i="34"/>
  <c r="O691" i="34" s="1"/>
  <c r="K691" i="34"/>
  <c r="L691" i="34" s="1"/>
  <c r="F691" i="34"/>
  <c r="G691" i="34" s="1"/>
  <c r="D691" i="34"/>
  <c r="E691" i="34" s="1"/>
  <c r="B691" i="34"/>
  <c r="A691" i="34"/>
  <c r="M691" i="34" s="1"/>
  <c r="U690" i="34"/>
  <c r="S690" i="34"/>
  <c r="P690" i="34"/>
  <c r="Q690" i="34" s="1"/>
  <c r="N690" i="34"/>
  <c r="O690" i="34" s="1"/>
  <c r="K690" i="34"/>
  <c r="L690" i="34" s="1"/>
  <c r="F690" i="34"/>
  <c r="G690" i="34" s="1"/>
  <c r="D690" i="34"/>
  <c r="E690" i="34" s="1"/>
  <c r="B690" i="34"/>
  <c r="A690" i="34"/>
  <c r="M690" i="34" s="1"/>
  <c r="U689" i="34"/>
  <c r="S689" i="34"/>
  <c r="P689" i="34"/>
  <c r="Q689" i="34" s="1"/>
  <c r="N689" i="34"/>
  <c r="O689" i="34" s="1"/>
  <c r="K689" i="34"/>
  <c r="L689" i="34" s="1"/>
  <c r="F689" i="34"/>
  <c r="G689" i="34" s="1"/>
  <c r="D689" i="34"/>
  <c r="E689" i="34" s="1"/>
  <c r="B689" i="34"/>
  <c r="A689" i="34"/>
  <c r="M689" i="34" s="1"/>
  <c r="Y688" i="34"/>
  <c r="Z688" i="34" s="1"/>
  <c r="W688" i="34"/>
  <c r="B688" i="34"/>
  <c r="A688" i="34"/>
  <c r="Y687" i="34"/>
  <c r="Z687" i="34" s="1"/>
  <c r="W687" i="34"/>
  <c r="X687" i="34" s="1"/>
  <c r="B687" i="34"/>
  <c r="A687" i="34"/>
  <c r="Y686" i="34"/>
  <c r="Z686" i="34" s="1"/>
  <c r="W686" i="34"/>
  <c r="B686" i="34"/>
  <c r="A686" i="34"/>
  <c r="Y685" i="34"/>
  <c r="Z685" i="34" s="1"/>
  <c r="W685" i="34"/>
  <c r="X685" i="34" s="1"/>
  <c r="K685" i="34"/>
  <c r="L685" i="34" s="1"/>
  <c r="B685" i="34"/>
  <c r="A685" i="34"/>
  <c r="Y684" i="34"/>
  <c r="W684" i="34"/>
  <c r="X684" i="34" s="1"/>
  <c r="B684" i="34"/>
  <c r="A684" i="34"/>
  <c r="U683" i="34"/>
  <c r="S683" i="34"/>
  <c r="P683" i="34"/>
  <c r="Q683" i="34" s="1"/>
  <c r="N683" i="34"/>
  <c r="O683" i="34" s="1"/>
  <c r="K683" i="34"/>
  <c r="L683" i="34" s="1"/>
  <c r="F683" i="34"/>
  <c r="G683" i="34" s="1"/>
  <c r="D683" i="34"/>
  <c r="E683" i="34" s="1"/>
  <c r="B683" i="34"/>
  <c r="A683" i="34"/>
  <c r="M683" i="34" s="1"/>
  <c r="U682" i="34"/>
  <c r="S682" i="34"/>
  <c r="P682" i="34"/>
  <c r="Q682" i="34" s="1"/>
  <c r="N682" i="34"/>
  <c r="O682" i="34" s="1"/>
  <c r="K682" i="34"/>
  <c r="L682" i="34" s="1"/>
  <c r="F682" i="34"/>
  <c r="G682" i="34" s="1"/>
  <c r="D682" i="34"/>
  <c r="E682" i="34" s="1"/>
  <c r="B682" i="34"/>
  <c r="A682" i="34"/>
  <c r="M682" i="34" s="1"/>
  <c r="U681" i="34"/>
  <c r="S681" i="34"/>
  <c r="P681" i="34"/>
  <c r="Q681" i="34" s="1"/>
  <c r="N681" i="34"/>
  <c r="O681" i="34" s="1"/>
  <c r="K681" i="34"/>
  <c r="L681" i="34" s="1"/>
  <c r="F681" i="34"/>
  <c r="G681" i="34" s="1"/>
  <c r="D681" i="34"/>
  <c r="E681" i="34" s="1"/>
  <c r="B681" i="34"/>
  <c r="A681" i="34"/>
  <c r="M681" i="34" s="1"/>
  <c r="U680" i="34"/>
  <c r="S680" i="34"/>
  <c r="P680" i="34"/>
  <c r="Q680" i="34" s="1"/>
  <c r="N680" i="34"/>
  <c r="O680" i="34" s="1"/>
  <c r="K680" i="34"/>
  <c r="L680" i="34" s="1"/>
  <c r="F680" i="34"/>
  <c r="G680" i="34" s="1"/>
  <c r="D680" i="34"/>
  <c r="E680" i="34" s="1"/>
  <c r="B680" i="34"/>
  <c r="A680" i="34"/>
  <c r="M680" i="34" s="1"/>
  <c r="Y679" i="34"/>
  <c r="Z679" i="34" s="1"/>
  <c r="W679" i="34"/>
  <c r="X679" i="34" s="1"/>
  <c r="B679" i="34"/>
  <c r="A679" i="34"/>
  <c r="Y678" i="34"/>
  <c r="Z678" i="34" s="1"/>
  <c r="W678" i="34"/>
  <c r="B678" i="34"/>
  <c r="A678" i="34"/>
  <c r="Y677" i="34"/>
  <c r="Z677" i="34" s="1"/>
  <c r="W677" i="34"/>
  <c r="B677" i="34"/>
  <c r="A677" i="34"/>
  <c r="Y676" i="34"/>
  <c r="Z676" i="34" s="1"/>
  <c r="W676" i="34"/>
  <c r="X676" i="34" s="1"/>
  <c r="K676" i="34"/>
  <c r="L676" i="34" s="1"/>
  <c r="B676" i="34"/>
  <c r="A676" i="34"/>
  <c r="Y675" i="34"/>
  <c r="Z675" i="34" s="1"/>
  <c r="W675" i="34"/>
  <c r="X675" i="34" s="1"/>
  <c r="B675" i="34"/>
  <c r="A675" i="34"/>
  <c r="U674" i="34"/>
  <c r="S674" i="34"/>
  <c r="P674" i="34"/>
  <c r="Q674" i="34" s="1"/>
  <c r="N674" i="34"/>
  <c r="O674" i="34" s="1"/>
  <c r="K674" i="34"/>
  <c r="L674" i="34" s="1"/>
  <c r="F674" i="34"/>
  <c r="G674" i="34" s="1"/>
  <c r="D674" i="34"/>
  <c r="E674" i="34" s="1"/>
  <c r="B674" i="34"/>
  <c r="A674" i="34"/>
  <c r="M674" i="34" s="1"/>
  <c r="U673" i="34"/>
  <c r="S673" i="34"/>
  <c r="P673" i="34"/>
  <c r="Q673" i="34" s="1"/>
  <c r="N673" i="34"/>
  <c r="O673" i="34" s="1"/>
  <c r="K673" i="34"/>
  <c r="L673" i="34" s="1"/>
  <c r="F673" i="34"/>
  <c r="G673" i="34" s="1"/>
  <c r="D673" i="34"/>
  <c r="E673" i="34" s="1"/>
  <c r="B673" i="34"/>
  <c r="A673" i="34"/>
  <c r="M673" i="34" s="1"/>
  <c r="U672" i="34"/>
  <c r="S672" i="34"/>
  <c r="P672" i="34"/>
  <c r="Q672" i="34" s="1"/>
  <c r="N672" i="34"/>
  <c r="O672" i="34" s="1"/>
  <c r="K672" i="34"/>
  <c r="L672" i="34" s="1"/>
  <c r="F672" i="34"/>
  <c r="G672" i="34" s="1"/>
  <c r="D672" i="34"/>
  <c r="E672" i="34" s="1"/>
  <c r="B672" i="34"/>
  <c r="A672" i="34"/>
  <c r="M672" i="34" s="1"/>
  <c r="U671" i="34"/>
  <c r="S671" i="34"/>
  <c r="P671" i="34"/>
  <c r="Q671" i="34" s="1"/>
  <c r="N671" i="34"/>
  <c r="O671" i="34" s="1"/>
  <c r="K671" i="34"/>
  <c r="L671" i="34" s="1"/>
  <c r="F671" i="34"/>
  <c r="G671" i="34" s="1"/>
  <c r="D671" i="34"/>
  <c r="E671" i="34" s="1"/>
  <c r="B671" i="34"/>
  <c r="A671" i="34"/>
  <c r="M671" i="34" s="1"/>
  <c r="Y670" i="34"/>
  <c r="Z670" i="34" s="1"/>
  <c r="W670" i="34"/>
  <c r="B670" i="34"/>
  <c r="A670" i="34"/>
  <c r="Y669" i="34"/>
  <c r="Z669" i="34" s="1"/>
  <c r="W669" i="34"/>
  <c r="X669" i="34" s="1"/>
  <c r="B669" i="34"/>
  <c r="A669" i="34"/>
  <c r="Y668" i="34"/>
  <c r="Z668" i="34" s="1"/>
  <c r="W668" i="34"/>
  <c r="B668" i="34"/>
  <c r="A668" i="34"/>
  <c r="Y667" i="34"/>
  <c r="Z667" i="34" s="1"/>
  <c r="W667" i="34"/>
  <c r="X667" i="34" s="1"/>
  <c r="K667" i="34"/>
  <c r="L667" i="34" s="1"/>
  <c r="B667" i="34"/>
  <c r="A667" i="34"/>
  <c r="Y666" i="34"/>
  <c r="Z666" i="34" s="1"/>
  <c r="W666" i="34"/>
  <c r="B666" i="34"/>
  <c r="A666" i="34"/>
  <c r="U665" i="34"/>
  <c r="S665" i="34"/>
  <c r="P665" i="34"/>
  <c r="Q665" i="34" s="1"/>
  <c r="N665" i="34"/>
  <c r="O665" i="34" s="1"/>
  <c r="K665" i="34"/>
  <c r="L665" i="34" s="1"/>
  <c r="F665" i="34"/>
  <c r="G665" i="34" s="1"/>
  <c r="D665" i="34"/>
  <c r="E665" i="34" s="1"/>
  <c r="B665" i="34"/>
  <c r="A665" i="34"/>
  <c r="M665" i="34" s="1"/>
  <c r="U664" i="34"/>
  <c r="S664" i="34"/>
  <c r="P664" i="34"/>
  <c r="Q664" i="34" s="1"/>
  <c r="N664" i="34"/>
  <c r="O664" i="34" s="1"/>
  <c r="K664" i="34"/>
  <c r="L664" i="34" s="1"/>
  <c r="F664" i="34"/>
  <c r="G664" i="34" s="1"/>
  <c r="D664" i="34"/>
  <c r="E664" i="34" s="1"/>
  <c r="B664" i="34"/>
  <c r="A664" i="34"/>
  <c r="M664" i="34" s="1"/>
  <c r="U663" i="34"/>
  <c r="S663" i="34"/>
  <c r="P663" i="34"/>
  <c r="Q663" i="34" s="1"/>
  <c r="N663" i="34"/>
  <c r="O663" i="34" s="1"/>
  <c r="K663" i="34"/>
  <c r="L663" i="34" s="1"/>
  <c r="F663" i="34"/>
  <c r="G663" i="34" s="1"/>
  <c r="D663" i="34"/>
  <c r="E663" i="34" s="1"/>
  <c r="B663" i="34"/>
  <c r="A663" i="34"/>
  <c r="M663" i="34" s="1"/>
  <c r="U662" i="34"/>
  <c r="S662" i="34"/>
  <c r="P662" i="34"/>
  <c r="Q662" i="34" s="1"/>
  <c r="N662" i="34"/>
  <c r="O662" i="34" s="1"/>
  <c r="K662" i="34"/>
  <c r="L662" i="34" s="1"/>
  <c r="F662" i="34"/>
  <c r="G662" i="34" s="1"/>
  <c r="D662" i="34"/>
  <c r="E662" i="34" s="1"/>
  <c r="B662" i="34"/>
  <c r="A662" i="34"/>
  <c r="M662" i="34" s="1"/>
  <c r="Y661" i="34"/>
  <c r="Z661" i="34" s="1"/>
  <c r="W661" i="34"/>
  <c r="X661" i="34" s="1"/>
  <c r="B661" i="34"/>
  <c r="A661" i="34"/>
  <c r="Y660" i="34"/>
  <c r="Z660" i="34" s="1"/>
  <c r="W660" i="34"/>
  <c r="B660" i="34"/>
  <c r="A660" i="34"/>
  <c r="Y659" i="34"/>
  <c r="Z659" i="34" s="1"/>
  <c r="W659" i="34"/>
  <c r="B659" i="34"/>
  <c r="A659" i="34"/>
  <c r="Y658" i="34"/>
  <c r="Z658" i="34" s="1"/>
  <c r="W658" i="34"/>
  <c r="X658" i="34" s="1"/>
  <c r="K658" i="34"/>
  <c r="L658" i="34" s="1"/>
  <c r="B658" i="34"/>
  <c r="A658" i="34"/>
  <c r="Y657" i="34"/>
  <c r="Z657" i="34" s="1"/>
  <c r="W657" i="34"/>
  <c r="X657" i="34" s="1"/>
  <c r="B657" i="34"/>
  <c r="A657" i="34"/>
  <c r="U656" i="34"/>
  <c r="S656" i="34"/>
  <c r="P656" i="34"/>
  <c r="Q656" i="34" s="1"/>
  <c r="N656" i="34"/>
  <c r="O656" i="34" s="1"/>
  <c r="K656" i="34"/>
  <c r="L656" i="34" s="1"/>
  <c r="F656" i="34"/>
  <c r="G656" i="34" s="1"/>
  <c r="D656" i="34"/>
  <c r="E656" i="34" s="1"/>
  <c r="B656" i="34"/>
  <c r="A656" i="34"/>
  <c r="M656" i="34" s="1"/>
  <c r="U655" i="34"/>
  <c r="S655" i="34"/>
  <c r="P655" i="34"/>
  <c r="Q655" i="34" s="1"/>
  <c r="N655" i="34"/>
  <c r="O655" i="34" s="1"/>
  <c r="K655" i="34"/>
  <c r="L655" i="34" s="1"/>
  <c r="F655" i="34"/>
  <c r="G655" i="34" s="1"/>
  <c r="D655" i="34"/>
  <c r="E655" i="34" s="1"/>
  <c r="B655" i="34"/>
  <c r="A655" i="34"/>
  <c r="M655" i="34" s="1"/>
  <c r="U654" i="34"/>
  <c r="S654" i="34"/>
  <c r="P654" i="34"/>
  <c r="Q654" i="34" s="1"/>
  <c r="N654" i="34"/>
  <c r="O654" i="34" s="1"/>
  <c r="K654" i="34"/>
  <c r="L654" i="34" s="1"/>
  <c r="F654" i="34"/>
  <c r="G654" i="34" s="1"/>
  <c r="D654" i="34"/>
  <c r="E654" i="34" s="1"/>
  <c r="B654" i="34"/>
  <c r="A654" i="34"/>
  <c r="M654" i="34" s="1"/>
  <c r="U653" i="34"/>
  <c r="S653" i="34"/>
  <c r="P653" i="34"/>
  <c r="Q653" i="34" s="1"/>
  <c r="N653" i="34"/>
  <c r="O653" i="34" s="1"/>
  <c r="K653" i="34"/>
  <c r="L653" i="34" s="1"/>
  <c r="F653" i="34"/>
  <c r="G653" i="34" s="1"/>
  <c r="D653" i="34"/>
  <c r="E653" i="34" s="1"/>
  <c r="B653" i="34"/>
  <c r="A653" i="34"/>
  <c r="M653" i="34" s="1"/>
  <c r="Y652" i="34"/>
  <c r="Z652" i="34" s="1"/>
  <c r="W652" i="34"/>
  <c r="B652" i="34"/>
  <c r="A652" i="34"/>
  <c r="Y651" i="34"/>
  <c r="Z651" i="34" s="1"/>
  <c r="W651" i="34"/>
  <c r="X651" i="34" s="1"/>
  <c r="B651" i="34"/>
  <c r="A651" i="34"/>
  <c r="Y650" i="34"/>
  <c r="Z650" i="34" s="1"/>
  <c r="W650" i="34"/>
  <c r="B650" i="34"/>
  <c r="A650" i="34"/>
  <c r="Y649" i="34"/>
  <c r="Z649" i="34" s="1"/>
  <c r="W649" i="34"/>
  <c r="X649" i="34" s="1"/>
  <c r="K649" i="34"/>
  <c r="L649" i="34" s="1"/>
  <c r="B649" i="34"/>
  <c r="A649" i="34"/>
  <c r="Y648" i="34"/>
  <c r="Z648" i="34" s="1"/>
  <c r="W648" i="34"/>
  <c r="B648" i="34"/>
  <c r="A648" i="34"/>
  <c r="U647" i="34"/>
  <c r="S647" i="34"/>
  <c r="P647" i="34"/>
  <c r="Q647" i="34" s="1"/>
  <c r="N647" i="34"/>
  <c r="O647" i="34" s="1"/>
  <c r="K647" i="34"/>
  <c r="L647" i="34" s="1"/>
  <c r="F647" i="34"/>
  <c r="G647" i="34" s="1"/>
  <c r="D647" i="34"/>
  <c r="E647" i="34" s="1"/>
  <c r="B647" i="34"/>
  <c r="A647" i="34"/>
  <c r="M647" i="34" s="1"/>
  <c r="U646" i="34"/>
  <c r="S646" i="34"/>
  <c r="P646" i="34"/>
  <c r="Q646" i="34" s="1"/>
  <c r="N646" i="34"/>
  <c r="O646" i="34" s="1"/>
  <c r="K646" i="34"/>
  <c r="L646" i="34" s="1"/>
  <c r="F646" i="34"/>
  <c r="G646" i="34" s="1"/>
  <c r="D646" i="34"/>
  <c r="E646" i="34" s="1"/>
  <c r="B646" i="34"/>
  <c r="A646" i="34"/>
  <c r="M646" i="34" s="1"/>
  <c r="U645" i="34"/>
  <c r="S645" i="34"/>
  <c r="P645" i="34"/>
  <c r="Q645" i="34" s="1"/>
  <c r="N645" i="34"/>
  <c r="O645" i="34" s="1"/>
  <c r="K645" i="34"/>
  <c r="L645" i="34" s="1"/>
  <c r="F645" i="34"/>
  <c r="G645" i="34" s="1"/>
  <c r="D645" i="34"/>
  <c r="E645" i="34" s="1"/>
  <c r="B645" i="34"/>
  <c r="A645" i="34"/>
  <c r="M645" i="34" s="1"/>
  <c r="U644" i="34"/>
  <c r="S644" i="34"/>
  <c r="P644" i="34"/>
  <c r="Q644" i="34" s="1"/>
  <c r="N644" i="34"/>
  <c r="O644" i="34" s="1"/>
  <c r="K644" i="34"/>
  <c r="L644" i="34" s="1"/>
  <c r="F644" i="34"/>
  <c r="G644" i="34" s="1"/>
  <c r="D644" i="34"/>
  <c r="E644" i="34" s="1"/>
  <c r="B644" i="34"/>
  <c r="A644" i="34"/>
  <c r="M644" i="34" s="1"/>
  <c r="Y643" i="34"/>
  <c r="Z643" i="34" s="1"/>
  <c r="X643" i="34"/>
  <c r="W643" i="34"/>
  <c r="B643" i="34"/>
  <c r="A643" i="34"/>
  <c r="Y642" i="34"/>
  <c r="Z642" i="34" s="1"/>
  <c r="W642" i="34"/>
  <c r="B642" i="34"/>
  <c r="A642" i="34"/>
  <c r="Y641" i="34"/>
  <c r="Z641" i="34" s="1"/>
  <c r="W641" i="34"/>
  <c r="X641" i="34" s="1"/>
  <c r="B641" i="34"/>
  <c r="A641" i="34"/>
  <c r="Y640" i="34"/>
  <c r="Z640" i="34" s="1"/>
  <c r="W640" i="34"/>
  <c r="X640" i="34" s="1"/>
  <c r="K640" i="34"/>
  <c r="L640" i="34" s="1"/>
  <c r="B640" i="34"/>
  <c r="A640" i="34"/>
  <c r="Y639" i="34"/>
  <c r="Z639" i="34" s="1"/>
  <c r="W639" i="34"/>
  <c r="X639" i="34" s="1"/>
  <c r="B639" i="34"/>
  <c r="A639" i="34"/>
  <c r="U638" i="34"/>
  <c r="S638" i="34"/>
  <c r="P638" i="34"/>
  <c r="Q638" i="34" s="1"/>
  <c r="N638" i="34"/>
  <c r="O638" i="34" s="1"/>
  <c r="K638" i="34"/>
  <c r="L638" i="34" s="1"/>
  <c r="F638" i="34"/>
  <c r="G638" i="34" s="1"/>
  <c r="D638" i="34"/>
  <c r="E638" i="34" s="1"/>
  <c r="B638" i="34"/>
  <c r="A638" i="34"/>
  <c r="M638" i="34" s="1"/>
  <c r="U637" i="34"/>
  <c r="S637" i="34"/>
  <c r="P637" i="34"/>
  <c r="Q637" i="34" s="1"/>
  <c r="N637" i="34"/>
  <c r="O637" i="34" s="1"/>
  <c r="K637" i="34"/>
  <c r="L637" i="34" s="1"/>
  <c r="F637" i="34"/>
  <c r="G637" i="34" s="1"/>
  <c r="D637" i="34"/>
  <c r="E637" i="34" s="1"/>
  <c r="B637" i="34"/>
  <c r="A637" i="34"/>
  <c r="M637" i="34" s="1"/>
  <c r="U636" i="34"/>
  <c r="S636" i="34"/>
  <c r="P636" i="34"/>
  <c r="Q636" i="34" s="1"/>
  <c r="N636" i="34"/>
  <c r="O636" i="34" s="1"/>
  <c r="K636" i="34"/>
  <c r="L636" i="34" s="1"/>
  <c r="F636" i="34"/>
  <c r="G636" i="34" s="1"/>
  <c r="D636" i="34"/>
  <c r="E636" i="34" s="1"/>
  <c r="B636" i="34"/>
  <c r="A636" i="34"/>
  <c r="M636" i="34" s="1"/>
  <c r="U635" i="34"/>
  <c r="S635" i="34"/>
  <c r="P635" i="34"/>
  <c r="Q635" i="34" s="1"/>
  <c r="N635" i="34"/>
  <c r="O635" i="34" s="1"/>
  <c r="K635" i="34"/>
  <c r="L635" i="34" s="1"/>
  <c r="F635" i="34"/>
  <c r="G635" i="34" s="1"/>
  <c r="D635" i="34"/>
  <c r="E635" i="34" s="1"/>
  <c r="B635" i="34"/>
  <c r="A635" i="34"/>
  <c r="M635" i="34" s="1"/>
  <c r="Y634" i="34"/>
  <c r="Z634" i="34" s="1"/>
  <c r="W634" i="34"/>
  <c r="X634" i="34" s="1"/>
  <c r="B634" i="34"/>
  <c r="A634" i="34"/>
  <c r="Y633" i="34"/>
  <c r="Z633" i="34" s="1"/>
  <c r="W633" i="34"/>
  <c r="X633" i="34" s="1"/>
  <c r="B633" i="34"/>
  <c r="A633" i="34"/>
  <c r="Y632" i="34"/>
  <c r="Z632" i="34" s="1"/>
  <c r="W632" i="34"/>
  <c r="X632" i="34" s="1"/>
  <c r="B632" i="34"/>
  <c r="A632" i="34"/>
  <c r="Y631" i="34"/>
  <c r="Z631" i="34" s="1"/>
  <c r="W631" i="34"/>
  <c r="K631" i="34"/>
  <c r="L631" i="34" s="1"/>
  <c r="B631" i="34"/>
  <c r="A631" i="34"/>
  <c r="Y630" i="34"/>
  <c r="Z630" i="34" s="1"/>
  <c r="W630" i="34"/>
  <c r="B630" i="34"/>
  <c r="A630" i="34"/>
  <c r="U629" i="34"/>
  <c r="S629" i="34"/>
  <c r="P629" i="34"/>
  <c r="Q629" i="34" s="1"/>
  <c r="N629" i="34"/>
  <c r="O629" i="34" s="1"/>
  <c r="K629" i="34"/>
  <c r="L629" i="34" s="1"/>
  <c r="F629" i="34"/>
  <c r="G629" i="34" s="1"/>
  <c r="D629" i="34"/>
  <c r="E629" i="34" s="1"/>
  <c r="B629" i="34"/>
  <c r="A629" i="34"/>
  <c r="M629" i="34" s="1"/>
  <c r="U628" i="34"/>
  <c r="S628" i="34"/>
  <c r="P628" i="34"/>
  <c r="Q628" i="34" s="1"/>
  <c r="N628" i="34"/>
  <c r="O628" i="34" s="1"/>
  <c r="K628" i="34"/>
  <c r="L628" i="34" s="1"/>
  <c r="F628" i="34"/>
  <c r="G628" i="34" s="1"/>
  <c r="D628" i="34"/>
  <c r="E628" i="34" s="1"/>
  <c r="B628" i="34"/>
  <c r="A628" i="34"/>
  <c r="M628" i="34" s="1"/>
  <c r="U627" i="34"/>
  <c r="S627" i="34"/>
  <c r="P627" i="34"/>
  <c r="Q627" i="34" s="1"/>
  <c r="N627" i="34"/>
  <c r="O627" i="34" s="1"/>
  <c r="K627" i="34"/>
  <c r="L627" i="34" s="1"/>
  <c r="F627" i="34"/>
  <c r="G627" i="34" s="1"/>
  <c r="D627" i="34"/>
  <c r="E627" i="34" s="1"/>
  <c r="B627" i="34"/>
  <c r="A627" i="34"/>
  <c r="M627" i="34" s="1"/>
  <c r="U626" i="34"/>
  <c r="S626" i="34"/>
  <c r="P626" i="34"/>
  <c r="Q626" i="34" s="1"/>
  <c r="N626" i="34"/>
  <c r="O626" i="34" s="1"/>
  <c r="K626" i="34"/>
  <c r="L626" i="34" s="1"/>
  <c r="F626" i="34"/>
  <c r="G626" i="34" s="1"/>
  <c r="D626" i="34"/>
  <c r="E626" i="34" s="1"/>
  <c r="B626" i="34"/>
  <c r="A626" i="34"/>
  <c r="M626" i="34" s="1"/>
  <c r="Y625" i="34"/>
  <c r="Z625" i="34" s="1"/>
  <c r="W625" i="34"/>
  <c r="B625" i="34"/>
  <c r="A625" i="34"/>
  <c r="Y624" i="34"/>
  <c r="Z624" i="34" s="1"/>
  <c r="W624" i="34"/>
  <c r="X624" i="34" s="1"/>
  <c r="B624" i="34"/>
  <c r="A624" i="34"/>
  <c r="Y623" i="34"/>
  <c r="Z623" i="34" s="1"/>
  <c r="W623" i="34"/>
  <c r="X623" i="34" s="1"/>
  <c r="B623" i="34"/>
  <c r="A623" i="34"/>
  <c r="Y622" i="34"/>
  <c r="Z622" i="34" s="1"/>
  <c r="W622" i="34"/>
  <c r="K622" i="34"/>
  <c r="L622" i="34" s="1"/>
  <c r="B622" i="34"/>
  <c r="A622" i="34"/>
  <c r="Y621" i="34"/>
  <c r="Z621" i="34" s="1"/>
  <c r="W621" i="34"/>
  <c r="B621" i="34"/>
  <c r="A621" i="34"/>
  <c r="U620" i="34"/>
  <c r="S620" i="34"/>
  <c r="P620" i="34"/>
  <c r="Q620" i="34" s="1"/>
  <c r="N620" i="34"/>
  <c r="O620" i="34" s="1"/>
  <c r="K620" i="34"/>
  <c r="L620" i="34" s="1"/>
  <c r="F620" i="34"/>
  <c r="G620" i="34" s="1"/>
  <c r="D620" i="34"/>
  <c r="E620" i="34" s="1"/>
  <c r="B620" i="34"/>
  <c r="A620" i="34"/>
  <c r="M620" i="34" s="1"/>
  <c r="U619" i="34"/>
  <c r="S619" i="34"/>
  <c r="P619" i="34"/>
  <c r="Q619" i="34" s="1"/>
  <c r="N619" i="34"/>
  <c r="O619" i="34" s="1"/>
  <c r="K619" i="34"/>
  <c r="L619" i="34" s="1"/>
  <c r="F619" i="34"/>
  <c r="G619" i="34" s="1"/>
  <c r="D619" i="34"/>
  <c r="E619" i="34" s="1"/>
  <c r="B619" i="34"/>
  <c r="A619" i="34"/>
  <c r="M619" i="34" s="1"/>
  <c r="U618" i="34"/>
  <c r="S618" i="34"/>
  <c r="P618" i="34"/>
  <c r="Q618" i="34" s="1"/>
  <c r="N618" i="34"/>
  <c r="O618" i="34" s="1"/>
  <c r="K618" i="34"/>
  <c r="L618" i="34" s="1"/>
  <c r="F618" i="34"/>
  <c r="G618" i="34" s="1"/>
  <c r="D618" i="34"/>
  <c r="E618" i="34" s="1"/>
  <c r="B618" i="34"/>
  <c r="A618" i="34"/>
  <c r="M618" i="34" s="1"/>
  <c r="U617" i="34"/>
  <c r="S617" i="34"/>
  <c r="P617" i="34"/>
  <c r="Q617" i="34" s="1"/>
  <c r="N617" i="34"/>
  <c r="O617" i="34" s="1"/>
  <c r="K617" i="34"/>
  <c r="L617" i="34" s="1"/>
  <c r="F617" i="34"/>
  <c r="G617" i="34" s="1"/>
  <c r="D617" i="34"/>
  <c r="E617" i="34" s="1"/>
  <c r="B617" i="34"/>
  <c r="A617" i="34"/>
  <c r="M617" i="34" s="1"/>
  <c r="Y616" i="34"/>
  <c r="Z616" i="34" s="1"/>
  <c r="W616" i="34"/>
  <c r="B616" i="34"/>
  <c r="A616" i="34"/>
  <c r="Y615" i="34"/>
  <c r="Z615" i="34" s="1"/>
  <c r="W615" i="34"/>
  <c r="B615" i="34"/>
  <c r="A615" i="34"/>
  <c r="Y614" i="34"/>
  <c r="Z614" i="34" s="1"/>
  <c r="W614" i="34"/>
  <c r="B614" i="34"/>
  <c r="A614" i="34"/>
  <c r="Y613" i="34"/>
  <c r="Z613" i="34" s="1"/>
  <c r="W613" i="34"/>
  <c r="K613" i="34"/>
  <c r="L613" i="34" s="1"/>
  <c r="B613" i="34"/>
  <c r="A613" i="34"/>
  <c r="Y612" i="34"/>
  <c r="Z612" i="34" s="1"/>
  <c r="W612" i="34"/>
  <c r="B612" i="34"/>
  <c r="A612" i="34"/>
  <c r="U611" i="34"/>
  <c r="S611" i="34"/>
  <c r="P611" i="34"/>
  <c r="Q611" i="34" s="1"/>
  <c r="N611" i="34"/>
  <c r="O611" i="34" s="1"/>
  <c r="K611" i="34"/>
  <c r="L611" i="34" s="1"/>
  <c r="F611" i="34"/>
  <c r="G611" i="34" s="1"/>
  <c r="D611" i="34"/>
  <c r="E611" i="34" s="1"/>
  <c r="B611" i="34"/>
  <c r="A611" i="34"/>
  <c r="M611" i="34" s="1"/>
  <c r="U610" i="34"/>
  <c r="S610" i="34"/>
  <c r="P610" i="34"/>
  <c r="Q610" i="34" s="1"/>
  <c r="N610" i="34"/>
  <c r="O610" i="34" s="1"/>
  <c r="K610" i="34"/>
  <c r="L610" i="34" s="1"/>
  <c r="F610" i="34"/>
  <c r="G610" i="34" s="1"/>
  <c r="D610" i="34"/>
  <c r="E610" i="34" s="1"/>
  <c r="B610" i="34"/>
  <c r="A610" i="34"/>
  <c r="M610" i="34" s="1"/>
  <c r="U609" i="34"/>
  <c r="S609" i="34"/>
  <c r="P609" i="34"/>
  <c r="Q609" i="34" s="1"/>
  <c r="N609" i="34"/>
  <c r="O609" i="34" s="1"/>
  <c r="K609" i="34"/>
  <c r="L609" i="34" s="1"/>
  <c r="F609" i="34"/>
  <c r="G609" i="34" s="1"/>
  <c r="D609" i="34"/>
  <c r="E609" i="34" s="1"/>
  <c r="B609" i="34"/>
  <c r="A609" i="34"/>
  <c r="M609" i="34" s="1"/>
  <c r="U608" i="34"/>
  <c r="S608" i="34"/>
  <c r="P608" i="34"/>
  <c r="Q608" i="34" s="1"/>
  <c r="N608" i="34"/>
  <c r="O608" i="34" s="1"/>
  <c r="K608" i="34"/>
  <c r="L608" i="34" s="1"/>
  <c r="F608" i="34"/>
  <c r="G608" i="34" s="1"/>
  <c r="D608" i="34"/>
  <c r="E608" i="34" s="1"/>
  <c r="B608" i="34"/>
  <c r="A608" i="34"/>
  <c r="M608" i="34" s="1"/>
  <c r="Y607" i="34"/>
  <c r="Z607" i="34" s="1"/>
  <c r="W607" i="34"/>
  <c r="B607" i="34"/>
  <c r="A607" i="34"/>
  <c r="Y606" i="34"/>
  <c r="Z606" i="34" s="1"/>
  <c r="W606" i="34"/>
  <c r="B606" i="34"/>
  <c r="A606" i="34"/>
  <c r="Y605" i="34"/>
  <c r="Z605" i="34" s="1"/>
  <c r="W605" i="34"/>
  <c r="B605" i="34"/>
  <c r="A605" i="34"/>
  <c r="Y604" i="34"/>
  <c r="Z604" i="34" s="1"/>
  <c r="W604" i="34"/>
  <c r="K604" i="34"/>
  <c r="L604" i="34" s="1"/>
  <c r="B604" i="34"/>
  <c r="A604" i="34"/>
  <c r="Y603" i="34"/>
  <c r="Z603" i="34" s="1"/>
  <c r="W603" i="34"/>
  <c r="B603" i="34"/>
  <c r="A603" i="34"/>
  <c r="U602" i="34"/>
  <c r="S602" i="34"/>
  <c r="P602" i="34"/>
  <c r="Q602" i="34" s="1"/>
  <c r="N602" i="34"/>
  <c r="O602" i="34" s="1"/>
  <c r="K602" i="34"/>
  <c r="L602" i="34" s="1"/>
  <c r="F602" i="34"/>
  <c r="G602" i="34" s="1"/>
  <c r="D602" i="34"/>
  <c r="E602" i="34" s="1"/>
  <c r="B602" i="34"/>
  <c r="A602" i="34"/>
  <c r="M602" i="34" s="1"/>
  <c r="U601" i="34"/>
  <c r="S601" i="34"/>
  <c r="P601" i="34"/>
  <c r="Q601" i="34" s="1"/>
  <c r="N601" i="34"/>
  <c r="O601" i="34" s="1"/>
  <c r="K601" i="34"/>
  <c r="L601" i="34" s="1"/>
  <c r="F601" i="34"/>
  <c r="G601" i="34" s="1"/>
  <c r="D601" i="34"/>
  <c r="E601" i="34" s="1"/>
  <c r="B601" i="34"/>
  <c r="A601" i="34"/>
  <c r="M601" i="34" s="1"/>
  <c r="U600" i="34"/>
  <c r="S600" i="34"/>
  <c r="P600" i="34"/>
  <c r="Q600" i="34" s="1"/>
  <c r="N600" i="34"/>
  <c r="O600" i="34" s="1"/>
  <c r="K600" i="34"/>
  <c r="L600" i="34" s="1"/>
  <c r="F600" i="34"/>
  <c r="G600" i="34" s="1"/>
  <c r="D600" i="34"/>
  <c r="E600" i="34" s="1"/>
  <c r="B600" i="34"/>
  <c r="A600" i="34"/>
  <c r="M600" i="34" s="1"/>
  <c r="U599" i="34"/>
  <c r="S599" i="34"/>
  <c r="P599" i="34"/>
  <c r="Q599" i="34" s="1"/>
  <c r="N599" i="34"/>
  <c r="O599" i="34" s="1"/>
  <c r="K599" i="34"/>
  <c r="L599" i="34" s="1"/>
  <c r="F599" i="34"/>
  <c r="G599" i="34" s="1"/>
  <c r="D599" i="34"/>
  <c r="E599" i="34" s="1"/>
  <c r="B599" i="34"/>
  <c r="A599" i="34"/>
  <c r="M599" i="34" s="1"/>
  <c r="Y598" i="34"/>
  <c r="Z598" i="34" s="1"/>
  <c r="W598" i="34"/>
  <c r="B598" i="34"/>
  <c r="A598" i="34"/>
  <c r="Y597" i="34"/>
  <c r="Z597" i="34" s="1"/>
  <c r="W597" i="34"/>
  <c r="B597" i="34"/>
  <c r="A597" i="34"/>
  <c r="Y596" i="34"/>
  <c r="Z596" i="34" s="1"/>
  <c r="W596" i="34"/>
  <c r="B596" i="34"/>
  <c r="A596" i="34"/>
  <c r="Y595" i="34"/>
  <c r="Z595" i="34" s="1"/>
  <c r="W595" i="34"/>
  <c r="X595" i="34" s="1"/>
  <c r="K595" i="34"/>
  <c r="L595" i="34" s="1"/>
  <c r="B595" i="34"/>
  <c r="A595" i="34"/>
  <c r="Y594" i="34"/>
  <c r="Z594" i="34" s="1"/>
  <c r="W594" i="34"/>
  <c r="B594" i="34"/>
  <c r="A594" i="34"/>
  <c r="U593" i="34"/>
  <c r="S593" i="34"/>
  <c r="P593" i="34"/>
  <c r="Q593" i="34" s="1"/>
  <c r="N593" i="34"/>
  <c r="O593" i="34" s="1"/>
  <c r="K593" i="34"/>
  <c r="L593" i="34" s="1"/>
  <c r="F593" i="34"/>
  <c r="G593" i="34" s="1"/>
  <c r="D593" i="34"/>
  <c r="E593" i="34" s="1"/>
  <c r="B593" i="34"/>
  <c r="A593" i="34"/>
  <c r="M593" i="34" s="1"/>
  <c r="U592" i="34"/>
  <c r="S592" i="34"/>
  <c r="P592" i="34"/>
  <c r="Q592" i="34" s="1"/>
  <c r="N592" i="34"/>
  <c r="O592" i="34" s="1"/>
  <c r="K592" i="34"/>
  <c r="L592" i="34" s="1"/>
  <c r="F592" i="34"/>
  <c r="G592" i="34" s="1"/>
  <c r="D592" i="34"/>
  <c r="E592" i="34" s="1"/>
  <c r="B592" i="34"/>
  <c r="A592" i="34"/>
  <c r="M592" i="34" s="1"/>
  <c r="U591" i="34"/>
  <c r="S591" i="34"/>
  <c r="P591" i="34"/>
  <c r="Q591" i="34" s="1"/>
  <c r="N591" i="34"/>
  <c r="O591" i="34" s="1"/>
  <c r="K591" i="34"/>
  <c r="L591" i="34" s="1"/>
  <c r="F591" i="34"/>
  <c r="G591" i="34" s="1"/>
  <c r="D591" i="34"/>
  <c r="E591" i="34" s="1"/>
  <c r="B591" i="34"/>
  <c r="A591" i="34"/>
  <c r="M591" i="34" s="1"/>
  <c r="U590" i="34"/>
  <c r="S590" i="34"/>
  <c r="P590" i="34"/>
  <c r="Q590" i="34" s="1"/>
  <c r="N590" i="34"/>
  <c r="O590" i="34" s="1"/>
  <c r="K590" i="34"/>
  <c r="L590" i="34" s="1"/>
  <c r="F590" i="34"/>
  <c r="G590" i="34" s="1"/>
  <c r="D590" i="34"/>
  <c r="E590" i="34" s="1"/>
  <c r="B590" i="34"/>
  <c r="A590" i="34"/>
  <c r="M590" i="34" s="1"/>
  <c r="Y589" i="34"/>
  <c r="Z589" i="34" s="1"/>
  <c r="W589" i="34"/>
  <c r="B589" i="34"/>
  <c r="A589" i="34"/>
  <c r="Y588" i="34"/>
  <c r="Z588" i="34" s="1"/>
  <c r="W588" i="34"/>
  <c r="B588" i="34"/>
  <c r="A588" i="34"/>
  <c r="Y587" i="34"/>
  <c r="Z587" i="34" s="1"/>
  <c r="W587" i="34"/>
  <c r="B587" i="34"/>
  <c r="A587" i="34"/>
  <c r="Y586" i="34"/>
  <c r="Z586" i="34" s="1"/>
  <c r="W586" i="34"/>
  <c r="K586" i="34"/>
  <c r="L586" i="34" s="1"/>
  <c r="B586" i="34"/>
  <c r="A586" i="34"/>
  <c r="Y585" i="34"/>
  <c r="Z585" i="34" s="1"/>
  <c r="W585" i="34"/>
  <c r="B585" i="34"/>
  <c r="A585" i="34"/>
  <c r="U584" i="34"/>
  <c r="S584" i="34"/>
  <c r="P584" i="34"/>
  <c r="Q584" i="34" s="1"/>
  <c r="N584" i="34"/>
  <c r="O584" i="34" s="1"/>
  <c r="K584" i="34"/>
  <c r="L584" i="34" s="1"/>
  <c r="F584" i="34"/>
  <c r="G584" i="34" s="1"/>
  <c r="D584" i="34"/>
  <c r="E584" i="34" s="1"/>
  <c r="B584" i="34"/>
  <c r="A584" i="34"/>
  <c r="M584" i="34" s="1"/>
  <c r="U583" i="34"/>
  <c r="S583" i="34"/>
  <c r="P583" i="34"/>
  <c r="Q583" i="34" s="1"/>
  <c r="N583" i="34"/>
  <c r="O583" i="34" s="1"/>
  <c r="K583" i="34"/>
  <c r="L583" i="34" s="1"/>
  <c r="F583" i="34"/>
  <c r="G583" i="34" s="1"/>
  <c r="D583" i="34"/>
  <c r="E583" i="34" s="1"/>
  <c r="B583" i="34"/>
  <c r="A583" i="34"/>
  <c r="M583" i="34" s="1"/>
  <c r="U582" i="34"/>
  <c r="S582" i="34"/>
  <c r="P582" i="34"/>
  <c r="Q582" i="34" s="1"/>
  <c r="N582" i="34"/>
  <c r="O582" i="34" s="1"/>
  <c r="K582" i="34"/>
  <c r="L582" i="34" s="1"/>
  <c r="F582" i="34"/>
  <c r="G582" i="34" s="1"/>
  <c r="D582" i="34"/>
  <c r="E582" i="34" s="1"/>
  <c r="B582" i="34"/>
  <c r="A582" i="34"/>
  <c r="M582" i="34" s="1"/>
  <c r="U581" i="34"/>
  <c r="S581" i="34"/>
  <c r="P581" i="34"/>
  <c r="Q581" i="34" s="1"/>
  <c r="N581" i="34"/>
  <c r="O581" i="34" s="1"/>
  <c r="K581" i="34"/>
  <c r="L581" i="34" s="1"/>
  <c r="F581" i="34"/>
  <c r="G581" i="34" s="1"/>
  <c r="D581" i="34"/>
  <c r="E581" i="34" s="1"/>
  <c r="B581" i="34"/>
  <c r="A581" i="34"/>
  <c r="M581" i="34" s="1"/>
  <c r="Y580" i="34"/>
  <c r="Z580" i="34" s="1"/>
  <c r="W580" i="34"/>
  <c r="B580" i="34"/>
  <c r="A580" i="34"/>
  <c r="Y579" i="34"/>
  <c r="Z579" i="34" s="1"/>
  <c r="W579" i="34"/>
  <c r="B579" i="34"/>
  <c r="A579" i="34"/>
  <c r="Y578" i="34"/>
  <c r="Z578" i="34" s="1"/>
  <c r="W578" i="34"/>
  <c r="B578" i="34"/>
  <c r="A578" i="34"/>
  <c r="Y577" i="34"/>
  <c r="Z577" i="34" s="1"/>
  <c r="W577" i="34"/>
  <c r="K577" i="34"/>
  <c r="L577" i="34" s="1"/>
  <c r="B577" i="34"/>
  <c r="A577" i="34"/>
  <c r="Y576" i="34"/>
  <c r="Z576" i="34" s="1"/>
  <c r="W576" i="34"/>
  <c r="B576" i="34"/>
  <c r="A576" i="34"/>
  <c r="U575" i="34"/>
  <c r="S575" i="34"/>
  <c r="P575" i="34"/>
  <c r="Q575" i="34" s="1"/>
  <c r="N575" i="34"/>
  <c r="O575" i="34" s="1"/>
  <c r="K575" i="34"/>
  <c r="L575" i="34" s="1"/>
  <c r="F575" i="34"/>
  <c r="G575" i="34" s="1"/>
  <c r="D575" i="34"/>
  <c r="E575" i="34" s="1"/>
  <c r="B575" i="34"/>
  <c r="A575" i="34"/>
  <c r="M575" i="34" s="1"/>
  <c r="U574" i="34"/>
  <c r="S574" i="34"/>
  <c r="P574" i="34"/>
  <c r="Q574" i="34" s="1"/>
  <c r="N574" i="34"/>
  <c r="O574" i="34" s="1"/>
  <c r="K574" i="34"/>
  <c r="L574" i="34" s="1"/>
  <c r="F574" i="34"/>
  <c r="G574" i="34" s="1"/>
  <c r="D574" i="34"/>
  <c r="E574" i="34" s="1"/>
  <c r="B574" i="34"/>
  <c r="A574" i="34"/>
  <c r="M574" i="34" s="1"/>
  <c r="U573" i="34"/>
  <c r="S573" i="34"/>
  <c r="P573" i="34"/>
  <c r="Q573" i="34" s="1"/>
  <c r="N573" i="34"/>
  <c r="O573" i="34" s="1"/>
  <c r="K573" i="34"/>
  <c r="L573" i="34" s="1"/>
  <c r="F573" i="34"/>
  <c r="G573" i="34" s="1"/>
  <c r="D573" i="34"/>
  <c r="E573" i="34" s="1"/>
  <c r="B573" i="34"/>
  <c r="A573" i="34"/>
  <c r="M573" i="34" s="1"/>
  <c r="U572" i="34"/>
  <c r="S572" i="34"/>
  <c r="P572" i="34"/>
  <c r="Q572" i="34" s="1"/>
  <c r="N572" i="34"/>
  <c r="O572" i="34" s="1"/>
  <c r="K572" i="34"/>
  <c r="L572" i="34" s="1"/>
  <c r="F572" i="34"/>
  <c r="G572" i="34" s="1"/>
  <c r="D572" i="34"/>
  <c r="E572" i="34" s="1"/>
  <c r="B572" i="34"/>
  <c r="A572" i="34"/>
  <c r="M572" i="34" s="1"/>
  <c r="Y571" i="34"/>
  <c r="Z571" i="34" s="1"/>
  <c r="W571" i="34"/>
  <c r="B571" i="34"/>
  <c r="A571" i="34"/>
  <c r="Y570" i="34"/>
  <c r="Z570" i="34" s="1"/>
  <c r="W570" i="34"/>
  <c r="B570" i="34"/>
  <c r="A570" i="34"/>
  <c r="Y569" i="34"/>
  <c r="Z569" i="34" s="1"/>
  <c r="W569" i="34"/>
  <c r="B569" i="34"/>
  <c r="A569" i="34"/>
  <c r="Y568" i="34"/>
  <c r="Z568" i="34" s="1"/>
  <c r="W568" i="34"/>
  <c r="K568" i="34"/>
  <c r="L568" i="34" s="1"/>
  <c r="B568" i="34"/>
  <c r="A568" i="34"/>
  <c r="Y567" i="34"/>
  <c r="Z567" i="34" s="1"/>
  <c r="W567" i="34"/>
  <c r="X567" i="34" s="1"/>
  <c r="B567" i="34"/>
  <c r="A567" i="34"/>
  <c r="U566" i="34"/>
  <c r="S566" i="34"/>
  <c r="P566" i="34"/>
  <c r="Q566" i="34" s="1"/>
  <c r="N566" i="34"/>
  <c r="O566" i="34" s="1"/>
  <c r="K566" i="34"/>
  <c r="L566" i="34" s="1"/>
  <c r="F566" i="34"/>
  <c r="G566" i="34" s="1"/>
  <c r="D566" i="34"/>
  <c r="E566" i="34" s="1"/>
  <c r="B566" i="34"/>
  <c r="A566" i="34"/>
  <c r="M566" i="34" s="1"/>
  <c r="U565" i="34"/>
  <c r="S565" i="34"/>
  <c r="P565" i="34"/>
  <c r="Q565" i="34" s="1"/>
  <c r="N565" i="34"/>
  <c r="O565" i="34" s="1"/>
  <c r="K565" i="34"/>
  <c r="L565" i="34" s="1"/>
  <c r="F565" i="34"/>
  <c r="G565" i="34" s="1"/>
  <c r="D565" i="34"/>
  <c r="E565" i="34" s="1"/>
  <c r="B565" i="34"/>
  <c r="A565" i="34"/>
  <c r="M565" i="34" s="1"/>
  <c r="U564" i="34"/>
  <c r="S564" i="34"/>
  <c r="P564" i="34"/>
  <c r="Q564" i="34" s="1"/>
  <c r="N564" i="34"/>
  <c r="O564" i="34" s="1"/>
  <c r="K564" i="34"/>
  <c r="L564" i="34" s="1"/>
  <c r="F564" i="34"/>
  <c r="G564" i="34" s="1"/>
  <c r="D564" i="34"/>
  <c r="E564" i="34" s="1"/>
  <c r="B564" i="34"/>
  <c r="A564" i="34"/>
  <c r="M564" i="34" s="1"/>
  <c r="U563" i="34"/>
  <c r="S563" i="34"/>
  <c r="P563" i="34"/>
  <c r="Q563" i="34" s="1"/>
  <c r="N563" i="34"/>
  <c r="O563" i="34" s="1"/>
  <c r="K563" i="34"/>
  <c r="L563" i="34" s="1"/>
  <c r="F563" i="34"/>
  <c r="G563" i="34" s="1"/>
  <c r="D563" i="34"/>
  <c r="E563" i="34" s="1"/>
  <c r="B563" i="34"/>
  <c r="A563" i="34"/>
  <c r="M563" i="34" s="1"/>
  <c r="Y562" i="34"/>
  <c r="Z562" i="34" s="1"/>
  <c r="W562" i="34"/>
  <c r="B562" i="34"/>
  <c r="A562" i="34"/>
  <c r="Y561" i="34"/>
  <c r="Z561" i="34" s="1"/>
  <c r="W561" i="34"/>
  <c r="B561" i="34"/>
  <c r="A561" i="34"/>
  <c r="Y560" i="34"/>
  <c r="Z560" i="34" s="1"/>
  <c r="W560" i="34"/>
  <c r="X560" i="34" s="1"/>
  <c r="B560" i="34"/>
  <c r="A560" i="34"/>
  <c r="Y559" i="34"/>
  <c r="Z559" i="34" s="1"/>
  <c r="W559" i="34"/>
  <c r="X559" i="34" s="1"/>
  <c r="K559" i="34"/>
  <c r="L559" i="34" s="1"/>
  <c r="B559" i="34"/>
  <c r="A559" i="34"/>
  <c r="Y558" i="34"/>
  <c r="Z558" i="34" s="1"/>
  <c r="W558" i="34"/>
  <c r="B558" i="34"/>
  <c r="A558" i="34"/>
  <c r="U557" i="34"/>
  <c r="S557" i="34"/>
  <c r="P557" i="34"/>
  <c r="Q557" i="34" s="1"/>
  <c r="N557" i="34"/>
  <c r="O557" i="34" s="1"/>
  <c r="K557" i="34"/>
  <c r="L557" i="34" s="1"/>
  <c r="F557" i="34"/>
  <c r="G557" i="34" s="1"/>
  <c r="D557" i="34"/>
  <c r="E557" i="34" s="1"/>
  <c r="B557" i="34"/>
  <c r="A557" i="34"/>
  <c r="M557" i="34" s="1"/>
  <c r="U556" i="34"/>
  <c r="S556" i="34"/>
  <c r="P556" i="34"/>
  <c r="Q556" i="34" s="1"/>
  <c r="N556" i="34"/>
  <c r="O556" i="34" s="1"/>
  <c r="K556" i="34"/>
  <c r="L556" i="34" s="1"/>
  <c r="F556" i="34"/>
  <c r="G556" i="34" s="1"/>
  <c r="D556" i="34"/>
  <c r="E556" i="34" s="1"/>
  <c r="B556" i="34"/>
  <c r="A556" i="34"/>
  <c r="M556" i="34" s="1"/>
  <c r="U555" i="34"/>
  <c r="S555" i="34"/>
  <c r="P555" i="34"/>
  <c r="Q555" i="34" s="1"/>
  <c r="N555" i="34"/>
  <c r="O555" i="34" s="1"/>
  <c r="K555" i="34"/>
  <c r="L555" i="34" s="1"/>
  <c r="F555" i="34"/>
  <c r="G555" i="34" s="1"/>
  <c r="D555" i="34"/>
  <c r="E555" i="34" s="1"/>
  <c r="B555" i="34"/>
  <c r="A555" i="34"/>
  <c r="M555" i="34" s="1"/>
  <c r="U554" i="34"/>
  <c r="S554" i="34"/>
  <c r="P554" i="34"/>
  <c r="Q554" i="34" s="1"/>
  <c r="N554" i="34"/>
  <c r="O554" i="34" s="1"/>
  <c r="K554" i="34"/>
  <c r="L554" i="34" s="1"/>
  <c r="F554" i="34"/>
  <c r="G554" i="34" s="1"/>
  <c r="D554" i="34"/>
  <c r="E554" i="34" s="1"/>
  <c r="B554" i="34"/>
  <c r="A554" i="34"/>
  <c r="M554" i="34" s="1"/>
  <c r="Y553" i="34"/>
  <c r="Z553" i="34" s="1"/>
  <c r="W553" i="34"/>
  <c r="B553" i="34"/>
  <c r="A553" i="34"/>
  <c r="Y552" i="34"/>
  <c r="Z552" i="34" s="1"/>
  <c r="W552" i="34"/>
  <c r="B552" i="34"/>
  <c r="A552" i="34"/>
  <c r="Y551" i="34"/>
  <c r="Z551" i="34" s="1"/>
  <c r="W551" i="34"/>
  <c r="B551" i="34"/>
  <c r="A551" i="34"/>
  <c r="Y550" i="34"/>
  <c r="Z550" i="34" s="1"/>
  <c r="W550" i="34"/>
  <c r="X550" i="34" s="1"/>
  <c r="K550" i="34"/>
  <c r="L550" i="34" s="1"/>
  <c r="B550" i="34"/>
  <c r="A550" i="34"/>
  <c r="Y549" i="34"/>
  <c r="Z549" i="34" s="1"/>
  <c r="W549" i="34"/>
  <c r="B549" i="34"/>
  <c r="A549" i="34"/>
  <c r="U548" i="34"/>
  <c r="S548" i="34"/>
  <c r="P548" i="34"/>
  <c r="Q548" i="34" s="1"/>
  <c r="N548" i="34"/>
  <c r="O548" i="34" s="1"/>
  <c r="K548" i="34"/>
  <c r="L548" i="34" s="1"/>
  <c r="F548" i="34"/>
  <c r="G548" i="34" s="1"/>
  <c r="D548" i="34"/>
  <c r="E548" i="34" s="1"/>
  <c r="B548" i="34"/>
  <c r="A548" i="34"/>
  <c r="M548" i="34" s="1"/>
  <c r="U547" i="34"/>
  <c r="S547" i="34"/>
  <c r="P547" i="34"/>
  <c r="Q547" i="34" s="1"/>
  <c r="N547" i="34"/>
  <c r="O547" i="34" s="1"/>
  <c r="K547" i="34"/>
  <c r="L547" i="34" s="1"/>
  <c r="F547" i="34"/>
  <c r="G547" i="34" s="1"/>
  <c r="D547" i="34"/>
  <c r="E547" i="34" s="1"/>
  <c r="B547" i="34"/>
  <c r="A547" i="34"/>
  <c r="M547" i="34" s="1"/>
  <c r="U546" i="34"/>
  <c r="S546" i="34"/>
  <c r="P546" i="34"/>
  <c r="Q546" i="34" s="1"/>
  <c r="N546" i="34"/>
  <c r="O546" i="34" s="1"/>
  <c r="K546" i="34"/>
  <c r="L546" i="34" s="1"/>
  <c r="F546" i="34"/>
  <c r="G546" i="34" s="1"/>
  <c r="D546" i="34"/>
  <c r="E546" i="34" s="1"/>
  <c r="B546" i="34"/>
  <c r="A546" i="34"/>
  <c r="M546" i="34" s="1"/>
  <c r="U545" i="34"/>
  <c r="S545" i="34"/>
  <c r="P545" i="34"/>
  <c r="Q545" i="34" s="1"/>
  <c r="N545" i="34"/>
  <c r="O545" i="34" s="1"/>
  <c r="K545" i="34"/>
  <c r="L545" i="34" s="1"/>
  <c r="F545" i="34"/>
  <c r="G545" i="34" s="1"/>
  <c r="D545" i="34"/>
  <c r="E545" i="34" s="1"/>
  <c r="B545" i="34"/>
  <c r="A545" i="34"/>
  <c r="M545" i="34" s="1"/>
  <c r="Y544" i="34"/>
  <c r="Z544" i="34" s="1"/>
  <c r="W544" i="34"/>
  <c r="B544" i="34"/>
  <c r="A544" i="34"/>
  <c r="Y543" i="34"/>
  <c r="Z543" i="34" s="1"/>
  <c r="W543" i="34"/>
  <c r="X543" i="34" s="1"/>
  <c r="B543" i="34"/>
  <c r="A543" i="34"/>
  <c r="Y542" i="34"/>
  <c r="Z542" i="34" s="1"/>
  <c r="W542" i="34"/>
  <c r="X542" i="34" s="1"/>
  <c r="B542" i="34"/>
  <c r="A542" i="34"/>
  <c r="Y541" i="34"/>
  <c r="Z541" i="34" s="1"/>
  <c r="W541" i="34"/>
  <c r="K541" i="34"/>
  <c r="L541" i="34" s="1"/>
  <c r="B541" i="34"/>
  <c r="A541" i="34"/>
  <c r="Y540" i="34"/>
  <c r="Z540" i="34" s="1"/>
  <c r="W540" i="34"/>
  <c r="X540" i="34" s="1"/>
  <c r="B540" i="34"/>
  <c r="A540" i="34"/>
  <c r="U539" i="34"/>
  <c r="S539" i="34"/>
  <c r="P539" i="34"/>
  <c r="Q539" i="34" s="1"/>
  <c r="N539" i="34"/>
  <c r="O539" i="34" s="1"/>
  <c r="K539" i="34"/>
  <c r="L539" i="34" s="1"/>
  <c r="F539" i="34"/>
  <c r="G539" i="34" s="1"/>
  <c r="D539" i="34"/>
  <c r="E539" i="34" s="1"/>
  <c r="B539" i="34"/>
  <c r="A539" i="34"/>
  <c r="M539" i="34" s="1"/>
  <c r="U538" i="34"/>
  <c r="S538" i="34"/>
  <c r="P538" i="34"/>
  <c r="Q538" i="34" s="1"/>
  <c r="N538" i="34"/>
  <c r="O538" i="34" s="1"/>
  <c r="K538" i="34"/>
  <c r="L538" i="34" s="1"/>
  <c r="F538" i="34"/>
  <c r="G538" i="34" s="1"/>
  <c r="D538" i="34"/>
  <c r="E538" i="34" s="1"/>
  <c r="B538" i="34"/>
  <c r="A538" i="34"/>
  <c r="M538" i="34" s="1"/>
  <c r="U537" i="34"/>
  <c r="S537" i="34"/>
  <c r="P537" i="34"/>
  <c r="Q537" i="34" s="1"/>
  <c r="N537" i="34"/>
  <c r="O537" i="34" s="1"/>
  <c r="K537" i="34"/>
  <c r="L537" i="34" s="1"/>
  <c r="F537" i="34"/>
  <c r="G537" i="34" s="1"/>
  <c r="D537" i="34"/>
  <c r="E537" i="34" s="1"/>
  <c r="B537" i="34"/>
  <c r="A537" i="34"/>
  <c r="M537" i="34" s="1"/>
  <c r="U536" i="34"/>
  <c r="S536" i="34"/>
  <c r="P536" i="34"/>
  <c r="Q536" i="34" s="1"/>
  <c r="N536" i="34"/>
  <c r="O536" i="34" s="1"/>
  <c r="K536" i="34"/>
  <c r="L536" i="34" s="1"/>
  <c r="F536" i="34"/>
  <c r="G536" i="34" s="1"/>
  <c r="D536" i="34"/>
  <c r="E536" i="34" s="1"/>
  <c r="B536" i="34"/>
  <c r="A536" i="34"/>
  <c r="M536" i="34" s="1"/>
  <c r="Y535" i="34"/>
  <c r="Z535" i="34" s="1"/>
  <c r="W535" i="34"/>
  <c r="X535" i="34" s="1"/>
  <c r="B535" i="34"/>
  <c r="A535" i="34"/>
  <c r="Y534" i="34"/>
  <c r="Z534" i="34" s="1"/>
  <c r="W534" i="34"/>
  <c r="X534" i="34" s="1"/>
  <c r="B534" i="34"/>
  <c r="A534" i="34"/>
  <c r="Y533" i="34"/>
  <c r="Z533" i="34" s="1"/>
  <c r="W533" i="34"/>
  <c r="X533" i="34" s="1"/>
  <c r="B533" i="34"/>
  <c r="A533" i="34"/>
  <c r="Y532" i="34"/>
  <c r="Z532" i="34" s="1"/>
  <c r="W532" i="34"/>
  <c r="K532" i="34"/>
  <c r="L532" i="34" s="1"/>
  <c r="B532" i="34"/>
  <c r="A532" i="34"/>
  <c r="Y531" i="34"/>
  <c r="Z531" i="34" s="1"/>
  <c r="W531" i="34"/>
  <c r="X531" i="34" s="1"/>
  <c r="B531" i="34"/>
  <c r="A531" i="34"/>
  <c r="U530" i="34"/>
  <c r="S530" i="34"/>
  <c r="P530" i="34"/>
  <c r="Q530" i="34" s="1"/>
  <c r="N530" i="34"/>
  <c r="O530" i="34" s="1"/>
  <c r="K530" i="34"/>
  <c r="L530" i="34" s="1"/>
  <c r="F530" i="34"/>
  <c r="G530" i="34" s="1"/>
  <c r="D530" i="34"/>
  <c r="E530" i="34" s="1"/>
  <c r="B530" i="34"/>
  <c r="A530" i="34"/>
  <c r="M530" i="34" s="1"/>
  <c r="U529" i="34"/>
  <c r="S529" i="34"/>
  <c r="P529" i="34"/>
  <c r="Q529" i="34" s="1"/>
  <c r="N529" i="34"/>
  <c r="O529" i="34" s="1"/>
  <c r="K529" i="34"/>
  <c r="L529" i="34" s="1"/>
  <c r="F529" i="34"/>
  <c r="G529" i="34" s="1"/>
  <c r="D529" i="34"/>
  <c r="E529" i="34" s="1"/>
  <c r="B529" i="34"/>
  <c r="A529" i="34"/>
  <c r="M529" i="34" s="1"/>
  <c r="U528" i="34"/>
  <c r="S528" i="34"/>
  <c r="P528" i="34"/>
  <c r="Q528" i="34" s="1"/>
  <c r="N528" i="34"/>
  <c r="O528" i="34" s="1"/>
  <c r="K528" i="34"/>
  <c r="L528" i="34" s="1"/>
  <c r="F528" i="34"/>
  <c r="G528" i="34" s="1"/>
  <c r="D528" i="34"/>
  <c r="E528" i="34" s="1"/>
  <c r="B528" i="34"/>
  <c r="A528" i="34"/>
  <c r="M528" i="34" s="1"/>
  <c r="U527" i="34"/>
  <c r="S527" i="34"/>
  <c r="P527" i="34"/>
  <c r="Q527" i="34" s="1"/>
  <c r="N527" i="34"/>
  <c r="O527" i="34" s="1"/>
  <c r="K527" i="34"/>
  <c r="L527" i="34" s="1"/>
  <c r="F527" i="34"/>
  <c r="G527" i="34" s="1"/>
  <c r="D527" i="34"/>
  <c r="E527" i="34" s="1"/>
  <c r="B527" i="34"/>
  <c r="A527" i="34"/>
  <c r="M527" i="34" s="1"/>
  <c r="Y526" i="34"/>
  <c r="Z526" i="34" s="1"/>
  <c r="W526" i="34"/>
  <c r="X526" i="34" s="1"/>
  <c r="B526" i="34"/>
  <c r="A526" i="34"/>
  <c r="Y525" i="34"/>
  <c r="Z525" i="34" s="1"/>
  <c r="W525" i="34"/>
  <c r="X525" i="34" s="1"/>
  <c r="B525" i="34"/>
  <c r="A525" i="34"/>
  <c r="Y524" i="34"/>
  <c r="Z524" i="34" s="1"/>
  <c r="W524" i="34"/>
  <c r="X524" i="34" s="1"/>
  <c r="B524" i="34"/>
  <c r="A524" i="34"/>
  <c r="Y523" i="34"/>
  <c r="Z523" i="34" s="1"/>
  <c r="W523" i="34"/>
  <c r="K523" i="34"/>
  <c r="L523" i="34" s="1"/>
  <c r="B523" i="34"/>
  <c r="A523" i="34"/>
  <c r="Y522" i="34"/>
  <c r="Z522" i="34" s="1"/>
  <c r="W522" i="34"/>
  <c r="B522" i="34"/>
  <c r="A522" i="34"/>
  <c r="U521" i="34"/>
  <c r="S521" i="34"/>
  <c r="P521" i="34"/>
  <c r="Q521" i="34" s="1"/>
  <c r="N521" i="34"/>
  <c r="O521" i="34" s="1"/>
  <c r="K521" i="34"/>
  <c r="L521" i="34" s="1"/>
  <c r="F521" i="34"/>
  <c r="G521" i="34" s="1"/>
  <c r="D521" i="34"/>
  <c r="E521" i="34" s="1"/>
  <c r="B521" i="34"/>
  <c r="A521" i="34"/>
  <c r="M521" i="34" s="1"/>
  <c r="U520" i="34"/>
  <c r="S520" i="34"/>
  <c r="P520" i="34"/>
  <c r="Q520" i="34" s="1"/>
  <c r="N520" i="34"/>
  <c r="O520" i="34" s="1"/>
  <c r="K520" i="34"/>
  <c r="L520" i="34" s="1"/>
  <c r="F520" i="34"/>
  <c r="G520" i="34" s="1"/>
  <c r="D520" i="34"/>
  <c r="E520" i="34" s="1"/>
  <c r="B520" i="34"/>
  <c r="A520" i="34"/>
  <c r="M520" i="34" s="1"/>
  <c r="U519" i="34"/>
  <c r="S519" i="34"/>
  <c r="P519" i="34"/>
  <c r="Q519" i="34" s="1"/>
  <c r="N519" i="34"/>
  <c r="O519" i="34" s="1"/>
  <c r="K519" i="34"/>
  <c r="L519" i="34" s="1"/>
  <c r="F519" i="34"/>
  <c r="G519" i="34" s="1"/>
  <c r="D519" i="34"/>
  <c r="E519" i="34" s="1"/>
  <c r="B519" i="34"/>
  <c r="A519" i="34"/>
  <c r="M519" i="34" s="1"/>
  <c r="U518" i="34"/>
  <c r="S518" i="34"/>
  <c r="P518" i="34"/>
  <c r="Q518" i="34" s="1"/>
  <c r="N518" i="34"/>
  <c r="O518" i="34" s="1"/>
  <c r="K518" i="34"/>
  <c r="L518" i="34" s="1"/>
  <c r="F518" i="34"/>
  <c r="G518" i="34" s="1"/>
  <c r="D518" i="34"/>
  <c r="E518" i="34" s="1"/>
  <c r="B518" i="34"/>
  <c r="A518" i="34"/>
  <c r="M518" i="34" s="1"/>
  <c r="Y517" i="34"/>
  <c r="Z517" i="34" s="1"/>
  <c r="W517" i="34"/>
  <c r="B517" i="34"/>
  <c r="A517" i="34"/>
  <c r="Y516" i="34"/>
  <c r="Z516" i="34" s="1"/>
  <c r="W516" i="34"/>
  <c r="B516" i="34"/>
  <c r="A516" i="34"/>
  <c r="Y515" i="34"/>
  <c r="Z515" i="34" s="1"/>
  <c r="W515" i="34"/>
  <c r="B515" i="34"/>
  <c r="A515" i="34"/>
  <c r="Y514" i="34"/>
  <c r="Z514" i="34" s="1"/>
  <c r="W514" i="34"/>
  <c r="K514" i="34"/>
  <c r="L514" i="34" s="1"/>
  <c r="B514" i="34"/>
  <c r="A514" i="34"/>
  <c r="Y513" i="34"/>
  <c r="Z513" i="34" s="1"/>
  <c r="W513" i="34"/>
  <c r="B513" i="34"/>
  <c r="A513" i="34"/>
  <c r="U512" i="34"/>
  <c r="S512" i="34"/>
  <c r="P512" i="34"/>
  <c r="Q512" i="34" s="1"/>
  <c r="N512" i="34"/>
  <c r="O512" i="34" s="1"/>
  <c r="K512" i="34"/>
  <c r="L512" i="34" s="1"/>
  <c r="F512" i="34"/>
  <c r="G512" i="34" s="1"/>
  <c r="D512" i="34"/>
  <c r="E512" i="34" s="1"/>
  <c r="B512" i="34"/>
  <c r="A512" i="34"/>
  <c r="M512" i="34" s="1"/>
  <c r="U511" i="34"/>
  <c r="S511" i="34"/>
  <c r="P511" i="34"/>
  <c r="Q511" i="34" s="1"/>
  <c r="N511" i="34"/>
  <c r="O511" i="34" s="1"/>
  <c r="K511" i="34"/>
  <c r="L511" i="34" s="1"/>
  <c r="F511" i="34"/>
  <c r="G511" i="34" s="1"/>
  <c r="D511" i="34"/>
  <c r="E511" i="34" s="1"/>
  <c r="B511" i="34"/>
  <c r="A511" i="34"/>
  <c r="M511" i="34" s="1"/>
  <c r="U510" i="34"/>
  <c r="S510" i="34"/>
  <c r="P510" i="34"/>
  <c r="Q510" i="34" s="1"/>
  <c r="N510" i="34"/>
  <c r="O510" i="34" s="1"/>
  <c r="K510" i="34"/>
  <c r="L510" i="34" s="1"/>
  <c r="F510" i="34"/>
  <c r="G510" i="34" s="1"/>
  <c r="D510" i="34"/>
  <c r="E510" i="34" s="1"/>
  <c r="B510" i="34"/>
  <c r="A510" i="34"/>
  <c r="M510" i="34" s="1"/>
  <c r="U509" i="34"/>
  <c r="S509" i="34"/>
  <c r="P509" i="34"/>
  <c r="Q509" i="34" s="1"/>
  <c r="N509" i="34"/>
  <c r="O509" i="34" s="1"/>
  <c r="K509" i="34"/>
  <c r="L509" i="34" s="1"/>
  <c r="F509" i="34"/>
  <c r="G509" i="34" s="1"/>
  <c r="D509" i="34"/>
  <c r="E509" i="34" s="1"/>
  <c r="B509" i="34"/>
  <c r="A509" i="34"/>
  <c r="M509" i="34" s="1"/>
  <c r="Y508" i="34"/>
  <c r="Z508" i="34" s="1"/>
  <c r="W508" i="34"/>
  <c r="X508" i="34" s="1"/>
  <c r="B508" i="34"/>
  <c r="A508" i="34"/>
  <c r="Y507" i="34"/>
  <c r="Z507" i="34" s="1"/>
  <c r="W507" i="34"/>
  <c r="X507" i="34" s="1"/>
  <c r="B507" i="34"/>
  <c r="A507" i="34"/>
  <c r="Y506" i="34"/>
  <c r="Z506" i="34" s="1"/>
  <c r="W506" i="34"/>
  <c r="B506" i="34"/>
  <c r="A506" i="34"/>
  <c r="Y505" i="34"/>
  <c r="Z505" i="34" s="1"/>
  <c r="W505" i="34"/>
  <c r="K505" i="34"/>
  <c r="L505" i="34" s="1"/>
  <c r="B505" i="34"/>
  <c r="A505" i="34"/>
  <c r="Y504" i="34"/>
  <c r="Z504" i="34" s="1"/>
  <c r="W504" i="34"/>
  <c r="B504" i="34"/>
  <c r="A504" i="34"/>
  <c r="U503" i="34"/>
  <c r="S503" i="34"/>
  <c r="P503" i="34"/>
  <c r="Q503" i="34" s="1"/>
  <c r="N503" i="34"/>
  <c r="O503" i="34" s="1"/>
  <c r="K503" i="34"/>
  <c r="L503" i="34" s="1"/>
  <c r="F503" i="34"/>
  <c r="G503" i="34" s="1"/>
  <c r="D503" i="34"/>
  <c r="E503" i="34" s="1"/>
  <c r="B503" i="34"/>
  <c r="A503" i="34"/>
  <c r="M503" i="34" s="1"/>
  <c r="U502" i="34"/>
  <c r="S502" i="34"/>
  <c r="P502" i="34"/>
  <c r="Q502" i="34" s="1"/>
  <c r="N502" i="34"/>
  <c r="O502" i="34" s="1"/>
  <c r="K502" i="34"/>
  <c r="F502" i="34"/>
  <c r="G502" i="34" s="1"/>
  <c r="D502" i="34"/>
  <c r="E502" i="34" s="1"/>
  <c r="B502" i="34"/>
  <c r="A502" i="34"/>
  <c r="M502" i="34" s="1"/>
  <c r="U501" i="34"/>
  <c r="S501" i="34"/>
  <c r="P501" i="34"/>
  <c r="Q501" i="34" s="1"/>
  <c r="N501" i="34"/>
  <c r="O501" i="34" s="1"/>
  <c r="K501" i="34"/>
  <c r="L501" i="34" s="1"/>
  <c r="F501" i="34"/>
  <c r="G501" i="34" s="1"/>
  <c r="D501" i="34"/>
  <c r="E501" i="34" s="1"/>
  <c r="B501" i="34"/>
  <c r="A501" i="34"/>
  <c r="M501" i="34" s="1"/>
  <c r="U500" i="34"/>
  <c r="S500" i="34"/>
  <c r="P500" i="34"/>
  <c r="Q500" i="34" s="1"/>
  <c r="N500" i="34"/>
  <c r="O500" i="34" s="1"/>
  <c r="K500" i="34"/>
  <c r="L500" i="34" s="1"/>
  <c r="F500" i="34"/>
  <c r="G500" i="34" s="1"/>
  <c r="D500" i="34"/>
  <c r="E500" i="34" s="1"/>
  <c r="B500" i="34"/>
  <c r="A500" i="34"/>
  <c r="M500" i="34" s="1"/>
  <c r="Y499" i="34"/>
  <c r="Z499" i="34" s="1"/>
  <c r="W499" i="34"/>
  <c r="B499" i="34"/>
  <c r="A499" i="34"/>
  <c r="Y498" i="34"/>
  <c r="Z498" i="34" s="1"/>
  <c r="W498" i="34"/>
  <c r="B498" i="34"/>
  <c r="A498" i="34"/>
  <c r="Y497" i="34"/>
  <c r="Z497" i="34" s="1"/>
  <c r="W497" i="34"/>
  <c r="B497" i="34"/>
  <c r="A497" i="34"/>
  <c r="Y496" i="34"/>
  <c r="Z496" i="34" s="1"/>
  <c r="W496" i="34"/>
  <c r="K496" i="34"/>
  <c r="L496" i="34" s="1"/>
  <c r="B496" i="34"/>
  <c r="A496" i="34"/>
  <c r="Y495" i="34"/>
  <c r="Z495" i="34" s="1"/>
  <c r="W495" i="34"/>
  <c r="X495" i="34" s="1"/>
  <c r="B495" i="34"/>
  <c r="A495" i="34"/>
  <c r="U494" i="34"/>
  <c r="S494" i="34"/>
  <c r="P494" i="34"/>
  <c r="Q494" i="34" s="1"/>
  <c r="N494" i="34"/>
  <c r="O494" i="34" s="1"/>
  <c r="K494" i="34"/>
  <c r="L494" i="34" s="1"/>
  <c r="F494" i="34"/>
  <c r="G494" i="34" s="1"/>
  <c r="D494" i="34"/>
  <c r="E494" i="34" s="1"/>
  <c r="B494" i="34"/>
  <c r="A494" i="34"/>
  <c r="M494" i="34" s="1"/>
  <c r="U493" i="34"/>
  <c r="S493" i="34"/>
  <c r="P493" i="34"/>
  <c r="Q493" i="34" s="1"/>
  <c r="N493" i="34"/>
  <c r="O493" i="34" s="1"/>
  <c r="K493" i="34"/>
  <c r="L493" i="34" s="1"/>
  <c r="F493" i="34"/>
  <c r="G493" i="34" s="1"/>
  <c r="D493" i="34"/>
  <c r="E493" i="34" s="1"/>
  <c r="B493" i="34"/>
  <c r="A493" i="34"/>
  <c r="M493" i="34" s="1"/>
  <c r="U492" i="34"/>
  <c r="S492" i="34"/>
  <c r="P492" i="34"/>
  <c r="Q492" i="34" s="1"/>
  <c r="N492" i="34"/>
  <c r="O492" i="34" s="1"/>
  <c r="K492" i="34"/>
  <c r="L492" i="34" s="1"/>
  <c r="F492" i="34"/>
  <c r="G492" i="34" s="1"/>
  <c r="D492" i="34"/>
  <c r="E492" i="34" s="1"/>
  <c r="B492" i="34"/>
  <c r="A492" i="34"/>
  <c r="M492" i="34" s="1"/>
  <c r="U491" i="34"/>
  <c r="S491" i="34"/>
  <c r="P491" i="34"/>
  <c r="Q491" i="34" s="1"/>
  <c r="N491" i="34"/>
  <c r="O491" i="34" s="1"/>
  <c r="K491" i="34"/>
  <c r="L491" i="34" s="1"/>
  <c r="F491" i="34"/>
  <c r="G491" i="34" s="1"/>
  <c r="D491" i="34"/>
  <c r="E491" i="34" s="1"/>
  <c r="B491" i="34"/>
  <c r="A491" i="34"/>
  <c r="M491" i="34" s="1"/>
  <c r="Y490" i="34"/>
  <c r="Z490" i="34" s="1"/>
  <c r="W490" i="34"/>
  <c r="X490" i="34" s="1"/>
  <c r="B490" i="34"/>
  <c r="A490" i="34"/>
  <c r="Y489" i="34"/>
  <c r="Z489" i="34" s="1"/>
  <c r="W489" i="34"/>
  <c r="B489" i="34"/>
  <c r="A489" i="34"/>
  <c r="Y488" i="34"/>
  <c r="Z488" i="34" s="1"/>
  <c r="W488" i="34"/>
  <c r="X488" i="34" s="1"/>
  <c r="B488" i="34"/>
  <c r="A488" i="34"/>
  <c r="Y487" i="34"/>
  <c r="Z487" i="34" s="1"/>
  <c r="W487" i="34"/>
  <c r="X487" i="34" s="1"/>
  <c r="K487" i="34"/>
  <c r="L487" i="34" s="1"/>
  <c r="B487" i="34"/>
  <c r="A487" i="34"/>
  <c r="Y486" i="34"/>
  <c r="Z486" i="34" s="1"/>
  <c r="W486" i="34"/>
  <c r="X486" i="34" s="1"/>
  <c r="B486" i="34"/>
  <c r="A486" i="34"/>
  <c r="U485" i="34"/>
  <c r="S485" i="34"/>
  <c r="P485" i="34"/>
  <c r="Q485" i="34" s="1"/>
  <c r="N485" i="34"/>
  <c r="O485" i="34" s="1"/>
  <c r="K485" i="34"/>
  <c r="L485" i="34" s="1"/>
  <c r="F485" i="34"/>
  <c r="G485" i="34" s="1"/>
  <c r="D485" i="34"/>
  <c r="E485" i="34" s="1"/>
  <c r="B485" i="34"/>
  <c r="A485" i="34"/>
  <c r="M485" i="34" s="1"/>
  <c r="U484" i="34"/>
  <c r="S484" i="34"/>
  <c r="P484" i="34"/>
  <c r="Q484" i="34" s="1"/>
  <c r="N484" i="34"/>
  <c r="O484" i="34" s="1"/>
  <c r="K484" i="34"/>
  <c r="L484" i="34" s="1"/>
  <c r="F484" i="34"/>
  <c r="G484" i="34" s="1"/>
  <c r="D484" i="34"/>
  <c r="E484" i="34" s="1"/>
  <c r="B484" i="34"/>
  <c r="A484" i="34"/>
  <c r="M484" i="34" s="1"/>
  <c r="U483" i="34"/>
  <c r="S483" i="34"/>
  <c r="P483" i="34"/>
  <c r="Q483" i="34" s="1"/>
  <c r="N483" i="34"/>
  <c r="O483" i="34" s="1"/>
  <c r="K483" i="34"/>
  <c r="L483" i="34" s="1"/>
  <c r="F483" i="34"/>
  <c r="G483" i="34" s="1"/>
  <c r="D483" i="34"/>
  <c r="E483" i="34" s="1"/>
  <c r="B483" i="34"/>
  <c r="A483" i="34"/>
  <c r="M483" i="34" s="1"/>
  <c r="U482" i="34"/>
  <c r="S482" i="34"/>
  <c r="P482" i="34"/>
  <c r="Q482" i="34" s="1"/>
  <c r="N482" i="34"/>
  <c r="O482" i="34" s="1"/>
  <c r="K482" i="34"/>
  <c r="L482" i="34" s="1"/>
  <c r="F482" i="34"/>
  <c r="G482" i="34" s="1"/>
  <c r="D482" i="34"/>
  <c r="E482" i="34" s="1"/>
  <c r="B482" i="34"/>
  <c r="A482" i="34"/>
  <c r="M482" i="34" s="1"/>
  <c r="Y481" i="34"/>
  <c r="W481" i="34"/>
  <c r="X481" i="34" s="1"/>
  <c r="B481" i="34"/>
  <c r="A481" i="34"/>
  <c r="Y480" i="34"/>
  <c r="W480" i="34"/>
  <c r="X480" i="34" s="1"/>
  <c r="B480" i="34"/>
  <c r="A480" i="34"/>
  <c r="Y479" i="34"/>
  <c r="Z479" i="34" s="1"/>
  <c r="W479" i="34"/>
  <c r="X479" i="34" s="1"/>
  <c r="B479" i="34"/>
  <c r="A479" i="34"/>
  <c r="Y478" i="34"/>
  <c r="W478" i="34"/>
  <c r="X478" i="34" s="1"/>
  <c r="K478" i="34"/>
  <c r="L478" i="34" s="1"/>
  <c r="B478" i="34"/>
  <c r="A478" i="34"/>
  <c r="Y477" i="34"/>
  <c r="Z477" i="34" s="1"/>
  <c r="W477" i="34"/>
  <c r="X477" i="34" s="1"/>
  <c r="B477" i="34"/>
  <c r="A477" i="34"/>
  <c r="U476" i="34"/>
  <c r="S476" i="34"/>
  <c r="P476" i="34"/>
  <c r="Q476" i="34" s="1"/>
  <c r="N476" i="34"/>
  <c r="O476" i="34" s="1"/>
  <c r="K476" i="34"/>
  <c r="L476" i="34" s="1"/>
  <c r="F476" i="34"/>
  <c r="G476" i="34" s="1"/>
  <c r="D476" i="34"/>
  <c r="E476" i="34" s="1"/>
  <c r="B476" i="34"/>
  <c r="A476" i="34"/>
  <c r="M476" i="34" s="1"/>
  <c r="U475" i="34"/>
  <c r="S475" i="34"/>
  <c r="P475" i="34"/>
  <c r="Q475" i="34" s="1"/>
  <c r="N475" i="34"/>
  <c r="O475" i="34" s="1"/>
  <c r="K475" i="34"/>
  <c r="L475" i="34" s="1"/>
  <c r="F475" i="34"/>
  <c r="G475" i="34" s="1"/>
  <c r="D475" i="34"/>
  <c r="E475" i="34" s="1"/>
  <c r="B475" i="34"/>
  <c r="A475" i="34"/>
  <c r="M475" i="34" s="1"/>
  <c r="U474" i="34"/>
  <c r="S474" i="34"/>
  <c r="P474" i="34"/>
  <c r="Q474" i="34" s="1"/>
  <c r="N474" i="34"/>
  <c r="O474" i="34" s="1"/>
  <c r="K474" i="34"/>
  <c r="L474" i="34" s="1"/>
  <c r="F474" i="34"/>
  <c r="G474" i="34" s="1"/>
  <c r="D474" i="34"/>
  <c r="E474" i="34" s="1"/>
  <c r="B474" i="34"/>
  <c r="A474" i="34"/>
  <c r="M474" i="34" s="1"/>
  <c r="U473" i="34"/>
  <c r="S473" i="34"/>
  <c r="P473" i="34"/>
  <c r="Q473" i="34" s="1"/>
  <c r="N473" i="34"/>
  <c r="O473" i="34" s="1"/>
  <c r="K473" i="34"/>
  <c r="L473" i="34" s="1"/>
  <c r="F473" i="34"/>
  <c r="G473" i="34" s="1"/>
  <c r="D473" i="34"/>
  <c r="E473" i="34" s="1"/>
  <c r="B473" i="34"/>
  <c r="A473" i="34"/>
  <c r="M473" i="34" s="1"/>
  <c r="Y472" i="34"/>
  <c r="Z472" i="34" s="1"/>
  <c r="W472" i="34"/>
  <c r="B472" i="34"/>
  <c r="A472" i="34"/>
  <c r="Y471" i="34"/>
  <c r="Z471" i="34" s="1"/>
  <c r="W471" i="34"/>
  <c r="X471" i="34" s="1"/>
  <c r="B471" i="34"/>
  <c r="A471" i="34"/>
  <c r="Y470" i="34"/>
  <c r="Z470" i="34" s="1"/>
  <c r="W470" i="34"/>
  <c r="X470" i="34" s="1"/>
  <c r="B470" i="34"/>
  <c r="A470" i="34"/>
  <c r="Y469" i="34"/>
  <c r="Z469" i="34" s="1"/>
  <c r="W469" i="34"/>
  <c r="X469" i="34" s="1"/>
  <c r="K469" i="34"/>
  <c r="L469" i="34" s="1"/>
  <c r="B469" i="34"/>
  <c r="A469" i="34"/>
  <c r="Y468" i="34"/>
  <c r="Z468" i="34" s="1"/>
  <c r="W468" i="34"/>
  <c r="B468" i="34"/>
  <c r="A468" i="34"/>
  <c r="U467" i="34"/>
  <c r="S467" i="34"/>
  <c r="P467" i="34"/>
  <c r="Q467" i="34" s="1"/>
  <c r="N467" i="34"/>
  <c r="O467" i="34" s="1"/>
  <c r="K467" i="34"/>
  <c r="L467" i="34" s="1"/>
  <c r="F467" i="34"/>
  <c r="G467" i="34" s="1"/>
  <c r="D467" i="34"/>
  <c r="E467" i="34" s="1"/>
  <c r="B467" i="34"/>
  <c r="A467" i="34"/>
  <c r="M467" i="34" s="1"/>
  <c r="U466" i="34"/>
  <c r="S466" i="34"/>
  <c r="P466" i="34"/>
  <c r="Q466" i="34" s="1"/>
  <c r="N466" i="34"/>
  <c r="O466" i="34" s="1"/>
  <c r="K466" i="34"/>
  <c r="L466" i="34" s="1"/>
  <c r="F466" i="34"/>
  <c r="G466" i="34" s="1"/>
  <c r="D466" i="34"/>
  <c r="E466" i="34" s="1"/>
  <c r="B466" i="34"/>
  <c r="A466" i="34"/>
  <c r="M466" i="34" s="1"/>
  <c r="U465" i="34"/>
  <c r="S465" i="34"/>
  <c r="P465" i="34"/>
  <c r="Q465" i="34" s="1"/>
  <c r="N465" i="34"/>
  <c r="O465" i="34" s="1"/>
  <c r="K465" i="34"/>
  <c r="L465" i="34" s="1"/>
  <c r="F465" i="34"/>
  <c r="G465" i="34" s="1"/>
  <c r="D465" i="34"/>
  <c r="E465" i="34" s="1"/>
  <c r="B465" i="34"/>
  <c r="A465" i="34"/>
  <c r="M465" i="34" s="1"/>
  <c r="U464" i="34"/>
  <c r="S464" i="34"/>
  <c r="P464" i="34"/>
  <c r="Q464" i="34" s="1"/>
  <c r="N464" i="34"/>
  <c r="O464" i="34" s="1"/>
  <c r="K464" i="34"/>
  <c r="L464" i="34" s="1"/>
  <c r="F464" i="34"/>
  <c r="G464" i="34" s="1"/>
  <c r="D464" i="34"/>
  <c r="E464" i="34" s="1"/>
  <c r="B464" i="34"/>
  <c r="A464" i="34"/>
  <c r="M464" i="34" s="1"/>
  <c r="Y463" i="34"/>
  <c r="W463" i="34"/>
  <c r="X463" i="34" s="1"/>
  <c r="B463" i="34"/>
  <c r="A463" i="34"/>
  <c r="Y462" i="34"/>
  <c r="W462" i="34"/>
  <c r="X462" i="34" s="1"/>
  <c r="B462" i="34"/>
  <c r="A462" i="34"/>
  <c r="Y461" i="34"/>
  <c r="Z461" i="34" s="1"/>
  <c r="W461" i="34"/>
  <c r="X461" i="34" s="1"/>
  <c r="B461" i="34"/>
  <c r="A461" i="34"/>
  <c r="Y460" i="34"/>
  <c r="W460" i="34"/>
  <c r="X460" i="34" s="1"/>
  <c r="K460" i="34"/>
  <c r="L460" i="34" s="1"/>
  <c r="B460" i="34"/>
  <c r="A460" i="34"/>
  <c r="Y459" i="34"/>
  <c r="Z459" i="34" s="1"/>
  <c r="W459" i="34"/>
  <c r="B459" i="34"/>
  <c r="A459" i="34"/>
  <c r="U458" i="34"/>
  <c r="S458" i="34"/>
  <c r="P458" i="34"/>
  <c r="Q458" i="34" s="1"/>
  <c r="N458" i="34"/>
  <c r="O458" i="34" s="1"/>
  <c r="K458" i="34"/>
  <c r="L458" i="34" s="1"/>
  <c r="F458" i="34"/>
  <c r="G458" i="34" s="1"/>
  <c r="D458" i="34"/>
  <c r="E458" i="34" s="1"/>
  <c r="B458" i="34"/>
  <c r="A458" i="34"/>
  <c r="M458" i="34" s="1"/>
  <c r="U457" i="34"/>
  <c r="S457" i="34"/>
  <c r="P457" i="34"/>
  <c r="Q457" i="34" s="1"/>
  <c r="N457" i="34"/>
  <c r="O457" i="34" s="1"/>
  <c r="K457" i="34"/>
  <c r="L457" i="34" s="1"/>
  <c r="F457" i="34"/>
  <c r="G457" i="34" s="1"/>
  <c r="D457" i="34"/>
  <c r="E457" i="34" s="1"/>
  <c r="B457" i="34"/>
  <c r="A457" i="34"/>
  <c r="M457" i="34" s="1"/>
  <c r="U456" i="34"/>
  <c r="S456" i="34"/>
  <c r="P456" i="34"/>
  <c r="Q456" i="34" s="1"/>
  <c r="N456" i="34"/>
  <c r="O456" i="34" s="1"/>
  <c r="K456" i="34"/>
  <c r="L456" i="34" s="1"/>
  <c r="F456" i="34"/>
  <c r="G456" i="34" s="1"/>
  <c r="D456" i="34"/>
  <c r="E456" i="34" s="1"/>
  <c r="B456" i="34"/>
  <c r="A456" i="34"/>
  <c r="M456" i="34" s="1"/>
  <c r="U455" i="34"/>
  <c r="S455" i="34"/>
  <c r="P455" i="34"/>
  <c r="Q455" i="34" s="1"/>
  <c r="N455" i="34"/>
  <c r="O455" i="34" s="1"/>
  <c r="K455" i="34"/>
  <c r="L455" i="34" s="1"/>
  <c r="F455" i="34"/>
  <c r="G455" i="34" s="1"/>
  <c r="D455" i="34"/>
  <c r="E455" i="34" s="1"/>
  <c r="B455" i="34"/>
  <c r="A455" i="34"/>
  <c r="M455" i="34" s="1"/>
  <c r="Y454" i="34"/>
  <c r="Z454" i="34" s="1"/>
  <c r="W454" i="34"/>
  <c r="X454" i="34" s="1"/>
  <c r="B454" i="34"/>
  <c r="A454" i="34"/>
  <c r="Y453" i="34"/>
  <c r="Z453" i="34" s="1"/>
  <c r="W453" i="34"/>
  <c r="X453" i="34" s="1"/>
  <c r="B453" i="34"/>
  <c r="A453" i="34"/>
  <c r="Y452" i="34"/>
  <c r="Z452" i="34" s="1"/>
  <c r="W452" i="34"/>
  <c r="X452" i="34" s="1"/>
  <c r="B452" i="34"/>
  <c r="A452" i="34"/>
  <c r="Y451" i="34"/>
  <c r="Z451" i="34" s="1"/>
  <c r="W451" i="34"/>
  <c r="K451" i="34"/>
  <c r="L451" i="34" s="1"/>
  <c r="B451" i="34"/>
  <c r="A451" i="34"/>
  <c r="Y450" i="34"/>
  <c r="Z450" i="34" s="1"/>
  <c r="W450" i="34"/>
  <c r="B450" i="34"/>
  <c r="A450" i="34"/>
  <c r="U449" i="34"/>
  <c r="S449" i="34"/>
  <c r="P449" i="34"/>
  <c r="Q449" i="34" s="1"/>
  <c r="N449" i="34"/>
  <c r="O449" i="34" s="1"/>
  <c r="K449" i="34"/>
  <c r="L449" i="34" s="1"/>
  <c r="F449" i="34"/>
  <c r="G449" i="34" s="1"/>
  <c r="D449" i="34"/>
  <c r="E449" i="34" s="1"/>
  <c r="B449" i="34"/>
  <c r="A449" i="34"/>
  <c r="M449" i="34" s="1"/>
  <c r="U448" i="34"/>
  <c r="S448" i="34"/>
  <c r="P448" i="34"/>
  <c r="Q448" i="34" s="1"/>
  <c r="N448" i="34"/>
  <c r="O448" i="34" s="1"/>
  <c r="K448" i="34"/>
  <c r="L448" i="34" s="1"/>
  <c r="F448" i="34"/>
  <c r="G448" i="34" s="1"/>
  <c r="D448" i="34"/>
  <c r="E448" i="34" s="1"/>
  <c r="B448" i="34"/>
  <c r="A448" i="34"/>
  <c r="M448" i="34" s="1"/>
  <c r="U447" i="34"/>
  <c r="S447" i="34"/>
  <c r="P447" i="34"/>
  <c r="Q447" i="34" s="1"/>
  <c r="N447" i="34"/>
  <c r="O447" i="34" s="1"/>
  <c r="K447" i="34"/>
  <c r="L447" i="34" s="1"/>
  <c r="F447" i="34"/>
  <c r="G447" i="34" s="1"/>
  <c r="D447" i="34"/>
  <c r="E447" i="34" s="1"/>
  <c r="B447" i="34"/>
  <c r="A447" i="34"/>
  <c r="M447" i="34" s="1"/>
  <c r="U446" i="34"/>
  <c r="S446" i="34"/>
  <c r="P446" i="34"/>
  <c r="Q446" i="34" s="1"/>
  <c r="N446" i="34"/>
  <c r="O446" i="34" s="1"/>
  <c r="K446" i="34"/>
  <c r="L446" i="34" s="1"/>
  <c r="F446" i="34"/>
  <c r="G446" i="34" s="1"/>
  <c r="D446" i="34"/>
  <c r="E446" i="34" s="1"/>
  <c r="B446" i="34"/>
  <c r="A446" i="34"/>
  <c r="M446" i="34" s="1"/>
  <c r="Y445" i="34"/>
  <c r="Z445" i="34" s="1"/>
  <c r="W445" i="34"/>
  <c r="B445" i="34"/>
  <c r="A445" i="34"/>
  <c r="Y444" i="34"/>
  <c r="Z444" i="34" s="1"/>
  <c r="W444" i="34"/>
  <c r="B444" i="34"/>
  <c r="A444" i="34"/>
  <c r="Y443" i="34"/>
  <c r="Z443" i="34" s="1"/>
  <c r="W443" i="34"/>
  <c r="B443" i="34"/>
  <c r="A443" i="34"/>
  <c r="Y442" i="34"/>
  <c r="Z442" i="34" s="1"/>
  <c r="W442" i="34"/>
  <c r="K442" i="34"/>
  <c r="L442" i="34" s="1"/>
  <c r="B442" i="34"/>
  <c r="A442" i="34"/>
  <c r="Y441" i="34"/>
  <c r="Z441" i="34" s="1"/>
  <c r="W441" i="34"/>
  <c r="B441" i="34"/>
  <c r="A441" i="34"/>
  <c r="U440" i="34"/>
  <c r="S440" i="34"/>
  <c r="P440" i="34"/>
  <c r="Q440" i="34" s="1"/>
  <c r="N440" i="34"/>
  <c r="O440" i="34" s="1"/>
  <c r="K440" i="34"/>
  <c r="L440" i="34" s="1"/>
  <c r="F440" i="34"/>
  <c r="G440" i="34" s="1"/>
  <c r="D440" i="34"/>
  <c r="E440" i="34" s="1"/>
  <c r="B440" i="34"/>
  <c r="A440" i="34"/>
  <c r="M440" i="34" s="1"/>
  <c r="U439" i="34"/>
  <c r="S439" i="34"/>
  <c r="P439" i="34"/>
  <c r="Q439" i="34" s="1"/>
  <c r="N439" i="34"/>
  <c r="O439" i="34" s="1"/>
  <c r="K439" i="34"/>
  <c r="L439" i="34" s="1"/>
  <c r="F439" i="34"/>
  <c r="G439" i="34" s="1"/>
  <c r="D439" i="34"/>
  <c r="E439" i="34" s="1"/>
  <c r="B439" i="34"/>
  <c r="A439" i="34"/>
  <c r="M439" i="34" s="1"/>
  <c r="U438" i="34"/>
  <c r="S438" i="34"/>
  <c r="P438" i="34"/>
  <c r="Q438" i="34" s="1"/>
  <c r="N438" i="34"/>
  <c r="O438" i="34" s="1"/>
  <c r="K438" i="34"/>
  <c r="L438" i="34" s="1"/>
  <c r="F438" i="34"/>
  <c r="G438" i="34" s="1"/>
  <c r="D438" i="34"/>
  <c r="E438" i="34" s="1"/>
  <c r="B438" i="34"/>
  <c r="A438" i="34"/>
  <c r="M438" i="34" s="1"/>
  <c r="U437" i="34"/>
  <c r="S437" i="34"/>
  <c r="P437" i="34"/>
  <c r="Q437" i="34" s="1"/>
  <c r="N437" i="34"/>
  <c r="O437" i="34" s="1"/>
  <c r="K437" i="34"/>
  <c r="L437" i="34" s="1"/>
  <c r="F437" i="34"/>
  <c r="G437" i="34" s="1"/>
  <c r="D437" i="34"/>
  <c r="E437" i="34" s="1"/>
  <c r="B437" i="34"/>
  <c r="A437" i="34"/>
  <c r="M437" i="34" s="1"/>
  <c r="Y436" i="34"/>
  <c r="Z436" i="34" s="1"/>
  <c r="W436" i="34"/>
  <c r="X436" i="34" s="1"/>
  <c r="B436" i="34"/>
  <c r="A436" i="34"/>
  <c r="Y435" i="34"/>
  <c r="Z435" i="34" s="1"/>
  <c r="W435" i="34"/>
  <c r="X435" i="34" s="1"/>
  <c r="B435" i="34"/>
  <c r="A435" i="34"/>
  <c r="Y434" i="34"/>
  <c r="Z434" i="34" s="1"/>
  <c r="W434" i="34"/>
  <c r="X434" i="34" s="1"/>
  <c r="B434" i="34"/>
  <c r="A434" i="34"/>
  <c r="Y433" i="34"/>
  <c r="Z433" i="34" s="1"/>
  <c r="W433" i="34"/>
  <c r="K433" i="34"/>
  <c r="L433" i="34" s="1"/>
  <c r="B433" i="34"/>
  <c r="A433" i="34"/>
  <c r="Y432" i="34"/>
  <c r="Z432" i="34" s="1"/>
  <c r="W432" i="34"/>
  <c r="B432" i="34"/>
  <c r="A432" i="34"/>
  <c r="U431" i="34"/>
  <c r="S431" i="34"/>
  <c r="P431" i="34"/>
  <c r="Q431" i="34" s="1"/>
  <c r="N431" i="34"/>
  <c r="O431" i="34" s="1"/>
  <c r="K431" i="34"/>
  <c r="L431" i="34" s="1"/>
  <c r="F431" i="34"/>
  <c r="G431" i="34" s="1"/>
  <c r="D431" i="34"/>
  <c r="E431" i="34" s="1"/>
  <c r="B431" i="34"/>
  <c r="A431" i="34"/>
  <c r="M431" i="34" s="1"/>
  <c r="U430" i="34"/>
  <c r="S430" i="34"/>
  <c r="P430" i="34"/>
  <c r="Q430" i="34" s="1"/>
  <c r="N430" i="34"/>
  <c r="O430" i="34" s="1"/>
  <c r="K430" i="34"/>
  <c r="L430" i="34" s="1"/>
  <c r="F430" i="34"/>
  <c r="G430" i="34" s="1"/>
  <c r="D430" i="34"/>
  <c r="E430" i="34" s="1"/>
  <c r="B430" i="34"/>
  <c r="A430" i="34"/>
  <c r="M430" i="34" s="1"/>
  <c r="U429" i="34"/>
  <c r="S429" i="34"/>
  <c r="P429" i="34"/>
  <c r="Q429" i="34" s="1"/>
  <c r="N429" i="34"/>
  <c r="O429" i="34" s="1"/>
  <c r="K429" i="34"/>
  <c r="L429" i="34" s="1"/>
  <c r="F429" i="34"/>
  <c r="G429" i="34" s="1"/>
  <c r="D429" i="34"/>
  <c r="E429" i="34" s="1"/>
  <c r="B429" i="34"/>
  <c r="A429" i="34"/>
  <c r="M429" i="34" s="1"/>
  <c r="U428" i="34"/>
  <c r="S428" i="34"/>
  <c r="P428" i="34"/>
  <c r="Q428" i="34" s="1"/>
  <c r="N428" i="34"/>
  <c r="O428" i="34" s="1"/>
  <c r="K428" i="34"/>
  <c r="L428" i="34" s="1"/>
  <c r="F428" i="34"/>
  <c r="G428" i="34" s="1"/>
  <c r="D428" i="34"/>
  <c r="E428" i="34" s="1"/>
  <c r="B428" i="34"/>
  <c r="A428" i="34"/>
  <c r="M428" i="34" s="1"/>
  <c r="Y427" i="34"/>
  <c r="Z427" i="34" s="1"/>
  <c r="W427" i="34"/>
  <c r="B427" i="34"/>
  <c r="A427" i="34"/>
  <c r="Y426" i="34"/>
  <c r="Z426" i="34" s="1"/>
  <c r="W426" i="34"/>
  <c r="X426" i="34" s="1"/>
  <c r="B426" i="34"/>
  <c r="A426" i="34"/>
  <c r="Y425" i="34"/>
  <c r="Z425" i="34" s="1"/>
  <c r="W425" i="34"/>
  <c r="X425" i="34" s="1"/>
  <c r="B425" i="34"/>
  <c r="A425" i="34"/>
  <c r="Y424" i="34"/>
  <c r="Z424" i="34" s="1"/>
  <c r="W424" i="34"/>
  <c r="K424" i="34"/>
  <c r="L424" i="34" s="1"/>
  <c r="B424" i="34"/>
  <c r="A424" i="34"/>
  <c r="Y423" i="34"/>
  <c r="Z423" i="34" s="1"/>
  <c r="W423" i="34"/>
  <c r="X423" i="34" s="1"/>
  <c r="B423" i="34"/>
  <c r="A423" i="34"/>
  <c r="U422" i="34"/>
  <c r="S422" i="34"/>
  <c r="P422" i="34"/>
  <c r="Q422" i="34" s="1"/>
  <c r="N422" i="34"/>
  <c r="O422" i="34" s="1"/>
  <c r="K422" i="34"/>
  <c r="L422" i="34" s="1"/>
  <c r="F422" i="34"/>
  <c r="G422" i="34" s="1"/>
  <c r="D422" i="34"/>
  <c r="E422" i="34" s="1"/>
  <c r="B422" i="34"/>
  <c r="A422" i="34"/>
  <c r="M422" i="34" s="1"/>
  <c r="U421" i="34"/>
  <c r="S421" i="34"/>
  <c r="P421" i="34"/>
  <c r="Q421" i="34" s="1"/>
  <c r="N421" i="34"/>
  <c r="O421" i="34" s="1"/>
  <c r="K421" i="34"/>
  <c r="L421" i="34" s="1"/>
  <c r="F421" i="34"/>
  <c r="G421" i="34" s="1"/>
  <c r="D421" i="34"/>
  <c r="E421" i="34" s="1"/>
  <c r="B421" i="34"/>
  <c r="A421" i="34"/>
  <c r="M421" i="34" s="1"/>
  <c r="U420" i="34"/>
  <c r="S420" i="34"/>
  <c r="P420" i="34"/>
  <c r="Q420" i="34" s="1"/>
  <c r="N420" i="34"/>
  <c r="O420" i="34" s="1"/>
  <c r="K420" i="34"/>
  <c r="L420" i="34" s="1"/>
  <c r="F420" i="34"/>
  <c r="G420" i="34" s="1"/>
  <c r="D420" i="34"/>
  <c r="E420" i="34" s="1"/>
  <c r="B420" i="34"/>
  <c r="A420" i="34"/>
  <c r="M420" i="34" s="1"/>
  <c r="U419" i="34"/>
  <c r="S419" i="34"/>
  <c r="P419" i="34"/>
  <c r="Q419" i="34" s="1"/>
  <c r="N419" i="34"/>
  <c r="O419" i="34" s="1"/>
  <c r="K419" i="34"/>
  <c r="L419" i="34" s="1"/>
  <c r="F419" i="34"/>
  <c r="G419" i="34" s="1"/>
  <c r="D419" i="34"/>
  <c r="E419" i="34" s="1"/>
  <c r="B419" i="34"/>
  <c r="A419" i="34"/>
  <c r="M419" i="34" s="1"/>
  <c r="Y418" i="34"/>
  <c r="W418" i="34"/>
  <c r="X418" i="34" s="1"/>
  <c r="B418" i="34"/>
  <c r="A418" i="34"/>
  <c r="Y417" i="34"/>
  <c r="Z417" i="34" s="1"/>
  <c r="W417" i="34"/>
  <c r="B417" i="34"/>
  <c r="A417" i="34"/>
  <c r="Y416" i="34"/>
  <c r="W416" i="34"/>
  <c r="X416" i="34" s="1"/>
  <c r="B416" i="34"/>
  <c r="A416" i="34"/>
  <c r="Y415" i="34"/>
  <c r="W415" i="34"/>
  <c r="X415" i="34" s="1"/>
  <c r="K415" i="34"/>
  <c r="L415" i="34" s="1"/>
  <c r="B415" i="34"/>
  <c r="A415" i="34"/>
  <c r="Y414" i="34"/>
  <c r="Z414" i="34" s="1"/>
  <c r="W414" i="34"/>
  <c r="B414" i="34"/>
  <c r="A414" i="34"/>
  <c r="U413" i="34"/>
  <c r="S413" i="34"/>
  <c r="P413" i="34"/>
  <c r="Q413" i="34" s="1"/>
  <c r="N413" i="34"/>
  <c r="O413" i="34" s="1"/>
  <c r="K413" i="34"/>
  <c r="L413" i="34" s="1"/>
  <c r="F413" i="34"/>
  <c r="G413" i="34" s="1"/>
  <c r="D413" i="34"/>
  <c r="E413" i="34" s="1"/>
  <c r="B413" i="34"/>
  <c r="A413" i="34"/>
  <c r="M413" i="34" s="1"/>
  <c r="U412" i="34"/>
  <c r="S412" i="34"/>
  <c r="P412" i="34"/>
  <c r="Q412" i="34" s="1"/>
  <c r="N412" i="34"/>
  <c r="O412" i="34" s="1"/>
  <c r="K412" i="34"/>
  <c r="L412" i="34" s="1"/>
  <c r="F412" i="34"/>
  <c r="G412" i="34" s="1"/>
  <c r="D412" i="34"/>
  <c r="E412" i="34" s="1"/>
  <c r="B412" i="34"/>
  <c r="A412" i="34"/>
  <c r="M412" i="34" s="1"/>
  <c r="U411" i="34"/>
  <c r="S411" i="34"/>
  <c r="P411" i="34"/>
  <c r="Q411" i="34" s="1"/>
  <c r="N411" i="34"/>
  <c r="O411" i="34" s="1"/>
  <c r="K411" i="34"/>
  <c r="L411" i="34" s="1"/>
  <c r="F411" i="34"/>
  <c r="G411" i="34" s="1"/>
  <c r="D411" i="34"/>
  <c r="E411" i="34" s="1"/>
  <c r="B411" i="34"/>
  <c r="A411" i="34"/>
  <c r="M411" i="34" s="1"/>
  <c r="U410" i="34"/>
  <c r="S410" i="34"/>
  <c r="P410" i="34"/>
  <c r="Q410" i="34" s="1"/>
  <c r="N410" i="34"/>
  <c r="O410" i="34" s="1"/>
  <c r="K410" i="34"/>
  <c r="L410" i="34" s="1"/>
  <c r="F410" i="34"/>
  <c r="G410" i="34" s="1"/>
  <c r="D410" i="34"/>
  <c r="E410" i="34" s="1"/>
  <c r="B410" i="34"/>
  <c r="A410" i="34"/>
  <c r="M410" i="34" s="1"/>
  <c r="Y409" i="34"/>
  <c r="Z409" i="34" s="1"/>
  <c r="W409" i="34"/>
  <c r="X409" i="34" s="1"/>
  <c r="B409" i="34"/>
  <c r="A409" i="34"/>
  <c r="Y408" i="34"/>
  <c r="Z408" i="34" s="1"/>
  <c r="W408" i="34"/>
  <c r="X408" i="34" s="1"/>
  <c r="B408" i="34"/>
  <c r="A408" i="34"/>
  <c r="Y407" i="34"/>
  <c r="Z407" i="34" s="1"/>
  <c r="W407" i="34"/>
  <c r="B407" i="34"/>
  <c r="A407" i="34"/>
  <c r="Y406" i="34"/>
  <c r="Z406" i="34" s="1"/>
  <c r="W406" i="34"/>
  <c r="K406" i="34"/>
  <c r="L406" i="34" s="1"/>
  <c r="B406" i="34"/>
  <c r="A406" i="34"/>
  <c r="Y405" i="34"/>
  <c r="Z405" i="34" s="1"/>
  <c r="W405" i="34"/>
  <c r="X405" i="34" s="1"/>
  <c r="B405" i="34"/>
  <c r="A405" i="34"/>
  <c r="U404" i="34"/>
  <c r="S404" i="34"/>
  <c r="P404" i="34"/>
  <c r="Q404" i="34" s="1"/>
  <c r="N404" i="34"/>
  <c r="O404" i="34" s="1"/>
  <c r="K404" i="34"/>
  <c r="F404" i="34"/>
  <c r="G404" i="34" s="1"/>
  <c r="D404" i="34"/>
  <c r="E404" i="34" s="1"/>
  <c r="B404" i="34"/>
  <c r="A404" i="34"/>
  <c r="M404" i="34" s="1"/>
  <c r="U403" i="34"/>
  <c r="S403" i="34"/>
  <c r="P403" i="34"/>
  <c r="Q403" i="34" s="1"/>
  <c r="N403" i="34"/>
  <c r="O403" i="34" s="1"/>
  <c r="K403" i="34"/>
  <c r="L403" i="34" s="1"/>
  <c r="F403" i="34"/>
  <c r="G403" i="34" s="1"/>
  <c r="D403" i="34"/>
  <c r="E403" i="34" s="1"/>
  <c r="B403" i="34"/>
  <c r="A403" i="34"/>
  <c r="M403" i="34" s="1"/>
  <c r="U402" i="34"/>
  <c r="S402" i="34"/>
  <c r="P402" i="34"/>
  <c r="Q402" i="34" s="1"/>
  <c r="N402" i="34"/>
  <c r="O402" i="34" s="1"/>
  <c r="K402" i="34"/>
  <c r="L402" i="34" s="1"/>
  <c r="F402" i="34"/>
  <c r="G402" i="34" s="1"/>
  <c r="D402" i="34"/>
  <c r="E402" i="34" s="1"/>
  <c r="B402" i="34"/>
  <c r="A402" i="34"/>
  <c r="M402" i="34" s="1"/>
  <c r="U401" i="34"/>
  <c r="S401" i="34"/>
  <c r="P401" i="34"/>
  <c r="Q401" i="34" s="1"/>
  <c r="N401" i="34"/>
  <c r="O401" i="34" s="1"/>
  <c r="K401" i="34"/>
  <c r="L401" i="34" s="1"/>
  <c r="F401" i="34"/>
  <c r="G401" i="34" s="1"/>
  <c r="D401" i="34"/>
  <c r="E401" i="34" s="1"/>
  <c r="B401" i="34"/>
  <c r="A401" i="34"/>
  <c r="M401" i="34" s="1"/>
  <c r="Y400" i="34"/>
  <c r="W400" i="34"/>
  <c r="X400" i="34" s="1"/>
  <c r="B400" i="34"/>
  <c r="A400" i="34"/>
  <c r="Y399" i="34"/>
  <c r="W399" i="34"/>
  <c r="X399" i="34" s="1"/>
  <c r="B399" i="34"/>
  <c r="A399" i="34"/>
  <c r="Y398" i="34"/>
  <c r="W398" i="34"/>
  <c r="X398" i="34" s="1"/>
  <c r="B398" i="34"/>
  <c r="A398" i="34"/>
  <c r="Y397" i="34"/>
  <c r="W397" i="34"/>
  <c r="X397" i="34" s="1"/>
  <c r="K397" i="34"/>
  <c r="L397" i="34" s="1"/>
  <c r="B397" i="34"/>
  <c r="A397" i="34"/>
  <c r="Y396" i="34"/>
  <c r="Z396" i="34" s="1"/>
  <c r="W396" i="34"/>
  <c r="B396" i="34"/>
  <c r="A396" i="34"/>
  <c r="U395" i="34"/>
  <c r="S395" i="34"/>
  <c r="P395" i="34"/>
  <c r="Q395" i="34" s="1"/>
  <c r="N395" i="34"/>
  <c r="O395" i="34" s="1"/>
  <c r="K395" i="34"/>
  <c r="L395" i="34" s="1"/>
  <c r="F395" i="34"/>
  <c r="G395" i="34" s="1"/>
  <c r="D395" i="34"/>
  <c r="E395" i="34" s="1"/>
  <c r="B395" i="34"/>
  <c r="A395" i="34"/>
  <c r="M395" i="34" s="1"/>
  <c r="U394" i="34"/>
  <c r="S394" i="34"/>
  <c r="P394" i="34"/>
  <c r="Q394" i="34" s="1"/>
  <c r="N394" i="34"/>
  <c r="O394" i="34" s="1"/>
  <c r="K394" i="34"/>
  <c r="L394" i="34" s="1"/>
  <c r="F394" i="34"/>
  <c r="G394" i="34" s="1"/>
  <c r="D394" i="34"/>
  <c r="E394" i="34" s="1"/>
  <c r="B394" i="34"/>
  <c r="A394" i="34"/>
  <c r="M394" i="34" s="1"/>
  <c r="U393" i="34"/>
  <c r="S393" i="34"/>
  <c r="P393" i="34"/>
  <c r="Q393" i="34" s="1"/>
  <c r="O393" i="34"/>
  <c r="N393" i="34"/>
  <c r="K393" i="34"/>
  <c r="L393" i="34" s="1"/>
  <c r="G393" i="34"/>
  <c r="F393" i="34"/>
  <c r="D393" i="34"/>
  <c r="E393" i="34" s="1"/>
  <c r="B393" i="34"/>
  <c r="A393" i="34"/>
  <c r="M393" i="34" s="1"/>
  <c r="U392" i="34"/>
  <c r="S392" i="34"/>
  <c r="P392" i="34"/>
  <c r="Q392" i="34" s="1"/>
  <c r="N392" i="34"/>
  <c r="O392" i="34" s="1"/>
  <c r="K392" i="34"/>
  <c r="L392" i="34" s="1"/>
  <c r="F392" i="34"/>
  <c r="G392" i="34" s="1"/>
  <c r="D392" i="34"/>
  <c r="E392" i="34" s="1"/>
  <c r="B392" i="34"/>
  <c r="A392" i="34"/>
  <c r="M392" i="34" s="1"/>
  <c r="Y391" i="34"/>
  <c r="Z391" i="34" s="1"/>
  <c r="W391" i="34"/>
  <c r="B391" i="34"/>
  <c r="A391" i="34"/>
  <c r="Y390" i="34"/>
  <c r="Z390" i="34" s="1"/>
  <c r="W390" i="34"/>
  <c r="X390" i="34" s="1"/>
  <c r="B390" i="34"/>
  <c r="A390" i="34"/>
  <c r="Y389" i="34"/>
  <c r="Z389" i="34" s="1"/>
  <c r="W389" i="34"/>
  <c r="X389" i="34" s="1"/>
  <c r="B389" i="34"/>
  <c r="A389" i="34"/>
  <c r="Y388" i="34"/>
  <c r="Z388" i="34" s="1"/>
  <c r="W388" i="34"/>
  <c r="K388" i="34"/>
  <c r="L388" i="34" s="1"/>
  <c r="B388" i="34"/>
  <c r="A388" i="34"/>
  <c r="Y387" i="34"/>
  <c r="Z387" i="34" s="1"/>
  <c r="W387" i="34"/>
  <c r="B387" i="34"/>
  <c r="A387" i="34"/>
  <c r="U386" i="34"/>
  <c r="S386" i="34"/>
  <c r="P386" i="34"/>
  <c r="Q386" i="34" s="1"/>
  <c r="N386" i="34"/>
  <c r="O386" i="34" s="1"/>
  <c r="K386" i="34"/>
  <c r="L386" i="34" s="1"/>
  <c r="F386" i="34"/>
  <c r="G386" i="34" s="1"/>
  <c r="D386" i="34"/>
  <c r="E386" i="34" s="1"/>
  <c r="B386" i="34"/>
  <c r="A386" i="34"/>
  <c r="M386" i="34" s="1"/>
  <c r="U385" i="34"/>
  <c r="S385" i="34"/>
  <c r="P385" i="34"/>
  <c r="Q385" i="34" s="1"/>
  <c r="N385" i="34"/>
  <c r="O385" i="34" s="1"/>
  <c r="K385" i="34"/>
  <c r="L385" i="34" s="1"/>
  <c r="F385" i="34"/>
  <c r="G385" i="34" s="1"/>
  <c r="D385" i="34"/>
  <c r="E385" i="34" s="1"/>
  <c r="B385" i="34"/>
  <c r="A385" i="34"/>
  <c r="M385" i="34" s="1"/>
  <c r="U384" i="34"/>
  <c r="S384" i="34"/>
  <c r="P384" i="34"/>
  <c r="Q384" i="34" s="1"/>
  <c r="N384" i="34"/>
  <c r="O384" i="34" s="1"/>
  <c r="K384" i="34"/>
  <c r="L384" i="34" s="1"/>
  <c r="F384" i="34"/>
  <c r="G384" i="34" s="1"/>
  <c r="D384" i="34"/>
  <c r="E384" i="34" s="1"/>
  <c r="B384" i="34"/>
  <c r="A384" i="34"/>
  <c r="M384" i="34" s="1"/>
  <c r="U383" i="34"/>
  <c r="S383" i="34"/>
  <c r="P383" i="34"/>
  <c r="Q383" i="34" s="1"/>
  <c r="N383" i="34"/>
  <c r="O383" i="34" s="1"/>
  <c r="K383" i="34"/>
  <c r="L383" i="34" s="1"/>
  <c r="F383" i="34"/>
  <c r="G383" i="34" s="1"/>
  <c r="D383" i="34"/>
  <c r="E383" i="34" s="1"/>
  <c r="B383" i="34"/>
  <c r="A383" i="34"/>
  <c r="M383" i="34" s="1"/>
  <c r="Y382" i="34"/>
  <c r="W382" i="34"/>
  <c r="X382" i="34" s="1"/>
  <c r="B382" i="34"/>
  <c r="A382" i="34"/>
  <c r="Y381" i="34"/>
  <c r="Z381" i="34" s="1"/>
  <c r="W381" i="34"/>
  <c r="B381" i="34"/>
  <c r="A381" i="34"/>
  <c r="Y380" i="34"/>
  <c r="W380" i="34"/>
  <c r="X380" i="34" s="1"/>
  <c r="B380" i="34"/>
  <c r="A380" i="34"/>
  <c r="Y379" i="34"/>
  <c r="Z379" i="34" s="1"/>
  <c r="W379" i="34"/>
  <c r="X379" i="34" s="1"/>
  <c r="K379" i="34"/>
  <c r="L379" i="34" s="1"/>
  <c r="B379" i="34"/>
  <c r="A379" i="34"/>
  <c r="Y378" i="34"/>
  <c r="Z378" i="34" s="1"/>
  <c r="W378" i="34"/>
  <c r="B378" i="34"/>
  <c r="A378" i="34"/>
  <c r="U377" i="34"/>
  <c r="S377" i="34"/>
  <c r="P377" i="34"/>
  <c r="Q377" i="34" s="1"/>
  <c r="N377" i="34"/>
  <c r="O377" i="34" s="1"/>
  <c r="K377" i="34"/>
  <c r="L377" i="34" s="1"/>
  <c r="F377" i="34"/>
  <c r="G377" i="34" s="1"/>
  <c r="D377" i="34"/>
  <c r="E377" i="34" s="1"/>
  <c r="B377" i="34"/>
  <c r="A377" i="34"/>
  <c r="M377" i="34" s="1"/>
  <c r="U376" i="34"/>
  <c r="S376" i="34"/>
  <c r="P376" i="34"/>
  <c r="Q376" i="34" s="1"/>
  <c r="N376" i="34"/>
  <c r="O376" i="34" s="1"/>
  <c r="K376" i="34"/>
  <c r="L376" i="34" s="1"/>
  <c r="F376" i="34"/>
  <c r="G376" i="34" s="1"/>
  <c r="D376" i="34"/>
  <c r="E376" i="34" s="1"/>
  <c r="B376" i="34"/>
  <c r="A376" i="34"/>
  <c r="M376" i="34" s="1"/>
  <c r="U375" i="34"/>
  <c r="S375" i="34"/>
  <c r="P375" i="34"/>
  <c r="Q375" i="34" s="1"/>
  <c r="N375" i="34"/>
  <c r="O375" i="34" s="1"/>
  <c r="K375" i="34"/>
  <c r="L375" i="34" s="1"/>
  <c r="F375" i="34"/>
  <c r="G375" i="34" s="1"/>
  <c r="D375" i="34"/>
  <c r="E375" i="34" s="1"/>
  <c r="B375" i="34"/>
  <c r="A375" i="34"/>
  <c r="M375" i="34" s="1"/>
  <c r="U374" i="34"/>
  <c r="S374" i="34"/>
  <c r="P374" i="34"/>
  <c r="Q374" i="34" s="1"/>
  <c r="N374" i="34"/>
  <c r="O374" i="34" s="1"/>
  <c r="K374" i="34"/>
  <c r="L374" i="34" s="1"/>
  <c r="F374" i="34"/>
  <c r="G374" i="34" s="1"/>
  <c r="D374" i="34"/>
  <c r="E374" i="34" s="1"/>
  <c r="B374" i="34"/>
  <c r="A374" i="34"/>
  <c r="M374" i="34" s="1"/>
  <c r="Y373" i="34"/>
  <c r="Z373" i="34" s="1"/>
  <c r="W373" i="34"/>
  <c r="X373" i="34" s="1"/>
  <c r="B373" i="34"/>
  <c r="A373" i="34"/>
  <c r="Y372" i="34"/>
  <c r="Z372" i="34" s="1"/>
  <c r="W372" i="34"/>
  <c r="B372" i="34"/>
  <c r="A372" i="34"/>
  <c r="Y371" i="34"/>
  <c r="Z371" i="34" s="1"/>
  <c r="W371" i="34"/>
  <c r="X371" i="34" s="1"/>
  <c r="B371" i="34"/>
  <c r="A371" i="34"/>
  <c r="Y370" i="34"/>
  <c r="Z370" i="34" s="1"/>
  <c r="W370" i="34"/>
  <c r="K370" i="34"/>
  <c r="L370" i="34" s="1"/>
  <c r="B370" i="34"/>
  <c r="A370" i="34"/>
  <c r="Y369" i="34"/>
  <c r="Z369" i="34" s="1"/>
  <c r="W369" i="34"/>
  <c r="X369" i="34" s="1"/>
  <c r="B369" i="34"/>
  <c r="A369" i="34"/>
  <c r="U368" i="34"/>
  <c r="S368" i="34"/>
  <c r="P368" i="34"/>
  <c r="Q368" i="34" s="1"/>
  <c r="N368" i="34"/>
  <c r="O368" i="34" s="1"/>
  <c r="K368" i="34"/>
  <c r="F368" i="34"/>
  <c r="G368" i="34" s="1"/>
  <c r="D368" i="34"/>
  <c r="E368" i="34" s="1"/>
  <c r="B368" i="34"/>
  <c r="A368" i="34"/>
  <c r="M368" i="34" s="1"/>
  <c r="U367" i="34"/>
  <c r="S367" i="34"/>
  <c r="P367" i="34"/>
  <c r="Q367" i="34" s="1"/>
  <c r="N367" i="34"/>
  <c r="O367" i="34" s="1"/>
  <c r="K367" i="34"/>
  <c r="L367" i="34" s="1"/>
  <c r="F367" i="34"/>
  <c r="G367" i="34" s="1"/>
  <c r="D367" i="34"/>
  <c r="E367" i="34" s="1"/>
  <c r="B367" i="34"/>
  <c r="A367" i="34"/>
  <c r="M367" i="34" s="1"/>
  <c r="U366" i="34"/>
  <c r="S366" i="34"/>
  <c r="P366" i="34"/>
  <c r="Q366" i="34" s="1"/>
  <c r="N366" i="34"/>
  <c r="O366" i="34" s="1"/>
  <c r="K366" i="34"/>
  <c r="L366" i="34" s="1"/>
  <c r="F366" i="34"/>
  <c r="G366" i="34" s="1"/>
  <c r="D366" i="34"/>
  <c r="E366" i="34" s="1"/>
  <c r="B366" i="34"/>
  <c r="A366" i="34"/>
  <c r="M366" i="34" s="1"/>
  <c r="U365" i="34"/>
  <c r="S365" i="34"/>
  <c r="P365" i="34"/>
  <c r="Q365" i="34" s="1"/>
  <c r="N365" i="34"/>
  <c r="O365" i="34" s="1"/>
  <c r="K365" i="34"/>
  <c r="L365" i="34" s="1"/>
  <c r="F365" i="34"/>
  <c r="G365" i="34" s="1"/>
  <c r="D365" i="34"/>
  <c r="E365" i="34" s="1"/>
  <c r="B365" i="34"/>
  <c r="A365" i="34"/>
  <c r="M365" i="34" s="1"/>
  <c r="Y364" i="34"/>
  <c r="Z364" i="34" s="1"/>
  <c r="W364" i="34"/>
  <c r="X364" i="34" s="1"/>
  <c r="B364" i="34"/>
  <c r="A364" i="34"/>
  <c r="Y363" i="34"/>
  <c r="W363" i="34"/>
  <c r="X363" i="34" s="1"/>
  <c r="B363" i="34"/>
  <c r="A363" i="34"/>
  <c r="Y362" i="34"/>
  <c r="Z362" i="34" s="1"/>
  <c r="W362" i="34"/>
  <c r="X362" i="34" s="1"/>
  <c r="B362" i="34"/>
  <c r="A362" i="34"/>
  <c r="Y361" i="34"/>
  <c r="Z361" i="34" s="1"/>
  <c r="W361" i="34"/>
  <c r="X361" i="34" s="1"/>
  <c r="K361" i="34"/>
  <c r="L361" i="34" s="1"/>
  <c r="B361" i="34"/>
  <c r="A361" i="34"/>
  <c r="Y360" i="34"/>
  <c r="Z360" i="34" s="1"/>
  <c r="W360" i="34"/>
  <c r="B360" i="34"/>
  <c r="A360" i="34"/>
  <c r="U359" i="34"/>
  <c r="S359" i="34"/>
  <c r="P359" i="34"/>
  <c r="Q359" i="34" s="1"/>
  <c r="N359" i="34"/>
  <c r="O359" i="34" s="1"/>
  <c r="K359" i="34"/>
  <c r="L359" i="34" s="1"/>
  <c r="F359" i="34"/>
  <c r="G359" i="34" s="1"/>
  <c r="D359" i="34"/>
  <c r="E359" i="34" s="1"/>
  <c r="B359" i="34"/>
  <c r="A359" i="34"/>
  <c r="M359" i="34" s="1"/>
  <c r="U358" i="34"/>
  <c r="S358" i="34"/>
  <c r="P358" i="34"/>
  <c r="Q358" i="34" s="1"/>
  <c r="N358" i="34"/>
  <c r="O358" i="34" s="1"/>
  <c r="K358" i="34"/>
  <c r="L358" i="34" s="1"/>
  <c r="F358" i="34"/>
  <c r="G358" i="34" s="1"/>
  <c r="D358" i="34"/>
  <c r="E358" i="34" s="1"/>
  <c r="B358" i="34"/>
  <c r="A358" i="34"/>
  <c r="M358" i="34" s="1"/>
  <c r="U357" i="34"/>
  <c r="S357" i="34"/>
  <c r="P357" i="34"/>
  <c r="Q357" i="34" s="1"/>
  <c r="N357" i="34"/>
  <c r="O357" i="34" s="1"/>
  <c r="K357" i="34"/>
  <c r="F357" i="34"/>
  <c r="G357" i="34" s="1"/>
  <c r="D357" i="34"/>
  <c r="E357" i="34" s="1"/>
  <c r="B357" i="34"/>
  <c r="A357" i="34"/>
  <c r="M357" i="34" s="1"/>
  <c r="U356" i="34"/>
  <c r="S356" i="34"/>
  <c r="P356" i="34"/>
  <c r="Q356" i="34" s="1"/>
  <c r="N356" i="34"/>
  <c r="O356" i="34" s="1"/>
  <c r="K356" i="34"/>
  <c r="L356" i="34" s="1"/>
  <c r="F356" i="34"/>
  <c r="G356" i="34" s="1"/>
  <c r="D356" i="34"/>
  <c r="E356" i="34" s="1"/>
  <c r="B356" i="34"/>
  <c r="A356" i="34"/>
  <c r="M356" i="34" s="1"/>
  <c r="Y355" i="34"/>
  <c r="Z355" i="34" s="1"/>
  <c r="W355" i="34"/>
  <c r="B355" i="34"/>
  <c r="A355" i="34"/>
  <c r="Y354" i="34"/>
  <c r="Z354" i="34" s="1"/>
  <c r="W354" i="34"/>
  <c r="B354" i="34"/>
  <c r="A354" i="34"/>
  <c r="Y353" i="34"/>
  <c r="Z353" i="34" s="1"/>
  <c r="W353" i="34"/>
  <c r="B353" i="34"/>
  <c r="A353" i="34"/>
  <c r="Y352" i="34"/>
  <c r="Z352" i="34" s="1"/>
  <c r="W352" i="34"/>
  <c r="K352" i="34"/>
  <c r="L352" i="34" s="1"/>
  <c r="B352" i="34"/>
  <c r="A352" i="34"/>
  <c r="Y351" i="34"/>
  <c r="Z351" i="34" s="1"/>
  <c r="W351" i="34"/>
  <c r="X351" i="34" s="1"/>
  <c r="B351" i="34"/>
  <c r="A351" i="34"/>
  <c r="U350" i="34"/>
  <c r="S350" i="34"/>
  <c r="P350" i="34"/>
  <c r="Q350" i="34" s="1"/>
  <c r="N350" i="34"/>
  <c r="O350" i="34" s="1"/>
  <c r="K350" i="34"/>
  <c r="L350" i="34" s="1"/>
  <c r="F350" i="34"/>
  <c r="G350" i="34" s="1"/>
  <c r="D350" i="34"/>
  <c r="E350" i="34" s="1"/>
  <c r="B350" i="34"/>
  <c r="A350" i="34"/>
  <c r="M350" i="34" s="1"/>
  <c r="U349" i="34"/>
  <c r="S349" i="34"/>
  <c r="P349" i="34"/>
  <c r="Q349" i="34" s="1"/>
  <c r="N349" i="34"/>
  <c r="O349" i="34" s="1"/>
  <c r="K349" i="34"/>
  <c r="L349" i="34" s="1"/>
  <c r="F349" i="34"/>
  <c r="G349" i="34" s="1"/>
  <c r="D349" i="34"/>
  <c r="E349" i="34" s="1"/>
  <c r="B349" i="34"/>
  <c r="A349" i="34"/>
  <c r="M349" i="34" s="1"/>
  <c r="U348" i="34"/>
  <c r="S348" i="34"/>
  <c r="P348" i="34"/>
  <c r="Q348" i="34" s="1"/>
  <c r="N348" i="34"/>
  <c r="O348" i="34" s="1"/>
  <c r="K348" i="34"/>
  <c r="L348" i="34" s="1"/>
  <c r="F348" i="34"/>
  <c r="G348" i="34" s="1"/>
  <c r="D348" i="34"/>
  <c r="E348" i="34" s="1"/>
  <c r="B348" i="34"/>
  <c r="A348" i="34"/>
  <c r="M348" i="34" s="1"/>
  <c r="U347" i="34"/>
  <c r="S347" i="34"/>
  <c r="P347" i="34"/>
  <c r="Q347" i="34" s="1"/>
  <c r="N347" i="34"/>
  <c r="O347" i="34" s="1"/>
  <c r="K347" i="34"/>
  <c r="L347" i="34" s="1"/>
  <c r="F347" i="34"/>
  <c r="G347" i="34" s="1"/>
  <c r="D347" i="34"/>
  <c r="E347" i="34" s="1"/>
  <c r="B347" i="34"/>
  <c r="A347" i="34"/>
  <c r="M347" i="34" s="1"/>
  <c r="Y346" i="34"/>
  <c r="W346" i="34"/>
  <c r="X346" i="34" s="1"/>
  <c r="B346" i="34"/>
  <c r="A346" i="34"/>
  <c r="Y345" i="34"/>
  <c r="Z345" i="34" s="1"/>
  <c r="W345" i="34"/>
  <c r="X345" i="34" s="1"/>
  <c r="B345" i="34"/>
  <c r="A345" i="34"/>
  <c r="Y344" i="34"/>
  <c r="Z344" i="34" s="1"/>
  <c r="W344" i="34"/>
  <c r="B344" i="34"/>
  <c r="A344" i="34"/>
  <c r="Y343" i="34"/>
  <c r="W343" i="34"/>
  <c r="X343" i="34" s="1"/>
  <c r="K343" i="34"/>
  <c r="L343" i="34" s="1"/>
  <c r="B343" i="34"/>
  <c r="A343" i="34"/>
  <c r="Y342" i="34"/>
  <c r="Z342" i="34" s="1"/>
  <c r="W342" i="34"/>
  <c r="B342" i="34"/>
  <c r="A342" i="34"/>
  <c r="U341" i="34"/>
  <c r="S341" i="34"/>
  <c r="P341" i="34"/>
  <c r="Q341" i="34" s="1"/>
  <c r="N341" i="34"/>
  <c r="O341" i="34" s="1"/>
  <c r="K341" i="34"/>
  <c r="L341" i="34" s="1"/>
  <c r="F341" i="34"/>
  <c r="G341" i="34" s="1"/>
  <c r="D341" i="34"/>
  <c r="E341" i="34" s="1"/>
  <c r="B341" i="34"/>
  <c r="A341" i="34"/>
  <c r="M341" i="34" s="1"/>
  <c r="U340" i="34"/>
  <c r="S340" i="34"/>
  <c r="P340" i="34"/>
  <c r="Q340" i="34" s="1"/>
  <c r="N340" i="34"/>
  <c r="O340" i="34" s="1"/>
  <c r="K340" i="34"/>
  <c r="L340" i="34" s="1"/>
  <c r="F340" i="34"/>
  <c r="G340" i="34" s="1"/>
  <c r="D340" i="34"/>
  <c r="E340" i="34" s="1"/>
  <c r="B340" i="34"/>
  <c r="A340" i="34"/>
  <c r="M340" i="34" s="1"/>
  <c r="U339" i="34"/>
  <c r="S339" i="34"/>
  <c r="P339" i="34"/>
  <c r="Q339" i="34" s="1"/>
  <c r="N339" i="34"/>
  <c r="O339" i="34" s="1"/>
  <c r="K339" i="34"/>
  <c r="L339" i="34" s="1"/>
  <c r="F339" i="34"/>
  <c r="G339" i="34" s="1"/>
  <c r="D339" i="34"/>
  <c r="E339" i="34" s="1"/>
  <c r="B339" i="34"/>
  <c r="A339" i="34"/>
  <c r="M339" i="34" s="1"/>
  <c r="U338" i="34"/>
  <c r="S338" i="34"/>
  <c r="P338" i="34"/>
  <c r="Q338" i="34" s="1"/>
  <c r="N338" i="34"/>
  <c r="O338" i="34" s="1"/>
  <c r="K338" i="34"/>
  <c r="L338" i="34" s="1"/>
  <c r="F338" i="34"/>
  <c r="G338" i="34" s="1"/>
  <c r="D338" i="34"/>
  <c r="E338" i="34" s="1"/>
  <c r="B338" i="34"/>
  <c r="A338" i="34"/>
  <c r="M338" i="34" s="1"/>
  <c r="Y337" i="34"/>
  <c r="Z337" i="34" s="1"/>
  <c r="W337" i="34"/>
  <c r="AA337" i="34" s="1"/>
  <c r="AB337" i="34" s="1"/>
  <c r="B337" i="34"/>
  <c r="A337" i="34"/>
  <c r="Y336" i="34"/>
  <c r="Z336" i="34" s="1"/>
  <c r="W336" i="34"/>
  <c r="B336" i="34"/>
  <c r="A336" i="34"/>
  <c r="Y335" i="34"/>
  <c r="Z335" i="34" s="1"/>
  <c r="W335" i="34"/>
  <c r="X335" i="34" s="1"/>
  <c r="B335" i="34"/>
  <c r="A335" i="34"/>
  <c r="Y334" i="34"/>
  <c r="Z334" i="34" s="1"/>
  <c r="W334" i="34"/>
  <c r="K334" i="34"/>
  <c r="L334" i="34" s="1"/>
  <c r="B334" i="34"/>
  <c r="A334" i="34"/>
  <c r="Y333" i="34"/>
  <c r="Z333" i="34" s="1"/>
  <c r="W333" i="34"/>
  <c r="B333" i="34"/>
  <c r="A333" i="34"/>
  <c r="U332" i="34"/>
  <c r="S332" i="34"/>
  <c r="P332" i="34"/>
  <c r="Q332" i="34" s="1"/>
  <c r="N332" i="34"/>
  <c r="O332" i="34" s="1"/>
  <c r="K332" i="34"/>
  <c r="L332" i="34" s="1"/>
  <c r="F332" i="34"/>
  <c r="G332" i="34" s="1"/>
  <c r="D332" i="34"/>
  <c r="E332" i="34" s="1"/>
  <c r="B332" i="34"/>
  <c r="A332" i="34"/>
  <c r="M332" i="34" s="1"/>
  <c r="U331" i="34"/>
  <c r="S331" i="34"/>
  <c r="P331" i="34"/>
  <c r="Q331" i="34" s="1"/>
  <c r="N331" i="34"/>
  <c r="O331" i="34" s="1"/>
  <c r="K331" i="34"/>
  <c r="L331" i="34" s="1"/>
  <c r="F331" i="34"/>
  <c r="G331" i="34" s="1"/>
  <c r="D331" i="34"/>
  <c r="E331" i="34" s="1"/>
  <c r="B331" i="34"/>
  <c r="A331" i="34"/>
  <c r="M331" i="34" s="1"/>
  <c r="U330" i="34"/>
  <c r="S330" i="34"/>
  <c r="P330" i="34"/>
  <c r="Q330" i="34" s="1"/>
  <c r="N330" i="34"/>
  <c r="O330" i="34" s="1"/>
  <c r="K330" i="34"/>
  <c r="L330" i="34" s="1"/>
  <c r="F330" i="34"/>
  <c r="G330" i="34" s="1"/>
  <c r="D330" i="34"/>
  <c r="E330" i="34" s="1"/>
  <c r="B330" i="34"/>
  <c r="A330" i="34"/>
  <c r="M330" i="34" s="1"/>
  <c r="U329" i="34"/>
  <c r="S329" i="34"/>
  <c r="P329" i="34"/>
  <c r="Q329" i="34" s="1"/>
  <c r="N329" i="34"/>
  <c r="O329" i="34" s="1"/>
  <c r="K329" i="34"/>
  <c r="L329" i="34" s="1"/>
  <c r="F329" i="34"/>
  <c r="G329" i="34" s="1"/>
  <c r="D329" i="34"/>
  <c r="E329" i="34" s="1"/>
  <c r="B329" i="34"/>
  <c r="A329" i="34"/>
  <c r="M329" i="34" s="1"/>
  <c r="Y328" i="34"/>
  <c r="W328" i="34"/>
  <c r="X328" i="34" s="1"/>
  <c r="B328" i="34"/>
  <c r="A328" i="34"/>
  <c r="Y327" i="34"/>
  <c r="Z327" i="34" s="1"/>
  <c r="W327" i="34"/>
  <c r="X327" i="34" s="1"/>
  <c r="B327" i="34"/>
  <c r="A327" i="34"/>
  <c r="Y326" i="34"/>
  <c r="Z326" i="34" s="1"/>
  <c r="W326" i="34"/>
  <c r="X326" i="34" s="1"/>
  <c r="B326" i="34"/>
  <c r="A326" i="34"/>
  <c r="Y325" i="34"/>
  <c r="Z325" i="34" s="1"/>
  <c r="W325" i="34"/>
  <c r="K325" i="34"/>
  <c r="L325" i="34" s="1"/>
  <c r="B325" i="34"/>
  <c r="A325" i="34"/>
  <c r="Y324" i="34"/>
  <c r="Z324" i="34" s="1"/>
  <c r="W324" i="34"/>
  <c r="B324" i="34"/>
  <c r="A324" i="34"/>
  <c r="U323" i="34"/>
  <c r="S323" i="34"/>
  <c r="P323" i="34"/>
  <c r="Q323" i="34" s="1"/>
  <c r="N323" i="34"/>
  <c r="O323" i="34" s="1"/>
  <c r="K323" i="34"/>
  <c r="L323" i="34" s="1"/>
  <c r="F323" i="34"/>
  <c r="G323" i="34" s="1"/>
  <c r="D323" i="34"/>
  <c r="E323" i="34" s="1"/>
  <c r="B323" i="34"/>
  <c r="A323" i="34"/>
  <c r="M323" i="34" s="1"/>
  <c r="U322" i="34"/>
  <c r="S322" i="34"/>
  <c r="P322" i="34"/>
  <c r="Q322" i="34" s="1"/>
  <c r="N322" i="34"/>
  <c r="O322" i="34" s="1"/>
  <c r="K322" i="34"/>
  <c r="L322" i="34" s="1"/>
  <c r="F322" i="34"/>
  <c r="G322" i="34" s="1"/>
  <c r="D322" i="34"/>
  <c r="E322" i="34" s="1"/>
  <c r="B322" i="34"/>
  <c r="A322" i="34"/>
  <c r="M322" i="34" s="1"/>
  <c r="U321" i="34"/>
  <c r="S321" i="34"/>
  <c r="P321" i="34"/>
  <c r="Q321" i="34" s="1"/>
  <c r="N321" i="34"/>
  <c r="O321" i="34" s="1"/>
  <c r="K321" i="34"/>
  <c r="L321" i="34" s="1"/>
  <c r="F321" i="34"/>
  <c r="G321" i="34" s="1"/>
  <c r="D321" i="34"/>
  <c r="E321" i="34" s="1"/>
  <c r="B321" i="34"/>
  <c r="A321" i="34"/>
  <c r="M321" i="34" s="1"/>
  <c r="U320" i="34"/>
  <c r="S320" i="34"/>
  <c r="P320" i="34"/>
  <c r="Q320" i="34" s="1"/>
  <c r="N320" i="34"/>
  <c r="O320" i="34" s="1"/>
  <c r="K320" i="34"/>
  <c r="L320" i="34" s="1"/>
  <c r="F320" i="34"/>
  <c r="G320" i="34" s="1"/>
  <c r="D320" i="34"/>
  <c r="E320" i="34" s="1"/>
  <c r="B320" i="34"/>
  <c r="A320" i="34"/>
  <c r="M320" i="34" s="1"/>
  <c r="Y319" i="34"/>
  <c r="Z319" i="34" s="1"/>
  <c r="W319" i="34"/>
  <c r="B319" i="34"/>
  <c r="A319" i="34"/>
  <c r="Y318" i="34"/>
  <c r="Z318" i="34" s="1"/>
  <c r="W318" i="34"/>
  <c r="B318" i="34"/>
  <c r="A318" i="34"/>
  <c r="Y317" i="34"/>
  <c r="Z317" i="34" s="1"/>
  <c r="W317" i="34"/>
  <c r="B317" i="34"/>
  <c r="A317" i="34"/>
  <c r="Y316" i="34"/>
  <c r="Z316" i="34" s="1"/>
  <c r="W316" i="34"/>
  <c r="K316" i="34"/>
  <c r="L316" i="34" s="1"/>
  <c r="B316" i="34"/>
  <c r="A316" i="34"/>
  <c r="Y315" i="34"/>
  <c r="W315" i="34"/>
  <c r="X315" i="34" s="1"/>
  <c r="B315" i="34"/>
  <c r="A315" i="34"/>
  <c r="U314" i="34"/>
  <c r="S314" i="34"/>
  <c r="P314" i="34"/>
  <c r="Q314" i="34" s="1"/>
  <c r="N314" i="34"/>
  <c r="O314" i="34" s="1"/>
  <c r="K314" i="34"/>
  <c r="L314" i="34" s="1"/>
  <c r="F314" i="34"/>
  <c r="G314" i="34" s="1"/>
  <c r="D314" i="34"/>
  <c r="E314" i="34" s="1"/>
  <c r="B314" i="34"/>
  <c r="A314" i="34"/>
  <c r="M314" i="34" s="1"/>
  <c r="U313" i="34"/>
  <c r="S313" i="34"/>
  <c r="P313" i="34"/>
  <c r="Q313" i="34" s="1"/>
  <c r="N313" i="34"/>
  <c r="O313" i="34" s="1"/>
  <c r="K313" i="34"/>
  <c r="L313" i="34" s="1"/>
  <c r="F313" i="34"/>
  <c r="G313" i="34" s="1"/>
  <c r="D313" i="34"/>
  <c r="E313" i="34" s="1"/>
  <c r="B313" i="34"/>
  <c r="A313" i="34"/>
  <c r="M313" i="34" s="1"/>
  <c r="U312" i="34"/>
  <c r="S312" i="34"/>
  <c r="P312" i="34"/>
  <c r="Q312" i="34" s="1"/>
  <c r="N312" i="34"/>
  <c r="O312" i="34" s="1"/>
  <c r="K312" i="34"/>
  <c r="L312" i="34" s="1"/>
  <c r="F312" i="34"/>
  <c r="G312" i="34" s="1"/>
  <c r="D312" i="34"/>
  <c r="E312" i="34" s="1"/>
  <c r="B312" i="34"/>
  <c r="A312" i="34"/>
  <c r="M312" i="34" s="1"/>
  <c r="U311" i="34"/>
  <c r="S311" i="34"/>
  <c r="P311" i="34"/>
  <c r="Q311" i="34" s="1"/>
  <c r="N311" i="34"/>
  <c r="O311" i="34" s="1"/>
  <c r="K311" i="34"/>
  <c r="L311" i="34" s="1"/>
  <c r="F311" i="34"/>
  <c r="G311" i="34" s="1"/>
  <c r="D311" i="34"/>
  <c r="E311" i="34" s="1"/>
  <c r="B311" i="34"/>
  <c r="A311" i="34"/>
  <c r="M311" i="34" s="1"/>
  <c r="Y310" i="34"/>
  <c r="Z310" i="34" s="1"/>
  <c r="W310" i="34"/>
  <c r="B310" i="34"/>
  <c r="A310" i="34"/>
  <c r="Y309" i="34"/>
  <c r="W309" i="34"/>
  <c r="X309" i="34" s="1"/>
  <c r="B309" i="34"/>
  <c r="A309" i="34"/>
  <c r="Y308" i="34"/>
  <c r="Z308" i="34" s="1"/>
  <c r="W308" i="34"/>
  <c r="B308" i="34"/>
  <c r="A308" i="34"/>
  <c r="Y307" i="34"/>
  <c r="Z307" i="34" s="1"/>
  <c r="W307" i="34"/>
  <c r="X307" i="34" s="1"/>
  <c r="K307" i="34"/>
  <c r="L307" i="34" s="1"/>
  <c r="B307" i="34"/>
  <c r="A307" i="34"/>
  <c r="Y306" i="34"/>
  <c r="Z306" i="34" s="1"/>
  <c r="W306" i="34"/>
  <c r="B306" i="34"/>
  <c r="A306" i="34"/>
  <c r="U305" i="34"/>
  <c r="S305" i="34"/>
  <c r="P305" i="34"/>
  <c r="Q305" i="34" s="1"/>
  <c r="N305" i="34"/>
  <c r="O305" i="34" s="1"/>
  <c r="K305" i="34"/>
  <c r="L305" i="34" s="1"/>
  <c r="F305" i="34"/>
  <c r="G305" i="34" s="1"/>
  <c r="D305" i="34"/>
  <c r="E305" i="34" s="1"/>
  <c r="B305" i="34"/>
  <c r="A305" i="34"/>
  <c r="M305" i="34" s="1"/>
  <c r="U304" i="34"/>
  <c r="S304" i="34"/>
  <c r="P304" i="34"/>
  <c r="Q304" i="34" s="1"/>
  <c r="N304" i="34"/>
  <c r="O304" i="34" s="1"/>
  <c r="K304" i="34"/>
  <c r="L304" i="34" s="1"/>
  <c r="F304" i="34"/>
  <c r="G304" i="34" s="1"/>
  <c r="D304" i="34"/>
  <c r="E304" i="34" s="1"/>
  <c r="B304" i="34"/>
  <c r="A304" i="34"/>
  <c r="M304" i="34" s="1"/>
  <c r="U303" i="34"/>
  <c r="S303" i="34"/>
  <c r="P303" i="34"/>
  <c r="Q303" i="34" s="1"/>
  <c r="N303" i="34"/>
  <c r="O303" i="34" s="1"/>
  <c r="K303" i="34"/>
  <c r="L303" i="34" s="1"/>
  <c r="F303" i="34"/>
  <c r="G303" i="34" s="1"/>
  <c r="D303" i="34"/>
  <c r="E303" i="34" s="1"/>
  <c r="B303" i="34"/>
  <c r="A303" i="34"/>
  <c r="M303" i="34" s="1"/>
  <c r="U302" i="34"/>
  <c r="S302" i="34"/>
  <c r="P302" i="34"/>
  <c r="Q302" i="34" s="1"/>
  <c r="N302" i="34"/>
  <c r="O302" i="34" s="1"/>
  <c r="K302" i="34"/>
  <c r="L302" i="34" s="1"/>
  <c r="F302" i="34"/>
  <c r="G302" i="34" s="1"/>
  <c r="D302" i="34"/>
  <c r="E302" i="34" s="1"/>
  <c r="B302" i="34"/>
  <c r="A302" i="34"/>
  <c r="M302" i="34" s="1"/>
  <c r="Y301" i="34"/>
  <c r="W301" i="34"/>
  <c r="X301" i="34" s="1"/>
  <c r="B301" i="34"/>
  <c r="A301" i="34"/>
  <c r="Y300" i="34"/>
  <c r="Z300" i="34" s="1"/>
  <c r="W300" i="34"/>
  <c r="B300" i="34"/>
  <c r="A300" i="34"/>
  <c r="Y299" i="34"/>
  <c r="Z299" i="34" s="1"/>
  <c r="W299" i="34"/>
  <c r="B299" i="34"/>
  <c r="A299" i="34"/>
  <c r="Y298" i="34"/>
  <c r="Z298" i="34" s="1"/>
  <c r="W298" i="34"/>
  <c r="X298" i="34" s="1"/>
  <c r="K298" i="34"/>
  <c r="L298" i="34" s="1"/>
  <c r="B298" i="34"/>
  <c r="A298" i="34"/>
  <c r="Y297" i="34"/>
  <c r="Z297" i="34" s="1"/>
  <c r="W297" i="34"/>
  <c r="X297" i="34" s="1"/>
  <c r="B297" i="34"/>
  <c r="A297" i="34"/>
  <c r="U296" i="34"/>
  <c r="S296" i="34"/>
  <c r="P296" i="34"/>
  <c r="Q296" i="34" s="1"/>
  <c r="N296" i="34"/>
  <c r="O296" i="34" s="1"/>
  <c r="K296" i="34"/>
  <c r="L296" i="34" s="1"/>
  <c r="F296" i="34"/>
  <c r="G296" i="34" s="1"/>
  <c r="D296" i="34"/>
  <c r="E296" i="34" s="1"/>
  <c r="B296" i="34"/>
  <c r="A296" i="34"/>
  <c r="M296" i="34" s="1"/>
  <c r="U295" i="34"/>
  <c r="S295" i="34"/>
  <c r="P295" i="34"/>
  <c r="Q295" i="34" s="1"/>
  <c r="N295" i="34"/>
  <c r="O295" i="34" s="1"/>
  <c r="K295" i="34"/>
  <c r="L295" i="34" s="1"/>
  <c r="F295" i="34"/>
  <c r="G295" i="34" s="1"/>
  <c r="D295" i="34"/>
  <c r="E295" i="34" s="1"/>
  <c r="B295" i="34"/>
  <c r="A295" i="34"/>
  <c r="M295" i="34" s="1"/>
  <c r="U294" i="34"/>
  <c r="S294" i="34"/>
  <c r="P294" i="34"/>
  <c r="Q294" i="34" s="1"/>
  <c r="N294" i="34"/>
  <c r="O294" i="34" s="1"/>
  <c r="K294" i="34"/>
  <c r="L294" i="34" s="1"/>
  <c r="F294" i="34"/>
  <c r="G294" i="34" s="1"/>
  <c r="D294" i="34"/>
  <c r="E294" i="34" s="1"/>
  <c r="B294" i="34"/>
  <c r="A294" i="34"/>
  <c r="M294" i="34" s="1"/>
  <c r="U293" i="34"/>
  <c r="S293" i="34"/>
  <c r="P293" i="34"/>
  <c r="Q293" i="34" s="1"/>
  <c r="N293" i="34"/>
  <c r="O293" i="34" s="1"/>
  <c r="K293" i="34"/>
  <c r="L293" i="34" s="1"/>
  <c r="F293" i="34"/>
  <c r="G293" i="34" s="1"/>
  <c r="D293" i="34"/>
  <c r="E293" i="34" s="1"/>
  <c r="B293" i="34"/>
  <c r="A293" i="34"/>
  <c r="M293" i="34" s="1"/>
  <c r="Y292" i="34"/>
  <c r="Z292" i="34" s="1"/>
  <c r="W292" i="34"/>
  <c r="B292" i="34"/>
  <c r="A292" i="34"/>
  <c r="Y291" i="34"/>
  <c r="Z291" i="34" s="1"/>
  <c r="W291" i="34"/>
  <c r="X291" i="34" s="1"/>
  <c r="B291" i="34"/>
  <c r="A291" i="34"/>
  <c r="Y290" i="34"/>
  <c r="Z290" i="34" s="1"/>
  <c r="W290" i="34"/>
  <c r="B290" i="34"/>
  <c r="A290" i="34"/>
  <c r="Y289" i="34"/>
  <c r="Z289" i="34" s="1"/>
  <c r="W289" i="34"/>
  <c r="X289" i="34" s="1"/>
  <c r="K289" i="34"/>
  <c r="L289" i="34" s="1"/>
  <c r="B289" i="34"/>
  <c r="A289" i="34"/>
  <c r="Y288" i="34"/>
  <c r="Z288" i="34" s="1"/>
  <c r="W288" i="34"/>
  <c r="X288" i="34" s="1"/>
  <c r="B288" i="34"/>
  <c r="A288" i="34"/>
  <c r="U287" i="34"/>
  <c r="S287" i="34"/>
  <c r="P287" i="34"/>
  <c r="Q287" i="34" s="1"/>
  <c r="N287" i="34"/>
  <c r="O287" i="34" s="1"/>
  <c r="K287" i="34"/>
  <c r="L287" i="34" s="1"/>
  <c r="F287" i="34"/>
  <c r="G287" i="34" s="1"/>
  <c r="D287" i="34"/>
  <c r="E287" i="34" s="1"/>
  <c r="B287" i="34"/>
  <c r="A287" i="34"/>
  <c r="M287" i="34" s="1"/>
  <c r="U286" i="34"/>
  <c r="S286" i="34"/>
  <c r="P286" i="34"/>
  <c r="Q286" i="34" s="1"/>
  <c r="N286" i="34"/>
  <c r="O286" i="34" s="1"/>
  <c r="K286" i="34"/>
  <c r="L286" i="34" s="1"/>
  <c r="F286" i="34"/>
  <c r="G286" i="34" s="1"/>
  <c r="D286" i="34"/>
  <c r="E286" i="34" s="1"/>
  <c r="B286" i="34"/>
  <c r="A286" i="34"/>
  <c r="M286" i="34" s="1"/>
  <c r="U285" i="34"/>
  <c r="S285" i="34"/>
  <c r="P285" i="34"/>
  <c r="Q285" i="34" s="1"/>
  <c r="N285" i="34"/>
  <c r="O285" i="34" s="1"/>
  <c r="K285" i="34"/>
  <c r="L285" i="34" s="1"/>
  <c r="F285" i="34"/>
  <c r="G285" i="34" s="1"/>
  <c r="D285" i="34"/>
  <c r="E285" i="34" s="1"/>
  <c r="B285" i="34"/>
  <c r="A285" i="34"/>
  <c r="M285" i="34" s="1"/>
  <c r="U284" i="34"/>
  <c r="S284" i="34"/>
  <c r="P284" i="34"/>
  <c r="Q284" i="34" s="1"/>
  <c r="N284" i="34"/>
  <c r="O284" i="34" s="1"/>
  <c r="K284" i="34"/>
  <c r="L284" i="34" s="1"/>
  <c r="F284" i="34"/>
  <c r="G284" i="34" s="1"/>
  <c r="D284" i="34"/>
  <c r="E284" i="34" s="1"/>
  <c r="B284" i="34"/>
  <c r="A284" i="34"/>
  <c r="M284" i="34" s="1"/>
  <c r="Y283" i="34"/>
  <c r="W283" i="34"/>
  <c r="X283" i="34" s="1"/>
  <c r="B283" i="34"/>
  <c r="A283" i="34"/>
  <c r="Y282" i="34"/>
  <c r="Z282" i="34" s="1"/>
  <c r="W282" i="34"/>
  <c r="X282" i="34" s="1"/>
  <c r="B282" i="34"/>
  <c r="A282" i="34"/>
  <c r="Y281" i="34"/>
  <c r="Z281" i="34" s="1"/>
  <c r="W281" i="34"/>
  <c r="B281" i="34"/>
  <c r="A281" i="34"/>
  <c r="Y280" i="34"/>
  <c r="Z280" i="34" s="1"/>
  <c r="W280" i="34"/>
  <c r="X280" i="34" s="1"/>
  <c r="K280" i="34"/>
  <c r="L280" i="34" s="1"/>
  <c r="B280" i="34"/>
  <c r="A280" i="34"/>
  <c r="Y279" i="34"/>
  <c r="Z279" i="34" s="1"/>
  <c r="W279" i="34"/>
  <c r="X279" i="34" s="1"/>
  <c r="B279" i="34"/>
  <c r="A279" i="34"/>
  <c r="U278" i="34"/>
  <c r="S278" i="34"/>
  <c r="P278" i="34"/>
  <c r="Q278" i="34" s="1"/>
  <c r="N278" i="34"/>
  <c r="O278" i="34" s="1"/>
  <c r="K278" i="34"/>
  <c r="L278" i="34" s="1"/>
  <c r="F278" i="34"/>
  <c r="G278" i="34" s="1"/>
  <c r="D278" i="34"/>
  <c r="E278" i="34" s="1"/>
  <c r="B278" i="34"/>
  <c r="A278" i="34"/>
  <c r="M278" i="34" s="1"/>
  <c r="U277" i="34"/>
  <c r="S277" i="34"/>
  <c r="P277" i="34"/>
  <c r="Q277" i="34" s="1"/>
  <c r="N277" i="34"/>
  <c r="O277" i="34" s="1"/>
  <c r="K277" i="34"/>
  <c r="L277" i="34" s="1"/>
  <c r="F277" i="34"/>
  <c r="G277" i="34" s="1"/>
  <c r="D277" i="34"/>
  <c r="E277" i="34" s="1"/>
  <c r="J277" i="34" s="1"/>
  <c r="H277" i="34" s="1"/>
  <c r="I277" i="34" s="1"/>
  <c r="B277" i="34"/>
  <c r="A277" i="34"/>
  <c r="M277" i="34" s="1"/>
  <c r="U276" i="34"/>
  <c r="S276" i="34"/>
  <c r="P276" i="34"/>
  <c r="Q276" i="34" s="1"/>
  <c r="N276" i="34"/>
  <c r="O276" i="34" s="1"/>
  <c r="K276" i="34"/>
  <c r="L276" i="34" s="1"/>
  <c r="F276" i="34"/>
  <c r="G276" i="34" s="1"/>
  <c r="D276" i="34"/>
  <c r="E276" i="34" s="1"/>
  <c r="B276" i="34"/>
  <c r="A276" i="34"/>
  <c r="M276" i="34" s="1"/>
  <c r="U275" i="34"/>
  <c r="S275" i="34"/>
  <c r="P275" i="34"/>
  <c r="Q275" i="34" s="1"/>
  <c r="N275" i="34"/>
  <c r="O275" i="34" s="1"/>
  <c r="K275" i="34"/>
  <c r="L275" i="34" s="1"/>
  <c r="F275" i="34"/>
  <c r="G275" i="34" s="1"/>
  <c r="D275" i="34"/>
  <c r="E275" i="34" s="1"/>
  <c r="B275" i="34"/>
  <c r="A275" i="34"/>
  <c r="M275" i="34" s="1"/>
  <c r="Y274" i="34"/>
  <c r="Z274" i="34" s="1"/>
  <c r="W274" i="34"/>
  <c r="B274" i="34"/>
  <c r="A274" i="34"/>
  <c r="Y273" i="34"/>
  <c r="Z273" i="34" s="1"/>
  <c r="W273" i="34"/>
  <c r="X273" i="34" s="1"/>
  <c r="B273" i="34"/>
  <c r="A273" i="34"/>
  <c r="Y272" i="34"/>
  <c r="Z272" i="34" s="1"/>
  <c r="W272" i="34"/>
  <c r="B272" i="34"/>
  <c r="A272" i="34"/>
  <c r="Y271" i="34"/>
  <c r="W271" i="34"/>
  <c r="X271" i="34" s="1"/>
  <c r="K271" i="34"/>
  <c r="L271" i="34" s="1"/>
  <c r="B271" i="34"/>
  <c r="A271" i="34"/>
  <c r="Y270" i="34"/>
  <c r="Z270" i="34" s="1"/>
  <c r="W270" i="34"/>
  <c r="X270" i="34" s="1"/>
  <c r="B270" i="34"/>
  <c r="A270" i="34"/>
  <c r="U269" i="34"/>
  <c r="S269" i="34"/>
  <c r="P269" i="34"/>
  <c r="Q269" i="34" s="1"/>
  <c r="N269" i="34"/>
  <c r="O269" i="34" s="1"/>
  <c r="K269" i="34"/>
  <c r="L269" i="34" s="1"/>
  <c r="F269" i="34"/>
  <c r="G269" i="34" s="1"/>
  <c r="D269" i="34"/>
  <c r="E269" i="34" s="1"/>
  <c r="B269" i="34"/>
  <c r="A269" i="34"/>
  <c r="M269" i="34" s="1"/>
  <c r="U268" i="34"/>
  <c r="S268" i="34"/>
  <c r="P268" i="34"/>
  <c r="Q268" i="34" s="1"/>
  <c r="N268" i="34"/>
  <c r="O268" i="34" s="1"/>
  <c r="K268" i="34"/>
  <c r="L268" i="34" s="1"/>
  <c r="F268" i="34"/>
  <c r="G268" i="34" s="1"/>
  <c r="D268" i="34"/>
  <c r="E268" i="34" s="1"/>
  <c r="B268" i="34"/>
  <c r="A268" i="34"/>
  <c r="M268" i="34" s="1"/>
  <c r="U267" i="34"/>
  <c r="S267" i="34"/>
  <c r="P267" i="34"/>
  <c r="Q267" i="34" s="1"/>
  <c r="N267" i="34"/>
  <c r="O267" i="34" s="1"/>
  <c r="K267" i="34"/>
  <c r="L267" i="34" s="1"/>
  <c r="F267" i="34"/>
  <c r="G267" i="34" s="1"/>
  <c r="D267" i="34"/>
  <c r="E267" i="34" s="1"/>
  <c r="B267" i="34"/>
  <c r="A267" i="34"/>
  <c r="M267" i="34" s="1"/>
  <c r="U266" i="34"/>
  <c r="S266" i="34"/>
  <c r="P266" i="34"/>
  <c r="Q266" i="34" s="1"/>
  <c r="N266" i="34"/>
  <c r="O266" i="34" s="1"/>
  <c r="K266" i="34"/>
  <c r="L266" i="34" s="1"/>
  <c r="F266" i="34"/>
  <c r="G266" i="34" s="1"/>
  <c r="D266" i="34"/>
  <c r="E266" i="34" s="1"/>
  <c r="B266" i="34"/>
  <c r="A266" i="34"/>
  <c r="M266" i="34" s="1"/>
  <c r="Y265" i="34"/>
  <c r="Z265" i="34" s="1"/>
  <c r="W265" i="34"/>
  <c r="B265" i="34"/>
  <c r="A265" i="34"/>
  <c r="Y264" i="34"/>
  <c r="Z264" i="34" s="1"/>
  <c r="W264" i="34"/>
  <c r="X264" i="34" s="1"/>
  <c r="B264" i="34"/>
  <c r="A264" i="34"/>
  <c r="Y263" i="34"/>
  <c r="Z263" i="34" s="1"/>
  <c r="W263" i="34"/>
  <c r="X263" i="34" s="1"/>
  <c r="B263" i="34"/>
  <c r="A263" i="34"/>
  <c r="Y262" i="34"/>
  <c r="Z262" i="34" s="1"/>
  <c r="W262" i="34"/>
  <c r="X262" i="34" s="1"/>
  <c r="K262" i="34"/>
  <c r="L262" i="34" s="1"/>
  <c r="B262" i="34"/>
  <c r="A262" i="34"/>
  <c r="Y261" i="34"/>
  <c r="Z261" i="34" s="1"/>
  <c r="W261" i="34"/>
  <c r="B261" i="34"/>
  <c r="A261" i="34"/>
  <c r="U260" i="34"/>
  <c r="S260" i="34"/>
  <c r="P260" i="34"/>
  <c r="Q260" i="34" s="1"/>
  <c r="N260" i="34"/>
  <c r="O260" i="34" s="1"/>
  <c r="K260" i="34"/>
  <c r="L260" i="34" s="1"/>
  <c r="F260" i="34"/>
  <c r="G260" i="34" s="1"/>
  <c r="D260" i="34"/>
  <c r="E260" i="34" s="1"/>
  <c r="B260" i="34"/>
  <c r="A260" i="34"/>
  <c r="M260" i="34" s="1"/>
  <c r="U259" i="34"/>
  <c r="S259" i="34"/>
  <c r="P259" i="34"/>
  <c r="Q259" i="34" s="1"/>
  <c r="N259" i="34"/>
  <c r="O259" i="34" s="1"/>
  <c r="K259" i="34"/>
  <c r="L259" i="34" s="1"/>
  <c r="F259" i="34"/>
  <c r="G259" i="34" s="1"/>
  <c r="D259" i="34"/>
  <c r="E259" i="34" s="1"/>
  <c r="B259" i="34"/>
  <c r="A259" i="34"/>
  <c r="M259" i="34" s="1"/>
  <c r="U258" i="34"/>
  <c r="S258" i="34"/>
  <c r="P258" i="34"/>
  <c r="Q258" i="34" s="1"/>
  <c r="N258" i="34"/>
  <c r="O258" i="34" s="1"/>
  <c r="K258" i="34"/>
  <c r="L258" i="34" s="1"/>
  <c r="F258" i="34"/>
  <c r="G258" i="34" s="1"/>
  <c r="D258" i="34"/>
  <c r="E258" i="34" s="1"/>
  <c r="B258" i="34"/>
  <c r="A258" i="34"/>
  <c r="M258" i="34" s="1"/>
  <c r="U257" i="34"/>
  <c r="S257" i="34"/>
  <c r="P257" i="34"/>
  <c r="Q257" i="34" s="1"/>
  <c r="N257" i="34"/>
  <c r="O257" i="34" s="1"/>
  <c r="K257" i="34"/>
  <c r="L257" i="34" s="1"/>
  <c r="F257" i="34"/>
  <c r="G257" i="34" s="1"/>
  <c r="D257" i="34"/>
  <c r="E257" i="34" s="1"/>
  <c r="B257" i="34"/>
  <c r="A257" i="34"/>
  <c r="M257" i="34" s="1"/>
  <c r="Y256" i="34"/>
  <c r="Z256" i="34" s="1"/>
  <c r="W256" i="34"/>
  <c r="B256" i="34"/>
  <c r="A256" i="34"/>
  <c r="Y255" i="34"/>
  <c r="Z255" i="34" s="1"/>
  <c r="W255" i="34"/>
  <c r="B255" i="34"/>
  <c r="A255" i="34"/>
  <c r="Y254" i="34"/>
  <c r="Z254" i="34" s="1"/>
  <c r="W254" i="34"/>
  <c r="AA254" i="34" s="1"/>
  <c r="AB254" i="34" s="1"/>
  <c r="B254" i="34"/>
  <c r="A254" i="34"/>
  <c r="Y253" i="34"/>
  <c r="Z253" i="34" s="1"/>
  <c r="W253" i="34"/>
  <c r="K253" i="34"/>
  <c r="L253" i="34" s="1"/>
  <c r="B253" i="34"/>
  <c r="A253" i="34"/>
  <c r="Y252" i="34"/>
  <c r="Z252" i="34" s="1"/>
  <c r="W252" i="34"/>
  <c r="B252" i="34"/>
  <c r="A252" i="34"/>
  <c r="U251" i="34"/>
  <c r="S251" i="34"/>
  <c r="P251" i="34"/>
  <c r="Q251" i="34" s="1"/>
  <c r="N251" i="34"/>
  <c r="O251" i="34" s="1"/>
  <c r="K251" i="34"/>
  <c r="L251" i="34" s="1"/>
  <c r="F251" i="34"/>
  <c r="G251" i="34" s="1"/>
  <c r="D251" i="34"/>
  <c r="E251" i="34" s="1"/>
  <c r="B251" i="34"/>
  <c r="A251" i="34"/>
  <c r="M251" i="34" s="1"/>
  <c r="U250" i="34"/>
  <c r="S250" i="34"/>
  <c r="P250" i="34"/>
  <c r="Q250" i="34" s="1"/>
  <c r="N250" i="34"/>
  <c r="O250" i="34" s="1"/>
  <c r="K250" i="34"/>
  <c r="L250" i="34" s="1"/>
  <c r="F250" i="34"/>
  <c r="G250" i="34" s="1"/>
  <c r="D250" i="34"/>
  <c r="E250" i="34" s="1"/>
  <c r="B250" i="34"/>
  <c r="A250" i="34"/>
  <c r="M250" i="34" s="1"/>
  <c r="U249" i="34"/>
  <c r="S249" i="34"/>
  <c r="P249" i="34"/>
  <c r="Q249" i="34" s="1"/>
  <c r="N249" i="34"/>
  <c r="O249" i="34" s="1"/>
  <c r="K249" i="34"/>
  <c r="L249" i="34" s="1"/>
  <c r="F249" i="34"/>
  <c r="G249" i="34" s="1"/>
  <c r="D249" i="34"/>
  <c r="E249" i="34" s="1"/>
  <c r="B249" i="34"/>
  <c r="A249" i="34"/>
  <c r="M249" i="34" s="1"/>
  <c r="U248" i="34"/>
  <c r="S248" i="34"/>
  <c r="P248" i="34"/>
  <c r="Q248" i="34" s="1"/>
  <c r="N248" i="34"/>
  <c r="O248" i="34" s="1"/>
  <c r="K248" i="34"/>
  <c r="L248" i="34" s="1"/>
  <c r="F248" i="34"/>
  <c r="G248" i="34" s="1"/>
  <c r="D248" i="34"/>
  <c r="E248" i="34" s="1"/>
  <c r="B248" i="34"/>
  <c r="A248" i="34"/>
  <c r="M248" i="34" s="1"/>
  <c r="Y247" i="34"/>
  <c r="Z247" i="34" s="1"/>
  <c r="W247" i="34"/>
  <c r="X247" i="34" s="1"/>
  <c r="B247" i="34"/>
  <c r="A247" i="34"/>
  <c r="Y246" i="34"/>
  <c r="Z246" i="34" s="1"/>
  <c r="W246" i="34"/>
  <c r="X246" i="34" s="1"/>
  <c r="B246" i="34"/>
  <c r="A246" i="34"/>
  <c r="Y245" i="34"/>
  <c r="Z245" i="34" s="1"/>
  <c r="W245" i="34"/>
  <c r="X245" i="34" s="1"/>
  <c r="B245" i="34"/>
  <c r="A245" i="34"/>
  <c r="Y244" i="34"/>
  <c r="Z244" i="34" s="1"/>
  <c r="W244" i="34"/>
  <c r="K244" i="34"/>
  <c r="L244" i="34" s="1"/>
  <c r="B244" i="34"/>
  <c r="A244" i="34"/>
  <c r="Y243" i="34"/>
  <c r="Z243" i="34" s="1"/>
  <c r="W243" i="34"/>
  <c r="B243" i="34"/>
  <c r="A243" i="34"/>
  <c r="U242" i="34"/>
  <c r="S242" i="34"/>
  <c r="P242" i="34"/>
  <c r="Q242" i="34" s="1"/>
  <c r="N242" i="34"/>
  <c r="O242" i="34" s="1"/>
  <c r="K242" i="34"/>
  <c r="L242" i="34" s="1"/>
  <c r="F242" i="34"/>
  <c r="G242" i="34" s="1"/>
  <c r="D242" i="34"/>
  <c r="E242" i="34" s="1"/>
  <c r="B242" i="34"/>
  <c r="A242" i="34"/>
  <c r="M242" i="34" s="1"/>
  <c r="U241" i="34"/>
  <c r="S241" i="34"/>
  <c r="P241" i="34"/>
  <c r="Q241" i="34" s="1"/>
  <c r="N241" i="34"/>
  <c r="O241" i="34" s="1"/>
  <c r="K241" i="34"/>
  <c r="L241" i="34" s="1"/>
  <c r="F241" i="34"/>
  <c r="G241" i="34" s="1"/>
  <c r="D241" i="34"/>
  <c r="E241" i="34" s="1"/>
  <c r="B241" i="34"/>
  <c r="A241" i="34"/>
  <c r="M241" i="34" s="1"/>
  <c r="U240" i="34"/>
  <c r="S240" i="34"/>
  <c r="P240" i="34"/>
  <c r="Q240" i="34" s="1"/>
  <c r="N240" i="34"/>
  <c r="O240" i="34" s="1"/>
  <c r="K240" i="34"/>
  <c r="L240" i="34" s="1"/>
  <c r="F240" i="34"/>
  <c r="G240" i="34" s="1"/>
  <c r="D240" i="34"/>
  <c r="E240" i="34" s="1"/>
  <c r="B240" i="34"/>
  <c r="A240" i="34"/>
  <c r="M240" i="34" s="1"/>
  <c r="U239" i="34"/>
  <c r="S239" i="34"/>
  <c r="P239" i="34"/>
  <c r="Q239" i="34" s="1"/>
  <c r="N239" i="34"/>
  <c r="O239" i="34" s="1"/>
  <c r="K239" i="34"/>
  <c r="L239" i="34" s="1"/>
  <c r="F239" i="34"/>
  <c r="G239" i="34" s="1"/>
  <c r="D239" i="34"/>
  <c r="E239" i="34" s="1"/>
  <c r="B239" i="34"/>
  <c r="A239" i="34"/>
  <c r="M239" i="34" s="1"/>
  <c r="Y238" i="34"/>
  <c r="Z238" i="34" s="1"/>
  <c r="W238" i="34"/>
  <c r="B238" i="34"/>
  <c r="A238" i="34"/>
  <c r="Y237" i="34"/>
  <c r="Z237" i="34" s="1"/>
  <c r="W237" i="34"/>
  <c r="B237" i="34"/>
  <c r="A237" i="34"/>
  <c r="Y236" i="34"/>
  <c r="W236" i="34"/>
  <c r="X236" i="34" s="1"/>
  <c r="B236" i="34"/>
  <c r="A236" i="34"/>
  <c r="Y235" i="34"/>
  <c r="Z235" i="34" s="1"/>
  <c r="W235" i="34"/>
  <c r="K235" i="34"/>
  <c r="L235" i="34" s="1"/>
  <c r="B235" i="34"/>
  <c r="A235" i="34"/>
  <c r="Y234" i="34"/>
  <c r="Z234" i="34" s="1"/>
  <c r="W234" i="34"/>
  <c r="X234" i="34" s="1"/>
  <c r="B234" i="34"/>
  <c r="A234" i="34"/>
  <c r="U233" i="34"/>
  <c r="S233" i="34"/>
  <c r="P233" i="34"/>
  <c r="Q233" i="34" s="1"/>
  <c r="N233" i="34"/>
  <c r="O233" i="34" s="1"/>
  <c r="K233" i="34"/>
  <c r="L233" i="34" s="1"/>
  <c r="F233" i="34"/>
  <c r="G233" i="34" s="1"/>
  <c r="D233" i="34"/>
  <c r="E233" i="34" s="1"/>
  <c r="B233" i="34"/>
  <c r="A233" i="34"/>
  <c r="M233" i="34" s="1"/>
  <c r="U232" i="34"/>
  <c r="S232" i="34"/>
  <c r="P232" i="34"/>
  <c r="Q232" i="34" s="1"/>
  <c r="N232" i="34"/>
  <c r="O232" i="34" s="1"/>
  <c r="K232" i="34"/>
  <c r="L232" i="34" s="1"/>
  <c r="F232" i="34"/>
  <c r="G232" i="34" s="1"/>
  <c r="D232" i="34"/>
  <c r="E232" i="34" s="1"/>
  <c r="B232" i="34"/>
  <c r="A232" i="34"/>
  <c r="M232" i="34" s="1"/>
  <c r="U231" i="34"/>
  <c r="S231" i="34"/>
  <c r="P231" i="34"/>
  <c r="Q231" i="34" s="1"/>
  <c r="N231" i="34"/>
  <c r="O231" i="34" s="1"/>
  <c r="K231" i="34"/>
  <c r="L231" i="34" s="1"/>
  <c r="F231" i="34"/>
  <c r="G231" i="34" s="1"/>
  <c r="D231" i="34"/>
  <c r="E231" i="34" s="1"/>
  <c r="B231" i="34"/>
  <c r="A231" i="34"/>
  <c r="M231" i="34" s="1"/>
  <c r="U230" i="34"/>
  <c r="S230" i="34"/>
  <c r="P230" i="34"/>
  <c r="Q230" i="34" s="1"/>
  <c r="N230" i="34"/>
  <c r="O230" i="34" s="1"/>
  <c r="K230" i="34"/>
  <c r="L230" i="34" s="1"/>
  <c r="F230" i="34"/>
  <c r="G230" i="34" s="1"/>
  <c r="D230" i="34"/>
  <c r="E230" i="34" s="1"/>
  <c r="B230" i="34"/>
  <c r="A230" i="34"/>
  <c r="M230" i="34" s="1"/>
  <c r="Y229" i="34"/>
  <c r="Z229" i="34" s="1"/>
  <c r="W229" i="34"/>
  <c r="X229" i="34" s="1"/>
  <c r="B229" i="34"/>
  <c r="A229" i="34"/>
  <c r="Y228" i="34"/>
  <c r="Z228" i="34" s="1"/>
  <c r="W228" i="34"/>
  <c r="X228" i="34" s="1"/>
  <c r="B228" i="34"/>
  <c r="A228" i="34"/>
  <c r="Y227" i="34"/>
  <c r="Z227" i="34" s="1"/>
  <c r="W227" i="34"/>
  <c r="B227" i="34"/>
  <c r="A227" i="34"/>
  <c r="Y226" i="34"/>
  <c r="Z226" i="34" s="1"/>
  <c r="W226" i="34"/>
  <c r="X226" i="34" s="1"/>
  <c r="K226" i="34"/>
  <c r="L226" i="34" s="1"/>
  <c r="B226" i="34"/>
  <c r="A226" i="34"/>
  <c r="Y225" i="34"/>
  <c r="Z225" i="34" s="1"/>
  <c r="W225" i="34"/>
  <c r="B225" i="34"/>
  <c r="A225" i="34"/>
  <c r="U224" i="34"/>
  <c r="S224" i="34"/>
  <c r="P224" i="34"/>
  <c r="Q224" i="34" s="1"/>
  <c r="N224" i="34"/>
  <c r="O224" i="34" s="1"/>
  <c r="K224" i="34"/>
  <c r="L224" i="34" s="1"/>
  <c r="F224" i="34"/>
  <c r="G224" i="34" s="1"/>
  <c r="D224" i="34"/>
  <c r="E224" i="34" s="1"/>
  <c r="B224" i="34"/>
  <c r="A224" i="34"/>
  <c r="M224" i="34" s="1"/>
  <c r="U223" i="34"/>
  <c r="S223" i="34"/>
  <c r="P223" i="34"/>
  <c r="Q223" i="34" s="1"/>
  <c r="N223" i="34"/>
  <c r="O223" i="34" s="1"/>
  <c r="K223" i="34"/>
  <c r="L223" i="34" s="1"/>
  <c r="F223" i="34"/>
  <c r="G223" i="34" s="1"/>
  <c r="D223" i="34"/>
  <c r="E223" i="34" s="1"/>
  <c r="B223" i="34"/>
  <c r="A223" i="34"/>
  <c r="M223" i="34" s="1"/>
  <c r="U222" i="34"/>
  <c r="S222" i="34"/>
  <c r="P222" i="34"/>
  <c r="Q222" i="34" s="1"/>
  <c r="N222" i="34"/>
  <c r="O222" i="34" s="1"/>
  <c r="K222" i="34"/>
  <c r="L222" i="34" s="1"/>
  <c r="F222" i="34"/>
  <c r="G222" i="34" s="1"/>
  <c r="D222" i="34"/>
  <c r="E222" i="34" s="1"/>
  <c r="B222" i="34"/>
  <c r="A222" i="34"/>
  <c r="M222" i="34" s="1"/>
  <c r="U221" i="34"/>
  <c r="S221" i="34"/>
  <c r="P221" i="34"/>
  <c r="Q221" i="34" s="1"/>
  <c r="N221" i="34"/>
  <c r="O221" i="34" s="1"/>
  <c r="K221" i="34"/>
  <c r="L221" i="34" s="1"/>
  <c r="F221" i="34"/>
  <c r="G221" i="34" s="1"/>
  <c r="D221" i="34"/>
  <c r="E221" i="34" s="1"/>
  <c r="B221" i="34"/>
  <c r="A221" i="34"/>
  <c r="M221" i="34" s="1"/>
  <c r="Y220" i="34"/>
  <c r="Z220" i="34" s="1"/>
  <c r="W220" i="34"/>
  <c r="X220" i="34" s="1"/>
  <c r="B220" i="34"/>
  <c r="A220" i="34"/>
  <c r="Y219" i="34"/>
  <c r="Z219" i="34" s="1"/>
  <c r="W219" i="34"/>
  <c r="B219" i="34"/>
  <c r="A219" i="34"/>
  <c r="Y218" i="34"/>
  <c r="Z218" i="34" s="1"/>
  <c r="W218" i="34"/>
  <c r="B218" i="34"/>
  <c r="A218" i="34"/>
  <c r="Y217" i="34"/>
  <c r="Z217" i="34" s="1"/>
  <c r="W217" i="34"/>
  <c r="K217" i="34"/>
  <c r="L217" i="34" s="1"/>
  <c r="B217" i="34"/>
  <c r="A217" i="34"/>
  <c r="Y216" i="34"/>
  <c r="Z216" i="34" s="1"/>
  <c r="W216" i="34"/>
  <c r="X216" i="34" s="1"/>
  <c r="B216" i="34"/>
  <c r="A216" i="34"/>
  <c r="U215" i="34"/>
  <c r="S215" i="34"/>
  <c r="P215" i="34"/>
  <c r="Q215" i="34" s="1"/>
  <c r="N215" i="34"/>
  <c r="O215" i="34" s="1"/>
  <c r="K215" i="34"/>
  <c r="L215" i="34" s="1"/>
  <c r="F215" i="34"/>
  <c r="G215" i="34" s="1"/>
  <c r="D215" i="34"/>
  <c r="E215" i="34" s="1"/>
  <c r="B215" i="34"/>
  <c r="A215" i="34"/>
  <c r="M215" i="34" s="1"/>
  <c r="U214" i="34"/>
  <c r="S214" i="34"/>
  <c r="P214" i="34"/>
  <c r="Q214" i="34" s="1"/>
  <c r="N214" i="34"/>
  <c r="O214" i="34" s="1"/>
  <c r="K214" i="34"/>
  <c r="L214" i="34" s="1"/>
  <c r="F214" i="34"/>
  <c r="G214" i="34" s="1"/>
  <c r="D214" i="34"/>
  <c r="E214" i="34" s="1"/>
  <c r="B214" i="34"/>
  <c r="A214" i="34"/>
  <c r="M214" i="34" s="1"/>
  <c r="U213" i="34"/>
  <c r="S213" i="34"/>
  <c r="P213" i="34"/>
  <c r="Q213" i="34" s="1"/>
  <c r="N213" i="34"/>
  <c r="O213" i="34" s="1"/>
  <c r="K213" i="34"/>
  <c r="L213" i="34" s="1"/>
  <c r="F213" i="34"/>
  <c r="G213" i="34" s="1"/>
  <c r="D213" i="34"/>
  <c r="E213" i="34" s="1"/>
  <c r="B213" i="34"/>
  <c r="A213" i="34"/>
  <c r="M213" i="34" s="1"/>
  <c r="U212" i="34"/>
  <c r="S212" i="34"/>
  <c r="P212" i="34"/>
  <c r="Q212" i="34" s="1"/>
  <c r="N212" i="34"/>
  <c r="O212" i="34" s="1"/>
  <c r="K212" i="34"/>
  <c r="L212" i="34" s="1"/>
  <c r="F212" i="34"/>
  <c r="G212" i="34" s="1"/>
  <c r="D212" i="34"/>
  <c r="E212" i="34" s="1"/>
  <c r="B212" i="34"/>
  <c r="A212" i="34"/>
  <c r="M212" i="34" s="1"/>
  <c r="Y211" i="34"/>
  <c r="Z211" i="34" s="1"/>
  <c r="W211" i="34"/>
  <c r="X211" i="34" s="1"/>
  <c r="B211" i="34"/>
  <c r="A211" i="34"/>
  <c r="Y210" i="34"/>
  <c r="Z210" i="34" s="1"/>
  <c r="W210" i="34"/>
  <c r="B210" i="34"/>
  <c r="A210" i="34"/>
  <c r="Y209" i="34"/>
  <c r="Z209" i="34" s="1"/>
  <c r="W209" i="34"/>
  <c r="X209" i="34" s="1"/>
  <c r="B209" i="34"/>
  <c r="A209" i="34"/>
  <c r="Y208" i="34"/>
  <c r="Z208" i="34" s="1"/>
  <c r="W208" i="34"/>
  <c r="X208" i="34" s="1"/>
  <c r="K208" i="34"/>
  <c r="L208" i="34" s="1"/>
  <c r="B208" i="34"/>
  <c r="A208" i="34"/>
  <c r="Y207" i="34"/>
  <c r="Z207" i="34" s="1"/>
  <c r="W207" i="34"/>
  <c r="B207" i="34"/>
  <c r="A207" i="34"/>
  <c r="U206" i="34"/>
  <c r="S206" i="34"/>
  <c r="P206" i="34"/>
  <c r="Q206" i="34" s="1"/>
  <c r="N206" i="34"/>
  <c r="O206" i="34" s="1"/>
  <c r="K206" i="34"/>
  <c r="L206" i="34" s="1"/>
  <c r="F206" i="34"/>
  <c r="G206" i="34" s="1"/>
  <c r="D206" i="34"/>
  <c r="E206" i="34" s="1"/>
  <c r="B206" i="34"/>
  <c r="A206" i="34"/>
  <c r="M206" i="34" s="1"/>
  <c r="U205" i="34"/>
  <c r="S205" i="34"/>
  <c r="P205" i="34"/>
  <c r="Q205" i="34" s="1"/>
  <c r="N205" i="34"/>
  <c r="O205" i="34" s="1"/>
  <c r="K205" i="34"/>
  <c r="L205" i="34" s="1"/>
  <c r="F205" i="34"/>
  <c r="G205" i="34" s="1"/>
  <c r="D205" i="34"/>
  <c r="E205" i="34" s="1"/>
  <c r="B205" i="34"/>
  <c r="A205" i="34"/>
  <c r="M205" i="34" s="1"/>
  <c r="U204" i="34"/>
  <c r="S204" i="34"/>
  <c r="P204" i="34"/>
  <c r="Q204" i="34" s="1"/>
  <c r="N204" i="34"/>
  <c r="O204" i="34" s="1"/>
  <c r="K204" i="34"/>
  <c r="L204" i="34" s="1"/>
  <c r="F204" i="34"/>
  <c r="G204" i="34" s="1"/>
  <c r="D204" i="34"/>
  <c r="E204" i="34" s="1"/>
  <c r="B204" i="34"/>
  <c r="A204" i="34"/>
  <c r="M204" i="34" s="1"/>
  <c r="U203" i="34"/>
  <c r="S203" i="34"/>
  <c r="P203" i="34"/>
  <c r="Q203" i="34" s="1"/>
  <c r="N203" i="34"/>
  <c r="O203" i="34" s="1"/>
  <c r="K203" i="34"/>
  <c r="L203" i="34" s="1"/>
  <c r="F203" i="34"/>
  <c r="G203" i="34" s="1"/>
  <c r="D203" i="34"/>
  <c r="E203" i="34" s="1"/>
  <c r="B203" i="34"/>
  <c r="A203" i="34"/>
  <c r="M203" i="34" s="1"/>
  <c r="Y202" i="34"/>
  <c r="Z202" i="34" s="1"/>
  <c r="W202" i="34"/>
  <c r="B202" i="34"/>
  <c r="A202" i="34"/>
  <c r="Y201" i="34"/>
  <c r="Z201" i="34" s="1"/>
  <c r="W201" i="34"/>
  <c r="B201" i="34"/>
  <c r="A201" i="34"/>
  <c r="Y200" i="34"/>
  <c r="Z200" i="34" s="1"/>
  <c r="W200" i="34"/>
  <c r="B200" i="34"/>
  <c r="A200" i="34"/>
  <c r="Y199" i="34"/>
  <c r="Z199" i="34" s="1"/>
  <c r="W199" i="34"/>
  <c r="K199" i="34"/>
  <c r="L199" i="34" s="1"/>
  <c r="B199" i="34"/>
  <c r="A199" i="34"/>
  <c r="Y198" i="34"/>
  <c r="Z198" i="34" s="1"/>
  <c r="W198" i="34"/>
  <c r="X198" i="34" s="1"/>
  <c r="B198" i="34"/>
  <c r="A198" i="34"/>
  <c r="U197" i="34"/>
  <c r="S197" i="34"/>
  <c r="P197" i="34"/>
  <c r="Q197" i="34" s="1"/>
  <c r="N197" i="34"/>
  <c r="O197" i="34" s="1"/>
  <c r="K197" i="34"/>
  <c r="L197" i="34" s="1"/>
  <c r="F197" i="34"/>
  <c r="G197" i="34" s="1"/>
  <c r="D197" i="34"/>
  <c r="E197" i="34" s="1"/>
  <c r="B197" i="34"/>
  <c r="A197" i="34"/>
  <c r="M197" i="34" s="1"/>
  <c r="U196" i="34"/>
  <c r="S196" i="34"/>
  <c r="P196" i="34"/>
  <c r="Q196" i="34" s="1"/>
  <c r="N196" i="34"/>
  <c r="O196" i="34" s="1"/>
  <c r="K196" i="34"/>
  <c r="L196" i="34" s="1"/>
  <c r="F196" i="34"/>
  <c r="G196" i="34" s="1"/>
  <c r="D196" i="34"/>
  <c r="E196" i="34" s="1"/>
  <c r="B196" i="34"/>
  <c r="A196" i="34"/>
  <c r="M196" i="34" s="1"/>
  <c r="U195" i="34"/>
  <c r="S195" i="34"/>
  <c r="P195" i="34"/>
  <c r="Q195" i="34" s="1"/>
  <c r="N195" i="34"/>
  <c r="O195" i="34" s="1"/>
  <c r="K195" i="34"/>
  <c r="L195" i="34" s="1"/>
  <c r="F195" i="34"/>
  <c r="G195" i="34" s="1"/>
  <c r="D195" i="34"/>
  <c r="E195" i="34" s="1"/>
  <c r="B195" i="34"/>
  <c r="A195" i="34"/>
  <c r="M195" i="34" s="1"/>
  <c r="U194" i="34"/>
  <c r="S194" i="34"/>
  <c r="P194" i="34"/>
  <c r="Q194" i="34" s="1"/>
  <c r="N194" i="34"/>
  <c r="O194" i="34" s="1"/>
  <c r="K194" i="34"/>
  <c r="L194" i="34" s="1"/>
  <c r="F194" i="34"/>
  <c r="G194" i="34" s="1"/>
  <c r="D194" i="34"/>
  <c r="E194" i="34" s="1"/>
  <c r="B194" i="34"/>
  <c r="A194" i="34"/>
  <c r="M194" i="34" s="1"/>
  <c r="Y193" i="34"/>
  <c r="Z193" i="34" s="1"/>
  <c r="W193" i="34"/>
  <c r="B193" i="34"/>
  <c r="A193" i="34"/>
  <c r="Y192" i="34"/>
  <c r="Z192" i="34" s="1"/>
  <c r="W192" i="34"/>
  <c r="X192" i="34" s="1"/>
  <c r="B192" i="34"/>
  <c r="A192" i="34"/>
  <c r="Y191" i="34"/>
  <c r="Z191" i="34" s="1"/>
  <c r="W191" i="34"/>
  <c r="B191" i="34"/>
  <c r="A191" i="34"/>
  <c r="Y190" i="34"/>
  <c r="Z190" i="34" s="1"/>
  <c r="W190" i="34"/>
  <c r="X190" i="34" s="1"/>
  <c r="K190" i="34"/>
  <c r="L190" i="34" s="1"/>
  <c r="B190" i="34"/>
  <c r="A190" i="34"/>
  <c r="Y189" i="34"/>
  <c r="Z189" i="34" s="1"/>
  <c r="W189" i="34"/>
  <c r="B189" i="34"/>
  <c r="A189" i="34"/>
  <c r="U188" i="34"/>
  <c r="S188" i="34"/>
  <c r="P188" i="34"/>
  <c r="Q188" i="34" s="1"/>
  <c r="N188" i="34"/>
  <c r="O188" i="34" s="1"/>
  <c r="K188" i="34"/>
  <c r="L188" i="34" s="1"/>
  <c r="F188" i="34"/>
  <c r="G188" i="34" s="1"/>
  <c r="D188" i="34"/>
  <c r="E188" i="34" s="1"/>
  <c r="B188" i="34"/>
  <c r="A188" i="34"/>
  <c r="M188" i="34" s="1"/>
  <c r="U187" i="34"/>
  <c r="S187" i="34"/>
  <c r="P187" i="34"/>
  <c r="Q187" i="34" s="1"/>
  <c r="N187" i="34"/>
  <c r="O187" i="34" s="1"/>
  <c r="K187" i="34"/>
  <c r="L187" i="34" s="1"/>
  <c r="F187" i="34"/>
  <c r="G187" i="34" s="1"/>
  <c r="D187" i="34"/>
  <c r="E187" i="34" s="1"/>
  <c r="B187" i="34"/>
  <c r="A187" i="34"/>
  <c r="M187" i="34" s="1"/>
  <c r="U186" i="34"/>
  <c r="S186" i="34"/>
  <c r="P186" i="34"/>
  <c r="Q186" i="34" s="1"/>
  <c r="N186" i="34"/>
  <c r="O186" i="34" s="1"/>
  <c r="K186" i="34"/>
  <c r="L186" i="34" s="1"/>
  <c r="F186" i="34"/>
  <c r="G186" i="34" s="1"/>
  <c r="D186" i="34"/>
  <c r="E186" i="34" s="1"/>
  <c r="B186" i="34"/>
  <c r="A186" i="34"/>
  <c r="M186" i="34" s="1"/>
  <c r="U185" i="34"/>
  <c r="S185" i="34"/>
  <c r="P185" i="34"/>
  <c r="Q185" i="34" s="1"/>
  <c r="N185" i="34"/>
  <c r="O185" i="34" s="1"/>
  <c r="K185" i="34"/>
  <c r="L185" i="34" s="1"/>
  <c r="F185" i="34"/>
  <c r="G185" i="34" s="1"/>
  <c r="D185" i="34"/>
  <c r="E185" i="34" s="1"/>
  <c r="B185" i="34"/>
  <c r="A185" i="34"/>
  <c r="M185" i="34" s="1"/>
  <c r="Y184" i="34"/>
  <c r="Z184" i="34" s="1"/>
  <c r="W184" i="34"/>
  <c r="B184" i="34"/>
  <c r="A184" i="34"/>
  <c r="Y183" i="34"/>
  <c r="Z183" i="34" s="1"/>
  <c r="W183" i="34"/>
  <c r="B183" i="34"/>
  <c r="A183" i="34"/>
  <c r="Y182" i="34"/>
  <c r="Z182" i="34" s="1"/>
  <c r="W182" i="34"/>
  <c r="X182" i="34" s="1"/>
  <c r="B182" i="34"/>
  <c r="A182" i="34"/>
  <c r="Y181" i="34"/>
  <c r="Z181" i="34" s="1"/>
  <c r="W181" i="34"/>
  <c r="K181" i="34"/>
  <c r="L181" i="34" s="1"/>
  <c r="B181" i="34"/>
  <c r="A181" i="34"/>
  <c r="Y180" i="34"/>
  <c r="W180" i="34"/>
  <c r="X180" i="34" s="1"/>
  <c r="B180" i="34"/>
  <c r="A180" i="34"/>
  <c r="U179" i="34"/>
  <c r="S179" i="34"/>
  <c r="P179" i="34"/>
  <c r="Q179" i="34" s="1"/>
  <c r="N179" i="34"/>
  <c r="O179" i="34" s="1"/>
  <c r="K179" i="34"/>
  <c r="F179" i="34"/>
  <c r="G179" i="34" s="1"/>
  <c r="D179" i="34"/>
  <c r="E179" i="34" s="1"/>
  <c r="B179" i="34"/>
  <c r="A179" i="34"/>
  <c r="M179" i="34" s="1"/>
  <c r="U178" i="34"/>
  <c r="S178" i="34"/>
  <c r="P178" i="34"/>
  <c r="Q178" i="34" s="1"/>
  <c r="N178" i="34"/>
  <c r="O178" i="34" s="1"/>
  <c r="K178" i="34"/>
  <c r="L178" i="34" s="1"/>
  <c r="F178" i="34"/>
  <c r="G178" i="34" s="1"/>
  <c r="D178" i="34"/>
  <c r="E178" i="34" s="1"/>
  <c r="B178" i="34"/>
  <c r="A178" i="34"/>
  <c r="M178" i="34" s="1"/>
  <c r="U177" i="34"/>
  <c r="S177" i="34"/>
  <c r="P177" i="34"/>
  <c r="Q177" i="34" s="1"/>
  <c r="N177" i="34"/>
  <c r="O177" i="34" s="1"/>
  <c r="K177" i="34"/>
  <c r="L177" i="34" s="1"/>
  <c r="F177" i="34"/>
  <c r="G177" i="34" s="1"/>
  <c r="D177" i="34"/>
  <c r="E177" i="34" s="1"/>
  <c r="B177" i="34"/>
  <c r="A177" i="34"/>
  <c r="M177" i="34" s="1"/>
  <c r="U176" i="34"/>
  <c r="S176" i="34"/>
  <c r="P176" i="34"/>
  <c r="Q176" i="34" s="1"/>
  <c r="N176" i="34"/>
  <c r="O176" i="34" s="1"/>
  <c r="K176" i="34"/>
  <c r="L176" i="34" s="1"/>
  <c r="F176" i="34"/>
  <c r="G176" i="34" s="1"/>
  <c r="D176" i="34"/>
  <c r="E176" i="34" s="1"/>
  <c r="B176" i="34"/>
  <c r="A176" i="34"/>
  <c r="M176" i="34" s="1"/>
  <c r="Y175" i="34"/>
  <c r="Z175" i="34" s="1"/>
  <c r="W175" i="34"/>
  <c r="X175" i="34" s="1"/>
  <c r="B175" i="34"/>
  <c r="A175" i="34"/>
  <c r="Y174" i="34"/>
  <c r="Z174" i="34" s="1"/>
  <c r="W174" i="34"/>
  <c r="X174" i="34" s="1"/>
  <c r="B174" i="34"/>
  <c r="A174" i="34"/>
  <c r="Y173" i="34"/>
  <c r="Z173" i="34" s="1"/>
  <c r="W173" i="34"/>
  <c r="X173" i="34" s="1"/>
  <c r="B173" i="34"/>
  <c r="A173" i="34"/>
  <c r="Y172" i="34"/>
  <c r="Z172" i="34" s="1"/>
  <c r="W172" i="34"/>
  <c r="X172" i="34" s="1"/>
  <c r="K172" i="34"/>
  <c r="L172" i="34" s="1"/>
  <c r="B172" i="34"/>
  <c r="A172" i="34"/>
  <c r="Y171" i="34"/>
  <c r="Z171" i="34" s="1"/>
  <c r="W171" i="34"/>
  <c r="B171" i="34"/>
  <c r="A171" i="34"/>
  <c r="U170" i="34"/>
  <c r="S170" i="34"/>
  <c r="P170" i="34"/>
  <c r="Q170" i="34" s="1"/>
  <c r="N170" i="34"/>
  <c r="O170" i="34" s="1"/>
  <c r="K170" i="34"/>
  <c r="L170" i="34" s="1"/>
  <c r="F170" i="34"/>
  <c r="G170" i="34" s="1"/>
  <c r="D170" i="34"/>
  <c r="E170" i="34" s="1"/>
  <c r="B170" i="34"/>
  <c r="A170" i="34"/>
  <c r="M170" i="34" s="1"/>
  <c r="U169" i="34"/>
  <c r="S169" i="34"/>
  <c r="P169" i="34"/>
  <c r="Q169" i="34" s="1"/>
  <c r="N169" i="34"/>
  <c r="O169" i="34" s="1"/>
  <c r="K169" i="34"/>
  <c r="L169" i="34" s="1"/>
  <c r="F169" i="34"/>
  <c r="G169" i="34" s="1"/>
  <c r="D169" i="34"/>
  <c r="E169" i="34" s="1"/>
  <c r="B169" i="34"/>
  <c r="A169" i="34"/>
  <c r="M169" i="34" s="1"/>
  <c r="U168" i="34"/>
  <c r="S168" i="34"/>
  <c r="P168" i="34"/>
  <c r="Q168" i="34" s="1"/>
  <c r="N168" i="34"/>
  <c r="O168" i="34" s="1"/>
  <c r="K168" i="34"/>
  <c r="F168" i="34"/>
  <c r="G168" i="34" s="1"/>
  <c r="D168" i="34"/>
  <c r="E168" i="34" s="1"/>
  <c r="B168" i="34"/>
  <c r="A168" i="34"/>
  <c r="M168" i="34" s="1"/>
  <c r="U167" i="34"/>
  <c r="S167" i="34"/>
  <c r="P167" i="34"/>
  <c r="Q167" i="34" s="1"/>
  <c r="N167" i="34"/>
  <c r="O167" i="34" s="1"/>
  <c r="K167" i="34"/>
  <c r="L167" i="34" s="1"/>
  <c r="F167" i="34"/>
  <c r="G167" i="34" s="1"/>
  <c r="D167" i="34"/>
  <c r="E167" i="34" s="1"/>
  <c r="B167" i="34"/>
  <c r="A167" i="34"/>
  <c r="M167" i="34" s="1"/>
  <c r="Y166" i="34"/>
  <c r="Z166" i="34" s="1"/>
  <c r="W166" i="34"/>
  <c r="B166" i="34"/>
  <c r="A166" i="34"/>
  <c r="Y165" i="34"/>
  <c r="Z165" i="34" s="1"/>
  <c r="W165" i="34"/>
  <c r="B165" i="34"/>
  <c r="A165" i="34"/>
  <c r="Y164" i="34"/>
  <c r="Z164" i="34" s="1"/>
  <c r="W164" i="34"/>
  <c r="X164" i="34" s="1"/>
  <c r="B164" i="34"/>
  <c r="A164" i="34"/>
  <c r="Y163" i="34"/>
  <c r="Z163" i="34" s="1"/>
  <c r="W163" i="34"/>
  <c r="K163" i="34"/>
  <c r="L163" i="34" s="1"/>
  <c r="B163" i="34"/>
  <c r="A163" i="34"/>
  <c r="Y162" i="34"/>
  <c r="Z162" i="34" s="1"/>
  <c r="W162" i="34"/>
  <c r="X162" i="34" s="1"/>
  <c r="B162" i="34"/>
  <c r="A162" i="34"/>
  <c r="U161" i="34"/>
  <c r="S161" i="34"/>
  <c r="P161" i="34"/>
  <c r="Q161" i="34" s="1"/>
  <c r="N161" i="34"/>
  <c r="O161" i="34" s="1"/>
  <c r="K161" i="34"/>
  <c r="L161" i="34" s="1"/>
  <c r="F161" i="34"/>
  <c r="G161" i="34" s="1"/>
  <c r="D161" i="34"/>
  <c r="E161" i="34" s="1"/>
  <c r="B161" i="34"/>
  <c r="A161" i="34"/>
  <c r="M161" i="34" s="1"/>
  <c r="U160" i="34"/>
  <c r="S160" i="34"/>
  <c r="P160" i="34"/>
  <c r="Q160" i="34" s="1"/>
  <c r="N160" i="34"/>
  <c r="O160" i="34" s="1"/>
  <c r="K160" i="34"/>
  <c r="L160" i="34" s="1"/>
  <c r="F160" i="34"/>
  <c r="G160" i="34" s="1"/>
  <c r="D160" i="34"/>
  <c r="E160" i="34" s="1"/>
  <c r="B160" i="34"/>
  <c r="A160" i="34"/>
  <c r="M160" i="34" s="1"/>
  <c r="U159" i="34"/>
  <c r="S159" i="34"/>
  <c r="P159" i="34"/>
  <c r="Q159" i="34" s="1"/>
  <c r="N159" i="34"/>
  <c r="O159" i="34" s="1"/>
  <c r="K159" i="34"/>
  <c r="L159" i="34" s="1"/>
  <c r="F159" i="34"/>
  <c r="G159" i="34" s="1"/>
  <c r="D159" i="34"/>
  <c r="E159" i="34" s="1"/>
  <c r="B159" i="34"/>
  <c r="A159" i="34"/>
  <c r="M159" i="34" s="1"/>
  <c r="U158" i="34"/>
  <c r="S158" i="34"/>
  <c r="P158" i="34"/>
  <c r="Q158" i="34" s="1"/>
  <c r="N158" i="34"/>
  <c r="O158" i="34" s="1"/>
  <c r="K158" i="34"/>
  <c r="L158" i="34" s="1"/>
  <c r="F158" i="34"/>
  <c r="G158" i="34" s="1"/>
  <c r="D158" i="34"/>
  <c r="E158" i="34" s="1"/>
  <c r="B158" i="34"/>
  <c r="A158" i="34"/>
  <c r="M158" i="34" s="1"/>
  <c r="Y157" i="34"/>
  <c r="Z157" i="34" s="1"/>
  <c r="W157" i="34"/>
  <c r="X157" i="34" s="1"/>
  <c r="B157" i="34"/>
  <c r="A157" i="34"/>
  <c r="Y156" i="34"/>
  <c r="Z156" i="34" s="1"/>
  <c r="W156" i="34"/>
  <c r="X156" i="34" s="1"/>
  <c r="B156" i="34"/>
  <c r="A156" i="34"/>
  <c r="Y155" i="34"/>
  <c r="Z155" i="34" s="1"/>
  <c r="W155" i="34"/>
  <c r="X155" i="34" s="1"/>
  <c r="B155" i="34"/>
  <c r="A155" i="34"/>
  <c r="Y154" i="34"/>
  <c r="Z154" i="34" s="1"/>
  <c r="W154" i="34"/>
  <c r="X154" i="34" s="1"/>
  <c r="K154" i="34"/>
  <c r="L154" i="34" s="1"/>
  <c r="B154" i="34"/>
  <c r="A154" i="34"/>
  <c r="Y153" i="34"/>
  <c r="Z153" i="34" s="1"/>
  <c r="W153" i="34"/>
  <c r="B153" i="34"/>
  <c r="A153" i="34"/>
  <c r="U152" i="34"/>
  <c r="S152" i="34"/>
  <c r="P152" i="34"/>
  <c r="Q152" i="34" s="1"/>
  <c r="N152" i="34"/>
  <c r="O152" i="34" s="1"/>
  <c r="K152" i="34"/>
  <c r="L152" i="34" s="1"/>
  <c r="F152" i="34"/>
  <c r="G152" i="34" s="1"/>
  <c r="D152" i="34"/>
  <c r="E152" i="34" s="1"/>
  <c r="B152" i="34"/>
  <c r="A152" i="34"/>
  <c r="M152" i="34" s="1"/>
  <c r="U151" i="34"/>
  <c r="S151" i="34"/>
  <c r="P151" i="34"/>
  <c r="Q151" i="34" s="1"/>
  <c r="N151" i="34"/>
  <c r="O151" i="34" s="1"/>
  <c r="K151" i="34"/>
  <c r="L151" i="34" s="1"/>
  <c r="F151" i="34"/>
  <c r="G151" i="34" s="1"/>
  <c r="D151" i="34"/>
  <c r="E151" i="34" s="1"/>
  <c r="B151" i="34"/>
  <c r="A151" i="34"/>
  <c r="M151" i="34" s="1"/>
  <c r="U150" i="34"/>
  <c r="S150" i="34"/>
  <c r="P150" i="34"/>
  <c r="Q150" i="34" s="1"/>
  <c r="N150" i="34"/>
  <c r="O150" i="34" s="1"/>
  <c r="K150" i="34"/>
  <c r="L150" i="34" s="1"/>
  <c r="F150" i="34"/>
  <c r="G150" i="34" s="1"/>
  <c r="D150" i="34"/>
  <c r="E150" i="34" s="1"/>
  <c r="B150" i="34"/>
  <c r="A150" i="34"/>
  <c r="M150" i="34" s="1"/>
  <c r="U149" i="34"/>
  <c r="S149" i="34"/>
  <c r="P149" i="34"/>
  <c r="Q149" i="34" s="1"/>
  <c r="N149" i="34"/>
  <c r="O149" i="34" s="1"/>
  <c r="K149" i="34"/>
  <c r="L149" i="34" s="1"/>
  <c r="F149" i="34"/>
  <c r="G149" i="34" s="1"/>
  <c r="D149" i="34"/>
  <c r="E149" i="34" s="1"/>
  <c r="B149" i="34"/>
  <c r="A149" i="34"/>
  <c r="M149" i="34" s="1"/>
  <c r="Y148" i="34"/>
  <c r="Z148" i="34" s="1"/>
  <c r="W148" i="34"/>
  <c r="X148" i="34" s="1"/>
  <c r="B148" i="34"/>
  <c r="A148" i="34"/>
  <c r="Y147" i="34"/>
  <c r="Z147" i="34" s="1"/>
  <c r="W147" i="34"/>
  <c r="B147" i="34"/>
  <c r="A147" i="34"/>
  <c r="Y146" i="34"/>
  <c r="Z146" i="34" s="1"/>
  <c r="W146" i="34"/>
  <c r="B146" i="34"/>
  <c r="A146" i="34"/>
  <c r="Y145" i="34"/>
  <c r="Z145" i="34" s="1"/>
  <c r="W145" i="34"/>
  <c r="K145" i="34"/>
  <c r="L145" i="34" s="1"/>
  <c r="B145" i="34"/>
  <c r="A145" i="34"/>
  <c r="Y144" i="34"/>
  <c r="W144" i="34"/>
  <c r="X144" i="34" s="1"/>
  <c r="B144" i="34"/>
  <c r="A144" i="34"/>
  <c r="U143" i="34"/>
  <c r="S143" i="34"/>
  <c r="P143" i="34"/>
  <c r="Q143" i="34" s="1"/>
  <c r="N143" i="34"/>
  <c r="O143" i="34" s="1"/>
  <c r="K143" i="34"/>
  <c r="L143" i="34" s="1"/>
  <c r="F143" i="34"/>
  <c r="G143" i="34" s="1"/>
  <c r="D143" i="34"/>
  <c r="E143" i="34" s="1"/>
  <c r="B143" i="34"/>
  <c r="A143" i="34"/>
  <c r="M143" i="34" s="1"/>
  <c r="U142" i="34"/>
  <c r="S142" i="34"/>
  <c r="P142" i="34"/>
  <c r="Q142" i="34" s="1"/>
  <c r="N142" i="34"/>
  <c r="O142" i="34" s="1"/>
  <c r="K142" i="34"/>
  <c r="L142" i="34" s="1"/>
  <c r="F142" i="34"/>
  <c r="G142" i="34" s="1"/>
  <c r="D142" i="34"/>
  <c r="E142" i="34" s="1"/>
  <c r="B142" i="34"/>
  <c r="A142" i="34"/>
  <c r="M142" i="34" s="1"/>
  <c r="U141" i="34"/>
  <c r="S141" i="34"/>
  <c r="P141" i="34"/>
  <c r="Q141" i="34" s="1"/>
  <c r="N141" i="34"/>
  <c r="O141" i="34" s="1"/>
  <c r="K141" i="34"/>
  <c r="L141" i="34" s="1"/>
  <c r="F141" i="34"/>
  <c r="G141" i="34" s="1"/>
  <c r="D141" i="34"/>
  <c r="E141" i="34" s="1"/>
  <c r="B141" i="34"/>
  <c r="A141" i="34"/>
  <c r="M141" i="34" s="1"/>
  <c r="U140" i="34"/>
  <c r="S140" i="34"/>
  <c r="P140" i="34"/>
  <c r="Q140" i="34" s="1"/>
  <c r="N140" i="34"/>
  <c r="O140" i="34" s="1"/>
  <c r="K140" i="34"/>
  <c r="L140" i="34" s="1"/>
  <c r="F140" i="34"/>
  <c r="G140" i="34" s="1"/>
  <c r="D140" i="34"/>
  <c r="E140" i="34" s="1"/>
  <c r="B140" i="34"/>
  <c r="A140" i="34"/>
  <c r="M140" i="34" s="1"/>
  <c r="Y139" i="34"/>
  <c r="Z139" i="34" s="1"/>
  <c r="W139" i="34"/>
  <c r="X139" i="34" s="1"/>
  <c r="B139" i="34"/>
  <c r="A139" i="34"/>
  <c r="Y138" i="34"/>
  <c r="Z138" i="34" s="1"/>
  <c r="W138" i="34"/>
  <c r="X138" i="34" s="1"/>
  <c r="B138" i="34"/>
  <c r="A138" i="34"/>
  <c r="Y137" i="34"/>
  <c r="Z137" i="34" s="1"/>
  <c r="W137" i="34"/>
  <c r="X137" i="34" s="1"/>
  <c r="B137" i="34"/>
  <c r="A137" i="34"/>
  <c r="Y136" i="34"/>
  <c r="Z136" i="34" s="1"/>
  <c r="W136" i="34"/>
  <c r="K136" i="34"/>
  <c r="L136" i="34" s="1"/>
  <c r="B136" i="34"/>
  <c r="A136" i="34"/>
  <c r="Y135" i="34"/>
  <c r="Z135" i="34" s="1"/>
  <c r="W135" i="34"/>
  <c r="B135" i="34"/>
  <c r="A135" i="34"/>
  <c r="U134" i="34"/>
  <c r="S134" i="34"/>
  <c r="P134" i="34"/>
  <c r="Q134" i="34" s="1"/>
  <c r="N134" i="34"/>
  <c r="O134" i="34" s="1"/>
  <c r="K134" i="34"/>
  <c r="L134" i="34" s="1"/>
  <c r="F134" i="34"/>
  <c r="G134" i="34" s="1"/>
  <c r="D134" i="34"/>
  <c r="E134" i="34" s="1"/>
  <c r="B134" i="34"/>
  <c r="A134" i="34"/>
  <c r="M134" i="34" s="1"/>
  <c r="U133" i="34"/>
  <c r="S133" i="34"/>
  <c r="P133" i="34"/>
  <c r="Q133" i="34" s="1"/>
  <c r="N133" i="34"/>
  <c r="O133" i="34" s="1"/>
  <c r="K133" i="34"/>
  <c r="L133" i="34" s="1"/>
  <c r="F133" i="34"/>
  <c r="G133" i="34" s="1"/>
  <c r="D133" i="34"/>
  <c r="E133" i="34" s="1"/>
  <c r="B133" i="34"/>
  <c r="A133" i="34"/>
  <c r="M133" i="34" s="1"/>
  <c r="U132" i="34"/>
  <c r="S132" i="34"/>
  <c r="P132" i="34"/>
  <c r="Q132" i="34" s="1"/>
  <c r="N132" i="34"/>
  <c r="O132" i="34" s="1"/>
  <c r="K132" i="34"/>
  <c r="L132" i="34" s="1"/>
  <c r="F132" i="34"/>
  <c r="G132" i="34" s="1"/>
  <c r="D132" i="34"/>
  <c r="E132" i="34" s="1"/>
  <c r="B132" i="34"/>
  <c r="A132" i="34"/>
  <c r="M132" i="34" s="1"/>
  <c r="U131" i="34"/>
  <c r="S131" i="34"/>
  <c r="P131" i="34"/>
  <c r="Q131" i="34" s="1"/>
  <c r="N131" i="34"/>
  <c r="O131" i="34" s="1"/>
  <c r="K131" i="34"/>
  <c r="L131" i="34" s="1"/>
  <c r="F131" i="34"/>
  <c r="G131" i="34" s="1"/>
  <c r="D131" i="34"/>
  <c r="E131" i="34" s="1"/>
  <c r="B131" i="34"/>
  <c r="A131" i="34"/>
  <c r="M131" i="34" s="1"/>
  <c r="Y130" i="34"/>
  <c r="Z130" i="34" s="1"/>
  <c r="W130" i="34"/>
  <c r="X130" i="34" s="1"/>
  <c r="B130" i="34"/>
  <c r="A130" i="34"/>
  <c r="Y129" i="34"/>
  <c r="Z129" i="34" s="1"/>
  <c r="W129" i="34"/>
  <c r="B129" i="34"/>
  <c r="A129" i="34"/>
  <c r="Y128" i="34"/>
  <c r="Z128" i="34" s="1"/>
  <c r="W128" i="34"/>
  <c r="X128" i="34" s="1"/>
  <c r="B128" i="34"/>
  <c r="A128" i="34"/>
  <c r="Y127" i="34"/>
  <c r="Z127" i="34" s="1"/>
  <c r="W127" i="34"/>
  <c r="K127" i="34"/>
  <c r="L127" i="34" s="1"/>
  <c r="B127" i="34"/>
  <c r="A127" i="34"/>
  <c r="Y126" i="34"/>
  <c r="Z126" i="34" s="1"/>
  <c r="W126" i="34"/>
  <c r="X126" i="34" s="1"/>
  <c r="B126" i="34"/>
  <c r="A126" i="34"/>
  <c r="U125" i="34"/>
  <c r="S125" i="34"/>
  <c r="P125" i="34"/>
  <c r="Q125" i="34" s="1"/>
  <c r="N125" i="34"/>
  <c r="O125" i="34" s="1"/>
  <c r="K125" i="34"/>
  <c r="L125" i="34" s="1"/>
  <c r="F125" i="34"/>
  <c r="G125" i="34" s="1"/>
  <c r="D125" i="34"/>
  <c r="E125" i="34" s="1"/>
  <c r="B125" i="34"/>
  <c r="A125" i="34"/>
  <c r="M125" i="34" s="1"/>
  <c r="U124" i="34"/>
  <c r="S124" i="34"/>
  <c r="P124" i="34"/>
  <c r="Q124" i="34" s="1"/>
  <c r="N124" i="34"/>
  <c r="O124" i="34" s="1"/>
  <c r="K124" i="34"/>
  <c r="L124" i="34" s="1"/>
  <c r="F124" i="34"/>
  <c r="G124" i="34" s="1"/>
  <c r="D124" i="34"/>
  <c r="E124" i="34" s="1"/>
  <c r="B124" i="34"/>
  <c r="A124" i="34"/>
  <c r="M124" i="34" s="1"/>
  <c r="U123" i="34"/>
  <c r="S123" i="34"/>
  <c r="P123" i="34"/>
  <c r="Q123" i="34" s="1"/>
  <c r="N123" i="34"/>
  <c r="O123" i="34" s="1"/>
  <c r="K123" i="34"/>
  <c r="L123" i="34" s="1"/>
  <c r="F123" i="34"/>
  <c r="G123" i="34" s="1"/>
  <c r="D123" i="34"/>
  <c r="E123" i="34" s="1"/>
  <c r="B123" i="34"/>
  <c r="A123" i="34"/>
  <c r="M123" i="34" s="1"/>
  <c r="U122" i="34"/>
  <c r="S122" i="34"/>
  <c r="P122" i="34"/>
  <c r="Q122" i="34" s="1"/>
  <c r="N122" i="34"/>
  <c r="O122" i="34" s="1"/>
  <c r="K122" i="34"/>
  <c r="L122" i="34" s="1"/>
  <c r="F122" i="34"/>
  <c r="G122" i="34" s="1"/>
  <c r="D122" i="34"/>
  <c r="E122" i="34" s="1"/>
  <c r="B122" i="34"/>
  <c r="A122" i="34"/>
  <c r="M122" i="34" s="1"/>
  <c r="Y121" i="34"/>
  <c r="W121" i="34"/>
  <c r="X121" i="34" s="1"/>
  <c r="B121" i="34"/>
  <c r="A121" i="34"/>
  <c r="Y120" i="34"/>
  <c r="Z120" i="34" s="1"/>
  <c r="W120" i="34"/>
  <c r="X120" i="34" s="1"/>
  <c r="B120" i="34"/>
  <c r="A120" i="34"/>
  <c r="Y119" i="34"/>
  <c r="Z119" i="34" s="1"/>
  <c r="W119" i="34"/>
  <c r="X119" i="34" s="1"/>
  <c r="B119" i="34"/>
  <c r="A119" i="34"/>
  <c r="Y118" i="34"/>
  <c r="Z118" i="34" s="1"/>
  <c r="W118" i="34"/>
  <c r="X118" i="34" s="1"/>
  <c r="K118" i="34"/>
  <c r="L118" i="34" s="1"/>
  <c r="B118" i="34"/>
  <c r="A118" i="34"/>
  <c r="Y117" i="34"/>
  <c r="Z117" i="34" s="1"/>
  <c r="W117" i="34"/>
  <c r="B117" i="34"/>
  <c r="A117" i="34"/>
  <c r="U116" i="34"/>
  <c r="S116" i="34"/>
  <c r="P116" i="34"/>
  <c r="Q116" i="34" s="1"/>
  <c r="N116" i="34"/>
  <c r="O116" i="34" s="1"/>
  <c r="K116" i="34"/>
  <c r="L116" i="34" s="1"/>
  <c r="F116" i="34"/>
  <c r="G116" i="34" s="1"/>
  <c r="D116" i="34"/>
  <c r="E116" i="34" s="1"/>
  <c r="B116" i="34"/>
  <c r="A116" i="34"/>
  <c r="M116" i="34" s="1"/>
  <c r="U115" i="34"/>
  <c r="S115" i="34"/>
  <c r="P115" i="34"/>
  <c r="Q115" i="34" s="1"/>
  <c r="N115" i="34"/>
  <c r="O115" i="34" s="1"/>
  <c r="K115" i="34"/>
  <c r="L115" i="34" s="1"/>
  <c r="F115" i="34"/>
  <c r="G115" i="34" s="1"/>
  <c r="D115" i="34"/>
  <c r="E115" i="34" s="1"/>
  <c r="B115" i="34"/>
  <c r="A115" i="34"/>
  <c r="M115" i="34" s="1"/>
  <c r="U114" i="34"/>
  <c r="S114" i="34"/>
  <c r="P114" i="34"/>
  <c r="Q114" i="34" s="1"/>
  <c r="N114" i="34"/>
  <c r="O114" i="34" s="1"/>
  <c r="K114" i="34"/>
  <c r="L114" i="34" s="1"/>
  <c r="F114" i="34"/>
  <c r="G114" i="34" s="1"/>
  <c r="D114" i="34"/>
  <c r="E114" i="34" s="1"/>
  <c r="B114" i="34"/>
  <c r="A114" i="34"/>
  <c r="M114" i="34" s="1"/>
  <c r="U113" i="34"/>
  <c r="S113" i="34"/>
  <c r="P113" i="34"/>
  <c r="Q113" i="34" s="1"/>
  <c r="N113" i="34"/>
  <c r="O113" i="34" s="1"/>
  <c r="K113" i="34"/>
  <c r="L113" i="34" s="1"/>
  <c r="F113" i="34"/>
  <c r="G113" i="34" s="1"/>
  <c r="D113" i="34"/>
  <c r="E113" i="34" s="1"/>
  <c r="B113" i="34"/>
  <c r="A113" i="34"/>
  <c r="M113" i="34" s="1"/>
  <c r="Y112" i="34"/>
  <c r="Z112" i="34" s="1"/>
  <c r="W112" i="34"/>
  <c r="X112" i="34" s="1"/>
  <c r="B112" i="34"/>
  <c r="A112" i="34"/>
  <c r="Y111" i="34"/>
  <c r="Z111" i="34" s="1"/>
  <c r="W111" i="34"/>
  <c r="B111" i="34"/>
  <c r="A111" i="34"/>
  <c r="Y110" i="34"/>
  <c r="Z110" i="34" s="1"/>
  <c r="W110" i="34"/>
  <c r="B110" i="34"/>
  <c r="A110" i="34"/>
  <c r="Y109" i="34"/>
  <c r="Z109" i="34" s="1"/>
  <c r="W109" i="34"/>
  <c r="K109" i="34"/>
  <c r="L109" i="34" s="1"/>
  <c r="B109" i="34"/>
  <c r="A109" i="34"/>
  <c r="Y108" i="34"/>
  <c r="Z108" i="34" s="1"/>
  <c r="W108" i="34"/>
  <c r="X108" i="34" s="1"/>
  <c r="B108" i="34"/>
  <c r="A108" i="34"/>
  <c r="U107" i="34"/>
  <c r="S107" i="34"/>
  <c r="P107" i="34"/>
  <c r="Q107" i="34" s="1"/>
  <c r="N107" i="34"/>
  <c r="O107" i="34" s="1"/>
  <c r="K107" i="34"/>
  <c r="L107" i="34" s="1"/>
  <c r="F107" i="34"/>
  <c r="G107" i="34" s="1"/>
  <c r="D107" i="34"/>
  <c r="E107" i="34" s="1"/>
  <c r="B107" i="34"/>
  <c r="A107" i="34"/>
  <c r="M107" i="34" s="1"/>
  <c r="U106" i="34"/>
  <c r="S106" i="34"/>
  <c r="P106" i="34"/>
  <c r="Q106" i="34" s="1"/>
  <c r="N106" i="34"/>
  <c r="O106" i="34" s="1"/>
  <c r="K106" i="34"/>
  <c r="L106" i="34" s="1"/>
  <c r="F106" i="34"/>
  <c r="G106" i="34" s="1"/>
  <c r="D106" i="34"/>
  <c r="E106" i="34" s="1"/>
  <c r="B106" i="34"/>
  <c r="A106" i="34"/>
  <c r="M106" i="34" s="1"/>
  <c r="U105" i="34"/>
  <c r="S105" i="34"/>
  <c r="P105" i="34"/>
  <c r="Q105" i="34" s="1"/>
  <c r="N105" i="34"/>
  <c r="O105" i="34" s="1"/>
  <c r="K105" i="34"/>
  <c r="L105" i="34" s="1"/>
  <c r="F105" i="34"/>
  <c r="G105" i="34" s="1"/>
  <c r="D105" i="34"/>
  <c r="E105" i="34" s="1"/>
  <c r="B105" i="34"/>
  <c r="A105" i="34"/>
  <c r="M105" i="34" s="1"/>
  <c r="U104" i="34"/>
  <c r="S104" i="34"/>
  <c r="P104" i="34"/>
  <c r="Q104" i="34" s="1"/>
  <c r="N104" i="34"/>
  <c r="O104" i="34" s="1"/>
  <c r="K104" i="34"/>
  <c r="L104" i="34" s="1"/>
  <c r="F104" i="34"/>
  <c r="G104" i="34" s="1"/>
  <c r="D104" i="34"/>
  <c r="E104" i="34" s="1"/>
  <c r="B104" i="34"/>
  <c r="A104" i="34"/>
  <c r="M104" i="34" s="1"/>
  <c r="Y103" i="34"/>
  <c r="Z103" i="34" s="1"/>
  <c r="W103" i="34"/>
  <c r="X103" i="34" s="1"/>
  <c r="B103" i="34"/>
  <c r="A103" i="34"/>
  <c r="Y102" i="34"/>
  <c r="Z102" i="34" s="1"/>
  <c r="W102" i="34"/>
  <c r="X102" i="34" s="1"/>
  <c r="B102" i="34"/>
  <c r="A102" i="34"/>
  <c r="Y101" i="34"/>
  <c r="Z101" i="34" s="1"/>
  <c r="W101" i="34"/>
  <c r="X101" i="34" s="1"/>
  <c r="B101" i="34"/>
  <c r="A101" i="34"/>
  <c r="Y100" i="34"/>
  <c r="Z100" i="34" s="1"/>
  <c r="W100" i="34"/>
  <c r="K100" i="34"/>
  <c r="L100" i="34" s="1"/>
  <c r="B100" i="34"/>
  <c r="A100" i="34"/>
  <c r="Y99" i="34"/>
  <c r="Z99" i="34" s="1"/>
  <c r="W99" i="34"/>
  <c r="B99" i="34"/>
  <c r="A99" i="34"/>
  <c r="U98" i="34"/>
  <c r="S98" i="34"/>
  <c r="P98" i="34"/>
  <c r="Q98" i="34" s="1"/>
  <c r="N98" i="34"/>
  <c r="O98" i="34" s="1"/>
  <c r="K98" i="34"/>
  <c r="L98" i="34" s="1"/>
  <c r="F98" i="34"/>
  <c r="G98" i="34" s="1"/>
  <c r="D98" i="34"/>
  <c r="E98" i="34" s="1"/>
  <c r="B98" i="34"/>
  <c r="A98" i="34"/>
  <c r="M98" i="34" s="1"/>
  <c r="U97" i="34"/>
  <c r="S97" i="34"/>
  <c r="P97" i="34"/>
  <c r="Q97" i="34" s="1"/>
  <c r="N97" i="34"/>
  <c r="O97" i="34" s="1"/>
  <c r="K97" i="34"/>
  <c r="L97" i="34" s="1"/>
  <c r="F97" i="34"/>
  <c r="G97" i="34" s="1"/>
  <c r="D97" i="34"/>
  <c r="E97" i="34" s="1"/>
  <c r="B97" i="34"/>
  <c r="A97" i="34"/>
  <c r="M97" i="34" s="1"/>
  <c r="U96" i="34"/>
  <c r="S96" i="34"/>
  <c r="P96" i="34"/>
  <c r="Q96" i="34" s="1"/>
  <c r="N96" i="34"/>
  <c r="O96" i="34" s="1"/>
  <c r="K96" i="34"/>
  <c r="L96" i="34" s="1"/>
  <c r="F96" i="34"/>
  <c r="G96" i="34" s="1"/>
  <c r="D96" i="34"/>
  <c r="E96" i="34" s="1"/>
  <c r="B96" i="34"/>
  <c r="A96" i="34"/>
  <c r="M96" i="34" s="1"/>
  <c r="U95" i="34"/>
  <c r="S95" i="34"/>
  <c r="P95" i="34"/>
  <c r="Q95" i="34" s="1"/>
  <c r="N95" i="34"/>
  <c r="O95" i="34" s="1"/>
  <c r="K95" i="34"/>
  <c r="L95" i="34" s="1"/>
  <c r="F95" i="34"/>
  <c r="G95" i="34" s="1"/>
  <c r="D95" i="34"/>
  <c r="E95" i="34" s="1"/>
  <c r="B95" i="34"/>
  <c r="A95" i="34"/>
  <c r="M95" i="34" s="1"/>
  <c r="AE94" i="34"/>
  <c r="Y94" i="34"/>
  <c r="Z94" i="34" s="1"/>
  <c r="W94" i="34"/>
  <c r="B94" i="34"/>
  <c r="A94" i="34"/>
  <c r="AE93" i="34"/>
  <c r="Y93" i="34"/>
  <c r="Z93" i="34" s="1"/>
  <c r="W93" i="34"/>
  <c r="B93" i="34"/>
  <c r="A93" i="34"/>
  <c r="AE92" i="34"/>
  <c r="Y92" i="34"/>
  <c r="Z92" i="34" s="1"/>
  <c r="W92" i="34"/>
  <c r="B92" i="34"/>
  <c r="A92" i="34"/>
  <c r="AE91" i="34"/>
  <c r="Y91" i="34"/>
  <c r="Z91" i="34" s="1"/>
  <c r="W91" i="34"/>
  <c r="K91" i="34"/>
  <c r="L91" i="34" s="1"/>
  <c r="B91" i="34"/>
  <c r="A91" i="34"/>
  <c r="AE90" i="34"/>
  <c r="Y90" i="34"/>
  <c r="Z90" i="34" s="1"/>
  <c r="W90" i="34"/>
  <c r="X90" i="34" s="1"/>
  <c r="B90" i="34"/>
  <c r="A90" i="34"/>
  <c r="AE89" i="34"/>
  <c r="U89" i="34"/>
  <c r="S89" i="34"/>
  <c r="P89" i="34"/>
  <c r="Q89" i="34" s="1"/>
  <c r="N89" i="34"/>
  <c r="O89" i="34" s="1"/>
  <c r="K89" i="34"/>
  <c r="L89" i="34" s="1"/>
  <c r="F89" i="34"/>
  <c r="G89" i="34" s="1"/>
  <c r="D89" i="34"/>
  <c r="E89" i="34" s="1"/>
  <c r="B89" i="34"/>
  <c r="A89" i="34"/>
  <c r="M89" i="34" s="1"/>
  <c r="AE88" i="34"/>
  <c r="U88" i="34"/>
  <c r="S88" i="34"/>
  <c r="P88" i="34"/>
  <c r="Q88" i="34" s="1"/>
  <c r="N88" i="34"/>
  <c r="O88" i="34" s="1"/>
  <c r="K88" i="34"/>
  <c r="L88" i="34" s="1"/>
  <c r="F88" i="34"/>
  <c r="G88" i="34" s="1"/>
  <c r="D88" i="34"/>
  <c r="E88" i="34" s="1"/>
  <c r="B88" i="34"/>
  <c r="A88" i="34"/>
  <c r="M88" i="34" s="1"/>
  <c r="AE87" i="34"/>
  <c r="U87" i="34"/>
  <c r="S87" i="34"/>
  <c r="P87" i="34"/>
  <c r="Q87" i="34" s="1"/>
  <c r="N87" i="34"/>
  <c r="O87" i="34" s="1"/>
  <c r="K87" i="34"/>
  <c r="L87" i="34" s="1"/>
  <c r="F87" i="34"/>
  <c r="G87" i="34" s="1"/>
  <c r="D87" i="34"/>
  <c r="E87" i="34" s="1"/>
  <c r="B87" i="34"/>
  <c r="A87" i="34"/>
  <c r="M87" i="34" s="1"/>
  <c r="AE86" i="34"/>
  <c r="U86" i="34"/>
  <c r="S86" i="34"/>
  <c r="P86" i="34"/>
  <c r="Q86" i="34" s="1"/>
  <c r="N86" i="34"/>
  <c r="O86" i="34" s="1"/>
  <c r="K86" i="34"/>
  <c r="L86" i="34" s="1"/>
  <c r="F86" i="34"/>
  <c r="G86" i="34" s="1"/>
  <c r="D86" i="34"/>
  <c r="E86" i="34" s="1"/>
  <c r="B86" i="34"/>
  <c r="A86" i="34"/>
  <c r="M86" i="34" s="1"/>
  <c r="AE85" i="34"/>
  <c r="Y85" i="34"/>
  <c r="Z85" i="34" s="1"/>
  <c r="W85" i="34"/>
  <c r="X85" i="34" s="1"/>
  <c r="B85" i="34"/>
  <c r="A85" i="34"/>
  <c r="AE84" i="34"/>
  <c r="Y84" i="34"/>
  <c r="Z84" i="34" s="1"/>
  <c r="W84" i="34"/>
  <c r="X84" i="34" s="1"/>
  <c r="B84" i="34"/>
  <c r="A84" i="34"/>
  <c r="AE83" i="34"/>
  <c r="Y83" i="34"/>
  <c r="Z83" i="34" s="1"/>
  <c r="W83" i="34"/>
  <c r="X83" i="34" s="1"/>
  <c r="B83" i="34"/>
  <c r="A83" i="34"/>
  <c r="AE82" i="34"/>
  <c r="Y82" i="34"/>
  <c r="Z82" i="34" s="1"/>
  <c r="W82" i="34"/>
  <c r="X82" i="34" s="1"/>
  <c r="K82" i="34"/>
  <c r="L82" i="34" s="1"/>
  <c r="B82" i="34"/>
  <c r="A82" i="34"/>
  <c r="AE81" i="34"/>
  <c r="Y81" i="34"/>
  <c r="Z81" i="34" s="1"/>
  <c r="W81" i="34"/>
  <c r="B81" i="34"/>
  <c r="A81" i="34"/>
  <c r="AE80" i="34"/>
  <c r="U80" i="34"/>
  <c r="S80" i="34"/>
  <c r="P80" i="34"/>
  <c r="Q80" i="34" s="1"/>
  <c r="N80" i="34"/>
  <c r="O80" i="34" s="1"/>
  <c r="K80" i="34"/>
  <c r="L80" i="34" s="1"/>
  <c r="F80" i="34"/>
  <c r="G80" i="34" s="1"/>
  <c r="D80" i="34"/>
  <c r="E80" i="34" s="1"/>
  <c r="B80" i="34"/>
  <c r="A80" i="34"/>
  <c r="M80" i="34" s="1"/>
  <c r="AE79" i="34"/>
  <c r="U79" i="34"/>
  <c r="S79" i="34"/>
  <c r="P79" i="34"/>
  <c r="Q79" i="34" s="1"/>
  <c r="N79" i="34"/>
  <c r="O79" i="34" s="1"/>
  <c r="K79" i="34"/>
  <c r="L79" i="34" s="1"/>
  <c r="F79" i="34"/>
  <c r="G79" i="34" s="1"/>
  <c r="D79" i="34"/>
  <c r="E79" i="34" s="1"/>
  <c r="B79" i="34"/>
  <c r="A79" i="34"/>
  <c r="M79" i="34" s="1"/>
  <c r="AE78" i="34"/>
  <c r="U78" i="34"/>
  <c r="S78" i="34"/>
  <c r="P78" i="34"/>
  <c r="Q78" i="34" s="1"/>
  <c r="N78" i="34"/>
  <c r="O78" i="34" s="1"/>
  <c r="K78" i="34"/>
  <c r="L78" i="34" s="1"/>
  <c r="F78" i="34"/>
  <c r="G78" i="34" s="1"/>
  <c r="D78" i="34"/>
  <c r="E78" i="34" s="1"/>
  <c r="B78" i="34"/>
  <c r="A78" i="34"/>
  <c r="M78" i="34" s="1"/>
  <c r="AE77" i="34"/>
  <c r="U77" i="34"/>
  <c r="S77" i="34"/>
  <c r="P77" i="34"/>
  <c r="Q77" i="34" s="1"/>
  <c r="N77" i="34"/>
  <c r="O77" i="34" s="1"/>
  <c r="K77" i="34"/>
  <c r="L77" i="34" s="1"/>
  <c r="F77" i="34"/>
  <c r="G77" i="34" s="1"/>
  <c r="D77" i="34"/>
  <c r="E77" i="34" s="1"/>
  <c r="B77" i="34"/>
  <c r="A77" i="34"/>
  <c r="M77" i="34" s="1"/>
  <c r="AE76" i="34"/>
  <c r="Y76" i="34"/>
  <c r="Z76" i="34" s="1"/>
  <c r="W76" i="34"/>
  <c r="X76" i="34" s="1"/>
  <c r="B76" i="34"/>
  <c r="A76" i="34"/>
  <c r="AE75" i="34"/>
  <c r="Y75" i="34"/>
  <c r="Z75" i="34" s="1"/>
  <c r="W75" i="34"/>
  <c r="X75" i="34" s="1"/>
  <c r="B75" i="34"/>
  <c r="A75" i="34"/>
  <c r="AE74" i="34"/>
  <c r="Y74" i="34"/>
  <c r="Z74" i="34" s="1"/>
  <c r="W74" i="34"/>
  <c r="X74" i="34" s="1"/>
  <c r="B74" i="34"/>
  <c r="A74" i="34"/>
  <c r="AE73" i="34"/>
  <c r="Y73" i="34"/>
  <c r="Z73" i="34" s="1"/>
  <c r="W73" i="34"/>
  <c r="X73" i="34" s="1"/>
  <c r="K73" i="34"/>
  <c r="L73" i="34" s="1"/>
  <c r="B73" i="34"/>
  <c r="A73" i="34"/>
  <c r="AE72" i="34"/>
  <c r="Y72" i="34"/>
  <c r="Z72" i="34" s="1"/>
  <c r="W72" i="34"/>
  <c r="X72" i="34" s="1"/>
  <c r="B72" i="34"/>
  <c r="A72" i="34"/>
  <c r="AE71" i="34"/>
  <c r="U71" i="34"/>
  <c r="S71" i="34"/>
  <c r="P71" i="34"/>
  <c r="Q71" i="34" s="1"/>
  <c r="N71" i="34"/>
  <c r="O71" i="34" s="1"/>
  <c r="K71" i="34"/>
  <c r="L71" i="34" s="1"/>
  <c r="F71" i="34"/>
  <c r="G71" i="34" s="1"/>
  <c r="D71" i="34"/>
  <c r="E71" i="34" s="1"/>
  <c r="B71" i="34"/>
  <c r="A71" i="34"/>
  <c r="M71" i="34" s="1"/>
  <c r="AE70" i="34"/>
  <c r="U70" i="34"/>
  <c r="S70" i="34"/>
  <c r="P70" i="34"/>
  <c r="Q70" i="34" s="1"/>
  <c r="N70" i="34"/>
  <c r="O70" i="34" s="1"/>
  <c r="K70" i="34"/>
  <c r="L70" i="34" s="1"/>
  <c r="F70" i="34"/>
  <c r="G70" i="34" s="1"/>
  <c r="D70" i="34"/>
  <c r="E70" i="34" s="1"/>
  <c r="B70" i="34"/>
  <c r="A70" i="34"/>
  <c r="M70" i="34" s="1"/>
  <c r="AE69" i="34"/>
  <c r="U69" i="34"/>
  <c r="S69" i="34"/>
  <c r="P69" i="34"/>
  <c r="Q69" i="34" s="1"/>
  <c r="N69" i="34"/>
  <c r="O69" i="34" s="1"/>
  <c r="K69" i="34"/>
  <c r="L69" i="34" s="1"/>
  <c r="F69" i="34"/>
  <c r="G69" i="34" s="1"/>
  <c r="D69" i="34"/>
  <c r="E69" i="34" s="1"/>
  <c r="B69" i="34"/>
  <c r="A69" i="34"/>
  <c r="M69" i="34" s="1"/>
  <c r="AE68" i="34"/>
  <c r="U68" i="34"/>
  <c r="S68" i="34"/>
  <c r="P68" i="34"/>
  <c r="Q68" i="34" s="1"/>
  <c r="N68" i="34"/>
  <c r="O68" i="34" s="1"/>
  <c r="K68" i="34"/>
  <c r="L68" i="34" s="1"/>
  <c r="F68" i="34"/>
  <c r="G68" i="34" s="1"/>
  <c r="D68" i="34"/>
  <c r="E68" i="34" s="1"/>
  <c r="B68" i="34"/>
  <c r="A68" i="34"/>
  <c r="M68" i="34" s="1"/>
  <c r="AE67" i="34"/>
  <c r="Y67" i="34"/>
  <c r="Z67" i="34" s="1"/>
  <c r="W67" i="34"/>
  <c r="X67" i="34" s="1"/>
  <c r="B67" i="34"/>
  <c r="A67" i="34"/>
  <c r="AE66" i="34"/>
  <c r="Y66" i="34"/>
  <c r="Z66" i="34" s="1"/>
  <c r="W66" i="34"/>
  <c r="X66" i="34" s="1"/>
  <c r="B66" i="34"/>
  <c r="A66" i="34"/>
  <c r="AE65" i="34"/>
  <c r="Y65" i="34"/>
  <c r="Z65" i="34" s="1"/>
  <c r="W65" i="34"/>
  <c r="X65" i="34" s="1"/>
  <c r="B65" i="34"/>
  <c r="A65" i="34"/>
  <c r="AE64" i="34"/>
  <c r="Y64" i="34"/>
  <c r="Z64" i="34" s="1"/>
  <c r="W64" i="34"/>
  <c r="K64" i="34"/>
  <c r="L64" i="34" s="1"/>
  <c r="B64" i="34"/>
  <c r="A64" i="34"/>
  <c r="AE63" i="34"/>
  <c r="Y63" i="34"/>
  <c r="Z63" i="34" s="1"/>
  <c r="W63" i="34"/>
  <c r="X63" i="34" s="1"/>
  <c r="B63" i="34"/>
  <c r="A63" i="34"/>
  <c r="AE62" i="34"/>
  <c r="U62" i="34"/>
  <c r="S62" i="34"/>
  <c r="P62" i="34"/>
  <c r="Q62" i="34" s="1"/>
  <c r="N62" i="34"/>
  <c r="O62" i="34" s="1"/>
  <c r="K62" i="34"/>
  <c r="L62" i="34" s="1"/>
  <c r="F62" i="34"/>
  <c r="G62" i="34" s="1"/>
  <c r="D62" i="34"/>
  <c r="E62" i="34" s="1"/>
  <c r="B62" i="34"/>
  <c r="A62" i="34"/>
  <c r="M62" i="34" s="1"/>
  <c r="AE61" i="34"/>
  <c r="U61" i="34"/>
  <c r="S61" i="34"/>
  <c r="P61" i="34"/>
  <c r="Q61" i="34" s="1"/>
  <c r="N61" i="34"/>
  <c r="O61" i="34" s="1"/>
  <c r="K61" i="34"/>
  <c r="L61" i="34" s="1"/>
  <c r="F61" i="34"/>
  <c r="G61" i="34" s="1"/>
  <c r="D61" i="34"/>
  <c r="E61" i="34" s="1"/>
  <c r="B61" i="34"/>
  <c r="A61" i="34"/>
  <c r="M61" i="34" s="1"/>
  <c r="AE60" i="34"/>
  <c r="U60" i="34"/>
  <c r="S60" i="34"/>
  <c r="P60" i="34"/>
  <c r="Q60" i="34" s="1"/>
  <c r="N60" i="34"/>
  <c r="O60" i="34" s="1"/>
  <c r="K60" i="34"/>
  <c r="L60" i="34" s="1"/>
  <c r="F60" i="34"/>
  <c r="G60" i="34" s="1"/>
  <c r="D60" i="34"/>
  <c r="E60" i="34" s="1"/>
  <c r="B60" i="34"/>
  <c r="A60" i="34"/>
  <c r="M60" i="34" s="1"/>
  <c r="AE59" i="34"/>
  <c r="U59" i="34"/>
  <c r="S59" i="34"/>
  <c r="P59" i="34"/>
  <c r="Q59" i="34" s="1"/>
  <c r="N59" i="34"/>
  <c r="O59" i="34" s="1"/>
  <c r="K59" i="34"/>
  <c r="L59" i="34" s="1"/>
  <c r="F59" i="34"/>
  <c r="G59" i="34" s="1"/>
  <c r="D59" i="34"/>
  <c r="E59" i="34" s="1"/>
  <c r="B59" i="34"/>
  <c r="A59" i="34"/>
  <c r="M59" i="34" s="1"/>
  <c r="AE58" i="34"/>
  <c r="Y58" i="34"/>
  <c r="Z58" i="34" s="1"/>
  <c r="W58" i="34"/>
  <c r="X58" i="34" s="1"/>
  <c r="B58" i="34"/>
  <c r="A58" i="34"/>
  <c r="AE57" i="34"/>
  <c r="Y57" i="34"/>
  <c r="Z57" i="34" s="1"/>
  <c r="W57" i="34"/>
  <c r="X57" i="34" s="1"/>
  <c r="B57" i="34"/>
  <c r="A57" i="34"/>
  <c r="AE56" i="34"/>
  <c r="Y56" i="34"/>
  <c r="Z56" i="34" s="1"/>
  <c r="W56" i="34"/>
  <c r="X56" i="34" s="1"/>
  <c r="B56" i="34"/>
  <c r="A56" i="34"/>
  <c r="AE55" i="34"/>
  <c r="Y55" i="34"/>
  <c r="Z55" i="34" s="1"/>
  <c r="W55" i="34"/>
  <c r="X55" i="34" s="1"/>
  <c r="K55" i="34"/>
  <c r="L55" i="34" s="1"/>
  <c r="B55" i="34"/>
  <c r="A55" i="34"/>
  <c r="AE54" i="34"/>
  <c r="Y54" i="34"/>
  <c r="Z54" i="34" s="1"/>
  <c r="W54" i="34"/>
  <c r="B54" i="34"/>
  <c r="A54" i="34"/>
  <c r="AE53" i="34"/>
  <c r="U53" i="34"/>
  <c r="S53" i="34"/>
  <c r="P53" i="34"/>
  <c r="Q53" i="34" s="1"/>
  <c r="N53" i="34"/>
  <c r="O53" i="34" s="1"/>
  <c r="K53" i="34"/>
  <c r="L53" i="34" s="1"/>
  <c r="F53" i="34"/>
  <c r="G53" i="34" s="1"/>
  <c r="D53" i="34"/>
  <c r="E53" i="34" s="1"/>
  <c r="B53" i="34"/>
  <c r="A53" i="34"/>
  <c r="M53" i="34" s="1"/>
  <c r="AE52" i="34"/>
  <c r="U52" i="34"/>
  <c r="S52" i="34"/>
  <c r="P52" i="34"/>
  <c r="Q52" i="34" s="1"/>
  <c r="N52" i="34"/>
  <c r="O52" i="34" s="1"/>
  <c r="K52" i="34"/>
  <c r="L52" i="34" s="1"/>
  <c r="F52" i="34"/>
  <c r="G52" i="34" s="1"/>
  <c r="D52" i="34"/>
  <c r="E52" i="34" s="1"/>
  <c r="B52" i="34"/>
  <c r="A52" i="34"/>
  <c r="M52" i="34" s="1"/>
  <c r="AE51" i="34"/>
  <c r="U51" i="34"/>
  <c r="S51" i="34"/>
  <c r="P51" i="34"/>
  <c r="Q51" i="34" s="1"/>
  <c r="N51" i="34"/>
  <c r="O51" i="34" s="1"/>
  <c r="K51" i="34"/>
  <c r="L51" i="34" s="1"/>
  <c r="F51" i="34"/>
  <c r="G51" i="34" s="1"/>
  <c r="D51" i="34"/>
  <c r="E51" i="34" s="1"/>
  <c r="B51" i="34"/>
  <c r="A51" i="34"/>
  <c r="M51" i="34" s="1"/>
  <c r="AE50" i="34"/>
  <c r="U50" i="34"/>
  <c r="S50" i="34"/>
  <c r="P50" i="34"/>
  <c r="Q50" i="34" s="1"/>
  <c r="N50" i="34"/>
  <c r="O50" i="34" s="1"/>
  <c r="K50" i="34"/>
  <c r="L50" i="34" s="1"/>
  <c r="F50" i="34"/>
  <c r="G50" i="34" s="1"/>
  <c r="D50" i="34"/>
  <c r="E50" i="34" s="1"/>
  <c r="B50" i="34"/>
  <c r="A50" i="34"/>
  <c r="M50" i="34" s="1"/>
  <c r="AE49" i="34"/>
  <c r="Y49" i="34"/>
  <c r="Z49" i="34" s="1"/>
  <c r="W49" i="34"/>
  <c r="X49" i="34" s="1"/>
  <c r="B49" i="34"/>
  <c r="A49" i="34"/>
  <c r="AE48" i="34"/>
  <c r="Y48" i="34"/>
  <c r="Z48" i="34" s="1"/>
  <c r="W48" i="34"/>
  <c r="X48" i="34" s="1"/>
  <c r="B48" i="34"/>
  <c r="A48" i="34"/>
  <c r="AE47" i="34"/>
  <c r="Y47" i="34"/>
  <c r="Z47" i="34" s="1"/>
  <c r="W47" i="34"/>
  <c r="X47" i="34" s="1"/>
  <c r="B47" i="34"/>
  <c r="A47" i="34"/>
  <c r="AE46" i="34"/>
  <c r="Y46" i="34"/>
  <c r="Z46" i="34" s="1"/>
  <c r="W46" i="34"/>
  <c r="X46" i="34" s="1"/>
  <c r="K46" i="34"/>
  <c r="L46" i="34" s="1"/>
  <c r="B46" i="34"/>
  <c r="A46" i="34"/>
  <c r="AE45" i="34"/>
  <c r="Y45" i="34"/>
  <c r="Z45" i="34" s="1"/>
  <c r="W45" i="34"/>
  <c r="B45" i="34"/>
  <c r="A45" i="34"/>
  <c r="AE44" i="34"/>
  <c r="U44" i="34"/>
  <c r="S44" i="34"/>
  <c r="P44" i="34"/>
  <c r="Q44" i="34" s="1"/>
  <c r="N44" i="34"/>
  <c r="O44" i="34" s="1"/>
  <c r="K44" i="34"/>
  <c r="L44" i="34" s="1"/>
  <c r="F44" i="34"/>
  <c r="G44" i="34" s="1"/>
  <c r="D44" i="34"/>
  <c r="E44" i="34" s="1"/>
  <c r="B44" i="34"/>
  <c r="A44" i="34"/>
  <c r="M44" i="34" s="1"/>
  <c r="AE43" i="34"/>
  <c r="U43" i="34"/>
  <c r="S43" i="34"/>
  <c r="P43" i="34"/>
  <c r="Q43" i="34" s="1"/>
  <c r="N43" i="34"/>
  <c r="O43" i="34" s="1"/>
  <c r="K43" i="34"/>
  <c r="L43" i="34" s="1"/>
  <c r="F43" i="34"/>
  <c r="G43" i="34" s="1"/>
  <c r="D43" i="34"/>
  <c r="E43" i="34" s="1"/>
  <c r="B43" i="34"/>
  <c r="A43" i="34"/>
  <c r="M43" i="34" s="1"/>
  <c r="AE42" i="34"/>
  <c r="U42" i="34"/>
  <c r="S42" i="34"/>
  <c r="P42" i="34"/>
  <c r="Q42" i="34" s="1"/>
  <c r="N42" i="34"/>
  <c r="O42" i="34" s="1"/>
  <c r="K42" i="34"/>
  <c r="L42" i="34" s="1"/>
  <c r="F42" i="34"/>
  <c r="G42" i="34" s="1"/>
  <c r="D42" i="34"/>
  <c r="E42" i="34" s="1"/>
  <c r="B42" i="34"/>
  <c r="A42" i="34"/>
  <c r="M42" i="34" s="1"/>
  <c r="AE41" i="34"/>
  <c r="U41" i="34"/>
  <c r="S41" i="34"/>
  <c r="P41" i="34"/>
  <c r="Q41" i="34" s="1"/>
  <c r="N41" i="34"/>
  <c r="O41" i="34" s="1"/>
  <c r="K41" i="34"/>
  <c r="L41" i="34" s="1"/>
  <c r="F41" i="34"/>
  <c r="G41" i="34" s="1"/>
  <c r="D41" i="34"/>
  <c r="E41" i="34" s="1"/>
  <c r="B41" i="34"/>
  <c r="A41" i="34"/>
  <c r="M41" i="34" s="1"/>
  <c r="AE40" i="34"/>
  <c r="Y40" i="34"/>
  <c r="Z40" i="34" s="1"/>
  <c r="W40" i="34"/>
  <c r="X40" i="34" s="1"/>
  <c r="B40" i="34"/>
  <c r="A40" i="34"/>
  <c r="AE39" i="34"/>
  <c r="Y39" i="34"/>
  <c r="Z39" i="34" s="1"/>
  <c r="W39" i="34"/>
  <c r="X39" i="34" s="1"/>
  <c r="B39" i="34"/>
  <c r="A39" i="34"/>
  <c r="AE38" i="34"/>
  <c r="Y38" i="34"/>
  <c r="Z38" i="34" s="1"/>
  <c r="W38" i="34"/>
  <c r="X38" i="34" s="1"/>
  <c r="B38" i="34"/>
  <c r="A38" i="34"/>
  <c r="AE37" i="34"/>
  <c r="Y37" i="34"/>
  <c r="Z37" i="34" s="1"/>
  <c r="W37" i="34"/>
  <c r="X37" i="34" s="1"/>
  <c r="K37" i="34"/>
  <c r="L37" i="34" s="1"/>
  <c r="B37" i="34"/>
  <c r="A37" i="34"/>
  <c r="AE36" i="34"/>
  <c r="Y36" i="34"/>
  <c r="Z36" i="34" s="1"/>
  <c r="W36" i="34"/>
  <c r="X36" i="34" s="1"/>
  <c r="B36" i="34"/>
  <c r="A36" i="34"/>
  <c r="AE35" i="34"/>
  <c r="U35" i="34"/>
  <c r="S35" i="34"/>
  <c r="P35" i="34"/>
  <c r="Q35" i="34" s="1"/>
  <c r="N35" i="34"/>
  <c r="O35" i="34" s="1"/>
  <c r="K35" i="34"/>
  <c r="F35" i="34"/>
  <c r="G35" i="34" s="1"/>
  <c r="D35" i="34"/>
  <c r="E35" i="34" s="1"/>
  <c r="B35" i="34"/>
  <c r="A35" i="34"/>
  <c r="M35" i="34" s="1"/>
  <c r="AE34" i="34"/>
  <c r="U34" i="34"/>
  <c r="S34" i="34"/>
  <c r="P34" i="34"/>
  <c r="Q34" i="34" s="1"/>
  <c r="N34" i="34"/>
  <c r="O34" i="34" s="1"/>
  <c r="K34" i="34"/>
  <c r="L34" i="34" s="1"/>
  <c r="F34" i="34"/>
  <c r="G34" i="34" s="1"/>
  <c r="D34" i="34"/>
  <c r="E34" i="34" s="1"/>
  <c r="B34" i="34"/>
  <c r="A34" i="34"/>
  <c r="M34" i="34" s="1"/>
  <c r="AE33" i="34"/>
  <c r="U33" i="34"/>
  <c r="S33" i="34"/>
  <c r="P33" i="34"/>
  <c r="Q33" i="34" s="1"/>
  <c r="N33" i="34"/>
  <c r="O33" i="34" s="1"/>
  <c r="K33" i="34"/>
  <c r="L33" i="34" s="1"/>
  <c r="F33" i="34"/>
  <c r="G33" i="34" s="1"/>
  <c r="D33" i="34"/>
  <c r="E33" i="34" s="1"/>
  <c r="B33" i="34"/>
  <c r="A33" i="34"/>
  <c r="M33" i="34" s="1"/>
  <c r="AE32" i="34"/>
  <c r="U32" i="34"/>
  <c r="S32" i="34"/>
  <c r="P32" i="34"/>
  <c r="Q32" i="34" s="1"/>
  <c r="N32" i="34"/>
  <c r="O32" i="34" s="1"/>
  <c r="K32" i="34"/>
  <c r="L32" i="34" s="1"/>
  <c r="F32" i="34"/>
  <c r="G32" i="34" s="1"/>
  <c r="D32" i="34"/>
  <c r="E32" i="34" s="1"/>
  <c r="B32" i="34"/>
  <c r="A32" i="34"/>
  <c r="M32" i="34" s="1"/>
  <c r="AE31" i="34"/>
  <c r="Y31" i="34"/>
  <c r="Z31" i="34" s="1"/>
  <c r="W31" i="34"/>
  <c r="X31" i="34" s="1"/>
  <c r="B31" i="34"/>
  <c r="A31" i="34"/>
  <c r="AE30" i="34"/>
  <c r="Y30" i="34"/>
  <c r="Z30" i="34" s="1"/>
  <c r="W30" i="34"/>
  <c r="X30" i="34" s="1"/>
  <c r="B30" i="34"/>
  <c r="A30" i="34"/>
  <c r="AE29" i="34"/>
  <c r="Y29" i="34"/>
  <c r="Z29" i="34" s="1"/>
  <c r="W29" i="34"/>
  <c r="X29" i="34" s="1"/>
  <c r="B29" i="34"/>
  <c r="A29" i="34"/>
  <c r="AE28" i="34"/>
  <c r="Y28" i="34"/>
  <c r="Z28" i="34" s="1"/>
  <c r="W28" i="34"/>
  <c r="X28" i="34" s="1"/>
  <c r="K28" i="34"/>
  <c r="L28" i="34" s="1"/>
  <c r="B28" i="34"/>
  <c r="A28" i="34"/>
  <c r="AE27" i="34"/>
  <c r="Y27" i="34"/>
  <c r="Z27" i="34" s="1"/>
  <c r="W27" i="34"/>
  <c r="X27" i="34" s="1"/>
  <c r="B27" i="34"/>
  <c r="A27" i="34"/>
  <c r="AE26" i="34"/>
  <c r="U26" i="34"/>
  <c r="S26" i="34"/>
  <c r="P26" i="34"/>
  <c r="Q26" i="34" s="1"/>
  <c r="N26" i="34"/>
  <c r="O26" i="34" s="1"/>
  <c r="K26" i="34"/>
  <c r="L26" i="34" s="1"/>
  <c r="F26" i="34"/>
  <c r="G26" i="34" s="1"/>
  <c r="D26" i="34"/>
  <c r="E26" i="34" s="1"/>
  <c r="B26" i="34"/>
  <c r="A26" i="34"/>
  <c r="M26" i="34" s="1"/>
  <c r="AE25" i="34"/>
  <c r="U25" i="34"/>
  <c r="S25" i="34"/>
  <c r="P25" i="34"/>
  <c r="Q25" i="34" s="1"/>
  <c r="N25" i="34"/>
  <c r="O25" i="34" s="1"/>
  <c r="K25" i="34"/>
  <c r="L25" i="34" s="1"/>
  <c r="F25" i="34"/>
  <c r="G25" i="34" s="1"/>
  <c r="D25" i="34"/>
  <c r="E25" i="34" s="1"/>
  <c r="B25" i="34"/>
  <c r="A25" i="34"/>
  <c r="M25" i="34" s="1"/>
  <c r="AE24" i="34"/>
  <c r="U24" i="34"/>
  <c r="S24" i="34"/>
  <c r="P24" i="34"/>
  <c r="Q24" i="34" s="1"/>
  <c r="N24" i="34"/>
  <c r="O24" i="34" s="1"/>
  <c r="K24" i="34"/>
  <c r="L24" i="34" s="1"/>
  <c r="F24" i="34"/>
  <c r="G24" i="34" s="1"/>
  <c r="D24" i="34"/>
  <c r="E24" i="34" s="1"/>
  <c r="B24" i="34"/>
  <c r="A24" i="34"/>
  <c r="M24" i="34" s="1"/>
  <c r="AE23" i="34"/>
  <c r="U23" i="34"/>
  <c r="S23" i="34"/>
  <c r="P23" i="34"/>
  <c r="Q23" i="34" s="1"/>
  <c r="N23" i="34"/>
  <c r="O23" i="34" s="1"/>
  <c r="K23" i="34"/>
  <c r="L23" i="34" s="1"/>
  <c r="F23" i="34"/>
  <c r="G23" i="34" s="1"/>
  <c r="D23" i="34"/>
  <c r="E23" i="34" s="1"/>
  <c r="B23" i="34"/>
  <c r="A23" i="34"/>
  <c r="M23" i="34" s="1"/>
  <c r="AE22" i="34"/>
  <c r="Y22" i="34"/>
  <c r="Z22" i="34" s="1"/>
  <c r="W22" i="34"/>
  <c r="B22" i="34"/>
  <c r="A22" i="34"/>
  <c r="AE21" i="34"/>
  <c r="Y21" i="34"/>
  <c r="Z21" i="34" s="1"/>
  <c r="W21" i="34"/>
  <c r="X21" i="34" s="1"/>
  <c r="B21" i="34"/>
  <c r="A21" i="34"/>
  <c r="AE20" i="34"/>
  <c r="Y20" i="34"/>
  <c r="Z20" i="34" s="1"/>
  <c r="W20" i="34"/>
  <c r="B20" i="34"/>
  <c r="A20" i="34"/>
  <c r="AE19" i="34"/>
  <c r="Y19" i="34"/>
  <c r="W19" i="34"/>
  <c r="X19" i="34" s="1"/>
  <c r="K19" i="34"/>
  <c r="L19" i="34" s="1"/>
  <c r="B19" i="34"/>
  <c r="A19" i="34"/>
  <c r="AE18" i="34"/>
  <c r="Y18" i="34"/>
  <c r="Z18" i="34" s="1"/>
  <c r="W18" i="34"/>
  <c r="X18" i="34" s="1"/>
  <c r="B18" i="34"/>
  <c r="A18" i="34"/>
  <c r="AE17" i="34"/>
  <c r="U17" i="34"/>
  <c r="S17" i="34"/>
  <c r="P17" i="34"/>
  <c r="Q17" i="34" s="1"/>
  <c r="N17" i="34"/>
  <c r="O17" i="34" s="1"/>
  <c r="K17" i="34"/>
  <c r="L17" i="34" s="1"/>
  <c r="F17" i="34"/>
  <c r="G17" i="34" s="1"/>
  <c r="D17" i="34"/>
  <c r="E17" i="34" s="1"/>
  <c r="B17" i="34"/>
  <c r="A17" i="34"/>
  <c r="M17" i="34" s="1"/>
  <c r="AE16" i="34"/>
  <c r="U16" i="34"/>
  <c r="S16" i="34"/>
  <c r="P16" i="34"/>
  <c r="Q16" i="34" s="1"/>
  <c r="N16" i="34"/>
  <c r="O16" i="34" s="1"/>
  <c r="K16" i="34"/>
  <c r="L16" i="34" s="1"/>
  <c r="F16" i="34"/>
  <c r="G16" i="34" s="1"/>
  <c r="D16" i="34"/>
  <c r="E16" i="34" s="1"/>
  <c r="B16" i="34"/>
  <c r="A16" i="34"/>
  <c r="M16" i="34" s="1"/>
  <c r="AE15" i="34"/>
  <c r="U15" i="34"/>
  <c r="S15" i="34"/>
  <c r="P15" i="34"/>
  <c r="Q15" i="34" s="1"/>
  <c r="N15" i="34"/>
  <c r="O15" i="34" s="1"/>
  <c r="K15" i="34"/>
  <c r="L15" i="34" s="1"/>
  <c r="F15" i="34"/>
  <c r="G15" i="34" s="1"/>
  <c r="D15" i="34"/>
  <c r="E15" i="34" s="1"/>
  <c r="B15" i="34"/>
  <c r="A15" i="34"/>
  <c r="M15" i="34" s="1"/>
  <c r="AE14" i="34"/>
  <c r="U14" i="34"/>
  <c r="S14" i="34"/>
  <c r="P14" i="34"/>
  <c r="Q14" i="34" s="1"/>
  <c r="N14" i="34"/>
  <c r="O14" i="34" s="1"/>
  <c r="K14" i="34"/>
  <c r="L14" i="34" s="1"/>
  <c r="F14" i="34"/>
  <c r="G14" i="34" s="1"/>
  <c r="D14" i="34"/>
  <c r="E14" i="34" s="1"/>
  <c r="B14" i="34"/>
  <c r="A14" i="34"/>
  <c r="M14" i="34" s="1"/>
  <c r="Y742" i="33"/>
  <c r="Z742" i="33" s="1"/>
  <c r="W742" i="33"/>
  <c r="X742" i="33" s="1"/>
  <c r="B742" i="33"/>
  <c r="A742" i="33"/>
  <c r="Y741" i="33"/>
  <c r="Z741" i="33" s="1"/>
  <c r="W741" i="33"/>
  <c r="X741" i="33" s="1"/>
  <c r="B741" i="33"/>
  <c r="A741" i="33"/>
  <c r="Y740" i="33"/>
  <c r="Z740" i="33" s="1"/>
  <c r="W740" i="33"/>
  <c r="X740" i="33" s="1"/>
  <c r="B740" i="33"/>
  <c r="A740" i="33"/>
  <c r="Y739" i="33"/>
  <c r="Z739" i="33" s="1"/>
  <c r="W739" i="33"/>
  <c r="X739" i="33" s="1"/>
  <c r="K739" i="33"/>
  <c r="L739" i="33" s="1"/>
  <c r="B739" i="33"/>
  <c r="A739" i="33"/>
  <c r="Y738" i="33"/>
  <c r="Z738" i="33" s="1"/>
  <c r="W738" i="33"/>
  <c r="B738" i="33"/>
  <c r="A738" i="33"/>
  <c r="U737" i="33"/>
  <c r="S737" i="33"/>
  <c r="P737" i="33"/>
  <c r="Q737" i="33" s="1"/>
  <c r="N737" i="33"/>
  <c r="O737" i="33" s="1"/>
  <c r="K737" i="33"/>
  <c r="F737" i="33"/>
  <c r="G737" i="33" s="1"/>
  <c r="D737" i="33"/>
  <c r="E737" i="33" s="1"/>
  <c r="B737" i="33"/>
  <c r="A737" i="33"/>
  <c r="M737" i="33" s="1"/>
  <c r="U736" i="33"/>
  <c r="S736" i="33"/>
  <c r="P736" i="33"/>
  <c r="Q736" i="33" s="1"/>
  <c r="N736" i="33"/>
  <c r="O736" i="33" s="1"/>
  <c r="K736" i="33"/>
  <c r="F736" i="33"/>
  <c r="G736" i="33" s="1"/>
  <c r="D736" i="33"/>
  <c r="E736" i="33" s="1"/>
  <c r="B736" i="33"/>
  <c r="A736" i="33"/>
  <c r="M736" i="33" s="1"/>
  <c r="U735" i="33"/>
  <c r="S735" i="33"/>
  <c r="P735" i="33"/>
  <c r="Q735" i="33" s="1"/>
  <c r="N735" i="33"/>
  <c r="O735" i="33" s="1"/>
  <c r="K735" i="33"/>
  <c r="L735" i="33" s="1"/>
  <c r="F735" i="33"/>
  <c r="G735" i="33" s="1"/>
  <c r="D735" i="33"/>
  <c r="E735" i="33" s="1"/>
  <c r="B735" i="33"/>
  <c r="A735" i="33"/>
  <c r="M735" i="33" s="1"/>
  <c r="U734" i="33"/>
  <c r="S734" i="33"/>
  <c r="P734" i="33"/>
  <c r="Q734" i="33" s="1"/>
  <c r="N734" i="33"/>
  <c r="O734" i="33" s="1"/>
  <c r="K734" i="33"/>
  <c r="L734" i="33" s="1"/>
  <c r="F734" i="33"/>
  <c r="G734" i="33" s="1"/>
  <c r="D734" i="33"/>
  <c r="E734" i="33" s="1"/>
  <c r="B734" i="33"/>
  <c r="A734" i="33"/>
  <c r="M734" i="33" s="1"/>
  <c r="Y733" i="33"/>
  <c r="Z733" i="33" s="1"/>
  <c r="W733" i="33"/>
  <c r="B733" i="33"/>
  <c r="A733" i="33"/>
  <c r="Y732" i="33"/>
  <c r="Z732" i="33" s="1"/>
  <c r="W732" i="33"/>
  <c r="B732" i="33"/>
  <c r="A732" i="33"/>
  <c r="Y731" i="33"/>
  <c r="Z731" i="33" s="1"/>
  <c r="W731" i="33"/>
  <c r="B731" i="33"/>
  <c r="A731" i="33"/>
  <c r="Y730" i="33"/>
  <c r="Z730" i="33" s="1"/>
  <c r="W730" i="33"/>
  <c r="K730" i="33"/>
  <c r="L730" i="33" s="1"/>
  <c r="B730" i="33"/>
  <c r="A730" i="33"/>
  <c r="Y729" i="33"/>
  <c r="Z729" i="33" s="1"/>
  <c r="W729" i="33"/>
  <c r="X729" i="33" s="1"/>
  <c r="B729" i="33"/>
  <c r="A729" i="33"/>
  <c r="U728" i="33"/>
  <c r="S728" i="33"/>
  <c r="P728" i="33"/>
  <c r="Q728" i="33" s="1"/>
  <c r="N728" i="33"/>
  <c r="O728" i="33" s="1"/>
  <c r="K728" i="33"/>
  <c r="L728" i="33" s="1"/>
  <c r="F728" i="33"/>
  <c r="G728" i="33" s="1"/>
  <c r="D728" i="33"/>
  <c r="E728" i="33" s="1"/>
  <c r="B728" i="33"/>
  <c r="A728" i="33"/>
  <c r="M728" i="33" s="1"/>
  <c r="U727" i="33"/>
  <c r="S727" i="33"/>
  <c r="P727" i="33"/>
  <c r="Q727" i="33" s="1"/>
  <c r="N727" i="33"/>
  <c r="O727" i="33" s="1"/>
  <c r="K727" i="33"/>
  <c r="L727" i="33" s="1"/>
  <c r="F727" i="33"/>
  <c r="G727" i="33" s="1"/>
  <c r="D727" i="33"/>
  <c r="E727" i="33" s="1"/>
  <c r="B727" i="33"/>
  <c r="A727" i="33"/>
  <c r="M727" i="33" s="1"/>
  <c r="U726" i="33"/>
  <c r="S726" i="33"/>
  <c r="P726" i="33"/>
  <c r="Q726" i="33" s="1"/>
  <c r="N726" i="33"/>
  <c r="O726" i="33" s="1"/>
  <c r="K726" i="33"/>
  <c r="L726" i="33" s="1"/>
  <c r="F726" i="33"/>
  <c r="G726" i="33" s="1"/>
  <c r="D726" i="33"/>
  <c r="E726" i="33" s="1"/>
  <c r="B726" i="33"/>
  <c r="A726" i="33"/>
  <c r="M726" i="33" s="1"/>
  <c r="U725" i="33"/>
  <c r="S725" i="33"/>
  <c r="P725" i="33"/>
  <c r="Q725" i="33" s="1"/>
  <c r="N725" i="33"/>
  <c r="O725" i="33" s="1"/>
  <c r="K725" i="33"/>
  <c r="L725" i="33" s="1"/>
  <c r="F725" i="33"/>
  <c r="G725" i="33" s="1"/>
  <c r="D725" i="33"/>
  <c r="E725" i="33" s="1"/>
  <c r="B725" i="33"/>
  <c r="A725" i="33"/>
  <c r="M725" i="33" s="1"/>
  <c r="Y724" i="33"/>
  <c r="Z724" i="33" s="1"/>
  <c r="W724" i="33"/>
  <c r="X724" i="33" s="1"/>
  <c r="B724" i="33"/>
  <c r="A724" i="33"/>
  <c r="Y723" i="33"/>
  <c r="Z723" i="33" s="1"/>
  <c r="W723" i="33"/>
  <c r="X723" i="33" s="1"/>
  <c r="B723" i="33"/>
  <c r="A723" i="33"/>
  <c r="Y722" i="33"/>
  <c r="Z722" i="33" s="1"/>
  <c r="W722" i="33"/>
  <c r="X722" i="33" s="1"/>
  <c r="B722" i="33"/>
  <c r="A722" i="33"/>
  <c r="Y721" i="33"/>
  <c r="Z721" i="33" s="1"/>
  <c r="W721" i="33"/>
  <c r="X721" i="33" s="1"/>
  <c r="K721" i="33"/>
  <c r="L721" i="33" s="1"/>
  <c r="B721" i="33"/>
  <c r="A721" i="33"/>
  <c r="Y720" i="33"/>
  <c r="Z720" i="33" s="1"/>
  <c r="W720" i="33"/>
  <c r="B720" i="33"/>
  <c r="A720" i="33"/>
  <c r="U719" i="33"/>
  <c r="S719" i="33"/>
  <c r="P719" i="33"/>
  <c r="Q719" i="33" s="1"/>
  <c r="N719" i="33"/>
  <c r="O719" i="33" s="1"/>
  <c r="K719" i="33"/>
  <c r="L719" i="33" s="1"/>
  <c r="F719" i="33"/>
  <c r="G719" i="33" s="1"/>
  <c r="D719" i="33"/>
  <c r="E719" i="33" s="1"/>
  <c r="B719" i="33"/>
  <c r="A719" i="33"/>
  <c r="M719" i="33" s="1"/>
  <c r="U718" i="33"/>
  <c r="S718" i="33"/>
  <c r="P718" i="33"/>
  <c r="Q718" i="33" s="1"/>
  <c r="N718" i="33"/>
  <c r="O718" i="33" s="1"/>
  <c r="K718" i="33"/>
  <c r="F718" i="33"/>
  <c r="G718" i="33" s="1"/>
  <c r="D718" i="33"/>
  <c r="E718" i="33" s="1"/>
  <c r="B718" i="33"/>
  <c r="A718" i="33"/>
  <c r="M718" i="33" s="1"/>
  <c r="U717" i="33"/>
  <c r="S717" i="33"/>
  <c r="P717" i="33"/>
  <c r="Q717" i="33" s="1"/>
  <c r="N717" i="33"/>
  <c r="O717" i="33" s="1"/>
  <c r="K717" i="33"/>
  <c r="L717" i="33" s="1"/>
  <c r="F717" i="33"/>
  <c r="G717" i="33" s="1"/>
  <c r="D717" i="33"/>
  <c r="E717" i="33" s="1"/>
  <c r="B717" i="33"/>
  <c r="A717" i="33"/>
  <c r="M717" i="33" s="1"/>
  <c r="U716" i="33"/>
  <c r="S716" i="33"/>
  <c r="P716" i="33"/>
  <c r="Q716" i="33" s="1"/>
  <c r="N716" i="33"/>
  <c r="O716" i="33" s="1"/>
  <c r="K716" i="33"/>
  <c r="L716" i="33" s="1"/>
  <c r="F716" i="33"/>
  <c r="G716" i="33" s="1"/>
  <c r="D716" i="33"/>
  <c r="E716" i="33" s="1"/>
  <c r="B716" i="33"/>
  <c r="A716" i="33"/>
  <c r="M716" i="33" s="1"/>
  <c r="Y715" i="33"/>
  <c r="Z715" i="33" s="1"/>
  <c r="W715" i="33"/>
  <c r="B715" i="33"/>
  <c r="A715" i="33"/>
  <c r="Y714" i="33"/>
  <c r="Z714" i="33" s="1"/>
  <c r="W714" i="33"/>
  <c r="B714" i="33"/>
  <c r="A714" i="33"/>
  <c r="Y713" i="33"/>
  <c r="Z713" i="33" s="1"/>
  <c r="W713" i="33"/>
  <c r="B713" i="33"/>
  <c r="A713" i="33"/>
  <c r="Y712" i="33"/>
  <c r="Z712" i="33" s="1"/>
  <c r="W712" i="33"/>
  <c r="K712" i="33"/>
  <c r="L712" i="33" s="1"/>
  <c r="B712" i="33"/>
  <c r="A712" i="33"/>
  <c r="Y711" i="33"/>
  <c r="Z711" i="33" s="1"/>
  <c r="W711" i="33"/>
  <c r="B711" i="33"/>
  <c r="A711" i="33"/>
  <c r="U710" i="33"/>
  <c r="S710" i="33"/>
  <c r="P710" i="33"/>
  <c r="Q710" i="33" s="1"/>
  <c r="N710" i="33"/>
  <c r="O710" i="33" s="1"/>
  <c r="K710" i="33"/>
  <c r="L710" i="33" s="1"/>
  <c r="F710" i="33"/>
  <c r="G710" i="33" s="1"/>
  <c r="D710" i="33"/>
  <c r="E710" i="33" s="1"/>
  <c r="B710" i="33"/>
  <c r="A710" i="33"/>
  <c r="M710" i="33" s="1"/>
  <c r="U709" i="33"/>
  <c r="S709" i="33"/>
  <c r="P709" i="33"/>
  <c r="Q709" i="33" s="1"/>
  <c r="N709" i="33"/>
  <c r="O709" i="33" s="1"/>
  <c r="K709" i="33"/>
  <c r="L709" i="33" s="1"/>
  <c r="F709" i="33"/>
  <c r="G709" i="33" s="1"/>
  <c r="D709" i="33"/>
  <c r="E709" i="33" s="1"/>
  <c r="B709" i="33"/>
  <c r="A709" i="33"/>
  <c r="M709" i="33" s="1"/>
  <c r="U708" i="33"/>
  <c r="S708" i="33"/>
  <c r="P708" i="33"/>
  <c r="Q708" i="33" s="1"/>
  <c r="N708" i="33"/>
  <c r="O708" i="33" s="1"/>
  <c r="K708" i="33"/>
  <c r="L708" i="33" s="1"/>
  <c r="F708" i="33"/>
  <c r="G708" i="33" s="1"/>
  <c r="D708" i="33"/>
  <c r="E708" i="33" s="1"/>
  <c r="B708" i="33"/>
  <c r="A708" i="33"/>
  <c r="M708" i="33" s="1"/>
  <c r="U707" i="33"/>
  <c r="S707" i="33"/>
  <c r="P707" i="33"/>
  <c r="Q707" i="33" s="1"/>
  <c r="N707" i="33"/>
  <c r="O707" i="33" s="1"/>
  <c r="K707" i="33"/>
  <c r="F707" i="33"/>
  <c r="G707" i="33" s="1"/>
  <c r="D707" i="33"/>
  <c r="E707" i="33" s="1"/>
  <c r="B707" i="33"/>
  <c r="A707" i="33"/>
  <c r="M707" i="33" s="1"/>
  <c r="Y706" i="33"/>
  <c r="W706" i="33"/>
  <c r="X706" i="33" s="1"/>
  <c r="B706" i="33"/>
  <c r="A706" i="33"/>
  <c r="Y705" i="33"/>
  <c r="Z705" i="33" s="1"/>
  <c r="W705" i="33"/>
  <c r="B705" i="33"/>
  <c r="A705" i="33"/>
  <c r="Y704" i="33"/>
  <c r="Z704" i="33" s="1"/>
  <c r="W704" i="33"/>
  <c r="B704" i="33"/>
  <c r="A704" i="33"/>
  <c r="Y703" i="33"/>
  <c r="Z703" i="33" s="1"/>
  <c r="W703" i="33"/>
  <c r="K703" i="33"/>
  <c r="L703" i="33" s="1"/>
  <c r="B703" i="33"/>
  <c r="A703" i="33"/>
  <c r="Y702" i="33"/>
  <c r="Z702" i="33" s="1"/>
  <c r="W702" i="33"/>
  <c r="B702" i="33"/>
  <c r="A702" i="33"/>
  <c r="U701" i="33"/>
  <c r="S701" i="33"/>
  <c r="P701" i="33"/>
  <c r="Q701" i="33" s="1"/>
  <c r="N701" i="33"/>
  <c r="O701" i="33" s="1"/>
  <c r="K701" i="33"/>
  <c r="L701" i="33" s="1"/>
  <c r="F701" i="33"/>
  <c r="G701" i="33" s="1"/>
  <c r="D701" i="33"/>
  <c r="E701" i="33" s="1"/>
  <c r="B701" i="33"/>
  <c r="A701" i="33"/>
  <c r="M701" i="33" s="1"/>
  <c r="U700" i="33"/>
  <c r="S700" i="33"/>
  <c r="P700" i="33"/>
  <c r="Q700" i="33" s="1"/>
  <c r="N700" i="33"/>
  <c r="O700" i="33" s="1"/>
  <c r="K700" i="33"/>
  <c r="L700" i="33" s="1"/>
  <c r="F700" i="33"/>
  <c r="G700" i="33" s="1"/>
  <c r="D700" i="33"/>
  <c r="E700" i="33" s="1"/>
  <c r="B700" i="33"/>
  <c r="A700" i="33"/>
  <c r="M700" i="33" s="1"/>
  <c r="U699" i="33"/>
  <c r="S699" i="33"/>
  <c r="P699" i="33"/>
  <c r="Q699" i="33" s="1"/>
  <c r="N699" i="33"/>
  <c r="O699" i="33" s="1"/>
  <c r="K699" i="33"/>
  <c r="F699" i="33"/>
  <c r="G699" i="33" s="1"/>
  <c r="D699" i="33"/>
  <c r="E699" i="33" s="1"/>
  <c r="B699" i="33"/>
  <c r="A699" i="33"/>
  <c r="M699" i="33" s="1"/>
  <c r="U698" i="33"/>
  <c r="S698" i="33"/>
  <c r="P698" i="33"/>
  <c r="Q698" i="33" s="1"/>
  <c r="N698" i="33"/>
  <c r="O698" i="33" s="1"/>
  <c r="K698" i="33"/>
  <c r="L698" i="33" s="1"/>
  <c r="F698" i="33"/>
  <c r="G698" i="33" s="1"/>
  <c r="D698" i="33"/>
  <c r="E698" i="33" s="1"/>
  <c r="B698" i="33"/>
  <c r="A698" i="33"/>
  <c r="M698" i="33" s="1"/>
  <c r="Y697" i="33"/>
  <c r="Z697" i="33" s="1"/>
  <c r="W697" i="33"/>
  <c r="B697" i="33"/>
  <c r="A697" i="33"/>
  <c r="Y696" i="33"/>
  <c r="Z696" i="33" s="1"/>
  <c r="W696" i="33"/>
  <c r="X696" i="33" s="1"/>
  <c r="B696" i="33"/>
  <c r="A696" i="33"/>
  <c r="Y695" i="33"/>
  <c r="Z695" i="33" s="1"/>
  <c r="W695" i="33"/>
  <c r="X695" i="33" s="1"/>
  <c r="B695" i="33"/>
  <c r="A695" i="33"/>
  <c r="Y694" i="33"/>
  <c r="Z694" i="33" s="1"/>
  <c r="W694" i="33"/>
  <c r="X694" i="33" s="1"/>
  <c r="K694" i="33"/>
  <c r="L694" i="33" s="1"/>
  <c r="B694" i="33"/>
  <c r="A694" i="33"/>
  <c r="Y693" i="33"/>
  <c r="Z693" i="33" s="1"/>
  <c r="W693" i="33"/>
  <c r="X693" i="33" s="1"/>
  <c r="B693" i="33"/>
  <c r="A693" i="33"/>
  <c r="U692" i="33"/>
  <c r="S692" i="33"/>
  <c r="P692" i="33"/>
  <c r="Q692" i="33" s="1"/>
  <c r="N692" i="33"/>
  <c r="O692" i="33" s="1"/>
  <c r="K692" i="33"/>
  <c r="L692" i="33" s="1"/>
  <c r="F692" i="33"/>
  <c r="G692" i="33" s="1"/>
  <c r="D692" i="33"/>
  <c r="E692" i="33" s="1"/>
  <c r="B692" i="33"/>
  <c r="A692" i="33"/>
  <c r="M692" i="33" s="1"/>
  <c r="U691" i="33"/>
  <c r="S691" i="33"/>
  <c r="P691" i="33"/>
  <c r="Q691" i="33" s="1"/>
  <c r="N691" i="33"/>
  <c r="O691" i="33" s="1"/>
  <c r="K691" i="33"/>
  <c r="L691" i="33" s="1"/>
  <c r="F691" i="33"/>
  <c r="G691" i="33" s="1"/>
  <c r="D691" i="33"/>
  <c r="E691" i="33" s="1"/>
  <c r="B691" i="33"/>
  <c r="A691" i="33"/>
  <c r="M691" i="33" s="1"/>
  <c r="U690" i="33"/>
  <c r="S690" i="33"/>
  <c r="P690" i="33"/>
  <c r="Q690" i="33" s="1"/>
  <c r="N690" i="33"/>
  <c r="O690" i="33" s="1"/>
  <c r="K690" i="33"/>
  <c r="L690" i="33" s="1"/>
  <c r="F690" i="33"/>
  <c r="G690" i="33" s="1"/>
  <c r="D690" i="33"/>
  <c r="E690" i="33" s="1"/>
  <c r="B690" i="33"/>
  <c r="A690" i="33"/>
  <c r="M690" i="33" s="1"/>
  <c r="U689" i="33"/>
  <c r="S689" i="33"/>
  <c r="P689" i="33"/>
  <c r="Q689" i="33" s="1"/>
  <c r="N689" i="33"/>
  <c r="O689" i="33" s="1"/>
  <c r="K689" i="33"/>
  <c r="L689" i="33" s="1"/>
  <c r="F689" i="33"/>
  <c r="G689" i="33" s="1"/>
  <c r="D689" i="33"/>
  <c r="E689" i="33" s="1"/>
  <c r="B689" i="33"/>
  <c r="A689" i="33"/>
  <c r="M689" i="33" s="1"/>
  <c r="Y688" i="33"/>
  <c r="Z688" i="33" s="1"/>
  <c r="W688" i="33"/>
  <c r="X688" i="33" s="1"/>
  <c r="B688" i="33"/>
  <c r="A688" i="33"/>
  <c r="Y687" i="33"/>
  <c r="Z687" i="33" s="1"/>
  <c r="W687" i="33"/>
  <c r="B687" i="33"/>
  <c r="A687" i="33"/>
  <c r="Y686" i="33"/>
  <c r="Z686" i="33" s="1"/>
  <c r="W686" i="33"/>
  <c r="X686" i="33" s="1"/>
  <c r="B686" i="33"/>
  <c r="A686" i="33"/>
  <c r="Y685" i="33"/>
  <c r="Z685" i="33" s="1"/>
  <c r="W685" i="33"/>
  <c r="K685" i="33"/>
  <c r="L685" i="33" s="1"/>
  <c r="B685" i="33"/>
  <c r="A685" i="33"/>
  <c r="Y684" i="33"/>
  <c r="Z684" i="33" s="1"/>
  <c r="W684" i="33"/>
  <c r="X684" i="33" s="1"/>
  <c r="B684" i="33"/>
  <c r="A684" i="33"/>
  <c r="U683" i="33"/>
  <c r="S683" i="33"/>
  <c r="P683" i="33"/>
  <c r="Q683" i="33" s="1"/>
  <c r="N683" i="33"/>
  <c r="O683" i="33" s="1"/>
  <c r="K683" i="33"/>
  <c r="L683" i="33" s="1"/>
  <c r="F683" i="33"/>
  <c r="G683" i="33" s="1"/>
  <c r="D683" i="33"/>
  <c r="E683" i="33" s="1"/>
  <c r="B683" i="33"/>
  <c r="A683" i="33"/>
  <c r="M683" i="33" s="1"/>
  <c r="U682" i="33"/>
  <c r="S682" i="33"/>
  <c r="P682" i="33"/>
  <c r="Q682" i="33" s="1"/>
  <c r="N682" i="33"/>
  <c r="O682" i="33" s="1"/>
  <c r="K682" i="33"/>
  <c r="F682" i="33"/>
  <c r="G682" i="33" s="1"/>
  <c r="D682" i="33"/>
  <c r="E682" i="33" s="1"/>
  <c r="B682" i="33"/>
  <c r="A682" i="33"/>
  <c r="M682" i="33" s="1"/>
  <c r="U681" i="33"/>
  <c r="S681" i="33"/>
  <c r="P681" i="33"/>
  <c r="Q681" i="33" s="1"/>
  <c r="N681" i="33"/>
  <c r="O681" i="33" s="1"/>
  <c r="K681" i="33"/>
  <c r="L681" i="33" s="1"/>
  <c r="F681" i="33"/>
  <c r="G681" i="33" s="1"/>
  <c r="D681" i="33"/>
  <c r="E681" i="33" s="1"/>
  <c r="B681" i="33"/>
  <c r="A681" i="33"/>
  <c r="M681" i="33" s="1"/>
  <c r="U680" i="33"/>
  <c r="S680" i="33"/>
  <c r="P680" i="33"/>
  <c r="Q680" i="33" s="1"/>
  <c r="N680" i="33"/>
  <c r="O680" i="33" s="1"/>
  <c r="K680" i="33"/>
  <c r="L680" i="33" s="1"/>
  <c r="F680" i="33"/>
  <c r="G680" i="33" s="1"/>
  <c r="D680" i="33"/>
  <c r="E680" i="33" s="1"/>
  <c r="B680" i="33"/>
  <c r="A680" i="33"/>
  <c r="M680" i="33" s="1"/>
  <c r="Y679" i="33"/>
  <c r="Z679" i="33" s="1"/>
  <c r="W679" i="33"/>
  <c r="B679" i="33"/>
  <c r="A679" i="33"/>
  <c r="Y678" i="33"/>
  <c r="Z678" i="33" s="1"/>
  <c r="W678" i="33"/>
  <c r="X678" i="33" s="1"/>
  <c r="B678" i="33"/>
  <c r="A678" i="33"/>
  <c r="Y677" i="33"/>
  <c r="Z677" i="33" s="1"/>
  <c r="W677" i="33"/>
  <c r="B677" i="33"/>
  <c r="A677" i="33"/>
  <c r="Y676" i="33"/>
  <c r="Z676" i="33" s="1"/>
  <c r="W676" i="33"/>
  <c r="K676" i="33"/>
  <c r="L676" i="33" s="1"/>
  <c r="B676" i="33"/>
  <c r="A676" i="33"/>
  <c r="Y675" i="33"/>
  <c r="Z675" i="33" s="1"/>
  <c r="W675" i="33"/>
  <c r="B675" i="33"/>
  <c r="A675" i="33"/>
  <c r="U674" i="33"/>
  <c r="S674" i="33"/>
  <c r="P674" i="33"/>
  <c r="Q674" i="33" s="1"/>
  <c r="N674" i="33"/>
  <c r="O674" i="33" s="1"/>
  <c r="K674" i="33"/>
  <c r="L674" i="33" s="1"/>
  <c r="F674" i="33"/>
  <c r="G674" i="33" s="1"/>
  <c r="D674" i="33"/>
  <c r="E674" i="33" s="1"/>
  <c r="B674" i="33"/>
  <c r="A674" i="33"/>
  <c r="M674" i="33" s="1"/>
  <c r="U673" i="33"/>
  <c r="S673" i="33"/>
  <c r="P673" i="33"/>
  <c r="Q673" i="33" s="1"/>
  <c r="N673" i="33"/>
  <c r="O673" i="33" s="1"/>
  <c r="K673" i="33"/>
  <c r="F673" i="33"/>
  <c r="G673" i="33" s="1"/>
  <c r="D673" i="33"/>
  <c r="E673" i="33" s="1"/>
  <c r="B673" i="33"/>
  <c r="A673" i="33"/>
  <c r="M673" i="33" s="1"/>
  <c r="U672" i="33"/>
  <c r="S672" i="33"/>
  <c r="P672" i="33"/>
  <c r="Q672" i="33" s="1"/>
  <c r="N672" i="33"/>
  <c r="O672" i="33" s="1"/>
  <c r="K672" i="33"/>
  <c r="L672" i="33" s="1"/>
  <c r="F672" i="33"/>
  <c r="G672" i="33" s="1"/>
  <c r="D672" i="33"/>
  <c r="E672" i="33" s="1"/>
  <c r="B672" i="33"/>
  <c r="A672" i="33"/>
  <c r="M672" i="33" s="1"/>
  <c r="U671" i="33"/>
  <c r="S671" i="33"/>
  <c r="P671" i="33"/>
  <c r="Q671" i="33" s="1"/>
  <c r="N671" i="33"/>
  <c r="O671" i="33" s="1"/>
  <c r="K671" i="33"/>
  <c r="L671" i="33" s="1"/>
  <c r="F671" i="33"/>
  <c r="G671" i="33" s="1"/>
  <c r="D671" i="33"/>
  <c r="E671" i="33" s="1"/>
  <c r="B671" i="33"/>
  <c r="A671" i="33"/>
  <c r="M671" i="33" s="1"/>
  <c r="Y670" i="33"/>
  <c r="Z670" i="33" s="1"/>
  <c r="W670" i="33"/>
  <c r="X670" i="33" s="1"/>
  <c r="B670" i="33"/>
  <c r="A670" i="33"/>
  <c r="Y669" i="33"/>
  <c r="Z669" i="33" s="1"/>
  <c r="W669" i="33"/>
  <c r="B669" i="33"/>
  <c r="A669" i="33"/>
  <c r="Y668" i="33"/>
  <c r="Z668" i="33" s="1"/>
  <c r="W668" i="33"/>
  <c r="X668" i="33" s="1"/>
  <c r="B668" i="33"/>
  <c r="A668" i="33"/>
  <c r="Y667" i="33"/>
  <c r="Z667" i="33" s="1"/>
  <c r="W667" i="33"/>
  <c r="K667" i="33"/>
  <c r="L667" i="33" s="1"/>
  <c r="B667" i="33"/>
  <c r="A667" i="33"/>
  <c r="Y666" i="33"/>
  <c r="Z666" i="33" s="1"/>
  <c r="W666" i="33"/>
  <c r="B666" i="33"/>
  <c r="A666" i="33"/>
  <c r="U665" i="33"/>
  <c r="S665" i="33"/>
  <c r="P665" i="33"/>
  <c r="Q665" i="33" s="1"/>
  <c r="N665" i="33"/>
  <c r="O665" i="33" s="1"/>
  <c r="K665" i="33"/>
  <c r="L665" i="33" s="1"/>
  <c r="F665" i="33"/>
  <c r="G665" i="33" s="1"/>
  <c r="D665" i="33"/>
  <c r="E665" i="33" s="1"/>
  <c r="B665" i="33"/>
  <c r="A665" i="33"/>
  <c r="M665" i="33" s="1"/>
  <c r="U664" i="33"/>
  <c r="S664" i="33"/>
  <c r="P664" i="33"/>
  <c r="Q664" i="33" s="1"/>
  <c r="N664" i="33"/>
  <c r="O664" i="33" s="1"/>
  <c r="K664" i="33"/>
  <c r="F664" i="33"/>
  <c r="G664" i="33" s="1"/>
  <c r="D664" i="33"/>
  <c r="E664" i="33" s="1"/>
  <c r="B664" i="33"/>
  <c r="A664" i="33"/>
  <c r="M664" i="33" s="1"/>
  <c r="U663" i="33"/>
  <c r="S663" i="33"/>
  <c r="P663" i="33"/>
  <c r="Q663" i="33" s="1"/>
  <c r="N663" i="33"/>
  <c r="O663" i="33" s="1"/>
  <c r="K663" i="33"/>
  <c r="L663" i="33" s="1"/>
  <c r="F663" i="33"/>
  <c r="G663" i="33" s="1"/>
  <c r="D663" i="33"/>
  <c r="E663" i="33" s="1"/>
  <c r="B663" i="33"/>
  <c r="A663" i="33"/>
  <c r="M663" i="33" s="1"/>
  <c r="U662" i="33"/>
  <c r="S662" i="33"/>
  <c r="P662" i="33"/>
  <c r="Q662" i="33" s="1"/>
  <c r="N662" i="33"/>
  <c r="O662" i="33" s="1"/>
  <c r="K662" i="33"/>
  <c r="L662" i="33" s="1"/>
  <c r="F662" i="33"/>
  <c r="G662" i="33" s="1"/>
  <c r="D662" i="33"/>
  <c r="E662" i="33" s="1"/>
  <c r="B662" i="33"/>
  <c r="A662" i="33"/>
  <c r="M662" i="33" s="1"/>
  <c r="Y661" i="33"/>
  <c r="Z661" i="33" s="1"/>
  <c r="W661" i="33"/>
  <c r="X661" i="33" s="1"/>
  <c r="B661" i="33"/>
  <c r="A661" i="33"/>
  <c r="Y660" i="33"/>
  <c r="W660" i="33"/>
  <c r="X660" i="33" s="1"/>
  <c r="B660" i="33"/>
  <c r="A660" i="33"/>
  <c r="Y659" i="33"/>
  <c r="Z659" i="33" s="1"/>
  <c r="W659" i="33"/>
  <c r="X659" i="33" s="1"/>
  <c r="B659" i="33"/>
  <c r="A659" i="33"/>
  <c r="Y658" i="33"/>
  <c r="Z658" i="33" s="1"/>
  <c r="W658" i="33"/>
  <c r="K658" i="33"/>
  <c r="L658" i="33" s="1"/>
  <c r="B658" i="33"/>
  <c r="A658" i="33"/>
  <c r="Y657" i="33"/>
  <c r="Z657" i="33" s="1"/>
  <c r="W657" i="33"/>
  <c r="X657" i="33" s="1"/>
  <c r="B657" i="33"/>
  <c r="A657" i="33"/>
  <c r="U656" i="33"/>
  <c r="S656" i="33"/>
  <c r="P656" i="33"/>
  <c r="Q656" i="33" s="1"/>
  <c r="N656" i="33"/>
  <c r="O656" i="33" s="1"/>
  <c r="K656" i="33"/>
  <c r="F656" i="33"/>
  <c r="G656" i="33" s="1"/>
  <c r="D656" i="33"/>
  <c r="E656" i="33" s="1"/>
  <c r="B656" i="33"/>
  <c r="A656" i="33"/>
  <c r="M656" i="33" s="1"/>
  <c r="U655" i="33"/>
  <c r="S655" i="33"/>
  <c r="P655" i="33"/>
  <c r="Q655" i="33" s="1"/>
  <c r="N655" i="33"/>
  <c r="O655" i="33" s="1"/>
  <c r="K655" i="33"/>
  <c r="L655" i="33" s="1"/>
  <c r="F655" i="33"/>
  <c r="G655" i="33" s="1"/>
  <c r="D655" i="33"/>
  <c r="E655" i="33" s="1"/>
  <c r="B655" i="33"/>
  <c r="A655" i="33"/>
  <c r="M655" i="33" s="1"/>
  <c r="U654" i="33"/>
  <c r="S654" i="33"/>
  <c r="P654" i="33"/>
  <c r="Q654" i="33" s="1"/>
  <c r="N654" i="33"/>
  <c r="O654" i="33" s="1"/>
  <c r="K654" i="33"/>
  <c r="L654" i="33" s="1"/>
  <c r="F654" i="33"/>
  <c r="G654" i="33" s="1"/>
  <c r="D654" i="33"/>
  <c r="E654" i="33" s="1"/>
  <c r="B654" i="33"/>
  <c r="A654" i="33"/>
  <c r="M654" i="33" s="1"/>
  <c r="U653" i="33"/>
  <c r="S653" i="33"/>
  <c r="P653" i="33"/>
  <c r="Q653" i="33" s="1"/>
  <c r="N653" i="33"/>
  <c r="O653" i="33" s="1"/>
  <c r="K653" i="33"/>
  <c r="L653" i="33" s="1"/>
  <c r="F653" i="33"/>
  <c r="G653" i="33" s="1"/>
  <c r="D653" i="33"/>
  <c r="E653" i="33" s="1"/>
  <c r="B653" i="33"/>
  <c r="A653" i="33"/>
  <c r="M653" i="33" s="1"/>
  <c r="Y652" i="33"/>
  <c r="Z652" i="33" s="1"/>
  <c r="W652" i="33"/>
  <c r="B652" i="33"/>
  <c r="A652" i="33"/>
  <c r="Y651" i="33"/>
  <c r="Z651" i="33" s="1"/>
  <c r="W651" i="33"/>
  <c r="B651" i="33"/>
  <c r="A651" i="33"/>
  <c r="Y650" i="33"/>
  <c r="Z650" i="33" s="1"/>
  <c r="W650" i="33"/>
  <c r="X650" i="33" s="1"/>
  <c r="B650" i="33"/>
  <c r="A650" i="33"/>
  <c r="Y649" i="33"/>
  <c r="Z649" i="33" s="1"/>
  <c r="W649" i="33"/>
  <c r="X649" i="33" s="1"/>
  <c r="K649" i="33"/>
  <c r="L649" i="33" s="1"/>
  <c r="B649" i="33"/>
  <c r="A649" i="33"/>
  <c r="Y648" i="33"/>
  <c r="Z648" i="33" s="1"/>
  <c r="W648" i="33"/>
  <c r="X648" i="33" s="1"/>
  <c r="B648" i="33"/>
  <c r="A648" i="33"/>
  <c r="U647" i="33"/>
  <c r="S647" i="33"/>
  <c r="P647" i="33"/>
  <c r="Q647" i="33" s="1"/>
  <c r="N647" i="33"/>
  <c r="O647" i="33" s="1"/>
  <c r="K647" i="33"/>
  <c r="L647" i="33" s="1"/>
  <c r="F647" i="33"/>
  <c r="G647" i="33" s="1"/>
  <c r="D647" i="33"/>
  <c r="E647" i="33" s="1"/>
  <c r="B647" i="33"/>
  <c r="A647" i="33"/>
  <c r="M647" i="33" s="1"/>
  <c r="U646" i="33"/>
  <c r="S646" i="33"/>
  <c r="P646" i="33"/>
  <c r="Q646" i="33" s="1"/>
  <c r="N646" i="33"/>
  <c r="O646" i="33" s="1"/>
  <c r="K646" i="33"/>
  <c r="L646" i="33" s="1"/>
  <c r="F646" i="33"/>
  <c r="G646" i="33" s="1"/>
  <c r="D646" i="33"/>
  <c r="E646" i="33" s="1"/>
  <c r="B646" i="33"/>
  <c r="A646" i="33"/>
  <c r="M646" i="33" s="1"/>
  <c r="U645" i="33"/>
  <c r="S645" i="33"/>
  <c r="P645" i="33"/>
  <c r="Q645" i="33" s="1"/>
  <c r="N645" i="33"/>
  <c r="O645" i="33" s="1"/>
  <c r="K645" i="33"/>
  <c r="L645" i="33" s="1"/>
  <c r="F645" i="33"/>
  <c r="G645" i="33" s="1"/>
  <c r="D645" i="33"/>
  <c r="E645" i="33" s="1"/>
  <c r="B645" i="33"/>
  <c r="A645" i="33"/>
  <c r="M645" i="33" s="1"/>
  <c r="U644" i="33"/>
  <c r="S644" i="33"/>
  <c r="P644" i="33"/>
  <c r="Q644" i="33" s="1"/>
  <c r="N644" i="33"/>
  <c r="O644" i="33" s="1"/>
  <c r="K644" i="33"/>
  <c r="L644" i="33" s="1"/>
  <c r="F644" i="33"/>
  <c r="G644" i="33" s="1"/>
  <c r="D644" i="33"/>
  <c r="E644" i="33" s="1"/>
  <c r="B644" i="33"/>
  <c r="A644" i="33"/>
  <c r="M644" i="33" s="1"/>
  <c r="Y643" i="33"/>
  <c r="Z643" i="33" s="1"/>
  <c r="W643" i="33"/>
  <c r="X643" i="33" s="1"/>
  <c r="B643" i="33"/>
  <c r="A643" i="33"/>
  <c r="Y642" i="33"/>
  <c r="Z642" i="33" s="1"/>
  <c r="W642" i="33"/>
  <c r="X642" i="33" s="1"/>
  <c r="B642" i="33"/>
  <c r="A642" i="33"/>
  <c r="Z641" i="33"/>
  <c r="Y641" i="33"/>
  <c r="W641" i="33"/>
  <c r="X641" i="33" s="1"/>
  <c r="B641" i="33"/>
  <c r="A641" i="33"/>
  <c r="Y640" i="33"/>
  <c r="Z640" i="33" s="1"/>
  <c r="W640" i="33"/>
  <c r="X640" i="33" s="1"/>
  <c r="K640" i="33"/>
  <c r="L640" i="33" s="1"/>
  <c r="B640" i="33"/>
  <c r="A640" i="33"/>
  <c r="Y639" i="33"/>
  <c r="Z639" i="33" s="1"/>
  <c r="W639" i="33"/>
  <c r="X639" i="33" s="1"/>
  <c r="B639" i="33"/>
  <c r="A639" i="33"/>
  <c r="U638" i="33"/>
  <c r="S638" i="33"/>
  <c r="Q638" i="33"/>
  <c r="P638" i="33"/>
  <c r="N638" i="33"/>
  <c r="O638" i="33" s="1"/>
  <c r="K638" i="33"/>
  <c r="F638" i="33"/>
  <c r="G638" i="33" s="1"/>
  <c r="D638" i="33"/>
  <c r="E638" i="33" s="1"/>
  <c r="B638" i="33"/>
  <c r="A638" i="33"/>
  <c r="M638" i="33" s="1"/>
  <c r="U637" i="33"/>
  <c r="S637" i="33"/>
  <c r="P637" i="33"/>
  <c r="Q637" i="33" s="1"/>
  <c r="N637" i="33"/>
  <c r="O637" i="33" s="1"/>
  <c r="K637" i="33"/>
  <c r="L637" i="33" s="1"/>
  <c r="F637" i="33"/>
  <c r="G637" i="33" s="1"/>
  <c r="D637" i="33"/>
  <c r="E637" i="33" s="1"/>
  <c r="B637" i="33"/>
  <c r="A637" i="33"/>
  <c r="M637" i="33" s="1"/>
  <c r="U636" i="33"/>
  <c r="S636" i="33"/>
  <c r="P636" i="33"/>
  <c r="Q636" i="33" s="1"/>
  <c r="N636" i="33"/>
  <c r="O636" i="33" s="1"/>
  <c r="K636" i="33"/>
  <c r="L636" i="33" s="1"/>
  <c r="F636" i="33"/>
  <c r="G636" i="33" s="1"/>
  <c r="D636" i="33"/>
  <c r="E636" i="33" s="1"/>
  <c r="B636" i="33"/>
  <c r="A636" i="33"/>
  <c r="M636" i="33" s="1"/>
  <c r="U635" i="33"/>
  <c r="S635" i="33"/>
  <c r="P635" i="33"/>
  <c r="Q635" i="33" s="1"/>
  <c r="N635" i="33"/>
  <c r="O635" i="33" s="1"/>
  <c r="K635" i="33"/>
  <c r="L635" i="33" s="1"/>
  <c r="F635" i="33"/>
  <c r="G635" i="33" s="1"/>
  <c r="D635" i="33"/>
  <c r="E635" i="33" s="1"/>
  <c r="B635" i="33"/>
  <c r="A635" i="33"/>
  <c r="M635" i="33" s="1"/>
  <c r="Y634" i="33"/>
  <c r="Z634" i="33" s="1"/>
  <c r="W634" i="33"/>
  <c r="B634" i="33"/>
  <c r="A634" i="33"/>
  <c r="Y633" i="33"/>
  <c r="Z633" i="33" s="1"/>
  <c r="W633" i="33"/>
  <c r="X633" i="33" s="1"/>
  <c r="B633" i="33"/>
  <c r="A633" i="33"/>
  <c r="Y632" i="33"/>
  <c r="Z632" i="33" s="1"/>
  <c r="W632" i="33"/>
  <c r="B632" i="33"/>
  <c r="A632" i="33"/>
  <c r="Y631" i="33"/>
  <c r="Z631" i="33" s="1"/>
  <c r="W631" i="33"/>
  <c r="X631" i="33" s="1"/>
  <c r="K631" i="33"/>
  <c r="L631" i="33" s="1"/>
  <c r="B631" i="33"/>
  <c r="A631" i="33"/>
  <c r="Y630" i="33"/>
  <c r="Z630" i="33" s="1"/>
  <c r="W630" i="33"/>
  <c r="X630" i="33" s="1"/>
  <c r="B630" i="33"/>
  <c r="A630" i="33"/>
  <c r="U629" i="33"/>
  <c r="S629" i="33"/>
  <c r="P629" i="33"/>
  <c r="Q629" i="33" s="1"/>
  <c r="N629" i="33"/>
  <c r="O629" i="33" s="1"/>
  <c r="K629" i="33"/>
  <c r="L629" i="33" s="1"/>
  <c r="F629" i="33"/>
  <c r="G629" i="33" s="1"/>
  <c r="D629" i="33"/>
  <c r="E629" i="33" s="1"/>
  <c r="B629" i="33"/>
  <c r="A629" i="33"/>
  <c r="M629" i="33" s="1"/>
  <c r="U628" i="33"/>
  <c r="S628" i="33"/>
  <c r="P628" i="33"/>
  <c r="Q628" i="33" s="1"/>
  <c r="N628" i="33"/>
  <c r="O628" i="33" s="1"/>
  <c r="K628" i="33"/>
  <c r="L628" i="33" s="1"/>
  <c r="F628" i="33"/>
  <c r="G628" i="33" s="1"/>
  <c r="D628" i="33"/>
  <c r="E628" i="33" s="1"/>
  <c r="B628" i="33"/>
  <c r="A628" i="33"/>
  <c r="M628" i="33" s="1"/>
  <c r="U627" i="33"/>
  <c r="S627" i="33"/>
  <c r="P627" i="33"/>
  <c r="Q627" i="33" s="1"/>
  <c r="N627" i="33"/>
  <c r="O627" i="33" s="1"/>
  <c r="K627" i="33"/>
  <c r="L627" i="33" s="1"/>
  <c r="F627" i="33"/>
  <c r="G627" i="33" s="1"/>
  <c r="D627" i="33"/>
  <c r="E627" i="33" s="1"/>
  <c r="B627" i="33"/>
  <c r="A627" i="33"/>
  <c r="M627" i="33" s="1"/>
  <c r="U626" i="33"/>
  <c r="S626" i="33"/>
  <c r="P626" i="33"/>
  <c r="Q626" i="33" s="1"/>
  <c r="N626" i="33"/>
  <c r="O626" i="33" s="1"/>
  <c r="K626" i="33"/>
  <c r="L626" i="33" s="1"/>
  <c r="F626" i="33"/>
  <c r="G626" i="33" s="1"/>
  <c r="D626" i="33"/>
  <c r="E626" i="33" s="1"/>
  <c r="B626" i="33"/>
  <c r="A626" i="33"/>
  <c r="M626" i="33" s="1"/>
  <c r="Y625" i="33"/>
  <c r="Z625" i="33" s="1"/>
  <c r="W625" i="33"/>
  <c r="X625" i="33" s="1"/>
  <c r="B625" i="33"/>
  <c r="A625" i="33"/>
  <c r="Y624" i="33"/>
  <c r="Z624" i="33" s="1"/>
  <c r="W624" i="33"/>
  <c r="X624" i="33" s="1"/>
  <c r="B624" i="33"/>
  <c r="A624" i="33"/>
  <c r="Y623" i="33"/>
  <c r="Z623" i="33" s="1"/>
  <c r="W623" i="33"/>
  <c r="B623" i="33"/>
  <c r="A623" i="33"/>
  <c r="Y622" i="33"/>
  <c r="Z622" i="33" s="1"/>
  <c r="W622" i="33"/>
  <c r="X622" i="33" s="1"/>
  <c r="K622" i="33"/>
  <c r="L622" i="33" s="1"/>
  <c r="B622" i="33"/>
  <c r="A622" i="33"/>
  <c r="Y621" i="33"/>
  <c r="Z621" i="33" s="1"/>
  <c r="W621" i="33"/>
  <c r="X621" i="33" s="1"/>
  <c r="B621" i="33"/>
  <c r="A621" i="33"/>
  <c r="U620" i="33"/>
  <c r="S620" i="33"/>
  <c r="P620" i="33"/>
  <c r="Q620" i="33" s="1"/>
  <c r="N620" i="33"/>
  <c r="O620" i="33" s="1"/>
  <c r="K620" i="33"/>
  <c r="L620" i="33" s="1"/>
  <c r="F620" i="33"/>
  <c r="G620" i="33" s="1"/>
  <c r="D620" i="33"/>
  <c r="E620" i="33" s="1"/>
  <c r="B620" i="33"/>
  <c r="A620" i="33"/>
  <c r="M620" i="33" s="1"/>
  <c r="U619" i="33"/>
  <c r="S619" i="33"/>
  <c r="P619" i="33"/>
  <c r="Q619" i="33" s="1"/>
  <c r="N619" i="33"/>
  <c r="O619" i="33" s="1"/>
  <c r="K619" i="33"/>
  <c r="L619" i="33" s="1"/>
  <c r="F619" i="33"/>
  <c r="G619" i="33" s="1"/>
  <c r="D619" i="33"/>
  <c r="E619" i="33" s="1"/>
  <c r="B619" i="33"/>
  <c r="A619" i="33"/>
  <c r="M619" i="33" s="1"/>
  <c r="U618" i="33"/>
  <c r="S618" i="33"/>
  <c r="P618" i="33"/>
  <c r="Q618" i="33" s="1"/>
  <c r="N618" i="33"/>
  <c r="O618" i="33" s="1"/>
  <c r="K618" i="33"/>
  <c r="L618" i="33" s="1"/>
  <c r="F618" i="33"/>
  <c r="G618" i="33" s="1"/>
  <c r="D618" i="33"/>
  <c r="E618" i="33" s="1"/>
  <c r="B618" i="33"/>
  <c r="A618" i="33"/>
  <c r="M618" i="33" s="1"/>
  <c r="U617" i="33"/>
  <c r="S617" i="33"/>
  <c r="P617" i="33"/>
  <c r="Q617" i="33" s="1"/>
  <c r="N617" i="33"/>
  <c r="O617" i="33" s="1"/>
  <c r="K617" i="33"/>
  <c r="F617" i="33"/>
  <c r="G617" i="33" s="1"/>
  <c r="D617" i="33"/>
  <c r="E617" i="33" s="1"/>
  <c r="B617" i="33"/>
  <c r="A617" i="33"/>
  <c r="M617" i="33" s="1"/>
  <c r="Y616" i="33"/>
  <c r="Z616" i="33" s="1"/>
  <c r="W616" i="33"/>
  <c r="B616" i="33"/>
  <c r="A616" i="33"/>
  <c r="Y615" i="33"/>
  <c r="Z615" i="33" s="1"/>
  <c r="W615" i="33"/>
  <c r="B615" i="33"/>
  <c r="A615" i="33"/>
  <c r="Y614" i="33"/>
  <c r="Z614" i="33" s="1"/>
  <c r="W614" i="33"/>
  <c r="X614" i="33" s="1"/>
  <c r="B614" i="33"/>
  <c r="A614" i="33"/>
  <c r="Y613" i="33"/>
  <c r="Z613" i="33" s="1"/>
  <c r="W613" i="33"/>
  <c r="K613" i="33"/>
  <c r="L613" i="33" s="1"/>
  <c r="B613" i="33"/>
  <c r="A613" i="33"/>
  <c r="Y612" i="33"/>
  <c r="Z612" i="33" s="1"/>
  <c r="W612" i="33"/>
  <c r="B612" i="33"/>
  <c r="A612" i="33"/>
  <c r="U611" i="33"/>
  <c r="S611" i="33"/>
  <c r="P611" i="33"/>
  <c r="Q611" i="33" s="1"/>
  <c r="N611" i="33"/>
  <c r="O611" i="33" s="1"/>
  <c r="K611" i="33"/>
  <c r="L611" i="33" s="1"/>
  <c r="F611" i="33"/>
  <c r="G611" i="33" s="1"/>
  <c r="D611" i="33"/>
  <c r="E611" i="33" s="1"/>
  <c r="B611" i="33"/>
  <c r="A611" i="33"/>
  <c r="M611" i="33" s="1"/>
  <c r="U610" i="33"/>
  <c r="S610" i="33"/>
  <c r="P610" i="33"/>
  <c r="Q610" i="33" s="1"/>
  <c r="N610" i="33"/>
  <c r="O610" i="33" s="1"/>
  <c r="K610" i="33"/>
  <c r="F610" i="33"/>
  <c r="G610" i="33" s="1"/>
  <c r="D610" i="33"/>
  <c r="E610" i="33" s="1"/>
  <c r="B610" i="33"/>
  <c r="A610" i="33"/>
  <c r="M610" i="33" s="1"/>
  <c r="U609" i="33"/>
  <c r="S609" i="33"/>
  <c r="P609" i="33"/>
  <c r="Q609" i="33" s="1"/>
  <c r="N609" i="33"/>
  <c r="O609" i="33" s="1"/>
  <c r="K609" i="33"/>
  <c r="L609" i="33" s="1"/>
  <c r="F609" i="33"/>
  <c r="G609" i="33" s="1"/>
  <c r="D609" i="33"/>
  <c r="E609" i="33" s="1"/>
  <c r="B609" i="33"/>
  <c r="A609" i="33"/>
  <c r="M609" i="33" s="1"/>
  <c r="U608" i="33"/>
  <c r="S608" i="33"/>
  <c r="P608" i="33"/>
  <c r="Q608" i="33" s="1"/>
  <c r="N608" i="33"/>
  <c r="O608" i="33" s="1"/>
  <c r="K608" i="33"/>
  <c r="L608" i="33" s="1"/>
  <c r="F608" i="33"/>
  <c r="G608" i="33" s="1"/>
  <c r="D608" i="33"/>
  <c r="E608" i="33" s="1"/>
  <c r="B608" i="33"/>
  <c r="A608" i="33"/>
  <c r="M608" i="33" s="1"/>
  <c r="Y607" i="33"/>
  <c r="Z607" i="33" s="1"/>
  <c r="W607" i="33"/>
  <c r="B607" i="33"/>
  <c r="A607" i="33"/>
  <c r="Y606" i="33"/>
  <c r="Z606" i="33" s="1"/>
  <c r="W606" i="33"/>
  <c r="B606" i="33"/>
  <c r="A606" i="33"/>
  <c r="Y605" i="33"/>
  <c r="Z605" i="33" s="1"/>
  <c r="W605" i="33"/>
  <c r="B605" i="33"/>
  <c r="A605" i="33"/>
  <c r="Y604" i="33"/>
  <c r="Z604" i="33" s="1"/>
  <c r="W604" i="33"/>
  <c r="K604" i="33"/>
  <c r="L604" i="33" s="1"/>
  <c r="B604" i="33"/>
  <c r="A604" i="33"/>
  <c r="Y603" i="33"/>
  <c r="Z603" i="33" s="1"/>
  <c r="W603" i="33"/>
  <c r="B603" i="33"/>
  <c r="A603" i="33"/>
  <c r="U602" i="33"/>
  <c r="S602" i="33"/>
  <c r="P602" i="33"/>
  <c r="Q602" i="33" s="1"/>
  <c r="N602" i="33"/>
  <c r="O602" i="33" s="1"/>
  <c r="K602" i="33"/>
  <c r="L602" i="33" s="1"/>
  <c r="F602" i="33"/>
  <c r="G602" i="33" s="1"/>
  <c r="D602" i="33"/>
  <c r="E602" i="33" s="1"/>
  <c r="B602" i="33"/>
  <c r="A602" i="33"/>
  <c r="M602" i="33" s="1"/>
  <c r="U601" i="33"/>
  <c r="S601" i="33"/>
  <c r="P601" i="33"/>
  <c r="Q601" i="33" s="1"/>
  <c r="N601" i="33"/>
  <c r="O601" i="33" s="1"/>
  <c r="K601" i="33"/>
  <c r="F601" i="33"/>
  <c r="G601" i="33" s="1"/>
  <c r="D601" i="33"/>
  <c r="E601" i="33" s="1"/>
  <c r="B601" i="33"/>
  <c r="A601" i="33"/>
  <c r="M601" i="33" s="1"/>
  <c r="U600" i="33"/>
  <c r="S600" i="33"/>
  <c r="P600" i="33"/>
  <c r="Q600" i="33" s="1"/>
  <c r="N600" i="33"/>
  <c r="O600" i="33" s="1"/>
  <c r="K600" i="33"/>
  <c r="L600" i="33" s="1"/>
  <c r="F600" i="33"/>
  <c r="G600" i="33" s="1"/>
  <c r="D600" i="33"/>
  <c r="E600" i="33" s="1"/>
  <c r="B600" i="33"/>
  <c r="A600" i="33"/>
  <c r="M600" i="33" s="1"/>
  <c r="U599" i="33"/>
  <c r="S599" i="33"/>
  <c r="P599" i="33"/>
  <c r="Q599" i="33" s="1"/>
  <c r="N599" i="33"/>
  <c r="O599" i="33" s="1"/>
  <c r="K599" i="33"/>
  <c r="F599" i="33"/>
  <c r="G599" i="33" s="1"/>
  <c r="D599" i="33"/>
  <c r="E599" i="33" s="1"/>
  <c r="B599" i="33"/>
  <c r="A599" i="33"/>
  <c r="M599" i="33" s="1"/>
  <c r="Y598" i="33"/>
  <c r="Z598" i="33" s="1"/>
  <c r="W598" i="33"/>
  <c r="B598" i="33"/>
  <c r="A598" i="33"/>
  <c r="Y597" i="33"/>
  <c r="Z597" i="33" s="1"/>
  <c r="W597" i="33"/>
  <c r="AA597" i="33" s="1"/>
  <c r="AB597" i="33" s="1"/>
  <c r="B597" i="33"/>
  <c r="A597" i="33"/>
  <c r="Y596" i="33"/>
  <c r="Z596" i="33" s="1"/>
  <c r="W596" i="33"/>
  <c r="B596" i="33"/>
  <c r="A596" i="33"/>
  <c r="Y595" i="33"/>
  <c r="Z595" i="33" s="1"/>
  <c r="W595" i="33"/>
  <c r="K595" i="33"/>
  <c r="L595" i="33" s="1"/>
  <c r="B595" i="33"/>
  <c r="A595" i="33"/>
  <c r="Y594" i="33"/>
  <c r="Z594" i="33" s="1"/>
  <c r="W594" i="33"/>
  <c r="B594" i="33"/>
  <c r="A594" i="33"/>
  <c r="U593" i="33"/>
  <c r="S593" i="33"/>
  <c r="P593" i="33"/>
  <c r="Q593" i="33" s="1"/>
  <c r="N593" i="33"/>
  <c r="O593" i="33" s="1"/>
  <c r="K593" i="33"/>
  <c r="L593" i="33" s="1"/>
  <c r="F593" i="33"/>
  <c r="G593" i="33" s="1"/>
  <c r="D593" i="33"/>
  <c r="E593" i="33" s="1"/>
  <c r="B593" i="33"/>
  <c r="A593" i="33"/>
  <c r="M593" i="33" s="1"/>
  <c r="U592" i="33"/>
  <c r="S592" i="33"/>
  <c r="P592" i="33"/>
  <c r="Q592" i="33" s="1"/>
  <c r="N592" i="33"/>
  <c r="O592" i="33" s="1"/>
  <c r="K592" i="33"/>
  <c r="L592" i="33" s="1"/>
  <c r="F592" i="33"/>
  <c r="G592" i="33" s="1"/>
  <c r="D592" i="33"/>
  <c r="E592" i="33" s="1"/>
  <c r="B592" i="33"/>
  <c r="A592" i="33"/>
  <c r="M592" i="33" s="1"/>
  <c r="U591" i="33"/>
  <c r="S591" i="33"/>
  <c r="P591" i="33"/>
  <c r="Q591" i="33" s="1"/>
  <c r="N591" i="33"/>
  <c r="O591" i="33" s="1"/>
  <c r="K591" i="33"/>
  <c r="L591" i="33" s="1"/>
  <c r="F591" i="33"/>
  <c r="G591" i="33" s="1"/>
  <c r="D591" i="33"/>
  <c r="E591" i="33" s="1"/>
  <c r="B591" i="33"/>
  <c r="A591" i="33"/>
  <c r="M591" i="33" s="1"/>
  <c r="U590" i="33"/>
  <c r="S590" i="33"/>
  <c r="P590" i="33"/>
  <c r="Q590" i="33" s="1"/>
  <c r="N590" i="33"/>
  <c r="O590" i="33" s="1"/>
  <c r="K590" i="33"/>
  <c r="L590" i="33" s="1"/>
  <c r="F590" i="33"/>
  <c r="G590" i="33" s="1"/>
  <c r="D590" i="33"/>
  <c r="E590" i="33" s="1"/>
  <c r="B590" i="33"/>
  <c r="A590" i="33"/>
  <c r="M590" i="33" s="1"/>
  <c r="Y589" i="33"/>
  <c r="Z589" i="33" s="1"/>
  <c r="W589" i="33"/>
  <c r="B589" i="33"/>
  <c r="A589" i="33"/>
  <c r="Y588" i="33"/>
  <c r="Z588" i="33" s="1"/>
  <c r="W588" i="33"/>
  <c r="B588" i="33"/>
  <c r="A588" i="33"/>
  <c r="Y587" i="33"/>
  <c r="Z587" i="33" s="1"/>
  <c r="W587" i="33"/>
  <c r="B587" i="33"/>
  <c r="A587" i="33"/>
  <c r="Y586" i="33"/>
  <c r="Z586" i="33" s="1"/>
  <c r="W586" i="33"/>
  <c r="K586" i="33"/>
  <c r="L586" i="33" s="1"/>
  <c r="B586" i="33"/>
  <c r="A586" i="33"/>
  <c r="Y585" i="33"/>
  <c r="Z585" i="33" s="1"/>
  <c r="W585" i="33"/>
  <c r="B585" i="33"/>
  <c r="A585" i="33"/>
  <c r="U584" i="33"/>
  <c r="S584" i="33"/>
  <c r="P584" i="33"/>
  <c r="Q584" i="33" s="1"/>
  <c r="N584" i="33"/>
  <c r="O584" i="33" s="1"/>
  <c r="K584" i="33"/>
  <c r="L584" i="33" s="1"/>
  <c r="F584" i="33"/>
  <c r="G584" i="33" s="1"/>
  <c r="D584" i="33"/>
  <c r="E584" i="33" s="1"/>
  <c r="B584" i="33"/>
  <c r="A584" i="33"/>
  <c r="M584" i="33" s="1"/>
  <c r="U583" i="33"/>
  <c r="S583" i="33"/>
  <c r="P583" i="33"/>
  <c r="Q583" i="33" s="1"/>
  <c r="N583" i="33"/>
  <c r="O583" i="33" s="1"/>
  <c r="K583" i="33"/>
  <c r="L583" i="33" s="1"/>
  <c r="F583" i="33"/>
  <c r="G583" i="33" s="1"/>
  <c r="D583" i="33"/>
  <c r="E583" i="33" s="1"/>
  <c r="B583" i="33"/>
  <c r="A583" i="33"/>
  <c r="M583" i="33" s="1"/>
  <c r="U582" i="33"/>
  <c r="S582" i="33"/>
  <c r="P582" i="33"/>
  <c r="Q582" i="33" s="1"/>
  <c r="N582" i="33"/>
  <c r="O582" i="33" s="1"/>
  <c r="K582" i="33"/>
  <c r="L582" i="33" s="1"/>
  <c r="F582" i="33"/>
  <c r="G582" i="33" s="1"/>
  <c r="D582" i="33"/>
  <c r="E582" i="33" s="1"/>
  <c r="B582" i="33"/>
  <c r="A582" i="33"/>
  <c r="M582" i="33" s="1"/>
  <c r="U581" i="33"/>
  <c r="S581" i="33"/>
  <c r="P581" i="33"/>
  <c r="Q581" i="33" s="1"/>
  <c r="N581" i="33"/>
  <c r="O581" i="33" s="1"/>
  <c r="K581" i="33"/>
  <c r="L581" i="33" s="1"/>
  <c r="F581" i="33"/>
  <c r="G581" i="33" s="1"/>
  <c r="D581" i="33"/>
  <c r="E581" i="33" s="1"/>
  <c r="B581" i="33"/>
  <c r="A581" i="33"/>
  <c r="M581" i="33" s="1"/>
  <c r="Y580" i="33"/>
  <c r="Z580" i="33" s="1"/>
  <c r="W580" i="33"/>
  <c r="X580" i="33" s="1"/>
  <c r="B580" i="33"/>
  <c r="A580" i="33"/>
  <c r="Y579" i="33"/>
  <c r="Z579" i="33" s="1"/>
  <c r="W579" i="33"/>
  <c r="B579" i="33"/>
  <c r="A579" i="33"/>
  <c r="Y578" i="33"/>
  <c r="Z578" i="33" s="1"/>
  <c r="W578" i="33"/>
  <c r="B578" i="33"/>
  <c r="A578" i="33"/>
  <c r="Y577" i="33"/>
  <c r="Z577" i="33" s="1"/>
  <c r="W577" i="33"/>
  <c r="K577" i="33"/>
  <c r="L577" i="33" s="1"/>
  <c r="B577" i="33"/>
  <c r="A577" i="33"/>
  <c r="Y576" i="33"/>
  <c r="Z576" i="33" s="1"/>
  <c r="W576" i="33"/>
  <c r="B576" i="33"/>
  <c r="A576" i="33"/>
  <c r="U575" i="33"/>
  <c r="S575" i="33"/>
  <c r="P575" i="33"/>
  <c r="Q575" i="33" s="1"/>
  <c r="N575" i="33"/>
  <c r="O575" i="33" s="1"/>
  <c r="K575" i="33"/>
  <c r="L575" i="33" s="1"/>
  <c r="F575" i="33"/>
  <c r="G575" i="33" s="1"/>
  <c r="D575" i="33"/>
  <c r="E575" i="33" s="1"/>
  <c r="B575" i="33"/>
  <c r="A575" i="33"/>
  <c r="M575" i="33" s="1"/>
  <c r="U574" i="33"/>
  <c r="S574" i="33"/>
  <c r="P574" i="33"/>
  <c r="Q574" i="33" s="1"/>
  <c r="N574" i="33"/>
  <c r="O574" i="33" s="1"/>
  <c r="K574" i="33"/>
  <c r="L574" i="33" s="1"/>
  <c r="F574" i="33"/>
  <c r="G574" i="33" s="1"/>
  <c r="D574" i="33"/>
  <c r="E574" i="33" s="1"/>
  <c r="B574" i="33"/>
  <c r="A574" i="33"/>
  <c r="M574" i="33" s="1"/>
  <c r="U573" i="33"/>
  <c r="S573" i="33"/>
  <c r="P573" i="33"/>
  <c r="Q573" i="33" s="1"/>
  <c r="N573" i="33"/>
  <c r="O573" i="33" s="1"/>
  <c r="K573" i="33"/>
  <c r="L573" i="33" s="1"/>
  <c r="F573" i="33"/>
  <c r="G573" i="33" s="1"/>
  <c r="D573" i="33"/>
  <c r="E573" i="33" s="1"/>
  <c r="B573" i="33"/>
  <c r="A573" i="33"/>
  <c r="M573" i="33" s="1"/>
  <c r="U572" i="33"/>
  <c r="S572" i="33"/>
  <c r="P572" i="33"/>
  <c r="Q572" i="33" s="1"/>
  <c r="N572" i="33"/>
  <c r="O572" i="33" s="1"/>
  <c r="K572" i="33"/>
  <c r="F572" i="33"/>
  <c r="G572" i="33" s="1"/>
  <c r="D572" i="33"/>
  <c r="E572" i="33" s="1"/>
  <c r="B572" i="33"/>
  <c r="A572" i="33"/>
  <c r="M572" i="33" s="1"/>
  <c r="Y571" i="33"/>
  <c r="Z571" i="33" s="1"/>
  <c r="W571" i="33"/>
  <c r="X571" i="33" s="1"/>
  <c r="B571" i="33"/>
  <c r="A571" i="33"/>
  <c r="Y570" i="33"/>
  <c r="Z570" i="33" s="1"/>
  <c r="W570" i="33"/>
  <c r="X570" i="33" s="1"/>
  <c r="B570" i="33"/>
  <c r="A570" i="33"/>
  <c r="Y569" i="33"/>
  <c r="Z569" i="33" s="1"/>
  <c r="W569" i="33"/>
  <c r="X569" i="33" s="1"/>
  <c r="B569" i="33"/>
  <c r="A569" i="33"/>
  <c r="Y568" i="33"/>
  <c r="Z568" i="33" s="1"/>
  <c r="W568" i="33"/>
  <c r="X568" i="33" s="1"/>
  <c r="K568" i="33"/>
  <c r="L568" i="33" s="1"/>
  <c r="B568" i="33"/>
  <c r="A568" i="33"/>
  <c r="Y567" i="33"/>
  <c r="Z567" i="33" s="1"/>
  <c r="W567" i="33"/>
  <c r="B567" i="33"/>
  <c r="A567" i="33"/>
  <c r="U566" i="33"/>
  <c r="S566" i="33"/>
  <c r="P566" i="33"/>
  <c r="Q566" i="33" s="1"/>
  <c r="N566" i="33"/>
  <c r="O566" i="33" s="1"/>
  <c r="K566" i="33"/>
  <c r="L566" i="33" s="1"/>
  <c r="F566" i="33"/>
  <c r="G566" i="33" s="1"/>
  <c r="D566" i="33"/>
  <c r="E566" i="33" s="1"/>
  <c r="B566" i="33"/>
  <c r="A566" i="33"/>
  <c r="M566" i="33" s="1"/>
  <c r="U565" i="33"/>
  <c r="S565" i="33"/>
  <c r="P565" i="33"/>
  <c r="Q565" i="33" s="1"/>
  <c r="N565" i="33"/>
  <c r="O565" i="33" s="1"/>
  <c r="K565" i="33"/>
  <c r="L565" i="33" s="1"/>
  <c r="F565" i="33"/>
  <c r="G565" i="33" s="1"/>
  <c r="D565" i="33"/>
  <c r="E565" i="33" s="1"/>
  <c r="B565" i="33"/>
  <c r="A565" i="33"/>
  <c r="M565" i="33" s="1"/>
  <c r="U564" i="33"/>
  <c r="S564" i="33"/>
  <c r="P564" i="33"/>
  <c r="Q564" i="33" s="1"/>
  <c r="N564" i="33"/>
  <c r="O564" i="33" s="1"/>
  <c r="K564" i="33"/>
  <c r="L564" i="33" s="1"/>
  <c r="F564" i="33"/>
  <c r="G564" i="33" s="1"/>
  <c r="D564" i="33"/>
  <c r="E564" i="33" s="1"/>
  <c r="B564" i="33"/>
  <c r="A564" i="33"/>
  <c r="M564" i="33" s="1"/>
  <c r="U563" i="33"/>
  <c r="S563" i="33"/>
  <c r="P563" i="33"/>
  <c r="Q563" i="33" s="1"/>
  <c r="N563" i="33"/>
  <c r="O563" i="33" s="1"/>
  <c r="K563" i="33"/>
  <c r="L563" i="33" s="1"/>
  <c r="F563" i="33"/>
  <c r="G563" i="33" s="1"/>
  <c r="D563" i="33"/>
  <c r="E563" i="33" s="1"/>
  <c r="B563" i="33"/>
  <c r="A563" i="33"/>
  <c r="M563" i="33" s="1"/>
  <c r="Y562" i="33"/>
  <c r="Z562" i="33" s="1"/>
  <c r="W562" i="33"/>
  <c r="B562" i="33"/>
  <c r="A562" i="33"/>
  <c r="Y561" i="33"/>
  <c r="Z561" i="33" s="1"/>
  <c r="W561" i="33"/>
  <c r="X561" i="33" s="1"/>
  <c r="B561" i="33"/>
  <c r="A561" i="33"/>
  <c r="Y560" i="33"/>
  <c r="Z560" i="33" s="1"/>
  <c r="W560" i="33"/>
  <c r="X560" i="33" s="1"/>
  <c r="B560" i="33"/>
  <c r="A560" i="33"/>
  <c r="Y559" i="33"/>
  <c r="Z559" i="33" s="1"/>
  <c r="W559" i="33"/>
  <c r="K559" i="33"/>
  <c r="L559" i="33" s="1"/>
  <c r="B559" i="33"/>
  <c r="A559" i="33"/>
  <c r="Y558" i="33"/>
  <c r="Z558" i="33" s="1"/>
  <c r="W558" i="33"/>
  <c r="B558" i="33"/>
  <c r="A558" i="33"/>
  <c r="U557" i="33"/>
  <c r="S557" i="33"/>
  <c r="P557" i="33"/>
  <c r="Q557" i="33" s="1"/>
  <c r="N557" i="33"/>
  <c r="O557" i="33" s="1"/>
  <c r="K557" i="33"/>
  <c r="F557" i="33"/>
  <c r="G557" i="33" s="1"/>
  <c r="D557" i="33"/>
  <c r="E557" i="33" s="1"/>
  <c r="B557" i="33"/>
  <c r="A557" i="33"/>
  <c r="M557" i="33" s="1"/>
  <c r="U556" i="33"/>
  <c r="S556" i="33"/>
  <c r="P556" i="33"/>
  <c r="Q556" i="33" s="1"/>
  <c r="N556" i="33"/>
  <c r="O556" i="33" s="1"/>
  <c r="K556" i="33"/>
  <c r="L556" i="33" s="1"/>
  <c r="F556" i="33"/>
  <c r="G556" i="33" s="1"/>
  <c r="D556" i="33"/>
  <c r="E556" i="33" s="1"/>
  <c r="B556" i="33"/>
  <c r="A556" i="33"/>
  <c r="M556" i="33" s="1"/>
  <c r="U555" i="33"/>
  <c r="S555" i="33"/>
  <c r="P555" i="33"/>
  <c r="Q555" i="33" s="1"/>
  <c r="N555" i="33"/>
  <c r="O555" i="33" s="1"/>
  <c r="K555" i="33"/>
  <c r="F555" i="33"/>
  <c r="G555" i="33" s="1"/>
  <c r="D555" i="33"/>
  <c r="E555" i="33" s="1"/>
  <c r="B555" i="33"/>
  <c r="A555" i="33"/>
  <c r="M555" i="33" s="1"/>
  <c r="U554" i="33"/>
  <c r="S554" i="33"/>
  <c r="P554" i="33"/>
  <c r="Q554" i="33" s="1"/>
  <c r="N554" i="33"/>
  <c r="O554" i="33" s="1"/>
  <c r="K554" i="33"/>
  <c r="L554" i="33" s="1"/>
  <c r="F554" i="33"/>
  <c r="G554" i="33" s="1"/>
  <c r="D554" i="33"/>
  <c r="E554" i="33" s="1"/>
  <c r="B554" i="33"/>
  <c r="A554" i="33"/>
  <c r="M554" i="33" s="1"/>
  <c r="Y553" i="33"/>
  <c r="Z553" i="33" s="1"/>
  <c r="W553" i="33"/>
  <c r="B553" i="33"/>
  <c r="A553" i="33"/>
  <c r="Y552" i="33"/>
  <c r="Z552" i="33" s="1"/>
  <c r="W552" i="33"/>
  <c r="X552" i="33" s="1"/>
  <c r="B552" i="33"/>
  <c r="A552" i="33"/>
  <c r="Y551" i="33"/>
  <c r="Z551" i="33" s="1"/>
  <c r="W551" i="33"/>
  <c r="B551" i="33"/>
  <c r="A551" i="33"/>
  <c r="Y550" i="33"/>
  <c r="Z550" i="33" s="1"/>
  <c r="W550" i="33"/>
  <c r="K550" i="33"/>
  <c r="L550" i="33" s="1"/>
  <c r="B550" i="33"/>
  <c r="A550" i="33"/>
  <c r="Y549" i="33"/>
  <c r="Z549" i="33" s="1"/>
  <c r="W549" i="33"/>
  <c r="B549" i="33"/>
  <c r="A549" i="33"/>
  <c r="U548" i="33"/>
  <c r="S548" i="33"/>
  <c r="P548" i="33"/>
  <c r="Q548" i="33" s="1"/>
  <c r="N548" i="33"/>
  <c r="O548" i="33" s="1"/>
  <c r="K548" i="33"/>
  <c r="L548" i="33" s="1"/>
  <c r="F548" i="33"/>
  <c r="G548" i="33" s="1"/>
  <c r="D548" i="33"/>
  <c r="E548" i="33" s="1"/>
  <c r="B548" i="33"/>
  <c r="A548" i="33"/>
  <c r="M548" i="33" s="1"/>
  <c r="U547" i="33"/>
  <c r="S547" i="33"/>
  <c r="P547" i="33"/>
  <c r="Q547" i="33" s="1"/>
  <c r="N547" i="33"/>
  <c r="O547" i="33" s="1"/>
  <c r="K547" i="33"/>
  <c r="L547" i="33" s="1"/>
  <c r="F547" i="33"/>
  <c r="G547" i="33" s="1"/>
  <c r="D547" i="33"/>
  <c r="E547" i="33" s="1"/>
  <c r="B547" i="33"/>
  <c r="A547" i="33"/>
  <c r="M547" i="33" s="1"/>
  <c r="U546" i="33"/>
  <c r="S546" i="33"/>
  <c r="P546" i="33"/>
  <c r="Q546" i="33" s="1"/>
  <c r="N546" i="33"/>
  <c r="O546" i="33" s="1"/>
  <c r="K546" i="33"/>
  <c r="L546" i="33" s="1"/>
  <c r="F546" i="33"/>
  <c r="G546" i="33" s="1"/>
  <c r="D546" i="33"/>
  <c r="E546" i="33" s="1"/>
  <c r="B546" i="33"/>
  <c r="A546" i="33"/>
  <c r="M546" i="33" s="1"/>
  <c r="U545" i="33"/>
  <c r="S545" i="33"/>
  <c r="P545" i="33"/>
  <c r="Q545" i="33" s="1"/>
  <c r="N545" i="33"/>
  <c r="O545" i="33" s="1"/>
  <c r="K545" i="33"/>
  <c r="L545" i="33" s="1"/>
  <c r="F545" i="33"/>
  <c r="G545" i="33" s="1"/>
  <c r="D545" i="33"/>
  <c r="E545" i="33" s="1"/>
  <c r="B545" i="33"/>
  <c r="A545" i="33"/>
  <c r="M545" i="33" s="1"/>
  <c r="Y544" i="33"/>
  <c r="Z544" i="33" s="1"/>
  <c r="W544" i="33"/>
  <c r="B544" i="33"/>
  <c r="A544" i="33"/>
  <c r="Y543" i="33"/>
  <c r="Z543" i="33" s="1"/>
  <c r="W543" i="33"/>
  <c r="B543" i="33"/>
  <c r="A543" i="33"/>
  <c r="Y542" i="33"/>
  <c r="Z542" i="33" s="1"/>
  <c r="W542" i="33"/>
  <c r="B542" i="33"/>
  <c r="A542" i="33"/>
  <c r="Y541" i="33"/>
  <c r="Z541" i="33" s="1"/>
  <c r="W541" i="33"/>
  <c r="K541" i="33"/>
  <c r="L541" i="33" s="1"/>
  <c r="B541" i="33"/>
  <c r="A541" i="33"/>
  <c r="Y540" i="33"/>
  <c r="Z540" i="33" s="1"/>
  <c r="W540" i="33"/>
  <c r="B540" i="33"/>
  <c r="A540" i="33"/>
  <c r="U539" i="33"/>
  <c r="S539" i="33"/>
  <c r="P539" i="33"/>
  <c r="Q539" i="33" s="1"/>
  <c r="N539" i="33"/>
  <c r="O539" i="33" s="1"/>
  <c r="K539" i="33"/>
  <c r="L539" i="33" s="1"/>
  <c r="F539" i="33"/>
  <c r="G539" i="33" s="1"/>
  <c r="D539" i="33"/>
  <c r="E539" i="33" s="1"/>
  <c r="B539" i="33"/>
  <c r="A539" i="33"/>
  <c r="M539" i="33" s="1"/>
  <c r="U538" i="33"/>
  <c r="S538" i="33"/>
  <c r="P538" i="33"/>
  <c r="Q538" i="33" s="1"/>
  <c r="N538" i="33"/>
  <c r="O538" i="33" s="1"/>
  <c r="K538" i="33"/>
  <c r="L538" i="33" s="1"/>
  <c r="F538" i="33"/>
  <c r="G538" i="33" s="1"/>
  <c r="D538" i="33"/>
  <c r="E538" i="33" s="1"/>
  <c r="B538" i="33"/>
  <c r="A538" i="33"/>
  <c r="M538" i="33" s="1"/>
  <c r="U537" i="33"/>
  <c r="S537" i="33"/>
  <c r="P537" i="33"/>
  <c r="Q537" i="33" s="1"/>
  <c r="N537" i="33"/>
  <c r="O537" i="33" s="1"/>
  <c r="K537" i="33"/>
  <c r="L537" i="33" s="1"/>
  <c r="F537" i="33"/>
  <c r="G537" i="33" s="1"/>
  <c r="D537" i="33"/>
  <c r="E537" i="33" s="1"/>
  <c r="B537" i="33"/>
  <c r="A537" i="33"/>
  <c r="M537" i="33" s="1"/>
  <c r="U536" i="33"/>
  <c r="S536" i="33"/>
  <c r="P536" i="33"/>
  <c r="Q536" i="33" s="1"/>
  <c r="N536" i="33"/>
  <c r="O536" i="33" s="1"/>
  <c r="K536" i="33"/>
  <c r="F536" i="33"/>
  <c r="G536" i="33" s="1"/>
  <c r="D536" i="33"/>
  <c r="E536" i="33" s="1"/>
  <c r="B536" i="33"/>
  <c r="A536" i="33"/>
  <c r="M536" i="33" s="1"/>
  <c r="Y535" i="33"/>
  <c r="Z535" i="33" s="1"/>
  <c r="W535" i="33"/>
  <c r="B535" i="33"/>
  <c r="A535" i="33"/>
  <c r="Y534" i="33"/>
  <c r="Z534" i="33" s="1"/>
  <c r="W534" i="33"/>
  <c r="X534" i="33" s="1"/>
  <c r="B534" i="33"/>
  <c r="A534" i="33"/>
  <c r="Y533" i="33"/>
  <c r="Z533" i="33" s="1"/>
  <c r="W533" i="33"/>
  <c r="B533" i="33"/>
  <c r="A533" i="33"/>
  <c r="Y532" i="33"/>
  <c r="Z532" i="33" s="1"/>
  <c r="W532" i="33"/>
  <c r="K532" i="33"/>
  <c r="L532" i="33" s="1"/>
  <c r="B532" i="33"/>
  <c r="A532" i="33"/>
  <c r="Y531" i="33"/>
  <c r="Z531" i="33" s="1"/>
  <c r="W531" i="33"/>
  <c r="B531" i="33"/>
  <c r="A531" i="33"/>
  <c r="U530" i="33"/>
  <c r="S530" i="33"/>
  <c r="P530" i="33"/>
  <c r="Q530" i="33" s="1"/>
  <c r="N530" i="33"/>
  <c r="O530" i="33" s="1"/>
  <c r="K530" i="33"/>
  <c r="L530" i="33" s="1"/>
  <c r="F530" i="33"/>
  <c r="G530" i="33" s="1"/>
  <c r="D530" i="33"/>
  <c r="E530" i="33" s="1"/>
  <c r="B530" i="33"/>
  <c r="A530" i="33"/>
  <c r="M530" i="33" s="1"/>
  <c r="U529" i="33"/>
  <c r="S529" i="33"/>
  <c r="P529" i="33"/>
  <c r="Q529" i="33" s="1"/>
  <c r="N529" i="33"/>
  <c r="O529" i="33" s="1"/>
  <c r="K529" i="33"/>
  <c r="L529" i="33" s="1"/>
  <c r="F529" i="33"/>
  <c r="G529" i="33" s="1"/>
  <c r="D529" i="33"/>
  <c r="E529" i="33" s="1"/>
  <c r="B529" i="33"/>
  <c r="A529" i="33"/>
  <c r="M529" i="33" s="1"/>
  <c r="U528" i="33"/>
  <c r="S528" i="33"/>
  <c r="P528" i="33"/>
  <c r="Q528" i="33" s="1"/>
  <c r="N528" i="33"/>
  <c r="O528" i="33" s="1"/>
  <c r="K528" i="33"/>
  <c r="L528" i="33" s="1"/>
  <c r="F528" i="33"/>
  <c r="G528" i="33" s="1"/>
  <c r="D528" i="33"/>
  <c r="E528" i="33" s="1"/>
  <c r="B528" i="33"/>
  <c r="A528" i="33"/>
  <c r="M528" i="33" s="1"/>
  <c r="U527" i="33"/>
  <c r="S527" i="33"/>
  <c r="P527" i="33"/>
  <c r="Q527" i="33" s="1"/>
  <c r="N527" i="33"/>
  <c r="O527" i="33" s="1"/>
  <c r="K527" i="33"/>
  <c r="F527" i="33"/>
  <c r="G527" i="33" s="1"/>
  <c r="D527" i="33"/>
  <c r="E527" i="33" s="1"/>
  <c r="B527" i="33"/>
  <c r="A527" i="33"/>
  <c r="M527" i="33" s="1"/>
  <c r="Y526" i="33"/>
  <c r="Z526" i="33" s="1"/>
  <c r="W526" i="33"/>
  <c r="B526" i="33"/>
  <c r="A526" i="33"/>
  <c r="Y525" i="33"/>
  <c r="Z525" i="33" s="1"/>
  <c r="W525" i="33"/>
  <c r="B525" i="33"/>
  <c r="A525" i="33"/>
  <c r="Y524" i="33"/>
  <c r="Z524" i="33" s="1"/>
  <c r="W524" i="33"/>
  <c r="B524" i="33"/>
  <c r="A524" i="33"/>
  <c r="Y523" i="33"/>
  <c r="Z523" i="33" s="1"/>
  <c r="W523" i="33"/>
  <c r="K523" i="33"/>
  <c r="L523" i="33" s="1"/>
  <c r="B523" i="33"/>
  <c r="A523" i="33"/>
  <c r="Y522" i="33"/>
  <c r="Z522" i="33" s="1"/>
  <c r="W522" i="33"/>
  <c r="B522" i="33"/>
  <c r="A522" i="33"/>
  <c r="U521" i="33"/>
  <c r="S521" i="33"/>
  <c r="P521" i="33"/>
  <c r="Q521" i="33" s="1"/>
  <c r="N521" i="33"/>
  <c r="O521" i="33" s="1"/>
  <c r="K521" i="33"/>
  <c r="F521" i="33"/>
  <c r="G521" i="33" s="1"/>
  <c r="D521" i="33"/>
  <c r="E521" i="33" s="1"/>
  <c r="B521" i="33"/>
  <c r="A521" i="33"/>
  <c r="M521" i="33" s="1"/>
  <c r="U520" i="33"/>
  <c r="S520" i="33"/>
  <c r="P520" i="33"/>
  <c r="Q520" i="33" s="1"/>
  <c r="N520" i="33"/>
  <c r="O520" i="33" s="1"/>
  <c r="K520" i="33"/>
  <c r="F520" i="33"/>
  <c r="G520" i="33" s="1"/>
  <c r="D520" i="33"/>
  <c r="E520" i="33" s="1"/>
  <c r="B520" i="33"/>
  <c r="A520" i="33"/>
  <c r="M520" i="33" s="1"/>
  <c r="U519" i="33"/>
  <c r="S519" i="33"/>
  <c r="P519" i="33"/>
  <c r="Q519" i="33" s="1"/>
  <c r="N519" i="33"/>
  <c r="O519" i="33" s="1"/>
  <c r="K519" i="33"/>
  <c r="L519" i="33" s="1"/>
  <c r="F519" i="33"/>
  <c r="G519" i="33" s="1"/>
  <c r="D519" i="33"/>
  <c r="E519" i="33" s="1"/>
  <c r="B519" i="33"/>
  <c r="A519" i="33"/>
  <c r="M519" i="33" s="1"/>
  <c r="U518" i="33"/>
  <c r="S518" i="33"/>
  <c r="P518" i="33"/>
  <c r="Q518" i="33" s="1"/>
  <c r="N518" i="33"/>
  <c r="O518" i="33" s="1"/>
  <c r="K518" i="33"/>
  <c r="F518" i="33"/>
  <c r="G518" i="33" s="1"/>
  <c r="D518" i="33"/>
  <c r="E518" i="33" s="1"/>
  <c r="B518" i="33"/>
  <c r="A518" i="33"/>
  <c r="M518" i="33" s="1"/>
  <c r="Y517" i="33"/>
  <c r="Z517" i="33" s="1"/>
  <c r="W517" i="33"/>
  <c r="X517" i="33" s="1"/>
  <c r="B517" i="33"/>
  <c r="A517" i="33"/>
  <c r="Y516" i="33"/>
  <c r="Z516" i="33" s="1"/>
  <c r="W516" i="33"/>
  <c r="X516" i="33" s="1"/>
  <c r="B516" i="33"/>
  <c r="A516" i="33"/>
  <c r="Y515" i="33"/>
  <c r="Z515" i="33" s="1"/>
  <c r="W515" i="33"/>
  <c r="B515" i="33"/>
  <c r="A515" i="33"/>
  <c r="Y514" i="33"/>
  <c r="Z514" i="33" s="1"/>
  <c r="W514" i="33"/>
  <c r="K514" i="33"/>
  <c r="L514" i="33" s="1"/>
  <c r="B514" i="33"/>
  <c r="A514" i="33"/>
  <c r="Y513" i="33"/>
  <c r="Z513" i="33" s="1"/>
  <c r="W513" i="33"/>
  <c r="B513" i="33"/>
  <c r="A513" i="33"/>
  <c r="U512" i="33"/>
  <c r="S512" i="33"/>
  <c r="P512" i="33"/>
  <c r="Q512" i="33" s="1"/>
  <c r="N512" i="33"/>
  <c r="O512" i="33" s="1"/>
  <c r="K512" i="33"/>
  <c r="L512" i="33" s="1"/>
  <c r="F512" i="33"/>
  <c r="G512" i="33" s="1"/>
  <c r="D512" i="33"/>
  <c r="E512" i="33" s="1"/>
  <c r="B512" i="33"/>
  <c r="A512" i="33"/>
  <c r="M512" i="33" s="1"/>
  <c r="U511" i="33"/>
  <c r="S511" i="33"/>
  <c r="P511" i="33"/>
  <c r="Q511" i="33" s="1"/>
  <c r="N511" i="33"/>
  <c r="O511" i="33" s="1"/>
  <c r="K511" i="33"/>
  <c r="L511" i="33" s="1"/>
  <c r="F511" i="33"/>
  <c r="G511" i="33" s="1"/>
  <c r="D511" i="33"/>
  <c r="E511" i="33" s="1"/>
  <c r="B511" i="33"/>
  <c r="A511" i="33"/>
  <c r="M511" i="33" s="1"/>
  <c r="U510" i="33"/>
  <c r="S510" i="33"/>
  <c r="P510" i="33"/>
  <c r="Q510" i="33" s="1"/>
  <c r="N510" i="33"/>
  <c r="O510" i="33" s="1"/>
  <c r="K510" i="33"/>
  <c r="L510" i="33" s="1"/>
  <c r="F510" i="33"/>
  <c r="G510" i="33" s="1"/>
  <c r="D510" i="33"/>
  <c r="E510" i="33" s="1"/>
  <c r="B510" i="33"/>
  <c r="A510" i="33"/>
  <c r="M510" i="33" s="1"/>
  <c r="U509" i="33"/>
  <c r="S509" i="33"/>
  <c r="P509" i="33"/>
  <c r="Q509" i="33" s="1"/>
  <c r="N509" i="33"/>
  <c r="O509" i="33" s="1"/>
  <c r="K509" i="33"/>
  <c r="L509" i="33" s="1"/>
  <c r="F509" i="33"/>
  <c r="G509" i="33" s="1"/>
  <c r="D509" i="33"/>
  <c r="E509" i="33" s="1"/>
  <c r="B509" i="33"/>
  <c r="A509" i="33"/>
  <c r="M509" i="33" s="1"/>
  <c r="Y508" i="33"/>
  <c r="Z508" i="33" s="1"/>
  <c r="W508" i="33"/>
  <c r="B508" i="33"/>
  <c r="A508" i="33"/>
  <c r="Y507" i="33"/>
  <c r="Z507" i="33" s="1"/>
  <c r="W507" i="33"/>
  <c r="B507" i="33"/>
  <c r="A507" i="33"/>
  <c r="Y506" i="33"/>
  <c r="Z506" i="33" s="1"/>
  <c r="W506" i="33"/>
  <c r="B506" i="33"/>
  <c r="A506" i="33"/>
  <c r="Y505" i="33"/>
  <c r="Z505" i="33" s="1"/>
  <c r="W505" i="33"/>
  <c r="K505" i="33"/>
  <c r="L505" i="33" s="1"/>
  <c r="B505" i="33"/>
  <c r="A505" i="33"/>
  <c r="Y504" i="33"/>
  <c r="Z504" i="33" s="1"/>
  <c r="W504" i="33"/>
  <c r="X504" i="33" s="1"/>
  <c r="B504" i="33"/>
  <c r="A504" i="33"/>
  <c r="U503" i="33"/>
  <c r="S503" i="33"/>
  <c r="P503" i="33"/>
  <c r="Q503" i="33" s="1"/>
  <c r="N503" i="33"/>
  <c r="O503" i="33" s="1"/>
  <c r="K503" i="33"/>
  <c r="L503" i="33" s="1"/>
  <c r="F503" i="33"/>
  <c r="G503" i="33" s="1"/>
  <c r="D503" i="33"/>
  <c r="E503" i="33" s="1"/>
  <c r="B503" i="33"/>
  <c r="A503" i="33"/>
  <c r="M503" i="33" s="1"/>
  <c r="U502" i="33"/>
  <c r="S502" i="33"/>
  <c r="P502" i="33"/>
  <c r="Q502" i="33" s="1"/>
  <c r="N502" i="33"/>
  <c r="O502" i="33" s="1"/>
  <c r="K502" i="33"/>
  <c r="F502" i="33"/>
  <c r="G502" i="33" s="1"/>
  <c r="D502" i="33"/>
  <c r="E502" i="33" s="1"/>
  <c r="B502" i="33"/>
  <c r="A502" i="33"/>
  <c r="M502" i="33" s="1"/>
  <c r="U501" i="33"/>
  <c r="S501" i="33"/>
  <c r="P501" i="33"/>
  <c r="Q501" i="33" s="1"/>
  <c r="N501" i="33"/>
  <c r="O501" i="33" s="1"/>
  <c r="K501" i="33"/>
  <c r="L501" i="33" s="1"/>
  <c r="F501" i="33"/>
  <c r="G501" i="33" s="1"/>
  <c r="D501" i="33"/>
  <c r="E501" i="33" s="1"/>
  <c r="B501" i="33"/>
  <c r="A501" i="33"/>
  <c r="M501" i="33" s="1"/>
  <c r="U500" i="33"/>
  <c r="S500" i="33"/>
  <c r="P500" i="33"/>
  <c r="Q500" i="33" s="1"/>
  <c r="N500" i="33"/>
  <c r="O500" i="33" s="1"/>
  <c r="K500" i="33"/>
  <c r="L500" i="33" s="1"/>
  <c r="F500" i="33"/>
  <c r="G500" i="33" s="1"/>
  <c r="D500" i="33"/>
  <c r="E500" i="33" s="1"/>
  <c r="B500" i="33"/>
  <c r="A500" i="33"/>
  <c r="M500" i="33" s="1"/>
  <c r="Y499" i="33"/>
  <c r="Z499" i="33" s="1"/>
  <c r="W499" i="33"/>
  <c r="B499" i="33"/>
  <c r="A499" i="33"/>
  <c r="Y498" i="33"/>
  <c r="Z498" i="33" s="1"/>
  <c r="W498" i="33"/>
  <c r="B498" i="33"/>
  <c r="A498" i="33"/>
  <c r="Y497" i="33"/>
  <c r="Z497" i="33" s="1"/>
  <c r="W497" i="33"/>
  <c r="X497" i="33" s="1"/>
  <c r="B497" i="33"/>
  <c r="A497" i="33"/>
  <c r="Y496" i="33"/>
  <c r="Z496" i="33" s="1"/>
  <c r="W496" i="33"/>
  <c r="K496" i="33"/>
  <c r="L496" i="33" s="1"/>
  <c r="B496" i="33"/>
  <c r="A496" i="33"/>
  <c r="Y495" i="33"/>
  <c r="Z495" i="33" s="1"/>
  <c r="W495" i="33"/>
  <c r="B495" i="33"/>
  <c r="A495" i="33"/>
  <c r="U494" i="33"/>
  <c r="S494" i="33"/>
  <c r="P494" i="33"/>
  <c r="Q494" i="33" s="1"/>
  <c r="N494" i="33"/>
  <c r="O494" i="33" s="1"/>
  <c r="K494" i="33"/>
  <c r="L494" i="33" s="1"/>
  <c r="F494" i="33"/>
  <c r="G494" i="33" s="1"/>
  <c r="D494" i="33"/>
  <c r="E494" i="33" s="1"/>
  <c r="B494" i="33"/>
  <c r="A494" i="33"/>
  <c r="M494" i="33" s="1"/>
  <c r="U493" i="33"/>
  <c r="S493" i="33"/>
  <c r="P493" i="33"/>
  <c r="Q493" i="33" s="1"/>
  <c r="N493" i="33"/>
  <c r="O493" i="33" s="1"/>
  <c r="K493" i="33"/>
  <c r="F493" i="33"/>
  <c r="G493" i="33" s="1"/>
  <c r="D493" i="33"/>
  <c r="E493" i="33" s="1"/>
  <c r="B493" i="33"/>
  <c r="A493" i="33"/>
  <c r="M493" i="33" s="1"/>
  <c r="U492" i="33"/>
  <c r="S492" i="33"/>
  <c r="P492" i="33"/>
  <c r="Q492" i="33" s="1"/>
  <c r="N492" i="33"/>
  <c r="O492" i="33" s="1"/>
  <c r="K492" i="33"/>
  <c r="F492" i="33"/>
  <c r="G492" i="33" s="1"/>
  <c r="D492" i="33"/>
  <c r="E492" i="33" s="1"/>
  <c r="B492" i="33"/>
  <c r="A492" i="33"/>
  <c r="M492" i="33" s="1"/>
  <c r="U491" i="33"/>
  <c r="S491" i="33"/>
  <c r="P491" i="33"/>
  <c r="Q491" i="33" s="1"/>
  <c r="N491" i="33"/>
  <c r="O491" i="33" s="1"/>
  <c r="K491" i="33"/>
  <c r="L491" i="33" s="1"/>
  <c r="F491" i="33"/>
  <c r="G491" i="33" s="1"/>
  <c r="D491" i="33"/>
  <c r="E491" i="33" s="1"/>
  <c r="B491" i="33"/>
  <c r="A491" i="33"/>
  <c r="M491" i="33" s="1"/>
  <c r="Y490" i="33"/>
  <c r="Z490" i="33" s="1"/>
  <c r="W490" i="33"/>
  <c r="B490" i="33"/>
  <c r="A490" i="33"/>
  <c r="Y489" i="33"/>
  <c r="Z489" i="33" s="1"/>
  <c r="W489" i="33"/>
  <c r="B489" i="33"/>
  <c r="A489" i="33"/>
  <c r="Y488" i="33"/>
  <c r="Z488" i="33" s="1"/>
  <c r="W488" i="33"/>
  <c r="B488" i="33"/>
  <c r="A488" i="33"/>
  <c r="Y487" i="33"/>
  <c r="Z487" i="33" s="1"/>
  <c r="W487" i="33"/>
  <c r="K487" i="33"/>
  <c r="L487" i="33" s="1"/>
  <c r="B487" i="33"/>
  <c r="A487" i="33"/>
  <c r="Y486" i="33"/>
  <c r="Z486" i="33" s="1"/>
  <c r="W486" i="33"/>
  <c r="AA486" i="33" s="1"/>
  <c r="AB486" i="33" s="1"/>
  <c r="B486" i="33"/>
  <c r="A486" i="33"/>
  <c r="U485" i="33"/>
  <c r="S485" i="33"/>
  <c r="P485" i="33"/>
  <c r="Q485" i="33" s="1"/>
  <c r="N485" i="33"/>
  <c r="O485" i="33" s="1"/>
  <c r="K485" i="33"/>
  <c r="L485" i="33" s="1"/>
  <c r="F485" i="33"/>
  <c r="G485" i="33" s="1"/>
  <c r="D485" i="33"/>
  <c r="E485" i="33" s="1"/>
  <c r="B485" i="33"/>
  <c r="A485" i="33"/>
  <c r="M485" i="33" s="1"/>
  <c r="U484" i="33"/>
  <c r="S484" i="33"/>
  <c r="P484" i="33"/>
  <c r="Q484" i="33" s="1"/>
  <c r="N484" i="33"/>
  <c r="O484" i="33" s="1"/>
  <c r="K484" i="33"/>
  <c r="L484" i="33" s="1"/>
  <c r="F484" i="33"/>
  <c r="G484" i="33" s="1"/>
  <c r="D484" i="33"/>
  <c r="E484" i="33" s="1"/>
  <c r="B484" i="33"/>
  <c r="A484" i="33"/>
  <c r="M484" i="33" s="1"/>
  <c r="U483" i="33"/>
  <c r="S483" i="33"/>
  <c r="P483" i="33"/>
  <c r="Q483" i="33" s="1"/>
  <c r="N483" i="33"/>
  <c r="O483" i="33" s="1"/>
  <c r="K483" i="33"/>
  <c r="L483" i="33" s="1"/>
  <c r="F483" i="33"/>
  <c r="G483" i="33" s="1"/>
  <c r="D483" i="33"/>
  <c r="E483" i="33" s="1"/>
  <c r="B483" i="33"/>
  <c r="A483" i="33"/>
  <c r="M483" i="33" s="1"/>
  <c r="U482" i="33"/>
  <c r="S482" i="33"/>
  <c r="P482" i="33"/>
  <c r="Q482" i="33" s="1"/>
  <c r="N482" i="33"/>
  <c r="O482" i="33" s="1"/>
  <c r="K482" i="33"/>
  <c r="L482" i="33" s="1"/>
  <c r="F482" i="33"/>
  <c r="G482" i="33" s="1"/>
  <c r="D482" i="33"/>
  <c r="E482" i="33" s="1"/>
  <c r="B482" i="33"/>
  <c r="A482" i="33"/>
  <c r="M482" i="33" s="1"/>
  <c r="Y481" i="33"/>
  <c r="Z481" i="33" s="1"/>
  <c r="W481" i="33"/>
  <c r="B481" i="33"/>
  <c r="A481" i="33"/>
  <c r="Y480" i="33"/>
  <c r="Z480" i="33" s="1"/>
  <c r="W480" i="33"/>
  <c r="B480" i="33"/>
  <c r="A480" i="33"/>
  <c r="Y479" i="33"/>
  <c r="Z479" i="33" s="1"/>
  <c r="W479" i="33"/>
  <c r="B479" i="33"/>
  <c r="A479" i="33"/>
  <c r="Y478" i="33"/>
  <c r="Z478" i="33" s="1"/>
  <c r="W478" i="33"/>
  <c r="K478" i="33"/>
  <c r="L478" i="33" s="1"/>
  <c r="B478" i="33"/>
  <c r="A478" i="33"/>
  <c r="Y477" i="33"/>
  <c r="Z477" i="33" s="1"/>
  <c r="W477" i="33"/>
  <c r="B477" i="33"/>
  <c r="A477" i="33"/>
  <c r="U476" i="33"/>
  <c r="S476" i="33"/>
  <c r="P476" i="33"/>
  <c r="Q476" i="33" s="1"/>
  <c r="N476" i="33"/>
  <c r="O476" i="33" s="1"/>
  <c r="K476" i="33"/>
  <c r="L476" i="33" s="1"/>
  <c r="F476" i="33"/>
  <c r="G476" i="33" s="1"/>
  <c r="D476" i="33"/>
  <c r="E476" i="33" s="1"/>
  <c r="B476" i="33"/>
  <c r="A476" i="33"/>
  <c r="M476" i="33" s="1"/>
  <c r="U475" i="33"/>
  <c r="S475" i="33"/>
  <c r="P475" i="33"/>
  <c r="Q475" i="33" s="1"/>
  <c r="N475" i="33"/>
  <c r="O475" i="33" s="1"/>
  <c r="K475" i="33"/>
  <c r="L475" i="33" s="1"/>
  <c r="F475" i="33"/>
  <c r="G475" i="33" s="1"/>
  <c r="D475" i="33"/>
  <c r="E475" i="33" s="1"/>
  <c r="B475" i="33"/>
  <c r="A475" i="33"/>
  <c r="M475" i="33" s="1"/>
  <c r="U474" i="33"/>
  <c r="S474" i="33"/>
  <c r="P474" i="33"/>
  <c r="Q474" i="33" s="1"/>
  <c r="N474" i="33"/>
  <c r="O474" i="33" s="1"/>
  <c r="K474" i="33"/>
  <c r="L474" i="33" s="1"/>
  <c r="F474" i="33"/>
  <c r="G474" i="33" s="1"/>
  <c r="D474" i="33"/>
  <c r="E474" i="33" s="1"/>
  <c r="B474" i="33"/>
  <c r="A474" i="33"/>
  <c r="M474" i="33" s="1"/>
  <c r="U473" i="33"/>
  <c r="S473" i="33"/>
  <c r="P473" i="33"/>
  <c r="Q473" i="33" s="1"/>
  <c r="N473" i="33"/>
  <c r="O473" i="33" s="1"/>
  <c r="K473" i="33"/>
  <c r="F473" i="33"/>
  <c r="G473" i="33" s="1"/>
  <c r="D473" i="33"/>
  <c r="E473" i="33" s="1"/>
  <c r="B473" i="33"/>
  <c r="A473" i="33"/>
  <c r="M473" i="33" s="1"/>
  <c r="Y472" i="33"/>
  <c r="Z472" i="33" s="1"/>
  <c r="W472" i="33"/>
  <c r="B472" i="33"/>
  <c r="A472" i="33"/>
  <c r="Y471" i="33"/>
  <c r="Z471" i="33" s="1"/>
  <c r="W471" i="33"/>
  <c r="B471" i="33"/>
  <c r="A471" i="33"/>
  <c r="Y470" i="33"/>
  <c r="Z470" i="33" s="1"/>
  <c r="W470" i="33"/>
  <c r="B470" i="33"/>
  <c r="A470" i="33"/>
  <c r="Y469" i="33"/>
  <c r="Z469" i="33" s="1"/>
  <c r="W469" i="33"/>
  <c r="K469" i="33"/>
  <c r="L469" i="33" s="1"/>
  <c r="B469" i="33"/>
  <c r="A469" i="33"/>
  <c r="Y468" i="33"/>
  <c r="Z468" i="33" s="1"/>
  <c r="W468" i="33"/>
  <c r="B468" i="33"/>
  <c r="A468" i="33"/>
  <c r="U467" i="33"/>
  <c r="S467" i="33"/>
  <c r="P467" i="33"/>
  <c r="Q467" i="33" s="1"/>
  <c r="N467" i="33"/>
  <c r="O467" i="33" s="1"/>
  <c r="K467" i="33"/>
  <c r="F467" i="33"/>
  <c r="G467" i="33" s="1"/>
  <c r="D467" i="33"/>
  <c r="E467" i="33" s="1"/>
  <c r="B467" i="33"/>
  <c r="A467" i="33"/>
  <c r="M467" i="33" s="1"/>
  <c r="U466" i="33"/>
  <c r="S466" i="33"/>
  <c r="P466" i="33"/>
  <c r="Q466" i="33" s="1"/>
  <c r="N466" i="33"/>
  <c r="O466" i="33" s="1"/>
  <c r="K466" i="33"/>
  <c r="F466" i="33"/>
  <c r="G466" i="33" s="1"/>
  <c r="D466" i="33"/>
  <c r="E466" i="33" s="1"/>
  <c r="B466" i="33"/>
  <c r="A466" i="33"/>
  <c r="M466" i="33" s="1"/>
  <c r="U465" i="33"/>
  <c r="S465" i="33"/>
  <c r="P465" i="33"/>
  <c r="Q465" i="33" s="1"/>
  <c r="N465" i="33"/>
  <c r="O465" i="33" s="1"/>
  <c r="K465" i="33"/>
  <c r="L465" i="33" s="1"/>
  <c r="F465" i="33"/>
  <c r="G465" i="33" s="1"/>
  <c r="D465" i="33"/>
  <c r="E465" i="33" s="1"/>
  <c r="B465" i="33"/>
  <c r="A465" i="33"/>
  <c r="M465" i="33" s="1"/>
  <c r="U464" i="33"/>
  <c r="S464" i="33"/>
  <c r="P464" i="33"/>
  <c r="Q464" i="33" s="1"/>
  <c r="N464" i="33"/>
  <c r="O464" i="33" s="1"/>
  <c r="K464" i="33"/>
  <c r="L464" i="33" s="1"/>
  <c r="F464" i="33"/>
  <c r="G464" i="33" s="1"/>
  <c r="D464" i="33"/>
  <c r="E464" i="33" s="1"/>
  <c r="B464" i="33"/>
  <c r="A464" i="33"/>
  <c r="M464" i="33" s="1"/>
  <c r="Y463" i="33"/>
  <c r="Z463" i="33" s="1"/>
  <c r="W463" i="33"/>
  <c r="X463" i="33" s="1"/>
  <c r="B463" i="33"/>
  <c r="A463" i="33"/>
  <c r="Y462" i="33"/>
  <c r="Z462" i="33" s="1"/>
  <c r="W462" i="33"/>
  <c r="B462" i="33"/>
  <c r="A462" i="33"/>
  <c r="Y461" i="33"/>
  <c r="Z461" i="33" s="1"/>
  <c r="W461" i="33"/>
  <c r="X461" i="33" s="1"/>
  <c r="B461" i="33"/>
  <c r="A461" i="33"/>
  <c r="Y460" i="33"/>
  <c r="Z460" i="33" s="1"/>
  <c r="W460" i="33"/>
  <c r="X460" i="33" s="1"/>
  <c r="K460" i="33"/>
  <c r="L460" i="33" s="1"/>
  <c r="B460" i="33"/>
  <c r="A460" i="33"/>
  <c r="Y459" i="33"/>
  <c r="Z459" i="33" s="1"/>
  <c r="W459" i="33"/>
  <c r="X459" i="33" s="1"/>
  <c r="B459" i="33"/>
  <c r="A459" i="33"/>
  <c r="U458" i="33"/>
  <c r="S458" i="33"/>
  <c r="P458" i="33"/>
  <c r="Q458" i="33" s="1"/>
  <c r="N458" i="33"/>
  <c r="O458" i="33" s="1"/>
  <c r="K458" i="33"/>
  <c r="L458" i="33" s="1"/>
  <c r="F458" i="33"/>
  <c r="G458" i="33" s="1"/>
  <c r="D458" i="33"/>
  <c r="E458" i="33" s="1"/>
  <c r="B458" i="33"/>
  <c r="A458" i="33"/>
  <c r="M458" i="33" s="1"/>
  <c r="U457" i="33"/>
  <c r="S457" i="33"/>
  <c r="P457" i="33"/>
  <c r="Q457" i="33" s="1"/>
  <c r="N457" i="33"/>
  <c r="O457" i="33" s="1"/>
  <c r="K457" i="33"/>
  <c r="L457" i="33" s="1"/>
  <c r="F457" i="33"/>
  <c r="G457" i="33" s="1"/>
  <c r="D457" i="33"/>
  <c r="E457" i="33" s="1"/>
  <c r="B457" i="33"/>
  <c r="A457" i="33"/>
  <c r="M457" i="33" s="1"/>
  <c r="U456" i="33"/>
  <c r="S456" i="33"/>
  <c r="P456" i="33"/>
  <c r="Q456" i="33" s="1"/>
  <c r="N456" i="33"/>
  <c r="O456" i="33" s="1"/>
  <c r="K456" i="33"/>
  <c r="L456" i="33" s="1"/>
  <c r="F456" i="33"/>
  <c r="G456" i="33" s="1"/>
  <c r="D456" i="33"/>
  <c r="E456" i="33" s="1"/>
  <c r="B456" i="33"/>
  <c r="A456" i="33"/>
  <c r="M456" i="33" s="1"/>
  <c r="U455" i="33"/>
  <c r="S455" i="33"/>
  <c r="P455" i="33"/>
  <c r="Q455" i="33" s="1"/>
  <c r="N455" i="33"/>
  <c r="O455" i="33" s="1"/>
  <c r="K455" i="33"/>
  <c r="L455" i="33" s="1"/>
  <c r="F455" i="33"/>
  <c r="G455" i="33" s="1"/>
  <c r="D455" i="33"/>
  <c r="E455" i="33" s="1"/>
  <c r="B455" i="33"/>
  <c r="A455" i="33"/>
  <c r="M455" i="33" s="1"/>
  <c r="Y454" i="33"/>
  <c r="Z454" i="33" s="1"/>
  <c r="W454" i="33"/>
  <c r="X454" i="33" s="1"/>
  <c r="B454" i="33"/>
  <c r="A454" i="33"/>
  <c r="Y453" i="33"/>
  <c r="Z453" i="33" s="1"/>
  <c r="W453" i="33"/>
  <c r="X453" i="33" s="1"/>
  <c r="B453" i="33"/>
  <c r="A453" i="33"/>
  <c r="Y452" i="33"/>
  <c r="Z452" i="33" s="1"/>
  <c r="W452" i="33"/>
  <c r="X452" i="33" s="1"/>
  <c r="B452" i="33"/>
  <c r="A452" i="33"/>
  <c r="Y451" i="33"/>
  <c r="W451" i="33"/>
  <c r="X451" i="33" s="1"/>
  <c r="K451" i="33"/>
  <c r="L451" i="33" s="1"/>
  <c r="B451" i="33"/>
  <c r="A451" i="33"/>
  <c r="Y450" i="33"/>
  <c r="Z450" i="33" s="1"/>
  <c r="W450" i="33"/>
  <c r="X450" i="33" s="1"/>
  <c r="B450" i="33"/>
  <c r="A450" i="33"/>
  <c r="U449" i="33"/>
  <c r="S449" i="33"/>
  <c r="P449" i="33"/>
  <c r="Q449" i="33" s="1"/>
  <c r="N449" i="33"/>
  <c r="O449" i="33" s="1"/>
  <c r="K449" i="33"/>
  <c r="L449" i="33" s="1"/>
  <c r="F449" i="33"/>
  <c r="G449" i="33" s="1"/>
  <c r="D449" i="33"/>
  <c r="E449" i="33" s="1"/>
  <c r="B449" i="33"/>
  <c r="A449" i="33"/>
  <c r="M449" i="33" s="1"/>
  <c r="U448" i="33"/>
  <c r="S448" i="33"/>
  <c r="P448" i="33"/>
  <c r="Q448" i="33" s="1"/>
  <c r="N448" i="33"/>
  <c r="O448" i="33" s="1"/>
  <c r="K448" i="33"/>
  <c r="L448" i="33" s="1"/>
  <c r="F448" i="33"/>
  <c r="G448" i="33" s="1"/>
  <c r="D448" i="33"/>
  <c r="E448" i="33" s="1"/>
  <c r="B448" i="33"/>
  <c r="A448" i="33"/>
  <c r="M448" i="33" s="1"/>
  <c r="U447" i="33"/>
  <c r="S447" i="33"/>
  <c r="P447" i="33"/>
  <c r="Q447" i="33" s="1"/>
  <c r="N447" i="33"/>
  <c r="O447" i="33" s="1"/>
  <c r="K447" i="33"/>
  <c r="F447" i="33"/>
  <c r="G447" i="33" s="1"/>
  <c r="D447" i="33"/>
  <c r="E447" i="33" s="1"/>
  <c r="B447" i="33"/>
  <c r="A447" i="33"/>
  <c r="M447" i="33" s="1"/>
  <c r="U446" i="33"/>
  <c r="S446" i="33"/>
  <c r="P446" i="33"/>
  <c r="Q446" i="33" s="1"/>
  <c r="N446" i="33"/>
  <c r="O446" i="33" s="1"/>
  <c r="K446" i="33"/>
  <c r="L446" i="33" s="1"/>
  <c r="F446" i="33"/>
  <c r="G446" i="33" s="1"/>
  <c r="D446" i="33"/>
  <c r="E446" i="33" s="1"/>
  <c r="B446" i="33"/>
  <c r="A446" i="33"/>
  <c r="M446" i="33" s="1"/>
  <c r="Y445" i="33"/>
  <c r="Z445" i="33" s="1"/>
  <c r="W445" i="33"/>
  <c r="X445" i="33" s="1"/>
  <c r="B445" i="33"/>
  <c r="A445" i="33"/>
  <c r="Y444" i="33"/>
  <c r="Z444" i="33" s="1"/>
  <c r="W444" i="33"/>
  <c r="B444" i="33"/>
  <c r="A444" i="33"/>
  <c r="Y443" i="33"/>
  <c r="Z443" i="33" s="1"/>
  <c r="W443" i="33"/>
  <c r="X443" i="33" s="1"/>
  <c r="B443" i="33"/>
  <c r="A443" i="33"/>
  <c r="Y442" i="33"/>
  <c r="Z442" i="33" s="1"/>
  <c r="W442" i="33"/>
  <c r="K442" i="33"/>
  <c r="L442" i="33" s="1"/>
  <c r="B442" i="33"/>
  <c r="A442" i="33"/>
  <c r="Y441" i="33"/>
  <c r="Z441" i="33" s="1"/>
  <c r="W441" i="33"/>
  <c r="X441" i="33" s="1"/>
  <c r="B441" i="33"/>
  <c r="A441" i="33"/>
  <c r="U440" i="33"/>
  <c r="S440" i="33"/>
  <c r="P440" i="33"/>
  <c r="Q440" i="33" s="1"/>
  <c r="N440" i="33"/>
  <c r="O440" i="33" s="1"/>
  <c r="K440" i="33"/>
  <c r="F440" i="33"/>
  <c r="G440" i="33" s="1"/>
  <c r="D440" i="33"/>
  <c r="E440" i="33" s="1"/>
  <c r="B440" i="33"/>
  <c r="A440" i="33"/>
  <c r="M440" i="33" s="1"/>
  <c r="U439" i="33"/>
  <c r="S439" i="33"/>
  <c r="P439" i="33"/>
  <c r="Q439" i="33" s="1"/>
  <c r="N439" i="33"/>
  <c r="O439" i="33" s="1"/>
  <c r="K439" i="33"/>
  <c r="L439" i="33" s="1"/>
  <c r="F439" i="33"/>
  <c r="G439" i="33" s="1"/>
  <c r="D439" i="33"/>
  <c r="E439" i="33" s="1"/>
  <c r="B439" i="33"/>
  <c r="A439" i="33"/>
  <c r="M439" i="33" s="1"/>
  <c r="U438" i="33"/>
  <c r="S438" i="33"/>
  <c r="P438" i="33"/>
  <c r="Q438" i="33" s="1"/>
  <c r="N438" i="33"/>
  <c r="O438" i="33" s="1"/>
  <c r="K438" i="33"/>
  <c r="L438" i="33" s="1"/>
  <c r="F438" i="33"/>
  <c r="G438" i="33" s="1"/>
  <c r="D438" i="33"/>
  <c r="E438" i="33" s="1"/>
  <c r="B438" i="33"/>
  <c r="A438" i="33"/>
  <c r="M438" i="33" s="1"/>
  <c r="U437" i="33"/>
  <c r="S437" i="33"/>
  <c r="P437" i="33"/>
  <c r="Q437" i="33" s="1"/>
  <c r="N437" i="33"/>
  <c r="O437" i="33" s="1"/>
  <c r="K437" i="33"/>
  <c r="L437" i="33" s="1"/>
  <c r="F437" i="33"/>
  <c r="G437" i="33" s="1"/>
  <c r="D437" i="33"/>
  <c r="E437" i="33" s="1"/>
  <c r="B437" i="33"/>
  <c r="A437" i="33"/>
  <c r="M437" i="33" s="1"/>
  <c r="Y436" i="33"/>
  <c r="Z436" i="33" s="1"/>
  <c r="W436" i="33"/>
  <c r="B436" i="33"/>
  <c r="A436" i="33"/>
  <c r="Y435" i="33"/>
  <c r="Z435" i="33" s="1"/>
  <c r="W435" i="33"/>
  <c r="B435" i="33"/>
  <c r="A435" i="33"/>
  <c r="Y434" i="33"/>
  <c r="Z434" i="33" s="1"/>
  <c r="W434" i="33"/>
  <c r="B434" i="33"/>
  <c r="A434" i="33"/>
  <c r="Y433" i="33"/>
  <c r="Z433" i="33" s="1"/>
  <c r="W433" i="33"/>
  <c r="K433" i="33"/>
  <c r="L433" i="33" s="1"/>
  <c r="B433" i="33"/>
  <c r="A433" i="33"/>
  <c r="Y432" i="33"/>
  <c r="Z432" i="33" s="1"/>
  <c r="W432" i="33"/>
  <c r="B432" i="33"/>
  <c r="A432" i="33"/>
  <c r="U431" i="33"/>
  <c r="S431" i="33"/>
  <c r="P431" i="33"/>
  <c r="Q431" i="33" s="1"/>
  <c r="N431" i="33"/>
  <c r="O431" i="33" s="1"/>
  <c r="K431" i="33"/>
  <c r="L431" i="33" s="1"/>
  <c r="F431" i="33"/>
  <c r="G431" i="33" s="1"/>
  <c r="D431" i="33"/>
  <c r="E431" i="33" s="1"/>
  <c r="B431" i="33"/>
  <c r="A431" i="33"/>
  <c r="M431" i="33" s="1"/>
  <c r="U430" i="33"/>
  <c r="S430" i="33"/>
  <c r="P430" i="33"/>
  <c r="Q430" i="33" s="1"/>
  <c r="N430" i="33"/>
  <c r="O430" i="33" s="1"/>
  <c r="K430" i="33"/>
  <c r="L430" i="33" s="1"/>
  <c r="F430" i="33"/>
  <c r="G430" i="33" s="1"/>
  <c r="D430" i="33"/>
  <c r="E430" i="33" s="1"/>
  <c r="B430" i="33"/>
  <c r="A430" i="33"/>
  <c r="M430" i="33" s="1"/>
  <c r="U429" i="33"/>
  <c r="S429" i="33"/>
  <c r="P429" i="33"/>
  <c r="Q429" i="33" s="1"/>
  <c r="N429" i="33"/>
  <c r="O429" i="33" s="1"/>
  <c r="K429" i="33"/>
  <c r="F429" i="33"/>
  <c r="G429" i="33" s="1"/>
  <c r="D429" i="33"/>
  <c r="E429" i="33" s="1"/>
  <c r="B429" i="33"/>
  <c r="A429" i="33"/>
  <c r="M429" i="33" s="1"/>
  <c r="U428" i="33"/>
  <c r="S428" i="33"/>
  <c r="P428" i="33"/>
  <c r="Q428" i="33" s="1"/>
  <c r="N428" i="33"/>
  <c r="O428" i="33" s="1"/>
  <c r="K428" i="33"/>
  <c r="F428" i="33"/>
  <c r="G428" i="33" s="1"/>
  <c r="D428" i="33"/>
  <c r="E428" i="33" s="1"/>
  <c r="B428" i="33"/>
  <c r="A428" i="33"/>
  <c r="M428" i="33" s="1"/>
  <c r="Y427" i="33"/>
  <c r="Z427" i="33" s="1"/>
  <c r="W427" i="33"/>
  <c r="B427" i="33"/>
  <c r="A427" i="33"/>
  <c r="Y426" i="33"/>
  <c r="Z426" i="33" s="1"/>
  <c r="W426" i="33"/>
  <c r="B426" i="33"/>
  <c r="A426" i="33"/>
  <c r="Y425" i="33"/>
  <c r="Z425" i="33" s="1"/>
  <c r="W425" i="33"/>
  <c r="B425" i="33"/>
  <c r="A425" i="33"/>
  <c r="Y424" i="33"/>
  <c r="Z424" i="33" s="1"/>
  <c r="W424" i="33"/>
  <c r="K424" i="33"/>
  <c r="L424" i="33" s="1"/>
  <c r="B424" i="33"/>
  <c r="A424" i="33"/>
  <c r="Y423" i="33"/>
  <c r="Z423" i="33" s="1"/>
  <c r="W423" i="33"/>
  <c r="X423" i="33" s="1"/>
  <c r="B423" i="33"/>
  <c r="A423" i="33"/>
  <c r="U422" i="33"/>
  <c r="S422" i="33"/>
  <c r="P422" i="33"/>
  <c r="Q422" i="33" s="1"/>
  <c r="N422" i="33"/>
  <c r="O422" i="33" s="1"/>
  <c r="K422" i="33"/>
  <c r="L422" i="33" s="1"/>
  <c r="F422" i="33"/>
  <c r="G422" i="33" s="1"/>
  <c r="D422" i="33"/>
  <c r="E422" i="33" s="1"/>
  <c r="B422" i="33"/>
  <c r="A422" i="33"/>
  <c r="M422" i="33" s="1"/>
  <c r="U421" i="33"/>
  <c r="S421" i="33"/>
  <c r="P421" i="33"/>
  <c r="Q421" i="33" s="1"/>
  <c r="N421" i="33"/>
  <c r="O421" i="33" s="1"/>
  <c r="K421" i="33"/>
  <c r="L421" i="33" s="1"/>
  <c r="F421" i="33"/>
  <c r="G421" i="33" s="1"/>
  <c r="D421" i="33"/>
  <c r="E421" i="33" s="1"/>
  <c r="B421" i="33"/>
  <c r="A421" i="33"/>
  <c r="M421" i="33" s="1"/>
  <c r="U420" i="33"/>
  <c r="S420" i="33"/>
  <c r="P420" i="33"/>
  <c r="Q420" i="33" s="1"/>
  <c r="O420" i="33"/>
  <c r="N420" i="33"/>
  <c r="K420" i="33"/>
  <c r="L420" i="33" s="1"/>
  <c r="G420" i="33"/>
  <c r="F420" i="33"/>
  <c r="D420" i="33"/>
  <c r="E420" i="33" s="1"/>
  <c r="B420" i="33"/>
  <c r="A420" i="33"/>
  <c r="M420" i="33" s="1"/>
  <c r="U419" i="33"/>
  <c r="S419" i="33"/>
  <c r="P419" i="33"/>
  <c r="Q419" i="33" s="1"/>
  <c r="N419" i="33"/>
  <c r="O419" i="33" s="1"/>
  <c r="K419" i="33"/>
  <c r="L419" i="33" s="1"/>
  <c r="F419" i="33"/>
  <c r="G419" i="33" s="1"/>
  <c r="E419" i="33"/>
  <c r="D419" i="33"/>
  <c r="B419" i="33"/>
  <c r="A419" i="33"/>
  <c r="M419" i="33" s="1"/>
  <c r="Y418" i="33"/>
  <c r="Z418" i="33" s="1"/>
  <c r="W418" i="33"/>
  <c r="B418" i="33"/>
  <c r="A418" i="33"/>
  <c r="Y417" i="33"/>
  <c r="Z417" i="33" s="1"/>
  <c r="W417" i="33"/>
  <c r="B417" i="33"/>
  <c r="A417" i="33"/>
  <c r="Y416" i="33"/>
  <c r="Z416" i="33" s="1"/>
  <c r="W416" i="33"/>
  <c r="B416" i="33"/>
  <c r="A416" i="33"/>
  <c r="Y415" i="33"/>
  <c r="Z415" i="33" s="1"/>
  <c r="W415" i="33"/>
  <c r="K415" i="33"/>
  <c r="L415" i="33" s="1"/>
  <c r="B415" i="33"/>
  <c r="A415" i="33"/>
  <c r="Y414" i="33"/>
  <c r="Z414" i="33" s="1"/>
  <c r="W414" i="33"/>
  <c r="B414" i="33"/>
  <c r="A414" i="33"/>
  <c r="U413" i="33"/>
  <c r="S413" i="33"/>
  <c r="P413" i="33"/>
  <c r="Q413" i="33" s="1"/>
  <c r="O413" i="33"/>
  <c r="N413" i="33"/>
  <c r="K413" i="33"/>
  <c r="L413" i="33" s="1"/>
  <c r="G413" i="33"/>
  <c r="F413" i="33"/>
  <c r="D413" i="33"/>
  <c r="E413" i="33" s="1"/>
  <c r="B413" i="33"/>
  <c r="A413" i="33"/>
  <c r="M413" i="33" s="1"/>
  <c r="U412" i="33"/>
  <c r="S412" i="33"/>
  <c r="P412" i="33"/>
  <c r="Q412" i="33" s="1"/>
  <c r="N412" i="33"/>
  <c r="O412" i="33" s="1"/>
  <c r="K412" i="33"/>
  <c r="L412" i="33" s="1"/>
  <c r="F412" i="33"/>
  <c r="G412" i="33" s="1"/>
  <c r="D412" i="33"/>
  <c r="E412" i="33" s="1"/>
  <c r="B412" i="33"/>
  <c r="A412" i="33"/>
  <c r="M412" i="33" s="1"/>
  <c r="U411" i="33"/>
  <c r="S411" i="33"/>
  <c r="P411" i="33"/>
  <c r="Q411" i="33" s="1"/>
  <c r="N411" i="33"/>
  <c r="O411" i="33" s="1"/>
  <c r="K411" i="33"/>
  <c r="F411" i="33"/>
  <c r="G411" i="33" s="1"/>
  <c r="D411" i="33"/>
  <c r="E411" i="33" s="1"/>
  <c r="B411" i="33"/>
  <c r="A411" i="33"/>
  <c r="M411" i="33" s="1"/>
  <c r="U410" i="33"/>
  <c r="S410" i="33"/>
  <c r="P410" i="33"/>
  <c r="Q410" i="33" s="1"/>
  <c r="N410" i="33"/>
  <c r="O410" i="33" s="1"/>
  <c r="K410" i="33"/>
  <c r="F410" i="33"/>
  <c r="G410" i="33" s="1"/>
  <c r="D410" i="33"/>
  <c r="E410" i="33" s="1"/>
  <c r="B410" i="33"/>
  <c r="A410" i="33"/>
  <c r="M410" i="33" s="1"/>
  <c r="Y409" i="33"/>
  <c r="Z409" i="33" s="1"/>
  <c r="W409" i="33"/>
  <c r="B409" i="33"/>
  <c r="A409" i="33"/>
  <c r="Y408" i="33"/>
  <c r="Z408" i="33" s="1"/>
  <c r="W408" i="33"/>
  <c r="B408" i="33"/>
  <c r="A408" i="33"/>
  <c r="Y407" i="33"/>
  <c r="Z407" i="33" s="1"/>
  <c r="W407" i="33"/>
  <c r="B407" i="33"/>
  <c r="A407" i="33"/>
  <c r="Y406" i="33"/>
  <c r="Z406" i="33" s="1"/>
  <c r="W406" i="33"/>
  <c r="K406" i="33"/>
  <c r="L406" i="33" s="1"/>
  <c r="B406" i="33"/>
  <c r="A406" i="33"/>
  <c r="Y405" i="33"/>
  <c r="Z405" i="33" s="1"/>
  <c r="W405" i="33"/>
  <c r="B405" i="33"/>
  <c r="A405" i="33"/>
  <c r="U404" i="33"/>
  <c r="S404" i="33"/>
  <c r="P404" i="33"/>
  <c r="Q404" i="33" s="1"/>
  <c r="N404" i="33"/>
  <c r="O404" i="33" s="1"/>
  <c r="K404" i="33"/>
  <c r="F404" i="33"/>
  <c r="G404" i="33" s="1"/>
  <c r="D404" i="33"/>
  <c r="E404" i="33" s="1"/>
  <c r="B404" i="33"/>
  <c r="A404" i="33"/>
  <c r="M404" i="33" s="1"/>
  <c r="U403" i="33"/>
  <c r="S403" i="33"/>
  <c r="P403" i="33"/>
  <c r="Q403" i="33" s="1"/>
  <c r="N403" i="33"/>
  <c r="O403" i="33" s="1"/>
  <c r="K403" i="33"/>
  <c r="F403" i="33"/>
  <c r="G403" i="33" s="1"/>
  <c r="D403" i="33"/>
  <c r="E403" i="33" s="1"/>
  <c r="B403" i="33"/>
  <c r="A403" i="33"/>
  <c r="M403" i="33" s="1"/>
  <c r="U402" i="33"/>
  <c r="S402" i="33"/>
  <c r="P402" i="33"/>
  <c r="Q402" i="33" s="1"/>
  <c r="N402" i="33"/>
  <c r="O402" i="33" s="1"/>
  <c r="K402" i="33"/>
  <c r="L402" i="33" s="1"/>
  <c r="F402" i="33"/>
  <c r="G402" i="33" s="1"/>
  <c r="D402" i="33"/>
  <c r="E402" i="33" s="1"/>
  <c r="B402" i="33"/>
  <c r="A402" i="33"/>
  <c r="M402" i="33" s="1"/>
  <c r="U401" i="33"/>
  <c r="S401" i="33"/>
  <c r="P401" i="33"/>
  <c r="Q401" i="33" s="1"/>
  <c r="N401" i="33"/>
  <c r="O401" i="33" s="1"/>
  <c r="K401" i="33"/>
  <c r="L401" i="33" s="1"/>
  <c r="F401" i="33"/>
  <c r="G401" i="33" s="1"/>
  <c r="D401" i="33"/>
  <c r="E401" i="33" s="1"/>
  <c r="B401" i="33"/>
  <c r="A401" i="33"/>
  <c r="M401" i="33" s="1"/>
  <c r="Y400" i="33"/>
  <c r="Z400" i="33" s="1"/>
  <c r="W400" i="33"/>
  <c r="B400" i="33"/>
  <c r="A400" i="33"/>
  <c r="Y399" i="33"/>
  <c r="Z399" i="33" s="1"/>
  <c r="W399" i="33"/>
  <c r="B399" i="33"/>
  <c r="A399" i="33"/>
  <c r="Y398" i="33"/>
  <c r="Z398" i="33" s="1"/>
  <c r="W398" i="33"/>
  <c r="B398" i="33"/>
  <c r="A398" i="33"/>
  <c r="Y397" i="33"/>
  <c r="Z397" i="33" s="1"/>
  <c r="W397" i="33"/>
  <c r="K397" i="33"/>
  <c r="L397" i="33" s="1"/>
  <c r="B397" i="33"/>
  <c r="A397" i="33"/>
  <c r="Y396" i="33"/>
  <c r="Z396" i="33" s="1"/>
  <c r="W396" i="33"/>
  <c r="B396" i="33"/>
  <c r="A396" i="33"/>
  <c r="U395" i="33"/>
  <c r="S395" i="33"/>
  <c r="P395" i="33"/>
  <c r="Q395" i="33" s="1"/>
  <c r="N395" i="33"/>
  <c r="O395" i="33" s="1"/>
  <c r="K395" i="33"/>
  <c r="L395" i="33" s="1"/>
  <c r="F395" i="33"/>
  <c r="G395" i="33" s="1"/>
  <c r="D395" i="33"/>
  <c r="E395" i="33" s="1"/>
  <c r="B395" i="33"/>
  <c r="A395" i="33"/>
  <c r="M395" i="33" s="1"/>
  <c r="U394" i="33"/>
  <c r="S394" i="33"/>
  <c r="P394" i="33"/>
  <c r="Q394" i="33" s="1"/>
  <c r="N394" i="33"/>
  <c r="O394" i="33" s="1"/>
  <c r="K394" i="33"/>
  <c r="L394" i="33" s="1"/>
  <c r="F394" i="33"/>
  <c r="G394" i="33" s="1"/>
  <c r="D394" i="33"/>
  <c r="E394" i="33" s="1"/>
  <c r="B394" i="33"/>
  <c r="A394" i="33"/>
  <c r="M394" i="33" s="1"/>
  <c r="U393" i="33"/>
  <c r="S393" i="33"/>
  <c r="P393" i="33"/>
  <c r="Q393" i="33" s="1"/>
  <c r="N393" i="33"/>
  <c r="O393" i="33" s="1"/>
  <c r="K393" i="33"/>
  <c r="F393" i="33"/>
  <c r="G393" i="33" s="1"/>
  <c r="D393" i="33"/>
  <c r="E393" i="33" s="1"/>
  <c r="B393" i="33"/>
  <c r="A393" i="33"/>
  <c r="M393" i="33" s="1"/>
  <c r="U392" i="33"/>
  <c r="S392" i="33"/>
  <c r="P392" i="33"/>
  <c r="Q392" i="33" s="1"/>
  <c r="N392" i="33"/>
  <c r="O392" i="33" s="1"/>
  <c r="K392" i="33"/>
  <c r="F392" i="33"/>
  <c r="G392" i="33" s="1"/>
  <c r="D392" i="33"/>
  <c r="E392" i="33" s="1"/>
  <c r="B392" i="33"/>
  <c r="A392" i="33"/>
  <c r="M392" i="33" s="1"/>
  <c r="Y391" i="33"/>
  <c r="Z391" i="33" s="1"/>
  <c r="W391" i="33"/>
  <c r="B391" i="33"/>
  <c r="A391" i="33"/>
  <c r="Y390" i="33"/>
  <c r="Z390" i="33" s="1"/>
  <c r="W390" i="33"/>
  <c r="B390" i="33"/>
  <c r="A390" i="33"/>
  <c r="Y389" i="33"/>
  <c r="Z389" i="33" s="1"/>
  <c r="W389" i="33"/>
  <c r="B389" i="33"/>
  <c r="A389" i="33"/>
  <c r="Y388" i="33"/>
  <c r="Z388" i="33" s="1"/>
  <c r="W388" i="33"/>
  <c r="K388" i="33"/>
  <c r="L388" i="33" s="1"/>
  <c r="B388" i="33"/>
  <c r="A388" i="33"/>
  <c r="Y387" i="33"/>
  <c r="Z387" i="33" s="1"/>
  <c r="W387" i="33"/>
  <c r="B387" i="33"/>
  <c r="A387" i="33"/>
  <c r="U386" i="33"/>
  <c r="S386" i="33"/>
  <c r="P386" i="33"/>
  <c r="Q386" i="33" s="1"/>
  <c r="N386" i="33"/>
  <c r="O386" i="33" s="1"/>
  <c r="K386" i="33"/>
  <c r="L386" i="33" s="1"/>
  <c r="F386" i="33"/>
  <c r="G386" i="33" s="1"/>
  <c r="D386" i="33"/>
  <c r="E386" i="33" s="1"/>
  <c r="B386" i="33"/>
  <c r="A386" i="33"/>
  <c r="M386" i="33" s="1"/>
  <c r="U385" i="33"/>
  <c r="S385" i="33"/>
  <c r="P385" i="33"/>
  <c r="Q385" i="33" s="1"/>
  <c r="N385" i="33"/>
  <c r="O385" i="33" s="1"/>
  <c r="K385" i="33"/>
  <c r="F385" i="33"/>
  <c r="G385" i="33" s="1"/>
  <c r="D385" i="33"/>
  <c r="E385" i="33" s="1"/>
  <c r="B385" i="33"/>
  <c r="A385" i="33"/>
  <c r="M385" i="33" s="1"/>
  <c r="U384" i="33"/>
  <c r="S384" i="33"/>
  <c r="P384" i="33"/>
  <c r="Q384" i="33" s="1"/>
  <c r="N384" i="33"/>
  <c r="O384" i="33" s="1"/>
  <c r="K384" i="33"/>
  <c r="L384" i="33" s="1"/>
  <c r="F384" i="33"/>
  <c r="G384" i="33" s="1"/>
  <c r="D384" i="33"/>
  <c r="E384" i="33" s="1"/>
  <c r="B384" i="33"/>
  <c r="A384" i="33"/>
  <c r="M384" i="33" s="1"/>
  <c r="U383" i="33"/>
  <c r="S383" i="33"/>
  <c r="P383" i="33"/>
  <c r="Q383" i="33" s="1"/>
  <c r="N383" i="33"/>
  <c r="O383" i="33" s="1"/>
  <c r="K383" i="33"/>
  <c r="L383" i="33" s="1"/>
  <c r="F383" i="33"/>
  <c r="G383" i="33" s="1"/>
  <c r="D383" i="33"/>
  <c r="E383" i="33" s="1"/>
  <c r="B383" i="33"/>
  <c r="A383" i="33"/>
  <c r="M383" i="33" s="1"/>
  <c r="Y382" i="33"/>
  <c r="Z382" i="33" s="1"/>
  <c r="W382" i="33"/>
  <c r="X382" i="33" s="1"/>
  <c r="B382" i="33"/>
  <c r="A382" i="33"/>
  <c r="Y381" i="33"/>
  <c r="Z381" i="33" s="1"/>
  <c r="W381" i="33"/>
  <c r="B381" i="33"/>
  <c r="A381" i="33"/>
  <c r="Y380" i="33"/>
  <c r="Z380" i="33" s="1"/>
  <c r="W380" i="33"/>
  <c r="B380" i="33"/>
  <c r="A380" i="33"/>
  <c r="Y379" i="33"/>
  <c r="Z379" i="33" s="1"/>
  <c r="W379" i="33"/>
  <c r="K379" i="33"/>
  <c r="L379" i="33" s="1"/>
  <c r="B379" i="33"/>
  <c r="A379" i="33"/>
  <c r="Y378" i="33"/>
  <c r="Z378" i="33" s="1"/>
  <c r="W378" i="33"/>
  <c r="X378" i="33" s="1"/>
  <c r="B378" i="33"/>
  <c r="A378" i="33"/>
  <c r="U377" i="33"/>
  <c r="S377" i="33"/>
  <c r="P377" i="33"/>
  <c r="Q377" i="33" s="1"/>
  <c r="N377" i="33"/>
  <c r="O377" i="33" s="1"/>
  <c r="K377" i="33"/>
  <c r="L377" i="33" s="1"/>
  <c r="F377" i="33"/>
  <c r="G377" i="33" s="1"/>
  <c r="D377" i="33"/>
  <c r="E377" i="33" s="1"/>
  <c r="B377" i="33"/>
  <c r="A377" i="33"/>
  <c r="M377" i="33" s="1"/>
  <c r="U376" i="33"/>
  <c r="S376" i="33"/>
  <c r="P376" i="33"/>
  <c r="Q376" i="33" s="1"/>
  <c r="N376" i="33"/>
  <c r="O376" i="33" s="1"/>
  <c r="K376" i="33"/>
  <c r="L376" i="33" s="1"/>
  <c r="F376" i="33"/>
  <c r="G376" i="33" s="1"/>
  <c r="D376" i="33"/>
  <c r="E376" i="33" s="1"/>
  <c r="B376" i="33"/>
  <c r="A376" i="33"/>
  <c r="M376" i="33" s="1"/>
  <c r="U375" i="33"/>
  <c r="S375" i="33"/>
  <c r="P375" i="33"/>
  <c r="Q375" i="33" s="1"/>
  <c r="N375" i="33"/>
  <c r="O375" i="33" s="1"/>
  <c r="K375" i="33"/>
  <c r="L375" i="33" s="1"/>
  <c r="F375" i="33"/>
  <c r="G375" i="33" s="1"/>
  <c r="D375" i="33"/>
  <c r="E375" i="33" s="1"/>
  <c r="B375" i="33"/>
  <c r="A375" i="33"/>
  <c r="M375" i="33" s="1"/>
  <c r="U374" i="33"/>
  <c r="S374" i="33"/>
  <c r="P374" i="33"/>
  <c r="Q374" i="33" s="1"/>
  <c r="N374" i="33"/>
  <c r="O374" i="33" s="1"/>
  <c r="K374" i="33"/>
  <c r="L374" i="33" s="1"/>
  <c r="F374" i="33"/>
  <c r="G374" i="33" s="1"/>
  <c r="D374" i="33"/>
  <c r="E374" i="33" s="1"/>
  <c r="B374" i="33"/>
  <c r="A374" i="33"/>
  <c r="M374" i="33" s="1"/>
  <c r="Y373" i="33"/>
  <c r="Z373" i="33" s="1"/>
  <c r="W373" i="33"/>
  <c r="X373" i="33" s="1"/>
  <c r="B373" i="33"/>
  <c r="A373" i="33"/>
  <c r="Y372" i="33"/>
  <c r="Z372" i="33" s="1"/>
  <c r="W372" i="33"/>
  <c r="X372" i="33" s="1"/>
  <c r="B372" i="33"/>
  <c r="A372" i="33"/>
  <c r="Y371" i="33"/>
  <c r="Z371" i="33" s="1"/>
  <c r="W371" i="33"/>
  <c r="X371" i="33" s="1"/>
  <c r="B371" i="33"/>
  <c r="A371" i="33"/>
  <c r="Y370" i="33"/>
  <c r="W370" i="33"/>
  <c r="X370" i="33" s="1"/>
  <c r="K370" i="33"/>
  <c r="L370" i="33" s="1"/>
  <c r="B370" i="33"/>
  <c r="A370" i="33"/>
  <c r="Y369" i="33"/>
  <c r="Z369" i="33" s="1"/>
  <c r="W369" i="33"/>
  <c r="B369" i="33"/>
  <c r="A369" i="33"/>
  <c r="U368" i="33"/>
  <c r="S368" i="33"/>
  <c r="P368" i="33"/>
  <c r="Q368" i="33" s="1"/>
  <c r="N368" i="33"/>
  <c r="O368" i="33" s="1"/>
  <c r="K368" i="33"/>
  <c r="L368" i="33" s="1"/>
  <c r="F368" i="33"/>
  <c r="G368" i="33" s="1"/>
  <c r="D368" i="33"/>
  <c r="E368" i="33" s="1"/>
  <c r="B368" i="33"/>
  <c r="A368" i="33"/>
  <c r="M368" i="33" s="1"/>
  <c r="U367" i="33"/>
  <c r="S367" i="33"/>
  <c r="P367" i="33"/>
  <c r="Q367" i="33" s="1"/>
  <c r="N367" i="33"/>
  <c r="O367" i="33" s="1"/>
  <c r="K367" i="33"/>
  <c r="L367" i="33" s="1"/>
  <c r="F367" i="33"/>
  <c r="G367" i="33" s="1"/>
  <c r="D367" i="33"/>
  <c r="E367" i="33" s="1"/>
  <c r="B367" i="33"/>
  <c r="A367" i="33"/>
  <c r="M367" i="33" s="1"/>
  <c r="U366" i="33"/>
  <c r="S366" i="33"/>
  <c r="P366" i="33"/>
  <c r="Q366" i="33" s="1"/>
  <c r="N366" i="33"/>
  <c r="O366" i="33" s="1"/>
  <c r="K366" i="33"/>
  <c r="F366" i="33"/>
  <c r="G366" i="33" s="1"/>
  <c r="D366" i="33"/>
  <c r="E366" i="33" s="1"/>
  <c r="B366" i="33"/>
  <c r="A366" i="33"/>
  <c r="M366" i="33" s="1"/>
  <c r="U365" i="33"/>
  <c r="S365" i="33"/>
  <c r="P365" i="33"/>
  <c r="Q365" i="33" s="1"/>
  <c r="N365" i="33"/>
  <c r="O365" i="33" s="1"/>
  <c r="K365" i="33"/>
  <c r="L365" i="33" s="1"/>
  <c r="F365" i="33"/>
  <c r="G365" i="33" s="1"/>
  <c r="D365" i="33"/>
  <c r="E365" i="33" s="1"/>
  <c r="B365" i="33"/>
  <c r="A365" i="33"/>
  <c r="M365" i="33" s="1"/>
  <c r="Y364" i="33"/>
  <c r="Z364" i="33" s="1"/>
  <c r="W364" i="33"/>
  <c r="X364" i="33" s="1"/>
  <c r="B364" i="33"/>
  <c r="A364" i="33"/>
  <c r="Y363" i="33"/>
  <c r="Z363" i="33" s="1"/>
  <c r="W363" i="33"/>
  <c r="B363" i="33"/>
  <c r="A363" i="33"/>
  <c r="Y362" i="33"/>
  <c r="Z362" i="33" s="1"/>
  <c r="W362" i="33"/>
  <c r="X362" i="33" s="1"/>
  <c r="B362" i="33"/>
  <c r="A362" i="33"/>
  <c r="Y361" i="33"/>
  <c r="Z361" i="33" s="1"/>
  <c r="W361" i="33"/>
  <c r="K361" i="33"/>
  <c r="L361" i="33" s="1"/>
  <c r="B361" i="33"/>
  <c r="A361" i="33"/>
  <c r="Y360" i="33"/>
  <c r="W360" i="33"/>
  <c r="X360" i="33" s="1"/>
  <c r="B360" i="33"/>
  <c r="A360" i="33"/>
  <c r="U359" i="33"/>
  <c r="S359" i="33"/>
  <c r="P359" i="33"/>
  <c r="Q359" i="33" s="1"/>
  <c r="N359" i="33"/>
  <c r="O359" i="33" s="1"/>
  <c r="K359" i="33"/>
  <c r="L359" i="33" s="1"/>
  <c r="F359" i="33"/>
  <c r="G359" i="33" s="1"/>
  <c r="E359" i="33"/>
  <c r="D359" i="33"/>
  <c r="B359" i="33"/>
  <c r="A359" i="33"/>
  <c r="M359" i="33" s="1"/>
  <c r="U358" i="33"/>
  <c r="S358" i="33"/>
  <c r="P358" i="33"/>
  <c r="Q358" i="33" s="1"/>
  <c r="N358" i="33"/>
  <c r="O358" i="33" s="1"/>
  <c r="K358" i="33"/>
  <c r="L358" i="33" s="1"/>
  <c r="F358" i="33"/>
  <c r="G358" i="33" s="1"/>
  <c r="D358" i="33"/>
  <c r="E358" i="33" s="1"/>
  <c r="B358" i="33"/>
  <c r="A358" i="33"/>
  <c r="M358" i="33" s="1"/>
  <c r="U357" i="33"/>
  <c r="S357" i="33"/>
  <c r="P357" i="33"/>
  <c r="Q357" i="33" s="1"/>
  <c r="N357" i="33"/>
  <c r="O357" i="33" s="1"/>
  <c r="K357" i="33"/>
  <c r="L357" i="33" s="1"/>
  <c r="F357" i="33"/>
  <c r="G357" i="33" s="1"/>
  <c r="D357" i="33"/>
  <c r="E357" i="33" s="1"/>
  <c r="B357" i="33"/>
  <c r="A357" i="33"/>
  <c r="M357" i="33" s="1"/>
  <c r="U356" i="33"/>
  <c r="S356" i="33"/>
  <c r="P356" i="33"/>
  <c r="Q356" i="33" s="1"/>
  <c r="N356" i="33"/>
  <c r="O356" i="33" s="1"/>
  <c r="K356" i="33"/>
  <c r="L356" i="33" s="1"/>
  <c r="F356" i="33"/>
  <c r="G356" i="33" s="1"/>
  <c r="D356" i="33"/>
  <c r="E356" i="33" s="1"/>
  <c r="B356" i="33"/>
  <c r="A356" i="33"/>
  <c r="M356" i="33" s="1"/>
  <c r="Y355" i="33"/>
  <c r="Z355" i="33" s="1"/>
  <c r="W355" i="33"/>
  <c r="X355" i="33" s="1"/>
  <c r="B355" i="33"/>
  <c r="A355" i="33"/>
  <c r="Y354" i="33"/>
  <c r="Z354" i="33" s="1"/>
  <c r="W354" i="33"/>
  <c r="X354" i="33" s="1"/>
  <c r="B354" i="33"/>
  <c r="A354" i="33"/>
  <c r="Y353" i="33"/>
  <c r="Z353" i="33" s="1"/>
  <c r="W353" i="33"/>
  <c r="X353" i="33" s="1"/>
  <c r="B353" i="33"/>
  <c r="A353" i="33"/>
  <c r="Y352" i="33"/>
  <c r="Z352" i="33" s="1"/>
  <c r="W352" i="33"/>
  <c r="X352" i="33" s="1"/>
  <c r="K352" i="33"/>
  <c r="L352" i="33" s="1"/>
  <c r="B352" i="33"/>
  <c r="A352" i="33"/>
  <c r="Y351" i="33"/>
  <c r="Z351" i="33" s="1"/>
  <c r="W351" i="33"/>
  <c r="B351" i="33"/>
  <c r="A351" i="33"/>
  <c r="U350" i="33"/>
  <c r="S350" i="33"/>
  <c r="P350" i="33"/>
  <c r="Q350" i="33" s="1"/>
  <c r="N350" i="33"/>
  <c r="O350" i="33" s="1"/>
  <c r="K350" i="33"/>
  <c r="L350" i="33" s="1"/>
  <c r="F350" i="33"/>
  <c r="G350" i="33" s="1"/>
  <c r="D350" i="33"/>
  <c r="E350" i="33" s="1"/>
  <c r="J350" i="33" s="1"/>
  <c r="H350" i="33" s="1"/>
  <c r="I350" i="33" s="1"/>
  <c r="B350" i="33"/>
  <c r="A350" i="33"/>
  <c r="M350" i="33" s="1"/>
  <c r="U349" i="33"/>
  <c r="S349" i="33"/>
  <c r="P349" i="33"/>
  <c r="Q349" i="33" s="1"/>
  <c r="N349" i="33"/>
  <c r="O349" i="33" s="1"/>
  <c r="K349" i="33"/>
  <c r="L349" i="33" s="1"/>
  <c r="F349" i="33"/>
  <c r="G349" i="33" s="1"/>
  <c r="D349" i="33"/>
  <c r="E349" i="33" s="1"/>
  <c r="B349" i="33"/>
  <c r="A349" i="33"/>
  <c r="M349" i="33" s="1"/>
  <c r="U348" i="33"/>
  <c r="S348" i="33"/>
  <c r="P348" i="33"/>
  <c r="Q348" i="33" s="1"/>
  <c r="N348" i="33"/>
  <c r="O348" i="33" s="1"/>
  <c r="K348" i="33"/>
  <c r="L348" i="33" s="1"/>
  <c r="F348" i="33"/>
  <c r="G348" i="33" s="1"/>
  <c r="D348" i="33"/>
  <c r="E348" i="33" s="1"/>
  <c r="B348" i="33"/>
  <c r="A348" i="33"/>
  <c r="M348" i="33" s="1"/>
  <c r="U347" i="33"/>
  <c r="S347" i="33"/>
  <c r="P347" i="33"/>
  <c r="Q347" i="33" s="1"/>
  <c r="N347" i="33"/>
  <c r="O347" i="33" s="1"/>
  <c r="K347" i="33"/>
  <c r="L347" i="33" s="1"/>
  <c r="F347" i="33"/>
  <c r="G347" i="33" s="1"/>
  <c r="D347" i="33"/>
  <c r="E347" i="33" s="1"/>
  <c r="B347" i="33"/>
  <c r="A347" i="33"/>
  <c r="M347" i="33" s="1"/>
  <c r="Y346" i="33"/>
  <c r="Z346" i="33" s="1"/>
  <c r="W346" i="33"/>
  <c r="X346" i="33" s="1"/>
  <c r="B346" i="33"/>
  <c r="A346" i="33"/>
  <c r="Y345" i="33"/>
  <c r="Z345" i="33" s="1"/>
  <c r="W345" i="33"/>
  <c r="B345" i="33"/>
  <c r="A345" i="33"/>
  <c r="Y344" i="33"/>
  <c r="Z344" i="33" s="1"/>
  <c r="W344" i="33"/>
  <c r="X344" i="33" s="1"/>
  <c r="B344" i="33"/>
  <c r="A344" i="33"/>
  <c r="Y343" i="33"/>
  <c r="Z343" i="33" s="1"/>
  <c r="W343" i="33"/>
  <c r="K343" i="33"/>
  <c r="L343" i="33" s="1"/>
  <c r="B343" i="33"/>
  <c r="A343" i="33"/>
  <c r="Y342" i="33"/>
  <c r="Z342" i="33" s="1"/>
  <c r="W342" i="33"/>
  <c r="X342" i="33" s="1"/>
  <c r="B342" i="33"/>
  <c r="A342" i="33"/>
  <c r="U341" i="33"/>
  <c r="S341" i="33"/>
  <c r="P341" i="33"/>
  <c r="Q341" i="33" s="1"/>
  <c r="N341" i="33"/>
  <c r="O341" i="33" s="1"/>
  <c r="K341" i="33"/>
  <c r="L341" i="33" s="1"/>
  <c r="F341" i="33"/>
  <c r="G341" i="33" s="1"/>
  <c r="D341" i="33"/>
  <c r="E341" i="33" s="1"/>
  <c r="B341" i="33"/>
  <c r="A341" i="33"/>
  <c r="M341" i="33" s="1"/>
  <c r="U340" i="33"/>
  <c r="S340" i="33"/>
  <c r="P340" i="33"/>
  <c r="Q340" i="33" s="1"/>
  <c r="N340" i="33"/>
  <c r="O340" i="33" s="1"/>
  <c r="K340" i="33"/>
  <c r="L340" i="33" s="1"/>
  <c r="F340" i="33"/>
  <c r="G340" i="33" s="1"/>
  <c r="D340" i="33"/>
  <c r="E340" i="33" s="1"/>
  <c r="B340" i="33"/>
  <c r="A340" i="33"/>
  <c r="M340" i="33" s="1"/>
  <c r="U339" i="33"/>
  <c r="S339" i="33"/>
  <c r="P339" i="33"/>
  <c r="Q339" i="33" s="1"/>
  <c r="N339" i="33"/>
  <c r="O339" i="33" s="1"/>
  <c r="K339" i="33"/>
  <c r="F339" i="33"/>
  <c r="G339" i="33" s="1"/>
  <c r="D339" i="33"/>
  <c r="E339" i="33" s="1"/>
  <c r="B339" i="33"/>
  <c r="A339" i="33"/>
  <c r="M339" i="33" s="1"/>
  <c r="U338" i="33"/>
  <c r="S338" i="33"/>
  <c r="P338" i="33"/>
  <c r="Q338" i="33" s="1"/>
  <c r="N338" i="33"/>
  <c r="O338" i="33" s="1"/>
  <c r="K338" i="33"/>
  <c r="L338" i="33" s="1"/>
  <c r="F338" i="33"/>
  <c r="G338" i="33" s="1"/>
  <c r="D338" i="33"/>
  <c r="E338" i="33" s="1"/>
  <c r="B338" i="33"/>
  <c r="A338" i="33"/>
  <c r="M338" i="33" s="1"/>
  <c r="Y337" i="33"/>
  <c r="Z337" i="33" s="1"/>
  <c r="W337" i="33"/>
  <c r="X337" i="33" s="1"/>
  <c r="B337" i="33"/>
  <c r="A337" i="33"/>
  <c r="Y336" i="33"/>
  <c r="W336" i="33"/>
  <c r="X336" i="33" s="1"/>
  <c r="B336" i="33"/>
  <c r="A336" i="33"/>
  <c r="Y335" i="33"/>
  <c r="Z335" i="33" s="1"/>
  <c r="W335" i="33"/>
  <c r="X335" i="33" s="1"/>
  <c r="B335" i="33"/>
  <c r="A335" i="33"/>
  <c r="Y334" i="33"/>
  <c r="W334" i="33"/>
  <c r="X334" i="33" s="1"/>
  <c r="K334" i="33"/>
  <c r="L334" i="33" s="1"/>
  <c r="B334" i="33"/>
  <c r="A334" i="33"/>
  <c r="Y333" i="33"/>
  <c r="Z333" i="33" s="1"/>
  <c r="W333" i="33"/>
  <c r="B333" i="33"/>
  <c r="A333" i="33"/>
  <c r="U332" i="33"/>
  <c r="S332" i="33"/>
  <c r="P332" i="33"/>
  <c r="Q332" i="33" s="1"/>
  <c r="N332" i="33"/>
  <c r="O332" i="33" s="1"/>
  <c r="K332" i="33"/>
  <c r="F332" i="33"/>
  <c r="G332" i="33" s="1"/>
  <c r="D332" i="33"/>
  <c r="E332" i="33" s="1"/>
  <c r="B332" i="33"/>
  <c r="A332" i="33"/>
  <c r="M332" i="33" s="1"/>
  <c r="U331" i="33"/>
  <c r="S331" i="33"/>
  <c r="P331" i="33"/>
  <c r="Q331" i="33" s="1"/>
  <c r="N331" i="33"/>
  <c r="O331" i="33" s="1"/>
  <c r="K331" i="33"/>
  <c r="L331" i="33" s="1"/>
  <c r="F331" i="33"/>
  <c r="G331" i="33" s="1"/>
  <c r="D331" i="33"/>
  <c r="E331" i="33" s="1"/>
  <c r="B331" i="33"/>
  <c r="A331" i="33"/>
  <c r="M331" i="33" s="1"/>
  <c r="U330" i="33"/>
  <c r="S330" i="33"/>
  <c r="P330" i="33"/>
  <c r="Q330" i="33" s="1"/>
  <c r="N330" i="33"/>
  <c r="O330" i="33" s="1"/>
  <c r="K330" i="33"/>
  <c r="L330" i="33" s="1"/>
  <c r="F330" i="33"/>
  <c r="G330" i="33" s="1"/>
  <c r="D330" i="33"/>
  <c r="E330" i="33" s="1"/>
  <c r="B330" i="33"/>
  <c r="A330" i="33"/>
  <c r="M330" i="33" s="1"/>
  <c r="U329" i="33"/>
  <c r="S329" i="33"/>
  <c r="P329" i="33"/>
  <c r="Q329" i="33" s="1"/>
  <c r="N329" i="33"/>
  <c r="O329" i="33" s="1"/>
  <c r="K329" i="33"/>
  <c r="L329" i="33" s="1"/>
  <c r="F329" i="33"/>
  <c r="G329" i="33" s="1"/>
  <c r="D329" i="33"/>
  <c r="E329" i="33" s="1"/>
  <c r="B329" i="33"/>
  <c r="A329" i="33"/>
  <c r="M329" i="33" s="1"/>
  <c r="Y328" i="33"/>
  <c r="Z328" i="33" s="1"/>
  <c r="W328" i="33"/>
  <c r="X328" i="33" s="1"/>
  <c r="B328" i="33"/>
  <c r="A328" i="33"/>
  <c r="Y327" i="33"/>
  <c r="Z327" i="33" s="1"/>
  <c r="W327" i="33"/>
  <c r="B327" i="33"/>
  <c r="A327" i="33"/>
  <c r="Y326" i="33"/>
  <c r="Z326" i="33" s="1"/>
  <c r="W326" i="33"/>
  <c r="X326" i="33" s="1"/>
  <c r="B326" i="33"/>
  <c r="A326" i="33"/>
  <c r="Y325" i="33"/>
  <c r="Z325" i="33" s="1"/>
  <c r="W325" i="33"/>
  <c r="X325" i="33" s="1"/>
  <c r="K325" i="33"/>
  <c r="L325" i="33" s="1"/>
  <c r="B325" i="33"/>
  <c r="A325" i="33"/>
  <c r="Y324" i="33"/>
  <c r="Z324" i="33" s="1"/>
  <c r="W324" i="33"/>
  <c r="X324" i="33" s="1"/>
  <c r="B324" i="33"/>
  <c r="A324" i="33"/>
  <c r="U323" i="33"/>
  <c r="S323" i="33"/>
  <c r="P323" i="33"/>
  <c r="Q323" i="33" s="1"/>
  <c r="N323" i="33"/>
  <c r="O323" i="33" s="1"/>
  <c r="K323" i="33"/>
  <c r="L323" i="33" s="1"/>
  <c r="F323" i="33"/>
  <c r="G323" i="33" s="1"/>
  <c r="D323" i="33"/>
  <c r="E323" i="33" s="1"/>
  <c r="B323" i="33"/>
  <c r="A323" i="33"/>
  <c r="M323" i="33" s="1"/>
  <c r="U322" i="33"/>
  <c r="S322" i="33"/>
  <c r="P322" i="33"/>
  <c r="Q322" i="33" s="1"/>
  <c r="N322" i="33"/>
  <c r="O322" i="33" s="1"/>
  <c r="K322" i="33"/>
  <c r="L322" i="33" s="1"/>
  <c r="F322" i="33"/>
  <c r="G322" i="33" s="1"/>
  <c r="D322" i="33"/>
  <c r="E322" i="33" s="1"/>
  <c r="B322" i="33"/>
  <c r="A322" i="33"/>
  <c r="M322" i="33" s="1"/>
  <c r="U321" i="33"/>
  <c r="S321" i="33"/>
  <c r="P321" i="33"/>
  <c r="Q321" i="33" s="1"/>
  <c r="N321" i="33"/>
  <c r="O321" i="33" s="1"/>
  <c r="K321" i="33"/>
  <c r="F321" i="33"/>
  <c r="G321" i="33" s="1"/>
  <c r="D321" i="33"/>
  <c r="E321" i="33" s="1"/>
  <c r="B321" i="33"/>
  <c r="A321" i="33"/>
  <c r="M321" i="33" s="1"/>
  <c r="U320" i="33"/>
  <c r="S320" i="33"/>
  <c r="P320" i="33"/>
  <c r="Q320" i="33" s="1"/>
  <c r="N320" i="33"/>
  <c r="O320" i="33" s="1"/>
  <c r="K320" i="33"/>
  <c r="L320" i="33" s="1"/>
  <c r="F320" i="33"/>
  <c r="G320" i="33" s="1"/>
  <c r="D320" i="33"/>
  <c r="E320" i="33" s="1"/>
  <c r="B320" i="33"/>
  <c r="A320" i="33"/>
  <c r="M320" i="33" s="1"/>
  <c r="Y319" i="33"/>
  <c r="Z319" i="33" s="1"/>
  <c r="W319" i="33"/>
  <c r="X319" i="33" s="1"/>
  <c r="B319" i="33"/>
  <c r="A319" i="33"/>
  <c r="Y318" i="33"/>
  <c r="W318" i="33"/>
  <c r="X318" i="33" s="1"/>
  <c r="B318" i="33"/>
  <c r="A318" i="33"/>
  <c r="Y317" i="33"/>
  <c r="Z317" i="33" s="1"/>
  <c r="W317" i="33"/>
  <c r="X317" i="33" s="1"/>
  <c r="B317" i="33"/>
  <c r="A317" i="33"/>
  <c r="Y316" i="33"/>
  <c r="Z316" i="33" s="1"/>
  <c r="W316" i="33"/>
  <c r="X316" i="33" s="1"/>
  <c r="K316" i="33"/>
  <c r="L316" i="33" s="1"/>
  <c r="B316" i="33"/>
  <c r="A316" i="33"/>
  <c r="Y315" i="33"/>
  <c r="Z315" i="33" s="1"/>
  <c r="W315" i="33"/>
  <c r="B315" i="33"/>
  <c r="A315" i="33"/>
  <c r="U314" i="33"/>
  <c r="S314" i="33"/>
  <c r="P314" i="33"/>
  <c r="Q314" i="33" s="1"/>
  <c r="N314" i="33"/>
  <c r="O314" i="33" s="1"/>
  <c r="K314" i="33"/>
  <c r="L314" i="33" s="1"/>
  <c r="F314" i="33"/>
  <c r="G314" i="33" s="1"/>
  <c r="D314" i="33"/>
  <c r="E314" i="33" s="1"/>
  <c r="B314" i="33"/>
  <c r="A314" i="33"/>
  <c r="M314" i="33" s="1"/>
  <c r="U313" i="33"/>
  <c r="S313" i="33"/>
  <c r="P313" i="33"/>
  <c r="Q313" i="33" s="1"/>
  <c r="N313" i="33"/>
  <c r="O313" i="33" s="1"/>
  <c r="K313" i="33"/>
  <c r="L313" i="33" s="1"/>
  <c r="F313" i="33"/>
  <c r="G313" i="33" s="1"/>
  <c r="D313" i="33"/>
  <c r="E313" i="33" s="1"/>
  <c r="B313" i="33"/>
  <c r="A313" i="33"/>
  <c r="M313" i="33" s="1"/>
  <c r="U312" i="33"/>
  <c r="S312" i="33"/>
  <c r="P312" i="33"/>
  <c r="Q312" i="33" s="1"/>
  <c r="N312" i="33"/>
  <c r="O312" i="33" s="1"/>
  <c r="K312" i="33"/>
  <c r="F312" i="33"/>
  <c r="G312" i="33" s="1"/>
  <c r="D312" i="33"/>
  <c r="E312" i="33" s="1"/>
  <c r="B312" i="33"/>
  <c r="A312" i="33"/>
  <c r="M312" i="33" s="1"/>
  <c r="U311" i="33"/>
  <c r="S311" i="33"/>
  <c r="P311" i="33"/>
  <c r="Q311" i="33" s="1"/>
  <c r="N311" i="33"/>
  <c r="O311" i="33" s="1"/>
  <c r="K311" i="33"/>
  <c r="L311" i="33" s="1"/>
  <c r="F311" i="33"/>
  <c r="G311" i="33" s="1"/>
  <c r="D311" i="33"/>
  <c r="E311" i="33" s="1"/>
  <c r="B311" i="33"/>
  <c r="A311" i="33"/>
  <c r="M311" i="33" s="1"/>
  <c r="Y310" i="33"/>
  <c r="Z310" i="33" s="1"/>
  <c r="W310" i="33"/>
  <c r="B310" i="33"/>
  <c r="A310" i="33"/>
  <c r="Y309" i="33"/>
  <c r="Z309" i="33" s="1"/>
  <c r="W309" i="33"/>
  <c r="B309" i="33"/>
  <c r="A309" i="33"/>
  <c r="Y308" i="33"/>
  <c r="Z308" i="33" s="1"/>
  <c r="W308" i="33"/>
  <c r="B308" i="33"/>
  <c r="A308" i="33"/>
  <c r="Y307" i="33"/>
  <c r="Z307" i="33" s="1"/>
  <c r="W307" i="33"/>
  <c r="K307" i="33"/>
  <c r="L307" i="33" s="1"/>
  <c r="B307" i="33"/>
  <c r="A307" i="33"/>
  <c r="Y306" i="33"/>
  <c r="Z306" i="33" s="1"/>
  <c r="W306" i="33"/>
  <c r="B306" i="33"/>
  <c r="A306" i="33"/>
  <c r="U305" i="33"/>
  <c r="S305" i="33"/>
  <c r="P305" i="33"/>
  <c r="Q305" i="33" s="1"/>
  <c r="N305" i="33"/>
  <c r="O305" i="33" s="1"/>
  <c r="K305" i="33"/>
  <c r="L305" i="33" s="1"/>
  <c r="F305" i="33"/>
  <c r="G305" i="33" s="1"/>
  <c r="D305" i="33"/>
  <c r="E305" i="33" s="1"/>
  <c r="B305" i="33"/>
  <c r="A305" i="33"/>
  <c r="M305" i="33" s="1"/>
  <c r="U304" i="33"/>
  <c r="S304" i="33"/>
  <c r="P304" i="33"/>
  <c r="Q304" i="33" s="1"/>
  <c r="N304" i="33"/>
  <c r="O304" i="33" s="1"/>
  <c r="K304" i="33"/>
  <c r="L304" i="33" s="1"/>
  <c r="F304" i="33"/>
  <c r="G304" i="33" s="1"/>
  <c r="D304" i="33"/>
  <c r="E304" i="33" s="1"/>
  <c r="B304" i="33"/>
  <c r="A304" i="33"/>
  <c r="M304" i="33" s="1"/>
  <c r="U303" i="33"/>
  <c r="S303" i="33"/>
  <c r="P303" i="33"/>
  <c r="Q303" i="33" s="1"/>
  <c r="N303" i="33"/>
  <c r="O303" i="33" s="1"/>
  <c r="K303" i="33"/>
  <c r="L303" i="33" s="1"/>
  <c r="F303" i="33"/>
  <c r="G303" i="33" s="1"/>
  <c r="D303" i="33"/>
  <c r="E303" i="33" s="1"/>
  <c r="B303" i="33"/>
  <c r="A303" i="33"/>
  <c r="M303" i="33" s="1"/>
  <c r="U302" i="33"/>
  <c r="S302" i="33"/>
  <c r="P302" i="33"/>
  <c r="Q302" i="33" s="1"/>
  <c r="N302" i="33"/>
  <c r="O302" i="33" s="1"/>
  <c r="K302" i="33"/>
  <c r="L302" i="33" s="1"/>
  <c r="F302" i="33"/>
  <c r="G302" i="33" s="1"/>
  <c r="D302" i="33"/>
  <c r="E302" i="33" s="1"/>
  <c r="B302" i="33"/>
  <c r="A302" i="33"/>
  <c r="M302" i="33" s="1"/>
  <c r="Y301" i="33"/>
  <c r="Z301" i="33" s="1"/>
  <c r="W301" i="33"/>
  <c r="X301" i="33" s="1"/>
  <c r="B301" i="33"/>
  <c r="A301" i="33"/>
  <c r="Y300" i="33"/>
  <c r="Z300" i="33" s="1"/>
  <c r="W300" i="33"/>
  <c r="B300" i="33"/>
  <c r="A300" i="33"/>
  <c r="Y299" i="33"/>
  <c r="Z299" i="33" s="1"/>
  <c r="W299" i="33"/>
  <c r="B299" i="33"/>
  <c r="A299" i="33"/>
  <c r="Y298" i="33"/>
  <c r="Z298" i="33" s="1"/>
  <c r="W298" i="33"/>
  <c r="K298" i="33"/>
  <c r="L298" i="33" s="1"/>
  <c r="B298" i="33"/>
  <c r="A298" i="33"/>
  <c r="Y297" i="33"/>
  <c r="Z297" i="33" s="1"/>
  <c r="W297" i="33"/>
  <c r="B297" i="33"/>
  <c r="A297" i="33"/>
  <c r="U296" i="33"/>
  <c r="S296" i="33"/>
  <c r="P296" i="33"/>
  <c r="Q296" i="33" s="1"/>
  <c r="N296" i="33"/>
  <c r="O296" i="33" s="1"/>
  <c r="K296" i="33"/>
  <c r="L296" i="33" s="1"/>
  <c r="F296" i="33"/>
  <c r="G296" i="33" s="1"/>
  <c r="D296" i="33"/>
  <c r="E296" i="33" s="1"/>
  <c r="B296" i="33"/>
  <c r="A296" i="33"/>
  <c r="M296" i="33" s="1"/>
  <c r="U295" i="33"/>
  <c r="S295" i="33"/>
  <c r="P295" i="33"/>
  <c r="Q295" i="33" s="1"/>
  <c r="N295" i="33"/>
  <c r="O295" i="33" s="1"/>
  <c r="K295" i="33"/>
  <c r="L295" i="33" s="1"/>
  <c r="F295" i="33"/>
  <c r="G295" i="33" s="1"/>
  <c r="D295" i="33"/>
  <c r="E295" i="33" s="1"/>
  <c r="B295" i="33"/>
  <c r="A295" i="33"/>
  <c r="M295" i="33" s="1"/>
  <c r="U294" i="33"/>
  <c r="S294" i="33"/>
  <c r="P294" i="33"/>
  <c r="Q294" i="33" s="1"/>
  <c r="N294" i="33"/>
  <c r="O294" i="33" s="1"/>
  <c r="K294" i="33"/>
  <c r="F294" i="33"/>
  <c r="G294" i="33" s="1"/>
  <c r="D294" i="33"/>
  <c r="E294" i="33" s="1"/>
  <c r="B294" i="33"/>
  <c r="A294" i="33"/>
  <c r="M294" i="33" s="1"/>
  <c r="U293" i="33"/>
  <c r="S293" i="33"/>
  <c r="P293" i="33"/>
  <c r="Q293" i="33" s="1"/>
  <c r="N293" i="33"/>
  <c r="O293" i="33" s="1"/>
  <c r="K293" i="33"/>
  <c r="F293" i="33"/>
  <c r="G293" i="33" s="1"/>
  <c r="D293" i="33"/>
  <c r="E293" i="33" s="1"/>
  <c r="B293" i="33"/>
  <c r="A293" i="33"/>
  <c r="M293" i="33" s="1"/>
  <c r="Y292" i="33"/>
  <c r="Z292" i="33" s="1"/>
  <c r="W292" i="33"/>
  <c r="B292" i="33"/>
  <c r="A292" i="33"/>
  <c r="Y291" i="33"/>
  <c r="Z291" i="33" s="1"/>
  <c r="W291" i="33"/>
  <c r="B291" i="33"/>
  <c r="A291" i="33"/>
  <c r="Y290" i="33"/>
  <c r="Z290" i="33" s="1"/>
  <c r="W290" i="33"/>
  <c r="B290" i="33"/>
  <c r="A290" i="33"/>
  <c r="Y289" i="33"/>
  <c r="Z289" i="33" s="1"/>
  <c r="W289" i="33"/>
  <c r="K289" i="33"/>
  <c r="L289" i="33" s="1"/>
  <c r="B289" i="33"/>
  <c r="A289" i="33"/>
  <c r="Y288" i="33"/>
  <c r="Z288" i="33" s="1"/>
  <c r="W288" i="33"/>
  <c r="B288" i="33"/>
  <c r="A288" i="33"/>
  <c r="U287" i="33"/>
  <c r="S287" i="33"/>
  <c r="P287" i="33"/>
  <c r="Q287" i="33" s="1"/>
  <c r="N287" i="33"/>
  <c r="O287" i="33" s="1"/>
  <c r="K287" i="33"/>
  <c r="L287" i="33" s="1"/>
  <c r="F287" i="33"/>
  <c r="G287" i="33" s="1"/>
  <c r="D287" i="33"/>
  <c r="E287" i="33" s="1"/>
  <c r="B287" i="33"/>
  <c r="A287" i="33"/>
  <c r="M287" i="33" s="1"/>
  <c r="U286" i="33"/>
  <c r="S286" i="33"/>
  <c r="P286" i="33"/>
  <c r="Q286" i="33" s="1"/>
  <c r="N286" i="33"/>
  <c r="O286" i="33" s="1"/>
  <c r="K286" i="33"/>
  <c r="L286" i="33" s="1"/>
  <c r="F286" i="33"/>
  <c r="G286" i="33" s="1"/>
  <c r="D286" i="33"/>
  <c r="E286" i="33" s="1"/>
  <c r="B286" i="33"/>
  <c r="A286" i="33"/>
  <c r="M286" i="33" s="1"/>
  <c r="U285" i="33"/>
  <c r="S285" i="33"/>
  <c r="P285" i="33"/>
  <c r="Q285" i="33" s="1"/>
  <c r="N285" i="33"/>
  <c r="O285" i="33" s="1"/>
  <c r="K285" i="33"/>
  <c r="L285" i="33" s="1"/>
  <c r="F285" i="33"/>
  <c r="G285" i="33" s="1"/>
  <c r="D285" i="33"/>
  <c r="E285" i="33" s="1"/>
  <c r="B285" i="33"/>
  <c r="A285" i="33"/>
  <c r="M285" i="33" s="1"/>
  <c r="U284" i="33"/>
  <c r="S284" i="33"/>
  <c r="P284" i="33"/>
  <c r="Q284" i="33" s="1"/>
  <c r="N284" i="33"/>
  <c r="O284" i="33" s="1"/>
  <c r="K284" i="33"/>
  <c r="L284" i="33" s="1"/>
  <c r="F284" i="33"/>
  <c r="G284" i="33" s="1"/>
  <c r="D284" i="33"/>
  <c r="E284" i="33" s="1"/>
  <c r="B284" i="33"/>
  <c r="A284" i="33"/>
  <c r="M284" i="33" s="1"/>
  <c r="Y283" i="33"/>
  <c r="Z283" i="33" s="1"/>
  <c r="W283" i="33"/>
  <c r="B283" i="33"/>
  <c r="A283" i="33"/>
  <c r="Y282" i="33"/>
  <c r="Z282" i="33" s="1"/>
  <c r="W282" i="33"/>
  <c r="B282" i="33"/>
  <c r="A282" i="33"/>
  <c r="Y281" i="33"/>
  <c r="Z281" i="33" s="1"/>
  <c r="W281" i="33"/>
  <c r="B281" i="33"/>
  <c r="A281" i="33"/>
  <c r="Y280" i="33"/>
  <c r="Z280" i="33" s="1"/>
  <c r="W280" i="33"/>
  <c r="X280" i="33" s="1"/>
  <c r="K280" i="33"/>
  <c r="L280" i="33" s="1"/>
  <c r="B280" i="33"/>
  <c r="A280" i="33"/>
  <c r="Y279" i="33"/>
  <c r="Z279" i="33" s="1"/>
  <c r="W279" i="33"/>
  <c r="B279" i="33"/>
  <c r="A279" i="33"/>
  <c r="U278" i="33"/>
  <c r="S278" i="33"/>
  <c r="P278" i="33"/>
  <c r="Q278" i="33" s="1"/>
  <c r="N278" i="33"/>
  <c r="O278" i="33" s="1"/>
  <c r="K278" i="33"/>
  <c r="L278" i="33" s="1"/>
  <c r="F278" i="33"/>
  <c r="G278" i="33" s="1"/>
  <c r="D278" i="33"/>
  <c r="E278" i="33" s="1"/>
  <c r="B278" i="33"/>
  <c r="A278" i="33"/>
  <c r="M278" i="33" s="1"/>
  <c r="U277" i="33"/>
  <c r="S277" i="33"/>
  <c r="P277" i="33"/>
  <c r="Q277" i="33" s="1"/>
  <c r="N277" i="33"/>
  <c r="O277" i="33" s="1"/>
  <c r="K277" i="33"/>
  <c r="L277" i="33" s="1"/>
  <c r="F277" i="33"/>
  <c r="G277" i="33" s="1"/>
  <c r="D277" i="33"/>
  <c r="E277" i="33" s="1"/>
  <c r="B277" i="33"/>
  <c r="A277" i="33"/>
  <c r="M277" i="33" s="1"/>
  <c r="U276" i="33"/>
  <c r="S276" i="33"/>
  <c r="P276" i="33"/>
  <c r="Q276" i="33" s="1"/>
  <c r="N276" i="33"/>
  <c r="O276" i="33" s="1"/>
  <c r="K276" i="33"/>
  <c r="F276" i="33"/>
  <c r="G276" i="33" s="1"/>
  <c r="D276" i="33"/>
  <c r="E276" i="33" s="1"/>
  <c r="B276" i="33"/>
  <c r="A276" i="33"/>
  <c r="M276" i="33" s="1"/>
  <c r="U275" i="33"/>
  <c r="S275" i="33"/>
  <c r="P275" i="33"/>
  <c r="Q275" i="33" s="1"/>
  <c r="N275" i="33"/>
  <c r="O275" i="33" s="1"/>
  <c r="K275" i="33"/>
  <c r="L275" i="33" s="1"/>
  <c r="F275" i="33"/>
  <c r="G275" i="33" s="1"/>
  <c r="D275" i="33"/>
  <c r="E275" i="33" s="1"/>
  <c r="B275" i="33"/>
  <c r="A275" i="33"/>
  <c r="M275" i="33" s="1"/>
  <c r="Y274" i="33"/>
  <c r="Z274" i="33" s="1"/>
  <c r="W274" i="33"/>
  <c r="B274" i="33"/>
  <c r="A274" i="33"/>
  <c r="Y273" i="33"/>
  <c r="Z273" i="33" s="1"/>
  <c r="W273" i="33"/>
  <c r="B273" i="33"/>
  <c r="A273" i="33"/>
  <c r="Y272" i="33"/>
  <c r="Z272" i="33" s="1"/>
  <c r="W272" i="33"/>
  <c r="B272" i="33"/>
  <c r="A272" i="33"/>
  <c r="Y271" i="33"/>
  <c r="Z271" i="33" s="1"/>
  <c r="W271" i="33"/>
  <c r="K271" i="33"/>
  <c r="L271" i="33" s="1"/>
  <c r="B271" i="33"/>
  <c r="A271" i="33"/>
  <c r="Y270" i="33"/>
  <c r="Z270" i="33" s="1"/>
  <c r="W270" i="33"/>
  <c r="B270" i="33"/>
  <c r="A270" i="33"/>
  <c r="U269" i="33"/>
  <c r="S269" i="33"/>
  <c r="P269" i="33"/>
  <c r="Q269" i="33" s="1"/>
  <c r="N269" i="33"/>
  <c r="O269" i="33" s="1"/>
  <c r="K269" i="33"/>
  <c r="L269" i="33" s="1"/>
  <c r="F269" i="33"/>
  <c r="G269" i="33" s="1"/>
  <c r="D269" i="33"/>
  <c r="E269" i="33" s="1"/>
  <c r="B269" i="33"/>
  <c r="A269" i="33"/>
  <c r="M269" i="33" s="1"/>
  <c r="U268" i="33"/>
  <c r="S268" i="33"/>
  <c r="P268" i="33"/>
  <c r="Q268" i="33" s="1"/>
  <c r="N268" i="33"/>
  <c r="O268" i="33" s="1"/>
  <c r="K268" i="33"/>
  <c r="L268" i="33" s="1"/>
  <c r="F268" i="33"/>
  <c r="G268" i="33" s="1"/>
  <c r="D268" i="33"/>
  <c r="E268" i="33" s="1"/>
  <c r="B268" i="33"/>
  <c r="A268" i="33"/>
  <c r="M268" i="33" s="1"/>
  <c r="U267" i="33"/>
  <c r="S267" i="33"/>
  <c r="P267" i="33"/>
  <c r="Q267" i="33" s="1"/>
  <c r="N267" i="33"/>
  <c r="O267" i="33" s="1"/>
  <c r="K267" i="33"/>
  <c r="L267" i="33" s="1"/>
  <c r="F267" i="33"/>
  <c r="G267" i="33" s="1"/>
  <c r="D267" i="33"/>
  <c r="E267" i="33" s="1"/>
  <c r="B267" i="33"/>
  <c r="A267" i="33"/>
  <c r="M267" i="33" s="1"/>
  <c r="U266" i="33"/>
  <c r="S266" i="33"/>
  <c r="P266" i="33"/>
  <c r="Q266" i="33" s="1"/>
  <c r="N266" i="33"/>
  <c r="O266" i="33" s="1"/>
  <c r="K266" i="33"/>
  <c r="L266" i="33" s="1"/>
  <c r="F266" i="33"/>
  <c r="G266" i="33" s="1"/>
  <c r="D266" i="33"/>
  <c r="E266" i="33" s="1"/>
  <c r="B266" i="33"/>
  <c r="A266" i="33"/>
  <c r="M266" i="33" s="1"/>
  <c r="Y265" i="33"/>
  <c r="Z265" i="33" s="1"/>
  <c r="W265" i="33"/>
  <c r="X265" i="33" s="1"/>
  <c r="B265" i="33"/>
  <c r="A265" i="33"/>
  <c r="Y264" i="33"/>
  <c r="Z264" i="33" s="1"/>
  <c r="W264" i="33"/>
  <c r="B264" i="33"/>
  <c r="A264" i="33"/>
  <c r="Y263" i="33"/>
  <c r="Z263" i="33" s="1"/>
  <c r="W263" i="33"/>
  <c r="B263" i="33"/>
  <c r="A263" i="33"/>
  <c r="Y262" i="33"/>
  <c r="Z262" i="33" s="1"/>
  <c r="W262" i="33"/>
  <c r="K262" i="33"/>
  <c r="L262" i="33" s="1"/>
  <c r="B262" i="33"/>
  <c r="A262" i="33"/>
  <c r="Y261" i="33"/>
  <c r="Z261" i="33" s="1"/>
  <c r="W261" i="33"/>
  <c r="B261" i="33"/>
  <c r="A261" i="33"/>
  <c r="U260" i="33"/>
  <c r="S260" i="33"/>
  <c r="P260" i="33"/>
  <c r="Q260" i="33" s="1"/>
  <c r="N260" i="33"/>
  <c r="O260" i="33" s="1"/>
  <c r="K260" i="33"/>
  <c r="L260" i="33" s="1"/>
  <c r="F260" i="33"/>
  <c r="G260" i="33" s="1"/>
  <c r="D260" i="33"/>
  <c r="E260" i="33" s="1"/>
  <c r="B260" i="33"/>
  <c r="A260" i="33"/>
  <c r="M260" i="33" s="1"/>
  <c r="U259" i="33"/>
  <c r="S259" i="33"/>
  <c r="P259" i="33"/>
  <c r="Q259" i="33" s="1"/>
  <c r="N259" i="33"/>
  <c r="O259" i="33" s="1"/>
  <c r="K259" i="33"/>
  <c r="L259" i="33" s="1"/>
  <c r="F259" i="33"/>
  <c r="G259" i="33" s="1"/>
  <c r="D259" i="33"/>
  <c r="E259" i="33" s="1"/>
  <c r="B259" i="33"/>
  <c r="A259" i="33"/>
  <c r="M259" i="33" s="1"/>
  <c r="U258" i="33"/>
  <c r="S258" i="33"/>
  <c r="P258" i="33"/>
  <c r="Q258" i="33" s="1"/>
  <c r="N258" i="33"/>
  <c r="O258" i="33" s="1"/>
  <c r="K258" i="33"/>
  <c r="F258" i="33"/>
  <c r="G258" i="33" s="1"/>
  <c r="D258" i="33"/>
  <c r="E258" i="33" s="1"/>
  <c r="B258" i="33"/>
  <c r="A258" i="33"/>
  <c r="M258" i="33" s="1"/>
  <c r="U257" i="33"/>
  <c r="S257" i="33"/>
  <c r="P257" i="33"/>
  <c r="Q257" i="33" s="1"/>
  <c r="N257" i="33"/>
  <c r="O257" i="33" s="1"/>
  <c r="K257" i="33"/>
  <c r="F257" i="33"/>
  <c r="G257" i="33" s="1"/>
  <c r="D257" i="33"/>
  <c r="E257" i="33" s="1"/>
  <c r="B257" i="33"/>
  <c r="A257" i="33"/>
  <c r="M257" i="33" s="1"/>
  <c r="Y256" i="33"/>
  <c r="Z256" i="33" s="1"/>
  <c r="W256" i="33"/>
  <c r="B256" i="33"/>
  <c r="A256" i="33"/>
  <c r="Y255" i="33"/>
  <c r="Z255" i="33" s="1"/>
  <c r="W255" i="33"/>
  <c r="B255" i="33"/>
  <c r="A255" i="33"/>
  <c r="Y254" i="33"/>
  <c r="Z254" i="33" s="1"/>
  <c r="W254" i="33"/>
  <c r="B254" i="33"/>
  <c r="A254" i="33"/>
  <c r="Y253" i="33"/>
  <c r="Z253" i="33" s="1"/>
  <c r="W253" i="33"/>
  <c r="K253" i="33"/>
  <c r="L253" i="33" s="1"/>
  <c r="B253" i="33"/>
  <c r="A253" i="33"/>
  <c r="Y252" i="33"/>
  <c r="Z252" i="33" s="1"/>
  <c r="W252" i="33"/>
  <c r="X252" i="33" s="1"/>
  <c r="B252" i="33"/>
  <c r="A252" i="33"/>
  <c r="U251" i="33"/>
  <c r="S251" i="33"/>
  <c r="P251" i="33"/>
  <c r="Q251" i="33" s="1"/>
  <c r="N251" i="33"/>
  <c r="O251" i="33" s="1"/>
  <c r="K251" i="33"/>
  <c r="L251" i="33" s="1"/>
  <c r="F251" i="33"/>
  <c r="G251" i="33" s="1"/>
  <c r="D251" i="33"/>
  <c r="E251" i="33" s="1"/>
  <c r="B251" i="33"/>
  <c r="A251" i="33"/>
  <c r="M251" i="33" s="1"/>
  <c r="U250" i="33"/>
  <c r="S250" i="33"/>
  <c r="P250" i="33"/>
  <c r="Q250" i="33" s="1"/>
  <c r="N250" i="33"/>
  <c r="O250" i="33" s="1"/>
  <c r="K250" i="33"/>
  <c r="L250" i="33" s="1"/>
  <c r="F250" i="33"/>
  <c r="G250" i="33" s="1"/>
  <c r="D250" i="33"/>
  <c r="E250" i="33" s="1"/>
  <c r="B250" i="33"/>
  <c r="A250" i="33"/>
  <c r="M250" i="33" s="1"/>
  <c r="U249" i="33"/>
  <c r="S249" i="33"/>
  <c r="P249" i="33"/>
  <c r="Q249" i="33" s="1"/>
  <c r="N249" i="33"/>
  <c r="O249" i="33" s="1"/>
  <c r="K249" i="33"/>
  <c r="L249" i="33" s="1"/>
  <c r="F249" i="33"/>
  <c r="G249" i="33" s="1"/>
  <c r="D249" i="33"/>
  <c r="E249" i="33" s="1"/>
  <c r="B249" i="33"/>
  <c r="A249" i="33"/>
  <c r="M249" i="33" s="1"/>
  <c r="U248" i="33"/>
  <c r="S248" i="33"/>
  <c r="P248" i="33"/>
  <c r="Q248" i="33" s="1"/>
  <c r="N248" i="33"/>
  <c r="O248" i="33" s="1"/>
  <c r="K248" i="33"/>
  <c r="L248" i="33" s="1"/>
  <c r="F248" i="33"/>
  <c r="G248" i="33" s="1"/>
  <c r="D248" i="33"/>
  <c r="E248" i="33" s="1"/>
  <c r="B248" i="33"/>
  <c r="A248" i="33"/>
  <c r="M248" i="33" s="1"/>
  <c r="Y247" i="33"/>
  <c r="Z247" i="33" s="1"/>
  <c r="W247" i="33"/>
  <c r="B247" i="33"/>
  <c r="A247" i="33"/>
  <c r="Y246" i="33"/>
  <c r="Z246" i="33" s="1"/>
  <c r="W246" i="33"/>
  <c r="B246" i="33"/>
  <c r="A246" i="33"/>
  <c r="Y245" i="33"/>
  <c r="Z245" i="33" s="1"/>
  <c r="W245" i="33"/>
  <c r="B245" i="33"/>
  <c r="A245" i="33"/>
  <c r="Y244" i="33"/>
  <c r="Z244" i="33" s="1"/>
  <c r="W244" i="33"/>
  <c r="K244" i="33"/>
  <c r="L244" i="33" s="1"/>
  <c r="B244" i="33"/>
  <c r="A244" i="33"/>
  <c r="Y243" i="33"/>
  <c r="Z243" i="33" s="1"/>
  <c r="W243" i="33"/>
  <c r="B243" i="33"/>
  <c r="A243" i="33"/>
  <c r="U242" i="33"/>
  <c r="S242" i="33"/>
  <c r="P242" i="33"/>
  <c r="Q242" i="33" s="1"/>
  <c r="N242" i="33"/>
  <c r="O242" i="33" s="1"/>
  <c r="K242" i="33"/>
  <c r="L242" i="33" s="1"/>
  <c r="F242" i="33"/>
  <c r="G242" i="33" s="1"/>
  <c r="D242" i="33"/>
  <c r="E242" i="33" s="1"/>
  <c r="B242" i="33"/>
  <c r="A242" i="33"/>
  <c r="M242" i="33" s="1"/>
  <c r="U241" i="33"/>
  <c r="S241" i="33"/>
  <c r="P241" i="33"/>
  <c r="Q241" i="33" s="1"/>
  <c r="N241" i="33"/>
  <c r="O241" i="33" s="1"/>
  <c r="K241" i="33"/>
  <c r="L241" i="33" s="1"/>
  <c r="F241" i="33"/>
  <c r="G241" i="33" s="1"/>
  <c r="D241" i="33"/>
  <c r="E241" i="33" s="1"/>
  <c r="B241" i="33"/>
  <c r="A241" i="33"/>
  <c r="M241" i="33" s="1"/>
  <c r="U240" i="33"/>
  <c r="S240" i="33"/>
  <c r="P240" i="33"/>
  <c r="Q240" i="33" s="1"/>
  <c r="N240" i="33"/>
  <c r="O240" i="33" s="1"/>
  <c r="K240" i="33"/>
  <c r="F240" i="33"/>
  <c r="G240" i="33" s="1"/>
  <c r="D240" i="33"/>
  <c r="E240" i="33" s="1"/>
  <c r="B240" i="33"/>
  <c r="A240" i="33"/>
  <c r="M240" i="33" s="1"/>
  <c r="U239" i="33"/>
  <c r="S239" i="33"/>
  <c r="P239" i="33"/>
  <c r="Q239" i="33" s="1"/>
  <c r="N239" i="33"/>
  <c r="O239" i="33" s="1"/>
  <c r="K239" i="33"/>
  <c r="F239" i="33"/>
  <c r="G239" i="33" s="1"/>
  <c r="D239" i="33"/>
  <c r="E239" i="33" s="1"/>
  <c r="B239" i="33"/>
  <c r="A239" i="33"/>
  <c r="M239" i="33" s="1"/>
  <c r="Y238" i="33"/>
  <c r="Z238" i="33" s="1"/>
  <c r="W238" i="33"/>
  <c r="B238" i="33"/>
  <c r="A238" i="33"/>
  <c r="Y237" i="33"/>
  <c r="Z237" i="33" s="1"/>
  <c r="W237" i="33"/>
  <c r="B237" i="33"/>
  <c r="A237" i="33"/>
  <c r="Y236" i="33"/>
  <c r="Z236" i="33" s="1"/>
  <c r="W236" i="33"/>
  <c r="B236" i="33"/>
  <c r="A236" i="33"/>
  <c r="Y235" i="33"/>
  <c r="Z235" i="33" s="1"/>
  <c r="W235" i="33"/>
  <c r="X235" i="33" s="1"/>
  <c r="K235" i="33"/>
  <c r="L235" i="33" s="1"/>
  <c r="B235" i="33"/>
  <c r="A235" i="33"/>
  <c r="Y234" i="33"/>
  <c r="Z234" i="33" s="1"/>
  <c r="W234" i="33"/>
  <c r="X234" i="33" s="1"/>
  <c r="B234" i="33"/>
  <c r="A234" i="33"/>
  <c r="U233" i="33"/>
  <c r="S233" i="33"/>
  <c r="P233" i="33"/>
  <c r="Q233" i="33" s="1"/>
  <c r="N233" i="33"/>
  <c r="O233" i="33" s="1"/>
  <c r="K233" i="33"/>
  <c r="L233" i="33" s="1"/>
  <c r="F233" i="33"/>
  <c r="G233" i="33" s="1"/>
  <c r="D233" i="33"/>
  <c r="E233" i="33" s="1"/>
  <c r="B233" i="33"/>
  <c r="A233" i="33"/>
  <c r="M233" i="33" s="1"/>
  <c r="U232" i="33"/>
  <c r="S232" i="33"/>
  <c r="P232" i="33"/>
  <c r="Q232" i="33" s="1"/>
  <c r="N232" i="33"/>
  <c r="O232" i="33" s="1"/>
  <c r="K232" i="33"/>
  <c r="F232" i="33"/>
  <c r="G232" i="33" s="1"/>
  <c r="D232" i="33"/>
  <c r="E232" i="33" s="1"/>
  <c r="B232" i="33"/>
  <c r="A232" i="33"/>
  <c r="M232" i="33" s="1"/>
  <c r="U231" i="33"/>
  <c r="S231" i="33"/>
  <c r="P231" i="33"/>
  <c r="Q231" i="33" s="1"/>
  <c r="N231" i="33"/>
  <c r="O231" i="33" s="1"/>
  <c r="K231" i="33"/>
  <c r="L231" i="33" s="1"/>
  <c r="F231" i="33"/>
  <c r="G231" i="33" s="1"/>
  <c r="D231" i="33"/>
  <c r="E231" i="33" s="1"/>
  <c r="B231" i="33"/>
  <c r="A231" i="33"/>
  <c r="M231" i="33" s="1"/>
  <c r="U230" i="33"/>
  <c r="S230" i="33"/>
  <c r="P230" i="33"/>
  <c r="Q230" i="33" s="1"/>
  <c r="N230" i="33"/>
  <c r="O230" i="33" s="1"/>
  <c r="K230" i="33"/>
  <c r="L230" i="33" s="1"/>
  <c r="F230" i="33"/>
  <c r="G230" i="33" s="1"/>
  <c r="D230" i="33"/>
  <c r="E230" i="33" s="1"/>
  <c r="B230" i="33"/>
  <c r="A230" i="33"/>
  <c r="M230" i="33" s="1"/>
  <c r="Y229" i="33"/>
  <c r="Z229" i="33" s="1"/>
  <c r="W229" i="33"/>
  <c r="X229" i="33" s="1"/>
  <c r="B229" i="33"/>
  <c r="A229" i="33"/>
  <c r="Y228" i="33"/>
  <c r="Z228" i="33" s="1"/>
  <c r="W228" i="33"/>
  <c r="B228" i="33"/>
  <c r="A228" i="33"/>
  <c r="Y227" i="33"/>
  <c r="Z227" i="33" s="1"/>
  <c r="W227" i="33"/>
  <c r="X227" i="33" s="1"/>
  <c r="B227" i="33"/>
  <c r="A227" i="33"/>
  <c r="Y226" i="33"/>
  <c r="Z226" i="33" s="1"/>
  <c r="W226" i="33"/>
  <c r="K226" i="33"/>
  <c r="L226" i="33" s="1"/>
  <c r="B226" i="33"/>
  <c r="A226" i="33"/>
  <c r="Y225" i="33"/>
  <c r="Z225" i="33" s="1"/>
  <c r="W225" i="33"/>
  <c r="X225" i="33" s="1"/>
  <c r="B225" i="33"/>
  <c r="A225" i="33"/>
  <c r="U224" i="33"/>
  <c r="S224" i="33"/>
  <c r="P224" i="33"/>
  <c r="Q224" i="33" s="1"/>
  <c r="N224" i="33"/>
  <c r="O224" i="33" s="1"/>
  <c r="K224" i="33"/>
  <c r="L224" i="33" s="1"/>
  <c r="F224" i="33"/>
  <c r="G224" i="33" s="1"/>
  <c r="D224" i="33"/>
  <c r="E224" i="33" s="1"/>
  <c r="B224" i="33"/>
  <c r="A224" i="33"/>
  <c r="M224" i="33" s="1"/>
  <c r="U223" i="33"/>
  <c r="S223" i="33"/>
  <c r="P223" i="33"/>
  <c r="Q223" i="33" s="1"/>
  <c r="N223" i="33"/>
  <c r="O223" i="33" s="1"/>
  <c r="K223" i="33"/>
  <c r="L223" i="33" s="1"/>
  <c r="F223" i="33"/>
  <c r="G223" i="33" s="1"/>
  <c r="D223" i="33"/>
  <c r="E223" i="33" s="1"/>
  <c r="B223" i="33"/>
  <c r="A223" i="33"/>
  <c r="M223" i="33" s="1"/>
  <c r="U222" i="33"/>
  <c r="S222" i="33"/>
  <c r="P222" i="33"/>
  <c r="Q222" i="33" s="1"/>
  <c r="N222" i="33"/>
  <c r="O222" i="33" s="1"/>
  <c r="K222" i="33"/>
  <c r="L222" i="33" s="1"/>
  <c r="F222" i="33"/>
  <c r="G222" i="33" s="1"/>
  <c r="D222" i="33"/>
  <c r="E222" i="33" s="1"/>
  <c r="B222" i="33"/>
  <c r="A222" i="33"/>
  <c r="M222" i="33" s="1"/>
  <c r="U221" i="33"/>
  <c r="S221" i="33"/>
  <c r="P221" i="33"/>
  <c r="Q221" i="33" s="1"/>
  <c r="N221" i="33"/>
  <c r="O221" i="33" s="1"/>
  <c r="K221" i="33"/>
  <c r="F221" i="33"/>
  <c r="G221" i="33" s="1"/>
  <c r="D221" i="33"/>
  <c r="E221" i="33" s="1"/>
  <c r="B221" i="33"/>
  <c r="A221" i="33"/>
  <c r="M221" i="33" s="1"/>
  <c r="Y220" i="33"/>
  <c r="Z220" i="33" s="1"/>
  <c r="W220" i="33"/>
  <c r="X220" i="33" s="1"/>
  <c r="B220" i="33"/>
  <c r="A220" i="33"/>
  <c r="Y219" i="33"/>
  <c r="Z219" i="33" s="1"/>
  <c r="W219" i="33"/>
  <c r="X219" i="33" s="1"/>
  <c r="B219" i="33"/>
  <c r="A219" i="33"/>
  <c r="Y218" i="33"/>
  <c r="AA218" i="33" s="1"/>
  <c r="AB218" i="33" s="1"/>
  <c r="W218" i="33"/>
  <c r="X218" i="33" s="1"/>
  <c r="B218" i="33"/>
  <c r="A218" i="33"/>
  <c r="Y217" i="33"/>
  <c r="Z217" i="33" s="1"/>
  <c r="W217" i="33"/>
  <c r="X217" i="33" s="1"/>
  <c r="K217" i="33"/>
  <c r="L217" i="33" s="1"/>
  <c r="B217" i="33"/>
  <c r="A217" i="33"/>
  <c r="Y216" i="33"/>
  <c r="Z216" i="33" s="1"/>
  <c r="W216" i="33"/>
  <c r="B216" i="33"/>
  <c r="A216" i="33"/>
  <c r="U215" i="33"/>
  <c r="S215" i="33"/>
  <c r="P215" i="33"/>
  <c r="Q215" i="33" s="1"/>
  <c r="N215" i="33"/>
  <c r="O215" i="33" s="1"/>
  <c r="K215" i="33"/>
  <c r="L215" i="33" s="1"/>
  <c r="F215" i="33"/>
  <c r="G215" i="33" s="1"/>
  <c r="D215" i="33"/>
  <c r="E215" i="33" s="1"/>
  <c r="B215" i="33"/>
  <c r="A215" i="33"/>
  <c r="M215" i="33" s="1"/>
  <c r="U214" i="33"/>
  <c r="S214" i="33"/>
  <c r="P214" i="33"/>
  <c r="Q214" i="33" s="1"/>
  <c r="N214" i="33"/>
  <c r="O214" i="33" s="1"/>
  <c r="K214" i="33"/>
  <c r="F214" i="33"/>
  <c r="G214" i="33" s="1"/>
  <c r="D214" i="33"/>
  <c r="E214" i="33" s="1"/>
  <c r="B214" i="33"/>
  <c r="A214" i="33"/>
  <c r="M214" i="33" s="1"/>
  <c r="U213" i="33"/>
  <c r="S213" i="33"/>
  <c r="P213" i="33"/>
  <c r="Q213" i="33" s="1"/>
  <c r="N213" i="33"/>
  <c r="O213" i="33" s="1"/>
  <c r="K213" i="33"/>
  <c r="L213" i="33" s="1"/>
  <c r="F213" i="33"/>
  <c r="G213" i="33" s="1"/>
  <c r="D213" i="33"/>
  <c r="E213" i="33" s="1"/>
  <c r="B213" i="33"/>
  <c r="A213" i="33"/>
  <c r="M213" i="33" s="1"/>
  <c r="U212" i="33"/>
  <c r="S212" i="33"/>
  <c r="P212" i="33"/>
  <c r="Q212" i="33" s="1"/>
  <c r="N212" i="33"/>
  <c r="O212" i="33" s="1"/>
  <c r="K212" i="33"/>
  <c r="L212" i="33" s="1"/>
  <c r="F212" i="33"/>
  <c r="G212" i="33" s="1"/>
  <c r="D212" i="33"/>
  <c r="E212" i="33" s="1"/>
  <c r="B212" i="33"/>
  <c r="A212" i="33"/>
  <c r="M212" i="33" s="1"/>
  <c r="Y211" i="33"/>
  <c r="Z211" i="33" s="1"/>
  <c r="W211" i="33"/>
  <c r="X211" i="33" s="1"/>
  <c r="B211" i="33"/>
  <c r="A211" i="33"/>
  <c r="Y210" i="33"/>
  <c r="Z210" i="33" s="1"/>
  <c r="W210" i="33"/>
  <c r="B210" i="33"/>
  <c r="A210" i="33"/>
  <c r="Y209" i="33"/>
  <c r="Z209" i="33" s="1"/>
  <c r="W209" i="33"/>
  <c r="X209" i="33" s="1"/>
  <c r="B209" i="33"/>
  <c r="A209" i="33"/>
  <c r="Y208" i="33"/>
  <c r="Z208" i="33" s="1"/>
  <c r="W208" i="33"/>
  <c r="K208" i="33"/>
  <c r="L208" i="33" s="1"/>
  <c r="B208" i="33"/>
  <c r="A208" i="33"/>
  <c r="Y207" i="33"/>
  <c r="Z207" i="33" s="1"/>
  <c r="W207" i="33"/>
  <c r="X207" i="33" s="1"/>
  <c r="B207" i="33"/>
  <c r="A207" i="33"/>
  <c r="U206" i="33"/>
  <c r="S206" i="33"/>
  <c r="P206" i="33"/>
  <c r="Q206" i="33" s="1"/>
  <c r="N206" i="33"/>
  <c r="O206" i="33" s="1"/>
  <c r="K206" i="33"/>
  <c r="L206" i="33" s="1"/>
  <c r="F206" i="33"/>
  <c r="G206" i="33" s="1"/>
  <c r="D206" i="33"/>
  <c r="E206" i="33" s="1"/>
  <c r="B206" i="33"/>
  <c r="A206" i="33"/>
  <c r="M206" i="33" s="1"/>
  <c r="U205" i="33"/>
  <c r="S205" i="33"/>
  <c r="P205" i="33"/>
  <c r="Q205" i="33" s="1"/>
  <c r="N205" i="33"/>
  <c r="O205" i="33" s="1"/>
  <c r="K205" i="33"/>
  <c r="L205" i="33" s="1"/>
  <c r="F205" i="33"/>
  <c r="G205" i="33" s="1"/>
  <c r="D205" i="33"/>
  <c r="E205" i="33" s="1"/>
  <c r="B205" i="33"/>
  <c r="A205" i="33"/>
  <c r="M205" i="33" s="1"/>
  <c r="U204" i="33"/>
  <c r="S204" i="33"/>
  <c r="P204" i="33"/>
  <c r="Q204" i="33" s="1"/>
  <c r="N204" i="33"/>
  <c r="O204" i="33" s="1"/>
  <c r="K204" i="33"/>
  <c r="L204" i="33" s="1"/>
  <c r="F204" i="33"/>
  <c r="G204" i="33" s="1"/>
  <c r="D204" i="33"/>
  <c r="E204" i="33" s="1"/>
  <c r="B204" i="33"/>
  <c r="A204" i="33"/>
  <c r="M204" i="33" s="1"/>
  <c r="U203" i="33"/>
  <c r="S203" i="33"/>
  <c r="P203" i="33"/>
  <c r="Q203" i="33" s="1"/>
  <c r="N203" i="33"/>
  <c r="O203" i="33" s="1"/>
  <c r="K203" i="33"/>
  <c r="L203" i="33" s="1"/>
  <c r="F203" i="33"/>
  <c r="G203" i="33" s="1"/>
  <c r="D203" i="33"/>
  <c r="E203" i="33" s="1"/>
  <c r="B203" i="33"/>
  <c r="A203" i="33"/>
  <c r="M203" i="33" s="1"/>
  <c r="Y202" i="33"/>
  <c r="W202" i="33"/>
  <c r="X202" i="33" s="1"/>
  <c r="B202" i="33"/>
  <c r="A202" i="33"/>
  <c r="Y201" i="33"/>
  <c r="Z201" i="33" s="1"/>
  <c r="W201" i="33"/>
  <c r="X201" i="33" s="1"/>
  <c r="B201" i="33"/>
  <c r="A201" i="33"/>
  <c r="Y200" i="33"/>
  <c r="Z200" i="33" s="1"/>
  <c r="W200" i="33"/>
  <c r="B200" i="33"/>
  <c r="A200" i="33"/>
  <c r="Y199" i="33"/>
  <c r="Z199" i="33" s="1"/>
  <c r="W199" i="33"/>
  <c r="X199" i="33" s="1"/>
  <c r="K199" i="33"/>
  <c r="L199" i="33" s="1"/>
  <c r="B199" i="33"/>
  <c r="A199" i="33"/>
  <c r="Y198" i="33"/>
  <c r="Z198" i="33" s="1"/>
  <c r="W198" i="33"/>
  <c r="B198" i="33"/>
  <c r="A198" i="33"/>
  <c r="U197" i="33"/>
  <c r="S197" i="33"/>
  <c r="P197" i="33"/>
  <c r="Q197" i="33" s="1"/>
  <c r="N197" i="33"/>
  <c r="O197" i="33" s="1"/>
  <c r="K197" i="33"/>
  <c r="F197" i="33"/>
  <c r="G197" i="33" s="1"/>
  <c r="D197" i="33"/>
  <c r="E197" i="33" s="1"/>
  <c r="B197" i="33"/>
  <c r="A197" i="33"/>
  <c r="M197" i="33" s="1"/>
  <c r="U196" i="33"/>
  <c r="S196" i="33"/>
  <c r="P196" i="33"/>
  <c r="Q196" i="33" s="1"/>
  <c r="N196" i="33"/>
  <c r="O196" i="33" s="1"/>
  <c r="K196" i="33"/>
  <c r="L196" i="33" s="1"/>
  <c r="F196" i="33"/>
  <c r="G196" i="33" s="1"/>
  <c r="D196" i="33"/>
  <c r="E196" i="33" s="1"/>
  <c r="B196" i="33"/>
  <c r="A196" i="33"/>
  <c r="M196" i="33" s="1"/>
  <c r="U195" i="33"/>
  <c r="S195" i="33"/>
  <c r="P195" i="33"/>
  <c r="Q195" i="33" s="1"/>
  <c r="N195" i="33"/>
  <c r="O195" i="33" s="1"/>
  <c r="K195" i="33"/>
  <c r="L195" i="33" s="1"/>
  <c r="F195" i="33"/>
  <c r="G195" i="33" s="1"/>
  <c r="D195" i="33"/>
  <c r="E195" i="33" s="1"/>
  <c r="B195" i="33"/>
  <c r="A195" i="33"/>
  <c r="M195" i="33" s="1"/>
  <c r="U194" i="33"/>
  <c r="S194" i="33"/>
  <c r="P194" i="33"/>
  <c r="Q194" i="33" s="1"/>
  <c r="N194" i="33"/>
  <c r="O194" i="33" s="1"/>
  <c r="K194" i="33"/>
  <c r="L194" i="33" s="1"/>
  <c r="F194" i="33"/>
  <c r="G194" i="33" s="1"/>
  <c r="D194" i="33"/>
  <c r="E194" i="33" s="1"/>
  <c r="B194" i="33"/>
  <c r="A194" i="33"/>
  <c r="M194" i="33" s="1"/>
  <c r="Y193" i="33"/>
  <c r="Z193" i="33" s="1"/>
  <c r="W193" i="33"/>
  <c r="B193" i="33"/>
  <c r="A193" i="33"/>
  <c r="Y192" i="33"/>
  <c r="Z192" i="33" s="1"/>
  <c r="W192" i="33"/>
  <c r="B192" i="33"/>
  <c r="A192" i="33"/>
  <c r="Y191" i="33"/>
  <c r="Z191" i="33" s="1"/>
  <c r="W191" i="33"/>
  <c r="X191" i="33" s="1"/>
  <c r="B191" i="33"/>
  <c r="A191" i="33"/>
  <c r="Y190" i="33"/>
  <c r="Z190" i="33" s="1"/>
  <c r="W190" i="33"/>
  <c r="X190" i="33" s="1"/>
  <c r="K190" i="33"/>
  <c r="L190" i="33" s="1"/>
  <c r="B190" i="33"/>
  <c r="A190" i="33"/>
  <c r="Y189" i="33"/>
  <c r="Z189" i="33" s="1"/>
  <c r="W189" i="33"/>
  <c r="X189" i="33" s="1"/>
  <c r="B189" i="33"/>
  <c r="A189" i="33"/>
  <c r="U188" i="33"/>
  <c r="S188" i="33"/>
  <c r="P188" i="33"/>
  <c r="Q188" i="33" s="1"/>
  <c r="N188" i="33"/>
  <c r="O188" i="33" s="1"/>
  <c r="K188" i="33"/>
  <c r="L188" i="33" s="1"/>
  <c r="F188" i="33"/>
  <c r="G188" i="33" s="1"/>
  <c r="D188" i="33"/>
  <c r="E188" i="33" s="1"/>
  <c r="B188" i="33"/>
  <c r="A188" i="33"/>
  <c r="M188" i="33" s="1"/>
  <c r="U187" i="33"/>
  <c r="S187" i="33"/>
  <c r="P187" i="33"/>
  <c r="Q187" i="33" s="1"/>
  <c r="N187" i="33"/>
  <c r="O187" i="33" s="1"/>
  <c r="K187" i="33"/>
  <c r="L187" i="33" s="1"/>
  <c r="F187" i="33"/>
  <c r="G187" i="33" s="1"/>
  <c r="D187" i="33"/>
  <c r="E187" i="33" s="1"/>
  <c r="B187" i="33"/>
  <c r="A187" i="33"/>
  <c r="M187" i="33" s="1"/>
  <c r="U186" i="33"/>
  <c r="S186" i="33"/>
  <c r="P186" i="33"/>
  <c r="Q186" i="33" s="1"/>
  <c r="N186" i="33"/>
  <c r="O186" i="33" s="1"/>
  <c r="K186" i="33"/>
  <c r="L186" i="33" s="1"/>
  <c r="F186" i="33"/>
  <c r="G186" i="33" s="1"/>
  <c r="D186" i="33"/>
  <c r="E186" i="33" s="1"/>
  <c r="B186" i="33"/>
  <c r="A186" i="33"/>
  <c r="M186" i="33" s="1"/>
  <c r="U185" i="33"/>
  <c r="S185" i="33"/>
  <c r="P185" i="33"/>
  <c r="Q185" i="33" s="1"/>
  <c r="N185" i="33"/>
  <c r="O185" i="33" s="1"/>
  <c r="K185" i="33"/>
  <c r="F185" i="33"/>
  <c r="G185" i="33" s="1"/>
  <c r="D185" i="33"/>
  <c r="E185" i="33" s="1"/>
  <c r="B185" i="33"/>
  <c r="A185" i="33"/>
  <c r="M185" i="33" s="1"/>
  <c r="Y184" i="33"/>
  <c r="Z184" i="33" s="1"/>
  <c r="W184" i="33"/>
  <c r="B184" i="33"/>
  <c r="A184" i="33"/>
  <c r="Y183" i="33"/>
  <c r="Z183" i="33" s="1"/>
  <c r="W183" i="33"/>
  <c r="X183" i="33" s="1"/>
  <c r="B183" i="33"/>
  <c r="A183" i="33"/>
  <c r="Y182" i="33"/>
  <c r="W182" i="33"/>
  <c r="X182" i="33" s="1"/>
  <c r="B182" i="33"/>
  <c r="A182" i="33"/>
  <c r="Y181" i="33"/>
  <c r="Z181" i="33" s="1"/>
  <c r="W181" i="33"/>
  <c r="X181" i="33" s="1"/>
  <c r="K181" i="33"/>
  <c r="L181" i="33" s="1"/>
  <c r="B181" i="33"/>
  <c r="A181" i="33"/>
  <c r="Y180" i="33"/>
  <c r="Z180" i="33" s="1"/>
  <c r="W180" i="33"/>
  <c r="X180" i="33" s="1"/>
  <c r="B180" i="33"/>
  <c r="A180" i="33"/>
  <c r="U179" i="33"/>
  <c r="S179" i="33"/>
  <c r="P179" i="33"/>
  <c r="Q179" i="33" s="1"/>
  <c r="N179" i="33"/>
  <c r="O179" i="33" s="1"/>
  <c r="K179" i="33"/>
  <c r="L179" i="33" s="1"/>
  <c r="F179" i="33"/>
  <c r="G179" i="33" s="1"/>
  <c r="D179" i="33"/>
  <c r="E179" i="33" s="1"/>
  <c r="B179" i="33"/>
  <c r="A179" i="33"/>
  <c r="M179" i="33" s="1"/>
  <c r="U178" i="33"/>
  <c r="S178" i="33"/>
  <c r="P178" i="33"/>
  <c r="Q178" i="33" s="1"/>
  <c r="N178" i="33"/>
  <c r="O178" i="33" s="1"/>
  <c r="K178" i="33"/>
  <c r="F178" i="33"/>
  <c r="G178" i="33" s="1"/>
  <c r="D178" i="33"/>
  <c r="E178" i="33" s="1"/>
  <c r="B178" i="33"/>
  <c r="A178" i="33"/>
  <c r="M178" i="33" s="1"/>
  <c r="U177" i="33"/>
  <c r="S177" i="33"/>
  <c r="P177" i="33"/>
  <c r="Q177" i="33" s="1"/>
  <c r="N177" i="33"/>
  <c r="O177" i="33" s="1"/>
  <c r="K177" i="33"/>
  <c r="L177" i="33" s="1"/>
  <c r="F177" i="33"/>
  <c r="G177" i="33" s="1"/>
  <c r="D177" i="33"/>
  <c r="E177" i="33" s="1"/>
  <c r="B177" i="33"/>
  <c r="A177" i="33"/>
  <c r="M177" i="33" s="1"/>
  <c r="U176" i="33"/>
  <c r="S176" i="33"/>
  <c r="P176" i="33"/>
  <c r="Q176" i="33" s="1"/>
  <c r="N176" i="33"/>
  <c r="O176" i="33" s="1"/>
  <c r="K176" i="33"/>
  <c r="L176" i="33" s="1"/>
  <c r="F176" i="33"/>
  <c r="G176" i="33" s="1"/>
  <c r="D176" i="33"/>
  <c r="E176" i="33" s="1"/>
  <c r="B176" i="33"/>
  <c r="A176" i="33"/>
  <c r="M176" i="33" s="1"/>
  <c r="Y175" i="33"/>
  <c r="Z175" i="33" s="1"/>
  <c r="W175" i="33"/>
  <c r="B175" i="33"/>
  <c r="A175" i="33"/>
  <c r="Y174" i="33"/>
  <c r="Z174" i="33" s="1"/>
  <c r="W174" i="33"/>
  <c r="B174" i="33"/>
  <c r="A174" i="33"/>
  <c r="Y173" i="33"/>
  <c r="Z173" i="33" s="1"/>
  <c r="W173" i="33"/>
  <c r="B173" i="33"/>
  <c r="A173" i="33"/>
  <c r="Y172" i="33"/>
  <c r="Z172" i="33" s="1"/>
  <c r="W172" i="33"/>
  <c r="X172" i="33" s="1"/>
  <c r="K172" i="33"/>
  <c r="L172" i="33" s="1"/>
  <c r="B172" i="33"/>
  <c r="A172" i="33"/>
  <c r="Y171" i="33"/>
  <c r="Z171" i="33" s="1"/>
  <c r="W171" i="33"/>
  <c r="X171" i="33" s="1"/>
  <c r="B171" i="33"/>
  <c r="A171" i="33"/>
  <c r="U170" i="33"/>
  <c r="S170" i="33"/>
  <c r="P170" i="33"/>
  <c r="Q170" i="33" s="1"/>
  <c r="N170" i="33"/>
  <c r="O170" i="33" s="1"/>
  <c r="K170" i="33"/>
  <c r="L170" i="33" s="1"/>
  <c r="F170" i="33"/>
  <c r="G170" i="33" s="1"/>
  <c r="D170" i="33"/>
  <c r="E170" i="33" s="1"/>
  <c r="B170" i="33"/>
  <c r="A170" i="33"/>
  <c r="M170" i="33" s="1"/>
  <c r="U169" i="33"/>
  <c r="S169" i="33"/>
  <c r="P169" i="33"/>
  <c r="Q169" i="33" s="1"/>
  <c r="N169" i="33"/>
  <c r="O169" i="33" s="1"/>
  <c r="K169" i="33"/>
  <c r="L169" i="33" s="1"/>
  <c r="F169" i="33"/>
  <c r="G169" i="33" s="1"/>
  <c r="D169" i="33"/>
  <c r="E169" i="33" s="1"/>
  <c r="B169" i="33"/>
  <c r="A169" i="33"/>
  <c r="M169" i="33" s="1"/>
  <c r="U168" i="33"/>
  <c r="S168" i="33"/>
  <c r="P168" i="33"/>
  <c r="Q168" i="33" s="1"/>
  <c r="N168" i="33"/>
  <c r="O168" i="33" s="1"/>
  <c r="K168" i="33"/>
  <c r="L168" i="33" s="1"/>
  <c r="F168" i="33"/>
  <c r="G168" i="33" s="1"/>
  <c r="D168" i="33"/>
  <c r="E168" i="33" s="1"/>
  <c r="B168" i="33"/>
  <c r="A168" i="33"/>
  <c r="M168" i="33" s="1"/>
  <c r="U167" i="33"/>
  <c r="S167" i="33"/>
  <c r="P167" i="33"/>
  <c r="Q167" i="33" s="1"/>
  <c r="N167" i="33"/>
  <c r="O167" i="33" s="1"/>
  <c r="K167" i="33"/>
  <c r="F167" i="33"/>
  <c r="G167" i="33" s="1"/>
  <c r="D167" i="33"/>
  <c r="E167" i="33" s="1"/>
  <c r="B167" i="33"/>
  <c r="A167" i="33"/>
  <c r="M167" i="33" s="1"/>
  <c r="Y166" i="33"/>
  <c r="Z166" i="33" s="1"/>
  <c r="W166" i="33"/>
  <c r="X166" i="33" s="1"/>
  <c r="B166" i="33"/>
  <c r="A166" i="33"/>
  <c r="Y165" i="33"/>
  <c r="Z165" i="33" s="1"/>
  <c r="W165" i="33"/>
  <c r="X165" i="33" s="1"/>
  <c r="B165" i="33"/>
  <c r="A165" i="33"/>
  <c r="Y164" i="33"/>
  <c r="Z164" i="33" s="1"/>
  <c r="W164" i="33"/>
  <c r="B164" i="33"/>
  <c r="A164" i="33"/>
  <c r="Y163" i="33"/>
  <c r="Z163" i="33" s="1"/>
  <c r="W163" i="33"/>
  <c r="X163" i="33" s="1"/>
  <c r="K163" i="33"/>
  <c r="L163" i="33" s="1"/>
  <c r="B163" i="33"/>
  <c r="A163" i="33"/>
  <c r="Y162" i="33"/>
  <c r="Z162" i="33" s="1"/>
  <c r="W162" i="33"/>
  <c r="X162" i="33" s="1"/>
  <c r="B162" i="33"/>
  <c r="A162" i="33"/>
  <c r="U161" i="33"/>
  <c r="S161" i="33"/>
  <c r="P161" i="33"/>
  <c r="Q161" i="33" s="1"/>
  <c r="N161" i="33"/>
  <c r="O161" i="33" s="1"/>
  <c r="K161" i="33"/>
  <c r="L161" i="33" s="1"/>
  <c r="F161" i="33"/>
  <c r="G161" i="33" s="1"/>
  <c r="D161" i="33"/>
  <c r="E161" i="33" s="1"/>
  <c r="B161" i="33"/>
  <c r="A161" i="33"/>
  <c r="M161" i="33" s="1"/>
  <c r="U160" i="33"/>
  <c r="S160" i="33"/>
  <c r="P160" i="33"/>
  <c r="Q160" i="33" s="1"/>
  <c r="N160" i="33"/>
  <c r="O160" i="33" s="1"/>
  <c r="K160" i="33"/>
  <c r="L160" i="33" s="1"/>
  <c r="F160" i="33"/>
  <c r="G160" i="33" s="1"/>
  <c r="D160" i="33"/>
  <c r="E160" i="33" s="1"/>
  <c r="B160" i="33"/>
  <c r="A160" i="33"/>
  <c r="M160" i="33" s="1"/>
  <c r="U159" i="33"/>
  <c r="S159" i="33"/>
  <c r="P159" i="33"/>
  <c r="Q159" i="33" s="1"/>
  <c r="N159" i="33"/>
  <c r="O159" i="33" s="1"/>
  <c r="K159" i="33"/>
  <c r="L159" i="33" s="1"/>
  <c r="F159" i="33"/>
  <c r="G159" i="33" s="1"/>
  <c r="D159" i="33"/>
  <c r="E159" i="33" s="1"/>
  <c r="B159" i="33"/>
  <c r="A159" i="33"/>
  <c r="M159" i="33" s="1"/>
  <c r="U158" i="33"/>
  <c r="S158" i="33"/>
  <c r="P158" i="33"/>
  <c r="Q158" i="33" s="1"/>
  <c r="N158" i="33"/>
  <c r="O158" i="33" s="1"/>
  <c r="K158" i="33"/>
  <c r="L158" i="33" s="1"/>
  <c r="F158" i="33"/>
  <c r="G158" i="33" s="1"/>
  <c r="D158" i="33"/>
  <c r="E158" i="33" s="1"/>
  <c r="B158" i="33"/>
  <c r="A158" i="33"/>
  <c r="M158" i="33" s="1"/>
  <c r="Y157" i="33"/>
  <c r="Z157" i="33" s="1"/>
  <c r="W157" i="33"/>
  <c r="B157" i="33"/>
  <c r="A157" i="33"/>
  <c r="Y156" i="33"/>
  <c r="Z156" i="33" s="1"/>
  <c r="W156" i="33"/>
  <c r="B156" i="33"/>
  <c r="A156" i="33"/>
  <c r="Y155" i="33"/>
  <c r="Z155" i="33" s="1"/>
  <c r="W155" i="33"/>
  <c r="X155" i="33" s="1"/>
  <c r="B155" i="33"/>
  <c r="A155" i="33"/>
  <c r="Y154" i="33"/>
  <c r="Z154" i="33" s="1"/>
  <c r="W154" i="33"/>
  <c r="K154" i="33"/>
  <c r="L154" i="33" s="1"/>
  <c r="B154" i="33"/>
  <c r="A154" i="33"/>
  <c r="Y153" i="33"/>
  <c r="Z153" i="33" s="1"/>
  <c r="W153" i="33"/>
  <c r="B153" i="33"/>
  <c r="A153" i="33"/>
  <c r="U152" i="33"/>
  <c r="S152" i="33"/>
  <c r="P152" i="33"/>
  <c r="Q152" i="33" s="1"/>
  <c r="N152" i="33"/>
  <c r="O152" i="33" s="1"/>
  <c r="K152" i="33"/>
  <c r="L152" i="33" s="1"/>
  <c r="F152" i="33"/>
  <c r="G152" i="33" s="1"/>
  <c r="D152" i="33"/>
  <c r="E152" i="33" s="1"/>
  <c r="B152" i="33"/>
  <c r="A152" i="33"/>
  <c r="M152" i="33" s="1"/>
  <c r="U151" i="33"/>
  <c r="S151" i="33"/>
  <c r="P151" i="33"/>
  <c r="Q151" i="33" s="1"/>
  <c r="N151" i="33"/>
  <c r="O151" i="33" s="1"/>
  <c r="K151" i="33"/>
  <c r="L151" i="33" s="1"/>
  <c r="F151" i="33"/>
  <c r="G151" i="33" s="1"/>
  <c r="D151" i="33"/>
  <c r="E151" i="33" s="1"/>
  <c r="B151" i="33"/>
  <c r="A151" i="33"/>
  <c r="M151" i="33" s="1"/>
  <c r="U150" i="33"/>
  <c r="S150" i="33"/>
  <c r="P150" i="33"/>
  <c r="Q150" i="33" s="1"/>
  <c r="N150" i="33"/>
  <c r="O150" i="33" s="1"/>
  <c r="K150" i="33"/>
  <c r="L150" i="33" s="1"/>
  <c r="F150" i="33"/>
  <c r="G150" i="33" s="1"/>
  <c r="D150" i="33"/>
  <c r="E150" i="33" s="1"/>
  <c r="B150" i="33"/>
  <c r="A150" i="33"/>
  <c r="M150" i="33" s="1"/>
  <c r="U149" i="33"/>
  <c r="S149" i="33"/>
  <c r="P149" i="33"/>
  <c r="Q149" i="33" s="1"/>
  <c r="N149" i="33"/>
  <c r="O149" i="33" s="1"/>
  <c r="K149" i="33"/>
  <c r="L149" i="33" s="1"/>
  <c r="F149" i="33"/>
  <c r="G149" i="33" s="1"/>
  <c r="D149" i="33"/>
  <c r="E149" i="33" s="1"/>
  <c r="B149" i="33"/>
  <c r="A149" i="33"/>
  <c r="M149" i="33" s="1"/>
  <c r="Y148" i="33"/>
  <c r="Z148" i="33" s="1"/>
  <c r="W148" i="33"/>
  <c r="B148" i="33"/>
  <c r="A148" i="33"/>
  <c r="Y147" i="33"/>
  <c r="Z147" i="33" s="1"/>
  <c r="W147" i="33"/>
  <c r="B147" i="33"/>
  <c r="A147" i="33"/>
  <c r="Y146" i="33"/>
  <c r="Z146" i="33" s="1"/>
  <c r="W146" i="33"/>
  <c r="X146" i="33" s="1"/>
  <c r="B146" i="33"/>
  <c r="A146" i="33"/>
  <c r="Y145" i="33"/>
  <c r="Z145" i="33" s="1"/>
  <c r="W145" i="33"/>
  <c r="K145" i="33"/>
  <c r="L145" i="33" s="1"/>
  <c r="B145" i="33"/>
  <c r="A145" i="33"/>
  <c r="Y144" i="33"/>
  <c r="Z144" i="33" s="1"/>
  <c r="W144" i="33"/>
  <c r="X144" i="33" s="1"/>
  <c r="B144" i="33"/>
  <c r="A144" i="33"/>
  <c r="U143" i="33"/>
  <c r="S143" i="33"/>
  <c r="P143" i="33"/>
  <c r="Q143" i="33" s="1"/>
  <c r="N143" i="33"/>
  <c r="O143" i="33" s="1"/>
  <c r="K143" i="33"/>
  <c r="F143" i="33"/>
  <c r="G143" i="33" s="1"/>
  <c r="D143" i="33"/>
  <c r="E143" i="33" s="1"/>
  <c r="B143" i="33"/>
  <c r="A143" i="33"/>
  <c r="M143" i="33" s="1"/>
  <c r="U142" i="33"/>
  <c r="S142" i="33"/>
  <c r="P142" i="33"/>
  <c r="Q142" i="33" s="1"/>
  <c r="N142" i="33"/>
  <c r="O142" i="33" s="1"/>
  <c r="K142" i="33"/>
  <c r="L142" i="33" s="1"/>
  <c r="F142" i="33"/>
  <c r="G142" i="33" s="1"/>
  <c r="D142" i="33"/>
  <c r="E142" i="33" s="1"/>
  <c r="B142" i="33"/>
  <c r="A142" i="33"/>
  <c r="M142" i="33" s="1"/>
  <c r="U141" i="33"/>
  <c r="S141" i="33"/>
  <c r="P141" i="33"/>
  <c r="Q141" i="33" s="1"/>
  <c r="N141" i="33"/>
  <c r="O141" i="33" s="1"/>
  <c r="K141" i="33"/>
  <c r="L141" i="33" s="1"/>
  <c r="F141" i="33"/>
  <c r="G141" i="33" s="1"/>
  <c r="D141" i="33"/>
  <c r="E141" i="33" s="1"/>
  <c r="B141" i="33"/>
  <c r="A141" i="33"/>
  <c r="M141" i="33" s="1"/>
  <c r="U140" i="33"/>
  <c r="S140" i="33"/>
  <c r="P140" i="33"/>
  <c r="Q140" i="33" s="1"/>
  <c r="N140" i="33"/>
  <c r="O140" i="33" s="1"/>
  <c r="K140" i="33"/>
  <c r="L140" i="33" s="1"/>
  <c r="F140" i="33"/>
  <c r="G140" i="33" s="1"/>
  <c r="D140" i="33"/>
  <c r="E140" i="33" s="1"/>
  <c r="B140" i="33"/>
  <c r="A140" i="33"/>
  <c r="M140" i="33" s="1"/>
  <c r="Y139" i="33"/>
  <c r="Z139" i="33" s="1"/>
  <c r="W139" i="33"/>
  <c r="X139" i="33" s="1"/>
  <c r="B139" i="33"/>
  <c r="A139" i="33"/>
  <c r="Y138" i="33"/>
  <c r="Z138" i="33" s="1"/>
  <c r="W138" i="33"/>
  <c r="X138" i="33" s="1"/>
  <c r="B138" i="33"/>
  <c r="A138" i="33"/>
  <c r="Y137" i="33"/>
  <c r="Z137" i="33" s="1"/>
  <c r="W137" i="33"/>
  <c r="X137" i="33" s="1"/>
  <c r="B137" i="33"/>
  <c r="A137" i="33"/>
  <c r="Y136" i="33"/>
  <c r="Z136" i="33" s="1"/>
  <c r="W136" i="33"/>
  <c r="X136" i="33" s="1"/>
  <c r="K136" i="33"/>
  <c r="L136" i="33" s="1"/>
  <c r="B136" i="33"/>
  <c r="A136" i="33"/>
  <c r="Y135" i="33"/>
  <c r="Z135" i="33" s="1"/>
  <c r="W135" i="33"/>
  <c r="B135" i="33"/>
  <c r="A135" i="33"/>
  <c r="U134" i="33"/>
  <c r="S134" i="33"/>
  <c r="P134" i="33"/>
  <c r="Q134" i="33" s="1"/>
  <c r="N134" i="33"/>
  <c r="O134" i="33" s="1"/>
  <c r="K134" i="33"/>
  <c r="L134" i="33" s="1"/>
  <c r="F134" i="33"/>
  <c r="G134" i="33" s="1"/>
  <c r="D134" i="33"/>
  <c r="E134" i="33" s="1"/>
  <c r="B134" i="33"/>
  <c r="A134" i="33"/>
  <c r="M134" i="33" s="1"/>
  <c r="U133" i="33"/>
  <c r="S133" i="33"/>
  <c r="P133" i="33"/>
  <c r="Q133" i="33" s="1"/>
  <c r="N133" i="33"/>
  <c r="O133" i="33" s="1"/>
  <c r="K133" i="33"/>
  <c r="L133" i="33" s="1"/>
  <c r="F133" i="33"/>
  <c r="G133" i="33" s="1"/>
  <c r="D133" i="33"/>
  <c r="E133" i="33" s="1"/>
  <c r="B133" i="33"/>
  <c r="A133" i="33"/>
  <c r="M133" i="33" s="1"/>
  <c r="U132" i="33"/>
  <c r="S132" i="33"/>
  <c r="P132" i="33"/>
  <c r="Q132" i="33" s="1"/>
  <c r="N132" i="33"/>
  <c r="O132" i="33" s="1"/>
  <c r="K132" i="33"/>
  <c r="L132" i="33" s="1"/>
  <c r="F132" i="33"/>
  <c r="G132" i="33" s="1"/>
  <c r="D132" i="33"/>
  <c r="E132" i="33" s="1"/>
  <c r="B132" i="33"/>
  <c r="A132" i="33"/>
  <c r="M132" i="33" s="1"/>
  <c r="U131" i="33"/>
  <c r="S131" i="33"/>
  <c r="P131" i="33"/>
  <c r="Q131" i="33" s="1"/>
  <c r="N131" i="33"/>
  <c r="O131" i="33" s="1"/>
  <c r="K131" i="33"/>
  <c r="F131" i="33"/>
  <c r="G131" i="33" s="1"/>
  <c r="D131" i="33"/>
  <c r="E131" i="33" s="1"/>
  <c r="B131" i="33"/>
  <c r="A131" i="33"/>
  <c r="M131" i="33" s="1"/>
  <c r="Y130" i="33"/>
  <c r="Z130" i="33" s="1"/>
  <c r="W130" i="33"/>
  <c r="B130" i="33"/>
  <c r="A130" i="33"/>
  <c r="Y129" i="33"/>
  <c r="Z129" i="33" s="1"/>
  <c r="W129" i="33"/>
  <c r="X129" i="33" s="1"/>
  <c r="B129" i="33"/>
  <c r="A129" i="33"/>
  <c r="Y128" i="33"/>
  <c r="Z128" i="33" s="1"/>
  <c r="W128" i="33"/>
  <c r="B128" i="33"/>
  <c r="A128" i="33"/>
  <c r="Y127" i="33"/>
  <c r="Z127" i="33" s="1"/>
  <c r="W127" i="33"/>
  <c r="X127" i="33" s="1"/>
  <c r="K127" i="33"/>
  <c r="L127" i="33" s="1"/>
  <c r="B127" i="33"/>
  <c r="A127" i="33"/>
  <c r="Y126" i="33"/>
  <c r="Z126" i="33" s="1"/>
  <c r="W126" i="33"/>
  <c r="B126" i="33"/>
  <c r="A126" i="33"/>
  <c r="U125" i="33"/>
  <c r="S125" i="33"/>
  <c r="P125" i="33"/>
  <c r="Q125" i="33" s="1"/>
  <c r="N125" i="33"/>
  <c r="O125" i="33" s="1"/>
  <c r="K125" i="33"/>
  <c r="L125" i="33" s="1"/>
  <c r="F125" i="33"/>
  <c r="G125" i="33" s="1"/>
  <c r="D125" i="33"/>
  <c r="E125" i="33" s="1"/>
  <c r="B125" i="33"/>
  <c r="A125" i="33"/>
  <c r="M125" i="33" s="1"/>
  <c r="U124" i="33"/>
  <c r="S124" i="33"/>
  <c r="P124" i="33"/>
  <c r="Q124" i="33" s="1"/>
  <c r="N124" i="33"/>
  <c r="O124" i="33" s="1"/>
  <c r="K124" i="33"/>
  <c r="F124" i="33"/>
  <c r="G124" i="33" s="1"/>
  <c r="D124" i="33"/>
  <c r="E124" i="33" s="1"/>
  <c r="B124" i="33"/>
  <c r="A124" i="33"/>
  <c r="M124" i="33" s="1"/>
  <c r="U123" i="33"/>
  <c r="S123" i="33"/>
  <c r="P123" i="33"/>
  <c r="Q123" i="33" s="1"/>
  <c r="N123" i="33"/>
  <c r="O123" i="33" s="1"/>
  <c r="K123" i="33"/>
  <c r="L123" i="33" s="1"/>
  <c r="F123" i="33"/>
  <c r="G123" i="33" s="1"/>
  <c r="D123" i="33"/>
  <c r="E123" i="33" s="1"/>
  <c r="B123" i="33"/>
  <c r="A123" i="33"/>
  <c r="M123" i="33" s="1"/>
  <c r="U122" i="33"/>
  <c r="S122" i="33"/>
  <c r="P122" i="33"/>
  <c r="Q122" i="33" s="1"/>
  <c r="N122" i="33"/>
  <c r="O122" i="33" s="1"/>
  <c r="K122" i="33"/>
  <c r="L122" i="33" s="1"/>
  <c r="F122" i="33"/>
  <c r="G122" i="33" s="1"/>
  <c r="D122" i="33"/>
  <c r="E122" i="33" s="1"/>
  <c r="B122" i="33"/>
  <c r="A122" i="33"/>
  <c r="M122" i="33" s="1"/>
  <c r="Y121" i="33"/>
  <c r="Z121" i="33" s="1"/>
  <c r="W121" i="33"/>
  <c r="B121" i="33"/>
  <c r="A121" i="33"/>
  <c r="Y120" i="33"/>
  <c r="Z120" i="33" s="1"/>
  <c r="W120" i="33"/>
  <c r="X120" i="33" s="1"/>
  <c r="B120" i="33"/>
  <c r="A120" i="33"/>
  <c r="Y119" i="33"/>
  <c r="Z119" i="33" s="1"/>
  <c r="W119" i="33"/>
  <c r="X119" i="33" s="1"/>
  <c r="B119" i="33"/>
  <c r="A119" i="33"/>
  <c r="Y118" i="33"/>
  <c r="Z118" i="33" s="1"/>
  <c r="W118" i="33"/>
  <c r="X118" i="33" s="1"/>
  <c r="K118" i="33"/>
  <c r="L118" i="33" s="1"/>
  <c r="B118" i="33"/>
  <c r="A118" i="33"/>
  <c r="Y117" i="33"/>
  <c r="Z117" i="33" s="1"/>
  <c r="W117" i="33"/>
  <c r="X117" i="33" s="1"/>
  <c r="B117" i="33"/>
  <c r="A117" i="33"/>
  <c r="U116" i="33"/>
  <c r="S116" i="33"/>
  <c r="P116" i="33"/>
  <c r="Q116" i="33" s="1"/>
  <c r="N116" i="33"/>
  <c r="O116" i="33" s="1"/>
  <c r="K116" i="33"/>
  <c r="F116" i="33"/>
  <c r="G116" i="33" s="1"/>
  <c r="D116" i="33"/>
  <c r="E116" i="33" s="1"/>
  <c r="B116" i="33"/>
  <c r="A116" i="33"/>
  <c r="M116" i="33" s="1"/>
  <c r="U115" i="33"/>
  <c r="S115" i="33"/>
  <c r="P115" i="33"/>
  <c r="Q115" i="33" s="1"/>
  <c r="N115" i="33"/>
  <c r="O115" i="33" s="1"/>
  <c r="K115" i="33"/>
  <c r="L115" i="33" s="1"/>
  <c r="F115" i="33"/>
  <c r="G115" i="33" s="1"/>
  <c r="D115" i="33"/>
  <c r="E115" i="33" s="1"/>
  <c r="B115" i="33"/>
  <c r="A115" i="33"/>
  <c r="M115" i="33" s="1"/>
  <c r="U114" i="33"/>
  <c r="S114" i="33"/>
  <c r="P114" i="33"/>
  <c r="Q114" i="33" s="1"/>
  <c r="N114" i="33"/>
  <c r="O114" i="33" s="1"/>
  <c r="K114" i="33"/>
  <c r="L114" i="33" s="1"/>
  <c r="F114" i="33"/>
  <c r="G114" i="33" s="1"/>
  <c r="D114" i="33"/>
  <c r="E114" i="33" s="1"/>
  <c r="B114" i="33"/>
  <c r="A114" i="33"/>
  <c r="M114" i="33" s="1"/>
  <c r="U113" i="33"/>
  <c r="S113" i="33"/>
  <c r="P113" i="33"/>
  <c r="Q113" i="33" s="1"/>
  <c r="N113" i="33"/>
  <c r="O113" i="33" s="1"/>
  <c r="K113" i="33"/>
  <c r="F113" i="33"/>
  <c r="G113" i="33" s="1"/>
  <c r="D113" i="33"/>
  <c r="E113" i="33" s="1"/>
  <c r="B113" i="33"/>
  <c r="A113" i="33"/>
  <c r="M113" i="33" s="1"/>
  <c r="Y112" i="33"/>
  <c r="Z112" i="33" s="1"/>
  <c r="W112" i="33"/>
  <c r="X112" i="33" s="1"/>
  <c r="B112" i="33"/>
  <c r="A112" i="33"/>
  <c r="Y111" i="33"/>
  <c r="Z111" i="33" s="1"/>
  <c r="W111" i="33"/>
  <c r="X111" i="33" s="1"/>
  <c r="B111" i="33"/>
  <c r="A111" i="33"/>
  <c r="Y110" i="33"/>
  <c r="W110" i="33"/>
  <c r="X110" i="33" s="1"/>
  <c r="B110" i="33"/>
  <c r="A110" i="33"/>
  <c r="Y109" i="33"/>
  <c r="Z109" i="33" s="1"/>
  <c r="W109" i="33"/>
  <c r="K109" i="33"/>
  <c r="L109" i="33" s="1"/>
  <c r="B109" i="33"/>
  <c r="A109" i="33"/>
  <c r="Y108" i="33"/>
  <c r="Z108" i="33" s="1"/>
  <c r="W108" i="33"/>
  <c r="X108" i="33" s="1"/>
  <c r="B108" i="33"/>
  <c r="A108" i="33"/>
  <c r="U107" i="33"/>
  <c r="S107" i="33"/>
  <c r="P107" i="33"/>
  <c r="Q107" i="33" s="1"/>
  <c r="N107" i="33"/>
  <c r="O107" i="33" s="1"/>
  <c r="K107" i="33"/>
  <c r="F107" i="33"/>
  <c r="G107" i="33" s="1"/>
  <c r="D107" i="33"/>
  <c r="E107" i="33" s="1"/>
  <c r="B107" i="33"/>
  <c r="A107" i="33"/>
  <c r="M107" i="33" s="1"/>
  <c r="U106" i="33"/>
  <c r="S106" i="33"/>
  <c r="P106" i="33"/>
  <c r="Q106" i="33" s="1"/>
  <c r="N106" i="33"/>
  <c r="O106" i="33" s="1"/>
  <c r="K106" i="33"/>
  <c r="F106" i="33"/>
  <c r="G106" i="33" s="1"/>
  <c r="D106" i="33"/>
  <c r="E106" i="33" s="1"/>
  <c r="B106" i="33"/>
  <c r="A106" i="33"/>
  <c r="M106" i="33" s="1"/>
  <c r="U105" i="33"/>
  <c r="S105" i="33"/>
  <c r="P105" i="33"/>
  <c r="Q105" i="33" s="1"/>
  <c r="N105" i="33"/>
  <c r="O105" i="33" s="1"/>
  <c r="K105" i="33"/>
  <c r="F105" i="33"/>
  <c r="G105" i="33" s="1"/>
  <c r="D105" i="33"/>
  <c r="E105" i="33" s="1"/>
  <c r="B105" i="33"/>
  <c r="A105" i="33"/>
  <c r="M105" i="33" s="1"/>
  <c r="U104" i="33"/>
  <c r="S104" i="33"/>
  <c r="P104" i="33"/>
  <c r="Q104" i="33" s="1"/>
  <c r="N104" i="33"/>
  <c r="O104" i="33" s="1"/>
  <c r="K104" i="33"/>
  <c r="L104" i="33" s="1"/>
  <c r="F104" i="33"/>
  <c r="G104" i="33" s="1"/>
  <c r="D104" i="33"/>
  <c r="E104" i="33" s="1"/>
  <c r="B104" i="33"/>
  <c r="A104" i="33"/>
  <c r="M104" i="33" s="1"/>
  <c r="Y103" i="33"/>
  <c r="Z103" i="33" s="1"/>
  <c r="W103" i="33"/>
  <c r="B103" i="33"/>
  <c r="A103" i="33"/>
  <c r="Y102" i="33"/>
  <c r="Z102" i="33" s="1"/>
  <c r="W102" i="33"/>
  <c r="X102" i="33" s="1"/>
  <c r="B102" i="33"/>
  <c r="A102" i="33"/>
  <c r="Y101" i="33"/>
  <c r="Z101" i="33" s="1"/>
  <c r="W101" i="33"/>
  <c r="X101" i="33" s="1"/>
  <c r="B101" i="33"/>
  <c r="A101" i="33"/>
  <c r="Y100" i="33"/>
  <c r="Z100" i="33" s="1"/>
  <c r="W100" i="33"/>
  <c r="K100" i="33"/>
  <c r="L100" i="33" s="1"/>
  <c r="B100" i="33"/>
  <c r="A100" i="33"/>
  <c r="Y99" i="33"/>
  <c r="Z99" i="33" s="1"/>
  <c r="W99" i="33"/>
  <c r="B99" i="33"/>
  <c r="A99" i="33"/>
  <c r="U98" i="33"/>
  <c r="S98" i="33"/>
  <c r="P98" i="33"/>
  <c r="Q98" i="33" s="1"/>
  <c r="N98" i="33"/>
  <c r="O98" i="33" s="1"/>
  <c r="K98" i="33"/>
  <c r="L98" i="33" s="1"/>
  <c r="F98" i="33"/>
  <c r="G98" i="33" s="1"/>
  <c r="D98" i="33"/>
  <c r="E98" i="33" s="1"/>
  <c r="B98" i="33"/>
  <c r="A98" i="33"/>
  <c r="M98" i="33" s="1"/>
  <c r="U97" i="33"/>
  <c r="S97" i="33"/>
  <c r="P97" i="33"/>
  <c r="Q97" i="33" s="1"/>
  <c r="N97" i="33"/>
  <c r="O97" i="33" s="1"/>
  <c r="K97" i="33"/>
  <c r="L97" i="33" s="1"/>
  <c r="F97" i="33"/>
  <c r="G97" i="33" s="1"/>
  <c r="D97" i="33"/>
  <c r="E97" i="33" s="1"/>
  <c r="B97" i="33"/>
  <c r="A97" i="33"/>
  <c r="M97" i="33" s="1"/>
  <c r="U96" i="33"/>
  <c r="S96" i="33"/>
  <c r="P96" i="33"/>
  <c r="Q96" i="33" s="1"/>
  <c r="N96" i="33"/>
  <c r="O96" i="33" s="1"/>
  <c r="K96" i="33"/>
  <c r="F96" i="33"/>
  <c r="G96" i="33" s="1"/>
  <c r="D96" i="33"/>
  <c r="E96" i="33" s="1"/>
  <c r="J96" i="33" s="1"/>
  <c r="H96" i="33" s="1"/>
  <c r="I96" i="33" s="1"/>
  <c r="B96" i="33"/>
  <c r="A96" i="33"/>
  <c r="M96" i="33" s="1"/>
  <c r="U95" i="33"/>
  <c r="S95" i="33"/>
  <c r="P95" i="33"/>
  <c r="Q95" i="33" s="1"/>
  <c r="N95" i="33"/>
  <c r="O95" i="33" s="1"/>
  <c r="K95" i="33"/>
  <c r="L95" i="33" s="1"/>
  <c r="F95" i="33"/>
  <c r="G95" i="33" s="1"/>
  <c r="D95" i="33"/>
  <c r="E95" i="33" s="1"/>
  <c r="B95" i="33"/>
  <c r="A95" i="33"/>
  <c r="M95" i="33" s="1"/>
  <c r="AE94" i="33"/>
  <c r="Y94" i="33"/>
  <c r="W94" i="33"/>
  <c r="X94" i="33" s="1"/>
  <c r="B94" i="33"/>
  <c r="A94" i="33"/>
  <c r="AE93" i="33"/>
  <c r="Y93" i="33"/>
  <c r="Z93" i="33" s="1"/>
  <c r="W93" i="33"/>
  <c r="X93" i="33" s="1"/>
  <c r="B93" i="33"/>
  <c r="A93" i="33"/>
  <c r="AE92" i="33"/>
  <c r="Y92" i="33"/>
  <c r="W92" i="33"/>
  <c r="X92" i="33" s="1"/>
  <c r="B92" i="33"/>
  <c r="A92" i="33"/>
  <c r="AE91" i="33"/>
  <c r="Y91" i="33"/>
  <c r="Z91" i="33" s="1"/>
  <c r="W91" i="33"/>
  <c r="X91" i="33" s="1"/>
  <c r="K91" i="33"/>
  <c r="L91" i="33" s="1"/>
  <c r="B91" i="33"/>
  <c r="A91" i="33"/>
  <c r="AE90" i="33"/>
  <c r="Y90" i="33"/>
  <c r="Z90" i="33" s="1"/>
  <c r="W90" i="33"/>
  <c r="B90" i="33"/>
  <c r="A90" i="33"/>
  <c r="AE89" i="33"/>
  <c r="U89" i="33"/>
  <c r="S89" i="33"/>
  <c r="P89" i="33"/>
  <c r="Q89" i="33" s="1"/>
  <c r="N89" i="33"/>
  <c r="O89" i="33" s="1"/>
  <c r="K89" i="33"/>
  <c r="L89" i="33" s="1"/>
  <c r="F89" i="33"/>
  <c r="G89" i="33" s="1"/>
  <c r="E89" i="33"/>
  <c r="D89" i="33"/>
  <c r="B89" i="33"/>
  <c r="A89" i="33"/>
  <c r="M89" i="33" s="1"/>
  <c r="AE88" i="33"/>
  <c r="U88" i="33"/>
  <c r="S88" i="33"/>
  <c r="P88" i="33"/>
  <c r="Q88" i="33" s="1"/>
  <c r="N88" i="33"/>
  <c r="O88" i="33" s="1"/>
  <c r="K88" i="33"/>
  <c r="L88" i="33" s="1"/>
  <c r="F88" i="33"/>
  <c r="G88" i="33" s="1"/>
  <c r="D88" i="33"/>
  <c r="E88" i="33" s="1"/>
  <c r="B88" i="33"/>
  <c r="A88" i="33"/>
  <c r="M88" i="33" s="1"/>
  <c r="AE87" i="33"/>
  <c r="U87" i="33"/>
  <c r="S87" i="33"/>
  <c r="P87" i="33"/>
  <c r="Q87" i="33" s="1"/>
  <c r="N87" i="33"/>
  <c r="O87" i="33" s="1"/>
  <c r="K87" i="33"/>
  <c r="F87" i="33"/>
  <c r="G87" i="33" s="1"/>
  <c r="D87" i="33"/>
  <c r="E87" i="33" s="1"/>
  <c r="B87" i="33"/>
  <c r="A87" i="33"/>
  <c r="M87" i="33" s="1"/>
  <c r="AE86" i="33"/>
  <c r="U86" i="33"/>
  <c r="S86" i="33"/>
  <c r="P86" i="33"/>
  <c r="Q86" i="33" s="1"/>
  <c r="N86" i="33"/>
  <c r="O86" i="33" s="1"/>
  <c r="K86" i="33"/>
  <c r="L86" i="33" s="1"/>
  <c r="F86" i="33"/>
  <c r="G86" i="33" s="1"/>
  <c r="D86" i="33"/>
  <c r="E86" i="33" s="1"/>
  <c r="B86" i="33"/>
  <c r="A86" i="33"/>
  <c r="M86" i="33" s="1"/>
  <c r="AE85" i="33"/>
  <c r="Y85" i="33"/>
  <c r="Z85" i="33" s="1"/>
  <c r="W85" i="33"/>
  <c r="X85" i="33" s="1"/>
  <c r="B85" i="33"/>
  <c r="A85" i="33"/>
  <c r="AE84" i="33"/>
  <c r="Y84" i="33"/>
  <c r="Z84" i="33" s="1"/>
  <c r="W84" i="33"/>
  <c r="X84" i="33" s="1"/>
  <c r="B84" i="33"/>
  <c r="A84" i="33"/>
  <c r="AE83" i="33"/>
  <c r="Y83" i="33"/>
  <c r="Z83" i="33" s="1"/>
  <c r="W83" i="33"/>
  <c r="X83" i="33" s="1"/>
  <c r="B83" i="33"/>
  <c r="A83" i="33"/>
  <c r="AE82" i="33"/>
  <c r="Y82" i="33"/>
  <c r="Z82" i="33" s="1"/>
  <c r="W82" i="33"/>
  <c r="K82" i="33"/>
  <c r="L82" i="33" s="1"/>
  <c r="B82" i="33"/>
  <c r="A82" i="33"/>
  <c r="AE81" i="33"/>
  <c r="Y81" i="33"/>
  <c r="Z81" i="33" s="1"/>
  <c r="W81" i="33"/>
  <c r="B81" i="33"/>
  <c r="A81" i="33"/>
  <c r="AE80" i="33"/>
  <c r="U80" i="33"/>
  <c r="S80" i="33"/>
  <c r="P80" i="33"/>
  <c r="Q80" i="33" s="1"/>
  <c r="N80" i="33"/>
  <c r="O80" i="33" s="1"/>
  <c r="K80" i="33"/>
  <c r="F80" i="33"/>
  <c r="G80" i="33" s="1"/>
  <c r="D80" i="33"/>
  <c r="E80" i="33" s="1"/>
  <c r="B80" i="33"/>
  <c r="A80" i="33"/>
  <c r="M80" i="33" s="1"/>
  <c r="AE79" i="33"/>
  <c r="U79" i="33"/>
  <c r="S79" i="33"/>
  <c r="P79" i="33"/>
  <c r="Q79" i="33" s="1"/>
  <c r="N79" i="33"/>
  <c r="O79" i="33" s="1"/>
  <c r="K79" i="33"/>
  <c r="L79" i="33" s="1"/>
  <c r="F79" i="33"/>
  <c r="G79" i="33" s="1"/>
  <c r="D79" i="33"/>
  <c r="E79" i="33" s="1"/>
  <c r="B79" i="33"/>
  <c r="A79" i="33"/>
  <c r="M79" i="33" s="1"/>
  <c r="AE78" i="33"/>
  <c r="U78" i="33"/>
  <c r="S78" i="33"/>
  <c r="P78" i="33"/>
  <c r="Q78" i="33" s="1"/>
  <c r="N78" i="33"/>
  <c r="O78" i="33" s="1"/>
  <c r="K78" i="33"/>
  <c r="L78" i="33" s="1"/>
  <c r="F78" i="33"/>
  <c r="G78" i="33" s="1"/>
  <c r="D78" i="33"/>
  <c r="E78" i="33" s="1"/>
  <c r="B78" i="33"/>
  <c r="A78" i="33"/>
  <c r="M78" i="33" s="1"/>
  <c r="AE77" i="33"/>
  <c r="U77" i="33"/>
  <c r="S77" i="33"/>
  <c r="P77" i="33"/>
  <c r="Q77" i="33" s="1"/>
  <c r="N77" i="33"/>
  <c r="O77" i="33" s="1"/>
  <c r="K77" i="33"/>
  <c r="F77" i="33"/>
  <c r="G77" i="33" s="1"/>
  <c r="D77" i="33"/>
  <c r="E77" i="33" s="1"/>
  <c r="B77" i="33"/>
  <c r="A77" i="33"/>
  <c r="M77" i="33" s="1"/>
  <c r="AE76" i="33"/>
  <c r="Y76" i="33"/>
  <c r="Z76" i="33" s="1"/>
  <c r="W76" i="33"/>
  <c r="B76" i="33"/>
  <c r="A76" i="33"/>
  <c r="AE75" i="33"/>
  <c r="Y75" i="33"/>
  <c r="W75" i="33"/>
  <c r="X75" i="33" s="1"/>
  <c r="B75" i="33"/>
  <c r="A75" i="33"/>
  <c r="AE74" i="33"/>
  <c r="Y74" i="33"/>
  <c r="W74" i="33"/>
  <c r="X74" i="33" s="1"/>
  <c r="B74" i="33"/>
  <c r="A74" i="33"/>
  <c r="AE73" i="33"/>
  <c r="Y73" i="33"/>
  <c r="Z73" i="33" s="1"/>
  <c r="W73" i="33"/>
  <c r="X73" i="33" s="1"/>
  <c r="K73" i="33"/>
  <c r="B73" i="33"/>
  <c r="A73" i="33"/>
  <c r="AE72" i="33"/>
  <c r="Y72" i="33"/>
  <c r="Z72" i="33" s="1"/>
  <c r="W72" i="33"/>
  <c r="X72" i="33" s="1"/>
  <c r="B72" i="33"/>
  <c r="A72" i="33"/>
  <c r="AE71" i="33"/>
  <c r="U71" i="33"/>
  <c r="S71" i="33"/>
  <c r="P71" i="33"/>
  <c r="Q71" i="33" s="1"/>
  <c r="N71" i="33"/>
  <c r="O71" i="33" s="1"/>
  <c r="K71" i="33"/>
  <c r="L71" i="33" s="1"/>
  <c r="F71" i="33"/>
  <c r="G71" i="33" s="1"/>
  <c r="D71" i="33"/>
  <c r="E71" i="33" s="1"/>
  <c r="B71" i="33"/>
  <c r="A71" i="33"/>
  <c r="M71" i="33" s="1"/>
  <c r="AE70" i="33"/>
  <c r="U70" i="33"/>
  <c r="S70" i="33"/>
  <c r="P70" i="33"/>
  <c r="Q70" i="33" s="1"/>
  <c r="N70" i="33"/>
  <c r="O70" i="33" s="1"/>
  <c r="K70" i="33"/>
  <c r="L70" i="33" s="1"/>
  <c r="F70" i="33"/>
  <c r="G70" i="33" s="1"/>
  <c r="D70" i="33"/>
  <c r="E70" i="33" s="1"/>
  <c r="B70" i="33"/>
  <c r="A70" i="33"/>
  <c r="M70" i="33" s="1"/>
  <c r="AE69" i="33"/>
  <c r="U69" i="33"/>
  <c r="S69" i="33"/>
  <c r="P69" i="33"/>
  <c r="Q69" i="33" s="1"/>
  <c r="N69" i="33"/>
  <c r="O69" i="33" s="1"/>
  <c r="K69" i="33"/>
  <c r="L69" i="33" s="1"/>
  <c r="F69" i="33"/>
  <c r="G69" i="33" s="1"/>
  <c r="D69" i="33"/>
  <c r="E69" i="33" s="1"/>
  <c r="B69" i="33"/>
  <c r="A69" i="33"/>
  <c r="M69" i="33" s="1"/>
  <c r="AE68" i="33"/>
  <c r="U68" i="33"/>
  <c r="S68" i="33"/>
  <c r="P68" i="33"/>
  <c r="Q68" i="33" s="1"/>
  <c r="N68" i="33"/>
  <c r="O68" i="33" s="1"/>
  <c r="K68" i="33"/>
  <c r="L68" i="33" s="1"/>
  <c r="F68" i="33"/>
  <c r="G68" i="33" s="1"/>
  <c r="D68" i="33"/>
  <c r="E68" i="33" s="1"/>
  <c r="B68" i="33"/>
  <c r="A68" i="33"/>
  <c r="M68" i="33" s="1"/>
  <c r="AE67" i="33"/>
  <c r="Y67" i="33"/>
  <c r="Z67" i="33" s="1"/>
  <c r="W67" i="33"/>
  <c r="B67" i="33"/>
  <c r="A67" i="33"/>
  <c r="AE66" i="33"/>
  <c r="Y66" i="33"/>
  <c r="Z66" i="33" s="1"/>
  <c r="W66" i="33"/>
  <c r="B66" i="33"/>
  <c r="A66" i="33"/>
  <c r="AE65" i="33"/>
  <c r="Y65" i="33"/>
  <c r="Z65" i="33" s="1"/>
  <c r="W65" i="33"/>
  <c r="B65" i="33"/>
  <c r="A65" i="33"/>
  <c r="AE64" i="33"/>
  <c r="Y64" i="33"/>
  <c r="Z64" i="33" s="1"/>
  <c r="W64" i="33"/>
  <c r="X64" i="33" s="1"/>
  <c r="K64" i="33"/>
  <c r="L64" i="33" s="1"/>
  <c r="B64" i="33"/>
  <c r="A64" i="33"/>
  <c r="AE63" i="33"/>
  <c r="Y63" i="33"/>
  <c r="Z63" i="33" s="1"/>
  <c r="W63" i="33"/>
  <c r="B63" i="33"/>
  <c r="A63" i="33"/>
  <c r="AE62" i="33"/>
  <c r="U62" i="33"/>
  <c r="S62" i="33"/>
  <c r="P62" i="33"/>
  <c r="Q62" i="33" s="1"/>
  <c r="N62" i="33"/>
  <c r="O62" i="33" s="1"/>
  <c r="K62" i="33"/>
  <c r="L62" i="33" s="1"/>
  <c r="F62" i="33"/>
  <c r="G62" i="33" s="1"/>
  <c r="D62" i="33"/>
  <c r="E62" i="33" s="1"/>
  <c r="B62" i="33"/>
  <c r="A62" i="33"/>
  <c r="M62" i="33" s="1"/>
  <c r="AE61" i="33"/>
  <c r="U61" i="33"/>
  <c r="S61" i="33"/>
  <c r="P61" i="33"/>
  <c r="Q61" i="33" s="1"/>
  <c r="N61" i="33"/>
  <c r="O61" i="33" s="1"/>
  <c r="K61" i="33"/>
  <c r="F61" i="33"/>
  <c r="G61" i="33" s="1"/>
  <c r="D61" i="33"/>
  <c r="E61" i="33" s="1"/>
  <c r="B61" i="33"/>
  <c r="A61" i="33"/>
  <c r="M61" i="33" s="1"/>
  <c r="AE60" i="33"/>
  <c r="U60" i="33"/>
  <c r="S60" i="33"/>
  <c r="P60" i="33"/>
  <c r="Q60" i="33" s="1"/>
  <c r="N60" i="33"/>
  <c r="O60" i="33" s="1"/>
  <c r="K60" i="33"/>
  <c r="L60" i="33" s="1"/>
  <c r="F60" i="33"/>
  <c r="G60" i="33" s="1"/>
  <c r="D60" i="33"/>
  <c r="E60" i="33" s="1"/>
  <c r="B60" i="33"/>
  <c r="A60" i="33"/>
  <c r="M60" i="33" s="1"/>
  <c r="AE59" i="33"/>
  <c r="U59" i="33"/>
  <c r="S59" i="33"/>
  <c r="P59" i="33"/>
  <c r="Q59" i="33" s="1"/>
  <c r="N59" i="33"/>
  <c r="O59" i="33" s="1"/>
  <c r="K59" i="33"/>
  <c r="L59" i="33" s="1"/>
  <c r="F59" i="33"/>
  <c r="G59" i="33" s="1"/>
  <c r="D59" i="33"/>
  <c r="E59" i="33" s="1"/>
  <c r="B59" i="33"/>
  <c r="A59" i="33"/>
  <c r="M59" i="33" s="1"/>
  <c r="AE58" i="33"/>
  <c r="Y58" i="33"/>
  <c r="Z58" i="33" s="1"/>
  <c r="W58" i="33"/>
  <c r="X58" i="33" s="1"/>
  <c r="B58" i="33"/>
  <c r="A58" i="33"/>
  <c r="AE57" i="33"/>
  <c r="Y57" i="33"/>
  <c r="Z57" i="33" s="1"/>
  <c r="W57" i="33"/>
  <c r="X57" i="33" s="1"/>
  <c r="B57" i="33"/>
  <c r="A57" i="33"/>
  <c r="AE56" i="33"/>
  <c r="Y56" i="33"/>
  <c r="Z56" i="33" s="1"/>
  <c r="W56" i="33"/>
  <c r="X56" i="33" s="1"/>
  <c r="B56" i="33"/>
  <c r="A56" i="33"/>
  <c r="AE55" i="33"/>
  <c r="Y55" i="33"/>
  <c r="Z55" i="33" s="1"/>
  <c r="W55" i="33"/>
  <c r="X55" i="33" s="1"/>
  <c r="K55" i="33"/>
  <c r="L55" i="33" s="1"/>
  <c r="B55" i="33"/>
  <c r="A55" i="33"/>
  <c r="AE54" i="33"/>
  <c r="Y54" i="33"/>
  <c r="Z54" i="33" s="1"/>
  <c r="W54" i="33"/>
  <c r="X54" i="33" s="1"/>
  <c r="B54" i="33"/>
  <c r="A54" i="33"/>
  <c r="AE53" i="33"/>
  <c r="U53" i="33"/>
  <c r="S53" i="33"/>
  <c r="P53" i="33"/>
  <c r="Q53" i="33" s="1"/>
  <c r="N53" i="33"/>
  <c r="O53" i="33" s="1"/>
  <c r="K53" i="33"/>
  <c r="L53" i="33" s="1"/>
  <c r="F53" i="33"/>
  <c r="G53" i="33" s="1"/>
  <c r="D53" i="33"/>
  <c r="E53" i="33" s="1"/>
  <c r="B53" i="33"/>
  <c r="A53" i="33"/>
  <c r="M53" i="33" s="1"/>
  <c r="AE52" i="33"/>
  <c r="U52" i="33"/>
  <c r="S52" i="33"/>
  <c r="P52" i="33"/>
  <c r="Q52" i="33" s="1"/>
  <c r="N52" i="33"/>
  <c r="O52" i="33" s="1"/>
  <c r="K52" i="33"/>
  <c r="L52" i="33" s="1"/>
  <c r="F52" i="33"/>
  <c r="G52" i="33" s="1"/>
  <c r="D52" i="33"/>
  <c r="E52" i="33" s="1"/>
  <c r="B52" i="33"/>
  <c r="A52" i="33"/>
  <c r="M52" i="33" s="1"/>
  <c r="AE51" i="33"/>
  <c r="U51" i="33"/>
  <c r="S51" i="33"/>
  <c r="P51" i="33"/>
  <c r="Q51" i="33" s="1"/>
  <c r="N51" i="33"/>
  <c r="O51" i="33" s="1"/>
  <c r="K51" i="33"/>
  <c r="F51" i="33"/>
  <c r="G51" i="33" s="1"/>
  <c r="D51" i="33"/>
  <c r="E51" i="33" s="1"/>
  <c r="B51" i="33"/>
  <c r="A51" i="33"/>
  <c r="M51" i="33" s="1"/>
  <c r="AE50" i="33"/>
  <c r="U50" i="33"/>
  <c r="S50" i="33"/>
  <c r="P50" i="33"/>
  <c r="Q50" i="33" s="1"/>
  <c r="N50" i="33"/>
  <c r="O50" i="33" s="1"/>
  <c r="K50" i="33"/>
  <c r="L50" i="33" s="1"/>
  <c r="F50" i="33"/>
  <c r="G50" i="33" s="1"/>
  <c r="D50" i="33"/>
  <c r="E50" i="33" s="1"/>
  <c r="B50" i="33"/>
  <c r="A50" i="33"/>
  <c r="M50" i="33" s="1"/>
  <c r="AE49" i="33"/>
  <c r="Y49" i="33"/>
  <c r="Z49" i="33" s="1"/>
  <c r="W49" i="33"/>
  <c r="X49" i="33" s="1"/>
  <c r="B49" i="33"/>
  <c r="A49" i="33"/>
  <c r="AE48" i="33"/>
  <c r="Y48" i="33"/>
  <c r="Z48" i="33" s="1"/>
  <c r="W48" i="33"/>
  <c r="B48" i="33"/>
  <c r="A48" i="33"/>
  <c r="AE47" i="33"/>
  <c r="Y47" i="33"/>
  <c r="Z47" i="33" s="1"/>
  <c r="W47" i="33"/>
  <c r="X47" i="33" s="1"/>
  <c r="B47" i="33"/>
  <c r="A47" i="33"/>
  <c r="AE46" i="33"/>
  <c r="Y46" i="33"/>
  <c r="Z46" i="33" s="1"/>
  <c r="W46" i="33"/>
  <c r="X46" i="33" s="1"/>
  <c r="K46" i="33"/>
  <c r="L46" i="33" s="1"/>
  <c r="B46" i="33"/>
  <c r="A46" i="33"/>
  <c r="AE45" i="33"/>
  <c r="Y45" i="33"/>
  <c r="Z45" i="33" s="1"/>
  <c r="W45" i="33"/>
  <c r="B45" i="33"/>
  <c r="A45" i="33"/>
  <c r="AE44" i="33"/>
  <c r="U44" i="33"/>
  <c r="S44" i="33"/>
  <c r="P44" i="33"/>
  <c r="Q44" i="33" s="1"/>
  <c r="N44" i="33"/>
  <c r="O44" i="33" s="1"/>
  <c r="K44" i="33"/>
  <c r="F44" i="33"/>
  <c r="G44" i="33" s="1"/>
  <c r="D44" i="33"/>
  <c r="E44" i="33" s="1"/>
  <c r="B44" i="33"/>
  <c r="A44" i="33"/>
  <c r="M44" i="33" s="1"/>
  <c r="AE43" i="33"/>
  <c r="U43" i="33"/>
  <c r="S43" i="33"/>
  <c r="P43" i="33"/>
  <c r="Q43" i="33" s="1"/>
  <c r="N43" i="33"/>
  <c r="O43" i="33" s="1"/>
  <c r="K43" i="33"/>
  <c r="L43" i="33" s="1"/>
  <c r="F43" i="33"/>
  <c r="G43" i="33" s="1"/>
  <c r="D43" i="33"/>
  <c r="E43" i="33" s="1"/>
  <c r="B43" i="33"/>
  <c r="A43" i="33"/>
  <c r="M43" i="33" s="1"/>
  <c r="AE42" i="33"/>
  <c r="U42" i="33"/>
  <c r="S42" i="33"/>
  <c r="P42" i="33"/>
  <c r="Q42" i="33" s="1"/>
  <c r="N42" i="33"/>
  <c r="O42" i="33" s="1"/>
  <c r="K42" i="33"/>
  <c r="L42" i="33" s="1"/>
  <c r="F42" i="33"/>
  <c r="G42" i="33" s="1"/>
  <c r="D42" i="33"/>
  <c r="E42" i="33" s="1"/>
  <c r="B42" i="33"/>
  <c r="A42" i="33"/>
  <c r="M42" i="33" s="1"/>
  <c r="AE41" i="33"/>
  <c r="U41" i="33"/>
  <c r="S41" i="33"/>
  <c r="P41" i="33"/>
  <c r="Q41" i="33" s="1"/>
  <c r="N41" i="33"/>
  <c r="O41" i="33" s="1"/>
  <c r="K41" i="33"/>
  <c r="F41" i="33"/>
  <c r="G41" i="33" s="1"/>
  <c r="D41" i="33"/>
  <c r="E41" i="33" s="1"/>
  <c r="B41" i="33"/>
  <c r="A41" i="33"/>
  <c r="M41" i="33" s="1"/>
  <c r="AE40" i="33"/>
  <c r="Y40" i="33"/>
  <c r="Z40" i="33" s="1"/>
  <c r="W40" i="33"/>
  <c r="B40" i="33"/>
  <c r="A40" i="33"/>
  <c r="AE39" i="33"/>
  <c r="Y39" i="33"/>
  <c r="Z39" i="33" s="1"/>
  <c r="W39" i="33"/>
  <c r="X39" i="33" s="1"/>
  <c r="B39" i="33"/>
  <c r="A39" i="33"/>
  <c r="AE38" i="33"/>
  <c r="Y38" i="33"/>
  <c r="Z38" i="33" s="1"/>
  <c r="W38" i="33"/>
  <c r="B38" i="33"/>
  <c r="A38" i="33"/>
  <c r="AE37" i="33"/>
  <c r="Y37" i="33"/>
  <c r="Z37" i="33" s="1"/>
  <c r="W37" i="33"/>
  <c r="X37" i="33" s="1"/>
  <c r="K37" i="33"/>
  <c r="L37" i="33" s="1"/>
  <c r="B37" i="33"/>
  <c r="A37" i="33"/>
  <c r="AE36" i="33"/>
  <c r="Y36" i="33"/>
  <c r="Z36" i="33" s="1"/>
  <c r="W36" i="33"/>
  <c r="X36" i="33" s="1"/>
  <c r="B36" i="33"/>
  <c r="A36" i="33"/>
  <c r="AE35" i="33"/>
  <c r="U35" i="33"/>
  <c r="S35" i="33"/>
  <c r="P35" i="33"/>
  <c r="Q35" i="33" s="1"/>
  <c r="N35" i="33"/>
  <c r="O35" i="33" s="1"/>
  <c r="K35" i="33"/>
  <c r="L35" i="33" s="1"/>
  <c r="F35" i="33"/>
  <c r="G35" i="33" s="1"/>
  <c r="D35" i="33"/>
  <c r="E35" i="33" s="1"/>
  <c r="B35" i="33"/>
  <c r="A35" i="33"/>
  <c r="M35" i="33" s="1"/>
  <c r="AE34" i="33"/>
  <c r="U34" i="33"/>
  <c r="S34" i="33"/>
  <c r="P34" i="33"/>
  <c r="Q34" i="33" s="1"/>
  <c r="N34" i="33"/>
  <c r="O34" i="33" s="1"/>
  <c r="K34" i="33"/>
  <c r="F34" i="33"/>
  <c r="G34" i="33" s="1"/>
  <c r="D34" i="33"/>
  <c r="E34" i="33" s="1"/>
  <c r="B34" i="33"/>
  <c r="A34" i="33"/>
  <c r="M34" i="33" s="1"/>
  <c r="AE33" i="33"/>
  <c r="U33" i="33"/>
  <c r="S33" i="33"/>
  <c r="P33" i="33"/>
  <c r="Q33" i="33" s="1"/>
  <c r="N33" i="33"/>
  <c r="O33" i="33" s="1"/>
  <c r="K33" i="33"/>
  <c r="L33" i="33" s="1"/>
  <c r="F33" i="33"/>
  <c r="G33" i="33" s="1"/>
  <c r="D33" i="33"/>
  <c r="E33" i="33" s="1"/>
  <c r="B33" i="33"/>
  <c r="A33" i="33"/>
  <c r="M33" i="33" s="1"/>
  <c r="AE32" i="33"/>
  <c r="U32" i="33"/>
  <c r="S32" i="33"/>
  <c r="P32" i="33"/>
  <c r="Q32" i="33" s="1"/>
  <c r="N32" i="33"/>
  <c r="O32" i="33" s="1"/>
  <c r="K32" i="33"/>
  <c r="L32" i="33" s="1"/>
  <c r="F32" i="33"/>
  <c r="G32" i="33" s="1"/>
  <c r="D32" i="33"/>
  <c r="E32" i="33" s="1"/>
  <c r="B32" i="33"/>
  <c r="A32" i="33"/>
  <c r="M32" i="33" s="1"/>
  <c r="AE31" i="33"/>
  <c r="Y31" i="33"/>
  <c r="Z31" i="33" s="1"/>
  <c r="W31" i="33"/>
  <c r="B31" i="33"/>
  <c r="A31" i="33"/>
  <c r="AE30" i="33"/>
  <c r="Y30" i="33"/>
  <c r="Z30" i="33" s="1"/>
  <c r="W30" i="33"/>
  <c r="X30" i="33" s="1"/>
  <c r="B30" i="33"/>
  <c r="A30" i="33"/>
  <c r="AE29" i="33"/>
  <c r="Y29" i="33"/>
  <c r="Z29" i="33" s="1"/>
  <c r="W29" i="33"/>
  <c r="B29" i="33"/>
  <c r="A29" i="33"/>
  <c r="AE28" i="33"/>
  <c r="Y28" i="33"/>
  <c r="Z28" i="33" s="1"/>
  <c r="W28" i="33"/>
  <c r="X28" i="33" s="1"/>
  <c r="K28" i="33"/>
  <c r="L28" i="33" s="1"/>
  <c r="B28" i="33"/>
  <c r="A28" i="33"/>
  <c r="AE27" i="33"/>
  <c r="Y27" i="33"/>
  <c r="W27" i="33"/>
  <c r="X27" i="33" s="1"/>
  <c r="B27" i="33"/>
  <c r="A27" i="33"/>
  <c r="AE26" i="33"/>
  <c r="U26" i="33"/>
  <c r="S26" i="33"/>
  <c r="P26" i="33"/>
  <c r="Q26" i="33" s="1"/>
  <c r="N26" i="33"/>
  <c r="O26" i="33" s="1"/>
  <c r="K26" i="33"/>
  <c r="L26" i="33" s="1"/>
  <c r="F26" i="33"/>
  <c r="G26" i="33" s="1"/>
  <c r="D26" i="33"/>
  <c r="E26" i="33" s="1"/>
  <c r="B26" i="33"/>
  <c r="A26" i="33"/>
  <c r="M26" i="33" s="1"/>
  <c r="AE25" i="33"/>
  <c r="U25" i="33"/>
  <c r="S25" i="33"/>
  <c r="P25" i="33"/>
  <c r="Q25" i="33" s="1"/>
  <c r="N25" i="33"/>
  <c r="O25" i="33" s="1"/>
  <c r="K25" i="33"/>
  <c r="L25" i="33" s="1"/>
  <c r="F25" i="33"/>
  <c r="G25" i="33" s="1"/>
  <c r="D25" i="33"/>
  <c r="E25" i="33" s="1"/>
  <c r="B25" i="33"/>
  <c r="A25" i="33"/>
  <c r="M25" i="33" s="1"/>
  <c r="AE24" i="33"/>
  <c r="U24" i="33"/>
  <c r="S24" i="33"/>
  <c r="P24" i="33"/>
  <c r="Q24" i="33" s="1"/>
  <c r="N24" i="33"/>
  <c r="O24" i="33" s="1"/>
  <c r="K24" i="33"/>
  <c r="L24" i="33" s="1"/>
  <c r="F24" i="33"/>
  <c r="G24" i="33" s="1"/>
  <c r="D24" i="33"/>
  <c r="E24" i="33" s="1"/>
  <c r="B24" i="33"/>
  <c r="A24" i="33"/>
  <c r="M24" i="33" s="1"/>
  <c r="AE23" i="33"/>
  <c r="U23" i="33"/>
  <c r="S23" i="33"/>
  <c r="P23" i="33"/>
  <c r="Q23" i="33" s="1"/>
  <c r="N23" i="33"/>
  <c r="O23" i="33" s="1"/>
  <c r="K23" i="33"/>
  <c r="L23" i="33" s="1"/>
  <c r="F23" i="33"/>
  <c r="G23" i="33" s="1"/>
  <c r="D23" i="33"/>
  <c r="E23" i="33" s="1"/>
  <c r="B23" i="33"/>
  <c r="A23" i="33"/>
  <c r="M23" i="33" s="1"/>
  <c r="AE22" i="33"/>
  <c r="Y22" i="33"/>
  <c r="Z22" i="33" s="1"/>
  <c r="W22" i="33"/>
  <c r="B22" i="33"/>
  <c r="A22" i="33"/>
  <c r="AE21" i="33"/>
  <c r="Y21" i="33"/>
  <c r="Z21" i="33" s="1"/>
  <c r="W21" i="33"/>
  <c r="X21" i="33" s="1"/>
  <c r="B21" i="33"/>
  <c r="A21" i="33"/>
  <c r="AE20" i="33"/>
  <c r="Y20" i="33"/>
  <c r="Z20" i="33" s="1"/>
  <c r="W20" i="33"/>
  <c r="X20" i="33" s="1"/>
  <c r="B20" i="33"/>
  <c r="A20" i="33"/>
  <c r="AE19" i="33"/>
  <c r="Y19" i="33"/>
  <c r="Z19" i="33" s="1"/>
  <c r="W19" i="33"/>
  <c r="X19" i="33" s="1"/>
  <c r="K19" i="33"/>
  <c r="L19" i="33" s="1"/>
  <c r="B19" i="33"/>
  <c r="A19" i="33"/>
  <c r="AE18" i="33"/>
  <c r="Y18" i="33"/>
  <c r="Z18" i="33" s="1"/>
  <c r="W18" i="33"/>
  <c r="X18" i="33" s="1"/>
  <c r="B18" i="33"/>
  <c r="A18" i="33"/>
  <c r="AE17" i="33"/>
  <c r="U17" i="33"/>
  <c r="S17" i="33"/>
  <c r="P17" i="33"/>
  <c r="Q17" i="33" s="1"/>
  <c r="N17" i="33"/>
  <c r="O17" i="33" s="1"/>
  <c r="K17" i="33"/>
  <c r="L17" i="33" s="1"/>
  <c r="F17" i="33"/>
  <c r="G17" i="33" s="1"/>
  <c r="D17" i="33"/>
  <c r="E17" i="33" s="1"/>
  <c r="B17" i="33"/>
  <c r="A17" i="33"/>
  <c r="M17" i="33" s="1"/>
  <c r="AE16" i="33"/>
  <c r="U16" i="33"/>
  <c r="S16" i="33"/>
  <c r="P16" i="33"/>
  <c r="Q16" i="33" s="1"/>
  <c r="N16" i="33"/>
  <c r="O16" i="33" s="1"/>
  <c r="K16" i="33"/>
  <c r="L16" i="33" s="1"/>
  <c r="F16" i="33"/>
  <c r="G16" i="33" s="1"/>
  <c r="D16" i="33"/>
  <c r="E16" i="33" s="1"/>
  <c r="B16" i="33"/>
  <c r="A16" i="33"/>
  <c r="M16" i="33" s="1"/>
  <c r="AE15" i="33"/>
  <c r="U15" i="33"/>
  <c r="S15" i="33"/>
  <c r="P15" i="33"/>
  <c r="Q15" i="33" s="1"/>
  <c r="N15" i="33"/>
  <c r="O15" i="33" s="1"/>
  <c r="K15" i="33"/>
  <c r="L15" i="33" s="1"/>
  <c r="F15" i="33"/>
  <c r="G15" i="33" s="1"/>
  <c r="D15" i="33"/>
  <c r="E15" i="33" s="1"/>
  <c r="B15" i="33"/>
  <c r="A15" i="33"/>
  <c r="M15" i="33" s="1"/>
  <c r="AE14" i="33"/>
  <c r="U14" i="33"/>
  <c r="S14" i="33"/>
  <c r="P14" i="33"/>
  <c r="Q14" i="33" s="1"/>
  <c r="N14" i="33"/>
  <c r="O14" i="33" s="1"/>
  <c r="K14" i="33"/>
  <c r="F14" i="33"/>
  <c r="G14" i="33" s="1"/>
  <c r="D14" i="33"/>
  <c r="E14" i="33" s="1"/>
  <c r="B14" i="33"/>
  <c r="A14" i="33"/>
  <c r="M14" i="33" s="1"/>
  <c r="Y742" i="32"/>
  <c r="Z742" i="32" s="1"/>
  <c r="W742" i="32"/>
  <c r="X742" i="32" s="1"/>
  <c r="B742" i="32"/>
  <c r="A742" i="32"/>
  <c r="Y741" i="32"/>
  <c r="Z741" i="32" s="1"/>
  <c r="W741" i="32"/>
  <c r="B741" i="32"/>
  <c r="A741" i="32"/>
  <c r="Y740" i="32"/>
  <c r="W740" i="32"/>
  <c r="X740" i="32" s="1"/>
  <c r="B740" i="32"/>
  <c r="A740" i="32"/>
  <c r="Y739" i="32"/>
  <c r="Z739" i="32" s="1"/>
  <c r="W739" i="32"/>
  <c r="X739" i="32" s="1"/>
  <c r="K739" i="32"/>
  <c r="L739" i="32" s="1"/>
  <c r="B739" i="32"/>
  <c r="A739" i="32"/>
  <c r="Y738" i="32"/>
  <c r="Z738" i="32" s="1"/>
  <c r="W738" i="32"/>
  <c r="B738" i="32"/>
  <c r="A738" i="32"/>
  <c r="U737" i="32"/>
  <c r="S737" i="32"/>
  <c r="P737" i="32"/>
  <c r="Q737" i="32" s="1"/>
  <c r="N737" i="32"/>
  <c r="O737" i="32" s="1"/>
  <c r="K737" i="32"/>
  <c r="L737" i="32" s="1"/>
  <c r="F737" i="32"/>
  <c r="G737" i="32" s="1"/>
  <c r="D737" i="32"/>
  <c r="E737" i="32" s="1"/>
  <c r="B737" i="32"/>
  <c r="A737" i="32"/>
  <c r="M737" i="32" s="1"/>
  <c r="U736" i="32"/>
  <c r="S736" i="32"/>
  <c r="P736" i="32"/>
  <c r="Q736" i="32" s="1"/>
  <c r="N736" i="32"/>
  <c r="O736" i="32" s="1"/>
  <c r="K736" i="32"/>
  <c r="L736" i="32" s="1"/>
  <c r="F736" i="32"/>
  <c r="G736" i="32" s="1"/>
  <c r="D736" i="32"/>
  <c r="E736" i="32" s="1"/>
  <c r="B736" i="32"/>
  <c r="A736" i="32"/>
  <c r="M736" i="32" s="1"/>
  <c r="U735" i="32"/>
  <c r="S735" i="32"/>
  <c r="P735" i="32"/>
  <c r="Q735" i="32" s="1"/>
  <c r="N735" i="32"/>
  <c r="O735" i="32" s="1"/>
  <c r="K735" i="32"/>
  <c r="F735" i="32"/>
  <c r="G735" i="32" s="1"/>
  <c r="D735" i="32"/>
  <c r="E735" i="32" s="1"/>
  <c r="B735" i="32"/>
  <c r="A735" i="32"/>
  <c r="M735" i="32" s="1"/>
  <c r="U734" i="32"/>
  <c r="S734" i="32"/>
  <c r="P734" i="32"/>
  <c r="Q734" i="32" s="1"/>
  <c r="N734" i="32"/>
  <c r="O734" i="32" s="1"/>
  <c r="K734" i="32"/>
  <c r="L734" i="32" s="1"/>
  <c r="F734" i="32"/>
  <c r="G734" i="32" s="1"/>
  <c r="D734" i="32"/>
  <c r="E734" i="32" s="1"/>
  <c r="B734" i="32"/>
  <c r="A734" i="32"/>
  <c r="M734" i="32" s="1"/>
  <c r="Y733" i="32"/>
  <c r="Z733" i="32" s="1"/>
  <c r="W733" i="32"/>
  <c r="X733" i="32" s="1"/>
  <c r="B733" i="32"/>
  <c r="A733" i="32"/>
  <c r="Y732" i="32"/>
  <c r="Z732" i="32" s="1"/>
  <c r="W732" i="32"/>
  <c r="X732" i="32" s="1"/>
  <c r="B732" i="32"/>
  <c r="A732" i="32"/>
  <c r="Y731" i="32"/>
  <c r="W731" i="32"/>
  <c r="X731" i="32" s="1"/>
  <c r="B731" i="32"/>
  <c r="A731" i="32"/>
  <c r="Y730" i="32"/>
  <c r="Z730" i="32" s="1"/>
  <c r="W730" i="32"/>
  <c r="K730" i="32"/>
  <c r="L730" i="32" s="1"/>
  <c r="B730" i="32"/>
  <c r="A730" i="32"/>
  <c r="Y729" i="32"/>
  <c r="Z729" i="32" s="1"/>
  <c r="W729" i="32"/>
  <c r="B729" i="32"/>
  <c r="A729" i="32"/>
  <c r="U728" i="32"/>
  <c r="S728" i="32"/>
  <c r="P728" i="32"/>
  <c r="Q728" i="32" s="1"/>
  <c r="N728" i="32"/>
  <c r="O728" i="32" s="1"/>
  <c r="K728" i="32"/>
  <c r="L728" i="32" s="1"/>
  <c r="F728" i="32"/>
  <c r="G728" i="32" s="1"/>
  <c r="D728" i="32"/>
  <c r="E728" i="32" s="1"/>
  <c r="B728" i="32"/>
  <c r="A728" i="32"/>
  <c r="M728" i="32" s="1"/>
  <c r="U727" i="32"/>
  <c r="S727" i="32"/>
  <c r="P727" i="32"/>
  <c r="Q727" i="32" s="1"/>
  <c r="N727" i="32"/>
  <c r="O727" i="32" s="1"/>
  <c r="K727" i="32"/>
  <c r="L727" i="32" s="1"/>
  <c r="F727" i="32"/>
  <c r="G727" i="32" s="1"/>
  <c r="D727" i="32"/>
  <c r="E727" i="32" s="1"/>
  <c r="B727" i="32"/>
  <c r="A727" i="32"/>
  <c r="M727" i="32" s="1"/>
  <c r="U726" i="32"/>
  <c r="S726" i="32"/>
  <c r="P726" i="32"/>
  <c r="Q726" i="32" s="1"/>
  <c r="N726" i="32"/>
  <c r="O726" i="32" s="1"/>
  <c r="K726" i="32"/>
  <c r="F726" i="32"/>
  <c r="G726" i="32" s="1"/>
  <c r="D726" i="32"/>
  <c r="E726" i="32" s="1"/>
  <c r="B726" i="32"/>
  <c r="A726" i="32"/>
  <c r="M726" i="32" s="1"/>
  <c r="U725" i="32"/>
  <c r="S725" i="32"/>
  <c r="P725" i="32"/>
  <c r="Q725" i="32" s="1"/>
  <c r="N725" i="32"/>
  <c r="O725" i="32" s="1"/>
  <c r="K725" i="32"/>
  <c r="L725" i="32" s="1"/>
  <c r="F725" i="32"/>
  <c r="G725" i="32" s="1"/>
  <c r="D725" i="32"/>
  <c r="E725" i="32" s="1"/>
  <c r="B725" i="32"/>
  <c r="A725" i="32"/>
  <c r="M725" i="32" s="1"/>
  <c r="Y724" i="32"/>
  <c r="W724" i="32"/>
  <c r="X724" i="32" s="1"/>
  <c r="B724" i="32"/>
  <c r="A724" i="32"/>
  <c r="Y723" i="32"/>
  <c r="Z723" i="32" s="1"/>
  <c r="W723" i="32"/>
  <c r="X723" i="32" s="1"/>
  <c r="B723" i="32"/>
  <c r="A723" i="32"/>
  <c r="Y722" i="32"/>
  <c r="Z722" i="32" s="1"/>
  <c r="W722" i="32"/>
  <c r="X722" i="32" s="1"/>
  <c r="B722" i="32"/>
  <c r="A722" i="32"/>
  <c r="Y721" i="32"/>
  <c r="Z721" i="32" s="1"/>
  <c r="W721" i="32"/>
  <c r="K721" i="32"/>
  <c r="L721" i="32" s="1"/>
  <c r="B721" i="32"/>
  <c r="A721" i="32"/>
  <c r="Y720" i="32"/>
  <c r="Z720" i="32" s="1"/>
  <c r="W720" i="32"/>
  <c r="B720" i="32"/>
  <c r="A720" i="32"/>
  <c r="U719" i="32"/>
  <c r="S719" i="32"/>
  <c r="P719" i="32"/>
  <c r="Q719" i="32" s="1"/>
  <c r="N719" i="32"/>
  <c r="O719" i="32" s="1"/>
  <c r="K719" i="32"/>
  <c r="L719" i="32" s="1"/>
  <c r="F719" i="32"/>
  <c r="G719" i="32" s="1"/>
  <c r="D719" i="32"/>
  <c r="E719" i="32" s="1"/>
  <c r="B719" i="32"/>
  <c r="A719" i="32"/>
  <c r="M719" i="32" s="1"/>
  <c r="U718" i="32"/>
  <c r="S718" i="32"/>
  <c r="P718" i="32"/>
  <c r="Q718" i="32" s="1"/>
  <c r="N718" i="32"/>
  <c r="O718" i="32" s="1"/>
  <c r="K718" i="32"/>
  <c r="L718" i="32" s="1"/>
  <c r="F718" i="32"/>
  <c r="G718" i="32" s="1"/>
  <c r="D718" i="32"/>
  <c r="E718" i="32" s="1"/>
  <c r="B718" i="32"/>
  <c r="A718" i="32"/>
  <c r="M718" i="32" s="1"/>
  <c r="U717" i="32"/>
  <c r="S717" i="32"/>
  <c r="P717" i="32"/>
  <c r="Q717" i="32" s="1"/>
  <c r="N717" i="32"/>
  <c r="O717" i="32" s="1"/>
  <c r="K717" i="32"/>
  <c r="L717" i="32" s="1"/>
  <c r="F717" i="32"/>
  <c r="G717" i="32" s="1"/>
  <c r="D717" i="32"/>
  <c r="E717" i="32" s="1"/>
  <c r="B717" i="32"/>
  <c r="A717" i="32"/>
  <c r="M717" i="32" s="1"/>
  <c r="U716" i="32"/>
  <c r="S716" i="32"/>
  <c r="P716" i="32"/>
  <c r="Q716" i="32" s="1"/>
  <c r="N716" i="32"/>
  <c r="O716" i="32" s="1"/>
  <c r="K716" i="32"/>
  <c r="L716" i="32" s="1"/>
  <c r="F716" i="32"/>
  <c r="G716" i="32" s="1"/>
  <c r="D716" i="32"/>
  <c r="E716" i="32" s="1"/>
  <c r="B716" i="32"/>
  <c r="A716" i="32"/>
  <c r="M716" i="32" s="1"/>
  <c r="Y715" i="32"/>
  <c r="Z715" i="32" s="1"/>
  <c r="W715" i="32"/>
  <c r="X715" i="32" s="1"/>
  <c r="B715" i="32"/>
  <c r="A715" i="32"/>
  <c r="Y714" i="32"/>
  <c r="Z714" i="32" s="1"/>
  <c r="W714" i="32"/>
  <c r="X714" i="32" s="1"/>
  <c r="B714" i="32"/>
  <c r="A714" i="32"/>
  <c r="Y713" i="32"/>
  <c r="W713" i="32"/>
  <c r="X713" i="32" s="1"/>
  <c r="B713" i="32"/>
  <c r="A713" i="32"/>
  <c r="Y712" i="32"/>
  <c r="Z712" i="32" s="1"/>
  <c r="W712" i="32"/>
  <c r="K712" i="32"/>
  <c r="L712" i="32" s="1"/>
  <c r="B712" i="32"/>
  <c r="A712" i="32"/>
  <c r="Y711" i="32"/>
  <c r="Z711" i="32" s="1"/>
  <c r="W711" i="32"/>
  <c r="B711" i="32"/>
  <c r="A711" i="32"/>
  <c r="U710" i="32"/>
  <c r="S710" i="32"/>
  <c r="P710" i="32"/>
  <c r="Q710" i="32" s="1"/>
  <c r="N710" i="32"/>
  <c r="O710" i="32" s="1"/>
  <c r="K710" i="32"/>
  <c r="L710" i="32" s="1"/>
  <c r="F710" i="32"/>
  <c r="G710" i="32" s="1"/>
  <c r="D710" i="32"/>
  <c r="E710" i="32" s="1"/>
  <c r="B710" i="32"/>
  <c r="A710" i="32"/>
  <c r="M710" i="32" s="1"/>
  <c r="U709" i="32"/>
  <c r="S709" i="32"/>
  <c r="P709" i="32"/>
  <c r="Q709" i="32" s="1"/>
  <c r="N709" i="32"/>
  <c r="O709" i="32" s="1"/>
  <c r="K709" i="32"/>
  <c r="L709" i="32" s="1"/>
  <c r="F709" i="32"/>
  <c r="G709" i="32" s="1"/>
  <c r="D709" i="32"/>
  <c r="E709" i="32" s="1"/>
  <c r="B709" i="32"/>
  <c r="A709" i="32"/>
  <c r="M709" i="32" s="1"/>
  <c r="U708" i="32"/>
  <c r="S708" i="32"/>
  <c r="P708" i="32"/>
  <c r="Q708" i="32" s="1"/>
  <c r="N708" i="32"/>
  <c r="O708" i="32" s="1"/>
  <c r="K708" i="32"/>
  <c r="L708" i="32" s="1"/>
  <c r="F708" i="32"/>
  <c r="G708" i="32" s="1"/>
  <c r="D708" i="32"/>
  <c r="E708" i="32" s="1"/>
  <c r="B708" i="32"/>
  <c r="A708" i="32"/>
  <c r="M708" i="32" s="1"/>
  <c r="U707" i="32"/>
  <c r="S707" i="32"/>
  <c r="P707" i="32"/>
  <c r="Q707" i="32" s="1"/>
  <c r="N707" i="32"/>
  <c r="O707" i="32" s="1"/>
  <c r="K707" i="32"/>
  <c r="L707" i="32" s="1"/>
  <c r="F707" i="32"/>
  <c r="G707" i="32" s="1"/>
  <c r="D707" i="32"/>
  <c r="E707" i="32" s="1"/>
  <c r="B707" i="32"/>
  <c r="A707" i="32"/>
  <c r="M707" i="32" s="1"/>
  <c r="Y706" i="32"/>
  <c r="Z706" i="32" s="1"/>
  <c r="W706" i="32"/>
  <c r="B706" i="32"/>
  <c r="A706" i="32"/>
  <c r="Y705" i="32"/>
  <c r="Z705" i="32" s="1"/>
  <c r="W705" i="32"/>
  <c r="B705" i="32"/>
  <c r="A705" i="32"/>
  <c r="Y704" i="32"/>
  <c r="Z704" i="32" s="1"/>
  <c r="W704" i="32"/>
  <c r="B704" i="32"/>
  <c r="A704" i="32"/>
  <c r="Y703" i="32"/>
  <c r="Z703" i="32" s="1"/>
  <c r="W703" i="32"/>
  <c r="K703" i="32"/>
  <c r="L703" i="32" s="1"/>
  <c r="B703" i="32"/>
  <c r="A703" i="32"/>
  <c r="Y702" i="32"/>
  <c r="Z702" i="32" s="1"/>
  <c r="W702" i="32"/>
  <c r="X702" i="32" s="1"/>
  <c r="B702" i="32"/>
  <c r="A702" i="32"/>
  <c r="U701" i="32"/>
  <c r="S701" i="32"/>
  <c r="P701" i="32"/>
  <c r="Q701" i="32" s="1"/>
  <c r="N701" i="32"/>
  <c r="O701" i="32" s="1"/>
  <c r="K701" i="32"/>
  <c r="L701" i="32" s="1"/>
  <c r="F701" i="32"/>
  <c r="G701" i="32" s="1"/>
  <c r="D701" i="32"/>
  <c r="E701" i="32" s="1"/>
  <c r="B701" i="32"/>
  <c r="A701" i="32"/>
  <c r="M701" i="32" s="1"/>
  <c r="U700" i="32"/>
  <c r="S700" i="32"/>
  <c r="P700" i="32"/>
  <c r="Q700" i="32" s="1"/>
  <c r="N700" i="32"/>
  <c r="O700" i="32" s="1"/>
  <c r="K700" i="32"/>
  <c r="L700" i="32" s="1"/>
  <c r="F700" i="32"/>
  <c r="G700" i="32" s="1"/>
  <c r="D700" i="32"/>
  <c r="E700" i="32" s="1"/>
  <c r="B700" i="32"/>
  <c r="A700" i="32"/>
  <c r="M700" i="32" s="1"/>
  <c r="U699" i="32"/>
  <c r="S699" i="32"/>
  <c r="P699" i="32"/>
  <c r="Q699" i="32" s="1"/>
  <c r="N699" i="32"/>
  <c r="O699" i="32" s="1"/>
  <c r="K699" i="32"/>
  <c r="F699" i="32"/>
  <c r="G699" i="32" s="1"/>
  <c r="D699" i="32"/>
  <c r="E699" i="32" s="1"/>
  <c r="B699" i="32"/>
  <c r="A699" i="32"/>
  <c r="M699" i="32" s="1"/>
  <c r="U698" i="32"/>
  <c r="S698" i="32"/>
  <c r="P698" i="32"/>
  <c r="Q698" i="32" s="1"/>
  <c r="N698" i="32"/>
  <c r="O698" i="32" s="1"/>
  <c r="K698" i="32"/>
  <c r="L698" i="32" s="1"/>
  <c r="F698" i="32"/>
  <c r="G698" i="32" s="1"/>
  <c r="D698" i="32"/>
  <c r="E698" i="32" s="1"/>
  <c r="B698" i="32"/>
  <c r="A698" i="32"/>
  <c r="M698" i="32" s="1"/>
  <c r="Y697" i="32"/>
  <c r="Z697" i="32" s="1"/>
  <c r="W697" i="32"/>
  <c r="X697" i="32" s="1"/>
  <c r="B697" i="32"/>
  <c r="A697" i="32"/>
  <c r="Y696" i="32"/>
  <c r="Z696" i="32" s="1"/>
  <c r="W696" i="32"/>
  <c r="X696" i="32" s="1"/>
  <c r="B696" i="32"/>
  <c r="A696" i="32"/>
  <c r="Y695" i="32"/>
  <c r="Z695" i="32" s="1"/>
  <c r="W695" i="32"/>
  <c r="B695" i="32"/>
  <c r="A695" i="32"/>
  <c r="Y694" i="32"/>
  <c r="Z694" i="32" s="1"/>
  <c r="W694" i="32"/>
  <c r="X694" i="32" s="1"/>
  <c r="K694" i="32"/>
  <c r="L694" i="32" s="1"/>
  <c r="B694" i="32"/>
  <c r="A694" i="32"/>
  <c r="Y693" i="32"/>
  <c r="Z693" i="32" s="1"/>
  <c r="W693" i="32"/>
  <c r="X693" i="32" s="1"/>
  <c r="B693" i="32"/>
  <c r="A693" i="32"/>
  <c r="U692" i="32"/>
  <c r="S692" i="32"/>
  <c r="P692" i="32"/>
  <c r="Q692" i="32" s="1"/>
  <c r="N692" i="32"/>
  <c r="O692" i="32" s="1"/>
  <c r="K692" i="32"/>
  <c r="L692" i="32" s="1"/>
  <c r="F692" i="32"/>
  <c r="G692" i="32" s="1"/>
  <c r="D692" i="32"/>
  <c r="E692" i="32" s="1"/>
  <c r="B692" i="32"/>
  <c r="A692" i="32"/>
  <c r="M692" i="32" s="1"/>
  <c r="U691" i="32"/>
  <c r="S691" i="32"/>
  <c r="P691" i="32"/>
  <c r="Q691" i="32" s="1"/>
  <c r="N691" i="32"/>
  <c r="O691" i="32" s="1"/>
  <c r="K691" i="32"/>
  <c r="L691" i="32" s="1"/>
  <c r="F691" i="32"/>
  <c r="G691" i="32" s="1"/>
  <c r="D691" i="32"/>
  <c r="E691" i="32" s="1"/>
  <c r="B691" i="32"/>
  <c r="A691" i="32"/>
  <c r="M691" i="32" s="1"/>
  <c r="U690" i="32"/>
  <c r="S690" i="32"/>
  <c r="P690" i="32"/>
  <c r="Q690" i="32" s="1"/>
  <c r="N690" i="32"/>
  <c r="O690" i="32" s="1"/>
  <c r="K690" i="32"/>
  <c r="L690" i="32" s="1"/>
  <c r="F690" i="32"/>
  <c r="G690" i="32" s="1"/>
  <c r="D690" i="32"/>
  <c r="E690" i="32" s="1"/>
  <c r="B690" i="32"/>
  <c r="A690" i="32"/>
  <c r="M690" i="32" s="1"/>
  <c r="U689" i="32"/>
  <c r="S689" i="32"/>
  <c r="P689" i="32"/>
  <c r="Q689" i="32" s="1"/>
  <c r="N689" i="32"/>
  <c r="O689" i="32" s="1"/>
  <c r="K689" i="32"/>
  <c r="L689" i="32" s="1"/>
  <c r="F689" i="32"/>
  <c r="G689" i="32" s="1"/>
  <c r="D689" i="32"/>
  <c r="E689" i="32" s="1"/>
  <c r="B689" i="32"/>
  <c r="A689" i="32"/>
  <c r="M689" i="32" s="1"/>
  <c r="Y688" i="32"/>
  <c r="Z688" i="32" s="1"/>
  <c r="W688" i="32"/>
  <c r="B688" i="32"/>
  <c r="A688" i="32"/>
  <c r="Y687" i="32"/>
  <c r="Z687" i="32" s="1"/>
  <c r="W687" i="32"/>
  <c r="X687" i="32" s="1"/>
  <c r="B687" i="32"/>
  <c r="A687" i="32"/>
  <c r="Y686" i="32"/>
  <c r="Z686" i="32" s="1"/>
  <c r="W686" i="32"/>
  <c r="X686" i="32" s="1"/>
  <c r="B686" i="32"/>
  <c r="A686" i="32"/>
  <c r="Y685" i="32"/>
  <c r="Z685" i="32" s="1"/>
  <c r="W685" i="32"/>
  <c r="X685" i="32" s="1"/>
  <c r="K685" i="32"/>
  <c r="L685" i="32" s="1"/>
  <c r="B685" i="32"/>
  <c r="A685" i="32"/>
  <c r="Y684" i="32"/>
  <c r="Z684" i="32" s="1"/>
  <c r="W684" i="32"/>
  <c r="X684" i="32" s="1"/>
  <c r="B684" i="32"/>
  <c r="A684" i="32"/>
  <c r="U683" i="32"/>
  <c r="S683" i="32"/>
  <c r="P683" i="32"/>
  <c r="Q683" i="32" s="1"/>
  <c r="N683" i="32"/>
  <c r="O683" i="32" s="1"/>
  <c r="K683" i="32"/>
  <c r="L683" i="32" s="1"/>
  <c r="F683" i="32"/>
  <c r="G683" i="32" s="1"/>
  <c r="D683" i="32"/>
  <c r="E683" i="32" s="1"/>
  <c r="B683" i="32"/>
  <c r="A683" i="32"/>
  <c r="M683" i="32" s="1"/>
  <c r="U682" i="32"/>
  <c r="S682" i="32"/>
  <c r="P682" i="32"/>
  <c r="Q682" i="32" s="1"/>
  <c r="N682" i="32"/>
  <c r="O682" i="32" s="1"/>
  <c r="K682" i="32"/>
  <c r="L682" i="32" s="1"/>
  <c r="F682" i="32"/>
  <c r="G682" i="32" s="1"/>
  <c r="D682" i="32"/>
  <c r="E682" i="32" s="1"/>
  <c r="B682" i="32"/>
  <c r="A682" i="32"/>
  <c r="M682" i="32" s="1"/>
  <c r="U681" i="32"/>
  <c r="S681" i="32"/>
  <c r="P681" i="32"/>
  <c r="Q681" i="32" s="1"/>
  <c r="N681" i="32"/>
  <c r="O681" i="32" s="1"/>
  <c r="K681" i="32"/>
  <c r="F681" i="32"/>
  <c r="G681" i="32" s="1"/>
  <c r="D681" i="32"/>
  <c r="E681" i="32" s="1"/>
  <c r="B681" i="32"/>
  <c r="A681" i="32"/>
  <c r="M681" i="32" s="1"/>
  <c r="U680" i="32"/>
  <c r="S680" i="32"/>
  <c r="P680" i="32"/>
  <c r="Q680" i="32" s="1"/>
  <c r="N680" i="32"/>
  <c r="O680" i="32" s="1"/>
  <c r="K680" i="32"/>
  <c r="L680" i="32" s="1"/>
  <c r="F680" i="32"/>
  <c r="G680" i="32" s="1"/>
  <c r="D680" i="32"/>
  <c r="E680" i="32" s="1"/>
  <c r="B680" i="32"/>
  <c r="A680" i="32"/>
  <c r="M680" i="32" s="1"/>
  <c r="Y679" i="32"/>
  <c r="Z679" i="32" s="1"/>
  <c r="W679" i="32"/>
  <c r="B679" i="32"/>
  <c r="A679" i="32"/>
  <c r="Y678" i="32"/>
  <c r="Z678" i="32" s="1"/>
  <c r="W678" i="32"/>
  <c r="X678" i="32" s="1"/>
  <c r="B678" i="32"/>
  <c r="A678" i="32"/>
  <c r="Y677" i="32"/>
  <c r="Z677" i="32" s="1"/>
  <c r="W677" i="32"/>
  <c r="B677" i="32"/>
  <c r="A677" i="32"/>
  <c r="Y676" i="32"/>
  <c r="Z676" i="32" s="1"/>
  <c r="W676" i="32"/>
  <c r="X676" i="32" s="1"/>
  <c r="K676" i="32"/>
  <c r="L676" i="32" s="1"/>
  <c r="B676" i="32"/>
  <c r="A676" i="32"/>
  <c r="Y675" i="32"/>
  <c r="Z675" i="32" s="1"/>
  <c r="W675" i="32"/>
  <c r="X675" i="32" s="1"/>
  <c r="B675" i="32"/>
  <c r="A675" i="32"/>
  <c r="U674" i="32"/>
  <c r="S674" i="32"/>
  <c r="P674" i="32"/>
  <c r="Q674" i="32" s="1"/>
  <c r="N674" i="32"/>
  <c r="O674" i="32" s="1"/>
  <c r="K674" i="32"/>
  <c r="L674" i="32" s="1"/>
  <c r="F674" i="32"/>
  <c r="G674" i="32" s="1"/>
  <c r="D674" i="32"/>
  <c r="E674" i="32" s="1"/>
  <c r="B674" i="32"/>
  <c r="A674" i="32"/>
  <c r="M674" i="32" s="1"/>
  <c r="U673" i="32"/>
  <c r="S673" i="32"/>
  <c r="P673" i="32"/>
  <c r="Q673" i="32" s="1"/>
  <c r="N673" i="32"/>
  <c r="O673" i="32" s="1"/>
  <c r="K673" i="32"/>
  <c r="L673" i="32" s="1"/>
  <c r="F673" i="32"/>
  <c r="G673" i="32" s="1"/>
  <c r="D673" i="32"/>
  <c r="E673" i="32" s="1"/>
  <c r="B673" i="32"/>
  <c r="A673" i="32"/>
  <c r="M673" i="32" s="1"/>
  <c r="U672" i="32"/>
  <c r="S672" i="32"/>
  <c r="P672" i="32"/>
  <c r="Q672" i="32" s="1"/>
  <c r="N672" i="32"/>
  <c r="O672" i="32" s="1"/>
  <c r="K672" i="32"/>
  <c r="L672" i="32" s="1"/>
  <c r="F672" i="32"/>
  <c r="G672" i="32" s="1"/>
  <c r="D672" i="32"/>
  <c r="E672" i="32" s="1"/>
  <c r="B672" i="32"/>
  <c r="A672" i="32"/>
  <c r="M672" i="32" s="1"/>
  <c r="U671" i="32"/>
  <c r="S671" i="32"/>
  <c r="P671" i="32"/>
  <c r="Q671" i="32" s="1"/>
  <c r="N671" i="32"/>
  <c r="O671" i="32" s="1"/>
  <c r="K671" i="32"/>
  <c r="L671" i="32" s="1"/>
  <c r="F671" i="32"/>
  <c r="G671" i="32" s="1"/>
  <c r="D671" i="32"/>
  <c r="E671" i="32" s="1"/>
  <c r="B671" i="32"/>
  <c r="A671" i="32"/>
  <c r="M671" i="32" s="1"/>
  <c r="Y670" i="32"/>
  <c r="Z670" i="32" s="1"/>
  <c r="W670" i="32"/>
  <c r="B670" i="32"/>
  <c r="A670" i="32"/>
  <c r="Y669" i="32"/>
  <c r="Z669" i="32" s="1"/>
  <c r="W669" i="32"/>
  <c r="B669" i="32"/>
  <c r="A669" i="32"/>
  <c r="Y668" i="32"/>
  <c r="Z668" i="32" s="1"/>
  <c r="W668" i="32"/>
  <c r="B668" i="32"/>
  <c r="A668" i="32"/>
  <c r="Y667" i="32"/>
  <c r="Z667" i="32" s="1"/>
  <c r="W667" i="32"/>
  <c r="K667" i="32"/>
  <c r="L667" i="32" s="1"/>
  <c r="B667" i="32"/>
  <c r="A667" i="32"/>
  <c r="Y666" i="32"/>
  <c r="Z666" i="32" s="1"/>
  <c r="W666" i="32"/>
  <c r="B666" i="32"/>
  <c r="A666" i="32"/>
  <c r="U665" i="32"/>
  <c r="S665" i="32"/>
  <c r="P665" i="32"/>
  <c r="Q665" i="32" s="1"/>
  <c r="N665" i="32"/>
  <c r="O665" i="32" s="1"/>
  <c r="K665" i="32"/>
  <c r="L665" i="32" s="1"/>
  <c r="F665" i="32"/>
  <c r="G665" i="32" s="1"/>
  <c r="D665" i="32"/>
  <c r="E665" i="32" s="1"/>
  <c r="B665" i="32"/>
  <c r="A665" i="32"/>
  <c r="M665" i="32" s="1"/>
  <c r="U664" i="32"/>
  <c r="S664" i="32"/>
  <c r="P664" i="32"/>
  <c r="Q664" i="32" s="1"/>
  <c r="N664" i="32"/>
  <c r="O664" i="32" s="1"/>
  <c r="K664" i="32"/>
  <c r="L664" i="32" s="1"/>
  <c r="F664" i="32"/>
  <c r="G664" i="32" s="1"/>
  <c r="D664" i="32"/>
  <c r="E664" i="32" s="1"/>
  <c r="B664" i="32"/>
  <c r="A664" i="32"/>
  <c r="M664" i="32" s="1"/>
  <c r="U663" i="32"/>
  <c r="S663" i="32"/>
  <c r="P663" i="32"/>
  <c r="Q663" i="32" s="1"/>
  <c r="N663" i="32"/>
  <c r="O663" i="32" s="1"/>
  <c r="K663" i="32"/>
  <c r="L663" i="32" s="1"/>
  <c r="F663" i="32"/>
  <c r="G663" i="32" s="1"/>
  <c r="D663" i="32"/>
  <c r="E663" i="32" s="1"/>
  <c r="B663" i="32"/>
  <c r="A663" i="32"/>
  <c r="M663" i="32" s="1"/>
  <c r="U662" i="32"/>
  <c r="S662" i="32"/>
  <c r="P662" i="32"/>
  <c r="Q662" i="32" s="1"/>
  <c r="N662" i="32"/>
  <c r="O662" i="32" s="1"/>
  <c r="K662" i="32"/>
  <c r="L662" i="32" s="1"/>
  <c r="F662" i="32"/>
  <c r="G662" i="32" s="1"/>
  <c r="D662" i="32"/>
  <c r="E662" i="32" s="1"/>
  <c r="B662" i="32"/>
  <c r="A662" i="32"/>
  <c r="M662" i="32" s="1"/>
  <c r="Y661" i="32"/>
  <c r="Z661" i="32" s="1"/>
  <c r="W661" i="32"/>
  <c r="X661" i="32" s="1"/>
  <c r="B661" i="32"/>
  <c r="A661" i="32"/>
  <c r="Y660" i="32"/>
  <c r="Z660" i="32" s="1"/>
  <c r="W660" i="32"/>
  <c r="B660" i="32"/>
  <c r="A660" i="32"/>
  <c r="Y659" i="32"/>
  <c r="Z659" i="32" s="1"/>
  <c r="W659" i="32"/>
  <c r="B659" i="32"/>
  <c r="A659" i="32"/>
  <c r="Y658" i="32"/>
  <c r="Z658" i="32" s="1"/>
  <c r="W658" i="32"/>
  <c r="K658" i="32"/>
  <c r="L658" i="32" s="1"/>
  <c r="B658" i="32"/>
  <c r="A658" i="32"/>
  <c r="Y657" i="32"/>
  <c r="Z657" i="32" s="1"/>
  <c r="W657" i="32"/>
  <c r="X657" i="32" s="1"/>
  <c r="B657" i="32"/>
  <c r="A657" i="32"/>
  <c r="U656" i="32"/>
  <c r="S656" i="32"/>
  <c r="P656" i="32"/>
  <c r="Q656" i="32" s="1"/>
  <c r="N656" i="32"/>
  <c r="O656" i="32" s="1"/>
  <c r="K656" i="32"/>
  <c r="L656" i="32" s="1"/>
  <c r="F656" i="32"/>
  <c r="G656" i="32" s="1"/>
  <c r="D656" i="32"/>
  <c r="E656" i="32" s="1"/>
  <c r="B656" i="32"/>
  <c r="A656" i="32"/>
  <c r="M656" i="32" s="1"/>
  <c r="U655" i="32"/>
  <c r="S655" i="32"/>
  <c r="P655" i="32"/>
  <c r="Q655" i="32" s="1"/>
  <c r="N655" i="32"/>
  <c r="O655" i="32" s="1"/>
  <c r="K655" i="32"/>
  <c r="L655" i="32" s="1"/>
  <c r="F655" i="32"/>
  <c r="G655" i="32" s="1"/>
  <c r="D655" i="32"/>
  <c r="E655" i="32" s="1"/>
  <c r="B655" i="32"/>
  <c r="A655" i="32"/>
  <c r="M655" i="32" s="1"/>
  <c r="U654" i="32"/>
  <c r="S654" i="32"/>
  <c r="P654" i="32"/>
  <c r="Q654" i="32" s="1"/>
  <c r="N654" i="32"/>
  <c r="O654" i="32" s="1"/>
  <c r="K654" i="32"/>
  <c r="L654" i="32" s="1"/>
  <c r="F654" i="32"/>
  <c r="G654" i="32" s="1"/>
  <c r="D654" i="32"/>
  <c r="E654" i="32" s="1"/>
  <c r="B654" i="32"/>
  <c r="A654" i="32"/>
  <c r="M654" i="32" s="1"/>
  <c r="U653" i="32"/>
  <c r="S653" i="32"/>
  <c r="P653" i="32"/>
  <c r="Q653" i="32" s="1"/>
  <c r="N653" i="32"/>
  <c r="O653" i="32" s="1"/>
  <c r="K653" i="32"/>
  <c r="L653" i="32" s="1"/>
  <c r="F653" i="32"/>
  <c r="G653" i="32" s="1"/>
  <c r="D653" i="32"/>
  <c r="E653" i="32" s="1"/>
  <c r="B653" i="32"/>
  <c r="A653" i="32"/>
  <c r="M653" i="32" s="1"/>
  <c r="Y652" i="32"/>
  <c r="Z652" i="32" s="1"/>
  <c r="W652" i="32"/>
  <c r="B652" i="32"/>
  <c r="A652" i="32"/>
  <c r="Y651" i="32"/>
  <c r="Z651" i="32" s="1"/>
  <c r="W651" i="32"/>
  <c r="X651" i="32" s="1"/>
  <c r="B651" i="32"/>
  <c r="A651" i="32"/>
  <c r="Y650" i="32"/>
  <c r="Z650" i="32" s="1"/>
  <c r="W650" i="32"/>
  <c r="B650" i="32"/>
  <c r="A650" i="32"/>
  <c r="Y649" i="32"/>
  <c r="Z649" i="32" s="1"/>
  <c r="W649" i="32"/>
  <c r="X649" i="32" s="1"/>
  <c r="K649" i="32"/>
  <c r="L649" i="32" s="1"/>
  <c r="B649" i="32"/>
  <c r="A649" i="32"/>
  <c r="Y648" i="32"/>
  <c r="Z648" i="32" s="1"/>
  <c r="W648" i="32"/>
  <c r="X648" i="32" s="1"/>
  <c r="B648" i="32"/>
  <c r="A648" i="32"/>
  <c r="U647" i="32"/>
  <c r="S647" i="32"/>
  <c r="P647" i="32"/>
  <c r="Q647" i="32" s="1"/>
  <c r="N647" i="32"/>
  <c r="O647" i="32" s="1"/>
  <c r="K647" i="32"/>
  <c r="L647" i="32" s="1"/>
  <c r="F647" i="32"/>
  <c r="G647" i="32" s="1"/>
  <c r="D647" i="32"/>
  <c r="E647" i="32" s="1"/>
  <c r="B647" i="32"/>
  <c r="A647" i="32"/>
  <c r="M647" i="32" s="1"/>
  <c r="U646" i="32"/>
  <c r="S646" i="32"/>
  <c r="P646" i="32"/>
  <c r="Q646" i="32" s="1"/>
  <c r="N646" i="32"/>
  <c r="O646" i="32" s="1"/>
  <c r="K646" i="32"/>
  <c r="L646" i="32" s="1"/>
  <c r="F646" i="32"/>
  <c r="G646" i="32" s="1"/>
  <c r="D646" i="32"/>
  <c r="E646" i="32" s="1"/>
  <c r="B646" i="32"/>
  <c r="A646" i="32"/>
  <c r="M646" i="32" s="1"/>
  <c r="U645" i="32"/>
  <c r="S645" i="32"/>
  <c r="P645" i="32"/>
  <c r="Q645" i="32" s="1"/>
  <c r="N645" i="32"/>
  <c r="O645" i="32" s="1"/>
  <c r="K645" i="32"/>
  <c r="L645" i="32" s="1"/>
  <c r="F645" i="32"/>
  <c r="G645" i="32" s="1"/>
  <c r="D645" i="32"/>
  <c r="E645" i="32" s="1"/>
  <c r="B645" i="32"/>
  <c r="A645" i="32"/>
  <c r="M645" i="32" s="1"/>
  <c r="U644" i="32"/>
  <c r="S644" i="32"/>
  <c r="P644" i="32"/>
  <c r="Q644" i="32" s="1"/>
  <c r="N644" i="32"/>
  <c r="O644" i="32" s="1"/>
  <c r="K644" i="32"/>
  <c r="L644" i="32" s="1"/>
  <c r="F644" i="32"/>
  <c r="G644" i="32" s="1"/>
  <c r="D644" i="32"/>
  <c r="E644" i="32" s="1"/>
  <c r="B644" i="32"/>
  <c r="A644" i="32"/>
  <c r="M644" i="32" s="1"/>
  <c r="Y643" i="32"/>
  <c r="Z643" i="32" s="1"/>
  <c r="W643" i="32"/>
  <c r="X643" i="32" s="1"/>
  <c r="B643" i="32"/>
  <c r="A643" i="32"/>
  <c r="Y642" i="32"/>
  <c r="Z642" i="32" s="1"/>
  <c r="W642" i="32"/>
  <c r="X642" i="32" s="1"/>
  <c r="B642" i="32"/>
  <c r="A642" i="32"/>
  <c r="Y641" i="32"/>
  <c r="Z641" i="32" s="1"/>
  <c r="W641" i="32"/>
  <c r="X641" i="32" s="1"/>
  <c r="B641" i="32"/>
  <c r="A641" i="32"/>
  <c r="Y640" i="32"/>
  <c r="Z640" i="32" s="1"/>
  <c r="W640" i="32"/>
  <c r="K640" i="32"/>
  <c r="L640" i="32" s="1"/>
  <c r="B640" i="32"/>
  <c r="A640" i="32"/>
  <c r="Y639" i="32"/>
  <c r="Z639" i="32" s="1"/>
  <c r="W639" i="32"/>
  <c r="B639" i="32"/>
  <c r="A639" i="32"/>
  <c r="U638" i="32"/>
  <c r="S638" i="32"/>
  <c r="P638" i="32"/>
  <c r="Q638" i="32" s="1"/>
  <c r="N638" i="32"/>
  <c r="O638" i="32" s="1"/>
  <c r="K638" i="32"/>
  <c r="L638" i="32" s="1"/>
  <c r="F638" i="32"/>
  <c r="G638" i="32" s="1"/>
  <c r="D638" i="32"/>
  <c r="E638" i="32" s="1"/>
  <c r="B638" i="32"/>
  <c r="A638" i="32"/>
  <c r="M638" i="32" s="1"/>
  <c r="U637" i="32"/>
  <c r="S637" i="32"/>
  <c r="P637" i="32"/>
  <c r="Q637" i="32" s="1"/>
  <c r="N637" i="32"/>
  <c r="O637" i="32" s="1"/>
  <c r="K637" i="32"/>
  <c r="L637" i="32" s="1"/>
  <c r="F637" i="32"/>
  <c r="G637" i="32" s="1"/>
  <c r="D637" i="32"/>
  <c r="E637" i="32" s="1"/>
  <c r="B637" i="32"/>
  <c r="A637" i="32"/>
  <c r="M637" i="32" s="1"/>
  <c r="U636" i="32"/>
  <c r="S636" i="32"/>
  <c r="P636" i="32"/>
  <c r="Q636" i="32" s="1"/>
  <c r="N636" i="32"/>
  <c r="O636" i="32" s="1"/>
  <c r="K636" i="32"/>
  <c r="L636" i="32" s="1"/>
  <c r="F636" i="32"/>
  <c r="G636" i="32" s="1"/>
  <c r="D636" i="32"/>
  <c r="E636" i="32" s="1"/>
  <c r="B636" i="32"/>
  <c r="A636" i="32"/>
  <c r="M636" i="32" s="1"/>
  <c r="U635" i="32"/>
  <c r="S635" i="32"/>
  <c r="P635" i="32"/>
  <c r="Q635" i="32" s="1"/>
  <c r="N635" i="32"/>
  <c r="O635" i="32" s="1"/>
  <c r="K635" i="32"/>
  <c r="L635" i="32" s="1"/>
  <c r="F635" i="32"/>
  <c r="G635" i="32" s="1"/>
  <c r="D635" i="32"/>
  <c r="E635" i="32" s="1"/>
  <c r="B635" i="32"/>
  <c r="A635" i="32"/>
  <c r="M635" i="32" s="1"/>
  <c r="Y634" i="32"/>
  <c r="Z634" i="32" s="1"/>
  <c r="W634" i="32"/>
  <c r="B634" i="32"/>
  <c r="A634" i="32"/>
  <c r="Y633" i="32"/>
  <c r="Z633" i="32" s="1"/>
  <c r="W633" i="32"/>
  <c r="B633" i="32"/>
  <c r="A633" i="32"/>
  <c r="Y632" i="32"/>
  <c r="Z632" i="32" s="1"/>
  <c r="W632" i="32"/>
  <c r="B632" i="32"/>
  <c r="A632" i="32"/>
  <c r="Y631" i="32"/>
  <c r="Z631" i="32" s="1"/>
  <c r="W631" i="32"/>
  <c r="K631" i="32"/>
  <c r="L631" i="32" s="1"/>
  <c r="B631" i="32"/>
  <c r="A631" i="32"/>
  <c r="Y630" i="32"/>
  <c r="Z630" i="32" s="1"/>
  <c r="W630" i="32"/>
  <c r="B630" i="32"/>
  <c r="A630" i="32"/>
  <c r="U629" i="32"/>
  <c r="S629" i="32"/>
  <c r="P629" i="32"/>
  <c r="Q629" i="32" s="1"/>
  <c r="N629" i="32"/>
  <c r="O629" i="32" s="1"/>
  <c r="K629" i="32"/>
  <c r="L629" i="32" s="1"/>
  <c r="F629" i="32"/>
  <c r="G629" i="32" s="1"/>
  <c r="D629" i="32"/>
  <c r="E629" i="32" s="1"/>
  <c r="B629" i="32"/>
  <c r="A629" i="32"/>
  <c r="M629" i="32" s="1"/>
  <c r="U628" i="32"/>
  <c r="S628" i="32"/>
  <c r="P628" i="32"/>
  <c r="Q628" i="32" s="1"/>
  <c r="N628" i="32"/>
  <c r="O628" i="32" s="1"/>
  <c r="K628" i="32"/>
  <c r="L628" i="32" s="1"/>
  <c r="F628" i="32"/>
  <c r="G628" i="32" s="1"/>
  <c r="D628" i="32"/>
  <c r="E628" i="32" s="1"/>
  <c r="B628" i="32"/>
  <c r="A628" i="32"/>
  <c r="M628" i="32" s="1"/>
  <c r="U627" i="32"/>
  <c r="S627" i="32"/>
  <c r="P627" i="32"/>
  <c r="Q627" i="32" s="1"/>
  <c r="N627" i="32"/>
  <c r="O627" i="32" s="1"/>
  <c r="K627" i="32"/>
  <c r="L627" i="32" s="1"/>
  <c r="F627" i="32"/>
  <c r="G627" i="32" s="1"/>
  <c r="D627" i="32"/>
  <c r="E627" i="32" s="1"/>
  <c r="B627" i="32"/>
  <c r="A627" i="32"/>
  <c r="M627" i="32" s="1"/>
  <c r="U626" i="32"/>
  <c r="S626" i="32"/>
  <c r="P626" i="32"/>
  <c r="Q626" i="32" s="1"/>
  <c r="N626" i="32"/>
  <c r="O626" i="32" s="1"/>
  <c r="K626" i="32"/>
  <c r="L626" i="32" s="1"/>
  <c r="F626" i="32"/>
  <c r="G626" i="32" s="1"/>
  <c r="D626" i="32"/>
  <c r="E626" i="32" s="1"/>
  <c r="B626" i="32"/>
  <c r="A626" i="32"/>
  <c r="M626" i="32" s="1"/>
  <c r="Y625" i="32"/>
  <c r="Z625" i="32" s="1"/>
  <c r="W625" i="32"/>
  <c r="X625" i="32" s="1"/>
  <c r="B625" i="32"/>
  <c r="A625" i="32"/>
  <c r="Y624" i="32"/>
  <c r="Z624" i="32" s="1"/>
  <c r="W624" i="32"/>
  <c r="X624" i="32" s="1"/>
  <c r="B624" i="32"/>
  <c r="A624" i="32"/>
  <c r="Y623" i="32"/>
  <c r="Z623" i="32" s="1"/>
  <c r="W623" i="32"/>
  <c r="B623" i="32"/>
  <c r="A623" i="32"/>
  <c r="Y622" i="32"/>
  <c r="Z622" i="32" s="1"/>
  <c r="W622" i="32"/>
  <c r="K622" i="32"/>
  <c r="L622" i="32" s="1"/>
  <c r="B622" i="32"/>
  <c r="A622" i="32"/>
  <c r="Y621" i="32"/>
  <c r="Z621" i="32" s="1"/>
  <c r="W621" i="32"/>
  <c r="X621" i="32" s="1"/>
  <c r="B621" i="32"/>
  <c r="A621" i="32"/>
  <c r="U620" i="32"/>
  <c r="S620" i="32"/>
  <c r="P620" i="32"/>
  <c r="Q620" i="32" s="1"/>
  <c r="N620" i="32"/>
  <c r="O620" i="32" s="1"/>
  <c r="K620" i="32"/>
  <c r="L620" i="32" s="1"/>
  <c r="F620" i="32"/>
  <c r="G620" i="32" s="1"/>
  <c r="D620" i="32"/>
  <c r="E620" i="32" s="1"/>
  <c r="B620" i="32"/>
  <c r="A620" i="32"/>
  <c r="M620" i="32" s="1"/>
  <c r="U619" i="32"/>
  <c r="S619" i="32"/>
  <c r="P619" i="32"/>
  <c r="Q619" i="32" s="1"/>
  <c r="N619" i="32"/>
  <c r="O619" i="32" s="1"/>
  <c r="K619" i="32"/>
  <c r="L619" i="32" s="1"/>
  <c r="F619" i="32"/>
  <c r="G619" i="32" s="1"/>
  <c r="D619" i="32"/>
  <c r="E619" i="32" s="1"/>
  <c r="B619" i="32"/>
  <c r="A619" i="32"/>
  <c r="M619" i="32" s="1"/>
  <c r="U618" i="32"/>
  <c r="S618" i="32"/>
  <c r="P618" i="32"/>
  <c r="Q618" i="32" s="1"/>
  <c r="N618" i="32"/>
  <c r="O618" i="32" s="1"/>
  <c r="K618" i="32"/>
  <c r="L618" i="32" s="1"/>
  <c r="F618" i="32"/>
  <c r="G618" i="32" s="1"/>
  <c r="D618" i="32"/>
  <c r="E618" i="32" s="1"/>
  <c r="B618" i="32"/>
  <c r="A618" i="32"/>
  <c r="M618" i="32" s="1"/>
  <c r="U617" i="32"/>
  <c r="S617" i="32"/>
  <c r="P617" i="32"/>
  <c r="Q617" i="32" s="1"/>
  <c r="N617" i="32"/>
  <c r="O617" i="32" s="1"/>
  <c r="K617" i="32"/>
  <c r="L617" i="32" s="1"/>
  <c r="F617" i="32"/>
  <c r="G617" i="32" s="1"/>
  <c r="D617" i="32"/>
  <c r="E617" i="32" s="1"/>
  <c r="B617" i="32"/>
  <c r="A617" i="32"/>
  <c r="M617" i="32" s="1"/>
  <c r="Y616" i="32"/>
  <c r="Z616" i="32" s="1"/>
  <c r="W616" i="32"/>
  <c r="X616" i="32" s="1"/>
  <c r="B616" i="32"/>
  <c r="A616" i="32"/>
  <c r="Y615" i="32"/>
  <c r="Z615" i="32" s="1"/>
  <c r="W615" i="32"/>
  <c r="X615" i="32" s="1"/>
  <c r="B615" i="32"/>
  <c r="A615" i="32"/>
  <c r="Y614" i="32"/>
  <c r="Z614" i="32" s="1"/>
  <c r="W614" i="32"/>
  <c r="X614" i="32" s="1"/>
  <c r="B614" i="32"/>
  <c r="A614" i="32"/>
  <c r="Y613" i="32"/>
  <c r="Z613" i="32" s="1"/>
  <c r="W613" i="32"/>
  <c r="X613" i="32" s="1"/>
  <c r="K613" i="32"/>
  <c r="L613" i="32" s="1"/>
  <c r="B613" i="32"/>
  <c r="A613" i="32"/>
  <c r="Y612" i="32"/>
  <c r="Z612" i="32" s="1"/>
  <c r="W612" i="32"/>
  <c r="X612" i="32" s="1"/>
  <c r="B612" i="32"/>
  <c r="A612" i="32"/>
  <c r="U611" i="32"/>
  <c r="S611" i="32"/>
  <c r="P611" i="32"/>
  <c r="Q611" i="32" s="1"/>
  <c r="N611" i="32"/>
  <c r="O611" i="32" s="1"/>
  <c r="K611" i="32"/>
  <c r="L611" i="32" s="1"/>
  <c r="F611" i="32"/>
  <c r="G611" i="32" s="1"/>
  <c r="D611" i="32"/>
  <c r="E611" i="32" s="1"/>
  <c r="B611" i="32"/>
  <c r="A611" i="32"/>
  <c r="M611" i="32" s="1"/>
  <c r="U610" i="32"/>
  <c r="S610" i="32"/>
  <c r="P610" i="32"/>
  <c r="Q610" i="32" s="1"/>
  <c r="N610" i="32"/>
  <c r="O610" i="32" s="1"/>
  <c r="K610" i="32"/>
  <c r="L610" i="32" s="1"/>
  <c r="F610" i="32"/>
  <c r="G610" i="32" s="1"/>
  <c r="D610" i="32"/>
  <c r="E610" i="32" s="1"/>
  <c r="B610" i="32"/>
  <c r="A610" i="32"/>
  <c r="M610" i="32" s="1"/>
  <c r="U609" i="32"/>
  <c r="S609" i="32"/>
  <c r="P609" i="32"/>
  <c r="Q609" i="32" s="1"/>
  <c r="N609" i="32"/>
  <c r="O609" i="32" s="1"/>
  <c r="K609" i="32"/>
  <c r="L609" i="32" s="1"/>
  <c r="F609" i="32"/>
  <c r="G609" i="32" s="1"/>
  <c r="D609" i="32"/>
  <c r="E609" i="32" s="1"/>
  <c r="B609" i="32"/>
  <c r="A609" i="32"/>
  <c r="M609" i="32" s="1"/>
  <c r="U608" i="32"/>
  <c r="S608" i="32"/>
  <c r="P608" i="32"/>
  <c r="Q608" i="32" s="1"/>
  <c r="N608" i="32"/>
  <c r="O608" i="32" s="1"/>
  <c r="K608" i="32"/>
  <c r="L608" i="32" s="1"/>
  <c r="F608" i="32"/>
  <c r="G608" i="32" s="1"/>
  <c r="D608" i="32"/>
  <c r="E608" i="32" s="1"/>
  <c r="B608" i="32"/>
  <c r="A608" i="32"/>
  <c r="M608" i="32" s="1"/>
  <c r="Y607" i="32"/>
  <c r="Z607" i="32" s="1"/>
  <c r="W607" i="32"/>
  <c r="X607" i="32" s="1"/>
  <c r="B607" i="32"/>
  <c r="A607" i="32"/>
  <c r="Y606" i="32"/>
  <c r="Z606" i="32" s="1"/>
  <c r="W606" i="32"/>
  <c r="B606" i="32"/>
  <c r="A606" i="32"/>
  <c r="Y605" i="32"/>
  <c r="Z605" i="32" s="1"/>
  <c r="W605" i="32"/>
  <c r="X605" i="32" s="1"/>
  <c r="B605" i="32"/>
  <c r="A605" i="32"/>
  <c r="Y604" i="32"/>
  <c r="Z604" i="32" s="1"/>
  <c r="W604" i="32"/>
  <c r="X604" i="32" s="1"/>
  <c r="K604" i="32"/>
  <c r="L604" i="32" s="1"/>
  <c r="B604" i="32"/>
  <c r="A604" i="32"/>
  <c r="Y603" i="32"/>
  <c r="Z603" i="32" s="1"/>
  <c r="W603" i="32"/>
  <c r="B603" i="32"/>
  <c r="A603" i="32"/>
  <c r="U602" i="32"/>
  <c r="S602" i="32"/>
  <c r="P602" i="32"/>
  <c r="Q602" i="32" s="1"/>
  <c r="N602" i="32"/>
  <c r="O602" i="32" s="1"/>
  <c r="K602" i="32"/>
  <c r="L602" i="32" s="1"/>
  <c r="F602" i="32"/>
  <c r="G602" i="32" s="1"/>
  <c r="D602" i="32"/>
  <c r="E602" i="32" s="1"/>
  <c r="B602" i="32"/>
  <c r="A602" i="32"/>
  <c r="M602" i="32" s="1"/>
  <c r="U601" i="32"/>
  <c r="S601" i="32"/>
  <c r="P601" i="32"/>
  <c r="Q601" i="32" s="1"/>
  <c r="N601" i="32"/>
  <c r="O601" i="32" s="1"/>
  <c r="K601" i="32"/>
  <c r="L601" i="32" s="1"/>
  <c r="F601" i="32"/>
  <c r="G601" i="32" s="1"/>
  <c r="D601" i="32"/>
  <c r="E601" i="32" s="1"/>
  <c r="B601" i="32"/>
  <c r="A601" i="32"/>
  <c r="M601" i="32" s="1"/>
  <c r="U600" i="32"/>
  <c r="S600" i="32"/>
  <c r="P600" i="32"/>
  <c r="Q600" i="32" s="1"/>
  <c r="N600" i="32"/>
  <c r="O600" i="32" s="1"/>
  <c r="K600" i="32"/>
  <c r="L600" i="32" s="1"/>
  <c r="F600" i="32"/>
  <c r="G600" i="32" s="1"/>
  <c r="D600" i="32"/>
  <c r="E600" i="32" s="1"/>
  <c r="B600" i="32"/>
  <c r="A600" i="32"/>
  <c r="M600" i="32" s="1"/>
  <c r="U599" i="32"/>
  <c r="S599" i="32"/>
  <c r="P599" i="32"/>
  <c r="Q599" i="32" s="1"/>
  <c r="N599" i="32"/>
  <c r="O599" i="32" s="1"/>
  <c r="K599" i="32"/>
  <c r="L599" i="32" s="1"/>
  <c r="F599" i="32"/>
  <c r="G599" i="32" s="1"/>
  <c r="D599" i="32"/>
  <c r="E599" i="32" s="1"/>
  <c r="B599" i="32"/>
  <c r="A599" i="32"/>
  <c r="M599" i="32" s="1"/>
  <c r="Y598" i="32"/>
  <c r="Z598" i="32" s="1"/>
  <c r="W598" i="32"/>
  <c r="X598" i="32" s="1"/>
  <c r="B598" i="32"/>
  <c r="A598" i="32"/>
  <c r="Y597" i="32"/>
  <c r="Z597" i="32" s="1"/>
  <c r="W597" i="32"/>
  <c r="B597" i="32"/>
  <c r="A597" i="32"/>
  <c r="Y596" i="32"/>
  <c r="Z596" i="32" s="1"/>
  <c r="W596" i="32"/>
  <c r="X596" i="32" s="1"/>
  <c r="B596" i="32"/>
  <c r="A596" i="32"/>
  <c r="Y595" i="32"/>
  <c r="Z595" i="32" s="1"/>
  <c r="W595" i="32"/>
  <c r="K595" i="32"/>
  <c r="L595" i="32" s="1"/>
  <c r="B595" i="32"/>
  <c r="A595" i="32"/>
  <c r="Y594" i="32"/>
  <c r="Z594" i="32" s="1"/>
  <c r="W594" i="32"/>
  <c r="X594" i="32" s="1"/>
  <c r="B594" i="32"/>
  <c r="A594" i="32"/>
  <c r="U593" i="32"/>
  <c r="S593" i="32"/>
  <c r="P593" i="32"/>
  <c r="Q593" i="32" s="1"/>
  <c r="N593" i="32"/>
  <c r="O593" i="32" s="1"/>
  <c r="K593" i="32"/>
  <c r="L593" i="32" s="1"/>
  <c r="F593" i="32"/>
  <c r="G593" i="32" s="1"/>
  <c r="D593" i="32"/>
  <c r="E593" i="32" s="1"/>
  <c r="B593" i="32"/>
  <c r="A593" i="32"/>
  <c r="M593" i="32" s="1"/>
  <c r="U592" i="32"/>
  <c r="S592" i="32"/>
  <c r="P592" i="32"/>
  <c r="Q592" i="32" s="1"/>
  <c r="N592" i="32"/>
  <c r="O592" i="32" s="1"/>
  <c r="K592" i="32"/>
  <c r="L592" i="32" s="1"/>
  <c r="F592" i="32"/>
  <c r="G592" i="32" s="1"/>
  <c r="D592" i="32"/>
  <c r="E592" i="32" s="1"/>
  <c r="B592" i="32"/>
  <c r="A592" i="32"/>
  <c r="M592" i="32" s="1"/>
  <c r="U591" i="32"/>
  <c r="S591" i="32"/>
  <c r="P591" i="32"/>
  <c r="Q591" i="32" s="1"/>
  <c r="N591" i="32"/>
  <c r="O591" i="32" s="1"/>
  <c r="K591" i="32"/>
  <c r="L591" i="32" s="1"/>
  <c r="F591" i="32"/>
  <c r="G591" i="32" s="1"/>
  <c r="D591" i="32"/>
  <c r="E591" i="32" s="1"/>
  <c r="B591" i="32"/>
  <c r="A591" i="32"/>
  <c r="M591" i="32" s="1"/>
  <c r="U590" i="32"/>
  <c r="S590" i="32"/>
  <c r="P590" i="32"/>
  <c r="Q590" i="32" s="1"/>
  <c r="N590" i="32"/>
  <c r="O590" i="32" s="1"/>
  <c r="K590" i="32"/>
  <c r="L590" i="32" s="1"/>
  <c r="F590" i="32"/>
  <c r="G590" i="32" s="1"/>
  <c r="D590" i="32"/>
  <c r="E590" i="32" s="1"/>
  <c r="B590" i="32"/>
  <c r="A590" i="32"/>
  <c r="M590" i="32" s="1"/>
  <c r="Y589" i="32"/>
  <c r="Z589" i="32" s="1"/>
  <c r="W589" i="32"/>
  <c r="B589" i="32"/>
  <c r="A589" i="32"/>
  <c r="Y588" i="32"/>
  <c r="Z588" i="32" s="1"/>
  <c r="W588" i="32"/>
  <c r="B588" i="32"/>
  <c r="A588" i="32"/>
  <c r="Y587" i="32"/>
  <c r="Z587" i="32" s="1"/>
  <c r="W587" i="32"/>
  <c r="X587" i="32" s="1"/>
  <c r="B587" i="32"/>
  <c r="A587" i="32"/>
  <c r="Y586" i="32"/>
  <c r="Z586" i="32" s="1"/>
  <c r="W586" i="32"/>
  <c r="K586" i="32"/>
  <c r="L586" i="32" s="1"/>
  <c r="B586" i="32"/>
  <c r="A586" i="32"/>
  <c r="Y585" i="32"/>
  <c r="Z585" i="32" s="1"/>
  <c r="W585" i="32"/>
  <c r="X585" i="32" s="1"/>
  <c r="B585" i="32"/>
  <c r="A585" i="32"/>
  <c r="U584" i="32"/>
  <c r="S584" i="32"/>
  <c r="P584" i="32"/>
  <c r="Q584" i="32" s="1"/>
  <c r="N584" i="32"/>
  <c r="O584" i="32" s="1"/>
  <c r="K584" i="32"/>
  <c r="L584" i="32" s="1"/>
  <c r="F584" i="32"/>
  <c r="G584" i="32" s="1"/>
  <c r="D584" i="32"/>
  <c r="E584" i="32" s="1"/>
  <c r="B584" i="32"/>
  <c r="A584" i="32"/>
  <c r="M584" i="32" s="1"/>
  <c r="U583" i="32"/>
  <c r="S583" i="32"/>
  <c r="P583" i="32"/>
  <c r="Q583" i="32" s="1"/>
  <c r="N583" i="32"/>
  <c r="O583" i="32" s="1"/>
  <c r="K583" i="32"/>
  <c r="L583" i="32" s="1"/>
  <c r="F583" i="32"/>
  <c r="G583" i="32" s="1"/>
  <c r="D583" i="32"/>
  <c r="E583" i="32" s="1"/>
  <c r="B583" i="32"/>
  <c r="A583" i="32"/>
  <c r="M583" i="32" s="1"/>
  <c r="U582" i="32"/>
  <c r="S582" i="32"/>
  <c r="P582" i="32"/>
  <c r="Q582" i="32" s="1"/>
  <c r="N582" i="32"/>
  <c r="O582" i="32" s="1"/>
  <c r="K582" i="32"/>
  <c r="F582" i="32"/>
  <c r="G582" i="32" s="1"/>
  <c r="D582" i="32"/>
  <c r="E582" i="32" s="1"/>
  <c r="B582" i="32"/>
  <c r="A582" i="32"/>
  <c r="M582" i="32" s="1"/>
  <c r="U581" i="32"/>
  <c r="S581" i="32"/>
  <c r="P581" i="32"/>
  <c r="Q581" i="32" s="1"/>
  <c r="N581" i="32"/>
  <c r="O581" i="32" s="1"/>
  <c r="K581" i="32"/>
  <c r="L581" i="32" s="1"/>
  <c r="F581" i="32"/>
  <c r="G581" i="32" s="1"/>
  <c r="D581" i="32"/>
  <c r="E581" i="32" s="1"/>
  <c r="B581" i="32"/>
  <c r="A581" i="32"/>
  <c r="M581" i="32" s="1"/>
  <c r="Y580" i="32"/>
  <c r="Z580" i="32" s="1"/>
  <c r="W580" i="32"/>
  <c r="X580" i="32" s="1"/>
  <c r="B580" i="32"/>
  <c r="A580" i="32"/>
  <c r="Y579" i="32"/>
  <c r="Z579" i="32" s="1"/>
  <c r="W579" i="32"/>
  <c r="X579" i="32" s="1"/>
  <c r="B579" i="32"/>
  <c r="A579" i="32"/>
  <c r="Y578" i="32"/>
  <c r="Z578" i="32" s="1"/>
  <c r="W578" i="32"/>
  <c r="B578" i="32"/>
  <c r="A578" i="32"/>
  <c r="Y577" i="32"/>
  <c r="Z577" i="32" s="1"/>
  <c r="W577" i="32"/>
  <c r="X577" i="32" s="1"/>
  <c r="K577" i="32"/>
  <c r="L577" i="32" s="1"/>
  <c r="B577" i="32"/>
  <c r="A577" i="32"/>
  <c r="Y576" i="32"/>
  <c r="Z576" i="32" s="1"/>
  <c r="W576" i="32"/>
  <c r="X576" i="32" s="1"/>
  <c r="B576" i="32"/>
  <c r="A576" i="32"/>
  <c r="U575" i="32"/>
  <c r="S575" i="32"/>
  <c r="P575" i="32"/>
  <c r="Q575" i="32" s="1"/>
  <c r="N575" i="32"/>
  <c r="O575" i="32" s="1"/>
  <c r="K575" i="32"/>
  <c r="L575" i="32" s="1"/>
  <c r="F575" i="32"/>
  <c r="G575" i="32" s="1"/>
  <c r="D575" i="32"/>
  <c r="E575" i="32" s="1"/>
  <c r="B575" i="32"/>
  <c r="A575" i="32"/>
  <c r="M575" i="32" s="1"/>
  <c r="U574" i="32"/>
  <c r="S574" i="32"/>
  <c r="P574" i="32"/>
  <c r="Q574" i="32" s="1"/>
  <c r="N574" i="32"/>
  <c r="O574" i="32" s="1"/>
  <c r="K574" i="32"/>
  <c r="L574" i="32" s="1"/>
  <c r="F574" i="32"/>
  <c r="G574" i="32" s="1"/>
  <c r="D574" i="32"/>
  <c r="E574" i="32" s="1"/>
  <c r="B574" i="32"/>
  <c r="A574" i="32"/>
  <c r="M574" i="32" s="1"/>
  <c r="U573" i="32"/>
  <c r="S573" i="32"/>
  <c r="P573" i="32"/>
  <c r="Q573" i="32" s="1"/>
  <c r="N573" i="32"/>
  <c r="O573" i="32" s="1"/>
  <c r="K573" i="32"/>
  <c r="L573" i="32" s="1"/>
  <c r="F573" i="32"/>
  <c r="G573" i="32" s="1"/>
  <c r="D573" i="32"/>
  <c r="E573" i="32" s="1"/>
  <c r="B573" i="32"/>
  <c r="A573" i="32"/>
  <c r="M573" i="32" s="1"/>
  <c r="U572" i="32"/>
  <c r="S572" i="32"/>
  <c r="P572" i="32"/>
  <c r="Q572" i="32" s="1"/>
  <c r="N572" i="32"/>
  <c r="O572" i="32" s="1"/>
  <c r="K572" i="32"/>
  <c r="L572" i="32" s="1"/>
  <c r="F572" i="32"/>
  <c r="G572" i="32" s="1"/>
  <c r="D572" i="32"/>
  <c r="E572" i="32" s="1"/>
  <c r="B572" i="32"/>
  <c r="A572" i="32"/>
  <c r="M572" i="32" s="1"/>
  <c r="Y571" i="32"/>
  <c r="Z571" i="32" s="1"/>
  <c r="W571" i="32"/>
  <c r="B571" i="32"/>
  <c r="A571" i="32"/>
  <c r="Y570" i="32"/>
  <c r="Z570" i="32" s="1"/>
  <c r="W570" i="32"/>
  <c r="B570" i="32"/>
  <c r="A570" i="32"/>
  <c r="Y569" i="32"/>
  <c r="Z569" i="32" s="1"/>
  <c r="W569" i="32"/>
  <c r="B569" i="32"/>
  <c r="A569" i="32"/>
  <c r="Y568" i="32"/>
  <c r="Z568" i="32" s="1"/>
  <c r="W568" i="32"/>
  <c r="X568" i="32" s="1"/>
  <c r="K568" i="32"/>
  <c r="L568" i="32" s="1"/>
  <c r="B568" i="32"/>
  <c r="A568" i="32"/>
  <c r="Y567" i="32"/>
  <c r="W567" i="32"/>
  <c r="X567" i="32" s="1"/>
  <c r="B567" i="32"/>
  <c r="A567" i="32"/>
  <c r="U566" i="32"/>
  <c r="S566" i="32"/>
  <c r="P566" i="32"/>
  <c r="Q566" i="32" s="1"/>
  <c r="N566" i="32"/>
  <c r="O566" i="32" s="1"/>
  <c r="K566" i="32"/>
  <c r="L566" i="32" s="1"/>
  <c r="F566" i="32"/>
  <c r="G566" i="32" s="1"/>
  <c r="D566" i="32"/>
  <c r="E566" i="32" s="1"/>
  <c r="B566" i="32"/>
  <c r="A566" i="32"/>
  <c r="M566" i="32" s="1"/>
  <c r="U565" i="32"/>
  <c r="S565" i="32"/>
  <c r="P565" i="32"/>
  <c r="Q565" i="32" s="1"/>
  <c r="N565" i="32"/>
  <c r="O565" i="32" s="1"/>
  <c r="K565" i="32"/>
  <c r="L565" i="32" s="1"/>
  <c r="F565" i="32"/>
  <c r="G565" i="32" s="1"/>
  <c r="D565" i="32"/>
  <c r="E565" i="32" s="1"/>
  <c r="B565" i="32"/>
  <c r="A565" i="32"/>
  <c r="M565" i="32" s="1"/>
  <c r="U564" i="32"/>
  <c r="S564" i="32"/>
  <c r="P564" i="32"/>
  <c r="Q564" i="32" s="1"/>
  <c r="N564" i="32"/>
  <c r="O564" i="32" s="1"/>
  <c r="K564" i="32"/>
  <c r="L564" i="32" s="1"/>
  <c r="F564" i="32"/>
  <c r="G564" i="32" s="1"/>
  <c r="D564" i="32"/>
  <c r="E564" i="32" s="1"/>
  <c r="B564" i="32"/>
  <c r="A564" i="32"/>
  <c r="M564" i="32" s="1"/>
  <c r="U563" i="32"/>
  <c r="S563" i="32"/>
  <c r="P563" i="32"/>
  <c r="Q563" i="32" s="1"/>
  <c r="N563" i="32"/>
  <c r="O563" i="32" s="1"/>
  <c r="K563" i="32"/>
  <c r="L563" i="32" s="1"/>
  <c r="F563" i="32"/>
  <c r="G563" i="32" s="1"/>
  <c r="D563" i="32"/>
  <c r="E563" i="32" s="1"/>
  <c r="B563" i="32"/>
  <c r="A563" i="32"/>
  <c r="M563" i="32" s="1"/>
  <c r="Y562" i="32"/>
  <c r="Z562" i="32" s="1"/>
  <c r="W562" i="32"/>
  <c r="X562" i="32" s="1"/>
  <c r="B562" i="32"/>
  <c r="A562" i="32"/>
  <c r="Y561" i="32"/>
  <c r="W561" i="32"/>
  <c r="X561" i="32" s="1"/>
  <c r="B561" i="32"/>
  <c r="A561" i="32"/>
  <c r="Y560" i="32"/>
  <c r="Z560" i="32" s="1"/>
  <c r="W560" i="32"/>
  <c r="X560" i="32" s="1"/>
  <c r="B560" i="32"/>
  <c r="A560" i="32"/>
  <c r="Y559" i="32"/>
  <c r="W559" i="32"/>
  <c r="X559" i="32" s="1"/>
  <c r="K559" i="32"/>
  <c r="L559" i="32" s="1"/>
  <c r="B559" i="32"/>
  <c r="A559" i="32"/>
  <c r="Y558" i="32"/>
  <c r="Z558" i="32" s="1"/>
  <c r="W558" i="32"/>
  <c r="X558" i="32" s="1"/>
  <c r="B558" i="32"/>
  <c r="A558" i="32"/>
  <c r="U557" i="32"/>
  <c r="S557" i="32"/>
  <c r="P557" i="32"/>
  <c r="Q557" i="32" s="1"/>
  <c r="N557" i="32"/>
  <c r="O557" i="32" s="1"/>
  <c r="K557" i="32"/>
  <c r="F557" i="32"/>
  <c r="G557" i="32" s="1"/>
  <c r="D557" i="32"/>
  <c r="E557" i="32" s="1"/>
  <c r="B557" i="32"/>
  <c r="A557" i="32"/>
  <c r="M557" i="32" s="1"/>
  <c r="U556" i="32"/>
  <c r="S556" i="32"/>
  <c r="P556" i="32"/>
  <c r="Q556" i="32" s="1"/>
  <c r="N556" i="32"/>
  <c r="O556" i="32" s="1"/>
  <c r="K556" i="32"/>
  <c r="L556" i="32" s="1"/>
  <c r="F556" i="32"/>
  <c r="G556" i="32" s="1"/>
  <c r="D556" i="32"/>
  <c r="E556" i="32" s="1"/>
  <c r="B556" i="32"/>
  <c r="A556" i="32"/>
  <c r="M556" i="32" s="1"/>
  <c r="U555" i="32"/>
  <c r="S555" i="32"/>
  <c r="P555" i="32"/>
  <c r="Q555" i="32" s="1"/>
  <c r="N555" i="32"/>
  <c r="O555" i="32" s="1"/>
  <c r="K555" i="32"/>
  <c r="F555" i="32"/>
  <c r="G555" i="32" s="1"/>
  <c r="D555" i="32"/>
  <c r="E555" i="32" s="1"/>
  <c r="B555" i="32"/>
  <c r="A555" i="32"/>
  <c r="M555" i="32" s="1"/>
  <c r="U554" i="32"/>
  <c r="S554" i="32"/>
  <c r="P554" i="32"/>
  <c r="Q554" i="32" s="1"/>
  <c r="N554" i="32"/>
  <c r="O554" i="32" s="1"/>
  <c r="K554" i="32"/>
  <c r="L554" i="32" s="1"/>
  <c r="F554" i="32"/>
  <c r="G554" i="32" s="1"/>
  <c r="D554" i="32"/>
  <c r="E554" i="32" s="1"/>
  <c r="B554" i="32"/>
  <c r="A554" i="32"/>
  <c r="M554" i="32" s="1"/>
  <c r="Y553" i="32"/>
  <c r="W553" i="32"/>
  <c r="X553" i="32" s="1"/>
  <c r="B553" i="32"/>
  <c r="A553" i="32"/>
  <c r="Y552" i="32"/>
  <c r="Z552" i="32" s="1"/>
  <c r="W552" i="32"/>
  <c r="B552" i="32"/>
  <c r="A552" i="32"/>
  <c r="Y551" i="32"/>
  <c r="Z551" i="32" s="1"/>
  <c r="W551" i="32"/>
  <c r="X551" i="32" s="1"/>
  <c r="B551" i="32"/>
  <c r="A551" i="32"/>
  <c r="Y550" i="32"/>
  <c r="Z550" i="32" s="1"/>
  <c r="W550" i="32"/>
  <c r="K550" i="32"/>
  <c r="L550" i="32" s="1"/>
  <c r="B550" i="32"/>
  <c r="A550" i="32"/>
  <c r="Y549" i="32"/>
  <c r="Z549" i="32" s="1"/>
  <c r="W549" i="32"/>
  <c r="X549" i="32" s="1"/>
  <c r="B549" i="32"/>
  <c r="A549" i="32"/>
  <c r="U548" i="32"/>
  <c r="S548" i="32"/>
  <c r="P548" i="32"/>
  <c r="Q548" i="32" s="1"/>
  <c r="N548" i="32"/>
  <c r="O548" i="32" s="1"/>
  <c r="K548" i="32"/>
  <c r="L548" i="32" s="1"/>
  <c r="F548" i="32"/>
  <c r="G548" i="32" s="1"/>
  <c r="D548" i="32"/>
  <c r="E548" i="32" s="1"/>
  <c r="B548" i="32"/>
  <c r="A548" i="32"/>
  <c r="M548" i="32" s="1"/>
  <c r="U547" i="32"/>
  <c r="S547" i="32"/>
  <c r="P547" i="32"/>
  <c r="Q547" i="32" s="1"/>
  <c r="N547" i="32"/>
  <c r="O547" i="32" s="1"/>
  <c r="K547" i="32"/>
  <c r="L547" i="32" s="1"/>
  <c r="F547" i="32"/>
  <c r="G547" i="32" s="1"/>
  <c r="D547" i="32"/>
  <c r="E547" i="32" s="1"/>
  <c r="B547" i="32"/>
  <c r="A547" i="32"/>
  <c r="M547" i="32" s="1"/>
  <c r="U546" i="32"/>
  <c r="S546" i="32"/>
  <c r="P546" i="32"/>
  <c r="Q546" i="32" s="1"/>
  <c r="N546" i="32"/>
  <c r="O546" i="32" s="1"/>
  <c r="K546" i="32"/>
  <c r="L546" i="32" s="1"/>
  <c r="F546" i="32"/>
  <c r="G546" i="32" s="1"/>
  <c r="D546" i="32"/>
  <c r="E546" i="32" s="1"/>
  <c r="B546" i="32"/>
  <c r="A546" i="32"/>
  <c r="M546" i="32" s="1"/>
  <c r="U545" i="32"/>
  <c r="S545" i="32"/>
  <c r="P545" i="32"/>
  <c r="Q545" i="32" s="1"/>
  <c r="N545" i="32"/>
  <c r="O545" i="32" s="1"/>
  <c r="K545" i="32"/>
  <c r="L545" i="32" s="1"/>
  <c r="F545" i="32"/>
  <c r="G545" i="32" s="1"/>
  <c r="D545" i="32"/>
  <c r="E545" i="32" s="1"/>
  <c r="B545" i="32"/>
  <c r="A545" i="32"/>
  <c r="M545" i="32" s="1"/>
  <c r="Y544" i="32"/>
  <c r="Z544" i="32" s="1"/>
  <c r="W544" i="32"/>
  <c r="X544" i="32" s="1"/>
  <c r="B544" i="32"/>
  <c r="A544" i="32"/>
  <c r="Y543" i="32"/>
  <c r="Z543" i="32" s="1"/>
  <c r="W543" i="32"/>
  <c r="X543" i="32" s="1"/>
  <c r="B543" i="32"/>
  <c r="A543" i="32"/>
  <c r="Y542" i="32"/>
  <c r="Z542" i="32" s="1"/>
  <c r="W542" i="32"/>
  <c r="B542" i="32"/>
  <c r="A542" i="32"/>
  <c r="Y541" i="32"/>
  <c r="Z541" i="32" s="1"/>
  <c r="W541" i="32"/>
  <c r="X541" i="32" s="1"/>
  <c r="K541" i="32"/>
  <c r="L541" i="32" s="1"/>
  <c r="B541" i="32"/>
  <c r="A541" i="32"/>
  <c r="Y540" i="32"/>
  <c r="Z540" i="32" s="1"/>
  <c r="W540" i="32"/>
  <c r="B540" i="32"/>
  <c r="A540" i="32"/>
  <c r="U539" i="32"/>
  <c r="S539" i="32"/>
  <c r="P539" i="32"/>
  <c r="Q539" i="32" s="1"/>
  <c r="N539" i="32"/>
  <c r="O539" i="32" s="1"/>
  <c r="K539" i="32"/>
  <c r="L539" i="32" s="1"/>
  <c r="F539" i="32"/>
  <c r="G539" i="32" s="1"/>
  <c r="D539" i="32"/>
  <c r="E539" i="32" s="1"/>
  <c r="B539" i="32"/>
  <c r="A539" i="32"/>
  <c r="M539" i="32" s="1"/>
  <c r="U538" i="32"/>
  <c r="S538" i="32"/>
  <c r="P538" i="32"/>
  <c r="Q538" i="32" s="1"/>
  <c r="N538" i="32"/>
  <c r="O538" i="32" s="1"/>
  <c r="K538" i="32"/>
  <c r="L538" i="32" s="1"/>
  <c r="F538" i="32"/>
  <c r="G538" i="32" s="1"/>
  <c r="D538" i="32"/>
  <c r="E538" i="32" s="1"/>
  <c r="B538" i="32"/>
  <c r="A538" i="32"/>
  <c r="M538" i="32" s="1"/>
  <c r="U537" i="32"/>
  <c r="S537" i="32"/>
  <c r="P537" i="32"/>
  <c r="Q537" i="32" s="1"/>
  <c r="N537" i="32"/>
  <c r="O537" i="32" s="1"/>
  <c r="K537" i="32"/>
  <c r="L537" i="32" s="1"/>
  <c r="F537" i="32"/>
  <c r="G537" i="32" s="1"/>
  <c r="D537" i="32"/>
  <c r="E537" i="32" s="1"/>
  <c r="B537" i="32"/>
  <c r="A537" i="32"/>
  <c r="M537" i="32" s="1"/>
  <c r="U536" i="32"/>
  <c r="S536" i="32"/>
  <c r="P536" i="32"/>
  <c r="Q536" i="32" s="1"/>
  <c r="N536" i="32"/>
  <c r="O536" i="32" s="1"/>
  <c r="K536" i="32"/>
  <c r="L536" i="32" s="1"/>
  <c r="F536" i="32"/>
  <c r="G536" i="32" s="1"/>
  <c r="D536" i="32"/>
  <c r="E536" i="32" s="1"/>
  <c r="B536" i="32"/>
  <c r="A536" i="32"/>
  <c r="M536" i="32" s="1"/>
  <c r="Y535" i="32"/>
  <c r="Z535" i="32" s="1"/>
  <c r="W535" i="32"/>
  <c r="B535" i="32"/>
  <c r="A535" i="32"/>
  <c r="Y534" i="32"/>
  <c r="Z534" i="32" s="1"/>
  <c r="W534" i="32"/>
  <c r="B534" i="32"/>
  <c r="A534" i="32"/>
  <c r="Y533" i="32"/>
  <c r="Z533" i="32" s="1"/>
  <c r="W533" i="32"/>
  <c r="X533" i="32" s="1"/>
  <c r="B533" i="32"/>
  <c r="A533" i="32"/>
  <c r="Y532" i="32"/>
  <c r="Z532" i="32" s="1"/>
  <c r="W532" i="32"/>
  <c r="X532" i="32" s="1"/>
  <c r="K532" i="32"/>
  <c r="L532" i="32" s="1"/>
  <c r="B532" i="32"/>
  <c r="A532" i="32"/>
  <c r="Y531" i="32"/>
  <c r="Z531" i="32" s="1"/>
  <c r="W531" i="32"/>
  <c r="X531" i="32" s="1"/>
  <c r="B531" i="32"/>
  <c r="A531" i="32"/>
  <c r="U530" i="32"/>
  <c r="S530" i="32"/>
  <c r="P530" i="32"/>
  <c r="Q530" i="32" s="1"/>
  <c r="N530" i="32"/>
  <c r="O530" i="32" s="1"/>
  <c r="K530" i="32"/>
  <c r="L530" i="32" s="1"/>
  <c r="F530" i="32"/>
  <c r="G530" i="32" s="1"/>
  <c r="D530" i="32"/>
  <c r="E530" i="32" s="1"/>
  <c r="B530" i="32"/>
  <c r="A530" i="32"/>
  <c r="M530" i="32" s="1"/>
  <c r="U529" i="32"/>
  <c r="S529" i="32"/>
  <c r="P529" i="32"/>
  <c r="Q529" i="32" s="1"/>
  <c r="N529" i="32"/>
  <c r="O529" i="32" s="1"/>
  <c r="K529" i="32"/>
  <c r="L529" i="32" s="1"/>
  <c r="F529" i="32"/>
  <c r="G529" i="32" s="1"/>
  <c r="D529" i="32"/>
  <c r="E529" i="32" s="1"/>
  <c r="B529" i="32"/>
  <c r="A529" i="32"/>
  <c r="M529" i="32" s="1"/>
  <c r="U528" i="32"/>
  <c r="S528" i="32"/>
  <c r="P528" i="32"/>
  <c r="Q528" i="32" s="1"/>
  <c r="N528" i="32"/>
  <c r="O528" i="32" s="1"/>
  <c r="K528" i="32"/>
  <c r="L528" i="32" s="1"/>
  <c r="F528" i="32"/>
  <c r="G528" i="32" s="1"/>
  <c r="D528" i="32"/>
  <c r="E528" i="32" s="1"/>
  <c r="B528" i="32"/>
  <c r="A528" i="32"/>
  <c r="M528" i="32" s="1"/>
  <c r="U527" i="32"/>
  <c r="S527" i="32"/>
  <c r="P527" i="32"/>
  <c r="Q527" i="32" s="1"/>
  <c r="N527" i="32"/>
  <c r="O527" i="32" s="1"/>
  <c r="K527" i="32"/>
  <c r="L527" i="32" s="1"/>
  <c r="F527" i="32"/>
  <c r="G527" i="32" s="1"/>
  <c r="D527" i="32"/>
  <c r="E527" i="32" s="1"/>
  <c r="B527" i="32"/>
  <c r="A527" i="32"/>
  <c r="M527" i="32" s="1"/>
  <c r="Y526" i="32"/>
  <c r="Z526" i="32" s="1"/>
  <c r="W526" i="32"/>
  <c r="B526" i="32"/>
  <c r="A526" i="32"/>
  <c r="Y525" i="32"/>
  <c r="Z525" i="32" s="1"/>
  <c r="W525" i="32"/>
  <c r="X525" i="32" s="1"/>
  <c r="B525" i="32"/>
  <c r="A525" i="32"/>
  <c r="Y524" i="32"/>
  <c r="Z524" i="32" s="1"/>
  <c r="W524" i="32"/>
  <c r="B524" i="32"/>
  <c r="A524" i="32"/>
  <c r="Y523" i="32"/>
  <c r="Z523" i="32" s="1"/>
  <c r="W523" i="32"/>
  <c r="X523" i="32" s="1"/>
  <c r="K523" i="32"/>
  <c r="L523" i="32" s="1"/>
  <c r="B523" i="32"/>
  <c r="A523" i="32"/>
  <c r="Y522" i="32"/>
  <c r="Z522" i="32" s="1"/>
  <c r="W522" i="32"/>
  <c r="X522" i="32" s="1"/>
  <c r="B522" i="32"/>
  <c r="A522" i="32"/>
  <c r="U521" i="32"/>
  <c r="S521" i="32"/>
  <c r="P521" i="32"/>
  <c r="Q521" i="32" s="1"/>
  <c r="N521" i="32"/>
  <c r="O521" i="32" s="1"/>
  <c r="K521" i="32"/>
  <c r="L521" i="32" s="1"/>
  <c r="F521" i="32"/>
  <c r="G521" i="32" s="1"/>
  <c r="D521" i="32"/>
  <c r="E521" i="32" s="1"/>
  <c r="B521" i="32"/>
  <c r="A521" i="32"/>
  <c r="M521" i="32" s="1"/>
  <c r="U520" i="32"/>
  <c r="S520" i="32"/>
  <c r="P520" i="32"/>
  <c r="Q520" i="32" s="1"/>
  <c r="N520" i="32"/>
  <c r="O520" i="32" s="1"/>
  <c r="K520" i="32"/>
  <c r="L520" i="32" s="1"/>
  <c r="F520" i="32"/>
  <c r="G520" i="32" s="1"/>
  <c r="D520" i="32"/>
  <c r="E520" i="32" s="1"/>
  <c r="B520" i="32"/>
  <c r="A520" i="32"/>
  <c r="M520" i="32" s="1"/>
  <c r="U519" i="32"/>
  <c r="S519" i="32"/>
  <c r="P519" i="32"/>
  <c r="Q519" i="32" s="1"/>
  <c r="N519" i="32"/>
  <c r="O519" i="32" s="1"/>
  <c r="K519" i="32"/>
  <c r="L519" i="32" s="1"/>
  <c r="F519" i="32"/>
  <c r="G519" i="32" s="1"/>
  <c r="D519" i="32"/>
  <c r="E519" i="32" s="1"/>
  <c r="B519" i="32"/>
  <c r="A519" i="32"/>
  <c r="M519" i="32" s="1"/>
  <c r="U518" i="32"/>
  <c r="S518" i="32"/>
  <c r="P518" i="32"/>
  <c r="Q518" i="32" s="1"/>
  <c r="N518" i="32"/>
  <c r="O518" i="32" s="1"/>
  <c r="K518" i="32"/>
  <c r="L518" i="32" s="1"/>
  <c r="F518" i="32"/>
  <c r="G518" i="32" s="1"/>
  <c r="D518" i="32"/>
  <c r="E518" i="32" s="1"/>
  <c r="B518" i="32"/>
  <c r="A518" i="32"/>
  <c r="M518" i="32" s="1"/>
  <c r="Y517" i="32"/>
  <c r="Z517" i="32" s="1"/>
  <c r="W517" i="32"/>
  <c r="B517" i="32"/>
  <c r="A517" i="32"/>
  <c r="Y516" i="32"/>
  <c r="Z516" i="32" s="1"/>
  <c r="W516" i="32"/>
  <c r="B516" i="32"/>
  <c r="A516" i="32"/>
  <c r="Y515" i="32"/>
  <c r="Z515" i="32" s="1"/>
  <c r="W515" i="32"/>
  <c r="B515" i="32"/>
  <c r="A515" i="32"/>
  <c r="Y514" i="32"/>
  <c r="Z514" i="32" s="1"/>
  <c r="W514" i="32"/>
  <c r="X514" i="32" s="1"/>
  <c r="K514" i="32"/>
  <c r="L514" i="32" s="1"/>
  <c r="B514" i="32"/>
  <c r="A514" i="32"/>
  <c r="Y513" i="32"/>
  <c r="Z513" i="32" s="1"/>
  <c r="W513" i="32"/>
  <c r="X513" i="32" s="1"/>
  <c r="B513" i="32"/>
  <c r="A513" i="32"/>
  <c r="U512" i="32"/>
  <c r="S512" i="32"/>
  <c r="P512" i="32"/>
  <c r="Q512" i="32" s="1"/>
  <c r="N512" i="32"/>
  <c r="O512" i="32" s="1"/>
  <c r="K512" i="32"/>
  <c r="L512" i="32" s="1"/>
  <c r="F512" i="32"/>
  <c r="G512" i="32" s="1"/>
  <c r="D512" i="32"/>
  <c r="E512" i="32" s="1"/>
  <c r="B512" i="32"/>
  <c r="A512" i="32"/>
  <c r="M512" i="32" s="1"/>
  <c r="U511" i="32"/>
  <c r="S511" i="32"/>
  <c r="P511" i="32"/>
  <c r="Q511" i="32" s="1"/>
  <c r="N511" i="32"/>
  <c r="O511" i="32" s="1"/>
  <c r="K511" i="32"/>
  <c r="L511" i="32" s="1"/>
  <c r="F511" i="32"/>
  <c r="G511" i="32" s="1"/>
  <c r="D511" i="32"/>
  <c r="E511" i="32" s="1"/>
  <c r="B511" i="32"/>
  <c r="A511" i="32"/>
  <c r="M511" i="32" s="1"/>
  <c r="U510" i="32"/>
  <c r="S510" i="32"/>
  <c r="P510" i="32"/>
  <c r="Q510" i="32" s="1"/>
  <c r="N510" i="32"/>
  <c r="O510" i="32" s="1"/>
  <c r="K510" i="32"/>
  <c r="L510" i="32" s="1"/>
  <c r="F510" i="32"/>
  <c r="G510" i="32" s="1"/>
  <c r="D510" i="32"/>
  <c r="E510" i="32" s="1"/>
  <c r="B510" i="32"/>
  <c r="A510" i="32"/>
  <c r="M510" i="32" s="1"/>
  <c r="U509" i="32"/>
  <c r="S509" i="32"/>
  <c r="P509" i="32"/>
  <c r="Q509" i="32" s="1"/>
  <c r="N509" i="32"/>
  <c r="O509" i="32" s="1"/>
  <c r="K509" i="32"/>
  <c r="L509" i="32" s="1"/>
  <c r="F509" i="32"/>
  <c r="G509" i="32" s="1"/>
  <c r="D509" i="32"/>
  <c r="E509" i="32" s="1"/>
  <c r="B509" i="32"/>
  <c r="A509" i="32"/>
  <c r="M509" i="32" s="1"/>
  <c r="Y508" i="32"/>
  <c r="Z508" i="32" s="1"/>
  <c r="W508" i="32"/>
  <c r="X508" i="32" s="1"/>
  <c r="B508" i="32"/>
  <c r="A508" i="32"/>
  <c r="Y507" i="32"/>
  <c r="Z507" i="32" s="1"/>
  <c r="W507" i="32"/>
  <c r="X507" i="32" s="1"/>
  <c r="B507" i="32"/>
  <c r="A507" i="32"/>
  <c r="Y506" i="32"/>
  <c r="Z506" i="32" s="1"/>
  <c r="W506" i="32"/>
  <c r="B506" i="32"/>
  <c r="A506" i="32"/>
  <c r="Y505" i="32"/>
  <c r="Z505" i="32" s="1"/>
  <c r="W505" i="32"/>
  <c r="X505" i="32" s="1"/>
  <c r="K505" i="32"/>
  <c r="L505" i="32" s="1"/>
  <c r="B505" i="32"/>
  <c r="A505" i="32"/>
  <c r="Y504" i="32"/>
  <c r="Z504" i="32" s="1"/>
  <c r="W504" i="32"/>
  <c r="X504" i="32" s="1"/>
  <c r="B504" i="32"/>
  <c r="A504" i="32"/>
  <c r="U503" i="32"/>
  <c r="S503" i="32"/>
  <c r="P503" i="32"/>
  <c r="Q503" i="32" s="1"/>
  <c r="N503" i="32"/>
  <c r="O503" i="32" s="1"/>
  <c r="K503" i="32"/>
  <c r="L503" i="32" s="1"/>
  <c r="F503" i="32"/>
  <c r="G503" i="32" s="1"/>
  <c r="D503" i="32"/>
  <c r="E503" i="32" s="1"/>
  <c r="B503" i="32"/>
  <c r="A503" i="32"/>
  <c r="M503" i="32" s="1"/>
  <c r="U502" i="32"/>
  <c r="S502" i="32"/>
  <c r="P502" i="32"/>
  <c r="Q502" i="32" s="1"/>
  <c r="N502" i="32"/>
  <c r="O502" i="32" s="1"/>
  <c r="K502" i="32"/>
  <c r="L502" i="32" s="1"/>
  <c r="F502" i="32"/>
  <c r="G502" i="32" s="1"/>
  <c r="D502" i="32"/>
  <c r="E502" i="32" s="1"/>
  <c r="B502" i="32"/>
  <c r="A502" i="32"/>
  <c r="M502" i="32" s="1"/>
  <c r="U501" i="32"/>
  <c r="S501" i="32"/>
  <c r="P501" i="32"/>
  <c r="Q501" i="32" s="1"/>
  <c r="N501" i="32"/>
  <c r="O501" i="32" s="1"/>
  <c r="K501" i="32"/>
  <c r="L501" i="32" s="1"/>
  <c r="F501" i="32"/>
  <c r="G501" i="32" s="1"/>
  <c r="D501" i="32"/>
  <c r="E501" i="32" s="1"/>
  <c r="B501" i="32"/>
  <c r="A501" i="32"/>
  <c r="M501" i="32" s="1"/>
  <c r="U500" i="32"/>
  <c r="S500" i="32"/>
  <c r="P500" i="32"/>
  <c r="Q500" i="32" s="1"/>
  <c r="N500" i="32"/>
  <c r="O500" i="32" s="1"/>
  <c r="K500" i="32"/>
  <c r="L500" i="32" s="1"/>
  <c r="F500" i="32"/>
  <c r="G500" i="32" s="1"/>
  <c r="D500" i="32"/>
  <c r="E500" i="32" s="1"/>
  <c r="B500" i="32"/>
  <c r="A500" i="32"/>
  <c r="M500" i="32" s="1"/>
  <c r="Y499" i="32"/>
  <c r="Z499" i="32" s="1"/>
  <c r="W499" i="32"/>
  <c r="X499" i="32" s="1"/>
  <c r="B499" i="32"/>
  <c r="A499" i="32"/>
  <c r="Y498" i="32"/>
  <c r="Z498" i="32" s="1"/>
  <c r="W498" i="32"/>
  <c r="B498" i="32"/>
  <c r="A498" i="32"/>
  <c r="Y497" i="32"/>
  <c r="W497" i="32"/>
  <c r="X497" i="32" s="1"/>
  <c r="B497" i="32"/>
  <c r="A497" i="32"/>
  <c r="Y496" i="32"/>
  <c r="Z496" i="32" s="1"/>
  <c r="W496" i="32"/>
  <c r="X496" i="32" s="1"/>
  <c r="K496" i="32"/>
  <c r="L496" i="32" s="1"/>
  <c r="B496" i="32"/>
  <c r="A496" i="32"/>
  <c r="Y495" i="32"/>
  <c r="W495" i="32"/>
  <c r="X495" i="32" s="1"/>
  <c r="B495" i="32"/>
  <c r="A495" i="32"/>
  <c r="U494" i="32"/>
  <c r="S494" i="32"/>
  <c r="P494" i="32"/>
  <c r="Q494" i="32" s="1"/>
  <c r="N494" i="32"/>
  <c r="O494" i="32" s="1"/>
  <c r="K494" i="32"/>
  <c r="L494" i="32" s="1"/>
  <c r="F494" i="32"/>
  <c r="G494" i="32" s="1"/>
  <c r="D494" i="32"/>
  <c r="E494" i="32" s="1"/>
  <c r="B494" i="32"/>
  <c r="A494" i="32"/>
  <c r="M494" i="32" s="1"/>
  <c r="U493" i="32"/>
  <c r="S493" i="32"/>
  <c r="P493" i="32"/>
  <c r="Q493" i="32" s="1"/>
  <c r="N493" i="32"/>
  <c r="O493" i="32" s="1"/>
  <c r="K493" i="32"/>
  <c r="L493" i="32" s="1"/>
  <c r="F493" i="32"/>
  <c r="G493" i="32" s="1"/>
  <c r="D493" i="32"/>
  <c r="E493" i="32" s="1"/>
  <c r="B493" i="32"/>
  <c r="A493" i="32"/>
  <c r="M493" i="32" s="1"/>
  <c r="U492" i="32"/>
  <c r="S492" i="32"/>
  <c r="P492" i="32"/>
  <c r="Q492" i="32" s="1"/>
  <c r="N492" i="32"/>
  <c r="O492" i="32" s="1"/>
  <c r="K492" i="32"/>
  <c r="F492" i="32"/>
  <c r="G492" i="32" s="1"/>
  <c r="D492" i="32"/>
  <c r="E492" i="32" s="1"/>
  <c r="B492" i="32"/>
  <c r="A492" i="32"/>
  <c r="M492" i="32" s="1"/>
  <c r="U491" i="32"/>
  <c r="S491" i="32"/>
  <c r="P491" i="32"/>
  <c r="Q491" i="32" s="1"/>
  <c r="N491" i="32"/>
  <c r="O491" i="32" s="1"/>
  <c r="K491" i="32"/>
  <c r="L491" i="32" s="1"/>
  <c r="F491" i="32"/>
  <c r="G491" i="32" s="1"/>
  <c r="D491" i="32"/>
  <c r="E491" i="32" s="1"/>
  <c r="B491" i="32"/>
  <c r="A491" i="32"/>
  <c r="M491" i="32" s="1"/>
  <c r="Y490" i="32"/>
  <c r="W490" i="32"/>
  <c r="X490" i="32" s="1"/>
  <c r="B490" i="32"/>
  <c r="A490" i="32"/>
  <c r="Y489" i="32"/>
  <c r="Z489" i="32" s="1"/>
  <c r="W489" i="32"/>
  <c r="B489" i="32"/>
  <c r="A489" i="32"/>
  <c r="Y488" i="32"/>
  <c r="Z488" i="32" s="1"/>
  <c r="W488" i="32"/>
  <c r="X488" i="32" s="1"/>
  <c r="B488" i="32"/>
  <c r="A488" i="32"/>
  <c r="Y487" i="32"/>
  <c r="Z487" i="32" s="1"/>
  <c r="W487" i="32"/>
  <c r="K487" i="32"/>
  <c r="L487" i="32" s="1"/>
  <c r="B487" i="32"/>
  <c r="A487" i="32"/>
  <c r="Y486" i="32"/>
  <c r="Z486" i="32" s="1"/>
  <c r="W486" i="32"/>
  <c r="B486" i="32"/>
  <c r="A486" i="32"/>
  <c r="U485" i="32"/>
  <c r="S485" i="32"/>
  <c r="P485" i="32"/>
  <c r="Q485" i="32" s="1"/>
  <c r="N485" i="32"/>
  <c r="O485" i="32" s="1"/>
  <c r="K485" i="32"/>
  <c r="L485" i="32" s="1"/>
  <c r="F485" i="32"/>
  <c r="G485" i="32" s="1"/>
  <c r="D485" i="32"/>
  <c r="E485" i="32" s="1"/>
  <c r="B485" i="32"/>
  <c r="A485" i="32"/>
  <c r="M485" i="32" s="1"/>
  <c r="U484" i="32"/>
  <c r="S484" i="32"/>
  <c r="P484" i="32"/>
  <c r="Q484" i="32" s="1"/>
  <c r="N484" i="32"/>
  <c r="O484" i="32" s="1"/>
  <c r="K484" i="32"/>
  <c r="L484" i="32" s="1"/>
  <c r="F484" i="32"/>
  <c r="G484" i="32" s="1"/>
  <c r="D484" i="32"/>
  <c r="E484" i="32" s="1"/>
  <c r="B484" i="32"/>
  <c r="A484" i="32"/>
  <c r="M484" i="32" s="1"/>
  <c r="U483" i="32"/>
  <c r="S483" i="32"/>
  <c r="P483" i="32"/>
  <c r="Q483" i="32" s="1"/>
  <c r="N483" i="32"/>
  <c r="O483" i="32" s="1"/>
  <c r="K483" i="32"/>
  <c r="L483" i="32" s="1"/>
  <c r="F483" i="32"/>
  <c r="G483" i="32" s="1"/>
  <c r="D483" i="32"/>
  <c r="E483" i="32" s="1"/>
  <c r="B483" i="32"/>
  <c r="A483" i="32"/>
  <c r="M483" i="32" s="1"/>
  <c r="U482" i="32"/>
  <c r="S482" i="32"/>
  <c r="P482" i="32"/>
  <c r="Q482" i="32" s="1"/>
  <c r="N482" i="32"/>
  <c r="O482" i="32" s="1"/>
  <c r="K482" i="32"/>
  <c r="L482" i="32" s="1"/>
  <c r="F482" i="32"/>
  <c r="G482" i="32" s="1"/>
  <c r="D482" i="32"/>
  <c r="E482" i="32" s="1"/>
  <c r="B482" i="32"/>
  <c r="A482" i="32"/>
  <c r="M482" i="32" s="1"/>
  <c r="Y481" i="32"/>
  <c r="Z481" i="32" s="1"/>
  <c r="W481" i="32"/>
  <c r="B481" i="32"/>
  <c r="A481" i="32"/>
  <c r="Y480" i="32"/>
  <c r="Z480" i="32" s="1"/>
  <c r="W480" i="32"/>
  <c r="B480" i="32"/>
  <c r="A480" i="32"/>
  <c r="Y479" i="32"/>
  <c r="Z479" i="32" s="1"/>
  <c r="W479" i="32"/>
  <c r="X479" i="32" s="1"/>
  <c r="B479" i="32"/>
  <c r="A479" i="32"/>
  <c r="Y478" i="32"/>
  <c r="Z478" i="32" s="1"/>
  <c r="W478" i="32"/>
  <c r="K478" i="32"/>
  <c r="L478" i="32" s="1"/>
  <c r="B478" i="32"/>
  <c r="A478" i="32"/>
  <c r="Y477" i="32"/>
  <c r="Z477" i="32" s="1"/>
  <c r="W477" i="32"/>
  <c r="B477" i="32"/>
  <c r="A477" i="32"/>
  <c r="U476" i="32"/>
  <c r="S476" i="32"/>
  <c r="P476" i="32"/>
  <c r="Q476" i="32" s="1"/>
  <c r="N476" i="32"/>
  <c r="O476" i="32" s="1"/>
  <c r="K476" i="32"/>
  <c r="L476" i="32" s="1"/>
  <c r="F476" i="32"/>
  <c r="G476" i="32" s="1"/>
  <c r="D476" i="32"/>
  <c r="E476" i="32" s="1"/>
  <c r="B476" i="32"/>
  <c r="A476" i="32"/>
  <c r="M476" i="32" s="1"/>
  <c r="U475" i="32"/>
  <c r="S475" i="32"/>
  <c r="P475" i="32"/>
  <c r="Q475" i="32" s="1"/>
  <c r="N475" i="32"/>
  <c r="O475" i="32" s="1"/>
  <c r="K475" i="32"/>
  <c r="L475" i="32" s="1"/>
  <c r="F475" i="32"/>
  <c r="G475" i="32" s="1"/>
  <c r="D475" i="32"/>
  <c r="E475" i="32" s="1"/>
  <c r="B475" i="32"/>
  <c r="A475" i="32"/>
  <c r="M475" i="32" s="1"/>
  <c r="U474" i="32"/>
  <c r="S474" i="32"/>
  <c r="P474" i="32"/>
  <c r="Q474" i="32" s="1"/>
  <c r="N474" i="32"/>
  <c r="O474" i="32" s="1"/>
  <c r="K474" i="32"/>
  <c r="L474" i="32" s="1"/>
  <c r="F474" i="32"/>
  <c r="G474" i="32" s="1"/>
  <c r="D474" i="32"/>
  <c r="E474" i="32" s="1"/>
  <c r="B474" i="32"/>
  <c r="A474" i="32"/>
  <c r="M474" i="32" s="1"/>
  <c r="U473" i="32"/>
  <c r="S473" i="32"/>
  <c r="P473" i="32"/>
  <c r="Q473" i="32" s="1"/>
  <c r="N473" i="32"/>
  <c r="O473" i="32" s="1"/>
  <c r="K473" i="32"/>
  <c r="L473" i="32" s="1"/>
  <c r="F473" i="32"/>
  <c r="G473" i="32" s="1"/>
  <c r="D473" i="32"/>
  <c r="E473" i="32" s="1"/>
  <c r="B473" i="32"/>
  <c r="A473" i="32"/>
  <c r="M473" i="32" s="1"/>
  <c r="Y472" i="32"/>
  <c r="Z472" i="32" s="1"/>
  <c r="W472" i="32"/>
  <c r="X472" i="32" s="1"/>
  <c r="B472" i="32"/>
  <c r="A472" i="32"/>
  <c r="Y471" i="32"/>
  <c r="Z471" i="32" s="1"/>
  <c r="W471" i="32"/>
  <c r="B471" i="32"/>
  <c r="A471" i="32"/>
  <c r="Y470" i="32"/>
  <c r="Z470" i="32" s="1"/>
  <c r="W470" i="32"/>
  <c r="X470" i="32" s="1"/>
  <c r="B470" i="32"/>
  <c r="A470" i="32"/>
  <c r="Y469" i="32"/>
  <c r="Z469" i="32" s="1"/>
  <c r="W469" i="32"/>
  <c r="K469" i="32"/>
  <c r="L469" i="32" s="1"/>
  <c r="B469" i="32"/>
  <c r="A469" i="32"/>
  <c r="Y468" i="32"/>
  <c r="Z468" i="32" s="1"/>
  <c r="W468" i="32"/>
  <c r="X468" i="32" s="1"/>
  <c r="B468" i="32"/>
  <c r="A468" i="32"/>
  <c r="U467" i="32"/>
  <c r="S467" i="32"/>
  <c r="P467" i="32"/>
  <c r="Q467" i="32" s="1"/>
  <c r="N467" i="32"/>
  <c r="O467" i="32" s="1"/>
  <c r="K467" i="32"/>
  <c r="L467" i="32" s="1"/>
  <c r="F467" i="32"/>
  <c r="G467" i="32" s="1"/>
  <c r="D467" i="32"/>
  <c r="E467" i="32" s="1"/>
  <c r="B467" i="32"/>
  <c r="A467" i="32"/>
  <c r="M467" i="32" s="1"/>
  <c r="U466" i="32"/>
  <c r="S466" i="32"/>
  <c r="P466" i="32"/>
  <c r="Q466" i="32" s="1"/>
  <c r="N466" i="32"/>
  <c r="O466" i="32" s="1"/>
  <c r="K466" i="32"/>
  <c r="L466" i="32" s="1"/>
  <c r="F466" i="32"/>
  <c r="G466" i="32" s="1"/>
  <c r="D466" i="32"/>
  <c r="E466" i="32" s="1"/>
  <c r="B466" i="32"/>
  <c r="A466" i="32"/>
  <c r="M466" i="32" s="1"/>
  <c r="U465" i="32"/>
  <c r="S465" i="32"/>
  <c r="P465" i="32"/>
  <c r="Q465" i="32" s="1"/>
  <c r="N465" i="32"/>
  <c r="O465" i="32" s="1"/>
  <c r="K465" i="32"/>
  <c r="L465" i="32" s="1"/>
  <c r="F465" i="32"/>
  <c r="G465" i="32" s="1"/>
  <c r="D465" i="32"/>
  <c r="E465" i="32" s="1"/>
  <c r="B465" i="32"/>
  <c r="A465" i="32"/>
  <c r="M465" i="32" s="1"/>
  <c r="U464" i="32"/>
  <c r="S464" i="32"/>
  <c r="P464" i="32"/>
  <c r="Q464" i="32" s="1"/>
  <c r="N464" i="32"/>
  <c r="O464" i="32" s="1"/>
  <c r="K464" i="32"/>
  <c r="L464" i="32" s="1"/>
  <c r="F464" i="32"/>
  <c r="G464" i="32" s="1"/>
  <c r="D464" i="32"/>
  <c r="E464" i="32" s="1"/>
  <c r="B464" i="32"/>
  <c r="A464" i="32"/>
  <c r="M464" i="32" s="1"/>
  <c r="Y463" i="32"/>
  <c r="Z463" i="32" s="1"/>
  <c r="W463" i="32"/>
  <c r="X463" i="32" s="1"/>
  <c r="B463" i="32"/>
  <c r="A463" i="32"/>
  <c r="Y462" i="32"/>
  <c r="Z462" i="32" s="1"/>
  <c r="W462" i="32"/>
  <c r="X462" i="32" s="1"/>
  <c r="B462" i="32"/>
  <c r="A462" i="32"/>
  <c r="Y461" i="32"/>
  <c r="Z461" i="32" s="1"/>
  <c r="W461" i="32"/>
  <c r="X461" i="32" s="1"/>
  <c r="B461" i="32"/>
  <c r="A461" i="32"/>
  <c r="Y460" i="32"/>
  <c r="Z460" i="32" s="1"/>
  <c r="W460" i="32"/>
  <c r="X460" i="32" s="1"/>
  <c r="K460" i="32"/>
  <c r="L460" i="32" s="1"/>
  <c r="B460" i="32"/>
  <c r="A460" i="32"/>
  <c r="Y459" i="32"/>
  <c r="Z459" i="32" s="1"/>
  <c r="W459" i="32"/>
  <c r="B459" i="32"/>
  <c r="A459" i="32"/>
  <c r="U458" i="32"/>
  <c r="S458" i="32"/>
  <c r="P458" i="32"/>
  <c r="Q458" i="32" s="1"/>
  <c r="N458" i="32"/>
  <c r="O458" i="32" s="1"/>
  <c r="K458" i="32"/>
  <c r="F458" i="32"/>
  <c r="G458" i="32" s="1"/>
  <c r="D458" i="32"/>
  <c r="E458" i="32" s="1"/>
  <c r="B458" i="32"/>
  <c r="A458" i="32"/>
  <c r="M458" i="32" s="1"/>
  <c r="U457" i="32"/>
  <c r="S457" i="32"/>
  <c r="P457" i="32"/>
  <c r="Q457" i="32" s="1"/>
  <c r="N457" i="32"/>
  <c r="O457" i="32" s="1"/>
  <c r="K457" i="32"/>
  <c r="L457" i="32" s="1"/>
  <c r="F457" i="32"/>
  <c r="G457" i="32" s="1"/>
  <c r="D457" i="32"/>
  <c r="E457" i="32" s="1"/>
  <c r="B457" i="32"/>
  <c r="A457" i="32"/>
  <c r="M457" i="32" s="1"/>
  <c r="U456" i="32"/>
  <c r="S456" i="32"/>
  <c r="P456" i="32"/>
  <c r="Q456" i="32" s="1"/>
  <c r="N456" i="32"/>
  <c r="O456" i="32" s="1"/>
  <c r="K456" i="32"/>
  <c r="F456" i="32"/>
  <c r="G456" i="32" s="1"/>
  <c r="D456" i="32"/>
  <c r="E456" i="32" s="1"/>
  <c r="B456" i="32"/>
  <c r="A456" i="32"/>
  <c r="M456" i="32" s="1"/>
  <c r="U455" i="32"/>
  <c r="S455" i="32"/>
  <c r="P455" i="32"/>
  <c r="Q455" i="32" s="1"/>
  <c r="N455" i="32"/>
  <c r="O455" i="32" s="1"/>
  <c r="K455" i="32"/>
  <c r="L455" i="32" s="1"/>
  <c r="F455" i="32"/>
  <c r="G455" i="32" s="1"/>
  <c r="D455" i="32"/>
  <c r="E455" i="32" s="1"/>
  <c r="B455" i="32"/>
  <c r="A455" i="32"/>
  <c r="M455" i="32" s="1"/>
  <c r="Y454" i="32"/>
  <c r="Z454" i="32" s="1"/>
  <c r="W454" i="32"/>
  <c r="X454" i="32" s="1"/>
  <c r="B454" i="32"/>
  <c r="A454" i="32"/>
  <c r="Y453" i="32"/>
  <c r="Z453" i="32" s="1"/>
  <c r="W453" i="32"/>
  <c r="B453" i="32"/>
  <c r="A453" i="32"/>
  <c r="Y452" i="32"/>
  <c r="Z452" i="32" s="1"/>
  <c r="W452" i="32"/>
  <c r="B452" i="32"/>
  <c r="A452" i="32"/>
  <c r="Y451" i="32"/>
  <c r="Z451" i="32" s="1"/>
  <c r="W451" i="32"/>
  <c r="K451" i="32"/>
  <c r="L451" i="32" s="1"/>
  <c r="B451" i="32"/>
  <c r="A451" i="32"/>
  <c r="Y450" i="32"/>
  <c r="Z450" i="32" s="1"/>
  <c r="W450" i="32"/>
  <c r="X450" i="32" s="1"/>
  <c r="B450" i="32"/>
  <c r="A450" i="32"/>
  <c r="U449" i="32"/>
  <c r="S449" i="32"/>
  <c r="P449" i="32"/>
  <c r="Q449" i="32" s="1"/>
  <c r="N449" i="32"/>
  <c r="O449" i="32" s="1"/>
  <c r="K449" i="32"/>
  <c r="L449" i="32" s="1"/>
  <c r="F449" i="32"/>
  <c r="G449" i="32" s="1"/>
  <c r="D449" i="32"/>
  <c r="E449" i="32" s="1"/>
  <c r="B449" i="32"/>
  <c r="A449" i="32"/>
  <c r="M449" i="32" s="1"/>
  <c r="U448" i="32"/>
  <c r="S448" i="32"/>
  <c r="P448" i="32"/>
  <c r="Q448" i="32" s="1"/>
  <c r="N448" i="32"/>
  <c r="O448" i="32" s="1"/>
  <c r="K448" i="32"/>
  <c r="L448" i="32" s="1"/>
  <c r="F448" i="32"/>
  <c r="G448" i="32" s="1"/>
  <c r="D448" i="32"/>
  <c r="E448" i="32" s="1"/>
  <c r="B448" i="32"/>
  <c r="A448" i="32"/>
  <c r="M448" i="32" s="1"/>
  <c r="U447" i="32"/>
  <c r="S447" i="32"/>
  <c r="P447" i="32"/>
  <c r="Q447" i="32" s="1"/>
  <c r="N447" i="32"/>
  <c r="O447" i="32" s="1"/>
  <c r="K447" i="32"/>
  <c r="L447" i="32" s="1"/>
  <c r="F447" i="32"/>
  <c r="G447" i="32" s="1"/>
  <c r="D447" i="32"/>
  <c r="E447" i="32" s="1"/>
  <c r="B447" i="32"/>
  <c r="A447" i="32"/>
  <c r="M447" i="32" s="1"/>
  <c r="U446" i="32"/>
  <c r="S446" i="32"/>
  <c r="P446" i="32"/>
  <c r="Q446" i="32" s="1"/>
  <c r="N446" i="32"/>
  <c r="O446" i="32" s="1"/>
  <c r="K446" i="32"/>
  <c r="L446" i="32" s="1"/>
  <c r="F446" i="32"/>
  <c r="G446" i="32" s="1"/>
  <c r="D446" i="32"/>
  <c r="E446" i="32" s="1"/>
  <c r="B446" i="32"/>
  <c r="A446" i="32"/>
  <c r="M446" i="32" s="1"/>
  <c r="Y445" i="32"/>
  <c r="Z445" i="32" s="1"/>
  <c r="W445" i="32"/>
  <c r="X445" i="32" s="1"/>
  <c r="B445" i="32"/>
  <c r="A445" i="32"/>
  <c r="Y444" i="32"/>
  <c r="Z444" i="32" s="1"/>
  <c r="W444" i="32"/>
  <c r="X444" i="32" s="1"/>
  <c r="B444" i="32"/>
  <c r="A444" i="32"/>
  <c r="Y443" i="32"/>
  <c r="Z443" i="32" s="1"/>
  <c r="W443" i="32"/>
  <c r="X443" i="32" s="1"/>
  <c r="B443" i="32"/>
  <c r="A443" i="32"/>
  <c r="Y442" i="32"/>
  <c r="Z442" i="32" s="1"/>
  <c r="W442" i="32"/>
  <c r="X442" i="32" s="1"/>
  <c r="K442" i="32"/>
  <c r="L442" i="32" s="1"/>
  <c r="B442" i="32"/>
  <c r="A442" i="32"/>
  <c r="Y441" i="32"/>
  <c r="Z441" i="32" s="1"/>
  <c r="W441" i="32"/>
  <c r="B441" i="32"/>
  <c r="A441" i="32"/>
  <c r="U440" i="32"/>
  <c r="S440" i="32"/>
  <c r="P440" i="32"/>
  <c r="Q440" i="32" s="1"/>
  <c r="N440" i="32"/>
  <c r="O440" i="32" s="1"/>
  <c r="K440" i="32"/>
  <c r="F440" i="32"/>
  <c r="G440" i="32" s="1"/>
  <c r="D440" i="32"/>
  <c r="E440" i="32" s="1"/>
  <c r="B440" i="32"/>
  <c r="A440" i="32"/>
  <c r="M440" i="32" s="1"/>
  <c r="U439" i="32"/>
  <c r="S439" i="32"/>
  <c r="P439" i="32"/>
  <c r="Q439" i="32" s="1"/>
  <c r="N439" i="32"/>
  <c r="O439" i="32" s="1"/>
  <c r="K439" i="32"/>
  <c r="L439" i="32" s="1"/>
  <c r="F439" i="32"/>
  <c r="G439" i="32" s="1"/>
  <c r="D439" i="32"/>
  <c r="E439" i="32" s="1"/>
  <c r="B439" i="32"/>
  <c r="A439" i="32"/>
  <c r="M439" i="32" s="1"/>
  <c r="U438" i="32"/>
  <c r="S438" i="32"/>
  <c r="P438" i="32"/>
  <c r="Q438" i="32" s="1"/>
  <c r="N438" i="32"/>
  <c r="O438" i="32" s="1"/>
  <c r="K438" i="32"/>
  <c r="F438" i="32"/>
  <c r="G438" i="32" s="1"/>
  <c r="D438" i="32"/>
  <c r="E438" i="32" s="1"/>
  <c r="B438" i="32"/>
  <c r="A438" i="32"/>
  <c r="M438" i="32" s="1"/>
  <c r="U437" i="32"/>
  <c r="S437" i="32"/>
  <c r="P437" i="32"/>
  <c r="Q437" i="32" s="1"/>
  <c r="N437" i="32"/>
  <c r="O437" i="32" s="1"/>
  <c r="K437" i="32"/>
  <c r="L437" i="32" s="1"/>
  <c r="F437" i="32"/>
  <c r="G437" i="32" s="1"/>
  <c r="D437" i="32"/>
  <c r="E437" i="32" s="1"/>
  <c r="B437" i="32"/>
  <c r="A437" i="32"/>
  <c r="M437" i="32" s="1"/>
  <c r="Y436" i="32"/>
  <c r="Z436" i="32" s="1"/>
  <c r="W436" i="32"/>
  <c r="B436" i="32"/>
  <c r="A436" i="32"/>
  <c r="Y435" i="32"/>
  <c r="Z435" i="32" s="1"/>
  <c r="W435" i="32"/>
  <c r="B435" i="32"/>
  <c r="A435" i="32"/>
  <c r="Y434" i="32"/>
  <c r="Z434" i="32" s="1"/>
  <c r="W434" i="32"/>
  <c r="B434" i="32"/>
  <c r="A434" i="32"/>
  <c r="Y433" i="32"/>
  <c r="Z433" i="32" s="1"/>
  <c r="W433" i="32"/>
  <c r="K433" i="32"/>
  <c r="L433" i="32" s="1"/>
  <c r="B433" i="32"/>
  <c r="A433" i="32"/>
  <c r="Y432" i="32"/>
  <c r="Z432" i="32" s="1"/>
  <c r="W432" i="32"/>
  <c r="X432" i="32" s="1"/>
  <c r="B432" i="32"/>
  <c r="A432" i="32"/>
  <c r="U431" i="32"/>
  <c r="S431" i="32"/>
  <c r="P431" i="32"/>
  <c r="Q431" i="32" s="1"/>
  <c r="N431" i="32"/>
  <c r="O431" i="32" s="1"/>
  <c r="K431" i="32"/>
  <c r="L431" i="32" s="1"/>
  <c r="F431" i="32"/>
  <c r="G431" i="32" s="1"/>
  <c r="D431" i="32"/>
  <c r="E431" i="32" s="1"/>
  <c r="B431" i="32"/>
  <c r="A431" i="32"/>
  <c r="M431" i="32" s="1"/>
  <c r="U430" i="32"/>
  <c r="S430" i="32"/>
  <c r="P430" i="32"/>
  <c r="Q430" i="32" s="1"/>
  <c r="N430" i="32"/>
  <c r="O430" i="32" s="1"/>
  <c r="K430" i="32"/>
  <c r="L430" i="32" s="1"/>
  <c r="F430" i="32"/>
  <c r="G430" i="32" s="1"/>
  <c r="D430" i="32"/>
  <c r="E430" i="32" s="1"/>
  <c r="B430" i="32"/>
  <c r="A430" i="32"/>
  <c r="M430" i="32" s="1"/>
  <c r="U429" i="32"/>
  <c r="S429" i="32"/>
  <c r="P429" i="32"/>
  <c r="Q429" i="32" s="1"/>
  <c r="N429" i="32"/>
  <c r="O429" i="32" s="1"/>
  <c r="K429" i="32"/>
  <c r="L429" i="32" s="1"/>
  <c r="F429" i="32"/>
  <c r="G429" i="32" s="1"/>
  <c r="D429" i="32"/>
  <c r="E429" i="32" s="1"/>
  <c r="B429" i="32"/>
  <c r="A429" i="32"/>
  <c r="M429" i="32" s="1"/>
  <c r="U428" i="32"/>
  <c r="S428" i="32"/>
  <c r="P428" i="32"/>
  <c r="Q428" i="32" s="1"/>
  <c r="N428" i="32"/>
  <c r="O428" i="32" s="1"/>
  <c r="K428" i="32"/>
  <c r="L428" i="32" s="1"/>
  <c r="F428" i="32"/>
  <c r="G428" i="32" s="1"/>
  <c r="D428" i="32"/>
  <c r="E428" i="32" s="1"/>
  <c r="B428" i="32"/>
  <c r="A428" i="32"/>
  <c r="M428" i="32" s="1"/>
  <c r="Y427" i="32"/>
  <c r="Z427" i="32" s="1"/>
  <c r="W427" i="32"/>
  <c r="X427" i="32" s="1"/>
  <c r="B427" i="32"/>
  <c r="A427" i="32"/>
  <c r="Y426" i="32"/>
  <c r="Z426" i="32" s="1"/>
  <c r="W426" i="32"/>
  <c r="X426" i="32" s="1"/>
  <c r="B426" i="32"/>
  <c r="A426" i="32"/>
  <c r="Y425" i="32"/>
  <c r="Z425" i="32" s="1"/>
  <c r="W425" i="32"/>
  <c r="X425" i="32" s="1"/>
  <c r="B425" i="32"/>
  <c r="A425" i="32"/>
  <c r="Y424" i="32"/>
  <c r="Z424" i="32" s="1"/>
  <c r="W424" i="32"/>
  <c r="X424" i="32" s="1"/>
  <c r="K424" i="32"/>
  <c r="L424" i="32" s="1"/>
  <c r="B424" i="32"/>
  <c r="A424" i="32"/>
  <c r="Y423" i="32"/>
  <c r="Z423" i="32" s="1"/>
  <c r="W423" i="32"/>
  <c r="B423" i="32"/>
  <c r="A423" i="32"/>
  <c r="U422" i="32"/>
  <c r="S422" i="32"/>
  <c r="P422" i="32"/>
  <c r="Q422" i="32" s="1"/>
  <c r="N422" i="32"/>
  <c r="O422" i="32" s="1"/>
  <c r="K422" i="32"/>
  <c r="F422" i="32"/>
  <c r="G422" i="32" s="1"/>
  <c r="D422" i="32"/>
  <c r="E422" i="32" s="1"/>
  <c r="B422" i="32"/>
  <c r="A422" i="32"/>
  <c r="M422" i="32" s="1"/>
  <c r="U421" i="32"/>
  <c r="S421" i="32"/>
  <c r="P421" i="32"/>
  <c r="Q421" i="32" s="1"/>
  <c r="N421" i="32"/>
  <c r="O421" i="32" s="1"/>
  <c r="K421" i="32"/>
  <c r="L421" i="32" s="1"/>
  <c r="F421" i="32"/>
  <c r="G421" i="32" s="1"/>
  <c r="D421" i="32"/>
  <c r="E421" i="32" s="1"/>
  <c r="B421" i="32"/>
  <c r="A421" i="32"/>
  <c r="M421" i="32" s="1"/>
  <c r="U420" i="32"/>
  <c r="S420" i="32"/>
  <c r="P420" i="32"/>
  <c r="Q420" i="32" s="1"/>
  <c r="N420" i="32"/>
  <c r="O420" i="32" s="1"/>
  <c r="K420" i="32"/>
  <c r="F420" i="32"/>
  <c r="G420" i="32" s="1"/>
  <c r="D420" i="32"/>
  <c r="E420" i="32" s="1"/>
  <c r="B420" i="32"/>
  <c r="A420" i="32"/>
  <c r="M420" i="32" s="1"/>
  <c r="U419" i="32"/>
  <c r="S419" i="32"/>
  <c r="P419" i="32"/>
  <c r="Q419" i="32" s="1"/>
  <c r="N419" i="32"/>
  <c r="O419" i="32" s="1"/>
  <c r="K419" i="32"/>
  <c r="L419" i="32" s="1"/>
  <c r="F419" i="32"/>
  <c r="G419" i="32" s="1"/>
  <c r="D419" i="32"/>
  <c r="E419" i="32" s="1"/>
  <c r="B419" i="32"/>
  <c r="A419" i="32"/>
  <c r="M419" i="32" s="1"/>
  <c r="Y418" i="32"/>
  <c r="Z418" i="32" s="1"/>
  <c r="W418" i="32"/>
  <c r="B418" i="32"/>
  <c r="A418" i="32"/>
  <c r="Y417" i="32"/>
  <c r="Z417" i="32" s="1"/>
  <c r="W417" i="32"/>
  <c r="B417" i="32"/>
  <c r="A417" i="32"/>
  <c r="Y416" i="32"/>
  <c r="Z416" i="32" s="1"/>
  <c r="W416" i="32"/>
  <c r="B416" i="32"/>
  <c r="A416" i="32"/>
  <c r="Y415" i="32"/>
  <c r="Z415" i="32" s="1"/>
  <c r="W415" i="32"/>
  <c r="K415" i="32"/>
  <c r="L415" i="32" s="1"/>
  <c r="B415" i="32"/>
  <c r="A415" i="32"/>
  <c r="Y414" i="32"/>
  <c r="Z414" i="32" s="1"/>
  <c r="W414" i="32"/>
  <c r="X414" i="32" s="1"/>
  <c r="B414" i="32"/>
  <c r="A414" i="32"/>
  <c r="U413" i="32"/>
  <c r="S413" i="32"/>
  <c r="P413" i="32"/>
  <c r="Q413" i="32" s="1"/>
  <c r="N413" i="32"/>
  <c r="O413" i="32" s="1"/>
  <c r="K413" i="32"/>
  <c r="L413" i="32" s="1"/>
  <c r="F413" i="32"/>
  <c r="G413" i="32" s="1"/>
  <c r="D413" i="32"/>
  <c r="E413" i="32" s="1"/>
  <c r="B413" i="32"/>
  <c r="A413" i="32"/>
  <c r="M413" i="32" s="1"/>
  <c r="U412" i="32"/>
  <c r="S412" i="32"/>
  <c r="P412" i="32"/>
  <c r="Q412" i="32" s="1"/>
  <c r="N412" i="32"/>
  <c r="O412" i="32" s="1"/>
  <c r="K412" i="32"/>
  <c r="L412" i="32" s="1"/>
  <c r="F412" i="32"/>
  <c r="G412" i="32" s="1"/>
  <c r="D412" i="32"/>
  <c r="E412" i="32" s="1"/>
  <c r="B412" i="32"/>
  <c r="A412" i="32"/>
  <c r="M412" i="32" s="1"/>
  <c r="U411" i="32"/>
  <c r="S411" i="32"/>
  <c r="P411" i="32"/>
  <c r="Q411" i="32" s="1"/>
  <c r="N411" i="32"/>
  <c r="O411" i="32" s="1"/>
  <c r="K411" i="32"/>
  <c r="L411" i="32" s="1"/>
  <c r="F411" i="32"/>
  <c r="G411" i="32" s="1"/>
  <c r="D411" i="32"/>
  <c r="E411" i="32" s="1"/>
  <c r="B411" i="32"/>
  <c r="A411" i="32"/>
  <c r="M411" i="32" s="1"/>
  <c r="U410" i="32"/>
  <c r="S410" i="32"/>
  <c r="P410" i="32"/>
  <c r="Q410" i="32" s="1"/>
  <c r="N410" i="32"/>
  <c r="O410" i="32" s="1"/>
  <c r="K410" i="32"/>
  <c r="L410" i="32" s="1"/>
  <c r="F410" i="32"/>
  <c r="G410" i="32" s="1"/>
  <c r="D410" i="32"/>
  <c r="E410" i="32" s="1"/>
  <c r="B410" i="32"/>
  <c r="A410" i="32"/>
  <c r="M410" i="32" s="1"/>
  <c r="Y409" i="32"/>
  <c r="Z409" i="32" s="1"/>
  <c r="W409" i="32"/>
  <c r="B409" i="32"/>
  <c r="A409" i="32"/>
  <c r="Y408" i="32"/>
  <c r="Z408" i="32" s="1"/>
  <c r="W408" i="32"/>
  <c r="X408" i="32" s="1"/>
  <c r="B408" i="32"/>
  <c r="A408" i="32"/>
  <c r="Y407" i="32"/>
  <c r="Z407" i="32" s="1"/>
  <c r="W407" i="32"/>
  <c r="X407" i="32" s="1"/>
  <c r="B407" i="32"/>
  <c r="A407" i="32"/>
  <c r="Y406" i="32"/>
  <c r="Z406" i="32" s="1"/>
  <c r="W406" i="32"/>
  <c r="X406" i="32" s="1"/>
  <c r="K406" i="32"/>
  <c r="L406" i="32" s="1"/>
  <c r="B406" i="32"/>
  <c r="A406" i="32"/>
  <c r="Y405" i="32"/>
  <c r="Z405" i="32" s="1"/>
  <c r="W405" i="32"/>
  <c r="B405" i="32"/>
  <c r="A405" i="32"/>
  <c r="U404" i="32"/>
  <c r="S404" i="32"/>
  <c r="P404" i="32"/>
  <c r="Q404" i="32" s="1"/>
  <c r="N404" i="32"/>
  <c r="O404" i="32" s="1"/>
  <c r="K404" i="32"/>
  <c r="L404" i="32" s="1"/>
  <c r="F404" i="32"/>
  <c r="G404" i="32" s="1"/>
  <c r="D404" i="32"/>
  <c r="E404" i="32" s="1"/>
  <c r="B404" i="32"/>
  <c r="A404" i="32"/>
  <c r="M404" i="32" s="1"/>
  <c r="U403" i="32"/>
  <c r="S403" i="32"/>
  <c r="P403" i="32"/>
  <c r="Q403" i="32" s="1"/>
  <c r="N403" i="32"/>
  <c r="O403" i="32" s="1"/>
  <c r="K403" i="32"/>
  <c r="L403" i="32" s="1"/>
  <c r="F403" i="32"/>
  <c r="G403" i="32" s="1"/>
  <c r="D403" i="32"/>
  <c r="E403" i="32" s="1"/>
  <c r="B403" i="32"/>
  <c r="A403" i="32"/>
  <c r="M403" i="32" s="1"/>
  <c r="U402" i="32"/>
  <c r="S402" i="32"/>
  <c r="P402" i="32"/>
  <c r="Q402" i="32" s="1"/>
  <c r="N402" i="32"/>
  <c r="O402" i="32" s="1"/>
  <c r="K402" i="32"/>
  <c r="L402" i="32" s="1"/>
  <c r="F402" i="32"/>
  <c r="G402" i="32" s="1"/>
  <c r="D402" i="32"/>
  <c r="E402" i="32" s="1"/>
  <c r="B402" i="32"/>
  <c r="A402" i="32"/>
  <c r="M402" i="32" s="1"/>
  <c r="U401" i="32"/>
  <c r="S401" i="32"/>
  <c r="P401" i="32"/>
  <c r="Q401" i="32" s="1"/>
  <c r="N401" i="32"/>
  <c r="O401" i="32" s="1"/>
  <c r="K401" i="32"/>
  <c r="L401" i="32" s="1"/>
  <c r="F401" i="32"/>
  <c r="G401" i="32" s="1"/>
  <c r="D401" i="32"/>
  <c r="E401" i="32" s="1"/>
  <c r="B401" i="32"/>
  <c r="A401" i="32"/>
  <c r="M401" i="32" s="1"/>
  <c r="Y400" i="32"/>
  <c r="Z400" i="32" s="1"/>
  <c r="W400" i="32"/>
  <c r="X400" i="32" s="1"/>
  <c r="B400" i="32"/>
  <c r="A400" i="32"/>
  <c r="Y399" i="32"/>
  <c r="Z399" i="32" s="1"/>
  <c r="W399" i="32"/>
  <c r="B399" i="32"/>
  <c r="A399" i="32"/>
  <c r="Y398" i="32"/>
  <c r="W398" i="32"/>
  <c r="X398" i="32" s="1"/>
  <c r="B398" i="32"/>
  <c r="A398" i="32"/>
  <c r="Y397" i="32"/>
  <c r="Z397" i="32" s="1"/>
  <c r="W397" i="32"/>
  <c r="K397" i="32"/>
  <c r="L397" i="32" s="1"/>
  <c r="B397" i="32"/>
  <c r="A397" i="32"/>
  <c r="Y396" i="32"/>
  <c r="Z396" i="32" s="1"/>
  <c r="W396" i="32"/>
  <c r="X396" i="32" s="1"/>
  <c r="B396" i="32"/>
  <c r="A396" i="32"/>
  <c r="U395" i="32"/>
  <c r="S395" i="32"/>
  <c r="P395" i="32"/>
  <c r="Q395" i="32" s="1"/>
  <c r="N395" i="32"/>
  <c r="O395" i="32" s="1"/>
  <c r="K395" i="32"/>
  <c r="F395" i="32"/>
  <c r="G395" i="32" s="1"/>
  <c r="D395" i="32"/>
  <c r="E395" i="32" s="1"/>
  <c r="B395" i="32"/>
  <c r="A395" i="32"/>
  <c r="M395" i="32" s="1"/>
  <c r="U394" i="32"/>
  <c r="S394" i="32"/>
  <c r="P394" i="32"/>
  <c r="Q394" i="32" s="1"/>
  <c r="N394" i="32"/>
  <c r="O394" i="32" s="1"/>
  <c r="K394" i="32"/>
  <c r="L394" i="32" s="1"/>
  <c r="F394" i="32"/>
  <c r="G394" i="32" s="1"/>
  <c r="D394" i="32"/>
  <c r="E394" i="32" s="1"/>
  <c r="B394" i="32"/>
  <c r="A394" i="32"/>
  <c r="M394" i="32" s="1"/>
  <c r="U393" i="32"/>
  <c r="S393" i="32"/>
  <c r="P393" i="32"/>
  <c r="Q393" i="32" s="1"/>
  <c r="N393" i="32"/>
  <c r="O393" i="32" s="1"/>
  <c r="K393" i="32"/>
  <c r="F393" i="32"/>
  <c r="G393" i="32" s="1"/>
  <c r="D393" i="32"/>
  <c r="E393" i="32" s="1"/>
  <c r="B393" i="32"/>
  <c r="A393" i="32"/>
  <c r="M393" i="32" s="1"/>
  <c r="U392" i="32"/>
  <c r="S392" i="32"/>
  <c r="P392" i="32"/>
  <c r="Q392" i="32" s="1"/>
  <c r="N392" i="32"/>
  <c r="O392" i="32" s="1"/>
  <c r="K392" i="32"/>
  <c r="L392" i="32" s="1"/>
  <c r="F392" i="32"/>
  <c r="G392" i="32" s="1"/>
  <c r="D392" i="32"/>
  <c r="E392" i="32" s="1"/>
  <c r="B392" i="32"/>
  <c r="A392" i="32"/>
  <c r="M392" i="32" s="1"/>
  <c r="Y391" i="32"/>
  <c r="Z391" i="32" s="1"/>
  <c r="W391" i="32"/>
  <c r="X391" i="32" s="1"/>
  <c r="B391" i="32"/>
  <c r="A391" i="32"/>
  <c r="Y390" i="32"/>
  <c r="Z390" i="32" s="1"/>
  <c r="W390" i="32"/>
  <c r="B390" i="32"/>
  <c r="A390" i="32"/>
  <c r="Y389" i="32"/>
  <c r="Z389" i="32" s="1"/>
  <c r="W389" i="32"/>
  <c r="X389" i="32" s="1"/>
  <c r="B389" i="32"/>
  <c r="A389" i="32"/>
  <c r="Y388" i="32"/>
  <c r="Z388" i="32" s="1"/>
  <c r="W388" i="32"/>
  <c r="X388" i="32" s="1"/>
  <c r="K388" i="32"/>
  <c r="L388" i="32" s="1"/>
  <c r="B388" i="32"/>
  <c r="A388" i="32"/>
  <c r="Y387" i="32"/>
  <c r="Z387" i="32" s="1"/>
  <c r="W387" i="32"/>
  <c r="B387" i="32"/>
  <c r="A387" i="32"/>
  <c r="U386" i="32"/>
  <c r="S386" i="32"/>
  <c r="P386" i="32"/>
  <c r="Q386" i="32" s="1"/>
  <c r="N386" i="32"/>
  <c r="O386" i="32" s="1"/>
  <c r="K386" i="32"/>
  <c r="L386" i="32" s="1"/>
  <c r="F386" i="32"/>
  <c r="G386" i="32" s="1"/>
  <c r="D386" i="32"/>
  <c r="E386" i="32" s="1"/>
  <c r="B386" i="32"/>
  <c r="A386" i="32"/>
  <c r="M386" i="32" s="1"/>
  <c r="U385" i="32"/>
  <c r="S385" i="32"/>
  <c r="P385" i="32"/>
  <c r="Q385" i="32" s="1"/>
  <c r="N385" i="32"/>
  <c r="O385" i="32" s="1"/>
  <c r="K385" i="32"/>
  <c r="L385" i="32" s="1"/>
  <c r="F385" i="32"/>
  <c r="G385" i="32" s="1"/>
  <c r="D385" i="32"/>
  <c r="E385" i="32" s="1"/>
  <c r="B385" i="32"/>
  <c r="A385" i="32"/>
  <c r="M385" i="32" s="1"/>
  <c r="U384" i="32"/>
  <c r="S384" i="32"/>
  <c r="P384" i="32"/>
  <c r="Q384" i="32" s="1"/>
  <c r="N384" i="32"/>
  <c r="O384" i="32" s="1"/>
  <c r="K384" i="32"/>
  <c r="F384" i="32"/>
  <c r="G384" i="32" s="1"/>
  <c r="D384" i="32"/>
  <c r="E384" i="32" s="1"/>
  <c r="B384" i="32"/>
  <c r="A384" i="32"/>
  <c r="M384" i="32" s="1"/>
  <c r="U383" i="32"/>
  <c r="S383" i="32"/>
  <c r="P383" i="32"/>
  <c r="Q383" i="32" s="1"/>
  <c r="N383" i="32"/>
  <c r="O383" i="32" s="1"/>
  <c r="K383" i="32"/>
  <c r="L383" i="32" s="1"/>
  <c r="F383" i="32"/>
  <c r="G383" i="32" s="1"/>
  <c r="D383" i="32"/>
  <c r="E383" i="32" s="1"/>
  <c r="B383" i="32"/>
  <c r="A383" i="32"/>
  <c r="M383" i="32" s="1"/>
  <c r="Y382" i="32"/>
  <c r="Z382" i="32" s="1"/>
  <c r="W382" i="32"/>
  <c r="B382" i="32"/>
  <c r="A382" i="32"/>
  <c r="Y381" i="32"/>
  <c r="Z381" i="32" s="1"/>
  <c r="W381" i="32"/>
  <c r="X381" i="32" s="1"/>
  <c r="B381" i="32"/>
  <c r="A381" i="32"/>
  <c r="Y380" i="32"/>
  <c r="Z380" i="32" s="1"/>
  <c r="W380" i="32"/>
  <c r="X380" i="32" s="1"/>
  <c r="B380" i="32"/>
  <c r="A380" i="32"/>
  <c r="Y379" i="32"/>
  <c r="Z379" i="32" s="1"/>
  <c r="W379" i="32"/>
  <c r="K379" i="32"/>
  <c r="L379" i="32" s="1"/>
  <c r="B379" i="32"/>
  <c r="A379" i="32"/>
  <c r="Y378" i="32"/>
  <c r="Z378" i="32" s="1"/>
  <c r="W378" i="32"/>
  <c r="X378" i="32" s="1"/>
  <c r="B378" i="32"/>
  <c r="A378" i="32"/>
  <c r="U377" i="32"/>
  <c r="S377" i="32"/>
  <c r="P377" i="32"/>
  <c r="Q377" i="32" s="1"/>
  <c r="N377" i="32"/>
  <c r="O377" i="32" s="1"/>
  <c r="K377" i="32"/>
  <c r="L377" i="32" s="1"/>
  <c r="F377" i="32"/>
  <c r="G377" i="32" s="1"/>
  <c r="D377" i="32"/>
  <c r="E377" i="32" s="1"/>
  <c r="B377" i="32"/>
  <c r="A377" i="32"/>
  <c r="M377" i="32" s="1"/>
  <c r="U376" i="32"/>
  <c r="S376" i="32"/>
  <c r="P376" i="32"/>
  <c r="Q376" i="32" s="1"/>
  <c r="N376" i="32"/>
  <c r="O376" i="32" s="1"/>
  <c r="K376" i="32"/>
  <c r="L376" i="32" s="1"/>
  <c r="F376" i="32"/>
  <c r="G376" i="32" s="1"/>
  <c r="D376" i="32"/>
  <c r="E376" i="32" s="1"/>
  <c r="B376" i="32"/>
  <c r="A376" i="32"/>
  <c r="M376" i="32" s="1"/>
  <c r="U375" i="32"/>
  <c r="S375" i="32"/>
  <c r="P375" i="32"/>
  <c r="Q375" i="32" s="1"/>
  <c r="N375" i="32"/>
  <c r="O375" i="32" s="1"/>
  <c r="K375" i="32"/>
  <c r="L375" i="32" s="1"/>
  <c r="F375" i="32"/>
  <c r="G375" i="32" s="1"/>
  <c r="D375" i="32"/>
  <c r="E375" i="32" s="1"/>
  <c r="B375" i="32"/>
  <c r="A375" i="32"/>
  <c r="M375" i="32" s="1"/>
  <c r="U374" i="32"/>
  <c r="S374" i="32"/>
  <c r="P374" i="32"/>
  <c r="Q374" i="32" s="1"/>
  <c r="N374" i="32"/>
  <c r="O374" i="32" s="1"/>
  <c r="K374" i="32"/>
  <c r="L374" i="32" s="1"/>
  <c r="F374" i="32"/>
  <c r="G374" i="32" s="1"/>
  <c r="D374" i="32"/>
  <c r="E374" i="32" s="1"/>
  <c r="B374" i="32"/>
  <c r="A374" i="32"/>
  <c r="M374" i="32" s="1"/>
  <c r="Y373" i="32"/>
  <c r="Z373" i="32" s="1"/>
  <c r="W373" i="32"/>
  <c r="X373" i="32" s="1"/>
  <c r="B373" i="32"/>
  <c r="A373" i="32"/>
  <c r="Y372" i="32"/>
  <c r="Z372" i="32" s="1"/>
  <c r="W372" i="32"/>
  <c r="X372" i="32" s="1"/>
  <c r="B372" i="32"/>
  <c r="A372" i="32"/>
  <c r="Y371" i="32"/>
  <c r="Z371" i="32" s="1"/>
  <c r="W371" i="32"/>
  <c r="B371" i="32"/>
  <c r="A371" i="32"/>
  <c r="Y370" i="32"/>
  <c r="Z370" i="32" s="1"/>
  <c r="W370" i="32"/>
  <c r="X370" i="32" s="1"/>
  <c r="K370" i="32"/>
  <c r="L370" i="32" s="1"/>
  <c r="B370" i="32"/>
  <c r="A370" i="32"/>
  <c r="Y369" i="32"/>
  <c r="Z369" i="32" s="1"/>
  <c r="W369" i="32"/>
  <c r="B369" i="32"/>
  <c r="A369" i="32"/>
  <c r="U368" i="32"/>
  <c r="S368" i="32"/>
  <c r="P368" i="32"/>
  <c r="Q368" i="32" s="1"/>
  <c r="N368" i="32"/>
  <c r="O368" i="32" s="1"/>
  <c r="K368" i="32"/>
  <c r="L368" i="32" s="1"/>
  <c r="F368" i="32"/>
  <c r="G368" i="32" s="1"/>
  <c r="D368" i="32"/>
  <c r="E368" i="32" s="1"/>
  <c r="B368" i="32"/>
  <c r="A368" i="32"/>
  <c r="M368" i="32" s="1"/>
  <c r="U367" i="32"/>
  <c r="S367" i="32"/>
  <c r="P367" i="32"/>
  <c r="Q367" i="32" s="1"/>
  <c r="N367" i="32"/>
  <c r="O367" i="32" s="1"/>
  <c r="K367" i="32"/>
  <c r="L367" i="32" s="1"/>
  <c r="F367" i="32"/>
  <c r="G367" i="32" s="1"/>
  <c r="D367" i="32"/>
  <c r="E367" i="32" s="1"/>
  <c r="B367" i="32"/>
  <c r="A367" i="32"/>
  <c r="M367" i="32" s="1"/>
  <c r="U366" i="32"/>
  <c r="S366" i="32"/>
  <c r="P366" i="32"/>
  <c r="Q366" i="32" s="1"/>
  <c r="N366" i="32"/>
  <c r="O366" i="32" s="1"/>
  <c r="K366" i="32"/>
  <c r="F366" i="32"/>
  <c r="G366" i="32" s="1"/>
  <c r="D366" i="32"/>
  <c r="E366" i="32" s="1"/>
  <c r="B366" i="32"/>
  <c r="A366" i="32"/>
  <c r="M366" i="32" s="1"/>
  <c r="U365" i="32"/>
  <c r="S365" i="32"/>
  <c r="P365" i="32"/>
  <c r="Q365" i="32" s="1"/>
  <c r="N365" i="32"/>
  <c r="O365" i="32" s="1"/>
  <c r="K365" i="32"/>
  <c r="L365" i="32" s="1"/>
  <c r="F365" i="32"/>
  <c r="G365" i="32" s="1"/>
  <c r="D365" i="32"/>
  <c r="E365" i="32" s="1"/>
  <c r="B365" i="32"/>
  <c r="A365" i="32"/>
  <c r="M365" i="32" s="1"/>
  <c r="Y364" i="32"/>
  <c r="Z364" i="32" s="1"/>
  <c r="W364" i="32"/>
  <c r="B364" i="32"/>
  <c r="A364" i="32"/>
  <c r="Y363" i="32"/>
  <c r="Z363" i="32" s="1"/>
  <c r="W363" i="32"/>
  <c r="X363" i="32" s="1"/>
  <c r="B363" i="32"/>
  <c r="A363" i="32"/>
  <c r="Y362" i="32"/>
  <c r="Z362" i="32" s="1"/>
  <c r="W362" i="32"/>
  <c r="X362" i="32" s="1"/>
  <c r="B362" i="32"/>
  <c r="A362" i="32"/>
  <c r="Y361" i="32"/>
  <c r="Z361" i="32" s="1"/>
  <c r="W361" i="32"/>
  <c r="K361" i="32"/>
  <c r="L361" i="32" s="1"/>
  <c r="B361" i="32"/>
  <c r="A361" i="32"/>
  <c r="Y360" i="32"/>
  <c r="Z360" i="32" s="1"/>
  <c r="W360" i="32"/>
  <c r="X360" i="32" s="1"/>
  <c r="B360" i="32"/>
  <c r="A360" i="32"/>
  <c r="U359" i="32"/>
  <c r="S359" i="32"/>
  <c r="P359" i="32"/>
  <c r="Q359" i="32" s="1"/>
  <c r="N359" i="32"/>
  <c r="O359" i="32" s="1"/>
  <c r="K359" i="32"/>
  <c r="L359" i="32" s="1"/>
  <c r="F359" i="32"/>
  <c r="G359" i="32" s="1"/>
  <c r="D359" i="32"/>
  <c r="E359" i="32" s="1"/>
  <c r="B359" i="32"/>
  <c r="A359" i="32"/>
  <c r="M359" i="32" s="1"/>
  <c r="U358" i="32"/>
  <c r="S358" i="32"/>
  <c r="P358" i="32"/>
  <c r="Q358" i="32" s="1"/>
  <c r="N358" i="32"/>
  <c r="O358" i="32" s="1"/>
  <c r="K358" i="32"/>
  <c r="L358" i="32" s="1"/>
  <c r="F358" i="32"/>
  <c r="G358" i="32" s="1"/>
  <c r="D358" i="32"/>
  <c r="E358" i="32" s="1"/>
  <c r="B358" i="32"/>
  <c r="A358" i="32"/>
  <c r="M358" i="32" s="1"/>
  <c r="U357" i="32"/>
  <c r="S357" i="32"/>
  <c r="P357" i="32"/>
  <c r="Q357" i="32" s="1"/>
  <c r="N357" i="32"/>
  <c r="O357" i="32" s="1"/>
  <c r="K357" i="32"/>
  <c r="L357" i="32" s="1"/>
  <c r="F357" i="32"/>
  <c r="G357" i="32" s="1"/>
  <c r="D357" i="32"/>
  <c r="E357" i="32" s="1"/>
  <c r="B357" i="32"/>
  <c r="A357" i="32"/>
  <c r="M357" i="32" s="1"/>
  <c r="U356" i="32"/>
  <c r="S356" i="32"/>
  <c r="P356" i="32"/>
  <c r="Q356" i="32" s="1"/>
  <c r="N356" i="32"/>
  <c r="O356" i="32" s="1"/>
  <c r="K356" i="32"/>
  <c r="L356" i="32" s="1"/>
  <c r="F356" i="32"/>
  <c r="G356" i="32" s="1"/>
  <c r="D356" i="32"/>
  <c r="E356" i="32" s="1"/>
  <c r="B356" i="32"/>
  <c r="A356" i="32"/>
  <c r="M356" i="32" s="1"/>
  <c r="Y355" i="32"/>
  <c r="Z355" i="32" s="1"/>
  <c r="W355" i="32"/>
  <c r="X355" i="32" s="1"/>
  <c r="B355" i="32"/>
  <c r="A355" i="32"/>
  <c r="Y354" i="32"/>
  <c r="Z354" i="32" s="1"/>
  <c r="W354" i="32"/>
  <c r="X354" i="32" s="1"/>
  <c r="B354" i="32"/>
  <c r="A354" i="32"/>
  <c r="Y353" i="32"/>
  <c r="Z353" i="32" s="1"/>
  <c r="W353" i="32"/>
  <c r="B353" i="32"/>
  <c r="A353" i="32"/>
  <c r="Y352" i="32"/>
  <c r="W352" i="32"/>
  <c r="X352" i="32" s="1"/>
  <c r="K352" i="32"/>
  <c r="L352" i="32" s="1"/>
  <c r="B352" i="32"/>
  <c r="A352" i="32"/>
  <c r="Y351" i="32"/>
  <c r="Z351" i="32" s="1"/>
  <c r="W351" i="32"/>
  <c r="X351" i="32" s="1"/>
  <c r="B351" i="32"/>
  <c r="A351" i="32"/>
  <c r="U350" i="32"/>
  <c r="S350" i="32"/>
  <c r="P350" i="32"/>
  <c r="Q350" i="32" s="1"/>
  <c r="N350" i="32"/>
  <c r="O350" i="32" s="1"/>
  <c r="K350" i="32"/>
  <c r="L350" i="32" s="1"/>
  <c r="F350" i="32"/>
  <c r="G350" i="32" s="1"/>
  <c r="D350" i="32"/>
  <c r="E350" i="32" s="1"/>
  <c r="B350" i="32"/>
  <c r="A350" i="32"/>
  <c r="M350" i="32" s="1"/>
  <c r="U349" i="32"/>
  <c r="S349" i="32"/>
  <c r="P349" i="32"/>
  <c r="Q349" i="32" s="1"/>
  <c r="N349" i="32"/>
  <c r="O349" i="32" s="1"/>
  <c r="K349" i="32"/>
  <c r="L349" i="32" s="1"/>
  <c r="F349" i="32"/>
  <c r="G349" i="32" s="1"/>
  <c r="D349" i="32"/>
  <c r="E349" i="32" s="1"/>
  <c r="B349" i="32"/>
  <c r="A349" i="32"/>
  <c r="M349" i="32" s="1"/>
  <c r="U348" i="32"/>
  <c r="S348" i="32"/>
  <c r="P348" i="32"/>
  <c r="Q348" i="32" s="1"/>
  <c r="N348" i="32"/>
  <c r="O348" i="32" s="1"/>
  <c r="K348" i="32"/>
  <c r="F348" i="32"/>
  <c r="G348" i="32" s="1"/>
  <c r="D348" i="32"/>
  <c r="E348" i="32" s="1"/>
  <c r="B348" i="32"/>
  <c r="A348" i="32"/>
  <c r="M348" i="32" s="1"/>
  <c r="U347" i="32"/>
  <c r="S347" i="32"/>
  <c r="P347" i="32"/>
  <c r="Q347" i="32" s="1"/>
  <c r="N347" i="32"/>
  <c r="O347" i="32" s="1"/>
  <c r="K347" i="32"/>
  <c r="L347" i="32" s="1"/>
  <c r="F347" i="32"/>
  <c r="G347" i="32" s="1"/>
  <c r="D347" i="32"/>
  <c r="E347" i="32" s="1"/>
  <c r="B347" i="32"/>
  <c r="A347" i="32"/>
  <c r="M347" i="32" s="1"/>
  <c r="Y346" i="32"/>
  <c r="Z346" i="32" s="1"/>
  <c r="W346" i="32"/>
  <c r="B346" i="32"/>
  <c r="A346" i="32"/>
  <c r="Y345" i="32"/>
  <c r="Z345" i="32" s="1"/>
  <c r="W345" i="32"/>
  <c r="X345" i="32" s="1"/>
  <c r="B345" i="32"/>
  <c r="A345" i="32"/>
  <c r="Y344" i="32"/>
  <c r="Z344" i="32" s="1"/>
  <c r="W344" i="32"/>
  <c r="X344" i="32" s="1"/>
  <c r="B344" i="32"/>
  <c r="A344" i="32"/>
  <c r="Y343" i="32"/>
  <c r="Z343" i="32" s="1"/>
  <c r="W343" i="32"/>
  <c r="K343" i="32"/>
  <c r="L343" i="32" s="1"/>
  <c r="B343" i="32"/>
  <c r="A343" i="32"/>
  <c r="Y342" i="32"/>
  <c r="Z342" i="32" s="1"/>
  <c r="W342" i="32"/>
  <c r="X342" i="32" s="1"/>
  <c r="B342" i="32"/>
  <c r="A342" i="32"/>
  <c r="U341" i="32"/>
  <c r="S341" i="32"/>
  <c r="P341" i="32"/>
  <c r="Q341" i="32" s="1"/>
  <c r="N341" i="32"/>
  <c r="O341" i="32" s="1"/>
  <c r="K341" i="32"/>
  <c r="L341" i="32" s="1"/>
  <c r="F341" i="32"/>
  <c r="G341" i="32" s="1"/>
  <c r="D341" i="32"/>
  <c r="E341" i="32" s="1"/>
  <c r="B341" i="32"/>
  <c r="A341" i="32"/>
  <c r="M341" i="32" s="1"/>
  <c r="U340" i="32"/>
  <c r="S340" i="32"/>
  <c r="P340" i="32"/>
  <c r="Q340" i="32" s="1"/>
  <c r="N340" i="32"/>
  <c r="O340" i="32" s="1"/>
  <c r="K340" i="32"/>
  <c r="L340" i="32" s="1"/>
  <c r="F340" i="32"/>
  <c r="G340" i="32" s="1"/>
  <c r="D340" i="32"/>
  <c r="E340" i="32" s="1"/>
  <c r="B340" i="32"/>
  <c r="A340" i="32"/>
  <c r="M340" i="32" s="1"/>
  <c r="U339" i="32"/>
  <c r="S339" i="32"/>
  <c r="P339" i="32"/>
  <c r="Q339" i="32" s="1"/>
  <c r="N339" i="32"/>
  <c r="O339" i="32" s="1"/>
  <c r="K339" i="32"/>
  <c r="L339" i="32" s="1"/>
  <c r="F339" i="32"/>
  <c r="G339" i="32" s="1"/>
  <c r="D339" i="32"/>
  <c r="E339" i="32" s="1"/>
  <c r="B339" i="32"/>
  <c r="A339" i="32"/>
  <c r="M339" i="32" s="1"/>
  <c r="U338" i="32"/>
  <c r="S338" i="32"/>
  <c r="P338" i="32"/>
  <c r="Q338" i="32" s="1"/>
  <c r="N338" i="32"/>
  <c r="O338" i="32" s="1"/>
  <c r="K338" i="32"/>
  <c r="L338" i="32" s="1"/>
  <c r="F338" i="32"/>
  <c r="G338" i="32" s="1"/>
  <c r="D338" i="32"/>
  <c r="E338" i="32" s="1"/>
  <c r="B338" i="32"/>
  <c r="A338" i="32"/>
  <c r="M338" i="32" s="1"/>
  <c r="Y337" i="32"/>
  <c r="Z337" i="32" s="1"/>
  <c r="W337" i="32"/>
  <c r="X337" i="32" s="1"/>
  <c r="B337" i="32"/>
  <c r="A337" i="32"/>
  <c r="Y336" i="32"/>
  <c r="Z336" i="32" s="1"/>
  <c r="W336" i="32"/>
  <c r="B336" i="32"/>
  <c r="A336" i="32"/>
  <c r="Y335" i="32"/>
  <c r="Z335" i="32" s="1"/>
  <c r="W335" i="32"/>
  <c r="B335" i="32"/>
  <c r="A335" i="32"/>
  <c r="Y334" i="32"/>
  <c r="W334" i="32"/>
  <c r="X334" i="32" s="1"/>
  <c r="K334" i="32"/>
  <c r="L334" i="32" s="1"/>
  <c r="B334" i="32"/>
  <c r="A334" i="32"/>
  <c r="Y333" i="32"/>
  <c r="Z333" i="32" s="1"/>
  <c r="W333" i="32"/>
  <c r="B333" i="32"/>
  <c r="A333" i="32"/>
  <c r="U332" i="32"/>
  <c r="S332" i="32"/>
  <c r="P332" i="32"/>
  <c r="Q332" i="32" s="1"/>
  <c r="N332" i="32"/>
  <c r="O332" i="32" s="1"/>
  <c r="K332" i="32"/>
  <c r="L332" i="32" s="1"/>
  <c r="F332" i="32"/>
  <c r="G332" i="32" s="1"/>
  <c r="D332" i="32"/>
  <c r="E332" i="32" s="1"/>
  <c r="B332" i="32"/>
  <c r="A332" i="32"/>
  <c r="M332" i="32" s="1"/>
  <c r="U331" i="32"/>
  <c r="S331" i="32"/>
  <c r="P331" i="32"/>
  <c r="Q331" i="32" s="1"/>
  <c r="N331" i="32"/>
  <c r="O331" i="32" s="1"/>
  <c r="K331" i="32"/>
  <c r="L331" i="32" s="1"/>
  <c r="F331" i="32"/>
  <c r="G331" i="32" s="1"/>
  <c r="D331" i="32"/>
  <c r="E331" i="32" s="1"/>
  <c r="B331" i="32"/>
  <c r="A331" i="32"/>
  <c r="M331" i="32" s="1"/>
  <c r="U330" i="32"/>
  <c r="S330" i="32"/>
  <c r="P330" i="32"/>
  <c r="Q330" i="32" s="1"/>
  <c r="N330" i="32"/>
  <c r="O330" i="32" s="1"/>
  <c r="K330" i="32"/>
  <c r="L330" i="32" s="1"/>
  <c r="F330" i="32"/>
  <c r="G330" i="32" s="1"/>
  <c r="D330" i="32"/>
  <c r="E330" i="32" s="1"/>
  <c r="B330" i="32"/>
  <c r="A330" i="32"/>
  <c r="M330" i="32" s="1"/>
  <c r="U329" i="32"/>
  <c r="S329" i="32"/>
  <c r="P329" i="32"/>
  <c r="Q329" i="32" s="1"/>
  <c r="N329" i="32"/>
  <c r="O329" i="32" s="1"/>
  <c r="K329" i="32"/>
  <c r="L329" i="32" s="1"/>
  <c r="F329" i="32"/>
  <c r="G329" i="32" s="1"/>
  <c r="D329" i="32"/>
  <c r="E329" i="32" s="1"/>
  <c r="B329" i="32"/>
  <c r="A329" i="32"/>
  <c r="M329" i="32" s="1"/>
  <c r="Y328" i="32"/>
  <c r="Z328" i="32" s="1"/>
  <c r="W328" i="32"/>
  <c r="B328" i="32"/>
  <c r="A328" i="32"/>
  <c r="Y327" i="32"/>
  <c r="Z327" i="32" s="1"/>
  <c r="W327" i="32"/>
  <c r="X327" i="32" s="1"/>
  <c r="B327" i="32"/>
  <c r="A327" i="32"/>
  <c r="Y326" i="32"/>
  <c r="Z326" i="32" s="1"/>
  <c r="W326" i="32"/>
  <c r="X326" i="32" s="1"/>
  <c r="B326" i="32"/>
  <c r="A326" i="32"/>
  <c r="Y325" i="32"/>
  <c r="Z325" i="32" s="1"/>
  <c r="W325" i="32"/>
  <c r="K325" i="32"/>
  <c r="L325" i="32" s="1"/>
  <c r="B325" i="32"/>
  <c r="A325" i="32"/>
  <c r="Y324" i="32"/>
  <c r="Z324" i="32" s="1"/>
  <c r="W324" i="32"/>
  <c r="X324" i="32" s="1"/>
  <c r="B324" i="32"/>
  <c r="A324" i="32"/>
  <c r="U323" i="32"/>
  <c r="S323" i="32"/>
  <c r="P323" i="32"/>
  <c r="Q323" i="32" s="1"/>
  <c r="N323" i="32"/>
  <c r="O323" i="32" s="1"/>
  <c r="K323" i="32"/>
  <c r="L323" i="32" s="1"/>
  <c r="F323" i="32"/>
  <c r="G323" i="32" s="1"/>
  <c r="D323" i="32"/>
  <c r="E323" i="32" s="1"/>
  <c r="B323" i="32"/>
  <c r="A323" i="32"/>
  <c r="M323" i="32" s="1"/>
  <c r="U322" i="32"/>
  <c r="S322" i="32"/>
  <c r="P322" i="32"/>
  <c r="Q322" i="32" s="1"/>
  <c r="N322" i="32"/>
  <c r="O322" i="32" s="1"/>
  <c r="K322" i="32"/>
  <c r="L322" i="32" s="1"/>
  <c r="F322" i="32"/>
  <c r="G322" i="32" s="1"/>
  <c r="D322" i="32"/>
  <c r="E322" i="32" s="1"/>
  <c r="B322" i="32"/>
  <c r="A322" i="32"/>
  <c r="M322" i="32" s="1"/>
  <c r="U321" i="32"/>
  <c r="S321" i="32"/>
  <c r="P321" i="32"/>
  <c r="Q321" i="32" s="1"/>
  <c r="N321" i="32"/>
  <c r="O321" i="32" s="1"/>
  <c r="K321" i="32"/>
  <c r="F321" i="32"/>
  <c r="G321" i="32" s="1"/>
  <c r="D321" i="32"/>
  <c r="E321" i="32" s="1"/>
  <c r="B321" i="32"/>
  <c r="A321" i="32"/>
  <c r="M321" i="32" s="1"/>
  <c r="U320" i="32"/>
  <c r="S320" i="32"/>
  <c r="P320" i="32"/>
  <c r="Q320" i="32" s="1"/>
  <c r="N320" i="32"/>
  <c r="O320" i="32" s="1"/>
  <c r="K320" i="32"/>
  <c r="L320" i="32" s="1"/>
  <c r="F320" i="32"/>
  <c r="G320" i="32" s="1"/>
  <c r="D320" i="32"/>
  <c r="E320" i="32" s="1"/>
  <c r="B320" i="32"/>
  <c r="A320" i="32"/>
  <c r="M320" i="32" s="1"/>
  <c r="Y319" i="32"/>
  <c r="Z319" i="32" s="1"/>
  <c r="W319" i="32"/>
  <c r="X319" i="32" s="1"/>
  <c r="B319" i="32"/>
  <c r="A319" i="32"/>
  <c r="Y318" i="32"/>
  <c r="Z318" i="32" s="1"/>
  <c r="W318" i="32"/>
  <c r="X318" i="32" s="1"/>
  <c r="B318" i="32"/>
  <c r="A318" i="32"/>
  <c r="Y317" i="32"/>
  <c r="Z317" i="32" s="1"/>
  <c r="W317" i="32"/>
  <c r="B317" i="32"/>
  <c r="A317" i="32"/>
  <c r="Y316" i="32"/>
  <c r="Z316" i="32" s="1"/>
  <c r="W316" i="32"/>
  <c r="X316" i="32" s="1"/>
  <c r="K316" i="32"/>
  <c r="L316" i="32" s="1"/>
  <c r="B316" i="32"/>
  <c r="A316" i="32"/>
  <c r="Y315" i="32"/>
  <c r="Z315" i="32" s="1"/>
  <c r="W315" i="32"/>
  <c r="X315" i="32" s="1"/>
  <c r="B315" i="32"/>
  <c r="A315" i="32"/>
  <c r="U314" i="32"/>
  <c r="S314" i="32"/>
  <c r="P314" i="32"/>
  <c r="Q314" i="32" s="1"/>
  <c r="N314" i="32"/>
  <c r="O314" i="32" s="1"/>
  <c r="K314" i="32"/>
  <c r="L314" i="32" s="1"/>
  <c r="F314" i="32"/>
  <c r="G314" i="32" s="1"/>
  <c r="D314" i="32"/>
  <c r="E314" i="32" s="1"/>
  <c r="B314" i="32"/>
  <c r="A314" i="32"/>
  <c r="M314" i="32" s="1"/>
  <c r="U313" i="32"/>
  <c r="S313" i="32"/>
  <c r="P313" i="32"/>
  <c r="Q313" i="32" s="1"/>
  <c r="N313" i="32"/>
  <c r="O313" i="32" s="1"/>
  <c r="K313" i="32"/>
  <c r="L313" i="32" s="1"/>
  <c r="F313" i="32"/>
  <c r="G313" i="32" s="1"/>
  <c r="D313" i="32"/>
  <c r="E313" i="32" s="1"/>
  <c r="B313" i="32"/>
  <c r="A313" i="32"/>
  <c r="M313" i="32" s="1"/>
  <c r="U312" i="32"/>
  <c r="S312" i="32"/>
  <c r="P312" i="32"/>
  <c r="Q312" i="32" s="1"/>
  <c r="N312" i="32"/>
  <c r="O312" i="32" s="1"/>
  <c r="K312" i="32"/>
  <c r="L312" i="32" s="1"/>
  <c r="F312" i="32"/>
  <c r="G312" i="32" s="1"/>
  <c r="D312" i="32"/>
  <c r="E312" i="32" s="1"/>
  <c r="B312" i="32"/>
  <c r="A312" i="32"/>
  <c r="M312" i="32" s="1"/>
  <c r="U311" i="32"/>
  <c r="S311" i="32"/>
  <c r="P311" i="32"/>
  <c r="Q311" i="32" s="1"/>
  <c r="N311" i="32"/>
  <c r="O311" i="32" s="1"/>
  <c r="K311" i="32"/>
  <c r="L311" i="32" s="1"/>
  <c r="F311" i="32"/>
  <c r="G311" i="32" s="1"/>
  <c r="D311" i="32"/>
  <c r="E311" i="32" s="1"/>
  <c r="B311" i="32"/>
  <c r="A311" i="32"/>
  <c r="M311" i="32" s="1"/>
  <c r="Y310" i="32"/>
  <c r="Z310" i="32" s="1"/>
  <c r="W310" i="32"/>
  <c r="B310" i="32"/>
  <c r="A310" i="32"/>
  <c r="Y309" i="32"/>
  <c r="Z309" i="32" s="1"/>
  <c r="W309" i="32"/>
  <c r="X309" i="32" s="1"/>
  <c r="B309" i="32"/>
  <c r="A309" i="32"/>
  <c r="Y308" i="32"/>
  <c r="Z308" i="32" s="1"/>
  <c r="W308" i="32"/>
  <c r="B308" i="32"/>
  <c r="A308" i="32"/>
  <c r="Y307" i="32"/>
  <c r="Z307" i="32" s="1"/>
  <c r="W307" i="32"/>
  <c r="X307" i="32" s="1"/>
  <c r="K307" i="32"/>
  <c r="L307" i="32" s="1"/>
  <c r="B307" i="32"/>
  <c r="A307" i="32"/>
  <c r="Y306" i="32"/>
  <c r="W306" i="32"/>
  <c r="X306" i="32" s="1"/>
  <c r="B306" i="32"/>
  <c r="A306" i="32"/>
  <c r="U305" i="32"/>
  <c r="S305" i="32"/>
  <c r="P305" i="32"/>
  <c r="Q305" i="32" s="1"/>
  <c r="N305" i="32"/>
  <c r="O305" i="32" s="1"/>
  <c r="K305" i="32"/>
  <c r="L305" i="32" s="1"/>
  <c r="F305" i="32"/>
  <c r="G305" i="32" s="1"/>
  <c r="D305" i="32"/>
  <c r="E305" i="32" s="1"/>
  <c r="B305" i="32"/>
  <c r="A305" i="32"/>
  <c r="M305" i="32" s="1"/>
  <c r="U304" i="32"/>
  <c r="S304" i="32"/>
  <c r="P304" i="32"/>
  <c r="Q304" i="32" s="1"/>
  <c r="N304" i="32"/>
  <c r="O304" i="32" s="1"/>
  <c r="K304" i="32"/>
  <c r="L304" i="32" s="1"/>
  <c r="F304" i="32"/>
  <c r="G304" i="32" s="1"/>
  <c r="D304" i="32"/>
  <c r="E304" i="32" s="1"/>
  <c r="B304" i="32"/>
  <c r="A304" i="32"/>
  <c r="M304" i="32" s="1"/>
  <c r="U303" i="32"/>
  <c r="S303" i="32"/>
  <c r="P303" i="32"/>
  <c r="Q303" i="32" s="1"/>
  <c r="N303" i="32"/>
  <c r="O303" i="32" s="1"/>
  <c r="K303" i="32"/>
  <c r="L303" i="32" s="1"/>
  <c r="F303" i="32"/>
  <c r="G303" i="32" s="1"/>
  <c r="D303" i="32"/>
  <c r="E303" i="32" s="1"/>
  <c r="B303" i="32"/>
  <c r="A303" i="32"/>
  <c r="M303" i="32" s="1"/>
  <c r="U302" i="32"/>
  <c r="S302" i="32"/>
  <c r="P302" i="32"/>
  <c r="Q302" i="32" s="1"/>
  <c r="N302" i="32"/>
  <c r="O302" i="32" s="1"/>
  <c r="K302" i="32"/>
  <c r="L302" i="32" s="1"/>
  <c r="F302" i="32"/>
  <c r="G302" i="32" s="1"/>
  <c r="D302" i="32"/>
  <c r="E302" i="32" s="1"/>
  <c r="B302" i="32"/>
  <c r="A302" i="32"/>
  <c r="M302" i="32" s="1"/>
  <c r="Y301" i="32"/>
  <c r="Z301" i="32" s="1"/>
  <c r="W301" i="32"/>
  <c r="X301" i="32" s="1"/>
  <c r="B301" i="32"/>
  <c r="A301" i="32"/>
  <c r="Y300" i="32"/>
  <c r="Z300" i="32" s="1"/>
  <c r="W300" i="32"/>
  <c r="X300" i="32" s="1"/>
  <c r="B300" i="32"/>
  <c r="A300" i="32"/>
  <c r="Y299" i="32"/>
  <c r="Z299" i="32" s="1"/>
  <c r="W299" i="32"/>
  <c r="B299" i="32"/>
  <c r="A299" i="32"/>
  <c r="Y298" i="32"/>
  <c r="W298" i="32"/>
  <c r="X298" i="32" s="1"/>
  <c r="K298" i="32"/>
  <c r="L298" i="32" s="1"/>
  <c r="B298" i="32"/>
  <c r="A298" i="32"/>
  <c r="Y297" i="32"/>
  <c r="Z297" i="32" s="1"/>
  <c r="W297" i="32"/>
  <c r="X297" i="32" s="1"/>
  <c r="B297" i="32"/>
  <c r="A297" i="32"/>
  <c r="U296" i="32"/>
  <c r="S296" i="32"/>
  <c r="P296" i="32"/>
  <c r="Q296" i="32" s="1"/>
  <c r="N296" i="32"/>
  <c r="O296" i="32" s="1"/>
  <c r="K296" i="32"/>
  <c r="L296" i="32" s="1"/>
  <c r="F296" i="32"/>
  <c r="G296" i="32" s="1"/>
  <c r="D296" i="32"/>
  <c r="E296" i="32" s="1"/>
  <c r="B296" i="32"/>
  <c r="A296" i="32"/>
  <c r="M296" i="32" s="1"/>
  <c r="U295" i="32"/>
  <c r="S295" i="32"/>
  <c r="P295" i="32"/>
  <c r="Q295" i="32" s="1"/>
  <c r="N295" i="32"/>
  <c r="O295" i="32" s="1"/>
  <c r="K295" i="32"/>
  <c r="L295" i="32" s="1"/>
  <c r="F295" i="32"/>
  <c r="G295" i="32" s="1"/>
  <c r="D295" i="32"/>
  <c r="E295" i="32" s="1"/>
  <c r="B295" i="32"/>
  <c r="A295" i="32"/>
  <c r="M295" i="32" s="1"/>
  <c r="U294" i="32"/>
  <c r="S294" i="32"/>
  <c r="P294" i="32"/>
  <c r="Q294" i="32" s="1"/>
  <c r="N294" i="32"/>
  <c r="O294" i="32" s="1"/>
  <c r="K294" i="32"/>
  <c r="L294" i="32" s="1"/>
  <c r="F294" i="32"/>
  <c r="G294" i="32" s="1"/>
  <c r="D294" i="32"/>
  <c r="E294" i="32" s="1"/>
  <c r="B294" i="32"/>
  <c r="A294" i="32"/>
  <c r="M294" i="32" s="1"/>
  <c r="U293" i="32"/>
  <c r="S293" i="32"/>
  <c r="P293" i="32"/>
  <c r="Q293" i="32" s="1"/>
  <c r="N293" i="32"/>
  <c r="O293" i="32" s="1"/>
  <c r="K293" i="32"/>
  <c r="L293" i="32" s="1"/>
  <c r="F293" i="32"/>
  <c r="G293" i="32" s="1"/>
  <c r="D293" i="32"/>
  <c r="E293" i="32" s="1"/>
  <c r="B293" i="32"/>
  <c r="A293" i="32"/>
  <c r="M293" i="32" s="1"/>
  <c r="Y292" i="32"/>
  <c r="Z292" i="32" s="1"/>
  <c r="W292" i="32"/>
  <c r="B292" i="32"/>
  <c r="A292" i="32"/>
  <c r="Y291" i="32"/>
  <c r="Z291" i="32" s="1"/>
  <c r="W291" i="32"/>
  <c r="X291" i="32" s="1"/>
  <c r="B291" i="32"/>
  <c r="A291" i="32"/>
  <c r="Y290" i="32"/>
  <c r="Z290" i="32" s="1"/>
  <c r="W290" i="32"/>
  <c r="B290" i="32"/>
  <c r="A290" i="32"/>
  <c r="Y289" i="32"/>
  <c r="Z289" i="32" s="1"/>
  <c r="W289" i="32"/>
  <c r="X289" i="32" s="1"/>
  <c r="K289" i="32"/>
  <c r="L289" i="32" s="1"/>
  <c r="B289" i="32"/>
  <c r="A289" i="32"/>
  <c r="Y288" i="32"/>
  <c r="W288" i="32"/>
  <c r="X288" i="32" s="1"/>
  <c r="B288" i="32"/>
  <c r="A288" i="32"/>
  <c r="U287" i="32"/>
  <c r="S287" i="32"/>
  <c r="P287" i="32"/>
  <c r="Q287" i="32" s="1"/>
  <c r="N287" i="32"/>
  <c r="O287" i="32" s="1"/>
  <c r="K287" i="32"/>
  <c r="L287" i="32" s="1"/>
  <c r="F287" i="32"/>
  <c r="G287" i="32" s="1"/>
  <c r="D287" i="32"/>
  <c r="E287" i="32" s="1"/>
  <c r="B287" i="32"/>
  <c r="A287" i="32"/>
  <c r="M287" i="32" s="1"/>
  <c r="U286" i="32"/>
  <c r="S286" i="32"/>
  <c r="P286" i="32"/>
  <c r="Q286" i="32" s="1"/>
  <c r="N286" i="32"/>
  <c r="O286" i="32" s="1"/>
  <c r="K286" i="32"/>
  <c r="L286" i="32" s="1"/>
  <c r="F286" i="32"/>
  <c r="G286" i="32" s="1"/>
  <c r="D286" i="32"/>
  <c r="E286" i="32" s="1"/>
  <c r="B286" i="32"/>
  <c r="A286" i="32"/>
  <c r="M286" i="32" s="1"/>
  <c r="U285" i="32"/>
  <c r="S285" i="32"/>
  <c r="P285" i="32"/>
  <c r="Q285" i="32" s="1"/>
  <c r="N285" i="32"/>
  <c r="O285" i="32" s="1"/>
  <c r="K285" i="32"/>
  <c r="F285" i="32"/>
  <c r="G285" i="32" s="1"/>
  <c r="D285" i="32"/>
  <c r="E285" i="32" s="1"/>
  <c r="B285" i="32"/>
  <c r="A285" i="32"/>
  <c r="M285" i="32" s="1"/>
  <c r="U284" i="32"/>
  <c r="S284" i="32"/>
  <c r="P284" i="32"/>
  <c r="Q284" i="32" s="1"/>
  <c r="N284" i="32"/>
  <c r="O284" i="32" s="1"/>
  <c r="K284" i="32"/>
  <c r="L284" i="32" s="1"/>
  <c r="F284" i="32"/>
  <c r="G284" i="32" s="1"/>
  <c r="D284" i="32"/>
  <c r="E284" i="32" s="1"/>
  <c r="B284" i="32"/>
  <c r="A284" i="32"/>
  <c r="M284" i="32" s="1"/>
  <c r="Y283" i="32"/>
  <c r="Z283" i="32" s="1"/>
  <c r="W283" i="32"/>
  <c r="X283" i="32" s="1"/>
  <c r="B283" i="32"/>
  <c r="A283" i="32"/>
  <c r="Y282" i="32"/>
  <c r="Z282" i="32" s="1"/>
  <c r="W282" i="32"/>
  <c r="X282" i="32" s="1"/>
  <c r="B282" i="32"/>
  <c r="A282" i="32"/>
  <c r="Y281" i="32"/>
  <c r="Z281" i="32" s="1"/>
  <c r="W281" i="32"/>
  <c r="B281" i="32"/>
  <c r="A281" i="32"/>
  <c r="Y280" i="32"/>
  <c r="Z280" i="32" s="1"/>
  <c r="W280" i="32"/>
  <c r="X280" i="32" s="1"/>
  <c r="K280" i="32"/>
  <c r="L280" i="32" s="1"/>
  <c r="B280" i="32"/>
  <c r="A280" i="32"/>
  <c r="Y279" i="32"/>
  <c r="Z279" i="32" s="1"/>
  <c r="W279" i="32"/>
  <c r="X279" i="32" s="1"/>
  <c r="B279" i="32"/>
  <c r="A279" i="32"/>
  <c r="U278" i="32"/>
  <c r="S278" i="32"/>
  <c r="P278" i="32"/>
  <c r="Q278" i="32" s="1"/>
  <c r="N278" i="32"/>
  <c r="O278" i="32" s="1"/>
  <c r="K278" i="32"/>
  <c r="L278" i="32" s="1"/>
  <c r="F278" i="32"/>
  <c r="G278" i="32" s="1"/>
  <c r="D278" i="32"/>
  <c r="E278" i="32" s="1"/>
  <c r="B278" i="32"/>
  <c r="A278" i="32"/>
  <c r="M278" i="32" s="1"/>
  <c r="U277" i="32"/>
  <c r="S277" i="32"/>
  <c r="P277" i="32"/>
  <c r="Q277" i="32" s="1"/>
  <c r="N277" i="32"/>
  <c r="O277" i="32" s="1"/>
  <c r="K277" i="32"/>
  <c r="L277" i="32" s="1"/>
  <c r="F277" i="32"/>
  <c r="G277" i="32" s="1"/>
  <c r="D277" i="32"/>
  <c r="E277" i="32" s="1"/>
  <c r="B277" i="32"/>
  <c r="A277" i="32"/>
  <c r="M277" i="32" s="1"/>
  <c r="U276" i="32"/>
  <c r="S276" i="32"/>
  <c r="P276" i="32"/>
  <c r="Q276" i="32" s="1"/>
  <c r="N276" i="32"/>
  <c r="O276" i="32" s="1"/>
  <c r="K276" i="32"/>
  <c r="L276" i="32" s="1"/>
  <c r="F276" i="32"/>
  <c r="G276" i="32" s="1"/>
  <c r="D276" i="32"/>
  <c r="E276" i="32" s="1"/>
  <c r="B276" i="32"/>
  <c r="A276" i="32"/>
  <c r="M276" i="32" s="1"/>
  <c r="U275" i="32"/>
  <c r="S275" i="32"/>
  <c r="P275" i="32"/>
  <c r="Q275" i="32" s="1"/>
  <c r="N275" i="32"/>
  <c r="O275" i="32" s="1"/>
  <c r="K275" i="32"/>
  <c r="L275" i="32" s="1"/>
  <c r="F275" i="32"/>
  <c r="G275" i="32" s="1"/>
  <c r="D275" i="32"/>
  <c r="E275" i="32" s="1"/>
  <c r="B275" i="32"/>
  <c r="A275" i="32"/>
  <c r="M275" i="32" s="1"/>
  <c r="Y274" i="32"/>
  <c r="Z274" i="32" s="1"/>
  <c r="W274" i="32"/>
  <c r="X274" i="32" s="1"/>
  <c r="B274" i="32"/>
  <c r="A274" i="32"/>
  <c r="Y273" i="32"/>
  <c r="Z273" i="32" s="1"/>
  <c r="W273" i="32"/>
  <c r="X273" i="32" s="1"/>
  <c r="B273" i="32"/>
  <c r="A273" i="32"/>
  <c r="Y272" i="32"/>
  <c r="Z272" i="32" s="1"/>
  <c r="W272" i="32"/>
  <c r="B272" i="32"/>
  <c r="A272" i="32"/>
  <c r="Y271" i="32"/>
  <c r="Z271" i="32" s="1"/>
  <c r="W271" i="32"/>
  <c r="X271" i="32" s="1"/>
  <c r="K271" i="32"/>
  <c r="L271" i="32" s="1"/>
  <c r="B271" i="32"/>
  <c r="A271" i="32"/>
  <c r="Y270" i="32"/>
  <c r="W270" i="32"/>
  <c r="X270" i="32" s="1"/>
  <c r="B270" i="32"/>
  <c r="A270" i="32"/>
  <c r="U269" i="32"/>
  <c r="S269" i="32"/>
  <c r="P269" i="32"/>
  <c r="Q269" i="32" s="1"/>
  <c r="N269" i="32"/>
  <c r="O269" i="32" s="1"/>
  <c r="K269" i="32"/>
  <c r="L269" i="32" s="1"/>
  <c r="F269" i="32"/>
  <c r="G269" i="32" s="1"/>
  <c r="D269" i="32"/>
  <c r="E269" i="32" s="1"/>
  <c r="B269" i="32"/>
  <c r="A269" i="32"/>
  <c r="M269" i="32" s="1"/>
  <c r="U268" i="32"/>
  <c r="S268" i="32"/>
  <c r="P268" i="32"/>
  <c r="Q268" i="32" s="1"/>
  <c r="N268" i="32"/>
  <c r="O268" i="32" s="1"/>
  <c r="K268" i="32"/>
  <c r="L268" i="32" s="1"/>
  <c r="F268" i="32"/>
  <c r="G268" i="32" s="1"/>
  <c r="D268" i="32"/>
  <c r="E268" i="32" s="1"/>
  <c r="B268" i="32"/>
  <c r="A268" i="32"/>
  <c r="M268" i="32" s="1"/>
  <c r="U267" i="32"/>
  <c r="S267" i="32"/>
  <c r="P267" i="32"/>
  <c r="Q267" i="32" s="1"/>
  <c r="N267" i="32"/>
  <c r="O267" i="32" s="1"/>
  <c r="K267" i="32"/>
  <c r="L267" i="32" s="1"/>
  <c r="F267" i="32"/>
  <c r="G267" i="32" s="1"/>
  <c r="D267" i="32"/>
  <c r="E267" i="32" s="1"/>
  <c r="B267" i="32"/>
  <c r="A267" i="32"/>
  <c r="M267" i="32" s="1"/>
  <c r="U266" i="32"/>
  <c r="S266" i="32"/>
  <c r="P266" i="32"/>
  <c r="Q266" i="32" s="1"/>
  <c r="N266" i="32"/>
  <c r="O266" i="32" s="1"/>
  <c r="K266" i="32"/>
  <c r="L266" i="32" s="1"/>
  <c r="F266" i="32"/>
  <c r="G266" i="32" s="1"/>
  <c r="D266" i="32"/>
  <c r="E266" i="32" s="1"/>
  <c r="B266" i="32"/>
  <c r="A266" i="32"/>
  <c r="M266" i="32" s="1"/>
  <c r="Y265" i="32"/>
  <c r="Z265" i="32" s="1"/>
  <c r="W265" i="32"/>
  <c r="X265" i="32" s="1"/>
  <c r="B265" i="32"/>
  <c r="A265" i="32"/>
  <c r="Y264" i="32"/>
  <c r="Z264" i="32" s="1"/>
  <c r="W264" i="32"/>
  <c r="X264" i="32" s="1"/>
  <c r="B264" i="32"/>
  <c r="A264" i="32"/>
  <c r="Y263" i="32"/>
  <c r="Z263" i="32" s="1"/>
  <c r="W263" i="32"/>
  <c r="B263" i="32"/>
  <c r="A263" i="32"/>
  <c r="Y262" i="32"/>
  <c r="Z262" i="32" s="1"/>
  <c r="W262" i="32"/>
  <c r="X262" i="32" s="1"/>
  <c r="K262" i="32"/>
  <c r="L262" i="32" s="1"/>
  <c r="B262" i="32"/>
  <c r="A262" i="32"/>
  <c r="Y261" i="32"/>
  <c r="Z261" i="32" s="1"/>
  <c r="W261" i="32"/>
  <c r="B261" i="32"/>
  <c r="A261" i="32"/>
  <c r="U260" i="32"/>
  <c r="S260" i="32"/>
  <c r="P260" i="32"/>
  <c r="Q260" i="32" s="1"/>
  <c r="N260" i="32"/>
  <c r="O260" i="32" s="1"/>
  <c r="K260" i="32"/>
  <c r="L260" i="32" s="1"/>
  <c r="F260" i="32"/>
  <c r="G260" i="32" s="1"/>
  <c r="D260" i="32"/>
  <c r="E260" i="32" s="1"/>
  <c r="B260" i="32"/>
  <c r="A260" i="32"/>
  <c r="M260" i="32" s="1"/>
  <c r="U259" i="32"/>
  <c r="S259" i="32"/>
  <c r="P259" i="32"/>
  <c r="Q259" i="32" s="1"/>
  <c r="N259" i="32"/>
  <c r="O259" i="32" s="1"/>
  <c r="K259" i="32"/>
  <c r="L259" i="32" s="1"/>
  <c r="F259" i="32"/>
  <c r="G259" i="32" s="1"/>
  <c r="D259" i="32"/>
  <c r="E259" i="32" s="1"/>
  <c r="B259" i="32"/>
  <c r="A259" i="32"/>
  <c r="M259" i="32" s="1"/>
  <c r="U258" i="32"/>
  <c r="S258" i="32"/>
  <c r="P258" i="32"/>
  <c r="Q258" i="32" s="1"/>
  <c r="N258" i="32"/>
  <c r="O258" i="32" s="1"/>
  <c r="K258" i="32"/>
  <c r="F258" i="32"/>
  <c r="G258" i="32" s="1"/>
  <c r="D258" i="32"/>
  <c r="E258" i="32" s="1"/>
  <c r="B258" i="32"/>
  <c r="A258" i="32"/>
  <c r="M258" i="32" s="1"/>
  <c r="U257" i="32"/>
  <c r="S257" i="32"/>
  <c r="P257" i="32"/>
  <c r="Q257" i="32" s="1"/>
  <c r="N257" i="32"/>
  <c r="O257" i="32" s="1"/>
  <c r="K257" i="32"/>
  <c r="L257" i="32" s="1"/>
  <c r="F257" i="32"/>
  <c r="G257" i="32" s="1"/>
  <c r="D257" i="32"/>
  <c r="E257" i="32" s="1"/>
  <c r="B257" i="32"/>
  <c r="A257" i="32"/>
  <c r="M257" i="32" s="1"/>
  <c r="Y256" i="32"/>
  <c r="Z256" i="32" s="1"/>
  <c r="W256" i="32"/>
  <c r="B256" i="32"/>
  <c r="A256" i="32"/>
  <c r="Y255" i="32"/>
  <c r="Z255" i="32" s="1"/>
  <c r="W255" i="32"/>
  <c r="X255" i="32" s="1"/>
  <c r="B255" i="32"/>
  <c r="A255" i="32"/>
  <c r="Y254" i="32"/>
  <c r="Z254" i="32" s="1"/>
  <c r="W254" i="32"/>
  <c r="B254" i="32"/>
  <c r="A254" i="32"/>
  <c r="Y253" i="32"/>
  <c r="Z253" i="32" s="1"/>
  <c r="W253" i="32"/>
  <c r="X253" i="32" s="1"/>
  <c r="K253" i="32"/>
  <c r="L253" i="32" s="1"/>
  <c r="B253" i="32"/>
  <c r="A253" i="32"/>
  <c r="Y252" i="32"/>
  <c r="W252" i="32"/>
  <c r="X252" i="32" s="1"/>
  <c r="B252" i="32"/>
  <c r="A252" i="32"/>
  <c r="U251" i="32"/>
  <c r="S251" i="32"/>
  <c r="P251" i="32"/>
  <c r="Q251" i="32" s="1"/>
  <c r="N251" i="32"/>
  <c r="O251" i="32" s="1"/>
  <c r="K251" i="32"/>
  <c r="L251" i="32" s="1"/>
  <c r="F251" i="32"/>
  <c r="G251" i="32" s="1"/>
  <c r="D251" i="32"/>
  <c r="E251" i="32" s="1"/>
  <c r="B251" i="32"/>
  <c r="A251" i="32"/>
  <c r="M251" i="32" s="1"/>
  <c r="U250" i="32"/>
  <c r="S250" i="32"/>
  <c r="P250" i="32"/>
  <c r="Q250" i="32" s="1"/>
  <c r="N250" i="32"/>
  <c r="O250" i="32" s="1"/>
  <c r="K250" i="32"/>
  <c r="L250" i="32" s="1"/>
  <c r="F250" i="32"/>
  <c r="G250" i="32" s="1"/>
  <c r="D250" i="32"/>
  <c r="E250" i="32" s="1"/>
  <c r="B250" i="32"/>
  <c r="A250" i="32"/>
  <c r="M250" i="32" s="1"/>
  <c r="U249" i="32"/>
  <c r="S249" i="32"/>
  <c r="P249" i="32"/>
  <c r="Q249" i="32" s="1"/>
  <c r="N249" i="32"/>
  <c r="O249" i="32" s="1"/>
  <c r="K249" i="32"/>
  <c r="L249" i="32" s="1"/>
  <c r="F249" i="32"/>
  <c r="G249" i="32" s="1"/>
  <c r="D249" i="32"/>
  <c r="E249" i="32" s="1"/>
  <c r="B249" i="32"/>
  <c r="A249" i="32"/>
  <c r="M249" i="32" s="1"/>
  <c r="U248" i="32"/>
  <c r="S248" i="32"/>
  <c r="P248" i="32"/>
  <c r="Q248" i="32" s="1"/>
  <c r="N248" i="32"/>
  <c r="O248" i="32" s="1"/>
  <c r="K248" i="32"/>
  <c r="L248" i="32" s="1"/>
  <c r="F248" i="32"/>
  <c r="G248" i="32" s="1"/>
  <c r="D248" i="32"/>
  <c r="E248" i="32" s="1"/>
  <c r="B248" i="32"/>
  <c r="A248" i="32"/>
  <c r="M248" i="32" s="1"/>
  <c r="Y247" i="32"/>
  <c r="Z247" i="32" s="1"/>
  <c r="W247" i="32"/>
  <c r="B247" i="32"/>
  <c r="A247" i="32"/>
  <c r="Y246" i="32"/>
  <c r="Z246" i="32" s="1"/>
  <c r="W246" i="32"/>
  <c r="B246" i="32"/>
  <c r="A246" i="32"/>
  <c r="Y245" i="32"/>
  <c r="Z245" i="32" s="1"/>
  <c r="W245" i="32"/>
  <c r="B245" i="32"/>
  <c r="A245" i="32"/>
  <c r="Y244" i="32"/>
  <c r="Z244" i="32" s="1"/>
  <c r="W244" i="32"/>
  <c r="X244" i="32" s="1"/>
  <c r="K244" i="32"/>
  <c r="L244" i="32" s="1"/>
  <c r="B244" i="32"/>
  <c r="A244" i="32"/>
  <c r="Y243" i="32"/>
  <c r="Z243" i="32" s="1"/>
  <c r="W243" i="32"/>
  <c r="B243" i="32"/>
  <c r="A243" i="32"/>
  <c r="U242" i="32"/>
  <c r="S242" i="32"/>
  <c r="P242" i="32"/>
  <c r="Q242" i="32" s="1"/>
  <c r="N242" i="32"/>
  <c r="O242" i="32" s="1"/>
  <c r="K242" i="32"/>
  <c r="L242" i="32" s="1"/>
  <c r="F242" i="32"/>
  <c r="G242" i="32" s="1"/>
  <c r="D242" i="32"/>
  <c r="E242" i="32" s="1"/>
  <c r="B242" i="32"/>
  <c r="A242" i="32"/>
  <c r="M242" i="32" s="1"/>
  <c r="U241" i="32"/>
  <c r="S241" i="32"/>
  <c r="P241" i="32"/>
  <c r="Q241" i="32" s="1"/>
  <c r="N241" i="32"/>
  <c r="O241" i="32" s="1"/>
  <c r="K241" i="32"/>
  <c r="L241" i="32" s="1"/>
  <c r="F241" i="32"/>
  <c r="G241" i="32" s="1"/>
  <c r="D241" i="32"/>
  <c r="E241" i="32" s="1"/>
  <c r="B241" i="32"/>
  <c r="A241" i="32"/>
  <c r="M241" i="32" s="1"/>
  <c r="U240" i="32"/>
  <c r="S240" i="32"/>
  <c r="P240" i="32"/>
  <c r="Q240" i="32" s="1"/>
  <c r="N240" i="32"/>
  <c r="O240" i="32" s="1"/>
  <c r="K240" i="32"/>
  <c r="L240" i="32" s="1"/>
  <c r="F240" i="32"/>
  <c r="G240" i="32" s="1"/>
  <c r="D240" i="32"/>
  <c r="E240" i="32" s="1"/>
  <c r="B240" i="32"/>
  <c r="A240" i="32"/>
  <c r="M240" i="32" s="1"/>
  <c r="U239" i="32"/>
  <c r="S239" i="32"/>
  <c r="P239" i="32"/>
  <c r="Q239" i="32" s="1"/>
  <c r="N239" i="32"/>
  <c r="O239" i="32" s="1"/>
  <c r="K239" i="32"/>
  <c r="L239" i="32" s="1"/>
  <c r="F239" i="32"/>
  <c r="G239" i="32" s="1"/>
  <c r="D239" i="32"/>
  <c r="E239" i="32" s="1"/>
  <c r="B239" i="32"/>
  <c r="A239" i="32"/>
  <c r="M239" i="32" s="1"/>
  <c r="Y238" i="32"/>
  <c r="Z238" i="32" s="1"/>
  <c r="W238" i="32"/>
  <c r="B238" i="32"/>
  <c r="A238" i="32"/>
  <c r="Y237" i="32"/>
  <c r="Z237" i="32" s="1"/>
  <c r="W237" i="32"/>
  <c r="B237" i="32"/>
  <c r="A237" i="32"/>
  <c r="Y236" i="32"/>
  <c r="Z236" i="32" s="1"/>
  <c r="W236" i="32"/>
  <c r="B236" i="32"/>
  <c r="A236" i="32"/>
  <c r="Y235" i="32"/>
  <c r="Z235" i="32" s="1"/>
  <c r="W235" i="32"/>
  <c r="X235" i="32" s="1"/>
  <c r="K235" i="32"/>
  <c r="L235" i="32" s="1"/>
  <c r="B235" i="32"/>
  <c r="A235" i="32"/>
  <c r="Y234" i="32"/>
  <c r="Z234" i="32" s="1"/>
  <c r="W234" i="32"/>
  <c r="B234" i="32"/>
  <c r="A234" i="32"/>
  <c r="U233" i="32"/>
  <c r="S233" i="32"/>
  <c r="P233" i="32"/>
  <c r="Q233" i="32" s="1"/>
  <c r="N233" i="32"/>
  <c r="O233" i="32" s="1"/>
  <c r="K233" i="32"/>
  <c r="L233" i="32" s="1"/>
  <c r="F233" i="32"/>
  <c r="G233" i="32" s="1"/>
  <c r="D233" i="32"/>
  <c r="E233" i="32" s="1"/>
  <c r="B233" i="32"/>
  <c r="A233" i="32"/>
  <c r="M233" i="32" s="1"/>
  <c r="U232" i="32"/>
  <c r="S232" i="32"/>
  <c r="P232" i="32"/>
  <c r="Q232" i="32" s="1"/>
  <c r="N232" i="32"/>
  <c r="O232" i="32" s="1"/>
  <c r="K232" i="32"/>
  <c r="L232" i="32" s="1"/>
  <c r="F232" i="32"/>
  <c r="G232" i="32" s="1"/>
  <c r="D232" i="32"/>
  <c r="E232" i="32" s="1"/>
  <c r="B232" i="32"/>
  <c r="A232" i="32"/>
  <c r="M232" i="32" s="1"/>
  <c r="U231" i="32"/>
  <c r="S231" i="32"/>
  <c r="P231" i="32"/>
  <c r="Q231" i="32" s="1"/>
  <c r="N231" i="32"/>
  <c r="O231" i="32" s="1"/>
  <c r="K231" i="32"/>
  <c r="L231" i="32" s="1"/>
  <c r="F231" i="32"/>
  <c r="G231" i="32" s="1"/>
  <c r="D231" i="32"/>
  <c r="E231" i="32" s="1"/>
  <c r="B231" i="32"/>
  <c r="A231" i="32"/>
  <c r="M231" i="32" s="1"/>
  <c r="U230" i="32"/>
  <c r="S230" i="32"/>
  <c r="P230" i="32"/>
  <c r="Q230" i="32" s="1"/>
  <c r="N230" i="32"/>
  <c r="O230" i="32" s="1"/>
  <c r="K230" i="32"/>
  <c r="L230" i="32" s="1"/>
  <c r="F230" i="32"/>
  <c r="G230" i="32" s="1"/>
  <c r="D230" i="32"/>
  <c r="E230" i="32" s="1"/>
  <c r="B230" i="32"/>
  <c r="A230" i="32"/>
  <c r="M230" i="32" s="1"/>
  <c r="Y229" i="32"/>
  <c r="Z229" i="32" s="1"/>
  <c r="W229" i="32"/>
  <c r="B229" i="32"/>
  <c r="A229" i="32"/>
  <c r="Y228" i="32"/>
  <c r="Z228" i="32" s="1"/>
  <c r="W228" i="32"/>
  <c r="B228" i="32"/>
  <c r="A228" i="32"/>
  <c r="Y227" i="32"/>
  <c r="Z227" i="32" s="1"/>
  <c r="W227" i="32"/>
  <c r="X227" i="32" s="1"/>
  <c r="B227" i="32"/>
  <c r="A227" i="32"/>
  <c r="Y226" i="32"/>
  <c r="Z226" i="32" s="1"/>
  <c r="W226" i="32"/>
  <c r="K226" i="32"/>
  <c r="L226" i="32" s="1"/>
  <c r="B226" i="32"/>
  <c r="A226" i="32"/>
  <c r="Y225" i="32"/>
  <c r="Z225" i="32" s="1"/>
  <c r="W225" i="32"/>
  <c r="B225" i="32"/>
  <c r="A225" i="32"/>
  <c r="U224" i="32"/>
  <c r="S224" i="32"/>
  <c r="P224" i="32"/>
  <c r="Q224" i="32" s="1"/>
  <c r="N224" i="32"/>
  <c r="O224" i="32" s="1"/>
  <c r="K224" i="32"/>
  <c r="L224" i="32" s="1"/>
  <c r="F224" i="32"/>
  <c r="G224" i="32" s="1"/>
  <c r="D224" i="32"/>
  <c r="E224" i="32" s="1"/>
  <c r="B224" i="32"/>
  <c r="A224" i="32"/>
  <c r="M224" i="32" s="1"/>
  <c r="U223" i="32"/>
  <c r="S223" i="32"/>
  <c r="P223" i="32"/>
  <c r="Q223" i="32" s="1"/>
  <c r="N223" i="32"/>
  <c r="O223" i="32" s="1"/>
  <c r="K223" i="32"/>
  <c r="L223" i="32" s="1"/>
  <c r="F223" i="32"/>
  <c r="G223" i="32" s="1"/>
  <c r="D223" i="32"/>
  <c r="E223" i="32" s="1"/>
  <c r="B223" i="32"/>
  <c r="A223" i="32"/>
  <c r="M223" i="32" s="1"/>
  <c r="U222" i="32"/>
  <c r="S222" i="32"/>
  <c r="P222" i="32"/>
  <c r="Q222" i="32" s="1"/>
  <c r="N222" i="32"/>
  <c r="O222" i="32" s="1"/>
  <c r="K222" i="32"/>
  <c r="L222" i="32" s="1"/>
  <c r="F222" i="32"/>
  <c r="G222" i="32" s="1"/>
  <c r="D222" i="32"/>
  <c r="E222" i="32" s="1"/>
  <c r="B222" i="32"/>
  <c r="A222" i="32"/>
  <c r="M222" i="32" s="1"/>
  <c r="U221" i="32"/>
  <c r="S221" i="32"/>
  <c r="P221" i="32"/>
  <c r="Q221" i="32" s="1"/>
  <c r="N221" i="32"/>
  <c r="O221" i="32" s="1"/>
  <c r="K221" i="32"/>
  <c r="L221" i="32" s="1"/>
  <c r="F221" i="32"/>
  <c r="G221" i="32" s="1"/>
  <c r="D221" i="32"/>
  <c r="E221" i="32" s="1"/>
  <c r="B221" i="32"/>
  <c r="A221" i="32"/>
  <c r="M221" i="32" s="1"/>
  <c r="Y220" i="32"/>
  <c r="W220" i="32"/>
  <c r="X220" i="32" s="1"/>
  <c r="B220" i="32"/>
  <c r="A220" i="32"/>
  <c r="Y219" i="32"/>
  <c r="Z219" i="32" s="1"/>
  <c r="W219" i="32"/>
  <c r="B219" i="32"/>
  <c r="A219" i="32"/>
  <c r="Y218" i="32"/>
  <c r="Z218" i="32" s="1"/>
  <c r="W218" i="32"/>
  <c r="B218" i="32"/>
  <c r="A218" i="32"/>
  <c r="Y217" i="32"/>
  <c r="Z217" i="32" s="1"/>
  <c r="W217" i="32"/>
  <c r="K217" i="32"/>
  <c r="L217" i="32" s="1"/>
  <c r="B217" i="32"/>
  <c r="A217" i="32"/>
  <c r="Y216" i="32"/>
  <c r="Z216" i="32" s="1"/>
  <c r="W216" i="32"/>
  <c r="B216" i="32"/>
  <c r="A216" i="32"/>
  <c r="U215" i="32"/>
  <c r="S215" i="32"/>
  <c r="P215" i="32"/>
  <c r="Q215" i="32" s="1"/>
  <c r="N215" i="32"/>
  <c r="O215" i="32" s="1"/>
  <c r="K215" i="32"/>
  <c r="L215" i="32" s="1"/>
  <c r="F215" i="32"/>
  <c r="G215" i="32" s="1"/>
  <c r="D215" i="32"/>
  <c r="E215" i="32" s="1"/>
  <c r="B215" i="32"/>
  <c r="A215" i="32"/>
  <c r="M215" i="32" s="1"/>
  <c r="U214" i="32"/>
  <c r="S214" i="32"/>
  <c r="P214" i="32"/>
  <c r="Q214" i="32" s="1"/>
  <c r="N214" i="32"/>
  <c r="O214" i="32" s="1"/>
  <c r="K214" i="32"/>
  <c r="L214" i="32" s="1"/>
  <c r="F214" i="32"/>
  <c r="G214" i="32" s="1"/>
  <c r="D214" i="32"/>
  <c r="E214" i="32" s="1"/>
  <c r="B214" i="32"/>
  <c r="A214" i="32"/>
  <c r="M214" i="32" s="1"/>
  <c r="U213" i="32"/>
  <c r="S213" i="32"/>
  <c r="P213" i="32"/>
  <c r="Q213" i="32" s="1"/>
  <c r="N213" i="32"/>
  <c r="O213" i="32" s="1"/>
  <c r="K213" i="32"/>
  <c r="L213" i="32" s="1"/>
  <c r="F213" i="32"/>
  <c r="G213" i="32" s="1"/>
  <c r="D213" i="32"/>
  <c r="E213" i="32" s="1"/>
  <c r="B213" i="32"/>
  <c r="A213" i="32"/>
  <c r="M213" i="32" s="1"/>
  <c r="U212" i="32"/>
  <c r="S212" i="32"/>
  <c r="P212" i="32"/>
  <c r="Q212" i="32" s="1"/>
  <c r="N212" i="32"/>
  <c r="O212" i="32" s="1"/>
  <c r="K212" i="32"/>
  <c r="L212" i="32" s="1"/>
  <c r="F212" i="32"/>
  <c r="G212" i="32" s="1"/>
  <c r="D212" i="32"/>
  <c r="E212" i="32" s="1"/>
  <c r="B212" i="32"/>
  <c r="A212" i="32"/>
  <c r="M212" i="32" s="1"/>
  <c r="Y211" i="32"/>
  <c r="Z211" i="32" s="1"/>
  <c r="W211" i="32"/>
  <c r="X211" i="32" s="1"/>
  <c r="B211" i="32"/>
  <c r="A211" i="32"/>
  <c r="Y210" i="32"/>
  <c r="Z210" i="32" s="1"/>
  <c r="W210" i="32"/>
  <c r="X210" i="32" s="1"/>
  <c r="B210" i="32"/>
  <c r="A210" i="32"/>
  <c r="Y209" i="32"/>
  <c r="Z209" i="32" s="1"/>
  <c r="W209" i="32"/>
  <c r="B209" i="32"/>
  <c r="A209" i="32"/>
  <c r="Y208" i="32"/>
  <c r="Z208" i="32" s="1"/>
  <c r="W208" i="32"/>
  <c r="K208" i="32"/>
  <c r="L208" i="32" s="1"/>
  <c r="B208" i="32"/>
  <c r="A208" i="32"/>
  <c r="Y207" i="32"/>
  <c r="Z207" i="32" s="1"/>
  <c r="W207" i="32"/>
  <c r="B207" i="32"/>
  <c r="A207" i="32"/>
  <c r="U206" i="32"/>
  <c r="S206" i="32"/>
  <c r="P206" i="32"/>
  <c r="Q206" i="32" s="1"/>
  <c r="N206" i="32"/>
  <c r="O206" i="32" s="1"/>
  <c r="K206" i="32"/>
  <c r="L206" i="32" s="1"/>
  <c r="F206" i="32"/>
  <c r="G206" i="32" s="1"/>
  <c r="D206" i="32"/>
  <c r="E206" i="32" s="1"/>
  <c r="B206" i="32"/>
  <c r="A206" i="32"/>
  <c r="M206" i="32" s="1"/>
  <c r="U205" i="32"/>
  <c r="S205" i="32"/>
  <c r="P205" i="32"/>
  <c r="Q205" i="32" s="1"/>
  <c r="N205" i="32"/>
  <c r="O205" i="32" s="1"/>
  <c r="K205" i="32"/>
  <c r="L205" i="32" s="1"/>
  <c r="F205" i="32"/>
  <c r="G205" i="32" s="1"/>
  <c r="D205" i="32"/>
  <c r="E205" i="32" s="1"/>
  <c r="B205" i="32"/>
  <c r="A205" i="32"/>
  <c r="M205" i="32" s="1"/>
  <c r="U204" i="32"/>
  <c r="S204" i="32"/>
  <c r="P204" i="32"/>
  <c r="Q204" i="32" s="1"/>
  <c r="N204" i="32"/>
  <c r="O204" i="32" s="1"/>
  <c r="K204" i="32"/>
  <c r="L204" i="32" s="1"/>
  <c r="F204" i="32"/>
  <c r="G204" i="32" s="1"/>
  <c r="D204" i="32"/>
  <c r="E204" i="32" s="1"/>
  <c r="B204" i="32"/>
  <c r="A204" i="32"/>
  <c r="M204" i="32" s="1"/>
  <c r="U203" i="32"/>
  <c r="S203" i="32"/>
  <c r="P203" i="32"/>
  <c r="Q203" i="32" s="1"/>
  <c r="N203" i="32"/>
  <c r="O203" i="32" s="1"/>
  <c r="K203" i="32"/>
  <c r="L203" i="32" s="1"/>
  <c r="F203" i="32"/>
  <c r="G203" i="32" s="1"/>
  <c r="D203" i="32"/>
  <c r="E203" i="32" s="1"/>
  <c r="B203" i="32"/>
  <c r="A203" i="32"/>
  <c r="M203" i="32" s="1"/>
  <c r="Y202" i="32"/>
  <c r="Z202" i="32" s="1"/>
  <c r="W202" i="32"/>
  <c r="B202" i="32"/>
  <c r="A202" i="32"/>
  <c r="Y201" i="32"/>
  <c r="Z201" i="32" s="1"/>
  <c r="W201" i="32"/>
  <c r="B201" i="32"/>
  <c r="A201" i="32"/>
  <c r="Y200" i="32"/>
  <c r="Z200" i="32" s="1"/>
  <c r="W200" i="32"/>
  <c r="B200" i="32"/>
  <c r="A200" i="32"/>
  <c r="Y199" i="32"/>
  <c r="Z199" i="32" s="1"/>
  <c r="W199" i="32"/>
  <c r="K199" i="32"/>
  <c r="L199" i="32" s="1"/>
  <c r="B199" i="32"/>
  <c r="A199" i="32"/>
  <c r="Y198" i="32"/>
  <c r="Z198" i="32" s="1"/>
  <c r="W198" i="32"/>
  <c r="B198" i="32"/>
  <c r="A198" i="32"/>
  <c r="U197" i="32"/>
  <c r="S197" i="32"/>
  <c r="P197" i="32"/>
  <c r="Q197" i="32" s="1"/>
  <c r="N197" i="32"/>
  <c r="O197" i="32" s="1"/>
  <c r="K197" i="32"/>
  <c r="L197" i="32" s="1"/>
  <c r="F197" i="32"/>
  <c r="G197" i="32" s="1"/>
  <c r="D197" i="32"/>
  <c r="E197" i="32" s="1"/>
  <c r="B197" i="32"/>
  <c r="A197" i="32"/>
  <c r="M197" i="32" s="1"/>
  <c r="U196" i="32"/>
  <c r="S196" i="32"/>
  <c r="P196" i="32"/>
  <c r="Q196" i="32" s="1"/>
  <c r="N196" i="32"/>
  <c r="O196" i="32" s="1"/>
  <c r="K196" i="32"/>
  <c r="L196" i="32" s="1"/>
  <c r="F196" i="32"/>
  <c r="G196" i="32" s="1"/>
  <c r="D196" i="32"/>
  <c r="E196" i="32" s="1"/>
  <c r="B196" i="32"/>
  <c r="A196" i="32"/>
  <c r="M196" i="32" s="1"/>
  <c r="U195" i="32"/>
  <c r="S195" i="32"/>
  <c r="P195" i="32"/>
  <c r="Q195" i="32" s="1"/>
  <c r="N195" i="32"/>
  <c r="O195" i="32" s="1"/>
  <c r="K195" i="32"/>
  <c r="L195" i="32" s="1"/>
  <c r="F195" i="32"/>
  <c r="G195" i="32" s="1"/>
  <c r="D195" i="32"/>
  <c r="E195" i="32" s="1"/>
  <c r="B195" i="32"/>
  <c r="A195" i="32"/>
  <c r="M195" i="32" s="1"/>
  <c r="U194" i="32"/>
  <c r="S194" i="32"/>
  <c r="P194" i="32"/>
  <c r="Q194" i="32" s="1"/>
  <c r="N194" i="32"/>
  <c r="O194" i="32" s="1"/>
  <c r="K194" i="32"/>
  <c r="L194" i="32" s="1"/>
  <c r="F194" i="32"/>
  <c r="G194" i="32" s="1"/>
  <c r="D194" i="32"/>
  <c r="E194" i="32" s="1"/>
  <c r="B194" i="32"/>
  <c r="A194" i="32"/>
  <c r="M194" i="32" s="1"/>
  <c r="Y193" i="32"/>
  <c r="Z193" i="32" s="1"/>
  <c r="W193" i="32"/>
  <c r="X193" i="32" s="1"/>
  <c r="B193" i="32"/>
  <c r="A193" i="32"/>
  <c r="Y192" i="32"/>
  <c r="Z192" i="32" s="1"/>
  <c r="W192" i="32"/>
  <c r="X192" i="32" s="1"/>
  <c r="B192" i="32"/>
  <c r="A192" i="32"/>
  <c r="Y191" i="32"/>
  <c r="Z191" i="32" s="1"/>
  <c r="W191" i="32"/>
  <c r="B191" i="32"/>
  <c r="A191" i="32"/>
  <c r="Y190" i="32"/>
  <c r="Z190" i="32" s="1"/>
  <c r="W190" i="32"/>
  <c r="X190" i="32" s="1"/>
  <c r="K190" i="32"/>
  <c r="L190" i="32" s="1"/>
  <c r="B190" i="32"/>
  <c r="A190" i="32"/>
  <c r="Y189" i="32"/>
  <c r="Z189" i="32" s="1"/>
  <c r="W189" i="32"/>
  <c r="X189" i="32" s="1"/>
  <c r="B189" i="32"/>
  <c r="A189" i="32"/>
  <c r="U188" i="32"/>
  <c r="S188" i="32"/>
  <c r="P188" i="32"/>
  <c r="Q188" i="32" s="1"/>
  <c r="N188" i="32"/>
  <c r="O188" i="32" s="1"/>
  <c r="K188" i="32"/>
  <c r="L188" i="32" s="1"/>
  <c r="F188" i="32"/>
  <c r="G188" i="32" s="1"/>
  <c r="D188" i="32"/>
  <c r="E188" i="32" s="1"/>
  <c r="B188" i="32"/>
  <c r="A188" i="32"/>
  <c r="M188" i="32" s="1"/>
  <c r="U187" i="32"/>
  <c r="S187" i="32"/>
  <c r="P187" i="32"/>
  <c r="Q187" i="32" s="1"/>
  <c r="N187" i="32"/>
  <c r="O187" i="32" s="1"/>
  <c r="K187" i="32"/>
  <c r="L187" i="32" s="1"/>
  <c r="F187" i="32"/>
  <c r="G187" i="32" s="1"/>
  <c r="D187" i="32"/>
  <c r="E187" i="32" s="1"/>
  <c r="B187" i="32"/>
  <c r="A187" i="32"/>
  <c r="M187" i="32" s="1"/>
  <c r="U186" i="32"/>
  <c r="S186" i="32"/>
  <c r="P186" i="32"/>
  <c r="Q186" i="32" s="1"/>
  <c r="N186" i="32"/>
  <c r="O186" i="32" s="1"/>
  <c r="K186" i="32"/>
  <c r="L186" i="32" s="1"/>
  <c r="F186" i="32"/>
  <c r="G186" i="32" s="1"/>
  <c r="D186" i="32"/>
  <c r="E186" i="32" s="1"/>
  <c r="B186" i="32"/>
  <c r="A186" i="32"/>
  <c r="M186" i="32" s="1"/>
  <c r="U185" i="32"/>
  <c r="S185" i="32"/>
  <c r="P185" i="32"/>
  <c r="Q185" i="32" s="1"/>
  <c r="N185" i="32"/>
  <c r="O185" i="32" s="1"/>
  <c r="K185" i="32"/>
  <c r="L185" i="32" s="1"/>
  <c r="F185" i="32"/>
  <c r="G185" i="32" s="1"/>
  <c r="D185" i="32"/>
  <c r="E185" i="32" s="1"/>
  <c r="B185" i="32"/>
  <c r="A185" i="32"/>
  <c r="M185" i="32" s="1"/>
  <c r="Y184" i="32"/>
  <c r="Z184" i="32" s="1"/>
  <c r="W184" i="32"/>
  <c r="X184" i="32" s="1"/>
  <c r="B184" i="32"/>
  <c r="A184" i="32"/>
  <c r="Y183" i="32"/>
  <c r="Z183" i="32" s="1"/>
  <c r="W183" i="32"/>
  <c r="B183" i="32"/>
  <c r="A183" i="32"/>
  <c r="Y182" i="32"/>
  <c r="Z182" i="32" s="1"/>
  <c r="W182" i="32"/>
  <c r="X182" i="32" s="1"/>
  <c r="B182" i="32"/>
  <c r="A182" i="32"/>
  <c r="Y181" i="32"/>
  <c r="W181" i="32"/>
  <c r="X181" i="32" s="1"/>
  <c r="K181" i="32"/>
  <c r="L181" i="32" s="1"/>
  <c r="B181" i="32"/>
  <c r="A181" i="32"/>
  <c r="Y180" i="32"/>
  <c r="Z180" i="32" s="1"/>
  <c r="W180" i="32"/>
  <c r="X180" i="32" s="1"/>
  <c r="B180" i="32"/>
  <c r="A180" i="32"/>
  <c r="U179" i="32"/>
  <c r="S179" i="32"/>
  <c r="P179" i="32"/>
  <c r="Q179" i="32" s="1"/>
  <c r="N179" i="32"/>
  <c r="O179" i="32" s="1"/>
  <c r="K179" i="32"/>
  <c r="L179" i="32" s="1"/>
  <c r="F179" i="32"/>
  <c r="G179" i="32" s="1"/>
  <c r="D179" i="32"/>
  <c r="E179" i="32" s="1"/>
  <c r="B179" i="32"/>
  <c r="A179" i="32"/>
  <c r="M179" i="32" s="1"/>
  <c r="U178" i="32"/>
  <c r="S178" i="32"/>
  <c r="P178" i="32"/>
  <c r="Q178" i="32" s="1"/>
  <c r="N178" i="32"/>
  <c r="O178" i="32" s="1"/>
  <c r="K178" i="32"/>
  <c r="L178" i="32" s="1"/>
  <c r="F178" i="32"/>
  <c r="G178" i="32" s="1"/>
  <c r="D178" i="32"/>
  <c r="E178" i="32" s="1"/>
  <c r="B178" i="32"/>
  <c r="A178" i="32"/>
  <c r="M178" i="32" s="1"/>
  <c r="U177" i="32"/>
  <c r="S177" i="32"/>
  <c r="P177" i="32"/>
  <c r="Q177" i="32" s="1"/>
  <c r="N177" i="32"/>
  <c r="O177" i="32" s="1"/>
  <c r="K177" i="32"/>
  <c r="L177" i="32" s="1"/>
  <c r="F177" i="32"/>
  <c r="G177" i="32" s="1"/>
  <c r="D177" i="32"/>
  <c r="E177" i="32" s="1"/>
  <c r="B177" i="32"/>
  <c r="A177" i="32"/>
  <c r="M177" i="32" s="1"/>
  <c r="U176" i="32"/>
  <c r="S176" i="32"/>
  <c r="P176" i="32"/>
  <c r="Q176" i="32" s="1"/>
  <c r="N176" i="32"/>
  <c r="O176" i="32" s="1"/>
  <c r="K176" i="32"/>
  <c r="L176" i="32" s="1"/>
  <c r="F176" i="32"/>
  <c r="G176" i="32" s="1"/>
  <c r="D176" i="32"/>
  <c r="E176" i="32" s="1"/>
  <c r="B176" i="32"/>
  <c r="A176" i="32"/>
  <c r="M176" i="32" s="1"/>
  <c r="Y175" i="32"/>
  <c r="Z175" i="32" s="1"/>
  <c r="W175" i="32"/>
  <c r="X175" i="32" s="1"/>
  <c r="B175" i="32"/>
  <c r="A175" i="32"/>
  <c r="Y174" i="32"/>
  <c r="Z174" i="32" s="1"/>
  <c r="W174" i="32"/>
  <c r="X174" i="32" s="1"/>
  <c r="B174" i="32"/>
  <c r="A174" i="32"/>
  <c r="Y173" i="32"/>
  <c r="Z173" i="32" s="1"/>
  <c r="W173" i="32"/>
  <c r="X173" i="32" s="1"/>
  <c r="B173" i="32"/>
  <c r="A173" i="32"/>
  <c r="Y172" i="32"/>
  <c r="Z172" i="32" s="1"/>
  <c r="W172" i="32"/>
  <c r="X172" i="32" s="1"/>
  <c r="K172" i="32"/>
  <c r="L172" i="32" s="1"/>
  <c r="B172" i="32"/>
  <c r="A172" i="32"/>
  <c r="Y171" i="32"/>
  <c r="Z171" i="32" s="1"/>
  <c r="W171" i="32"/>
  <c r="B171" i="32"/>
  <c r="A171" i="32"/>
  <c r="U170" i="32"/>
  <c r="S170" i="32"/>
  <c r="P170" i="32"/>
  <c r="Q170" i="32" s="1"/>
  <c r="N170" i="32"/>
  <c r="O170" i="32" s="1"/>
  <c r="K170" i="32"/>
  <c r="L170" i="32" s="1"/>
  <c r="F170" i="32"/>
  <c r="G170" i="32" s="1"/>
  <c r="D170" i="32"/>
  <c r="E170" i="32" s="1"/>
  <c r="B170" i="32"/>
  <c r="A170" i="32"/>
  <c r="M170" i="32" s="1"/>
  <c r="U169" i="32"/>
  <c r="S169" i="32"/>
  <c r="P169" i="32"/>
  <c r="Q169" i="32" s="1"/>
  <c r="N169" i="32"/>
  <c r="O169" i="32" s="1"/>
  <c r="K169" i="32"/>
  <c r="L169" i="32" s="1"/>
  <c r="F169" i="32"/>
  <c r="G169" i="32" s="1"/>
  <c r="D169" i="32"/>
  <c r="E169" i="32" s="1"/>
  <c r="B169" i="32"/>
  <c r="A169" i="32"/>
  <c r="M169" i="32" s="1"/>
  <c r="U168" i="32"/>
  <c r="S168" i="32"/>
  <c r="P168" i="32"/>
  <c r="Q168" i="32" s="1"/>
  <c r="N168" i="32"/>
  <c r="O168" i="32" s="1"/>
  <c r="K168" i="32"/>
  <c r="L168" i="32" s="1"/>
  <c r="F168" i="32"/>
  <c r="G168" i="32" s="1"/>
  <c r="D168" i="32"/>
  <c r="E168" i="32" s="1"/>
  <c r="B168" i="32"/>
  <c r="A168" i="32"/>
  <c r="M168" i="32" s="1"/>
  <c r="U167" i="32"/>
  <c r="S167" i="32"/>
  <c r="P167" i="32"/>
  <c r="Q167" i="32" s="1"/>
  <c r="N167" i="32"/>
  <c r="O167" i="32" s="1"/>
  <c r="K167" i="32"/>
  <c r="L167" i="32" s="1"/>
  <c r="F167" i="32"/>
  <c r="G167" i="32" s="1"/>
  <c r="D167" i="32"/>
  <c r="E167" i="32" s="1"/>
  <c r="B167" i="32"/>
  <c r="A167" i="32"/>
  <c r="M167" i="32" s="1"/>
  <c r="Y166" i="32"/>
  <c r="Z166" i="32" s="1"/>
  <c r="W166" i="32"/>
  <c r="B166" i="32"/>
  <c r="A166" i="32"/>
  <c r="Y165" i="32"/>
  <c r="Z165" i="32" s="1"/>
  <c r="W165" i="32"/>
  <c r="B165" i="32"/>
  <c r="A165" i="32"/>
  <c r="Y164" i="32"/>
  <c r="Z164" i="32" s="1"/>
  <c r="W164" i="32"/>
  <c r="B164" i="32"/>
  <c r="A164" i="32"/>
  <c r="Y163" i="32"/>
  <c r="Z163" i="32" s="1"/>
  <c r="W163" i="32"/>
  <c r="K163" i="32"/>
  <c r="L163" i="32" s="1"/>
  <c r="B163" i="32"/>
  <c r="A163" i="32"/>
  <c r="Y162" i="32"/>
  <c r="Z162" i="32" s="1"/>
  <c r="W162" i="32"/>
  <c r="X162" i="32" s="1"/>
  <c r="B162" i="32"/>
  <c r="A162" i="32"/>
  <c r="U161" i="32"/>
  <c r="S161" i="32"/>
  <c r="P161" i="32"/>
  <c r="Q161" i="32" s="1"/>
  <c r="N161" i="32"/>
  <c r="O161" i="32" s="1"/>
  <c r="K161" i="32"/>
  <c r="L161" i="32" s="1"/>
  <c r="F161" i="32"/>
  <c r="G161" i="32" s="1"/>
  <c r="D161" i="32"/>
  <c r="E161" i="32" s="1"/>
  <c r="B161" i="32"/>
  <c r="A161" i="32"/>
  <c r="M161" i="32" s="1"/>
  <c r="U160" i="32"/>
  <c r="S160" i="32"/>
  <c r="P160" i="32"/>
  <c r="Q160" i="32" s="1"/>
  <c r="N160" i="32"/>
  <c r="O160" i="32" s="1"/>
  <c r="K160" i="32"/>
  <c r="L160" i="32" s="1"/>
  <c r="F160" i="32"/>
  <c r="G160" i="32" s="1"/>
  <c r="D160" i="32"/>
  <c r="E160" i="32" s="1"/>
  <c r="B160" i="32"/>
  <c r="A160" i="32"/>
  <c r="M160" i="32" s="1"/>
  <c r="U159" i="32"/>
  <c r="S159" i="32"/>
  <c r="P159" i="32"/>
  <c r="Q159" i="32" s="1"/>
  <c r="N159" i="32"/>
  <c r="O159" i="32" s="1"/>
  <c r="K159" i="32"/>
  <c r="L159" i="32" s="1"/>
  <c r="F159" i="32"/>
  <c r="G159" i="32" s="1"/>
  <c r="D159" i="32"/>
  <c r="E159" i="32" s="1"/>
  <c r="B159" i="32"/>
  <c r="A159" i="32"/>
  <c r="M159" i="32" s="1"/>
  <c r="U158" i="32"/>
  <c r="S158" i="32"/>
  <c r="P158" i="32"/>
  <c r="Q158" i="32" s="1"/>
  <c r="N158" i="32"/>
  <c r="O158" i="32" s="1"/>
  <c r="K158" i="32"/>
  <c r="L158" i="32" s="1"/>
  <c r="F158" i="32"/>
  <c r="G158" i="32" s="1"/>
  <c r="D158" i="32"/>
  <c r="E158" i="32" s="1"/>
  <c r="B158" i="32"/>
  <c r="A158" i="32"/>
  <c r="M158" i="32" s="1"/>
  <c r="Y157" i="32"/>
  <c r="Z157" i="32" s="1"/>
  <c r="W157" i="32"/>
  <c r="B157" i="32"/>
  <c r="A157" i="32"/>
  <c r="Y156" i="32"/>
  <c r="Z156" i="32" s="1"/>
  <c r="W156" i="32"/>
  <c r="X156" i="32" s="1"/>
  <c r="B156" i="32"/>
  <c r="A156" i="32"/>
  <c r="Y155" i="32"/>
  <c r="Z155" i="32" s="1"/>
  <c r="W155" i="32"/>
  <c r="B155" i="32"/>
  <c r="A155" i="32"/>
  <c r="Y154" i="32"/>
  <c r="Z154" i="32" s="1"/>
  <c r="W154" i="32"/>
  <c r="X154" i="32" s="1"/>
  <c r="K154" i="32"/>
  <c r="L154" i="32" s="1"/>
  <c r="B154" i="32"/>
  <c r="A154" i="32"/>
  <c r="Y153" i="32"/>
  <c r="Z153" i="32" s="1"/>
  <c r="W153" i="32"/>
  <c r="X153" i="32" s="1"/>
  <c r="B153" i="32"/>
  <c r="A153" i="32"/>
  <c r="U152" i="32"/>
  <c r="S152" i="32"/>
  <c r="P152" i="32"/>
  <c r="Q152" i="32" s="1"/>
  <c r="N152" i="32"/>
  <c r="O152" i="32" s="1"/>
  <c r="K152" i="32"/>
  <c r="L152" i="32" s="1"/>
  <c r="F152" i="32"/>
  <c r="G152" i="32" s="1"/>
  <c r="D152" i="32"/>
  <c r="E152" i="32" s="1"/>
  <c r="B152" i="32"/>
  <c r="A152" i="32"/>
  <c r="M152" i="32" s="1"/>
  <c r="U151" i="32"/>
  <c r="S151" i="32"/>
  <c r="P151" i="32"/>
  <c r="Q151" i="32" s="1"/>
  <c r="N151" i="32"/>
  <c r="O151" i="32" s="1"/>
  <c r="K151" i="32"/>
  <c r="L151" i="32" s="1"/>
  <c r="F151" i="32"/>
  <c r="G151" i="32" s="1"/>
  <c r="D151" i="32"/>
  <c r="E151" i="32" s="1"/>
  <c r="B151" i="32"/>
  <c r="A151" i="32"/>
  <c r="M151" i="32" s="1"/>
  <c r="U150" i="32"/>
  <c r="S150" i="32"/>
  <c r="P150" i="32"/>
  <c r="Q150" i="32" s="1"/>
  <c r="N150" i="32"/>
  <c r="O150" i="32" s="1"/>
  <c r="K150" i="32"/>
  <c r="L150" i="32" s="1"/>
  <c r="F150" i="32"/>
  <c r="G150" i="32" s="1"/>
  <c r="D150" i="32"/>
  <c r="E150" i="32" s="1"/>
  <c r="B150" i="32"/>
  <c r="A150" i="32"/>
  <c r="M150" i="32" s="1"/>
  <c r="U149" i="32"/>
  <c r="S149" i="32"/>
  <c r="P149" i="32"/>
  <c r="Q149" i="32" s="1"/>
  <c r="N149" i="32"/>
  <c r="O149" i="32" s="1"/>
  <c r="K149" i="32"/>
  <c r="L149" i="32" s="1"/>
  <c r="F149" i="32"/>
  <c r="G149" i="32" s="1"/>
  <c r="D149" i="32"/>
  <c r="E149" i="32" s="1"/>
  <c r="B149" i="32"/>
  <c r="A149" i="32"/>
  <c r="M149" i="32" s="1"/>
  <c r="Y148" i="32"/>
  <c r="Z148" i="32" s="1"/>
  <c r="W148" i="32"/>
  <c r="AA148" i="32" s="1"/>
  <c r="AB148" i="32" s="1"/>
  <c r="B148" i="32"/>
  <c r="A148" i="32"/>
  <c r="Y147" i="32"/>
  <c r="Z147" i="32" s="1"/>
  <c r="W147" i="32"/>
  <c r="AA147" i="32" s="1"/>
  <c r="AB147" i="32" s="1"/>
  <c r="B147" i="32"/>
  <c r="A147" i="32"/>
  <c r="Y146" i="32"/>
  <c r="Z146" i="32" s="1"/>
  <c r="W146" i="32"/>
  <c r="B146" i="32"/>
  <c r="A146" i="32"/>
  <c r="Y145" i="32"/>
  <c r="Z145" i="32" s="1"/>
  <c r="W145" i="32"/>
  <c r="K145" i="32"/>
  <c r="L145" i="32" s="1"/>
  <c r="B145" i="32"/>
  <c r="A145" i="32"/>
  <c r="Y144" i="32"/>
  <c r="Z144" i="32" s="1"/>
  <c r="W144" i="32"/>
  <c r="B144" i="32"/>
  <c r="A144" i="32"/>
  <c r="U143" i="32"/>
  <c r="S143" i="32"/>
  <c r="P143" i="32"/>
  <c r="Q143" i="32" s="1"/>
  <c r="N143" i="32"/>
  <c r="O143" i="32" s="1"/>
  <c r="K143" i="32"/>
  <c r="L143" i="32" s="1"/>
  <c r="F143" i="32"/>
  <c r="G143" i="32" s="1"/>
  <c r="D143" i="32"/>
  <c r="E143" i="32" s="1"/>
  <c r="B143" i="32"/>
  <c r="A143" i="32"/>
  <c r="M143" i="32" s="1"/>
  <c r="U142" i="32"/>
  <c r="S142" i="32"/>
  <c r="P142" i="32"/>
  <c r="Q142" i="32" s="1"/>
  <c r="N142" i="32"/>
  <c r="O142" i="32" s="1"/>
  <c r="K142" i="32"/>
  <c r="L142" i="32" s="1"/>
  <c r="F142" i="32"/>
  <c r="G142" i="32" s="1"/>
  <c r="D142" i="32"/>
  <c r="E142" i="32" s="1"/>
  <c r="B142" i="32"/>
  <c r="A142" i="32"/>
  <c r="M142" i="32" s="1"/>
  <c r="U141" i="32"/>
  <c r="S141" i="32"/>
  <c r="P141" i="32"/>
  <c r="Q141" i="32" s="1"/>
  <c r="N141" i="32"/>
  <c r="O141" i="32" s="1"/>
  <c r="K141" i="32"/>
  <c r="L141" i="32" s="1"/>
  <c r="F141" i="32"/>
  <c r="G141" i="32" s="1"/>
  <c r="D141" i="32"/>
  <c r="E141" i="32" s="1"/>
  <c r="B141" i="32"/>
  <c r="A141" i="32"/>
  <c r="M141" i="32" s="1"/>
  <c r="U140" i="32"/>
  <c r="S140" i="32"/>
  <c r="P140" i="32"/>
  <c r="Q140" i="32" s="1"/>
  <c r="N140" i="32"/>
  <c r="O140" i="32" s="1"/>
  <c r="K140" i="32"/>
  <c r="L140" i="32" s="1"/>
  <c r="F140" i="32"/>
  <c r="G140" i="32" s="1"/>
  <c r="D140" i="32"/>
  <c r="E140" i="32" s="1"/>
  <c r="B140" i="32"/>
  <c r="A140" i="32"/>
  <c r="M140" i="32" s="1"/>
  <c r="Y139" i="32"/>
  <c r="Z139" i="32" s="1"/>
  <c r="W139" i="32"/>
  <c r="B139" i="32"/>
  <c r="A139" i="32"/>
  <c r="Y138" i="32"/>
  <c r="Z138" i="32" s="1"/>
  <c r="W138" i="32"/>
  <c r="B138" i="32"/>
  <c r="A138" i="32"/>
  <c r="Y137" i="32"/>
  <c r="Z137" i="32" s="1"/>
  <c r="W137" i="32"/>
  <c r="B137" i="32"/>
  <c r="A137" i="32"/>
  <c r="Y136" i="32"/>
  <c r="Z136" i="32" s="1"/>
  <c r="W136" i="32"/>
  <c r="K136" i="32"/>
  <c r="L136" i="32" s="1"/>
  <c r="B136" i="32"/>
  <c r="A136" i="32"/>
  <c r="Y135" i="32"/>
  <c r="Z135" i="32" s="1"/>
  <c r="W135" i="32"/>
  <c r="B135" i="32"/>
  <c r="A135" i="32"/>
  <c r="U134" i="32"/>
  <c r="S134" i="32"/>
  <c r="P134" i="32"/>
  <c r="Q134" i="32" s="1"/>
  <c r="N134" i="32"/>
  <c r="O134" i="32" s="1"/>
  <c r="K134" i="32"/>
  <c r="L134" i="32" s="1"/>
  <c r="F134" i="32"/>
  <c r="G134" i="32" s="1"/>
  <c r="D134" i="32"/>
  <c r="E134" i="32" s="1"/>
  <c r="B134" i="32"/>
  <c r="A134" i="32"/>
  <c r="M134" i="32" s="1"/>
  <c r="U133" i="32"/>
  <c r="S133" i="32"/>
  <c r="P133" i="32"/>
  <c r="Q133" i="32" s="1"/>
  <c r="N133" i="32"/>
  <c r="O133" i="32" s="1"/>
  <c r="K133" i="32"/>
  <c r="L133" i="32" s="1"/>
  <c r="F133" i="32"/>
  <c r="G133" i="32" s="1"/>
  <c r="D133" i="32"/>
  <c r="E133" i="32" s="1"/>
  <c r="B133" i="32"/>
  <c r="A133" i="32"/>
  <c r="M133" i="32" s="1"/>
  <c r="U132" i="32"/>
  <c r="S132" i="32"/>
  <c r="P132" i="32"/>
  <c r="Q132" i="32" s="1"/>
  <c r="N132" i="32"/>
  <c r="O132" i="32" s="1"/>
  <c r="K132" i="32"/>
  <c r="L132" i="32" s="1"/>
  <c r="F132" i="32"/>
  <c r="G132" i="32" s="1"/>
  <c r="D132" i="32"/>
  <c r="E132" i="32" s="1"/>
  <c r="B132" i="32"/>
  <c r="A132" i="32"/>
  <c r="M132" i="32" s="1"/>
  <c r="U131" i="32"/>
  <c r="S131" i="32"/>
  <c r="P131" i="32"/>
  <c r="Q131" i="32" s="1"/>
  <c r="N131" i="32"/>
  <c r="O131" i="32" s="1"/>
  <c r="K131" i="32"/>
  <c r="L131" i="32" s="1"/>
  <c r="F131" i="32"/>
  <c r="G131" i="32" s="1"/>
  <c r="D131" i="32"/>
  <c r="E131" i="32" s="1"/>
  <c r="B131" i="32"/>
  <c r="A131" i="32"/>
  <c r="M131" i="32" s="1"/>
  <c r="Y130" i="32"/>
  <c r="Z130" i="32" s="1"/>
  <c r="W130" i="32"/>
  <c r="B130" i="32"/>
  <c r="A130" i="32"/>
  <c r="Y129" i="32"/>
  <c r="Z129" i="32" s="1"/>
  <c r="W129" i="32"/>
  <c r="B129" i="32"/>
  <c r="A129" i="32"/>
  <c r="Y128" i="32"/>
  <c r="Z128" i="32" s="1"/>
  <c r="W128" i="32"/>
  <c r="B128" i="32"/>
  <c r="A128" i="32"/>
  <c r="Y127" i="32"/>
  <c r="Z127" i="32" s="1"/>
  <c r="W127" i="32"/>
  <c r="K127" i="32"/>
  <c r="L127" i="32" s="1"/>
  <c r="B127" i="32"/>
  <c r="A127" i="32"/>
  <c r="Y126" i="32"/>
  <c r="Z126" i="32" s="1"/>
  <c r="W126" i="32"/>
  <c r="B126" i="32"/>
  <c r="A126" i="32"/>
  <c r="U125" i="32"/>
  <c r="S125" i="32"/>
  <c r="P125" i="32"/>
  <c r="Q125" i="32" s="1"/>
  <c r="N125" i="32"/>
  <c r="O125" i="32" s="1"/>
  <c r="K125" i="32"/>
  <c r="L125" i="32" s="1"/>
  <c r="F125" i="32"/>
  <c r="G125" i="32" s="1"/>
  <c r="D125" i="32"/>
  <c r="E125" i="32" s="1"/>
  <c r="B125" i="32"/>
  <c r="A125" i="32"/>
  <c r="M125" i="32" s="1"/>
  <c r="U124" i="32"/>
  <c r="S124" i="32"/>
  <c r="P124" i="32"/>
  <c r="Q124" i="32" s="1"/>
  <c r="N124" i="32"/>
  <c r="O124" i="32" s="1"/>
  <c r="K124" i="32"/>
  <c r="L124" i="32" s="1"/>
  <c r="F124" i="32"/>
  <c r="G124" i="32" s="1"/>
  <c r="D124" i="32"/>
  <c r="E124" i="32" s="1"/>
  <c r="B124" i="32"/>
  <c r="A124" i="32"/>
  <c r="M124" i="32" s="1"/>
  <c r="U123" i="32"/>
  <c r="S123" i="32"/>
  <c r="P123" i="32"/>
  <c r="Q123" i="32" s="1"/>
  <c r="N123" i="32"/>
  <c r="O123" i="32" s="1"/>
  <c r="K123" i="32"/>
  <c r="L123" i="32" s="1"/>
  <c r="F123" i="32"/>
  <c r="G123" i="32" s="1"/>
  <c r="D123" i="32"/>
  <c r="E123" i="32" s="1"/>
  <c r="B123" i="32"/>
  <c r="A123" i="32"/>
  <c r="M123" i="32" s="1"/>
  <c r="U122" i="32"/>
  <c r="S122" i="32"/>
  <c r="P122" i="32"/>
  <c r="Q122" i="32" s="1"/>
  <c r="N122" i="32"/>
  <c r="O122" i="32" s="1"/>
  <c r="K122" i="32"/>
  <c r="L122" i="32" s="1"/>
  <c r="F122" i="32"/>
  <c r="G122" i="32" s="1"/>
  <c r="D122" i="32"/>
  <c r="E122" i="32" s="1"/>
  <c r="B122" i="32"/>
  <c r="A122" i="32"/>
  <c r="M122" i="32" s="1"/>
  <c r="Y121" i="32"/>
  <c r="Z121" i="32" s="1"/>
  <c r="W121" i="32"/>
  <c r="B121" i="32"/>
  <c r="A121" i="32"/>
  <c r="Y120" i="32"/>
  <c r="Z120" i="32" s="1"/>
  <c r="W120" i="32"/>
  <c r="B120" i="32"/>
  <c r="A120" i="32"/>
  <c r="Y119" i="32"/>
  <c r="Z119" i="32" s="1"/>
  <c r="W119" i="32"/>
  <c r="B119" i="32"/>
  <c r="A119" i="32"/>
  <c r="Y118" i="32"/>
  <c r="Z118" i="32" s="1"/>
  <c r="W118" i="32"/>
  <c r="K118" i="32"/>
  <c r="L118" i="32" s="1"/>
  <c r="B118" i="32"/>
  <c r="A118" i="32"/>
  <c r="Y117" i="32"/>
  <c r="Z117" i="32" s="1"/>
  <c r="W117" i="32"/>
  <c r="B117" i="32"/>
  <c r="A117" i="32"/>
  <c r="U116" i="32"/>
  <c r="S116" i="32"/>
  <c r="P116" i="32"/>
  <c r="Q116" i="32" s="1"/>
  <c r="N116" i="32"/>
  <c r="O116" i="32" s="1"/>
  <c r="K116" i="32"/>
  <c r="L116" i="32" s="1"/>
  <c r="F116" i="32"/>
  <c r="G116" i="32" s="1"/>
  <c r="D116" i="32"/>
  <c r="E116" i="32" s="1"/>
  <c r="B116" i="32"/>
  <c r="A116" i="32"/>
  <c r="M116" i="32" s="1"/>
  <c r="U115" i="32"/>
  <c r="S115" i="32"/>
  <c r="P115" i="32"/>
  <c r="Q115" i="32" s="1"/>
  <c r="N115" i="32"/>
  <c r="O115" i="32" s="1"/>
  <c r="K115" i="32"/>
  <c r="L115" i="32" s="1"/>
  <c r="F115" i="32"/>
  <c r="G115" i="32" s="1"/>
  <c r="D115" i="32"/>
  <c r="E115" i="32" s="1"/>
  <c r="B115" i="32"/>
  <c r="A115" i="32"/>
  <c r="M115" i="32" s="1"/>
  <c r="U114" i="32"/>
  <c r="S114" i="32"/>
  <c r="P114" i="32"/>
  <c r="Q114" i="32" s="1"/>
  <c r="N114" i="32"/>
  <c r="O114" i="32" s="1"/>
  <c r="K114" i="32"/>
  <c r="L114" i="32" s="1"/>
  <c r="F114" i="32"/>
  <c r="G114" i="32" s="1"/>
  <c r="D114" i="32"/>
  <c r="E114" i="32" s="1"/>
  <c r="B114" i="32"/>
  <c r="A114" i="32"/>
  <c r="M114" i="32" s="1"/>
  <c r="U113" i="32"/>
  <c r="S113" i="32"/>
  <c r="P113" i="32"/>
  <c r="Q113" i="32" s="1"/>
  <c r="N113" i="32"/>
  <c r="O113" i="32" s="1"/>
  <c r="K113" i="32"/>
  <c r="L113" i="32" s="1"/>
  <c r="F113" i="32"/>
  <c r="G113" i="32" s="1"/>
  <c r="D113" i="32"/>
  <c r="E113" i="32" s="1"/>
  <c r="B113" i="32"/>
  <c r="A113" i="32"/>
  <c r="M113" i="32" s="1"/>
  <c r="Y112" i="32"/>
  <c r="Z112" i="32" s="1"/>
  <c r="W112" i="32"/>
  <c r="B112" i="32"/>
  <c r="A112" i="32"/>
  <c r="Y111" i="32"/>
  <c r="Z111" i="32" s="1"/>
  <c r="W111" i="32"/>
  <c r="B111" i="32"/>
  <c r="A111" i="32"/>
  <c r="Y110" i="32"/>
  <c r="Z110" i="32" s="1"/>
  <c r="W110" i="32"/>
  <c r="B110" i="32"/>
  <c r="A110" i="32"/>
  <c r="Y109" i="32"/>
  <c r="Z109" i="32" s="1"/>
  <c r="W109" i="32"/>
  <c r="K109" i="32"/>
  <c r="L109" i="32" s="1"/>
  <c r="B109" i="32"/>
  <c r="A109" i="32"/>
  <c r="Y108" i="32"/>
  <c r="Z108" i="32" s="1"/>
  <c r="W108" i="32"/>
  <c r="B108" i="32"/>
  <c r="A108" i="32"/>
  <c r="U107" i="32"/>
  <c r="S107" i="32"/>
  <c r="P107" i="32"/>
  <c r="Q107" i="32" s="1"/>
  <c r="N107" i="32"/>
  <c r="O107" i="32" s="1"/>
  <c r="K107" i="32"/>
  <c r="L107" i="32" s="1"/>
  <c r="F107" i="32"/>
  <c r="G107" i="32" s="1"/>
  <c r="D107" i="32"/>
  <c r="E107" i="32" s="1"/>
  <c r="B107" i="32"/>
  <c r="A107" i="32"/>
  <c r="M107" i="32" s="1"/>
  <c r="U106" i="32"/>
  <c r="S106" i="32"/>
  <c r="P106" i="32"/>
  <c r="Q106" i="32" s="1"/>
  <c r="N106" i="32"/>
  <c r="O106" i="32" s="1"/>
  <c r="K106" i="32"/>
  <c r="L106" i="32" s="1"/>
  <c r="F106" i="32"/>
  <c r="G106" i="32" s="1"/>
  <c r="D106" i="32"/>
  <c r="E106" i="32" s="1"/>
  <c r="B106" i="32"/>
  <c r="A106" i="32"/>
  <c r="M106" i="32" s="1"/>
  <c r="U105" i="32"/>
  <c r="S105" i="32"/>
  <c r="P105" i="32"/>
  <c r="Q105" i="32" s="1"/>
  <c r="N105" i="32"/>
  <c r="O105" i="32" s="1"/>
  <c r="K105" i="32"/>
  <c r="L105" i="32" s="1"/>
  <c r="F105" i="32"/>
  <c r="G105" i="32" s="1"/>
  <c r="D105" i="32"/>
  <c r="E105" i="32" s="1"/>
  <c r="B105" i="32"/>
  <c r="A105" i="32"/>
  <c r="M105" i="32" s="1"/>
  <c r="U104" i="32"/>
  <c r="S104" i="32"/>
  <c r="P104" i="32"/>
  <c r="Q104" i="32" s="1"/>
  <c r="N104" i="32"/>
  <c r="O104" i="32" s="1"/>
  <c r="K104" i="32"/>
  <c r="L104" i="32" s="1"/>
  <c r="F104" i="32"/>
  <c r="G104" i="32" s="1"/>
  <c r="D104" i="32"/>
  <c r="E104" i="32" s="1"/>
  <c r="B104" i="32"/>
  <c r="A104" i="32"/>
  <c r="M104" i="32" s="1"/>
  <c r="Y103" i="32"/>
  <c r="Z103" i="32" s="1"/>
  <c r="W103" i="32"/>
  <c r="B103" i="32"/>
  <c r="A103" i="32"/>
  <c r="Y102" i="32"/>
  <c r="Z102" i="32" s="1"/>
  <c r="W102" i="32"/>
  <c r="X102" i="32" s="1"/>
  <c r="B102" i="32"/>
  <c r="A102" i="32"/>
  <c r="Y101" i="32"/>
  <c r="Z101" i="32" s="1"/>
  <c r="W101" i="32"/>
  <c r="X101" i="32" s="1"/>
  <c r="B101" i="32"/>
  <c r="A101" i="32"/>
  <c r="Y100" i="32"/>
  <c r="Z100" i="32" s="1"/>
  <c r="W100" i="32"/>
  <c r="X100" i="32" s="1"/>
  <c r="K100" i="32"/>
  <c r="L100" i="32" s="1"/>
  <c r="B100" i="32"/>
  <c r="A100" i="32"/>
  <c r="Y99" i="32"/>
  <c r="Z99" i="32" s="1"/>
  <c r="W99" i="32"/>
  <c r="X99" i="32" s="1"/>
  <c r="B99" i="32"/>
  <c r="A99" i="32"/>
  <c r="U98" i="32"/>
  <c r="S98" i="32"/>
  <c r="P98" i="32"/>
  <c r="Q98" i="32" s="1"/>
  <c r="N98" i="32"/>
  <c r="O98" i="32" s="1"/>
  <c r="K98" i="32"/>
  <c r="L98" i="32" s="1"/>
  <c r="F98" i="32"/>
  <c r="G98" i="32" s="1"/>
  <c r="D98" i="32"/>
  <c r="E98" i="32" s="1"/>
  <c r="B98" i="32"/>
  <c r="A98" i="32"/>
  <c r="M98" i="32" s="1"/>
  <c r="U97" i="32"/>
  <c r="S97" i="32"/>
  <c r="P97" i="32"/>
  <c r="Q97" i="32" s="1"/>
  <c r="N97" i="32"/>
  <c r="O97" i="32" s="1"/>
  <c r="K97" i="32"/>
  <c r="L97" i="32" s="1"/>
  <c r="F97" i="32"/>
  <c r="G97" i="32" s="1"/>
  <c r="D97" i="32"/>
  <c r="E97" i="32" s="1"/>
  <c r="B97" i="32"/>
  <c r="A97" i="32"/>
  <c r="M97" i="32" s="1"/>
  <c r="U96" i="32"/>
  <c r="S96" i="32"/>
  <c r="P96" i="32"/>
  <c r="Q96" i="32" s="1"/>
  <c r="N96" i="32"/>
  <c r="O96" i="32" s="1"/>
  <c r="K96" i="32"/>
  <c r="L96" i="32" s="1"/>
  <c r="F96" i="32"/>
  <c r="G96" i="32" s="1"/>
  <c r="D96" i="32"/>
  <c r="E96" i="32" s="1"/>
  <c r="B96" i="32"/>
  <c r="A96" i="32"/>
  <c r="M96" i="32" s="1"/>
  <c r="U95" i="32"/>
  <c r="S95" i="32"/>
  <c r="P95" i="32"/>
  <c r="Q95" i="32" s="1"/>
  <c r="N95" i="32"/>
  <c r="O95" i="32" s="1"/>
  <c r="K95" i="32"/>
  <c r="L95" i="32" s="1"/>
  <c r="F95" i="32"/>
  <c r="G95" i="32" s="1"/>
  <c r="D95" i="32"/>
  <c r="E95" i="32" s="1"/>
  <c r="B95" i="32"/>
  <c r="A95" i="32"/>
  <c r="M95" i="32" s="1"/>
  <c r="AE94" i="32"/>
  <c r="Y94" i="32"/>
  <c r="Z94" i="32" s="1"/>
  <c r="W94" i="32"/>
  <c r="B94" i="32"/>
  <c r="A94" i="32"/>
  <c r="AE93" i="32"/>
  <c r="Y93" i="32"/>
  <c r="Z93" i="32" s="1"/>
  <c r="W93" i="32"/>
  <c r="X93" i="32" s="1"/>
  <c r="B93" i="32"/>
  <c r="A93" i="32"/>
  <c r="AE92" i="32"/>
  <c r="Y92" i="32"/>
  <c r="Z92" i="32" s="1"/>
  <c r="W92" i="32"/>
  <c r="B92" i="32"/>
  <c r="A92" i="32"/>
  <c r="AE91" i="32"/>
  <c r="Y91" i="32"/>
  <c r="Z91" i="32" s="1"/>
  <c r="W91" i="32"/>
  <c r="X91" i="32" s="1"/>
  <c r="K91" i="32"/>
  <c r="L91" i="32" s="1"/>
  <c r="B91" i="32"/>
  <c r="A91" i="32"/>
  <c r="AE90" i="32"/>
  <c r="Y90" i="32"/>
  <c r="Z90" i="32" s="1"/>
  <c r="W90" i="32"/>
  <c r="X90" i="32" s="1"/>
  <c r="B90" i="32"/>
  <c r="A90" i="32"/>
  <c r="AE89" i="32"/>
  <c r="U89" i="32"/>
  <c r="S89" i="32"/>
  <c r="P89" i="32"/>
  <c r="Q89" i="32" s="1"/>
  <c r="N89" i="32"/>
  <c r="O89" i="32" s="1"/>
  <c r="K89" i="32"/>
  <c r="L89" i="32" s="1"/>
  <c r="F89" i="32"/>
  <c r="G89" i="32" s="1"/>
  <c r="D89" i="32"/>
  <c r="E89" i="32" s="1"/>
  <c r="B89" i="32"/>
  <c r="A89" i="32"/>
  <c r="M89" i="32" s="1"/>
  <c r="AE88" i="32"/>
  <c r="U88" i="32"/>
  <c r="S88" i="32"/>
  <c r="P88" i="32"/>
  <c r="Q88" i="32" s="1"/>
  <c r="N88" i="32"/>
  <c r="O88" i="32" s="1"/>
  <c r="K88" i="32"/>
  <c r="L88" i="32" s="1"/>
  <c r="F88" i="32"/>
  <c r="G88" i="32" s="1"/>
  <c r="D88" i="32"/>
  <c r="E88" i="32" s="1"/>
  <c r="B88" i="32"/>
  <c r="A88" i="32"/>
  <c r="M88" i="32" s="1"/>
  <c r="AE87" i="32"/>
  <c r="U87" i="32"/>
  <c r="S87" i="32"/>
  <c r="P87" i="32"/>
  <c r="Q87" i="32" s="1"/>
  <c r="N87" i="32"/>
  <c r="O87" i="32" s="1"/>
  <c r="K87" i="32"/>
  <c r="L87" i="32" s="1"/>
  <c r="F87" i="32"/>
  <c r="G87" i="32" s="1"/>
  <c r="D87" i="32"/>
  <c r="E87" i="32" s="1"/>
  <c r="B87" i="32"/>
  <c r="A87" i="32"/>
  <c r="M87" i="32" s="1"/>
  <c r="AE86" i="32"/>
  <c r="U86" i="32"/>
  <c r="S86" i="32"/>
  <c r="P86" i="32"/>
  <c r="Q86" i="32" s="1"/>
  <c r="N86" i="32"/>
  <c r="O86" i="32" s="1"/>
  <c r="K86" i="32"/>
  <c r="L86" i="32" s="1"/>
  <c r="F86" i="32"/>
  <c r="G86" i="32" s="1"/>
  <c r="D86" i="32"/>
  <c r="E86" i="32" s="1"/>
  <c r="B86" i="32"/>
  <c r="A86" i="32"/>
  <c r="M86" i="32" s="1"/>
  <c r="AE85" i="32"/>
  <c r="Y85" i="32"/>
  <c r="Z85" i="32" s="1"/>
  <c r="W85" i="32"/>
  <c r="X85" i="32" s="1"/>
  <c r="B85" i="32"/>
  <c r="A85" i="32"/>
  <c r="AE84" i="32"/>
  <c r="Y84" i="32"/>
  <c r="Z84" i="32" s="1"/>
  <c r="W84" i="32"/>
  <c r="B84" i="32"/>
  <c r="A84" i="32"/>
  <c r="AE83" i="32"/>
  <c r="Y83" i="32"/>
  <c r="Z83" i="32" s="1"/>
  <c r="W83" i="32"/>
  <c r="X83" i="32" s="1"/>
  <c r="B83" i="32"/>
  <c r="A83" i="32"/>
  <c r="AE82" i="32"/>
  <c r="Y82" i="32"/>
  <c r="Z82" i="32" s="1"/>
  <c r="W82" i="32"/>
  <c r="X82" i="32" s="1"/>
  <c r="K82" i="32"/>
  <c r="L82" i="32" s="1"/>
  <c r="B82" i="32"/>
  <c r="A82" i="32"/>
  <c r="AE81" i="32"/>
  <c r="Y81" i="32"/>
  <c r="Z81" i="32" s="1"/>
  <c r="W81" i="32"/>
  <c r="B81" i="32"/>
  <c r="A81" i="32"/>
  <c r="AE80" i="32"/>
  <c r="U80" i="32"/>
  <c r="S80" i="32"/>
  <c r="P80" i="32"/>
  <c r="Q80" i="32" s="1"/>
  <c r="N80" i="32"/>
  <c r="O80" i="32" s="1"/>
  <c r="K80" i="32"/>
  <c r="L80" i="32" s="1"/>
  <c r="F80" i="32"/>
  <c r="G80" i="32" s="1"/>
  <c r="D80" i="32"/>
  <c r="E80" i="32" s="1"/>
  <c r="B80" i="32"/>
  <c r="A80" i="32"/>
  <c r="M80" i="32" s="1"/>
  <c r="AE79" i="32"/>
  <c r="U79" i="32"/>
  <c r="S79" i="32"/>
  <c r="P79" i="32"/>
  <c r="Q79" i="32" s="1"/>
  <c r="N79" i="32"/>
  <c r="O79" i="32" s="1"/>
  <c r="K79" i="32"/>
  <c r="L79" i="32" s="1"/>
  <c r="F79" i="32"/>
  <c r="G79" i="32" s="1"/>
  <c r="D79" i="32"/>
  <c r="E79" i="32" s="1"/>
  <c r="B79" i="32"/>
  <c r="A79" i="32"/>
  <c r="M79" i="32" s="1"/>
  <c r="AE78" i="32"/>
  <c r="U78" i="32"/>
  <c r="S78" i="32"/>
  <c r="P78" i="32"/>
  <c r="Q78" i="32" s="1"/>
  <c r="N78" i="32"/>
  <c r="O78" i="32" s="1"/>
  <c r="K78" i="32"/>
  <c r="L78" i="32" s="1"/>
  <c r="F78" i="32"/>
  <c r="G78" i="32" s="1"/>
  <c r="D78" i="32"/>
  <c r="E78" i="32" s="1"/>
  <c r="B78" i="32"/>
  <c r="A78" i="32"/>
  <c r="M78" i="32" s="1"/>
  <c r="AE77" i="32"/>
  <c r="U77" i="32"/>
  <c r="S77" i="32"/>
  <c r="P77" i="32"/>
  <c r="Q77" i="32" s="1"/>
  <c r="N77" i="32"/>
  <c r="O77" i="32" s="1"/>
  <c r="K77" i="32"/>
  <c r="L77" i="32" s="1"/>
  <c r="F77" i="32"/>
  <c r="G77" i="32" s="1"/>
  <c r="D77" i="32"/>
  <c r="E77" i="32" s="1"/>
  <c r="B77" i="32"/>
  <c r="A77" i="32"/>
  <c r="M77" i="32" s="1"/>
  <c r="AE76" i="32"/>
  <c r="Y76" i="32"/>
  <c r="Z76" i="32" s="1"/>
  <c r="W76" i="32"/>
  <c r="B76" i="32"/>
  <c r="A76" i="32"/>
  <c r="AE75" i="32"/>
  <c r="Y75" i="32"/>
  <c r="Z75" i="32" s="1"/>
  <c r="W75" i="32"/>
  <c r="X75" i="32" s="1"/>
  <c r="B75" i="32"/>
  <c r="A75" i="32"/>
  <c r="AE74" i="32"/>
  <c r="Y74" i="32"/>
  <c r="Z74" i="32" s="1"/>
  <c r="W74" i="32"/>
  <c r="B74" i="32"/>
  <c r="A74" i="32"/>
  <c r="AE73" i="32"/>
  <c r="Y73" i="32"/>
  <c r="Z73" i="32" s="1"/>
  <c r="W73" i="32"/>
  <c r="X73" i="32" s="1"/>
  <c r="K73" i="32"/>
  <c r="L73" i="32" s="1"/>
  <c r="B73" i="32"/>
  <c r="A73" i="32"/>
  <c r="AE72" i="32"/>
  <c r="Y72" i="32"/>
  <c r="Z72" i="32" s="1"/>
  <c r="W72" i="32"/>
  <c r="B72" i="32"/>
  <c r="A72" i="32"/>
  <c r="AE71" i="32"/>
  <c r="U71" i="32"/>
  <c r="S71" i="32"/>
  <c r="P71" i="32"/>
  <c r="Q71" i="32" s="1"/>
  <c r="N71" i="32"/>
  <c r="O71" i="32" s="1"/>
  <c r="K71" i="32"/>
  <c r="L71" i="32" s="1"/>
  <c r="F71" i="32"/>
  <c r="G71" i="32" s="1"/>
  <c r="D71" i="32"/>
  <c r="E71" i="32" s="1"/>
  <c r="B71" i="32"/>
  <c r="A71" i="32"/>
  <c r="M71" i="32" s="1"/>
  <c r="AE70" i="32"/>
  <c r="U70" i="32"/>
  <c r="S70" i="32"/>
  <c r="P70" i="32"/>
  <c r="Q70" i="32" s="1"/>
  <c r="N70" i="32"/>
  <c r="O70" i="32" s="1"/>
  <c r="K70" i="32"/>
  <c r="L70" i="32" s="1"/>
  <c r="F70" i="32"/>
  <c r="G70" i="32" s="1"/>
  <c r="D70" i="32"/>
  <c r="E70" i="32" s="1"/>
  <c r="B70" i="32"/>
  <c r="A70" i="32"/>
  <c r="M70" i="32" s="1"/>
  <c r="AE69" i="32"/>
  <c r="U69" i="32"/>
  <c r="S69" i="32"/>
  <c r="P69" i="32"/>
  <c r="Q69" i="32" s="1"/>
  <c r="N69" i="32"/>
  <c r="O69" i="32" s="1"/>
  <c r="K69" i="32"/>
  <c r="L69" i="32" s="1"/>
  <c r="F69" i="32"/>
  <c r="G69" i="32" s="1"/>
  <c r="D69" i="32"/>
  <c r="E69" i="32" s="1"/>
  <c r="B69" i="32"/>
  <c r="A69" i="32"/>
  <c r="M69" i="32" s="1"/>
  <c r="AE68" i="32"/>
  <c r="U68" i="32"/>
  <c r="S68" i="32"/>
  <c r="P68" i="32"/>
  <c r="Q68" i="32" s="1"/>
  <c r="N68" i="32"/>
  <c r="O68" i="32" s="1"/>
  <c r="K68" i="32"/>
  <c r="L68" i="32" s="1"/>
  <c r="F68" i="32"/>
  <c r="G68" i="32" s="1"/>
  <c r="D68" i="32"/>
  <c r="E68" i="32" s="1"/>
  <c r="B68" i="32"/>
  <c r="A68" i="32"/>
  <c r="M68" i="32" s="1"/>
  <c r="AE67" i="32"/>
  <c r="Y67" i="32"/>
  <c r="Z67" i="32" s="1"/>
  <c r="W67" i="32"/>
  <c r="X67" i="32" s="1"/>
  <c r="B67" i="32"/>
  <c r="A67" i="32"/>
  <c r="AE66" i="32"/>
  <c r="Y66" i="32"/>
  <c r="Z66" i="32" s="1"/>
  <c r="W66" i="32"/>
  <c r="X66" i="32" s="1"/>
  <c r="B66" i="32"/>
  <c r="A66" i="32"/>
  <c r="AE65" i="32"/>
  <c r="Y65" i="32"/>
  <c r="Z65" i="32" s="1"/>
  <c r="W65" i="32"/>
  <c r="B65" i="32"/>
  <c r="A65" i="32"/>
  <c r="AE64" i="32"/>
  <c r="Y64" i="32"/>
  <c r="Z64" i="32" s="1"/>
  <c r="W64" i="32"/>
  <c r="K64" i="32"/>
  <c r="L64" i="32" s="1"/>
  <c r="B64" i="32"/>
  <c r="A64" i="32"/>
  <c r="AE63" i="32"/>
  <c r="Y63" i="32"/>
  <c r="Z63" i="32" s="1"/>
  <c r="W63" i="32"/>
  <c r="B63" i="32"/>
  <c r="A63" i="32"/>
  <c r="AE62" i="32"/>
  <c r="U62" i="32"/>
  <c r="S62" i="32"/>
  <c r="P62" i="32"/>
  <c r="Q62" i="32" s="1"/>
  <c r="N62" i="32"/>
  <c r="O62" i="32" s="1"/>
  <c r="K62" i="32"/>
  <c r="L62" i="32" s="1"/>
  <c r="F62" i="32"/>
  <c r="G62" i="32" s="1"/>
  <c r="D62" i="32"/>
  <c r="E62" i="32" s="1"/>
  <c r="B62" i="32"/>
  <c r="A62" i="32"/>
  <c r="M62" i="32" s="1"/>
  <c r="AE61" i="32"/>
  <c r="U61" i="32"/>
  <c r="S61" i="32"/>
  <c r="P61" i="32"/>
  <c r="Q61" i="32" s="1"/>
  <c r="N61" i="32"/>
  <c r="O61" i="32" s="1"/>
  <c r="K61" i="32"/>
  <c r="L61" i="32" s="1"/>
  <c r="F61" i="32"/>
  <c r="G61" i="32" s="1"/>
  <c r="D61" i="32"/>
  <c r="E61" i="32" s="1"/>
  <c r="B61" i="32"/>
  <c r="A61" i="32"/>
  <c r="M61" i="32" s="1"/>
  <c r="AE60" i="32"/>
  <c r="U60" i="32"/>
  <c r="S60" i="32"/>
  <c r="P60" i="32"/>
  <c r="Q60" i="32" s="1"/>
  <c r="N60" i="32"/>
  <c r="O60" i="32" s="1"/>
  <c r="K60" i="32"/>
  <c r="L60" i="32" s="1"/>
  <c r="F60" i="32"/>
  <c r="G60" i="32" s="1"/>
  <c r="D60" i="32"/>
  <c r="E60" i="32" s="1"/>
  <c r="B60" i="32"/>
  <c r="A60" i="32"/>
  <c r="M60" i="32" s="1"/>
  <c r="AE59" i="32"/>
  <c r="U59" i="32"/>
  <c r="S59" i="32"/>
  <c r="P59" i="32"/>
  <c r="Q59" i="32" s="1"/>
  <c r="N59" i="32"/>
  <c r="O59" i="32" s="1"/>
  <c r="K59" i="32"/>
  <c r="L59" i="32" s="1"/>
  <c r="F59" i="32"/>
  <c r="G59" i="32" s="1"/>
  <c r="D59" i="32"/>
  <c r="E59" i="32" s="1"/>
  <c r="B59" i="32"/>
  <c r="A59" i="32"/>
  <c r="M59" i="32" s="1"/>
  <c r="AE58" i="32"/>
  <c r="Y58" i="32"/>
  <c r="Z58" i="32" s="1"/>
  <c r="W58" i="32"/>
  <c r="B58" i="32"/>
  <c r="A58" i="32"/>
  <c r="AE57" i="32"/>
  <c r="Y57" i="32"/>
  <c r="Z57" i="32" s="1"/>
  <c r="W57" i="32"/>
  <c r="X57" i="32" s="1"/>
  <c r="B57" i="32"/>
  <c r="A57" i="32"/>
  <c r="AE56" i="32"/>
  <c r="Y56" i="32"/>
  <c r="Z56" i="32" s="1"/>
  <c r="W56" i="32"/>
  <c r="B56" i="32"/>
  <c r="A56" i="32"/>
  <c r="AE55" i="32"/>
  <c r="Y55" i="32"/>
  <c r="Z55" i="32" s="1"/>
  <c r="W55" i="32"/>
  <c r="X55" i="32" s="1"/>
  <c r="K55" i="32"/>
  <c r="L55" i="32" s="1"/>
  <c r="B55" i="32"/>
  <c r="A55" i="32"/>
  <c r="AE54" i="32"/>
  <c r="Y54" i="32"/>
  <c r="Z54" i="32" s="1"/>
  <c r="W54" i="32"/>
  <c r="X54" i="32" s="1"/>
  <c r="B54" i="32"/>
  <c r="A54" i="32"/>
  <c r="AE53" i="32"/>
  <c r="U53" i="32"/>
  <c r="S53" i="32"/>
  <c r="P53" i="32"/>
  <c r="Q53" i="32" s="1"/>
  <c r="N53" i="32"/>
  <c r="O53" i="32" s="1"/>
  <c r="K53" i="32"/>
  <c r="L53" i="32" s="1"/>
  <c r="F53" i="32"/>
  <c r="G53" i="32" s="1"/>
  <c r="D53" i="32"/>
  <c r="E53" i="32" s="1"/>
  <c r="B53" i="32"/>
  <c r="A53" i="32"/>
  <c r="M53" i="32" s="1"/>
  <c r="AE52" i="32"/>
  <c r="U52" i="32"/>
  <c r="S52" i="32"/>
  <c r="P52" i="32"/>
  <c r="Q52" i="32" s="1"/>
  <c r="N52" i="32"/>
  <c r="O52" i="32" s="1"/>
  <c r="K52" i="32"/>
  <c r="L52" i="32" s="1"/>
  <c r="F52" i="32"/>
  <c r="G52" i="32" s="1"/>
  <c r="D52" i="32"/>
  <c r="E52" i="32" s="1"/>
  <c r="B52" i="32"/>
  <c r="A52" i="32"/>
  <c r="M52" i="32" s="1"/>
  <c r="AE51" i="32"/>
  <c r="U51" i="32"/>
  <c r="S51" i="32"/>
  <c r="P51" i="32"/>
  <c r="Q51" i="32" s="1"/>
  <c r="N51" i="32"/>
  <c r="O51" i="32" s="1"/>
  <c r="K51" i="32"/>
  <c r="L51" i="32" s="1"/>
  <c r="F51" i="32"/>
  <c r="G51" i="32" s="1"/>
  <c r="D51" i="32"/>
  <c r="E51" i="32" s="1"/>
  <c r="B51" i="32"/>
  <c r="A51" i="32"/>
  <c r="M51" i="32" s="1"/>
  <c r="AE50" i="32"/>
  <c r="U50" i="32"/>
  <c r="S50" i="32"/>
  <c r="P50" i="32"/>
  <c r="Q50" i="32" s="1"/>
  <c r="N50" i="32"/>
  <c r="O50" i="32" s="1"/>
  <c r="K50" i="32"/>
  <c r="L50" i="32" s="1"/>
  <c r="F50" i="32"/>
  <c r="G50" i="32" s="1"/>
  <c r="D50" i="32"/>
  <c r="E50" i="32" s="1"/>
  <c r="B50" i="32"/>
  <c r="A50" i="32"/>
  <c r="M50" i="32" s="1"/>
  <c r="AE49" i="32"/>
  <c r="Y49" i="32"/>
  <c r="Z49" i="32" s="1"/>
  <c r="W49" i="32"/>
  <c r="B49" i="32"/>
  <c r="A49" i="32"/>
  <c r="AE48" i="32"/>
  <c r="Y48" i="32"/>
  <c r="Z48" i="32" s="1"/>
  <c r="W48" i="32"/>
  <c r="B48" i="32"/>
  <c r="A48" i="32"/>
  <c r="AE47" i="32"/>
  <c r="Y47" i="32"/>
  <c r="Z47" i="32" s="1"/>
  <c r="W47" i="32"/>
  <c r="X47" i="32" s="1"/>
  <c r="B47" i="32"/>
  <c r="A47" i="32"/>
  <c r="AE46" i="32"/>
  <c r="Y46" i="32"/>
  <c r="Z46" i="32" s="1"/>
  <c r="W46" i="32"/>
  <c r="X46" i="32" s="1"/>
  <c r="K46" i="32"/>
  <c r="L46" i="32" s="1"/>
  <c r="B46" i="32"/>
  <c r="A46" i="32"/>
  <c r="AE45" i="32"/>
  <c r="Y45" i="32"/>
  <c r="Z45" i="32" s="1"/>
  <c r="W45" i="32"/>
  <c r="B45" i="32"/>
  <c r="A45" i="32"/>
  <c r="AE44" i="32"/>
  <c r="U44" i="32"/>
  <c r="S44" i="32"/>
  <c r="P44" i="32"/>
  <c r="Q44" i="32" s="1"/>
  <c r="N44" i="32"/>
  <c r="O44" i="32" s="1"/>
  <c r="K44" i="32"/>
  <c r="L44" i="32" s="1"/>
  <c r="F44" i="32"/>
  <c r="G44" i="32" s="1"/>
  <c r="D44" i="32"/>
  <c r="E44" i="32" s="1"/>
  <c r="B44" i="32"/>
  <c r="A44" i="32"/>
  <c r="M44" i="32" s="1"/>
  <c r="AE43" i="32"/>
  <c r="U43" i="32"/>
  <c r="S43" i="32"/>
  <c r="P43" i="32"/>
  <c r="Q43" i="32" s="1"/>
  <c r="N43" i="32"/>
  <c r="O43" i="32" s="1"/>
  <c r="K43" i="32"/>
  <c r="L43" i="32" s="1"/>
  <c r="F43" i="32"/>
  <c r="G43" i="32" s="1"/>
  <c r="D43" i="32"/>
  <c r="E43" i="32" s="1"/>
  <c r="B43" i="32"/>
  <c r="A43" i="32"/>
  <c r="M43" i="32" s="1"/>
  <c r="AE42" i="32"/>
  <c r="U42" i="32"/>
  <c r="S42" i="32"/>
  <c r="P42" i="32"/>
  <c r="Q42" i="32" s="1"/>
  <c r="N42" i="32"/>
  <c r="O42" i="32" s="1"/>
  <c r="K42" i="32"/>
  <c r="L42" i="32" s="1"/>
  <c r="F42" i="32"/>
  <c r="G42" i="32" s="1"/>
  <c r="D42" i="32"/>
  <c r="E42" i="32" s="1"/>
  <c r="B42" i="32"/>
  <c r="A42" i="32"/>
  <c r="M42" i="32" s="1"/>
  <c r="AE41" i="32"/>
  <c r="U41" i="32"/>
  <c r="S41" i="32"/>
  <c r="P41" i="32"/>
  <c r="Q41" i="32" s="1"/>
  <c r="N41" i="32"/>
  <c r="O41" i="32" s="1"/>
  <c r="K41" i="32"/>
  <c r="L41" i="32" s="1"/>
  <c r="F41" i="32"/>
  <c r="G41" i="32" s="1"/>
  <c r="D41" i="32"/>
  <c r="E41" i="32" s="1"/>
  <c r="B41" i="32"/>
  <c r="A41" i="32"/>
  <c r="M41" i="32" s="1"/>
  <c r="AE40" i="32"/>
  <c r="Y40" i="32"/>
  <c r="Z40" i="32" s="1"/>
  <c r="W40" i="32"/>
  <c r="B40" i="32"/>
  <c r="A40" i="32"/>
  <c r="AE39" i="32"/>
  <c r="Y39" i="32"/>
  <c r="Z39" i="32" s="1"/>
  <c r="W39" i="32"/>
  <c r="X39" i="32" s="1"/>
  <c r="B39" i="32"/>
  <c r="A39" i="32"/>
  <c r="AE38" i="32"/>
  <c r="Y38" i="32"/>
  <c r="Z38" i="32" s="1"/>
  <c r="W38" i="32"/>
  <c r="B38" i="32"/>
  <c r="A38" i="32"/>
  <c r="AE37" i="32"/>
  <c r="Y37" i="32"/>
  <c r="Z37" i="32" s="1"/>
  <c r="W37" i="32"/>
  <c r="X37" i="32" s="1"/>
  <c r="K37" i="32"/>
  <c r="L37" i="32" s="1"/>
  <c r="B37" i="32"/>
  <c r="A37" i="32"/>
  <c r="AE36" i="32"/>
  <c r="Y36" i="32"/>
  <c r="Z36" i="32" s="1"/>
  <c r="W36" i="32"/>
  <c r="B36" i="32"/>
  <c r="A36" i="32"/>
  <c r="AE35" i="32"/>
  <c r="U35" i="32"/>
  <c r="S35" i="32"/>
  <c r="P35" i="32"/>
  <c r="Q35" i="32" s="1"/>
  <c r="N35" i="32"/>
  <c r="O35" i="32" s="1"/>
  <c r="K35" i="32"/>
  <c r="L35" i="32" s="1"/>
  <c r="F35" i="32"/>
  <c r="G35" i="32" s="1"/>
  <c r="D35" i="32"/>
  <c r="E35" i="32" s="1"/>
  <c r="B35" i="32"/>
  <c r="A35" i="32"/>
  <c r="M35" i="32" s="1"/>
  <c r="AE34" i="32"/>
  <c r="U34" i="32"/>
  <c r="S34" i="32"/>
  <c r="P34" i="32"/>
  <c r="Q34" i="32" s="1"/>
  <c r="N34" i="32"/>
  <c r="O34" i="32" s="1"/>
  <c r="K34" i="32"/>
  <c r="L34" i="32" s="1"/>
  <c r="F34" i="32"/>
  <c r="G34" i="32" s="1"/>
  <c r="D34" i="32"/>
  <c r="E34" i="32" s="1"/>
  <c r="B34" i="32"/>
  <c r="A34" i="32"/>
  <c r="M34" i="32" s="1"/>
  <c r="AE33" i="32"/>
  <c r="U33" i="32"/>
  <c r="S33" i="32"/>
  <c r="P33" i="32"/>
  <c r="Q33" i="32" s="1"/>
  <c r="N33" i="32"/>
  <c r="O33" i="32" s="1"/>
  <c r="K33" i="32"/>
  <c r="L33" i="32" s="1"/>
  <c r="F33" i="32"/>
  <c r="G33" i="32" s="1"/>
  <c r="D33" i="32"/>
  <c r="E33" i="32" s="1"/>
  <c r="B33" i="32"/>
  <c r="A33" i="32"/>
  <c r="M33" i="32" s="1"/>
  <c r="AE32" i="32"/>
  <c r="U32" i="32"/>
  <c r="S32" i="32"/>
  <c r="P32" i="32"/>
  <c r="Q32" i="32" s="1"/>
  <c r="N32" i="32"/>
  <c r="O32" i="32" s="1"/>
  <c r="K32" i="32"/>
  <c r="L32" i="32" s="1"/>
  <c r="F32" i="32"/>
  <c r="G32" i="32" s="1"/>
  <c r="D32" i="32"/>
  <c r="E32" i="32" s="1"/>
  <c r="B32" i="32"/>
  <c r="A32" i="32"/>
  <c r="M32" i="32" s="1"/>
  <c r="AE31" i="32"/>
  <c r="Y31" i="32"/>
  <c r="Z31" i="32" s="1"/>
  <c r="W31" i="32"/>
  <c r="B31" i="32"/>
  <c r="A31" i="32"/>
  <c r="AE30" i="32"/>
  <c r="Y30" i="32"/>
  <c r="Z30" i="32" s="1"/>
  <c r="W30" i="32"/>
  <c r="B30" i="32"/>
  <c r="A30" i="32"/>
  <c r="AE29" i="32"/>
  <c r="Y29" i="32"/>
  <c r="Z29" i="32" s="1"/>
  <c r="W29" i="32"/>
  <c r="X29" i="32" s="1"/>
  <c r="B29" i="32"/>
  <c r="A29" i="32"/>
  <c r="AE28" i="32"/>
  <c r="Y28" i="32"/>
  <c r="Z28" i="32" s="1"/>
  <c r="W28" i="32"/>
  <c r="K28" i="32"/>
  <c r="L28" i="32" s="1"/>
  <c r="B28" i="32"/>
  <c r="A28" i="32"/>
  <c r="AE27" i="32"/>
  <c r="Y27" i="32"/>
  <c r="Z27" i="32" s="1"/>
  <c r="W27" i="32"/>
  <c r="B27" i="32"/>
  <c r="A27" i="32"/>
  <c r="AE26" i="32"/>
  <c r="U26" i="32"/>
  <c r="S26" i="32"/>
  <c r="P26" i="32"/>
  <c r="Q26" i="32" s="1"/>
  <c r="N26" i="32"/>
  <c r="O26" i="32" s="1"/>
  <c r="K26" i="32"/>
  <c r="L26" i="32" s="1"/>
  <c r="F26" i="32"/>
  <c r="G26" i="32" s="1"/>
  <c r="D26" i="32"/>
  <c r="E26" i="32" s="1"/>
  <c r="B26" i="32"/>
  <c r="A26" i="32"/>
  <c r="M26" i="32" s="1"/>
  <c r="AE25" i="32"/>
  <c r="U25" i="32"/>
  <c r="S25" i="32"/>
  <c r="P25" i="32"/>
  <c r="Q25" i="32" s="1"/>
  <c r="N25" i="32"/>
  <c r="O25" i="32" s="1"/>
  <c r="K25" i="32"/>
  <c r="L25" i="32" s="1"/>
  <c r="F25" i="32"/>
  <c r="G25" i="32" s="1"/>
  <c r="D25" i="32"/>
  <c r="E25" i="32" s="1"/>
  <c r="B25" i="32"/>
  <c r="A25" i="32"/>
  <c r="M25" i="32" s="1"/>
  <c r="AE24" i="32"/>
  <c r="U24" i="32"/>
  <c r="S24" i="32"/>
  <c r="P24" i="32"/>
  <c r="Q24" i="32" s="1"/>
  <c r="N24" i="32"/>
  <c r="O24" i="32" s="1"/>
  <c r="K24" i="32"/>
  <c r="L24" i="32" s="1"/>
  <c r="F24" i="32"/>
  <c r="G24" i="32" s="1"/>
  <c r="D24" i="32"/>
  <c r="E24" i="32" s="1"/>
  <c r="B24" i="32"/>
  <c r="A24" i="32"/>
  <c r="M24" i="32" s="1"/>
  <c r="AE23" i="32"/>
  <c r="U23" i="32"/>
  <c r="S23" i="32"/>
  <c r="P23" i="32"/>
  <c r="Q23" i="32" s="1"/>
  <c r="N23" i="32"/>
  <c r="O23" i="32" s="1"/>
  <c r="K23" i="32"/>
  <c r="L23" i="32" s="1"/>
  <c r="F23" i="32"/>
  <c r="G23" i="32" s="1"/>
  <c r="D23" i="32"/>
  <c r="E23" i="32" s="1"/>
  <c r="B23" i="32"/>
  <c r="A23" i="32"/>
  <c r="M23" i="32" s="1"/>
  <c r="AE22" i="32"/>
  <c r="Y22" i="32"/>
  <c r="Z22" i="32" s="1"/>
  <c r="W22" i="32"/>
  <c r="X22" i="32" s="1"/>
  <c r="B22" i="32"/>
  <c r="A22" i="32"/>
  <c r="AE21" i="32"/>
  <c r="Y21" i="32"/>
  <c r="Z21" i="32" s="1"/>
  <c r="W21" i="32"/>
  <c r="X21" i="32" s="1"/>
  <c r="B21" i="32"/>
  <c r="A21" i="32"/>
  <c r="AE20" i="32"/>
  <c r="Y20" i="32"/>
  <c r="Z20" i="32" s="1"/>
  <c r="W20" i="32"/>
  <c r="X20" i="32" s="1"/>
  <c r="B20" i="32"/>
  <c r="A20" i="32"/>
  <c r="AE19" i="32"/>
  <c r="Y19" i="32"/>
  <c r="Z19" i="32" s="1"/>
  <c r="W19" i="32"/>
  <c r="X19" i="32" s="1"/>
  <c r="K19" i="32"/>
  <c r="L19" i="32" s="1"/>
  <c r="B19" i="32"/>
  <c r="A19" i="32"/>
  <c r="AE18" i="32"/>
  <c r="Y18" i="32"/>
  <c r="Z18" i="32" s="1"/>
  <c r="W18" i="32"/>
  <c r="B18" i="32"/>
  <c r="A18" i="32"/>
  <c r="AE17" i="32"/>
  <c r="U17" i="32"/>
  <c r="S17" i="32"/>
  <c r="P17" i="32"/>
  <c r="Q17" i="32" s="1"/>
  <c r="N17" i="32"/>
  <c r="O17" i="32" s="1"/>
  <c r="K17" i="32"/>
  <c r="L17" i="32" s="1"/>
  <c r="F17" i="32"/>
  <c r="G17" i="32" s="1"/>
  <c r="D17" i="32"/>
  <c r="E17" i="32" s="1"/>
  <c r="B17" i="32"/>
  <c r="A17" i="32"/>
  <c r="M17" i="32" s="1"/>
  <c r="AE16" i="32"/>
  <c r="U16" i="32"/>
  <c r="S16" i="32"/>
  <c r="P16" i="32"/>
  <c r="Q16" i="32" s="1"/>
  <c r="N16" i="32"/>
  <c r="O16" i="32" s="1"/>
  <c r="K16" i="32"/>
  <c r="L16" i="32" s="1"/>
  <c r="F16" i="32"/>
  <c r="G16" i="32" s="1"/>
  <c r="D16" i="32"/>
  <c r="E16" i="32" s="1"/>
  <c r="J16" i="32" s="1"/>
  <c r="H16" i="32" s="1"/>
  <c r="I16" i="32" s="1"/>
  <c r="B16" i="32"/>
  <c r="A16" i="32"/>
  <c r="M16" i="32" s="1"/>
  <c r="AE15" i="32"/>
  <c r="U15" i="32"/>
  <c r="S15" i="32"/>
  <c r="P15" i="32"/>
  <c r="Q15" i="32" s="1"/>
  <c r="N15" i="32"/>
  <c r="O15" i="32" s="1"/>
  <c r="K15" i="32"/>
  <c r="L15" i="32" s="1"/>
  <c r="F15" i="32"/>
  <c r="G15" i="32" s="1"/>
  <c r="D15" i="32"/>
  <c r="E15" i="32" s="1"/>
  <c r="B15" i="32"/>
  <c r="A15" i="32"/>
  <c r="M15" i="32" s="1"/>
  <c r="AE14" i="32"/>
  <c r="U14" i="32"/>
  <c r="S14" i="32"/>
  <c r="P14" i="32"/>
  <c r="Q14" i="32" s="1"/>
  <c r="N14" i="32"/>
  <c r="O14" i="32" s="1"/>
  <c r="K14" i="32"/>
  <c r="L14" i="32" s="1"/>
  <c r="F14" i="32"/>
  <c r="G14" i="32" s="1"/>
  <c r="D14" i="32"/>
  <c r="E14" i="32" s="1"/>
  <c r="B14" i="32"/>
  <c r="A14" i="32"/>
  <c r="M14" i="32" s="1"/>
  <c r="J17" i="32" l="1"/>
  <c r="H17" i="32" s="1"/>
  <c r="I17" i="32" s="1"/>
  <c r="AA38" i="32"/>
  <c r="AB38" i="32" s="1"/>
  <c r="T204" i="32"/>
  <c r="J428" i="32"/>
  <c r="H428" i="32" s="1"/>
  <c r="I428" i="32" s="1"/>
  <c r="AA22" i="33"/>
  <c r="AB22" i="33" s="1"/>
  <c r="AA297" i="33"/>
  <c r="AB297" i="33" s="1"/>
  <c r="T358" i="33"/>
  <c r="AA424" i="33"/>
  <c r="AB424" i="33" s="1"/>
  <c r="AA425" i="33"/>
  <c r="AB425" i="33" s="1"/>
  <c r="T494" i="33"/>
  <c r="AA65" i="33"/>
  <c r="AB65" i="33" s="1"/>
  <c r="J70" i="33"/>
  <c r="H70" i="33" s="1"/>
  <c r="I70" i="33" s="1"/>
  <c r="AA513" i="33"/>
  <c r="AB513" i="33" s="1"/>
  <c r="AA522" i="33"/>
  <c r="AB522" i="33" s="1"/>
  <c r="AA612" i="33"/>
  <c r="AB612" i="33" s="1"/>
  <c r="AA676" i="33"/>
  <c r="AB676" i="33" s="1"/>
  <c r="AA110" i="34"/>
  <c r="AB110" i="34" s="1"/>
  <c r="AA460" i="35"/>
  <c r="AB460" i="35" s="1"/>
  <c r="AA461" i="35"/>
  <c r="AB461" i="35" s="1"/>
  <c r="AA462" i="35"/>
  <c r="AB462" i="35" s="1"/>
  <c r="AA463" i="35"/>
  <c r="AB463" i="35" s="1"/>
  <c r="J131" i="38"/>
  <c r="H131" i="38" s="1"/>
  <c r="I131" i="38" s="1"/>
  <c r="AA496" i="34"/>
  <c r="AB496" i="34" s="1"/>
  <c r="J512" i="34"/>
  <c r="H512" i="34" s="1"/>
  <c r="I512" i="34" s="1"/>
  <c r="J222" i="35"/>
  <c r="H222" i="35" s="1"/>
  <c r="I222" i="35" s="1"/>
  <c r="J251" i="35"/>
  <c r="H251" i="35" s="1"/>
  <c r="I251" i="35" s="1"/>
  <c r="AI75" i="40"/>
  <c r="J448" i="38"/>
  <c r="H448" i="38" s="1"/>
  <c r="I448" i="38" s="1"/>
  <c r="AA172" i="39"/>
  <c r="AB172" i="39" s="1"/>
  <c r="J430" i="39"/>
  <c r="H430" i="39" s="1"/>
  <c r="I430" i="39" s="1"/>
  <c r="AA130" i="39"/>
  <c r="AB130" i="39" s="1"/>
  <c r="J601" i="39"/>
  <c r="H601" i="39" s="1"/>
  <c r="I601" i="39" s="1"/>
  <c r="T636" i="32"/>
  <c r="AA136" i="32"/>
  <c r="AB136" i="32" s="1"/>
  <c r="J689" i="32"/>
  <c r="H689" i="32" s="1"/>
  <c r="I689" i="32" s="1"/>
  <c r="AA166" i="33"/>
  <c r="AB166" i="33" s="1"/>
  <c r="J168" i="33"/>
  <c r="H168" i="33" s="1"/>
  <c r="I168" i="33" s="1"/>
  <c r="AA253" i="33"/>
  <c r="AB253" i="33" s="1"/>
  <c r="AA254" i="33"/>
  <c r="AB254" i="33" s="1"/>
  <c r="AA291" i="33"/>
  <c r="AB291" i="33" s="1"/>
  <c r="AA292" i="33"/>
  <c r="AB292" i="33" s="1"/>
  <c r="AA370" i="33"/>
  <c r="AB370" i="33" s="1"/>
  <c r="T41" i="32"/>
  <c r="AA56" i="32"/>
  <c r="AB56" i="32" s="1"/>
  <c r="AA129" i="32"/>
  <c r="AB129" i="32" s="1"/>
  <c r="AA130" i="32"/>
  <c r="AB130" i="32" s="1"/>
  <c r="AA452" i="32"/>
  <c r="AB452" i="32" s="1"/>
  <c r="J457" i="32"/>
  <c r="H457" i="32" s="1"/>
  <c r="I457" i="32" s="1"/>
  <c r="J492" i="32"/>
  <c r="H492" i="32" s="1"/>
  <c r="I492" i="32" s="1"/>
  <c r="J510" i="32"/>
  <c r="H510" i="32" s="1"/>
  <c r="I510" i="32" s="1"/>
  <c r="J376" i="33"/>
  <c r="H376" i="33" s="1"/>
  <c r="I376" i="33" s="1"/>
  <c r="AA388" i="33"/>
  <c r="AB388" i="33" s="1"/>
  <c r="AA389" i="33"/>
  <c r="AB389" i="33" s="1"/>
  <c r="AA432" i="33"/>
  <c r="AB432" i="33" s="1"/>
  <c r="AK35" i="40"/>
  <c r="AI81" i="40"/>
  <c r="AI59" i="40"/>
  <c r="AA94" i="34"/>
  <c r="AB94" i="34" s="1"/>
  <c r="AA146" i="34"/>
  <c r="AB146" i="34" s="1"/>
  <c r="AA621" i="34"/>
  <c r="AB621" i="34" s="1"/>
  <c r="AA264" i="35"/>
  <c r="AB264" i="35" s="1"/>
  <c r="AA414" i="35"/>
  <c r="AB414" i="35" s="1"/>
  <c r="J457" i="35"/>
  <c r="H457" i="35" s="1"/>
  <c r="I457" i="35" s="1"/>
  <c r="J682" i="38"/>
  <c r="H682" i="38" s="1"/>
  <c r="I682" i="38" s="1"/>
  <c r="J484" i="39"/>
  <c r="H484" i="39" s="1"/>
  <c r="I484" i="39" s="1"/>
  <c r="T484" i="33"/>
  <c r="J448" i="35"/>
  <c r="H448" i="35" s="1"/>
  <c r="I448" i="35" s="1"/>
  <c r="T293" i="39"/>
  <c r="T592" i="39"/>
  <c r="T601" i="39"/>
  <c r="AA396" i="33"/>
  <c r="AB396" i="33" s="1"/>
  <c r="AA406" i="33"/>
  <c r="AB406" i="33" s="1"/>
  <c r="AA408" i="33"/>
  <c r="AB408" i="33" s="1"/>
  <c r="AA409" i="33"/>
  <c r="AB409" i="33" s="1"/>
  <c r="AA468" i="33"/>
  <c r="AB468" i="33" s="1"/>
  <c r="AA535" i="33"/>
  <c r="AB535" i="33" s="1"/>
  <c r="J79" i="34"/>
  <c r="H79" i="34" s="1"/>
  <c r="I79" i="34" s="1"/>
  <c r="AA92" i="34"/>
  <c r="AB92" i="34" s="1"/>
  <c r="AA184" i="34"/>
  <c r="AB184" i="34" s="1"/>
  <c r="J359" i="34"/>
  <c r="H359" i="34" s="1"/>
  <c r="I359" i="34" s="1"/>
  <c r="AA192" i="35"/>
  <c r="AB192" i="35" s="1"/>
  <c r="J491" i="35"/>
  <c r="H491" i="35" s="1"/>
  <c r="I491" i="35" s="1"/>
  <c r="J494" i="35"/>
  <c r="H494" i="35" s="1"/>
  <c r="I494" i="35" s="1"/>
  <c r="AA687" i="35"/>
  <c r="AB687" i="35" s="1"/>
  <c r="AA733" i="35"/>
  <c r="AB733" i="35" s="1"/>
  <c r="J224" i="38"/>
  <c r="H224" i="38" s="1"/>
  <c r="I224" i="38" s="1"/>
  <c r="AA292" i="38"/>
  <c r="AB292" i="38" s="1"/>
  <c r="J431" i="38"/>
  <c r="H431" i="38" s="1"/>
  <c r="I431" i="38" s="1"/>
  <c r="J556" i="38"/>
  <c r="H556" i="38" s="1"/>
  <c r="I556" i="38" s="1"/>
  <c r="AA576" i="38"/>
  <c r="AB576" i="38" s="1"/>
  <c r="J592" i="38"/>
  <c r="H592" i="38" s="1"/>
  <c r="I592" i="38" s="1"/>
  <c r="AJ84" i="40"/>
  <c r="T437" i="32"/>
  <c r="T33" i="32"/>
  <c r="T185" i="33"/>
  <c r="T187" i="33"/>
  <c r="T212" i="33"/>
  <c r="T275" i="34"/>
  <c r="AG76" i="40"/>
  <c r="AA75" i="33"/>
  <c r="AB75" i="33" s="1"/>
  <c r="AA479" i="34"/>
  <c r="AB479" i="34" s="1"/>
  <c r="J672" i="34"/>
  <c r="H672" i="34" s="1"/>
  <c r="I672" i="34" s="1"/>
  <c r="AA135" i="35"/>
  <c r="AB135" i="35" s="1"/>
  <c r="AA454" i="35"/>
  <c r="AB454" i="35" s="1"/>
  <c r="AA459" i="35"/>
  <c r="AB459" i="35" s="1"/>
  <c r="X489" i="38"/>
  <c r="AA489" i="38"/>
  <c r="AB489" i="38" s="1"/>
  <c r="AA238" i="39"/>
  <c r="AB238" i="39" s="1"/>
  <c r="T239" i="39"/>
  <c r="AK45" i="40"/>
  <c r="AG88" i="40"/>
  <c r="AA182" i="33"/>
  <c r="AB182" i="33" s="1"/>
  <c r="T698" i="33"/>
  <c r="Z75" i="33"/>
  <c r="Z182" i="33"/>
  <c r="V79" i="34"/>
  <c r="T71" i="32"/>
  <c r="T80" i="32"/>
  <c r="AA118" i="32"/>
  <c r="AB118" i="32" s="1"/>
  <c r="AA119" i="32"/>
  <c r="AB119" i="32" s="1"/>
  <c r="AA120" i="32"/>
  <c r="AB120" i="32" s="1"/>
  <c r="T141" i="32"/>
  <c r="AA144" i="32"/>
  <c r="AB144" i="32" s="1"/>
  <c r="AA237" i="32"/>
  <c r="AB237" i="32" s="1"/>
  <c r="T510" i="32"/>
  <c r="AA667" i="32"/>
  <c r="AB667" i="32" s="1"/>
  <c r="AA669" i="32"/>
  <c r="AB669" i="32" s="1"/>
  <c r="AA243" i="33"/>
  <c r="AB243" i="33" s="1"/>
  <c r="AA477" i="33"/>
  <c r="AB477" i="33" s="1"/>
  <c r="AA541" i="33"/>
  <c r="AB541" i="33" s="1"/>
  <c r="T161" i="34"/>
  <c r="J170" i="34"/>
  <c r="H170" i="34" s="1"/>
  <c r="I170" i="34" s="1"/>
  <c r="AA461" i="34"/>
  <c r="AB461" i="34" s="1"/>
  <c r="T563" i="34"/>
  <c r="AA625" i="34"/>
  <c r="AB625" i="34" s="1"/>
  <c r="J89" i="35"/>
  <c r="H89" i="35" s="1"/>
  <c r="I89" i="35" s="1"/>
  <c r="AA343" i="35"/>
  <c r="AB343" i="35" s="1"/>
  <c r="AA344" i="35"/>
  <c r="AB344" i="35" s="1"/>
  <c r="AA345" i="35"/>
  <c r="AB345" i="35" s="1"/>
  <c r="AA346" i="35"/>
  <c r="AB346" i="35" s="1"/>
  <c r="J347" i="35"/>
  <c r="H347" i="35" s="1"/>
  <c r="I347" i="35" s="1"/>
  <c r="J727" i="35"/>
  <c r="H727" i="35" s="1"/>
  <c r="I727" i="35" s="1"/>
  <c r="AA174" i="38"/>
  <c r="AB174" i="38" s="1"/>
  <c r="AA462" i="38"/>
  <c r="AB462" i="38" s="1"/>
  <c r="X524" i="38"/>
  <c r="AA524" i="38"/>
  <c r="AB524" i="38" s="1"/>
  <c r="J259" i="39"/>
  <c r="H259" i="39" s="1"/>
  <c r="I259" i="39" s="1"/>
  <c r="J266" i="39"/>
  <c r="H266" i="39" s="1"/>
  <c r="I266" i="39" s="1"/>
  <c r="J556" i="34"/>
  <c r="H556" i="34" s="1"/>
  <c r="I556" i="34" s="1"/>
  <c r="T699" i="34"/>
  <c r="AA72" i="35"/>
  <c r="AB72" i="35" s="1"/>
  <c r="AA652" i="35"/>
  <c r="AB652" i="35" s="1"/>
  <c r="J214" i="38"/>
  <c r="H214" i="38" s="1"/>
  <c r="I214" i="38" s="1"/>
  <c r="J330" i="38"/>
  <c r="H330" i="38" s="1"/>
  <c r="I330" i="38" s="1"/>
  <c r="J637" i="38"/>
  <c r="H637" i="38" s="1"/>
  <c r="I637" i="38" s="1"/>
  <c r="V637" i="38" s="1"/>
  <c r="J95" i="39"/>
  <c r="H95" i="39" s="1"/>
  <c r="I95" i="39" s="1"/>
  <c r="AA99" i="39"/>
  <c r="AB99" i="39" s="1"/>
  <c r="J185" i="39"/>
  <c r="H185" i="39" s="1"/>
  <c r="I185" i="39" s="1"/>
  <c r="J203" i="39"/>
  <c r="H203" i="39" s="1"/>
  <c r="I203" i="39" s="1"/>
  <c r="V203" i="39" s="1"/>
  <c r="J377" i="39"/>
  <c r="H377" i="39" s="1"/>
  <c r="I377" i="39" s="1"/>
  <c r="T530" i="39"/>
  <c r="T602" i="39"/>
  <c r="T689" i="39"/>
  <c r="AI67" i="40"/>
  <c r="AF46" i="40"/>
  <c r="AK18" i="40"/>
  <c r="AF36" i="40"/>
  <c r="AI45" i="40"/>
  <c r="AI86" i="40"/>
  <c r="AI32" i="40"/>
  <c r="AI36" i="40"/>
  <c r="V358" i="40"/>
  <c r="J115" i="38"/>
  <c r="H115" i="38" s="1"/>
  <c r="I115" i="38" s="1"/>
  <c r="J149" i="38"/>
  <c r="H149" i="38" s="1"/>
  <c r="I149" i="38" s="1"/>
  <c r="AA352" i="38"/>
  <c r="AB352" i="38" s="1"/>
  <c r="J491" i="38"/>
  <c r="H491" i="38" s="1"/>
  <c r="I491" i="38" s="1"/>
  <c r="J215" i="39"/>
  <c r="H215" i="39" s="1"/>
  <c r="I215" i="39" s="1"/>
  <c r="T223" i="39"/>
  <c r="J248" i="39"/>
  <c r="H248" i="39" s="1"/>
  <c r="I248" i="39" s="1"/>
  <c r="V248" i="39" s="1"/>
  <c r="AA649" i="39"/>
  <c r="AB649" i="39" s="1"/>
  <c r="T699" i="39"/>
  <c r="V511" i="40"/>
  <c r="AH69" i="40" s="1"/>
  <c r="AK46" i="40"/>
  <c r="AI28" i="40"/>
  <c r="AG45" i="40"/>
  <c r="AG37" i="40"/>
  <c r="AA111" i="39"/>
  <c r="AB111" i="39" s="1"/>
  <c r="J149" i="39"/>
  <c r="H149" i="39" s="1"/>
  <c r="I149" i="39" s="1"/>
  <c r="J241" i="39"/>
  <c r="H241" i="39" s="1"/>
  <c r="I241" i="39" s="1"/>
  <c r="AA355" i="39"/>
  <c r="AB355" i="39" s="1"/>
  <c r="J384" i="39"/>
  <c r="H384" i="39" s="1"/>
  <c r="I384" i="39" s="1"/>
  <c r="V384" i="39" s="1"/>
  <c r="J566" i="39"/>
  <c r="H566" i="39" s="1"/>
  <c r="I566" i="39" s="1"/>
  <c r="V619" i="40"/>
  <c r="AG40" i="40"/>
  <c r="AK39" i="40"/>
  <c r="AI33" i="40"/>
  <c r="AI27" i="40"/>
  <c r="X191" i="34"/>
  <c r="AA191" i="34"/>
  <c r="AB191" i="34" s="1"/>
  <c r="X568" i="38"/>
  <c r="AA568" i="38"/>
  <c r="AB568" i="38" s="1"/>
  <c r="X138" i="39"/>
  <c r="AA138" i="39"/>
  <c r="AB138" i="39" s="1"/>
  <c r="X739" i="39"/>
  <c r="AA739" i="39"/>
  <c r="AB739" i="39" s="1"/>
  <c r="AA220" i="32"/>
  <c r="AB220" i="32" s="1"/>
  <c r="T159" i="33"/>
  <c r="T232" i="33"/>
  <c r="T251" i="33"/>
  <c r="AA450" i="33"/>
  <c r="AB450" i="33" s="1"/>
  <c r="T511" i="33"/>
  <c r="T536" i="33"/>
  <c r="T583" i="33"/>
  <c r="AA19" i="34"/>
  <c r="AB19" i="34" s="1"/>
  <c r="AA66" i="34"/>
  <c r="AB66" i="34" s="1"/>
  <c r="X238" i="34"/>
  <c r="AA238" i="34"/>
  <c r="AB238" i="34" s="1"/>
  <c r="T392" i="34"/>
  <c r="T410" i="34"/>
  <c r="T727" i="34"/>
  <c r="J86" i="35"/>
  <c r="H86" i="35" s="1"/>
  <c r="I86" i="35" s="1"/>
  <c r="T142" i="35"/>
  <c r="AA391" i="35"/>
  <c r="AB391" i="35" s="1"/>
  <c r="T392" i="35"/>
  <c r="X630" i="38"/>
  <c r="AA630" i="38"/>
  <c r="AB630" i="38" s="1"/>
  <c r="AA136" i="39"/>
  <c r="AB136" i="39" s="1"/>
  <c r="Z136" i="39"/>
  <c r="X687" i="33"/>
  <c r="AA687" i="33"/>
  <c r="AB687" i="33" s="1"/>
  <c r="X659" i="35"/>
  <c r="AA659" i="35"/>
  <c r="AB659" i="35" s="1"/>
  <c r="X94" i="38"/>
  <c r="AA94" i="38"/>
  <c r="AB94" i="38" s="1"/>
  <c r="Z443" i="38"/>
  <c r="AA443" i="38"/>
  <c r="AB443" i="38" s="1"/>
  <c r="AF15" i="40"/>
  <c r="V23" i="40"/>
  <c r="AF75" i="40"/>
  <c r="V566" i="40"/>
  <c r="AH75" i="40" s="1"/>
  <c r="AL75" i="40" s="1"/>
  <c r="J63" i="37" s="1"/>
  <c r="T233" i="32"/>
  <c r="T314" i="32"/>
  <c r="AA334" i="32"/>
  <c r="AB334" i="32" s="1"/>
  <c r="T547" i="32"/>
  <c r="T611" i="32"/>
  <c r="T644" i="32"/>
  <c r="AA27" i="33"/>
  <c r="AB27" i="33" s="1"/>
  <c r="J132" i="33"/>
  <c r="H132" i="33" s="1"/>
  <c r="I132" i="33" s="1"/>
  <c r="AA209" i="33"/>
  <c r="AB209" i="33" s="1"/>
  <c r="AA18" i="32"/>
  <c r="AB18" i="32" s="1"/>
  <c r="AA216" i="32"/>
  <c r="AB216" i="32" s="1"/>
  <c r="J485" i="32"/>
  <c r="H485" i="32" s="1"/>
  <c r="I485" i="32" s="1"/>
  <c r="J503" i="32"/>
  <c r="H503" i="32" s="1"/>
  <c r="I503" i="32" s="1"/>
  <c r="J547" i="32"/>
  <c r="H547" i="32" s="1"/>
  <c r="I547" i="32" s="1"/>
  <c r="J611" i="32"/>
  <c r="H611" i="32" s="1"/>
  <c r="I611" i="32" s="1"/>
  <c r="AA659" i="32"/>
  <c r="AB659" i="32" s="1"/>
  <c r="J663" i="32"/>
  <c r="H663" i="32" s="1"/>
  <c r="I663" i="32" s="1"/>
  <c r="J69" i="33"/>
  <c r="H69" i="33" s="1"/>
  <c r="I69" i="33" s="1"/>
  <c r="J197" i="33"/>
  <c r="H197" i="33" s="1"/>
  <c r="I197" i="33" s="1"/>
  <c r="J276" i="33"/>
  <c r="H276" i="33" s="1"/>
  <c r="I276" i="33" s="1"/>
  <c r="AA318" i="33"/>
  <c r="AB318" i="33" s="1"/>
  <c r="AA360" i="33"/>
  <c r="AB360" i="33" s="1"/>
  <c r="AA444" i="33"/>
  <c r="AB444" i="33" s="1"/>
  <c r="AA471" i="33"/>
  <c r="AB471" i="33" s="1"/>
  <c r="AA472" i="33"/>
  <c r="AB472" i="33" s="1"/>
  <c r="AA505" i="33"/>
  <c r="AB505" i="33" s="1"/>
  <c r="AA506" i="33"/>
  <c r="AB506" i="33" s="1"/>
  <c r="AA508" i="33"/>
  <c r="AB508" i="33" s="1"/>
  <c r="AA531" i="33"/>
  <c r="AB531" i="33" s="1"/>
  <c r="AA577" i="33"/>
  <c r="AB577" i="33" s="1"/>
  <c r="AA200" i="34"/>
  <c r="AB200" i="34" s="1"/>
  <c r="T357" i="34"/>
  <c r="AA505" i="34"/>
  <c r="AB505" i="34" s="1"/>
  <c r="AA517" i="34"/>
  <c r="AB517" i="34" s="1"/>
  <c r="J600" i="34"/>
  <c r="H600" i="34" s="1"/>
  <c r="I600" i="34" s="1"/>
  <c r="AA678" i="34"/>
  <c r="AB678" i="34" s="1"/>
  <c r="J680" i="34"/>
  <c r="H680" i="34" s="1"/>
  <c r="I680" i="34" s="1"/>
  <c r="AA711" i="34"/>
  <c r="AB711" i="34" s="1"/>
  <c r="T716" i="34"/>
  <c r="X733" i="34"/>
  <c r="AA733" i="34"/>
  <c r="AB733" i="34" s="1"/>
  <c r="AA54" i="35"/>
  <c r="AB54" i="35" s="1"/>
  <c r="AA57" i="35"/>
  <c r="AB57" i="35" s="1"/>
  <c r="AA84" i="35"/>
  <c r="AB84" i="35" s="1"/>
  <c r="AA145" i="35"/>
  <c r="AB145" i="35" s="1"/>
  <c r="Z145" i="35"/>
  <c r="AA166" i="35"/>
  <c r="AB166" i="35" s="1"/>
  <c r="AA216" i="35"/>
  <c r="AB216" i="35" s="1"/>
  <c r="AA352" i="35"/>
  <c r="AB352" i="35" s="1"/>
  <c r="Z580" i="35"/>
  <c r="AA580" i="35"/>
  <c r="AB580" i="35" s="1"/>
  <c r="X119" i="38"/>
  <c r="AA119" i="38"/>
  <c r="AB119" i="38" s="1"/>
  <c r="X191" i="38"/>
  <c r="AA191" i="38"/>
  <c r="AB191" i="38" s="1"/>
  <c r="AA28" i="32"/>
  <c r="AB28" i="32" s="1"/>
  <c r="AA31" i="32"/>
  <c r="AB31" i="32" s="1"/>
  <c r="AA40" i="32"/>
  <c r="AB40" i="32" s="1"/>
  <c r="AA48" i="32"/>
  <c r="AB48" i="32" s="1"/>
  <c r="AA64" i="32"/>
  <c r="AB64" i="32" s="1"/>
  <c r="AA72" i="32"/>
  <c r="AB72" i="32" s="1"/>
  <c r="AA110" i="32"/>
  <c r="AB110" i="32" s="1"/>
  <c r="AA111" i="32"/>
  <c r="AB111" i="32" s="1"/>
  <c r="AA117" i="32"/>
  <c r="AB117" i="32" s="1"/>
  <c r="AA126" i="32"/>
  <c r="AB126" i="32" s="1"/>
  <c r="J143" i="32"/>
  <c r="H143" i="32" s="1"/>
  <c r="I143" i="32" s="1"/>
  <c r="V143" i="32" s="1"/>
  <c r="J152" i="32"/>
  <c r="H152" i="32" s="1"/>
  <c r="I152" i="32" s="1"/>
  <c r="V152" i="32" s="1"/>
  <c r="AA164" i="32"/>
  <c r="AB164" i="32" s="1"/>
  <c r="AA166" i="32"/>
  <c r="AB166" i="32" s="1"/>
  <c r="J177" i="32"/>
  <c r="H177" i="32" s="1"/>
  <c r="I177" i="32" s="1"/>
  <c r="AA200" i="32"/>
  <c r="AB200" i="32" s="1"/>
  <c r="AA243" i="32"/>
  <c r="AB243" i="32" s="1"/>
  <c r="AA515" i="32"/>
  <c r="AB515" i="32" s="1"/>
  <c r="AA544" i="32"/>
  <c r="AB544" i="32" s="1"/>
  <c r="AA603" i="32"/>
  <c r="AB603" i="32" s="1"/>
  <c r="J647" i="32"/>
  <c r="H647" i="32" s="1"/>
  <c r="I647" i="32" s="1"/>
  <c r="AA45" i="33"/>
  <c r="AB45" i="33" s="1"/>
  <c r="J62" i="33"/>
  <c r="H62" i="33" s="1"/>
  <c r="I62" i="33" s="1"/>
  <c r="V62" i="33" s="1"/>
  <c r="J79" i="33"/>
  <c r="H79" i="33" s="1"/>
  <c r="I79" i="33" s="1"/>
  <c r="AA126" i="33"/>
  <c r="AB126" i="33" s="1"/>
  <c r="J161" i="33"/>
  <c r="H161" i="33" s="1"/>
  <c r="I161" i="33" s="1"/>
  <c r="AA208" i="33"/>
  <c r="AB208" i="33" s="1"/>
  <c r="AA272" i="33"/>
  <c r="AB272" i="33" s="1"/>
  <c r="AA273" i="33"/>
  <c r="AB273" i="33" s="1"/>
  <c r="AA274" i="33"/>
  <c r="AB274" i="33" s="1"/>
  <c r="AA279" i="33"/>
  <c r="AB279" i="33" s="1"/>
  <c r="J294" i="33"/>
  <c r="H294" i="33" s="1"/>
  <c r="I294" i="33" s="1"/>
  <c r="AA327" i="33"/>
  <c r="AB327" i="33" s="1"/>
  <c r="J338" i="33"/>
  <c r="H338" i="33" s="1"/>
  <c r="I338" i="33" s="1"/>
  <c r="J386" i="33"/>
  <c r="H386" i="33" s="1"/>
  <c r="I386" i="33" s="1"/>
  <c r="V386" i="33" s="1"/>
  <c r="AA540" i="33"/>
  <c r="AB540" i="33" s="1"/>
  <c r="J619" i="33"/>
  <c r="H619" i="33" s="1"/>
  <c r="I619" i="33" s="1"/>
  <c r="T637" i="33"/>
  <c r="J206" i="34"/>
  <c r="H206" i="34" s="1"/>
  <c r="I206" i="34" s="1"/>
  <c r="V206" i="34" s="1"/>
  <c r="J293" i="34"/>
  <c r="H293" i="34" s="1"/>
  <c r="I293" i="34" s="1"/>
  <c r="T447" i="34"/>
  <c r="J520" i="34"/>
  <c r="H520" i="34" s="1"/>
  <c r="I520" i="34" s="1"/>
  <c r="AA523" i="34"/>
  <c r="AB523" i="34" s="1"/>
  <c r="J627" i="34"/>
  <c r="H627" i="34" s="1"/>
  <c r="I627" i="34" s="1"/>
  <c r="AA630" i="34"/>
  <c r="AB630" i="34" s="1"/>
  <c r="AA108" i="35"/>
  <c r="AB108" i="35" s="1"/>
  <c r="J140" i="35"/>
  <c r="H140" i="35" s="1"/>
  <c r="I140" i="35" s="1"/>
  <c r="AA173" i="35"/>
  <c r="AB173" i="35" s="1"/>
  <c r="T259" i="38"/>
  <c r="X281" i="39"/>
  <c r="AA281" i="39"/>
  <c r="AB281" i="39" s="1"/>
  <c r="J105" i="34"/>
  <c r="H105" i="34" s="1"/>
  <c r="I105" i="34" s="1"/>
  <c r="AA166" i="34"/>
  <c r="AB166" i="34" s="1"/>
  <c r="T268" i="34"/>
  <c r="AA317" i="34"/>
  <c r="AB317" i="34" s="1"/>
  <c r="J395" i="34"/>
  <c r="H395" i="34" s="1"/>
  <c r="I395" i="34" s="1"/>
  <c r="J413" i="34"/>
  <c r="H413" i="34" s="1"/>
  <c r="I413" i="34" s="1"/>
  <c r="AA427" i="34"/>
  <c r="AB427" i="34" s="1"/>
  <c r="J473" i="34"/>
  <c r="H473" i="34" s="1"/>
  <c r="I473" i="34" s="1"/>
  <c r="AA489" i="34"/>
  <c r="AB489" i="34" s="1"/>
  <c r="AA660" i="34"/>
  <c r="AB660" i="34" s="1"/>
  <c r="T734" i="34"/>
  <c r="J26" i="35"/>
  <c r="H26" i="35" s="1"/>
  <c r="I26" i="35" s="1"/>
  <c r="AA28" i="35"/>
  <c r="AB28" i="35" s="1"/>
  <c r="J197" i="35"/>
  <c r="H197" i="35" s="1"/>
  <c r="I197" i="35" s="1"/>
  <c r="J231" i="35"/>
  <c r="H231" i="35" s="1"/>
  <c r="I231" i="35" s="1"/>
  <c r="J242" i="35"/>
  <c r="H242" i="35" s="1"/>
  <c r="I242" i="35" s="1"/>
  <c r="J476" i="35"/>
  <c r="H476" i="35" s="1"/>
  <c r="I476" i="35" s="1"/>
  <c r="X687" i="35"/>
  <c r="AA92" i="38"/>
  <c r="AB92" i="38" s="1"/>
  <c r="AA218" i="38"/>
  <c r="AB218" i="38" s="1"/>
  <c r="T242" i="38"/>
  <c r="AA262" i="38"/>
  <c r="AB262" i="38" s="1"/>
  <c r="J268" i="38"/>
  <c r="H268" i="38" s="1"/>
  <c r="I268" i="38" s="1"/>
  <c r="J314" i="38"/>
  <c r="H314" i="38" s="1"/>
  <c r="I314" i="38" s="1"/>
  <c r="AA400" i="38"/>
  <c r="AB400" i="38" s="1"/>
  <c r="X423" i="38"/>
  <c r="AA423" i="38"/>
  <c r="AB423" i="38" s="1"/>
  <c r="AA622" i="38"/>
  <c r="AB622" i="38" s="1"/>
  <c r="J689" i="38"/>
  <c r="H689" i="38" s="1"/>
  <c r="I689" i="38" s="1"/>
  <c r="AA39" i="39"/>
  <c r="AB39" i="39" s="1"/>
  <c r="J80" i="39"/>
  <c r="H80" i="39" s="1"/>
  <c r="I80" i="39" s="1"/>
  <c r="V80" i="39" s="1"/>
  <c r="J86" i="39"/>
  <c r="H86" i="39" s="1"/>
  <c r="I86" i="39" s="1"/>
  <c r="X99" i="39"/>
  <c r="T150" i="39"/>
  <c r="AG89" i="40"/>
  <c r="AF24" i="40"/>
  <c r="V107" i="40"/>
  <c r="J430" i="35"/>
  <c r="H430" i="35" s="1"/>
  <c r="I430" i="35" s="1"/>
  <c r="AA669" i="35"/>
  <c r="AB669" i="35" s="1"/>
  <c r="J167" i="38"/>
  <c r="H167" i="38" s="1"/>
  <c r="I167" i="38" s="1"/>
  <c r="J350" i="38"/>
  <c r="H350" i="38" s="1"/>
  <c r="I350" i="38" s="1"/>
  <c r="T404" i="38"/>
  <c r="J509" i="38"/>
  <c r="H509" i="38" s="1"/>
  <c r="I509" i="38" s="1"/>
  <c r="T601" i="38"/>
  <c r="J646" i="38"/>
  <c r="H646" i="38" s="1"/>
  <c r="I646" i="38" s="1"/>
  <c r="AA703" i="38"/>
  <c r="AB703" i="38" s="1"/>
  <c r="T97" i="39"/>
  <c r="T177" i="39"/>
  <c r="J302" i="39"/>
  <c r="H302" i="39" s="1"/>
  <c r="I302" i="39" s="1"/>
  <c r="X364" i="39"/>
  <c r="AA364" i="39"/>
  <c r="AB364" i="39" s="1"/>
  <c r="X425" i="39"/>
  <c r="AA425" i="39"/>
  <c r="AB425" i="39" s="1"/>
  <c r="X723" i="39"/>
  <c r="AA723" i="39"/>
  <c r="AB723" i="39" s="1"/>
  <c r="T221" i="39"/>
  <c r="AA498" i="39"/>
  <c r="AB498" i="39" s="1"/>
  <c r="AA549" i="39"/>
  <c r="AB549" i="39" s="1"/>
  <c r="T644" i="39"/>
  <c r="T646" i="39"/>
  <c r="AA650" i="39"/>
  <c r="AB650" i="39" s="1"/>
  <c r="AA651" i="39"/>
  <c r="AB651" i="39" s="1"/>
  <c r="T709" i="39"/>
  <c r="AG72" i="40"/>
  <c r="AK33" i="40"/>
  <c r="AG57" i="40"/>
  <c r="AG33" i="40"/>
  <c r="AG26" i="40"/>
  <c r="AG29" i="40"/>
  <c r="AG70" i="40"/>
  <c r="AA372" i="38"/>
  <c r="AB372" i="38" s="1"/>
  <c r="AA378" i="38"/>
  <c r="AB378" i="38" s="1"/>
  <c r="J430" i="38"/>
  <c r="H430" i="38" s="1"/>
  <c r="I430" i="38" s="1"/>
  <c r="AA514" i="38"/>
  <c r="AB514" i="38" s="1"/>
  <c r="J536" i="38"/>
  <c r="H536" i="38" s="1"/>
  <c r="I536" i="38" s="1"/>
  <c r="V536" i="38" s="1"/>
  <c r="AA543" i="38"/>
  <c r="AB543" i="38" s="1"/>
  <c r="AA544" i="38"/>
  <c r="AB544" i="38" s="1"/>
  <c r="AA612" i="38"/>
  <c r="AB612" i="38" s="1"/>
  <c r="AA652" i="38"/>
  <c r="AB652" i="38" s="1"/>
  <c r="AA207" i="39"/>
  <c r="AB207" i="39" s="1"/>
  <c r="J223" i="39"/>
  <c r="H223" i="39" s="1"/>
  <c r="I223" i="39" s="1"/>
  <c r="J277" i="39"/>
  <c r="H277" i="39" s="1"/>
  <c r="I277" i="39" s="1"/>
  <c r="J502" i="39"/>
  <c r="H502" i="39" s="1"/>
  <c r="I502" i="39" s="1"/>
  <c r="AA595" i="39"/>
  <c r="AB595" i="39" s="1"/>
  <c r="AA597" i="39"/>
  <c r="AB597" i="39" s="1"/>
  <c r="AA642" i="39"/>
  <c r="AB642" i="39" s="1"/>
  <c r="J646" i="39"/>
  <c r="H646" i="39" s="1"/>
  <c r="I646" i="39" s="1"/>
  <c r="V646" i="39" s="1"/>
  <c r="T725" i="39"/>
  <c r="AG92" i="40"/>
  <c r="AK77" i="40"/>
  <c r="AF57" i="40"/>
  <c r="AI41" i="40"/>
  <c r="AG38" i="40"/>
  <c r="AF22" i="40"/>
  <c r="AA400" i="39"/>
  <c r="AB400" i="39" s="1"/>
  <c r="AA406" i="39"/>
  <c r="AB406" i="39" s="1"/>
  <c r="AA407" i="39"/>
  <c r="AB407" i="39" s="1"/>
  <c r="AA604" i="39"/>
  <c r="AB604" i="39" s="1"/>
  <c r="AA658" i="39"/>
  <c r="AB658" i="39" s="1"/>
  <c r="V620" i="40"/>
  <c r="V584" i="40"/>
  <c r="V502" i="40"/>
  <c r="AG63" i="40"/>
  <c r="AG64" i="40"/>
  <c r="AG85" i="40"/>
  <c r="AG50" i="40"/>
  <c r="AG25" i="40"/>
  <c r="AG34" i="40"/>
  <c r="AG24" i="40"/>
  <c r="AG23" i="40"/>
  <c r="AG71" i="40"/>
  <c r="AG42" i="40"/>
  <c r="T26" i="32"/>
  <c r="T134" i="32"/>
  <c r="T537" i="32"/>
  <c r="T538" i="32"/>
  <c r="T545" i="32"/>
  <c r="T736" i="32"/>
  <c r="T205" i="33"/>
  <c r="T338" i="33"/>
  <c r="T340" i="33"/>
  <c r="T347" i="33"/>
  <c r="T575" i="33"/>
  <c r="T14" i="34"/>
  <c r="T25" i="34"/>
  <c r="T79" i="34"/>
  <c r="T160" i="34"/>
  <c r="T473" i="34"/>
  <c r="T494" i="34"/>
  <c r="V736" i="40"/>
  <c r="AG75" i="40"/>
  <c r="AG19" i="40"/>
  <c r="T53" i="32"/>
  <c r="T214" i="32"/>
  <c r="T654" i="32"/>
  <c r="T170" i="33"/>
  <c r="T447" i="33"/>
  <c r="T582" i="33"/>
  <c r="T645" i="33"/>
  <c r="T655" i="33"/>
  <c r="T662" i="33"/>
  <c r="T294" i="34"/>
  <c r="T446" i="34"/>
  <c r="T484" i="34"/>
  <c r="T510" i="34"/>
  <c r="T529" i="34"/>
  <c r="T530" i="34"/>
  <c r="T537" i="34"/>
  <c r="T539" i="34"/>
  <c r="T601" i="34"/>
  <c r="T645" i="34"/>
  <c r="T303" i="38"/>
  <c r="T312" i="38"/>
  <c r="AG65" i="40"/>
  <c r="AG49" i="40"/>
  <c r="AG16" i="40"/>
  <c r="T149" i="39"/>
  <c r="T366" i="39"/>
  <c r="T446" i="39"/>
  <c r="T449" i="39"/>
  <c r="T465" i="39"/>
  <c r="T52" i="39"/>
  <c r="T304" i="39"/>
  <c r="T330" i="39"/>
  <c r="T385" i="39"/>
  <c r="T511" i="39"/>
  <c r="T518" i="39"/>
  <c r="T32" i="32"/>
  <c r="T42" i="32"/>
  <c r="T70" i="32"/>
  <c r="T421" i="32"/>
  <c r="X99" i="33"/>
  <c r="AA99" i="33"/>
  <c r="AB99" i="33" s="1"/>
  <c r="X452" i="32"/>
  <c r="T502" i="32"/>
  <c r="T332" i="33"/>
  <c r="AA713" i="33"/>
  <c r="AB713" i="33" s="1"/>
  <c r="X713" i="33"/>
  <c r="Z121" i="34"/>
  <c r="AJ25" i="34" s="1"/>
  <c r="AA121" i="34"/>
  <c r="AB121" i="34" s="1"/>
  <c r="Z144" i="34"/>
  <c r="AA144" i="34"/>
  <c r="AB144" i="34" s="1"/>
  <c r="Z397" i="34"/>
  <c r="AA397" i="34"/>
  <c r="AB397" i="34" s="1"/>
  <c r="AA139" i="38"/>
  <c r="AB139" i="38" s="1"/>
  <c r="Z139" i="38"/>
  <c r="AF40" i="40"/>
  <c r="V248" i="40"/>
  <c r="AF29" i="40"/>
  <c r="V149" i="40"/>
  <c r="AH29" i="40" s="1"/>
  <c r="AL29" i="40" s="1"/>
  <c r="J17" i="37" s="1"/>
  <c r="AK72" i="40"/>
  <c r="AG58" i="40"/>
  <c r="AG41" i="40"/>
  <c r="V600" i="40"/>
  <c r="AG79" i="40"/>
  <c r="T116" i="32"/>
  <c r="Z220" i="32"/>
  <c r="T348" i="33"/>
  <c r="T350" i="33"/>
  <c r="T359" i="33"/>
  <c r="AA138" i="32"/>
  <c r="AB138" i="32" s="1"/>
  <c r="T178" i="32"/>
  <c r="T239" i="32"/>
  <c r="AA279" i="32"/>
  <c r="AB279" i="32" s="1"/>
  <c r="T484" i="32"/>
  <c r="T512" i="32"/>
  <c r="T656" i="32"/>
  <c r="X667" i="32"/>
  <c r="T737" i="32"/>
  <c r="Z27" i="33"/>
  <c r="T71" i="33"/>
  <c r="T214" i="33"/>
  <c r="T330" i="33"/>
  <c r="Z360" i="33"/>
  <c r="Z370" i="33"/>
  <c r="AJ53" i="33" s="1"/>
  <c r="T375" i="33"/>
  <c r="T384" i="33"/>
  <c r="T421" i="33"/>
  <c r="AA433" i="33"/>
  <c r="AB433" i="33" s="1"/>
  <c r="X433" i="33"/>
  <c r="J457" i="33"/>
  <c r="H457" i="33" s="1"/>
  <c r="I457" i="33" s="1"/>
  <c r="X597" i="33"/>
  <c r="Z415" i="34"/>
  <c r="AA415" i="34"/>
  <c r="AB415" i="34" s="1"/>
  <c r="X506" i="38"/>
  <c r="AA506" i="38"/>
  <c r="AB506" i="38" s="1"/>
  <c r="X191" i="39"/>
  <c r="AA191" i="39"/>
  <c r="AB191" i="39" s="1"/>
  <c r="T205" i="32"/>
  <c r="V663" i="32"/>
  <c r="T116" i="33"/>
  <c r="AA202" i="33"/>
  <c r="AB202" i="33" s="1"/>
  <c r="Z202" i="33"/>
  <c r="T368" i="33"/>
  <c r="T160" i="32"/>
  <c r="X164" i="32"/>
  <c r="X243" i="32"/>
  <c r="Z334" i="32"/>
  <c r="T530" i="32"/>
  <c r="T701" i="32"/>
  <c r="T312" i="33"/>
  <c r="T89" i="32"/>
  <c r="T186" i="32"/>
  <c r="AA310" i="32"/>
  <c r="AB310" i="32" s="1"/>
  <c r="AA551" i="32"/>
  <c r="AB551" i="32" s="1"/>
  <c r="AA562" i="32"/>
  <c r="AB562" i="32" s="1"/>
  <c r="T581" i="32"/>
  <c r="T628" i="32"/>
  <c r="T51" i="32"/>
  <c r="AA63" i="32"/>
  <c r="AB63" i="32" s="1"/>
  <c r="AA74" i="32"/>
  <c r="AB74" i="32" s="1"/>
  <c r="AA94" i="32"/>
  <c r="AB94" i="32" s="1"/>
  <c r="T96" i="32"/>
  <c r="AA108" i="32"/>
  <c r="AB108" i="32" s="1"/>
  <c r="X138" i="32"/>
  <c r="AA153" i="32"/>
  <c r="AB153" i="32" s="1"/>
  <c r="J170" i="32"/>
  <c r="H170" i="32" s="1"/>
  <c r="I170" i="32" s="1"/>
  <c r="T179" i="32"/>
  <c r="AA181" i="32"/>
  <c r="AB181" i="32" s="1"/>
  <c r="J186" i="32"/>
  <c r="H186" i="32" s="1"/>
  <c r="I186" i="32" s="1"/>
  <c r="AA191" i="32"/>
  <c r="AB191" i="32" s="1"/>
  <c r="J204" i="32"/>
  <c r="H204" i="32" s="1"/>
  <c r="I204" i="32" s="1"/>
  <c r="AA228" i="32"/>
  <c r="AB228" i="32" s="1"/>
  <c r="AA235" i="32"/>
  <c r="AB235" i="32" s="1"/>
  <c r="AA253" i="32"/>
  <c r="AB253" i="32" s="1"/>
  <c r="J303" i="32"/>
  <c r="H303" i="32" s="1"/>
  <c r="I303" i="32" s="1"/>
  <c r="AA307" i="32"/>
  <c r="AB307" i="32" s="1"/>
  <c r="X310" i="32"/>
  <c r="T332" i="32"/>
  <c r="AA351" i="32"/>
  <c r="AB351" i="32" s="1"/>
  <c r="AA388" i="32"/>
  <c r="AB388" i="32" s="1"/>
  <c r="AA400" i="32"/>
  <c r="AB400" i="32" s="1"/>
  <c r="T402" i="32"/>
  <c r="T464" i="32"/>
  <c r="AA468" i="32"/>
  <c r="AB468" i="32" s="1"/>
  <c r="T476" i="32"/>
  <c r="J484" i="32"/>
  <c r="H484" i="32" s="1"/>
  <c r="I484" i="32" s="1"/>
  <c r="T491" i="32"/>
  <c r="T519" i="32"/>
  <c r="AA533" i="32"/>
  <c r="AB533" i="32" s="1"/>
  <c r="J602" i="32"/>
  <c r="H602" i="32" s="1"/>
  <c r="I602" i="32" s="1"/>
  <c r="J636" i="32"/>
  <c r="H636" i="32" s="1"/>
  <c r="I636" i="32" s="1"/>
  <c r="J637" i="32"/>
  <c r="H637" i="32" s="1"/>
  <c r="I637" i="32" s="1"/>
  <c r="V637" i="32" s="1"/>
  <c r="AA648" i="32"/>
  <c r="AB648" i="32" s="1"/>
  <c r="T683" i="32"/>
  <c r="T691" i="32"/>
  <c r="T718" i="32"/>
  <c r="T68" i="33"/>
  <c r="T122" i="33"/>
  <c r="T177" i="33"/>
  <c r="J258" i="33"/>
  <c r="H258" i="33" s="1"/>
  <c r="I258" i="33" s="1"/>
  <c r="T341" i="33"/>
  <c r="T367" i="33"/>
  <c r="J375" i="33"/>
  <c r="H375" i="33" s="1"/>
  <c r="I375" i="33" s="1"/>
  <c r="AA397" i="33"/>
  <c r="AB397" i="33" s="1"/>
  <c r="X397" i="33"/>
  <c r="X444" i="33"/>
  <c r="T510" i="33"/>
  <c r="T528" i="33"/>
  <c r="AA532" i="33"/>
  <c r="AB532" i="33" s="1"/>
  <c r="X532" i="33"/>
  <c r="AA544" i="33"/>
  <c r="AB544" i="33" s="1"/>
  <c r="X544" i="33"/>
  <c r="AA553" i="33"/>
  <c r="AB553" i="33" s="1"/>
  <c r="T573" i="33"/>
  <c r="AA615" i="33"/>
  <c r="AB615" i="33" s="1"/>
  <c r="AA616" i="33"/>
  <c r="AB616" i="33" s="1"/>
  <c r="T671" i="33"/>
  <c r="T690" i="33"/>
  <c r="X45" i="34"/>
  <c r="AA45" i="34"/>
  <c r="AB45" i="34" s="1"/>
  <c r="T107" i="34"/>
  <c r="Z180" i="34"/>
  <c r="AA180" i="34"/>
  <c r="AB180" i="34" s="1"/>
  <c r="T269" i="34"/>
  <c r="X308" i="34"/>
  <c r="AA308" i="34"/>
  <c r="AB308" i="34" s="1"/>
  <c r="Z346" i="34"/>
  <c r="AA346" i="34"/>
  <c r="AB346" i="34" s="1"/>
  <c r="X558" i="33"/>
  <c r="AA558" i="33"/>
  <c r="AB558" i="33" s="1"/>
  <c r="T563" i="33"/>
  <c r="T564" i="33"/>
  <c r="AA594" i="33"/>
  <c r="AB594" i="33" s="1"/>
  <c r="X623" i="33"/>
  <c r="AA623" i="33"/>
  <c r="AB623" i="33" s="1"/>
  <c r="T626" i="33"/>
  <c r="X81" i="34"/>
  <c r="AA81" i="34"/>
  <c r="AB81" i="34" s="1"/>
  <c r="T179" i="34"/>
  <c r="Z283" i="34"/>
  <c r="AJ43" i="34" s="1"/>
  <c r="AA283" i="34"/>
  <c r="AB283" i="34" s="1"/>
  <c r="Z463" i="34"/>
  <c r="AA463" i="34"/>
  <c r="AB463" i="34" s="1"/>
  <c r="Z481" i="34"/>
  <c r="AA481" i="34"/>
  <c r="AB481" i="34" s="1"/>
  <c r="X552" i="34"/>
  <c r="AA552" i="34"/>
  <c r="AB552" i="34" s="1"/>
  <c r="Z147" i="35"/>
  <c r="AA147" i="35"/>
  <c r="AB147" i="35" s="1"/>
  <c r="X184" i="35"/>
  <c r="AA184" i="35"/>
  <c r="AB184" i="35" s="1"/>
  <c r="Z279" i="35"/>
  <c r="AA279" i="35"/>
  <c r="AB279" i="35" s="1"/>
  <c r="T735" i="33"/>
  <c r="T24" i="34"/>
  <c r="T169" i="34"/>
  <c r="T205" i="34"/>
  <c r="T284" i="34"/>
  <c r="T582" i="34"/>
  <c r="X189" i="35"/>
  <c r="AA189" i="35"/>
  <c r="AB189" i="35" s="1"/>
  <c r="T240" i="35"/>
  <c r="X468" i="35"/>
  <c r="AA468" i="35"/>
  <c r="AB468" i="35" s="1"/>
  <c r="AA55" i="38"/>
  <c r="AB55" i="38" s="1"/>
  <c r="V131" i="38"/>
  <c r="AA316" i="38"/>
  <c r="AB316" i="38" s="1"/>
  <c r="X316" i="38"/>
  <c r="X433" i="38"/>
  <c r="AA433" i="38"/>
  <c r="AB433" i="38" s="1"/>
  <c r="AA661" i="32"/>
  <c r="AB661" i="32" s="1"/>
  <c r="T665" i="32"/>
  <c r="T707" i="32"/>
  <c r="T26" i="33"/>
  <c r="T32" i="33"/>
  <c r="AA38" i="33"/>
  <c r="AB38" i="33" s="1"/>
  <c r="AA66" i="33"/>
  <c r="AB66" i="33" s="1"/>
  <c r="T97" i="33"/>
  <c r="T98" i="33"/>
  <c r="AA100" i="33"/>
  <c r="AB100" i="33" s="1"/>
  <c r="T104" i="33"/>
  <c r="J106" i="33"/>
  <c r="H106" i="33" s="1"/>
  <c r="I106" i="33" s="1"/>
  <c r="J113" i="33"/>
  <c r="H113" i="33" s="1"/>
  <c r="I113" i="33" s="1"/>
  <c r="T133" i="33"/>
  <c r="J140" i="33"/>
  <c r="H140" i="33" s="1"/>
  <c r="I140" i="33" s="1"/>
  <c r="V140" i="33" s="1"/>
  <c r="J240" i="33"/>
  <c r="H240" i="33" s="1"/>
  <c r="I240" i="33" s="1"/>
  <c r="AA245" i="33"/>
  <c r="AB245" i="33" s="1"/>
  <c r="AA246" i="33"/>
  <c r="AB246" i="33" s="1"/>
  <c r="T250" i="33"/>
  <c r="AA298" i="33"/>
  <c r="AB298" i="33" s="1"/>
  <c r="AA308" i="33"/>
  <c r="AB308" i="33" s="1"/>
  <c r="AA309" i="33"/>
  <c r="AB309" i="33" s="1"/>
  <c r="AA310" i="33"/>
  <c r="AB310" i="33" s="1"/>
  <c r="T313" i="33"/>
  <c r="T329" i="33"/>
  <c r="J332" i="33"/>
  <c r="H332" i="33" s="1"/>
  <c r="I332" i="33" s="1"/>
  <c r="AA334" i="33"/>
  <c r="AB334" i="33" s="1"/>
  <c r="T356" i="33"/>
  <c r="AA382" i="33"/>
  <c r="AB382" i="33" s="1"/>
  <c r="AA405" i="33"/>
  <c r="AB405" i="33" s="1"/>
  <c r="T431" i="33"/>
  <c r="AA435" i="33"/>
  <c r="AB435" i="33" s="1"/>
  <c r="AA469" i="33"/>
  <c r="AB469" i="33" s="1"/>
  <c r="AA478" i="33"/>
  <c r="AB478" i="33" s="1"/>
  <c r="AA479" i="33"/>
  <c r="AB479" i="33" s="1"/>
  <c r="AA488" i="33"/>
  <c r="AB488" i="33" s="1"/>
  <c r="AA489" i="33"/>
  <c r="AB489" i="33" s="1"/>
  <c r="AA490" i="33"/>
  <c r="AB490" i="33" s="1"/>
  <c r="AA498" i="33"/>
  <c r="AB498" i="33" s="1"/>
  <c r="AA517" i="33"/>
  <c r="AB517" i="33" s="1"/>
  <c r="AA523" i="33"/>
  <c r="AB523" i="33" s="1"/>
  <c r="T527" i="33"/>
  <c r="AA533" i="33"/>
  <c r="AB533" i="33" s="1"/>
  <c r="T545" i="33"/>
  <c r="AA552" i="33"/>
  <c r="AB552" i="33" s="1"/>
  <c r="AA559" i="33"/>
  <c r="AB559" i="33" s="1"/>
  <c r="AA576" i="33"/>
  <c r="AB576" i="33" s="1"/>
  <c r="AA587" i="33"/>
  <c r="AB587" i="33" s="1"/>
  <c r="AA588" i="33"/>
  <c r="AB588" i="33" s="1"/>
  <c r="AA605" i="33"/>
  <c r="AB605" i="33" s="1"/>
  <c r="AA606" i="33"/>
  <c r="AB606" i="33" s="1"/>
  <c r="T647" i="33"/>
  <c r="AA660" i="33"/>
  <c r="AB660" i="33" s="1"/>
  <c r="T680" i="33"/>
  <c r="J682" i="33"/>
  <c r="H682" i="33" s="1"/>
  <c r="I682" i="33" s="1"/>
  <c r="J700" i="33"/>
  <c r="H700" i="33" s="1"/>
  <c r="I700" i="33" s="1"/>
  <c r="AA730" i="33"/>
  <c r="AB730" i="33" s="1"/>
  <c r="AA22" i="34"/>
  <c r="AB22" i="34" s="1"/>
  <c r="T41" i="34"/>
  <c r="T50" i="34"/>
  <c r="T62" i="34"/>
  <c r="X92" i="34"/>
  <c r="T98" i="34"/>
  <c r="AA128" i="34"/>
  <c r="AB128" i="34" s="1"/>
  <c r="J133" i="34"/>
  <c r="H133" i="34" s="1"/>
  <c r="I133" i="34" s="1"/>
  <c r="X146" i="34"/>
  <c r="T176" i="34"/>
  <c r="T212" i="34"/>
  <c r="X254" i="34"/>
  <c r="AA256" i="34"/>
  <c r="AB256" i="34" s="1"/>
  <c r="AA355" i="34"/>
  <c r="AB355" i="34" s="1"/>
  <c r="J440" i="34"/>
  <c r="H440" i="34" s="1"/>
  <c r="I440" i="34" s="1"/>
  <c r="AA451" i="34"/>
  <c r="AB451" i="34" s="1"/>
  <c r="J521" i="34"/>
  <c r="H521" i="34" s="1"/>
  <c r="I521" i="34" s="1"/>
  <c r="V521" i="34" s="1"/>
  <c r="T545" i="34"/>
  <c r="T581" i="34"/>
  <c r="AA587" i="34"/>
  <c r="AB587" i="34" s="1"/>
  <c r="AA597" i="34"/>
  <c r="AB597" i="34" s="1"/>
  <c r="AA606" i="34"/>
  <c r="AB606" i="34" s="1"/>
  <c r="AA614" i="34"/>
  <c r="AB614" i="34" s="1"/>
  <c r="T628" i="34"/>
  <c r="AA648" i="34"/>
  <c r="AB648" i="34" s="1"/>
  <c r="J701" i="34"/>
  <c r="H701" i="34" s="1"/>
  <c r="I701" i="34" s="1"/>
  <c r="T709" i="34"/>
  <c r="AA722" i="34"/>
  <c r="AB722" i="34" s="1"/>
  <c r="J736" i="34"/>
  <c r="H736" i="34" s="1"/>
  <c r="I736" i="34" s="1"/>
  <c r="AA27" i="35"/>
  <c r="AB27" i="35" s="1"/>
  <c r="AA45" i="35"/>
  <c r="AB45" i="35" s="1"/>
  <c r="AA49" i="35"/>
  <c r="AB49" i="35" s="1"/>
  <c r="AA63" i="35"/>
  <c r="AB63" i="35" s="1"/>
  <c r="AA73" i="35"/>
  <c r="AB73" i="35" s="1"/>
  <c r="AA76" i="35"/>
  <c r="AB76" i="35" s="1"/>
  <c r="J124" i="35"/>
  <c r="H124" i="35" s="1"/>
  <c r="I124" i="35" s="1"/>
  <c r="J161" i="35"/>
  <c r="H161" i="35" s="1"/>
  <c r="I161" i="35" s="1"/>
  <c r="AA162" i="35"/>
  <c r="AB162" i="35" s="1"/>
  <c r="J204" i="35"/>
  <c r="H204" i="35" s="1"/>
  <c r="I204" i="35" s="1"/>
  <c r="AA252" i="35"/>
  <c r="AB252" i="35" s="1"/>
  <c r="AA369" i="35"/>
  <c r="AB369" i="35" s="1"/>
  <c r="J394" i="35"/>
  <c r="H394" i="35" s="1"/>
  <c r="I394" i="35" s="1"/>
  <c r="X550" i="35"/>
  <c r="AA550" i="35"/>
  <c r="AB550" i="35" s="1"/>
  <c r="AA560" i="35"/>
  <c r="AB560" i="35" s="1"/>
  <c r="AA650" i="35"/>
  <c r="AB650" i="35" s="1"/>
  <c r="X652" i="35"/>
  <c r="AA661" i="35"/>
  <c r="AB661" i="35" s="1"/>
  <c r="X129" i="38"/>
  <c r="AA129" i="38"/>
  <c r="AB129" i="38" s="1"/>
  <c r="X157" i="38"/>
  <c r="AA157" i="38"/>
  <c r="AB157" i="38" s="1"/>
  <c r="X193" i="38"/>
  <c r="AA193" i="38"/>
  <c r="AB193" i="38" s="1"/>
  <c r="X264" i="38"/>
  <c r="AA264" i="38"/>
  <c r="AB264" i="38" s="1"/>
  <c r="V386" i="38"/>
  <c r="J386" i="38"/>
  <c r="H386" i="38" s="1"/>
  <c r="I386" i="38" s="1"/>
  <c r="AA425" i="38"/>
  <c r="AB425" i="38" s="1"/>
  <c r="X425" i="38"/>
  <c r="X570" i="38"/>
  <c r="AA570" i="38"/>
  <c r="AB570" i="38" s="1"/>
  <c r="X245" i="39"/>
  <c r="AA245" i="39"/>
  <c r="AB245" i="39" s="1"/>
  <c r="X382" i="39"/>
  <c r="AA382" i="39"/>
  <c r="AB382" i="39" s="1"/>
  <c r="Z418" i="39"/>
  <c r="AA418" i="39"/>
  <c r="AB418" i="39" s="1"/>
  <c r="X533" i="39"/>
  <c r="AA533" i="39"/>
  <c r="AB533" i="39" s="1"/>
  <c r="AF81" i="40"/>
  <c r="V617" i="40"/>
  <c r="AA668" i="33"/>
  <c r="AB668" i="33" s="1"/>
  <c r="J691" i="33"/>
  <c r="H691" i="33" s="1"/>
  <c r="I691" i="33" s="1"/>
  <c r="T691" i="33"/>
  <c r="T707" i="33"/>
  <c r="T728" i="33"/>
  <c r="T86" i="34"/>
  <c r="T88" i="34"/>
  <c r="J98" i="34"/>
  <c r="H98" i="34" s="1"/>
  <c r="I98" i="34" s="1"/>
  <c r="V98" i="34" s="1"/>
  <c r="AA102" i="34"/>
  <c r="AB102" i="34" s="1"/>
  <c r="T134" i="34"/>
  <c r="J212" i="34"/>
  <c r="H212" i="34" s="1"/>
  <c r="I212" i="34" s="1"/>
  <c r="T248" i="34"/>
  <c r="J249" i="34"/>
  <c r="H249" i="34" s="1"/>
  <c r="I249" i="34" s="1"/>
  <c r="T323" i="34"/>
  <c r="J330" i="34"/>
  <c r="H330" i="34" s="1"/>
  <c r="I330" i="34" s="1"/>
  <c r="T368" i="34"/>
  <c r="AA379" i="34"/>
  <c r="AB379" i="34" s="1"/>
  <c r="T429" i="34"/>
  <c r="AA441" i="34"/>
  <c r="AB441" i="34" s="1"/>
  <c r="J455" i="34"/>
  <c r="H455" i="34" s="1"/>
  <c r="I455" i="34" s="1"/>
  <c r="T458" i="34"/>
  <c r="AA472" i="34"/>
  <c r="AB472" i="34" s="1"/>
  <c r="T483" i="34"/>
  <c r="J485" i="34"/>
  <c r="H485" i="34" s="1"/>
  <c r="I485" i="34" s="1"/>
  <c r="V485" i="34" s="1"/>
  <c r="T512" i="34"/>
  <c r="AA541" i="34"/>
  <c r="AB541" i="34" s="1"/>
  <c r="T573" i="34"/>
  <c r="T602" i="34"/>
  <c r="T609" i="34"/>
  <c r="AA616" i="34"/>
  <c r="AB616" i="34" s="1"/>
  <c r="T656" i="34"/>
  <c r="T682" i="34"/>
  <c r="T690" i="34"/>
  <c r="T707" i="34"/>
  <c r="T728" i="34"/>
  <c r="T735" i="34"/>
  <c r="T737" i="34"/>
  <c r="AA30" i="35"/>
  <c r="AB30" i="35" s="1"/>
  <c r="AA36" i="35"/>
  <c r="AB36" i="35" s="1"/>
  <c r="AA38" i="35"/>
  <c r="AB38" i="35" s="1"/>
  <c r="AJ17" i="35"/>
  <c r="AA47" i="35"/>
  <c r="AB47" i="35" s="1"/>
  <c r="AA67" i="35"/>
  <c r="AB67" i="35" s="1"/>
  <c r="X297" i="35"/>
  <c r="AA297" i="35"/>
  <c r="AB297" i="35" s="1"/>
  <c r="X318" i="35"/>
  <c r="AA318" i="35"/>
  <c r="AB318" i="35" s="1"/>
  <c r="AA325" i="35"/>
  <c r="AB325" i="35" s="1"/>
  <c r="AA336" i="35"/>
  <c r="AB336" i="35" s="1"/>
  <c r="J419" i="35"/>
  <c r="H419" i="35" s="1"/>
  <c r="I419" i="35" s="1"/>
  <c r="AA426" i="35"/>
  <c r="AB426" i="35" s="1"/>
  <c r="T428" i="35"/>
  <c r="AA156" i="38"/>
  <c r="AB156" i="38" s="1"/>
  <c r="J231" i="38"/>
  <c r="H231" i="38" s="1"/>
  <c r="I231" i="38" s="1"/>
  <c r="J239" i="38"/>
  <c r="H239" i="38" s="1"/>
  <c r="I239" i="38" s="1"/>
  <c r="Z244" i="38"/>
  <c r="AA244" i="38"/>
  <c r="AB244" i="38" s="1"/>
  <c r="AA318" i="38"/>
  <c r="AB318" i="38" s="1"/>
  <c r="X318" i="38"/>
  <c r="T368" i="38"/>
  <c r="X515" i="38"/>
  <c r="AA515" i="38"/>
  <c r="AB515" i="38" s="1"/>
  <c r="AA517" i="38"/>
  <c r="AB517" i="38" s="1"/>
  <c r="X517" i="38"/>
  <c r="Z643" i="38"/>
  <c r="AA643" i="38"/>
  <c r="AB643" i="38" s="1"/>
  <c r="V114" i="40"/>
  <c r="AF25" i="40"/>
  <c r="AA247" i="38"/>
  <c r="AB247" i="38" s="1"/>
  <c r="X723" i="38"/>
  <c r="AA723" i="38"/>
  <c r="AB723" i="38" s="1"/>
  <c r="X22" i="39"/>
  <c r="AA22" i="39"/>
  <c r="AB22" i="39" s="1"/>
  <c r="X66" i="39"/>
  <c r="AA66" i="39"/>
  <c r="AB66" i="39" s="1"/>
  <c r="X328" i="39"/>
  <c r="AA328" i="39"/>
  <c r="AB328" i="39" s="1"/>
  <c r="AA676" i="39"/>
  <c r="AB676" i="39" s="1"/>
  <c r="X676" i="39"/>
  <c r="X712" i="39"/>
  <c r="AI91" i="39" s="1"/>
  <c r="AA712" i="39"/>
  <c r="AB712" i="39" s="1"/>
  <c r="AF85" i="40"/>
  <c r="V395" i="40"/>
  <c r="V314" i="40"/>
  <c r="AH47" i="40" s="1"/>
  <c r="AG47" i="40"/>
  <c r="V357" i="40"/>
  <c r="AF52" i="40"/>
  <c r="V260" i="40"/>
  <c r="AH41" i="40" s="1"/>
  <c r="AL41" i="40" s="1"/>
  <c r="J29" i="37" s="1"/>
  <c r="AA498" i="34"/>
  <c r="AB498" i="34" s="1"/>
  <c r="J510" i="34"/>
  <c r="H510" i="34" s="1"/>
  <c r="I510" i="34" s="1"/>
  <c r="T528" i="34"/>
  <c r="J545" i="34"/>
  <c r="H545" i="34" s="1"/>
  <c r="I545" i="34" s="1"/>
  <c r="V545" i="34" s="1"/>
  <c r="AA568" i="34"/>
  <c r="AB568" i="34" s="1"/>
  <c r="AA569" i="34"/>
  <c r="AB569" i="34" s="1"/>
  <c r="AA604" i="34"/>
  <c r="AB604" i="34" s="1"/>
  <c r="T610" i="34"/>
  <c r="T665" i="34"/>
  <c r="T692" i="34"/>
  <c r="AA695" i="34"/>
  <c r="AB695" i="34" s="1"/>
  <c r="AA696" i="34"/>
  <c r="AB696" i="34" s="1"/>
  <c r="T708" i="34"/>
  <c r="J718" i="34"/>
  <c r="H718" i="34" s="1"/>
  <c r="I718" i="34" s="1"/>
  <c r="AA21" i="35"/>
  <c r="AB21" i="35" s="1"/>
  <c r="AA46" i="35"/>
  <c r="AB46" i="35" s="1"/>
  <c r="AA48" i="35"/>
  <c r="AB48" i="35" s="1"/>
  <c r="AA65" i="35"/>
  <c r="AB65" i="35" s="1"/>
  <c r="J106" i="35"/>
  <c r="H106" i="35" s="1"/>
  <c r="I106" i="35" s="1"/>
  <c r="J113" i="35"/>
  <c r="H113" i="35" s="1"/>
  <c r="I113" i="35" s="1"/>
  <c r="V113" i="35" s="1"/>
  <c r="AA165" i="35"/>
  <c r="AB165" i="35" s="1"/>
  <c r="J176" i="35"/>
  <c r="H176" i="35" s="1"/>
  <c r="I176" i="35" s="1"/>
  <c r="T212" i="35"/>
  <c r="J215" i="35"/>
  <c r="H215" i="35" s="1"/>
  <c r="I215" i="35" s="1"/>
  <c r="AA244" i="35"/>
  <c r="AB244" i="35" s="1"/>
  <c r="AA262" i="35"/>
  <c r="AB262" i="35" s="1"/>
  <c r="AA333" i="35"/>
  <c r="AB333" i="35" s="1"/>
  <c r="J358" i="35"/>
  <c r="H358" i="35" s="1"/>
  <c r="I358" i="35" s="1"/>
  <c r="J376" i="35"/>
  <c r="H376" i="35" s="1"/>
  <c r="I376" i="35" s="1"/>
  <c r="T466" i="35"/>
  <c r="AA471" i="35"/>
  <c r="AB471" i="35" s="1"/>
  <c r="AA507" i="35"/>
  <c r="AB507" i="35" s="1"/>
  <c r="T636" i="35"/>
  <c r="J655" i="35"/>
  <c r="H655" i="35" s="1"/>
  <c r="I655" i="35" s="1"/>
  <c r="AA723" i="35"/>
  <c r="AB723" i="35" s="1"/>
  <c r="T737" i="35"/>
  <c r="J71" i="38"/>
  <c r="H71" i="38" s="1"/>
  <c r="I71" i="38" s="1"/>
  <c r="AA103" i="38"/>
  <c r="AB103" i="38" s="1"/>
  <c r="T113" i="38"/>
  <c r="J178" i="38"/>
  <c r="H178" i="38" s="1"/>
  <c r="I178" i="38" s="1"/>
  <c r="T248" i="38"/>
  <c r="AA387" i="38"/>
  <c r="AB387" i="38" s="1"/>
  <c r="J449" i="38"/>
  <c r="H449" i="38" s="1"/>
  <c r="I449" i="38" s="1"/>
  <c r="AA499" i="38"/>
  <c r="AB499" i="38" s="1"/>
  <c r="J521" i="38"/>
  <c r="H521" i="38" s="1"/>
  <c r="I521" i="38" s="1"/>
  <c r="J545" i="38"/>
  <c r="H545" i="38" s="1"/>
  <c r="I545" i="38" s="1"/>
  <c r="X633" i="38"/>
  <c r="AA633" i="38"/>
  <c r="AB633" i="38" s="1"/>
  <c r="X144" i="39"/>
  <c r="AA144" i="39"/>
  <c r="AB144" i="39" s="1"/>
  <c r="T159" i="39"/>
  <c r="T566" i="39"/>
  <c r="J590" i="39"/>
  <c r="H590" i="39" s="1"/>
  <c r="I590" i="39" s="1"/>
  <c r="J611" i="39"/>
  <c r="H611" i="39" s="1"/>
  <c r="I611" i="39" s="1"/>
  <c r="T662" i="39"/>
  <c r="AA666" i="39"/>
  <c r="AB666" i="39" s="1"/>
  <c r="X666" i="39"/>
  <c r="AG55" i="40"/>
  <c r="T394" i="35"/>
  <c r="J437" i="35"/>
  <c r="H437" i="35" s="1"/>
  <c r="I437" i="35" s="1"/>
  <c r="V437" i="35" s="1"/>
  <c r="J574" i="35"/>
  <c r="H574" i="35" s="1"/>
  <c r="I574" i="35" s="1"/>
  <c r="AA594" i="35"/>
  <c r="AB594" i="35" s="1"/>
  <c r="AA604" i="35"/>
  <c r="AB604" i="35" s="1"/>
  <c r="AA605" i="35"/>
  <c r="AB605" i="35" s="1"/>
  <c r="AA606" i="35"/>
  <c r="AB606" i="35" s="1"/>
  <c r="AA607" i="35"/>
  <c r="AB607" i="35" s="1"/>
  <c r="AA622" i="35"/>
  <c r="AB622" i="35" s="1"/>
  <c r="J644" i="35"/>
  <c r="H644" i="35" s="1"/>
  <c r="I644" i="35" s="1"/>
  <c r="V644" i="35" s="1"/>
  <c r="T674" i="35"/>
  <c r="J682" i="35"/>
  <c r="H682" i="35" s="1"/>
  <c r="I682" i="35" s="1"/>
  <c r="AA714" i="35"/>
  <c r="AB714" i="35" s="1"/>
  <c r="AA37" i="38"/>
  <c r="AB37" i="38" s="1"/>
  <c r="AA46" i="38"/>
  <c r="AB46" i="38" s="1"/>
  <c r="J134" i="38"/>
  <c r="H134" i="38" s="1"/>
  <c r="I134" i="38" s="1"/>
  <c r="J250" i="38"/>
  <c r="H250" i="38" s="1"/>
  <c r="I250" i="38" s="1"/>
  <c r="AA299" i="38"/>
  <c r="AB299" i="38" s="1"/>
  <c r="AA334" i="38"/>
  <c r="AB334" i="38" s="1"/>
  <c r="AA336" i="38"/>
  <c r="AB336" i="38" s="1"/>
  <c r="AA370" i="38"/>
  <c r="AB370" i="38" s="1"/>
  <c r="J402" i="38"/>
  <c r="H402" i="38" s="1"/>
  <c r="I402" i="38" s="1"/>
  <c r="V402" i="38" s="1"/>
  <c r="AA453" i="38"/>
  <c r="AB453" i="38" s="1"/>
  <c r="AA470" i="38"/>
  <c r="AB470" i="38" s="1"/>
  <c r="AA472" i="38"/>
  <c r="AB472" i="38" s="1"/>
  <c r="Z472" i="38"/>
  <c r="X495" i="38"/>
  <c r="AA495" i="38"/>
  <c r="AB495" i="38" s="1"/>
  <c r="J529" i="38"/>
  <c r="H529" i="38" s="1"/>
  <c r="I529" i="38" s="1"/>
  <c r="X531" i="38"/>
  <c r="AA531" i="38"/>
  <c r="AB531" i="38" s="1"/>
  <c r="J581" i="38"/>
  <c r="H581" i="38" s="1"/>
  <c r="I581" i="38" s="1"/>
  <c r="J654" i="38"/>
  <c r="H654" i="38" s="1"/>
  <c r="I654" i="38" s="1"/>
  <c r="V654" i="38" s="1"/>
  <c r="AI14" i="39"/>
  <c r="J26" i="39"/>
  <c r="H26" i="39" s="1"/>
  <c r="I26" i="39" s="1"/>
  <c r="T32" i="39"/>
  <c r="T53" i="39"/>
  <c r="T60" i="39"/>
  <c r="AA93" i="39"/>
  <c r="AB93" i="39" s="1"/>
  <c r="X93" i="39"/>
  <c r="T107" i="39"/>
  <c r="X111" i="39"/>
  <c r="J113" i="39"/>
  <c r="H113" i="39" s="1"/>
  <c r="I113" i="39" s="1"/>
  <c r="T125" i="39"/>
  <c r="T545" i="39"/>
  <c r="V727" i="40"/>
  <c r="AH93" i="40" s="1"/>
  <c r="AI22" i="40"/>
  <c r="V240" i="40"/>
  <c r="AH39" i="40" s="1"/>
  <c r="AF31" i="40"/>
  <c r="AF23" i="40"/>
  <c r="V96" i="40"/>
  <c r="T15" i="39"/>
  <c r="T17" i="39"/>
  <c r="T23" i="39"/>
  <c r="J51" i="39"/>
  <c r="H51" i="39" s="1"/>
  <c r="I51" i="39" s="1"/>
  <c r="AA91" i="39"/>
  <c r="AB91" i="39" s="1"/>
  <c r="X227" i="39"/>
  <c r="AA227" i="39"/>
  <c r="AB227" i="39" s="1"/>
  <c r="T250" i="39"/>
  <c r="T268" i="39"/>
  <c r="T339" i="39"/>
  <c r="AA391" i="39"/>
  <c r="AB391" i="39" s="1"/>
  <c r="X391" i="39"/>
  <c r="X477" i="39"/>
  <c r="AA477" i="39"/>
  <c r="AB477" i="39" s="1"/>
  <c r="T726" i="39"/>
  <c r="AF89" i="40"/>
  <c r="AG86" i="40"/>
  <c r="V547" i="40"/>
  <c r="AG61" i="40"/>
  <c r="AG73" i="40"/>
  <c r="AI34" i="40"/>
  <c r="V169" i="40"/>
  <c r="AF60" i="40"/>
  <c r="AF20" i="40"/>
  <c r="V68" i="40"/>
  <c r="AH20" i="40" s="1"/>
  <c r="J466" i="38"/>
  <c r="H466" i="38" s="1"/>
  <c r="I466" i="38" s="1"/>
  <c r="AA481" i="38"/>
  <c r="AB481" i="38" s="1"/>
  <c r="J518" i="38"/>
  <c r="H518" i="38" s="1"/>
  <c r="I518" i="38" s="1"/>
  <c r="J520" i="38"/>
  <c r="H520" i="38" s="1"/>
  <c r="I520" i="38" s="1"/>
  <c r="AA605" i="38"/>
  <c r="AB605" i="38" s="1"/>
  <c r="AA607" i="38"/>
  <c r="AB607" i="38" s="1"/>
  <c r="J611" i="38"/>
  <c r="H611" i="38" s="1"/>
  <c r="I611" i="38" s="1"/>
  <c r="AA624" i="38"/>
  <c r="AB624" i="38" s="1"/>
  <c r="AA649" i="38"/>
  <c r="AB649" i="38" s="1"/>
  <c r="T77" i="39"/>
  <c r="T87" i="39"/>
  <c r="X91" i="39"/>
  <c r="T133" i="39"/>
  <c r="T215" i="39"/>
  <c r="T257" i="39"/>
  <c r="T276" i="39"/>
  <c r="J331" i="39"/>
  <c r="H331" i="39" s="1"/>
  <c r="I331" i="39" s="1"/>
  <c r="T428" i="39"/>
  <c r="T429" i="39"/>
  <c r="T431" i="39"/>
  <c r="X490" i="39"/>
  <c r="AA490" i="39"/>
  <c r="AB490" i="39" s="1"/>
  <c r="T554" i="39"/>
  <c r="AA622" i="39"/>
  <c r="AB622" i="39" s="1"/>
  <c r="AA639" i="39"/>
  <c r="AB639" i="39" s="1"/>
  <c r="T656" i="39"/>
  <c r="AG90" i="40"/>
  <c r="AG87" i="40"/>
  <c r="V691" i="40"/>
  <c r="V168" i="40"/>
  <c r="AH31" i="40" s="1"/>
  <c r="V52" i="40"/>
  <c r="J177" i="39"/>
  <c r="H177" i="39" s="1"/>
  <c r="I177" i="39" s="1"/>
  <c r="AA210" i="39"/>
  <c r="AB210" i="39" s="1"/>
  <c r="AA211" i="39"/>
  <c r="AB211" i="39" s="1"/>
  <c r="J230" i="39"/>
  <c r="H230" i="39" s="1"/>
  <c r="I230" i="39" s="1"/>
  <c r="T248" i="39"/>
  <c r="J313" i="39"/>
  <c r="H313" i="39" s="1"/>
  <c r="I313" i="39" s="1"/>
  <c r="T365" i="39"/>
  <c r="J402" i="39"/>
  <c r="H402" i="39" s="1"/>
  <c r="I402" i="39" s="1"/>
  <c r="T430" i="39"/>
  <c r="T473" i="39"/>
  <c r="T565" i="39"/>
  <c r="T600" i="39"/>
  <c r="AA606" i="39"/>
  <c r="AB606" i="39" s="1"/>
  <c r="T636" i="39"/>
  <c r="T665" i="39"/>
  <c r="T674" i="39"/>
  <c r="T701" i="39"/>
  <c r="J727" i="39"/>
  <c r="H727" i="39" s="1"/>
  <c r="I727" i="39" s="1"/>
  <c r="T735" i="39"/>
  <c r="AG93" i="40"/>
  <c r="AF94" i="40"/>
  <c r="AF93" i="40"/>
  <c r="AG80" i="40"/>
  <c r="AK75" i="40"/>
  <c r="AG78" i="40"/>
  <c r="AG74" i="40"/>
  <c r="AG69" i="40"/>
  <c r="AG68" i="40"/>
  <c r="AI53" i="40"/>
  <c r="AI51" i="40"/>
  <c r="AG36" i="40"/>
  <c r="AG35" i="40"/>
  <c r="AG32" i="40"/>
  <c r="AG31" i="40"/>
  <c r="AG28" i="40"/>
  <c r="AG27" i="40"/>
  <c r="AG22" i="40"/>
  <c r="AG18" i="40"/>
  <c r="T286" i="39"/>
  <c r="J295" i="39"/>
  <c r="H295" i="39" s="1"/>
  <c r="I295" i="39" s="1"/>
  <c r="T322" i="39"/>
  <c r="T329" i="39"/>
  <c r="T350" i="39"/>
  <c r="J367" i="39"/>
  <c r="H367" i="39" s="1"/>
  <c r="I367" i="39" s="1"/>
  <c r="T393" i="39"/>
  <c r="AA398" i="39"/>
  <c r="AB398" i="39" s="1"/>
  <c r="T401" i="39"/>
  <c r="T448" i="39"/>
  <c r="AA472" i="39"/>
  <c r="AB472" i="39" s="1"/>
  <c r="J473" i="39"/>
  <c r="H473" i="39" s="1"/>
  <c r="I473" i="39" s="1"/>
  <c r="J539" i="39"/>
  <c r="H539" i="39" s="1"/>
  <c r="I539" i="39" s="1"/>
  <c r="V539" i="39" s="1"/>
  <c r="AA559" i="39"/>
  <c r="AB559" i="39" s="1"/>
  <c r="AA560" i="39"/>
  <c r="AB560" i="39" s="1"/>
  <c r="AA561" i="39"/>
  <c r="AB561" i="39" s="1"/>
  <c r="AA562" i="39"/>
  <c r="AB562" i="39" s="1"/>
  <c r="AA567" i="39"/>
  <c r="AB567" i="39" s="1"/>
  <c r="AA577" i="39"/>
  <c r="AB577" i="39" s="1"/>
  <c r="T591" i="39"/>
  <c r="AA684" i="39"/>
  <c r="AB684" i="39" s="1"/>
  <c r="AA704" i="39"/>
  <c r="AB704" i="39" s="1"/>
  <c r="AF92" i="40"/>
  <c r="AK85" i="40"/>
  <c r="AG91" i="40"/>
  <c r="AG83" i="40"/>
  <c r="AG82" i="40"/>
  <c r="AH78" i="40"/>
  <c r="AK83" i="40"/>
  <c r="AK63" i="40"/>
  <c r="AG62" i="40"/>
  <c r="AG59" i="40"/>
  <c r="AF79" i="40"/>
  <c r="AG56" i="40"/>
  <c r="AG44" i="40"/>
  <c r="AK43" i="40"/>
  <c r="AK38" i="40"/>
  <c r="AH23" i="40"/>
  <c r="AG21" i="40"/>
  <c r="V259" i="40"/>
  <c r="AG30" i="40"/>
  <c r="AK76" i="40"/>
  <c r="AF70" i="40"/>
  <c r="AG48" i="40"/>
  <c r="AG43" i="40"/>
  <c r="AG67" i="40"/>
  <c r="AI80" i="40"/>
  <c r="AK55" i="40"/>
  <c r="AI26" i="40"/>
  <c r="AK29" i="40"/>
  <c r="AF21" i="40"/>
  <c r="AG20" i="40"/>
  <c r="AI91" i="40"/>
  <c r="AI82" i="40"/>
  <c r="AI54" i="40"/>
  <c r="AK31" i="40"/>
  <c r="T538" i="33"/>
  <c r="T232" i="32"/>
  <c r="T386" i="32"/>
  <c r="T296" i="32"/>
  <c r="X333" i="32"/>
  <c r="AA333" i="32"/>
  <c r="AB333" i="32" s="1"/>
  <c r="X409" i="32"/>
  <c r="AA409" i="32"/>
  <c r="AB409" i="32" s="1"/>
  <c r="Z497" i="32"/>
  <c r="AA497" i="32"/>
  <c r="AB497" i="32" s="1"/>
  <c r="L557" i="32"/>
  <c r="L582" i="32"/>
  <c r="T664" i="32"/>
  <c r="X679" i="32"/>
  <c r="AA679" i="32"/>
  <c r="AB679" i="32" s="1"/>
  <c r="X730" i="32"/>
  <c r="AA730" i="32"/>
  <c r="AB730" i="32" s="1"/>
  <c r="L34" i="33"/>
  <c r="T70" i="33"/>
  <c r="L257" i="33"/>
  <c r="L411" i="33"/>
  <c r="AA434" i="33"/>
  <c r="AB434" i="33" s="1"/>
  <c r="X434" i="33"/>
  <c r="AA542" i="33"/>
  <c r="AB542" i="33" s="1"/>
  <c r="X542" i="33"/>
  <c r="AA562" i="33"/>
  <c r="AB562" i="33" s="1"/>
  <c r="X562" i="33"/>
  <c r="L699" i="33"/>
  <c r="L736" i="33"/>
  <c r="X100" i="34"/>
  <c r="AA100" i="34"/>
  <c r="AB100" i="34" s="1"/>
  <c r="Z236" i="34"/>
  <c r="AA236" i="34"/>
  <c r="AB236" i="34" s="1"/>
  <c r="X274" i="34"/>
  <c r="AA274" i="34"/>
  <c r="AB274" i="34" s="1"/>
  <c r="X704" i="34"/>
  <c r="AA704" i="34"/>
  <c r="AB704" i="34" s="1"/>
  <c r="AA211" i="35"/>
  <c r="AB211" i="35" s="1"/>
  <c r="X211" i="35"/>
  <c r="X478" i="35"/>
  <c r="AA478" i="35"/>
  <c r="AB478" i="35" s="1"/>
  <c r="X569" i="35"/>
  <c r="AA569" i="35"/>
  <c r="AB569" i="35" s="1"/>
  <c r="L628" i="35"/>
  <c r="X162" i="38"/>
  <c r="AA162" i="38"/>
  <c r="AB162" i="38" s="1"/>
  <c r="X64" i="32"/>
  <c r="AA92" i="32"/>
  <c r="AB92" i="32" s="1"/>
  <c r="X92" i="32"/>
  <c r="Z181" i="32"/>
  <c r="AA298" i="32"/>
  <c r="AB298" i="32" s="1"/>
  <c r="Z298" i="32"/>
  <c r="T375" i="32"/>
  <c r="T474" i="32"/>
  <c r="X489" i="32"/>
  <c r="AA489" i="32"/>
  <c r="AB489" i="32" s="1"/>
  <c r="AA597" i="32"/>
  <c r="AB597" i="32" s="1"/>
  <c r="X597" i="32"/>
  <c r="X603" i="32"/>
  <c r="T16" i="33"/>
  <c r="T44" i="33"/>
  <c r="X45" i="33"/>
  <c r="T69" i="33"/>
  <c r="L80" i="33"/>
  <c r="T131" i="33"/>
  <c r="T213" i="33"/>
  <c r="Z218" i="33"/>
  <c r="AJ36" i="33" s="1"/>
  <c r="AA288" i="33"/>
  <c r="AB288" i="33" s="1"/>
  <c r="X288" i="33"/>
  <c r="Z334" i="33"/>
  <c r="T440" i="33"/>
  <c r="L466" i="33"/>
  <c r="X479" i="33"/>
  <c r="J485" i="33"/>
  <c r="H485" i="33" s="1"/>
  <c r="I485" i="33" s="1"/>
  <c r="AA550" i="33"/>
  <c r="AB550" i="33" s="1"/>
  <c r="X550" i="33"/>
  <c r="L557" i="33"/>
  <c r="T608" i="33"/>
  <c r="L638" i="33"/>
  <c r="J656" i="33"/>
  <c r="H656" i="33" s="1"/>
  <c r="I656" i="33" s="1"/>
  <c r="T664" i="33"/>
  <c r="X676" i="33"/>
  <c r="X705" i="33"/>
  <c r="AA705" i="33"/>
  <c r="AB705" i="33" s="1"/>
  <c r="AA731" i="33"/>
  <c r="AB731" i="33" s="1"/>
  <c r="X731" i="33"/>
  <c r="T96" i="34"/>
  <c r="X227" i="34"/>
  <c r="AA227" i="34"/>
  <c r="AB227" i="34" s="1"/>
  <c r="X244" i="34"/>
  <c r="AA244" i="34"/>
  <c r="AB244" i="34" s="1"/>
  <c r="AA263" i="34"/>
  <c r="AB263" i="34" s="1"/>
  <c r="T287" i="34"/>
  <c r="T293" i="34"/>
  <c r="T303" i="34"/>
  <c r="T314" i="34"/>
  <c r="AA335" i="34"/>
  <c r="AB335" i="34" s="1"/>
  <c r="T386" i="34"/>
  <c r="T393" i="34"/>
  <c r="T411" i="34"/>
  <c r="X433" i="34"/>
  <c r="AA433" i="34"/>
  <c r="AB433" i="34" s="1"/>
  <c r="T448" i="34"/>
  <c r="AA460" i="34"/>
  <c r="AB460" i="34" s="1"/>
  <c r="Z460" i="34"/>
  <c r="T502" i="34"/>
  <c r="T511" i="34"/>
  <c r="AA561" i="34"/>
  <c r="AB561" i="34" s="1"/>
  <c r="X561" i="34"/>
  <c r="T617" i="34"/>
  <c r="AA694" i="34"/>
  <c r="AB694" i="34" s="1"/>
  <c r="X694" i="34"/>
  <c r="AA39" i="35"/>
  <c r="AB39" i="35" s="1"/>
  <c r="X39" i="35"/>
  <c r="X130" i="35"/>
  <c r="AI26" i="35" s="1"/>
  <c r="AA130" i="35"/>
  <c r="AB130" i="35" s="1"/>
  <c r="J150" i="35"/>
  <c r="H150" i="35" s="1"/>
  <c r="I150" i="35" s="1"/>
  <c r="V150" i="35" s="1"/>
  <c r="J194" i="35"/>
  <c r="H194" i="35" s="1"/>
  <c r="I194" i="35" s="1"/>
  <c r="V194" i="35" s="1"/>
  <c r="AA226" i="35"/>
  <c r="AB226" i="35" s="1"/>
  <c r="X226" i="35"/>
  <c r="X417" i="35"/>
  <c r="AA417" i="35"/>
  <c r="AB417" i="35" s="1"/>
  <c r="X441" i="35"/>
  <c r="AA441" i="35"/>
  <c r="AB441" i="35" s="1"/>
  <c r="AA513" i="35"/>
  <c r="AB513" i="35" s="1"/>
  <c r="X513" i="35"/>
  <c r="AI69" i="35" s="1"/>
  <c r="Z641" i="35"/>
  <c r="AA641" i="35"/>
  <c r="AB641" i="35" s="1"/>
  <c r="AA721" i="35"/>
  <c r="AB721" i="35" s="1"/>
  <c r="Z721" i="35"/>
  <c r="AA21" i="38"/>
  <c r="AB21" i="38" s="1"/>
  <c r="X21" i="38"/>
  <c r="AA65" i="38"/>
  <c r="AB65" i="38" s="1"/>
  <c r="X65" i="38"/>
  <c r="AA121" i="38"/>
  <c r="AB121" i="38" s="1"/>
  <c r="Z121" i="38"/>
  <c r="J124" i="38"/>
  <c r="H124" i="38" s="1"/>
  <c r="I124" i="38" s="1"/>
  <c r="V124" i="38" s="1"/>
  <c r="X155" i="38"/>
  <c r="AA155" i="38"/>
  <c r="AB155" i="38" s="1"/>
  <c r="X192" i="38"/>
  <c r="AA192" i="38"/>
  <c r="AB192" i="38" s="1"/>
  <c r="X198" i="38"/>
  <c r="AA198" i="38"/>
  <c r="AB198" i="38" s="1"/>
  <c r="J203" i="38"/>
  <c r="H203" i="38" s="1"/>
  <c r="I203" i="38" s="1"/>
  <c r="V203" i="38" s="1"/>
  <c r="AA235" i="38"/>
  <c r="AB235" i="38" s="1"/>
  <c r="X235" i="38"/>
  <c r="AA408" i="38"/>
  <c r="AB408" i="38" s="1"/>
  <c r="X408" i="38"/>
  <c r="AA409" i="38"/>
  <c r="AB409" i="38" s="1"/>
  <c r="X409" i="38"/>
  <c r="L466" i="38"/>
  <c r="L474" i="38"/>
  <c r="X416" i="39"/>
  <c r="AA416" i="39"/>
  <c r="AB416" i="39" s="1"/>
  <c r="AA588" i="39"/>
  <c r="AB588" i="39" s="1"/>
  <c r="X588" i="39"/>
  <c r="AI77" i="39" s="1"/>
  <c r="AA677" i="39"/>
  <c r="AB677" i="39" s="1"/>
  <c r="X677" i="39"/>
  <c r="T124" i="32"/>
  <c r="AA209" i="32"/>
  <c r="AB209" i="32" s="1"/>
  <c r="X209" i="32"/>
  <c r="Z553" i="32"/>
  <c r="AA553" i="32"/>
  <c r="AB553" i="32" s="1"/>
  <c r="T710" i="32"/>
  <c r="X712" i="32"/>
  <c r="AA712" i="32"/>
  <c r="AB712" i="32" s="1"/>
  <c r="X720" i="32"/>
  <c r="AA720" i="32"/>
  <c r="AB720" i="32" s="1"/>
  <c r="T728" i="32"/>
  <c r="L51" i="33"/>
  <c r="X82" i="33"/>
  <c r="AA82" i="33"/>
  <c r="AB82" i="33" s="1"/>
  <c r="L96" i="33"/>
  <c r="L106" i="33"/>
  <c r="V106" i="33" s="1"/>
  <c r="L131" i="33"/>
  <c r="L143" i="33"/>
  <c r="T321" i="33"/>
  <c r="L392" i="33"/>
  <c r="L473" i="33"/>
  <c r="AA585" i="33"/>
  <c r="AB585" i="33" s="1"/>
  <c r="X585" i="33"/>
  <c r="L617" i="33"/>
  <c r="X715" i="33"/>
  <c r="AA715" i="33"/>
  <c r="AB715" i="33" s="1"/>
  <c r="L718" i="33"/>
  <c r="X136" i="34"/>
  <c r="AA136" i="34"/>
  <c r="AB136" i="34" s="1"/>
  <c r="X202" i="34"/>
  <c r="AA202" i="34"/>
  <c r="AB202" i="34" s="1"/>
  <c r="X265" i="34"/>
  <c r="AA265" i="34"/>
  <c r="AB265" i="34" s="1"/>
  <c r="X344" i="34"/>
  <c r="AA344" i="34"/>
  <c r="AB344" i="34" s="1"/>
  <c r="Z363" i="34"/>
  <c r="AA363" i="34"/>
  <c r="AB363" i="34" s="1"/>
  <c r="X387" i="34"/>
  <c r="AA387" i="34"/>
  <c r="AB387" i="34" s="1"/>
  <c r="AA594" i="34"/>
  <c r="AB594" i="34" s="1"/>
  <c r="X594" i="34"/>
  <c r="Z110" i="35"/>
  <c r="AA110" i="35"/>
  <c r="AB110" i="35" s="1"/>
  <c r="L239" i="35"/>
  <c r="L276" i="35"/>
  <c r="X480" i="35"/>
  <c r="AA480" i="35"/>
  <c r="AB480" i="35" s="1"/>
  <c r="AA630" i="35"/>
  <c r="AB630" i="35" s="1"/>
  <c r="X630" i="35"/>
  <c r="AA731" i="35"/>
  <c r="AB731" i="35" s="1"/>
  <c r="X731" i="35"/>
  <c r="AA72" i="38"/>
  <c r="AB72" i="38" s="1"/>
  <c r="X72" i="38"/>
  <c r="X101" i="38"/>
  <c r="AA101" i="38"/>
  <c r="AB101" i="38" s="1"/>
  <c r="AA245" i="38"/>
  <c r="AB245" i="38" s="1"/>
  <c r="Z245" i="38"/>
  <c r="AA255" i="38"/>
  <c r="AB255" i="38" s="1"/>
  <c r="X255" i="38"/>
  <c r="AA30" i="39"/>
  <c r="AB30" i="39" s="1"/>
  <c r="X30" i="39"/>
  <c r="V50" i="40"/>
  <c r="AH18" i="40" s="1"/>
  <c r="AL18" i="40" s="1"/>
  <c r="J6" i="37" s="1"/>
  <c r="AF18" i="40"/>
  <c r="AI64" i="40"/>
  <c r="AK41" i="40"/>
  <c r="X31" i="32"/>
  <c r="AA45" i="32"/>
  <c r="AB45" i="32" s="1"/>
  <c r="X45" i="32"/>
  <c r="T50" i="32"/>
  <c r="T52" i="32"/>
  <c r="T59" i="32"/>
  <c r="AA84" i="32"/>
  <c r="AB84" i="32" s="1"/>
  <c r="X84" i="32"/>
  <c r="AA103" i="32"/>
  <c r="AB103" i="32" s="1"/>
  <c r="X103" i="32"/>
  <c r="T113" i="32"/>
  <c r="T142" i="32"/>
  <c r="T149" i="32"/>
  <c r="T169" i="32"/>
  <c r="T196" i="32"/>
  <c r="X216" i="32"/>
  <c r="X225" i="32"/>
  <c r="AA225" i="32"/>
  <c r="AB225" i="32" s="1"/>
  <c r="T242" i="32"/>
  <c r="AA274" i="32"/>
  <c r="AB274" i="32" s="1"/>
  <c r="T329" i="32"/>
  <c r="T340" i="32"/>
  <c r="L348" i="32"/>
  <c r="X387" i="32"/>
  <c r="AA387" i="32"/>
  <c r="AB387" i="32" s="1"/>
  <c r="T395" i="32"/>
  <c r="T456" i="32"/>
  <c r="X487" i="32"/>
  <c r="AA487" i="32"/>
  <c r="AB487" i="32" s="1"/>
  <c r="AA499" i="32"/>
  <c r="AB499" i="32" s="1"/>
  <c r="T501" i="32"/>
  <c r="T509" i="32"/>
  <c r="X515" i="32"/>
  <c r="T584" i="32"/>
  <c r="T592" i="32"/>
  <c r="T608" i="32"/>
  <c r="AA650" i="32"/>
  <c r="AB650" i="32" s="1"/>
  <c r="X650" i="32"/>
  <c r="T653" i="32"/>
  <c r="AA666" i="32"/>
  <c r="AB666" i="32" s="1"/>
  <c r="X666" i="32"/>
  <c r="T690" i="32"/>
  <c r="T709" i="32"/>
  <c r="L726" i="32"/>
  <c r="T24" i="33"/>
  <c r="L41" i="33"/>
  <c r="T43" i="33"/>
  <c r="T106" i="33"/>
  <c r="L113" i="33"/>
  <c r="V113" i="33" s="1"/>
  <c r="J150" i="33"/>
  <c r="H150" i="33" s="1"/>
  <c r="I150" i="33" s="1"/>
  <c r="T179" i="33"/>
  <c r="T224" i="33"/>
  <c r="L240" i="33"/>
  <c r="AA262" i="33"/>
  <c r="AB262" i="33" s="1"/>
  <c r="X262" i="33"/>
  <c r="T267" i="33"/>
  <c r="T303" i="33"/>
  <c r="X315" i="33"/>
  <c r="AA315" i="33"/>
  <c r="AB315" i="33" s="1"/>
  <c r="Z318" i="33"/>
  <c r="AA325" i="33"/>
  <c r="AB325" i="33" s="1"/>
  <c r="X327" i="33"/>
  <c r="AA336" i="33"/>
  <c r="AB336" i="33" s="1"/>
  <c r="Z336" i="33"/>
  <c r="L404" i="33"/>
  <c r="X405" i="33"/>
  <c r="L428" i="33"/>
  <c r="L447" i="33"/>
  <c r="T465" i="33"/>
  <c r="T476" i="33"/>
  <c r="AA480" i="33"/>
  <c r="AB480" i="33" s="1"/>
  <c r="X480" i="33"/>
  <c r="L502" i="33"/>
  <c r="T529" i="33"/>
  <c r="T15" i="32"/>
  <c r="T16" i="32"/>
  <c r="AA27" i="32"/>
  <c r="AB27" i="32" s="1"/>
  <c r="X38" i="32"/>
  <c r="T43" i="32"/>
  <c r="X63" i="32"/>
  <c r="J71" i="32"/>
  <c r="H71" i="32" s="1"/>
  <c r="I71" i="32" s="1"/>
  <c r="X72" i="32"/>
  <c r="T77" i="32"/>
  <c r="T95" i="32"/>
  <c r="T107" i="32"/>
  <c r="AA109" i="32"/>
  <c r="AB109" i="32" s="1"/>
  <c r="AA128" i="32"/>
  <c r="AB128" i="32" s="1"/>
  <c r="T133" i="32"/>
  <c r="X136" i="32"/>
  <c r="T140" i="32"/>
  <c r="AA155" i="32"/>
  <c r="AB155" i="32" s="1"/>
  <c r="X155" i="32"/>
  <c r="X166" i="32"/>
  <c r="T168" i="32"/>
  <c r="T185" i="32"/>
  <c r="AA198" i="32"/>
  <c r="AB198" i="32" s="1"/>
  <c r="X198" i="32"/>
  <c r="T203" i="32"/>
  <c r="T215" i="32"/>
  <c r="T223" i="32"/>
  <c r="X237" i="32"/>
  <c r="AA245" i="32"/>
  <c r="AB245" i="32" s="1"/>
  <c r="X245" i="32"/>
  <c r="T250" i="32"/>
  <c r="T251" i="32"/>
  <c r="T257" i="32"/>
  <c r="X261" i="32"/>
  <c r="AA261" i="32"/>
  <c r="AB261" i="32" s="1"/>
  <c r="T278" i="32"/>
  <c r="T311" i="32"/>
  <c r="X336" i="32"/>
  <c r="AA336" i="32"/>
  <c r="AB336" i="32" s="1"/>
  <c r="T365" i="32"/>
  <c r="X369" i="32"/>
  <c r="AA369" i="32"/>
  <c r="AB369" i="32" s="1"/>
  <c r="T383" i="32"/>
  <c r="T422" i="32"/>
  <c r="AA454" i="32"/>
  <c r="AB454" i="32" s="1"/>
  <c r="L456" i="32"/>
  <c r="T467" i="32"/>
  <c r="T485" i="32"/>
  <c r="T494" i="32"/>
  <c r="T503" i="32"/>
  <c r="J528" i="32"/>
  <c r="H528" i="32" s="1"/>
  <c r="I528" i="32" s="1"/>
  <c r="J539" i="32"/>
  <c r="H539" i="32" s="1"/>
  <c r="I539" i="32" s="1"/>
  <c r="X542" i="32"/>
  <c r="AA542" i="32"/>
  <c r="AB542" i="32" s="1"/>
  <c r="T548" i="32"/>
  <c r="T566" i="32"/>
  <c r="T583" i="32"/>
  <c r="T599" i="32"/>
  <c r="T617" i="32"/>
  <c r="T629" i="32"/>
  <c r="T645" i="32"/>
  <c r="X659" i="32"/>
  <c r="X669" i="32"/>
  <c r="AA36" i="33"/>
  <c r="AB36" i="33" s="1"/>
  <c r="AA40" i="33"/>
  <c r="AB40" i="33" s="1"/>
  <c r="AA49" i="33"/>
  <c r="AB49" i="33" s="1"/>
  <c r="T50" i="33"/>
  <c r="AI18" i="33"/>
  <c r="T61" i="33"/>
  <c r="V79" i="33"/>
  <c r="T87" i="33"/>
  <c r="T113" i="33"/>
  <c r="X130" i="33"/>
  <c r="AA130" i="33"/>
  <c r="AB130" i="33" s="1"/>
  <c r="T141" i="33"/>
  <c r="T142" i="33"/>
  <c r="T149" i="33"/>
  <c r="T160" i="33"/>
  <c r="T167" i="33"/>
  <c r="T188" i="33"/>
  <c r="T194" i="33"/>
  <c r="T206" i="33"/>
  <c r="AA216" i="33"/>
  <c r="AB216" i="33" s="1"/>
  <c r="X216" i="33"/>
  <c r="L221" i="33"/>
  <c r="J222" i="33"/>
  <c r="H222" i="33" s="1"/>
  <c r="I222" i="33" s="1"/>
  <c r="T231" i="33"/>
  <c r="T242" i="33"/>
  <c r="X245" i="33"/>
  <c r="AA247" i="33"/>
  <c r="AB247" i="33" s="1"/>
  <c r="X247" i="33"/>
  <c r="T248" i="33"/>
  <c r="AA256" i="33"/>
  <c r="AB256" i="33" s="1"/>
  <c r="T260" i="33"/>
  <c r="T268" i="33"/>
  <c r="AA270" i="33"/>
  <c r="AB270" i="33" s="1"/>
  <c r="X270" i="33"/>
  <c r="AA281" i="33"/>
  <c r="AB281" i="33" s="1"/>
  <c r="X281" i="33"/>
  <c r="T285" i="33"/>
  <c r="T304" i="33"/>
  <c r="AA306" i="33"/>
  <c r="AB306" i="33" s="1"/>
  <c r="X306" i="33"/>
  <c r="T314" i="33"/>
  <c r="L332" i="33"/>
  <c r="V332" i="33" s="1"/>
  <c r="J339" i="33"/>
  <c r="H339" i="33" s="1"/>
  <c r="I339" i="33" s="1"/>
  <c r="T339" i="33"/>
  <c r="T357" i="33"/>
  <c r="AA363" i="33"/>
  <c r="AB363" i="33" s="1"/>
  <c r="X363" i="33"/>
  <c r="J374" i="33"/>
  <c r="H374" i="33" s="1"/>
  <c r="I374" i="33" s="1"/>
  <c r="AA379" i="33"/>
  <c r="AB379" i="33" s="1"/>
  <c r="X379" i="33"/>
  <c r="L385" i="33"/>
  <c r="AA391" i="33"/>
  <c r="AB391" i="33" s="1"/>
  <c r="L393" i="33"/>
  <c r="T404" i="33"/>
  <c r="AA416" i="33"/>
  <c r="AB416" i="33" s="1"/>
  <c r="X416" i="33"/>
  <c r="T428" i="33"/>
  <c r="T439" i="33"/>
  <c r="T456" i="33"/>
  <c r="V457" i="33"/>
  <c r="T466" i="33"/>
  <c r="L467" i="33"/>
  <c r="L492" i="33"/>
  <c r="T493" i="33"/>
  <c r="T502" i="33"/>
  <c r="L518" i="33"/>
  <c r="AA525" i="33"/>
  <c r="AB525" i="33" s="1"/>
  <c r="AA526" i="33"/>
  <c r="AB526" i="33" s="1"/>
  <c r="X526" i="33"/>
  <c r="T537" i="33"/>
  <c r="T554" i="33"/>
  <c r="J563" i="33"/>
  <c r="H563" i="33" s="1"/>
  <c r="I563" i="33" s="1"/>
  <c r="V563" i="33" s="1"/>
  <c r="T565" i="33"/>
  <c r="T572" i="33"/>
  <c r="AA586" i="33"/>
  <c r="AB586" i="33" s="1"/>
  <c r="T591" i="33"/>
  <c r="L599" i="33"/>
  <c r="X615" i="33"/>
  <c r="T628" i="33"/>
  <c r="AA634" i="33"/>
  <c r="AB634" i="33" s="1"/>
  <c r="T638" i="33"/>
  <c r="T644" i="33"/>
  <c r="J653" i="33"/>
  <c r="H653" i="33" s="1"/>
  <c r="I653" i="33" s="1"/>
  <c r="V653" i="33" s="1"/>
  <c r="L656" i="33"/>
  <c r="V656" i="33" s="1"/>
  <c r="Z660" i="33"/>
  <c r="T673" i="33"/>
  <c r="AA675" i="33"/>
  <c r="AB675" i="33" s="1"/>
  <c r="X675" i="33"/>
  <c r="L737" i="33"/>
  <c r="T26" i="34"/>
  <c r="T32" i="34"/>
  <c r="T33" i="34"/>
  <c r="J43" i="34"/>
  <c r="H43" i="34" s="1"/>
  <c r="I43" i="34" s="1"/>
  <c r="V43" i="34" s="1"/>
  <c r="T51" i="34"/>
  <c r="X94" i="34"/>
  <c r="T105" i="34"/>
  <c r="AA130" i="34"/>
  <c r="AB130" i="34" s="1"/>
  <c r="J134" i="34"/>
  <c r="H134" i="34" s="1"/>
  <c r="I134" i="34" s="1"/>
  <c r="J141" i="34"/>
  <c r="H141" i="34" s="1"/>
  <c r="I141" i="34" s="1"/>
  <c r="AA148" i="34"/>
  <c r="AB148" i="34" s="1"/>
  <c r="T150" i="34"/>
  <c r="T168" i="34"/>
  <c r="J176" i="34"/>
  <c r="H176" i="34" s="1"/>
  <c r="I176" i="34" s="1"/>
  <c r="V176" i="34" s="1"/>
  <c r="X184" i="34"/>
  <c r="X210" i="34"/>
  <c r="AA210" i="34"/>
  <c r="AB210" i="34" s="1"/>
  <c r="AA220" i="34"/>
  <c r="AB220" i="34" s="1"/>
  <c r="T222" i="34"/>
  <c r="T233" i="34"/>
  <c r="T240" i="34"/>
  <c r="T242" i="34"/>
  <c r="T286" i="34"/>
  <c r="T295" i="34"/>
  <c r="X317" i="34"/>
  <c r="X319" i="34"/>
  <c r="AA319" i="34"/>
  <c r="AB319" i="34" s="1"/>
  <c r="T322" i="34"/>
  <c r="T358" i="34"/>
  <c r="Z399" i="34"/>
  <c r="AA399" i="34"/>
  <c r="AB399" i="34" s="1"/>
  <c r="T404" i="34"/>
  <c r="T422" i="34"/>
  <c r="T431" i="34"/>
  <c r="T439" i="34"/>
  <c r="T440" i="34"/>
  <c r="AA442" i="34"/>
  <c r="AB442" i="34" s="1"/>
  <c r="X442" i="34"/>
  <c r="AA462" i="34"/>
  <c r="AB462" i="34" s="1"/>
  <c r="Z462" i="34"/>
  <c r="AA478" i="34"/>
  <c r="AB478" i="34" s="1"/>
  <c r="Z478" i="34"/>
  <c r="T493" i="34"/>
  <c r="T501" i="34"/>
  <c r="T554" i="34"/>
  <c r="T566" i="34"/>
  <c r="AA571" i="34"/>
  <c r="AB571" i="34" s="1"/>
  <c r="X571" i="34"/>
  <c r="T572" i="34"/>
  <c r="T574" i="34"/>
  <c r="T590" i="34"/>
  <c r="J619" i="34"/>
  <c r="H619" i="34" s="1"/>
  <c r="I619" i="34" s="1"/>
  <c r="T635" i="34"/>
  <c r="T663" i="34"/>
  <c r="T672" i="34"/>
  <c r="T674" i="34"/>
  <c r="T683" i="34"/>
  <c r="Z684" i="34"/>
  <c r="AA684" i="34"/>
  <c r="AB684" i="34" s="1"/>
  <c r="T719" i="34"/>
  <c r="AA83" i="35"/>
  <c r="AB83" i="35" s="1"/>
  <c r="X83" i="35"/>
  <c r="Z128" i="35"/>
  <c r="AA128" i="35"/>
  <c r="AB128" i="35" s="1"/>
  <c r="AA138" i="35"/>
  <c r="AB138" i="35" s="1"/>
  <c r="X138" i="35"/>
  <c r="X164" i="35"/>
  <c r="AA164" i="35"/>
  <c r="AB164" i="35" s="1"/>
  <c r="AA182" i="35"/>
  <c r="AB182" i="35" s="1"/>
  <c r="Z182" i="35"/>
  <c r="AJ32" i="35" s="1"/>
  <c r="AA243" i="35"/>
  <c r="AB243" i="35" s="1"/>
  <c r="X243" i="35"/>
  <c r="AA254" i="35"/>
  <c r="AB254" i="35" s="1"/>
  <c r="X254" i="35"/>
  <c r="X282" i="35"/>
  <c r="AA282" i="35"/>
  <c r="AB282" i="35" s="1"/>
  <c r="AA688" i="35"/>
  <c r="AB688" i="35" s="1"/>
  <c r="X688" i="35"/>
  <c r="AA39" i="38"/>
  <c r="AB39" i="38" s="1"/>
  <c r="X39" i="38"/>
  <c r="AA63" i="38"/>
  <c r="AB63" i="38" s="1"/>
  <c r="Z63" i="38"/>
  <c r="AJ19" i="38" s="1"/>
  <c r="AA154" i="38"/>
  <c r="AB154" i="38" s="1"/>
  <c r="Z154" i="38"/>
  <c r="L188" i="38"/>
  <c r="AA189" i="38"/>
  <c r="AB189" i="38" s="1"/>
  <c r="X189" i="38"/>
  <c r="AA210" i="38"/>
  <c r="AB210" i="38" s="1"/>
  <c r="Z210" i="38"/>
  <c r="AA301" i="38"/>
  <c r="AB301" i="38" s="1"/>
  <c r="X301" i="38"/>
  <c r="AA315" i="38"/>
  <c r="AB315" i="38" s="1"/>
  <c r="X315" i="38"/>
  <c r="AA351" i="38"/>
  <c r="AB351" i="38" s="1"/>
  <c r="X351" i="38"/>
  <c r="X65" i="39"/>
  <c r="AA65" i="39"/>
  <c r="AB65" i="39" s="1"/>
  <c r="J124" i="39"/>
  <c r="H124" i="39" s="1"/>
  <c r="I124" i="39" s="1"/>
  <c r="V124" i="39" s="1"/>
  <c r="X171" i="39"/>
  <c r="AA171" i="39"/>
  <c r="AB171" i="39" s="1"/>
  <c r="AA389" i="39"/>
  <c r="AB389" i="39" s="1"/>
  <c r="X389" i="39"/>
  <c r="AI55" i="39" s="1"/>
  <c r="T14" i="32"/>
  <c r="J32" i="32"/>
  <c r="H32" i="32" s="1"/>
  <c r="I32" i="32" s="1"/>
  <c r="AA58" i="32"/>
  <c r="AB58" i="32" s="1"/>
  <c r="X58" i="32"/>
  <c r="T88" i="32"/>
  <c r="T97" i="32"/>
  <c r="AA135" i="32"/>
  <c r="AB135" i="32" s="1"/>
  <c r="X135" i="32"/>
  <c r="AA146" i="32"/>
  <c r="AB146" i="32" s="1"/>
  <c r="T176" i="32"/>
  <c r="T187" i="32"/>
  <c r="J206" i="32"/>
  <c r="H206" i="32" s="1"/>
  <c r="I206" i="32" s="1"/>
  <c r="V206" i="32" s="1"/>
  <c r="J213" i="32"/>
  <c r="H213" i="32" s="1"/>
  <c r="I213" i="32" s="1"/>
  <c r="J215" i="32"/>
  <c r="H215" i="32" s="1"/>
  <c r="I215" i="32" s="1"/>
  <c r="AA229" i="32"/>
  <c r="AB229" i="32" s="1"/>
  <c r="X229" i="32"/>
  <c r="T240" i="32"/>
  <c r="T241" i="32"/>
  <c r="T260" i="32"/>
  <c r="L321" i="32"/>
  <c r="T350" i="32"/>
  <c r="T368" i="32"/>
  <c r="X390" i="32"/>
  <c r="AA390" i="32"/>
  <c r="AB390" i="32" s="1"/>
  <c r="Z398" i="32"/>
  <c r="AA398" i="32"/>
  <c r="AB398" i="32" s="1"/>
  <c r="T413" i="32"/>
  <c r="L458" i="32"/>
  <c r="X480" i="32"/>
  <c r="AA480" i="32"/>
  <c r="AB480" i="32" s="1"/>
  <c r="T492" i="32"/>
  <c r="J511" i="32"/>
  <c r="H511" i="32" s="1"/>
  <c r="I511" i="32" s="1"/>
  <c r="T539" i="32"/>
  <c r="T546" i="32"/>
  <c r="L555" i="32"/>
  <c r="AA595" i="32"/>
  <c r="AB595" i="32" s="1"/>
  <c r="X595" i="32"/>
  <c r="T635" i="32"/>
  <c r="AA652" i="32"/>
  <c r="AB652" i="32" s="1"/>
  <c r="X652" i="32"/>
  <c r="T680" i="32"/>
  <c r="T698" i="32"/>
  <c r="T717" i="32"/>
  <c r="T734" i="32"/>
  <c r="L14" i="33"/>
  <c r="AA29" i="33"/>
  <c r="AB29" i="33" s="1"/>
  <c r="L61" i="33"/>
  <c r="X67" i="33"/>
  <c r="AA67" i="33"/>
  <c r="AB67" i="33" s="1"/>
  <c r="L77" i="33"/>
  <c r="T80" i="33"/>
  <c r="L87" i="33"/>
  <c r="T89" i="33"/>
  <c r="X109" i="33"/>
  <c r="AA109" i="33"/>
  <c r="AB109" i="33" s="1"/>
  <c r="T115" i="33"/>
  <c r="X121" i="33"/>
  <c r="AA121" i="33"/>
  <c r="AB121" i="33" s="1"/>
  <c r="T124" i="33"/>
  <c r="T134" i="33"/>
  <c r="X148" i="33"/>
  <c r="AA148" i="33"/>
  <c r="AB148" i="33" s="1"/>
  <c r="X173" i="33"/>
  <c r="AA173" i="33"/>
  <c r="AB173" i="33" s="1"/>
  <c r="T176" i="33"/>
  <c r="T195" i="33"/>
  <c r="L197" i="33"/>
  <c r="V197" i="33" s="1"/>
  <c r="J204" i="33"/>
  <c r="H204" i="33" s="1"/>
  <c r="I204" i="33" s="1"/>
  <c r="V204" i="33" s="1"/>
  <c r="T221" i="33"/>
  <c r="L239" i="33"/>
  <c r="L258" i="33"/>
  <c r="V258" i="33" s="1"/>
  <c r="T277" i="33"/>
  <c r="AA290" i="33"/>
  <c r="AB290" i="33" s="1"/>
  <c r="T320" i="33"/>
  <c r="L321" i="33"/>
  <c r="T323" i="33"/>
  <c r="T366" i="33"/>
  <c r="X369" i="33"/>
  <c r="AA369" i="33"/>
  <c r="AB369" i="33" s="1"/>
  <c r="V376" i="33"/>
  <c r="T377" i="33"/>
  <c r="AA381" i="33"/>
  <c r="AB381" i="33" s="1"/>
  <c r="AA387" i="33"/>
  <c r="AB387" i="33" s="1"/>
  <c r="T395" i="33"/>
  <c r="AA399" i="33"/>
  <c r="AB399" i="33" s="1"/>
  <c r="X399" i="33"/>
  <c r="L403" i="33"/>
  <c r="L410" i="33"/>
  <c r="T413" i="33"/>
  <c r="T419" i="33"/>
  <c r="AA427" i="33"/>
  <c r="AB427" i="33" s="1"/>
  <c r="L429" i="33"/>
  <c r="T449" i="33"/>
  <c r="J474" i="33"/>
  <c r="H474" i="33" s="1"/>
  <c r="I474" i="33" s="1"/>
  <c r="V474" i="33"/>
  <c r="T483" i="33"/>
  <c r="AA495" i="33"/>
  <c r="AB495" i="33" s="1"/>
  <c r="T530" i="33"/>
  <c r="T547" i="33"/>
  <c r="L555" i="33"/>
  <c r="T557" i="33"/>
  <c r="AA604" i="33"/>
  <c r="AB604" i="33" s="1"/>
  <c r="T609" i="33"/>
  <c r="L610" i="33"/>
  <c r="T620" i="33"/>
  <c r="J627" i="33"/>
  <c r="H627" i="33" s="1"/>
  <c r="I627" i="33" s="1"/>
  <c r="J628" i="33"/>
  <c r="H628" i="33" s="1"/>
  <c r="I628" i="33" s="1"/>
  <c r="V628" i="33" s="1"/>
  <c r="T636" i="33"/>
  <c r="T656" i="33"/>
  <c r="X658" i="33"/>
  <c r="AA658" i="33"/>
  <c r="AB658" i="33" s="1"/>
  <c r="L673" i="33"/>
  <c r="L707" i="33"/>
  <c r="T710" i="33"/>
  <c r="T717" i="33"/>
  <c r="T719" i="33"/>
  <c r="AA20" i="34"/>
  <c r="AB20" i="34" s="1"/>
  <c r="J52" i="34"/>
  <c r="H52" i="34" s="1"/>
  <c r="I52" i="34" s="1"/>
  <c r="T53" i="34"/>
  <c r="X54" i="34"/>
  <c r="AA54" i="34"/>
  <c r="AB54" i="34" s="1"/>
  <c r="X64" i="34"/>
  <c r="AA64" i="34"/>
  <c r="AB64" i="34" s="1"/>
  <c r="T78" i="34"/>
  <c r="T87" i="34"/>
  <c r="T133" i="34"/>
  <c r="T140" i="34"/>
  <c r="T170" i="34"/>
  <c r="T206" i="34"/>
  <c r="T249" i="34"/>
  <c r="T251" i="34"/>
  <c r="T276" i="34"/>
  <c r="T277" i="34"/>
  <c r="Z301" i="34"/>
  <c r="AJ45" i="34" s="1"/>
  <c r="AA301" i="34"/>
  <c r="AB301" i="34" s="1"/>
  <c r="X353" i="34"/>
  <c r="AA353" i="34"/>
  <c r="AB353" i="34" s="1"/>
  <c r="T375" i="34"/>
  <c r="J431" i="34"/>
  <c r="H431" i="34" s="1"/>
  <c r="I431" i="34" s="1"/>
  <c r="T457" i="34"/>
  <c r="AA459" i="34"/>
  <c r="AB459" i="34" s="1"/>
  <c r="X459" i="34"/>
  <c r="AI63" i="34" s="1"/>
  <c r="AA480" i="34"/>
  <c r="AB480" i="34" s="1"/>
  <c r="Z480" i="34"/>
  <c r="J527" i="34"/>
  <c r="H527" i="34" s="1"/>
  <c r="I527" i="34" s="1"/>
  <c r="T536" i="34"/>
  <c r="J566" i="34"/>
  <c r="H566" i="34" s="1"/>
  <c r="I566" i="34" s="1"/>
  <c r="V566" i="34" s="1"/>
  <c r="AA578" i="34"/>
  <c r="AB578" i="34" s="1"/>
  <c r="X578" i="34"/>
  <c r="T638" i="34"/>
  <c r="T681" i="34"/>
  <c r="AA702" i="34"/>
  <c r="AB702" i="34" s="1"/>
  <c r="X702" i="34"/>
  <c r="T717" i="34"/>
  <c r="T726" i="34"/>
  <c r="AJ15" i="35"/>
  <c r="X112" i="35"/>
  <c r="AA112" i="35"/>
  <c r="AB112" i="35" s="1"/>
  <c r="L124" i="35"/>
  <c r="V124" i="35" s="1"/>
  <c r="J125" i="35"/>
  <c r="H125" i="35" s="1"/>
  <c r="I125" i="35" s="1"/>
  <c r="V125" i="35" s="1"/>
  <c r="AA163" i="35"/>
  <c r="AB163" i="35" s="1"/>
  <c r="Z163" i="35"/>
  <c r="J169" i="35"/>
  <c r="H169" i="35" s="1"/>
  <c r="I169" i="35" s="1"/>
  <c r="AA180" i="35"/>
  <c r="AB180" i="35" s="1"/>
  <c r="X180" i="35"/>
  <c r="AA190" i="35"/>
  <c r="AB190" i="35" s="1"/>
  <c r="X190" i="35"/>
  <c r="AA246" i="35"/>
  <c r="AB246" i="35" s="1"/>
  <c r="X246" i="35"/>
  <c r="X390" i="35"/>
  <c r="AA390" i="35"/>
  <c r="AB390" i="35" s="1"/>
  <c r="J467" i="35"/>
  <c r="H467" i="35" s="1"/>
  <c r="I467" i="35" s="1"/>
  <c r="AA470" i="35"/>
  <c r="AB470" i="35" s="1"/>
  <c r="X470" i="35"/>
  <c r="X486" i="35"/>
  <c r="AA486" i="35"/>
  <c r="AB486" i="35" s="1"/>
  <c r="AA525" i="35"/>
  <c r="AB525" i="35" s="1"/>
  <c r="X525" i="35"/>
  <c r="X711" i="35"/>
  <c r="AA711" i="35"/>
  <c r="AB711" i="35" s="1"/>
  <c r="X246" i="38"/>
  <c r="AA246" i="38"/>
  <c r="AB246" i="38" s="1"/>
  <c r="AA290" i="38"/>
  <c r="AB290" i="38" s="1"/>
  <c r="X290" i="38"/>
  <c r="AA38" i="39"/>
  <c r="AB38" i="39" s="1"/>
  <c r="X38" i="39"/>
  <c r="AA56" i="39"/>
  <c r="AB56" i="39" s="1"/>
  <c r="X56" i="39"/>
  <c r="X532" i="39"/>
  <c r="AA532" i="39"/>
  <c r="AB532" i="39" s="1"/>
  <c r="J483" i="34"/>
  <c r="H483" i="34" s="1"/>
  <c r="I483" i="34" s="1"/>
  <c r="V483" i="34" s="1"/>
  <c r="J502" i="34"/>
  <c r="H502" i="34" s="1"/>
  <c r="I502" i="34" s="1"/>
  <c r="T519" i="34"/>
  <c r="T527" i="34"/>
  <c r="T611" i="34"/>
  <c r="T673" i="34"/>
  <c r="V680" i="34"/>
  <c r="AA75" i="35"/>
  <c r="AB75" i="35" s="1"/>
  <c r="X75" i="35"/>
  <c r="L105" i="35"/>
  <c r="L241" i="35"/>
  <c r="T260" i="35"/>
  <c r="T287" i="35"/>
  <c r="X307" i="35"/>
  <c r="AA307" i="35"/>
  <c r="AB307" i="35" s="1"/>
  <c r="X315" i="35"/>
  <c r="AA315" i="35"/>
  <c r="AB315" i="35" s="1"/>
  <c r="X373" i="35"/>
  <c r="AA373" i="35"/>
  <c r="AB373" i="35" s="1"/>
  <c r="L519" i="35"/>
  <c r="AA526" i="35"/>
  <c r="AB526" i="35" s="1"/>
  <c r="X526" i="35"/>
  <c r="T726" i="35"/>
  <c r="X81" i="38"/>
  <c r="AA81" i="38"/>
  <c r="AB81" i="38" s="1"/>
  <c r="J116" i="38"/>
  <c r="H116" i="38" s="1"/>
  <c r="I116" i="38" s="1"/>
  <c r="X137" i="38"/>
  <c r="AA137" i="38"/>
  <c r="AB137" i="38" s="1"/>
  <c r="L151" i="38"/>
  <c r="T384" i="34"/>
  <c r="J584" i="34"/>
  <c r="H584" i="34" s="1"/>
  <c r="I584" i="34" s="1"/>
  <c r="T629" i="34"/>
  <c r="T689" i="34"/>
  <c r="L123" i="35"/>
  <c r="AA273" i="35"/>
  <c r="AB273" i="35" s="1"/>
  <c r="X273" i="35"/>
  <c r="X396" i="35"/>
  <c r="AA396" i="35"/>
  <c r="AB396" i="35" s="1"/>
  <c r="X433" i="35"/>
  <c r="AA433" i="35"/>
  <c r="AB433" i="35" s="1"/>
  <c r="AA505" i="35"/>
  <c r="AB505" i="35" s="1"/>
  <c r="X505" i="35"/>
  <c r="T710" i="35"/>
  <c r="X263" i="38"/>
  <c r="AA263" i="38"/>
  <c r="AB263" i="38" s="1"/>
  <c r="AA282" i="38"/>
  <c r="AB282" i="38" s="1"/>
  <c r="X282" i="38"/>
  <c r="L392" i="38"/>
  <c r="AA397" i="38"/>
  <c r="AB397" i="38" s="1"/>
  <c r="X397" i="38"/>
  <c r="L401" i="38"/>
  <c r="X418" i="38"/>
  <c r="AA418" i="38"/>
  <c r="AB418" i="38" s="1"/>
  <c r="L514" i="38"/>
  <c r="AA533" i="38"/>
  <c r="AB533" i="38" s="1"/>
  <c r="X533" i="38"/>
  <c r="J618" i="38"/>
  <c r="H618" i="38" s="1"/>
  <c r="I618" i="38" s="1"/>
  <c r="T50" i="39"/>
  <c r="T170" i="39"/>
  <c r="V170" i="39" s="1"/>
  <c r="T187" i="39"/>
  <c r="T294" i="39"/>
  <c r="AA378" i="39"/>
  <c r="AB378" i="39" s="1"/>
  <c r="X378" i="39"/>
  <c r="T645" i="39"/>
  <c r="AA695" i="39"/>
  <c r="AB695" i="39" s="1"/>
  <c r="X695" i="39"/>
  <c r="T698" i="39"/>
  <c r="V132" i="40"/>
  <c r="AF27" i="40"/>
  <c r="AA30" i="32"/>
  <c r="AB30" i="32" s="1"/>
  <c r="J35" i="32"/>
  <c r="H35" i="32" s="1"/>
  <c r="I35" i="32" s="1"/>
  <c r="V35" i="32" s="1"/>
  <c r="T60" i="32"/>
  <c r="T69" i="32"/>
  <c r="AA76" i="32"/>
  <c r="AB76" i="32" s="1"/>
  <c r="T123" i="32"/>
  <c r="T132" i="32"/>
  <c r="AA137" i="32"/>
  <c r="AB137" i="32" s="1"/>
  <c r="AA139" i="32"/>
  <c r="AB139" i="32" s="1"/>
  <c r="J159" i="32"/>
  <c r="H159" i="32" s="1"/>
  <c r="I159" i="32" s="1"/>
  <c r="V159" i="32" s="1"/>
  <c r="AA163" i="32"/>
  <c r="AB163" i="32" s="1"/>
  <c r="AA165" i="32"/>
  <c r="AB165" i="32" s="1"/>
  <c r="T177" i="32"/>
  <c r="AA202" i="32"/>
  <c r="AB202" i="32" s="1"/>
  <c r="T224" i="32"/>
  <c r="AA236" i="32"/>
  <c r="AB236" i="32" s="1"/>
  <c r="AA238" i="32"/>
  <c r="AB238" i="32" s="1"/>
  <c r="J251" i="32"/>
  <c r="H251" i="32" s="1"/>
  <c r="I251" i="32" s="1"/>
  <c r="V251" i="32" s="1"/>
  <c r="L258" i="32"/>
  <c r="T275" i="32"/>
  <c r="L285" i="32"/>
  <c r="AA352" i="32"/>
  <c r="AB352" i="32" s="1"/>
  <c r="T358" i="32"/>
  <c r="L366" i="32"/>
  <c r="L393" i="32"/>
  <c r="T429" i="32"/>
  <c r="L438" i="32"/>
  <c r="L440" i="32"/>
  <c r="V457" i="32"/>
  <c r="T458" i="32"/>
  <c r="T500" i="32"/>
  <c r="AA517" i="32"/>
  <c r="AB517" i="32" s="1"/>
  <c r="AA535" i="32"/>
  <c r="AB535" i="32" s="1"/>
  <c r="AA589" i="32"/>
  <c r="AB589" i="32" s="1"/>
  <c r="T610" i="32"/>
  <c r="T619" i="32"/>
  <c r="T627" i="32"/>
  <c r="AA658" i="32"/>
  <c r="AB658" i="32" s="1"/>
  <c r="AA660" i="32"/>
  <c r="AB660" i="32" s="1"/>
  <c r="AA668" i="32"/>
  <c r="AB668" i="32" s="1"/>
  <c r="AA670" i="32"/>
  <c r="AB670" i="32" s="1"/>
  <c r="T682" i="32"/>
  <c r="T700" i="32"/>
  <c r="L735" i="32"/>
  <c r="T14" i="33"/>
  <c r="T17" i="33"/>
  <c r="T34" i="33"/>
  <c r="T42" i="33"/>
  <c r="L44" i="33"/>
  <c r="T53" i="33"/>
  <c r="L73" i="33"/>
  <c r="T86" i="33"/>
  <c r="T95" i="33"/>
  <c r="AA110" i="33"/>
  <c r="AB110" i="33" s="1"/>
  <c r="L116" i="33"/>
  <c r="T140" i="33"/>
  <c r="T151" i="33"/>
  <c r="AA154" i="33"/>
  <c r="AB154" i="33" s="1"/>
  <c r="L167" i="33"/>
  <c r="AA175" i="33"/>
  <c r="AB175" i="33" s="1"/>
  <c r="L178" i="33"/>
  <c r="T186" i="33"/>
  <c r="T223" i="33"/>
  <c r="T241" i="33"/>
  <c r="T249" i="33"/>
  <c r="T266" i="33"/>
  <c r="T269" i="33"/>
  <c r="AA283" i="33"/>
  <c r="AB283" i="33" s="1"/>
  <c r="L293" i="33"/>
  <c r="L294" i="33"/>
  <c r="V294" i="33" s="1"/>
  <c r="T296" i="33"/>
  <c r="AA300" i="33"/>
  <c r="AB300" i="33" s="1"/>
  <c r="L312" i="33"/>
  <c r="J331" i="33"/>
  <c r="H331" i="33" s="1"/>
  <c r="I331" i="33" s="1"/>
  <c r="V331" i="33"/>
  <c r="L339" i="33"/>
  <c r="V339" i="33" s="1"/>
  <c r="J349" i="33"/>
  <c r="H349" i="33" s="1"/>
  <c r="I349" i="33" s="1"/>
  <c r="V349" i="33" s="1"/>
  <c r="L366" i="33"/>
  <c r="AA380" i="33"/>
  <c r="AB380" i="33" s="1"/>
  <c r="T394" i="33"/>
  <c r="AA400" i="33"/>
  <c r="AB400" i="33" s="1"/>
  <c r="T411" i="33"/>
  <c r="AA417" i="33"/>
  <c r="AB417" i="33" s="1"/>
  <c r="T420" i="33"/>
  <c r="T430" i="33"/>
  <c r="T438" i="33"/>
  <c r="T446" i="33"/>
  <c r="AA451" i="33"/>
  <c r="AB451" i="33" s="1"/>
  <c r="T464" i="33"/>
  <c r="T467" i="33"/>
  <c r="T475" i="33"/>
  <c r="T492" i="33"/>
  <c r="AA496" i="33"/>
  <c r="AB496" i="33" s="1"/>
  <c r="T518" i="33"/>
  <c r="L520" i="33"/>
  <c r="L521" i="33"/>
  <c r="L536" i="33"/>
  <c r="AA549" i="33"/>
  <c r="AB549" i="33" s="1"/>
  <c r="L572" i="33"/>
  <c r="AA579" i="33"/>
  <c r="AB579" i="33" s="1"/>
  <c r="AA596" i="33"/>
  <c r="AB596" i="33" s="1"/>
  <c r="AA603" i="33"/>
  <c r="AB603" i="33" s="1"/>
  <c r="T617" i="33"/>
  <c r="J635" i="33"/>
  <c r="H635" i="33" s="1"/>
  <c r="I635" i="33" s="1"/>
  <c r="V635" i="33" s="1"/>
  <c r="L664" i="33"/>
  <c r="L682" i="33"/>
  <c r="V682" i="33" s="1"/>
  <c r="T683" i="33"/>
  <c r="T689" i="33"/>
  <c r="J726" i="33"/>
  <c r="H726" i="33" s="1"/>
  <c r="I726" i="33" s="1"/>
  <c r="AA732" i="33"/>
  <c r="AB732" i="33" s="1"/>
  <c r="T17" i="34"/>
  <c r="L35" i="34"/>
  <c r="T42" i="34"/>
  <c r="T43" i="34"/>
  <c r="J68" i="34"/>
  <c r="H68" i="34" s="1"/>
  <c r="I68" i="34" s="1"/>
  <c r="T68" i="34"/>
  <c r="T80" i="34"/>
  <c r="T97" i="34"/>
  <c r="T104" i="34"/>
  <c r="T232" i="34"/>
  <c r="T241" i="34"/>
  <c r="T330" i="34"/>
  <c r="L357" i="34"/>
  <c r="T366" i="34"/>
  <c r="L368" i="34"/>
  <c r="AA373" i="34"/>
  <c r="AB373" i="34" s="1"/>
  <c r="AA391" i="34"/>
  <c r="AB391" i="34" s="1"/>
  <c r="T402" i="34"/>
  <c r="L404" i="34"/>
  <c r="X441" i="34"/>
  <c r="T464" i="34"/>
  <c r="T467" i="34"/>
  <c r="X472" i="34"/>
  <c r="T482" i="34"/>
  <c r="T485" i="34"/>
  <c r="X489" i="34"/>
  <c r="AI66" i="34" s="1"/>
  <c r="X496" i="34"/>
  <c r="L502" i="34"/>
  <c r="AA504" i="34"/>
  <c r="AB504" i="34" s="1"/>
  <c r="X505" i="34"/>
  <c r="V510" i="34"/>
  <c r="X517" i="34"/>
  <c r="AA522" i="34"/>
  <c r="AB522" i="34" s="1"/>
  <c r="X523" i="34"/>
  <c r="J528" i="34"/>
  <c r="H528" i="34" s="1"/>
  <c r="I528" i="34" s="1"/>
  <c r="V528" i="34" s="1"/>
  <c r="T538" i="34"/>
  <c r="X541" i="34"/>
  <c r="AA549" i="34"/>
  <c r="AB549" i="34" s="1"/>
  <c r="T557" i="34"/>
  <c r="X569" i="34"/>
  <c r="AA589" i="34"/>
  <c r="AB589" i="34" s="1"/>
  <c r="T593" i="34"/>
  <c r="AA603" i="34"/>
  <c r="AB603" i="34" s="1"/>
  <c r="X604" i="34"/>
  <c r="X614" i="34"/>
  <c r="T618" i="34"/>
  <c r="T620" i="34"/>
  <c r="X630" i="34"/>
  <c r="X648" i="34"/>
  <c r="T654" i="34"/>
  <c r="AA658" i="34"/>
  <c r="AB658" i="34" s="1"/>
  <c r="X660" i="34"/>
  <c r="T664" i="34"/>
  <c r="X678" i="34"/>
  <c r="X695" i="34"/>
  <c r="L717" i="34"/>
  <c r="T725" i="34"/>
  <c r="L14" i="35"/>
  <c r="AA20" i="35"/>
  <c r="AB20" i="35" s="1"/>
  <c r="X21" i="35"/>
  <c r="T24" i="35"/>
  <c r="X38" i="35"/>
  <c r="AA40" i="35"/>
  <c r="AB40" i="35" s="1"/>
  <c r="X40" i="35"/>
  <c r="X57" i="35"/>
  <c r="X63" i="35"/>
  <c r="X73" i="35"/>
  <c r="J80" i="35"/>
  <c r="H80" i="35" s="1"/>
  <c r="I80" i="35" s="1"/>
  <c r="V80" i="35" s="1"/>
  <c r="V86" i="35"/>
  <c r="Z101" i="35"/>
  <c r="AA101" i="35"/>
  <c r="AB101" i="35" s="1"/>
  <c r="X119" i="35"/>
  <c r="AA119" i="35"/>
  <c r="AB119" i="35" s="1"/>
  <c r="X162" i="35"/>
  <c r="AI30" i="35" s="1"/>
  <c r="X173" i="35"/>
  <c r="AA228" i="35"/>
  <c r="AB228" i="35" s="1"/>
  <c r="X228" i="35"/>
  <c r="X252" i="35"/>
  <c r="AI40" i="35" s="1"/>
  <c r="AA256" i="35"/>
  <c r="AB256" i="35" s="1"/>
  <c r="X256" i="35"/>
  <c r="X264" i="35"/>
  <c r="X300" i="35"/>
  <c r="AA300" i="35"/>
  <c r="AB300" i="35" s="1"/>
  <c r="X335" i="35"/>
  <c r="AA335" i="35"/>
  <c r="AB335" i="35" s="1"/>
  <c r="L368" i="35"/>
  <c r="AA370" i="35"/>
  <c r="AB370" i="35" s="1"/>
  <c r="X423" i="35"/>
  <c r="AA423" i="35"/>
  <c r="AB423" i="35" s="1"/>
  <c r="L447" i="35"/>
  <c r="X451" i="35"/>
  <c r="AA451" i="35"/>
  <c r="AB451" i="35" s="1"/>
  <c r="L493" i="35"/>
  <c r="X543" i="35"/>
  <c r="AA543" i="35"/>
  <c r="AB543" i="35" s="1"/>
  <c r="X675" i="35"/>
  <c r="AA675" i="35"/>
  <c r="AB675" i="35" s="1"/>
  <c r="L710" i="35"/>
  <c r="AA18" i="38"/>
  <c r="AB18" i="38" s="1"/>
  <c r="X18" i="38"/>
  <c r="L26" i="38"/>
  <c r="X37" i="38"/>
  <c r="L152" i="38"/>
  <c r="J160" i="38"/>
  <c r="H160" i="38" s="1"/>
  <c r="I160" i="38" s="1"/>
  <c r="V160" i="38" s="1"/>
  <c r="Z174" i="38"/>
  <c r="L187" i="38"/>
  <c r="X190" i="38"/>
  <c r="AA190" i="38"/>
  <c r="AB190" i="38" s="1"/>
  <c r="X208" i="38"/>
  <c r="AA208" i="38"/>
  <c r="AB208" i="38" s="1"/>
  <c r="X218" i="38"/>
  <c r="AA225" i="38"/>
  <c r="AB225" i="38" s="1"/>
  <c r="X225" i="38"/>
  <c r="L231" i="38"/>
  <c r="V231" i="38" s="1"/>
  <c r="L253" i="38"/>
  <c r="J257" i="38"/>
  <c r="H257" i="38" s="1"/>
  <c r="I257" i="38" s="1"/>
  <c r="T332" i="38"/>
  <c r="AA333" i="38"/>
  <c r="AB333" i="38" s="1"/>
  <c r="X333" i="38"/>
  <c r="V350" i="38"/>
  <c r="AA369" i="38"/>
  <c r="AB369" i="38" s="1"/>
  <c r="X369" i="38"/>
  <c r="Z435" i="38"/>
  <c r="AA435" i="38"/>
  <c r="AB435" i="38" s="1"/>
  <c r="L442" i="38"/>
  <c r="Z445" i="38"/>
  <c r="AA445" i="38"/>
  <c r="AB445" i="38" s="1"/>
  <c r="L449" i="38"/>
  <c r="V449" i="38" s="1"/>
  <c r="L484" i="38"/>
  <c r="L492" i="38"/>
  <c r="AA526" i="38"/>
  <c r="AB526" i="38" s="1"/>
  <c r="J528" i="38"/>
  <c r="H528" i="38" s="1"/>
  <c r="I528" i="38" s="1"/>
  <c r="L539" i="38"/>
  <c r="X540" i="38"/>
  <c r="AA540" i="38"/>
  <c r="AB540" i="38" s="1"/>
  <c r="J655" i="38"/>
  <c r="H655" i="38" s="1"/>
  <c r="I655" i="38" s="1"/>
  <c r="V655" i="38" s="1"/>
  <c r="L681" i="38"/>
  <c r="X685" i="38"/>
  <c r="AA685" i="38"/>
  <c r="AB685" i="38" s="1"/>
  <c r="X697" i="38"/>
  <c r="AA697" i="38"/>
  <c r="AB697" i="38" s="1"/>
  <c r="AA706" i="38"/>
  <c r="AB706" i="38" s="1"/>
  <c r="X712" i="38"/>
  <c r="AA712" i="38"/>
  <c r="AB712" i="38" s="1"/>
  <c r="Z738" i="38"/>
  <c r="AA738" i="38"/>
  <c r="AB738" i="38" s="1"/>
  <c r="AA49" i="39"/>
  <c r="AB49" i="39" s="1"/>
  <c r="X49" i="39"/>
  <c r="AA128" i="39"/>
  <c r="AB128" i="39" s="1"/>
  <c r="X128" i="39"/>
  <c r="T134" i="39"/>
  <c r="X193" i="39"/>
  <c r="AA193" i="39"/>
  <c r="AB193" i="39" s="1"/>
  <c r="T233" i="39"/>
  <c r="T240" i="39"/>
  <c r="T266" i="39"/>
  <c r="AA274" i="39"/>
  <c r="AB274" i="39" s="1"/>
  <c r="J275" i="39"/>
  <c r="H275" i="39" s="1"/>
  <c r="I275" i="39" s="1"/>
  <c r="T302" i="39"/>
  <c r="AA310" i="39"/>
  <c r="AB310" i="39" s="1"/>
  <c r="X333" i="39"/>
  <c r="AI49" i="39" s="1"/>
  <c r="AA333" i="39"/>
  <c r="AB333" i="39" s="1"/>
  <c r="X361" i="39"/>
  <c r="AA361" i="39"/>
  <c r="AB361" i="39" s="1"/>
  <c r="X363" i="39"/>
  <c r="AA363" i="39"/>
  <c r="AB363" i="39" s="1"/>
  <c r="AA371" i="39"/>
  <c r="AB371" i="39" s="1"/>
  <c r="X371" i="39"/>
  <c r="AA443" i="39"/>
  <c r="AB443" i="39" s="1"/>
  <c r="X443" i="39"/>
  <c r="T466" i="39"/>
  <c r="T510" i="39"/>
  <c r="T654" i="39"/>
  <c r="X658" i="39"/>
  <c r="AA659" i="39"/>
  <c r="AB659" i="39" s="1"/>
  <c r="X659" i="39"/>
  <c r="J519" i="34"/>
  <c r="H519" i="34" s="1"/>
  <c r="I519" i="34" s="1"/>
  <c r="V519" i="34" s="1"/>
  <c r="T627" i="34"/>
  <c r="T23" i="35"/>
  <c r="AA157" i="35"/>
  <c r="AB157" i="35" s="1"/>
  <c r="X157" i="35"/>
  <c r="AA198" i="35"/>
  <c r="AB198" i="35" s="1"/>
  <c r="X198" i="35"/>
  <c r="AA218" i="35"/>
  <c r="AB218" i="35" s="1"/>
  <c r="X218" i="35"/>
  <c r="AA235" i="35"/>
  <c r="AB235" i="35" s="1"/>
  <c r="X235" i="35"/>
  <c r="AA261" i="35"/>
  <c r="AB261" i="35" s="1"/>
  <c r="X261" i="35"/>
  <c r="L529" i="35"/>
  <c r="L629" i="35"/>
  <c r="AJ15" i="38"/>
  <c r="L239" i="38"/>
  <c r="AA307" i="38"/>
  <c r="AB307" i="38" s="1"/>
  <c r="X307" i="38"/>
  <c r="AA328" i="38"/>
  <c r="AB328" i="38" s="1"/>
  <c r="X328" i="38"/>
  <c r="AA344" i="38"/>
  <c r="AB344" i="38" s="1"/>
  <c r="X344" i="38"/>
  <c r="AA382" i="38"/>
  <c r="AB382" i="38" s="1"/>
  <c r="X382" i="38"/>
  <c r="AA388" i="38"/>
  <c r="AB388" i="38" s="1"/>
  <c r="X388" i="38"/>
  <c r="X417" i="38"/>
  <c r="AA417" i="38"/>
  <c r="AB417" i="38" s="1"/>
  <c r="L456" i="38"/>
  <c r="J457" i="38"/>
  <c r="H457" i="38" s="1"/>
  <c r="I457" i="38" s="1"/>
  <c r="V457" i="38" s="1"/>
  <c r="AA589" i="38"/>
  <c r="AB589" i="38" s="1"/>
  <c r="X589" i="38"/>
  <c r="X730" i="38"/>
  <c r="AA730" i="38"/>
  <c r="AB730" i="38" s="1"/>
  <c r="L739" i="38"/>
  <c r="T61" i="39"/>
  <c r="J106" i="39"/>
  <c r="H106" i="39" s="1"/>
  <c r="I106" i="39" s="1"/>
  <c r="V106" i="39" s="1"/>
  <c r="AA109" i="39"/>
  <c r="AB109" i="39" s="1"/>
  <c r="X109" i="39"/>
  <c r="AA201" i="39"/>
  <c r="AB201" i="39" s="1"/>
  <c r="X201" i="39"/>
  <c r="T258" i="39"/>
  <c r="AA461" i="39"/>
  <c r="AB461" i="39" s="1"/>
  <c r="X461" i="39"/>
  <c r="AA634" i="39"/>
  <c r="AB634" i="39" s="1"/>
  <c r="X634" i="39"/>
  <c r="AI92" i="40"/>
  <c r="AK93" i="40"/>
  <c r="AK15" i="40"/>
  <c r="T23" i="32"/>
  <c r="T25" i="32"/>
  <c r="X30" i="32"/>
  <c r="J33" i="32"/>
  <c r="H33" i="32" s="1"/>
  <c r="I33" i="32" s="1"/>
  <c r="V33" i="32" s="1"/>
  <c r="T34" i="32"/>
  <c r="AA36" i="32"/>
  <c r="AB36" i="32" s="1"/>
  <c r="AA49" i="32"/>
  <c r="AB49" i="32" s="1"/>
  <c r="AA65" i="32"/>
  <c r="AB65" i="32" s="1"/>
  <c r="X76" i="32"/>
  <c r="T78" i="32"/>
  <c r="AA81" i="32"/>
  <c r="AB81" i="32" s="1"/>
  <c r="AA85" i="32"/>
  <c r="AB85" i="32" s="1"/>
  <c r="T98" i="32"/>
  <c r="AA100" i="32"/>
  <c r="AB100" i="32" s="1"/>
  <c r="T104" i="32"/>
  <c r="AA112" i="32"/>
  <c r="AB112" i="32" s="1"/>
  <c r="J114" i="32"/>
  <c r="H114" i="32" s="1"/>
  <c r="I114" i="32" s="1"/>
  <c r="V114" i="32" s="1"/>
  <c r="T114" i="32"/>
  <c r="AA121" i="32"/>
  <c r="AB121" i="32" s="1"/>
  <c r="T125" i="32"/>
  <c r="AA127" i="32"/>
  <c r="AB127" i="32" s="1"/>
  <c r="J132" i="32"/>
  <c r="H132" i="32" s="1"/>
  <c r="I132" i="32" s="1"/>
  <c r="V132" i="32" s="1"/>
  <c r="X137" i="32"/>
  <c r="X139" i="32"/>
  <c r="AA145" i="32"/>
  <c r="AB145" i="32" s="1"/>
  <c r="T150" i="32"/>
  <c r="T152" i="32"/>
  <c r="AA154" i="32"/>
  <c r="AB154" i="32" s="1"/>
  <c r="AA156" i="32"/>
  <c r="AB156" i="32" s="1"/>
  <c r="T161" i="32"/>
  <c r="AA162" i="32"/>
  <c r="AB162" i="32" s="1"/>
  <c r="X163" i="32"/>
  <c r="X165" i="32"/>
  <c r="T170" i="32"/>
  <c r="V170" i="32" s="1"/>
  <c r="AA174" i="32"/>
  <c r="AB174" i="32" s="1"/>
  <c r="T195" i="32"/>
  <c r="J197" i="32"/>
  <c r="H197" i="32" s="1"/>
  <c r="I197" i="32" s="1"/>
  <c r="X202" i="32"/>
  <c r="T206" i="32"/>
  <c r="AA211" i="32"/>
  <c r="AB211" i="32" s="1"/>
  <c r="T213" i="32"/>
  <c r="AA226" i="32"/>
  <c r="AB226" i="32" s="1"/>
  <c r="X236" i="32"/>
  <c r="X238" i="32"/>
  <c r="J240" i="32"/>
  <c r="H240" i="32" s="1"/>
  <c r="I240" i="32" s="1"/>
  <c r="AA262" i="32"/>
  <c r="AB262" i="32" s="1"/>
  <c r="J267" i="32"/>
  <c r="H267" i="32" s="1"/>
  <c r="I267" i="32" s="1"/>
  <c r="T293" i="32"/>
  <c r="T339" i="32"/>
  <c r="T347" i="32"/>
  <c r="Z352" i="32"/>
  <c r="AA370" i="32"/>
  <c r="AB370" i="32" s="1"/>
  <c r="T376" i="32"/>
  <c r="L384" i="32"/>
  <c r="L395" i="32"/>
  <c r="L420" i="32"/>
  <c r="L422" i="32"/>
  <c r="T428" i="32"/>
  <c r="T448" i="32"/>
  <c r="T457" i="32"/>
  <c r="T475" i="32"/>
  <c r="T482" i="32"/>
  <c r="L492" i="32"/>
  <c r="V492" i="32" s="1"/>
  <c r="T511" i="32"/>
  <c r="X517" i="32"/>
  <c r="X535" i="32"/>
  <c r="T536" i="32"/>
  <c r="J538" i="32"/>
  <c r="H538" i="32" s="1"/>
  <c r="I538" i="32" s="1"/>
  <c r="J563" i="32"/>
  <c r="H563" i="32" s="1"/>
  <c r="I563" i="32" s="1"/>
  <c r="T565" i="32"/>
  <c r="J574" i="32"/>
  <c r="H574" i="32" s="1"/>
  <c r="I574" i="32" s="1"/>
  <c r="V574" i="32" s="1"/>
  <c r="X589" i="32"/>
  <c r="AA596" i="32"/>
  <c r="AB596" i="32" s="1"/>
  <c r="AA598" i="32"/>
  <c r="AB598" i="32" s="1"/>
  <c r="T609" i="32"/>
  <c r="T638" i="32"/>
  <c r="AA643" i="32"/>
  <c r="AB643" i="32" s="1"/>
  <c r="T647" i="32"/>
  <c r="AA649" i="32"/>
  <c r="AB649" i="32" s="1"/>
  <c r="AA651" i="32"/>
  <c r="AB651" i="32" s="1"/>
  <c r="AA657" i="32"/>
  <c r="AB657" i="32" s="1"/>
  <c r="X658" i="32"/>
  <c r="X660" i="32"/>
  <c r="T663" i="32"/>
  <c r="X668" i="32"/>
  <c r="X670" i="32"/>
  <c r="J672" i="32"/>
  <c r="H672" i="32" s="1"/>
  <c r="I672" i="32" s="1"/>
  <c r="T672" i="32"/>
  <c r="T673" i="32"/>
  <c r="L681" i="32"/>
  <c r="T689" i="32"/>
  <c r="L699" i="32"/>
  <c r="J700" i="32"/>
  <c r="H700" i="32" s="1"/>
  <c r="I700" i="32" s="1"/>
  <c r="T708" i="32"/>
  <c r="T15" i="33"/>
  <c r="T23" i="33"/>
  <c r="T25" i="33"/>
  <c r="AA31" i="33"/>
  <c r="AB31" i="33" s="1"/>
  <c r="AA56" i="33"/>
  <c r="AB56" i="33" s="1"/>
  <c r="AA58" i="33"/>
  <c r="AB58" i="33" s="1"/>
  <c r="L105" i="33"/>
  <c r="L107" i="33"/>
  <c r="T123" i="33"/>
  <c r="L124" i="33"/>
  <c r="AA139" i="33"/>
  <c r="AB139" i="33" s="1"/>
  <c r="J142" i="33"/>
  <c r="H142" i="33" s="1"/>
  <c r="I142" i="33" s="1"/>
  <c r="V142" i="33" s="1"/>
  <c r="J149" i="33"/>
  <c r="H149" i="33" s="1"/>
  <c r="I149" i="33" s="1"/>
  <c r="T152" i="33"/>
  <c r="X154" i="33"/>
  <c r="AA155" i="33"/>
  <c r="AB155" i="33" s="1"/>
  <c r="X175" i="33"/>
  <c r="L185" i="33"/>
  <c r="AA191" i="33"/>
  <c r="AB191" i="33" s="1"/>
  <c r="AA211" i="33"/>
  <c r="AB211" i="33" s="1"/>
  <c r="L214" i="33"/>
  <c r="AA226" i="33"/>
  <c r="AB226" i="33" s="1"/>
  <c r="AA229" i="33"/>
  <c r="AB229" i="33" s="1"/>
  <c r="L232" i="33"/>
  <c r="AA252" i="33"/>
  <c r="AB252" i="33" s="1"/>
  <c r="AA255" i="33"/>
  <c r="AB255" i="33" s="1"/>
  <c r="T259" i="33"/>
  <c r="AA261" i="33"/>
  <c r="AB261" i="33" s="1"/>
  <c r="AA263" i="33"/>
  <c r="AB263" i="33" s="1"/>
  <c r="AA265" i="33"/>
  <c r="AB265" i="33" s="1"/>
  <c r="AA271" i="33"/>
  <c r="AB271" i="33" s="1"/>
  <c r="L276" i="33"/>
  <c r="V276" i="33" s="1"/>
  <c r="T278" i="33"/>
  <c r="AA280" i="33"/>
  <c r="AB280" i="33" s="1"/>
  <c r="X283" i="33"/>
  <c r="AA289" i="33"/>
  <c r="AB289" i="33" s="1"/>
  <c r="X300" i="33"/>
  <c r="AA301" i="33"/>
  <c r="AB301" i="33" s="1"/>
  <c r="AA307" i="33"/>
  <c r="AB307" i="33" s="1"/>
  <c r="T311" i="33"/>
  <c r="AG47" i="33" s="1"/>
  <c r="T322" i="33"/>
  <c r="T331" i="33"/>
  <c r="AA342" i="33"/>
  <c r="AB342" i="33" s="1"/>
  <c r="T365" i="33"/>
  <c r="AG53" i="33" s="1"/>
  <c r="X380" i="33"/>
  <c r="AA390" i="33"/>
  <c r="AB390" i="33" s="1"/>
  <c r="X400" i="33"/>
  <c r="T402" i="33"/>
  <c r="AA407" i="33"/>
  <c r="AB407" i="33" s="1"/>
  <c r="AA414" i="33"/>
  <c r="AB414" i="33" s="1"/>
  <c r="X417" i="33"/>
  <c r="AA418" i="33"/>
  <c r="AB418" i="33" s="1"/>
  <c r="AA423" i="33"/>
  <c r="AB423" i="33" s="1"/>
  <c r="AA426" i="33"/>
  <c r="AB426" i="33" s="1"/>
  <c r="L440" i="33"/>
  <c r="AA441" i="33"/>
  <c r="AB441" i="33" s="1"/>
  <c r="Z451" i="33"/>
  <c r="T458" i="33"/>
  <c r="AA460" i="33"/>
  <c r="AB460" i="33" s="1"/>
  <c r="AA470" i="33"/>
  <c r="AB470" i="33" s="1"/>
  <c r="AK64" i="33" s="1"/>
  <c r="T482" i="33"/>
  <c r="T485" i="33"/>
  <c r="AA487" i="33"/>
  <c r="AB487" i="33" s="1"/>
  <c r="L493" i="33"/>
  <c r="X496" i="33"/>
  <c r="AA497" i="33"/>
  <c r="AB497" i="33" s="1"/>
  <c r="AA504" i="33"/>
  <c r="AB504" i="33" s="1"/>
  <c r="AA507" i="33"/>
  <c r="AB507" i="33" s="1"/>
  <c r="AA514" i="33"/>
  <c r="AB514" i="33" s="1"/>
  <c r="AA516" i="33"/>
  <c r="AB516" i="33" s="1"/>
  <c r="T521" i="33"/>
  <c r="AA524" i="33"/>
  <c r="AB524" i="33" s="1"/>
  <c r="AK70" i="33" s="1"/>
  <c r="L527" i="33"/>
  <c r="AA534" i="33"/>
  <c r="AB534" i="33" s="1"/>
  <c r="AA543" i="33"/>
  <c r="AB543" i="33" s="1"/>
  <c r="X549" i="33"/>
  <c r="AA551" i="33"/>
  <c r="AB551" i="33" s="1"/>
  <c r="X579" i="33"/>
  <c r="AA580" i="33"/>
  <c r="AB580" i="33" s="1"/>
  <c r="AA589" i="33"/>
  <c r="AB589" i="33" s="1"/>
  <c r="T593" i="33"/>
  <c r="X596" i="33"/>
  <c r="L601" i="33"/>
  <c r="X603" i="33"/>
  <c r="AA607" i="33"/>
  <c r="AB607" i="33" s="1"/>
  <c r="AA614" i="33"/>
  <c r="AB614" i="33" s="1"/>
  <c r="T629" i="33"/>
  <c r="AA632" i="33"/>
  <c r="AB632" i="33" s="1"/>
  <c r="AA633" i="33"/>
  <c r="AB633" i="33" s="1"/>
  <c r="AA651" i="33"/>
  <c r="AB651" i="33" s="1"/>
  <c r="AA670" i="33"/>
  <c r="AB670" i="33" s="1"/>
  <c r="T674" i="33"/>
  <c r="AA678" i="33"/>
  <c r="AB678" i="33" s="1"/>
  <c r="T682" i="33"/>
  <c r="T709" i="33"/>
  <c r="X732" i="33"/>
  <c r="T34" i="34"/>
  <c r="T44" i="34"/>
  <c r="T59" i="34"/>
  <c r="T69" i="34"/>
  <c r="T70" i="34"/>
  <c r="T77" i="34"/>
  <c r="J104" i="34"/>
  <c r="H104" i="34" s="1"/>
  <c r="I104" i="34" s="1"/>
  <c r="T141" i="34"/>
  <c r="T149" i="34"/>
  <c r="L168" i="34"/>
  <c r="T177" i="34"/>
  <c r="L179" i="34"/>
  <c r="T213" i="34"/>
  <c r="AA218" i="34"/>
  <c r="AB218" i="34" s="1"/>
  <c r="T221" i="34"/>
  <c r="J241" i="34"/>
  <c r="H241" i="34" s="1"/>
  <c r="I241" i="34" s="1"/>
  <c r="T267" i="34"/>
  <c r="J275" i="34"/>
  <c r="H275" i="34" s="1"/>
  <c r="I275" i="34" s="1"/>
  <c r="V293" i="34"/>
  <c r="T329" i="34"/>
  <c r="T338" i="34"/>
  <c r="T349" i="34"/>
  <c r="T359" i="34"/>
  <c r="T365" i="34"/>
  <c r="AA369" i="34"/>
  <c r="AB369" i="34" s="1"/>
  <c r="X391" i="34"/>
  <c r="T394" i="34"/>
  <c r="AA405" i="34"/>
  <c r="AB405" i="34" s="1"/>
  <c r="AA407" i="34"/>
  <c r="AB407" i="34" s="1"/>
  <c r="T412" i="34"/>
  <c r="T421" i="34"/>
  <c r="AA425" i="34"/>
  <c r="AB425" i="34" s="1"/>
  <c r="T430" i="34"/>
  <c r="AA444" i="34"/>
  <c r="AB444" i="34" s="1"/>
  <c r="AA450" i="34"/>
  <c r="AB450" i="34" s="1"/>
  <c r="T456" i="34"/>
  <c r="T465" i="34"/>
  <c r="T466" i="34"/>
  <c r="AA490" i="34"/>
  <c r="AB490" i="34" s="1"/>
  <c r="X504" i="34"/>
  <c r="AA515" i="34"/>
  <c r="AB515" i="34" s="1"/>
  <c r="T521" i="34"/>
  <c r="X522" i="34"/>
  <c r="AA531" i="34"/>
  <c r="AB531" i="34" s="1"/>
  <c r="X549" i="34"/>
  <c r="T556" i="34"/>
  <c r="AA570" i="34"/>
  <c r="AB570" i="34" s="1"/>
  <c r="AA580" i="34"/>
  <c r="AB580" i="34" s="1"/>
  <c r="X589" i="34"/>
  <c r="T591" i="34"/>
  <c r="AA595" i="34"/>
  <c r="AB595" i="34" s="1"/>
  <c r="X603" i="34"/>
  <c r="AA622" i="34"/>
  <c r="AB622" i="34" s="1"/>
  <c r="AA666" i="34"/>
  <c r="AB666" i="34" s="1"/>
  <c r="L710" i="34"/>
  <c r="J725" i="34"/>
  <c r="H725" i="34" s="1"/>
  <c r="I725" i="34" s="1"/>
  <c r="V725" i="34" s="1"/>
  <c r="AA732" i="34"/>
  <c r="AB732" i="34" s="1"/>
  <c r="AA19" i="35"/>
  <c r="AB19" i="35" s="1"/>
  <c r="X20" i="35"/>
  <c r="AI14" i="35" s="1"/>
  <c r="AA29" i="35"/>
  <c r="AB29" i="35" s="1"/>
  <c r="J51" i="35"/>
  <c r="H51" i="35" s="1"/>
  <c r="I51" i="35" s="1"/>
  <c r="L59" i="35"/>
  <c r="X84" i="35"/>
  <c r="T89" i="35"/>
  <c r="AA103" i="35"/>
  <c r="AB103" i="35" s="1"/>
  <c r="Z135" i="35"/>
  <c r="AJ27" i="35" s="1"/>
  <c r="Z165" i="35"/>
  <c r="X171" i="35"/>
  <c r="AA171" i="35"/>
  <c r="AB171" i="35" s="1"/>
  <c r="X192" i="35"/>
  <c r="AA208" i="35"/>
  <c r="AB208" i="35" s="1"/>
  <c r="X208" i="35"/>
  <c r="X216" i="35"/>
  <c r="AA220" i="35"/>
  <c r="AB220" i="35" s="1"/>
  <c r="X220" i="35"/>
  <c r="AA237" i="35"/>
  <c r="AB237" i="35" s="1"/>
  <c r="X237" i="35"/>
  <c r="X244" i="35"/>
  <c r="AA271" i="35"/>
  <c r="AB271" i="35" s="1"/>
  <c r="X271" i="35"/>
  <c r="AA289" i="35"/>
  <c r="AB289" i="35" s="1"/>
  <c r="X353" i="35"/>
  <c r="AA353" i="35"/>
  <c r="AB353" i="35" s="1"/>
  <c r="T359" i="35"/>
  <c r="X378" i="35"/>
  <c r="AA378" i="35"/>
  <c r="AB378" i="35" s="1"/>
  <c r="L404" i="35"/>
  <c r="T410" i="35"/>
  <c r="Z414" i="35"/>
  <c r="AA444" i="35"/>
  <c r="AB444" i="35" s="1"/>
  <c r="T446" i="35"/>
  <c r="L456" i="35"/>
  <c r="AA472" i="35"/>
  <c r="AB472" i="35" s="1"/>
  <c r="T492" i="35"/>
  <c r="J501" i="35"/>
  <c r="H501" i="35" s="1"/>
  <c r="I501" i="35" s="1"/>
  <c r="J512" i="35"/>
  <c r="H512" i="35" s="1"/>
  <c r="I512" i="35" s="1"/>
  <c r="AA523" i="35"/>
  <c r="AB523" i="35" s="1"/>
  <c r="X523" i="35"/>
  <c r="X561" i="35"/>
  <c r="AA561" i="35"/>
  <c r="AB561" i="35" s="1"/>
  <c r="Z571" i="35"/>
  <c r="AA571" i="35"/>
  <c r="AB571" i="35" s="1"/>
  <c r="L575" i="35"/>
  <c r="X578" i="35"/>
  <c r="AA578" i="35"/>
  <c r="AB578" i="35" s="1"/>
  <c r="AA586" i="35"/>
  <c r="AB586" i="35" s="1"/>
  <c r="X622" i="35"/>
  <c r="AA623" i="35"/>
  <c r="AB623" i="35" s="1"/>
  <c r="X623" i="35"/>
  <c r="J662" i="35"/>
  <c r="H662" i="35" s="1"/>
  <c r="I662" i="35" s="1"/>
  <c r="X668" i="35"/>
  <c r="AA668" i="35"/>
  <c r="AB668" i="35" s="1"/>
  <c r="X705" i="35"/>
  <c r="AA705" i="35"/>
  <c r="AB705" i="35" s="1"/>
  <c r="L708" i="35"/>
  <c r="AA712" i="35"/>
  <c r="AB712" i="35" s="1"/>
  <c r="X714" i="35"/>
  <c r="X733" i="35"/>
  <c r="AI93" i="35" s="1"/>
  <c r="AA739" i="35"/>
  <c r="AB739" i="35" s="1"/>
  <c r="X741" i="35"/>
  <c r="AA741" i="35"/>
  <c r="AB741" i="35" s="1"/>
  <c r="AJ17" i="38"/>
  <c r="AA47" i="38"/>
  <c r="AB47" i="38" s="1"/>
  <c r="AA67" i="38"/>
  <c r="AB67" i="38" s="1"/>
  <c r="X67" i="38"/>
  <c r="AA74" i="38"/>
  <c r="AB74" i="38" s="1"/>
  <c r="X75" i="38"/>
  <c r="AI20" i="38" s="1"/>
  <c r="AA75" i="38"/>
  <c r="AB75" i="38" s="1"/>
  <c r="L89" i="38"/>
  <c r="X111" i="38"/>
  <c r="AA111" i="38"/>
  <c r="AB111" i="38" s="1"/>
  <c r="J123" i="38"/>
  <c r="H123" i="38" s="1"/>
  <c r="I123" i="38" s="1"/>
  <c r="AA135" i="38"/>
  <c r="AB135" i="38" s="1"/>
  <c r="X135" i="38"/>
  <c r="J142" i="38"/>
  <c r="H142" i="38" s="1"/>
  <c r="I142" i="38" s="1"/>
  <c r="V142" i="38" s="1"/>
  <c r="X144" i="38"/>
  <c r="AA144" i="38"/>
  <c r="AB144" i="38" s="1"/>
  <c r="V149" i="38"/>
  <c r="Z156" i="38"/>
  <c r="AA165" i="38"/>
  <c r="AB165" i="38" s="1"/>
  <c r="X165" i="38"/>
  <c r="X172" i="38"/>
  <c r="AI31" i="38" s="1"/>
  <c r="AA172" i="38"/>
  <c r="AB172" i="38" s="1"/>
  <c r="L181" i="38"/>
  <c r="L196" i="38"/>
  <c r="X216" i="38"/>
  <c r="AA216" i="38"/>
  <c r="AB216" i="38" s="1"/>
  <c r="L224" i="38"/>
  <c r="V224" i="38" s="1"/>
  <c r="Z247" i="38"/>
  <c r="X265" i="38"/>
  <c r="AA265" i="38"/>
  <c r="AB265" i="38" s="1"/>
  <c r="AA280" i="38"/>
  <c r="AB280" i="38" s="1"/>
  <c r="X280" i="38"/>
  <c r="X292" i="38"/>
  <c r="J294" i="38"/>
  <c r="H294" i="38" s="1"/>
  <c r="I294" i="38" s="1"/>
  <c r="V294" i="38" s="1"/>
  <c r="X299" i="38"/>
  <c r="AA309" i="38"/>
  <c r="AB309" i="38" s="1"/>
  <c r="X309" i="38"/>
  <c r="AA326" i="38"/>
  <c r="AB326" i="38" s="1"/>
  <c r="X326" i="38"/>
  <c r="AA346" i="38"/>
  <c r="AB346" i="38" s="1"/>
  <c r="X346" i="38"/>
  <c r="X352" i="38"/>
  <c r="AA353" i="38"/>
  <c r="AB353" i="38" s="1"/>
  <c r="X353" i="38"/>
  <c r="AA361" i="38"/>
  <c r="AB361" i="38" s="1"/>
  <c r="X361" i="38"/>
  <c r="AA362" i="38"/>
  <c r="AB362" i="38" s="1"/>
  <c r="X362" i="38"/>
  <c r="J366" i="38"/>
  <c r="H366" i="38" s="1"/>
  <c r="I366" i="38" s="1"/>
  <c r="V366" i="38" s="1"/>
  <c r="L367" i="38"/>
  <c r="AA379" i="38"/>
  <c r="AB379" i="38" s="1"/>
  <c r="X379" i="38"/>
  <c r="AA391" i="38"/>
  <c r="AB391" i="38" s="1"/>
  <c r="X391" i="38"/>
  <c r="X400" i="38"/>
  <c r="L410" i="38"/>
  <c r="AA415" i="38"/>
  <c r="AB415" i="38" s="1"/>
  <c r="X415" i="38"/>
  <c r="L419" i="38"/>
  <c r="AA427" i="38"/>
  <c r="AB427" i="38" s="1"/>
  <c r="AA441" i="38"/>
  <c r="AB441" i="38" s="1"/>
  <c r="X451" i="38"/>
  <c r="AA451" i="38"/>
  <c r="AB451" i="38" s="1"/>
  <c r="J473" i="38"/>
  <c r="H473" i="38" s="1"/>
  <c r="I473" i="38" s="1"/>
  <c r="AA479" i="38"/>
  <c r="AB479" i="38" s="1"/>
  <c r="X481" i="38"/>
  <c r="J492" i="38"/>
  <c r="H492" i="38" s="1"/>
  <c r="I492" i="38" s="1"/>
  <c r="AA508" i="38"/>
  <c r="AB508" i="38" s="1"/>
  <c r="L545" i="38"/>
  <c r="V545" i="38" s="1"/>
  <c r="L581" i="38"/>
  <c r="V581" i="38" s="1"/>
  <c r="X631" i="38"/>
  <c r="AA631" i="38"/>
  <c r="AB631" i="38" s="1"/>
  <c r="X639" i="38"/>
  <c r="AA639" i="38"/>
  <c r="AB639" i="38" s="1"/>
  <c r="J647" i="38"/>
  <c r="H647" i="38" s="1"/>
  <c r="I647" i="38" s="1"/>
  <c r="L674" i="38"/>
  <c r="L680" i="38"/>
  <c r="AA696" i="38"/>
  <c r="AB696" i="38" s="1"/>
  <c r="J44" i="39"/>
  <c r="H44" i="39" s="1"/>
  <c r="I44" i="39" s="1"/>
  <c r="AJ17" i="39"/>
  <c r="T78" i="39"/>
  <c r="T123" i="39"/>
  <c r="T124" i="39"/>
  <c r="T140" i="39"/>
  <c r="AA145" i="39"/>
  <c r="AB145" i="39" s="1"/>
  <c r="X145" i="39"/>
  <c r="AA166" i="39"/>
  <c r="AB166" i="39" s="1"/>
  <c r="X166" i="39"/>
  <c r="X180" i="39"/>
  <c r="AI32" i="39" s="1"/>
  <c r="AA180" i="39"/>
  <c r="AB180" i="39" s="1"/>
  <c r="T204" i="39"/>
  <c r="X218" i="39"/>
  <c r="AA218" i="39"/>
  <c r="AB218" i="39" s="1"/>
  <c r="X220" i="39"/>
  <c r="AA220" i="39"/>
  <c r="AB220" i="39" s="1"/>
  <c r="V223" i="39"/>
  <c r="T251" i="39"/>
  <c r="Z263" i="39"/>
  <c r="AA263" i="39"/>
  <c r="AB263" i="39" s="1"/>
  <c r="T287" i="39"/>
  <c r="Z299" i="39"/>
  <c r="AA299" i="39"/>
  <c r="AB299" i="39" s="1"/>
  <c r="T357" i="39"/>
  <c r="T367" i="39"/>
  <c r="X369" i="39"/>
  <c r="AA369" i="39"/>
  <c r="AB369" i="39" s="1"/>
  <c r="AA396" i="39"/>
  <c r="AB396" i="39" s="1"/>
  <c r="X396" i="39"/>
  <c r="Z409" i="39"/>
  <c r="AA409" i="39"/>
  <c r="AB409" i="39" s="1"/>
  <c r="AA470" i="39"/>
  <c r="AB470" i="39" s="1"/>
  <c r="X472" i="39"/>
  <c r="X479" i="39"/>
  <c r="AA479" i="39"/>
  <c r="AB479" i="39" s="1"/>
  <c r="X480" i="39"/>
  <c r="AA480" i="39"/>
  <c r="AB480" i="39" s="1"/>
  <c r="Z495" i="39"/>
  <c r="AJ67" i="39" s="1"/>
  <c r="AA495" i="39"/>
  <c r="AB495" i="39" s="1"/>
  <c r="J527" i="39"/>
  <c r="H527" i="39" s="1"/>
  <c r="I527" i="39" s="1"/>
  <c r="T546" i="39"/>
  <c r="X604" i="39"/>
  <c r="T619" i="39"/>
  <c r="X622" i="39"/>
  <c r="AA623" i="39"/>
  <c r="AB623" i="39" s="1"/>
  <c r="X623" i="39"/>
  <c r="Z652" i="39"/>
  <c r="AA652" i="39"/>
  <c r="AB652" i="39" s="1"/>
  <c r="AI49" i="40"/>
  <c r="AF38" i="40"/>
  <c r="AA56" i="35"/>
  <c r="AB56" i="35" s="1"/>
  <c r="AA74" i="35"/>
  <c r="AB74" i="35" s="1"/>
  <c r="AA81" i="35"/>
  <c r="AB81" i="35" s="1"/>
  <c r="AA82" i="35"/>
  <c r="AB82" i="35" s="1"/>
  <c r="L107" i="35"/>
  <c r="J133" i="35"/>
  <c r="H133" i="35" s="1"/>
  <c r="I133" i="35" s="1"/>
  <c r="V133" i="35" s="1"/>
  <c r="AA136" i="35"/>
  <c r="AB136" i="35" s="1"/>
  <c r="AA155" i="35"/>
  <c r="AB155" i="35" s="1"/>
  <c r="L167" i="35"/>
  <c r="AA175" i="35"/>
  <c r="AB175" i="35" s="1"/>
  <c r="L186" i="35"/>
  <c r="T195" i="35"/>
  <c r="AA209" i="35"/>
  <c r="AB209" i="35" s="1"/>
  <c r="T224" i="35"/>
  <c r="AA225" i="35"/>
  <c r="AB225" i="35" s="1"/>
  <c r="T233" i="35"/>
  <c r="AA234" i="35"/>
  <c r="AB234" i="35" s="1"/>
  <c r="AA245" i="35"/>
  <c r="AB245" i="35" s="1"/>
  <c r="AA247" i="35"/>
  <c r="AB247" i="35" s="1"/>
  <c r="AA263" i="35"/>
  <c r="AB263" i="35" s="1"/>
  <c r="AA265" i="35"/>
  <c r="AB265" i="35" s="1"/>
  <c r="J269" i="35"/>
  <c r="H269" i="35" s="1"/>
  <c r="I269" i="35" s="1"/>
  <c r="V269" i="35" s="1"/>
  <c r="AA270" i="35"/>
  <c r="AB270" i="35" s="1"/>
  <c r="L330" i="35"/>
  <c r="L332" i="35"/>
  <c r="J365" i="35"/>
  <c r="H365" i="35" s="1"/>
  <c r="I365" i="35" s="1"/>
  <c r="V365" i="35" s="1"/>
  <c r="L375" i="35"/>
  <c r="AA379" i="35"/>
  <c r="AB379" i="35" s="1"/>
  <c r="AA380" i="35"/>
  <c r="AB380" i="35" s="1"/>
  <c r="AA381" i="35"/>
  <c r="AB381" i="35" s="1"/>
  <c r="AA382" i="35"/>
  <c r="AB382" i="35" s="1"/>
  <c r="T385" i="35"/>
  <c r="J412" i="35"/>
  <c r="H412" i="35" s="1"/>
  <c r="I412" i="35" s="1"/>
  <c r="AA415" i="35"/>
  <c r="AB415" i="35" s="1"/>
  <c r="L483" i="35"/>
  <c r="AA495" i="35"/>
  <c r="AB495" i="35" s="1"/>
  <c r="AA508" i="35"/>
  <c r="AB508" i="35" s="1"/>
  <c r="L518" i="35"/>
  <c r="AA524" i="35"/>
  <c r="AB524" i="35" s="1"/>
  <c r="AA531" i="35"/>
  <c r="AB531" i="35" s="1"/>
  <c r="L537" i="35"/>
  <c r="L591" i="35"/>
  <c r="L593" i="35"/>
  <c r="J611" i="35"/>
  <c r="H611" i="35" s="1"/>
  <c r="I611" i="35" s="1"/>
  <c r="AA624" i="35"/>
  <c r="AB624" i="35" s="1"/>
  <c r="L645" i="35"/>
  <c r="AA685" i="35"/>
  <c r="AB685" i="35" s="1"/>
  <c r="L692" i="35"/>
  <c r="AA693" i="35"/>
  <c r="AB693" i="35" s="1"/>
  <c r="L699" i="35"/>
  <c r="AA703" i="35"/>
  <c r="AB703" i="35" s="1"/>
  <c r="J707" i="35"/>
  <c r="H707" i="35" s="1"/>
  <c r="I707" i="35" s="1"/>
  <c r="V707" i="35" s="1"/>
  <c r="T709" i="35"/>
  <c r="AA738" i="35"/>
  <c r="AB738" i="35" s="1"/>
  <c r="AA38" i="38"/>
  <c r="AB38" i="38" s="1"/>
  <c r="AA40" i="38"/>
  <c r="AB40" i="38" s="1"/>
  <c r="L53" i="38"/>
  <c r="AA83" i="38"/>
  <c r="AB83" i="38" s="1"/>
  <c r="AA85" i="38"/>
  <c r="AB85" i="38" s="1"/>
  <c r="AA90" i="38"/>
  <c r="AB90" i="38" s="1"/>
  <c r="T95" i="38"/>
  <c r="T106" i="38"/>
  <c r="J122" i="38"/>
  <c r="H122" i="38" s="1"/>
  <c r="I122" i="38" s="1"/>
  <c r="J141" i="38"/>
  <c r="H141" i="38" s="1"/>
  <c r="I141" i="38" s="1"/>
  <c r="AA147" i="38"/>
  <c r="AB147" i="38" s="1"/>
  <c r="L159" i="38"/>
  <c r="AA184" i="38"/>
  <c r="AB184" i="38" s="1"/>
  <c r="L195" i="38"/>
  <c r="AA201" i="38"/>
  <c r="AB201" i="38" s="1"/>
  <c r="T215" i="38"/>
  <c r="AA220" i="38"/>
  <c r="AB220" i="38" s="1"/>
  <c r="L221" i="38"/>
  <c r="T233" i="38"/>
  <c r="AA237" i="38"/>
  <c r="AB237" i="38" s="1"/>
  <c r="AA243" i="38"/>
  <c r="AB243" i="38" s="1"/>
  <c r="L267" i="38"/>
  <c r="L268" i="38"/>
  <c r="V268" i="38" s="1"/>
  <c r="AA272" i="38"/>
  <c r="AB272" i="38" s="1"/>
  <c r="AA289" i="38"/>
  <c r="AB289" i="38" s="1"/>
  <c r="AA291" i="38"/>
  <c r="AB291" i="38" s="1"/>
  <c r="L293" i="38"/>
  <c r="AA298" i="38"/>
  <c r="AB298" i="38" s="1"/>
  <c r="AA300" i="38"/>
  <c r="AB300" i="38" s="1"/>
  <c r="AA306" i="38"/>
  <c r="AB306" i="38" s="1"/>
  <c r="AA354" i="38"/>
  <c r="AB354" i="38" s="1"/>
  <c r="AA363" i="38"/>
  <c r="AB363" i="38" s="1"/>
  <c r="X363" i="38"/>
  <c r="AA380" i="38"/>
  <c r="AB380" i="38" s="1"/>
  <c r="X380" i="38"/>
  <c r="L385" i="38"/>
  <c r="AA389" i="38"/>
  <c r="AB389" i="38" s="1"/>
  <c r="X389" i="38"/>
  <c r="AA398" i="38"/>
  <c r="AB398" i="38" s="1"/>
  <c r="AA406" i="38"/>
  <c r="AB406" i="38" s="1"/>
  <c r="X406" i="38"/>
  <c r="T412" i="38"/>
  <c r="T458" i="38"/>
  <c r="L465" i="38"/>
  <c r="AA478" i="38"/>
  <c r="AB478" i="38" s="1"/>
  <c r="L546" i="38"/>
  <c r="AA551" i="38"/>
  <c r="AB551" i="38" s="1"/>
  <c r="X551" i="38"/>
  <c r="AA558" i="38"/>
  <c r="AB558" i="38" s="1"/>
  <c r="L592" i="38"/>
  <c r="V592" i="38" s="1"/>
  <c r="L599" i="38"/>
  <c r="AA642" i="38"/>
  <c r="AB642" i="38" s="1"/>
  <c r="X642" i="38"/>
  <c r="J653" i="38"/>
  <c r="H653" i="38" s="1"/>
  <c r="I653" i="38" s="1"/>
  <c r="V653" i="38" s="1"/>
  <c r="AA658" i="38"/>
  <c r="AB658" i="38" s="1"/>
  <c r="X658" i="38"/>
  <c r="L672" i="38"/>
  <c r="T690" i="38"/>
  <c r="X693" i="38"/>
  <c r="AA693" i="38"/>
  <c r="AB693" i="38" s="1"/>
  <c r="X741" i="38"/>
  <c r="AA741" i="38"/>
  <c r="AB741" i="38" s="1"/>
  <c r="AA29" i="39"/>
  <c r="AB29" i="39" s="1"/>
  <c r="X29" i="39"/>
  <c r="AA55" i="39"/>
  <c r="AB55" i="39" s="1"/>
  <c r="X55" i="39"/>
  <c r="AA64" i="39"/>
  <c r="AB64" i="39" s="1"/>
  <c r="X64" i="39"/>
  <c r="T71" i="39"/>
  <c r="AA75" i="39"/>
  <c r="AB75" i="39" s="1"/>
  <c r="T115" i="39"/>
  <c r="T179" i="39"/>
  <c r="T232" i="39"/>
  <c r="X315" i="39"/>
  <c r="AI47" i="39" s="1"/>
  <c r="AA315" i="39"/>
  <c r="AB315" i="39" s="1"/>
  <c r="T376" i="39"/>
  <c r="AA445" i="39"/>
  <c r="AB445" i="39" s="1"/>
  <c r="X445" i="39"/>
  <c r="AI61" i="39" s="1"/>
  <c r="AA463" i="39"/>
  <c r="AB463" i="39" s="1"/>
  <c r="X463" i="39"/>
  <c r="T464" i="39"/>
  <c r="X497" i="39"/>
  <c r="AA497" i="39"/>
  <c r="AB497" i="39" s="1"/>
  <c r="X504" i="39"/>
  <c r="AI68" i="39" s="1"/>
  <c r="AA504" i="39"/>
  <c r="AB504" i="39" s="1"/>
  <c r="X515" i="39"/>
  <c r="AA515" i="39"/>
  <c r="AB515" i="39" s="1"/>
  <c r="X516" i="39"/>
  <c r="AA516" i="39"/>
  <c r="AB516" i="39" s="1"/>
  <c r="T564" i="39"/>
  <c r="AA632" i="39"/>
  <c r="AB632" i="39" s="1"/>
  <c r="X632" i="39"/>
  <c r="T635" i="39"/>
  <c r="T664" i="39"/>
  <c r="T700" i="39"/>
  <c r="AG90" i="39" s="1"/>
  <c r="T710" i="39"/>
  <c r="T717" i="39"/>
  <c r="X729" i="39"/>
  <c r="AI93" i="39" s="1"/>
  <c r="AA729" i="39"/>
  <c r="AB729" i="39" s="1"/>
  <c r="T737" i="39"/>
  <c r="AK91" i="40"/>
  <c r="V680" i="40"/>
  <c r="AH88" i="40" s="1"/>
  <c r="AL88" i="40" s="1"/>
  <c r="J76" i="37" s="1"/>
  <c r="AF88" i="40"/>
  <c r="AG81" i="40"/>
  <c r="AF78" i="40"/>
  <c r="AK70" i="40"/>
  <c r="AK73" i="40"/>
  <c r="AK67" i="40"/>
  <c r="AI57" i="40"/>
  <c r="AI50" i="40"/>
  <c r="AI48" i="40"/>
  <c r="AK68" i="40"/>
  <c r="AK47" i="40"/>
  <c r="V321" i="40"/>
  <c r="AH48" i="40" s="1"/>
  <c r="AF48" i="40"/>
  <c r="AK44" i="40"/>
  <c r="AK34" i="40"/>
  <c r="AF83" i="40"/>
  <c r="AF76" i="40"/>
  <c r="AK25" i="40"/>
  <c r="AK28" i="40"/>
  <c r="AA31" i="35"/>
  <c r="AB31" i="35" s="1"/>
  <c r="AK15" i="35" s="1"/>
  <c r="T35" i="35"/>
  <c r="AA37" i="35"/>
  <c r="AB37" i="35" s="1"/>
  <c r="J44" i="35"/>
  <c r="H44" i="35" s="1"/>
  <c r="I44" i="35" s="1"/>
  <c r="L50" i="35"/>
  <c r="AA55" i="35"/>
  <c r="AB55" i="35" s="1"/>
  <c r="X56" i="35"/>
  <c r="AA58" i="35"/>
  <c r="AB58" i="35" s="1"/>
  <c r="AA64" i="35"/>
  <c r="AB64" i="35" s="1"/>
  <c r="AA66" i="35"/>
  <c r="AB66" i="35" s="1"/>
  <c r="X74" i="35"/>
  <c r="L77" i="35"/>
  <c r="X81" i="35"/>
  <c r="X82" i="35"/>
  <c r="AA85" i="35"/>
  <c r="AB85" i="35" s="1"/>
  <c r="L87" i="35"/>
  <c r="J95" i="35"/>
  <c r="H95" i="35" s="1"/>
  <c r="I95" i="35" s="1"/>
  <c r="AA100" i="35"/>
  <c r="AB100" i="35" s="1"/>
  <c r="X136" i="35"/>
  <c r="X155" i="35"/>
  <c r="L160" i="35"/>
  <c r="L161" i="35"/>
  <c r="X175" i="35"/>
  <c r="T206" i="35"/>
  <c r="X209" i="35"/>
  <c r="AA210" i="35"/>
  <c r="AB210" i="35" s="1"/>
  <c r="T213" i="35"/>
  <c r="AA217" i="35"/>
  <c r="AB217" i="35" s="1"/>
  <c r="AA219" i="35"/>
  <c r="AB219" i="35" s="1"/>
  <c r="L221" i="35"/>
  <c r="X225" i="35"/>
  <c r="AA227" i="35"/>
  <c r="AB227" i="35" s="1"/>
  <c r="AK37" i="35" s="1"/>
  <c r="AA229" i="35"/>
  <c r="AB229" i="35" s="1"/>
  <c r="X234" i="35"/>
  <c r="AA236" i="35"/>
  <c r="AB236" i="35" s="1"/>
  <c r="AA238" i="35"/>
  <c r="AB238" i="35" s="1"/>
  <c r="X245" i="35"/>
  <c r="X247" i="35"/>
  <c r="T249" i="35"/>
  <c r="AA253" i="35"/>
  <c r="AB253" i="35" s="1"/>
  <c r="AK40" i="35" s="1"/>
  <c r="AA255" i="35"/>
  <c r="AB255" i="35" s="1"/>
  <c r="X263" i="35"/>
  <c r="X265" i="35"/>
  <c r="T267" i="35"/>
  <c r="X270" i="35"/>
  <c r="AA272" i="35"/>
  <c r="AB272" i="35" s="1"/>
  <c r="AA274" i="35"/>
  <c r="AB274" i="35" s="1"/>
  <c r="T304" i="35"/>
  <c r="L312" i="35"/>
  <c r="L314" i="35"/>
  <c r="L366" i="35"/>
  <c r="J401" i="35"/>
  <c r="H401" i="35" s="1"/>
  <c r="I401" i="35" s="1"/>
  <c r="V401" i="35" s="1"/>
  <c r="X415" i="35"/>
  <c r="J475" i="35"/>
  <c r="H475" i="35" s="1"/>
  <c r="I475" i="35" s="1"/>
  <c r="AA490" i="35"/>
  <c r="AB490" i="35" s="1"/>
  <c r="X495" i="35"/>
  <c r="AA506" i="35"/>
  <c r="AB506" i="35" s="1"/>
  <c r="X508" i="35"/>
  <c r="L520" i="35"/>
  <c r="X524" i="35"/>
  <c r="X531" i="35"/>
  <c r="L536" i="35"/>
  <c r="L546" i="35"/>
  <c r="J581" i="35"/>
  <c r="H581" i="35" s="1"/>
  <c r="I581" i="35" s="1"/>
  <c r="V581" i="35" s="1"/>
  <c r="L582" i="35"/>
  <c r="AA612" i="35"/>
  <c r="AB612" i="35" s="1"/>
  <c r="X624" i="35"/>
  <c r="AA625" i="35"/>
  <c r="AB625" i="35" s="1"/>
  <c r="X685" i="35"/>
  <c r="AA686" i="35"/>
  <c r="AB686" i="35" s="1"/>
  <c r="L691" i="35"/>
  <c r="X693" i="35"/>
  <c r="AI89" i="35" s="1"/>
  <c r="X703" i="35"/>
  <c r="AA704" i="35"/>
  <c r="AB704" i="35" s="1"/>
  <c r="X738" i="35"/>
  <c r="AA20" i="38"/>
  <c r="AB20" i="38" s="1"/>
  <c r="AA29" i="38"/>
  <c r="AB29" i="38" s="1"/>
  <c r="AA31" i="38"/>
  <c r="AB31" i="38" s="1"/>
  <c r="L37" i="38"/>
  <c r="X38" i="38"/>
  <c r="X40" i="38"/>
  <c r="AA49" i="38"/>
  <c r="AB49" i="38" s="1"/>
  <c r="X83" i="38"/>
  <c r="X85" i="38"/>
  <c r="X90" i="38"/>
  <c r="L141" i="38"/>
  <c r="AA145" i="38"/>
  <c r="AB145" i="38" s="1"/>
  <c r="X147" i="38"/>
  <c r="AA163" i="38"/>
  <c r="AB163" i="38" s="1"/>
  <c r="AA182" i="38"/>
  <c r="AB182" i="38" s="1"/>
  <c r="X184" i="38"/>
  <c r="L194" i="38"/>
  <c r="AA199" i="38"/>
  <c r="AB199" i="38" s="1"/>
  <c r="X201" i="38"/>
  <c r="X220" i="38"/>
  <c r="X237" i="38"/>
  <c r="AI38" i="38" s="1"/>
  <c r="L242" i="38"/>
  <c r="X243" i="38"/>
  <c r="AA254" i="38"/>
  <c r="AB254" i="38" s="1"/>
  <c r="T266" i="38"/>
  <c r="X272" i="38"/>
  <c r="AA273" i="38"/>
  <c r="AB273" i="38" s="1"/>
  <c r="J275" i="38"/>
  <c r="H275" i="38" s="1"/>
  <c r="I275" i="38" s="1"/>
  <c r="V275" i="38" s="1"/>
  <c r="T277" i="38"/>
  <c r="AA281" i="38"/>
  <c r="AB281" i="38" s="1"/>
  <c r="AA283" i="38"/>
  <c r="AB283" i="38" s="1"/>
  <c r="AA288" i="38"/>
  <c r="AB288" i="38" s="1"/>
  <c r="X289" i="38"/>
  <c r="X291" i="38"/>
  <c r="T296" i="38"/>
  <c r="AA297" i="38"/>
  <c r="AB297" i="38" s="1"/>
  <c r="X298" i="38"/>
  <c r="X300" i="38"/>
  <c r="X306" i="38"/>
  <c r="AA308" i="38"/>
  <c r="AB308" i="38" s="1"/>
  <c r="AA310" i="38"/>
  <c r="AB310" i="38" s="1"/>
  <c r="AK46" i="38" s="1"/>
  <c r="X354" i="38"/>
  <c r="AA355" i="38"/>
  <c r="AB355" i="38" s="1"/>
  <c r="X355" i="38"/>
  <c r="L356" i="38"/>
  <c r="AA364" i="38"/>
  <c r="AB364" i="38" s="1"/>
  <c r="L365" i="38"/>
  <c r="X370" i="38"/>
  <c r="X372" i="38"/>
  <c r="X378" i="38"/>
  <c r="AA381" i="38"/>
  <c r="AB381" i="38" s="1"/>
  <c r="T384" i="38"/>
  <c r="X387" i="38"/>
  <c r="AI55" i="38" s="1"/>
  <c r="AA390" i="38"/>
  <c r="AB390" i="38" s="1"/>
  <c r="X398" i="38"/>
  <c r="AA399" i="38"/>
  <c r="AB399" i="38" s="1"/>
  <c r="X399" i="38"/>
  <c r="AA407" i="38"/>
  <c r="AB407" i="38" s="1"/>
  <c r="L412" i="38"/>
  <c r="AA414" i="38"/>
  <c r="AB414" i="38" s="1"/>
  <c r="X414" i="38"/>
  <c r="X478" i="38"/>
  <c r="J484" i="38"/>
  <c r="H484" i="38" s="1"/>
  <c r="I484" i="38" s="1"/>
  <c r="AA488" i="38"/>
  <c r="AB488" i="38" s="1"/>
  <c r="Z488" i="38"/>
  <c r="X514" i="38"/>
  <c r="L532" i="38"/>
  <c r="V529" i="38" s="1"/>
  <c r="AA534" i="38"/>
  <c r="AB534" i="38" s="1"/>
  <c r="AA550" i="38"/>
  <c r="AB550" i="38" s="1"/>
  <c r="AA553" i="38"/>
  <c r="AB553" i="38" s="1"/>
  <c r="X576" i="38"/>
  <c r="AA587" i="38"/>
  <c r="AB587" i="38" s="1"/>
  <c r="X587" i="38"/>
  <c r="AI77" i="38" s="1"/>
  <c r="T592" i="38"/>
  <c r="J617" i="38"/>
  <c r="H617" i="38" s="1"/>
  <c r="I617" i="38" s="1"/>
  <c r="V617" i="38" s="1"/>
  <c r="X622" i="38"/>
  <c r="X624" i="38"/>
  <c r="AA660" i="38"/>
  <c r="AB660" i="38" s="1"/>
  <c r="X679" i="38"/>
  <c r="AA679" i="38"/>
  <c r="AB679" i="38" s="1"/>
  <c r="J700" i="38"/>
  <c r="H700" i="38" s="1"/>
  <c r="I700" i="38" s="1"/>
  <c r="V700" i="38" s="1"/>
  <c r="L708" i="38"/>
  <c r="X720" i="38"/>
  <c r="AA720" i="38"/>
  <c r="AB720" i="38" s="1"/>
  <c r="X39" i="39"/>
  <c r="AA48" i="39"/>
  <c r="AB48" i="39" s="1"/>
  <c r="X48" i="39"/>
  <c r="AA54" i="39"/>
  <c r="AB54" i="39" s="1"/>
  <c r="X54" i="39"/>
  <c r="AA63" i="39"/>
  <c r="AB63" i="39" s="1"/>
  <c r="X63" i="39"/>
  <c r="X67" i="39"/>
  <c r="AI19" i="39" s="1"/>
  <c r="AA67" i="39"/>
  <c r="AB67" i="39" s="1"/>
  <c r="AA73" i="39"/>
  <c r="AB73" i="39" s="1"/>
  <c r="T105" i="39"/>
  <c r="T106" i="39"/>
  <c r="AA117" i="39"/>
  <c r="AB117" i="39" s="1"/>
  <c r="X130" i="39"/>
  <c r="T161" i="39"/>
  <c r="AA163" i="39"/>
  <c r="AB163" i="39" s="1"/>
  <c r="X163" i="39"/>
  <c r="T168" i="39"/>
  <c r="X174" i="39"/>
  <c r="AA174" i="39"/>
  <c r="AB174" i="39" s="1"/>
  <c r="T194" i="39"/>
  <c r="T197" i="39"/>
  <c r="T206" i="39"/>
  <c r="X207" i="39"/>
  <c r="AA256" i="39"/>
  <c r="AB256" i="39" s="1"/>
  <c r="T269" i="39"/>
  <c r="T275" i="39"/>
  <c r="J284" i="39"/>
  <c r="H284" i="39" s="1"/>
  <c r="I284" i="39" s="1"/>
  <c r="V284" i="39" s="1"/>
  <c r="T284" i="39"/>
  <c r="AA292" i="39"/>
  <c r="AB292" i="39" s="1"/>
  <c r="J293" i="39"/>
  <c r="H293" i="39" s="1"/>
  <c r="I293" i="39" s="1"/>
  <c r="T305" i="39"/>
  <c r="T312" i="39"/>
  <c r="T323" i="39"/>
  <c r="X327" i="39"/>
  <c r="AA327" i="39"/>
  <c r="AB327" i="39" s="1"/>
  <c r="X343" i="39"/>
  <c r="AA343" i="39"/>
  <c r="AB343" i="39" s="1"/>
  <c r="X345" i="39"/>
  <c r="AA345" i="39"/>
  <c r="AB345" i="39" s="1"/>
  <c r="X351" i="39"/>
  <c r="AA351" i="39"/>
  <c r="AB351" i="39" s="1"/>
  <c r="AA353" i="39"/>
  <c r="AB353" i="39" s="1"/>
  <c r="X355" i="39"/>
  <c r="X398" i="39"/>
  <c r="X400" i="39"/>
  <c r="X407" i="39"/>
  <c r="T420" i="39"/>
  <c r="T422" i="39"/>
  <c r="T439" i="39"/>
  <c r="T457" i="39"/>
  <c r="T474" i="39"/>
  <c r="T485" i="39"/>
  <c r="X487" i="39"/>
  <c r="AA487" i="39"/>
  <c r="AB487" i="39" s="1"/>
  <c r="T528" i="39"/>
  <c r="T539" i="39"/>
  <c r="X541" i="39"/>
  <c r="AA541" i="39"/>
  <c r="AB541" i="39" s="1"/>
  <c r="X551" i="39"/>
  <c r="AA551" i="39"/>
  <c r="AB551" i="39" s="1"/>
  <c r="X552" i="39"/>
  <c r="AA552" i="39"/>
  <c r="AB552" i="39" s="1"/>
  <c r="T572" i="39"/>
  <c r="X577" i="39"/>
  <c r="AA578" i="39"/>
  <c r="AB578" i="39" s="1"/>
  <c r="X578" i="39"/>
  <c r="T608" i="39"/>
  <c r="AA612" i="39"/>
  <c r="AB612" i="39" s="1"/>
  <c r="X612" i="39"/>
  <c r="AI80" i="39" s="1"/>
  <c r="X641" i="39"/>
  <c r="AA641" i="39"/>
  <c r="AB641" i="39" s="1"/>
  <c r="T680" i="39"/>
  <c r="X684" i="39"/>
  <c r="AI88" i="39" s="1"/>
  <c r="AA697" i="39"/>
  <c r="AB697" i="39" s="1"/>
  <c r="X697" i="39"/>
  <c r="AI89" i="39" s="1"/>
  <c r="X704" i="39"/>
  <c r="X720" i="39"/>
  <c r="AI92" i="39" s="1"/>
  <c r="AA720" i="39"/>
  <c r="AB720" i="39" s="1"/>
  <c r="X740" i="39"/>
  <c r="AI94" i="39" s="1"/>
  <c r="AA740" i="39"/>
  <c r="AB740" i="39" s="1"/>
  <c r="AK94" i="40"/>
  <c r="AK90" i="40"/>
  <c r="AF91" i="40"/>
  <c r="AK87" i="40"/>
  <c r="AJ82" i="40"/>
  <c r="AJ81" i="40"/>
  <c r="AJ83" i="40"/>
  <c r="AK64" i="40"/>
  <c r="AK80" i="40"/>
  <c r="AK74" i="40"/>
  <c r="AI70" i="40"/>
  <c r="AK60" i="40"/>
  <c r="AK58" i="40"/>
  <c r="AI73" i="40"/>
  <c r="AK69" i="40"/>
  <c r="AK61" i="40"/>
  <c r="AK66" i="40"/>
  <c r="AK40" i="40"/>
  <c r="AK32" i="40"/>
  <c r="AK24" i="40"/>
  <c r="AI68" i="40"/>
  <c r="AG52" i="40"/>
  <c r="AI47" i="40"/>
  <c r="AI46" i="40"/>
  <c r="AK49" i="40"/>
  <c r="AK19" i="40"/>
  <c r="AG46" i="40"/>
  <c r="AK26" i="40"/>
  <c r="AK14" i="40"/>
  <c r="AK37" i="40"/>
  <c r="AK30" i="40"/>
  <c r="AA317" i="38"/>
  <c r="AB317" i="38" s="1"/>
  <c r="AA319" i="38"/>
  <c r="AB319" i="38" s="1"/>
  <c r="AA324" i="38"/>
  <c r="AB324" i="38" s="1"/>
  <c r="AA325" i="38"/>
  <c r="AB325" i="38" s="1"/>
  <c r="AA327" i="38"/>
  <c r="AB327" i="38" s="1"/>
  <c r="AA335" i="38"/>
  <c r="AB335" i="38" s="1"/>
  <c r="AA337" i="38"/>
  <c r="AB337" i="38" s="1"/>
  <c r="AA342" i="38"/>
  <c r="AB342" i="38" s="1"/>
  <c r="AA343" i="38"/>
  <c r="AB343" i="38" s="1"/>
  <c r="AA345" i="38"/>
  <c r="AB345" i="38" s="1"/>
  <c r="L347" i="38"/>
  <c r="T348" i="38"/>
  <c r="L349" i="38"/>
  <c r="L358" i="38"/>
  <c r="AA360" i="38"/>
  <c r="AB360" i="38" s="1"/>
  <c r="AA371" i="38"/>
  <c r="AB371" i="38" s="1"/>
  <c r="AA373" i="38"/>
  <c r="AB373" i="38" s="1"/>
  <c r="L394" i="38"/>
  <c r="AA396" i="38"/>
  <c r="AB396" i="38" s="1"/>
  <c r="AA405" i="38"/>
  <c r="AB405" i="38" s="1"/>
  <c r="AA416" i="38"/>
  <c r="AB416" i="38" s="1"/>
  <c r="L420" i="38"/>
  <c r="L473" i="38"/>
  <c r="L485" i="38"/>
  <c r="L496" i="38"/>
  <c r="L509" i="38"/>
  <c r="L520" i="38"/>
  <c r="V520" i="38" s="1"/>
  <c r="J527" i="38"/>
  <c r="H527" i="38" s="1"/>
  <c r="I527" i="38" s="1"/>
  <c r="AA552" i="38"/>
  <c r="AB552" i="38" s="1"/>
  <c r="L557" i="38"/>
  <c r="AA567" i="38"/>
  <c r="AB567" i="38" s="1"/>
  <c r="AA569" i="38"/>
  <c r="AB569" i="38" s="1"/>
  <c r="AA571" i="38"/>
  <c r="AB571" i="38" s="1"/>
  <c r="AA604" i="38"/>
  <c r="AB604" i="38" s="1"/>
  <c r="AA606" i="38"/>
  <c r="AB606" i="38" s="1"/>
  <c r="AA623" i="38"/>
  <c r="AB623" i="38" s="1"/>
  <c r="AA625" i="38"/>
  <c r="AB625" i="38" s="1"/>
  <c r="L638" i="38"/>
  <c r="AA650" i="38"/>
  <c r="AB650" i="38" s="1"/>
  <c r="J671" i="38"/>
  <c r="H671" i="38" s="1"/>
  <c r="I671" i="38" s="1"/>
  <c r="AA676" i="38"/>
  <c r="AB676" i="38" s="1"/>
  <c r="L694" i="38"/>
  <c r="V689" i="38" s="1"/>
  <c r="T698" i="38"/>
  <c r="L707" i="38"/>
  <c r="L717" i="38"/>
  <c r="L719" i="38"/>
  <c r="T24" i="39"/>
  <c r="AA27" i="39"/>
  <c r="AB27" i="39" s="1"/>
  <c r="AA28" i="39"/>
  <c r="AB28" i="39" s="1"/>
  <c r="T33" i="39"/>
  <c r="AA36" i="39"/>
  <c r="AB36" i="39" s="1"/>
  <c r="AA37" i="39"/>
  <c r="AB37" i="39" s="1"/>
  <c r="T42" i="39"/>
  <c r="AA47" i="39"/>
  <c r="AB47" i="39" s="1"/>
  <c r="AA58" i="39"/>
  <c r="AB58" i="39" s="1"/>
  <c r="J68" i="39"/>
  <c r="H68" i="39" s="1"/>
  <c r="I68" i="39" s="1"/>
  <c r="T68" i="39"/>
  <c r="T69" i="39"/>
  <c r="T89" i="39"/>
  <c r="T132" i="39"/>
  <c r="AA135" i="39"/>
  <c r="AB135" i="39" s="1"/>
  <c r="AA137" i="39"/>
  <c r="AB137" i="39" s="1"/>
  <c r="AA139" i="39"/>
  <c r="AB139" i="39" s="1"/>
  <c r="J142" i="39"/>
  <c r="H142" i="39" s="1"/>
  <c r="I142" i="39" s="1"/>
  <c r="AA147" i="39"/>
  <c r="AB147" i="39" s="1"/>
  <c r="T152" i="39"/>
  <c r="AA164" i="39"/>
  <c r="AB164" i="39" s="1"/>
  <c r="J178" i="39"/>
  <c r="H178" i="39" s="1"/>
  <c r="I178" i="39" s="1"/>
  <c r="AA183" i="39"/>
  <c r="AB183" i="39" s="1"/>
  <c r="T186" i="39"/>
  <c r="J188" i="39"/>
  <c r="H188" i="39" s="1"/>
  <c r="I188" i="39" s="1"/>
  <c r="V188" i="39" s="1"/>
  <c r="AA198" i="39"/>
  <c r="AB198" i="39" s="1"/>
  <c r="AA199" i="39"/>
  <c r="AB199" i="39" s="1"/>
  <c r="AA208" i="39"/>
  <c r="AB208" i="39" s="1"/>
  <c r="T214" i="39"/>
  <c r="J250" i="39"/>
  <c r="H250" i="39" s="1"/>
  <c r="I250" i="39" s="1"/>
  <c r="T277" i="39"/>
  <c r="T295" i="39"/>
  <c r="T320" i="39"/>
  <c r="J338" i="39"/>
  <c r="H338" i="39" s="1"/>
  <c r="I338" i="39" s="1"/>
  <c r="J347" i="39"/>
  <c r="H347" i="39" s="1"/>
  <c r="I347" i="39" s="1"/>
  <c r="J366" i="39"/>
  <c r="H366" i="39" s="1"/>
  <c r="I366" i="39" s="1"/>
  <c r="J374" i="39"/>
  <c r="H374" i="39" s="1"/>
  <c r="I374" i="39" s="1"/>
  <c r="AA390" i="39"/>
  <c r="AB390" i="39" s="1"/>
  <c r="T392" i="39"/>
  <c r="T395" i="39"/>
  <c r="AA399" i="39"/>
  <c r="AB399" i="39" s="1"/>
  <c r="J431" i="39"/>
  <c r="H431" i="39" s="1"/>
  <c r="I431" i="39" s="1"/>
  <c r="T447" i="39"/>
  <c r="J449" i="39"/>
  <c r="H449" i="39" s="1"/>
  <c r="I449" i="39" s="1"/>
  <c r="V449" i="39" s="1"/>
  <c r="T491" i="39"/>
  <c r="T520" i="39"/>
  <c r="T556" i="39"/>
  <c r="AA579" i="39"/>
  <c r="AB579" i="39" s="1"/>
  <c r="AA587" i="39"/>
  <c r="AB587" i="39" s="1"/>
  <c r="AA589" i="39"/>
  <c r="AB589" i="39" s="1"/>
  <c r="AA605" i="39"/>
  <c r="AB605" i="39" s="1"/>
  <c r="AA607" i="39"/>
  <c r="AB607" i="39" s="1"/>
  <c r="T611" i="39"/>
  <c r="AA624" i="39"/>
  <c r="AB624" i="39" s="1"/>
  <c r="AA630" i="39"/>
  <c r="AB630" i="39" s="1"/>
  <c r="J655" i="39"/>
  <c r="H655" i="39" s="1"/>
  <c r="I655" i="39" s="1"/>
  <c r="V655" i="39" s="1"/>
  <c r="AA660" i="39"/>
  <c r="AB660" i="39" s="1"/>
  <c r="T673" i="39"/>
  <c r="AA678" i="39"/>
  <c r="AB678" i="39" s="1"/>
  <c r="AA703" i="39"/>
  <c r="AB703" i="39" s="1"/>
  <c r="AK89" i="40"/>
  <c r="AK88" i="40"/>
  <c r="AK82" i="40"/>
  <c r="AK81" i="40"/>
  <c r="AK78" i="40"/>
  <c r="AL78" i="40" s="1"/>
  <c r="J66" i="37" s="1"/>
  <c r="AG84" i="40"/>
  <c r="AI76" i="40"/>
  <c r="AF77" i="40"/>
  <c r="AJ74" i="40"/>
  <c r="AF73" i="40"/>
  <c r="AF58" i="40"/>
  <c r="AI69" i="40"/>
  <c r="AF66" i="40"/>
  <c r="AK62" i="40"/>
  <c r="AK56" i="40"/>
  <c r="AI61" i="40"/>
  <c r="AK53" i="40"/>
  <c r="AG53" i="40"/>
  <c r="AK51" i="40"/>
  <c r="AK42" i="40"/>
  <c r="AK16" i="40"/>
  <c r="AF49" i="40"/>
  <c r="AG39" i="40"/>
  <c r="AF26" i="40"/>
  <c r="AF17" i="40"/>
  <c r="AI37" i="40"/>
  <c r="AG17" i="40"/>
  <c r="AJ21" i="40"/>
  <c r="AK52" i="40"/>
  <c r="AI25" i="40"/>
  <c r="AI29" i="40"/>
  <c r="AK27" i="40"/>
  <c r="L556" i="38"/>
  <c r="V556" i="38" s="1"/>
  <c r="AA561" i="38"/>
  <c r="AB561" i="38" s="1"/>
  <c r="AA577" i="38"/>
  <c r="AB577" i="38" s="1"/>
  <c r="AA579" i="38"/>
  <c r="AB579" i="38" s="1"/>
  <c r="AA586" i="38"/>
  <c r="AB586" i="38" s="1"/>
  <c r="AA588" i="38"/>
  <c r="AB588" i="38" s="1"/>
  <c r="AA596" i="38"/>
  <c r="AB596" i="38" s="1"/>
  <c r="AA598" i="38"/>
  <c r="AB598" i="38" s="1"/>
  <c r="AA603" i="38"/>
  <c r="AB603" i="38" s="1"/>
  <c r="AA613" i="38"/>
  <c r="AB613" i="38" s="1"/>
  <c r="AA615" i="38"/>
  <c r="AB615" i="38" s="1"/>
  <c r="L636" i="38"/>
  <c r="T637" i="38"/>
  <c r="AA641" i="38"/>
  <c r="AB641" i="38" s="1"/>
  <c r="L645" i="38"/>
  <c r="L646" i="38"/>
  <c r="L647" i="38"/>
  <c r="V647" i="38" s="1"/>
  <c r="AA648" i="38"/>
  <c r="AB648" i="38" s="1"/>
  <c r="AA651" i="38"/>
  <c r="AB651" i="38" s="1"/>
  <c r="L671" i="38"/>
  <c r="AA677" i="38"/>
  <c r="AB677" i="38" s="1"/>
  <c r="L685" i="38"/>
  <c r="T691" i="38"/>
  <c r="T725" i="38"/>
  <c r="L730" i="38"/>
  <c r="J16" i="39"/>
  <c r="H16" i="39" s="1"/>
  <c r="I16" i="39" s="1"/>
  <c r="V16" i="39" s="1"/>
  <c r="AA19" i="39"/>
  <c r="AB19" i="39" s="1"/>
  <c r="AA21" i="39"/>
  <c r="AB21" i="39" s="1"/>
  <c r="AA31" i="39"/>
  <c r="AB31" i="39" s="1"/>
  <c r="T35" i="39"/>
  <c r="AA40" i="39"/>
  <c r="AB40" i="39" s="1"/>
  <c r="T43" i="39"/>
  <c r="AA45" i="39"/>
  <c r="AB45" i="39" s="1"/>
  <c r="AA46" i="39"/>
  <c r="AB46" i="39" s="1"/>
  <c r="AA57" i="39"/>
  <c r="AB57" i="39" s="1"/>
  <c r="J62" i="39"/>
  <c r="H62" i="39" s="1"/>
  <c r="I62" i="39" s="1"/>
  <c r="J69" i="39"/>
  <c r="H69" i="39" s="1"/>
  <c r="I69" i="39" s="1"/>
  <c r="J79" i="39"/>
  <c r="H79" i="39" s="1"/>
  <c r="I79" i="39" s="1"/>
  <c r="V79" i="39" s="1"/>
  <c r="T79" i="39"/>
  <c r="T80" i="39"/>
  <c r="T96" i="39"/>
  <c r="T98" i="39"/>
  <c r="T104" i="39"/>
  <c r="T114" i="39"/>
  <c r="T116" i="39"/>
  <c r="T122" i="39"/>
  <c r="AG26" i="39" s="1"/>
  <c r="J134" i="39"/>
  <c r="H134" i="39" s="1"/>
  <c r="I134" i="39" s="1"/>
  <c r="V134" i="39" s="1"/>
  <c r="T143" i="39"/>
  <c r="T151" i="39"/>
  <c r="AA162" i="39"/>
  <c r="AB162" i="39" s="1"/>
  <c r="AA165" i="39"/>
  <c r="AB165" i="39" s="1"/>
  <c r="AA181" i="39"/>
  <c r="AB181" i="39" s="1"/>
  <c r="AA189" i="39"/>
  <c r="AB189" i="39" s="1"/>
  <c r="T203" i="39"/>
  <c r="AA209" i="39"/>
  <c r="AB209" i="39" s="1"/>
  <c r="T212" i="39"/>
  <c r="T222" i="39"/>
  <c r="T311" i="39"/>
  <c r="T321" i="39"/>
  <c r="T331" i="39"/>
  <c r="T340" i="39"/>
  <c r="T368" i="39"/>
  <c r="AA373" i="39"/>
  <c r="AB373" i="39" s="1"/>
  <c r="T375" i="39"/>
  <c r="T386" i="39"/>
  <c r="AA388" i="39"/>
  <c r="AB388" i="39" s="1"/>
  <c r="T394" i="39"/>
  <c r="AG56" i="39" s="1"/>
  <c r="T404" i="39"/>
  <c r="T411" i="39"/>
  <c r="AA427" i="39"/>
  <c r="AB427" i="39" s="1"/>
  <c r="AA432" i="39"/>
  <c r="AB432" i="39" s="1"/>
  <c r="T440" i="39"/>
  <c r="AA442" i="39"/>
  <c r="AB442" i="39" s="1"/>
  <c r="AA444" i="39"/>
  <c r="AB444" i="39" s="1"/>
  <c r="AA450" i="39"/>
  <c r="AB450" i="39" s="1"/>
  <c r="T458" i="39"/>
  <c r="AA460" i="39"/>
  <c r="AB460" i="39" s="1"/>
  <c r="AA462" i="39"/>
  <c r="AB462" i="39" s="1"/>
  <c r="T484" i="39"/>
  <c r="T492" i="39"/>
  <c r="T500" i="39"/>
  <c r="T512" i="39"/>
  <c r="T519" i="39"/>
  <c r="T521" i="39"/>
  <c r="T537" i="39"/>
  <c r="T555" i="39"/>
  <c r="J556" i="39"/>
  <c r="H556" i="39" s="1"/>
  <c r="I556" i="39" s="1"/>
  <c r="V556" i="39" s="1"/>
  <c r="T557" i="39"/>
  <c r="T574" i="39"/>
  <c r="AA580" i="39"/>
  <c r="AB580" i="39" s="1"/>
  <c r="T582" i="39"/>
  <c r="T583" i="39"/>
  <c r="AA585" i="39"/>
  <c r="AB585" i="39" s="1"/>
  <c r="T593" i="39"/>
  <c r="J599" i="39"/>
  <c r="H599" i="39" s="1"/>
  <c r="I599" i="39" s="1"/>
  <c r="T609" i="39"/>
  <c r="AA625" i="39"/>
  <c r="AB625" i="39" s="1"/>
  <c r="AA633" i="39"/>
  <c r="AB633" i="39" s="1"/>
  <c r="T638" i="39"/>
  <c r="AA661" i="39"/>
  <c r="AB661" i="39" s="1"/>
  <c r="T663" i="39"/>
  <c r="AA679" i="39"/>
  <c r="AB679" i="39" s="1"/>
  <c r="T681" i="39"/>
  <c r="T692" i="39"/>
  <c r="AA694" i="39"/>
  <c r="AB694" i="39" s="1"/>
  <c r="AA696" i="39"/>
  <c r="AB696" i="39" s="1"/>
  <c r="AA702" i="39"/>
  <c r="AB702" i="39" s="1"/>
  <c r="T716" i="39"/>
  <c r="T718" i="39"/>
  <c r="T727" i="39"/>
  <c r="T736" i="39"/>
  <c r="AF90" i="40"/>
  <c r="AK86" i="40"/>
  <c r="AI88" i="40"/>
  <c r="AF86" i="40"/>
  <c r="AK84" i="40"/>
  <c r="AF80" i="40"/>
  <c r="AK79" i="40"/>
  <c r="AK65" i="40"/>
  <c r="AI85" i="40"/>
  <c r="AG77" i="40"/>
  <c r="AI66" i="40"/>
  <c r="AK59" i="40"/>
  <c r="AK57" i="40"/>
  <c r="AF67" i="40"/>
  <c r="AF65" i="40"/>
  <c r="AK71" i="40"/>
  <c r="AG60" i="40"/>
  <c r="AK54" i="40"/>
  <c r="AF63" i="40"/>
  <c r="AI72" i="40"/>
  <c r="AF68" i="40"/>
  <c r="AG54" i="40"/>
  <c r="AF51" i="40"/>
  <c r="AK36" i="40"/>
  <c r="AK20" i="40"/>
  <c r="AI18" i="40"/>
  <c r="AK17" i="40"/>
  <c r="AF54" i="40"/>
  <c r="AK48" i="40"/>
  <c r="AF82" i="40"/>
  <c r="AF37" i="40"/>
  <c r="AK23" i="40"/>
  <c r="AL23" i="40" s="1"/>
  <c r="J11" i="37" s="1"/>
  <c r="AK22" i="40"/>
  <c r="AK21" i="40"/>
  <c r="AI40" i="40"/>
  <c r="AI52" i="40"/>
  <c r="AI31" i="40"/>
  <c r="AI23" i="40"/>
  <c r="V455" i="34"/>
  <c r="V104" i="34"/>
  <c r="V170" i="34"/>
  <c r="V440" i="34"/>
  <c r="V672" i="34"/>
  <c r="V212" i="34"/>
  <c r="V359" i="34"/>
  <c r="AH42" i="40"/>
  <c r="V484" i="32"/>
  <c r="V17" i="32"/>
  <c r="V689" i="32"/>
  <c r="V16" i="32"/>
  <c r="V177" i="32"/>
  <c r="V485" i="32"/>
  <c r="V503" i="32"/>
  <c r="V510" i="32"/>
  <c r="V484" i="39"/>
  <c r="V178" i="39"/>
  <c r="V185" i="39"/>
  <c r="V374" i="39"/>
  <c r="V402" i="39"/>
  <c r="V230" i="39"/>
  <c r="V204" i="35"/>
  <c r="V655" i="35"/>
  <c r="V176" i="35"/>
  <c r="V430" i="35"/>
  <c r="V467" i="35"/>
  <c r="V251" i="35"/>
  <c r="V376" i="35"/>
  <c r="V419" i="35"/>
  <c r="V494" i="35"/>
  <c r="V71" i="38"/>
  <c r="V167" i="38"/>
  <c r="V178" i="38"/>
  <c r="V430" i="38"/>
  <c r="V257" i="38"/>
  <c r="V115" i="38"/>
  <c r="V611" i="38"/>
  <c r="V161" i="33"/>
  <c r="V374" i="33"/>
  <c r="V222" i="33"/>
  <c r="V68" i="34"/>
  <c r="V249" i="34"/>
  <c r="V473" i="34"/>
  <c r="V556" i="34"/>
  <c r="V428" i="32"/>
  <c r="V71" i="32"/>
  <c r="V204" i="32"/>
  <c r="V240" i="32"/>
  <c r="V538" i="32"/>
  <c r="V213" i="32"/>
  <c r="V215" i="32"/>
  <c r="V267" i="32"/>
  <c r="V303" i="32"/>
  <c r="V32" i="32"/>
  <c r="V186" i="32"/>
  <c r="V563" i="32"/>
  <c r="V149" i="33"/>
  <c r="V520" i="34"/>
  <c r="V151" i="35"/>
  <c r="V197" i="32"/>
  <c r="V647" i="32"/>
  <c r="V672" i="32"/>
  <c r="V700" i="32"/>
  <c r="V350" i="33"/>
  <c r="V485" i="33"/>
  <c r="V691" i="33"/>
  <c r="V700" i="33"/>
  <c r="V275" i="34"/>
  <c r="V527" i="34"/>
  <c r="V627" i="34"/>
  <c r="V476" i="35"/>
  <c r="V611" i="35"/>
  <c r="V662" i="35"/>
  <c r="V521" i="38"/>
  <c r="V518" i="38"/>
  <c r="V528" i="38"/>
  <c r="V528" i="32"/>
  <c r="V539" i="32"/>
  <c r="V611" i="32"/>
  <c r="V636" i="32"/>
  <c r="V132" i="33"/>
  <c r="V150" i="33"/>
  <c r="V338" i="33"/>
  <c r="V375" i="33"/>
  <c r="V627" i="33"/>
  <c r="V105" i="34"/>
  <c r="V133" i="34"/>
  <c r="V134" i="34"/>
  <c r="V141" i="34"/>
  <c r="V277" i="34"/>
  <c r="V330" i="34"/>
  <c r="V431" i="34"/>
  <c r="V512" i="34"/>
  <c r="V330" i="38"/>
  <c r="V88" i="35"/>
  <c r="V89" i="35"/>
  <c r="V140" i="35"/>
  <c r="V197" i="35"/>
  <c r="V231" i="35"/>
  <c r="V347" i="35"/>
  <c r="V394" i="35"/>
  <c r="V412" i="35"/>
  <c r="V475" i="35"/>
  <c r="V512" i="35"/>
  <c r="V682" i="35"/>
  <c r="V116" i="38"/>
  <c r="V628" i="38"/>
  <c r="V701" i="34"/>
  <c r="V718" i="34"/>
  <c r="V26" i="35"/>
  <c r="V106" i="35"/>
  <c r="V222" i="35"/>
  <c r="V448" i="35"/>
  <c r="V457" i="35"/>
  <c r="V491" i="35"/>
  <c r="V574" i="35"/>
  <c r="V122" i="38"/>
  <c r="V134" i="38"/>
  <c r="V185" i="38"/>
  <c r="V214" i="38"/>
  <c r="V250" i="38"/>
  <c r="V431" i="38"/>
  <c r="V448" i="38"/>
  <c r="V266" i="39"/>
  <c r="V277" i="39"/>
  <c r="V295" i="39"/>
  <c r="V302" i="39"/>
  <c r="V62" i="39"/>
  <c r="V566" i="39"/>
  <c r="V601" i="39"/>
  <c r="V313" i="39"/>
  <c r="AH45" i="40"/>
  <c r="AL45" i="40" s="1"/>
  <c r="J33" i="37" s="1"/>
  <c r="AH84" i="40"/>
  <c r="AH56" i="40"/>
  <c r="AL56" i="40" s="1"/>
  <c r="J44" i="37" s="1"/>
  <c r="AH24" i="40"/>
  <c r="AL24" i="40" s="1"/>
  <c r="J12" i="37" s="1"/>
  <c r="AH14" i="40"/>
  <c r="AL14" i="40" s="1"/>
  <c r="J2" i="37" s="1"/>
  <c r="AH89" i="40"/>
  <c r="AH87" i="40"/>
  <c r="AL87" i="40" s="1"/>
  <c r="J75" i="37" s="1"/>
  <c r="AH70" i="40"/>
  <c r="AL70" i="40" s="1"/>
  <c r="J58" i="37" s="1"/>
  <c r="AH51" i="40"/>
  <c r="AH50" i="40"/>
  <c r="AL50" i="40" s="1"/>
  <c r="J38" i="37" s="1"/>
  <c r="AH40" i="40"/>
  <c r="AL40" i="40" s="1"/>
  <c r="J28" i="37" s="1"/>
  <c r="AH32" i="40"/>
  <c r="AL32" i="40" s="1"/>
  <c r="J20" i="37" s="1"/>
  <c r="AH28" i="40"/>
  <c r="AL28" i="40" s="1"/>
  <c r="J16" i="37" s="1"/>
  <c r="AH67" i="40"/>
  <c r="AH83" i="40"/>
  <c r="AL83" i="40" s="1"/>
  <c r="J71" i="37" s="1"/>
  <c r="AH43" i="40"/>
  <c r="AL43" i="40" s="1"/>
  <c r="J31" i="37" s="1"/>
  <c r="AH35" i="40"/>
  <c r="AL35" i="40" s="1"/>
  <c r="J23" i="37" s="1"/>
  <c r="AH27" i="40"/>
  <c r="AL27" i="40" s="1"/>
  <c r="J15" i="37" s="1"/>
  <c r="AH82" i="40"/>
  <c r="AH72" i="40"/>
  <c r="AH62" i="40"/>
  <c r="AH19" i="40"/>
  <c r="AH60" i="40"/>
  <c r="AL60" i="40" s="1"/>
  <c r="J48" i="37" s="1"/>
  <c r="AH33" i="40"/>
  <c r="AL33" i="40" s="1"/>
  <c r="J21" i="37" s="1"/>
  <c r="AH25" i="40"/>
  <c r="AH61" i="40"/>
  <c r="AL61" i="40" s="1"/>
  <c r="J49" i="37" s="1"/>
  <c r="AH64" i="40"/>
  <c r="AH59" i="40"/>
  <c r="AL59" i="40" s="1"/>
  <c r="J47" i="37" s="1"/>
  <c r="AH15" i="40"/>
  <c r="AL15" i="40" s="1"/>
  <c r="J3" i="37" s="1"/>
  <c r="AH80" i="40"/>
  <c r="AL80" i="40" s="1"/>
  <c r="J68" i="37" s="1"/>
  <c r="AH76" i="40"/>
  <c r="AL76" i="40" s="1"/>
  <c r="J64" i="37" s="1"/>
  <c r="AH74" i="40"/>
  <c r="AL74" i="40" s="1"/>
  <c r="J62" i="37" s="1"/>
  <c r="AH65" i="40"/>
  <c r="AL65" i="40" s="1"/>
  <c r="J53" i="37" s="1"/>
  <c r="AH71" i="40"/>
  <c r="AH55" i="40"/>
  <c r="AL55" i="40" s="1"/>
  <c r="J43" i="37" s="1"/>
  <c r="AH44" i="40"/>
  <c r="AH34" i="40"/>
  <c r="AL34" i="40" s="1"/>
  <c r="J22" i="37" s="1"/>
  <c r="AH26" i="40"/>
  <c r="AL26" i="40" s="1"/>
  <c r="J14" i="37" s="1"/>
  <c r="AH21" i="40"/>
  <c r="AL21" i="40" s="1"/>
  <c r="J9" i="37" s="1"/>
  <c r="AH38" i="40"/>
  <c r="AH30" i="40"/>
  <c r="AF69" i="40"/>
  <c r="AF74" i="40"/>
  <c r="AF87" i="40"/>
  <c r="AF56" i="40"/>
  <c r="AF84" i="40"/>
  <c r="V654" i="40"/>
  <c r="AH85" i="40" s="1"/>
  <c r="AL85" i="40" s="1"/>
  <c r="J73" i="37" s="1"/>
  <c r="V602" i="40"/>
  <c r="V501" i="40"/>
  <c r="V368" i="40"/>
  <c r="AH53" i="40" s="1"/>
  <c r="AL53" i="40" s="1"/>
  <c r="J41" i="37" s="1"/>
  <c r="V374" i="40"/>
  <c r="AH54" i="40" s="1"/>
  <c r="AL54" i="40" s="1"/>
  <c r="J42" i="37" s="1"/>
  <c r="V329" i="40"/>
  <c r="AH49" i="40" s="1"/>
  <c r="AL49" i="40" s="1"/>
  <c r="J37" i="37" s="1"/>
  <c r="V215" i="40"/>
  <c r="AH36" i="40" s="1"/>
  <c r="V222" i="40"/>
  <c r="AH37" i="40" s="1"/>
  <c r="AL37" i="40" s="1"/>
  <c r="J25" i="37" s="1"/>
  <c r="AF62" i="40"/>
  <c r="V716" i="40"/>
  <c r="AH92" i="40" s="1"/>
  <c r="AL92" i="40" s="1"/>
  <c r="J80" i="37" s="1"/>
  <c r="V734" i="40"/>
  <c r="V707" i="40"/>
  <c r="AH91" i="40" s="1"/>
  <c r="AL91" i="40" s="1"/>
  <c r="J79" i="37" s="1"/>
  <c r="V456" i="40"/>
  <c r="AH63" i="40" s="1"/>
  <c r="AL63" i="40" s="1"/>
  <c r="J51" i="37" s="1"/>
  <c r="AF14" i="40"/>
  <c r="AF28" i="40"/>
  <c r="AF35" i="40"/>
  <c r="AF32" i="40"/>
  <c r="AF43" i="40"/>
  <c r="AF50" i="40"/>
  <c r="V582" i="40"/>
  <c r="AH77" i="40" s="1"/>
  <c r="AL77" i="40" s="1"/>
  <c r="J65" i="37" s="1"/>
  <c r="V410" i="40"/>
  <c r="AH58" i="40" s="1"/>
  <c r="AL58" i="40" s="1"/>
  <c r="J46" i="37" s="1"/>
  <c r="V482" i="40"/>
  <c r="AH66" i="40" s="1"/>
  <c r="AL66" i="40" s="1"/>
  <c r="J54" i="37" s="1"/>
  <c r="V402" i="40"/>
  <c r="AH57" i="40" s="1"/>
  <c r="AL57" i="40" s="1"/>
  <c r="J45" i="37" s="1"/>
  <c r="V303" i="40"/>
  <c r="AH46" i="40" s="1"/>
  <c r="AL46" i="40" s="1"/>
  <c r="J34" i="37" s="1"/>
  <c r="AF34" i="40"/>
  <c r="AF33" i="40"/>
  <c r="AF47" i="40"/>
  <c r="AF72" i="40"/>
  <c r="AF41" i="40"/>
  <c r="AF59" i="40"/>
  <c r="AF19" i="40"/>
  <c r="AF64" i="40"/>
  <c r="AF71" i="40"/>
  <c r="V87" i="40"/>
  <c r="AH22" i="40" s="1"/>
  <c r="AL22" i="40" s="1"/>
  <c r="J10" i="37" s="1"/>
  <c r="V32" i="40"/>
  <c r="AH16" i="40" s="1"/>
  <c r="V700" i="40"/>
  <c r="AH90" i="40" s="1"/>
  <c r="AL90" i="40" s="1"/>
  <c r="J78" i="37" s="1"/>
  <c r="V41" i="40"/>
  <c r="AH17" i="40" s="1"/>
  <c r="AF42" i="40"/>
  <c r="AF61" i="40"/>
  <c r="AF55" i="40"/>
  <c r="AF44" i="40"/>
  <c r="AF45" i="40"/>
  <c r="V662" i="40"/>
  <c r="AH86" i="40" s="1"/>
  <c r="AL86" i="40" s="1"/>
  <c r="J74" i="37" s="1"/>
  <c r="V545" i="40"/>
  <c r="AH73" i="40" s="1"/>
  <c r="AL73" i="40" s="1"/>
  <c r="J61" i="37" s="1"/>
  <c r="AF30" i="40"/>
  <c r="V26" i="39"/>
  <c r="V113" i="39"/>
  <c r="T14" i="39"/>
  <c r="J17" i="39"/>
  <c r="H17" i="39" s="1"/>
  <c r="I17" i="39" s="1"/>
  <c r="V17" i="39" s="1"/>
  <c r="J41" i="39"/>
  <c r="H41" i="39" s="1"/>
  <c r="I41" i="39" s="1"/>
  <c r="V41" i="39" s="1"/>
  <c r="AJ47" i="39"/>
  <c r="J53" i="39"/>
  <c r="H53" i="39" s="1"/>
  <c r="I53" i="39" s="1"/>
  <c r="V53" i="39" s="1"/>
  <c r="AJ53" i="39"/>
  <c r="AJ68" i="39"/>
  <c r="AJ70" i="39"/>
  <c r="AJ79" i="39"/>
  <c r="AA85" i="39"/>
  <c r="AB85" i="39" s="1"/>
  <c r="Z85" i="39"/>
  <c r="J143" i="39"/>
  <c r="H143" i="39" s="1"/>
  <c r="I143" i="39" s="1"/>
  <c r="V143" i="39" s="1"/>
  <c r="J14" i="39"/>
  <c r="H14" i="39" s="1"/>
  <c r="I14" i="39" s="1"/>
  <c r="V14" i="39" s="1"/>
  <c r="J35" i="39"/>
  <c r="H35" i="39" s="1"/>
  <c r="I35" i="39" s="1"/>
  <c r="V35" i="39" s="1"/>
  <c r="AJ35" i="39"/>
  <c r="AJ48" i="39"/>
  <c r="AJ54" i="39"/>
  <c r="J60" i="39"/>
  <c r="H60" i="39" s="1"/>
  <c r="I60" i="39" s="1"/>
  <c r="V60" i="39" s="1"/>
  <c r="AJ60" i="39"/>
  <c r="V69" i="39"/>
  <c r="J70" i="39"/>
  <c r="H70" i="39" s="1"/>
  <c r="I70" i="39" s="1"/>
  <c r="V70" i="39" s="1"/>
  <c r="AA74" i="39"/>
  <c r="AB74" i="39" s="1"/>
  <c r="X74" i="39"/>
  <c r="AI20" i="39" s="1"/>
  <c r="J78" i="39"/>
  <c r="H78" i="39" s="1"/>
  <c r="I78" i="39" s="1"/>
  <c r="AA81" i="39"/>
  <c r="AB81" i="39" s="1"/>
  <c r="X81" i="39"/>
  <c r="AA84" i="39"/>
  <c r="AB84" i="39" s="1"/>
  <c r="Z84" i="39"/>
  <c r="T86" i="39"/>
  <c r="J89" i="39"/>
  <c r="H89" i="39" s="1"/>
  <c r="I89" i="39" s="1"/>
  <c r="V89" i="39" s="1"/>
  <c r="AA94" i="39"/>
  <c r="AB94" i="39" s="1"/>
  <c r="X94" i="39"/>
  <c r="X103" i="39"/>
  <c r="AA103" i="39"/>
  <c r="AB103" i="39" s="1"/>
  <c r="AA110" i="39"/>
  <c r="AB110" i="39" s="1"/>
  <c r="X110" i="39"/>
  <c r="X121" i="39"/>
  <c r="AA121" i="39"/>
  <c r="AB121" i="39" s="1"/>
  <c r="J133" i="39"/>
  <c r="H133" i="39" s="1"/>
  <c r="I133" i="39" s="1"/>
  <c r="V133" i="39" s="1"/>
  <c r="T141" i="39"/>
  <c r="V142" i="39"/>
  <c r="X157" i="39"/>
  <c r="AA157" i="39"/>
  <c r="AB157" i="39" s="1"/>
  <c r="J159" i="39"/>
  <c r="H159" i="39" s="1"/>
  <c r="I159" i="39" s="1"/>
  <c r="V159" i="39" s="1"/>
  <c r="AJ49" i="39"/>
  <c r="J52" i="39"/>
  <c r="H52" i="39" s="1"/>
  <c r="I52" i="39" s="1"/>
  <c r="V52" i="39" s="1"/>
  <c r="T59" i="39"/>
  <c r="T62" i="39"/>
  <c r="AJ64" i="39"/>
  <c r="J77" i="39"/>
  <c r="H77" i="39" s="1"/>
  <c r="I77" i="39" s="1"/>
  <c r="AA83" i="39"/>
  <c r="AB83" i="39" s="1"/>
  <c r="Z83" i="39"/>
  <c r="X90" i="39"/>
  <c r="AA90" i="39"/>
  <c r="AB90" i="39" s="1"/>
  <c r="AJ90" i="39"/>
  <c r="T95" i="39"/>
  <c r="V95" i="39" s="1"/>
  <c r="J97" i="39"/>
  <c r="H97" i="39" s="1"/>
  <c r="I97" i="39" s="1"/>
  <c r="V97" i="39" s="1"/>
  <c r="J104" i="39"/>
  <c r="H104" i="39" s="1"/>
  <c r="I104" i="39" s="1"/>
  <c r="V104" i="39" s="1"/>
  <c r="J107" i="39"/>
  <c r="H107" i="39" s="1"/>
  <c r="I107" i="39" s="1"/>
  <c r="V107" i="39" s="1"/>
  <c r="T113" i="39"/>
  <c r="J115" i="39"/>
  <c r="H115" i="39" s="1"/>
  <c r="I115" i="39" s="1"/>
  <c r="V115" i="39" s="1"/>
  <c r="J122" i="39"/>
  <c r="H122" i="39" s="1"/>
  <c r="I122" i="39" s="1"/>
  <c r="V122" i="39" s="1"/>
  <c r="J125" i="39"/>
  <c r="H125" i="39" s="1"/>
  <c r="I125" i="39" s="1"/>
  <c r="V125" i="39" s="1"/>
  <c r="J152" i="39"/>
  <c r="H152" i="39" s="1"/>
  <c r="I152" i="39" s="1"/>
  <c r="V152" i="39" s="1"/>
  <c r="AJ15" i="39"/>
  <c r="T16" i="39"/>
  <c r="AJ19" i="39"/>
  <c r="J23" i="39"/>
  <c r="H23" i="39" s="1"/>
  <c r="I23" i="39" s="1"/>
  <c r="V23" i="39" s="1"/>
  <c r="AJ23" i="39"/>
  <c r="J24" i="39"/>
  <c r="H24" i="39" s="1"/>
  <c r="I24" i="39" s="1"/>
  <c r="V24" i="39" s="1"/>
  <c r="AJ24" i="39"/>
  <c r="T25" i="39"/>
  <c r="T26" i="39"/>
  <c r="AJ27" i="39"/>
  <c r="AJ28" i="39"/>
  <c r="AJ30" i="39"/>
  <c r="J33" i="39"/>
  <c r="H33" i="39" s="1"/>
  <c r="I33" i="39" s="1"/>
  <c r="V33" i="39" s="1"/>
  <c r="AJ33" i="39"/>
  <c r="T34" i="39"/>
  <c r="J42" i="39"/>
  <c r="H42" i="39" s="1"/>
  <c r="I42" i="39" s="1"/>
  <c r="V42" i="39" s="1"/>
  <c r="AJ42" i="39"/>
  <c r="AJ94" i="39"/>
  <c r="AJ93" i="39"/>
  <c r="AJ92" i="39"/>
  <c r="AJ91" i="39"/>
  <c r="AJ87" i="39"/>
  <c r="AG86" i="39"/>
  <c r="AJ81" i="39"/>
  <c r="AJ80" i="39"/>
  <c r="AJ76" i="39"/>
  <c r="AJ75" i="39"/>
  <c r="AJ74" i="39"/>
  <c r="AJ73" i="39"/>
  <c r="AI70" i="39"/>
  <c r="AJ69" i="39"/>
  <c r="AI90" i="39"/>
  <c r="AJ85" i="39"/>
  <c r="AJ82" i="39"/>
  <c r="AJ77" i="39"/>
  <c r="AI60" i="39"/>
  <c r="AI46" i="39"/>
  <c r="AI42" i="39"/>
  <c r="AI36" i="39"/>
  <c r="AJ34" i="39"/>
  <c r="AG29" i="39"/>
  <c r="AI28" i="39"/>
  <c r="AI27" i="39"/>
  <c r="AJ25" i="39"/>
  <c r="AJ22" i="39"/>
  <c r="AI17" i="39"/>
  <c r="AI15" i="39"/>
  <c r="AJ14" i="39"/>
  <c r="AJ72" i="39"/>
  <c r="AJ56" i="39"/>
  <c r="AJ45" i="39"/>
  <c r="AI41" i="39"/>
  <c r="AI34" i="39"/>
  <c r="AJ31" i="39"/>
  <c r="AJ29" i="39"/>
  <c r="AJ26" i="39"/>
  <c r="AJ16" i="39"/>
  <c r="AJ88" i="39"/>
  <c r="AJ86" i="39"/>
  <c r="AI84" i="39"/>
  <c r="AI82" i="39"/>
  <c r="AI76" i="39"/>
  <c r="AJ71" i="39"/>
  <c r="AJ63" i="39"/>
  <c r="AJ62" i="39"/>
  <c r="AJ55" i="39"/>
  <c r="AJ51" i="39"/>
  <c r="AJ44" i="39"/>
  <c r="AI87" i="39"/>
  <c r="AI86" i="39"/>
  <c r="AI75" i="39"/>
  <c r="AJ66" i="39"/>
  <c r="AJ65" i="39"/>
  <c r="AI62" i="39"/>
  <c r="AJ61" i="39"/>
  <c r="AI45" i="39"/>
  <c r="AI44" i="39"/>
  <c r="AJ43" i="39"/>
  <c r="AJ32" i="39"/>
  <c r="AI21" i="39"/>
  <c r="AJ20" i="39"/>
  <c r="AJ18" i="39"/>
  <c r="AI16" i="39"/>
  <c r="J15" i="39"/>
  <c r="H15" i="39" s="1"/>
  <c r="I15" i="39" s="1"/>
  <c r="V15" i="39" s="1"/>
  <c r="J25" i="39"/>
  <c r="H25" i="39" s="1"/>
  <c r="I25" i="39" s="1"/>
  <c r="V25" i="39" s="1"/>
  <c r="J34" i="39"/>
  <c r="H34" i="39" s="1"/>
  <c r="I34" i="39" s="1"/>
  <c r="V34" i="39" s="1"/>
  <c r="T41" i="39"/>
  <c r="AI43" i="39"/>
  <c r="T44" i="39"/>
  <c r="AJ46" i="39"/>
  <c r="T51" i="39"/>
  <c r="V51" i="39" s="1"/>
  <c r="J59" i="39"/>
  <c r="H59" i="39" s="1"/>
  <c r="I59" i="39" s="1"/>
  <c r="V59" i="39" s="1"/>
  <c r="V68" i="39"/>
  <c r="T70" i="39"/>
  <c r="AG20" i="39" s="1"/>
  <c r="AI78" i="39"/>
  <c r="AA82" i="39"/>
  <c r="AB82" i="39" s="1"/>
  <c r="Z82" i="39"/>
  <c r="J87" i="39"/>
  <c r="H87" i="39" s="1"/>
  <c r="I87" i="39" s="1"/>
  <c r="J88" i="39"/>
  <c r="H88" i="39" s="1"/>
  <c r="I88" i="39" s="1"/>
  <c r="V88" i="39" s="1"/>
  <c r="T88" i="39"/>
  <c r="AJ89" i="39"/>
  <c r="J96" i="39"/>
  <c r="H96" i="39" s="1"/>
  <c r="I96" i="39" s="1"/>
  <c r="V96" i="39" s="1"/>
  <c r="J98" i="39"/>
  <c r="H98" i="39" s="1"/>
  <c r="I98" i="39" s="1"/>
  <c r="V98" i="39" s="1"/>
  <c r="X101" i="39"/>
  <c r="AI23" i="39" s="1"/>
  <c r="AA101" i="39"/>
  <c r="AB101" i="39" s="1"/>
  <c r="J105" i="39"/>
  <c r="H105" i="39" s="1"/>
  <c r="I105" i="39" s="1"/>
  <c r="V105" i="39" s="1"/>
  <c r="J114" i="39"/>
  <c r="H114" i="39" s="1"/>
  <c r="I114" i="39" s="1"/>
  <c r="J116" i="39"/>
  <c r="H116" i="39" s="1"/>
  <c r="I116" i="39" s="1"/>
  <c r="V116" i="39" s="1"/>
  <c r="X119" i="39"/>
  <c r="AA119" i="39"/>
  <c r="AB119" i="39" s="1"/>
  <c r="J123" i="39"/>
  <c r="H123" i="39" s="1"/>
  <c r="I123" i="39" s="1"/>
  <c r="V123" i="39" s="1"/>
  <c r="J141" i="39"/>
  <c r="H141" i="39" s="1"/>
  <c r="I141" i="39" s="1"/>
  <c r="V141" i="39" s="1"/>
  <c r="V149" i="39"/>
  <c r="J150" i="39"/>
  <c r="H150" i="39" s="1"/>
  <c r="I150" i="39" s="1"/>
  <c r="V150" i="39" s="1"/>
  <c r="X155" i="39"/>
  <c r="AA155" i="39"/>
  <c r="AB155" i="39" s="1"/>
  <c r="T158" i="39"/>
  <c r="J212" i="39"/>
  <c r="H212" i="39" s="1"/>
  <c r="I212" i="39" s="1"/>
  <c r="V212" i="39" s="1"/>
  <c r="Z235" i="39"/>
  <c r="AJ38" i="39" s="1"/>
  <c r="AA235" i="39"/>
  <c r="AB235" i="39" s="1"/>
  <c r="AA72" i="39"/>
  <c r="AB72" i="39" s="1"/>
  <c r="AA76" i="39"/>
  <c r="AB76" i="39" s="1"/>
  <c r="V86" i="39"/>
  <c r="AA92" i="39"/>
  <c r="AB92" i="39" s="1"/>
  <c r="AA100" i="39"/>
  <c r="AB100" i="39" s="1"/>
  <c r="AA102" i="39"/>
  <c r="AB102" i="39" s="1"/>
  <c r="AA108" i="39"/>
  <c r="AB108" i="39" s="1"/>
  <c r="AA112" i="39"/>
  <c r="AB112" i="39" s="1"/>
  <c r="AA118" i="39"/>
  <c r="AB118" i="39" s="1"/>
  <c r="AA120" i="39"/>
  <c r="AB120" i="39" s="1"/>
  <c r="AA126" i="39"/>
  <c r="AB126" i="39" s="1"/>
  <c r="AA127" i="39"/>
  <c r="AB127" i="39" s="1"/>
  <c r="AA129" i="39"/>
  <c r="AB129" i="39" s="1"/>
  <c r="J131" i="39"/>
  <c r="H131" i="39" s="1"/>
  <c r="I131" i="39" s="1"/>
  <c r="T131" i="39"/>
  <c r="AG27" i="39" s="1"/>
  <c r="AA154" i="39"/>
  <c r="AB154" i="39" s="1"/>
  <c r="AA156" i="39"/>
  <c r="AB156" i="39" s="1"/>
  <c r="J160" i="39"/>
  <c r="H160" i="39" s="1"/>
  <c r="I160" i="39" s="1"/>
  <c r="V160" i="39" s="1"/>
  <c r="T160" i="39"/>
  <c r="T167" i="39"/>
  <c r="J169" i="39"/>
  <c r="H169" i="39" s="1"/>
  <c r="I169" i="39" s="1"/>
  <c r="X175" i="39"/>
  <c r="AA175" i="39"/>
  <c r="AB175" i="39" s="1"/>
  <c r="J176" i="39"/>
  <c r="H176" i="39" s="1"/>
  <c r="I176" i="39" s="1"/>
  <c r="V176" i="39" s="1"/>
  <c r="T178" i="39"/>
  <c r="J187" i="39"/>
  <c r="H187" i="39" s="1"/>
  <c r="I187" i="39" s="1"/>
  <c r="V187" i="39" s="1"/>
  <c r="T188" i="39"/>
  <c r="J195" i="39"/>
  <c r="H195" i="39" s="1"/>
  <c r="I195" i="39" s="1"/>
  <c r="V195" i="39" s="1"/>
  <c r="Z225" i="39"/>
  <c r="AA225" i="39"/>
  <c r="AB225" i="39" s="1"/>
  <c r="AA18" i="39"/>
  <c r="AB18" i="39" s="1"/>
  <c r="J132" i="39"/>
  <c r="H132" i="39" s="1"/>
  <c r="I132" i="39" s="1"/>
  <c r="V132" i="39" s="1"/>
  <c r="T142" i="39"/>
  <c r="AA146" i="39"/>
  <c r="AB146" i="39" s="1"/>
  <c r="AA148" i="39"/>
  <c r="AB148" i="39" s="1"/>
  <c r="AA153" i="39"/>
  <c r="AB153" i="39" s="1"/>
  <c r="J158" i="39"/>
  <c r="H158" i="39" s="1"/>
  <c r="I158" i="39" s="1"/>
  <c r="V158" i="39" s="1"/>
  <c r="J161" i="39"/>
  <c r="H161" i="39" s="1"/>
  <c r="I161" i="39" s="1"/>
  <c r="V161" i="39" s="1"/>
  <c r="J168" i="39"/>
  <c r="H168" i="39" s="1"/>
  <c r="I168" i="39" s="1"/>
  <c r="T169" i="39"/>
  <c r="T176" i="39"/>
  <c r="V177" i="39"/>
  <c r="J179" i="39"/>
  <c r="H179" i="39" s="1"/>
  <c r="I179" i="39" s="1"/>
  <c r="V179" i="39" s="1"/>
  <c r="J186" i="39"/>
  <c r="H186" i="39" s="1"/>
  <c r="I186" i="39" s="1"/>
  <c r="J204" i="39"/>
  <c r="H204" i="39" s="1"/>
  <c r="I204" i="39" s="1"/>
  <c r="V204" i="39" s="1"/>
  <c r="Z216" i="39"/>
  <c r="AA216" i="39"/>
  <c r="AB216" i="39" s="1"/>
  <c r="Z261" i="39"/>
  <c r="AJ41" i="39" s="1"/>
  <c r="AA261" i="39"/>
  <c r="AB261" i="39" s="1"/>
  <c r="AA20" i="39"/>
  <c r="AB20" i="39" s="1"/>
  <c r="J71" i="39"/>
  <c r="H71" i="39" s="1"/>
  <c r="I71" i="39" s="1"/>
  <c r="V71" i="39" s="1"/>
  <c r="J32" i="39"/>
  <c r="H32" i="39" s="1"/>
  <c r="I32" i="39" s="1"/>
  <c r="V32" i="39" s="1"/>
  <c r="J43" i="39"/>
  <c r="H43" i="39" s="1"/>
  <c r="I43" i="39" s="1"/>
  <c r="V43" i="39" s="1"/>
  <c r="J50" i="39"/>
  <c r="H50" i="39" s="1"/>
  <c r="I50" i="39" s="1"/>
  <c r="V50" i="39" s="1"/>
  <c r="J61" i="39"/>
  <c r="H61" i="39" s="1"/>
  <c r="I61" i="39" s="1"/>
  <c r="V61" i="39" s="1"/>
  <c r="J140" i="39"/>
  <c r="H140" i="39" s="1"/>
  <c r="I140" i="39" s="1"/>
  <c r="V140" i="39" s="1"/>
  <c r="J151" i="39"/>
  <c r="H151" i="39" s="1"/>
  <c r="I151" i="39" s="1"/>
  <c r="V151" i="39" s="1"/>
  <c r="J167" i="39"/>
  <c r="H167" i="39" s="1"/>
  <c r="I167" i="39" s="1"/>
  <c r="X173" i="39"/>
  <c r="AA173" i="39"/>
  <c r="AB173" i="39" s="1"/>
  <c r="T195" i="39"/>
  <c r="J205" i="39"/>
  <c r="H205" i="39" s="1"/>
  <c r="I205" i="39" s="1"/>
  <c r="V205" i="39" s="1"/>
  <c r="J206" i="39"/>
  <c r="H206" i="39" s="1"/>
  <c r="I206" i="39" s="1"/>
  <c r="V206" i="39" s="1"/>
  <c r="Z246" i="39"/>
  <c r="AA246" i="39"/>
  <c r="AB246" i="39" s="1"/>
  <c r="J249" i="39"/>
  <c r="H249" i="39" s="1"/>
  <c r="I249" i="39" s="1"/>
  <c r="X162" i="39"/>
  <c r="AI30" i="39" s="1"/>
  <c r="AA190" i="39"/>
  <c r="AB190" i="39" s="1"/>
  <c r="AA192" i="39"/>
  <c r="AB192" i="39" s="1"/>
  <c r="J196" i="39"/>
  <c r="H196" i="39" s="1"/>
  <c r="I196" i="39" s="1"/>
  <c r="V196" i="39" s="1"/>
  <c r="T196" i="39"/>
  <c r="AA200" i="39"/>
  <c r="AB200" i="39" s="1"/>
  <c r="AA202" i="39"/>
  <c r="AB202" i="39" s="1"/>
  <c r="T213" i="39"/>
  <c r="J214" i="39"/>
  <c r="H214" i="39" s="1"/>
  <c r="I214" i="39" s="1"/>
  <c r="V214" i="39" s="1"/>
  <c r="Z219" i="39"/>
  <c r="AA219" i="39"/>
  <c r="AB219" i="39" s="1"/>
  <c r="J221" i="39"/>
  <c r="H221" i="39" s="1"/>
  <c r="I221" i="39" s="1"/>
  <c r="V221" i="39" s="1"/>
  <c r="Z228" i="39"/>
  <c r="AA228" i="39"/>
  <c r="AB228" i="39" s="1"/>
  <c r="T230" i="39"/>
  <c r="J231" i="39"/>
  <c r="H231" i="39" s="1"/>
  <c r="I231" i="39" s="1"/>
  <c r="Z243" i="39"/>
  <c r="AA243" i="39"/>
  <c r="AB243" i="39" s="1"/>
  <c r="V250" i="39"/>
  <c r="Z253" i="39"/>
  <c r="AJ40" i="39" s="1"/>
  <c r="AA253" i="39"/>
  <c r="AB253" i="39" s="1"/>
  <c r="AA182" i="39"/>
  <c r="AB182" i="39" s="1"/>
  <c r="AA184" i="39"/>
  <c r="AB184" i="39" s="1"/>
  <c r="J194" i="39"/>
  <c r="H194" i="39" s="1"/>
  <c r="I194" i="39" s="1"/>
  <c r="J197" i="39"/>
  <c r="H197" i="39" s="1"/>
  <c r="I197" i="39" s="1"/>
  <c r="V197" i="39" s="1"/>
  <c r="J213" i="39"/>
  <c r="H213" i="39" s="1"/>
  <c r="I213" i="39" s="1"/>
  <c r="V213" i="39" s="1"/>
  <c r="X236" i="39"/>
  <c r="AI38" i="39" s="1"/>
  <c r="AA236" i="39"/>
  <c r="AB236" i="39" s="1"/>
  <c r="T241" i="39"/>
  <c r="V241" i="39" s="1"/>
  <c r="J242" i="39"/>
  <c r="H242" i="39" s="1"/>
  <c r="I242" i="39" s="1"/>
  <c r="X247" i="39"/>
  <c r="AI39" i="39" s="1"/>
  <c r="AA247" i="39"/>
  <c r="AB247" i="39" s="1"/>
  <c r="V275" i="39"/>
  <c r="V293" i="39"/>
  <c r="T185" i="39"/>
  <c r="T205" i="39"/>
  <c r="Z217" i="39"/>
  <c r="AA217" i="39"/>
  <c r="AB217" i="39" s="1"/>
  <c r="J224" i="39"/>
  <c r="H224" i="39" s="1"/>
  <c r="I224" i="39" s="1"/>
  <c r="V224" i="39" s="1"/>
  <c r="X229" i="39"/>
  <c r="AI37" i="39" s="1"/>
  <c r="AA229" i="39"/>
  <c r="AB229" i="39" s="1"/>
  <c r="X254" i="39"/>
  <c r="AI40" i="39" s="1"/>
  <c r="AA254" i="39"/>
  <c r="AB254" i="39" s="1"/>
  <c r="T259" i="39"/>
  <c r="J260" i="39"/>
  <c r="H260" i="39" s="1"/>
  <c r="I260" i="39" s="1"/>
  <c r="X208" i="39"/>
  <c r="X209" i="39"/>
  <c r="X210" i="39"/>
  <c r="X211" i="39"/>
  <c r="J232" i="39"/>
  <c r="H232" i="39" s="1"/>
  <c r="I232" i="39" s="1"/>
  <c r="V232" i="39" s="1"/>
  <c r="J233" i="39"/>
  <c r="H233" i="39" s="1"/>
  <c r="I233" i="39" s="1"/>
  <c r="V233" i="39" s="1"/>
  <c r="J239" i="39"/>
  <c r="H239" i="39" s="1"/>
  <c r="I239" i="39" s="1"/>
  <c r="J240" i="39"/>
  <c r="H240" i="39" s="1"/>
  <c r="I240" i="39" s="1"/>
  <c r="V240" i="39" s="1"/>
  <c r="J251" i="39"/>
  <c r="H251" i="39" s="1"/>
  <c r="I251" i="39" s="1"/>
  <c r="V251" i="39" s="1"/>
  <c r="J257" i="39"/>
  <c r="H257" i="39" s="1"/>
  <c r="I257" i="39" s="1"/>
  <c r="V257" i="39" s="1"/>
  <c r="J258" i="39"/>
  <c r="H258" i="39" s="1"/>
  <c r="I258" i="39" s="1"/>
  <c r="V258" i="39" s="1"/>
  <c r="AA265" i="39"/>
  <c r="AB265" i="39" s="1"/>
  <c r="J268" i="39"/>
  <c r="H268" i="39" s="1"/>
  <c r="I268" i="39" s="1"/>
  <c r="V268" i="39" s="1"/>
  <c r="J269" i="39"/>
  <c r="H269" i="39" s="1"/>
  <c r="I269" i="39" s="1"/>
  <c r="V269" i="39" s="1"/>
  <c r="AA272" i="39"/>
  <c r="AB272" i="39" s="1"/>
  <c r="J276" i="39"/>
  <c r="H276" i="39" s="1"/>
  <c r="I276" i="39" s="1"/>
  <c r="AA283" i="39"/>
  <c r="AB283" i="39" s="1"/>
  <c r="J286" i="39"/>
  <c r="H286" i="39" s="1"/>
  <c r="I286" i="39" s="1"/>
  <c r="V286" i="39" s="1"/>
  <c r="J287" i="39"/>
  <c r="H287" i="39" s="1"/>
  <c r="I287" i="39" s="1"/>
  <c r="V287" i="39" s="1"/>
  <c r="AA290" i="39"/>
  <c r="AB290" i="39" s="1"/>
  <c r="J294" i="39"/>
  <c r="H294" i="39" s="1"/>
  <c r="I294" i="39" s="1"/>
  <c r="AA301" i="39"/>
  <c r="AB301" i="39" s="1"/>
  <c r="J304" i="39"/>
  <c r="H304" i="39" s="1"/>
  <c r="I304" i="39" s="1"/>
  <c r="V304" i="39" s="1"/>
  <c r="J305" i="39"/>
  <c r="H305" i="39" s="1"/>
  <c r="I305" i="39" s="1"/>
  <c r="V305" i="39" s="1"/>
  <c r="AA308" i="39"/>
  <c r="AB308" i="39" s="1"/>
  <c r="T314" i="39"/>
  <c r="J320" i="39"/>
  <c r="H320" i="39" s="1"/>
  <c r="I320" i="39" s="1"/>
  <c r="AA325" i="39"/>
  <c r="AB325" i="39" s="1"/>
  <c r="T338" i="39"/>
  <c r="V338" i="39"/>
  <c r="J339" i="39"/>
  <c r="H339" i="39" s="1"/>
  <c r="I339" i="39" s="1"/>
  <c r="V339" i="39" s="1"/>
  <c r="T341" i="39"/>
  <c r="Z344" i="39"/>
  <c r="AA344" i="39"/>
  <c r="AB344" i="39" s="1"/>
  <c r="T347" i="39"/>
  <c r="T349" i="39"/>
  <c r="T359" i="39"/>
  <c r="Z362" i="39"/>
  <c r="AJ52" i="39" s="1"/>
  <c r="AA362" i="39"/>
  <c r="AB362" i="39" s="1"/>
  <c r="T377" i="39"/>
  <c r="X381" i="39"/>
  <c r="AA381" i="39"/>
  <c r="AB381" i="39" s="1"/>
  <c r="V215" i="39"/>
  <c r="T224" i="39"/>
  <c r="AG37" i="39" s="1"/>
  <c r="AA226" i="39"/>
  <c r="AB226" i="39" s="1"/>
  <c r="T231" i="39"/>
  <c r="AA234" i="39"/>
  <c r="AB234" i="39" s="1"/>
  <c r="AA237" i="39"/>
  <c r="AB237" i="39" s="1"/>
  <c r="T242" i="39"/>
  <c r="V242" i="39" s="1"/>
  <c r="AA244" i="39"/>
  <c r="AB244" i="39" s="1"/>
  <c r="T249" i="39"/>
  <c r="AG40" i="39" s="1"/>
  <c r="AA252" i="39"/>
  <c r="AB252" i="39" s="1"/>
  <c r="AA255" i="39"/>
  <c r="AB255" i="39" s="1"/>
  <c r="T260" i="39"/>
  <c r="V260" i="39" s="1"/>
  <c r="AA262" i="39"/>
  <c r="AB262" i="39" s="1"/>
  <c r="T267" i="39"/>
  <c r="AG42" i="39" s="1"/>
  <c r="AA270" i="39"/>
  <c r="AB270" i="39" s="1"/>
  <c r="AA273" i="39"/>
  <c r="AB273" i="39" s="1"/>
  <c r="T278" i="39"/>
  <c r="AG43" i="39" s="1"/>
  <c r="AA280" i="39"/>
  <c r="AB280" i="39" s="1"/>
  <c r="T285" i="39"/>
  <c r="AA288" i="39"/>
  <c r="AB288" i="39" s="1"/>
  <c r="AA291" i="39"/>
  <c r="AB291" i="39" s="1"/>
  <c r="T296" i="39"/>
  <c r="AA298" i="39"/>
  <c r="AB298" i="39" s="1"/>
  <c r="T303" i="39"/>
  <c r="AG46" i="39" s="1"/>
  <c r="AA306" i="39"/>
  <c r="AB306" i="39" s="1"/>
  <c r="AA309" i="39"/>
  <c r="AB309" i="39" s="1"/>
  <c r="J311" i="39"/>
  <c r="H311" i="39" s="1"/>
  <c r="I311" i="39" s="1"/>
  <c r="V311" i="39" s="1"/>
  <c r="T313" i="39"/>
  <c r="J314" i="39"/>
  <c r="H314" i="39" s="1"/>
  <c r="I314" i="39" s="1"/>
  <c r="AA326" i="39"/>
  <c r="AB326" i="39" s="1"/>
  <c r="T332" i="39"/>
  <c r="AG49" i="39" s="1"/>
  <c r="Z346" i="39"/>
  <c r="AA346" i="39"/>
  <c r="AB346" i="39" s="1"/>
  <c r="V347" i="39"/>
  <c r="AA354" i="39"/>
  <c r="AB354" i="39" s="1"/>
  <c r="T356" i="39"/>
  <c r="J358" i="39"/>
  <c r="H358" i="39" s="1"/>
  <c r="I358" i="39" s="1"/>
  <c r="T358" i="39"/>
  <c r="J375" i="39"/>
  <c r="H375" i="39" s="1"/>
  <c r="I375" i="39" s="1"/>
  <c r="V375" i="39" s="1"/>
  <c r="V377" i="39"/>
  <c r="J267" i="39"/>
  <c r="H267" i="39" s="1"/>
  <c r="I267" i="39" s="1"/>
  <c r="J278" i="39"/>
  <c r="H278" i="39" s="1"/>
  <c r="I278" i="39" s="1"/>
  <c r="V278" i="39" s="1"/>
  <c r="J285" i="39"/>
  <c r="H285" i="39" s="1"/>
  <c r="I285" i="39" s="1"/>
  <c r="J296" i="39"/>
  <c r="H296" i="39" s="1"/>
  <c r="I296" i="39" s="1"/>
  <c r="V296" i="39" s="1"/>
  <c r="J303" i="39"/>
  <c r="H303" i="39" s="1"/>
  <c r="I303" i="39" s="1"/>
  <c r="J322" i="39"/>
  <c r="H322" i="39" s="1"/>
  <c r="I322" i="39" s="1"/>
  <c r="V322" i="39" s="1"/>
  <c r="J329" i="39"/>
  <c r="H329" i="39" s="1"/>
  <c r="I329" i="39" s="1"/>
  <c r="V331" i="39"/>
  <c r="J332" i="39"/>
  <c r="H332" i="39" s="1"/>
  <c r="I332" i="39" s="1"/>
  <c r="V332" i="39" s="1"/>
  <c r="J349" i="39"/>
  <c r="H349" i="39" s="1"/>
  <c r="I349" i="39" s="1"/>
  <c r="V349" i="39" s="1"/>
  <c r="J350" i="39"/>
  <c r="H350" i="39" s="1"/>
  <c r="I350" i="39" s="1"/>
  <c r="V350" i="39" s="1"/>
  <c r="X352" i="39"/>
  <c r="AA352" i="39"/>
  <c r="AB352" i="39" s="1"/>
  <c r="V367" i="39"/>
  <c r="J368" i="39"/>
  <c r="H368" i="39" s="1"/>
  <c r="I368" i="39" s="1"/>
  <c r="X379" i="39"/>
  <c r="AA379" i="39"/>
  <c r="AB379" i="39" s="1"/>
  <c r="J222" i="39"/>
  <c r="H222" i="39" s="1"/>
  <c r="I222" i="39" s="1"/>
  <c r="V222" i="39" s="1"/>
  <c r="AA264" i="39"/>
  <c r="AB264" i="39" s="1"/>
  <c r="AA271" i="39"/>
  <c r="AB271" i="39" s="1"/>
  <c r="AA279" i="39"/>
  <c r="AB279" i="39" s="1"/>
  <c r="AA282" i="39"/>
  <c r="AB282" i="39" s="1"/>
  <c r="AA289" i="39"/>
  <c r="AB289" i="39" s="1"/>
  <c r="AA297" i="39"/>
  <c r="AB297" i="39" s="1"/>
  <c r="AA300" i="39"/>
  <c r="AB300" i="39" s="1"/>
  <c r="AA307" i="39"/>
  <c r="AB307" i="39" s="1"/>
  <c r="J321" i="39"/>
  <c r="H321" i="39" s="1"/>
  <c r="I321" i="39" s="1"/>
  <c r="V321" i="39" s="1"/>
  <c r="J340" i="39"/>
  <c r="H340" i="39" s="1"/>
  <c r="I340" i="39" s="1"/>
  <c r="V340" i="39" s="1"/>
  <c r="X342" i="39"/>
  <c r="AI50" i="39" s="1"/>
  <c r="AA342" i="39"/>
  <c r="AB342" i="39" s="1"/>
  <c r="T348" i="39"/>
  <c r="J356" i="39"/>
  <c r="H356" i="39" s="1"/>
  <c r="I356" i="39" s="1"/>
  <c r="J357" i="39"/>
  <c r="H357" i="39" s="1"/>
  <c r="I357" i="39" s="1"/>
  <c r="V357" i="39" s="1"/>
  <c r="X360" i="39"/>
  <c r="AA360" i="39"/>
  <c r="AB360" i="39" s="1"/>
  <c r="V366" i="39"/>
  <c r="J383" i="39"/>
  <c r="H383" i="39" s="1"/>
  <c r="I383" i="39" s="1"/>
  <c r="AA316" i="39"/>
  <c r="AB316" i="39" s="1"/>
  <c r="AA317" i="39"/>
  <c r="AB317" i="39" s="1"/>
  <c r="AA318" i="39"/>
  <c r="AB318" i="39" s="1"/>
  <c r="AA319" i="39"/>
  <c r="AB319" i="39" s="1"/>
  <c r="AA324" i="39"/>
  <c r="AB324" i="39" s="1"/>
  <c r="AA334" i="39"/>
  <c r="AB334" i="39" s="1"/>
  <c r="AA335" i="39"/>
  <c r="AB335" i="39" s="1"/>
  <c r="AA336" i="39"/>
  <c r="AB336" i="39" s="1"/>
  <c r="AA337" i="39"/>
  <c r="AB337" i="39" s="1"/>
  <c r="AA370" i="39"/>
  <c r="AB370" i="39" s="1"/>
  <c r="AA372" i="39"/>
  <c r="AB372" i="39" s="1"/>
  <c r="T374" i="39"/>
  <c r="J385" i="39"/>
  <c r="H385" i="39" s="1"/>
  <c r="I385" i="39" s="1"/>
  <c r="V385" i="39" s="1"/>
  <c r="J392" i="39"/>
  <c r="H392" i="39" s="1"/>
  <c r="I392" i="39" s="1"/>
  <c r="V392" i="39" s="1"/>
  <c r="J395" i="39"/>
  <c r="H395" i="39" s="1"/>
  <c r="I395" i="39" s="1"/>
  <c r="T403" i="39"/>
  <c r="J404" i="39"/>
  <c r="H404" i="39" s="1"/>
  <c r="I404" i="39" s="1"/>
  <c r="J410" i="39"/>
  <c r="H410" i="39" s="1"/>
  <c r="I410" i="39" s="1"/>
  <c r="T410" i="39"/>
  <c r="T412" i="39"/>
  <c r="J413" i="39"/>
  <c r="H413" i="39" s="1"/>
  <c r="I413" i="39" s="1"/>
  <c r="V413" i="39" s="1"/>
  <c r="T413" i="39"/>
  <c r="J437" i="39"/>
  <c r="H437" i="39" s="1"/>
  <c r="I437" i="39" s="1"/>
  <c r="J312" i="39"/>
  <c r="H312" i="39" s="1"/>
  <c r="I312" i="39" s="1"/>
  <c r="V312" i="39" s="1"/>
  <c r="J323" i="39"/>
  <c r="H323" i="39" s="1"/>
  <c r="I323" i="39" s="1"/>
  <c r="V323" i="39" s="1"/>
  <c r="J330" i="39"/>
  <c r="H330" i="39" s="1"/>
  <c r="I330" i="39" s="1"/>
  <c r="V330" i="39" s="1"/>
  <c r="J341" i="39"/>
  <c r="H341" i="39" s="1"/>
  <c r="I341" i="39" s="1"/>
  <c r="V341" i="39" s="1"/>
  <c r="J348" i="39"/>
  <c r="H348" i="39" s="1"/>
  <c r="I348" i="39" s="1"/>
  <c r="V348" i="39" s="1"/>
  <c r="X354" i="39"/>
  <c r="J359" i="39"/>
  <c r="H359" i="39" s="1"/>
  <c r="I359" i="39" s="1"/>
  <c r="J386" i="39"/>
  <c r="H386" i="39" s="1"/>
  <c r="I386" i="39" s="1"/>
  <c r="V386" i="39" s="1"/>
  <c r="J394" i="39"/>
  <c r="H394" i="39" s="1"/>
  <c r="I394" i="39" s="1"/>
  <c r="V394" i="39" s="1"/>
  <c r="T402" i="39"/>
  <c r="J403" i="39"/>
  <c r="H403" i="39" s="1"/>
  <c r="I403" i="39" s="1"/>
  <c r="V403" i="39" s="1"/>
  <c r="X408" i="39"/>
  <c r="AA408" i="39"/>
  <c r="AB408" i="39" s="1"/>
  <c r="J412" i="39"/>
  <c r="H412" i="39" s="1"/>
  <c r="I412" i="39" s="1"/>
  <c r="V412" i="39" s="1"/>
  <c r="AA415" i="39"/>
  <c r="AB415" i="39" s="1"/>
  <c r="Z415" i="39"/>
  <c r="T419" i="39"/>
  <c r="J420" i="39"/>
  <c r="H420" i="39" s="1"/>
  <c r="I420" i="39" s="1"/>
  <c r="V420" i="39" s="1"/>
  <c r="T421" i="39"/>
  <c r="J466" i="39"/>
  <c r="H466" i="39" s="1"/>
  <c r="I466" i="39" s="1"/>
  <c r="V466" i="39" s="1"/>
  <c r="X486" i="39"/>
  <c r="AA486" i="39"/>
  <c r="AB486" i="39" s="1"/>
  <c r="X540" i="39"/>
  <c r="AA540" i="39"/>
  <c r="AB540" i="39" s="1"/>
  <c r="J393" i="39"/>
  <c r="H393" i="39" s="1"/>
  <c r="I393" i="39" s="1"/>
  <c r="V393" i="39" s="1"/>
  <c r="J411" i="39"/>
  <c r="H411" i="39" s="1"/>
  <c r="I411" i="39" s="1"/>
  <c r="V411" i="39" s="1"/>
  <c r="AA417" i="39"/>
  <c r="AB417" i="39" s="1"/>
  <c r="Z417" i="39"/>
  <c r="Z424" i="39"/>
  <c r="AJ59" i="39" s="1"/>
  <c r="AA424" i="39"/>
  <c r="AB424" i="39" s="1"/>
  <c r="X426" i="39"/>
  <c r="AI59" i="39" s="1"/>
  <c r="AA426" i="39"/>
  <c r="AB426" i="39" s="1"/>
  <c r="J365" i="39"/>
  <c r="H365" i="39" s="1"/>
  <c r="I365" i="39" s="1"/>
  <c r="J376" i="39"/>
  <c r="H376" i="39" s="1"/>
  <c r="I376" i="39" s="1"/>
  <c r="V376" i="39" s="1"/>
  <c r="AA380" i="39"/>
  <c r="AB380" i="39" s="1"/>
  <c r="T383" i="39"/>
  <c r="T384" i="39"/>
  <c r="AA405" i="39"/>
  <c r="AB405" i="39" s="1"/>
  <c r="Z405" i="39"/>
  <c r="AA414" i="39"/>
  <c r="AB414" i="39" s="1"/>
  <c r="J422" i="39"/>
  <c r="H422" i="39" s="1"/>
  <c r="I422" i="39" s="1"/>
  <c r="V422" i="39" s="1"/>
  <c r="J455" i="39"/>
  <c r="H455" i="39" s="1"/>
  <c r="I455" i="39" s="1"/>
  <c r="J509" i="39"/>
  <c r="H509" i="39" s="1"/>
  <c r="I509" i="39" s="1"/>
  <c r="J401" i="39"/>
  <c r="H401" i="39" s="1"/>
  <c r="I401" i="39" s="1"/>
  <c r="V401" i="39" s="1"/>
  <c r="X406" i="39"/>
  <c r="X414" i="39"/>
  <c r="AI58" i="39" s="1"/>
  <c r="J419" i="39"/>
  <c r="H419" i="39" s="1"/>
  <c r="I419" i="39" s="1"/>
  <c r="V419" i="39" s="1"/>
  <c r="J421" i="39"/>
  <c r="H421" i="39" s="1"/>
  <c r="I421" i="39" s="1"/>
  <c r="V421" i="39" s="1"/>
  <c r="J428" i="39"/>
  <c r="H428" i="39" s="1"/>
  <c r="I428" i="39" s="1"/>
  <c r="J438" i="39"/>
  <c r="H438" i="39" s="1"/>
  <c r="I438" i="39" s="1"/>
  <c r="V438" i="39" s="1"/>
  <c r="J440" i="39"/>
  <c r="H440" i="39" s="1"/>
  <c r="I440" i="39" s="1"/>
  <c r="V440" i="39" s="1"/>
  <c r="J447" i="39"/>
  <c r="H447" i="39" s="1"/>
  <c r="I447" i="39" s="1"/>
  <c r="V447" i="39" s="1"/>
  <c r="J448" i="39"/>
  <c r="H448" i="39" s="1"/>
  <c r="I448" i="39" s="1"/>
  <c r="V448" i="39" s="1"/>
  <c r="J456" i="39"/>
  <c r="H456" i="39" s="1"/>
  <c r="I456" i="39" s="1"/>
  <c r="V456" i="39" s="1"/>
  <c r="J458" i="39"/>
  <c r="H458" i="39" s="1"/>
  <c r="I458" i="39" s="1"/>
  <c r="V458" i="39" s="1"/>
  <c r="J482" i="39"/>
  <c r="H482" i="39" s="1"/>
  <c r="I482" i="39" s="1"/>
  <c r="T482" i="39"/>
  <c r="J500" i="39"/>
  <c r="H500" i="39" s="1"/>
  <c r="I500" i="39" s="1"/>
  <c r="J518" i="39"/>
  <c r="H518" i="39" s="1"/>
  <c r="I518" i="39" s="1"/>
  <c r="V518" i="39" s="1"/>
  <c r="X550" i="39"/>
  <c r="AA550" i="39"/>
  <c r="AB550" i="39" s="1"/>
  <c r="J563" i="39"/>
  <c r="H563" i="39" s="1"/>
  <c r="I563" i="39" s="1"/>
  <c r="J572" i="39"/>
  <c r="H572" i="39" s="1"/>
  <c r="I572" i="39" s="1"/>
  <c r="J574" i="39"/>
  <c r="H574" i="39" s="1"/>
  <c r="I574" i="39" s="1"/>
  <c r="V574" i="39" s="1"/>
  <c r="J582" i="39"/>
  <c r="H582" i="39" s="1"/>
  <c r="I582" i="39" s="1"/>
  <c r="AA387" i="39"/>
  <c r="AB387" i="39" s="1"/>
  <c r="AA397" i="39"/>
  <c r="AB397" i="39" s="1"/>
  <c r="V431" i="39"/>
  <c r="T437" i="39"/>
  <c r="T438" i="39"/>
  <c r="T455" i="39"/>
  <c r="T456" i="39"/>
  <c r="T467" i="39"/>
  <c r="AG64" i="39" s="1"/>
  <c r="AA471" i="39"/>
  <c r="AB471" i="39" s="1"/>
  <c r="X471" i="39"/>
  <c r="AI64" i="39" s="1"/>
  <c r="X478" i="39"/>
  <c r="AA478" i="39"/>
  <c r="AB478" i="39" s="1"/>
  <c r="X496" i="39"/>
  <c r="AA496" i="39"/>
  <c r="AB496" i="39" s="1"/>
  <c r="X514" i="39"/>
  <c r="AA514" i="39"/>
  <c r="AB514" i="39" s="1"/>
  <c r="J520" i="39"/>
  <c r="H520" i="39" s="1"/>
  <c r="I520" i="39" s="1"/>
  <c r="V520" i="39" s="1"/>
  <c r="J521" i="39"/>
  <c r="H521" i="39" s="1"/>
  <c r="I521" i="39" s="1"/>
  <c r="V521" i="39" s="1"/>
  <c r="X535" i="39"/>
  <c r="AI71" i="39" s="1"/>
  <c r="AA535" i="39"/>
  <c r="AB535" i="39" s="1"/>
  <c r="AA423" i="39"/>
  <c r="AB423" i="39" s="1"/>
  <c r="J429" i="39"/>
  <c r="H429" i="39" s="1"/>
  <c r="I429" i="39" s="1"/>
  <c r="V429" i="39" s="1"/>
  <c r="V430" i="39"/>
  <c r="J439" i="39"/>
  <c r="H439" i="39" s="1"/>
  <c r="I439" i="39" s="1"/>
  <c r="V439" i="39" s="1"/>
  <c r="J446" i="39"/>
  <c r="H446" i="39" s="1"/>
  <c r="I446" i="39" s="1"/>
  <c r="J457" i="39"/>
  <c r="H457" i="39" s="1"/>
  <c r="I457" i="39" s="1"/>
  <c r="V457" i="39" s="1"/>
  <c r="J464" i="39"/>
  <c r="H464" i="39" s="1"/>
  <c r="I464" i="39" s="1"/>
  <c r="J465" i="39"/>
  <c r="H465" i="39" s="1"/>
  <c r="I465" i="39" s="1"/>
  <c r="V465" i="39" s="1"/>
  <c r="J467" i="39"/>
  <c r="H467" i="39" s="1"/>
  <c r="I467" i="39" s="1"/>
  <c r="V467" i="39" s="1"/>
  <c r="AA469" i="39"/>
  <c r="AB469" i="39" s="1"/>
  <c r="J475" i="39"/>
  <c r="H475" i="39" s="1"/>
  <c r="I475" i="39" s="1"/>
  <c r="V475" i="39" s="1"/>
  <c r="T475" i="39"/>
  <c r="X489" i="39"/>
  <c r="AA489" i="39"/>
  <c r="AB489" i="39" s="1"/>
  <c r="J493" i="39"/>
  <c r="H493" i="39" s="1"/>
  <c r="I493" i="39" s="1"/>
  <c r="V493" i="39" s="1"/>
  <c r="T493" i="39"/>
  <c r="J511" i="39"/>
  <c r="H511" i="39" s="1"/>
  <c r="I511" i="39" s="1"/>
  <c r="V511" i="39" s="1"/>
  <c r="T529" i="39"/>
  <c r="T536" i="39"/>
  <c r="J538" i="39"/>
  <c r="H538" i="39" s="1"/>
  <c r="I538" i="39" s="1"/>
  <c r="V538" i="39" s="1"/>
  <c r="AA433" i="39"/>
  <c r="AB433" i="39" s="1"/>
  <c r="AA434" i="39"/>
  <c r="AB434" i="39" s="1"/>
  <c r="AA435" i="39"/>
  <c r="AB435" i="39" s="1"/>
  <c r="AA436" i="39"/>
  <c r="AB436" i="39" s="1"/>
  <c r="AA441" i="39"/>
  <c r="AB441" i="39" s="1"/>
  <c r="AK61" i="39" s="1"/>
  <c r="AA451" i="39"/>
  <c r="AB451" i="39" s="1"/>
  <c r="AA452" i="39"/>
  <c r="AB452" i="39" s="1"/>
  <c r="AA453" i="39"/>
  <c r="AB453" i="39" s="1"/>
  <c r="AA454" i="39"/>
  <c r="AB454" i="39" s="1"/>
  <c r="AA459" i="39"/>
  <c r="AB459" i="39" s="1"/>
  <c r="V473" i="39"/>
  <c r="J474" i="39"/>
  <c r="H474" i="39" s="1"/>
  <c r="I474" i="39" s="1"/>
  <c r="V474" i="39" s="1"/>
  <c r="AA481" i="39"/>
  <c r="AB481" i="39" s="1"/>
  <c r="J485" i="39"/>
  <c r="H485" i="39" s="1"/>
  <c r="I485" i="39" s="1"/>
  <c r="V485" i="39" s="1"/>
  <c r="AA488" i="39"/>
  <c r="AB488" i="39" s="1"/>
  <c r="J491" i="39"/>
  <c r="H491" i="39" s="1"/>
  <c r="I491" i="39" s="1"/>
  <c r="J492" i="39"/>
  <c r="H492" i="39" s="1"/>
  <c r="I492" i="39" s="1"/>
  <c r="V492" i="39" s="1"/>
  <c r="AA499" i="39"/>
  <c r="AB499" i="39" s="1"/>
  <c r="T509" i="39"/>
  <c r="J510" i="39"/>
  <c r="H510" i="39" s="1"/>
  <c r="I510" i="39" s="1"/>
  <c r="V510" i="39" s="1"/>
  <c r="AA517" i="39"/>
  <c r="AB517" i="39" s="1"/>
  <c r="AA522" i="39"/>
  <c r="AB522" i="39" s="1"/>
  <c r="J529" i="39"/>
  <c r="H529" i="39" s="1"/>
  <c r="I529" i="39" s="1"/>
  <c r="V529" i="39" s="1"/>
  <c r="AA534" i="39"/>
  <c r="AB534" i="39" s="1"/>
  <c r="J536" i="39"/>
  <c r="H536" i="39" s="1"/>
  <c r="I536" i="39" s="1"/>
  <c r="V536" i="39" s="1"/>
  <c r="T538" i="39"/>
  <c r="J547" i="39"/>
  <c r="H547" i="39" s="1"/>
  <c r="I547" i="39" s="1"/>
  <c r="T547" i="39"/>
  <c r="AA468" i="39"/>
  <c r="AB468" i="39" s="1"/>
  <c r="T476" i="39"/>
  <c r="T483" i="39"/>
  <c r="T494" i="39"/>
  <c r="T501" i="39"/>
  <c r="T503" i="39"/>
  <c r="T527" i="39"/>
  <c r="V527" i="39"/>
  <c r="J528" i="39"/>
  <c r="H528" i="39" s="1"/>
  <c r="I528" i="39" s="1"/>
  <c r="X543" i="39"/>
  <c r="AA543" i="39"/>
  <c r="AB543" i="39" s="1"/>
  <c r="J554" i="39"/>
  <c r="H554" i="39" s="1"/>
  <c r="I554" i="39" s="1"/>
  <c r="V554" i="39" s="1"/>
  <c r="J476" i="39"/>
  <c r="H476" i="39" s="1"/>
  <c r="I476" i="39" s="1"/>
  <c r="V476" i="39" s="1"/>
  <c r="J483" i="39"/>
  <c r="H483" i="39" s="1"/>
  <c r="I483" i="39" s="1"/>
  <c r="V483" i="39" s="1"/>
  <c r="J494" i="39"/>
  <c r="H494" i="39" s="1"/>
  <c r="I494" i="39" s="1"/>
  <c r="V494" i="39" s="1"/>
  <c r="J501" i="39"/>
  <c r="H501" i="39" s="1"/>
  <c r="I501" i="39" s="1"/>
  <c r="T502" i="39"/>
  <c r="J503" i="39"/>
  <c r="H503" i="39" s="1"/>
  <c r="I503" i="39" s="1"/>
  <c r="AA542" i="39"/>
  <c r="AB542" i="39" s="1"/>
  <c r="J545" i="39"/>
  <c r="H545" i="39" s="1"/>
  <c r="I545" i="39" s="1"/>
  <c r="J546" i="39"/>
  <c r="H546" i="39" s="1"/>
  <c r="I546" i="39" s="1"/>
  <c r="V546" i="39" s="1"/>
  <c r="AA553" i="39"/>
  <c r="AB553" i="39" s="1"/>
  <c r="T581" i="39"/>
  <c r="T590" i="39"/>
  <c r="J592" i="39"/>
  <c r="H592" i="39" s="1"/>
  <c r="I592" i="39" s="1"/>
  <c r="V592" i="39" s="1"/>
  <c r="J602" i="39"/>
  <c r="H602" i="39" s="1"/>
  <c r="I602" i="39" s="1"/>
  <c r="V602" i="39" s="1"/>
  <c r="AA505" i="39"/>
  <c r="AB505" i="39" s="1"/>
  <c r="AA506" i="39"/>
  <c r="AB506" i="39" s="1"/>
  <c r="AA507" i="39"/>
  <c r="AB507" i="39" s="1"/>
  <c r="AA508" i="39"/>
  <c r="AB508" i="39" s="1"/>
  <c r="AA513" i="39"/>
  <c r="AB513" i="39" s="1"/>
  <c r="AA523" i="39"/>
  <c r="AB523" i="39" s="1"/>
  <c r="AA524" i="39"/>
  <c r="AB524" i="39" s="1"/>
  <c r="AA525" i="39"/>
  <c r="AB525" i="39" s="1"/>
  <c r="AA526" i="39"/>
  <c r="AB526" i="39" s="1"/>
  <c r="AA531" i="39"/>
  <c r="AB531" i="39" s="1"/>
  <c r="T548" i="39"/>
  <c r="J565" i="39"/>
  <c r="H565" i="39" s="1"/>
  <c r="I565" i="39" s="1"/>
  <c r="V565" i="39" s="1"/>
  <c r="J573" i="39"/>
  <c r="H573" i="39" s="1"/>
  <c r="I573" i="39" s="1"/>
  <c r="V573" i="39" s="1"/>
  <c r="J583" i="39"/>
  <c r="H583" i="39" s="1"/>
  <c r="I583" i="39" s="1"/>
  <c r="V583" i="39" s="1"/>
  <c r="T584" i="39"/>
  <c r="T599" i="39"/>
  <c r="AG79" i="39" s="1"/>
  <c r="J512" i="39"/>
  <c r="H512" i="39" s="1"/>
  <c r="I512" i="39" s="1"/>
  <c r="V512" i="39" s="1"/>
  <c r="J519" i="39"/>
  <c r="H519" i="39" s="1"/>
  <c r="I519" i="39" s="1"/>
  <c r="V519" i="39" s="1"/>
  <c r="J530" i="39"/>
  <c r="H530" i="39" s="1"/>
  <c r="I530" i="39" s="1"/>
  <c r="V530" i="39" s="1"/>
  <c r="J537" i="39"/>
  <c r="H537" i="39" s="1"/>
  <c r="I537" i="39" s="1"/>
  <c r="V537" i="39" s="1"/>
  <c r="AA544" i="39"/>
  <c r="AB544" i="39" s="1"/>
  <c r="J548" i="39"/>
  <c r="H548" i="39" s="1"/>
  <c r="I548" i="39" s="1"/>
  <c r="V548" i="39" s="1"/>
  <c r="T563" i="39"/>
  <c r="AG75" i="39" s="1"/>
  <c r="T573" i="39"/>
  <c r="T575" i="39"/>
  <c r="J584" i="39"/>
  <c r="H584" i="39" s="1"/>
  <c r="I584" i="39" s="1"/>
  <c r="J591" i="39"/>
  <c r="H591" i="39" s="1"/>
  <c r="I591" i="39" s="1"/>
  <c r="V591" i="39" s="1"/>
  <c r="J555" i="39"/>
  <c r="H555" i="39" s="1"/>
  <c r="I555" i="39" s="1"/>
  <c r="X559" i="39"/>
  <c r="X560" i="39"/>
  <c r="X561" i="39"/>
  <c r="X562" i="39"/>
  <c r="AA596" i="39"/>
  <c r="AB596" i="39" s="1"/>
  <c r="AA598" i="39"/>
  <c r="AB598" i="39" s="1"/>
  <c r="J608" i="39"/>
  <c r="H608" i="39" s="1"/>
  <c r="I608" i="39" s="1"/>
  <c r="J617" i="39"/>
  <c r="H617" i="39" s="1"/>
  <c r="I617" i="39" s="1"/>
  <c r="V617" i="39" s="1"/>
  <c r="J618" i="39"/>
  <c r="H618" i="39" s="1"/>
  <c r="I618" i="39" s="1"/>
  <c r="J628" i="39"/>
  <c r="H628" i="39" s="1"/>
  <c r="I628" i="39" s="1"/>
  <c r="V628" i="39" s="1"/>
  <c r="J629" i="39"/>
  <c r="H629" i="39" s="1"/>
  <c r="I629" i="39" s="1"/>
  <c r="J644" i="39"/>
  <c r="H644" i="39" s="1"/>
  <c r="I644" i="39" s="1"/>
  <c r="AA558" i="39"/>
  <c r="AB558" i="39" s="1"/>
  <c r="AA568" i="39"/>
  <c r="AB568" i="39" s="1"/>
  <c r="AA569" i="39"/>
  <c r="AB569" i="39" s="1"/>
  <c r="AA570" i="39"/>
  <c r="AB570" i="39" s="1"/>
  <c r="AA571" i="39"/>
  <c r="AB571" i="39" s="1"/>
  <c r="AA576" i="39"/>
  <c r="AB576" i="39" s="1"/>
  <c r="J581" i="39"/>
  <c r="H581" i="39" s="1"/>
  <c r="I581" i="39" s="1"/>
  <c r="AA586" i="39"/>
  <c r="AB586" i="39" s="1"/>
  <c r="V590" i="39"/>
  <c r="J593" i="39"/>
  <c r="H593" i="39" s="1"/>
  <c r="I593" i="39" s="1"/>
  <c r="V593" i="39" s="1"/>
  <c r="AA594" i="39"/>
  <c r="AB594" i="39" s="1"/>
  <c r="Z595" i="39"/>
  <c r="Z597" i="39"/>
  <c r="J600" i="39"/>
  <c r="H600" i="39" s="1"/>
  <c r="I600" i="39" s="1"/>
  <c r="X603" i="39"/>
  <c r="AI79" i="39" s="1"/>
  <c r="AA603" i="39"/>
  <c r="AB603" i="39" s="1"/>
  <c r="J609" i="39"/>
  <c r="H609" i="39" s="1"/>
  <c r="I609" i="39" s="1"/>
  <c r="V609" i="39" s="1"/>
  <c r="J610" i="39"/>
  <c r="H610" i="39" s="1"/>
  <c r="I610" i="39" s="1"/>
  <c r="T617" i="39"/>
  <c r="J620" i="39"/>
  <c r="H620" i="39" s="1"/>
  <c r="I620" i="39" s="1"/>
  <c r="T628" i="39"/>
  <c r="J637" i="39"/>
  <c r="H637" i="39" s="1"/>
  <c r="I637" i="39" s="1"/>
  <c r="V637" i="39" s="1"/>
  <c r="T637" i="39"/>
  <c r="AG83" i="39" s="1"/>
  <c r="T647" i="39"/>
  <c r="J557" i="39"/>
  <c r="H557" i="39" s="1"/>
  <c r="I557" i="39" s="1"/>
  <c r="V557" i="39" s="1"/>
  <c r="J564" i="39"/>
  <c r="H564" i="39" s="1"/>
  <c r="I564" i="39" s="1"/>
  <c r="V564" i="39" s="1"/>
  <c r="J575" i="39"/>
  <c r="H575" i="39" s="1"/>
  <c r="I575" i="39" s="1"/>
  <c r="V575" i="39" s="1"/>
  <c r="T610" i="39"/>
  <c r="T620" i="39"/>
  <c r="V620" i="39" s="1"/>
  <c r="J627" i="39"/>
  <c r="H627" i="39" s="1"/>
  <c r="I627" i="39" s="1"/>
  <c r="V627" i="39" s="1"/>
  <c r="T627" i="39"/>
  <c r="J636" i="39"/>
  <c r="H636" i="39" s="1"/>
  <c r="I636" i="39" s="1"/>
  <c r="V636" i="39" s="1"/>
  <c r="J645" i="39"/>
  <c r="H645" i="39" s="1"/>
  <c r="I645" i="39" s="1"/>
  <c r="V645" i="39" s="1"/>
  <c r="T653" i="39"/>
  <c r="V611" i="39"/>
  <c r="T618" i="39"/>
  <c r="T626" i="39"/>
  <c r="T629" i="39"/>
  <c r="J638" i="39"/>
  <c r="H638" i="39" s="1"/>
  <c r="I638" i="39" s="1"/>
  <c r="V638" i="39" s="1"/>
  <c r="J653" i="39"/>
  <c r="H653" i="39" s="1"/>
  <c r="I653" i="39" s="1"/>
  <c r="J664" i="39"/>
  <c r="H664" i="39" s="1"/>
  <c r="I664" i="39" s="1"/>
  <c r="J672" i="39"/>
  <c r="H672" i="39" s="1"/>
  <c r="I672" i="39" s="1"/>
  <c r="V672" i="39" s="1"/>
  <c r="J690" i="39"/>
  <c r="H690" i="39" s="1"/>
  <c r="I690" i="39" s="1"/>
  <c r="V690" i="39" s="1"/>
  <c r="J699" i="39"/>
  <c r="H699" i="39" s="1"/>
  <c r="I699" i="39" s="1"/>
  <c r="V699" i="39" s="1"/>
  <c r="AA613" i="39"/>
  <c r="AB613" i="39" s="1"/>
  <c r="AA614" i="39"/>
  <c r="AB614" i="39" s="1"/>
  <c r="AA615" i="39"/>
  <c r="AB615" i="39" s="1"/>
  <c r="AA616" i="39"/>
  <c r="AB616" i="39" s="1"/>
  <c r="J619" i="39"/>
  <c r="H619" i="39" s="1"/>
  <c r="I619" i="39" s="1"/>
  <c r="V619" i="39" s="1"/>
  <c r="AA621" i="39"/>
  <c r="AB621" i="39" s="1"/>
  <c r="AK81" i="39" s="1"/>
  <c r="J626" i="39"/>
  <c r="H626" i="39" s="1"/>
  <c r="I626" i="39" s="1"/>
  <c r="V626" i="39" s="1"/>
  <c r="AA631" i="39"/>
  <c r="AB631" i="39" s="1"/>
  <c r="Z639" i="39"/>
  <c r="AJ83" i="39" s="1"/>
  <c r="AA640" i="39"/>
  <c r="AB640" i="39" s="1"/>
  <c r="X642" i="39"/>
  <c r="AI83" i="39" s="1"/>
  <c r="J647" i="39"/>
  <c r="H647" i="39" s="1"/>
  <c r="I647" i="39" s="1"/>
  <c r="V647" i="39" s="1"/>
  <c r="AA648" i="39"/>
  <c r="AB648" i="39" s="1"/>
  <c r="Z649" i="39"/>
  <c r="Z651" i="39"/>
  <c r="J654" i="39"/>
  <c r="H654" i="39" s="1"/>
  <c r="I654" i="39" s="1"/>
  <c r="V654" i="39" s="1"/>
  <c r="J682" i="39"/>
  <c r="H682" i="39" s="1"/>
  <c r="I682" i="39" s="1"/>
  <c r="V682" i="39" s="1"/>
  <c r="T683" i="39"/>
  <c r="J692" i="39"/>
  <c r="H692" i="39" s="1"/>
  <c r="I692" i="39" s="1"/>
  <c r="J701" i="39"/>
  <c r="H701" i="39" s="1"/>
  <c r="I701" i="39" s="1"/>
  <c r="V701" i="39" s="1"/>
  <c r="AA643" i="39"/>
  <c r="AB643" i="39" s="1"/>
  <c r="T655" i="39"/>
  <c r="J663" i="39"/>
  <c r="H663" i="39" s="1"/>
  <c r="I663" i="39" s="1"/>
  <c r="V663" i="39" s="1"/>
  <c r="J665" i="39"/>
  <c r="H665" i="39" s="1"/>
  <c r="I665" i="39" s="1"/>
  <c r="V665" i="39" s="1"/>
  <c r="J671" i="39"/>
  <c r="H671" i="39" s="1"/>
  <c r="I671" i="39" s="1"/>
  <c r="V671" i="39" s="1"/>
  <c r="T672" i="39"/>
  <c r="V674" i="39"/>
  <c r="J674" i="39"/>
  <c r="H674" i="39" s="1"/>
  <c r="I674" i="39" s="1"/>
  <c r="T682" i="39"/>
  <c r="T691" i="39"/>
  <c r="J635" i="39"/>
  <c r="H635" i="39" s="1"/>
  <c r="I635" i="39" s="1"/>
  <c r="J656" i="39"/>
  <c r="H656" i="39" s="1"/>
  <c r="I656" i="39" s="1"/>
  <c r="V656" i="39" s="1"/>
  <c r="X657" i="39"/>
  <c r="AI85" i="39" s="1"/>
  <c r="AA657" i="39"/>
  <c r="AB657" i="39" s="1"/>
  <c r="T671" i="39"/>
  <c r="J681" i="39"/>
  <c r="H681" i="39" s="1"/>
  <c r="I681" i="39" s="1"/>
  <c r="V681" i="39" s="1"/>
  <c r="J683" i="39"/>
  <c r="H683" i="39" s="1"/>
  <c r="I683" i="39" s="1"/>
  <c r="V683" i="39" s="1"/>
  <c r="J689" i="39"/>
  <c r="H689" i="39" s="1"/>
  <c r="I689" i="39" s="1"/>
  <c r="V689" i="39" s="1"/>
  <c r="T690" i="39"/>
  <c r="T707" i="39"/>
  <c r="J700" i="39"/>
  <c r="H700" i="39" s="1"/>
  <c r="I700" i="39" s="1"/>
  <c r="V700" i="39" s="1"/>
  <c r="AA705" i="39"/>
  <c r="AB705" i="39" s="1"/>
  <c r="AA715" i="39"/>
  <c r="AB715" i="39" s="1"/>
  <c r="J718" i="39"/>
  <c r="H718" i="39" s="1"/>
  <c r="I718" i="39" s="1"/>
  <c r="V718" i="39" s="1"/>
  <c r="J719" i="39"/>
  <c r="H719" i="39" s="1"/>
  <c r="I719" i="39" s="1"/>
  <c r="V719" i="39" s="1"/>
  <c r="AA722" i="39"/>
  <c r="AB722" i="39" s="1"/>
  <c r="T728" i="39"/>
  <c r="AG93" i="39" s="1"/>
  <c r="J734" i="39"/>
  <c r="H734" i="39" s="1"/>
  <c r="I734" i="39" s="1"/>
  <c r="J707" i="39"/>
  <c r="H707" i="39" s="1"/>
  <c r="I707" i="39" s="1"/>
  <c r="J725" i="39"/>
  <c r="H725" i="39" s="1"/>
  <c r="I725" i="39" s="1"/>
  <c r="V727" i="39"/>
  <c r="J728" i="39"/>
  <c r="H728" i="39" s="1"/>
  <c r="I728" i="39" s="1"/>
  <c r="J662" i="39"/>
  <c r="H662" i="39" s="1"/>
  <c r="I662" i="39" s="1"/>
  <c r="AA667" i="39"/>
  <c r="AB667" i="39" s="1"/>
  <c r="AA668" i="39"/>
  <c r="AB668" i="39" s="1"/>
  <c r="AA669" i="39"/>
  <c r="AB669" i="39" s="1"/>
  <c r="AA670" i="39"/>
  <c r="AB670" i="39" s="1"/>
  <c r="J673" i="39"/>
  <c r="H673" i="39" s="1"/>
  <c r="I673" i="39" s="1"/>
  <c r="V673" i="39" s="1"/>
  <c r="AA675" i="39"/>
  <c r="AB675" i="39" s="1"/>
  <c r="AK87" i="39" s="1"/>
  <c r="J680" i="39"/>
  <c r="H680" i="39" s="1"/>
  <c r="I680" i="39" s="1"/>
  <c r="V680" i="39" s="1"/>
  <c r="AA685" i="39"/>
  <c r="AB685" i="39" s="1"/>
  <c r="AA686" i="39"/>
  <c r="AB686" i="39" s="1"/>
  <c r="AA687" i="39"/>
  <c r="AB687" i="39" s="1"/>
  <c r="AA688" i="39"/>
  <c r="AB688" i="39" s="1"/>
  <c r="J691" i="39"/>
  <c r="H691" i="39" s="1"/>
  <c r="I691" i="39" s="1"/>
  <c r="V691" i="39" s="1"/>
  <c r="AA693" i="39"/>
  <c r="AB693" i="39" s="1"/>
  <c r="J698" i="39"/>
  <c r="H698" i="39" s="1"/>
  <c r="I698" i="39" s="1"/>
  <c r="AA706" i="39"/>
  <c r="AB706" i="39" s="1"/>
  <c r="J709" i="39"/>
  <c r="H709" i="39" s="1"/>
  <c r="I709" i="39" s="1"/>
  <c r="V709" i="39" s="1"/>
  <c r="J710" i="39"/>
  <c r="H710" i="39" s="1"/>
  <c r="I710" i="39" s="1"/>
  <c r="V710" i="39" s="1"/>
  <c r="AA713" i="39"/>
  <c r="AB713" i="39" s="1"/>
  <c r="J716" i="39"/>
  <c r="H716" i="39" s="1"/>
  <c r="I716" i="39" s="1"/>
  <c r="V716" i="39" s="1"/>
  <c r="J717" i="39"/>
  <c r="H717" i="39" s="1"/>
  <c r="I717" i="39" s="1"/>
  <c r="V717" i="39" s="1"/>
  <c r="AA724" i="39"/>
  <c r="AB724" i="39" s="1"/>
  <c r="J736" i="39"/>
  <c r="H736" i="39" s="1"/>
  <c r="I736" i="39" s="1"/>
  <c r="V736" i="39" s="1"/>
  <c r="AA741" i="39"/>
  <c r="AB741" i="39" s="1"/>
  <c r="J708" i="39"/>
  <c r="H708" i="39" s="1"/>
  <c r="I708" i="39" s="1"/>
  <c r="V708" i="39" s="1"/>
  <c r="T708" i="39"/>
  <c r="AA711" i="39"/>
  <c r="AB711" i="39" s="1"/>
  <c r="AA714" i="39"/>
  <c r="AB714" i="39" s="1"/>
  <c r="T719" i="39"/>
  <c r="AG92" i="39" s="1"/>
  <c r="AA721" i="39"/>
  <c r="AB721" i="39" s="1"/>
  <c r="T734" i="39"/>
  <c r="J735" i="39"/>
  <c r="H735" i="39" s="1"/>
  <c r="I735" i="39" s="1"/>
  <c r="AA742" i="39"/>
  <c r="AB742" i="39" s="1"/>
  <c r="AA730" i="39"/>
  <c r="AB730" i="39" s="1"/>
  <c r="AA731" i="39"/>
  <c r="AB731" i="39" s="1"/>
  <c r="AA732" i="39"/>
  <c r="AB732" i="39" s="1"/>
  <c r="AA733" i="39"/>
  <c r="AB733" i="39" s="1"/>
  <c r="AA738" i="39"/>
  <c r="AB738" i="39" s="1"/>
  <c r="J726" i="39"/>
  <c r="H726" i="39" s="1"/>
  <c r="I726" i="39" s="1"/>
  <c r="J737" i="39"/>
  <c r="H737" i="39" s="1"/>
  <c r="I737" i="39" s="1"/>
  <c r="V737" i="39" s="1"/>
  <c r="I84" i="37"/>
  <c r="U1" i="37"/>
  <c r="G2" i="50" s="1"/>
  <c r="Q1" i="37"/>
  <c r="D2" i="50" s="1"/>
  <c r="T428" i="38"/>
  <c r="T683" i="38"/>
  <c r="T251" i="38"/>
  <c r="T456" i="38"/>
  <c r="T122" i="38"/>
  <c r="T339" i="38"/>
  <c r="T359" i="38"/>
  <c r="T158" i="38"/>
  <c r="T50" i="38"/>
  <c r="T124" i="38"/>
  <c r="T143" i="38"/>
  <c r="T257" i="38"/>
  <c r="T350" i="38"/>
  <c r="T383" i="38"/>
  <c r="T440" i="38"/>
  <c r="T449" i="38"/>
  <c r="T617" i="38"/>
  <c r="T628" i="38"/>
  <c r="T718" i="38"/>
  <c r="T314" i="38"/>
  <c r="T437" i="38"/>
  <c r="T159" i="38"/>
  <c r="T356" i="38"/>
  <c r="T367" i="38"/>
  <c r="T429" i="38"/>
  <c r="T25" i="38"/>
  <c r="T26" i="38"/>
  <c r="T78" i="38"/>
  <c r="T79" i="38"/>
  <c r="T304" i="38"/>
  <c r="T527" i="38"/>
  <c r="T530" i="38"/>
  <c r="T53" i="38"/>
  <c r="T68" i="38"/>
  <c r="T104" i="38"/>
  <c r="T212" i="38"/>
  <c r="T278" i="38"/>
  <c r="T340" i="38"/>
  <c r="T376" i="38"/>
  <c r="T392" i="38"/>
  <c r="T403" i="38"/>
  <c r="T413" i="38"/>
  <c r="T431" i="38"/>
  <c r="T447" i="38"/>
  <c r="T467" i="38"/>
  <c r="T518" i="38"/>
  <c r="T520" i="38"/>
  <c r="T529" i="38"/>
  <c r="T554" i="38"/>
  <c r="T618" i="38"/>
  <c r="V618" i="38" s="1"/>
  <c r="T635" i="38"/>
  <c r="T636" i="38"/>
  <c r="T647" i="38"/>
  <c r="T96" i="38"/>
  <c r="T195" i="38"/>
  <c r="T393" i="38"/>
  <c r="T395" i="38"/>
  <c r="T430" i="38"/>
  <c r="T493" i="38"/>
  <c r="T179" i="38"/>
  <c r="T476" i="38"/>
  <c r="T582" i="38"/>
  <c r="T609" i="38"/>
  <c r="T665" i="38"/>
  <c r="T735" i="38"/>
  <c r="T17" i="38"/>
  <c r="T33" i="38"/>
  <c r="T132" i="38"/>
  <c r="T14" i="38"/>
  <c r="T15" i="38"/>
  <c r="T34" i="38"/>
  <c r="T35" i="38"/>
  <c r="T42" i="38"/>
  <c r="T62" i="38"/>
  <c r="T69" i="38"/>
  <c r="T77" i="38"/>
  <c r="T88" i="38"/>
  <c r="T97" i="38"/>
  <c r="T107" i="38"/>
  <c r="T134" i="38"/>
  <c r="T141" i="38"/>
  <c r="T151" i="38"/>
  <c r="T167" i="38"/>
  <c r="T168" i="38"/>
  <c r="T169" i="38"/>
  <c r="T176" i="38"/>
  <c r="T187" i="38"/>
  <c r="T188" i="38"/>
  <c r="T203" i="38"/>
  <c r="T205" i="38"/>
  <c r="T230" i="38"/>
  <c r="T241" i="38"/>
  <c r="T269" i="38"/>
  <c r="T276" i="38"/>
  <c r="T24" i="38"/>
  <c r="T59" i="38"/>
  <c r="T87" i="38"/>
  <c r="T114" i="38"/>
  <c r="T133" i="38"/>
  <c r="T275" i="38"/>
  <c r="T23" i="38"/>
  <c r="T51" i="38"/>
  <c r="T52" i="38"/>
  <c r="T70" i="38"/>
  <c r="T186" i="38"/>
  <c r="T287" i="38"/>
  <c r="T321" i="38"/>
  <c r="T323" i="38"/>
  <c r="T402" i="38"/>
  <c r="T411" i="38"/>
  <c r="T419" i="38"/>
  <c r="T446" i="38"/>
  <c r="T455" i="38"/>
  <c r="T457" i="38"/>
  <c r="T473" i="38"/>
  <c r="T484" i="38"/>
  <c r="T494" i="38"/>
  <c r="T519" i="38"/>
  <c r="T537" i="38"/>
  <c r="T572" i="38"/>
  <c r="T573" i="38"/>
  <c r="T583" i="38"/>
  <c r="T584" i="38"/>
  <c r="T590" i="38"/>
  <c r="T602" i="38"/>
  <c r="T619" i="38"/>
  <c r="T620" i="38"/>
  <c r="T626" i="38"/>
  <c r="T645" i="38"/>
  <c r="T680" i="38"/>
  <c r="T357" i="38"/>
  <c r="T475" i="38"/>
  <c r="T483" i="38"/>
  <c r="T512" i="38"/>
  <c r="T608" i="38"/>
  <c r="T656" i="38"/>
  <c r="T701" i="38"/>
  <c r="T717" i="38"/>
  <c r="T528" i="38"/>
  <c r="T548" i="38"/>
  <c r="T555" i="38"/>
  <c r="T581" i="38"/>
  <c r="T599" i="38"/>
  <c r="T610" i="38"/>
  <c r="T629" i="38"/>
  <c r="T638" i="38"/>
  <c r="T655" i="38"/>
  <c r="T664" i="38"/>
  <c r="T710" i="38"/>
  <c r="T736" i="38"/>
  <c r="T89" i="38"/>
  <c r="T115" i="38"/>
  <c r="T125" i="38"/>
  <c r="T131" i="38"/>
  <c r="T150" i="38"/>
  <c r="T161" i="38"/>
  <c r="T177" i="38"/>
  <c r="T194" i="38"/>
  <c r="T197" i="38"/>
  <c r="T206" i="38"/>
  <c r="T223" i="38"/>
  <c r="T224" i="38"/>
  <c r="T231" i="38"/>
  <c r="T284" i="38"/>
  <c r="T295" i="38"/>
  <c r="T305" i="38"/>
  <c r="T311" i="38"/>
  <c r="T320" i="38"/>
  <c r="T331" i="38"/>
  <c r="T347" i="38"/>
  <c r="T366" i="38"/>
  <c r="T375" i="38"/>
  <c r="T422" i="38"/>
  <c r="T448" i="38"/>
  <c r="T464" i="38"/>
  <c r="T482" i="38"/>
  <c r="T491" i="38"/>
  <c r="T521" i="38"/>
  <c r="T539" i="38"/>
  <c r="T563" i="38"/>
  <c r="T564" i="38"/>
  <c r="T565" i="38"/>
  <c r="T593" i="38"/>
  <c r="T627" i="38"/>
  <c r="T653" i="38"/>
  <c r="T662" i="38"/>
  <c r="T673" i="38"/>
  <c r="T674" i="38"/>
  <c r="T728" i="38"/>
  <c r="J32" i="38"/>
  <c r="H32" i="38" s="1"/>
  <c r="I32" i="38" s="1"/>
  <c r="J44" i="38"/>
  <c r="H44" i="38" s="1"/>
  <c r="I44" i="38" s="1"/>
  <c r="V44" i="38" s="1"/>
  <c r="J51" i="38"/>
  <c r="H51" i="38" s="1"/>
  <c r="I51" i="38" s="1"/>
  <c r="J15" i="38"/>
  <c r="H15" i="38" s="1"/>
  <c r="I15" i="38" s="1"/>
  <c r="V15" i="38" s="1"/>
  <c r="AJ14" i="38"/>
  <c r="J26" i="38"/>
  <c r="H26" i="38" s="1"/>
  <c r="I26" i="38" s="1"/>
  <c r="V26" i="38" s="1"/>
  <c r="J35" i="38"/>
  <c r="H35" i="38" s="1"/>
  <c r="I35" i="38" s="1"/>
  <c r="V35" i="38" s="1"/>
  <c r="T41" i="38"/>
  <c r="J42" i="38"/>
  <c r="H42" i="38" s="1"/>
  <c r="I42" i="38" s="1"/>
  <c r="V42" i="38" s="1"/>
  <c r="T43" i="38"/>
  <c r="T44" i="38"/>
  <c r="J53" i="38"/>
  <c r="H53" i="38" s="1"/>
  <c r="I53" i="38" s="1"/>
  <c r="T80" i="38"/>
  <c r="J23" i="38"/>
  <c r="H23" i="38" s="1"/>
  <c r="I23" i="38" s="1"/>
  <c r="V23" i="38" s="1"/>
  <c r="J16" i="38"/>
  <c r="H16" i="38" s="1"/>
  <c r="I16" i="38" s="1"/>
  <c r="V16" i="38" s="1"/>
  <c r="J24" i="38"/>
  <c r="H24" i="38" s="1"/>
  <c r="I24" i="38" s="1"/>
  <c r="V24" i="38" s="1"/>
  <c r="J50" i="38"/>
  <c r="H50" i="38" s="1"/>
  <c r="I50" i="38" s="1"/>
  <c r="V50" i="38" s="1"/>
  <c r="J89" i="38"/>
  <c r="H89" i="38" s="1"/>
  <c r="I89" i="38" s="1"/>
  <c r="T16" i="38"/>
  <c r="J17" i="38"/>
  <c r="H17" i="38" s="1"/>
  <c r="I17" i="38" s="1"/>
  <c r="V17" i="38" s="1"/>
  <c r="T32" i="38"/>
  <c r="J33" i="38"/>
  <c r="H33" i="38" s="1"/>
  <c r="I33" i="38" s="1"/>
  <c r="J43" i="38"/>
  <c r="H43" i="38" s="1"/>
  <c r="I43" i="38" s="1"/>
  <c r="V43" i="38" s="1"/>
  <c r="J69" i="38"/>
  <c r="H69" i="38" s="1"/>
  <c r="I69" i="38" s="1"/>
  <c r="V69" i="38" s="1"/>
  <c r="J80" i="38"/>
  <c r="H80" i="38" s="1"/>
  <c r="I80" i="38" s="1"/>
  <c r="V80" i="38" s="1"/>
  <c r="AI18" i="38"/>
  <c r="AA22" i="38"/>
  <c r="AB22" i="38" s="1"/>
  <c r="AJ23" i="38"/>
  <c r="AJ27" i="38"/>
  <c r="AJ28" i="38"/>
  <c r="AJ30" i="38"/>
  <c r="AI32" i="38"/>
  <c r="AJ33" i="38"/>
  <c r="AJ35" i="38"/>
  <c r="AJ36" i="38"/>
  <c r="AJ42" i="38"/>
  <c r="AI43" i="38"/>
  <c r="AJ50" i="38"/>
  <c r="AI54" i="38"/>
  <c r="AA56" i="38"/>
  <c r="AB56" i="38" s="1"/>
  <c r="AJ56" i="38"/>
  <c r="J60" i="38"/>
  <c r="H60" i="38" s="1"/>
  <c r="I60" i="38" s="1"/>
  <c r="V60" i="38" s="1"/>
  <c r="J62" i="38"/>
  <c r="H62" i="38" s="1"/>
  <c r="I62" i="38" s="1"/>
  <c r="V62" i="38" s="1"/>
  <c r="AJ63" i="38"/>
  <c r="AJ75" i="38"/>
  <c r="AJ77" i="38"/>
  <c r="J96" i="38"/>
  <c r="H96" i="38" s="1"/>
  <c r="I96" i="38" s="1"/>
  <c r="J107" i="38"/>
  <c r="H107" i="38" s="1"/>
  <c r="I107" i="38" s="1"/>
  <c r="V107" i="38" s="1"/>
  <c r="J114" i="38"/>
  <c r="H114" i="38" s="1"/>
  <c r="I114" i="38" s="1"/>
  <c r="V114" i="38" s="1"/>
  <c r="Z128" i="38"/>
  <c r="AJ26" i="38" s="1"/>
  <c r="AA128" i="38"/>
  <c r="AB128" i="38" s="1"/>
  <c r="AA130" i="38"/>
  <c r="AB130" i="38" s="1"/>
  <c r="X130" i="38"/>
  <c r="X136" i="38"/>
  <c r="AA136" i="38"/>
  <c r="AB136" i="38" s="1"/>
  <c r="J143" i="38"/>
  <c r="H143" i="38" s="1"/>
  <c r="I143" i="38" s="1"/>
  <c r="V143" i="38" s="1"/>
  <c r="J204" i="38"/>
  <c r="H204" i="38" s="1"/>
  <c r="I204" i="38" s="1"/>
  <c r="V204" i="38" s="1"/>
  <c r="J222" i="38"/>
  <c r="H222" i="38" s="1"/>
  <c r="I222" i="38" s="1"/>
  <c r="V222" i="38" s="1"/>
  <c r="J14" i="38"/>
  <c r="H14" i="38" s="1"/>
  <c r="I14" i="38" s="1"/>
  <c r="AJ18" i="38"/>
  <c r="AA19" i="38"/>
  <c r="AB19" i="38" s="1"/>
  <c r="AJ20" i="38"/>
  <c r="AI21" i="38"/>
  <c r="J25" i="38"/>
  <c r="H25" i="38" s="1"/>
  <c r="I25" i="38" s="1"/>
  <c r="V25" i="38" s="1"/>
  <c r="AA27" i="38"/>
  <c r="AB27" i="38" s="1"/>
  <c r="AA28" i="38"/>
  <c r="AB28" i="38" s="1"/>
  <c r="AI29" i="38"/>
  <c r="AA30" i="38"/>
  <c r="AB30" i="38" s="1"/>
  <c r="AJ32" i="38"/>
  <c r="J34" i="38"/>
  <c r="H34" i="38" s="1"/>
  <c r="I34" i="38" s="1"/>
  <c r="V34" i="38" s="1"/>
  <c r="AA36" i="38"/>
  <c r="AB36" i="38" s="1"/>
  <c r="AK16" i="38" s="1"/>
  <c r="AI37" i="38"/>
  <c r="J41" i="38"/>
  <c r="H41" i="38" s="1"/>
  <c r="I41" i="38" s="1"/>
  <c r="V41" i="38" s="1"/>
  <c r="AJ43" i="38"/>
  <c r="X46" i="38"/>
  <c r="AI17" i="38" s="1"/>
  <c r="AA48" i="38"/>
  <c r="AB48" i="38" s="1"/>
  <c r="AI51" i="38"/>
  <c r="AJ55" i="38"/>
  <c r="AA64" i="38"/>
  <c r="AB64" i="38" s="1"/>
  <c r="AI65" i="38"/>
  <c r="AA66" i="38"/>
  <c r="AB66" i="38" s="1"/>
  <c r="J68" i="38"/>
  <c r="H68" i="38" s="1"/>
  <c r="I68" i="38" s="1"/>
  <c r="V68" i="38" s="1"/>
  <c r="AI70" i="38"/>
  <c r="AJ74" i="38"/>
  <c r="AI78" i="38"/>
  <c r="J79" i="38"/>
  <c r="H79" i="38" s="1"/>
  <c r="I79" i="38" s="1"/>
  <c r="V79" i="38" s="1"/>
  <c r="AJ81" i="38"/>
  <c r="T86" i="38"/>
  <c r="Z91" i="38"/>
  <c r="AJ22" i="38" s="1"/>
  <c r="AA91" i="38"/>
  <c r="AB91" i="38" s="1"/>
  <c r="X92" i="38"/>
  <c r="X100" i="38"/>
  <c r="AA100" i="38"/>
  <c r="AB100" i="38" s="1"/>
  <c r="T116" i="38"/>
  <c r="X120" i="38"/>
  <c r="AA120" i="38"/>
  <c r="AB120" i="38" s="1"/>
  <c r="T123" i="38"/>
  <c r="V123" i="38" s="1"/>
  <c r="X126" i="38"/>
  <c r="AA126" i="38"/>
  <c r="AB126" i="38" s="1"/>
  <c r="T152" i="38"/>
  <c r="J168" i="38"/>
  <c r="H168" i="38" s="1"/>
  <c r="I168" i="38" s="1"/>
  <c r="T170" i="38"/>
  <c r="T204" i="38"/>
  <c r="T222" i="38"/>
  <c r="AJ86" i="38"/>
  <c r="AI80" i="38"/>
  <c r="AJ79" i="38"/>
  <c r="AI76" i="38"/>
  <c r="AI57" i="38"/>
  <c r="AJ89" i="38"/>
  <c r="AJ85" i="38"/>
  <c r="AJ84" i="38"/>
  <c r="AJ83" i="38"/>
  <c r="AJ82" i="38"/>
  <c r="AI79" i="38"/>
  <c r="AJ78" i="38"/>
  <c r="AJ72" i="38"/>
  <c r="AJ71" i="38"/>
  <c r="AI68" i="38"/>
  <c r="AJ54" i="38"/>
  <c r="AJ53" i="38"/>
  <c r="AJ49" i="38"/>
  <c r="AJ48" i="38"/>
  <c r="AJ47" i="38"/>
  <c r="AJ46" i="38"/>
  <c r="AI14" i="38"/>
  <c r="AJ16" i="38"/>
  <c r="AJ21" i="38"/>
  <c r="AJ31" i="38"/>
  <c r="AI34" i="38"/>
  <c r="AJ37" i="38"/>
  <c r="AJ38" i="38"/>
  <c r="AJ40" i="38"/>
  <c r="AJ44" i="38"/>
  <c r="AA45" i="38"/>
  <c r="AB45" i="38" s="1"/>
  <c r="AI45" i="38"/>
  <c r="AJ51" i="38"/>
  <c r="J52" i="38"/>
  <c r="H52" i="38" s="1"/>
  <c r="I52" i="38" s="1"/>
  <c r="AI52" i="38"/>
  <c r="AA54" i="38"/>
  <c r="AB54" i="38" s="1"/>
  <c r="AK55" i="38"/>
  <c r="AA58" i="38"/>
  <c r="AB58" i="38" s="1"/>
  <c r="AJ58" i="38"/>
  <c r="J59" i="38"/>
  <c r="H59" i="38" s="1"/>
  <c r="I59" i="38" s="1"/>
  <c r="AJ59" i="38"/>
  <c r="T61" i="38"/>
  <c r="AJ69" i="38"/>
  <c r="J70" i="38"/>
  <c r="H70" i="38" s="1"/>
  <c r="I70" i="38" s="1"/>
  <c r="V70" i="38" s="1"/>
  <c r="AJ70" i="38"/>
  <c r="AA73" i="38"/>
  <c r="AB73" i="38" s="1"/>
  <c r="AJ73" i="38"/>
  <c r="J78" i="38"/>
  <c r="H78" i="38" s="1"/>
  <c r="I78" i="38" s="1"/>
  <c r="V78" i="38" s="1"/>
  <c r="AJ80" i="38"/>
  <c r="AA82" i="38"/>
  <c r="AB82" i="38" s="1"/>
  <c r="AA84" i="38"/>
  <c r="AB84" i="38" s="1"/>
  <c r="J86" i="38"/>
  <c r="H86" i="38" s="1"/>
  <c r="I86" i="38" s="1"/>
  <c r="V86" i="38" s="1"/>
  <c r="J95" i="38"/>
  <c r="H95" i="38" s="1"/>
  <c r="I95" i="38" s="1"/>
  <c r="V95" i="38" s="1"/>
  <c r="J98" i="38"/>
  <c r="H98" i="38" s="1"/>
  <c r="I98" i="38" s="1"/>
  <c r="V98" i="38" s="1"/>
  <c r="J105" i="38"/>
  <c r="H105" i="38" s="1"/>
  <c r="I105" i="38" s="1"/>
  <c r="V105" i="38" s="1"/>
  <c r="J106" i="38"/>
  <c r="H106" i="38" s="1"/>
  <c r="I106" i="38" s="1"/>
  <c r="V106" i="38" s="1"/>
  <c r="Z110" i="38"/>
  <c r="AJ24" i="38" s="1"/>
  <c r="AA110" i="38"/>
  <c r="AB110" i="38" s="1"/>
  <c r="AA112" i="38"/>
  <c r="AB112" i="38" s="1"/>
  <c r="X112" i="38"/>
  <c r="J113" i="38"/>
  <c r="H113" i="38" s="1"/>
  <c r="I113" i="38" s="1"/>
  <c r="J125" i="38"/>
  <c r="H125" i="38" s="1"/>
  <c r="I125" i="38" s="1"/>
  <c r="V125" i="38" s="1"/>
  <c r="J132" i="38"/>
  <c r="H132" i="38" s="1"/>
  <c r="I132" i="38" s="1"/>
  <c r="V132" i="38" s="1"/>
  <c r="J140" i="38"/>
  <c r="H140" i="38" s="1"/>
  <c r="I140" i="38" s="1"/>
  <c r="J159" i="38"/>
  <c r="H159" i="38" s="1"/>
  <c r="I159" i="38" s="1"/>
  <c r="J179" i="38"/>
  <c r="H179" i="38" s="1"/>
  <c r="I179" i="38" s="1"/>
  <c r="V179" i="38" s="1"/>
  <c r="J197" i="38"/>
  <c r="H197" i="38" s="1"/>
  <c r="I197" i="38" s="1"/>
  <c r="V197" i="38" s="1"/>
  <c r="J233" i="38"/>
  <c r="H233" i="38" s="1"/>
  <c r="I233" i="38" s="1"/>
  <c r="V233" i="38" s="1"/>
  <c r="AI15" i="38"/>
  <c r="AI19" i="38"/>
  <c r="AJ25" i="38"/>
  <c r="AJ34" i="38"/>
  <c r="AI35" i="38"/>
  <c r="AJ41" i="38"/>
  <c r="AJ45" i="38"/>
  <c r="AI49" i="38"/>
  <c r="AJ52" i="38"/>
  <c r="AA57" i="38"/>
  <c r="AB57" i="38" s="1"/>
  <c r="AJ57" i="38"/>
  <c r="T60" i="38"/>
  <c r="J61" i="38"/>
  <c r="H61" i="38" s="1"/>
  <c r="I61" i="38" s="1"/>
  <c r="V61" i="38" s="1"/>
  <c r="AI66" i="38"/>
  <c r="T71" i="38"/>
  <c r="AA76" i="38"/>
  <c r="AB76" i="38" s="1"/>
  <c r="AJ76" i="38"/>
  <c r="J77" i="38"/>
  <c r="H77" i="38" s="1"/>
  <c r="I77" i="38" s="1"/>
  <c r="V77" i="38" s="1"/>
  <c r="J87" i="38"/>
  <c r="H87" i="38" s="1"/>
  <c r="I87" i="38" s="1"/>
  <c r="V87" i="38" s="1"/>
  <c r="AJ87" i="38"/>
  <c r="J88" i="38"/>
  <c r="H88" i="38" s="1"/>
  <c r="I88" i="38" s="1"/>
  <c r="V88" i="38" s="1"/>
  <c r="AA93" i="38"/>
  <c r="AB93" i="38" s="1"/>
  <c r="J97" i="38"/>
  <c r="H97" i="38" s="1"/>
  <c r="I97" i="38" s="1"/>
  <c r="V97" i="38" s="1"/>
  <c r="T98" i="38"/>
  <c r="X102" i="38"/>
  <c r="AI23" i="38" s="1"/>
  <c r="AA102" i="38"/>
  <c r="AB102" i="38" s="1"/>
  <c r="J104" i="38"/>
  <c r="H104" i="38" s="1"/>
  <c r="I104" i="38" s="1"/>
  <c r="V104" i="38" s="1"/>
  <c r="T105" i="38"/>
  <c r="X108" i="38"/>
  <c r="AA108" i="38"/>
  <c r="AB108" i="38" s="1"/>
  <c r="X118" i="38"/>
  <c r="AA118" i="38"/>
  <c r="AB118" i="38" s="1"/>
  <c r="J133" i="38"/>
  <c r="H133" i="38" s="1"/>
  <c r="I133" i="38" s="1"/>
  <c r="V133" i="38" s="1"/>
  <c r="X138" i="38"/>
  <c r="AI27" i="38" s="1"/>
  <c r="AA138" i="38"/>
  <c r="AB138" i="38" s="1"/>
  <c r="T140" i="38"/>
  <c r="J150" i="38"/>
  <c r="H150" i="38" s="1"/>
  <c r="I150" i="38" s="1"/>
  <c r="J152" i="38"/>
  <c r="H152" i="38" s="1"/>
  <c r="I152" i="38" s="1"/>
  <c r="V152" i="38" s="1"/>
  <c r="J161" i="38"/>
  <c r="H161" i="38" s="1"/>
  <c r="I161" i="38" s="1"/>
  <c r="V161" i="38" s="1"/>
  <c r="J170" i="38"/>
  <c r="H170" i="38" s="1"/>
  <c r="I170" i="38" s="1"/>
  <c r="J195" i="38"/>
  <c r="H195" i="38" s="1"/>
  <c r="I195" i="38" s="1"/>
  <c r="J151" i="38"/>
  <c r="H151" i="38" s="1"/>
  <c r="I151" i="38" s="1"/>
  <c r="J186" i="38"/>
  <c r="H186" i="38" s="1"/>
  <c r="I186" i="38" s="1"/>
  <c r="J205" i="38"/>
  <c r="H205" i="38" s="1"/>
  <c r="I205" i="38" s="1"/>
  <c r="V205" i="38" s="1"/>
  <c r="T213" i="38"/>
  <c r="J215" i="38"/>
  <c r="H215" i="38" s="1"/>
  <c r="I215" i="38" s="1"/>
  <c r="T240" i="38"/>
  <c r="J278" i="38"/>
  <c r="H278" i="38" s="1"/>
  <c r="I278" i="38" s="1"/>
  <c r="V278" i="38" s="1"/>
  <c r="T149" i="38"/>
  <c r="J177" i="38"/>
  <c r="H177" i="38" s="1"/>
  <c r="I177" i="38" s="1"/>
  <c r="V177" i="38" s="1"/>
  <c r="T178" i="38"/>
  <c r="J188" i="38"/>
  <c r="H188" i="38" s="1"/>
  <c r="I188" i="38" s="1"/>
  <c r="V188" i="38" s="1"/>
  <c r="J194" i="38"/>
  <c r="H194" i="38" s="1"/>
  <c r="I194" i="38" s="1"/>
  <c r="V194" i="38" s="1"/>
  <c r="J213" i="38"/>
  <c r="H213" i="38" s="1"/>
  <c r="I213" i="38" s="1"/>
  <c r="V213" i="38" s="1"/>
  <c r="T221" i="38"/>
  <c r="J223" i="38"/>
  <c r="H223" i="38" s="1"/>
  <c r="I223" i="38" s="1"/>
  <c r="V223" i="38" s="1"/>
  <c r="J232" i="38"/>
  <c r="H232" i="38" s="1"/>
  <c r="I232" i="38" s="1"/>
  <c r="V232" i="38" s="1"/>
  <c r="J248" i="38"/>
  <c r="H248" i="38" s="1"/>
  <c r="I248" i="38" s="1"/>
  <c r="V248" i="38" s="1"/>
  <c r="J249" i="38"/>
  <c r="H249" i="38" s="1"/>
  <c r="I249" i="38" s="1"/>
  <c r="V249" i="38" s="1"/>
  <c r="J266" i="38"/>
  <c r="H266" i="38" s="1"/>
  <c r="I266" i="38" s="1"/>
  <c r="V266" i="38" s="1"/>
  <c r="J267" i="38"/>
  <c r="H267" i="38" s="1"/>
  <c r="I267" i="38" s="1"/>
  <c r="J357" i="38"/>
  <c r="H357" i="38" s="1"/>
  <c r="I357" i="38" s="1"/>
  <c r="V357" i="38" s="1"/>
  <c r="Z497" i="38"/>
  <c r="AJ67" i="38" s="1"/>
  <c r="AA497" i="38"/>
  <c r="AB497" i="38" s="1"/>
  <c r="AA99" i="38"/>
  <c r="AB99" i="38" s="1"/>
  <c r="AA109" i="38"/>
  <c r="AB109" i="38" s="1"/>
  <c r="AA117" i="38"/>
  <c r="AB117" i="38" s="1"/>
  <c r="AA127" i="38"/>
  <c r="AB127" i="38" s="1"/>
  <c r="T160" i="38"/>
  <c r="AA164" i="38"/>
  <c r="AB164" i="38" s="1"/>
  <c r="AA166" i="38"/>
  <c r="AB166" i="38" s="1"/>
  <c r="AA171" i="38"/>
  <c r="AB171" i="38" s="1"/>
  <c r="J176" i="38"/>
  <c r="H176" i="38" s="1"/>
  <c r="I176" i="38" s="1"/>
  <c r="J187" i="38"/>
  <c r="H187" i="38" s="1"/>
  <c r="I187" i="38" s="1"/>
  <c r="T196" i="38"/>
  <c r="AA207" i="38"/>
  <c r="AB207" i="38" s="1"/>
  <c r="J212" i="38"/>
  <c r="H212" i="38" s="1"/>
  <c r="I212" i="38" s="1"/>
  <c r="AA217" i="38"/>
  <c r="AB217" i="38" s="1"/>
  <c r="AA219" i="38"/>
  <c r="AB219" i="38" s="1"/>
  <c r="J221" i="38"/>
  <c r="H221" i="38" s="1"/>
  <c r="I221" i="38" s="1"/>
  <c r="T232" i="38"/>
  <c r="J258" i="38"/>
  <c r="H258" i="38" s="1"/>
  <c r="I258" i="38" s="1"/>
  <c r="V258" i="38" s="1"/>
  <c r="J276" i="38"/>
  <c r="H276" i="38" s="1"/>
  <c r="I276" i="38" s="1"/>
  <c r="J305" i="38"/>
  <c r="H305" i="38" s="1"/>
  <c r="I305" i="38" s="1"/>
  <c r="V305" i="38" s="1"/>
  <c r="J311" i="38"/>
  <c r="H311" i="38" s="1"/>
  <c r="I311" i="38" s="1"/>
  <c r="V311" i="38" s="1"/>
  <c r="J413" i="38"/>
  <c r="H413" i="38" s="1"/>
  <c r="I413" i="38" s="1"/>
  <c r="V413" i="38" s="1"/>
  <c r="X459" i="38"/>
  <c r="AA459" i="38"/>
  <c r="AB459" i="38" s="1"/>
  <c r="T142" i="38"/>
  <c r="AA146" i="38"/>
  <c r="AB146" i="38" s="1"/>
  <c r="AA148" i="38"/>
  <c r="AB148" i="38" s="1"/>
  <c r="AA153" i="38"/>
  <c r="AB153" i="38" s="1"/>
  <c r="AK29" i="38" s="1"/>
  <c r="J158" i="38"/>
  <c r="H158" i="38" s="1"/>
  <c r="I158" i="38" s="1"/>
  <c r="V158" i="38" s="1"/>
  <c r="J169" i="38"/>
  <c r="H169" i="38" s="1"/>
  <c r="I169" i="38" s="1"/>
  <c r="AA173" i="38"/>
  <c r="AB173" i="38" s="1"/>
  <c r="AA175" i="38"/>
  <c r="AB175" i="38" s="1"/>
  <c r="AA180" i="38"/>
  <c r="AB180" i="38" s="1"/>
  <c r="AA181" i="38"/>
  <c r="AB181" i="38" s="1"/>
  <c r="AA183" i="38"/>
  <c r="AB183" i="38" s="1"/>
  <c r="T185" i="38"/>
  <c r="J196" i="38"/>
  <c r="H196" i="38" s="1"/>
  <c r="I196" i="38" s="1"/>
  <c r="V196" i="38" s="1"/>
  <c r="AA200" i="38"/>
  <c r="AB200" i="38" s="1"/>
  <c r="AA202" i="38"/>
  <c r="AB202" i="38" s="1"/>
  <c r="J206" i="38"/>
  <c r="H206" i="38" s="1"/>
  <c r="I206" i="38" s="1"/>
  <c r="V206" i="38" s="1"/>
  <c r="AA209" i="38"/>
  <c r="AB209" i="38" s="1"/>
  <c r="AA211" i="38"/>
  <c r="AB211" i="38" s="1"/>
  <c r="T214" i="38"/>
  <c r="J230" i="38"/>
  <c r="H230" i="38" s="1"/>
  <c r="I230" i="38" s="1"/>
  <c r="V230" i="38" s="1"/>
  <c r="J240" i="38"/>
  <c r="H240" i="38" s="1"/>
  <c r="I240" i="38" s="1"/>
  <c r="X252" i="38"/>
  <c r="AI40" i="38" s="1"/>
  <c r="AA252" i="38"/>
  <c r="AB252" i="38" s="1"/>
  <c r="X270" i="38"/>
  <c r="AI42" i="38" s="1"/>
  <c r="AA270" i="38"/>
  <c r="AB270" i="38" s="1"/>
  <c r="T294" i="38"/>
  <c r="J295" i="38"/>
  <c r="H295" i="38" s="1"/>
  <c r="I295" i="38" s="1"/>
  <c r="V295" i="38" s="1"/>
  <c r="J321" i="38"/>
  <c r="H321" i="38" s="1"/>
  <c r="I321" i="38" s="1"/>
  <c r="V321" i="38" s="1"/>
  <c r="T341" i="38"/>
  <c r="J403" i="38"/>
  <c r="H403" i="38" s="1"/>
  <c r="I403" i="38" s="1"/>
  <c r="V403" i="38" s="1"/>
  <c r="AA226" i="38"/>
  <c r="AB226" i="38" s="1"/>
  <c r="AA227" i="38"/>
  <c r="AB227" i="38" s="1"/>
  <c r="AA228" i="38"/>
  <c r="AB228" i="38" s="1"/>
  <c r="AA229" i="38"/>
  <c r="AB229" i="38" s="1"/>
  <c r="AA234" i="38"/>
  <c r="AB234" i="38" s="1"/>
  <c r="AA236" i="38"/>
  <c r="AB236" i="38" s="1"/>
  <c r="AA238" i="38"/>
  <c r="AB238" i="38" s="1"/>
  <c r="J242" i="38"/>
  <c r="H242" i="38" s="1"/>
  <c r="I242" i="38" s="1"/>
  <c r="V242" i="38" s="1"/>
  <c r="T249" i="38"/>
  <c r="T250" i="38"/>
  <c r="AA256" i="38"/>
  <c r="AB256" i="38" s="1"/>
  <c r="J259" i="38"/>
  <c r="H259" i="38" s="1"/>
  <c r="I259" i="38" s="1"/>
  <c r="V259" i="38" s="1"/>
  <c r="J260" i="38"/>
  <c r="H260" i="38" s="1"/>
  <c r="I260" i="38" s="1"/>
  <c r="AA261" i="38"/>
  <c r="AB261" i="38" s="1"/>
  <c r="T267" i="38"/>
  <c r="T268" i="38"/>
  <c r="AA274" i="38"/>
  <c r="AB274" i="38" s="1"/>
  <c r="J277" i="38"/>
  <c r="H277" i="38" s="1"/>
  <c r="I277" i="38" s="1"/>
  <c r="V277" i="38" s="1"/>
  <c r="J285" i="38"/>
  <c r="H285" i="38" s="1"/>
  <c r="I285" i="38" s="1"/>
  <c r="V285" i="38" s="1"/>
  <c r="J367" i="38"/>
  <c r="H367" i="38" s="1"/>
  <c r="I367" i="38" s="1"/>
  <c r="J377" i="38"/>
  <c r="H377" i="38" s="1"/>
  <c r="I377" i="38" s="1"/>
  <c r="V377" i="38" s="1"/>
  <c r="J383" i="38"/>
  <c r="H383" i="38" s="1"/>
  <c r="I383" i="38" s="1"/>
  <c r="V383" i="38" s="1"/>
  <c r="AA436" i="38"/>
  <c r="AB436" i="38" s="1"/>
  <c r="Z436" i="38"/>
  <c r="AA454" i="38"/>
  <c r="AB454" i="38" s="1"/>
  <c r="Z454" i="38"/>
  <c r="T239" i="38"/>
  <c r="J241" i="38"/>
  <c r="H241" i="38" s="1"/>
  <c r="I241" i="38" s="1"/>
  <c r="J251" i="38"/>
  <c r="H251" i="38" s="1"/>
  <c r="I251" i="38" s="1"/>
  <c r="V251" i="38" s="1"/>
  <c r="AA253" i="38"/>
  <c r="AB253" i="38" s="1"/>
  <c r="T258" i="38"/>
  <c r="T260" i="38"/>
  <c r="J269" i="38"/>
  <c r="H269" i="38" s="1"/>
  <c r="I269" i="38" s="1"/>
  <c r="V269" i="38" s="1"/>
  <c r="AA271" i="38"/>
  <c r="AB271" i="38" s="1"/>
  <c r="T285" i="38"/>
  <c r="T330" i="38"/>
  <c r="J331" i="38"/>
  <c r="H331" i="38" s="1"/>
  <c r="I331" i="38" s="1"/>
  <c r="V331" i="38" s="1"/>
  <c r="J341" i="38"/>
  <c r="H341" i="38" s="1"/>
  <c r="I341" i="38" s="1"/>
  <c r="V341" i="38" s="1"/>
  <c r="J347" i="38"/>
  <c r="H347" i="38" s="1"/>
  <c r="I347" i="38" s="1"/>
  <c r="T377" i="38"/>
  <c r="T386" i="38"/>
  <c r="J393" i="38"/>
  <c r="H393" i="38" s="1"/>
  <c r="I393" i="38" s="1"/>
  <c r="V393" i="38" s="1"/>
  <c r="AA468" i="38"/>
  <c r="AB468" i="38" s="1"/>
  <c r="X468" i="38"/>
  <c r="Z471" i="38"/>
  <c r="AA471" i="38"/>
  <c r="AB471" i="38" s="1"/>
  <c r="J482" i="38"/>
  <c r="H482" i="38" s="1"/>
  <c r="I482" i="38" s="1"/>
  <c r="V482" i="38" s="1"/>
  <c r="J582" i="38"/>
  <c r="H582" i="38" s="1"/>
  <c r="I582" i="38" s="1"/>
  <c r="J583" i="38"/>
  <c r="H583" i="38" s="1"/>
  <c r="I583" i="38" s="1"/>
  <c r="AA279" i="38"/>
  <c r="AB279" i="38" s="1"/>
  <c r="J284" i="38"/>
  <c r="H284" i="38" s="1"/>
  <c r="I284" i="38" s="1"/>
  <c r="V284" i="38" s="1"/>
  <c r="J287" i="38"/>
  <c r="H287" i="38" s="1"/>
  <c r="I287" i="38" s="1"/>
  <c r="V287" i="38" s="1"/>
  <c r="T293" i="38"/>
  <c r="J303" i="38"/>
  <c r="H303" i="38" s="1"/>
  <c r="I303" i="38" s="1"/>
  <c r="V303" i="38" s="1"/>
  <c r="J304" i="38"/>
  <c r="H304" i="38" s="1"/>
  <c r="I304" i="38" s="1"/>
  <c r="V304" i="38" s="1"/>
  <c r="T313" i="38"/>
  <c r="J320" i="38"/>
  <c r="H320" i="38" s="1"/>
  <c r="I320" i="38" s="1"/>
  <c r="J323" i="38"/>
  <c r="H323" i="38" s="1"/>
  <c r="I323" i="38" s="1"/>
  <c r="V323" i="38" s="1"/>
  <c r="T329" i="38"/>
  <c r="J339" i="38"/>
  <c r="H339" i="38" s="1"/>
  <c r="I339" i="38" s="1"/>
  <c r="V339" i="38" s="1"/>
  <c r="J340" i="38"/>
  <c r="H340" i="38" s="1"/>
  <c r="I340" i="38" s="1"/>
  <c r="V340" i="38" s="1"/>
  <c r="T349" i="38"/>
  <c r="J356" i="38"/>
  <c r="H356" i="38" s="1"/>
  <c r="I356" i="38" s="1"/>
  <c r="V356" i="38" s="1"/>
  <c r="J359" i="38"/>
  <c r="H359" i="38" s="1"/>
  <c r="I359" i="38" s="1"/>
  <c r="T365" i="38"/>
  <c r="J375" i="38"/>
  <c r="H375" i="38" s="1"/>
  <c r="I375" i="38" s="1"/>
  <c r="V375" i="38" s="1"/>
  <c r="J376" i="38"/>
  <c r="H376" i="38" s="1"/>
  <c r="I376" i="38" s="1"/>
  <c r="V376" i="38" s="1"/>
  <c r="T385" i="38"/>
  <c r="J392" i="38"/>
  <c r="H392" i="38" s="1"/>
  <c r="I392" i="38" s="1"/>
  <c r="J395" i="38"/>
  <c r="H395" i="38" s="1"/>
  <c r="I395" i="38" s="1"/>
  <c r="T401" i="38"/>
  <c r="J411" i="38"/>
  <c r="H411" i="38" s="1"/>
  <c r="I411" i="38" s="1"/>
  <c r="V411" i="38" s="1"/>
  <c r="J412" i="38"/>
  <c r="H412" i="38" s="1"/>
  <c r="I412" i="38" s="1"/>
  <c r="V412" i="38" s="1"/>
  <c r="J421" i="38"/>
  <c r="H421" i="38" s="1"/>
  <c r="I421" i="38" s="1"/>
  <c r="V421" i="38" s="1"/>
  <c r="J422" i="38"/>
  <c r="H422" i="38" s="1"/>
  <c r="I422" i="38" s="1"/>
  <c r="V422" i="38" s="1"/>
  <c r="AA424" i="38"/>
  <c r="AB424" i="38" s="1"/>
  <c r="X424" i="38"/>
  <c r="AI59" i="38" s="1"/>
  <c r="J439" i="38"/>
  <c r="H439" i="38" s="1"/>
  <c r="I439" i="38" s="1"/>
  <c r="J440" i="38"/>
  <c r="H440" i="38" s="1"/>
  <c r="I440" i="38" s="1"/>
  <c r="AA442" i="38"/>
  <c r="AB442" i="38" s="1"/>
  <c r="X442" i="38"/>
  <c r="AI61" i="38" s="1"/>
  <c r="J464" i="38"/>
  <c r="H464" i="38" s="1"/>
  <c r="I464" i="38" s="1"/>
  <c r="V464" i="38" s="1"/>
  <c r="T466" i="38"/>
  <c r="Z477" i="38"/>
  <c r="AJ65" i="38" s="1"/>
  <c r="AA477" i="38"/>
  <c r="AB477" i="38" s="1"/>
  <c r="AA490" i="38"/>
  <c r="AB490" i="38" s="1"/>
  <c r="Z490" i="38"/>
  <c r="J500" i="38"/>
  <c r="H500" i="38" s="1"/>
  <c r="I500" i="38" s="1"/>
  <c r="V500" i="38" s="1"/>
  <c r="J519" i="38"/>
  <c r="H519" i="38" s="1"/>
  <c r="I519" i="38" s="1"/>
  <c r="AA532" i="38"/>
  <c r="AB532" i="38" s="1"/>
  <c r="X532" i="38"/>
  <c r="AI71" i="38" s="1"/>
  <c r="T286" i="38"/>
  <c r="J293" i="38"/>
  <c r="H293" i="38" s="1"/>
  <c r="I293" i="38" s="1"/>
  <c r="J296" i="38"/>
  <c r="H296" i="38" s="1"/>
  <c r="I296" i="38" s="1"/>
  <c r="V296" i="38" s="1"/>
  <c r="T302" i="38"/>
  <c r="J312" i="38"/>
  <c r="H312" i="38" s="1"/>
  <c r="I312" i="38" s="1"/>
  <c r="V312" i="38" s="1"/>
  <c r="J313" i="38"/>
  <c r="H313" i="38" s="1"/>
  <c r="I313" i="38" s="1"/>
  <c r="V313" i="38" s="1"/>
  <c r="T322" i="38"/>
  <c r="J329" i="38"/>
  <c r="H329" i="38" s="1"/>
  <c r="I329" i="38" s="1"/>
  <c r="V329" i="38" s="1"/>
  <c r="J332" i="38"/>
  <c r="H332" i="38" s="1"/>
  <c r="I332" i="38" s="1"/>
  <c r="V332" i="38" s="1"/>
  <c r="T338" i="38"/>
  <c r="J348" i="38"/>
  <c r="H348" i="38" s="1"/>
  <c r="I348" i="38" s="1"/>
  <c r="V348" i="38" s="1"/>
  <c r="J349" i="38"/>
  <c r="H349" i="38" s="1"/>
  <c r="I349" i="38" s="1"/>
  <c r="V349" i="38" s="1"/>
  <c r="T358" i="38"/>
  <c r="J365" i="38"/>
  <c r="H365" i="38" s="1"/>
  <c r="I365" i="38" s="1"/>
  <c r="J368" i="38"/>
  <c r="H368" i="38" s="1"/>
  <c r="I368" i="38" s="1"/>
  <c r="T374" i="38"/>
  <c r="J384" i="38"/>
  <c r="H384" i="38" s="1"/>
  <c r="I384" i="38" s="1"/>
  <c r="V384" i="38" s="1"/>
  <c r="J385" i="38"/>
  <c r="H385" i="38" s="1"/>
  <c r="I385" i="38" s="1"/>
  <c r="T394" i="38"/>
  <c r="J401" i="38"/>
  <c r="H401" i="38" s="1"/>
  <c r="I401" i="38" s="1"/>
  <c r="J404" i="38"/>
  <c r="H404" i="38" s="1"/>
  <c r="I404" i="38" s="1"/>
  <c r="V404" i="38" s="1"/>
  <c r="T410" i="38"/>
  <c r="T420" i="38"/>
  <c r="J428" i="38"/>
  <c r="H428" i="38" s="1"/>
  <c r="I428" i="38" s="1"/>
  <c r="J429" i="38"/>
  <c r="H429" i="38" s="1"/>
  <c r="I429" i="38" s="1"/>
  <c r="V429" i="38" s="1"/>
  <c r="AA432" i="38"/>
  <c r="AB432" i="38" s="1"/>
  <c r="X432" i="38"/>
  <c r="AI60" i="38" s="1"/>
  <c r="T438" i="38"/>
  <c r="J446" i="38"/>
  <c r="H446" i="38" s="1"/>
  <c r="I446" i="38" s="1"/>
  <c r="V446" i="38" s="1"/>
  <c r="J447" i="38"/>
  <c r="H447" i="38" s="1"/>
  <c r="I447" i="38" s="1"/>
  <c r="V447" i="38" s="1"/>
  <c r="AA450" i="38"/>
  <c r="AB450" i="38" s="1"/>
  <c r="X450" i="38"/>
  <c r="AI62" i="38" s="1"/>
  <c r="T465" i="38"/>
  <c r="X469" i="38"/>
  <c r="AA469" i="38"/>
  <c r="AB469" i="38" s="1"/>
  <c r="AA496" i="38"/>
  <c r="AB496" i="38" s="1"/>
  <c r="X496" i="38"/>
  <c r="J286" i="38"/>
  <c r="H286" i="38" s="1"/>
  <c r="I286" i="38" s="1"/>
  <c r="V286" i="38" s="1"/>
  <c r="J302" i="38"/>
  <c r="H302" i="38" s="1"/>
  <c r="I302" i="38" s="1"/>
  <c r="V302" i="38" s="1"/>
  <c r="J322" i="38"/>
  <c r="H322" i="38" s="1"/>
  <c r="I322" i="38" s="1"/>
  <c r="V322" i="38" s="1"/>
  <c r="J338" i="38"/>
  <c r="H338" i="38" s="1"/>
  <c r="I338" i="38" s="1"/>
  <c r="V338" i="38" s="1"/>
  <c r="J358" i="38"/>
  <c r="H358" i="38" s="1"/>
  <c r="I358" i="38" s="1"/>
  <c r="J374" i="38"/>
  <c r="H374" i="38" s="1"/>
  <c r="I374" i="38" s="1"/>
  <c r="V374" i="38" s="1"/>
  <c r="J394" i="38"/>
  <c r="H394" i="38" s="1"/>
  <c r="I394" i="38" s="1"/>
  <c r="J410" i="38"/>
  <c r="H410" i="38" s="1"/>
  <c r="I410" i="38" s="1"/>
  <c r="J419" i="38"/>
  <c r="H419" i="38" s="1"/>
  <c r="I419" i="38" s="1"/>
  <c r="J420" i="38"/>
  <c r="H420" i="38" s="1"/>
  <c r="I420" i="38" s="1"/>
  <c r="V420" i="38" s="1"/>
  <c r="T421" i="38"/>
  <c r="AA434" i="38"/>
  <c r="AB434" i="38" s="1"/>
  <c r="Z434" i="38"/>
  <c r="J437" i="38"/>
  <c r="H437" i="38" s="1"/>
  <c r="I437" i="38" s="1"/>
  <c r="J438" i="38"/>
  <c r="H438" i="38" s="1"/>
  <c r="I438" i="38" s="1"/>
  <c r="T439" i="38"/>
  <c r="AA452" i="38"/>
  <c r="AB452" i="38" s="1"/>
  <c r="Z452" i="38"/>
  <c r="AJ62" i="38" s="1"/>
  <c r="AA463" i="38"/>
  <c r="AB463" i="38" s="1"/>
  <c r="X463" i="38"/>
  <c r="J475" i="38"/>
  <c r="H475" i="38" s="1"/>
  <c r="I475" i="38" s="1"/>
  <c r="V475" i="38" s="1"/>
  <c r="Z487" i="38"/>
  <c r="AA487" i="38"/>
  <c r="AB487" i="38" s="1"/>
  <c r="J493" i="38"/>
  <c r="H493" i="38" s="1"/>
  <c r="I493" i="38" s="1"/>
  <c r="X498" i="38"/>
  <c r="AA498" i="38"/>
  <c r="AB498" i="38" s="1"/>
  <c r="J501" i="38"/>
  <c r="H501" i="38" s="1"/>
  <c r="I501" i="38" s="1"/>
  <c r="AA426" i="38"/>
  <c r="AB426" i="38" s="1"/>
  <c r="AA444" i="38"/>
  <c r="AB444" i="38" s="1"/>
  <c r="J455" i="38"/>
  <c r="H455" i="38" s="1"/>
  <c r="I455" i="38" s="1"/>
  <c r="V455" i="38" s="1"/>
  <c r="J474" i="38"/>
  <c r="H474" i="38" s="1"/>
  <c r="I474" i="38" s="1"/>
  <c r="J483" i="38"/>
  <c r="H483" i="38" s="1"/>
  <c r="I483" i="38" s="1"/>
  <c r="V483" i="38" s="1"/>
  <c r="J485" i="38"/>
  <c r="H485" i="38" s="1"/>
  <c r="I485" i="38" s="1"/>
  <c r="J494" i="38"/>
  <c r="H494" i="38" s="1"/>
  <c r="I494" i="38" s="1"/>
  <c r="AA505" i="38"/>
  <c r="AB505" i="38" s="1"/>
  <c r="Z505" i="38"/>
  <c r="T509" i="38"/>
  <c r="J510" i="38"/>
  <c r="H510" i="38" s="1"/>
  <c r="I510" i="38" s="1"/>
  <c r="V510" i="38" s="1"/>
  <c r="T510" i="38"/>
  <c r="J511" i="38"/>
  <c r="H511" i="38" s="1"/>
  <c r="I511" i="38" s="1"/>
  <c r="T511" i="38"/>
  <c r="AA522" i="38"/>
  <c r="AB522" i="38" s="1"/>
  <c r="J546" i="38"/>
  <c r="H546" i="38" s="1"/>
  <c r="I546" i="38" s="1"/>
  <c r="J554" i="38"/>
  <c r="H554" i="38" s="1"/>
  <c r="I554" i="38" s="1"/>
  <c r="V554" i="38" s="1"/>
  <c r="J572" i="38"/>
  <c r="H572" i="38" s="1"/>
  <c r="I572" i="38" s="1"/>
  <c r="V572" i="38" s="1"/>
  <c r="T591" i="38"/>
  <c r="J593" i="38"/>
  <c r="H593" i="38" s="1"/>
  <c r="I593" i="38" s="1"/>
  <c r="V593" i="38" s="1"/>
  <c r="J456" i="38"/>
  <c r="H456" i="38" s="1"/>
  <c r="I456" i="38" s="1"/>
  <c r="AA460" i="38"/>
  <c r="AB460" i="38" s="1"/>
  <c r="J465" i="38"/>
  <c r="H465" i="38" s="1"/>
  <c r="I465" i="38" s="1"/>
  <c r="J467" i="38"/>
  <c r="H467" i="38" s="1"/>
  <c r="I467" i="38" s="1"/>
  <c r="V467" i="38" s="1"/>
  <c r="J476" i="38"/>
  <c r="H476" i="38" s="1"/>
  <c r="I476" i="38" s="1"/>
  <c r="V476" i="38" s="1"/>
  <c r="T492" i="38"/>
  <c r="T500" i="38"/>
  <c r="AA507" i="38"/>
  <c r="AB507" i="38" s="1"/>
  <c r="Z507" i="38"/>
  <c r="J602" i="38"/>
  <c r="H602" i="38" s="1"/>
  <c r="I602" i="38" s="1"/>
  <c r="J610" i="38"/>
  <c r="H610" i="38" s="1"/>
  <c r="I610" i="38" s="1"/>
  <c r="J619" i="38"/>
  <c r="H619" i="38" s="1"/>
  <c r="I619" i="38" s="1"/>
  <c r="V619" i="38" s="1"/>
  <c r="X632" i="38"/>
  <c r="AA632" i="38"/>
  <c r="AB632" i="38" s="1"/>
  <c r="J458" i="38"/>
  <c r="H458" i="38" s="1"/>
  <c r="I458" i="38" s="1"/>
  <c r="V458" i="38" s="1"/>
  <c r="X460" i="38"/>
  <c r="AA461" i="38"/>
  <c r="AB461" i="38" s="1"/>
  <c r="T474" i="38"/>
  <c r="AA480" i="38"/>
  <c r="AB480" i="38" s="1"/>
  <c r="T485" i="38"/>
  <c r="AA486" i="38"/>
  <c r="AB486" i="38" s="1"/>
  <c r="T501" i="38"/>
  <c r="J502" i="38"/>
  <c r="H502" i="38" s="1"/>
  <c r="I502" i="38" s="1"/>
  <c r="T502" i="38"/>
  <c r="J503" i="38"/>
  <c r="H503" i="38" s="1"/>
  <c r="I503" i="38" s="1"/>
  <c r="T503" i="38"/>
  <c r="J512" i="38"/>
  <c r="H512" i="38" s="1"/>
  <c r="I512" i="38" s="1"/>
  <c r="V512" i="38" s="1"/>
  <c r="AA516" i="38"/>
  <c r="AB516" i="38" s="1"/>
  <c r="X516" i="38"/>
  <c r="T536" i="38"/>
  <c r="T538" i="38"/>
  <c r="J557" i="38"/>
  <c r="H557" i="38" s="1"/>
  <c r="I557" i="38" s="1"/>
  <c r="T566" i="38"/>
  <c r="T574" i="38"/>
  <c r="AA504" i="38"/>
  <c r="AB504" i="38" s="1"/>
  <c r="J530" i="38"/>
  <c r="H530" i="38" s="1"/>
  <c r="I530" i="38" s="1"/>
  <c r="V530" i="38" s="1"/>
  <c r="AA535" i="38"/>
  <c r="AB535" i="38" s="1"/>
  <c r="J538" i="38"/>
  <c r="H538" i="38" s="1"/>
  <c r="I538" i="38" s="1"/>
  <c r="V538" i="38" s="1"/>
  <c r="J547" i="38"/>
  <c r="H547" i="38" s="1"/>
  <c r="I547" i="38" s="1"/>
  <c r="J563" i="38"/>
  <c r="H563" i="38" s="1"/>
  <c r="I563" i="38" s="1"/>
  <c r="V563" i="38" s="1"/>
  <c r="J591" i="38"/>
  <c r="H591" i="38" s="1"/>
  <c r="I591" i="38" s="1"/>
  <c r="V591" i="38" s="1"/>
  <c r="J636" i="38"/>
  <c r="H636" i="38" s="1"/>
  <c r="I636" i="38" s="1"/>
  <c r="T644" i="38"/>
  <c r="T671" i="38"/>
  <c r="AA513" i="38"/>
  <c r="AB513" i="38" s="1"/>
  <c r="AA523" i="38"/>
  <c r="AB523" i="38" s="1"/>
  <c r="AA525" i="38"/>
  <c r="AB525" i="38" s="1"/>
  <c r="T547" i="38"/>
  <c r="J574" i="38"/>
  <c r="H574" i="38" s="1"/>
  <c r="I574" i="38" s="1"/>
  <c r="V574" i="38" s="1"/>
  <c r="J575" i="38"/>
  <c r="H575" i="38" s="1"/>
  <c r="I575" i="38" s="1"/>
  <c r="V575" i="38" s="1"/>
  <c r="AA594" i="38"/>
  <c r="AB594" i="38" s="1"/>
  <c r="J629" i="38"/>
  <c r="H629" i="38" s="1"/>
  <c r="I629" i="38" s="1"/>
  <c r="V629" i="38" s="1"/>
  <c r="X640" i="38"/>
  <c r="AA640" i="38"/>
  <c r="AB640" i="38" s="1"/>
  <c r="J672" i="38"/>
  <c r="H672" i="38" s="1"/>
  <c r="I672" i="38" s="1"/>
  <c r="X687" i="38"/>
  <c r="AA687" i="38"/>
  <c r="AB687" i="38" s="1"/>
  <c r="X688" i="38"/>
  <c r="AA688" i="38"/>
  <c r="AB688" i="38" s="1"/>
  <c r="X729" i="38"/>
  <c r="AA729" i="38"/>
  <c r="AB729" i="38" s="1"/>
  <c r="J736" i="38"/>
  <c r="H736" i="38" s="1"/>
  <c r="I736" i="38" s="1"/>
  <c r="T545" i="38"/>
  <c r="J555" i="38"/>
  <c r="H555" i="38" s="1"/>
  <c r="I555" i="38" s="1"/>
  <c r="V555" i="38" s="1"/>
  <c r="AA560" i="38"/>
  <c r="AB560" i="38" s="1"/>
  <c r="J565" i="38"/>
  <c r="H565" i="38" s="1"/>
  <c r="I565" i="38" s="1"/>
  <c r="V565" i="38" s="1"/>
  <c r="J599" i="38"/>
  <c r="H599" i="38" s="1"/>
  <c r="I599" i="38" s="1"/>
  <c r="J600" i="38"/>
  <c r="H600" i="38" s="1"/>
  <c r="I600" i="38" s="1"/>
  <c r="J608" i="38"/>
  <c r="H608" i="38" s="1"/>
  <c r="I608" i="38" s="1"/>
  <c r="V608" i="38" s="1"/>
  <c r="J627" i="38"/>
  <c r="H627" i="38" s="1"/>
  <c r="I627" i="38" s="1"/>
  <c r="V627" i="38" s="1"/>
  <c r="J537" i="38"/>
  <c r="H537" i="38" s="1"/>
  <c r="I537" i="38" s="1"/>
  <c r="V537" i="38" s="1"/>
  <c r="AA542" i="38"/>
  <c r="AB542" i="38" s="1"/>
  <c r="T546" i="38"/>
  <c r="J548" i="38"/>
  <c r="H548" i="38" s="1"/>
  <c r="I548" i="38" s="1"/>
  <c r="AA549" i="38"/>
  <c r="AB549" i="38" s="1"/>
  <c r="AK73" i="38" s="1"/>
  <c r="T556" i="38"/>
  <c r="AA559" i="38"/>
  <c r="AB559" i="38" s="1"/>
  <c r="J573" i="38"/>
  <c r="H573" i="38" s="1"/>
  <c r="I573" i="38" s="1"/>
  <c r="V573" i="38" s="1"/>
  <c r="J584" i="38"/>
  <c r="H584" i="38" s="1"/>
  <c r="I584" i="38" s="1"/>
  <c r="J590" i="38"/>
  <c r="H590" i="38" s="1"/>
  <c r="I590" i="38" s="1"/>
  <c r="J601" i="38"/>
  <c r="H601" i="38" s="1"/>
  <c r="I601" i="38" s="1"/>
  <c r="V601" i="38" s="1"/>
  <c r="J609" i="38"/>
  <c r="H609" i="38" s="1"/>
  <c r="I609" i="38" s="1"/>
  <c r="V609" i="38" s="1"/>
  <c r="J620" i="38"/>
  <c r="H620" i="38" s="1"/>
  <c r="I620" i="38" s="1"/>
  <c r="J626" i="38"/>
  <c r="H626" i="38" s="1"/>
  <c r="I626" i="38" s="1"/>
  <c r="V626" i="38" s="1"/>
  <c r="J644" i="38"/>
  <c r="H644" i="38" s="1"/>
  <c r="I644" i="38" s="1"/>
  <c r="V644" i="38" s="1"/>
  <c r="J539" i="38"/>
  <c r="H539" i="38" s="1"/>
  <c r="I539" i="38" s="1"/>
  <c r="V539" i="38" s="1"/>
  <c r="AA541" i="38"/>
  <c r="AB541" i="38" s="1"/>
  <c r="T557" i="38"/>
  <c r="AA562" i="38"/>
  <c r="AB562" i="38" s="1"/>
  <c r="J564" i="38"/>
  <c r="H564" i="38" s="1"/>
  <c r="I564" i="38" s="1"/>
  <c r="V564" i="38" s="1"/>
  <c r="J566" i="38"/>
  <c r="H566" i="38" s="1"/>
  <c r="I566" i="38" s="1"/>
  <c r="V566" i="38" s="1"/>
  <c r="T575" i="38"/>
  <c r="AA578" i="38"/>
  <c r="AB578" i="38" s="1"/>
  <c r="AA580" i="38"/>
  <c r="AB580" i="38" s="1"/>
  <c r="AA585" i="38"/>
  <c r="AB585" i="38" s="1"/>
  <c r="AA595" i="38"/>
  <c r="AB595" i="38" s="1"/>
  <c r="AA597" i="38"/>
  <c r="AB597" i="38" s="1"/>
  <c r="T600" i="38"/>
  <c r="T611" i="38"/>
  <c r="AA614" i="38"/>
  <c r="AB614" i="38" s="1"/>
  <c r="AA616" i="38"/>
  <c r="AB616" i="38" s="1"/>
  <c r="AA621" i="38"/>
  <c r="AB621" i="38" s="1"/>
  <c r="X634" i="38"/>
  <c r="AA634" i="38"/>
  <c r="AB634" i="38" s="1"/>
  <c r="J635" i="38"/>
  <c r="H635" i="38" s="1"/>
  <c r="I635" i="38" s="1"/>
  <c r="V635" i="38" s="1"/>
  <c r="J638" i="38"/>
  <c r="H638" i="38" s="1"/>
  <c r="I638" i="38" s="1"/>
  <c r="J645" i="38"/>
  <c r="H645" i="38" s="1"/>
  <c r="I645" i="38" s="1"/>
  <c r="X657" i="38"/>
  <c r="AA657" i="38"/>
  <c r="AB657" i="38" s="1"/>
  <c r="J662" i="38"/>
  <c r="H662" i="38" s="1"/>
  <c r="I662" i="38" s="1"/>
  <c r="V662" i="38" s="1"/>
  <c r="X541" i="38"/>
  <c r="X542" i="38"/>
  <c r="X543" i="38"/>
  <c r="X544" i="38"/>
  <c r="X549" i="38"/>
  <c r="X559" i="38"/>
  <c r="X560" i="38"/>
  <c r="X561" i="38"/>
  <c r="X562" i="38"/>
  <c r="X567" i="38"/>
  <c r="AI75" i="38" s="1"/>
  <c r="T646" i="38"/>
  <c r="AA659" i="38"/>
  <c r="AB659" i="38" s="1"/>
  <c r="X666" i="38"/>
  <c r="AI86" i="38" s="1"/>
  <c r="AA666" i="38"/>
  <c r="AB666" i="38" s="1"/>
  <c r="J673" i="38"/>
  <c r="H673" i="38" s="1"/>
  <c r="I673" i="38" s="1"/>
  <c r="V673" i="38" s="1"/>
  <c r="T654" i="38"/>
  <c r="X661" i="38"/>
  <c r="AA661" i="38"/>
  <c r="AB661" i="38" s="1"/>
  <c r="T663" i="38"/>
  <c r="Z686" i="38"/>
  <c r="AJ88" i="38" s="1"/>
  <c r="AA686" i="38"/>
  <c r="AB686" i="38" s="1"/>
  <c r="X649" i="38"/>
  <c r="X650" i="38"/>
  <c r="X651" i="38"/>
  <c r="X652" i="38"/>
  <c r="J656" i="38"/>
  <c r="H656" i="38" s="1"/>
  <c r="I656" i="38" s="1"/>
  <c r="V656" i="38" s="1"/>
  <c r="J664" i="38"/>
  <c r="H664" i="38" s="1"/>
  <c r="I664" i="38" s="1"/>
  <c r="T672" i="38"/>
  <c r="J674" i="38"/>
  <c r="H674" i="38" s="1"/>
  <c r="I674" i="38" s="1"/>
  <c r="V674" i="38" s="1"/>
  <c r="T682" i="38"/>
  <c r="J683" i="38"/>
  <c r="H683" i="38" s="1"/>
  <c r="I683" i="38" s="1"/>
  <c r="V683" i="38" s="1"/>
  <c r="T689" i="38"/>
  <c r="J690" i="38"/>
  <c r="H690" i="38" s="1"/>
  <c r="I690" i="38" s="1"/>
  <c r="X702" i="38"/>
  <c r="AI90" i="38" s="1"/>
  <c r="AA702" i="38"/>
  <c r="AB702" i="38" s="1"/>
  <c r="AA704" i="38"/>
  <c r="AB704" i="38" s="1"/>
  <c r="Z705" i="38"/>
  <c r="AJ90" i="38" s="1"/>
  <c r="AA705" i="38"/>
  <c r="AB705" i="38" s="1"/>
  <c r="X721" i="38"/>
  <c r="AI92" i="38" s="1"/>
  <c r="AA721" i="38"/>
  <c r="AB721" i="38" s="1"/>
  <c r="X732" i="38"/>
  <c r="AA732" i="38"/>
  <c r="AB732" i="38" s="1"/>
  <c r="J734" i="38"/>
  <c r="H734" i="38" s="1"/>
  <c r="I734" i="38" s="1"/>
  <c r="J663" i="38"/>
  <c r="H663" i="38" s="1"/>
  <c r="I663" i="38" s="1"/>
  <c r="V663" i="38" s="1"/>
  <c r="J698" i="38"/>
  <c r="H698" i="38" s="1"/>
  <c r="I698" i="38" s="1"/>
  <c r="V698" i="38" s="1"/>
  <c r="T700" i="38"/>
  <c r="J701" i="38"/>
  <c r="H701" i="38" s="1"/>
  <c r="I701" i="38" s="1"/>
  <c r="V701" i="38" s="1"/>
  <c r="X711" i="38"/>
  <c r="AA711" i="38"/>
  <c r="AB711" i="38" s="1"/>
  <c r="J718" i="38"/>
  <c r="H718" i="38" s="1"/>
  <c r="I718" i="38" s="1"/>
  <c r="V718" i="38" s="1"/>
  <c r="X739" i="38"/>
  <c r="AI94" i="38" s="1"/>
  <c r="AA739" i="38"/>
  <c r="AB739" i="38" s="1"/>
  <c r="J665" i="38"/>
  <c r="H665" i="38" s="1"/>
  <c r="I665" i="38" s="1"/>
  <c r="V665" i="38" s="1"/>
  <c r="X678" i="38"/>
  <c r="AA678" i="38"/>
  <c r="AB678" i="38" s="1"/>
  <c r="J680" i="38"/>
  <c r="H680" i="38" s="1"/>
  <c r="I680" i="38" s="1"/>
  <c r="X684" i="38"/>
  <c r="AA684" i="38"/>
  <c r="AB684" i="38" s="1"/>
  <c r="J691" i="38"/>
  <c r="H691" i="38" s="1"/>
  <c r="I691" i="38" s="1"/>
  <c r="V691" i="38" s="1"/>
  <c r="X694" i="38"/>
  <c r="AA694" i="38"/>
  <c r="AB694" i="38" s="1"/>
  <c r="X695" i="38"/>
  <c r="AA695" i="38"/>
  <c r="AB695" i="38" s="1"/>
  <c r="J709" i="38"/>
  <c r="H709" i="38" s="1"/>
  <c r="I709" i="38" s="1"/>
  <c r="V709" i="38" s="1"/>
  <c r="X714" i="38"/>
  <c r="AA714" i="38"/>
  <c r="AB714" i="38" s="1"/>
  <c r="J716" i="38"/>
  <c r="H716" i="38" s="1"/>
  <c r="I716" i="38" s="1"/>
  <c r="V716" i="38" s="1"/>
  <c r="AA667" i="38"/>
  <c r="AB667" i="38" s="1"/>
  <c r="AA668" i="38"/>
  <c r="AB668" i="38" s="1"/>
  <c r="AA669" i="38"/>
  <c r="AB669" i="38" s="1"/>
  <c r="AA670" i="38"/>
  <c r="AB670" i="38" s="1"/>
  <c r="AA675" i="38"/>
  <c r="AB675" i="38" s="1"/>
  <c r="J681" i="38"/>
  <c r="H681" i="38" s="1"/>
  <c r="I681" i="38" s="1"/>
  <c r="T681" i="38"/>
  <c r="T692" i="38"/>
  <c r="T699" i="38"/>
  <c r="J707" i="38"/>
  <c r="H707" i="38" s="1"/>
  <c r="I707" i="38" s="1"/>
  <c r="T707" i="38"/>
  <c r="J708" i="38"/>
  <c r="H708" i="38" s="1"/>
  <c r="I708" i="38" s="1"/>
  <c r="T708" i="38"/>
  <c r="Z715" i="38"/>
  <c r="AJ91" i="38" s="1"/>
  <c r="AA715" i="38"/>
  <c r="AB715" i="38" s="1"/>
  <c r="T716" i="38"/>
  <c r="T726" i="38"/>
  <c r="J727" i="38"/>
  <c r="H727" i="38" s="1"/>
  <c r="I727" i="38" s="1"/>
  <c r="Z733" i="38"/>
  <c r="AJ93" i="38" s="1"/>
  <c r="AA733" i="38"/>
  <c r="AB733" i="38" s="1"/>
  <c r="T734" i="38"/>
  <c r="J692" i="38"/>
  <c r="H692" i="38" s="1"/>
  <c r="I692" i="38" s="1"/>
  <c r="V692" i="38" s="1"/>
  <c r="J699" i="38"/>
  <c r="H699" i="38" s="1"/>
  <c r="I699" i="38" s="1"/>
  <c r="V699" i="38" s="1"/>
  <c r="T709" i="38"/>
  <c r="T719" i="38"/>
  <c r="Z722" i="38"/>
  <c r="AJ92" i="38" s="1"/>
  <c r="AA722" i="38"/>
  <c r="AB722" i="38" s="1"/>
  <c r="J725" i="38"/>
  <c r="H725" i="38" s="1"/>
  <c r="I725" i="38" s="1"/>
  <c r="T727" i="38"/>
  <c r="T737" i="38"/>
  <c r="Z740" i="38"/>
  <c r="AA740" i="38"/>
  <c r="AB740" i="38" s="1"/>
  <c r="J719" i="38"/>
  <c r="H719" i="38" s="1"/>
  <c r="I719" i="38" s="1"/>
  <c r="J726" i="38"/>
  <c r="H726" i="38" s="1"/>
  <c r="I726" i="38" s="1"/>
  <c r="J737" i="38"/>
  <c r="H737" i="38" s="1"/>
  <c r="I737" i="38" s="1"/>
  <c r="J710" i="38"/>
  <c r="H710" i="38" s="1"/>
  <c r="I710" i="38" s="1"/>
  <c r="V710" i="38" s="1"/>
  <c r="AA713" i="38"/>
  <c r="AB713" i="38" s="1"/>
  <c r="J717" i="38"/>
  <c r="H717" i="38" s="1"/>
  <c r="I717" i="38" s="1"/>
  <c r="AA724" i="38"/>
  <c r="AB724" i="38" s="1"/>
  <c r="J728" i="38"/>
  <c r="H728" i="38" s="1"/>
  <c r="I728" i="38" s="1"/>
  <c r="AA731" i="38"/>
  <c r="AB731" i="38" s="1"/>
  <c r="J735" i="38"/>
  <c r="H735" i="38" s="1"/>
  <c r="I735" i="38" s="1"/>
  <c r="AA742" i="38"/>
  <c r="AB742" i="38" s="1"/>
  <c r="R1" i="37"/>
  <c r="E2" i="50" s="1"/>
  <c r="T554" i="35"/>
  <c r="T563" i="35"/>
  <c r="T53" i="35"/>
  <c r="T78" i="35"/>
  <c r="T134" i="35"/>
  <c r="T430" i="35"/>
  <c r="T519" i="35"/>
  <c r="T555" i="35"/>
  <c r="T140" i="35"/>
  <c r="T169" i="35"/>
  <c r="T177" i="35"/>
  <c r="T266" i="35"/>
  <c r="T332" i="35"/>
  <c r="T339" i="35"/>
  <c r="T386" i="35"/>
  <c r="T600" i="35"/>
  <c r="T647" i="35"/>
  <c r="T97" i="35"/>
  <c r="T215" i="35"/>
  <c r="V215" i="35" s="1"/>
  <c r="T311" i="35"/>
  <c r="T493" i="35"/>
  <c r="T556" i="35"/>
  <c r="T601" i="35"/>
  <c r="T683" i="35"/>
  <c r="T167" i="35"/>
  <c r="T221" i="35"/>
  <c r="T251" i="35"/>
  <c r="T286" i="35"/>
  <c r="T294" i="35"/>
  <c r="T295" i="35"/>
  <c r="T302" i="35"/>
  <c r="T312" i="35"/>
  <c r="T313" i="35"/>
  <c r="T323" i="35"/>
  <c r="T341" i="35"/>
  <c r="T350" i="35"/>
  <c r="T357" i="35"/>
  <c r="T368" i="35"/>
  <c r="T375" i="35"/>
  <c r="T384" i="35"/>
  <c r="T449" i="35"/>
  <c r="T456" i="35"/>
  <c r="T494" i="35"/>
  <c r="T503" i="35"/>
  <c r="T509" i="35"/>
  <c r="T547" i="35"/>
  <c r="V547" i="35" s="1"/>
  <c r="T590" i="35"/>
  <c r="T626" i="35"/>
  <c r="T637" i="35"/>
  <c r="T665" i="35"/>
  <c r="T725" i="35"/>
  <c r="T86" i="35"/>
  <c r="T232" i="35"/>
  <c r="T248" i="35"/>
  <c r="T438" i="35"/>
  <c r="T573" i="35"/>
  <c r="T582" i="35"/>
  <c r="T584" i="35"/>
  <c r="T716" i="35"/>
  <c r="T60" i="35"/>
  <c r="T71" i="35"/>
  <c r="T131" i="35"/>
  <c r="T141" i="35"/>
  <c r="T160" i="35"/>
  <c r="T170" i="35"/>
  <c r="T349" i="35"/>
  <c r="T356" i="35"/>
  <c r="T510" i="35"/>
  <c r="T26" i="35"/>
  <c r="T33" i="35"/>
  <c r="T79" i="35"/>
  <c r="T152" i="35"/>
  <c r="T185" i="35"/>
  <c r="T203" i="35"/>
  <c r="T329" i="35"/>
  <c r="T419" i="35"/>
  <c r="T464" i="35"/>
  <c r="T475" i="35"/>
  <c r="T14" i="35"/>
  <c r="T17" i="35"/>
  <c r="T42" i="35"/>
  <c r="T34" i="35"/>
  <c r="T62" i="35"/>
  <c r="T69" i="35"/>
  <c r="T70" i="35"/>
  <c r="T77" i="35"/>
  <c r="T80" i="35"/>
  <c r="T88" i="35"/>
  <c r="T115" i="35"/>
  <c r="T125" i="35"/>
  <c r="T132" i="35"/>
  <c r="T149" i="35"/>
  <c r="T150" i="35"/>
  <c r="T178" i="35"/>
  <c r="T242" i="35"/>
  <c r="V242" i="35" s="1"/>
  <c r="T257" i="35"/>
  <c r="T258" i="35"/>
  <c r="T275" i="35"/>
  <c r="T293" i="35"/>
  <c r="T320" i="35"/>
  <c r="T367" i="35"/>
  <c r="T374" i="35"/>
  <c r="T393" i="35"/>
  <c r="T402" i="35"/>
  <c r="T404" i="35"/>
  <c r="T421" i="35"/>
  <c r="T439" i="35"/>
  <c r="T465" i="35"/>
  <c r="T473" i="35"/>
  <c r="T474" i="35"/>
  <c r="T609" i="35"/>
  <c r="T635" i="35"/>
  <c r="T691" i="35"/>
  <c r="T159" i="35"/>
  <c r="T161" i="35"/>
  <c r="T188" i="35"/>
  <c r="T205" i="35"/>
  <c r="T222" i="35"/>
  <c r="T231" i="35"/>
  <c r="T241" i="35"/>
  <c r="T259" i="35"/>
  <c r="T268" i="35"/>
  <c r="T269" i="35"/>
  <c r="T305" i="35"/>
  <c r="T322" i="35"/>
  <c r="T330" i="35"/>
  <c r="T365" i="35"/>
  <c r="T420" i="35"/>
  <c r="T431" i="35"/>
  <c r="T437" i="35"/>
  <c r="T448" i="35"/>
  <c r="T455" i="35"/>
  <c r="T467" i="35"/>
  <c r="T502" i="35"/>
  <c r="T512" i="35"/>
  <c r="T529" i="35"/>
  <c r="T548" i="35"/>
  <c r="T557" i="35"/>
  <c r="T564" i="35"/>
  <c r="T565" i="35"/>
  <c r="T566" i="35"/>
  <c r="T591" i="35"/>
  <c r="T592" i="35"/>
  <c r="T602" i="35"/>
  <c r="T672" i="35"/>
  <c r="T681" i="35"/>
  <c r="T690" i="35"/>
  <c r="T701" i="35"/>
  <c r="T708" i="35"/>
  <c r="T717" i="35"/>
  <c r="T511" i="35"/>
  <c r="T536" i="35"/>
  <c r="T539" i="35"/>
  <c r="T620" i="35"/>
  <c r="T680" i="35"/>
  <c r="T718" i="35"/>
  <c r="T538" i="35"/>
  <c r="T575" i="35"/>
  <c r="T608" i="35"/>
  <c r="T619" i="35"/>
  <c r="T627" i="35"/>
  <c r="T644" i="35"/>
  <c r="T655" i="35"/>
  <c r="T682" i="35"/>
  <c r="T692" i="35"/>
  <c r="T728" i="35"/>
  <c r="T735" i="35"/>
  <c r="T736" i="35"/>
  <c r="J15" i="35"/>
  <c r="H15" i="35" s="1"/>
  <c r="I15" i="35" s="1"/>
  <c r="V15" i="35" s="1"/>
  <c r="T15" i="35"/>
  <c r="J16" i="35"/>
  <c r="H16" i="35" s="1"/>
  <c r="I16" i="35" s="1"/>
  <c r="V16" i="35" s="1"/>
  <c r="T16" i="35"/>
  <c r="J17" i="35"/>
  <c r="H17" i="35" s="1"/>
  <c r="I17" i="35" s="1"/>
  <c r="V17" i="35" s="1"/>
  <c r="AJ90" i="35"/>
  <c r="AJ89" i="35"/>
  <c r="AJ87" i="35"/>
  <c r="AJ79" i="35"/>
  <c r="AI76" i="35"/>
  <c r="AJ68" i="35"/>
  <c r="AJ50" i="35"/>
  <c r="AI37" i="35"/>
  <c r="AK36" i="35"/>
  <c r="AK30" i="35"/>
  <c r="AJ20" i="35"/>
  <c r="AJ94" i="35"/>
  <c r="AJ93" i="35"/>
  <c r="AJ92" i="35"/>
  <c r="AJ91" i="35"/>
  <c r="AI83" i="35"/>
  <c r="AI82" i="35"/>
  <c r="AI71" i="35"/>
  <c r="AJ70" i="35"/>
  <c r="AI67" i="35"/>
  <c r="AK63" i="35"/>
  <c r="AJ52" i="35"/>
  <c r="AI42" i="35"/>
  <c r="AJ41" i="35"/>
  <c r="AI35" i="35"/>
  <c r="AJ34" i="35"/>
  <c r="AI28" i="35"/>
  <c r="AI27" i="35"/>
  <c r="AI94" i="35"/>
  <c r="AI92" i="35"/>
  <c r="AI85" i="35"/>
  <c r="AJ81" i="35"/>
  <c r="AJ80" i="35"/>
  <c r="AJ74" i="35"/>
  <c r="AI70" i="35"/>
  <c r="AJ69" i="35"/>
  <c r="AJ63" i="35"/>
  <c r="AJ62" i="35"/>
  <c r="AJ57" i="35"/>
  <c r="AJ56" i="35"/>
  <c r="AJ55" i="35"/>
  <c r="AJ51" i="35"/>
  <c r="AJ40" i="35"/>
  <c r="AJ39" i="35"/>
  <c r="AJ38" i="35"/>
  <c r="AJ37" i="35"/>
  <c r="AI34" i="35"/>
  <c r="AJ31" i="35"/>
  <c r="AJ29" i="35"/>
  <c r="AJ26" i="35"/>
  <c r="AJ21" i="35"/>
  <c r="AJ16" i="35"/>
  <c r="AA18" i="35"/>
  <c r="AB18" i="35" s="1"/>
  <c r="J24" i="35"/>
  <c r="H24" i="35" s="1"/>
  <c r="I24" i="35" s="1"/>
  <c r="V24" i="35" s="1"/>
  <c r="J32" i="35"/>
  <c r="H32" i="35" s="1"/>
  <c r="I32" i="35" s="1"/>
  <c r="J34" i="35"/>
  <c r="H34" i="35" s="1"/>
  <c r="I34" i="35" s="1"/>
  <c r="V34" i="35" s="1"/>
  <c r="J35" i="35"/>
  <c r="H35" i="35" s="1"/>
  <c r="I35" i="35" s="1"/>
  <c r="V35" i="35" s="1"/>
  <c r="AJ35" i="35"/>
  <c r="AJ36" i="35"/>
  <c r="J43" i="35"/>
  <c r="H43" i="35" s="1"/>
  <c r="I43" i="35" s="1"/>
  <c r="V43" i="35" s="1"/>
  <c r="T51" i="35"/>
  <c r="V51" i="35" s="1"/>
  <c r="T52" i="35"/>
  <c r="J59" i="35"/>
  <c r="H59" i="35" s="1"/>
  <c r="I59" i="35" s="1"/>
  <c r="J62" i="35"/>
  <c r="H62" i="35" s="1"/>
  <c r="I62" i="35" s="1"/>
  <c r="V62" i="35" s="1"/>
  <c r="AJ64" i="35"/>
  <c r="AJ66" i="35"/>
  <c r="AJ67" i="35"/>
  <c r="J69" i="35"/>
  <c r="H69" i="35" s="1"/>
  <c r="I69" i="35" s="1"/>
  <c r="V69" i="35" s="1"/>
  <c r="J71" i="35"/>
  <c r="H71" i="35" s="1"/>
  <c r="I71" i="35" s="1"/>
  <c r="V71" i="35" s="1"/>
  <c r="AJ71" i="35"/>
  <c r="AJ72" i="35"/>
  <c r="AJ84" i="35"/>
  <c r="T87" i="35"/>
  <c r="AG22" i="35" s="1"/>
  <c r="AJ88" i="35"/>
  <c r="Z94" i="35"/>
  <c r="AA94" i="35"/>
  <c r="AB94" i="35" s="1"/>
  <c r="J97" i="35"/>
  <c r="H97" i="35" s="1"/>
  <c r="I97" i="35" s="1"/>
  <c r="V97" i="35" s="1"/>
  <c r="X102" i="35"/>
  <c r="AA102" i="35"/>
  <c r="AB102" i="35" s="1"/>
  <c r="T105" i="35"/>
  <c r="J115" i="35"/>
  <c r="H115" i="35" s="1"/>
  <c r="I115" i="35" s="1"/>
  <c r="V115" i="35" s="1"/>
  <c r="AJ14" i="35"/>
  <c r="J23" i="35"/>
  <c r="H23" i="35" s="1"/>
  <c r="I23" i="35" s="1"/>
  <c r="J25" i="35"/>
  <c r="H25" i="35" s="1"/>
  <c r="I25" i="35" s="1"/>
  <c r="V25" i="35" s="1"/>
  <c r="T32" i="35"/>
  <c r="J41" i="35"/>
  <c r="H41" i="35" s="1"/>
  <c r="I41" i="35" s="1"/>
  <c r="V41" i="35" s="1"/>
  <c r="J42" i="35"/>
  <c r="H42" i="35" s="1"/>
  <c r="I42" i="35" s="1"/>
  <c r="V42" i="35" s="1"/>
  <c r="AJ42" i="35"/>
  <c r="T43" i="35"/>
  <c r="J50" i="35"/>
  <c r="H50" i="35" s="1"/>
  <c r="I50" i="35" s="1"/>
  <c r="T59" i="35"/>
  <c r="T61" i="35"/>
  <c r="T68" i="35"/>
  <c r="J70" i="35"/>
  <c r="H70" i="35" s="1"/>
  <c r="I70" i="35" s="1"/>
  <c r="V70" i="35" s="1"/>
  <c r="J78" i="35"/>
  <c r="H78" i="35" s="1"/>
  <c r="I78" i="35" s="1"/>
  <c r="V78" i="35" s="1"/>
  <c r="AJ78" i="35"/>
  <c r="J87" i="35"/>
  <c r="H87" i="35" s="1"/>
  <c r="I87" i="35" s="1"/>
  <c r="X90" i="35"/>
  <c r="AI22" i="35" s="1"/>
  <c r="AA90" i="35"/>
  <c r="AB90" i="35" s="1"/>
  <c r="AI90" i="35"/>
  <c r="Z93" i="35"/>
  <c r="AA93" i="35"/>
  <c r="AB93" i="35" s="1"/>
  <c r="T95" i="35"/>
  <c r="V95" i="35" s="1"/>
  <c r="J96" i="35"/>
  <c r="H96" i="35" s="1"/>
  <c r="I96" i="35" s="1"/>
  <c r="T96" i="35"/>
  <c r="T98" i="35"/>
  <c r="J105" i="35"/>
  <c r="H105" i="35" s="1"/>
  <c r="I105" i="35" s="1"/>
  <c r="Z109" i="35"/>
  <c r="AA109" i="35"/>
  <c r="AB109" i="35" s="1"/>
  <c r="T113" i="35"/>
  <c r="J114" i="35"/>
  <c r="H114" i="35" s="1"/>
  <c r="I114" i="35" s="1"/>
  <c r="V114" i="35" s="1"/>
  <c r="T114" i="35"/>
  <c r="T116" i="35"/>
  <c r="J122" i="35"/>
  <c r="H122" i="35" s="1"/>
  <c r="I122" i="35" s="1"/>
  <c r="V122" i="35" s="1"/>
  <c r="T122" i="35"/>
  <c r="T124" i="35"/>
  <c r="J141" i="35"/>
  <c r="H141" i="35" s="1"/>
  <c r="I141" i="35" s="1"/>
  <c r="V141" i="35" s="1"/>
  <c r="T143" i="35"/>
  <c r="T168" i="35"/>
  <c r="J170" i="35"/>
  <c r="H170" i="35" s="1"/>
  <c r="I170" i="35" s="1"/>
  <c r="T179" i="35"/>
  <c r="T186" i="35"/>
  <c r="AJ49" i="35"/>
  <c r="J53" i="35"/>
  <c r="H53" i="35" s="1"/>
  <c r="I53" i="35" s="1"/>
  <c r="AJ82" i="35"/>
  <c r="Z92" i="35"/>
  <c r="AA92" i="35"/>
  <c r="AB92" i="35" s="1"/>
  <c r="J98" i="35"/>
  <c r="H98" i="35" s="1"/>
  <c r="I98" i="35" s="1"/>
  <c r="Z99" i="35"/>
  <c r="AA99" i="35"/>
  <c r="AB99" i="35" s="1"/>
  <c r="Z111" i="35"/>
  <c r="AA111" i="35"/>
  <c r="AB111" i="35" s="1"/>
  <c r="J116" i="35"/>
  <c r="H116" i="35" s="1"/>
  <c r="I116" i="35" s="1"/>
  <c r="V116" i="35" s="1"/>
  <c r="Z117" i="35"/>
  <c r="AA117" i="35"/>
  <c r="AB117" i="35" s="1"/>
  <c r="T123" i="35"/>
  <c r="J132" i="35"/>
  <c r="H132" i="35" s="1"/>
  <c r="I132" i="35" s="1"/>
  <c r="V132" i="35" s="1"/>
  <c r="J152" i="35"/>
  <c r="H152" i="35" s="1"/>
  <c r="I152" i="35" s="1"/>
  <c r="V152" i="35" s="1"/>
  <c r="J14" i="35"/>
  <c r="H14" i="35" s="1"/>
  <c r="I14" i="35" s="1"/>
  <c r="AJ18" i="35"/>
  <c r="AJ19" i="35"/>
  <c r="AA22" i="35"/>
  <c r="AB22" i="35" s="1"/>
  <c r="T25" i="35"/>
  <c r="AI32" i="35"/>
  <c r="J33" i="35"/>
  <c r="H33" i="35" s="1"/>
  <c r="I33" i="35" s="1"/>
  <c r="AJ33" i="35"/>
  <c r="T41" i="35"/>
  <c r="T44" i="35"/>
  <c r="V44" i="35" s="1"/>
  <c r="T50" i="35"/>
  <c r="J52" i="35"/>
  <c r="H52" i="35" s="1"/>
  <c r="I52" i="35" s="1"/>
  <c r="AJ53" i="35"/>
  <c r="AJ54" i="35"/>
  <c r="J60" i="35"/>
  <c r="H60" i="35" s="1"/>
  <c r="I60" i="35" s="1"/>
  <c r="V60" i="35" s="1"/>
  <c r="J61" i="35"/>
  <c r="H61" i="35" s="1"/>
  <c r="I61" i="35" s="1"/>
  <c r="V61" i="35" s="1"/>
  <c r="J68" i="35"/>
  <c r="H68" i="35" s="1"/>
  <c r="I68" i="35" s="1"/>
  <c r="V68" i="35" s="1"/>
  <c r="AI68" i="35"/>
  <c r="J77" i="35"/>
  <c r="H77" i="35" s="1"/>
  <c r="I77" i="35" s="1"/>
  <c r="AJ83" i="35"/>
  <c r="AI87" i="35"/>
  <c r="Z91" i="35"/>
  <c r="AA91" i="35"/>
  <c r="AB91" i="35" s="1"/>
  <c r="J104" i="35"/>
  <c r="H104" i="35" s="1"/>
  <c r="I104" i="35" s="1"/>
  <c r="T104" i="35"/>
  <c r="T106" i="35"/>
  <c r="J107" i="35"/>
  <c r="H107" i="35" s="1"/>
  <c r="I107" i="35" s="1"/>
  <c r="T107" i="35"/>
  <c r="Z118" i="35"/>
  <c r="AA118" i="35"/>
  <c r="AB118" i="35" s="1"/>
  <c r="X120" i="35"/>
  <c r="AI25" i="35" s="1"/>
  <c r="AA120" i="35"/>
  <c r="AB120" i="35" s="1"/>
  <c r="J123" i="35"/>
  <c r="H123" i="35" s="1"/>
  <c r="I123" i="35" s="1"/>
  <c r="J134" i="35"/>
  <c r="H134" i="35" s="1"/>
  <c r="I134" i="35" s="1"/>
  <c r="V134" i="35" s="1"/>
  <c r="J143" i="35"/>
  <c r="H143" i="35" s="1"/>
  <c r="I143" i="35" s="1"/>
  <c r="V143" i="35" s="1"/>
  <c r="J168" i="35"/>
  <c r="H168" i="35" s="1"/>
  <c r="I168" i="35" s="1"/>
  <c r="J177" i="35"/>
  <c r="H177" i="35" s="1"/>
  <c r="I177" i="35" s="1"/>
  <c r="V177" i="35" s="1"/>
  <c r="J179" i="35"/>
  <c r="H179" i="35" s="1"/>
  <c r="I179" i="35" s="1"/>
  <c r="V179" i="35" s="1"/>
  <c r="J186" i="35"/>
  <c r="H186" i="35" s="1"/>
  <c r="I186" i="35" s="1"/>
  <c r="X27" i="35"/>
  <c r="X28" i="35"/>
  <c r="X30" i="35"/>
  <c r="X36" i="35"/>
  <c r="AI16" i="35" s="1"/>
  <c r="X46" i="35"/>
  <c r="X47" i="35"/>
  <c r="X48" i="35"/>
  <c r="X49" i="35"/>
  <c r="X54" i="35"/>
  <c r="X64" i="35"/>
  <c r="X65" i="35"/>
  <c r="X66" i="35"/>
  <c r="X67" i="35"/>
  <c r="X72" i="35"/>
  <c r="AA121" i="35"/>
  <c r="AB121" i="35" s="1"/>
  <c r="AA127" i="35"/>
  <c r="AB127" i="35" s="1"/>
  <c r="AA129" i="35"/>
  <c r="AB129" i="35" s="1"/>
  <c r="T133" i="35"/>
  <c r="AA137" i="35"/>
  <c r="AB137" i="35" s="1"/>
  <c r="AA139" i="35"/>
  <c r="AB139" i="35" s="1"/>
  <c r="AA144" i="35"/>
  <c r="AB144" i="35" s="1"/>
  <c r="J149" i="35"/>
  <c r="H149" i="35" s="1"/>
  <c r="I149" i="35" s="1"/>
  <c r="V149" i="35" s="1"/>
  <c r="J160" i="35"/>
  <c r="H160" i="35" s="1"/>
  <c r="I160" i="35" s="1"/>
  <c r="AA172" i="35"/>
  <c r="AB172" i="35" s="1"/>
  <c r="AA174" i="35"/>
  <c r="AB174" i="35" s="1"/>
  <c r="T176" i="35"/>
  <c r="T196" i="35"/>
  <c r="T197" i="35"/>
  <c r="J203" i="35"/>
  <c r="H203" i="35" s="1"/>
  <c r="I203" i="35" s="1"/>
  <c r="V203" i="35" s="1"/>
  <c r="J224" i="35"/>
  <c r="H224" i="35" s="1"/>
  <c r="I224" i="35" s="1"/>
  <c r="V224" i="35" s="1"/>
  <c r="J276" i="35"/>
  <c r="H276" i="35" s="1"/>
  <c r="I276" i="35" s="1"/>
  <c r="V276" i="35" s="1"/>
  <c r="J295" i="35"/>
  <c r="H295" i="35" s="1"/>
  <c r="I295" i="35" s="1"/>
  <c r="V295" i="35" s="1"/>
  <c r="J302" i="35"/>
  <c r="H302" i="35" s="1"/>
  <c r="I302" i="35" s="1"/>
  <c r="V302" i="35" s="1"/>
  <c r="J79" i="35"/>
  <c r="H79" i="35" s="1"/>
  <c r="I79" i="35" s="1"/>
  <c r="V79" i="35" s="1"/>
  <c r="X100" i="35"/>
  <c r="X108" i="35"/>
  <c r="AI24" i="35" s="1"/>
  <c r="J131" i="35"/>
  <c r="H131" i="35" s="1"/>
  <c r="I131" i="35" s="1"/>
  <c r="J142" i="35"/>
  <c r="H142" i="35" s="1"/>
  <c r="I142" i="35" s="1"/>
  <c r="V142" i="35" s="1"/>
  <c r="AA146" i="35"/>
  <c r="AB146" i="35" s="1"/>
  <c r="AA148" i="35"/>
  <c r="AB148" i="35" s="1"/>
  <c r="AA153" i="35"/>
  <c r="AB153" i="35" s="1"/>
  <c r="AA154" i="35"/>
  <c r="AB154" i="35" s="1"/>
  <c r="AA156" i="35"/>
  <c r="AB156" i="35" s="1"/>
  <c r="J158" i="35"/>
  <c r="H158" i="35" s="1"/>
  <c r="I158" i="35" s="1"/>
  <c r="V158" i="35" s="1"/>
  <c r="T158" i="35"/>
  <c r="AA181" i="35"/>
  <c r="AB181" i="35" s="1"/>
  <c r="AA183" i="35"/>
  <c r="AB183" i="35" s="1"/>
  <c r="J187" i="35"/>
  <c r="H187" i="35" s="1"/>
  <c r="I187" i="35" s="1"/>
  <c r="V187" i="35" s="1"/>
  <c r="T187" i="35"/>
  <c r="AA191" i="35"/>
  <c r="AB191" i="35" s="1"/>
  <c r="AA193" i="35"/>
  <c r="AB193" i="35" s="1"/>
  <c r="T204" i="35"/>
  <c r="J205" i="35"/>
  <c r="H205" i="35" s="1"/>
  <c r="I205" i="35" s="1"/>
  <c r="V205" i="35" s="1"/>
  <c r="J206" i="35"/>
  <c r="H206" i="35" s="1"/>
  <c r="I206" i="35" s="1"/>
  <c r="V206" i="35" s="1"/>
  <c r="J223" i="35"/>
  <c r="H223" i="35" s="1"/>
  <c r="I223" i="35" s="1"/>
  <c r="V223" i="35" s="1"/>
  <c r="J240" i="35"/>
  <c r="H240" i="35" s="1"/>
  <c r="I240" i="35" s="1"/>
  <c r="J258" i="35"/>
  <c r="H258" i="35" s="1"/>
  <c r="I258" i="35" s="1"/>
  <c r="V258" i="35" s="1"/>
  <c r="Z326" i="35"/>
  <c r="AJ48" i="35" s="1"/>
  <c r="AA326" i="35"/>
  <c r="AB326" i="35" s="1"/>
  <c r="J159" i="35"/>
  <c r="H159" i="35" s="1"/>
  <c r="I159" i="35" s="1"/>
  <c r="V159" i="35" s="1"/>
  <c r="J185" i="35"/>
  <c r="H185" i="35" s="1"/>
  <c r="I185" i="35" s="1"/>
  <c r="J188" i="35"/>
  <c r="H188" i="35" s="1"/>
  <c r="I188" i="35" s="1"/>
  <c r="V188" i="35" s="1"/>
  <c r="J213" i="35"/>
  <c r="H213" i="35" s="1"/>
  <c r="I213" i="35" s="1"/>
  <c r="V213" i="35" s="1"/>
  <c r="J233" i="35"/>
  <c r="H233" i="35" s="1"/>
  <c r="I233" i="35" s="1"/>
  <c r="V233" i="35" s="1"/>
  <c r="J239" i="35"/>
  <c r="H239" i="35" s="1"/>
  <c r="I239" i="35" s="1"/>
  <c r="X316" i="35"/>
  <c r="AI47" i="35" s="1"/>
  <c r="AA316" i="35"/>
  <c r="AB316" i="35" s="1"/>
  <c r="AA126" i="35"/>
  <c r="AB126" i="35" s="1"/>
  <c r="T151" i="35"/>
  <c r="J167" i="35"/>
  <c r="H167" i="35" s="1"/>
  <c r="I167" i="35" s="1"/>
  <c r="J178" i="35"/>
  <c r="H178" i="35" s="1"/>
  <c r="I178" i="35" s="1"/>
  <c r="V178" i="35" s="1"/>
  <c r="T194" i="35"/>
  <c r="J195" i="35"/>
  <c r="H195" i="35" s="1"/>
  <c r="I195" i="35" s="1"/>
  <c r="J196" i="35"/>
  <c r="H196" i="35" s="1"/>
  <c r="I196" i="35" s="1"/>
  <c r="V196" i="35" s="1"/>
  <c r="J212" i="35"/>
  <c r="H212" i="35" s="1"/>
  <c r="I212" i="35" s="1"/>
  <c r="J249" i="35"/>
  <c r="H249" i="35" s="1"/>
  <c r="I249" i="35" s="1"/>
  <c r="V249" i="35" s="1"/>
  <c r="J260" i="35"/>
  <c r="H260" i="35" s="1"/>
  <c r="I260" i="35" s="1"/>
  <c r="V260" i="35" s="1"/>
  <c r="J267" i="35"/>
  <c r="H267" i="35" s="1"/>
  <c r="I267" i="35" s="1"/>
  <c r="V267" i="35" s="1"/>
  <c r="Z283" i="35"/>
  <c r="AA283" i="35"/>
  <c r="AB283" i="35" s="1"/>
  <c r="X306" i="35"/>
  <c r="AA306" i="35"/>
  <c r="AB306" i="35" s="1"/>
  <c r="J383" i="35"/>
  <c r="H383" i="35" s="1"/>
  <c r="I383" i="35" s="1"/>
  <c r="V383" i="35" s="1"/>
  <c r="J214" i="35"/>
  <c r="H214" i="35" s="1"/>
  <c r="I214" i="35" s="1"/>
  <c r="V214" i="35" s="1"/>
  <c r="T223" i="35"/>
  <c r="J230" i="35"/>
  <c r="H230" i="35" s="1"/>
  <c r="I230" i="35" s="1"/>
  <c r="V230" i="35" s="1"/>
  <c r="T239" i="35"/>
  <c r="J250" i="35"/>
  <c r="H250" i="35" s="1"/>
  <c r="I250" i="35" s="1"/>
  <c r="V250" i="35" s="1"/>
  <c r="T276" i="35"/>
  <c r="T277" i="35"/>
  <c r="J284" i="35"/>
  <c r="H284" i="35" s="1"/>
  <c r="I284" i="35" s="1"/>
  <c r="V284" i="35" s="1"/>
  <c r="T284" i="35"/>
  <c r="X288" i="35"/>
  <c r="AA288" i="35"/>
  <c r="AB288" i="35" s="1"/>
  <c r="X298" i="35"/>
  <c r="AA298" i="35"/>
  <c r="AB298" i="35" s="1"/>
  <c r="Z308" i="35"/>
  <c r="AJ46" i="35" s="1"/>
  <c r="AA308" i="35"/>
  <c r="AB308" i="35" s="1"/>
  <c r="X327" i="35"/>
  <c r="AA327" i="35"/>
  <c r="AB327" i="35" s="1"/>
  <c r="J340" i="35"/>
  <c r="H340" i="35" s="1"/>
  <c r="I340" i="35" s="1"/>
  <c r="V340" i="35" s="1"/>
  <c r="J392" i="35"/>
  <c r="H392" i="35" s="1"/>
  <c r="I392" i="35" s="1"/>
  <c r="AA199" i="35"/>
  <c r="AB199" i="35" s="1"/>
  <c r="AA200" i="35"/>
  <c r="AB200" i="35" s="1"/>
  <c r="AA201" i="35"/>
  <c r="AB201" i="35" s="1"/>
  <c r="AA202" i="35"/>
  <c r="AB202" i="35" s="1"/>
  <c r="AA207" i="35"/>
  <c r="AB207" i="35" s="1"/>
  <c r="J232" i="35"/>
  <c r="H232" i="35" s="1"/>
  <c r="I232" i="35" s="1"/>
  <c r="V232" i="35" s="1"/>
  <c r="J248" i="35"/>
  <c r="H248" i="35" s="1"/>
  <c r="I248" i="35" s="1"/>
  <c r="J259" i="35"/>
  <c r="H259" i="35" s="1"/>
  <c r="I259" i="35" s="1"/>
  <c r="J266" i="35"/>
  <c r="H266" i="35" s="1"/>
  <c r="I266" i="35" s="1"/>
  <c r="V266" i="35" s="1"/>
  <c r="X291" i="35"/>
  <c r="AA291" i="35"/>
  <c r="AB291" i="35" s="1"/>
  <c r="Z301" i="35"/>
  <c r="AJ45" i="35" s="1"/>
  <c r="AA301" i="35"/>
  <c r="AB301" i="35" s="1"/>
  <c r="J313" i="35"/>
  <c r="H313" i="35" s="1"/>
  <c r="I313" i="35" s="1"/>
  <c r="V313" i="35" s="1"/>
  <c r="J320" i="35"/>
  <c r="H320" i="35" s="1"/>
  <c r="I320" i="35" s="1"/>
  <c r="V320" i="35" s="1"/>
  <c r="X324" i="35"/>
  <c r="AA324" i="35"/>
  <c r="AB324" i="35" s="1"/>
  <c r="X342" i="35"/>
  <c r="AA342" i="35"/>
  <c r="AB342" i="35" s="1"/>
  <c r="X354" i="35"/>
  <c r="AA354" i="35"/>
  <c r="AB354" i="35" s="1"/>
  <c r="J366" i="35"/>
  <c r="H366" i="35" s="1"/>
  <c r="I366" i="35" s="1"/>
  <c r="X388" i="35"/>
  <c r="AA388" i="35"/>
  <c r="AB388" i="35" s="1"/>
  <c r="J395" i="35"/>
  <c r="H395" i="35" s="1"/>
  <c r="I395" i="35" s="1"/>
  <c r="T214" i="35"/>
  <c r="J221" i="35"/>
  <c r="H221" i="35" s="1"/>
  <c r="I221" i="35" s="1"/>
  <c r="T230" i="35"/>
  <c r="J241" i="35"/>
  <c r="H241" i="35" s="1"/>
  <c r="I241" i="35" s="1"/>
  <c r="T250" i="35"/>
  <c r="X280" i="35"/>
  <c r="AI43" i="35" s="1"/>
  <c r="AA280" i="35"/>
  <c r="AB280" i="35" s="1"/>
  <c r="Z290" i="35"/>
  <c r="AJ44" i="35" s="1"/>
  <c r="AA290" i="35"/>
  <c r="AB290" i="35" s="1"/>
  <c r="X309" i="35"/>
  <c r="AA309" i="35"/>
  <c r="AB309" i="35" s="1"/>
  <c r="Z319" i="35"/>
  <c r="AJ47" i="35" s="1"/>
  <c r="AA319" i="35"/>
  <c r="AB319" i="35" s="1"/>
  <c r="J331" i="35"/>
  <c r="H331" i="35" s="1"/>
  <c r="I331" i="35" s="1"/>
  <c r="V331" i="35" s="1"/>
  <c r="T331" i="35"/>
  <c r="X337" i="35"/>
  <c r="AA337" i="35"/>
  <c r="AB337" i="35" s="1"/>
  <c r="T338" i="35"/>
  <c r="X371" i="35"/>
  <c r="AA371" i="35"/>
  <c r="AB371" i="35" s="1"/>
  <c r="J385" i="35"/>
  <c r="H385" i="35" s="1"/>
  <c r="I385" i="35" s="1"/>
  <c r="V385" i="35" s="1"/>
  <c r="T403" i="35"/>
  <c r="T278" i="35"/>
  <c r="T285" i="35"/>
  <c r="T296" i="35"/>
  <c r="T303" i="35"/>
  <c r="T314" i="35"/>
  <c r="T321" i="35"/>
  <c r="T348" i="35"/>
  <c r="J349" i="35"/>
  <c r="H349" i="35" s="1"/>
  <c r="I349" i="35" s="1"/>
  <c r="V349" i="35" s="1"/>
  <c r="J356" i="35"/>
  <c r="H356" i="35" s="1"/>
  <c r="I356" i="35" s="1"/>
  <c r="V356" i="35" s="1"/>
  <c r="T358" i="35"/>
  <c r="J359" i="35"/>
  <c r="H359" i="35" s="1"/>
  <c r="I359" i="35" s="1"/>
  <c r="V359" i="35" s="1"/>
  <c r="T377" i="35"/>
  <c r="T401" i="35"/>
  <c r="J402" i="35"/>
  <c r="H402" i="35" s="1"/>
  <c r="I402" i="35" s="1"/>
  <c r="V402" i="35" s="1"/>
  <c r="AA406" i="35"/>
  <c r="AB406" i="35" s="1"/>
  <c r="J410" i="35"/>
  <c r="H410" i="35" s="1"/>
  <c r="I410" i="35" s="1"/>
  <c r="J411" i="35"/>
  <c r="H411" i="35" s="1"/>
  <c r="I411" i="35" s="1"/>
  <c r="V411" i="35" s="1"/>
  <c r="T413" i="35"/>
  <c r="X442" i="35"/>
  <c r="AI61" i="35" s="1"/>
  <c r="AA442" i="35"/>
  <c r="AB442" i="35" s="1"/>
  <c r="AA481" i="35"/>
  <c r="AB481" i="35" s="1"/>
  <c r="Z481" i="35"/>
  <c r="J257" i="35"/>
  <c r="H257" i="35" s="1"/>
  <c r="I257" i="35" s="1"/>
  <c r="V257" i="35" s="1"/>
  <c r="J268" i="35"/>
  <c r="H268" i="35" s="1"/>
  <c r="I268" i="35" s="1"/>
  <c r="V268" i="35" s="1"/>
  <c r="J275" i="35"/>
  <c r="H275" i="35" s="1"/>
  <c r="I275" i="35" s="1"/>
  <c r="V275" i="35" s="1"/>
  <c r="J277" i="35"/>
  <c r="H277" i="35" s="1"/>
  <c r="I277" i="35" s="1"/>
  <c r="V277" i="35" s="1"/>
  <c r="J278" i="35"/>
  <c r="H278" i="35" s="1"/>
  <c r="I278" i="35" s="1"/>
  <c r="V278" i="35" s="1"/>
  <c r="AA281" i="35"/>
  <c r="AB281" i="35" s="1"/>
  <c r="J285" i="35"/>
  <c r="H285" i="35" s="1"/>
  <c r="I285" i="35" s="1"/>
  <c r="V285" i="35" s="1"/>
  <c r="AA292" i="35"/>
  <c r="AB292" i="35" s="1"/>
  <c r="J296" i="35"/>
  <c r="H296" i="35" s="1"/>
  <c r="I296" i="35" s="1"/>
  <c r="V296" i="35" s="1"/>
  <c r="AA299" i="35"/>
  <c r="AB299" i="35" s="1"/>
  <c r="J303" i="35"/>
  <c r="H303" i="35" s="1"/>
  <c r="I303" i="35" s="1"/>
  <c r="V303" i="35" s="1"/>
  <c r="AA310" i="35"/>
  <c r="AB310" i="35" s="1"/>
  <c r="J314" i="35"/>
  <c r="H314" i="35" s="1"/>
  <c r="I314" i="35" s="1"/>
  <c r="AA317" i="35"/>
  <c r="AB317" i="35" s="1"/>
  <c r="J321" i="35"/>
  <c r="H321" i="35" s="1"/>
  <c r="I321" i="35" s="1"/>
  <c r="V321" i="35" s="1"/>
  <c r="AA328" i="35"/>
  <c r="AB328" i="35" s="1"/>
  <c r="AA334" i="35"/>
  <c r="AB334" i="35" s="1"/>
  <c r="AK49" i="35" s="1"/>
  <c r="T347" i="35"/>
  <c r="J348" i="35"/>
  <c r="H348" i="35" s="1"/>
  <c r="I348" i="35" s="1"/>
  <c r="V348" i="35" s="1"/>
  <c r="AA355" i="35"/>
  <c r="AB355" i="35" s="1"/>
  <c r="AA360" i="35"/>
  <c r="AB360" i="35" s="1"/>
  <c r="AA361" i="35"/>
  <c r="AB361" i="35" s="1"/>
  <c r="AA362" i="35"/>
  <c r="AB362" i="35" s="1"/>
  <c r="AA363" i="35"/>
  <c r="AB363" i="35" s="1"/>
  <c r="AA364" i="35"/>
  <c r="AB364" i="35" s="1"/>
  <c r="T366" i="35"/>
  <c r="J367" i="35"/>
  <c r="H367" i="35" s="1"/>
  <c r="I367" i="35" s="1"/>
  <c r="AA372" i="35"/>
  <c r="AB372" i="35" s="1"/>
  <c r="J374" i="35"/>
  <c r="H374" i="35" s="1"/>
  <c r="I374" i="35" s="1"/>
  <c r="V374" i="35" s="1"/>
  <c r="T376" i="35"/>
  <c r="J377" i="35"/>
  <c r="H377" i="35" s="1"/>
  <c r="I377" i="35" s="1"/>
  <c r="V377" i="35" s="1"/>
  <c r="AA387" i="35"/>
  <c r="AB387" i="35" s="1"/>
  <c r="AA389" i="35"/>
  <c r="AB389" i="35" s="1"/>
  <c r="T395" i="35"/>
  <c r="AA405" i="35"/>
  <c r="AB405" i="35" s="1"/>
  <c r="AA407" i="35"/>
  <c r="AB407" i="35" s="1"/>
  <c r="AA409" i="35"/>
  <c r="AB409" i="35" s="1"/>
  <c r="T411" i="35"/>
  <c r="T412" i="35"/>
  <c r="Z416" i="35"/>
  <c r="AJ58" i="35" s="1"/>
  <c r="AA416" i="35"/>
  <c r="AB416" i="35" s="1"/>
  <c r="X418" i="35"/>
  <c r="AA418" i="35"/>
  <c r="AB418" i="35" s="1"/>
  <c r="X424" i="35"/>
  <c r="AA424" i="35"/>
  <c r="AB424" i="35" s="1"/>
  <c r="X435" i="35"/>
  <c r="AA435" i="35"/>
  <c r="AB435" i="35" s="1"/>
  <c r="J439" i="35"/>
  <c r="H439" i="35" s="1"/>
  <c r="I439" i="35" s="1"/>
  <c r="V439" i="35" s="1"/>
  <c r="J446" i="35"/>
  <c r="H446" i="35" s="1"/>
  <c r="I446" i="35" s="1"/>
  <c r="V446" i="35" s="1"/>
  <c r="J464" i="35"/>
  <c r="H464" i="35" s="1"/>
  <c r="I464" i="35" s="1"/>
  <c r="V464" i="35" s="1"/>
  <c r="J592" i="35"/>
  <c r="H592" i="35" s="1"/>
  <c r="I592" i="35" s="1"/>
  <c r="V592" i="35" s="1"/>
  <c r="J413" i="35"/>
  <c r="H413" i="35" s="1"/>
  <c r="I413" i="35" s="1"/>
  <c r="V413" i="35" s="1"/>
  <c r="J421" i="35"/>
  <c r="H421" i="35" s="1"/>
  <c r="I421" i="35" s="1"/>
  <c r="V421" i="35" s="1"/>
  <c r="J428" i="35"/>
  <c r="H428" i="35" s="1"/>
  <c r="I428" i="35" s="1"/>
  <c r="V428" i="35" s="1"/>
  <c r="Z434" i="35"/>
  <c r="AJ60" i="35" s="1"/>
  <c r="AA434" i="35"/>
  <c r="AB434" i="35" s="1"/>
  <c r="Z445" i="35"/>
  <c r="AJ61" i="35" s="1"/>
  <c r="AA445" i="35"/>
  <c r="AB445" i="35" s="1"/>
  <c r="X487" i="35"/>
  <c r="AA487" i="35"/>
  <c r="AB487" i="35" s="1"/>
  <c r="J518" i="35"/>
  <c r="H518" i="35" s="1"/>
  <c r="I518" i="35" s="1"/>
  <c r="J286" i="35"/>
  <c r="H286" i="35" s="1"/>
  <c r="I286" i="35" s="1"/>
  <c r="V286" i="35" s="1"/>
  <c r="J287" i="35"/>
  <c r="H287" i="35" s="1"/>
  <c r="I287" i="35" s="1"/>
  <c r="V287" i="35" s="1"/>
  <c r="J293" i="35"/>
  <c r="H293" i="35" s="1"/>
  <c r="I293" i="35" s="1"/>
  <c r="J294" i="35"/>
  <c r="H294" i="35" s="1"/>
  <c r="I294" i="35" s="1"/>
  <c r="V294" i="35" s="1"/>
  <c r="J304" i="35"/>
  <c r="H304" i="35" s="1"/>
  <c r="I304" i="35" s="1"/>
  <c r="V304" i="35" s="1"/>
  <c r="J305" i="35"/>
  <c r="H305" i="35" s="1"/>
  <c r="I305" i="35" s="1"/>
  <c r="V305" i="35" s="1"/>
  <c r="J311" i="35"/>
  <c r="H311" i="35" s="1"/>
  <c r="I311" i="35" s="1"/>
  <c r="J312" i="35"/>
  <c r="H312" i="35" s="1"/>
  <c r="I312" i="35" s="1"/>
  <c r="J322" i="35"/>
  <c r="H322" i="35" s="1"/>
  <c r="I322" i="35" s="1"/>
  <c r="V322" i="35" s="1"/>
  <c r="J323" i="35"/>
  <c r="H323" i="35" s="1"/>
  <c r="I323" i="35" s="1"/>
  <c r="V323" i="35" s="1"/>
  <c r="J329" i="35"/>
  <c r="H329" i="35" s="1"/>
  <c r="I329" i="35" s="1"/>
  <c r="V329" i="35" s="1"/>
  <c r="J330" i="35"/>
  <c r="H330" i="35" s="1"/>
  <c r="I330" i="35" s="1"/>
  <c r="J338" i="35"/>
  <c r="H338" i="35" s="1"/>
  <c r="I338" i="35" s="1"/>
  <c r="T340" i="35"/>
  <c r="J341" i="35"/>
  <c r="H341" i="35" s="1"/>
  <c r="I341" i="35" s="1"/>
  <c r="V341" i="35" s="1"/>
  <c r="AA351" i="35"/>
  <c r="AB351" i="35" s="1"/>
  <c r="T383" i="35"/>
  <c r="J384" i="35"/>
  <c r="H384" i="35" s="1"/>
  <c r="I384" i="35" s="1"/>
  <c r="V384" i="35" s="1"/>
  <c r="AA397" i="35"/>
  <c r="AB397" i="35" s="1"/>
  <c r="AA398" i="35"/>
  <c r="AB398" i="35" s="1"/>
  <c r="AA399" i="35"/>
  <c r="AB399" i="35" s="1"/>
  <c r="AA400" i="35"/>
  <c r="AB400" i="35" s="1"/>
  <c r="J403" i="35"/>
  <c r="H403" i="35" s="1"/>
  <c r="I403" i="35" s="1"/>
  <c r="V403" i="35" s="1"/>
  <c r="AA408" i="35"/>
  <c r="AB408" i="35" s="1"/>
  <c r="Z427" i="35"/>
  <c r="AJ59" i="35" s="1"/>
  <c r="AA427" i="35"/>
  <c r="AB427" i="35" s="1"/>
  <c r="X432" i="35"/>
  <c r="AA432" i="35"/>
  <c r="AB432" i="35" s="1"/>
  <c r="X452" i="35"/>
  <c r="AA452" i="35"/>
  <c r="AB452" i="35" s="1"/>
  <c r="J466" i="35"/>
  <c r="H466" i="35" s="1"/>
  <c r="I466" i="35" s="1"/>
  <c r="V466" i="35" s="1"/>
  <c r="J332" i="35"/>
  <c r="H332" i="35" s="1"/>
  <c r="I332" i="35" s="1"/>
  <c r="X333" i="35"/>
  <c r="AI49" i="35" s="1"/>
  <c r="J339" i="35"/>
  <c r="H339" i="35" s="1"/>
  <c r="I339" i="35" s="1"/>
  <c r="V339" i="35" s="1"/>
  <c r="X343" i="35"/>
  <c r="X344" i="35"/>
  <c r="X345" i="35"/>
  <c r="X346" i="35"/>
  <c r="J350" i="35"/>
  <c r="H350" i="35" s="1"/>
  <c r="I350" i="35" s="1"/>
  <c r="V350" i="35" s="1"/>
  <c r="X351" i="35"/>
  <c r="J357" i="35"/>
  <c r="H357" i="35" s="1"/>
  <c r="I357" i="35" s="1"/>
  <c r="V357" i="35" s="1"/>
  <c r="X361" i="35"/>
  <c r="X362" i="35"/>
  <c r="X363" i="35"/>
  <c r="X364" i="35"/>
  <c r="J368" i="35"/>
  <c r="H368" i="35" s="1"/>
  <c r="I368" i="35" s="1"/>
  <c r="X369" i="35"/>
  <c r="J375" i="35"/>
  <c r="H375" i="35" s="1"/>
  <c r="I375" i="35" s="1"/>
  <c r="V375" i="35" s="1"/>
  <c r="X379" i="35"/>
  <c r="X380" i="35"/>
  <c r="X381" i="35"/>
  <c r="X382" i="35"/>
  <c r="J386" i="35"/>
  <c r="H386" i="35" s="1"/>
  <c r="I386" i="35" s="1"/>
  <c r="V386" i="35" s="1"/>
  <c r="X387" i="35"/>
  <c r="J393" i="35"/>
  <c r="H393" i="35" s="1"/>
  <c r="I393" i="35" s="1"/>
  <c r="V393" i="35" s="1"/>
  <c r="X397" i="35"/>
  <c r="X398" i="35"/>
  <c r="X399" i="35"/>
  <c r="X400" i="35"/>
  <c r="J404" i="35"/>
  <c r="H404" i="35" s="1"/>
  <c r="I404" i="35" s="1"/>
  <c r="X405" i="35"/>
  <c r="AI57" i="35" s="1"/>
  <c r="J422" i="35"/>
  <c r="H422" i="35" s="1"/>
  <c r="I422" i="35" s="1"/>
  <c r="V422" i="35" s="1"/>
  <c r="AA425" i="35"/>
  <c r="AB425" i="35" s="1"/>
  <c r="J429" i="35"/>
  <c r="H429" i="35" s="1"/>
  <c r="I429" i="35" s="1"/>
  <c r="V429" i="35" s="1"/>
  <c r="AA436" i="35"/>
  <c r="AB436" i="35" s="1"/>
  <c r="J440" i="35"/>
  <c r="H440" i="35" s="1"/>
  <c r="I440" i="35" s="1"/>
  <c r="V440" i="35" s="1"/>
  <c r="AA443" i="35"/>
  <c r="AB443" i="35" s="1"/>
  <c r="J447" i="35"/>
  <c r="H447" i="35" s="1"/>
  <c r="I447" i="35" s="1"/>
  <c r="AA453" i="35"/>
  <c r="AB453" i="35" s="1"/>
  <c r="J455" i="35"/>
  <c r="H455" i="35" s="1"/>
  <c r="I455" i="35" s="1"/>
  <c r="V455" i="35" s="1"/>
  <c r="T457" i="35"/>
  <c r="J458" i="35"/>
  <c r="H458" i="35" s="1"/>
  <c r="I458" i="35" s="1"/>
  <c r="V458" i="35" s="1"/>
  <c r="T476" i="35"/>
  <c r="AA479" i="35"/>
  <c r="AB479" i="35" s="1"/>
  <c r="Z479" i="35"/>
  <c r="J482" i="35"/>
  <c r="H482" i="35" s="1"/>
  <c r="I482" i="35" s="1"/>
  <c r="V482" i="35" s="1"/>
  <c r="T482" i="35"/>
  <c r="J483" i="35"/>
  <c r="H483" i="35" s="1"/>
  <c r="I483" i="35" s="1"/>
  <c r="T484" i="35"/>
  <c r="T485" i="35"/>
  <c r="T521" i="35"/>
  <c r="X540" i="35"/>
  <c r="AA540" i="35"/>
  <c r="AB540" i="35" s="1"/>
  <c r="J565" i="35"/>
  <c r="H565" i="35" s="1"/>
  <c r="I565" i="35" s="1"/>
  <c r="V565" i="35" s="1"/>
  <c r="J420" i="35"/>
  <c r="H420" i="35" s="1"/>
  <c r="I420" i="35" s="1"/>
  <c r="J431" i="35"/>
  <c r="H431" i="35" s="1"/>
  <c r="I431" i="35" s="1"/>
  <c r="V431" i="35" s="1"/>
  <c r="J438" i="35"/>
  <c r="H438" i="35" s="1"/>
  <c r="I438" i="35" s="1"/>
  <c r="J465" i="35"/>
  <c r="H465" i="35" s="1"/>
  <c r="I465" i="35" s="1"/>
  <c r="V465" i="35" s="1"/>
  <c r="X469" i="35"/>
  <c r="AA469" i="35"/>
  <c r="AB469" i="35" s="1"/>
  <c r="J484" i="35"/>
  <c r="H484" i="35" s="1"/>
  <c r="I484" i="35" s="1"/>
  <c r="V484" i="35" s="1"/>
  <c r="J485" i="35"/>
  <c r="H485" i="35" s="1"/>
  <c r="I485" i="35" s="1"/>
  <c r="V485" i="35" s="1"/>
  <c r="J530" i="35"/>
  <c r="H530" i="35" s="1"/>
  <c r="I530" i="35" s="1"/>
  <c r="V530" i="35" s="1"/>
  <c r="X552" i="35"/>
  <c r="AA552" i="35"/>
  <c r="AB552" i="35" s="1"/>
  <c r="T422" i="35"/>
  <c r="T429" i="35"/>
  <c r="T440" i="35"/>
  <c r="T447" i="35"/>
  <c r="AA450" i="35"/>
  <c r="AB450" i="35" s="1"/>
  <c r="T458" i="35"/>
  <c r="J473" i="35"/>
  <c r="H473" i="35" s="1"/>
  <c r="I473" i="35" s="1"/>
  <c r="V473" i="35" s="1"/>
  <c r="J474" i="35"/>
  <c r="H474" i="35" s="1"/>
  <c r="I474" i="35" s="1"/>
  <c r="V474" i="35" s="1"/>
  <c r="X477" i="35"/>
  <c r="AI65" i="35" s="1"/>
  <c r="AA477" i="35"/>
  <c r="AB477" i="35" s="1"/>
  <c r="T483" i="35"/>
  <c r="J500" i="35"/>
  <c r="H500" i="35" s="1"/>
  <c r="I500" i="35" s="1"/>
  <c r="V500" i="35" s="1"/>
  <c r="T528" i="35"/>
  <c r="J537" i="35"/>
  <c r="H537" i="35" s="1"/>
  <c r="I537" i="35" s="1"/>
  <c r="J449" i="35"/>
  <c r="H449" i="35" s="1"/>
  <c r="I449" i="35" s="1"/>
  <c r="V449" i="35" s="1"/>
  <c r="X450" i="35"/>
  <c r="J456" i="35"/>
  <c r="H456" i="35" s="1"/>
  <c r="I456" i="35" s="1"/>
  <c r="X460" i="35"/>
  <c r="X461" i="35"/>
  <c r="X462" i="35"/>
  <c r="X463" i="35"/>
  <c r="X471" i="35"/>
  <c r="J492" i="35"/>
  <c r="H492" i="35" s="1"/>
  <c r="I492" i="35" s="1"/>
  <c r="V492" i="35" s="1"/>
  <c r="J503" i="35"/>
  <c r="H503" i="35" s="1"/>
  <c r="I503" i="35" s="1"/>
  <c r="J510" i="35"/>
  <c r="H510" i="35" s="1"/>
  <c r="I510" i="35" s="1"/>
  <c r="V510" i="35" s="1"/>
  <c r="J511" i="35"/>
  <c r="H511" i="35" s="1"/>
  <c r="I511" i="35" s="1"/>
  <c r="J519" i="35"/>
  <c r="H519" i="35" s="1"/>
  <c r="I519" i="35" s="1"/>
  <c r="T530" i="35"/>
  <c r="T537" i="35"/>
  <c r="J538" i="35"/>
  <c r="H538" i="35" s="1"/>
  <c r="I538" i="35" s="1"/>
  <c r="V538" i="35" s="1"/>
  <c r="J539" i="35"/>
  <c r="H539" i="35" s="1"/>
  <c r="I539" i="35" s="1"/>
  <c r="V539" i="35" s="1"/>
  <c r="X544" i="35"/>
  <c r="AA544" i="35"/>
  <c r="AB544" i="35" s="1"/>
  <c r="J556" i="35"/>
  <c r="H556" i="35" s="1"/>
  <c r="I556" i="35" s="1"/>
  <c r="V556" i="35" s="1"/>
  <c r="X562" i="35"/>
  <c r="AA562" i="35"/>
  <c r="AB562" i="35" s="1"/>
  <c r="AA570" i="35"/>
  <c r="AB570" i="35" s="1"/>
  <c r="X570" i="35"/>
  <c r="AI75" i="35" s="1"/>
  <c r="J493" i="35"/>
  <c r="H493" i="35" s="1"/>
  <c r="I493" i="35" s="1"/>
  <c r="T500" i="35"/>
  <c r="T501" i="35"/>
  <c r="V501" i="35" s="1"/>
  <c r="J520" i="35"/>
  <c r="H520" i="35" s="1"/>
  <c r="I520" i="35" s="1"/>
  <c r="J521" i="35"/>
  <c r="H521" i="35" s="1"/>
  <c r="I521" i="35" s="1"/>
  <c r="V521" i="35" s="1"/>
  <c r="J527" i="35"/>
  <c r="H527" i="35" s="1"/>
  <c r="I527" i="35" s="1"/>
  <c r="V527" i="35" s="1"/>
  <c r="J528" i="35"/>
  <c r="H528" i="35" s="1"/>
  <c r="I528" i="35" s="1"/>
  <c r="V528" i="35" s="1"/>
  <c r="J545" i="35"/>
  <c r="H545" i="35" s="1"/>
  <c r="I545" i="35" s="1"/>
  <c r="V545" i="35" s="1"/>
  <c r="T545" i="35"/>
  <c r="Z551" i="35"/>
  <c r="AJ73" i="35" s="1"/>
  <c r="AA551" i="35"/>
  <c r="AB551" i="35" s="1"/>
  <c r="AA488" i="35"/>
  <c r="AB488" i="35" s="1"/>
  <c r="AA489" i="35"/>
  <c r="AB489" i="35" s="1"/>
  <c r="T491" i="35"/>
  <c r="J502" i="35"/>
  <c r="H502" i="35" s="1"/>
  <c r="I502" i="35" s="1"/>
  <c r="J509" i="35"/>
  <c r="H509" i="35" s="1"/>
  <c r="I509" i="35" s="1"/>
  <c r="T518" i="35"/>
  <c r="T520" i="35"/>
  <c r="T527" i="35"/>
  <c r="J529" i="35"/>
  <c r="H529" i="35" s="1"/>
  <c r="I529" i="35" s="1"/>
  <c r="J536" i="35"/>
  <c r="H536" i="35" s="1"/>
  <c r="I536" i="35" s="1"/>
  <c r="AA542" i="35"/>
  <c r="AB542" i="35" s="1"/>
  <c r="X549" i="35"/>
  <c r="AA549" i="35"/>
  <c r="AB549" i="35" s="1"/>
  <c r="AA579" i="35"/>
  <c r="AB579" i="35" s="1"/>
  <c r="Z579" i="35"/>
  <c r="X542" i="35"/>
  <c r="J546" i="35"/>
  <c r="H546" i="35" s="1"/>
  <c r="I546" i="35" s="1"/>
  <c r="AA553" i="35"/>
  <c r="AB553" i="35" s="1"/>
  <c r="AA559" i="35"/>
  <c r="AB559" i="35" s="1"/>
  <c r="J572" i="35"/>
  <c r="H572" i="35" s="1"/>
  <c r="I572" i="35" s="1"/>
  <c r="V572" i="35" s="1"/>
  <c r="T572" i="35"/>
  <c r="T574" i="35"/>
  <c r="AA577" i="35"/>
  <c r="AB577" i="35" s="1"/>
  <c r="Z577" i="35"/>
  <c r="T581" i="35"/>
  <c r="X585" i="35"/>
  <c r="AA585" i="35"/>
  <c r="AB585" i="35" s="1"/>
  <c r="J601" i="35"/>
  <c r="H601" i="35" s="1"/>
  <c r="I601" i="35" s="1"/>
  <c r="J618" i="35"/>
  <c r="H618" i="35" s="1"/>
  <c r="I618" i="35" s="1"/>
  <c r="AA496" i="35"/>
  <c r="AB496" i="35" s="1"/>
  <c r="AA497" i="35"/>
  <c r="AB497" i="35" s="1"/>
  <c r="AA498" i="35"/>
  <c r="AB498" i="35" s="1"/>
  <c r="AA499" i="35"/>
  <c r="AB499" i="35" s="1"/>
  <c r="AA504" i="35"/>
  <c r="AB504" i="35" s="1"/>
  <c r="AA514" i="35"/>
  <c r="AB514" i="35" s="1"/>
  <c r="AA515" i="35"/>
  <c r="AB515" i="35" s="1"/>
  <c r="AA516" i="35"/>
  <c r="AB516" i="35" s="1"/>
  <c r="AA517" i="35"/>
  <c r="AB517" i="35" s="1"/>
  <c r="AA522" i="35"/>
  <c r="AB522" i="35" s="1"/>
  <c r="AA532" i="35"/>
  <c r="AB532" i="35" s="1"/>
  <c r="AA533" i="35"/>
  <c r="AB533" i="35" s="1"/>
  <c r="AA534" i="35"/>
  <c r="AB534" i="35" s="1"/>
  <c r="AA535" i="35"/>
  <c r="AB535" i="35" s="1"/>
  <c r="J548" i="35"/>
  <c r="H548" i="35" s="1"/>
  <c r="I548" i="35" s="1"/>
  <c r="J554" i="35"/>
  <c r="H554" i="35" s="1"/>
  <c r="I554" i="35" s="1"/>
  <c r="V554" i="35" s="1"/>
  <c r="J555" i="35"/>
  <c r="H555" i="35" s="1"/>
  <c r="I555" i="35" s="1"/>
  <c r="V555" i="35" s="1"/>
  <c r="J563" i="35"/>
  <c r="H563" i="35" s="1"/>
  <c r="I563" i="35" s="1"/>
  <c r="V563" i="35" s="1"/>
  <c r="J573" i="35"/>
  <c r="H573" i="35" s="1"/>
  <c r="I573" i="35" s="1"/>
  <c r="V573" i="35" s="1"/>
  <c r="J583" i="35"/>
  <c r="H583" i="35" s="1"/>
  <c r="I583" i="35" s="1"/>
  <c r="T583" i="35"/>
  <c r="X588" i="35"/>
  <c r="AA588" i="35"/>
  <c r="AB588" i="35" s="1"/>
  <c r="AA541" i="35"/>
  <c r="AB541" i="35" s="1"/>
  <c r="T546" i="35"/>
  <c r="J566" i="35"/>
  <c r="H566" i="35" s="1"/>
  <c r="I566" i="35" s="1"/>
  <c r="V566" i="35" s="1"/>
  <c r="AA567" i="35"/>
  <c r="AB567" i="35" s="1"/>
  <c r="Z567" i="35"/>
  <c r="AJ75" i="35" s="1"/>
  <c r="Z576" i="35"/>
  <c r="AA576" i="35"/>
  <c r="AB576" i="35" s="1"/>
  <c r="Z587" i="35"/>
  <c r="AJ77" i="35" s="1"/>
  <c r="AA587" i="35"/>
  <c r="AB587" i="35" s="1"/>
  <c r="AA568" i="35"/>
  <c r="AB568" i="35" s="1"/>
  <c r="J575" i="35"/>
  <c r="H575" i="35" s="1"/>
  <c r="I575" i="35" s="1"/>
  <c r="J582" i="35"/>
  <c r="H582" i="35" s="1"/>
  <c r="I582" i="35" s="1"/>
  <c r="J584" i="35"/>
  <c r="H584" i="35" s="1"/>
  <c r="I584" i="35" s="1"/>
  <c r="J590" i="35"/>
  <c r="H590" i="35" s="1"/>
  <c r="I590" i="35" s="1"/>
  <c r="V590" i="35" s="1"/>
  <c r="J591" i="35"/>
  <c r="H591" i="35" s="1"/>
  <c r="I591" i="35" s="1"/>
  <c r="T611" i="35"/>
  <c r="J628" i="35"/>
  <c r="H628" i="35" s="1"/>
  <c r="I628" i="35" s="1"/>
  <c r="V628" i="35" s="1"/>
  <c r="T629" i="35"/>
  <c r="AA558" i="35"/>
  <c r="AB558" i="35" s="1"/>
  <c r="T593" i="35"/>
  <c r="J608" i="35"/>
  <c r="H608" i="35" s="1"/>
  <c r="I608" i="35" s="1"/>
  <c r="J609" i="35"/>
  <c r="H609" i="35" s="1"/>
  <c r="I609" i="35" s="1"/>
  <c r="V609" i="35" s="1"/>
  <c r="T610" i="35"/>
  <c r="J617" i="35"/>
  <c r="H617" i="35" s="1"/>
  <c r="I617" i="35" s="1"/>
  <c r="V617" i="35" s="1"/>
  <c r="T618" i="35"/>
  <c r="V618" i="35" s="1"/>
  <c r="J620" i="35"/>
  <c r="H620" i="35" s="1"/>
  <c r="I620" i="35" s="1"/>
  <c r="T628" i="35"/>
  <c r="J557" i="35"/>
  <c r="H557" i="35" s="1"/>
  <c r="I557" i="35" s="1"/>
  <c r="V557" i="35" s="1"/>
  <c r="J564" i="35"/>
  <c r="H564" i="35" s="1"/>
  <c r="I564" i="35" s="1"/>
  <c r="V564" i="35" s="1"/>
  <c r="AA589" i="35"/>
  <c r="AB589" i="35" s="1"/>
  <c r="J593" i="35"/>
  <c r="H593" i="35" s="1"/>
  <c r="I593" i="35" s="1"/>
  <c r="J599" i="35"/>
  <c r="H599" i="35" s="1"/>
  <c r="I599" i="35" s="1"/>
  <c r="T599" i="35"/>
  <c r="J610" i="35"/>
  <c r="H610" i="35" s="1"/>
  <c r="I610" i="35" s="1"/>
  <c r="T617" i="35"/>
  <c r="J627" i="35"/>
  <c r="H627" i="35" s="1"/>
  <c r="I627" i="35" s="1"/>
  <c r="V627" i="35" s="1"/>
  <c r="J629" i="35"/>
  <c r="H629" i="35" s="1"/>
  <c r="I629" i="35" s="1"/>
  <c r="J635" i="35"/>
  <c r="H635" i="35" s="1"/>
  <c r="I635" i="35" s="1"/>
  <c r="V635" i="35" s="1"/>
  <c r="X594" i="35"/>
  <c r="AI78" i="35" s="1"/>
  <c r="J600" i="35"/>
  <c r="H600" i="35" s="1"/>
  <c r="I600" i="35" s="1"/>
  <c r="X604" i="35"/>
  <c r="X605" i="35"/>
  <c r="X606" i="35"/>
  <c r="X607" i="35"/>
  <c r="X612" i="35"/>
  <c r="AI80" i="35" s="1"/>
  <c r="J645" i="35"/>
  <c r="H645" i="35" s="1"/>
  <c r="I645" i="35" s="1"/>
  <c r="J646" i="35"/>
  <c r="H646" i="35" s="1"/>
  <c r="I646" i="35" s="1"/>
  <c r="J647" i="35"/>
  <c r="H647" i="35" s="1"/>
  <c r="I647" i="35" s="1"/>
  <c r="V647" i="35" s="1"/>
  <c r="AA651" i="35"/>
  <c r="AB651" i="35" s="1"/>
  <c r="X651" i="35"/>
  <c r="AA660" i="35"/>
  <c r="AB660" i="35" s="1"/>
  <c r="Z660" i="35"/>
  <c r="J665" i="35"/>
  <c r="H665" i="35" s="1"/>
  <c r="I665" i="35" s="1"/>
  <c r="V665" i="35" s="1"/>
  <c r="T673" i="35"/>
  <c r="AA595" i="35"/>
  <c r="AB595" i="35" s="1"/>
  <c r="AA596" i="35"/>
  <c r="AB596" i="35" s="1"/>
  <c r="AA597" i="35"/>
  <c r="AB597" i="35" s="1"/>
  <c r="AA598" i="35"/>
  <c r="AB598" i="35" s="1"/>
  <c r="AA603" i="35"/>
  <c r="AB603" i="35" s="1"/>
  <c r="AA613" i="35"/>
  <c r="AB613" i="35" s="1"/>
  <c r="AA614" i="35"/>
  <c r="AB614" i="35" s="1"/>
  <c r="AA615" i="35"/>
  <c r="AB615" i="35" s="1"/>
  <c r="AA616" i="35"/>
  <c r="AB616" i="35" s="1"/>
  <c r="J619" i="35"/>
  <c r="H619" i="35" s="1"/>
  <c r="I619" i="35" s="1"/>
  <c r="V619" i="35" s="1"/>
  <c r="AA621" i="35"/>
  <c r="AB621" i="35" s="1"/>
  <c r="J626" i="35"/>
  <c r="H626" i="35" s="1"/>
  <c r="I626" i="35" s="1"/>
  <c r="V626" i="35" s="1"/>
  <c r="AA631" i="35"/>
  <c r="AB631" i="35" s="1"/>
  <c r="AA632" i="35"/>
  <c r="AB632" i="35" s="1"/>
  <c r="AA633" i="35"/>
  <c r="AB633" i="35" s="1"/>
  <c r="AA634" i="35"/>
  <c r="AB634" i="35" s="1"/>
  <c r="J637" i="35"/>
  <c r="H637" i="35" s="1"/>
  <c r="I637" i="35" s="1"/>
  <c r="V637" i="35" s="1"/>
  <c r="AA639" i="35"/>
  <c r="AB639" i="35" s="1"/>
  <c r="AA642" i="35"/>
  <c r="AB642" i="35" s="1"/>
  <c r="T645" i="35"/>
  <c r="AA648" i="35"/>
  <c r="AB648" i="35" s="1"/>
  <c r="X649" i="35"/>
  <c r="AA649" i="35"/>
  <c r="AB649" i="35" s="1"/>
  <c r="T653" i="35"/>
  <c r="T656" i="35"/>
  <c r="J671" i="35"/>
  <c r="H671" i="35" s="1"/>
  <c r="I671" i="35" s="1"/>
  <c r="V671" i="35" s="1"/>
  <c r="T671" i="35"/>
  <c r="J673" i="35"/>
  <c r="H673" i="35" s="1"/>
  <c r="I673" i="35" s="1"/>
  <c r="V673" i="35" s="1"/>
  <c r="J602" i="35"/>
  <c r="H602" i="35" s="1"/>
  <c r="I602" i="35" s="1"/>
  <c r="AA643" i="35"/>
  <c r="AB643" i="35" s="1"/>
  <c r="T646" i="35"/>
  <c r="V646" i="35" s="1"/>
  <c r="T654" i="35"/>
  <c r="J664" i="35"/>
  <c r="H664" i="35" s="1"/>
  <c r="I664" i="35" s="1"/>
  <c r="T664" i="35"/>
  <c r="J636" i="35"/>
  <c r="H636" i="35" s="1"/>
  <c r="I636" i="35" s="1"/>
  <c r="V636" i="35" s="1"/>
  <c r="J638" i="35"/>
  <c r="H638" i="35" s="1"/>
  <c r="I638" i="35" s="1"/>
  <c r="V638" i="35" s="1"/>
  <c r="T638" i="35"/>
  <c r="AA640" i="35"/>
  <c r="AB640" i="35" s="1"/>
  <c r="J653" i="35"/>
  <c r="H653" i="35" s="1"/>
  <c r="I653" i="35" s="1"/>
  <c r="V653" i="35" s="1"/>
  <c r="J654" i="35"/>
  <c r="H654" i="35" s="1"/>
  <c r="I654" i="35" s="1"/>
  <c r="V654" i="35" s="1"/>
  <c r="AA658" i="35"/>
  <c r="AB658" i="35" s="1"/>
  <c r="Z658" i="35"/>
  <c r="AJ85" i="35" s="1"/>
  <c r="T662" i="35"/>
  <c r="T663" i="35"/>
  <c r="J672" i="35"/>
  <c r="H672" i="35" s="1"/>
  <c r="I672" i="35" s="1"/>
  <c r="V672" i="35" s="1"/>
  <c r="J681" i="35"/>
  <c r="H681" i="35" s="1"/>
  <c r="I681" i="35" s="1"/>
  <c r="V681" i="35" s="1"/>
  <c r="J656" i="35"/>
  <c r="H656" i="35" s="1"/>
  <c r="I656" i="35" s="1"/>
  <c r="V656" i="35" s="1"/>
  <c r="AA657" i="35"/>
  <c r="AB657" i="35" s="1"/>
  <c r="J663" i="35"/>
  <c r="H663" i="35" s="1"/>
  <c r="I663" i="35" s="1"/>
  <c r="V663" i="35" s="1"/>
  <c r="Z666" i="35"/>
  <c r="AJ86" i="35" s="1"/>
  <c r="AA667" i="35"/>
  <c r="AB667" i="35" s="1"/>
  <c r="X669" i="35"/>
  <c r="J674" i="35"/>
  <c r="H674" i="35" s="1"/>
  <c r="I674" i="35" s="1"/>
  <c r="V674" i="35" s="1"/>
  <c r="AA670" i="35"/>
  <c r="AB670" i="35" s="1"/>
  <c r="AA676" i="35"/>
  <c r="AB676" i="35" s="1"/>
  <c r="AA678" i="35"/>
  <c r="AB678" i="35" s="1"/>
  <c r="J690" i="35"/>
  <c r="H690" i="35" s="1"/>
  <c r="I690" i="35" s="1"/>
  <c r="V690" i="35" s="1"/>
  <c r="J692" i="35"/>
  <c r="H692" i="35" s="1"/>
  <c r="I692" i="35" s="1"/>
  <c r="J698" i="35"/>
  <c r="H698" i="35" s="1"/>
  <c r="I698" i="35" s="1"/>
  <c r="V698" i="35" s="1"/>
  <c r="T699" i="35"/>
  <c r="J701" i="35"/>
  <c r="H701" i="35" s="1"/>
  <c r="I701" i="35" s="1"/>
  <c r="V701" i="35" s="1"/>
  <c r="J709" i="35"/>
  <c r="H709" i="35" s="1"/>
  <c r="I709" i="35" s="1"/>
  <c r="V709" i="35" s="1"/>
  <c r="T719" i="35"/>
  <c r="J680" i="35"/>
  <c r="H680" i="35" s="1"/>
  <c r="I680" i="35" s="1"/>
  <c r="V680" i="35" s="1"/>
  <c r="T689" i="35"/>
  <c r="T698" i="35"/>
  <c r="T700" i="35"/>
  <c r="T707" i="35"/>
  <c r="J716" i="35"/>
  <c r="H716" i="35" s="1"/>
  <c r="I716" i="35" s="1"/>
  <c r="V716" i="35" s="1"/>
  <c r="AA677" i="35"/>
  <c r="AB677" i="35" s="1"/>
  <c r="AA679" i="35"/>
  <c r="AB679" i="35" s="1"/>
  <c r="J691" i="35"/>
  <c r="H691" i="35" s="1"/>
  <c r="I691" i="35" s="1"/>
  <c r="V691" i="35" s="1"/>
  <c r="J699" i="35"/>
  <c r="H699" i="35" s="1"/>
  <c r="I699" i="35" s="1"/>
  <c r="J719" i="35"/>
  <c r="H719" i="35" s="1"/>
  <c r="I719" i="35" s="1"/>
  <c r="V719" i="35" s="1"/>
  <c r="J728" i="35"/>
  <c r="H728" i="35" s="1"/>
  <c r="I728" i="35" s="1"/>
  <c r="AA706" i="35"/>
  <c r="AB706" i="35" s="1"/>
  <c r="AA713" i="35"/>
  <c r="AB713" i="35" s="1"/>
  <c r="AA722" i="35"/>
  <c r="AB722" i="35" s="1"/>
  <c r="AA724" i="35"/>
  <c r="AB724" i="35" s="1"/>
  <c r="AA729" i="35"/>
  <c r="AB729" i="35" s="1"/>
  <c r="AA730" i="35"/>
  <c r="AB730" i="35" s="1"/>
  <c r="AA732" i="35"/>
  <c r="AB732" i="35" s="1"/>
  <c r="J734" i="35"/>
  <c r="H734" i="35" s="1"/>
  <c r="I734" i="35" s="1"/>
  <c r="T734" i="35"/>
  <c r="J708" i="35"/>
  <c r="H708" i="35" s="1"/>
  <c r="I708" i="35" s="1"/>
  <c r="J710" i="35"/>
  <c r="H710" i="35" s="1"/>
  <c r="I710" i="35" s="1"/>
  <c r="J717" i="35"/>
  <c r="H717" i="35" s="1"/>
  <c r="I717" i="35" s="1"/>
  <c r="V717" i="35" s="1"/>
  <c r="J735" i="35"/>
  <c r="H735" i="35" s="1"/>
  <c r="I735" i="35" s="1"/>
  <c r="V735" i="35" s="1"/>
  <c r="AA684" i="35"/>
  <c r="AB684" i="35" s="1"/>
  <c r="AK88" i="35" s="1"/>
  <c r="J689" i="35"/>
  <c r="H689" i="35" s="1"/>
  <c r="I689" i="35" s="1"/>
  <c r="AA694" i="35"/>
  <c r="AB694" i="35" s="1"/>
  <c r="AA695" i="35"/>
  <c r="AB695" i="35" s="1"/>
  <c r="AA696" i="35"/>
  <c r="AB696" i="35" s="1"/>
  <c r="AA697" i="35"/>
  <c r="AB697" i="35" s="1"/>
  <c r="J700" i="35"/>
  <c r="H700" i="35" s="1"/>
  <c r="I700" i="35" s="1"/>
  <c r="V700" i="35" s="1"/>
  <c r="AA702" i="35"/>
  <c r="AB702" i="35" s="1"/>
  <c r="AA715" i="35"/>
  <c r="AB715" i="35" s="1"/>
  <c r="J726" i="35"/>
  <c r="H726" i="35" s="1"/>
  <c r="I726" i="35" s="1"/>
  <c r="V726" i="35" s="1"/>
  <c r="T727" i="35"/>
  <c r="V727" i="35" s="1"/>
  <c r="J737" i="35"/>
  <c r="H737" i="35" s="1"/>
  <c r="I737" i="35" s="1"/>
  <c r="J683" i="35"/>
  <c r="H683" i="35" s="1"/>
  <c r="I683" i="35" s="1"/>
  <c r="V683" i="35" s="1"/>
  <c r="J718" i="35"/>
  <c r="H718" i="35" s="1"/>
  <c r="I718" i="35" s="1"/>
  <c r="V718" i="35" s="1"/>
  <c r="AA720" i="35"/>
  <c r="AB720" i="35" s="1"/>
  <c r="J725" i="35"/>
  <c r="H725" i="35" s="1"/>
  <c r="I725" i="35" s="1"/>
  <c r="V725" i="35" s="1"/>
  <c r="J736" i="35"/>
  <c r="H736" i="35" s="1"/>
  <c r="I736" i="35" s="1"/>
  <c r="AA740" i="35"/>
  <c r="AB740" i="35" s="1"/>
  <c r="AA742" i="35"/>
  <c r="AB742" i="35" s="1"/>
  <c r="J44" i="34"/>
  <c r="H44" i="34" s="1"/>
  <c r="I44" i="34" s="1"/>
  <c r="V44" i="34" s="1"/>
  <c r="J69" i="34"/>
  <c r="H69" i="34" s="1"/>
  <c r="I69" i="34" s="1"/>
  <c r="V69" i="34" s="1"/>
  <c r="J80" i="34"/>
  <c r="H80" i="34" s="1"/>
  <c r="I80" i="34" s="1"/>
  <c r="V80" i="34" s="1"/>
  <c r="AA108" i="34"/>
  <c r="AB108" i="34" s="1"/>
  <c r="AA138" i="34"/>
  <c r="AB138" i="34" s="1"/>
  <c r="AA155" i="34"/>
  <c r="AB155" i="34" s="1"/>
  <c r="AA172" i="34"/>
  <c r="AB172" i="34" s="1"/>
  <c r="AA208" i="34"/>
  <c r="AB208" i="34" s="1"/>
  <c r="AA216" i="34"/>
  <c r="AB216" i="34" s="1"/>
  <c r="AA229" i="34"/>
  <c r="AB229" i="34" s="1"/>
  <c r="AA246" i="34"/>
  <c r="AB246" i="34" s="1"/>
  <c r="X272" i="34"/>
  <c r="AI42" i="34" s="1"/>
  <c r="AA272" i="34"/>
  <c r="AB272" i="34" s="1"/>
  <c r="AA327" i="34"/>
  <c r="AB327" i="34" s="1"/>
  <c r="AA389" i="34"/>
  <c r="AB389" i="34" s="1"/>
  <c r="J458" i="34"/>
  <c r="H458" i="34" s="1"/>
  <c r="I458" i="34" s="1"/>
  <c r="V458" i="34" s="1"/>
  <c r="J484" i="34"/>
  <c r="H484" i="34" s="1"/>
  <c r="I484" i="34" s="1"/>
  <c r="V484" i="34" s="1"/>
  <c r="AA513" i="34"/>
  <c r="AB513" i="34" s="1"/>
  <c r="X513" i="34"/>
  <c r="AA544" i="34"/>
  <c r="AB544" i="34" s="1"/>
  <c r="X544" i="34"/>
  <c r="AI72" i="34" s="1"/>
  <c r="X551" i="34"/>
  <c r="AA551" i="34"/>
  <c r="AB551" i="34" s="1"/>
  <c r="AA577" i="34"/>
  <c r="AB577" i="34" s="1"/>
  <c r="X577" i="34"/>
  <c r="AA588" i="34"/>
  <c r="AB588" i="34" s="1"/>
  <c r="X588" i="34"/>
  <c r="AA607" i="34"/>
  <c r="AB607" i="34" s="1"/>
  <c r="AK79" i="34" s="1"/>
  <c r="X607" i="34"/>
  <c r="AA640" i="34"/>
  <c r="AB640" i="34" s="1"/>
  <c r="AA642" i="34"/>
  <c r="AB642" i="34" s="1"/>
  <c r="X642" i="34"/>
  <c r="AI83" i="34" s="1"/>
  <c r="X650" i="34"/>
  <c r="AA650" i="34"/>
  <c r="AB650" i="34" s="1"/>
  <c r="X659" i="34"/>
  <c r="AI85" i="34" s="1"/>
  <c r="AA659" i="34"/>
  <c r="AB659" i="34" s="1"/>
  <c r="X715" i="34"/>
  <c r="AA715" i="34"/>
  <c r="AB715" i="34" s="1"/>
  <c r="J26" i="34"/>
  <c r="H26" i="34" s="1"/>
  <c r="I26" i="34" s="1"/>
  <c r="V26" i="34" s="1"/>
  <c r="AA38" i="34"/>
  <c r="AB38" i="34" s="1"/>
  <c r="AA58" i="34"/>
  <c r="AB58" i="34" s="1"/>
  <c r="AA65" i="34"/>
  <c r="AB65" i="34" s="1"/>
  <c r="AA74" i="34"/>
  <c r="AB74" i="34" s="1"/>
  <c r="J97" i="34"/>
  <c r="H97" i="34" s="1"/>
  <c r="I97" i="34" s="1"/>
  <c r="V97" i="34" s="1"/>
  <c r="X110" i="34"/>
  <c r="AA112" i="34"/>
  <c r="AB112" i="34" s="1"/>
  <c r="AA119" i="34"/>
  <c r="AB119" i="34" s="1"/>
  <c r="AA157" i="34"/>
  <c r="AB157" i="34" s="1"/>
  <c r="AA164" i="34"/>
  <c r="AB164" i="34" s="1"/>
  <c r="X166" i="34"/>
  <c r="AA174" i="34"/>
  <c r="AB174" i="34" s="1"/>
  <c r="AA182" i="34"/>
  <c r="AB182" i="34" s="1"/>
  <c r="X200" i="34"/>
  <c r="X218" i="34"/>
  <c r="X252" i="34"/>
  <c r="AA252" i="34"/>
  <c r="AB252" i="34" s="1"/>
  <c r="X256" i="34"/>
  <c r="X310" i="34"/>
  <c r="AA310" i="34"/>
  <c r="AB310" i="34" s="1"/>
  <c r="J323" i="34"/>
  <c r="H323" i="34" s="1"/>
  <c r="I323" i="34" s="1"/>
  <c r="V323" i="34" s="1"/>
  <c r="X333" i="34"/>
  <c r="AA333" i="34"/>
  <c r="AB333" i="34" s="1"/>
  <c r="X337" i="34"/>
  <c r="AA361" i="34"/>
  <c r="AB361" i="34" s="1"/>
  <c r="AA371" i="34"/>
  <c r="AB371" i="34" s="1"/>
  <c r="AA409" i="34"/>
  <c r="AB409" i="34" s="1"/>
  <c r="X417" i="34"/>
  <c r="AA417" i="34"/>
  <c r="AB417" i="34" s="1"/>
  <c r="J419" i="34"/>
  <c r="H419" i="34" s="1"/>
  <c r="I419" i="34" s="1"/>
  <c r="V419" i="34" s="1"/>
  <c r="J420" i="34"/>
  <c r="H420" i="34" s="1"/>
  <c r="I420" i="34" s="1"/>
  <c r="V420" i="34" s="1"/>
  <c r="AA423" i="34"/>
  <c r="AB423" i="34" s="1"/>
  <c r="J430" i="34"/>
  <c r="H430" i="34" s="1"/>
  <c r="I430" i="34" s="1"/>
  <c r="V430" i="34" s="1"/>
  <c r="AA435" i="34"/>
  <c r="AB435" i="34" s="1"/>
  <c r="X444" i="34"/>
  <c r="X450" i="34"/>
  <c r="X451" i="34"/>
  <c r="X498" i="34"/>
  <c r="AA506" i="34"/>
  <c r="AB506" i="34" s="1"/>
  <c r="X506" i="34"/>
  <c r="X515" i="34"/>
  <c r="AA550" i="34"/>
  <c r="AB550" i="34" s="1"/>
  <c r="X568" i="34"/>
  <c r="X570" i="34"/>
  <c r="AA576" i="34"/>
  <c r="AB576" i="34" s="1"/>
  <c r="X576" i="34"/>
  <c r="X580" i="34"/>
  <c r="AA586" i="34"/>
  <c r="AB586" i="34" s="1"/>
  <c r="X586" i="34"/>
  <c r="X597" i="34"/>
  <c r="AA605" i="34"/>
  <c r="AB605" i="34" s="1"/>
  <c r="X605" i="34"/>
  <c r="AA615" i="34"/>
  <c r="AB615" i="34" s="1"/>
  <c r="X615" i="34"/>
  <c r="J629" i="34"/>
  <c r="H629" i="34" s="1"/>
  <c r="I629" i="34" s="1"/>
  <c r="V629" i="34" s="1"/>
  <c r="X631" i="34"/>
  <c r="AI82" i="34" s="1"/>
  <c r="AA631" i="34"/>
  <c r="AB631" i="34" s="1"/>
  <c r="AA641" i="34"/>
  <c r="AB641" i="34" s="1"/>
  <c r="J646" i="34"/>
  <c r="H646" i="34" s="1"/>
  <c r="I646" i="34" s="1"/>
  <c r="AA676" i="34"/>
  <c r="AB676" i="34" s="1"/>
  <c r="J707" i="34"/>
  <c r="H707" i="34" s="1"/>
  <c r="I707" i="34" s="1"/>
  <c r="V707" i="34" s="1"/>
  <c r="AA714" i="34"/>
  <c r="AB714" i="34" s="1"/>
  <c r="X290" i="34"/>
  <c r="AA290" i="34"/>
  <c r="AB290" i="34" s="1"/>
  <c r="X325" i="34"/>
  <c r="AA325" i="34"/>
  <c r="AB325" i="34" s="1"/>
  <c r="AA445" i="34"/>
  <c r="AB445" i="34" s="1"/>
  <c r="X445" i="34"/>
  <c r="AA516" i="34"/>
  <c r="AB516" i="34" s="1"/>
  <c r="X516" i="34"/>
  <c r="AA585" i="34"/>
  <c r="AB585" i="34" s="1"/>
  <c r="X585" i="34"/>
  <c r="AA598" i="34"/>
  <c r="AB598" i="34" s="1"/>
  <c r="X598" i="34"/>
  <c r="AA613" i="34"/>
  <c r="AB613" i="34" s="1"/>
  <c r="X613" i="34"/>
  <c r="X740" i="34"/>
  <c r="AA740" i="34"/>
  <c r="AB740" i="34" s="1"/>
  <c r="AA27" i="34"/>
  <c r="AB27" i="34" s="1"/>
  <c r="AA28" i="34"/>
  <c r="AB28" i="34" s="1"/>
  <c r="AA30" i="34"/>
  <c r="AB30" i="34" s="1"/>
  <c r="X193" i="34"/>
  <c r="AA193" i="34"/>
  <c r="AB193" i="34" s="1"/>
  <c r="X381" i="34"/>
  <c r="AA381" i="34"/>
  <c r="AB381" i="34" s="1"/>
  <c r="AA499" i="34"/>
  <c r="AB499" i="34" s="1"/>
  <c r="X499" i="34"/>
  <c r="X20" i="34"/>
  <c r="AA67" i="34"/>
  <c r="AB67" i="34" s="1"/>
  <c r="J140" i="34"/>
  <c r="H140" i="34" s="1"/>
  <c r="I140" i="34" s="1"/>
  <c r="V140" i="34" s="1"/>
  <c r="J169" i="34"/>
  <c r="H169" i="34" s="1"/>
  <c r="I169" i="34" s="1"/>
  <c r="J205" i="34"/>
  <c r="H205" i="34" s="1"/>
  <c r="I205" i="34" s="1"/>
  <c r="V205" i="34" s="1"/>
  <c r="J248" i="34"/>
  <c r="H248" i="34" s="1"/>
  <c r="I248" i="34" s="1"/>
  <c r="V248" i="34" s="1"/>
  <c r="J286" i="34"/>
  <c r="H286" i="34" s="1"/>
  <c r="I286" i="34" s="1"/>
  <c r="V286" i="34" s="1"/>
  <c r="X355" i="34"/>
  <c r="X407" i="34"/>
  <c r="X427" i="34"/>
  <c r="AA443" i="34"/>
  <c r="AB443" i="34" s="1"/>
  <c r="X443" i="34"/>
  <c r="J492" i="34"/>
  <c r="H492" i="34" s="1"/>
  <c r="I492" i="34" s="1"/>
  <c r="V492" i="34" s="1"/>
  <c r="AA497" i="34"/>
  <c r="AB497" i="34" s="1"/>
  <c r="X497" i="34"/>
  <c r="AA514" i="34"/>
  <c r="AB514" i="34" s="1"/>
  <c r="X514" i="34"/>
  <c r="X553" i="34"/>
  <c r="AA553" i="34"/>
  <c r="AB553" i="34" s="1"/>
  <c r="AA562" i="34"/>
  <c r="AB562" i="34" s="1"/>
  <c r="X562" i="34"/>
  <c r="AA579" i="34"/>
  <c r="AB579" i="34" s="1"/>
  <c r="X579" i="34"/>
  <c r="X587" i="34"/>
  <c r="AA596" i="34"/>
  <c r="AB596" i="34" s="1"/>
  <c r="X596" i="34"/>
  <c r="X606" i="34"/>
  <c r="AA612" i="34"/>
  <c r="AB612" i="34" s="1"/>
  <c r="X612" i="34"/>
  <c r="X616" i="34"/>
  <c r="X621" i="34"/>
  <c r="X622" i="34"/>
  <c r="X625" i="34"/>
  <c r="J655" i="34"/>
  <c r="H655" i="34" s="1"/>
  <c r="I655" i="34" s="1"/>
  <c r="V655" i="34" s="1"/>
  <c r="X666" i="34"/>
  <c r="X696" i="34"/>
  <c r="AA697" i="34"/>
  <c r="AB697" i="34" s="1"/>
  <c r="X697" i="34"/>
  <c r="J177" i="34"/>
  <c r="H177" i="34" s="1"/>
  <c r="I177" i="34" s="1"/>
  <c r="V177" i="34" s="1"/>
  <c r="J213" i="34"/>
  <c r="H213" i="34" s="1"/>
  <c r="I213" i="34" s="1"/>
  <c r="V213" i="34" s="1"/>
  <c r="J242" i="34"/>
  <c r="H242" i="34" s="1"/>
  <c r="I242" i="34" s="1"/>
  <c r="V242" i="34" s="1"/>
  <c r="J366" i="34"/>
  <c r="H366" i="34" s="1"/>
  <c r="I366" i="34" s="1"/>
  <c r="V366" i="34" s="1"/>
  <c r="J437" i="34"/>
  <c r="H437" i="34" s="1"/>
  <c r="I437" i="34" s="1"/>
  <c r="V437" i="34" s="1"/>
  <c r="J530" i="34"/>
  <c r="H530" i="34" s="1"/>
  <c r="I530" i="34" s="1"/>
  <c r="V530" i="34" s="1"/>
  <c r="J662" i="34"/>
  <c r="H662" i="34" s="1"/>
  <c r="I662" i="34" s="1"/>
  <c r="V662" i="34" s="1"/>
  <c r="J673" i="34"/>
  <c r="H673" i="34" s="1"/>
  <c r="I673" i="34" s="1"/>
  <c r="V673" i="34" s="1"/>
  <c r="J15" i="34"/>
  <c r="H15" i="34" s="1"/>
  <c r="I15" i="34" s="1"/>
  <c r="V15" i="34" s="1"/>
  <c r="J34" i="34"/>
  <c r="H34" i="34" s="1"/>
  <c r="I34" i="34" s="1"/>
  <c r="V34" i="34" s="1"/>
  <c r="J59" i="34"/>
  <c r="H59" i="34" s="1"/>
  <c r="I59" i="34" s="1"/>
  <c r="V59" i="34" s="1"/>
  <c r="J70" i="34"/>
  <c r="H70" i="34" s="1"/>
  <c r="I70" i="34" s="1"/>
  <c r="V70" i="34" s="1"/>
  <c r="T23" i="34"/>
  <c r="J35" i="34"/>
  <c r="H35" i="34" s="1"/>
  <c r="I35" i="34" s="1"/>
  <c r="T52" i="34"/>
  <c r="V52" i="34" s="1"/>
  <c r="J71" i="34"/>
  <c r="H71" i="34" s="1"/>
  <c r="I71" i="34" s="1"/>
  <c r="V71" i="34" s="1"/>
  <c r="J25" i="34"/>
  <c r="H25" i="34" s="1"/>
  <c r="I25" i="34" s="1"/>
  <c r="V25" i="34" s="1"/>
  <c r="T15" i="34"/>
  <c r="T16" i="34"/>
  <c r="J17" i="34"/>
  <c r="H17" i="34" s="1"/>
  <c r="I17" i="34" s="1"/>
  <c r="V17" i="34" s="1"/>
  <c r="J33" i="34"/>
  <c r="H33" i="34" s="1"/>
  <c r="I33" i="34" s="1"/>
  <c r="V33" i="34" s="1"/>
  <c r="T60" i="34"/>
  <c r="J61" i="34"/>
  <c r="H61" i="34" s="1"/>
  <c r="I61" i="34" s="1"/>
  <c r="V61" i="34" s="1"/>
  <c r="T61" i="34"/>
  <c r="J53" i="34"/>
  <c r="H53" i="34" s="1"/>
  <c r="I53" i="34" s="1"/>
  <c r="V53" i="34" s="1"/>
  <c r="J14" i="34"/>
  <c r="H14" i="34" s="1"/>
  <c r="I14" i="34" s="1"/>
  <c r="V14" i="34" s="1"/>
  <c r="J16" i="34"/>
  <c r="H16" i="34" s="1"/>
  <c r="I16" i="34" s="1"/>
  <c r="V16" i="34" s="1"/>
  <c r="J32" i="34"/>
  <c r="H32" i="34" s="1"/>
  <c r="I32" i="34" s="1"/>
  <c r="T35" i="34"/>
  <c r="J41" i="34"/>
  <c r="H41" i="34" s="1"/>
  <c r="I41" i="34" s="1"/>
  <c r="V41" i="34" s="1"/>
  <c r="J42" i="34"/>
  <c r="H42" i="34" s="1"/>
  <c r="I42" i="34" s="1"/>
  <c r="V42" i="34" s="1"/>
  <c r="J51" i="34"/>
  <c r="H51" i="34" s="1"/>
  <c r="I51" i="34" s="1"/>
  <c r="V51" i="34" s="1"/>
  <c r="T71" i="34"/>
  <c r="J77" i="34"/>
  <c r="H77" i="34" s="1"/>
  <c r="I77" i="34" s="1"/>
  <c r="V77" i="34" s="1"/>
  <c r="J78" i="34"/>
  <c r="H78" i="34" s="1"/>
  <c r="I78" i="34" s="1"/>
  <c r="V78" i="34" s="1"/>
  <c r="AG17" i="34"/>
  <c r="J23" i="34"/>
  <c r="H23" i="34" s="1"/>
  <c r="I23" i="34" s="1"/>
  <c r="V23" i="34" s="1"/>
  <c r="AJ23" i="34"/>
  <c r="J24" i="34"/>
  <c r="H24" i="34" s="1"/>
  <c r="I24" i="34" s="1"/>
  <c r="V24" i="34" s="1"/>
  <c r="AJ24" i="34"/>
  <c r="AJ32" i="34"/>
  <c r="AJ41" i="34"/>
  <c r="J50" i="34"/>
  <c r="H50" i="34" s="1"/>
  <c r="I50" i="34" s="1"/>
  <c r="V50" i="34" s="1"/>
  <c r="J60" i="34"/>
  <c r="H60" i="34" s="1"/>
  <c r="I60" i="34" s="1"/>
  <c r="V60" i="34" s="1"/>
  <c r="AJ60" i="34"/>
  <c r="J62" i="34"/>
  <c r="H62" i="34" s="1"/>
  <c r="I62" i="34" s="1"/>
  <c r="V62" i="34" s="1"/>
  <c r="AJ77" i="34"/>
  <c r="AJ89" i="34"/>
  <c r="AI17" i="34"/>
  <c r="Z19" i="34"/>
  <c r="AJ14" i="34" s="1"/>
  <c r="AJ20" i="34"/>
  <c r="AA21" i="34"/>
  <c r="AB21" i="34" s="1"/>
  <c r="X22" i="34"/>
  <c r="AJ27" i="34"/>
  <c r="AJ28" i="34"/>
  <c r="AJ30" i="34"/>
  <c r="AI15" i="34"/>
  <c r="AJ17" i="34"/>
  <c r="AI19" i="34"/>
  <c r="AI21" i="34"/>
  <c r="AJ22" i="34"/>
  <c r="AA29" i="34"/>
  <c r="AB29" i="34" s="1"/>
  <c r="AA31" i="34"/>
  <c r="AB31" i="34" s="1"/>
  <c r="AA36" i="34"/>
  <c r="AB36" i="34" s="1"/>
  <c r="AA40" i="34"/>
  <c r="AB40" i="34" s="1"/>
  <c r="AA56" i="34"/>
  <c r="AB56" i="34" s="1"/>
  <c r="AJ59" i="34"/>
  <c r="AA63" i="34"/>
  <c r="AB63" i="34" s="1"/>
  <c r="AJ64" i="34"/>
  <c r="AJ65" i="34"/>
  <c r="AJ66" i="34"/>
  <c r="AJ67" i="34"/>
  <c r="AA72" i="34"/>
  <c r="AB72" i="34" s="1"/>
  <c r="AA76" i="34"/>
  <c r="AB76" i="34" s="1"/>
  <c r="AJ78" i="34"/>
  <c r="X109" i="34"/>
  <c r="AA109" i="34"/>
  <c r="AB109" i="34" s="1"/>
  <c r="T113" i="34"/>
  <c r="X117" i="34"/>
  <c r="AI25" i="34" s="1"/>
  <c r="AA117" i="34"/>
  <c r="AB117" i="34" s="1"/>
  <c r="T124" i="34"/>
  <c r="T132" i="34"/>
  <c r="T143" i="34"/>
  <c r="J149" i="34"/>
  <c r="H149" i="34" s="1"/>
  <c r="I149" i="34" s="1"/>
  <c r="V149" i="34" s="1"/>
  <c r="J150" i="34"/>
  <c r="H150" i="34" s="1"/>
  <c r="I150" i="34" s="1"/>
  <c r="V150" i="34" s="1"/>
  <c r="J160" i="34"/>
  <c r="H160" i="34" s="1"/>
  <c r="I160" i="34" s="1"/>
  <c r="V160" i="34" s="1"/>
  <c r="J161" i="34"/>
  <c r="H161" i="34" s="1"/>
  <c r="I161" i="34" s="1"/>
  <c r="V161" i="34" s="1"/>
  <c r="AA165" i="34"/>
  <c r="AB165" i="34" s="1"/>
  <c r="X165" i="34"/>
  <c r="X181" i="34"/>
  <c r="AA181" i="34"/>
  <c r="AB181" i="34" s="1"/>
  <c r="T185" i="34"/>
  <c r="X189" i="34"/>
  <c r="AA189" i="34"/>
  <c r="AB189" i="34" s="1"/>
  <c r="T196" i="34"/>
  <c r="T204" i="34"/>
  <c r="T215" i="34"/>
  <c r="J221" i="34"/>
  <c r="H221" i="34" s="1"/>
  <c r="I221" i="34" s="1"/>
  <c r="V221" i="34" s="1"/>
  <c r="J222" i="34"/>
  <c r="H222" i="34" s="1"/>
  <c r="I222" i="34" s="1"/>
  <c r="V222" i="34" s="1"/>
  <c r="J232" i="34"/>
  <c r="H232" i="34" s="1"/>
  <c r="I232" i="34" s="1"/>
  <c r="J233" i="34"/>
  <c r="H233" i="34" s="1"/>
  <c r="I233" i="34" s="1"/>
  <c r="V233" i="34" s="1"/>
  <c r="AA237" i="34"/>
  <c r="AB237" i="34" s="1"/>
  <c r="X237" i="34"/>
  <c r="X253" i="34"/>
  <c r="AA253" i="34"/>
  <c r="AB253" i="34" s="1"/>
  <c r="T257" i="34"/>
  <c r="X261" i="34"/>
  <c r="AI41" i="34" s="1"/>
  <c r="AA261" i="34"/>
  <c r="AB261" i="34" s="1"/>
  <c r="J276" i="34"/>
  <c r="H276" i="34" s="1"/>
  <c r="I276" i="34" s="1"/>
  <c r="V276" i="34" s="1"/>
  <c r="J284" i="34"/>
  <c r="H284" i="34" s="1"/>
  <c r="I284" i="34" s="1"/>
  <c r="V284" i="34" s="1"/>
  <c r="X299" i="34"/>
  <c r="AA299" i="34"/>
  <c r="AB299" i="34" s="1"/>
  <c r="J303" i="34"/>
  <c r="H303" i="34" s="1"/>
  <c r="I303" i="34" s="1"/>
  <c r="V303" i="34" s="1"/>
  <c r="Z309" i="34"/>
  <c r="AJ46" i="34" s="1"/>
  <c r="AA309" i="34"/>
  <c r="AB309" i="34" s="1"/>
  <c r="X318" i="34"/>
  <c r="AA318" i="34"/>
  <c r="AB318" i="34" s="1"/>
  <c r="AA342" i="34"/>
  <c r="AB342" i="34" s="1"/>
  <c r="X342" i="34"/>
  <c r="AJ15" i="34"/>
  <c r="AI16" i="34"/>
  <c r="AA18" i="34"/>
  <c r="AB18" i="34" s="1"/>
  <c r="AI18" i="34"/>
  <c r="AJ19" i="34"/>
  <c r="AJ33" i="34"/>
  <c r="AJ35" i="34"/>
  <c r="AJ36" i="34"/>
  <c r="AA37" i="34"/>
  <c r="AB37" i="34" s="1"/>
  <c r="AA46" i="34"/>
  <c r="AB46" i="34" s="1"/>
  <c r="AA47" i="34"/>
  <c r="AB47" i="34" s="1"/>
  <c r="AA48" i="34"/>
  <c r="AB48" i="34" s="1"/>
  <c r="AA49" i="34"/>
  <c r="AB49" i="34" s="1"/>
  <c r="AJ52" i="34"/>
  <c r="AA57" i="34"/>
  <c r="AB57" i="34" s="1"/>
  <c r="AJ61" i="34"/>
  <c r="AJ71" i="34"/>
  <c r="AJ72" i="34"/>
  <c r="AA73" i="34"/>
  <c r="AB73" i="34" s="1"/>
  <c r="AA82" i="34"/>
  <c r="AB82" i="34" s="1"/>
  <c r="AA83" i="34"/>
  <c r="AB83" i="34" s="1"/>
  <c r="AA84" i="34"/>
  <c r="AB84" i="34" s="1"/>
  <c r="AA85" i="34"/>
  <c r="AB85" i="34" s="1"/>
  <c r="J88" i="34"/>
  <c r="H88" i="34" s="1"/>
  <c r="I88" i="34" s="1"/>
  <c r="V88" i="34" s="1"/>
  <c r="AJ88" i="34"/>
  <c r="T89" i="34"/>
  <c r="AG22" i="34" s="1"/>
  <c r="AA93" i="34"/>
  <c r="AB93" i="34" s="1"/>
  <c r="X93" i="34"/>
  <c r="AG93" i="34"/>
  <c r="T95" i="34"/>
  <c r="X99" i="34"/>
  <c r="AI23" i="34" s="1"/>
  <c r="AA99" i="34"/>
  <c r="AB99" i="34" s="1"/>
  <c r="AA103" i="34"/>
  <c r="AB103" i="34" s="1"/>
  <c r="T106" i="34"/>
  <c r="AG24" i="34" s="1"/>
  <c r="T114" i="34"/>
  <c r="J115" i="34"/>
  <c r="H115" i="34" s="1"/>
  <c r="I115" i="34" s="1"/>
  <c r="V115" i="34" s="1"/>
  <c r="T115" i="34"/>
  <c r="J116" i="34"/>
  <c r="H116" i="34" s="1"/>
  <c r="I116" i="34" s="1"/>
  <c r="V116" i="34" s="1"/>
  <c r="T116" i="34"/>
  <c r="AA118" i="34"/>
  <c r="AB118" i="34" s="1"/>
  <c r="T125" i="34"/>
  <c r="J131" i="34"/>
  <c r="H131" i="34" s="1"/>
  <c r="I131" i="34" s="1"/>
  <c r="V131" i="34" s="1"/>
  <c r="J132" i="34"/>
  <c r="H132" i="34" s="1"/>
  <c r="I132" i="34" s="1"/>
  <c r="V132" i="34" s="1"/>
  <c r="AA137" i="34"/>
  <c r="AB137" i="34" s="1"/>
  <c r="J142" i="34"/>
  <c r="H142" i="34" s="1"/>
  <c r="I142" i="34" s="1"/>
  <c r="V142" i="34" s="1"/>
  <c r="J143" i="34"/>
  <c r="H143" i="34" s="1"/>
  <c r="I143" i="34" s="1"/>
  <c r="V143" i="34" s="1"/>
  <c r="AA147" i="34"/>
  <c r="AB147" i="34" s="1"/>
  <c r="X147" i="34"/>
  <c r="AA156" i="34"/>
  <c r="AB156" i="34" s="1"/>
  <c r="J158" i="34"/>
  <c r="H158" i="34" s="1"/>
  <c r="I158" i="34" s="1"/>
  <c r="V158" i="34" s="1"/>
  <c r="T158" i="34"/>
  <c r="J159" i="34"/>
  <c r="H159" i="34" s="1"/>
  <c r="I159" i="34" s="1"/>
  <c r="V159" i="34" s="1"/>
  <c r="T159" i="34"/>
  <c r="AA162" i="34"/>
  <c r="AB162" i="34" s="1"/>
  <c r="X163" i="34"/>
  <c r="AA163" i="34"/>
  <c r="AB163" i="34" s="1"/>
  <c r="T167" i="34"/>
  <c r="AG31" i="34" s="1"/>
  <c r="X171" i="34"/>
  <c r="AI31" i="34" s="1"/>
  <c r="AA171" i="34"/>
  <c r="AB171" i="34" s="1"/>
  <c r="AA175" i="34"/>
  <c r="AB175" i="34" s="1"/>
  <c r="T178" i="34"/>
  <c r="AG32" i="34" s="1"/>
  <c r="T186" i="34"/>
  <c r="J187" i="34"/>
  <c r="H187" i="34" s="1"/>
  <c r="I187" i="34" s="1"/>
  <c r="V187" i="34" s="1"/>
  <c r="T187" i="34"/>
  <c r="J188" i="34"/>
  <c r="H188" i="34" s="1"/>
  <c r="I188" i="34" s="1"/>
  <c r="V188" i="34" s="1"/>
  <c r="T188" i="34"/>
  <c r="AA190" i="34"/>
  <c r="AB190" i="34" s="1"/>
  <c r="T197" i="34"/>
  <c r="J203" i="34"/>
  <c r="H203" i="34" s="1"/>
  <c r="I203" i="34" s="1"/>
  <c r="V203" i="34" s="1"/>
  <c r="J204" i="34"/>
  <c r="H204" i="34" s="1"/>
  <c r="I204" i="34" s="1"/>
  <c r="V204" i="34" s="1"/>
  <c r="AA209" i="34"/>
  <c r="AB209" i="34" s="1"/>
  <c r="J214" i="34"/>
  <c r="H214" i="34" s="1"/>
  <c r="I214" i="34" s="1"/>
  <c r="V214" i="34" s="1"/>
  <c r="J215" i="34"/>
  <c r="H215" i="34" s="1"/>
  <c r="I215" i="34" s="1"/>
  <c r="AA219" i="34"/>
  <c r="AB219" i="34" s="1"/>
  <c r="X219" i="34"/>
  <c r="AA228" i="34"/>
  <c r="AB228" i="34" s="1"/>
  <c r="J230" i="34"/>
  <c r="H230" i="34" s="1"/>
  <c r="I230" i="34" s="1"/>
  <c r="T230" i="34"/>
  <c r="J231" i="34"/>
  <c r="H231" i="34" s="1"/>
  <c r="I231" i="34" s="1"/>
  <c r="V231" i="34" s="1"/>
  <c r="T231" i="34"/>
  <c r="AA234" i="34"/>
  <c r="AB234" i="34" s="1"/>
  <c r="X235" i="34"/>
  <c r="AA235" i="34"/>
  <c r="AB235" i="34" s="1"/>
  <c r="T239" i="34"/>
  <c r="X243" i="34"/>
  <c r="AI39" i="34" s="1"/>
  <c r="AA243" i="34"/>
  <c r="AB243" i="34" s="1"/>
  <c r="AA247" i="34"/>
  <c r="AB247" i="34" s="1"/>
  <c r="T250" i="34"/>
  <c r="T258" i="34"/>
  <c r="J259" i="34"/>
  <c r="H259" i="34" s="1"/>
  <c r="I259" i="34" s="1"/>
  <c r="T259" i="34"/>
  <c r="J260" i="34"/>
  <c r="H260" i="34" s="1"/>
  <c r="I260" i="34" s="1"/>
  <c r="T260" i="34"/>
  <c r="V260" i="34" s="1"/>
  <c r="AA262" i="34"/>
  <c r="AB262" i="34" s="1"/>
  <c r="J268" i="34"/>
  <c r="H268" i="34" s="1"/>
  <c r="I268" i="34" s="1"/>
  <c r="V268" i="34" s="1"/>
  <c r="J269" i="34"/>
  <c r="H269" i="34" s="1"/>
  <c r="I269" i="34" s="1"/>
  <c r="V269" i="34" s="1"/>
  <c r="Z271" i="34"/>
  <c r="AJ42" i="34" s="1"/>
  <c r="AA271" i="34"/>
  <c r="AB271" i="34" s="1"/>
  <c r="J313" i="34"/>
  <c r="H313" i="34" s="1"/>
  <c r="I313" i="34" s="1"/>
  <c r="V313" i="34" s="1"/>
  <c r="AG21" i="34"/>
  <c r="AJ49" i="34"/>
  <c r="AJ82" i="34"/>
  <c r="AJ83" i="34"/>
  <c r="AJ84" i="34"/>
  <c r="AJ85" i="34"/>
  <c r="J86" i="34"/>
  <c r="H86" i="34" s="1"/>
  <c r="I86" i="34" s="1"/>
  <c r="V86" i="34" s="1"/>
  <c r="AJ86" i="34"/>
  <c r="J89" i="34"/>
  <c r="H89" i="34" s="1"/>
  <c r="I89" i="34" s="1"/>
  <c r="V89" i="34" s="1"/>
  <c r="J113" i="34"/>
  <c r="H113" i="34" s="1"/>
  <c r="I113" i="34" s="1"/>
  <c r="V113" i="34" s="1"/>
  <c r="J114" i="34"/>
  <c r="H114" i="34" s="1"/>
  <c r="I114" i="34" s="1"/>
  <c r="V114" i="34" s="1"/>
  <c r="J124" i="34"/>
  <c r="H124" i="34" s="1"/>
  <c r="I124" i="34" s="1"/>
  <c r="V124" i="34" s="1"/>
  <c r="J125" i="34"/>
  <c r="H125" i="34" s="1"/>
  <c r="I125" i="34" s="1"/>
  <c r="AA129" i="34"/>
  <c r="AB129" i="34" s="1"/>
  <c r="X129" i="34"/>
  <c r="X145" i="34"/>
  <c r="AA145" i="34"/>
  <c r="AB145" i="34" s="1"/>
  <c r="X153" i="34"/>
  <c r="AI29" i="34" s="1"/>
  <c r="AA153" i="34"/>
  <c r="AB153" i="34" s="1"/>
  <c r="J185" i="34"/>
  <c r="H185" i="34" s="1"/>
  <c r="I185" i="34" s="1"/>
  <c r="V185" i="34" s="1"/>
  <c r="J186" i="34"/>
  <c r="H186" i="34" s="1"/>
  <c r="I186" i="34" s="1"/>
  <c r="V186" i="34" s="1"/>
  <c r="J196" i="34"/>
  <c r="H196" i="34" s="1"/>
  <c r="I196" i="34" s="1"/>
  <c r="V196" i="34" s="1"/>
  <c r="J197" i="34"/>
  <c r="H197" i="34" s="1"/>
  <c r="I197" i="34" s="1"/>
  <c r="V197" i="34" s="1"/>
  <c r="AA201" i="34"/>
  <c r="AB201" i="34" s="1"/>
  <c r="X201" i="34"/>
  <c r="X217" i="34"/>
  <c r="AI36" i="34" s="1"/>
  <c r="AA217" i="34"/>
  <c r="AB217" i="34" s="1"/>
  <c r="X225" i="34"/>
  <c r="AI37" i="34" s="1"/>
  <c r="AA225" i="34"/>
  <c r="AB225" i="34" s="1"/>
  <c r="J257" i="34"/>
  <c r="H257" i="34" s="1"/>
  <c r="I257" i="34" s="1"/>
  <c r="V257" i="34" s="1"/>
  <c r="J258" i="34"/>
  <c r="H258" i="34" s="1"/>
  <c r="I258" i="34" s="1"/>
  <c r="V258" i="34" s="1"/>
  <c r="X281" i="34"/>
  <c r="AI43" i="34" s="1"/>
  <c r="AA281" i="34"/>
  <c r="AB281" i="34" s="1"/>
  <c r="J287" i="34"/>
  <c r="H287" i="34" s="1"/>
  <c r="I287" i="34" s="1"/>
  <c r="V287" i="34" s="1"/>
  <c r="X292" i="34"/>
  <c r="AA292" i="34"/>
  <c r="AB292" i="34" s="1"/>
  <c r="J295" i="34"/>
  <c r="H295" i="34" s="1"/>
  <c r="I295" i="34" s="1"/>
  <c r="V295" i="34" s="1"/>
  <c r="J302" i="34"/>
  <c r="H302" i="34" s="1"/>
  <c r="I302" i="34" s="1"/>
  <c r="V302" i="34" s="1"/>
  <c r="Z315" i="34"/>
  <c r="AJ47" i="34" s="1"/>
  <c r="AA315" i="34"/>
  <c r="AB315" i="34" s="1"/>
  <c r="AA334" i="34"/>
  <c r="AB334" i="34" s="1"/>
  <c r="X334" i="34"/>
  <c r="AJ18" i="34"/>
  <c r="AI20" i="34"/>
  <c r="AG64" i="34"/>
  <c r="AG66" i="34"/>
  <c r="AG15" i="34"/>
  <c r="AJ34" i="34"/>
  <c r="AA39" i="34"/>
  <c r="AB39" i="34" s="1"/>
  <c r="AJ53" i="34"/>
  <c r="AA55" i="34"/>
  <c r="AB55" i="34" s="1"/>
  <c r="AI65" i="34"/>
  <c r="AJ68" i="34"/>
  <c r="AJ70" i="34"/>
  <c r="AG71" i="34"/>
  <c r="AA75" i="34"/>
  <c r="AB75" i="34" s="1"/>
  <c r="AJ79" i="34"/>
  <c r="J87" i="34"/>
  <c r="H87" i="34" s="1"/>
  <c r="I87" i="34" s="1"/>
  <c r="V87" i="34" s="1"/>
  <c r="AA90" i="34"/>
  <c r="AB90" i="34" s="1"/>
  <c r="X91" i="34"/>
  <c r="AA91" i="34"/>
  <c r="AB91" i="34" s="1"/>
  <c r="J95" i="34"/>
  <c r="H95" i="34" s="1"/>
  <c r="I95" i="34" s="1"/>
  <c r="J96" i="34"/>
  <c r="H96" i="34" s="1"/>
  <c r="I96" i="34" s="1"/>
  <c r="V96" i="34" s="1"/>
  <c r="AA101" i="34"/>
  <c r="AB101" i="34" s="1"/>
  <c r="J106" i="34"/>
  <c r="H106" i="34" s="1"/>
  <c r="I106" i="34" s="1"/>
  <c r="V106" i="34" s="1"/>
  <c r="J107" i="34"/>
  <c r="H107" i="34" s="1"/>
  <c r="I107" i="34" s="1"/>
  <c r="V107" i="34" s="1"/>
  <c r="AA111" i="34"/>
  <c r="AB111" i="34" s="1"/>
  <c r="X111" i="34"/>
  <c r="AA120" i="34"/>
  <c r="AB120" i="34" s="1"/>
  <c r="J122" i="34"/>
  <c r="H122" i="34" s="1"/>
  <c r="I122" i="34" s="1"/>
  <c r="V122" i="34" s="1"/>
  <c r="T122" i="34"/>
  <c r="J123" i="34"/>
  <c r="H123" i="34" s="1"/>
  <c r="I123" i="34" s="1"/>
  <c r="T123" i="34"/>
  <c r="AA126" i="34"/>
  <c r="AB126" i="34" s="1"/>
  <c r="X127" i="34"/>
  <c r="AA127" i="34"/>
  <c r="AB127" i="34" s="1"/>
  <c r="T131" i="34"/>
  <c r="X135" i="34"/>
  <c r="AI27" i="34" s="1"/>
  <c r="AA135" i="34"/>
  <c r="AB135" i="34" s="1"/>
  <c r="AA139" i="34"/>
  <c r="AB139" i="34" s="1"/>
  <c r="T142" i="34"/>
  <c r="J151" i="34"/>
  <c r="H151" i="34" s="1"/>
  <c r="I151" i="34" s="1"/>
  <c r="V151" i="34" s="1"/>
  <c r="T151" i="34"/>
  <c r="J152" i="34"/>
  <c r="H152" i="34" s="1"/>
  <c r="I152" i="34" s="1"/>
  <c r="V152" i="34" s="1"/>
  <c r="T152" i="34"/>
  <c r="AA154" i="34"/>
  <c r="AB154" i="34" s="1"/>
  <c r="J167" i="34"/>
  <c r="H167" i="34" s="1"/>
  <c r="I167" i="34" s="1"/>
  <c r="V167" i="34" s="1"/>
  <c r="J168" i="34"/>
  <c r="H168" i="34" s="1"/>
  <c r="I168" i="34" s="1"/>
  <c r="AA173" i="34"/>
  <c r="AB173" i="34" s="1"/>
  <c r="J178" i="34"/>
  <c r="H178" i="34" s="1"/>
  <c r="I178" i="34" s="1"/>
  <c r="V178" i="34" s="1"/>
  <c r="J179" i="34"/>
  <c r="H179" i="34" s="1"/>
  <c r="I179" i="34" s="1"/>
  <c r="AA183" i="34"/>
  <c r="AB183" i="34" s="1"/>
  <c r="X183" i="34"/>
  <c r="AA192" i="34"/>
  <c r="AB192" i="34" s="1"/>
  <c r="J194" i="34"/>
  <c r="H194" i="34" s="1"/>
  <c r="I194" i="34" s="1"/>
  <c r="V194" i="34" s="1"/>
  <c r="T194" i="34"/>
  <c r="J195" i="34"/>
  <c r="H195" i="34" s="1"/>
  <c r="I195" i="34" s="1"/>
  <c r="V195" i="34" s="1"/>
  <c r="T195" i="34"/>
  <c r="AA198" i="34"/>
  <c r="AB198" i="34" s="1"/>
  <c r="X199" i="34"/>
  <c r="AA199" i="34"/>
  <c r="AB199" i="34" s="1"/>
  <c r="T203" i="34"/>
  <c r="X207" i="34"/>
  <c r="AI35" i="34" s="1"/>
  <c r="AA207" i="34"/>
  <c r="AB207" i="34" s="1"/>
  <c r="AA211" i="34"/>
  <c r="AB211" i="34" s="1"/>
  <c r="T214" i="34"/>
  <c r="AG36" i="34" s="1"/>
  <c r="J223" i="34"/>
  <c r="H223" i="34" s="1"/>
  <c r="I223" i="34" s="1"/>
  <c r="V223" i="34" s="1"/>
  <c r="T223" i="34"/>
  <c r="J224" i="34"/>
  <c r="H224" i="34" s="1"/>
  <c r="I224" i="34" s="1"/>
  <c r="T224" i="34"/>
  <c r="AA226" i="34"/>
  <c r="AB226" i="34" s="1"/>
  <c r="J239" i="34"/>
  <c r="H239" i="34" s="1"/>
  <c r="I239" i="34" s="1"/>
  <c r="V239" i="34" s="1"/>
  <c r="J240" i="34"/>
  <c r="H240" i="34" s="1"/>
  <c r="I240" i="34" s="1"/>
  <c r="V240" i="34" s="1"/>
  <c r="AA245" i="34"/>
  <c r="AB245" i="34" s="1"/>
  <c r="J250" i="34"/>
  <c r="H250" i="34" s="1"/>
  <c r="I250" i="34" s="1"/>
  <c r="V250" i="34" s="1"/>
  <c r="J251" i="34"/>
  <c r="H251" i="34" s="1"/>
  <c r="I251" i="34" s="1"/>
  <c r="AA255" i="34"/>
  <c r="AB255" i="34" s="1"/>
  <c r="X255" i="34"/>
  <c r="AA264" i="34"/>
  <c r="AB264" i="34" s="1"/>
  <c r="J266" i="34"/>
  <c r="H266" i="34" s="1"/>
  <c r="I266" i="34" s="1"/>
  <c r="V266" i="34" s="1"/>
  <c r="T266" i="34"/>
  <c r="J294" i="34"/>
  <c r="H294" i="34" s="1"/>
  <c r="I294" i="34" s="1"/>
  <c r="V294" i="34" s="1"/>
  <c r="J314" i="34"/>
  <c r="H314" i="34" s="1"/>
  <c r="I314" i="34" s="1"/>
  <c r="V314" i="34" s="1"/>
  <c r="Z328" i="34"/>
  <c r="AJ48" i="34" s="1"/>
  <c r="AA328" i="34"/>
  <c r="AB328" i="34" s="1"/>
  <c r="Z343" i="34"/>
  <c r="AJ50" i="34" s="1"/>
  <c r="AA343" i="34"/>
  <c r="AB343" i="34" s="1"/>
  <c r="J374" i="34"/>
  <c r="H374" i="34" s="1"/>
  <c r="I374" i="34" s="1"/>
  <c r="V374" i="34" s="1"/>
  <c r="J375" i="34"/>
  <c r="H375" i="34" s="1"/>
  <c r="I375" i="34" s="1"/>
  <c r="V375" i="34" s="1"/>
  <c r="AA382" i="34"/>
  <c r="AB382" i="34" s="1"/>
  <c r="Z382" i="34"/>
  <c r="AA400" i="34"/>
  <c r="AB400" i="34" s="1"/>
  <c r="Z400" i="34"/>
  <c r="Z418" i="34"/>
  <c r="AA418" i="34"/>
  <c r="AB418" i="34" s="1"/>
  <c r="J422" i="34"/>
  <c r="H422" i="34" s="1"/>
  <c r="I422" i="34" s="1"/>
  <c r="V422" i="34" s="1"/>
  <c r="AJ93" i="34"/>
  <c r="AJ92" i="34"/>
  <c r="AJ91" i="34"/>
  <c r="AJ16" i="34"/>
  <c r="AJ21" i="34"/>
  <c r="AJ26" i="34"/>
  <c r="AJ29" i="34"/>
  <c r="AJ31" i="34"/>
  <c r="AJ37" i="34"/>
  <c r="AJ38" i="34"/>
  <c r="AJ39" i="34"/>
  <c r="AJ40" i="34"/>
  <c r="AJ44" i="34"/>
  <c r="AJ51" i="34"/>
  <c r="AJ55" i="34"/>
  <c r="AJ57" i="34"/>
  <c r="AJ62" i="34"/>
  <c r="AJ63" i="34"/>
  <c r="AJ69" i="34"/>
  <c r="AJ73" i="34"/>
  <c r="AJ74" i="34"/>
  <c r="AJ75" i="34"/>
  <c r="AJ76" i="34"/>
  <c r="AJ80" i="34"/>
  <c r="AJ81" i="34"/>
  <c r="AJ87" i="34"/>
  <c r="AJ90" i="34"/>
  <c r="J267" i="34"/>
  <c r="H267" i="34" s="1"/>
  <c r="I267" i="34" s="1"/>
  <c r="V267" i="34" s="1"/>
  <c r="AA270" i="34"/>
  <c r="AB270" i="34" s="1"/>
  <c r="AA273" i="34"/>
  <c r="AB273" i="34" s="1"/>
  <c r="T278" i="34"/>
  <c r="AG43" i="34" s="1"/>
  <c r="AA280" i="34"/>
  <c r="AB280" i="34" s="1"/>
  <c r="T285" i="34"/>
  <c r="AG44" i="34" s="1"/>
  <c r="AA288" i="34"/>
  <c r="AB288" i="34" s="1"/>
  <c r="AA291" i="34"/>
  <c r="AB291" i="34" s="1"/>
  <c r="T296" i="34"/>
  <c r="AG45" i="34" s="1"/>
  <c r="AA298" i="34"/>
  <c r="AB298" i="34" s="1"/>
  <c r="X300" i="34"/>
  <c r="AA300" i="34"/>
  <c r="AB300" i="34" s="1"/>
  <c r="T311" i="34"/>
  <c r="J312" i="34"/>
  <c r="H312" i="34" s="1"/>
  <c r="I312" i="34" s="1"/>
  <c r="V312" i="34" s="1"/>
  <c r="T312" i="34"/>
  <c r="AA316" i="34"/>
  <c r="AB316" i="34" s="1"/>
  <c r="AK47" i="34" s="1"/>
  <c r="X316" i="34"/>
  <c r="T320" i="34"/>
  <c r="AA324" i="34"/>
  <c r="AB324" i="34" s="1"/>
  <c r="X324" i="34"/>
  <c r="AI48" i="34" s="1"/>
  <c r="T331" i="34"/>
  <c r="T339" i="34"/>
  <c r="T340" i="34"/>
  <c r="J341" i="34"/>
  <c r="H341" i="34" s="1"/>
  <c r="I341" i="34" s="1"/>
  <c r="V341" i="34" s="1"/>
  <c r="T341" i="34"/>
  <c r="T350" i="34"/>
  <c r="J356" i="34"/>
  <c r="H356" i="34" s="1"/>
  <c r="I356" i="34" s="1"/>
  <c r="V356" i="34" s="1"/>
  <c r="J357" i="34"/>
  <c r="H357" i="34" s="1"/>
  <c r="I357" i="34" s="1"/>
  <c r="AA362" i="34"/>
  <c r="AB362" i="34" s="1"/>
  <c r="J367" i="34"/>
  <c r="H367" i="34" s="1"/>
  <c r="I367" i="34" s="1"/>
  <c r="J368" i="34"/>
  <c r="H368" i="34" s="1"/>
  <c r="I368" i="34" s="1"/>
  <c r="X372" i="34"/>
  <c r="AA372" i="34"/>
  <c r="AB372" i="34" s="1"/>
  <c r="J385" i="34"/>
  <c r="H385" i="34" s="1"/>
  <c r="I385" i="34" s="1"/>
  <c r="V385" i="34" s="1"/>
  <c r="J386" i="34"/>
  <c r="H386" i="34" s="1"/>
  <c r="I386" i="34" s="1"/>
  <c r="V386" i="34" s="1"/>
  <c r="AA388" i="34"/>
  <c r="AB388" i="34" s="1"/>
  <c r="X388" i="34"/>
  <c r="J403" i="34"/>
  <c r="H403" i="34" s="1"/>
  <c r="I403" i="34" s="1"/>
  <c r="V403" i="34" s="1"/>
  <c r="J404" i="34"/>
  <c r="H404" i="34" s="1"/>
  <c r="I404" i="34" s="1"/>
  <c r="AA406" i="34"/>
  <c r="AB406" i="34" s="1"/>
  <c r="X406" i="34"/>
  <c r="T420" i="34"/>
  <c r="AA424" i="34"/>
  <c r="AB424" i="34" s="1"/>
  <c r="X424" i="34"/>
  <c r="AI59" i="34" s="1"/>
  <c r="J278" i="34"/>
  <c r="H278" i="34" s="1"/>
  <c r="I278" i="34" s="1"/>
  <c r="V278" i="34" s="1"/>
  <c r="J285" i="34"/>
  <c r="H285" i="34" s="1"/>
  <c r="I285" i="34" s="1"/>
  <c r="V285" i="34" s="1"/>
  <c r="J296" i="34"/>
  <c r="H296" i="34" s="1"/>
  <c r="I296" i="34" s="1"/>
  <c r="V296" i="34" s="1"/>
  <c r="T302" i="34"/>
  <c r="AA306" i="34"/>
  <c r="AB306" i="34" s="1"/>
  <c r="X306" i="34"/>
  <c r="AI46" i="34" s="1"/>
  <c r="T313" i="34"/>
  <c r="T321" i="34"/>
  <c r="T332" i="34"/>
  <c r="J338" i="34"/>
  <c r="H338" i="34" s="1"/>
  <c r="I338" i="34" s="1"/>
  <c r="V338" i="34" s="1"/>
  <c r="J339" i="34"/>
  <c r="H339" i="34" s="1"/>
  <c r="I339" i="34" s="1"/>
  <c r="V339" i="34" s="1"/>
  <c r="J349" i="34"/>
  <c r="H349" i="34" s="1"/>
  <c r="I349" i="34" s="1"/>
  <c r="V349" i="34" s="1"/>
  <c r="J350" i="34"/>
  <c r="H350" i="34" s="1"/>
  <c r="I350" i="34" s="1"/>
  <c r="X354" i="34"/>
  <c r="AA354" i="34"/>
  <c r="AB354" i="34" s="1"/>
  <c r="AA370" i="34"/>
  <c r="AB370" i="34" s="1"/>
  <c r="X370" i="34"/>
  <c r="T374" i="34"/>
  <c r="AA378" i="34"/>
  <c r="AB378" i="34" s="1"/>
  <c r="X378" i="34"/>
  <c r="J392" i="34"/>
  <c r="H392" i="34" s="1"/>
  <c r="I392" i="34" s="1"/>
  <c r="V392" i="34" s="1"/>
  <c r="J393" i="34"/>
  <c r="H393" i="34" s="1"/>
  <c r="I393" i="34" s="1"/>
  <c r="V393" i="34" s="1"/>
  <c r="AA396" i="34"/>
  <c r="AB396" i="34" s="1"/>
  <c r="X396" i="34"/>
  <c r="AI56" i="34" s="1"/>
  <c r="J410" i="34"/>
  <c r="H410" i="34" s="1"/>
  <c r="I410" i="34" s="1"/>
  <c r="V410" i="34" s="1"/>
  <c r="J411" i="34"/>
  <c r="H411" i="34" s="1"/>
  <c r="I411" i="34" s="1"/>
  <c r="V411" i="34" s="1"/>
  <c r="AA414" i="34"/>
  <c r="AB414" i="34" s="1"/>
  <c r="X414" i="34"/>
  <c r="J448" i="34"/>
  <c r="H448" i="34" s="1"/>
  <c r="I448" i="34" s="1"/>
  <c r="V448" i="34" s="1"/>
  <c r="AA279" i="34"/>
  <c r="AB279" i="34" s="1"/>
  <c r="AA282" i="34"/>
  <c r="AB282" i="34" s="1"/>
  <c r="AA289" i="34"/>
  <c r="AB289" i="34" s="1"/>
  <c r="AA297" i="34"/>
  <c r="AB297" i="34" s="1"/>
  <c r="T304" i="34"/>
  <c r="J305" i="34"/>
  <c r="H305" i="34" s="1"/>
  <c r="I305" i="34" s="1"/>
  <c r="V305" i="34" s="1"/>
  <c r="T305" i="34"/>
  <c r="AA307" i="34"/>
  <c r="AB307" i="34" s="1"/>
  <c r="J320" i="34"/>
  <c r="H320" i="34" s="1"/>
  <c r="I320" i="34" s="1"/>
  <c r="V320" i="34" s="1"/>
  <c r="J321" i="34"/>
  <c r="H321" i="34" s="1"/>
  <c r="I321" i="34" s="1"/>
  <c r="V321" i="34" s="1"/>
  <c r="AA326" i="34"/>
  <c r="AB326" i="34" s="1"/>
  <c r="J331" i="34"/>
  <c r="H331" i="34" s="1"/>
  <c r="I331" i="34" s="1"/>
  <c r="V331" i="34" s="1"/>
  <c r="J332" i="34"/>
  <c r="H332" i="34" s="1"/>
  <c r="I332" i="34" s="1"/>
  <c r="V332" i="34" s="1"/>
  <c r="X336" i="34"/>
  <c r="AA336" i="34"/>
  <c r="AB336" i="34" s="1"/>
  <c r="AA345" i="34"/>
  <c r="AB345" i="34" s="1"/>
  <c r="T347" i="34"/>
  <c r="J348" i="34"/>
  <c r="H348" i="34" s="1"/>
  <c r="I348" i="34" s="1"/>
  <c r="V348" i="34" s="1"/>
  <c r="T348" i="34"/>
  <c r="AA351" i="34"/>
  <c r="AB351" i="34" s="1"/>
  <c r="AA352" i="34"/>
  <c r="AB352" i="34" s="1"/>
  <c r="X352" i="34"/>
  <c r="T356" i="34"/>
  <c r="AG52" i="34" s="1"/>
  <c r="AA360" i="34"/>
  <c r="AB360" i="34" s="1"/>
  <c r="X360" i="34"/>
  <c r="AI52" i="34" s="1"/>
  <c r="AA364" i="34"/>
  <c r="AB364" i="34" s="1"/>
  <c r="T367" i="34"/>
  <c r="T376" i="34"/>
  <c r="J377" i="34"/>
  <c r="H377" i="34" s="1"/>
  <c r="I377" i="34" s="1"/>
  <c r="T377" i="34"/>
  <c r="AA380" i="34"/>
  <c r="AB380" i="34" s="1"/>
  <c r="Z380" i="34"/>
  <c r="T383" i="34"/>
  <c r="J384" i="34"/>
  <c r="H384" i="34" s="1"/>
  <c r="I384" i="34" s="1"/>
  <c r="V384" i="34" s="1"/>
  <c r="T385" i="34"/>
  <c r="T395" i="34"/>
  <c r="AA398" i="34"/>
  <c r="AB398" i="34" s="1"/>
  <c r="Z398" i="34"/>
  <c r="T401" i="34"/>
  <c r="J402" i="34"/>
  <c r="H402" i="34" s="1"/>
  <c r="I402" i="34" s="1"/>
  <c r="V402" i="34" s="1"/>
  <c r="T403" i="34"/>
  <c r="T413" i="34"/>
  <c r="AA416" i="34"/>
  <c r="AB416" i="34" s="1"/>
  <c r="Z416" i="34"/>
  <c r="J304" i="34"/>
  <c r="H304" i="34" s="1"/>
  <c r="I304" i="34" s="1"/>
  <c r="V304" i="34" s="1"/>
  <c r="J311" i="34"/>
  <c r="H311" i="34" s="1"/>
  <c r="I311" i="34" s="1"/>
  <c r="V311" i="34" s="1"/>
  <c r="J322" i="34"/>
  <c r="H322" i="34" s="1"/>
  <c r="I322" i="34" s="1"/>
  <c r="V322" i="34" s="1"/>
  <c r="J329" i="34"/>
  <c r="H329" i="34" s="1"/>
  <c r="I329" i="34" s="1"/>
  <c r="V329" i="34" s="1"/>
  <c r="J340" i="34"/>
  <c r="H340" i="34" s="1"/>
  <c r="I340" i="34" s="1"/>
  <c r="V340" i="34" s="1"/>
  <c r="J347" i="34"/>
  <c r="H347" i="34" s="1"/>
  <c r="I347" i="34" s="1"/>
  <c r="V347" i="34" s="1"/>
  <c r="J358" i="34"/>
  <c r="H358" i="34" s="1"/>
  <c r="I358" i="34" s="1"/>
  <c r="V358" i="34" s="1"/>
  <c r="J365" i="34"/>
  <c r="H365" i="34" s="1"/>
  <c r="I365" i="34" s="1"/>
  <c r="V365" i="34" s="1"/>
  <c r="J376" i="34"/>
  <c r="H376" i="34" s="1"/>
  <c r="I376" i="34" s="1"/>
  <c r="J383" i="34"/>
  <c r="H383" i="34" s="1"/>
  <c r="I383" i="34" s="1"/>
  <c r="V383" i="34" s="1"/>
  <c r="AA390" i="34"/>
  <c r="AB390" i="34" s="1"/>
  <c r="J394" i="34"/>
  <c r="H394" i="34" s="1"/>
  <c r="I394" i="34" s="1"/>
  <c r="V394" i="34" s="1"/>
  <c r="J401" i="34"/>
  <c r="H401" i="34" s="1"/>
  <c r="I401" i="34" s="1"/>
  <c r="V401" i="34" s="1"/>
  <c r="AA408" i="34"/>
  <c r="AB408" i="34" s="1"/>
  <c r="J412" i="34"/>
  <c r="H412" i="34" s="1"/>
  <c r="I412" i="34" s="1"/>
  <c r="V412" i="34" s="1"/>
  <c r="J421" i="34"/>
  <c r="H421" i="34" s="1"/>
  <c r="I421" i="34" s="1"/>
  <c r="V421" i="34" s="1"/>
  <c r="J428" i="34"/>
  <c r="H428" i="34" s="1"/>
  <c r="I428" i="34" s="1"/>
  <c r="V428" i="34" s="1"/>
  <c r="J449" i="34"/>
  <c r="H449" i="34" s="1"/>
  <c r="I449" i="34" s="1"/>
  <c r="V449" i="34" s="1"/>
  <c r="T419" i="34"/>
  <c r="AA432" i="34"/>
  <c r="AB432" i="34" s="1"/>
  <c r="X432" i="34"/>
  <c r="AI60" i="34" s="1"/>
  <c r="T438" i="34"/>
  <c r="J447" i="34"/>
  <c r="H447" i="34" s="1"/>
  <c r="I447" i="34" s="1"/>
  <c r="V447" i="34" s="1"/>
  <c r="J491" i="34"/>
  <c r="H491" i="34" s="1"/>
  <c r="I491" i="34" s="1"/>
  <c r="V491" i="34" s="1"/>
  <c r="J503" i="34"/>
  <c r="H503" i="34" s="1"/>
  <c r="I503" i="34" s="1"/>
  <c r="J529" i="34"/>
  <c r="H529" i="34" s="1"/>
  <c r="I529" i="34" s="1"/>
  <c r="V529" i="34" s="1"/>
  <c r="T428" i="34"/>
  <c r="T437" i="34"/>
  <c r="T449" i="34"/>
  <c r="AG62" i="34" s="1"/>
  <c r="J457" i="34"/>
  <c r="H457" i="34" s="1"/>
  <c r="I457" i="34" s="1"/>
  <c r="V457" i="34" s="1"/>
  <c r="J467" i="34"/>
  <c r="H467" i="34" s="1"/>
  <c r="I467" i="34" s="1"/>
  <c r="J539" i="34"/>
  <c r="H539" i="34" s="1"/>
  <c r="I539" i="34" s="1"/>
  <c r="V539" i="34" s="1"/>
  <c r="AA426" i="34"/>
  <c r="AB426" i="34" s="1"/>
  <c r="J439" i="34"/>
  <c r="H439" i="34" s="1"/>
  <c r="I439" i="34" s="1"/>
  <c r="V439" i="34" s="1"/>
  <c r="J456" i="34"/>
  <c r="H456" i="34" s="1"/>
  <c r="I456" i="34" s="1"/>
  <c r="V456" i="34" s="1"/>
  <c r="X468" i="34"/>
  <c r="AI64" i="34" s="1"/>
  <c r="AA468" i="34"/>
  <c r="AB468" i="34" s="1"/>
  <c r="T475" i="34"/>
  <c r="J476" i="34"/>
  <c r="H476" i="34" s="1"/>
  <c r="I476" i="34" s="1"/>
  <c r="V476" i="34" s="1"/>
  <c r="AA477" i="34"/>
  <c r="AB477" i="34" s="1"/>
  <c r="J482" i="34"/>
  <c r="H482" i="34" s="1"/>
  <c r="I482" i="34" s="1"/>
  <c r="AA486" i="34"/>
  <c r="AB486" i="34" s="1"/>
  <c r="T491" i="34"/>
  <c r="J511" i="34"/>
  <c r="H511" i="34" s="1"/>
  <c r="I511" i="34" s="1"/>
  <c r="V511" i="34" s="1"/>
  <c r="T518" i="34"/>
  <c r="X558" i="34"/>
  <c r="AA558" i="34"/>
  <c r="AB558" i="34" s="1"/>
  <c r="AA434" i="34"/>
  <c r="AB434" i="34" s="1"/>
  <c r="AA436" i="34"/>
  <c r="AB436" i="34" s="1"/>
  <c r="J446" i="34"/>
  <c r="H446" i="34" s="1"/>
  <c r="I446" i="34" s="1"/>
  <c r="V446" i="34" s="1"/>
  <c r="T455" i="34"/>
  <c r="J465" i="34"/>
  <c r="H465" i="34" s="1"/>
  <c r="I465" i="34" s="1"/>
  <c r="V465" i="34" s="1"/>
  <c r="J475" i="34"/>
  <c r="H475" i="34" s="1"/>
  <c r="I475" i="34" s="1"/>
  <c r="V475" i="34" s="1"/>
  <c r="T476" i="34"/>
  <c r="AA488" i="34"/>
  <c r="AB488" i="34" s="1"/>
  <c r="T492" i="34"/>
  <c r="J494" i="34"/>
  <c r="H494" i="34" s="1"/>
  <c r="I494" i="34" s="1"/>
  <c r="V494" i="34" s="1"/>
  <c r="J537" i="34"/>
  <c r="H537" i="34" s="1"/>
  <c r="I537" i="34" s="1"/>
  <c r="V537" i="34" s="1"/>
  <c r="J429" i="34"/>
  <c r="H429" i="34" s="1"/>
  <c r="I429" i="34" s="1"/>
  <c r="V429" i="34" s="1"/>
  <c r="J438" i="34"/>
  <c r="H438" i="34" s="1"/>
  <c r="I438" i="34" s="1"/>
  <c r="V438" i="34" s="1"/>
  <c r="J474" i="34"/>
  <c r="H474" i="34" s="1"/>
  <c r="I474" i="34" s="1"/>
  <c r="V474" i="34" s="1"/>
  <c r="J493" i="34"/>
  <c r="H493" i="34" s="1"/>
  <c r="I493" i="34" s="1"/>
  <c r="V493" i="34" s="1"/>
  <c r="J546" i="34"/>
  <c r="H546" i="34" s="1"/>
  <c r="I546" i="34" s="1"/>
  <c r="J574" i="34"/>
  <c r="H574" i="34" s="1"/>
  <c r="I574" i="34" s="1"/>
  <c r="V574" i="34" s="1"/>
  <c r="J575" i="34"/>
  <c r="H575" i="34" s="1"/>
  <c r="I575" i="34" s="1"/>
  <c r="V575" i="34" s="1"/>
  <c r="J581" i="34"/>
  <c r="H581" i="34" s="1"/>
  <c r="I581" i="34" s="1"/>
  <c r="V581" i="34" s="1"/>
  <c r="AA452" i="34"/>
  <c r="AB452" i="34" s="1"/>
  <c r="AA454" i="34"/>
  <c r="AB454" i="34" s="1"/>
  <c r="J464" i="34"/>
  <c r="H464" i="34" s="1"/>
  <c r="I464" i="34" s="1"/>
  <c r="V464" i="34" s="1"/>
  <c r="J466" i="34"/>
  <c r="H466" i="34" s="1"/>
  <c r="I466" i="34" s="1"/>
  <c r="V466" i="34" s="1"/>
  <c r="AA469" i="34"/>
  <c r="AB469" i="34" s="1"/>
  <c r="AA471" i="34"/>
  <c r="AB471" i="34" s="1"/>
  <c r="T474" i="34"/>
  <c r="T509" i="34"/>
  <c r="J518" i="34"/>
  <c r="H518" i="34" s="1"/>
  <c r="I518" i="34" s="1"/>
  <c r="AA524" i="34"/>
  <c r="AB524" i="34" s="1"/>
  <c r="AA526" i="34"/>
  <c r="AB526" i="34" s="1"/>
  <c r="X532" i="34"/>
  <c r="AI71" i="34" s="1"/>
  <c r="AA532" i="34"/>
  <c r="AB532" i="34" s="1"/>
  <c r="J536" i="34"/>
  <c r="H536" i="34" s="1"/>
  <c r="I536" i="34" s="1"/>
  <c r="V536" i="34" s="1"/>
  <c r="T546" i="34"/>
  <c r="J554" i="34"/>
  <c r="H554" i="34" s="1"/>
  <c r="I554" i="34" s="1"/>
  <c r="V554" i="34" s="1"/>
  <c r="T555" i="34"/>
  <c r="T564" i="34"/>
  <c r="T575" i="34"/>
  <c r="T584" i="34"/>
  <c r="V584" i="34" s="1"/>
  <c r="J591" i="34"/>
  <c r="H591" i="34" s="1"/>
  <c r="I591" i="34" s="1"/>
  <c r="V591" i="34" s="1"/>
  <c r="J618" i="34"/>
  <c r="H618" i="34" s="1"/>
  <c r="I618" i="34" s="1"/>
  <c r="V618" i="34" s="1"/>
  <c r="J620" i="34"/>
  <c r="H620" i="34" s="1"/>
  <c r="I620" i="34" s="1"/>
  <c r="V620" i="34" s="1"/>
  <c r="J683" i="34"/>
  <c r="H683" i="34" s="1"/>
  <c r="I683" i="34" s="1"/>
  <c r="V683" i="34" s="1"/>
  <c r="J500" i="34"/>
  <c r="H500" i="34" s="1"/>
  <c r="I500" i="34" s="1"/>
  <c r="V500" i="34" s="1"/>
  <c r="T500" i="34"/>
  <c r="J501" i="34"/>
  <c r="H501" i="34" s="1"/>
  <c r="I501" i="34" s="1"/>
  <c r="V501" i="34" s="1"/>
  <c r="T503" i="34"/>
  <c r="AA507" i="34"/>
  <c r="AB507" i="34" s="1"/>
  <c r="T520" i="34"/>
  <c r="J547" i="34"/>
  <c r="H547" i="34" s="1"/>
  <c r="I547" i="34" s="1"/>
  <c r="T547" i="34"/>
  <c r="J548" i="34"/>
  <c r="H548" i="34" s="1"/>
  <c r="I548" i="34" s="1"/>
  <c r="J573" i="34"/>
  <c r="H573" i="34" s="1"/>
  <c r="I573" i="34" s="1"/>
  <c r="V573" i="34" s="1"/>
  <c r="J509" i="34"/>
  <c r="H509" i="34" s="1"/>
  <c r="I509" i="34" s="1"/>
  <c r="J538" i="34"/>
  <c r="H538" i="34" s="1"/>
  <c r="I538" i="34" s="1"/>
  <c r="V538" i="34" s="1"/>
  <c r="T548" i="34"/>
  <c r="V548" i="34" s="1"/>
  <c r="J564" i="34"/>
  <c r="H564" i="34" s="1"/>
  <c r="I564" i="34" s="1"/>
  <c r="V564" i="34" s="1"/>
  <c r="T565" i="34"/>
  <c r="J572" i="34"/>
  <c r="H572" i="34" s="1"/>
  <c r="I572" i="34" s="1"/>
  <c r="V572" i="34" s="1"/>
  <c r="T600" i="34"/>
  <c r="V600" i="34" s="1"/>
  <c r="J601" i="34"/>
  <c r="H601" i="34" s="1"/>
  <c r="I601" i="34" s="1"/>
  <c r="V601" i="34" s="1"/>
  <c r="J611" i="34"/>
  <c r="H611" i="34" s="1"/>
  <c r="I611" i="34" s="1"/>
  <c r="V611" i="34" s="1"/>
  <c r="J617" i="34"/>
  <c r="H617" i="34" s="1"/>
  <c r="I617" i="34" s="1"/>
  <c r="V617" i="34" s="1"/>
  <c r="J626" i="34"/>
  <c r="H626" i="34" s="1"/>
  <c r="I626" i="34" s="1"/>
  <c r="V626" i="34" s="1"/>
  <c r="J645" i="34"/>
  <c r="H645" i="34" s="1"/>
  <c r="I645" i="34" s="1"/>
  <c r="V645" i="34" s="1"/>
  <c r="J555" i="34"/>
  <c r="H555" i="34" s="1"/>
  <c r="I555" i="34" s="1"/>
  <c r="V555" i="34" s="1"/>
  <c r="J557" i="34"/>
  <c r="H557" i="34" s="1"/>
  <c r="I557" i="34" s="1"/>
  <c r="V557" i="34" s="1"/>
  <c r="J563" i="34"/>
  <c r="H563" i="34" s="1"/>
  <c r="I563" i="34" s="1"/>
  <c r="V563" i="34" s="1"/>
  <c r="J565" i="34"/>
  <c r="H565" i="34" s="1"/>
  <c r="I565" i="34" s="1"/>
  <c r="V565" i="34" s="1"/>
  <c r="J592" i="34"/>
  <c r="H592" i="34" s="1"/>
  <c r="I592" i="34" s="1"/>
  <c r="V592" i="34" s="1"/>
  <c r="J608" i="34"/>
  <c r="H608" i="34" s="1"/>
  <c r="I608" i="34" s="1"/>
  <c r="V608" i="34" s="1"/>
  <c r="AA623" i="34"/>
  <c r="AB623" i="34" s="1"/>
  <c r="J628" i="34"/>
  <c r="H628" i="34" s="1"/>
  <c r="I628" i="34" s="1"/>
  <c r="V628" i="34" s="1"/>
  <c r="J635" i="34"/>
  <c r="H635" i="34" s="1"/>
  <c r="I635" i="34" s="1"/>
  <c r="V635" i="34" s="1"/>
  <c r="J637" i="34"/>
  <c r="H637" i="34" s="1"/>
  <c r="I637" i="34" s="1"/>
  <c r="V637" i="34" s="1"/>
  <c r="J665" i="34"/>
  <c r="H665" i="34" s="1"/>
  <c r="I665" i="34" s="1"/>
  <c r="V665" i="34" s="1"/>
  <c r="J690" i="34"/>
  <c r="H690" i="34" s="1"/>
  <c r="I690" i="34" s="1"/>
  <c r="V690" i="34" s="1"/>
  <c r="J699" i="34"/>
  <c r="H699" i="34" s="1"/>
  <c r="I699" i="34" s="1"/>
  <c r="V699" i="34" s="1"/>
  <c r="AA533" i="34"/>
  <c r="AB533" i="34" s="1"/>
  <c r="AA534" i="34"/>
  <c r="AB534" i="34" s="1"/>
  <c r="AA535" i="34"/>
  <c r="AB535" i="34" s="1"/>
  <c r="AA540" i="34"/>
  <c r="AB540" i="34" s="1"/>
  <c r="AA543" i="34"/>
  <c r="AB543" i="34" s="1"/>
  <c r="AA560" i="34"/>
  <c r="AB560" i="34" s="1"/>
  <c r="T583" i="34"/>
  <c r="J590" i="34"/>
  <c r="H590" i="34" s="1"/>
  <c r="I590" i="34" s="1"/>
  <c r="V590" i="34" s="1"/>
  <c r="J593" i="34"/>
  <c r="H593" i="34" s="1"/>
  <c r="I593" i="34" s="1"/>
  <c r="V593" i="34" s="1"/>
  <c r="T599" i="34"/>
  <c r="J609" i="34"/>
  <c r="H609" i="34" s="1"/>
  <c r="I609" i="34" s="1"/>
  <c r="V609" i="34" s="1"/>
  <c r="J610" i="34"/>
  <c r="H610" i="34" s="1"/>
  <c r="I610" i="34" s="1"/>
  <c r="V610" i="34" s="1"/>
  <c r="T626" i="34"/>
  <c r="AG82" i="34" s="1"/>
  <c r="T647" i="34"/>
  <c r="AA453" i="34"/>
  <c r="AB453" i="34" s="1"/>
  <c r="AA470" i="34"/>
  <c r="AB470" i="34" s="1"/>
  <c r="AA487" i="34"/>
  <c r="AB487" i="34" s="1"/>
  <c r="AA495" i="34"/>
  <c r="AB495" i="34" s="1"/>
  <c r="AK67" i="34" s="1"/>
  <c r="AA508" i="34"/>
  <c r="AB508" i="34" s="1"/>
  <c r="AA525" i="34"/>
  <c r="AB525" i="34" s="1"/>
  <c r="AA542" i="34"/>
  <c r="AB542" i="34" s="1"/>
  <c r="AA559" i="34"/>
  <c r="AB559" i="34" s="1"/>
  <c r="AA567" i="34"/>
  <c r="AB567" i="34" s="1"/>
  <c r="AK75" i="34" s="1"/>
  <c r="J582" i="34"/>
  <c r="H582" i="34" s="1"/>
  <c r="I582" i="34" s="1"/>
  <c r="V582" i="34" s="1"/>
  <c r="J583" i="34"/>
  <c r="H583" i="34" s="1"/>
  <c r="I583" i="34" s="1"/>
  <c r="T592" i="34"/>
  <c r="J599" i="34"/>
  <c r="H599" i="34" s="1"/>
  <c r="I599" i="34" s="1"/>
  <c r="V599" i="34" s="1"/>
  <c r="J602" i="34"/>
  <c r="H602" i="34" s="1"/>
  <c r="I602" i="34" s="1"/>
  <c r="V602" i="34" s="1"/>
  <c r="T608" i="34"/>
  <c r="T619" i="34"/>
  <c r="V619" i="34" s="1"/>
  <c r="T636" i="34"/>
  <c r="X652" i="34"/>
  <c r="AI84" i="34" s="1"/>
  <c r="AA652" i="34"/>
  <c r="AB652" i="34" s="1"/>
  <c r="J636" i="34"/>
  <c r="H636" i="34" s="1"/>
  <c r="I636" i="34" s="1"/>
  <c r="V636" i="34" s="1"/>
  <c r="T637" i="34"/>
  <c r="J644" i="34"/>
  <c r="H644" i="34" s="1"/>
  <c r="I644" i="34" s="1"/>
  <c r="V644" i="34" s="1"/>
  <c r="T646" i="34"/>
  <c r="J647" i="34"/>
  <c r="H647" i="34" s="1"/>
  <c r="I647" i="34" s="1"/>
  <c r="V647" i="34" s="1"/>
  <c r="T655" i="34"/>
  <c r="X670" i="34"/>
  <c r="AA670" i="34"/>
  <c r="AB670" i="34" s="1"/>
  <c r="J674" i="34"/>
  <c r="H674" i="34" s="1"/>
  <c r="I674" i="34" s="1"/>
  <c r="V674" i="34" s="1"/>
  <c r="AA677" i="34"/>
  <c r="AB677" i="34" s="1"/>
  <c r="X677" i="34"/>
  <c r="AI87" i="34" s="1"/>
  <c r="X688" i="34"/>
  <c r="AA688" i="34"/>
  <c r="AB688" i="34" s="1"/>
  <c r="J726" i="34"/>
  <c r="H726" i="34" s="1"/>
  <c r="I726" i="34" s="1"/>
  <c r="V726" i="34" s="1"/>
  <c r="AA632" i="34"/>
  <c r="AB632" i="34" s="1"/>
  <c r="AA633" i="34"/>
  <c r="AB633" i="34" s="1"/>
  <c r="AA634" i="34"/>
  <c r="AB634" i="34" s="1"/>
  <c r="J638" i="34"/>
  <c r="H638" i="34" s="1"/>
  <c r="I638" i="34" s="1"/>
  <c r="V638" i="34" s="1"/>
  <c r="T644" i="34"/>
  <c r="J653" i="34"/>
  <c r="H653" i="34" s="1"/>
  <c r="I653" i="34" s="1"/>
  <c r="V653" i="34" s="1"/>
  <c r="J656" i="34"/>
  <c r="H656" i="34" s="1"/>
  <c r="I656" i="34" s="1"/>
  <c r="V656" i="34" s="1"/>
  <c r="T662" i="34"/>
  <c r="AG86" i="34" s="1"/>
  <c r="J671" i="34"/>
  <c r="H671" i="34" s="1"/>
  <c r="I671" i="34" s="1"/>
  <c r="V671" i="34" s="1"/>
  <c r="T680" i="34"/>
  <c r="J692" i="34"/>
  <c r="H692" i="34" s="1"/>
  <c r="I692" i="34" s="1"/>
  <c r="V692" i="34" s="1"/>
  <c r="J708" i="34"/>
  <c r="H708" i="34" s="1"/>
  <c r="I708" i="34" s="1"/>
  <c r="V708" i="34" s="1"/>
  <c r="AA624" i="34"/>
  <c r="AB624" i="34" s="1"/>
  <c r="AA643" i="34"/>
  <c r="AB643" i="34" s="1"/>
  <c r="T653" i="34"/>
  <c r="J654" i="34"/>
  <c r="H654" i="34" s="1"/>
  <c r="I654" i="34" s="1"/>
  <c r="V654" i="34" s="1"/>
  <c r="AA661" i="34"/>
  <c r="AB661" i="34" s="1"/>
  <c r="J663" i="34"/>
  <c r="H663" i="34" s="1"/>
  <c r="I663" i="34" s="1"/>
  <c r="V663" i="34" s="1"/>
  <c r="J664" i="34"/>
  <c r="H664" i="34" s="1"/>
  <c r="I664" i="34" s="1"/>
  <c r="V664" i="34" s="1"/>
  <c r="X668" i="34"/>
  <c r="AA668" i="34"/>
  <c r="AB668" i="34" s="1"/>
  <c r="T671" i="34"/>
  <c r="AG87" i="34" s="1"/>
  <c r="AA679" i="34"/>
  <c r="AB679" i="34" s="1"/>
  <c r="J681" i="34"/>
  <c r="H681" i="34" s="1"/>
  <c r="I681" i="34" s="1"/>
  <c r="V681" i="34" s="1"/>
  <c r="J682" i="34"/>
  <c r="H682" i="34" s="1"/>
  <c r="I682" i="34" s="1"/>
  <c r="V682" i="34" s="1"/>
  <c r="X686" i="34"/>
  <c r="AI88" i="34" s="1"/>
  <c r="AA686" i="34"/>
  <c r="AB686" i="34" s="1"/>
  <c r="J700" i="34"/>
  <c r="H700" i="34" s="1"/>
  <c r="I700" i="34" s="1"/>
  <c r="V700" i="34" s="1"/>
  <c r="AA639" i="34"/>
  <c r="AB639" i="34" s="1"/>
  <c r="AA649" i="34"/>
  <c r="AB649" i="34" s="1"/>
  <c r="AA651" i="34"/>
  <c r="AB651" i="34" s="1"/>
  <c r="AA657" i="34"/>
  <c r="AB657" i="34" s="1"/>
  <c r="AA667" i="34"/>
  <c r="AB667" i="34" s="1"/>
  <c r="AA669" i="34"/>
  <c r="AB669" i="34" s="1"/>
  <c r="AA675" i="34"/>
  <c r="AB675" i="34" s="1"/>
  <c r="AA685" i="34"/>
  <c r="AB685" i="34" s="1"/>
  <c r="AA687" i="34"/>
  <c r="AB687" i="34" s="1"/>
  <c r="T691" i="34"/>
  <c r="T698" i="34"/>
  <c r="T700" i="34"/>
  <c r="T701" i="34"/>
  <c r="X731" i="34"/>
  <c r="AI93" i="34" s="1"/>
  <c r="AA731" i="34"/>
  <c r="AB731" i="34" s="1"/>
  <c r="J689" i="34"/>
  <c r="H689" i="34" s="1"/>
  <c r="I689" i="34" s="1"/>
  <c r="V689" i="34" s="1"/>
  <c r="X713" i="34"/>
  <c r="AI91" i="34" s="1"/>
  <c r="AA713" i="34"/>
  <c r="AB713" i="34" s="1"/>
  <c r="T736" i="34"/>
  <c r="J737" i="34"/>
  <c r="H737" i="34" s="1"/>
  <c r="I737" i="34" s="1"/>
  <c r="V737" i="34" s="1"/>
  <c r="X742" i="34"/>
  <c r="AA742" i="34"/>
  <c r="AB742" i="34" s="1"/>
  <c r="J691" i="34"/>
  <c r="H691" i="34" s="1"/>
  <c r="I691" i="34" s="1"/>
  <c r="V691" i="34" s="1"/>
  <c r="J698" i="34"/>
  <c r="H698" i="34" s="1"/>
  <c r="I698" i="34" s="1"/>
  <c r="V698" i="34" s="1"/>
  <c r="X706" i="34"/>
  <c r="AA706" i="34"/>
  <c r="AB706" i="34" s="1"/>
  <c r="T718" i="34"/>
  <c r="AG92" i="34" s="1"/>
  <c r="J719" i="34"/>
  <c r="H719" i="34" s="1"/>
  <c r="I719" i="34" s="1"/>
  <c r="V719" i="34" s="1"/>
  <c r="X724" i="34"/>
  <c r="AI92" i="34" s="1"/>
  <c r="AA724" i="34"/>
  <c r="AB724" i="34" s="1"/>
  <c r="Z741" i="34"/>
  <c r="AJ94" i="34" s="1"/>
  <c r="AA741" i="34"/>
  <c r="AB741" i="34" s="1"/>
  <c r="AA721" i="34"/>
  <c r="AB721" i="34" s="1"/>
  <c r="AA729" i="34"/>
  <c r="AB729" i="34" s="1"/>
  <c r="AA739" i="34"/>
  <c r="AB739" i="34" s="1"/>
  <c r="AA693" i="34"/>
  <c r="AB693" i="34" s="1"/>
  <c r="AA703" i="34"/>
  <c r="AB703" i="34" s="1"/>
  <c r="AK90" i="34" s="1"/>
  <c r="AA705" i="34"/>
  <c r="AB705" i="34" s="1"/>
  <c r="T710" i="34"/>
  <c r="AG91" i="34" s="1"/>
  <c r="AA712" i="34"/>
  <c r="AB712" i="34" s="1"/>
  <c r="AA720" i="34"/>
  <c r="AB720" i="34" s="1"/>
  <c r="AK92" i="34" s="1"/>
  <c r="AA723" i="34"/>
  <c r="AB723" i="34" s="1"/>
  <c r="AA730" i="34"/>
  <c r="AB730" i="34" s="1"/>
  <c r="AA738" i="34"/>
  <c r="AB738" i="34" s="1"/>
  <c r="J709" i="34"/>
  <c r="H709" i="34" s="1"/>
  <c r="I709" i="34" s="1"/>
  <c r="V709" i="34" s="1"/>
  <c r="J710" i="34"/>
  <c r="H710" i="34" s="1"/>
  <c r="I710" i="34" s="1"/>
  <c r="J716" i="34"/>
  <c r="H716" i="34" s="1"/>
  <c r="I716" i="34" s="1"/>
  <c r="V716" i="34" s="1"/>
  <c r="J717" i="34"/>
  <c r="H717" i="34" s="1"/>
  <c r="I717" i="34" s="1"/>
  <c r="J727" i="34"/>
  <c r="H727" i="34" s="1"/>
  <c r="I727" i="34" s="1"/>
  <c r="V727" i="34" s="1"/>
  <c r="J728" i="34"/>
  <c r="H728" i="34" s="1"/>
  <c r="I728" i="34" s="1"/>
  <c r="V728" i="34" s="1"/>
  <c r="J734" i="34"/>
  <c r="H734" i="34" s="1"/>
  <c r="I734" i="34" s="1"/>
  <c r="J735" i="34"/>
  <c r="H735" i="34" s="1"/>
  <c r="I735" i="34" s="1"/>
  <c r="V735" i="34" s="1"/>
  <c r="AA63" i="33"/>
  <c r="AB63" i="33" s="1"/>
  <c r="X63" i="33"/>
  <c r="AA157" i="33"/>
  <c r="AB157" i="33" s="1"/>
  <c r="X157" i="33"/>
  <c r="X164" i="33"/>
  <c r="AI30" i="33" s="1"/>
  <c r="AA164" i="33"/>
  <c r="AB164" i="33" s="1"/>
  <c r="X361" i="33"/>
  <c r="AA361" i="33"/>
  <c r="AB361" i="33" s="1"/>
  <c r="X418" i="33"/>
  <c r="X435" i="33"/>
  <c r="AA436" i="33"/>
  <c r="AB436" i="33" s="1"/>
  <c r="AK60" i="33" s="1"/>
  <c r="X436" i="33"/>
  <c r="X478" i="33"/>
  <c r="X514" i="33"/>
  <c r="AA515" i="33"/>
  <c r="AB515" i="33" s="1"/>
  <c r="X515" i="33"/>
  <c r="X577" i="33"/>
  <c r="AA578" i="33"/>
  <c r="AB578" i="33" s="1"/>
  <c r="X578" i="33"/>
  <c r="X616" i="33"/>
  <c r="AA666" i="33"/>
  <c r="AB666" i="33" s="1"/>
  <c r="X666" i="33"/>
  <c r="AA679" i="33"/>
  <c r="AB679" i="33" s="1"/>
  <c r="X679" i="33"/>
  <c r="X697" i="33"/>
  <c r="AI89" i="33" s="1"/>
  <c r="AA697" i="33"/>
  <c r="AB697" i="33" s="1"/>
  <c r="X730" i="33"/>
  <c r="AA193" i="33"/>
  <c r="AB193" i="33" s="1"/>
  <c r="X193" i="33"/>
  <c r="X200" i="33"/>
  <c r="AA200" i="33"/>
  <c r="AB200" i="33" s="1"/>
  <c r="AA282" i="33"/>
  <c r="AB282" i="33" s="1"/>
  <c r="X282" i="33"/>
  <c r="X351" i="33"/>
  <c r="AI51" i="33" s="1"/>
  <c r="AA351" i="33"/>
  <c r="AB351" i="33" s="1"/>
  <c r="AA398" i="33"/>
  <c r="AB398" i="33" s="1"/>
  <c r="AK56" i="33" s="1"/>
  <c r="X398" i="33"/>
  <c r="AA462" i="33"/>
  <c r="AB462" i="33" s="1"/>
  <c r="X462" i="33"/>
  <c r="AI63" i="33" s="1"/>
  <c r="AA481" i="33"/>
  <c r="AB481" i="33" s="1"/>
  <c r="AK65" i="33" s="1"/>
  <c r="X481" i="33"/>
  <c r="AA598" i="33"/>
  <c r="AB598" i="33" s="1"/>
  <c r="X598" i="33"/>
  <c r="AA669" i="33"/>
  <c r="AB669" i="33" s="1"/>
  <c r="X669" i="33"/>
  <c r="AI86" i="33" s="1"/>
  <c r="AA733" i="33"/>
  <c r="AB733" i="33" s="1"/>
  <c r="X733" i="33"/>
  <c r="X38" i="33"/>
  <c r="X40" i="33"/>
  <c r="X76" i="33"/>
  <c r="AI20" i="33" s="1"/>
  <c r="AA76" i="33"/>
  <c r="AB76" i="33" s="1"/>
  <c r="X184" i="33"/>
  <c r="AI32" i="33" s="1"/>
  <c r="AA184" i="33"/>
  <c r="AB184" i="33" s="1"/>
  <c r="X226" i="33"/>
  <c r="J251" i="33"/>
  <c r="H251" i="33" s="1"/>
  <c r="I251" i="33" s="1"/>
  <c r="V251" i="33" s="1"/>
  <c r="X263" i="33"/>
  <c r="AA264" i="33"/>
  <c r="AB264" i="33" s="1"/>
  <c r="AK41" i="33" s="1"/>
  <c r="X264" i="33"/>
  <c r="X298" i="33"/>
  <c r="AA299" i="33"/>
  <c r="AB299" i="33" s="1"/>
  <c r="AK45" i="33" s="1"/>
  <c r="X299" i="33"/>
  <c r="X343" i="33"/>
  <c r="AA343" i="33"/>
  <c r="AB343" i="33" s="1"/>
  <c r="AA345" i="33"/>
  <c r="AB345" i="33" s="1"/>
  <c r="X345" i="33"/>
  <c r="AI50" i="33" s="1"/>
  <c r="AA354" i="33"/>
  <c r="AB354" i="33" s="1"/>
  <c r="X387" i="33"/>
  <c r="X442" i="33"/>
  <c r="AI61" i="33" s="1"/>
  <c r="AA442" i="33"/>
  <c r="AB442" i="33" s="1"/>
  <c r="X522" i="33"/>
  <c r="X533" i="33"/>
  <c r="X535" i="33"/>
  <c r="X540" i="33"/>
  <c r="X541" i="33"/>
  <c r="X543" i="33"/>
  <c r="X551" i="33"/>
  <c r="X553" i="33"/>
  <c r="J584" i="33"/>
  <c r="H584" i="33" s="1"/>
  <c r="I584" i="33" s="1"/>
  <c r="AA595" i="33"/>
  <c r="AB595" i="33" s="1"/>
  <c r="X595" i="33"/>
  <c r="AA667" i="33"/>
  <c r="AB667" i="33" s="1"/>
  <c r="X667" i="33"/>
  <c r="X685" i="33"/>
  <c r="AA685" i="33"/>
  <c r="AB685" i="33" s="1"/>
  <c r="X702" i="33"/>
  <c r="AA702" i="33"/>
  <c r="AB702" i="33" s="1"/>
  <c r="X711" i="33"/>
  <c r="AA711" i="33"/>
  <c r="AB711" i="33" s="1"/>
  <c r="X29" i="33"/>
  <c r="AI15" i="33" s="1"/>
  <c r="X31" i="33"/>
  <c r="X103" i="33"/>
  <c r="AA103" i="33"/>
  <c r="AB103" i="33" s="1"/>
  <c r="X128" i="33"/>
  <c r="AA128" i="33"/>
  <c r="AB128" i="33" s="1"/>
  <c r="J131" i="33"/>
  <c r="H131" i="33" s="1"/>
  <c r="I131" i="33" s="1"/>
  <c r="V131" i="33" s="1"/>
  <c r="AA198" i="33"/>
  <c r="AB198" i="33" s="1"/>
  <c r="X198" i="33"/>
  <c r="AI34" i="33" s="1"/>
  <c r="X246" i="33"/>
  <c r="X333" i="33"/>
  <c r="AI49" i="33" s="1"/>
  <c r="AA333" i="33"/>
  <c r="AB333" i="33" s="1"/>
  <c r="J25" i="33"/>
  <c r="H25" i="33" s="1"/>
  <c r="I25" i="33" s="1"/>
  <c r="V25" i="33" s="1"/>
  <c r="X48" i="33"/>
  <c r="AI17" i="33" s="1"/>
  <c r="AA48" i="33"/>
  <c r="AB48" i="33" s="1"/>
  <c r="X65" i="33"/>
  <c r="J95" i="33"/>
  <c r="H95" i="33" s="1"/>
  <c r="I95" i="33" s="1"/>
  <c r="V95" i="33" s="1"/>
  <c r="AA119" i="33"/>
  <c r="AB119" i="33" s="1"/>
  <c r="J124" i="33"/>
  <c r="H124" i="33" s="1"/>
  <c r="I124" i="33" s="1"/>
  <c r="V124" i="33" s="1"/>
  <c r="X208" i="33"/>
  <c r="AA227" i="33"/>
  <c r="AB227" i="33" s="1"/>
  <c r="AA244" i="33"/>
  <c r="AB244" i="33" s="1"/>
  <c r="AK39" i="33" s="1"/>
  <c r="X244" i="33"/>
  <c r="X381" i="33"/>
  <c r="AI54" i="33" s="1"/>
  <c r="AA415" i="33"/>
  <c r="AB415" i="33" s="1"/>
  <c r="AK58" i="33" s="1"/>
  <c r="X415" i="33"/>
  <c r="X468" i="33"/>
  <c r="X486" i="33"/>
  <c r="X498" i="33"/>
  <c r="AA499" i="33"/>
  <c r="AB499" i="33" s="1"/>
  <c r="AK67" i="33" s="1"/>
  <c r="X499" i="33"/>
  <c r="AA560" i="33"/>
  <c r="AB560" i="33" s="1"/>
  <c r="AA567" i="33"/>
  <c r="AB567" i="33" s="1"/>
  <c r="X567" i="33"/>
  <c r="AI75" i="33" s="1"/>
  <c r="AA613" i="33"/>
  <c r="AB613" i="33" s="1"/>
  <c r="AK80" i="33" s="1"/>
  <c r="X613" i="33"/>
  <c r="AA631" i="33"/>
  <c r="AB631" i="33" s="1"/>
  <c r="X651" i="33"/>
  <c r="AA652" i="33"/>
  <c r="AB652" i="33" s="1"/>
  <c r="X652" i="33"/>
  <c r="AA677" i="33"/>
  <c r="AB677" i="33" s="1"/>
  <c r="X677" i="33"/>
  <c r="AA738" i="33"/>
  <c r="AB738" i="33" s="1"/>
  <c r="X738" i="33"/>
  <c r="AI94" i="33" s="1"/>
  <c r="J143" i="33"/>
  <c r="H143" i="33" s="1"/>
  <c r="I143" i="33" s="1"/>
  <c r="J313" i="33"/>
  <c r="H313" i="33" s="1"/>
  <c r="I313" i="33" s="1"/>
  <c r="V313" i="33" s="1"/>
  <c r="J320" i="33"/>
  <c r="H320" i="33" s="1"/>
  <c r="I320" i="33" s="1"/>
  <c r="V320" i="33" s="1"/>
  <c r="J356" i="33"/>
  <c r="H356" i="33" s="1"/>
  <c r="I356" i="33" s="1"/>
  <c r="V356" i="33" s="1"/>
  <c r="J367" i="33"/>
  <c r="H367" i="33" s="1"/>
  <c r="I367" i="33" s="1"/>
  <c r="V367" i="33" s="1"/>
  <c r="J574" i="33"/>
  <c r="H574" i="33" s="1"/>
  <c r="I574" i="33" s="1"/>
  <c r="V574" i="33" s="1"/>
  <c r="J620" i="33"/>
  <c r="H620" i="33" s="1"/>
  <c r="I620" i="33" s="1"/>
  <c r="V620" i="33" s="1"/>
  <c r="J707" i="33"/>
  <c r="H707" i="33" s="1"/>
  <c r="I707" i="33" s="1"/>
  <c r="V707" i="33" s="1"/>
  <c r="AA112" i="33"/>
  <c r="AB112" i="33" s="1"/>
  <c r="AA146" i="33"/>
  <c r="AB146" i="33" s="1"/>
  <c r="J151" i="33"/>
  <c r="H151" i="33" s="1"/>
  <c r="I151" i="33" s="1"/>
  <c r="V151" i="33" s="1"/>
  <c r="J179" i="33"/>
  <c r="H179" i="33" s="1"/>
  <c r="I179" i="33" s="1"/>
  <c r="V179" i="33" s="1"/>
  <c r="J186" i="33"/>
  <c r="H186" i="33" s="1"/>
  <c r="I186" i="33" s="1"/>
  <c r="V186" i="33" s="1"/>
  <c r="J215" i="33"/>
  <c r="H215" i="33" s="1"/>
  <c r="I215" i="33" s="1"/>
  <c r="AA220" i="33"/>
  <c r="AB220" i="33" s="1"/>
  <c r="J233" i="33"/>
  <c r="H233" i="33" s="1"/>
  <c r="I233" i="33" s="1"/>
  <c r="V233" i="33" s="1"/>
  <c r="AA316" i="33"/>
  <c r="AB316" i="33" s="1"/>
  <c r="AA324" i="33"/>
  <c r="AB324" i="33" s="1"/>
  <c r="AA352" i="33"/>
  <c r="AB352" i="33" s="1"/>
  <c r="AA372" i="33"/>
  <c r="AB372" i="33" s="1"/>
  <c r="J448" i="33"/>
  <c r="H448" i="33" s="1"/>
  <c r="I448" i="33" s="1"/>
  <c r="V448" i="33" s="1"/>
  <c r="AA453" i="33"/>
  <c r="AB453" i="33" s="1"/>
  <c r="J455" i="33"/>
  <c r="H455" i="33" s="1"/>
  <c r="I455" i="33" s="1"/>
  <c r="V455" i="33" s="1"/>
  <c r="AA625" i="33"/>
  <c r="AB625" i="33" s="1"/>
  <c r="J708" i="33"/>
  <c r="H708" i="33" s="1"/>
  <c r="I708" i="33" s="1"/>
  <c r="V708" i="33" s="1"/>
  <c r="T33" i="33"/>
  <c r="T35" i="33"/>
  <c r="T60" i="33"/>
  <c r="J68" i="33"/>
  <c r="H68" i="33" s="1"/>
  <c r="I68" i="33" s="1"/>
  <c r="J35" i="33"/>
  <c r="H35" i="33" s="1"/>
  <c r="I35" i="33" s="1"/>
  <c r="V35" i="33" s="1"/>
  <c r="T51" i="33"/>
  <c r="J14" i="33"/>
  <c r="H14" i="33" s="1"/>
  <c r="I14" i="33" s="1"/>
  <c r="AJ94" i="33"/>
  <c r="AJ92" i="33"/>
  <c r="AI88" i="33"/>
  <c r="AJ86" i="33"/>
  <c r="AI85" i="33"/>
  <c r="AJ79" i="33"/>
  <c r="J16" i="33"/>
  <c r="H16" i="33" s="1"/>
  <c r="I16" i="33" s="1"/>
  <c r="V16" i="33" s="1"/>
  <c r="AJ18" i="33"/>
  <c r="AA21" i="33"/>
  <c r="AB21" i="33" s="1"/>
  <c r="X22" i="33"/>
  <c r="AI14" i="33" s="1"/>
  <c r="AJ23" i="33"/>
  <c r="J26" i="33"/>
  <c r="H26" i="33" s="1"/>
  <c r="I26" i="33" s="1"/>
  <c r="V26" i="33" s="1"/>
  <c r="AJ27" i="33"/>
  <c r="J34" i="33"/>
  <c r="H34" i="33" s="1"/>
  <c r="I34" i="33" s="1"/>
  <c r="T41" i="33"/>
  <c r="AG17" i="33" s="1"/>
  <c r="J44" i="33"/>
  <c r="H44" i="33" s="1"/>
  <c r="I44" i="33" s="1"/>
  <c r="AJ48" i="33"/>
  <c r="AJ50" i="33"/>
  <c r="T52" i="33"/>
  <c r="AJ61" i="33"/>
  <c r="AI62" i="33"/>
  <c r="AA64" i="33"/>
  <c r="AB64" i="33" s="1"/>
  <c r="AK66" i="33"/>
  <c r="AJ69" i="33"/>
  <c r="AJ81" i="33"/>
  <c r="J86" i="33"/>
  <c r="H86" i="33" s="1"/>
  <c r="I86" i="33" s="1"/>
  <c r="V86" i="33" s="1"/>
  <c r="Z92" i="33"/>
  <c r="AA92" i="33"/>
  <c r="AB92" i="33" s="1"/>
  <c r="Z94" i="33"/>
  <c r="AA94" i="33"/>
  <c r="AB94" i="33" s="1"/>
  <c r="T105" i="33"/>
  <c r="J15" i="33"/>
  <c r="H15" i="33" s="1"/>
  <c r="I15" i="33" s="1"/>
  <c r="V15" i="33" s="1"/>
  <c r="AJ15" i="33"/>
  <c r="J17" i="33"/>
  <c r="H17" i="33" s="1"/>
  <c r="I17" i="33" s="1"/>
  <c r="AJ17" i="33"/>
  <c r="AA18" i="33"/>
  <c r="AB18" i="33" s="1"/>
  <c r="AA19" i="33"/>
  <c r="AB19" i="33" s="1"/>
  <c r="AJ19" i="33"/>
  <c r="AA20" i="33"/>
  <c r="AB20" i="33" s="1"/>
  <c r="J23" i="33"/>
  <c r="H23" i="33" s="1"/>
  <c r="I23" i="33" s="1"/>
  <c r="V23" i="33" s="1"/>
  <c r="AA30" i="33"/>
  <c r="AB30" i="33" s="1"/>
  <c r="AJ30" i="33"/>
  <c r="J32" i="33"/>
  <c r="H32" i="33" s="1"/>
  <c r="I32" i="33" s="1"/>
  <c r="V32" i="33" s="1"/>
  <c r="AJ32" i="33"/>
  <c r="AJ35" i="33"/>
  <c r="AA37" i="33"/>
  <c r="AB37" i="33" s="1"/>
  <c r="AA39" i="33"/>
  <c r="AB39" i="33" s="1"/>
  <c r="J41" i="33"/>
  <c r="H41" i="33" s="1"/>
  <c r="I41" i="33" s="1"/>
  <c r="V41" i="33" s="1"/>
  <c r="AA47" i="33"/>
  <c r="AB47" i="33" s="1"/>
  <c r="AJ47" i="33"/>
  <c r="J52" i="33"/>
  <c r="H52" i="33" s="1"/>
  <c r="I52" i="33" s="1"/>
  <c r="AA54" i="33"/>
  <c r="AB54" i="33" s="1"/>
  <c r="AJ54" i="33"/>
  <c r="T59" i="33"/>
  <c r="T62" i="33"/>
  <c r="AJ62" i="33"/>
  <c r="AA72" i="33"/>
  <c r="AB72" i="33" s="1"/>
  <c r="AK72" i="33"/>
  <c r="X90" i="33"/>
  <c r="AI22" i="33" s="1"/>
  <c r="AA90" i="33"/>
  <c r="AB90" i="33" s="1"/>
  <c r="J122" i="33"/>
  <c r="H122" i="33" s="1"/>
  <c r="I122" i="33" s="1"/>
  <c r="V122" i="33" s="1"/>
  <c r="AA28" i="33"/>
  <c r="AB28" i="33" s="1"/>
  <c r="AJ28" i="33"/>
  <c r="AG33" i="33"/>
  <c r="J42" i="33"/>
  <c r="H42" i="33" s="1"/>
  <c r="I42" i="33" s="1"/>
  <c r="V42" i="33" s="1"/>
  <c r="AJ42" i="33"/>
  <c r="J43" i="33"/>
  <c r="H43" i="33" s="1"/>
  <c r="I43" i="33" s="1"/>
  <c r="V43" i="33" s="1"/>
  <c r="AJ43" i="33"/>
  <c r="AA46" i="33"/>
  <c r="AB46" i="33" s="1"/>
  <c r="AJ46" i="33"/>
  <c r="AG49" i="33"/>
  <c r="J51" i="33"/>
  <c r="H51" i="33" s="1"/>
  <c r="I51" i="33" s="1"/>
  <c r="J53" i="33"/>
  <c r="H53" i="33" s="1"/>
  <c r="I53" i="33" s="1"/>
  <c r="AA55" i="33"/>
  <c r="AB55" i="33" s="1"/>
  <c r="AA57" i="33"/>
  <c r="AB57" i="33" s="1"/>
  <c r="J59" i="33"/>
  <c r="H59" i="33" s="1"/>
  <c r="I59" i="33" s="1"/>
  <c r="V59" i="33" s="1"/>
  <c r="AJ71" i="33"/>
  <c r="AA74" i="33"/>
  <c r="AB74" i="33" s="1"/>
  <c r="Z74" i="33"/>
  <c r="AJ20" i="33" s="1"/>
  <c r="J77" i="33"/>
  <c r="H77" i="33" s="1"/>
  <c r="I77" i="33" s="1"/>
  <c r="J104" i="33"/>
  <c r="H104" i="33" s="1"/>
  <c r="I104" i="33" s="1"/>
  <c r="V104" i="33" s="1"/>
  <c r="J24" i="33"/>
  <c r="H24" i="33" s="1"/>
  <c r="I24" i="33" s="1"/>
  <c r="V24" i="33" s="1"/>
  <c r="J33" i="33"/>
  <c r="H33" i="33" s="1"/>
  <c r="I33" i="33" s="1"/>
  <c r="AJ33" i="33"/>
  <c r="AK42" i="33"/>
  <c r="AK46" i="33"/>
  <c r="AG48" i="33"/>
  <c r="J50" i="33"/>
  <c r="H50" i="33" s="1"/>
  <c r="I50" i="33" s="1"/>
  <c r="V50" i="33" s="1"/>
  <c r="AG52" i="33"/>
  <c r="J60" i="33"/>
  <c r="H60" i="33" s="1"/>
  <c r="I60" i="33" s="1"/>
  <c r="V60" i="33" s="1"/>
  <c r="AJ60" i="33"/>
  <c r="J61" i="33"/>
  <c r="H61" i="33" s="1"/>
  <c r="I61" i="33" s="1"/>
  <c r="AG64" i="33"/>
  <c r="AJ65" i="33"/>
  <c r="AJ66" i="33"/>
  <c r="AJ68" i="33"/>
  <c r="J71" i="33"/>
  <c r="H71" i="33" s="1"/>
  <c r="I71" i="33" s="1"/>
  <c r="AK71" i="33"/>
  <c r="T79" i="33"/>
  <c r="AI83" i="33"/>
  <c r="J97" i="33"/>
  <c r="H97" i="33" s="1"/>
  <c r="I97" i="33" s="1"/>
  <c r="V97" i="33" s="1"/>
  <c r="J115" i="33"/>
  <c r="H115" i="33" s="1"/>
  <c r="I115" i="33" s="1"/>
  <c r="V115" i="33" s="1"/>
  <c r="AJ14" i="33"/>
  <c r="AI24" i="33"/>
  <c r="AJ25" i="33"/>
  <c r="AJ34" i="33"/>
  <c r="AI36" i="33"/>
  <c r="AG40" i="33"/>
  <c r="AK40" i="33"/>
  <c r="AJ41" i="33"/>
  <c r="AI47" i="33"/>
  <c r="AI48" i="33"/>
  <c r="AJ52" i="33"/>
  <c r="AI53" i="33"/>
  <c r="AK55" i="33"/>
  <c r="AK57" i="33"/>
  <c r="AJ59" i="33"/>
  <c r="X66" i="33"/>
  <c r="AJ67" i="33"/>
  <c r="AJ72" i="33"/>
  <c r="AJ73" i="33"/>
  <c r="AJ77" i="33"/>
  <c r="J78" i="33"/>
  <c r="H78" i="33" s="1"/>
  <c r="I78" i="33" s="1"/>
  <c r="AJ80" i="33"/>
  <c r="X81" i="33"/>
  <c r="AI21" i="33" s="1"/>
  <c r="AA81" i="33"/>
  <c r="AB81" i="33" s="1"/>
  <c r="AA83" i="33"/>
  <c r="AB83" i="33" s="1"/>
  <c r="AA84" i="33"/>
  <c r="AB84" i="33" s="1"/>
  <c r="AA85" i="33"/>
  <c r="AB85" i="33" s="1"/>
  <c r="J88" i="33"/>
  <c r="H88" i="33" s="1"/>
  <c r="I88" i="33" s="1"/>
  <c r="V88" i="33" s="1"/>
  <c r="AA91" i="33"/>
  <c r="AB91" i="33" s="1"/>
  <c r="AJ91" i="33"/>
  <c r="AA93" i="33"/>
  <c r="AB93" i="33" s="1"/>
  <c r="AJ93" i="33"/>
  <c r="AA111" i="33"/>
  <c r="AB111" i="33" s="1"/>
  <c r="J114" i="33"/>
  <c r="H114" i="33" s="1"/>
  <c r="I114" i="33" s="1"/>
  <c r="V114" i="33" s="1"/>
  <c r="AA117" i="33"/>
  <c r="AB117" i="33" s="1"/>
  <c r="AA118" i="33"/>
  <c r="AB118" i="33" s="1"/>
  <c r="J123" i="33"/>
  <c r="H123" i="33" s="1"/>
  <c r="I123" i="33" s="1"/>
  <c r="J125" i="33"/>
  <c r="H125" i="33" s="1"/>
  <c r="I125" i="33" s="1"/>
  <c r="V125" i="33" s="1"/>
  <c r="AA127" i="33"/>
  <c r="AB127" i="33" s="1"/>
  <c r="T132" i="33"/>
  <c r="AG27" i="33" s="1"/>
  <c r="AA138" i="33"/>
  <c r="AB138" i="33" s="1"/>
  <c r="T143" i="33"/>
  <c r="AA144" i="33"/>
  <c r="AB144" i="33" s="1"/>
  <c r="J152" i="33"/>
  <c r="H152" i="33" s="1"/>
  <c r="I152" i="33" s="1"/>
  <c r="V152" i="33" s="1"/>
  <c r="T158" i="33"/>
  <c r="T161" i="33"/>
  <c r="T168" i="33"/>
  <c r="V168" i="33" s="1"/>
  <c r="T169" i="33"/>
  <c r="AA180" i="33"/>
  <c r="AB180" i="33" s="1"/>
  <c r="AA190" i="33"/>
  <c r="AB190" i="33" s="1"/>
  <c r="J195" i="33"/>
  <c r="H195" i="33" s="1"/>
  <c r="I195" i="33" s="1"/>
  <c r="V195" i="33" s="1"/>
  <c r="T196" i="33"/>
  <c r="T203" i="33"/>
  <c r="J206" i="33"/>
  <c r="H206" i="33" s="1"/>
  <c r="I206" i="33" s="1"/>
  <c r="V206" i="33" s="1"/>
  <c r="X210" i="33"/>
  <c r="AI35" i="33" s="1"/>
  <c r="AA210" i="33"/>
  <c r="AB210" i="33" s="1"/>
  <c r="T230" i="33"/>
  <c r="T233" i="33"/>
  <c r="J239" i="33"/>
  <c r="H239" i="33" s="1"/>
  <c r="I239" i="33" s="1"/>
  <c r="J105" i="33"/>
  <c r="H105" i="33" s="1"/>
  <c r="I105" i="33" s="1"/>
  <c r="J107" i="33"/>
  <c r="H107" i="33" s="1"/>
  <c r="I107" i="33" s="1"/>
  <c r="J116" i="33"/>
  <c r="H116" i="33" s="1"/>
  <c r="I116" i="33" s="1"/>
  <c r="V116" i="33" s="1"/>
  <c r="J134" i="33"/>
  <c r="H134" i="33" s="1"/>
  <c r="I134" i="33" s="1"/>
  <c r="V134" i="33" s="1"/>
  <c r="X147" i="33"/>
  <c r="AA147" i="33"/>
  <c r="AB147" i="33" s="1"/>
  <c r="X153" i="33"/>
  <c r="AA153" i="33"/>
  <c r="AB153" i="33" s="1"/>
  <c r="X156" i="33"/>
  <c r="AA156" i="33"/>
  <c r="AB156" i="33" s="1"/>
  <c r="J213" i="33"/>
  <c r="H213" i="33" s="1"/>
  <c r="I213" i="33" s="1"/>
  <c r="V213" i="33" s="1"/>
  <c r="J224" i="33"/>
  <c r="H224" i="33" s="1"/>
  <c r="I224" i="33" s="1"/>
  <c r="V224" i="33" s="1"/>
  <c r="X228" i="33"/>
  <c r="AA228" i="33"/>
  <c r="AB228" i="33" s="1"/>
  <c r="J275" i="33"/>
  <c r="H275" i="33" s="1"/>
  <c r="I275" i="33" s="1"/>
  <c r="V275" i="33" s="1"/>
  <c r="T78" i="33"/>
  <c r="J87" i="33"/>
  <c r="H87" i="33" s="1"/>
  <c r="I87" i="33" s="1"/>
  <c r="T88" i="33"/>
  <c r="AG22" i="33" s="1"/>
  <c r="J98" i="33"/>
  <c r="H98" i="33" s="1"/>
  <c r="I98" i="33" s="1"/>
  <c r="V98" i="33" s="1"/>
  <c r="X100" i="33"/>
  <c r="AA101" i="33"/>
  <c r="AB101" i="33" s="1"/>
  <c r="Z110" i="33"/>
  <c r="AJ24" i="33" s="1"/>
  <c r="T114" i="33"/>
  <c r="AA120" i="33"/>
  <c r="AB120" i="33" s="1"/>
  <c r="T125" i="33"/>
  <c r="AG26" i="33" s="1"/>
  <c r="X135" i="33"/>
  <c r="AI27" i="33" s="1"/>
  <c r="AA135" i="33"/>
  <c r="AB135" i="33" s="1"/>
  <c r="J159" i="33"/>
  <c r="H159" i="33" s="1"/>
  <c r="I159" i="33" s="1"/>
  <c r="V159" i="33" s="1"/>
  <c r="J170" i="33"/>
  <c r="H170" i="33" s="1"/>
  <c r="I170" i="33" s="1"/>
  <c r="V170" i="33" s="1"/>
  <c r="X174" i="33"/>
  <c r="AI31" i="33" s="1"/>
  <c r="AA174" i="33"/>
  <c r="AB174" i="33" s="1"/>
  <c r="T197" i="33"/>
  <c r="T204" i="33"/>
  <c r="J231" i="33"/>
  <c r="H231" i="33" s="1"/>
  <c r="I231" i="33" s="1"/>
  <c r="V231" i="33" s="1"/>
  <c r="AJ89" i="33"/>
  <c r="AJ85" i="33"/>
  <c r="AJ84" i="33"/>
  <c r="AJ83" i="33"/>
  <c r="AJ82" i="33"/>
  <c r="AJ78" i="33"/>
  <c r="AK77" i="33"/>
  <c r="AJ87" i="33"/>
  <c r="AI84" i="33"/>
  <c r="AI81" i="33"/>
  <c r="AK79" i="33"/>
  <c r="AJ76" i="33"/>
  <c r="AJ75" i="33"/>
  <c r="AJ74" i="33"/>
  <c r="AK73" i="33"/>
  <c r="AJ70" i="33"/>
  <c r="AK69" i="33"/>
  <c r="AJ16" i="33"/>
  <c r="AG20" i="33"/>
  <c r="AJ21" i="33"/>
  <c r="AI25" i="33"/>
  <c r="AJ26" i="33"/>
  <c r="AJ29" i="33"/>
  <c r="AJ31" i="33"/>
  <c r="AJ37" i="33"/>
  <c r="AJ38" i="33"/>
  <c r="AJ39" i="33"/>
  <c r="AJ40" i="33"/>
  <c r="AJ44" i="33"/>
  <c r="AJ45" i="33"/>
  <c r="AG50" i="33"/>
  <c r="AJ51" i="33"/>
  <c r="AJ55" i="33"/>
  <c r="AJ56" i="33"/>
  <c r="AJ57" i="33"/>
  <c r="AJ58" i="33"/>
  <c r="AJ63" i="33"/>
  <c r="AJ64" i="33"/>
  <c r="AG66" i="33"/>
  <c r="AK68" i="33"/>
  <c r="AG71" i="33"/>
  <c r="AA73" i="33"/>
  <c r="AB73" i="33" s="1"/>
  <c r="T77" i="33"/>
  <c r="AK78" i="33"/>
  <c r="J80" i="33"/>
  <c r="H80" i="33" s="1"/>
  <c r="I80" i="33" s="1"/>
  <c r="V80" i="33" s="1"/>
  <c r="AJ88" i="33"/>
  <c r="J89" i="33"/>
  <c r="H89" i="33" s="1"/>
  <c r="I89" i="33" s="1"/>
  <c r="V89" i="33" s="1"/>
  <c r="T96" i="33"/>
  <c r="AA102" i="33"/>
  <c r="AB102" i="33" s="1"/>
  <c r="T107" i="33"/>
  <c r="AA108" i="33"/>
  <c r="AB108" i="33" s="1"/>
  <c r="X126" i="33"/>
  <c r="AA129" i="33"/>
  <c r="AB129" i="33" s="1"/>
  <c r="J133" i="33"/>
  <c r="H133" i="33" s="1"/>
  <c r="I133" i="33" s="1"/>
  <c r="V133" i="33" s="1"/>
  <c r="AA136" i="33"/>
  <c r="AB136" i="33" s="1"/>
  <c r="AA137" i="33"/>
  <c r="AB137" i="33" s="1"/>
  <c r="J141" i="33"/>
  <c r="H141" i="33" s="1"/>
  <c r="I141" i="33" s="1"/>
  <c r="X145" i="33"/>
  <c r="AA145" i="33"/>
  <c r="AB145" i="33" s="1"/>
  <c r="T150" i="33"/>
  <c r="AA162" i="33"/>
  <c r="AB162" i="33" s="1"/>
  <c r="AA172" i="33"/>
  <c r="AB172" i="33" s="1"/>
  <c r="J177" i="33"/>
  <c r="H177" i="33" s="1"/>
  <c r="I177" i="33" s="1"/>
  <c r="V177" i="33" s="1"/>
  <c r="T178" i="33"/>
  <c r="AG32" i="33" s="1"/>
  <c r="J188" i="33"/>
  <c r="H188" i="33" s="1"/>
  <c r="I188" i="33" s="1"/>
  <c r="V188" i="33" s="1"/>
  <c r="X192" i="33"/>
  <c r="AA192" i="33"/>
  <c r="AB192" i="33" s="1"/>
  <c r="T215" i="33"/>
  <c r="T222" i="33"/>
  <c r="AG37" i="33" s="1"/>
  <c r="AA234" i="33"/>
  <c r="AB234" i="33" s="1"/>
  <c r="J257" i="33"/>
  <c r="H257" i="33" s="1"/>
  <c r="I257" i="33" s="1"/>
  <c r="V257" i="33" s="1"/>
  <c r="AA163" i="33"/>
  <c r="AB163" i="33" s="1"/>
  <c r="AA165" i="33"/>
  <c r="AB165" i="33" s="1"/>
  <c r="AA171" i="33"/>
  <c r="AB171" i="33" s="1"/>
  <c r="AK31" i="33" s="1"/>
  <c r="AA181" i="33"/>
  <c r="AB181" i="33" s="1"/>
  <c r="AA183" i="33"/>
  <c r="AB183" i="33" s="1"/>
  <c r="AA189" i="33"/>
  <c r="AB189" i="33" s="1"/>
  <c r="AA199" i="33"/>
  <c r="AB199" i="33" s="1"/>
  <c r="AA201" i="33"/>
  <c r="AB201" i="33" s="1"/>
  <c r="AA207" i="33"/>
  <c r="AB207" i="33" s="1"/>
  <c r="AA217" i="33"/>
  <c r="AB217" i="33" s="1"/>
  <c r="AA219" i="33"/>
  <c r="AB219" i="33" s="1"/>
  <c r="AA225" i="33"/>
  <c r="AB225" i="33" s="1"/>
  <c r="AA235" i="33"/>
  <c r="AB235" i="33" s="1"/>
  <c r="AA237" i="33"/>
  <c r="AB237" i="33" s="1"/>
  <c r="J241" i="33"/>
  <c r="H241" i="33" s="1"/>
  <c r="I241" i="33" s="1"/>
  <c r="J248" i="33"/>
  <c r="H248" i="33" s="1"/>
  <c r="I248" i="33" s="1"/>
  <c r="V248" i="33" s="1"/>
  <c r="J259" i="33"/>
  <c r="H259" i="33" s="1"/>
  <c r="I259" i="33" s="1"/>
  <c r="J266" i="33"/>
  <c r="H266" i="33" s="1"/>
  <c r="I266" i="33" s="1"/>
  <c r="J269" i="33"/>
  <c r="H269" i="33" s="1"/>
  <c r="I269" i="33" s="1"/>
  <c r="V269" i="33" s="1"/>
  <c r="J277" i="33"/>
  <c r="H277" i="33" s="1"/>
  <c r="I277" i="33" s="1"/>
  <c r="V277" i="33" s="1"/>
  <c r="J284" i="33"/>
  <c r="H284" i="33" s="1"/>
  <c r="I284" i="33" s="1"/>
  <c r="V284" i="33" s="1"/>
  <c r="J287" i="33"/>
  <c r="H287" i="33" s="1"/>
  <c r="I287" i="33" s="1"/>
  <c r="V287" i="33" s="1"/>
  <c r="J295" i="33"/>
  <c r="H295" i="33" s="1"/>
  <c r="I295" i="33" s="1"/>
  <c r="V295" i="33" s="1"/>
  <c r="J304" i="33"/>
  <c r="H304" i="33" s="1"/>
  <c r="I304" i="33" s="1"/>
  <c r="V304" i="33" s="1"/>
  <c r="T305" i="33"/>
  <c r="J314" i="33"/>
  <c r="H314" i="33" s="1"/>
  <c r="I314" i="33" s="1"/>
  <c r="V314" i="33" s="1"/>
  <c r="J321" i="33"/>
  <c r="H321" i="33" s="1"/>
  <c r="I321" i="33" s="1"/>
  <c r="J322" i="33"/>
  <c r="H322" i="33" s="1"/>
  <c r="I322" i="33" s="1"/>
  <c r="V322" i="33" s="1"/>
  <c r="J347" i="33"/>
  <c r="H347" i="33" s="1"/>
  <c r="I347" i="33" s="1"/>
  <c r="V347" i="33" s="1"/>
  <c r="J357" i="33"/>
  <c r="H357" i="33" s="1"/>
  <c r="I357" i="33" s="1"/>
  <c r="V357" i="33" s="1"/>
  <c r="J358" i="33"/>
  <c r="H358" i="33" s="1"/>
  <c r="I358" i="33" s="1"/>
  <c r="V358" i="33" s="1"/>
  <c r="J368" i="33"/>
  <c r="H368" i="33" s="1"/>
  <c r="I368" i="33" s="1"/>
  <c r="V368" i="33" s="1"/>
  <c r="J158" i="33"/>
  <c r="H158" i="33" s="1"/>
  <c r="I158" i="33" s="1"/>
  <c r="V158" i="33" s="1"/>
  <c r="J160" i="33"/>
  <c r="H160" i="33" s="1"/>
  <c r="I160" i="33" s="1"/>
  <c r="V160" i="33" s="1"/>
  <c r="J167" i="33"/>
  <c r="H167" i="33" s="1"/>
  <c r="I167" i="33" s="1"/>
  <c r="V167" i="33" s="1"/>
  <c r="J169" i="33"/>
  <c r="H169" i="33" s="1"/>
  <c r="I169" i="33" s="1"/>
  <c r="J176" i="33"/>
  <c r="H176" i="33" s="1"/>
  <c r="I176" i="33" s="1"/>
  <c r="V176" i="33" s="1"/>
  <c r="J178" i="33"/>
  <c r="H178" i="33" s="1"/>
  <c r="I178" i="33" s="1"/>
  <c r="V178" i="33" s="1"/>
  <c r="J185" i="33"/>
  <c r="H185" i="33" s="1"/>
  <c r="I185" i="33" s="1"/>
  <c r="J187" i="33"/>
  <c r="H187" i="33" s="1"/>
  <c r="I187" i="33" s="1"/>
  <c r="V187" i="33" s="1"/>
  <c r="J194" i="33"/>
  <c r="H194" i="33" s="1"/>
  <c r="I194" i="33" s="1"/>
  <c r="V194" i="33" s="1"/>
  <c r="J196" i="33"/>
  <c r="H196" i="33" s="1"/>
  <c r="I196" i="33" s="1"/>
  <c r="V196" i="33" s="1"/>
  <c r="J203" i="33"/>
  <c r="H203" i="33" s="1"/>
  <c r="I203" i="33" s="1"/>
  <c r="V203" i="33" s="1"/>
  <c r="J205" i="33"/>
  <c r="H205" i="33" s="1"/>
  <c r="I205" i="33" s="1"/>
  <c r="V205" i="33" s="1"/>
  <c r="J212" i="33"/>
  <c r="H212" i="33" s="1"/>
  <c r="I212" i="33" s="1"/>
  <c r="V212" i="33" s="1"/>
  <c r="J214" i="33"/>
  <c r="H214" i="33" s="1"/>
  <c r="I214" i="33" s="1"/>
  <c r="J221" i="33"/>
  <c r="H221" i="33" s="1"/>
  <c r="I221" i="33" s="1"/>
  <c r="V221" i="33" s="1"/>
  <c r="J223" i="33"/>
  <c r="H223" i="33" s="1"/>
  <c r="I223" i="33" s="1"/>
  <c r="V223" i="33" s="1"/>
  <c r="J230" i="33"/>
  <c r="H230" i="33" s="1"/>
  <c r="I230" i="33" s="1"/>
  <c r="V230" i="33" s="1"/>
  <c r="J232" i="33"/>
  <c r="H232" i="33" s="1"/>
  <c r="I232" i="33" s="1"/>
  <c r="AA238" i="33"/>
  <c r="AB238" i="33" s="1"/>
  <c r="J242" i="33"/>
  <c r="H242" i="33" s="1"/>
  <c r="I242" i="33" s="1"/>
  <c r="J249" i="33"/>
  <c r="H249" i="33" s="1"/>
  <c r="I249" i="33" s="1"/>
  <c r="V249" i="33" s="1"/>
  <c r="J250" i="33"/>
  <c r="H250" i="33" s="1"/>
  <c r="I250" i="33" s="1"/>
  <c r="V250" i="33" s="1"/>
  <c r="J260" i="33"/>
  <c r="H260" i="33" s="1"/>
  <c r="I260" i="33" s="1"/>
  <c r="V260" i="33" s="1"/>
  <c r="J267" i="33"/>
  <c r="H267" i="33" s="1"/>
  <c r="I267" i="33" s="1"/>
  <c r="V267" i="33" s="1"/>
  <c r="J268" i="33"/>
  <c r="H268" i="33" s="1"/>
  <c r="I268" i="33" s="1"/>
  <c r="V268" i="33" s="1"/>
  <c r="J278" i="33"/>
  <c r="H278" i="33" s="1"/>
  <c r="I278" i="33" s="1"/>
  <c r="V278" i="33" s="1"/>
  <c r="J285" i="33"/>
  <c r="H285" i="33" s="1"/>
  <c r="I285" i="33" s="1"/>
  <c r="V285" i="33" s="1"/>
  <c r="J286" i="33"/>
  <c r="H286" i="33" s="1"/>
  <c r="I286" i="33" s="1"/>
  <c r="V286" i="33" s="1"/>
  <c r="J296" i="33"/>
  <c r="H296" i="33" s="1"/>
  <c r="I296" i="33" s="1"/>
  <c r="V296" i="33" s="1"/>
  <c r="J340" i="33"/>
  <c r="H340" i="33" s="1"/>
  <c r="I340" i="33" s="1"/>
  <c r="V340" i="33" s="1"/>
  <c r="J365" i="33"/>
  <c r="H365" i="33" s="1"/>
  <c r="I365" i="33" s="1"/>
  <c r="V365" i="33" s="1"/>
  <c r="J377" i="33"/>
  <c r="H377" i="33" s="1"/>
  <c r="I377" i="33" s="1"/>
  <c r="T284" i="33"/>
  <c r="T286" i="33"/>
  <c r="T287" i="33"/>
  <c r="J293" i="33"/>
  <c r="H293" i="33" s="1"/>
  <c r="I293" i="33" s="1"/>
  <c r="V293" i="33" s="1"/>
  <c r="T295" i="33"/>
  <c r="J303" i="33"/>
  <c r="H303" i="33" s="1"/>
  <c r="I303" i="33" s="1"/>
  <c r="V303" i="33" s="1"/>
  <c r="J305" i="33"/>
  <c r="H305" i="33" s="1"/>
  <c r="I305" i="33" s="1"/>
  <c r="V305" i="33" s="1"/>
  <c r="J311" i="33"/>
  <c r="H311" i="33" s="1"/>
  <c r="I311" i="33" s="1"/>
  <c r="V311" i="33" s="1"/>
  <c r="AA236" i="33"/>
  <c r="AB236" i="33" s="1"/>
  <c r="T239" i="33"/>
  <c r="T240" i="33"/>
  <c r="T257" i="33"/>
  <c r="T258" i="33"/>
  <c r="T275" i="33"/>
  <c r="T276" i="33"/>
  <c r="T293" i="33"/>
  <c r="T294" i="33"/>
  <c r="T302" i="33"/>
  <c r="J329" i="33"/>
  <c r="H329" i="33" s="1"/>
  <c r="I329" i="33" s="1"/>
  <c r="V329" i="33" s="1"/>
  <c r="T349" i="33"/>
  <c r="T374" i="33"/>
  <c r="X236" i="33"/>
  <c r="X237" i="33"/>
  <c r="X238" i="33"/>
  <c r="X243" i="33"/>
  <c r="X253" i="33"/>
  <c r="X254" i="33"/>
  <c r="X255" i="33"/>
  <c r="X256" i="33"/>
  <c r="X261" i="33"/>
  <c r="X271" i="33"/>
  <c r="X272" i="33"/>
  <c r="X273" i="33"/>
  <c r="X274" i="33"/>
  <c r="X279" i="33"/>
  <c r="X289" i="33"/>
  <c r="X290" i="33"/>
  <c r="X291" i="33"/>
  <c r="X292" i="33"/>
  <c r="X297" i="33"/>
  <c r="X307" i="33"/>
  <c r="X308" i="33"/>
  <c r="X309" i="33"/>
  <c r="X310" i="33"/>
  <c r="T383" i="33"/>
  <c r="T385" i="33"/>
  <c r="T386" i="33"/>
  <c r="J392" i="33"/>
  <c r="H392" i="33" s="1"/>
  <c r="I392" i="33" s="1"/>
  <c r="V392" i="33" s="1"/>
  <c r="J403" i="33"/>
  <c r="H403" i="33" s="1"/>
  <c r="I403" i="33" s="1"/>
  <c r="J411" i="33"/>
  <c r="H411" i="33" s="1"/>
  <c r="I411" i="33" s="1"/>
  <c r="V411" i="33" s="1"/>
  <c r="J438" i="33"/>
  <c r="H438" i="33" s="1"/>
  <c r="I438" i="33" s="1"/>
  <c r="V438" i="33" s="1"/>
  <c r="T448" i="33"/>
  <c r="AG62" i="33" s="1"/>
  <c r="T455" i="33"/>
  <c r="J458" i="33"/>
  <c r="H458" i="33" s="1"/>
  <c r="I458" i="33" s="1"/>
  <c r="V458" i="33" s="1"/>
  <c r="AA317" i="33"/>
  <c r="AB317" i="33" s="1"/>
  <c r="AA319" i="33"/>
  <c r="AB319" i="33" s="1"/>
  <c r="AA326" i="33"/>
  <c r="AB326" i="33" s="1"/>
  <c r="AA335" i="33"/>
  <c r="AB335" i="33" s="1"/>
  <c r="AA337" i="33"/>
  <c r="AB337" i="33" s="1"/>
  <c r="AA344" i="33"/>
  <c r="AB344" i="33" s="1"/>
  <c r="AA353" i="33"/>
  <c r="AB353" i="33" s="1"/>
  <c r="AA355" i="33"/>
  <c r="AB355" i="33" s="1"/>
  <c r="AA362" i="33"/>
  <c r="AB362" i="33" s="1"/>
  <c r="AA371" i="33"/>
  <c r="AB371" i="33" s="1"/>
  <c r="AA373" i="33"/>
  <c r="AB373" i="33" s="1"/>
  <c r="AA378" i="33"/>
  <c r="AB378" i="33" s="1"/>
  <c r="AK54" i="33" s="1"/>
  <c r="T392" i="33"/>
  <c r="T393" i="33"/>
  <c r="J395" i="33"/>
  <c r="H395" i="33" s="1"/>
  <c r="I395" i="33" s="1"/>
  <c r="V395" i="33" s="1"/>
  <c r="T403" i="33"/>
  <c r="J421" i="33"/>
  <c r="H421" i="33" s="1"/>
  <c r="I421" i="33" s="1"/>
  <c r="V421" i="33" s="1"/>
  <c r="T422" i="33"/>
  <c r="J429" i="33"/>
  <c r="H429" i="33" s="1"/>
  <c r="I429" i="33" s="1"/>
  <c r="T437" i="33"/>
  <c r="AG61" i="33" s="1"/>
  <c r="J446" i="33"/>
  <c r="H446" i="33" s="1"/>
  <c r="I446" i="33" s="1"/>
  <c r="V446" i="33" s="1"/>
  <c r="J312" i="33"/>
  <c r="H312" i="33" s="1"/>
  <c r="I312" i="33" s="1"/>
  <c r="J323" i="33"/>
  <c r="H323" i="33" s="1"/>
  <c r="I323" i="33" s="1"/>
  <c r="V323" i="33" s="1"/>
  <c r="J330" i="33"/>
  <c r="H330" i="33" s="1"/>
  <c r="I330" i="33" s="1"/>
  <c r="V330" i="33" s="1"/>
  <c r="J341" i="33"/>
  <c r="H341" i="33" s="1"/>
  <c r="I341" i="33" s="1"/>
  <c r="V341" i="33" s="1"/>
  <c r="J348" i="33"/>
  <c r="H348" i="33" s="1"/>
  <c r="I348" i="33" s="1"/>
  <c r="V348" i="33" s="1"/>
  <c r="J359" i="33"/>
  <c r="H359" i="33" s="1"/>
  <c r="I359" i="33" s="1"/>
  <c r="V359" i="33" s="1"/>
  <c r="J366" i="33"/>
  <c r="H366" i="33" s="1"/>
  <c r="I366" i="33" s="1"/>
  <c r="J383" i="33"/>
  <c r="H383" i="33" s="1"/>
  <c r="I383" i="33" s="1"/>
  <c r="V383" i="33" s="1"/>
  <c r="J402" i="33"/>
  <c r="H402" i="33" s="1"/>
  <c r="I402" i="33" s="1"/>
  <c r="V402" i="33" s="1"/>
  <c r="J404" i="33"/>
  <c r="H404" i="33" s="1"/>
  <c r="I404" i="33" s="1"/>
  <c r="J410" i="33"/>
  <c r="H410" i="33" s="1"/>
  <c r="I410" i="33" s="1"/>
  <c r="J413" i="33"/>
  <c r="H413" i="33" s="1"/>
  <c r="I413" i="33" s="1"/>
  <c r="V413" i="33" s="1"/>
  <c r="J439" i="33"/>
  <c r="H439" i="33" s="1"/>
  <c r="I439" i="33" s="1"/>
  <c r="V439" i="33" s="1"/>
  <c r="J302" i="33"/>
  <c r="H302" i="33" s="1"/>
  <c r="I302" i="33" s="1"/>
  <c r="V302" i="33" s="1"/>
  <c r="AA328" i="33"/>
  <c r="AB328" i="33" s="1"/>
  <c r="AA346" i="33"/>
  <c r="AB346" i="33" s="1"/>
  <c r="AA364" i="33"/>
  <c r="AB364" i="33" s="1"/>
  <c r="T376" i="33"/>
  <c r="J384" i="33"/>
  <c r="H384" i="33" s="1"/>
  <c r="I384" i="33" s="1"/>
  <c r="V384" i="33" s="1"/>
  <c r="J385" i="33"/>
  <c r="H385" i="33" s="1"/>
  <c r="I385" i="33" s="1"/>
  <c r="J393" i="33"/>
  <c r="H393" i="33" s="1"/>
  <c r="I393" i="33" s="1"/>
  <c r="V393" i="33" s="1"/>
  <c r="T401" i="33"/>
  <c r="T410" i="33"/>
  <c r="T412" i="33"/>
  <c r="J420" i="33"/>
  <c r="H420" i="33" s="1"/>
  <c r="I420" i="33" s="1"/>
  <c r="V420" i="33" s="1"/>
  <c r="J422" i="33"/>
  <c r="H422" i="33" s="1"/>
  <c r="I422" i="33" s="1"/>
  <c r="V422" i="33" s="1"/>
  <c r="J428" i="33"/>
  <c r="H428" i="33" s="1"/>
  <c r="I428" i="33" s="1"/>
  <c r="T429" i="33"/>
  <c r="AG60" i="33" s="1"/>
  <c r="J431" i="33"/>
  <c r="H431" i="33" s="1"/>
  <c r="I431" i="33" s="1"/>
  <c r="V431" i="33" s="1"/>
  <c r="J449" i="33"/>
  <c r="H449" i="33" s="1"/>
  <c r="I449" i="33" s="1"/>
  <c r="V449" i="33" s="1"/>
  <c r="J456" i="33"/>
  <c r="H456" i="33" s="1"/>
  <c r="I456" i="33" s="1"/>
  <c r="X388" i="33"/>
  <c r="X389" i="33"/>
  <c r="X390" i="33"/>
  <c r="X391" i="33"/>
  <c r="X396" i="33"/>
  <c r="X406" i="33"/>
  <c r="X407" i="33"/>
  <c r="X408" i="33"/>
  <c r="X409" i="33"/>
  <c r="X414" i="33"/>
  <c r="X424" i="33"/>
  <c r="X425" i="33"/>
  <c r="X426" i="33"/>
  <c r="X427" i="33"/>
  <c r="X432" i="33"/>
  <c r="J467" i="33"/>
  <c r="H467" i="33" s="1"/>
  <c r="I467" i="33" s="1"/>
  <c r="J475" i="33"/>
  <c r="H475" i="33" s="1"/>
  <c r="I475" i="33" s="1"/>
  <c r="V475" i="33" s="1"/>
  <c r="J482" i="33"/>
  <c r="H482" i="33" s="1"/>
  <c r="I482" i="33" s="1"/>
  <c r="V482" i="33" s="1"/>
  <c r="J491" i="33"/>
  <c r="H491" i="33" s="1"/>
  <c r="I491" i="33" s="1"/>
  <c r="V491" i="33" s="1"/>
  <c r="J492" i="33"/>
  <c r="H492" i="33" s="1"/>
  <c r="I492" i="33" s="1"/>
  <c r="T500" i="33"/>
  <c r="T501" i="33"/>
  <c r="T509" i="33"/>
  <c r="J512" i="33"/>
  <c r="H512" i="33" s="1"/>
  <c r="I512" i="33" s="1"/>
  <c r="V512" i="33" s="1"/>
  <c r="J521" i="33"/>
  <c r="H521" i="33" s="1"/>
  <c r="I521" i="33" s="1"/>
  <c r="J528" i="33"/>
  <c r="H528" i="33" s="1"/>
  <c r="I528" i="33" s="1"/>
  <c r="V528" i="33" s="1"/>
  <c r="J546" i="33"/>
  <c r="H546" i="33" s="1"/>
  <c r="I546" i="33" s="1"/>
  <c r="T546" i="33"/>
  <c r="J556" i="33"/>
  <c r="H556" i="33" s="1"/>
  <c r="I556" i="33" s="1"/>
  <c r="V556" i="33" s="1"/>
  <c r="T556" i="33"/>
  <c r="AA443" i="33"/>
  <c r="AB443" i="33" s="1"/>
  <c r="AA452" i="33"/>
  <c r="AB452" i="33" s="1"/>
  <c r="AA454" i="33"/>
  <c r="AB454" i="33" s="1"/>
  <c r="AA459" i="33"/>
  <c r="AB459" i="33" s="1"/>
  <c r="J464" i="33"/>
  <c r="H464" i="33" s="1"/>
  <c r="I464" i="33" s="1"/>
  <c r="V464" i="33" s="1"/>
  <c r="J465" i="33"/>
  <c r="H465" i="33" s="1"/>
  <c r="I465" i="33" s="1"/>
  <c r="V465" i="33" s="1"/>
  <c r="J466" i="33"/>
  <c r="H466" i="33" s="1"/>
  <c r="I466" i="33" s="1"/>
  <c r="J476" i="33"/>
  <c r="H476" i="33" s="1"/>
  <c r="I476" i="33" s="1"/>
  <c r="V476" i="33" s="1"/>
  <c r="J483" i="33"/>
  <c r="H483" i="33" s="1"/>
  <c r="I483" i="33" s="1"/>
  <c r="V483" i="33" s="1"/>
  <c r="J484" i="33"/>
  <c r="H484" i="33" s="1"/>
  <c r="I484" i="33" s="1"/>
  <c r="V484" i="33" s="1"/>
  <c r="T491" i="33"/>
  <c r="AG67" i="33" s="1"/>
  <c r="J494" i="33"/>
  <c r="H494" i="33" s="1"/>
  <c r="I494" i="33" s="1"/>
  <c r="V494" i="33" s="1"/>
  <c r="T503" i="33"/>
  <c r="T512" i="33"/>
  <c r="J519" i="33"/>
  <c r="H519" i="33" s="1"/>
  <c r="I519" i="33" s="1"/>
  <c r="V519" i="33" s="1"/>
  <c r="T519" i="33"/>
  <c r="T520" i="33"/>
  <c r="J548" i="33"/>
  <c r="H548" i="33" s="1"/>
  <c r="I548" i="33" s="1"/>
  <c r="T548" i="33"/>
  <c r="T555" i="33"/>
  <c r="J566" i="33"/>
  <c r="H566" i="33" s="1"/>
  <c r="I566" i="33" s="1"/>
  <c r="V566" i="33" s="1"/>
  <c r="J440" i="33"/>
  <c r="H440" i="33" s="1"/>
  <c r="I440" i="33" s="1"/>
  <c r="J447" i="33"/>
  <c r="H447" i="33" s="1"/>
  <c r="I447" i="33" s="1"/>
  <c r="V447" i="33" s="1"/>
  <c r="J473" i="33"/>
  <c r="H473" i="33" s="1"/>
  <c r="I473" i="33" s="1"/>
  <c r="V473" i="33" s="1"/>
  <c r="J502" i="33"/>
  <c r="H502" i="33" s="1"/>
  <c r="I502" i="33" s="1"/>
  <c r="J503" i="33"/>
  <c r="H503" i="33" s="1"/>
  <c r="I503" i="33" s="1"/>
  <c r="J509" i="33"/>
  <c r="H509" i="33" s="1"/>
  <c r="I509" i="33" s="1"/>
  <c r="J530" i="33"/>
  <c r="H530" i="33" s="1"/>
  <c r="I530" i="33" s="1"/>
  <c r="V530" i="33" s="1"/>
  <c r="J537" i="33"/>
  <c r="H537" i="33" s="1"/>
  <c r="I537" i="33" s="1"/>
  <c r="V537" i="33" s="1"/>
  <c r="J555" i="33"/>
  <c r="H555" i="33" s="1"/>
  <c r="I555" i="33" s="1"/>
  <c r="V555" i="33" s="1"/>
  <c r="J557" i="33"/>
  <c r="H557" i="33" s="1"/>
  <c r="I557" i="33" s="1"/>
  <c r="V557" i="33" s="1"/>
  <c r="J394" i="33"/>
  <c r="H394" i="33" s="1"/>
  <c r="I394" i="33" s="1"/>
  <c r="V394" i="33" s="1"/>
  <c r="J401" i="33"/>
  <c r="H401" i="33" s="1"/>
  <c r="I401" i="33" s="1"/>
  <c r="V401" i="33" s="1"/>
  <c r="J412" i="33"/>
  <c r="H412" i="33" s="1"/>
  <c r="I412" i="33" s="1"/>
  <c r="V412" i="33" s="1"/>
  <c r="J419" i="33"/>
  <c r="H419" i="33" s="1"/>
  <c r="I419" i="33" s="1"/>
  <c r="V419" i="33" s="1"/>
  <c r="J430" i="33"/>
  <c r="H430" i="33" s="1"/>
  <c r="I430" i="33" s="1"/>
  <c r="V430" i="33" s="1"/>
  <c r="J437" i="33"/>
  <c r="H437" i="33" s="1"/>
  <c r="I437" i="33" s="1"/>
  <c r="V437" i="33" s="1"/>
  <c r="AA445" i="33"/>
  <c r="AB445" i="33" s="1"/>
  <c r="T457" i="33"/>
  <c r="AA461" i="33"/>
  <c r="AB461" i="33" s="1"/>
  <c r="AA463" i="33"/>
  <c r="AB463" i="33" s="1"/>
  <c r="T473" i="33"/>
  <c r="T474" i="33"/>
  <c r="J501" i="33"/>
  <c r="H501" i="33" s="1"/>
  <c r="I501" i="33" s="1"/>
  <c r="J510" i="33"/>
  <c r="H510" i="33" s="1"/>
  <c r="I510" i="33" s="1"/>
  <c r="V510" i="33" s="1"/>
  <c r="J520" i="33"/>
  <c r="H520" i="33" s="1"/>
  <c r="I520" i="33" s="1"/>
  <c r="J539" i="33"/>
  <c r="H539" i="33" s="1"/>
  <c r="I539" i="33" s="1"/>
  <c r="V539" i="33" s="1"/>
  <c r="T539" i="33"/>
  <c r="J564" i="33"/>
  <c r="H564" i="33" s="1"/>
  <c r="I564" i="33" s="1"/>
  <c r="V564" i="33" s="1"/>
  <c r="T566" i="33"/>
  <c r="AG75" i="33" s="1"/>
  <c r="X469" i="33"/>
  <c r="X470" i="33"/>
  <c r="X471" i="33"/>
  <c r="X472" i="33"/>
  <c r="X477" i="33"/>
  <c r="X487" i="33"/>
  <c r="X488" i="33"/>
  <c r="X489" i="33"/>
  <c r="X490" i="33"/>
  <c r="X495" i="33"/>
  <c r="X505" i="33"/>
  <c r="X506" i="33"/>
  <c r="X507" i="33"/>
  <c r="X508" i="33"/>
  <c r="X513" i="33"/>
  <c r="X523" i="33"/>
  <c r="X524" i="33"/>
  <c r="X525" i="33"/>
  <c r="X531" i="33"/>
  <c r="J575" i="33"/>
  <c r="H575" i="33" s="1"/>
  <c r="I575" i="33" s="1"/>
  <c r="V575" i="33" s="1"/>
  <c r="T581" i="33"/>
  <c r="J591" i="33"/>
  <c r="H591" i="33" s="1"/>
  <c r="I591" i="33" s="1"/>
  <c r="V591" i="33" s="1"/>
  <c r="T599" i="33"/>
  <c r="T600" i="33"/>
  <c r="T601" i="33"/>
  <c r="J609" i="33"/>
  <c r="H609" i="33" s="1"/>
  <c r="I609" i="33" s="1"/>
  <c r="V609" i="33" s="1"/>
  <c r="J638" i="33"/>
  <c r="H638" i="33" s="1"/>
  <c r="I638" i="33" s="1"/>
  <c r="J527" i="33"/>
  <c r="H527" i="33" s="1"/>
  <c r="I527" i="33" s="1"/>
  <c r="V527" i="33" s="1"/>
  <c r="J538" i="33"/>
  <c r="H538" i="33" s="1"/>
  <c r="I538" i="33" s="1"/>
  <c r="V538" i="33" s="1"/>
  <c r="J545" i="33"/>
  <c r="H545" i="33" s="1"/>
  <c r="I545" i="33" s="1"/>
  <c r="V545" i="33" s="1"/>
  <c r="X559" i="33"/>
  <c r="AI74" i="33" s="1"/>
  <c r="AA561" i="33"/>
  <c r="AB561" i="33" s="1"/>
  <c r="AA568" i="33"/>
  <c r="AB568" i="33" s="1"/>
  <c r="AA570" i="33"/>
  <c r="AB570" i="33" s="1"/>
  <c r="J573" i="33"/>
  <c r="H573" i="33" s="1"/>
  <c r="I573" i="33" s="1"/>
  <c r="V573" i="33" s="1"/>
  <c r="T574" i="33"/>
  <c r="AG76" i="33" s="1"/>
  <c r="J583" i="33"/>
  <c r="H583" i="33" s="1"/>
  <c r="I583" i="33" s="1"/>
  <c r="V583" i="33" s="1"/>
  <c r="T584" i="33"/>
  <c r="V584" i="33" s="1"/>
  <c r="J590" i="33"/>
  <c r="H590" i="33" s="1"/>
  <c r="I590" i="33" s="1"/>
  <c r="V590" i="33" s="1"/>
  <c r="J611" i="33"/>
  <c r="H611" i="33" s="1"/>
  <c r="I611" i="33" s="1"/>
  <c r="V611" i="33" s="1"/>
  <c r="T619" i="33"/>
  <c r="V619" i="33" s="1"/>
  <c r="J572" i="33"/>
  <c r="H572" i="33" s="1"/>
  <c r="I572" i="33" s="1"/>
  <c r="J592" i="33"/>
  <c r="H592" i="33" s="1"/>
  <c r="I592" i="33" s="1"/>
  <c r="V592" i="33" s="1"/>
  <c r="J593" i="33"/>
  <c r="H593" i="33" s="1"/>
  <c r="I593" i="33" s="1"/>
  <c r="V593" i="33" s="1"/>
  <c r="J601" i="33"/>
  <c r="H601" i="33" s="1"/>
  <c r="I601" i="33" s="1"/>
  <c r="T602" i="33"/>
  <c r="T610" i="33"/>
  <c r="T611" i="33"/>
  <c r="J618" i="33"/>
  <c r="H618" i="33" s="1"/>
  <c r="I618" i="33" s="1"/>
  <c r="T618" i="33"/>
  <c r="J626" i="33"/>
  <c r="H626" i="33" s="1"/>
  <c r="I626" i="33" s="1"/>
  <c r="V626" i="33" s="1"/>
  <c r="T627" i="33"/>
  <c r="AG82" i="33" s="1"/>
  <c r="J636" i="33"/>
  <c r="H636" i="33" s="1"/>
  <c r="I636" i="33" s="1"/>
  <c r="V636" i="33" s="1"/>
  <c r="J493" i="33"/>
  <c r="H493" i="33" s="1"/>
  <c r="I493" i="33" s="1"/>
  <c r="J500" i="33"/>
  <c r="H500" i="33" s="1"/>
  <c r="I500" i="33" s="1"/>
  <c r="V500" i="33" s="1"/>
  <c r="J511" i="33"/>
  <c r="H511" i="33" s="1"/>
  <c r="I511" i="33" s="1"/>
  <c r="V511" i="33" s="1"/>
  <c r="J518" i="33"/>
  <c r="H518" i="33" s="1"/>
  <c r="I518" i="33" s="1"/>
  <c r="J529" i="33"/>
  <c r="H529" i="33" s="1"/>
  <c r="I529" i="33" s="1"/>
  <c r="V529" i="33" s="1"/>
  <c r="J536" i="33"/>
  <c r="H536" i="33" s="1"/>
  <c r="I536" i="33" s="1"/>
  <c r="J547" i="33"/>
  <c r="H547" i="33" s="1"/>
  <c r="I547" i="33" s="1"/>
  <c r="J554" i="33"/>
  <c r="H554" i="33" s="1"/>
  <c r="I554" i="33" s="1"/>
  <c r="V554" i="33" s="1"/>
  <c r="J565" i="33"/>
  <c r="H565" i="33" s="1"/>
  <c r="I565" i="33" s="1"/>
  <c r="V565" i="33" s="1"/>
  <c r="AA569" i="33"/>
  <c r="AB569" i="33" s="1"/>
  <c r="AA571" i="33"/>
  <c r="AB571" i="33" s="1"/>
  <c r="J581" i="33"/>
  <c r="H581" i="33" s="1"/>
  <c r="I581" i="33" s="1"/>
  <c r="V581" i="33" s="1"/>
  <c r="J582" i="33"/>
  <c r="H582" i="33" s="1"/>
  <c r="I582" i="33" s="1"/>
  <c r="V582" i="33" s="1"/>
  <c r="T590" i="33"/>
  <c r="T592" i="33"/>
  <c r="J600" i="33"/>
  <c r="H600" i="33" s="1"/>
  <c r="I600" i="33" s="1"/>
  <c r="J602" i="33"/>
  <c r="H602" i="33" s="1"/>
  <c r="I602" i="33" s="1"/>
  <c r="J608" i="33"/>
  <c r="H608" i="33" s="1"/>
  <c r="I608" i="33" s="1"/>
  <c r="X576" i="33"/>
  <c r="X586" i="33"/>
  <c r="X587" i="33"/>
  <c r="X588" i="33"/>
  <c r="X589" i="33"/>
  <c r="X594" i="33"/>
  <c r="X604" i="33"/>
  <c r="X605" i="33"/>
  <c r="X606" i="33"/>
  <c r="X607" i="33"/>
  <c r="X612" i="33"/>
  <c r="AA621" i="33"/>
  <c r="AB621" i="33" s="1"/>
  <c r="J629" i="33"/>
  <c r="H629" i="33" s="1"/>
  <c r="I629" i="33" s="1"/>
  <c r="V629" i="33" s="1"/>
  <c r="T635" i="33"/>
  <c r="AG83" i="33" s="1"/>
  <c r="J644" i="33"/>
  <c r="H644" i="33" s="1"/>
  <c r="I644" i="33" s="1"/>
  <c r="V644" i="33" s="1"/>
  <c r="J646" i="33"/>
  <c r="H646" i="33" s="1"/>
  <c r="I646" i="33" s="1"/>
  <c r="J647" i="33"/>
  <c r="H647" i="33" s="1"/>
  <c r="I647" i="33" s="1"/>
  <c r="V647" i="33" s="1"/>
  <c r="AA650" i="33"/>
  <c r="AB650" i="33" s="1"/>
  <c r="AA657" i="33"/>
  <c r="AB657" i="33" s="1"/>
  <c r="AA659" i="33"/>
  <c r="AB659" i="33" s="1"/>
  <c r="AA661" i="33"/>
  <c r="AB661" i="33" s="1"/>
  <c r="T663" i="33"/>
  <c r="J665" i="33"/>
  <c r="H665" i="33" s="1"/>
  <c r="I665" i="33" s="1"/>
  <c r="V665" i="33" s="1"/>
  <c r="T665" i="33"/>
  <c r="J689" i="33"/>
  <c r="H689" i="33" s="1"/>
  <c r="I689" i="33" s="1"/>
  <c r="V689" i="33" s="1"/>
  <c r="AA622" i="33"/>
  <c r="AB622" i="33" s="1"/>
  <c r="AA624" i="33"/>
  <c r="AB624" i="33" s="1"/>
  <c r="AA630" i="33"/>
  <c r="AB630" i="33" s="1"/>
  <c r="X632" i="33"/>
  <c r="AA639" i="33"/>
  <c r="AB639" i="33" s="1"/>
  <c r="AA641" i="33"/>
  <c r="AB641" i="33" s="1"/>
  <c r="AA643" i="33"/>
  <c r="AB643" i="33" s="1"/>
  <c r="T653" i="33"/>
  <c r="T654" i="33"/>
  <c r="J655" i="33"/>
  <c r="H655" i="33" s="1"/>
  <c r="I655" i="33" s="1"/>
  <c r="V655" i="33" s="1"/>
  <c r="J672" i="33"/>
  <c r="H672" i="33" s="1"/>
  <c r="I672" i="33" s="1"/>
  <c r="V672" i="33" s="1"/>
  <c r="T672" i="33"/>
  <c r="AG87" i="33" s="1"/>
  <c r="J645" i="33"/>
  <c r="H645" i="33" s="1"/>
  <c r="I645" i="33" s="1"/>
  <c r="V645" i="33" s="1"/>
  <c r="J654" i="33"/>
  <c r="H654" i="33" s="1"/>
  <c r="I654" i="33" s="1"/>
  <c r="V654" i="33" s="1"/>
  <c r="J674" i="33"/>
  <c r="H674" i="33" s="1"/>
  <c r="I674" i="33" s="1"/>
  <c r="V674" i="33" s="1"/>
  <c r="J599" i="33"/>
  <c r="H599" i="33" s="1"/>
  <c r="I599" i="33" s="1"/>
  <c r="J610" i="33"/>
  <c r="H610" i="33" s="1"/>
  <c r="I610" i="33" s="1"/>
  <c r="J617" i="33"/>
  <c r="H617" i="33" s="1"/>
  <c r="I617" i="33" s="1"/>
  <c r="V617" i="33" s="1"/>
  <c r="X634" i="33"/>
  <c r="J637" i="33"/>
  <c r="H637" i="33" s="1"/>
  <c r="I637" i="33" s="1"/>
  <c r="V637" i="33" s="1"/>
  <c r="AA640" i="33"/>
  <c r="AB640" i="33" s="1"/>
  <c r="AA642" i="33"/>
  <c r="AB642" i="33" s="1"/>
  <c r="T646" i="33"/>
  <c r="AA648" i="33"/>
  <c r="AB648" i="33" s="1"/>
  <c r="AA649" i="33"/>
  <c r="AB649" i="33" s="1"/>
  <c r="J662" i="33"/>
  <c r="H662" i="33" s="1"/>
  <c r="I662" i="33" s="1"/>
  <c r="V662" i="33" s="1"/>
  <c r="J663" i="33"/>
  <c r="H663" i="33" s="1"/>
  <c r="I663" i="33" s="1"/>
  <c r="V663" i="33" s="1"/>
  <c r="J681" i="33"/>
  <c r="H681" i="33" s="1"/>
  <c r="I681" i="33" s="1"/>
  <c r="V681" i="33" s="1"/>
  <c r="T681" i="33"/>
  <c r="AG88" i="33" s="1"/>
  <c r="AA686" i="33"/>
  <c r="AB686" i="33" s="1"/>
  <c r="AA688" i="33"/>
  <c r="AB688" i="33" s="1"/>
  <c r="J692" i="33"/>
  <c r="H692" i="33" s="1"/>
  <c r="I692" i="33" s="1"/>
  <c r="V692" i="33" s="1"/>
  <c r="AA695" i="33"/>
  <c r="AB695" i="33" s="1"/>
  <c r="J698" i="33"/>
  <c r="H698" i="33" s="1"/>
  <c r="I698" i="33" s="1"/>
  <c r="V698" i="33" s="1"/>
  <c r="J699" i="33"/>
  <c r="H699" i="33" s="1"/>
  <c r="I699" i="33" s="1"/>
  <c r="V699" i="33" s="1"/>
  <c r="T700" i="33"/>
  <c r="J701" i="33"/>
  <c r="H701" i="33" s="1"/>
  <c r="I701" i="33" s="1"/>
  <c r="V701" i="33" s="1"/>
  <c r="J709" i="33"/>
  <c r="H709" i="33" s="1"/>
  <c r="I709" i="33" s="1"/>
  <c r="V709" i="33" s="1"/>
  <c r="J710" i="33"/>
  <c r="H710" i="33" s="1"/>
  <c r="I710" i="33" s="1"/>
  <c r="V710" i="33" s="1"/>
  <c r="X712" i="33"/>
  <c r="AA712" i="33"/>
  <c r="AB712" i="33" s="1"/>
  <c r="J728" i="33"/>
  <c r="H728" i="33" s="1"/>
  <c r="I728" i="33" s="1"/>
  <c r="J735" i="33"/>
  <c r="H735" i="33" s="1"/>
  <c r="I735" i="33" s="1"/>
  <c r="V735" i="33" s="1"/>
  <c r="J673" i="33"/>
  <c r="H673" i="33" s="1"/>
  <c r="I673" i="33" s="1"/>
  <c r="J680" i="33"/>
  <c r="H680" i="33" s="1"/>
  <c r="I680" i="33" s="1"/>
  <c r="V680" i="33" s="1"/>
  <c r="J683" i="33"/>
  <c r="H683" i="33" s="1"/>
  <c r="I683" i="33" s="1"/>
  <c r="V683" i="33" s="1"/>
  <c r="AA684" i="33"/>
  <c r="AB684" i="33" s="1"/>
  <c r="J690" i="33"/>
  <c r="H690" i="33" s="1"/>
  <c r="I690" i="33" s="1"/>
  <c r="V690" i="33" s="1"/>
  <c r="AA693" i="33"/>
  <c r="AB693" i="33" s="1"/>
  <c r="AA696" i="33"/>
  <c r="AB696" i="33" s="1"/>
  <c r="AA703" i="33"/>
  <c r="AB703" i="33" s="1"/>
  <c r="AA704" i="33"/>
  <c r="AB704" i="33" s="1"/>
  <c r="T708" i="33"/>
  <c r="AG91" i="33" s="1"/>
  <c r="J716" i="33"/>
  <c r="H716" i="33" s="1"/>
  <c r="I716" i="33" s="1"/>
  <c r="V716" i="33" s="1"/>
  <c r="J717" i="33"/>
  <c r="H717" i="33" s="1"/>
  <c r="I717" i="33" s="1"/>
  <c r="V717" i="33" s="1"/>
  <c r="X720" i="33"/>
  <c r="AI92" i="33" s="1"/>
  <c r="AA720" i="33"/>
  <c r="AB720" i="33" s="1"/>
  <c r="J664" i="33"/>
  <c r="H664" i="33" s="1"/>
  <c r="I664" i="33" s="1"/>
  <c r="J671" i="33"/>
  <c r="H671" i="33" s="1"/>
  <c r="I671" i="33" s="1"/>
  <c r="V671" i="33" s="1"/>
  <c r="T692" i="33"/>
  <c r="AA694" i="33"/>
  <c r="AB694" i="33" s="1"/>
  <c r="T699" i="33"/>
  <c r="T701" i="33"/>
  <c r="AA706" i="33"/>
  <c r="AB706" i="33" s="1"/>
  <c r="Z706" i="33"/>
  <c r="AJ90" i="33" s="1"/>
  <c r="AA714" i="33"/>
  <c r="AB714" i="33" s="1"/>
  <c r="T716" i="33"/>
  <c r="J718" i="33"/>
  <c r="H718" i="33" s="1"/>
  <c r="I718" i="33" s="1"/>
  <c r="V718" i="33" s="1"/>
  <c r="T718" i="33"/>
  <c r="J719" i="33"/>
  <c r="H719" i="33" s="1"/>
  <c r="I719" i="33" s="1"/>
  <c r="V719" i="33" s="1"/>
  <c r="J736" i="33"/>
  <c r="H736" i="33" s="1"/>
  <c r="I736" i="33" s="1"/>
  <c r="X703" i="33"/>
  <c r="X704" i="33"/>
  <c r="X714" i="33"/>
  <c r="J727" i="33"/>
  <c r="H727" i="33" s="1"/>
  <c r="I727" i="33" s="1"/>
  <c r="J734" i="33"/>
  <c r="H734" i="33" s="1"/>
  <c r="I734" i="33" s="1"/>
  <c r="V734" i="33" s="1"/>
  <c r="J737" i="33"/>
  <c r="H737" i="33" s="1"/>
  <c r="I737" i="33" s="1"/>
  <c r="J725" i="33"/>
  <c r="H725" i="33" s="1"/>
  <c r="I725" i="33" s="1"/>
  <c r="V725" i="33" s="1"/>
  <c r="T727" i="33"/>
  <c r="V727" i="33" s="1"/>
  <c r="T734" i="33"/>
  <c r="T736" i="33"/>
  <c r="V736" i="33" s="1"/>
  <c r="T737" i="33"/>
  <c r="T725" i="33"/>
  <c r="T726" i="33"/>
  <c r="V726" i="33" s="1"/>
  <c r="AA721" i="33"/>
  <c r="AB721" i="33" s="1"/>
  <c r="AA722" i="33"/>
  <c r="AB722" i="33" s="1"/>
  <c r="AA723" i="33"/>
  <c r="AB723" i="33" s="1"/>
  <c r="AA724" i="33"/>
  <c r="AB724" i="33" s="1"/>
  <c r="AA729" i="33"/>
  <c r="AB729" i="33" s="1"/>
  <c r="AK93" i="33" s="1"/>
  <c r="AA739" i="33"/>
  <c r="AB739" i="33" s="1"/>
  <c r="AA740" i="33"/>
  <c r="AB740" i="33" s="1"/>
  <c r="AA741" i="33"/>
  <c r="AB741" i="33" s="1"/>
  <c r="AA742" i="33"/>
  <c r="AB742" i="33" s="1"/>
  <c r="AA171" i="32"/>
  <c r="AB171" i="32" s="1"/>
  <c r="X171" i="32"/>
  <c r="AI31" i="32" s="1"/>
  <c r="X183" i="32"/>
  <c r="AI32" i="32" s="1"/>
  <c r="AA183" i="32"/>
  <c r="AB183" i="32" s="1"/>
  <c r="AA247" i="32"/>
  <c r="AB247" i="32" s="1"/>
  <c r="X247" i="32"/>
  <c r="AA256" i="32"/>
  <c r="AB256" i="32" s="1"/>
  <c r="X256" i="32"/>
  <c r="AA540" i="32"/>
  <c r="AB540" i="32" s="1"/>
  <c r="X540" i="32"/>
  <c r="AI72" i="32" s="1"/>
  <c r="X569" i="32"/>
  <c r="AA569" i="32"/>
  <c r="AB569" i="32" s="1"/>
  <c r="AA571" i="32"/>
  <c r="AB571" i="32" s="1"/>
  <c r="X571" i="32"/>
  <c r="AA606" i="32"/>
  <c r="AB606" i="32" s="1"/>
  <c r="X606" i="32"/>
  <c r="AI79" i="32" s="1"/>
  <c r="AA622" i="32"/>
  <c r="AB622" i="32" s="1"/>
  <c r="X622" i="32"/>
  <c r="AA623" i="32"/>
  <c r="AB623" i="32" s="1"/>
  <c r="X623" i="32"/>
  <c r="AA630" i="32"/>
  <c r="AB630" i="32" s="1"/>
  <c r="X630" i="32"/>
  <c r="AA633" i="32"/>
  <c r="AB633" i="32" s="1"/>
  <c r="X633" i="32"/>
  <c r="X48" i="32"/>
  <c r="X56" i="32"/>
  <c r="AI18" i="32" s="1"/>
  <c r="X65" i="32"/>
  <c r="J68" i="32"/>
  <c r="H68" i="32" s="1"/>
  <c r="I68" i="32" s="1"/>
  <c r="V68" i="32" s="1"/>
  <c r="X74" i="32"/>
  <c r="AI20" i="32" s="1"/>
  <c r="J86" i="32"/>
  <c r="H86" i="32" s="1"/>
  <c r="I86" i="32" s="1"/>
  <c r="V86" i="32" s="1"/>
  <c r="X94" i="32"/>
  <c r="AI22" i="32" s="1"/>
  <c r="J96" i="32"/>
  <c r="H96" i="32" s="1"/>
  <c r="I96" i="32" s="1"/>
  <c r="V96" i="32" s="1"/>
  <c r="X110" i="32"/>
  <c r="X112" i="32"/>
  <c r="X119" i="32"/>
  <c r="X121" i="32"/>
  <c r="X126" i="32"/>
  <c r="X127" i="32"/>
  <c r="X129" i="32"/>
  <c r="X144" i="32"/>
  <c r="X145" i="32"/>
  <c r="X147" i="32"/>
  <c r="AA157" i="32"/>
  <c r="AB157" i="32" s="1"/>
  <c r="AK29" i="32" s="1"/>
  <c r="X157" i="32"/>
  <c r="AI29" i="32" s="1"/>
  <c r="X191" i="32"/>
  <c r="AA199" i="32"/>
  <c r="AB199" i="32" s="1"/>
  <c r="X199" i="32"/>
  <c r="J205" i="32"/>
  <c r="H205" i="32" s="1"/>
  <c r="I205" i="32" s="1"/>
  <c r="V205" i="32" s="1"/>
  <c r="AA207" i="32"/>
  <c r="AB207" i="32" s="1"/>
  <c r="X207" i="32"/>
  <c r="J233" i="32"/>
  <c r="H233" i="32" s="1"/>
  <c r="I233" i="32" s="1"/>
  <c r="V233" i="32" s="1"/>
  <c r="J242" i="32"/>
  <c r="H242" i="32" s="1"/>
  <c r="I242" i="32" s="1"/>
  <c r="V242" i="32" s="1"/>
  <c r="AA364" i="32"/>
  <c r="AB364" i="32" s="1"/>
  <c r="X364" i="32"/>
  <c r="X416" i="32"/>
  <c r="AA416" i="32"/>
  <c r="AB416" i="32" s="1"/>
  <c r="AA418" i="32"/>
  <c r="AB418" i="32" s="1"/>
  <c r="X418" i="32"/>
  <c r="AA550" i="32"/>
  <c r="AB550" i="32" s="1"/>
  <c r="X550" i="32"/>
  <c r="AA634" i="32"/>
  <c r="AB634" i="32" s="1"/>
  <c r="X634" i="32"/>
  <c r="AA640" i="32"/>
  <c r="AB640" i="32" s="1"/>
  <c r="X640" i="32"/>
  <c r="AA201" i="32"/>
  <c r="AB201" i="32" s="1"/>
  <c r="X201" i="32"/>
  <c r="AA208" i="32"/>
  <c r="AB208" i="32" s="1"/>
  <c r="X208" i="32"/>
  <c r="AA346" i="32"/>
  <c r="AB346" i="32" s="1"/>
  <c r="X346" i="32"/>
  <c r="J24" i="32"/>
  <c r="H24" i="32" s="1"/>
  <c r="I24" i="32" s="1"/>
  <c r="V24" i="32" s="1"/>
  <c r="J179" i="32"/>
  <c r="H179" i="32" s="1"/>
  <c r="I179" i="32" s="1"/>
  <c r="V179" i="32" s="1"/>
  <c r="X218" i="32"/>
  <c r="AA218" i="32"/>
  <c r="AB218" i="32" s="1"/>
  <c r="AA289" i="32"/>
  <c r="AB289" i="32" s="1"/>
  <c r="X292" i="32"/>
  <c r="AA292" i="32"/>
  <c r="AB292" i="32" s="1"/>
  <c r="AA315" i="32"/>
  <c r="AB315" i="32" s="1"/>
  <c r="AA354" i="32"/>
  <c r="AB354" i="32" s="1"/>
  <c r="AA382" i="32"/>
  <c r="AB382" i="32" s="1"/>
  <c r="X382" i="32"/>
  <c r="AA432" i="32"/>
  <c r="AB432" i="32" s="1"/>
  <c r="X434" i="32"/>
  <c r="AA434" i="32"/>
  <c r="AB434" i="32" s="1"/>
  <c r="AA436" i="32"/>
  <c r="AB436" i="32" s="1"/>
  <c r="X436" i="32"/>
  <c r="AA462" i="32"/>
  <c r="AB462" i="32" s="1"/>
  <c r="AA508" i="32"/>
  <c r="AB508" i="32" s="1"/>
  <c r="X524" i="32"/>
  <c r="AA524" i="32"/>
  <c r="AB524" i="32" s="1"/>
  <c r="AA560" i="32"/>
  <c r="AB560" i="32" s="1"/>
  <c r="AA580" i="32"/>
  <c r="AB580" i="32" s="1"/>
  <c r="AA588" i="32"/>
  <c r="AB588" i="32" s="1"/>
  <c r="X588" i="32"/>
  <c r="J600" i="32"/>
  <c r="H600" i="32" s="1"/>
  <c r="I600" i="32" s="1"/>
  <c r="J608" i="32"/>
  <c r="H608" i="32" s="1"/>
  <c r="I608" i="32" s="1"/>
  <c r="V608" i="32" s="1"/>
  <c r="AA631" i="32"/>
  <c r="AB631" i="32" s="1"/>
  <c r="X631" i="32"/>
  <c r="AA639" i="32"/>
  <c r="AB639" i="32" s="1"/>
  <c r="X639" i="32"/>
  <c r="AA686" i="32"/>
  <c r="AB686" i="32" s="1"/>
  <c r="X703" i="32"/>
  <c r="AA703" i="32"/>
  <c r="AB703" i="32" s="1"/>
  <c r="AA705" i="32"/>
  <c r="AB705" i="32" s="1"/>
  <c r="X705" i="32"/>
  <c r="J709" i="32"/>
  <c r="H709" i="32" s="1"/>
  <c r="I709" i="32" s="1"/>
  <c r="V709" i="32" s="1"/>
  <c r="AA22" i="32"/>
  <c r="AB22" i="32" s="1"/>
  <c r="J23" i="32"/>
  <c r="H23" i="32" s="1"/>
  <c r="I23" i="32" s="1"/>
  <c r="V23" i="32" s="1"/>
  <c r="X27" i="32"/>
  <c r="X28" i="32"/>
  <c r="X36" i="32"/>
  <c r="X40" i="32"/>
  <c r="X49" i="32"/>
  <c r="AI17" i="32" s="1"/>
  <c r="J60" i="32"/>
  <c r="H60" i="32" s="1"/>
  <c r="I60" i="32" s="1"/>
  <c r="V60" i="32" s="1"/>
  <c r="J61" i="32"/>
  <c r="H61" i="32" s="1"/>
  <c r="I61" i="32" s="1"/>
  <c r="V61" i="32" s="1"/>
  <c r="J78" i="32"/>
  <c r="H78" i="32" s="1"/>
  <c r="I78" i="32" s="1"/>
  <c r="V78" i="32" s="1"/>
  <c r="J79" i="32"/>
  <c r="H79" i="32" s="1"/>
  <c r="I79" i="32" s="1"/>
  <c r="V79" i="32" s="1"/>
  <c r="X81" i="32"/>
  <c r="AI21" i="32" s="1"/>
  <c r="J89" i="32"/>
  <c r="H89" i="32" s="1"/>
  <c r="I89" i="32" s="1"/>
  <c r="V89" i="32" s="1"/>
  <c r="X108" i="32"/>
  <c r="X109" i="32"/>
  <c r="X111" i="32"/>
  <c r="X117" i="32"/>
  <c r="AI25" i="32" s="1"/>
  <c r="X118" i="32"/>
  <c r="X120" i="32"/>
  <c r="X128" i="32"/>
  <c r="X130" i="32"/>
  <c r="X146" i="32"/>
  <c r="X148" i="32"/>
  <c r="J187" i="32"/>
  <c r="H187" i="32" s="1"/>
  <c r="I187" i="32" s="1"/>
  <c r="V187" i="32" s="1"/>
  <c r="AA189" i="32"/>
  <c r="AB189" i="32" s="1"/>
  <c r="X200" i="32"/>
  <c r="X226" i="32"/>
  <c r="X228" i="32"/>
  <c r="AA234" i="32"/>
  <c r="AB234" i="32" s="1"/>
  <c r="AK38" i="32" s="1"/>
  <c r="X234" i="32"/>
  <c r="AA246" i="32"/>
  <c r="AB246" i="32" s="1"/>
  <c r="X246" i="32"/>
  <c r="AI39" i="32" s="1"/>
  <c r="AA328" i="32"/>
  <c r="AB328" i="32" s="1"/>
  <c r="X328" i="32"/>
  <c r="AA372" i="32"/>
  <c r="AB372" i="32" s="1"/>
  <c r="AA407" i="32"/>
  <c r="AB407" i="32" s="1"/>
  <c r="AA424" i="32"/>
  <c r="AB424" i="32" s="1"/>
  <c r="AA445" i="32"/>
  <c r="AB445" i="32" s="1"/>
  <c r="X506" i="32"/>
  <c r="AI68" i="32" s="1"/>
  <c r="AA506" i="32"/>
  <c r="AB506" i="32" s="1"/>
  <c r="J521" i="32"/>
  <c r="H521" i="32" s="1"/>
  <c r="I521" i="32" s="1"/>
  <c r="V521" i="32" s="1"/>
  <c r="X526" i="32"/>
  <c r="AA526" i="32"/>
  <c r="AB526" i="32" s="1"/>
  <c r="J583" i="32"/>
  <c r="H583" i="32" s="1"/>
  <c r="I583" i="32" s="1"/>
  <c r="J601" i="32"/>
  <c r="H601" i="32" s="1"/>
  <c r="I601" i="32" s="1"/>
  <c r="AA632" i="32"/>
  <c r="AB632" i="32" s="1"/>
  <c r="X632" i="32"/>
  <c r="J673" i="32"/>
  <c r="H673" i="32" s="1"/>
  <c r="I673" i="32" s="1"/>
  <c r="V673" i="32" s="1"/>
  <c r="J682" i="32"/>
  <c r="H682" i="32" s="1"/>
  <c r="I682" i="32" s="1"/>
  <c r="V682" i="32" s="1"/>
  <c r="AA697" i="32"/>
  <c r="AB697" i="32" s="1"/>
  <c r="J710" i="32"/>
  <c r="H710" i="32" s="1"/>
  <c r="I710" i="32" s="1"/>
  <c r="V710" i="32" s="1"/>
  <c r="AA280" i="32"/>
  <c r="AB280" i="32" s="1"/>
  <c r="J285" i="32"/>
  <c r="H285" i="32" s="1"/>
  <c r="I285" i="32" s="1"/>
  <c r="V285" i="32" s="1"/>
  <c r="J429" i="32"/>
  <c r="H429" i="32" s="1"/>
  <c r="I429" i="32" s="1"/>
  <c r="V429" i="32" s="1"/>
  <c r="J458" i="32"/>
  <c r="H458" i="32" s="1"/>
  <c r="I458" i="32" s="1"/>
  <c r="AA470" i="32"/>
  <c r="AB470" i="32" s="1"/>
  <c r="J491" i="32"/>
  <c r="H491" i="32" s="1"/>
  <c r="I491" i="32" s="1"/>
  <c r="V491" i="32" s="1"/>
  <c r="J249" i="32"/>
  <c r="H249" i="32" s="1"/>
  <c r="I249" i="32" s="1"/>
  <c r="V249" i="32" s="1"/>
  <c r="AA271" i="32"/>
  <c r="AB271" i="32" s="1"/>
  <c r="AA297" i="32"/>
  <c r="AB297" i="32" s="1"/>
  <c r="AA316" i="32"/>
  <c r="AB316" i="32" s="1"/>
  <c r="J321" i="32"/>
  <c r="H321" i="32" s="1"/>
  <c r="I321" i="32" s="1"/>
  <c r="V321" i="32" s="1"/>
  <c r="AA324" i="32"/>
  <c r="AB324" i="32" s="1"/>
  <c r="J338" i="32"/>
  <c r="H338" i="32" s="1"/>
  <c r="I338" i="32" s="1"/>
  <c r="V338" i="32" s="1"/>
  <c r="J339" i="32"/>
  <c r="H339" i="32" s="1"/>
  <c r="I339" i="32" s="1"/>
  <c r="V339" i="32" s="1"/>
  <c r="AA342" i="32"/>
  <c r="AB342" i="32" s="1"/>
  <c r="J356" i="32"/>
  <c r="H356" i="32" s="1"/>
  <c r="I356" i="32" s="1"/>
  <c r="V356" i="32" s="1"/>
  <c r="J357" i="32"/>
  <c r="H357" i="32" s="1"/>
  <c r="I357" i="32" s="1"/>
  <c r="V357" i="32" s="1"/>
  <c r="AA360" i="32"/>
  <c r="AB360" i="32" s="1"/>
  <c r="J374" i="32"/>
  <c r="H374" i="32" s="1"/>
  <c r="I374" i="32" s="1"/>
  <c r="V374" i="32" s="1"/>
  <c r="J375" i="32"/>
  <c r="H375" i="32" s="1"/>
  <c r="I375" i="32" s="1"/>
  <c r="V375" i="32" s="1"/>
  <c r="AA378" i="32"/>
  <c r="AB378" i="32" s="1"/>
  <c r="J392" i="32"/>
  <c r="H392" i="32" s="1"/>
  <c r="I392" i="32" s="1"/>
  <c r="V392" i="32" s="1"/>
  <c r="J393" i="32"/>
  <c r="H393" i="32" s="1"/>
  <c r="I393" i="32" s="1"/>
  <c r="AA396" i="32"/>
  <c r="AB396" i="32" s="1"/>
  <c r="J421" i="32"/>
  <c r="H421" i="32" s="1"/>
  <c r="I421" i="32" s="1"/>
  <c r="V421" i="32" s="1"/>
  <c r="J422" i="32"/>
  <c r="H422" i="32" s="1"/>
  <c r="I422" i="32" s="1"/>
  <c r="AA426" i="32"/>
  <c r="AB426" i="32" s="1"/>
  <c r="AA443" i="32"/>
  <c r="AB443" i="32" s="1"/>
  <c r="AA460" i="32"/>
  <c r="AB460" i="32" s="1"/>
  <c r="J464" i="32"/>
  <c r="H464" i="32" s="1"/>
  <c r="I464" i="32" s="1"/>
  <c r="V464" i="32" s="1"/>
  <c r="J465" i="32"/>
  <c r="H465" i="32" s="1"/>
  <c r="I465" i="32" s="1"/>
  <c r="V465" i="32" s="1"/>
  <c r="AA472" i="32"/>
  <c r="AB472" i="32" s="1"/>
  <c r="J473" i="32"/>
  <c r="H473" i="32" s="1"/>
  <c r="I473" i="32" s="1"/>
  <c r="V473" i="32" s="1"/>
  <c r="J536" i="32"/>
  <c r="H536" i="32" s="1"/>
  <c r="I536" i="32" s="1"/>
  <c r="V536" i="32" s="1"/>
  <c r="J545" i="32"/>
  <c r="H545" i="32" s="1"/>
  <c r="I545" i="32" s="1"/>
  <c r="V545" i="32" s="1"/>
  <c r="J546" i="32"/>
  <c r="H546" i="32" s="1"/>
  <c r="I546" i="32" s="1"/>
  <c r="V546" i="32" s="1"/>
  <c r="J556" i="32"/>
  <c r="H556" i="32" s="1"/>
  <c r="I556" i="32" s="1"/>
  <c r="V556" i="32" s="1"/>
  <c r="AA732" i="32"/>
  <c r="AB732" i="32" s="1"/>
  <c r="AA739" i="32"/>
  <c r="AB739" i="32" s="1"/>
  <c r="J14" i="32"/>
  <c r="H14" i="32" s="1"/>
  <c r="I14" i="32" s="1"/>
  <c r="V14" i="32" s="1"/>
  <c r="T17" i="32"/>
  <c r="AG14" i="32" s="1"/>
  <c r="J26" i="32"/>
  <c r="H26" i="32" s="1"/>
  <c r="I26" i="32" s="1"/>
  <c r="V26" i="32" s="1"/>
  <c r="T35" i="32"/>
  <c r="AG16" i="32" s="1"/>
  <c r="J44" i="32"/>
  <c r="H44" i="32" s="1"/>
  <c r="I44" i="32" s="1"/>
  <c r="J95" i="32"/>
  <c r="H95" i="32" s="1"/>
  <c r="I95" i="32" s="1"/>
  <c r="V95" i="32" s="1"/>
  <c r="J15" i="32"/>
  <c r="H15" i="32" s="1"/>
  <c r="I15" i="32" s="1"/>
  <c r="V15" i="32" s="1"/>
  <c r="T24" i="32"/>
  <c r="AG15" i="32" s="1"/>
  <c r="J42" i="32"/>
  <c r="H42" i="32" s="1"/>
  <c r="I42" i="32" s="1"/>
  <c r="V42" i="32" s="1"/>
  <c r="J43" i="32"/>
  <c r="H43" i="32" s="1"/>
  <c r="I43" i="32" s="1"/>
  <c r="V43" i="32" s="1"/>
  <c r="T44" i="32"/>
  <c r="AG17" i="32" s="1"/>
  <c r="J59" i="32"/>
  <c r="H59" i="32" s="1"/>
  <c r="I59" i="32" s="1"/>
  <c r="V59" i="32" s="1"/>
  <c r="T68" i="32"/>
  <c r="J69" i="32"/>
  <c r="H69" i="32" s="1"/>
  <c r="I69" i="32" s="1"/>
  <c r="J77" i="32"/>
  <c r="H77" i="32" s="1"/>
  <c r="I77" i="32" s="1"/>
  <c r="V77" i="32" s="1"/>
  <c r="T86" i="32"/>
  <c r="J87" i="32"/>
  <c r="H87" i="32" s="1"/>
  <c r="I87" i="32" s="1"/>
  <c r="V87" i="32" s="1"/>
  <c r="T87" i="32"/>
  <c r="J97" i="32"/>
  <c r="H97" i="32" s="1"/>
  <c r="I97" i="32" s="1"/>
  <c r="V97" i="32" s="1"/>
  <c r="J105" i="32"/>
  <c r="H105" i="32" s="1"/>
  <c r="I105" i="32" s="1"/>
  <c r="V105" i="32" s="1"/>
  <c r="T105" i="32"/>
  <c r="J41" i="32"/>
  <c r="H41" i="32" s="1"/>
  <c r="I41" i="32" s="1"/>
  <c r="V41" i="32" s="1"/>
  <c r="J51" i="32"/>
  <c r="H51" i="32" s="1"/>
  <c r="I51" i="32" s="1"/>
  <c r="V51" i="32" s="1"/>
  <c r="J50" i="32"/>
  <c r="H50" i="32" s="1"/>
  <c r="I50" i="32" s="1"/>
  <c r="V50" i="32" s="1"/>
  <c r="T61" i="32"/>
  <c r="J62" i="32"/>
  <c r="H62" i="32" s="1"/>
  <c r="I62" i="32" s="1"/>
  <c r="V62" i="32" s="1"/>
  <c r="T62" i="32"/>
  <c r="T79" i="32"/>
  <c r="AG21" i="32" s="1"/>
  <c r="J80" i="32"/>
  <c r="H80" i="32" s="1"/>
  <c r="I80" i="32" s="1"/>
  <c r="V80" i="32" s="1"/>
  <c r="J98" i="32"/>
  <c r="H98" i="32" s="1"/>
  <c r="I98" i="32" s="1"/>
  <c r="V98" i="32" s="1"/>
  <c r="J104" i="32"/>
  <c r="H104" i="32" s="1"/>
  <c r="I104" i="32" s="1"/>
  <c r="V104" i="32" s="1"/>
  <c r="J106" i="32"/>
  <c r="H106" i="32" s="1"/>
  <c r="I106" i="32" s="1"/>
  <c r="V106" i="32" s="1"/>
  <c r="AJ23" i="32"/>
  <c r="J25" i="32"/>
  <c r="H25" i="32" s="1"/>
  <c r="I25" i="32" s="1"/>
  <c r="V25" i="32" s="1"/>
  <c r="AJ25" i="32"/>
  <c r="AA29" i="32"/>
  <c r="AB29" i="32" s="1"/>
  <c r="AA37" i="32"/>
  <c r="AB37" i="32" s="1"/>
  <c r="AJ39" i="32"/>
  <c r="AJ47" i="32"/>
  <c r="J53" i="32"/>
  <c r="H53" i="32" s="1"/>
  <c r="I53" i="32" s="1"/>
  <c r="V53" i="32" s="1"/>
  <c r="AJ54" i="32"/>
  <c r="AA57" i="32"/>
  <c r="AB57" i="32" s="1"/>
  <c r="AA73" i="32"/>
  <c r="AB73" i="32" s="1"/>
  <c r="AK20" i="32" s="1"/>
  <c r="AJ78" i="32"/>
  <c r="AJ80" i="32"/>
  <c r="AI84" i="32"/>
  <c r="J88" i="32"/>
  <c r="H88" i="32" s="1"/>
  <c r="I88" i="32" s="1"/>
  <c r="V88" i="32" s="1"/>
  <c r="AJ88" i="32"/>
  <c r="AA93" i="32"/>
  <c r="AB93" i="32" s="1"/>
  <c r="J115" i="32"/>
  <c r="H115" i="32" s="1"/>
  <c r="I115" i="32" s="1"/>
  <c r="V115" i="32" s="1"/>
  <c r="AA19" i="32"/>
  <c r="AB19" i="32" s="1"/>
  <c r="AA21" i="32"/>
  <c r="AB21" i="32" s="1"/>
  <c r="AJ26" i="32"/>
  <c r="AJ28" i="32"/>
  <c r="AJ29" i="32"/>
  <c r="AI33" i="32"/>
  <c r="J34" i="32"/>
  <c r="H34" i="32" s="1"/>
  <c r="I34" i="32" s="1"/>
  <c r="V34" i="32" s="1"/>
  <c r="AJ34" i="32"/>
  <c r="AJ36" i="32"/>
  <c r="AJ37" i="32"/>
  <c r="AA39" i="32"/>
  <c r="AB39" i="32" s="1"/>
  <c r="AG39" i="32"/>
  <c r="AA46" i="32"/>
  <c r="AB46" i="32" s="1"/>
  <c r="AJ49" i="32"/>
  <c r="AJ51" i="32"/>
  <c r="AA55" i="32"/>
  <c r="AB55" i="32" s="1"/>
  <c r="AJ57" i="32"/>
  <c r="AJ60" i="32"/>
  <c r="AJ62" i="32"/>
  <c r="AJ65" i="32"/>
  <c r="AA66" i="32"/>
  <c r="AB66" i="32" s="1"/>
  <c r="J70" i="32"/>
  <c r="H70" i="32" s="1"/>
  <c r="I70" i="32" s="1"/>
  <c r="V70" i="32" s="1"/>
  <c r="AJ70" i="32"/>
  <c r="AJ72" i="32"/>
  <c r="AJ73" i="32"/>
  <c r="AA75" i="32"/>
  <c r="AB75" i="32" s="1"/>
  <c r="AG80" i="32"/>
  <c r="AA82" i="32"/>
  <c r="AB82" i="32" s="1"/>
  <c r="AJ85" i="32"/>
  <c r="AK86" i="32"/>
  <c r="AJ87" i="32"/>
  <c r="AA91" i="32"/>
  <c r="AB91" i="32" s="1"/>
  <c r="AA99" i="32"/>
  <c r="AB99" i="32" s="1"/>
  <c r="AA102" i="32"/>
  <c r="AB102" i="32" s="1"/>
  <c r="T106" i="32"/>
  <c r="J113" i="32"/>
  <c r="H113" i="32" s="1"/>
  <c r="I113" i="32" s="1"/>
  <c r="V113" i="32" s="1"/>
  <c r="J116" i="32"/>
  <c r="H116" i="32" s="1"/>
  <c r="I116" i="32" s="1"/>
  <c r="V116" i="32" s="1"/>
  <c r="T122" i="32"/>
  <c r="AG26" i="32" s="1"/>
  <c r="J134" i="32"/>
  <c r="H134" i="32" s="1"/>
  <c r="I134" i="32" s="1"/>
  <c r="V134" i="32" s="1"/>
  <c r="T143" i="32"/>
  <c r="AG28" i="32" s="1"/>
  <c r="J149" i="32"/>
  <c r="H149" i="32" s="1"/>
  <c r="I149" i="32" s="1"/>
  <c r="V149" i="32" s="1"/>
  <c r="J167" i="32"/>
  <c r="H167" i="32" s="1"/>
  <c r="I167" i="32" s="1"/>
  <c r="V167" i="32" s="1"/>
  <c r="J221" i="32"/>
  <c r="H221" i="32" s="1"/>
  <c r="I221" i="32" s="1"/>
  <c r="V221" i="32" s="1"/>
  <c r="X281" i="32"/>
  <c r="AA281" i="32"/>
  <c r="AB281" i="32" s="1"/>
  <c r="J287" i="32"/>
  <c r="H287" i="32" s="1"/>
  <c r="I287" i="32" s="1"/>
  <c r="V287" i="32" s="1"/>
  <c r="X317" i="32"/>
  <c r="AI47" i="32" s="1"/>
  <c r="AA317" i="32"/>
  <c r="AB317" i="32" s="1"/>
  <c r="J323" i="32"/>
  <c r="H323" i="32" s="1"/>
  <c r="I323" i="32" s="1"/>
  <c r="V323" i="32" s="1"/>
  <c r="J348" i="32"/>
  <c r="H348" i="32" s="1"/>
  <c r="I348" i="32" s="1"/>
  <c r="V348" i="32" s="1"/>
  <c r="AJ86" i="32"/>
  <c r="AI80" i="32"/>
  <c r="AJ79" i="32"/>
  <c r="AI74" i="32"/>
  <c r="AG72" i="32"/>
  <c r="AJ68" i="32"/>
  <c r="AJ61" i="32"/>
  <c r="AI55" i="32"/>
  <c r="AJ50" i="32"/>
  <c r="AJ43" i="32"/>
  <c r="AG35" i="32"/>
  <c r="AJ32" i="32"/>
  <c r="AK28" i="32"/>
  <c r="AK24" i="32"/>
  <c r="AJ20" i="32"/>
  <c r="AJ18" i="32"/>
  <c r="X18" i="32"/>
  <c r="AI14" i="32" s="1"/>
  <c r="AJ19" i="32"/>
  <c r="AA20" i="32"/>
  <c r="AB20" i="32" s="1"/>
  <c r="AI23" i="32"/>
  <c r="AK26" i="32"/>
  <c r="AJ33" i="32"/>
  <c r="AI43" i="32"/>
  <c r="AJ45" i="32"/>
  <c r="AA47" i="32"/>
  <c r="AB47" i="32" s="1"/>
  <c r="AJ53" i="32"/>
  <c r="AA54" i="32"/>
  <c r="AB54" i="32" s="1"/>
  <c r="AK18" i="32" s="1"/>
  <c r="AJ56" i="32"/>
  <c r="AJ59" i="32"/>
  <c r="AA67" i="32"/>
  <c r="AB67" i="32" s="1"/>
  <c r="AJ76" i="32"/>
  <c r="AI78" i="32"/>
  <c r="AJ81" i="32"/>
  <c r="AJ82" i="32"/>
  <c r="AA83" i="32"/>
  <c r="AB83" i="32" s="1"/>
  <c r="AJ89" i="32"/>
  <c r="AA90" i="32"/>
  <c r="AB90" i="32" s="1"/>
  <c r="AA101" i="32"/>
  <c r="AB101" i="32" s="1"/>
  <c r="T115" i="32"/>
  <c r="J122" i="32"/>
  <c r="H122" i="32" s="1"/>
  <c r="I122" i="32" s="1"/>
  <c r="V122" i="32" s="1"/>
  <c r="J125" i="32"/>
  <c r="H125" i="32" s="1"/>
  <c r="I125" i="32" s="1"/>
  <c r="V125" i="32" s="1"/>
  <c r="J150" i="32"/>
  <c r="H150" i="32" s="1"/>
  <c r="I150" i="32" s="1"/>
  <c r="V150" i="32" s="1"/>
  <c r="J151" i="32"/>
  <c r="H151" i="32" s="1"/>
  <c r="I151" i="32" s="1"/>
  <c r="V151" i="32" s="1"/>
  <c r="T158" i="32"/>
  <c r="J212" i="32"/>
  <c r="H212" i="32" s="1"/>
  <c r="I212" i="32" s="1"/>
  <c r="V212" i="32" s="1"/>
  <c r="X219" i="32"/>
  <c r="AA219" i="32"/>
  <c r="AB219" i="32" s="1"/>
  <c r="J239" i="32"/>
  <c r="H239" i="32" s="1"/>
  <c r="I239" i="32" s="1"/>
  <c r="V239" i="32" s="1"/>
  <c r="J248" i="32"/>
  <c r="H248" i="32" s="1"/>
  <c r="I248" i="32" s="1"/>
  <c r="V248" i="32" s="1"/>
  <c r="T249" i="32"/>
  <c r="Z270" i="32"/>
  <c r="AJ42" i="32" s="1"/>
  <c r="AA270" i="32"/>
  <c r="AB270" i="32" s="1"/>
  <c r="J278" i="32"/>
  <c r="H278" i="32" s="1"/>
  <c r="I278" i="32" s="1"/>
  <c r="V278" i="32" s="1"/>
  <c r="Z306" i="32"/>
  <c r="AJ46" i="32" s="1"/>
  <c r="AA306" i="32"/>
  <c r="AB306" i="32" s="1"/>
  <c r="J314" i="32"/>
  <c r="H314" i="32" s="1"/>
  <c r="I314" i="32" s="1"/>
  <c r="V314" i="32" s="1"/>
  <c r="X353" i="32"/>
  <c r="AI51" i="32" s="1"/>
  <c r="AA353" i="32"/>
  <c r="AB353" i="32" s="1"/>
  <c r="J368" i="32"/>
  <c r="H368" i="32" s="1"/>
  <c r="I368" i="32" s="1"/>
  <c r="V368" i="32" s="1"/>
  <c r="AJ15" i="32"/>
  <c r="AJ21" i="32"/>
  <c r="AG32" i="32"/>
  <c r="J52" i="32"/>
  <c r="H52" i="32" s="1"/>
  <c r="I52" i="32" s="1"/>
  <c r="V52" i="32" s="1"/>
  <c r="AJ52" i="32"/>
  <c r="AJ55" i="32"/>
  <c r="AJ69" i="32"/>
  <c r="AJ83" i="32"/>
  <c r="AJ90" i="32"/>
  <c r="J131" i="32"/>
  <c r="H131" i="32" s="1"/>
  <c r="I131" i="32" s="1"/>
  <c r="V131" i="32" s="1"/>
  <c r="J141" i="32"/>
  <c r="H141" i="32" s="1"/>
  <c r="I141" i="32" s="1"/>
  <c r="V141" i="32" s="1"/>
  <c r="J161" i="32"/>
  <c r="H161" i="32" s="1"/>
  <c r="I161" i="32" s="1"/>
  <c r="V161" i="32" s="1"/>
  <c r="J176" i="32"/>
  <c r="H176" i="32" s="1"/>
  <c r="I176" i="32" s="1"/>
  <c r="V176" i="32" s="1"/>
  <c r="X217" i="32"/>
  <c r="AA217" i="32"/>
  <c r="AB217" i="32" s="1"/>
  <c r="J241" i="32"/>
  <c r="H241" i="32" s="1"/>
  <c r="I241" i="32" s="1"/>
  <c r="V241" i="32" s="1"/>
  <c r="J250" i="32"/>
  <c r="H250" i="32" s="1"/>
  <c r="I250" i="32" s="1"/>
  <c r="V250" i="32" s="1"/>
  <c r="X263" i="32"/>
  <c r="AI41" i="32" s="1"/>
  <c r="AA263" i="32"/>
  <c r="AB263" i="32" s="1"/>
  <c r="J269" i="32"/>
  <c r="H269" i="32" s="1"/>
  <c r="I269" i="32" s="1"/>
  <c r="V269" i="32" s="1"/>
  <c r="X299" i="32"/>
  <c r="AI45" i="32" s="1"/>
  <c r="AA299" i="32"/>
  <c r="AB299" i="32" s="1"/>
  <c r="J305" i="32"/>
  <c r="H305" i="32" s="1"/>
  <c r="I305" i="32" s="1"/>
  <c r="V305" i="32" s="1"/>
  <c r="X343" i="32"/>
  <c r="AA343" i="32"/>
  <c r="AB343" i="32" s="1"/>
  <c r="AJ14" i="32"/>
  <c r="AJ16" i="32"/>
  <c r="AJ17" i="32"/>
  <c r="AJ22" i="32"/>
  <c r="AJ24" i="32"/>
  <c r="AK25" i="32"/>
  <c r="AJ27" i="32"/>
  <c r="AJ30" i="32"/>
  <c r="AJ31" i="32"/>
  <c r="AJ35" i="32"/>
  <c r="AJ38" i="32"/>
  <c r="AJ41" i="32"/>
  <c r="AJ48" i="32"/>
  <c r="AJ58" i="32"/>
  <c r="AJ63" i="32"/>
  <c r="AJ64" i="32"/>
  <c r="AG68" i="32"/>
  <c r="AJ71" i="32"/>
  <c r="AJ77" i="32"/>
  <c r="AJ84" i="32"/>
  <c r="AI85" i="32"/>
  <c r="AI86" i="32"/>
  <c r="J107" i="32"/>
  <c r="H107" i="32" s="1"/>
  <c r="I107" i="32" s="1"/>
  <c r="V107" i="32" s="1"/>
  <c r="J123" i="32"/>
  <c r="H123" i="32" s="1"/>
  <c r="I123" i="32" s="1"/>
  <c r="V123" i="32" s="1"/>
  <c r="J124" i="32"/>
  <c r="H124" i="32" s="1"/>
  <c r="I124" i="32" s="1"/>
  <c r="V124" i="32" s="1"/>
  <c r="J133" i="32"/>
  <c r="H133" i="32" s="1"/>
  <c r="I133" i="32" s="1"/>
  <c r="V133" i="32" s="1"/>
  <c r="J140" i="32"/>
  <c r="H140" i="32" s="1"/>
  <c r="I140" i="32" s="1"/>
  <c r="V140" i="32" s="1"/>
  <c r="T159" i="32"/>
  <c r="J160" i="32"/>
  <c r="H160" i="32" s="1"/>
  <c r="I160" i="32" s="1"/>
  <c r="V160" i="32" s="1"/>
  <c r="J168" i="32"/>
  <c r="H168" i="32" s="1"/>
  <c r="I168" i="32" s="1"/>
  <c r="V168" i="32" s="1"/>
  <c r="Z252" i="32"/>
  <c r="AJ40" i="32" s="1"/>
  <c r="AA252" i="32"/>
  <c r="AB252" i="32" s="1"/>
  <c r="J260" i="32"/>
  <c r="H260" i="32" s="1"/>
  <c r="I260" i="32" s="1"/>
  <c r="V260" i="32" s="1"/>
  <c r="Z288" i="32"/>
  <c r="AJ44" i="32" s="1"/>
  <c r="AA288" i="32"/>
  <c r="AB288" i="32" s="1"/>
  <c r="J296" i="32"/>
  <c r="H296" i="32" s="1"/>
  <c r="I296" i="32" s="1"/>
  <c r="V296" i="32" s="1"/>
  <c r="J169" i="32"/>
  <c r="H169" i="32" s="1"/>
  <c r="I169" i="32" s="1"/>
  <c r="V169" i="32" s="1"/>
  <c r="AA173" i="32"/>
  <c r="AB173" i="32" s="1"/>
  <c r="AA175" i="32"/>
  <c r="AB175" i="32" s="1"/>
  <c r="J185" i="32"/>
  <c r="H185" i="32" s="1"/>
  <c r="I185" i="32" s="1"/>
  <c r="V185" i="32" s="1"/>
  <c r="T188" i="32"/>
  <c r="AG33" i="32" s="1"/>
  <c r="T197" i="32"/>
  <c r="J203" i="32"/>
  <c r="H203" i="32" s="1"/>
  <c r="I203" i="32" s="1"/>
  <c r="V203" i="32" s="1"/>
  <c r="J214" i="32"/>
  <c r="H214" i="32" s="1"/>
  <c r="I214" i="32" s="1"/>
  <c r="V214" i="32" s="1"/>
  <c r="J231" i="32"/>
  <c r="H231" i="32" s="1"/>
  <c r="I231" i="32" s="1"/>
  <c r="V231" i="32" s="1"/>
  <c r="J232" i="32"/>
  <c r="H232" i="32" s="1"/>
  <c r="I232" i="32" s="1"/>
  <c r="V232" i="32" s="1"/>
  <c r="T248" i="32"/>
  <c r="T267" i="32"/>
  <c r="T268" i="32"/>
  <c r="T285" i="32"/>
  <c r="T286" i="32"/>
  <c r="T303" i="32"/>
  <c r="T304" i="32"/>
  <c r="T321" i="32"/>
  <c r="T322" i="32"/>
  <c r="X325" i="32"/>
  <c r="AA325" i="32"/>
  <c r="AB325" i="32" s="1"/>
  <c r="J330" i="32"/>
  <c r="H330" i="32" s="1"/>
  <c r="I330" i="32" s="1"/>
  <c r="V330" i="32" s="1"/>
  <c r="X335" i="32"/>
  <c r="AI49" i="32" s="1"/>
  <c r="AA335" i="32"/>
  <c r="AB335" i="32" s="1"/>
  <c r="J350" i="32"/>
  <c r="H350" i="32" s="1"/>
  <c r="I350" i="32" s="1"/>
  <c r="V350" i="32" s="1"/>
  <c r="J377" i="32"/>
  <c r="H377" i="32" s="1"/>
  <c r="I377" i="32" s="1"/>
  <c r="V377" i="32" s="1"/>
  <c r="T393" i="32"/>
  <c r="T131" i="32"/>
  <c r="J142" i="32"/>
  <c r="H142" i="32" s="1"/>
  <c r="I142" i="32" s="1"/>
  <c r="V142" i="32" s="1"/>
  <c r="T151" i="32"/>
  <c r="AG29" i="32" s="1"/>
  <c r="J158" i="32"/>
  <c r="H158" i="32" s="1"/>
  <c r="I158" i="32" s="1"/>
  <c r="V158" i="32" s="1"/>
  <c r="T167" i="32"/>
  <c r="J178" i="32"/>
  <c r="H178" i="32" s="1"/>
  <c r="I178" i="32" s="1"/>
  <c r="V178" i="32" s="1"/>
  <c r="AA182" i="32"/>
  <c r="AB182" i="32" s="1"/>
  <c r="AA184" i="32"/>
  <c r="AB184" i="32" s="1"/>
  <c r="AA190" i="32"/>
  <c r="AB190" i="32" s="1"/>
  <c r="AA192" i="32"/>
  <c r="AB192" i="32" s="1"/>
  <c r="J195" i="32"/>
  <c r="H195" i="32" s="1"/>
  <c r="I195" i="32" s="1"/>
  <c r="V195" i="32" s="1"/>
  <c r="J196" i="32"/>
  <c r="H196" i="32" s="1"/>
  <c r="I196" i="32" s="1"/>
  <c r="V196" i="32" s="1"/>
  <c r="J224" i="32"/>
  <c r="H224" i="32" s="1"/>
  <c r="I224" i="32" s="1"/>
  <c r="V224" i="32" s="1"/>
  <c r="J230" i="32"/>
  <c r="H230" i="32" s="1"/>
  <c r="I230" i="32" s="1"/>
  <c r="T230" i="32"/>
  <c r="X254" i="32"/>
  <c r="AA254" i="32"/>
  <c r="AB254" i="32" s="1"/>
  <c r="J266" i="32"/>
  <c r="H266" i="32" s="1"/>
  <c r="I266" i="32" s="1"/>
  <c r="V266" i="32" s="1"/>
  <c r="T266" i="32"/>
  <c r="X272" i="32"/>
  <c r="AI42" i="32" s="1"/>
  <c r="AA272" i="32"/>
  <c r="AB272" i="32" s="1"/>
  <c r="J284" i="32"/>
  <c r="H284" i="32" s="1"/>
  <c r="I284" i="32" s="1"/>
  <c r="V284" i="32" s="1"/>
  <c r="T284" i="32"/>
  <c r="X290" i="32"/>
  <c r="AA290" i="32"/>
  <c r="AB290" i="32" s="1"/>
  <c r="J302" i="32"/>
  <c r="H302" i="32" s="1"/>
  <c r="I302" i="32" s="1"/>
  <c r="V302" i="32" s="1"/>
  <c r="T302" i="32"/>
  <c r="X308" i="32"/>
  <c r="AI46" i="32" s="1"/>
  <c r="AA308" i="32"/>
  <c r="AB308" i="32" s="1"/>
  <c r="J320" i="32"/>
  <c r="H320" i="32" s="1"/>
  <c r="I320" i="32" s="1"/>
  <c r="V320" i="32" s="1"/>
  <c r="T320" i="32"/>
  <c r="J332" i="32"/>
  <c r="H332" i="32" s="1"/>
  <c r="I332" i="32" s="1"/>
  <c r="V332" i="32" s="1"/>
  <c r="J359" i="32"/>
  <c r="H359" i="32" s="1"/>
  <c r="I359" i="32" s="1"/>
  <c r="X379" i="32"/>
  <c r="AI54" i="32" s="1"/>
  <c r="AA379" i="32"/>
  <c r="AB379" i="32" s="1"/>
  <c r="J384" i="32"/>
  <c r="H384" i="32" s="1"/>
  <c r="I384" i="32" s="1"/>
  <c r="J188" i="32"/>
  <c r="H188" i="32" s="1"/>
  <c r="I188" i="32" s="1"/>
  <c r="V188" i="32" s="1"/>
  <c r="J194" i="32"/>
  <c r="H194" i="32" s="1"/>
  <c r="I194" i="32" s="1"/>
  <c r="V194" i="32" s="1"/>
  <c r="T194" i="32"/>
  <c r="AG34" i="32" s="1"/>
  <c r="T212" i="32"/>
  <c r="AG36" i="32" s="1"/>
  <c r="T221" i="32"/>
  <c r="J222" i="32"/>
  <c r="H222" i="32" s="1"/>
  <c r="I222" i="32" s="1"/>
  <c r="V222" i="32" s="1"/>
  <c r="T222" i="32"/>
  <c r="J223" i="32"/>
  <c r="H223" i="32" s="1"/>
  <c r="I223" i="32" s="1"/>
  <c r="V223" i="32" s="1"/>
  <c r="T231" i="32"/>
  <c r="J258" i="32"/>
  <c r="H258" i="32" s="1"/>
  <c r="I258" i="32" s="1"/>
  <c r="V258" i="32" s="1"/>
  <c r="AA264" i="32"/>
  <c r="AB264" i="32" s="1"/>
  <c r="J276" i="32"/>
  <c r="H276" i="32" s="1"/>
  <c r="I276" i="32" s="1"/>
  <c r="V276" i="32" s="1"/>
  <c r="AA282" i="32"/>
  <c r="AB282" i="32" s="1"/>
  <c r="J294" i="32"/>
  <c r="H294" i="32" s="1"/>
  <c r="I294" i="32" s="1"/>
  <c r="V294" i="32" s="1"/>
  <c r="AA300" i="32"/>
  <c r="AB300" i="32" s="1"/>
  <c r="J312" i="32"/>
  <c r="H312" i="32" s="1"/>
  <c r="I312" i="32" s="1"/>
  <c r="V312" i="32" s="1"/>
  <c r="AA318" i="32"/>
  <c r="AB318" i="32" s="1"/>
  <c r="J341" i="32"/>
  <c r="H341" i="32" s="1"/>
  <c r="I341" i="32" s="1"/>
  <c r="V341" i="32" s="1"/>
  <c r="T357" i="32"/>
  <c r="X361" i="32"/>
  <c r="AA361" i="32"/>
  <c r="AB361" i="32" s="1"/>
  <c r="J366" i="32"/>
  <c r="H366" i="32" s="1"/>
  <c r="I366" i="32" s="1"/>
  <c r="X371" i="32"/>
  <c r="AI53" i="32" s="1"/>
  <c r="AA371" i="32"/>
  <c r="AB371" i="32" s="1"/>
  <c r="J386" i="32"/>
  <c r="H386" i="32" s="1"/>
  <c r="I386" i="32" s="1"/>
  <c r="V386" i="32" s="1"/>
  <c r="J401" i="32"/>
  <c r="H401" i="32" s="1"/>
  <c r="I401" i="32" s="1"/>
  <c r="V401" i="32" s="1"/>
  <c r="J402" i="32"/>
  <c r="H402" i="32" s="1"/>
  <c r="I402" i="32" s="1"/>
  <c r="V402" i="32" s="1"/>
  <c r="J412" i="32"/>
  <c r="H412" i="32" s="1"/>
  <c r="I412" i="32" s="1"/>
  <c r="V412" i="32" s="1"/>
  <c r="J413" i="32"/>
  <c r="H413" i="32" s="1"/>
  <c r="I413" i="32" s="1"/>
  <c r="V413" i="32" s="1"/>
  <c r="X417" i="32"/>
  <c r="AA417" i="32"/>
  <c r="AB417" i="32" s="1"/>
  <c r="AA433" i="32"/>
  <c r="AB433" i="32" s="1"/>
  <c r="X433" i="32"/>
  <c r="AA441" i="32"/>
  <c r="AB441" i="32" s="1"/>
  <c r="X441" i="32"/>
  <c r="AI61" i="32" s="1"/>
  <c r="J466" i="32"/>
  <c r="H466" i="32" s="1"/>
  <c r="I466" i="32" s="1"/>
  <c r="V466" i="32" s="1"/>
  <c r="J467" i="32"/>
  <c r="H467" i="32" s="1"/>
  <c r="I467" i="32" s="1"/>
  <c r="V467" i="32" s="1"/>
  <c r="AA469" i="32"/>
  <c r="AB469" i="32" s="1"/>
  <c r="X469" i="32"/>
  <c r="Z490" i="32"/>
  <c r="AJ66" i="32" s="1"/>
  <c r="AA490" i="32"/>
  <c r="AB490" i="32" s="1"/>
  <c r="J501" i="32"/>
  <c r="H501" i="32" s="1"/>
  <c r="I501" i="32" s="1"/>
  <c r="V501" i="32" s="1"/>
  <c r="AA567" i="32"/>
  <c r="AB567" i="32" s="1"/>
  <c r="Z567" i="32"/>
  <c r="AJ75" i="32" s="1"/>
  <c r="X738" i="32"/>
  <c r="AA738" i="32"/>
  <c r="AB738" i="32" s="1"/>
  <c r="AA172" i="32"/>
  <c r="AB172" i="32" s="1"/>
  <c r="AA180" i="32"/>
  <c r="AB180" i="32" s="1"/>
  <c r="AA193" i="32"/>
  <c r="AB193" i="32" s="1"/>
  <c r="AA210" i="32"/>
  <c r="AB210" i="32" s="1"/>
  <c r="AK35" i="32" s="1"/>
  <c r="AA227" i="32"/>
  <c r="AB227" i="32" s="1"/>
  <c r="AK37" i="32" s="1"/>
  <c r="AA244" i="32"/>
  <c r="AB244" i="32" s="1"/>
  <c r="AA255" i="32"/>
  <c r="AB255" i="32" s="1"/>
  <c r="J257" i="32"/>
  <c r="H257" i="32" s="1"/>
  <c r="I257" i="32" s="1"/>
  <c r="V257" i="32" s="1"/>
  <c r="T258" i="32"/>
  <c r="J259" i="32"/>
  <c r="H259" i="32" s="1"/>
  <c r="I259" i="32" s="1"/>
  <c r="AA265" i="32"/>
  <c r="AB265" i="32" s="1"/>
  <c r="J268" i="32"/>
  <c r="H268" i="32" s="1"/>
  <c r="I268" i="32" s="1"/>
  <c r="V268" i="32" s="1"/>
  <c r="T269" i="32"/>
  <c r="AA273" i="32"/>
  <c r="AB273" i="32" s="1"/>
  <c r="J275" i="32"/>
  <c r="H275" i="32" s="1"/>
  <c r="I275" i="32" s="1"/>
  <c r="V275" i="32" s="1"/>
  <c r="T276" i="32"/>
  <c r="J277" i="32"/>
  <c r="H277" i="32" s="1"/>
  <c r="I277" i="32" s="1"/>
  <c r="V277" i="32" s="1"/>
  <c r="AA283" i="32"/>
  <c r="AB283" i="32" s="1"/>
  <c r="J286" i="32"/>
  <c r="H286" i="32" s="1"/>
  <c r="I286" i="32" s="1"/>
  <c r="V286" i="32" s="1"/>
  <c r="T287" i="32"/>
  <c r="AA291" i="32"/>
  <c r="AB291" i="32" s="1"/>
  <c r="J293" i="32"/>
  <c r="H293" i="32" s="1"/>
  <c r="I293" i="32" s="1"/>
  <c r="V293" i="32" s="1"/>
  <c r="T294" i="32"/>
  <c r="J295" i="32"/>
  <c r="H295" i="32" s="1"/>
  <c r="I295" i="32" s="1"/>
  <c r="V295" i="32" s="1"/>
  <c r="AA301" i="32"/>
  <c r="AB301" i="32" s="1"/>
  <c r="J304" i="32"/>
  <c r="H304" i="32" s="1"/>
  <c r="I304" i="32" s="1"/>
  <c r="V304" i="32" s="1"/>
  <c r="T305" i="32"/>
  <c r="AA309" i="32"/>
  <c r="AB309" i="32" s="1"/>
  <c r="J311" i="32"/>
  <c r="H311" i="32" s="1"/>
  <c r="I311" i="32" s="1"/>
  <c r="V311" i="32" s="1"/>
  <c r="T312" i="32"/>
  <c r="J313" i="32"/>
  <c r="H313" i="32" s="1"/>
  <c r="I313" i="32" s="1"/>
  <c r="V313" i="32" s="1"/>
  <c r="AA319" i="32"/>
  <c r="AB319" i="32" s="1"/>
  <c r="J322" i="32"/>
  <c r="H322" i="32" s="1"/>
  <c r="I322" i="32" s="1"/>
  <c r="V322" i="32" s="1"/>
  <c r="T323" i="32"/>
  <c r="AA326" i="32"/>
  <c r="AB326" i="32" s="1"/>
  <c r="AA327" i="32"/>
  <c r="AB327" i="32" s="1"/>
  <c r="J329" i="32"/>
  <c r="H329" i="32" s="1"/>
  <c r="I329" i="32" s="1"/>
  <c r="V329" i="32" s="1"/>
  <c r="T330" i="32"/>
  <c r="J331" i="32"/>
  <c r="H331" i="32" s="1"/>
  <c r="I331" i="32" s="1"/>
  <c r="V331" i="32" s="1"/>
  <c r="AA337" i="32"/>
  <c r="AB337" i="32" s="1"/>
  <c r="J340" i="32"/>
  <c r="H340" i="32" s="1"/>
  <c r="I340" i="32" s="1"/>
  <c r="V340" i="32" s="1"/>
  <c r="T341" i="32"/>
  <c r="AA344" i="32"/>
  <c r="AB344" i="32" s="1"/>
  <c r="AA345" i="32"/>
  <c r="AB345" i="32" s="1"/>
  <c r="J347" i="32"/>
  <c r="H347" i="32" s="1"/>
  <c r="I347" i="32" s="1"/>
  <c r="V347" i="32" s="1"/>
  <c r="T348" i="32"/>
  <c r="J349" i="32"/>
  <c r="H349" i="32" s="1"/>
  <c r="I349" i="32" s="1"/>
  <c r="V349" i="32" s="1"/>
  <c r="AA355" i="32"/>
  <c r="AB355" i="32" s="1"/>
  <c r="J358" i="32"/>
  <c r="H358" i="32" s="1"/>
  <c r="I358" i="32" s="1"/>
  <c r="V358" i="32" s="1"/>
  <c r="T359" i="32"/>
  <c r="AA362" i="32"/>
  <c r="AB362" i="32" s="1"/>
  <c r="AA363" i="32"/>
  <c r="AB363" i="32" s="1"/>
  <c r="J365" i="32"/>
  <c r="H365" i="32" s="1"/>
  <c r="I365" i="32" s="1"/>
  <c r="V365" i="32" s="1"/>
  <c r="T366" i="32"/>
  <c r="J367" i="32"/>
  <c r="H367" i="32" s="1"/>
  <c r="I367" i="32" s="1"/>
  <c r="AA373" i="32"/>
  <c r="AB373" i="32" s="1"/>
  <c r="J376" i="32"/>
  <c r="H376" i="32" s="1"/>
  <c r="I376" i="32" s="1"/>
  <c r="V376" i="32" s="1"/>
  <c r="T377" i="32"/>
  <c r="AA380" i="32"/>
  <c r="AB380" i="32" s="1"/>
  <c r="AA381" i="32"/>
  <c r="AB381" i="32" s="1"/>
  <c r="J383" i="32"/>
  <c r="H383" i="32" s="1"/>
  <c r="I383" i="32" s="1"/>
  <c r="V383" i="32" s="1"/>
  <c r="T384" i="32"/>
  <c r="J385" i="32"/>
  <c r="H385" i="32" s="1"/>
  <c r="I385" i="32" s="1"/>
  <c r="V385" i="32" s="1"/>
  <c r="AA391" i="32"/>
  <c r="AB391" i="32" s="1"/>
  <c r="J394" i="32"/>
  <c r="H394" i="32" s="1"/>
  <c r="I394" i="32" s="1"/>
  <c r="J395" i="32"/>
  <c r="H395" i="32" s="1"/>
  <c r="I395" i="32" s="1"/>
  <c r="X399" i="32"/>
  <c r="AA399" i="32"/>
  <c r="AB399" i="32" s="1"/>
  <c r="AA408" i="32"/>
  <c r="AB408" i="32" s="1"/>
  <c r="J410" i="32"/>
  <c r="H410" i="32" s="1"/>
  <c r="I410" i="32" s="1"/>
  <c r="V410" i="32" s="1"/>
  <c r="T410" i="32"/>
  <c r="J411" i="32"/>
  <c r="H411" i="32" s="1"/>
  <c r="I411" i="32" s="1"/>
  <c r="V411" i="32" s="1"/>
  <c r="T411" i="32"/>
  <c r="AA414" i="32"/>
  <c r="AB414" i="32" s="1"/>
  <c r="AA415" i="32"/>
  <c r="AB415" i="32" s="1"/>
  <c r="X415" i="32"/>
  <c r="T419" i="32"/>
  <c r="AA423" i="32"/>
  <c r="AB423" i="32" s="1"/>
  <c r="X423" i="32"/>
  <c r="AI59" i="32" s="1"/>
  <c r="AA427" i="32"/>
  <c r="AB427" i="32" s="1"/>
  <c r="T430" i="32"/>
  <c r="T438" i="32"/>
  <c r="J439" i="32"/>
  <c r="H439" i="32" s="1"/>
  <c r="I439" i="32" s="1"/>
  <c r="V439" i="32" s="1"/>
  <c r="T439" i="32"/>
  <c r="J440" i="32"/>
  <c r="H440" i="32" s="1"/>
  <c r="I440" i="32" s="1"/>
  <c r="V440" i="32" s="1"/>
  <c r="T440" i="32"/>
  <c r="AA442" i="32"/>
  <c r="AB442" i="32" s="1"/>
  <c r="T449" i="32"/>
  <c r="J455" i="32"/>
  <c r="H455" i="32" s="1"/>
  <c r="I455" i="32" s="1"/>
  <c r="V455" i="32" s="1"/>
  <c r="J456" i="32"/>
  <c r="H456" i="32" s="1"/>
  <c r="I456" i="32" s="1"/>
  <c r="V456" i="32" s="1"/>
  <c r="AA461" i="32"/>
  <c r="AB461" i="32" s="1"/>
  <c r="T465" i="32"/>
  <c r="X471" i="32"/>
  <c r="AA471" i="32"/>
  <c r="AB471" i="32" s="1"/>
  <c r="T473" i="32"/>
  <c r="AG65" i="32" s="1"/>
  <c r="AA481" i="32"/>
  <c r="AB481" i="32" s="1"/>
  <c r="X481" i="32"/>
  <c r="J566" i="32"/>
  <c r="H566" i="32" s="1"/>
  <c r="I566" i="32" s="1"/>
  <c r="V566" i="32" s="1"/>
  <c r="J592" i="32"/>
  <c r="H592" i="32" s="1"/>
  <c r="I592" i="32" s="1"/>
  <c r="V592" i="32" s="1"/>
  <c r="T338" i="32"/>
  <c r="T356" i="32"/>
  <c r="T374" i="32"/>
  <c r="AA389" i="32"/>
  <c r="AB389" i="32" s="1"/>
  <c r="T392" i="32"/>
  <c r="AA397" i="32"/>
  <c r="AB397" i="32" s="1"/>
  <c r="X397" i="32"/>
  <c r="T401" i="32"/>
  <c r="AA405" i="32"/>
  <c r="AB405" i="32" s="1"/>
  <c r="X405" i="32"/>
  <c r="T412" i="32"/>
  <c r="T420" i="32"/>
  <c r="T431" i="32"/>
  <c r="J437" i="32"/>
  <c r="H437" i="32" s="1"/>
  <c r="I437" i="32" s="1"/>
  <c r="V437" i="32" s="1"/>
  <c r="J438" i="32"/>
  <c r="H438" i="32" s="1"/>
  <c r="I438" i="32" s="1"/>
  <c r="J448" i="32"/>
  <c r="H448" i="32" s="1"/>
  <c r="I448" i="32" s="1"/>
  <c r="V448" i="32" s="1"/>
  <c r="J449" i="32"/>
  <c r="H449" i="32" s="1"/>
  <c r="I449" i="32" s="1"/>
  <c r="V449" i="32" s="1"/>
  <c r="X453" i="32"/>
  <c r="AA453" i="32"/>
  <c r="AB453" i="32" s="1"/>
  <c r="T466" i="32"/>
  <c r="J475" i="32"/>
  <c r="H475" i="32" s="1"/>
  <c r="I475" i="32" s="1"/>
  <c r="V475" i="32" s="1"/>
  <c r="X477" i="32"/>
  <c r="AA477" i="32"/>
  <c r="AB477" i="32" s="1"/>
  <c r="AA516" i="32"/>
  <c r="AB516" i="32" s="1"/>
  <c r="X516" i="32"/>
  <c r="AI69" i="32" s="1"/>
  <c r="AA561" i="32"/>
  <c r="AB561" i="32" s="1"/>
  <c r="Z561" i="32"/>
  <c r="T259" i="32"/>
  <c r="T277" i="32"/>
  <c r="T295" i="32"/>
  <c r="T313" i="32"/>
  <c r="AG47" i="32" s="1"/>
  <c r="T331" i="32"/>
  <c r="T349" i="32"/>
  <c r="T367" i="32"/>
  <c r="T385" i="32"/>
  <c r="T394" i="32"/>
  <c r="J403" i="32"/>
  <c r="H403" i="32" s="1"/>
  <c r="I403" i="32" s="1"/>
  <c r="V403" i="32" s="1"/>
  <c r="T403" i="32"/>
  <c r="J404" i="32"/>
  <c r="H404" i="32" s="1"/>
  <c r="I404" i="32" s="1"/>
  <c r="V404" i="32" s="1"/>
  <c r="T404" i="32"/>
  <c r="AA406" i="32"/>
  <c r="AB406" i="32" s="1"/>
  <c r="J419" i="32"/>
  <c r="H419" i="32" s="1"/>
  <c r="I419" i="32" s="1"/>
  <c r="V419" i="32" s="1"/>
  <c r="J420" i="32"/>
  <c r="H420" i="32" s="1"/>
  <c r="I420" i="32" s="1"/>
  <c r="AA425" i="32"/>
  <c r="AB425" i="32" s="1"/>
  <c r="J430" i="32"/>
  <c r="H430" i="32" s="1"/>
  <c r="I430" i="32" s="1"/>
  <c r="J431" i="32"/>
  <c r="H431" i="32" s="1"/>
  <c r="I431" i="32" s="1"/>
  <c r="V431" i="32" s="1"/>
  <c r="X435" i="32"/>
  <c r="AA435" i="32"/>
  <c r="AB435" i="32" s="1"/>
  <c r="AA444" i="32"/>
  <c r="AB444" i="32" s="1"/>
  <c r="J446" i="32"/>
  <c r="H446" i="32" s="1"/>
  <c r="I446" i="32" s="1"/>
  <c r="V446" i="32" s="1"/>
  <c r="T446" i="32"/>
  <c r="J447" i="32"/>
  <c r="H447" i="32" s="1"/>
  <c r="I447" i="32" s="1"/>
  <c r="V447" i="32" s="1"/>
  <c r="T447" i="32"/>
  <c r="AA450" i="32"/>
  <c r="AB450" i="32" s="1"/>
  <c r="AA451" i="32"/>
  <c r="AB451" i="32" s="1"/>
  <c r="X451" i="32"/>
  <c r="T455" i="32"/>
  <c r="AG63" i="32" s="1"/>
  <c r="AA459" i="32"/>
  <c r="AB459" i="32" s="1"/>
  <c r="X459" i="32"/>
  <c r="AI63" i="32" s="1"/>
  <c r="AA463" i="32"/>
  <c r="AB463" i="32" s="1"/>
  <c r="J482" i="32"/>
  <c r="H482" i="32" s="1"/>
  <c r="I482" i="32" s="1"/>
  <c r="V482" i="32" s="1"/>
  <c r="J512" i="32"/>
  <c r="H512" i="32" s="1"/>
  <c r="I512" i="32" s="1"/>
  <c r="V512" i="32" s="1"/>
  <c r="X486" i="32"/>
  <c r="AA486" i="32"/>
  <c r="AB486" i="32" s="1"/>
  <c r="J494" i="32"/>
  <c r="H494" i="32" s="1"/>
  <c r="I494" i="32" s="1"/>
  <c r="V494" i="32" s="1"/>
  <c r="AA495" i="32"/>
  <c r="AB495" i="32" s="1"/>
  <c r="Z495" i="32"/>
  <c r="AJ67" i="32" s="1"/>
  <c r="AA504" i="32"/>
  <c r="AB504" i="32" s="1"/>
  <c r="AA514" i="32"/>
  <c r="AB514" i="32" s="1"/>
  <c r="J519" i="32"/>
  <c r="H519" i="32" s="1"/>
  <c r="I519" i="32" s="1"/>
  <c r="V519" i="32" s="1"/>
  <c r="J520" i="32"/>
  <c r="H520" i="32" s="1"/>
  <c r="I520" i="32" s="1"/>
  <c r="V520" i="32" s="1"/>
  <c r="T520" i="32"/>
  <c r="J527" i="32"/>
  <c r="H527" i="32" s="1"/>
  <c r="I527" i="32" s="1"/>
  <c r="V527" i="32" s="1"/>
  <c r="T527" i="32"/>
  <c r="J530" i="32"/>
  <c r="H530" i="32" s="1"/>
  <c r="I530" i="32" s="1"/>
  <c r="V530" i="32" s="1"/>
  <c r="AA534" i="32"/>
  <c r="AB534" i="32" s="1"/>
  <c r="X534" i="32"/>
  <c r="AI71" i="32" s="1"/>
  <c r="J554" i="32"/>
  <c r="H554" i="32" s="1"/>
  <c r="I554" i="32" s="1"/>
  <c r="V554" i="32" s="1"/>
  <c r="T554" i="32"/>
  <c r="T556" i="32"/>
  <c r="J557" i="32"/>
  <c r="H557" i="32" s="1"/>
  <c r="I557" i="32" s="1"/>
  <c r="V557" i="32" s="1"/>
  <c r="T557" i="32"/>
  <c r="J572" i="32"/>
  <c r="H572" i="32" s="1"/>
  <c r="I572" i="32" s="1"/>
  <c r="V572" i="32" s="1"/>
  <c r="T572" i="32"/>
  <c r="T574" i="32"/>
  <c r="J581" i="32"/>
  <c r="H581" i="32" s="1"/>
  <c r="I581" i="32" s="1"/>
  <c r="V581" i="32" s="1"/>
  <c r="J691" i="32"/>
  <c r="H691" i="32" s="1"/>
  <c r="I691" i="32" s="1"/>
  <c r="V691" i="32" s="1"/>
  <c r="J698" i="32"/>
  <c r="H698" i="32" s="1"/>
  <c r="I698" i="32" s="1"/>
  <c r="J474" i="32"/>
  <c r="H474" i="32" s="1"/>
  <c r="I474" i="32" s="1"/>
  <c r="V474" i="32" s="1"/>
  <c r="AA478" i="32"/>
  <c r="AB478" i="32" s="1"/>
  <c r="J483" i="32"/>
  <c r="H483" i="32" s="1"/>
  <c r="I483" i="32" s="1"/>
  <c r="V483" i="32" s="1"/>
  <c r="T483" i="32"/>
  <c r="J500" i="32"/>
  <c r="H500" i="32" s="1"/>
  <c r="I500" i="32" s="1"/>
  <c r="V500" i="32" s="1"/>
  <c r="AA522" i="32"/>
  <c r="AB522" i="32" s="1"/>
  <c r="AA532" i="32"/>
  <c r="AB532" i="32" s="1"/>
  <c r="J537" i="32"/>
  <c r="H537" i="32" s="1"/>
  <c r="I537" i="32" s="1"/>
  <c r="V537" i="32" s="1"/>
  <c r="J548" i="32"/>
  <c r="H548" i="32" s="1"/>
  <c r="I548" i="32" s="1"/>
  <c r="AA552" i="32"/>
  <c r="AB552" i="32" s="1"/>
  <c r="X552" i="32"/>
  <c r="T555" i="32"/>
  <c r="J565" i="32"/>
  <c r="H565" i="32" s="1"/>
  <c r="I565" i="32" s="1"/>
  <c r="V565" i="32" s="1"/>
  <c r="AA570" i="32"/>
  <c r="AB570" i="32" s="1"/>
  <c r="X570" i="32"/>
  <c r="T573" i="32"/>
  <c r="J591" i="32"/>
  <c r="H591" i="32" s="1"/>
  <c r="I591" i="32" s="1"/>
  <c r="V591" i="32" s="1"/>
  <c r="T600" i="32"/>
  <c r="T602" i="32"/>
  <c r="V602" i="32" s="1"/>
  <c r="J628" i="32"/>
  <c r="H628" i="32" s="1"/>
  <c r="I628" i="32" s="1"/>
  <c r="V628" i="32" s="1"/>
  <c r="J665" i="32"/>
  <c r="H665" i="32" s="1"/>
  <c r="I665" i="32" s="1"/>
  <c r="V665" i="32" s="1"/>
  <c r="J476" i="32"/>
  <c r="H476" i="32" s="1"/>
  <c r="I476" i="32" s="1"/>
  <c r="V476" i="32" s="1"/>
  <c r="X478" i="32"/>
  <c r="AA479" i="32"/>
  <c r="AB479" i="32" s="1"/>
  <c r="AA488" i="32"/>
  <c r="AB488" i="32" s="1"/>
  <c r="J493" i="32"/>
  <c r="H493" i="32" s="1"/>
  <c r="I493" i="32" s="1"/>
  <c r="V493" i="32" s="1"/>
  <c r="T493" i="32"/>
  <c r="AG67" i="32" s="1"/>
  <c r="AA498" i="32"/>
  <c r="AB498" i="32" s="1"/>
  <c r="X498" i="32"/>
  <c r="AI67" i="32" s="1"/>
  <c r="J502" i="32"/>
  <c r="H502" i="32" s="1"/>
  <c r="I502" i="32" s="1"/>
  <c r="V502" i="32" s="1"/>
  <c r="J509" i="32"/>
  <c r="H509" i="32" s="1"/>
  <c r="I509" i="32" s="1"/>
  <c r="V509" i="32" s="1"/>
  <c r="J518" i="32"/>
  <c r="H518" i="32" s="1"/>
  <c r="I518" i="32" s="1"/>
  <c r="V518" i="32" s="1"/>
  <c r="T518" i="32"/>
  <c r="T521" i="32"/>
  <c r="T528" i="32"/>
  <c r="J529" i="32"/>
  <c r="H529" i="32" s="1"/>
  <c r="I529" i="32" s="1"/>
  <c r="V529" i="32" s="1"/>
  <c r="T529" i="32"/>
  <c r="J555" i="32"/>
  <c r="H555" i="32" s="1"/>
  <c r="I555" i="32" s="1"/>
  <c r="AA559" i="32"/>
  <c r="AB559" i="32" s="1"/>
  <c r="Z559" i="32"/>
  <c r="T563" i="32"/>
  <c r="J564" i="32"/>
  <c r="H564" i="32" s="1"/>
  <c r="I564" i="32" s="1"/>
  <c r="V564" i="32" s="1"/>
  <c r="T564" i="32"/>
  <c r="J573" i="32"/>
  <c r="H573" i="32" s="1"/>
  <c r="I573" i="32" s="1"/>
  <c r="V573" i="32" s="1"/>
  <c r="X578" i="32"/>
  <c r="AI76" i="32" s="1"/>
  <c r="AA578" i="32"/>
  <c r="AB578" i="32" s="1"/>
  <c r="J584" i="32"/>
  <c r="H584" i="32" s="1"/>
  <c r="I584" i="32" s="1"/>
  <c r="V584" i="32" s="1"/>
  <c r="J638" i="32"/>
  <c r="H638" i="32" s="1"/>
  <c r="I638" i="32" s="1"/>
  <c r="V638" i="32" s="1"/>
  <c r="AA496" i="32"/>
  <c r="AB496" i="32" s="1"/>
  <c r="AA558" i="32"/>
  <c r="AB558" i="32" s="1"/>
  <c r="AA568" i="32"/>
  <c r="AB568" i="32" s="1"/>
  <c r="J575" i="32"/>
  <c r="H575" i="32" s="1"/>
  <c r="I575" i="32" s="1"/>
  <c r="V575" i="32" s="1"/>
  <c r="T575" i="32"/>
  <c r="AA577" i="32"/>
  <c r="AB577" i="32" s="1"/>
  <c r="T582" i="32"/>
  <c r="AA585" i="32"/>
  <c r="AB585" i="32" s="1"/>
  <c r="AA586" i="32"/>
  <c r="AB586" i="32" s="1"/>
  <c r="X586" i="32"/>
  <c r="J590" i="32"/>
  <c r="H590" i="32" s="1"/>
  <c r="I590" i="32" s="1"/>
  <c r="V590" i="32" s="1"/>
  <c r="T590" i="32"/>
  <c r="J609" i="32"/>
  <c r="H609" i="32" s="1"/>
  <c r="I609" i="32" s="1"/>
  <c r="V609" i="32" s="1"/>
  <c r="J617" i="32"/>
  <c r="H617" i="32" s="1"/>
  <c r="I617" i="32" s="1"/>
  <c r="V617" i="32" s="1"/>
  <c r="J620" i="32"/>
  <c r="H620" i="32" s="1"/>
  <c r="I620" i="32" s="1"/>
  <c r="J645" i="32"/>
  <c r="H645" i="32" s="1"/>
  <c r="I645" i="32" s="1"/>
  <c r="J664" i="32"/>
  <c r="H664" i="32" s="1"/>
  <c r="I664" i="32" s="1"/>
  <c r="V664" i="32" s="1"/>
  <c r="X677" i="32"/>
  <c r="AI87" i="32" s="1"/>
  <c r="AA677" i="32"/>
  <c r="AB677" i="32" s="1"/>
  <c r="J683" i="32"/>
  <c r="H683" i="32" s="1"/>
  <c r="I683" i="32" s="1"/>
  <c r="V683" i="32" s="1"/>
  <c r="X688" i="32"/>
  <c r="AI88" i="32" s="1"/>
  <c r="AA688" i="32"/>
  <c r="AB688" i="32" s="1"/>
  <c r="X711" i="32"/>
  <c r="AI91" i="32" s="1"/>
  <c r="AA711" i="32"/>
  <c r="AB711" i="32" s="1"/>
  <c r="AA505" i="32"/>
  <c r="AB505" i="32" s="1"/>
  <c r="AA507" i="32"/>
  <c r="AB507" i="32" s="1"/>
  <c r="AA513" i="32"/>
  <c r="AB513" i="32" s="1"/>
  <c r="AA523" i="32"/>
  <c r="AB523" i="32" s="1"/>
  <c r="AA525" i="32"/>
  <c r="AB525" i="32" s="1"/>
  <c r="AA531" i="32"/>
  <c r="AB531" i="32" s="1"/>
  <c r="AA541" i="32"/>
  <c r="AB541" i="32" s="1"/>
  <c r="AA543" i="32"/>
  <c r="AB543" i="32" s="1"/>
  <c r="AA549" i="32"/>
  <c r="AB549" i="32" s="1"/>
  <c r="J582" i="32"/>
  <c r="H582" i="32" s="1"/>
  <c r="I582" i="32" s="1"/>
  <c r="T591" i="32"/>
  <c r="AA594" i="32"/>
  <c r="AB594" i="32" s="1"/>
  <c r="T601" i="32"/>
  <c r="V601" i="32" s="1"/>
  <c r="AA605" i="32"/>
  <c r="AB605" i="32" s="1"/>
  <c r="AA607" i="32"/>
  <c r="AB607" i="32" s="1"/>
  <c r="J627" i="32"/>
  <c r="H627" i="32" s="1"/>
  <c r="I627" i="32" s="1"/>
  <c r="V627" i="32" s="1"/>
  <c r="J644" i="32"/>
  <c r="H644" i="32" s="1"/>
  <c r="I644" i="32" s="1"/>
  <c r="V644" i="32" s="1"/>
  <c r="J674" i="32"/>
  <c r="H674" i="32" s="1"/>
  <c r="I674" i="32" s="1"/>
  <c r="V674" i="32" s="1"/>
  <c r="AA576" i="32"/>
  <c r="AB576" i="32" s="1"/>
  <c r="AA579" i="32"/>
  <c r="AB579" i="32" s="1"/>
  <c r="J593" i="32"/>
  <c r="H593" i="32" s="1"/>
  <c r="I593" i="32" s="1"/>
  <c r="V593" i="32" s="1"/>
  <c r="T593" i="32"/>
  <c r="J599" i="32"/>
  <c r="H599" i="32" s="1"/>
  <c r="I599" i="32" s="1"/>
  <c r="V599" i="32" s="1"/>
  <c r="J610" i="32"/>
  <c r="H610" i="32" s="1"/>
  <c r="I610" i="32" s="1"/>
  <c r="V610" i="32" s="1"/>
  <c r="J618" i="32"/>
  <c r="H618" i="32" s="1"/>
  <c r="I618" i="32" s="1"/>
  <c r="T618" i="32"/>
  <c r="J619" i="32"/>
  <c r="H619" i="32" s="1"/>
  <c r="I619" i="32" s="1"/>
  <c r="V619" i="32" s="1"/>
  <c r="T620" i="32"/>
  <c r="J626" i="32"/>
  <c r="H626" i="32" s="1"/>
  <c r="I626" i="32" s="1"/>
  <c r="V626" i="32" s="1"/>
  <c r="T626" i="32"/>
  <c r="AG82" i="32" s="1"/>
  <c r="J629" i="32"/>
  <c r="H629" i="32" s="1"/>
  <c r="I629" i="32" s="1"/>
  <c r="V629" i="32" s="1"/>
  <c r="J654" i="32"/>
  <c r="H654" i="32" s="1"/>
  <c r="I654" i="32" s="1"/>
  <c r="V654" i="32" s="1"/>
  <c r="AA587" i="32"/>
  <c r="AB587" i="32" s="1"/>
  <c r="AA604" i="32"/>
  <c r="AB604" i="32" s="1"/>
  <c r="AA612" i="32"/>
  <c r="AB612" i="32" s="1"/>
  <c r="AA625" i="32"/>
  <c r="AB625" i="32" s="1"/>
  <c r="AA642" i="32"/>
  <c r="AB642" i="32" s="1"/>
  <c r="T646" i="32"/>
  <c r="J653" i="32"/>
  <c r="H653" i="32" s="1"/>
  <c r="I653" i="32" s="1"/>
  <c r="V653" i="32" s="1"/>
  <c r="J656" i="32"/>
  <c r="H656" i="32" s="1"/>
  <c r="I656" i="32" s="1"/>
  <c r="V656" i="32" s="1"/>
  <c r="T662" i="32"/>
  <c r="AG86" i="32" s="1"/>
  <c r="J690" i="32"/>
  <c r="H690" i="32" s="1"/>
  <c r="I690" i="32" s="1"/>
  <c r="V690" i="32" s="1"/>
  <c r="Z731" i="32"/>
  <c r="AJ93" i="32" s="1"/>
  <c r="AA731" i="32"/>
  <c r="AB731" i="32" s="1"/>
  <c r="J734" i="32"/>
  <c r="H734" i="32" s="1"/>
  <c r="I734" i="32" s="1"/>
  <c r="V734" i="32" s="1"/>
  <c r="AA613" i="32"/>
  <c r="AB613" i="32" s="1"/>
  <c r="AA614" i="32"/>
  <c r="AB614" i="32" s="1"/>
  <c r="AA615" i="32"/>
  <c r="AB615" i="32" s="1"/>
  <c r="AA616" i="32"/>
  <c r="AB616" i="32" s="1"/>
  <c r="AA621" i="32"/>
  <c r="AB621" i="32" s="1"/>
  <c r="AA624" i="32"/>
  <c r="AB624" i="32" s="1"/>
  <c r="J635" i="32"/>
  <c r="H635" i="32" s="1"/>
  <c r="I635" i="32" s="1"/>
  <c r="V635" i="32" s="1"/>
  <c r="T637" i="32"/>
  <c r="AG83" i="32" s="1"/>
  <c r="AA641" i="32"/>
  <c r="AB641" i="32" s="1"/>
  <c r="J646" i="32"/>
  <c r="H646" i="32" s="1"/>
  <c r="I646" i="32" s="1"/>
  <c r="T655" i="32"/>
  <c r="J662" i="32"/>
  <c r="H662" i="32" s="1"/>
  <c r="I662" i="32" s="1"/>
  <c r="V662" i="32" s="1"/>
  <c r="T671" i="32"/>
  <c r="J680" i="32"/>
  <c r="H680" i="32" s="1"/>
  <c r="I680" i="32" s="1"/>
  <c r="V680" i="32" s="1"/>
  <c r="X695" i="32"/>
  <c r="AI89" i="32" s="1"/>
  <c r="AA695" i="32"/>
  <c r="AB695" i="32" s="1"/>
  <c r="J701" i="32"/>
  <c r="H701" i="32" s="1"/>
  <c r="I701" i="32" s="1"/>
  <c r="V701" i="32" s="1"/>
  <c r="J716" i="32"/>
  <c r="H716" i="32" s="1"/>
  <c r="I716" i="32" s="1"/>
  <c r="V716" i="32" s="1"/>
  <c r="X721" i="32"/>
  <c r="AI92" i="32" s="1"/>
  <c r="AA721" i="32"/>
  <c r="AB721" i="32" s="1"/>
  <c r="X729" i="32"/>
  <c r="AI93" i="32" s="1"/>
  <c r="AA729" i="32"/>
  <c r="AB729" i="32" s="1"/>
  <c r="J655" i="32"/>
  <c r="H655" i="32" s="1"/>
  <c r="I655" i="32" s="1"/>
  <c r="V655" i="32" s="1"/>
  <c r="J671" i="32"/>
  <c r="H671" i="32" s="1"/>
  <c r="I671" i="32" s="1"/>
  <c r="V671" i="32" s="1"/>
  <c r="J707" i="32"/>
  <c r="H707" i="32" s="1"/>
  <c r="I707" i="32" s="1"/>
  <c r="V707" i="32" s="1"/>
  <c r="Z713" i="32"/>
  <c r="AJ91" i="32" s="1"/>
  <c r="AA713" i="32"/>
  <c r="AB713" i="32" s="1"/>
  <c r="T674" i="32"/>
  <c r="AA676" i="32"/>
  <c r="AB676" i="32" s="1"/>
  <c r="T681" i="32"/>
  <c r="AG88" i="32" s="1"/>
  <c r="AA684" i="32"/>
  <c r="AB684" i="32" s="1"/>
  <c r="AA687" i="32"/>
  <c r="AB687" i="32" s="1"/>
  <c r="T692" i="32"/>
  <c r="AG89" i="32" s="1"/>
  <c r="AA694" i="32"/>
  <c r="AB694" i="32" s="1"/>
  <c r="T699" i="32"/>
  <c r="AG90" i="32" s="1"/>
  <c r="AA702" i="32"/>
  <c r="AB702" i="32" s="1"/>
  <c r="J708" i="32"/>
  <c r="H708" i="32" s="1"/>
  <c r="I708" i="32" s="1"/>
  <c r="V708" i="32" s="1"/>
  <c r="AA714" i="32"/>
  <c r="AB714" i="32" s="1"/>
  <c r="T716" i="32"/>
  <c r="T726" i="32"/>
  <c r="J727" i="32"/>
  <c r="H727" i="32" s="1"/>
  <c r="I727" i="32" s="1"/>
  <c r="J681" i="32"/>
  <c r="H681" i="32" s="1"/>
  <c r="I681" i="32" s="1"/>
  <c r="J692" i="32"/>
  <c r="H692" i="32" s="1"/>
  <c r="I692" i="32" s="1"/>
  <c r="V692" i="32" s="1"/>
  <c r="J699" i="32"/>
  <c r="H699" i="32" s="1"/>
  <c r="I699" i="32" s="1"/>
  <c r="AA706" i="32"/>
  <c r="AB706" i="32" s="1"/>
  <c r="X706" i="32"/>
  <c r="T719" i="32"/>
  <c r="J725" i="32"/>
  <c r="H725" i="32" s="1"/>
  <c r="I725" i="32" s="1"/>
  <c r="V725" i="32" s="1"/>
  <c r="T727" i="32"/>
  <c r="V727" i="32" s="1"/>
  <c r="X741" i="32"/>
  <c r="AA741" i="32"/>
  <c r="AB741" i="32" s="1"/>
  <c r="AA675" i="32"/>
  <c r="AB675" i="32" s="1"/>
  <c r="AA678" i="32"/>
  <c r="AB678" i="32" s="1"/>
  <c r="AA685" i="32"/>
  <c r="AB685" i="32" s="1"/>
  <c r="AA693" i="32"/>
  <c r="AB693" i="32" s="1"/>
  <c r="AA696" i="32"/>
  <c r="AB696" i="32" s="1"/>
  <c r="X704" i="32"/>
  <c r="AA704" i="32"/>
  <c r="AB704" i="32" s="1"/>
  <c r="J718" i="32"/>
  <c r="H718" i="32" s="1"/>
  <c r="I718" i="32" s="1"/>
  <c r="V718" i="32" s="1"/>
  <c r="AA723" i="32"/>
  <c r="AB723" i="32" s="1"/>
  <c r="Z724" i="32"/>
  <c r="AJ92" i="32" s="1"/>
  <c r="AA724" i="32"/>
  <c r="AB724" i="32" s="1"/>
  <c r="T725" i="32"/>
  <c r="Z740" i="32"/>
  <c r="AJ94" i="32" s="1"/>
  <c r="AA740" i="32"/>
  <c r="AB740" i="32" s="1"/>
  <c r="AA715" i="32"/>
  <c r="AB715" i="32" s="1"/>
  <c r="J719" i="32"/>
  <c r="H719" i="32" s="1"/>
  <c r="I719" i="32" s="1"/>
  <c r="V719" i="32" s="1"/>
  <c r="AA722" i="32"/>
  <c r="AB722" i="32" s="1"/>
  <c r="J726" i="32"/>
  <c r="H726" i="32" s="1"/>
  <c r="I726" i="32" s="1"/>
  <c r="AA733" i="32"/>
  <c r="AB733" i="32" s="1"/>
  <c r="J736" i="32"/>
  <c r="H736" i="32" s="1"/>
  <c r="I736" i="32" s="1"/>
  <c r="V736" i="32" s="1"/>
  <c r="J737" i="32"/>
  <c r="H737" i="32" s="1"/>
  <c r="I737" i="32" s="1"/>
  <c r="T735" i="32"/>
  <c r="AG94" i="32" s="1"/>
  <c r="J717" i="32"/>
  <c r="H717" i="32" s="1"/>
  <c r="I717" i="32" s="1"/>
  <c r="V717" i="32" s="1"/>
  <c r="J728" i="32"/>
  <c r="H728" i="32" s="1"/>
  <c r="I728" i="32" s="1"/>
  <c r="J735" i="32"/>
  <c r="H735" i="32" s="1"/>
  <c r="I735" i="32" s="1"/>
  <c r="AA742" i="32"/>
  <c r="AB742" i="32" s="1"/>
  <c r="AH94" i="40" l="1"/>
  <c r="AL94" i="40" s="1"/>
  <c r="J82" i="37" s="1"/>
  <c r="AH68" i="40"/>
  <c r="AL68" i="40" s="1"/>
  <c r="AH52" i="40"/>
  <c r="AL52" i="40" s="1"/>
  <c r="J40" i="37" s="1"/>
  <c r="AH81" i="40"/>
  <c r="AL81" i="40" s="1"/>
  <c r="J69" i="37" s="1"/>
  <c r="AH79" i="40"/>
  <c r="AI37" i="33"/>
  <c r="AF23" i="34"/>
  <c r="AK86" i="34"/>
  <c r="AK42" i="34"/>
  <c r="AJ37" i="39"/>
  <c r="V169" i="39"/>
  <c r="AG74" i="39"/>
  <c r="V671" i="38"/>
  <c r="AI87" i="33"/>
  <c r="AK91" i="34"/>
  <c r="AG68" i="34"/>
  <c r="AK28" i="34"/>
  <c r="AI14" i="34"/>
  <c r="AI61" i="34"/>
  <c r="AI79" i="34"/>
  <c r="AI75" i="34"/>
  <c r="V664" i="35"/>
  <c r="AI84" i="35"/>
  <c r="AK51" i="35"/>
  <c r="V618" i="39"/>
  <c r="AH81" i="39" s="1"/>
  <c r="AL81" i="39" s="1"/>
  <c r="G69" i="37" s="1"/>
  <c r="AL71" i="40"/>
  <c r="J59" i="37" s="1"/>
  <c r="AL20" i="40"/>
  <c r="J8" i="37" s="1"/>
  <c r="AL84" i="40"/>
  <c r="J72" i="37" s="1"/>
  <c r="AK82" i="32"/>
  <c r="AK32" i="34"/>
  <c r="AG73" i="39"/>
  <c r="AF45" i="39"/>
  <c r="AK75" i="38"/>
  <c r="AK53" i="38"/>
  <c r="AI81" i="38"/>
  <c r="AI48" i="38"/>
  <c r="AI29" i="35"/>
  <c r="AI30" i="32"/>
  <c r="AI30" i="38"/>
  <c r="V735" i="39"/>
  <c r="AL31" i="40"/>
  <c r="J19" i="37" s="1"/>
  <c r="AL93" i="40"/>
  <c r="J81" i="37" s="1"/>
  <c r="AK17" i="35"/>
  <c r="AL47" i="40"/>
  <c r="J35" i="37" s="1"/>
  <c r="AI48" i="39"/>
  <c r="AJ39" i="38"/>
  <c r="AI16" i="32"/>
  <c r="AG16" i="33"/>
  <c r="V546" i="34"/>
  <c r="AK41" i="34"/>
  <c r="AG29" i="34"/>
  <c r="AI26" i="34"/>
  <c r="V123" i="35"/>
  <c r="AH26" i="35" s="1"/>
  <c r="AL26" i="35" s="1"/>
  <c r="D14" i="37" s="1"/>
  <c r="AJ84" i="39"/>
  <c r="AJ78" i="39"/>
  <c r="AG61" i="39"/>
  <c r="AF60" i="39"/>
  <c r="AI22" i="39"/>
  <c r="AL51" i="40"/>
  <c r="J39" i="37" s="1"/>
  <c r="V141" i="38"/>
  <c r="AI38" i="35"/>
  <c r="AK39" i="35"/>
  <c r="AI50" i="38"/>
  <c r="AI41" i="38"/>
  <c r="AI81" i="35"/>
  <c r="AK42" i="35"/>
  <c r="AJ49" i="33"/>
  <c r="AK84" i="32"/>
  <c r="AI31" i="39"/>
  <c r="AL48" i="40"/>
  <c r="J36" i="37" s="1"/>
  <c r="AK41" i="35"/>
  <c r="AK54" i="38"/>
  <c r="AI88" i="35"/>
  <c r="AJ28" i="35"/>
  <c r="AK18" i="35"/>
  <c r="V547" i="32"/>
  <c r="AK76" i="33"/>
  <c r="AI91" i="35"/>
  <c r="AK59" i="33"/>
  <c r="V161" i="35"/>
  <c r="AI47" i="38"/>
  <c r="AI33" i="39"/>
  <c r="AG53" i="34"/>
  <c r="AG91" i="32"/>
  <c r="V546" i="33"/>
  <c r="V78" i="33"/>
  <c r="AG54" i="39"/>
  <c r="AL89" i="40"/>
  <c r="J77" i="37" s="1"/>
  <c r="V44" i="39"/>
  <c r="AG73" i="32"/>
  <c r="AG18" i="32"/>
  <c r="AG30" i="34"/>
  <c r="V546" i="35"/>
  <c r="AH73" i="35" s="1"/>
  <c r="AG47" i="34"/>
  <c r="AG59" i="35"/>
  <c r="AG62" i="39"/>
  <c r="AK18" i="33"/>
  <c r="AI73" i="33"/>
  <c r="AI16" i="33"/>
  <c r="AK86" i="33"/>
  <c r="AI86" i="34"/>
  <c r="AG75" i="34"/>
  <c r="AJ54" i="34"/>
  <c r="V376" i="34"/>
  <c r="AI70" i="34"/>
  <c r="AG42" i="33"/>
  <c r="AJ61" i="38"/>
  <c r="AF21" i="39"/>
  <c r="AK87" i="32"/>
  <c r="V726" i="32"/>
  <c r="AK73" i="32"/>
  <c r="AK82" i="33"/>
  <c r="AG78" i="33"/>
  <c r="V503" i="33"/>
  <c r="AG57" i="33"/>
  <c r="AK26" i="34"/>
  <c r="AF17" i="34"/>
  <c r="AF53" i="39"/>
  <c r="V365" i="39"/>
  <c r="AI53" i="38"/>
  <c r="AI68" i="34"/>
  <c r="AG20" i="34"/>
  <c r="AK19" i="35"/>
  <c r="AI33" i="35"/>
  <c r="AG23" i="39"/>
  <c r="AK87" i="33"/>
  <c r="V736" i="34"/>
  <c r="AG79" i="34"/>
  <c r="AG60" i="34"/>
  <c r="AG59" i="34"/>
  <c r="V367" i="34"/>
  <c r="AK57" i="34"/>
  <c r="AG28" i="34"/>
  <c r="AK25" i="34"/>
  <c r="AG39" i="34"/>
  <c r="AK79" i="35"/>
  <c r="AK74" i="35"/>
  <c r="V358" i="35"/>
  <c r="AJ43" i="35"/>
  <c r="V169" i="35"/>
  <c r="V735" i="38"/>
  <c r="AK77" i="38"/>
  <c r="V465" i="38"/>
  <c r="V368" i="38"/>
  <c r="AK17" i="38"/>
  <c r="AK89" i="39"/>
  <c r="AK85" i="39"/>
  <c r="AK84" i="39"/>
  <c r="AK76" i="39"/>
  <c r="V502" i="39"/>
  <c r="AK56" i="39"/>
  <c r="AK58" i="39"/>
  <c r="AG35" i="39"/>
  <c r="AI29" i="39"/>
  <c r="AK21" i="39"/>
  <c r="AG16" i="39"/>
  <c r="AL16" i="40"/>
  <c r="J4" i="37" s="1"/>
  <c r="AL30" i="40"/>
  <c r="J18" i="37" s="1"/>
  <c r="AL69" i="40"/>
  <c r="J57" i="37" s="1"/>
  <c r="AK84" i="38"/>
  <c r="V473" i="38"/>
  <c r="V466" i="38"/>
  <c r="AG18" i="33"/>
  <c r="AI52" i="33"/>
  <c r="AG81" i="34"/>
  <c r="AG78" i="34"/>
  <c r="AG84" i="34"/>
  <c r="AG63" i="34"/>
  <c r="V467" i="34"/>
  <c r="AH64" i="34" s="1"/>
  <c r="AG42" i="34"/>
  <c r="AG40" i="34"/>
  <c r="V169" i="34"/>
  <c r="V708" i="35"/>
  <c r="AK70" i="35"/>
  <c r="AG92" i="32"/>
  <c r="AG85" i="32"/>
  <c r="V620" i="32"/>
  <c r="AK78" i="32"/>
  <c r="AK65" i="32"/>
  <c r="AG66" i="32"/>
  <c r="AI62" i="32"/>
  <c r="AG49" i="32"/>
  <c r="V259" i="32"/>
  <c r="AK55" i="32"/>
  <c r="AF53" i="32"/>
  <c r="AG31" i="32"/>
  <c r="AG27" i="32"/>
  <c r="AK49" i="32"/>
  <c r="AI48" i="32"/>
  <c r="AI36" i="32"/>
  <c r="AG19" i="32"/>
  <c r="AG24" i="32"/>
  <c r="AG20" i="32"/>
  <c r="V44" i="32"/>
  <c r="AG72" i="33"/>
  <c r="AG74" i="33"/>
  <c r="AG59" i="33"/>
  <c r="AK53" i="33"/>
  <c r="AG51" i="33"/>
  <c r="AG45" i="33"/>
  <c r="AG41" i="33"/>
  <c r="AG25" i="33"/>
  <c r="AG28" i="33"/>
  <c r="V44" i="33"/>
  <c r="AG89" i="34"/>
  <c r="AG88" i="34"/>
  <c r="V646" i="34"/>
  <c r="AG80" i="34"/>
  <c r="V251" i="34"/>
  <c r="AH40" i="34" s="1"/>
  <c r="V232" i="34"/>
  <c r="V737" i="35"/>
  <c r="AI74" i="35"/>
  <c r="AI66" i="35"/>
  <c r="V32" i="35"/>
  <c r="V548" i="35"/>
  <c r="V259" i="35"/>
  <c r="V367" i="35"/>
  <c r="V726" i="38"/>
  <c r="AK87" i="38"/>
  <c r="AI89" i="38"/>
  <c r="AF88" i="38"/>
  <c r="AK94" i="38"/>
  <c r="AI91" i="38"/>
  <c r="AK92" i="38"/>
  <c r="AK81" i="38"/>
  <c r="V600" i="38"/>
  <c r="V503" i="38"/>
  <c r="V501" i="38"/>
  <c r="AK82" i="38"/>
  <c r="V511" i="38"/>
  <c r="V509" i="38"/>
  <c r="V485" i="38"/>
  <c r="AJ60" i="38"/>
  <c r="AK60" i="38"/>
  <c r="V385" i="38"/>
  <c r="AJ64" i="38"/>
  <c r="AK38" i="38"/>
  <c r="AK37" i="38"/>
  <c r="AK40" i="38"/>
  <c r="AI63" i="38"/>
  <c r="AK25" i="38"/>
  <c r="V240" i="38"/>
  <c r="AI25" i="38"/>
  <c r="V314" i="38"/>
  <c r="AH47" i="38" s="1"/>
  <c r="AL47" i="38" s="1"/>
  <c r="C35" i="37" s="1"/>
  <c r="V726" i="39"/>
  <c r="AK82" i="39"/>
  <c r="AG84" i="39"/>
  <c r="AK74" i="39"/>
  <c r="AG78" i="39"/>
  <c r="AG69" i="39"/>
  <c r="AK55" i="39"/>
  <c r="AG45" i="39"/>
  <c r="AG33" i="39"/>
  <c r="AG25" i="39"/>
  <c r="AI24" i="39"/>
  <c r="AL79" i="40"/>
  <c r="J67" i="37" s="1"/>
  <c r="AL38" i="40"/>
  <c r="J26" i="37" s="1"/>
  <c r="AL64" i="40"/>
  <c r="J52" i="37" s="1"/>
  <c r="AL62" i="40"/>
  <c r="J50" i="37" s="1"/>
  <c r="AI26" i="39"/>
  <c r="V527" i="38"/>
  <c r="AG15" i="33"/>
  <c r="V511" i="32"/>
  <c r="AK33" i="38"/>
  <c r="V502" i="34"/>
  <c r="AJ29" i="38"/>
  <c r="AK69" i="34"/>
  <c r="AK81" i="35"/>
  <c r="AK65" i="35"/>
  <c r="AI58" i="35"/>
  <c r="AK47" i="35"/>
  <c r="AK50" i="35"/>
  <c r="AI44" i="35"/>
  <c r="AK28" i="35"/>
  <c r="V241" i="35"/>
  <c r="V503" i="35"/>
  <c r="V734" i="38"/>
  <c r="AI69" i="38"/>
  <c r="V187" i="38"/>
  <c r="V151" i="38"/>
  <c r="AF28" i="38"/>
  <c r="V33" i="38"/>
  <c r="AG94" i="39"/>
  <c r="AK77" i="39"/>
  <c r="AG76" i="39"/>
  <c r="AG77" i="39"/>
  <c r="AK63" i="39"/>
  <c r="AF64" i="39"/>
  <c r="AK65" i="39"/>
  <c r="AG66" i="39"/>
  <c r="AK57" i="39"/>
  <c r="V368" i="39"/>
  <c r="AH53" i="39" s="1"/>
  <c r="AG52" i="39"/>
  <c r="AG47" i="39"/>
  <c r="AK52" i="39"/>
  <c r="AG36" i="39"/>
  <c r="AK23" i="39"/>
  <c r="AL17" i="40"/>
  <c r="J5" i="37" s="1"/>
  <c r="AL39" i="40"/>
  <c r="J27" i="37" s="1"/>
  <c r="AL72" i="40"/>
  <c r="J60" i="37" s="1"/>
  <c r="AG70" i="39"/>
  <c r="AG48" i="39"/>
  <c r="AG24" i="39"/>
  <c r="AG21" i="39"/>
  <c r="AK16" i="39"/>
  <c r="AG53" i="39"/>
  <c r="AG19" i="39"/>
  <c r="V241" i="34"/>
  <c r="AH39" i="34" s="1"/>
  <c r="AL39" i="34" s="1"/>
  <c r="F27" i="37" s="1"/>
  <c r="AI33" i="38"/>
  <c r="AG60" i="39"/>
  <c r="AG76" i="32"/>
  <c r="AG45" i="32"/>
  <c r="AG62" i="32"/>
  <c r="AG61" i="32"/>
  <c r="AG53" i="32"/>
  <c r="AG40" i="32"/>
  <c r="AG65" i="34"/>
  <c r="AG19" i="34"/>
  <c r="AG92" i="35"/>
  <c r="AG29" i="35"/>
  <c r="AG72" i="34"/>
  <c r="AG33" i="34"/>
  <c r="AG35" i="34"/>
  <c r="AG93" i="32"/>
  <c r="AG58" i="32"/>
  <c r="AG37" i="32"/>
  <c r="AG86" i="33"/>
  <c r="AG24" i="33"/>
  <c r="AG18" i="34"/>
  <c r="AG94" i="35"/>
  <c r="AG67" i="38"/>
  <c r="AG21" i="38"/>
  <c r="AG23" i="32"/>
  <c r="AG51" i="39"/>
  <c r="AG91" i="39"/>
  <c r="AG59" i="39"/>
  <c r="AG41" i="39"/>
  <c r="AG38" i="39"/>
  <c r="AG31" i="39"/>
  <c r="AG30" i="39"/>
  <c r="AG28" i="39"/>
  <c r="AG71" i="39"/>
  <c r="AG55" i="39"/>
  <c r="AG44" i="39"/>
  <c r="AG65" i="39"/>
  <c r="AG34" i="39"/>
  <c r="AG14" i="39"/>
  <c r="V501" i="33"/>
  <c r="AG74" i="32"/>
  <c r="V359" i="32"/>
  <c r="AG79" i="32"/>
  <c r="AG87" i="32"/>
  <c r="AG84" i="32"/>
  <c r="V646" i="32"/>
  <c r="AK79" i="32"/>
  <c r="AG81" i="32"/>
  <c r="V618" i="32"/>
  <c r="AH81" i="32" s="1"/>
  <c r="AL81" i="32" s="1"/>
  <c r="I69" i="37" s="1"/>
  <c r="V600" i="32"/>
  <c r="AG71" i="32"/>
  <c r="AK62" i="32"/>
  <c r="V367" i="32"/>
  <c r="AI65" i="32"/>
  <c r="AG52" i="32"/>
  <c r="AG60" i="32"/>
  <c r="AG59" i="32"/>
  <c r="AF56" i="32"/>
  <c r="V394" i="32"/>
  <c r="AG41" i="32"/>
  <c r="AG48" i="32"/>
  <c r="AG46" i="32"/>
  <c r="AG44" i="32"/>
  <c r="AG42" i="32"/>
  <c r="AG38" i="32"/>
  <c r="AK22" i="32"/>
  <c r="AG22" i="32"/>
  <c r="AF20" i="32"/>
  <c r="V69" i="32"/>
  <c r="AH20" i="32" s="1"/>
  <c r="AL20" i="32" s="1"/>
  <c r="I8" i="37" s="1"/>
  <c r="AI26" i="32"/>
  <c r="AI90" i="32"/>
  <c r="AI82" i="32"/>
  <c r="AK60" i="32"/>
  <c r="AK34" i="32"/>
  <c r="AI28" i="32"/>
  <c r="AI81" i="32"/>
  <c r="AG93" i="33"/>
  <c r="AG92" i="33"/>
  <c r="AK88" i="33"/>
  <c r="AG84" i="33"/>
  <c r="V646" i="33"/>
  <c r="AH84" i="33" s="1"/>
  <c r="AK81" i="33"/>
  <c r="AF80" i="33"/>
  <c r="V608" i="33"/>
  <c r="AK74" i="33"/>
  <c r="V600" i="33"/>
  <c r="AI70" i="33"/>
  <c r="AF70" i="33"/>
  <c r="V520" i="33"/>
  <c r="AG65" i="33"/>
  <c r="AK62" i="33"/>
  <c r="AF63" i="33"/>
  <c r="V456" i="33"/>
  <c r="AH63" i="33" s="1"/>
  <c r="AL63" i="33" s="1"/>
  <c r="H51" i="37" s="1"/>
  <c r="AG58" i="33"/>
  <c r="AK49" i="33"/>
  <c r="AI38" i="33"/>
  <c r="AG46" i="33"/>
  <c r="AG43" i="33"/>
  <c r="AG39" i="33"/>
  <c r="AF42" i="33"/>
  <c r="V266" i="33"/>
  <c r="AH42" i="33" s="1"/>
  <c r="AL42" i="33" s="1"/>
  <c r="H30" i="37" s="1"/>
  <c r="AK36" i="33"/>
  <c r="AK33" i="33"/>
  <c r="AF28" i="33"/>
  <c r="V141" i="33"/>
  <c r="AG21" i="33"/>
  <c r="AG38" i="33"/>
  <c r="AG35" i="33"/>
  <c r="AG30" i="33"/>
  <c r="AG19" i="33"/>
  <c r="AF14" i="33"/>
  <c r="V17" i="33"/>
  <c r="AK19" i="33"/>
  <c r="V52" i="33"/>
  <c r="V33" i="33"/>
  <c r="V547" i="34"/>
  <c r="V503" i="34"/>
  <c r="AG69" i="34"/>
  <c r="V509" i="34"/>
  <c r="AG58" i="34"/>
  <c r="V413" i="34"/>
  <c r="AH58" i="34" s="1"/>
  <c r="V377" i="34"/>
  <c r="AK44" i="34"/>
  <c r="AG34" i="34"/>
  <c r="V259" i="34"/>
  <c r="AH41" i="34" s="1"/>
  <c r="AL41" i="34" s="1"/>
  <c r="F29" i="37" s="1"/>
  <c r="AI30" i="34"/>
  <c r="AG14" i="34"/>
  <c r="AG82" i="35"/>
  <c r="V610" i="35"/>
  <c r="AK76" i="35"/>
  <c r="AG67" i="35"/>
  <c r="AF61" i="35"/>
  <c r="V438" i="35"/>
  <c r="AH61" i="35" s="1"/>
  <c r="AL61" i="35" s="1"/>
  <c r="D49" i="37" s="1"/>
  <c r="AI53" i="35"/>
  <c r="AF47" i="35"/>
  <c r="V311" i="35"/>
  <c r="AF45" i="35"/>
  <c r="V293" i="35"/>
  <c r="AH45" i="35" s="1"/>
  <c r="AK55" i="35"/>
  <c r="V511" i="35"/>
  <c r="V601" i="35"/>
  <c r="V53" i="35"/>
  <c r="V215" i="38"/>
  <c r="AG57" i="32"/>
  <c r="AK90" i="32"/>
  <c r="AG75" i="32"/>
  <c r="AG70" i="32"/>
  <c r="AF73" i="32"/>
  <c r="V548" i="32"/>
  <c r="AF60" i="32"/>
  <c r="V430" i="32"/>
  <c r="AG51" i="32"/>
  <c r="AG56" i="32"/>
  <c r="AG50" i="32"/>
  <c r="AG64" i="32"/>
  <c r="AG43" i="32"/>
  <c r="AF38" i="32"/>
  <c r="V230" i="32"/>
  <c r="AF21" i="32"/>
  <c r="AF15" i="32"/>
  <c r="AK36" i="32"/>
  <c r="AG30" i="32"/>
  <c r="V737" i="33"/>
  <c r="AG90" i="33"/>
  <c r="AI80" i="33"/>
  <c r="AF72" i="33"/>
  <c r="V536" i="33"/>
  <c r="V610" i="33"/>
  <c r="AG79" i="33"/>
  <c r="AI69" i="33"/>
  <c r="AG69" i="33"/>
  <c r="V509" i="33"/>
  <c r="AH69" i="33" s="1"/>
  <c r="AL69" i="33" s="1"/>
  <c r="H57" i="37" s="1"/>
  <c r="AI60" i="33"/>
  <c r="AG63" i="33"/>
  <c r="AG55" i="33"/>
  <c r="AG54" i="33"/>
  <c r="AG44" i="33"/>
  <c r="AG36" i="33"/>
  <c r="V215" i="33"/>
  <c r="AG23" i="33"/>
  <c r="V96" i="33"/>
  <c r="AH23" i="33" s="1"/>
  <c r="AL23" i="33" s="1"/>
  <c r="H11" i="37" s="1"/>
  <c r="AG34" i="33"/>
  <c r="V169" i="33"/>
  <c r="AJ22" i="33"/>
  <c r="AG73" i="34"/>
  <c r="AG70" i="34"/>
  <c r="AF66" i="34"/>
  <c r="V482" i="34"/>
  <c r="AH66" i="34" s="1"/>
  <c r="AG55" i="34"/>
  <c r="AG51" i="34"/>
  <c r="AG54" i="34"/>
  <c r="V350" i="34"/>
  <c r="AH51" i="34" s="1"/>
  <c r="AG50" i="34"/>
  <c r="AG48" i="34"/>
  <c r="AG38" i="34"/>
  <c r="V95" i="34"/>
  <c r="AK20" i="34"/>
  <c r="AG91" i="35"/>
  <c r="AG73" i="35"/>
  <c r="V583" i="35"/>
  <c r="AG38" i="35"/>
  <c r="AF56" i="35"/>
  <c r="V392" i="35"/>
  <c r="AG15" i="35"/>
  <c r="V96" i="35"/>
  <c r="AF22" i="35"/>
  <c r="V87" i="35"/>
  <c r="AG20" i="35"/>
  <c r="V52" i="35"/>
  <c r="V728" i="35"/>
  <c r="AH93" i="35" s="1"/>
  <c r="V620" i="35"/>
  <c r="V502" i="35"/>
  <c r="AH68" i="35" s="1"/>
  <c r="AL68" i="35" s="1"/>
  <c r="D56" i="37" s="1"/>
  <c r="V33" i="35"/>
  <c r="V584" i="35"/>
  <c r="V368" i="35"/>
  <c r="AK71" i="38"/>
  <c r="AF37" i="38"/>
  <c r="V221" i="38"/>
  <c r="AH37" i="38" s="1"/>
  <c r="AL37" i="38" s="1"/>
  <c r="C25" i="37" s="1"/>
  <c r="V728" i="38"/>
  <c r="V602" i="38"/>
  <c r="V169" i="38"/>
  <c r="AG81" i="33"/>
  <c r="V618" i="33"/>
  <c r="V602" i="33"/>
  <c r="AF54" i="33"/>
  <c r="V377" i="33"/>
  <c r="AH54" i="33" s="1"/>
  <c r="AL54" i="33" s="1"/>
  <c r="H42" i="37" s="1"/>
  <c r="AG77" i="34"/>
  <c r="V583" i="34"/>
  <c r="AH77" i="34" s="1"/>
  <c r="AL77" i="34" s="1"/>
  <c r="F65" i="37" s="1"/>
  <c r="AG56" i="34"/>
  <c r="V395" i="34"/>
  <c r="AH56" i="34" s="1"/>
  <c r="AG49" i="34"/>
  <c r="AG37" i="34"/>
  <c r="V224" i="34"/>
  <c r="AH37" i="34" s="1"/>
  <c r="AF26" i="34"/>
  <c r="V125" i="34"/>
  <c r="AF38" i="34"/>
  <c r="V230" i="34"/>
  <c r="AH38" i="34" s="1"/>
  <c r="AK50" i="34"/>
  <c r="AG41" i="34"/>
  <c r="AG25" i="34"/>
  <c r="AF16" i="34"/>
  <c r="V32" i="34"/>
  <c r="AF94" i="35"/>
  <c r="V734" i="35"/>
  <c r="AF80" i="35"/>
  <c r="V608" i="35"/>
  <c r="AF59" i="35"/>
  <c r="V420" i="35"/>
  <c r="AF50" i="35"/>
  <c r="V338" i="35"/>
  <c r="AH50" i="35" s="1"/>
  <c r="AL50" i="35" s="1"/>
  <c r="D38" i="37" s="1"/>
  <c r="AG56" i="35"/>
  <c r="V395" i="35"/>
  <c r="AF58" i="35"/>
  <c r="V410" i="35"/>
  <c r="AH58" i="35" s="1"/>
  <c r="AF40" i="35"/>
  <c r="V248" i="35"/>
  <c r="AF34" i="35"/>
  <c r="V195" i="35"/>
  <c r="AH34" i="35" s="1"/>
  <c r="AF39" i="35"/>
  <c r="V239" i="35"/>
  <c r="AF33" i="35"/>
  <c r="V185" i="35"/>
  <c r="AF27" i="35"/>
  <c r="V131" i="35"/>
  <c r="AH27" i="35" s="1"/>
  <c r="AL27" i="35" s="1"/>
  <c r="D15" i="37" s="1"/>
  <c r="AF24" i="35"/>
  <c r="V104" i="35"/>
  <c r="AF23" i="35"/>
  <c r="V98" i="35"/>
  <c r="V170" i="35"/>
  <c r="V509" i="35"/>
  <c r="AF45" i="38"/>
  <c r="V293" i="38"/>
  <c r="AH45" i="38" s="1"/>
  <c r="AL45" i="38" s="1"/>
  <c r="C33" i="37" s="1"/>
  <c r="AF70" i="38"/>
  <c r="V519" i="38"/>
  <c r="AH70" i="38" s="1"/>
  <c r="AF56" i="38"/>
  <c r="V392" i="38"/>
  <c r="AF48" i="38"/>
  <c r="V320" i="38"/>
  <c r="AH48" i="38" s="1"/>
  <c r="AF43" i="38"/>
  <c r="V276" i="38"/>
  <c r="AH43" i="38" s="1"/>
  <c r="AF33" i="38"/>
  <c r="V186" i="38"/>
  <c r="AH33" i="38" s="1"/>
  <c r="AL33" i="38" s="1"/>
  <c r="C21" i="37" s="1"/>
  <c r="AF25" i="38"/>
  <c r="V113" i="38"/>
  <c r="AH25" i="38" s="1"/>
  <c r="AL25" i="38" s="1"/>
  <c r="C13" i="37" s="1"/>
  <c r="V664" i="38"/>
  <c r="AH86" i="38" s="1"/>
  <c r="V610" i="38"/>
  <c r="V548" i="38"/>
  <c r="AG82" i="38"/>
  <c r="AF90" i="32"/>
  <c r="V698" i="32"/>
  <c r="AI44" i="32"/>
  <c r="AG94" i="33"/>
  <c r="AG85" i="33"/>
  <c r="AG77" i="33"/>
  <c r="AG73" i="33"/>
  <c r="V548" i="33"/>
  <c r="AG68" i="33"/>
  <c r="AG56" i="33"/>
  <c r="V51" i="33"/>
  <c r="AI93" i="33"/>
  <c r="AF94" i="34"/>
  <c r="V734" i="34"/>
  <c r="AH94" i="34" s="1"/>
  <c r="AK94" i="34"/>
  <c r="AG90" i="34"/>
  <c r="AG85" i="34"/>
  <c r="AK68" i="34"/>
  <c r="AF70" i="34"/>
  <c r="V518" i="34"/>
  <c r="AH70" i="34" s="1"/>
  <c r="AL70" i="34" s="1"/>
  <c r="F58" i="37" s="1"/>
  <c r="AG67" i="34"/>
  <c r="AK53" i="34"/>
  <c r="AG46" i="34"/>
  <c r="AI53" i="34"/>
  <c r="AI32" i="34"/>
  <c r="AG27" i="34"/>
  <c r="AG26" i="34"/>
  <c r="V123" i="34"/>
  <c r="AK23" i="34"/>
  <c r="V215" i="34"/>
  <c r="AH36" i="34" s="1"/>
  <c r="AI80" i="34"/>
  <c r="AK78" i="34"/>
  <c r="AI77" i="34"/>
  <c r="AI62" i="34"/>
  <c r="AI69" i="34"/>
  <c r="AK94" i="35"/>
  <c r="AF89" i="35"/>
  <c r="V689" i="35"/>
  <c r="AK86" i="35"/>
  <c r="AK80" i="35"/>
  <c r="AF79" i="35"/>
  <c r="V599" i="35"/>
  <c r="AK75" i="35"/>
  <c r="AK71" i="35"/>
  <c r="AI73" i="35"/>
  <c r="AF63" i="35"/>
  <c r="AK62" i="35"/>
  <c r="AI56" i="35"/>
  <c r="AI54" i="35"/>
  <c r="AI51" i="35"/>
  <c r="AF70" i="35"/>
  <c r="AF14" i="35"/>
  <c r="V168" i="35"/>
  <c r="V736" i="35"/>
  <c r="V602" i="35"/>
  <c r="V600" i="35"/>
  <c r="V358" i="38"/>
  <c r="V260" i="38"/>
  <c r="AH41" i="38" s="1"/>
  <c r="V359" i="38"/>
  <c r="V241" i="38"/>
  <c r="V168" i="38"/>
  <c r="AH31" i="38" s="1"/>
  <c r="AL31" i="38" s="1"/>
  <c r="C19" i="37" s="1"/>
  <c r="V367" i="38"/>
  <c r="AK83" i="39"/>
  <c r="V584" i="39"/>
  <c r="AF61" i="39"/>
  <c r="AG22" i="39"/>
  <c r="V492" i="38"/>
  <c r="V491" i="38"/>
  <c r="V672" i="38"/>
  <c r="V159" i="38"/>
  <c r="AH30" i="38" s="1"/>
  <c r="V404" i="35"/>
  <c r="V728" i="32"/>
  <c r="AF36" i="35"/>
  <c r="AI23" i="35"/>
  <c r="AK27" i="35"/>
  <c r="AJ22" i="35"/>
  <c r="AJ25" i="35"/>
  <c r="AF15" i="35"/>
  <c r="AK23" i="35"/>
  <c r="AF16" i="35"/>
  <c r="AK88" i="38"/>
  <c r="AI85" i="38"/>
  <c r="AF78" i="38"/>
  <c r="V590" i="38"/>
  <c r="AI93" i="38"/>
  <c r="V547" i="38"/>
  <c r="V502" i="38"/>
  <c r="AK67" i="38"/>
  <c r="AF60" i="38"/>
  <c r="AF57" i="38"/>
  <c r="V401" i="38"/>
  <c r="AG54" i="38"/>
  <c r="AG46" i="38"/>
  <c r="AG57" i="38"/>
  <c r="AK64" i="38"/>
  <c r="AF39" i="38"/>
  <c r="AF36" i="38"/>
  <c r="V212" i="38"/>
  <c r="AH36" i="38" s="1"/>
  <c r="AF32" i="38"/>
  <c r="AK23" i="38"/>
  <c r="AF29" i="38"/>
  <c r="AF19" i="38"/>
  <c r="V620" i="38"/>
  <c r="V584" i="38"/>
  <c r="V52" i="38"/>
  <c r="AK91" i="39"/>
  <c r="AF91" i="39"/>
  <c r="AG88" i="39"/>
  <c r="AF87" i="39"/>
  <c r="V503" i="39"/>
  <c r="V547" i="39"/>
  <c r="AF59" i="39"/>
  <c r="V509" i="39"/>
  <c r="AH69" i="39" s="1"/>
  <c r="AL69" i="39" s="1"/>
  <c r="G57" i="37" s="1"/>
  <c r="AK66" i="39"/>
  <c r="AI51" i="39"/>
  <c r="AK44" i="39"/>
  <c r="AF48" i="39"/>
  <c r="V294" i="39"/>
  <c r="AH45" i="39" s="1"/>
  <c r="AF38" i="39"/>
  <c r="AF37" i="39"/>
  <c r="V167" i="39"/>
  <c r="AK31" i="39"/>
  <c r="AK24" i="39"/>
  <c r="AG17" i="39"/>
  <c r="AL36" i="40"/>
  <c r="J24" i="37" s="1"/>
  <c r="AL25" i="40"/>
  <c r="J13" i="37" s="1"/>
  <c r="V494" i="38"/>
  <c r="V428" i="38"/>
  <c r="AH60" i="38" s="1"/>
  <c r="AL60" i="38" s="1"/>
  <c r="C48" i="37" s="1"/>
  <c r="V23" i="35"/>
  <c r="AH15" i="35" s="1"/>
  <c r="AL15" i="35" s="1"/>
  <c r="D3" i="37" s="1"/>
  <c r="V312" i="35"/>
  <c r="V537" i="35"/>
  <c r="V710" i="34"/>
  <c r="AH91" i="34" s="1"/>
  <c r="AL91" i="34" s="1"/>
  <c r="F79" i="37" s="1"/>
  <c r="V123" i="33"/>
  <c r="AH26" i="33" s="1"/>
  <c r="V493" i="35"/>
  <c r="V547" i="33"/>
  <c r="V87" i="33"/>
  <c r="AH22" i="33" s="1"/>
  <c r="V242" i="33"/>
  <c r="V645" i="32"/>
  <c r="V583" i="32"/>
  <c r="V737" i="32"/>
  <c r="AF14" i="38"/>
  <c r="V14" i="38"/>
  <c r="AF16" i="38"/>
  <c r="AG62" i="38"/>
  <c r="V736" i="38"/>
  <c r="AG83" i="38"/>
  <c r="V583" i="38"/>
  <c r="V51" i="38"/>
  <c r="V582" i="38"/>
  <c r="AG60" i="38"/>
  <c r="V96" i="38"/>
  <c r="AH23" i="38" s="1"/>
  <c r="AL23" i="38" s="1"/>
  <c r="C11" i="37" s="1"/>
  <c r="AG70" i="38"/>
  <c r="AG15" i="38"/>
  <c r="AK92" i="39"/>
  <c r="AG82" i="39"/>
  <c r="AG85" i="39"/>
  <c r="AF74" i="39"/>
  <c r="AF71" i="39"/>
  <c r="AG68" i="39"/>
  <c r="AK64" i="39"/>
  <c r="AF67" i="39"/>
  <c r="AG67" i="39"/>
  <c r="AG57" i="39"/>
  <c r="AF46" i="39"/>
  <c r="AF42" i="39"/>
  <c r="V358" i="39"/>
  <c r="AK42" i="39"/>
  <c r="AK37" i="39"/>
  <c r="AJ50" i="39"/>
  <c r="V314" i="39"/>
  <c r="AG39" i="39"/>
  <c r="AG32" i="39"/>
  <c r="AG15" i="39"/>
  <c r="AK22" i="39"/>
  <c r="AL44" i="40"/>
  <c r="J32" i="37" s="1"/>
  <c r="AL67" i="40"/>
  <c r="J55" i="37" s="1"/>
  <c r="V493" i="38"/>
  <c r="V212" i="35"/>
  <c r="AK30" i="39"/>
  <c r="AK18" i="39"/>
  <c r="V646" i="38"/>
  <c r="V636" i="38"/>
  <c r="V692" i="35"/>
  <c r="V179" i="34"/>
  <c r="AH32" i="34" s="1"/>
  <c r="AL32" i="34" s="1"/>
  <c r="F20" i="37" s="1"/>
  <c r="V35" i="34"/>
  <c r="V518" i="33"/>
  <c r="V150" i="38"/>
  <c r="AH29" i="38" s="1"/>
  <c r="AL29" i="38" s="1"/>
  <c r="C17" i="37" s="1"/>
  <c r="V170" i="38"/>
  <c r="V395" i="38"/>
  <c r="AG89" i="39"/>
  <c r="AG87" i="39"/>
  <c r="AF83" i="39"/>
  <c r="V610" i="39"/>
  <c r="AG81" i="39"/>
  <c r="AK78" i="39"/>
  <c r="AG72" i="39"/>
  <c r="AK59" i="39"/>
  <c r="AF75" i="39"/>
  <c r="AF68" i="39"/>
  <c r="AG50" i="39"/>
  <c r="AK39" i="39"/>
  <c r="V176" i="38"/>
  <c r="V59" i="38"/>
  <c r="AH19" i="38" s="1"/>
  <c r="AL19" i="38" s="1"/>
  <c r="C7" i="37" s="1"/>
  <c r="V140" i="38"/>
  <c r="V645" i="38"/>
  <c r="V717" i="38"/>
  <c r="V638" i="38"/>
  <c r="V557" i="38"/>
  <c r="AH74" i="38" s="1"/>
  <c r="V347" i="38"/>
  <c r="AH51" i="38" s="1"/>
  <c r="AL51" i="38" s="1"/>
  <c r="C39" i="37" s="1"/>
  <c r="AK58" i="38"/>
  <c r="V419" i="38"/>
  <c r="AH59" i="38" s="1"/>
  <c r="AL59" i="38" s="1"/>
  <c r="C47" i="37" s="1"/>
  <c r="V440" i="33"/>
  <c r="AH61" i="33" s="1"/>
  <c r="AK30" i="32"/>
  <c r="AI63" i="39"/>
  <c r="V357" i="34"/>
  <c r="V241" i="33"/>
  <c r="AK15" i="32"/>
  <c r="V502" i="33"/>
  <c r="V707" i="38"/>
  <c r="AK50" i="38"/>
  <c r="AK49" i="38"/>
  <c r="AK47" i="38"/>
  <c r="AI56" i="39"/>
  <c r="AK19" i="39"/>
  <c r="V708" i="38"/>
  <c r="V160" i="35"/>
  <c r="V546" i="38"/>
  <c r="V267" i="38"/>
  <c r="AH42" i="38" s="1"/>
  <c r="AL42" i="38" s="1"/>
  <c r="C30" i="37" s="1"/>
  <c r="V332" i="35"/>
  <c r="AK38" i="35"/>
  <c r="V167" i="35"/>
  <c r="V107" i="35"/>
  <c r="V59" i="35"/>
  <c r="AH19" i="35" s="1"/>
  <c r="AL19" i="35" s="1"/>
  <c r="D7" i="37" s="1"/>
  <c r="V232" i="33"/>
  <c r="V107" i="33"/>
  <c r="V681" i="32"/>
  <c r="AH88" i="32" s="1"/>
  <c r="V395" i="32"/>
  <c r="V737" i="38"/>
  <c r="V629" i="35"/>
  <c r="AH82" i="35" s="1"/>
  <c r="AL82" i="35" s="1"/>
  <c r="D70" i="37" s="1"/>
  <c r="V710" i="35"/>
  <c r="V572" i="33"/>
  <c r="V53" i="33"/>
  <c r="V599" i="33"/>
  <c r="V143" i="33"/>
  <c r="AL19" i="40"/>
  <c r="AL82" i="40"/>
  <c r="J70" i="37" s="1"/>
  <c r="AL42" i="40"/>
  <c r="J30" i="37" s="1"/>
  <c r="V365" i="38"/>
  <c r="V520" i="35"/>
  <c r="V50" i="35"/>
  <c r="V664" i="39"/>
  <c r="AK56" i="38"/>
  <c r="AK45" i="38"/>
  <c r="AK44" i="38"/>
  <c r="V195" i="38"/>
  <c r="AH34" i="38" s="1"/>
  <c r="AL34" i="38" s="1"/>
  <c r="C22" i="37" s="1"/>
  <c r="V53" i="38"/>
  <c r="AF18" i="35"/>
  <c r="V168" i="34"/>
  <c r="V259" i="33"/>
  <c r="AH41" i="33" s="1"/>
  <c r="AL41" i="33" s="1"/>
  <c r="H29" i="37" s="1"/>
  <c r="V384" i="32"/>
  <c r="AH55" i="32" s="1"/>
  <c r="AL55" i="32" s="1"/>
  <c r="I43" i="37" s="1"/>
  <c r="V529" i="35"/>
  <c r="AH71" i="35" s="1"/>
  <c r="AL71" i="35" s="1"/>
  <c r="D59" i="37" s="1"/>
  <c r="V717" i="34"/>
  <c r="AK44" i="33"/>
  <c r="V428" i="33"/>
  <c r="V34" i="33"/>
  <c r="AH16" i="33" s="1"/>
  <c r="V728" i="33"/>
  <c r="V240" i="35"/>
  <c r="V725" i="38"/>
  <c r="V680" i="38"/>
  <c r="AK35" i="39"/>
  <c r="AK27" i="39"/>
  <c r="AK17" i="39"/>
  <c r="V719" i="38"/>
  <c r="V690" i="38"/>
  <c r="AK79" i="38"/>
  <c r="V394" i="38"/>
  <c r="AI46" i="38"/>
  <c r="AI39" i="38"/>
  <c r="V582" i="35"/>
  <c r="V536" i="35"/>
  <c r="V314" i="35"/>
  <c r="V221" i="35"/>
  <c r="AH37" i="35" s="1"/>
  <c r="AL37" i="35" s="1"/>
  <c r="D25" i="37" s="1"/>
  <c r="V77" i="35"/>
  <c r="V599" i="38"/>
  <c r="AH79" i="38" s="1"/>
  <c r="AL79" i="38" s="1"/>
  <c r="C67" i="37" s="1"/>
  <c r="V645" i="35"/>
  <c r="AH84" i="35" s="1"/>
  <c r="AL84" i="35" s="1"/>
  <c r="D72" i="37" s="1"/>
  <c r="V591" i="35"/>
  <c r="V518" i="35"/>
  <c r="AK54" i="35"/>
  <c r="V186" i="35"/>
  <c r="V410" i="38"/>
  <c r="V89" i="38"/>
  <c r="AH22" i="38" s="1"/>
  <c r="V575" i="35"/>
  <c r="AH76" i="35" s="1"/>
  <c r="V601" i="33"/>
  <c r="V493" i="33"/>
  <c r="AK48" i="38"/>
  <c r="V239" i="38"/>
  <c r="V484" i="38"/>
  <c r="AK16" i="35"/>
  <c r="V366" i="33"/>
  <c r="V735" i="32"/>
  <c r="AH94" i="32" s="1"/>
  <c r="V519" i="35"/>
  <c r="V673" i="33"/>
  <c r="V429" i="33"/>
  <c r="V410" i="33"/>
  <c r="V14" i="33"/>
  <c r="AI16" i="38"/>
  <c r="AI39" i="35"/>
  <c r="AG76" i="34"/>
  <c r="AG74" i="34"/>
  <c r="V492" i="33"/>
  <c r="AI38" i="32"/>
  <c r="AI34" i="32"/>
  <c r="AI27" i="32"/>
  <c r="AG69" i="32"/>
  <c r="AK39" i="38"/>
  <c r="V474" i="38"/>
  <c r="V638" i="33"/>
  <c r="AG14" i="33"/>
  <c r="V438" i="32"/>
  <c r="AK27" i="32"/>
  <c r="AK21" i="38"/>
  <c r="V105" i="35"/>
  <c r="V77" i="33"/>
  <c r="V555" i="32"/>
  <c r="AH74" i="32" s="1"/>
  <c r="V458" i="32"/>
  <c r="AH63" i="32" s="1"/>
  <c r="AK57" i="38"/>
  <c r="AK63" i="34"/>
  <c r="V466" i="33"/>
  <c r="V32" i="38"/>
  <c r="AH16" i="38" s="1"/>
  <c r="AL16" i="38" s="1"/>
  <c r="C4" i="37" s="1"/>
  <c r="V366" i="35"/>
  <c r="AI31" i="35"/>
  <c r="AI21" i="35"/>
  <c r="V699" i="35"/>
  <c r="AH90" i="35" s="1"/>
  <c r="V593" i="35"/>
  <c r="V483" i="35"/>
  <c r="V330" i="35"/>
  <c r="AK21" i="35"/>
  <c r="AI81" i="39"/>
  <c r="AI53" i="39"/>
  <c r="AI58" i="38"/>
  <c r="V456" i="35"/>
  <c r="AH63" i="35" s="1"/>
  <c r="AL63" i="35" s="1"/>
  <c r="D51" i="37" s="1"/>
  <c r="AI36" i="35"/>
  <c r="V185" i="33"/>
  <c r="AH33" i="33" s="1"/>
  <c r="AL33" i="33" s="1"/>
  <c r="H21" i="37" s="1"/>
  <c r="V105" i="33"/>
  <c r="V422" i="32"/>
  <c r="V456" i="38"/>
  <c r="V681" i="38"/>
  <c r="V14" i="35"/>
  <c r="AH14" i="35" s="1"/>
  <c r="V521" i="33"/>
  <c r="V366" i="32"/>
  <c r="AK20" i="35"/>
  <c r="AI18" i="39"/>
  <c r="AJ30" i="35"/>
  <c r="V239" i="33"/>
  <c r="V214" i="33"/>
  <c r="AH36" i="33" s="1"/>
  <c r="V699" i="32"/>
  <c r="AH90" i="32" s="1"/>
  <c r="AL90" i="32" s="1"/>
  <c r="I78" i="37" s="1"/>
  <c r="V420" i="32"/>
  <c r="AH59" i="32" s="1"/>
  <c r="V447" i="35"/>
  <c r="V404" i="34"/>
  <c r="AH57" i="34" s="1"/>
  <c r="AL57" i="34" s="1"/>
  <c r="F45" i="37" s="1"/>
  <c r="V368" i="34"/>
  <c r="AH53" i="34" s="1"/>
  <c r="AL53" i="34" s="1"/>
  <c r="F41" i="37" s="1"/>
  <c r="V664" i="33"/>
  <c r="V312" i="33"/>
  <c r="AK85" i="32"/>
  <c r="V393" i="32"/>
  <c r="V403" i="33"/>
  <c r="V321" i="33"/>
  <c r="V61" i="33"/>
  <c r="V467" i="33"/>
  <c r="V385" i="33"/>
  <c r="AH55" i="33" s="1"/>
  <c r="AL55" i="33" s="1"/>
  <c r="H43" i="37" s="1"/>
  <c r="V404" i="33"/>
  <c r="V240" i="33"/>
  <c r="V582" i="32"/>
  <c r="AH77" i="32" s="1"/>
  <c r="AK47" i="32"/>
  <c r="AK33" i="32"/>
  <c r="AF26" i="33"/>
  <c r="AK15" i="33"/>
  <c r="AK93" i="34"/>
  <c r="AI58" i="34"/>
  <c r="AI54" i="34"/>
  <c r="AF52" i="34"/>
  <c r="AI40" i="34"/>
  <c r="AF35" i="34"/>
  <c r="AK21" i="34"/>
  <c r="AI50" i="34"/>
  <c r="AK76" i="34"/>
  <c r="AK92" i="35"/>
  <c r="AK89" i="35"/>
  <c r="AF90" i="35"/>
  <c r="AK87" i="35"/>
  <c r="AF85" i="35"/>
  <c r="AI79" i="35"/>
  <c r="AF74" i="35"/>
  <c r="AK73" i="35"/>
  <c r="AF73" i="35"/>
  <c r="AI63" i="35"/>
  <c r="AI64" i="35"/>
  <c r="AF60" i="35"/>
  <c r="AF64" i="35"/>
  <c r="AK61" i="35"/>
  <c r="AF48" i="35"/>
  <c r="AI46" i="35"/>
  <c r="AF46" i="35"/>
  <c r="AF35" i="35"/>
  <c r="AJ24" i="35"/>
  <c r="AK18" i="38"/>
  <c r="AF85" i="39"/>
  <c r="V653" i="39"/>
  <c r="AH85" i="39" s="1"/>
  <c r="AL85" i="39" s="1"/>
  <c r="G73" i="37" s="1"/>
  <c r="AF77" i="39"/>
  <c r="AF39" i="39"/>
  <c r="V239" i="39"/>
  <c r="AF40" i="39"/>
  <c r="V249" i="39"/>
  <c r="AH40" i="39" s="1"/>
  <c r="AL40" i="39" s="1"/>
  <c r="G28" i="37" s="1"/>
  <c r="AK36" i="39"/>
  <c r="AF33" i="39"/>
  <c r="V186" i="39"/>
  <c r="AH33" i="39" s="1"/>
  <c r="AK52" i="38"/>
  <c r="AI22" i="38"/>
  <c r="AI36" i="38"/>
  <c r="AK83" i="35"/>
  <c r="AF81" i="35"/>
  <c r="AF76" i="35"/>
  <c r="AI28" i="38"/>
  <c r="V70" i="33"/>
  <c r="V71" i="33"/>
  <c r="V68" i="33"/>
  <c r="V69" i="33"/>
  <c r="AK51" i="38"/>
  <c r="AI37" i="32"/>
  <c r="AF91" i="32"/>
  <c r="AK83" i="32"/>
  <c r="AK81" i="32"/>
  <c r="AF89" i="32"/>
  <c r="AF77" i="32"/>
  <c r="AI77" i="32"/>
  <c r="AF67" i="32"/>
  <c r="AF74" i="32"/>
  <c r="AI57" i="32"/>
  <c r="AF52" i="32"/>
  <c r="AF51" i="32"/>
  <c r="AK75" i="32"/>
  <c r="AF17" i="32"/>
  <c r="AI24" i="32"/>
  <c r="AI15" i="32"/>
  <c r="AI70" i="32"/>
  <c r="AI91" i="33"/>
  <c r="AF86" i="33"/>
  <c r="AK83" i="33"/>
  <c r="AF81" i="33"/>
  <c r="AK85" i="33"/>
  <c r="AF68" i="33"/>
  <c r="AF57" i="33"/>
  <c r="AF67" i="33"/>
  <c r="AI59" i="33"/>
  <c r="AF46" i="33"/>
  <c r="AI46" i="33"/>
  <c r="AI39" i="33"/>
  <c r="AK35" i="33"/>
  <c r="AG29" i="33"/>
  <c r="AI26" i="33"/>
  <c r="AI23" i="33"/>
  <c r="AI19" i="33"/>
  <c r="AI72" i="33"/>
  <c r="AI90" i="34"/>
  <c r="AI94" i="34"/>
  <c r="AF87" i="34"/>
  <c r="AK70" i="34"/>
  <c r="AF69" i="34"/>
  <c r="AF46" i="34"/>
  <c r="AG57" i="34"/>
  <c r="AK43" i="34"/>
  <c r="AK18" i="34"/>
  <c r="AK19" i="34"/>
  <c r="AI89" i="34"/>
  <c r="AI81" i="34"/>
  <c r="AK80" i="34"/>
  <c r="AK77" i="34"/>
  <c r="AK61" i="34"/>
  <c r="AI73" i="34"/>
  <c r="AF20" i="34"/>
  <c r="AF91" i="35"/>
  <c r="AK91" i="35"/>
  <c r="AF92" i="35"/>
  <c r="AK84" i="35"/>
  <c r="AK78" i="35"/>
  <c r="AF75" i="35"/>
  <c r="AK69" i="35"/>
  <c r="AK77" i="35"/>
  <c r="AF71" i="35"/>
  <c r="AI62" i="35"/>
  <c r="AK72" i="35"/>
  <c r="AI60" i="35"/>
  <c r="AK66" i="35"/>
  <c r="AI59" i="35"/>
  <c r="AJ65" i="35"/>
  <c r="AF57" i="35"/>
  <c r="AK53" i="35"/>
  <c r="AK48" i="35"/>
  <c r="AF42" i="35"/>
  <c r="AK35" i="35"/>
  <c r="AI45" i="35"/>
  <c r="AF55" i="35"/>
  <c r="AF86" i="38"/>
  <c r="AK83" i="38"/>
  <c r="AF76" i="38"/>
  <c r="AK65" i="38"/>
  <c r="AK27" i="38"/>
  <c r="AF24" i="38"/>
  <c r="V581" i="39"/>
  <c r="V501" i="39"/>
  <c r="AF63" i="39"/>
  <c r="V455" i="39"/>
  <c r="AH63" i="39" s="1"/>
  <c r="AL63" i="39" s="1"/>
  <c r="G51" i="37" s="1"/>
  <c r="AK43" i="39"/>
  <c r="AF49" i="39"/>
  <c r="V329" i="39"/>
  <c r="AK29" i="39"/>
  <c r="AK25" i="39"/>
  <c r="AF29" i="39"/>
  <c r="AI56" i="38"/>
  <c r="AF77" i="35"/>
  <c r="AI41" i="35"/>
  <c r="V438" i="38"/>
  <c r="V440" i="38"/>
  <c r="V437" i="38"/>
  <c r="V439" i="38"/>
  <c r="AI44" i="38"/>
  <c r="AF93" i="32"/>
  <c r="AF87" i="32"/>
  <c r="AF82" i="32"/>
  <c r="AF84" i="32"/>
  <c r="AK70" i="32"/>
  <c r="AF80" i="32"/>
  <c r="AI58" i="32"/>
  <c r="AK52" i="32"/>
  <c r="AF48" i="32"/>
  <c r="AF46" i="32"/>
  <c r="AF42" i="32"/>
  <c r="AG25" i="32"/>
  <c r="AF22" i="32"/>
  <c r="AI35" i="32"/>
  <c r="AI83" i="32"/>
  <c r="AI67" i="33"/>
  <c r="AG70" i="33"/>
  <c r="AK63" i="33"/>
  <c r="AK50" i="33"/>
  <c r="AI45" i="33"/>
  <c r="AF40" i="33"/>
  <c r="AK37" i="33"/>
  <c r="AK24" i="33"/>
  <c r="AK43" i="33"/>
  <c r="AK89" i="34"/>
  <c r="AG83" i="34"/>
  <c r="AK65" i="34"/>
  <c r="AF53" i="34"/>
  <c r="AJ58" i="34"/>
  <c r="AK46" i="34"/>
  <c r="AI57" i="34"/>
  <c r="AI55" i="34"/>
  <c r="AI47" i="34"/>
  <c r="AK34" i="34"/>
  <c r="AF32" i="34"/>
  <c r="AK27" i="34"/>
  <c r="AK22" i="34"/>
  <c r="AF89" i="39"/>
  <c r="AF84" i="39"/>
  <c r="V395" i="39"/>
  <c r="AH56" i="39" s="1"/>
  <c r="AL56" i="39" s="1"/>
  <c r="G44" i="37" s="1"/>
  <c r="AF22" i="39"/>
  <c r="V87" i="39"/>
  <c r="AH22" i="39" s="1"/>
  <c r="AL22" i="39" s="1"/>
  <c r="G10" i="37" s="1"/>
  <c r="AK15" i="39"/>
  <c r="AF49" i="35"/>
  <c r="AK60" i="35"/>
  <c r="AK59" i="35"/>
  <c r="AF54" i="35"/>
  <c r="AK52" i="35"/>
  <c r="AI50" i="35"/>
  <c r="AK34" i="35"/>
  <c r="AK45" i="35"/>
  <c r="AK31" i="35"/>
  <c r="AJ23" i="35"/>
  <c r="AF28" i="35"/>
  <c r="AK24" i="35"/>
  <c r="AG74" i="35"/>
  <c r="AF91" i="38"/>
  <c r="AK89" i="38"/>
  <c r="AI88" i="38"/>
  <c r="AK91" i="38"/>
  <c r="AF90" i="38"/>
  <c r="AF89" i="38"/>
  <c r="AI73" i="38"/>
  <c r="AI72" i="38"/>
  <c r="AK72" i="38"/>
  <c r="AF72" i="38"/>
  <c r="AF79" i="38"/>
  <c r="AF87" i="38"/>
  <c r="AK78" i="38"/>
  <c r="AK68" i="38"/>
  <c r="AK70" i="38"/>
  <c r="AF69" i="38"/>
  <c r="AF63" i="38"/>
  <c r="AJ66" i="38"/>
  <c r="AF61" i="38"/>
  <c r="AF54" i="38"/>
  <c r="AF46" i="38"/>
  <c r="AK62" i="38"/>
  <c r="AG51" i="38"/>
  <c r="AK43" i="38"/>
  <c r="AF55" i="38"/>
  <c r="AK41" i="38"/>
  <c r="AF38" i="38"/>
  <c r="AK63" i="38"/>
  <c r="AK35" i="38"/>
  <c r="AK31" i="38"/>
  <c r="AK26" i="38"/>
  <c r="AF42" i="38"/>
  <c r="AF23" i="38"/>
  <c r="AF18" i="38"/>
  <c r="AK94" i="39"/>
  <c r="AK93" i="39"/>
  <c r="AK88" i="39"/>
  <c r="AF86" i="39"/>
  <c r="AF93" i="39"/>
  <c r="AK90" i="39"/>
  <c r="AK80" i="39"/>
  <c r="AK79" i="39"/>
  <c r="AF81" i="39"/>
  <c r="AI74" i="39"/>
  <c r="AF73" i="39"/>
  <c r="AK62" i="39"/>
  <c r="AI67" i="39"/>
  <c r="AF76" i="39"/>
  <c r="AF69" i="39"/>
  <c r="AI72" i="39"/>
  <c r="AJ58" i="39"/>
  <c r="AI57" i="39"/>
  <c r="AG58" i="39"/>
  <c r="AF55" i="39"/>
  <c r="AK50" i="39"/>
  <c r="AF50" i="39"/>
  <c r="AI35" i="39"/>
  <c r="AF34" i="39"/>
  <c r="AJ39" i="39"/>
  <c r="AF27" i="39"/>
  <c r="AF25" i="39"/>
  <c r="AF19" i="39"/>
  <c r="V78" i="39"/>
  <c r="AH76" i="33"/>
  <c r="AL76" i="33" s="1"/>
  <c r="H64" i="37" s="1"/>
  <c r="V727" i="38"/>
  <c r="AG78" i="32"/>
  <c r="AI75" i="32"/>
  <c r="AI73" i="32"/>
  <c r="AI66" i="32"/>
  <c r="AJ74" i="32"/>
  <c r="AI56" i="32"/>
  <c r="AG55" i="32"/>
  <c r="AG54" i="32"/>
  <c r="AK39" i="32"/>
  <c r="AI52" i="32"/>
  <c r="AI40" i="32"/>
  <c r="AK32" i="32"/>
  <c r="AF35" i="32"/>
  <c r="AK44" i="32"/>
  <c r="AI50" i="32"/>
  <c r="AF29" i="32"/>
  <c r="AK23" i="32"/>
  <c r="AK21" i="32"/>
  <c r="AK19" i="32"/>
  <c r="AK17" i="32"/>
  <c r="AI19" i="32"/>
  <c r="AF94" i="33"/>
  <c r="AI90" i="33"/>
  <c r="AG89" i="33"/>
  <c r="AI76" i="33"/>
  <c r="AF77" i="33"/>
  <c r="AF74" i="33"/>
  <c r="AI56" i="33"/>
  <c r="AI43" i="33"/>
  <c r="AF49" i="33"/>
  <c r="AF37" i="33"/>
  <c r="AF35" i="33"/>
  <c r="AI33" i="33"/>
  <c r="AI28" i="33"/>
  <c r="AF27" i="33"/>
  <c r="AK20" i="33"/>
  <c r="AI29" i="33"/>
  <c r="AF25" i="33"/>
  <c r="AK16" i="33"/>
  <c r="AF16" i="33"/>
  <c r="AK84" i="34"/>
  <c r="AK72" i="34"/>
  <c r="AF81" i="34"/>
  <c r="AF76" i="34"/>
  <c r="AI74" i="34"/>
  <c r="AF71" i="34"/>
  <c r="AG61" i="34"/>
  <c r="AJ56" i="34"/>
  <c r="AI51" i="34"/>
  <c r="AI22" i="34"/>
  <c r="AI44" i="34"/>
  <c r="AF41" i="34"/>
  <c r="AK39" i="34"/>
  <c r="AI38" i="34"/>
  <c r="AK30" i="34"/>
  <c r="AF30" i="34"/>
  <c r="AK17" i="34"/>
  <c r="AF43" i="34"/>
  <c r="AG16" i="34"/>
  <c r="AI78" i="34"/>
  <c r="AI76" i="34"/>
  <c r="AK73" i="34"/>
  <c r="AI67" i="34"/>
  <c r="AI34" i="34"/>
  <c r="AK90" i="35"/>
  <c r="AK93" i="35"/>
  <c r="AI86" i="35"/>
  <c r="AK85" i="35"/>
  <c r="AK82" i="35"/>
  <c r="AF84" i="35"/>
  <c r="AF83" i="35"/>
  <c r="AF78" i="35"/>
  <c r="AJ76" i="35"/>
  <c r="AK68" i="35"/>
  <c r="AK67" i="35"/>
  <c r="AI77" i="35"/>
  <c r="AF72" i="35"/>
  <c r="AF67" i="35"/>
  <c r="AF65" i="35"/>
  <c r="AK64" i="35"/>
  <c r="AI72" i="35"/>
  <c r="AI55" i="35"/>
  <c r="AI52" i="35"/>
  <c r="AK56" i="35"/>
  <c r="AK58" i="35"/>
  <c r="AK57" i="35"/>
  <c r="AF51" i="35"/>
  <c r="AF43" i="35"/>
  <c r="AF52" i="35"/>
  <c r="AK43" i="35"/>
  <c r="AI48" i="35"/>
  <c r="AK44" i="35"/>
  <c r="AF38" i="35"/>
  <c r="AK46" i="35"/>
  <c r="AF31" i="35"/>
  <c r="AK33" i="35"/>
  <c r="AK32" i="35"/>
  <c r="AK29" i="35"/>
  <c r="AI20" i="35"/>
  <c r="AF32" i="35"/>
  <c r="AF20" i="35"/>
  <c r="AF25" i="35"/>
  <c r="AF93" i="38"/>
  <c r="AF92" i="38"/>
  <c r="AF94" i="38"/>
  <c r="AK90" i="38"/>
  <c r="AG86" i="38"/>
  <c r="AK85" i="38"/>
  <c r="AF83" i="38"/>
  <c r="AK76" i="38"/>
  <c r="AF84" i="38"/>
  <c r="AK74" i="38"/>
  <c r="AF80" i="38"/>
  <c r="AK93" i="38"/>
  <c r="AI83" i="38"/>
  <c r="AK69" i="38"/>
  <c r="AK66" i="38"/>
  <c r="AI82" i="38"/>
  <c r="AF74" i="38"/>
  <c r="AJ68" i="38"/>
  <c r="AF67" i="38"/>
  <c r="AF58" i="38"/>
  <c r="AF50" i="38"/>
  <c r="AI67" i="38"/>
  <c r="AF62" i="38"/>
  <c r="AF68" i="38"/>
  <c r="AK61" i="38"/>
  <c r="AK59" i="38"/>
  <c r="AF77" i="38"/>
  <c r="AI64" i="38"/>
  <c r="AK34" i="38"/>
  <c r="AK28" i="38"/>
  <c r="AK36" i="38"/>
  <c r="AK30" i="38"/>
  <c r="AF40" i="38"/>
  <c r="AK24" i="38"/>
  <c r="AF27" i="38"/>
  <c r="AI26" i="38"/>
  <c r="AK22" i="38"/>
  <c r="AF17" i="38"/>
  <c r="AK15" i="38"/>
  <c r="AK14" i="38"/>
  <c r="AF90" i="39"/>
  <c r="V728" i="39"/>
  <c r="AF94" i="39"/>
  <c r="AF79" i="39"/>
  <c r="AK75" i="39"/>
  <c r="AF82" i="39"/>
  <c r="AF80" i="39"/>
  <c r="V599" i="39"/>
  <c r="AK71" i="39"/>
  <c r="AK72" i="39"/>
  <c r="AK60" i="39"/>
  <c r="AI69" i="39"/>
  <c r="AI65" i="39"/>
  <c r="AG63" i="39"/>
  <c r="V582" i="39"/>
  <c r="AK73" i="39"/>
  <c r="AJ57" i="39"/>
  <c r="AI66" i="39"/>
  <c r="V359" i="39"/>
  <c r="AF58" i="39"/>
  <c r="AK53" i="39"/>
  <c r="AK49" i="39"/>
  <c r="AF52" i="39"/>
  <c r="AK54" i="39"/>
  <c r="AK51" i="39"/>
  <c r="AF47" i="39"/>
  <c r="AK40" i="39"/>
  <c r="AF43" i="39"/>
  <c r="AF41" i="39"/>
  <c r="AK32" i="39"/>
  <c r="AJ36" i="39"/>
  <c r="V168" i="39"/>
  <c r="AH31" i="39" s="1"/>
  <c r="AL31" i="39" s="1"/>
  <c r="G19" i="37" s="1"/>
  <c r="AF32" i="39"/>
  <c r="AK20" i="39"/>
  <c r="AI25" i="39"/>
  <c r="AJ21" i="39"/>
  <c r="AF26" i="39"/>
  <c r="V682" i="38"/>
  <c r="AK26" i="35"/>
  <c r="AI18" i="35"/>
  <c r="AI17" i="35"/>
  <c r="AI15" i="35"/>
  <c r="AJ94" i="38"/>
  <c r="AI87" i="38"/>
  <c r="AF85" i="38"/>
  <c r="AI84" i="38"/>
  <c r="AK86" i="38"/>
  <c r="AI74" i="38"/>
  <c r="AK80" i="38"/>
  <c r="AF82" i="38"/>
  <c r="AF75" i="38"/>
  <c r="AF71" i="38"/>
  <c r="AF81" i="38"/>
  <c r="AF65" i="38"/>
  <c r="AF49" i="38"/>
  <c r="AF52" i="38"/>
  <c r="AF44" i="38"/>
  <c r="AK42" i="38"/>
  <c r="AK32" i="38"/>
  <c r="AF30" i="38"/>
  <c r="AF47" i="38"/>
  <c r="AF34" i="38"/>
  <c r="AI24" i="38"/>
  <c r="AF26" i="38"/>
  <c r="AK20" i="38"/>
  <c r="AK19" i="38"/>
  <c r="AF35" i="38"/>
  <c r="AK86" i="39"/>
  <c r="V734" i="39"/>
  <c r="AH94" i="39" s="1"/>
  <c r="AL94" i="39" s="1"/>
  <c r="G82" i="37" s="1"/>
  <c r="AK69" i="39"/>
  <c r="AK68" i="39"/>
  <c r="AF72" i="39"/>
  <c r="AK70" i="39"/>
  <c r="AF62" i="39"/>
  <c r="AK67" i="39"/>
  <c r="AI73" i="39"/>
  <c r="AF66" i="39"/>
  <c r="AF57" i="39"/>
  <c r="AK48" i="39"/>
  <c r="AK47" i="39"/>
  <c r="AI52" i="39"/>
  <c r="AK45" i="39"/>
  <c r="AI54" i="39"/>
  <c r="AF44" i="39"/>
  <c r="AK46" i="39"/>
  <c r="AK38" i="39"/>
  <c r="AK34" i="39"/>
  <c r="AK33" i="39"/>
  <c r="AK41" i="39"/>
  <c r="AK28" i="39"/>
  <c r="AK26" i="39"/>
  <c r="AF18" i="39"/>
  <c r="AF20" i="39"/>
  <c r="AH75" i="34"/>
  <c r="AL75" i="34" s="1"/>
  <c r="F63" i="37" s="1"/>
  <c r="AH45" i="34"/>
  <c r="AH59" i="34"/>
  <c r="AH74" i="34"/>
  <c r="AH62" i="34"/>
  <c r="AH34" i="34"/>
  <c r="AL34" i="34" s="1"/>
  <c r="F22" i="37" s="1"/>
  <c r="AH30" i="32"/>
  <c r="AL30" i="32" s="1"/>
  <c r="I18" i="37" s="1"/>
  <c r="AH50" i="32"/>
  <c r="AH72" i="32"/>
  <c r="AH43" i="32"/>
  <c r="AH89" i="33"/>
  <c r="AH24" i="32"/>
  <c r="AL24" i="32" s="1"/>
  <c r="I12" i="37" s="1"/>
  <c r="AH35" i="32"/>
  <c r="AH68" i="32"/>
  <c r="AH47" i="32"/>
  <c r="AL47" i="32" s="1"/>
  <c r="I35" i="37" s="1"/>
  <c r="AH86" i="32"/>
  <c r="AL86" i="32" s="1"/>
  <c r="I74" i="37" s="1"/>
  <c r="AH83" i="32"/>
  <c r="AL83" i="32" s="1"/>
  <c r="I71" i="37" s="1"/>
  <c r="AH70" i="32"/>
  <c r="AL70" i="32" s="1"/>
  <c r="I58" i="37" s="1"/>
  <c r="AH87" i="33"/>
  <c r="AL87" i="33" s="1"/>
  <c r="H75" i="37" s="1"/>
  <c r="AH82" i="34"/>
  <c r="AH28" i="34"/>
  <c r="AL28" i="34" s="1"/>
  <c r="F16" i="37" s="1"/>
  <c r="AH88" i="39"/>
  <c r="AL88" i="39" s="1"/>
  <c r="G76" i="37" s="1"/>
  <c r="AH87" i="39"/>
  <c r="AL87" i="39" s="1"/>
  <c r="G75" i="37" s="1"/>
  <c r="AH72" i="39"/>
  <c r="AL72" i="39" s="1"/>
  <c r="G60" i="37" s="1"/>
  <c r="AH59" i="39"/>
  <c r="AH54" i="39"/>
  <c r="AL54" i="39" s="1"/>
  <c r="G42" i="37" s="1"/>
  <c r="AH18" i="39"/>
  <c r="AL18" i="39" s="1"/>
  <c r="G6" i="37" s="1"/>
  <c r="AH35" i="39"/>
  <c r="AL35" i="39" s="1"/>
  <c r="G23" i="37" s="1"/>
  <c r="AH30" i="39"/>
  <c r="AL30" i="39" s="1"/>
  <c r="G18" i="37" s="1"/>
  <c r="AH24" i="39"/>
  <c r="AL24" i="39" s="1"/>
  <c r="G12" i="37" s="1"/>
  <c r="AH17" i="39"/>
  <c r="AL17" i="39" s="1"/>
  <c r="G5" i="37" s="1"/>
  <c r="AH65" i="39"/>
  <c r="AL65" i="39" s="1"/>
  <c r="G53" i="37" s="1"/>
  <c r="AH28" i="39"/>
  <c r="AH32" i="39"/>
  <c r="AL32" i="39" s="1"/>
  <c r="G20" i="37" s="1"/>
  <c r="AH39" i="39"/>
  <c r="AH36" i="39"/>
  <c r="AH78" i="39"/>
  <c r="AL78" i="39" s="1"/>
  <c r="G66" i="37" s="1"/>
  <c r="AH20" i="39"/>
  <c r="AL20" i="39" s="1"/>
  <c r="G8" i="37" s="1"/>
  <c r="AH70" i="39"/>
  <c r="AH92" i="39"/>
  <c r="AL92" i="39" s="1"/>
  <c r="G80" i="37" s="1"/>
  <c r="AH51" i="39"/>
  <c r="AH47" i="39"/>
  <c r="AL47" i="39" s="1"/>
  <c r="G35" i="37" s="1"/>
  <c r="AH37" i="39"/>
  <c r="AL37" i="39" s="1"/>
  <c r="G25" i="37" s="1"/>
  <c r="AH19" i="39"/>
  <c r="AL19" i="39" s="1"/>
  <c r="G7" i="37" s="1"/>
  <c r="AH14" i="39"/>
  <c r="AH49" i="39"/>
  <c r="AL49" i="39" s="1"/>
  <c r="G37" i="37" s="1"/>
  <c r="AH50" i="39"/>
  <c r="AL50" i="39" s="1"/>
  <c r="G38" i="37" s="1"/>
  <c r="AH16" i="39"/>
  <c r="AL16" i="39" s="1"/>
  <c r="G4" i="37" s="1"/>
  <c r="AH23" i="39"/>
  <c r="AL23" i="39" s="1"/>
  <c r="G11" i="37" s="1"/>
  <c r="AF70" i="39"/>
  <c r="AF51" i="39"/>
  <c r="AF78" i="39"/>
  <c r="AF36" i="39"/>
  <c r="V725" i="39"/>
  <c r="V698" i="39"/>
  <c r="AH90" i="39" s="1"/>
  <c r="AL90" i="39" s="1"/>
  <c r="G78" i="37" s="1"/>
  <c r="V635" i="39"/>
  <c r="AH83" i="39" s="1"/>
  <c r="AL83" i="39" s="1"/>
  <c r="G71" i="37" s="1"/>
  <c r="V600" i="39"/>
  <c r="V545" i="39"/>
  <c r="AH73" i="39" s="1"/>
  <c r="AL73" i="39" s="1"/>
  <c r="G61" i="37" s="1"/>
  <c r="V464" i="39"/>
  <c r="AH64" i="39" s="1"/>
  <c r="AL64" i="39" s="1"/>
  <c r="G52" i="37" s="1"/>
  <c r="V446" i="39"/>
  <c r="AH62" i="39" s="1"/>
  <c r="AL62" i="39" s="1"/>
  <c r="G50" i="37" s="1"/>
  <c r="V563" i="39"/>
  <c r="AH75" i="39" s="1"/>
  <c r="V410" i="39"/>
  <c r="AH58" i="39" s="1"/>
  <c r="AL58" i="39" s="1"/>
  <c r="G46" i="37" s="1"/>
  <c r="V356" i="39"/>
  <c r="AH52" i="39" s="1"/>
  <c r="AL52" i="39" s="1"/>
  <c r="G40" i="37" s="1"/>
  <c r="V194" i="39"/>
  <c r="AH34" i="39" s="1"/>
  <c r="AH29" i="39"/>
  <c r="AL29" i="39" s="1"/>
  <c r="G17" i="37" s="1"/>
  <c r="V114" i="39"/>
  <c r="AH25" i="39" s="1"/>
  <c r="AL25" i="39" s="1"/>
  <c r="G13" i="37" s="1"/>
  <c r="AF17" i="39"/>
  <c r="AG80" i="39"/>
  <c r="AG18" i="39"/>
  <c r="AF31" i="39"/>
  <c r="AF14" i="39"/>
  <c r="AF92" i="39"/>
  <c r="AF15" i="39"/>
  <c r="AF30" i="39"/>
  <c r="AF24" i="39"/>
  <c r="V555" i="39"/>
  <c r="AH74" i="39" s="1"/>
  <c r="AL74" i="39" s="1"/>
  <c r="G62" i="37" s="1"/>
  <c r="AF56" i="39"/>
  <c r="AF65" i="39"/>
  <c r="AF88" i="39"/>
  <c r="AH15" i="39"/>
  <c r="AL15" i="39" s="1"/>
  <c r="G3" i="37" s="1"/>
  <c r="AF28" i="39"/>
  <c r="AF23" i="39"/>
  <c r="V131" i="39"/>
  <c r="AH27" i="39" s="1"/>
  <c r="AL27" i="39" s="1"/>
  <c r="G15" i="37" s="1"/>
  <c r="V77" i="39"/>
  <c r="AH21" i="39" s="1"/>
  <c r="AL21" i="39" s="1"/>
  <c r="G9" i="37" s="1"/>
  <c r="AF54" i="39"/>
  <c r="AH26" i="39"/>
  <c r="V662" i="39"/>
  <c r="AH86" i="39" s="1"/>
  <c r="AL86" i="39" s="1"/>
  <c r="G74" i="37" s="1"/>
  <c r="V707" i="39"/>
  <c r="AH91" i="39" s="1"/>
  <c r="V692" i="39"/>
  <c r="AH89" i="39" s="1"/>
  <c r="AL89" i="39" s="1"/>
  <c r="G77" i="37" s="1"/>
  <c r="V644" i="39"/>
  <c r="AH84" i="39" s="1"/>
  <c r="AL84" i="39" s="1"/>
  <c r="G72" i="37" s="1"/>
  <c r="V629" i="39"/>
  <c r="AH82" i="39" s="1"/>
  <c r="AL82" i="39" s="1"/>
  <c r="G70" i="37" s="1"/>
  <c r="V608" i="39"/>
  <c r="V528" i="39"/>
  <c r="AH71" i="39" s="1"/>
  <c r="V572" i="39"/>
  <c r="AH76" i="39" s="1"/>
  <c r="AL76" i="39" s="1"/>
  <c r="G64" i="37" s="1"/>
  <c r="V500" i="39"/>
  <c r="AH68" i="39" s="1"/>
  <c r="AL68" i="39" s="1"/>
  <c r="G56" i="37" s="1"/>
  <c r="V482" i="39"/>
  <c r="AH66" i="39" s="1"/>
  <c r="V428" i="39"/>
  <c r="AH60" i="39" s="1"/>
  <c r="V437" i="39"/>
  <c r="AH61" i="39" s="1"/>
  <c r="AL61" i="39" s="1"/>
  <c r="G49" i="37" s="1"/>
  <c r="V404" i="39"/>
  <c r="AH57" i="39" s="1"/>
  <c r="AL57" i="39" s="1"/>
  <c r="G45" i="37" s="1"/>
  <c r="V383" i="39"/>
  <c r="AH55" i="39" s="1"/>
  <c r="AL55" i="39" s="1"/>
  <c r="G43" i="37" s="1"/>
  <c r="V303" i="39"/>
  <c r="AH46" i="39" s="1"/>
  <c r="V285" i="39"/>
  <c r="AH44" i="39" s="1"/>
  <c r="AL44" i="39" s="1"/>
  <c r="G32" i="37" s="1"/>
  <c r="V267" i="39"/>
  <c r="AH42" i="39" s="1"/>
  <c r="AL42" i="39" s="1"/>
  <c r="G30" i="37" s="1"/>
  <c r="V276" i="39"/>
  <c r="AH43" i="39" s="1"/>
  <c r="AL43" i="39" s="1"/>
  <c r="G31" i="37" s="1"/>
  <c r="V231" i="39"/>
  <c r="AH38" i="39" s="1"/>
  <c r="V320" i="39"/>
  <c r="AH48" i="39" s="1"/>
  <c r="AF35" i="39"/>
  <c r="V259" i="39"/>
  <c r="AH41" i="39" s="1"/>
  <c r="AF16" i="39"/>
  <c r="AK14" i="39"/>
  <c r="V491" i="39"/>
  <c r="AH67" i="39" s="1"/>
  <c r="AL67" i="39" s="1"/>
  <c r="G55" i="37" s="1"/>
  <c r="AG58" i="38"/>
  <c r="AG66" i="38"/>
  <c r="AG49" i="38"/>
  <c r="AG39" i="38"/>
  <c r="AG71" i="38"/>
  <c r="AG72" i="38"/>
  <c r="AG65" i="38"/>
  <c r="AG78" i="38"/>
  <c r="AG64" i="38"/>
  <c r="AG56" i="38"/>
  <c r="AG48" i="38"/>
  <c r="AH38" i="38"/>
  <c r="AL38" i="38" s="1"/>
  <c r="C26" i="37" s="1"/>
  <c r="AG36" i="38"/>
  <c r="AG23" i="38"/>
  <c r="AG81" i="38"/>
  <c r="AG77" i="38"/>
  <c r="AG27" i="38"/>
  <c r="AG63" i="38"/>
  <c r="AG43" i="38"/>
  <c r="AG30" i="38"/>
  <c r="AG25" i="38"/>
  <c r="AG89" i="38"/>
  <c r="AG94" i="38"/>
  <c r="AG73" i="38"/>
  <c r="AG42" i="38"/>
  <c r="AG37" i="38"/>
  <c r="AG35" i="38"/>
  <c r="AH58" i="38"/>
  <c r="AL58" i="38" s="1"/>
  <c r="C46" i="37" s="1"/>
  <c r="AG55" i="38"/>
  <c r="AG33" i="38"/>
  <c r="AG32" i="38"/>
  <c r="AG17" i="38"/>
  <c r="AG79" i="38"/>
  <c r="AG18" i="38"/>
  <c r="AG31" i="38"/>
  <c r="AG91" i="38"/>
  <c r="AG88" i="38"/>
  <c r="AG84" i="38"/>
  <c r="AG75" i="38"/>
  <c r="AG45" i="38"/>
  <c r="AG44" i="38"/>
  <c r="AH32" i="38"/>
  <c r="AG19" i="38"/>
  <c r="AG14" i="38"/>
  <c r="AG93" i="38"/>
  <c r="AG90" i="38"/>
  <c r="AG69" i="38"/>
  <c r="AH50" i="38"/>
  <c r="AL50" i="38" s="1"/>
  <c r="C38" i="37" s="1"/>
  <c r="AG61" i="38"/>
  <c r="AG52" i="38"/>
  <c r="AG47" i="38"/>
  <c r="AG38" i="38"/>
  <c r="AG34" i="38"/>
  <c r="AG29" i="38"/>
  <c r="AG28" i="38"/>
  <c r="AG26" i="38"/>
  <c r="AG16" i="38"/>
  <c r="AG76" i="38"/>
  <c r="AG59" i="38"/>
  <c r="AG92" i="38"/>
  <c r="AG74" i="38"/>
  <c r="AG87" i="38"/>
  <c r="AG68" i="38"/>
  <c r="AH54" i="38"/>
  <c r="AL54" i="38" s="1"/>
  <c r="C42" i="37" s="1"/>
  <c r="AG53" i="38"/>
  <c r="AH21" i="38"/>
  <c r="AG20" i="38"/>
  <c r="AG85" i="38"/>
  <c r="AG80" i="38"/>
  <c r="AH46" i="38"/>
  <c r="AL46" i="38" s="1"/>
  <c r="C34" i="37" s="1"/>
  <c r="AG50" i="38"/>
  <c r="AG41" i="38"/>
  <c r="AG40" i="38"/>
  <c r="AG24" i="38"/>
  <c r="AG22" i="38"/>
  <c r="AH20" i="38"/>
  <c r="AH90" i="38"/>
  <c r="AL90" i="38" s="1"/>
  <c r="C78" i="37" s="1"/>
  <c r="AH76" i="38"/>
  <c r="AH64" i="38"/>
  <c r="AL64" i="38" s="1"/>
  <c r="C52" i="37" s="1"/>
  <c r="AH27" i="38"/>
  <c r="AL27" i="38" s="1"/>
  <c r="C15" i="37" s="1"/>
  <c r="AH72" i="38"/>
  <c r="AL72" i="38" s="1"/>
  <c r="C60" i="37" s="1"/>
  <c r="AH68" i="38"/>
  <c r="AL68" i="38" s="1"/>
  <c r="C56" i="37" s="1"/>
  <c r="AH40" i="38"/>
  <c r="AL40" i="38" s="1"/>
  <c r="C28" i="37" s="1"/>
  <c r="AH89" i="38"/>
  <c r="AL89" i="38" s="1"/>
  <c r="C77" i="37" s="1"/>
  <c r="AH44" i="38"/>
  <c r="AL44" i="38" s="1"/>
  <c r="C32" i="37" s="1"/>
  <c r="AH35" i="38"/>
  <c r="AL35" i="38" s="1"/>
  <c r="C23" i="37" s="1"/>
  <c r="AH15" i="38"/>
  <c r="AL15" i="38" s="1"/>
  <c r="C3" i="37" s="1"/>
  <c r="AH84" i="38"/>
  <c r="AL84" i="38" s="1"/>
  <c r="C72" i="37" s="1"/>
  <c r="AH78" i="38"/>
  <c r="AL78" i="38" s="1"/>
  <c r="C66" i="37" s="1"/>
  <c r="AH71" i="38"/>
  <c r="AL71" i="38" s="1"/>
  <c r="C59" i="37" s="1"/>
  <c r="AH63" i="38"/>
  <c r="AL63" i="38" s="1"/>
  <c r="C51" i="37" s="1"/>
  <c r="AH55" i="38"/>
  <c r="AL55" i="38" s="1"/>
  <c r="C43" i="37" s="1"/>
  <c r="AF51" i="38"/>
  <c r="AF41" i="38"/>
  <c r="AF31" i="38"/>
  <c r="AF64" i="38"/>
  <c r="AF66" i="38"/>
  <c r="AH85" i="38"/>
  <c r="AL85" i="38" s="1"/>
  <c r="C73" i="37" s="1"/>
  <c r="AH83" i="38"/>
  <c r="AL83" i="38" s="1"/>
  <c r="C71" i="37" s="1"/>
  <c r="AH81" i="38"/>
  <c r="AL81" i="38" s="1"/>
  <c r="C69" i="37" s="1"/>
  <c r="AH52" i="38"/>
  <c r="AL52" i="38" s="1"/>
  <c r="C40" i="37" s="1"/>
  <c r="AF22" i="38"/>
  <c r="AF21" i="38"/>
  <c r="AF53" i="38"/>
  <c r="AF20" i="38"/>
  <c r="AF73" i="38"/>
  <c r="AF59" i="38"/>
  <c r="AH17" i="38"/>
  <c r="AL17" i="38" s="1"/>
  <c r="C5" i="37" s="1"/>
  <c r="AF15" i="38"/>
  <c r="AH82" i="38"/>
  <c r="AL82" i="38" s="1"/>
  <c r="C70" i="37" s="1"/>
  <c r="AH75" i="38"/>
  <c r="AL75" i="38" s="1"/>
  <c r="C63" i="37" s="1"/>
  <c r="AH69" i="38"/>
  <c r="AL69" i="38" s="1"/>
  <c r="C57" i="37" s="1"/>
  <c r="AH62" i="38"/>
  <c r="AL62" i="38" s="1"/>
  <c r="C50" i="37" s="1"/>
  <c r="AH57" i="38"/>
  <c r="AL57" i="38" s="1"/>
  <c r="C45" i="37" s="1"/>
  <c r="AH49" i="38"/>
  <c r="AH26" i="38"/>
  <c r="AL26" i="38" s="1"/>
  <c r="C14" i="37" s="1"/>
  <c r="AH24" i="38"/>
  <c r="AH14" i="38"/>
  <c r="AL14" i="38" s="1"/>
  <c r="C2" i="37" s="1"/>
  <c r="AG65" i="35"/>
  <c r="AG48" i="35"/>
  <c r="AH32" i="35"/>
  <c r="AL32" i="35" s="1"/>
  <c r="D20" i="37" s="1"/>
  <c r="AG60" i="35"/>
  <c r="AG55" i="35"/>
  <c r="AG58" i="35"/>
  <c r="AG54" i="35"/>
  <c r="AG88" i="35"/>
  <c r="AG69" i="35"/>
  <c r="AG75" i="35"/>
  <c r="AG42" i="35"/>
  <c r="AG61" i="35"/>
  <c r="AG51" i="35"/>
  <c r="AG37" i="35"/>
  <c r="AG16" i="35"/>
  <c r="AG41" i="35"/>
  <c r="AG64" i="35"/>
  <c r="AG71" i="35"/>
  <c r="AG62" i="35"/>
  <c r="AG66" i="35"/>
  <c r="AG53" i="35"/>
  <c r="AG46" i="35"/>
  <c r="AG93" i="35"/>
  <c r="AG89" i="35"/>
  <c r="AG83" i="35"/>
  <c r="AG87" i="35"/>
  <c r="AG79" i="35"/>
  <c r="AG80" i="35"/>
  <c r="AG72" i="35"/>
  <c r="AG40" i="35"/>
  <c r="AG36" i="35"/>
  <c r="AG43" i="35"/>
  <c r="AG35" i="35"/>
  <c r="AG17" i="35"/>
  <c r="AG28" i="35"/>
  <c r="AG21" i="35"/>
  <c r="AG81" i="35"/>
  <c r="AH77" i="35"/>
  <c r="AL77" i="35" s="1"/>
  <c r="D65" i="37" s="1"/>
  <c r="AG68" i="35"/>
  <c r="AG47" i="35"/>
  <c r="AG39" i="35"/>
  <c r="AG24" i="35"/>
  <c r="AG90" i="35"/>
  <c r="AH86" i="35"/>
  <c r="AL86" i="35" s="1"/>
  <c r="D74" i="37" s="1"/>
  <c r="AG78" i="35"/>
  <c r="AG70" i="35"/>
  <c r="AH69" i="35"/>
  <c r="AL69" i="35" s="1"/>
  <c r="D57" i="37" s="1"/>
  <c r="AH41" i="35"/>
  <c r="AL41" i="35" s="1"/>
  <c r="D29" i="37" s="1"/>
  <c r="AG57" i="35"/>
  <c r="AG45" i="35"/>
  <c r="AG49" i="35"/>
  <c r="AG30" i="35"/>
  <c r="AG32" i="35"/>
  <c r="AG27" i="35"/>
  <c r="AG26" i="35"/>
  <c r="AH17" i="35"/>
  <c r="AL17" i="35" s="1"/>
  <c r="D5" i="37" s="1"/>
  <c r="AG86" i="35"/>
  <c r="AG50" i="35"/>
  <c r="AG18" i="35"/>
  <c r="AG25" i="35"/>
  <c r="AG23" i="35"/>
  <c r="AH88" i="35"/>
  <c r="AL88" i="35" s="1"/>
  <c r="D76" i="37" s="1"/>
  <c r="AG85" i="35"/>
  <c r="AG77" i="35"/>
  <c r="AG76" i="35"/>
  <c r="AG63" i="35"/>
  <c r="AH56" i="35"/>
  <c r="AL56" i="35" s="1"/>
  <c r="D44" i="37" s="1"/>
  <c r="AG44" i="35"/>
  <c r="AG34" i="35"/>
  <c r="AG33" i="35"/>
  <c r="AG19" i="35"/>
  <c r="AG14" i="35"/>
  <c r="AH66" i="35"/>
  <c r="AL66" i="35" s="1"/>
  <c r="D54" i="37" s="1"/>
  <c r="AH52" i="35"/>
  <c r="AH46" i="35"/>
  <c r="AL46" i="35" s="1"/>
  <c r="D34" i="37" s="1"/>
  <c r="AH28" i="35"/>
  <c r="AL28" i="35" s="1"/>
  <c r="D16" i="37" s="1"/>
  <c r="AH85" i="35"/>
  <c r="AH87" i="35"/>
  <c r="AH54" i="35"/>
  <c r="AL54" i="35" s="1"/>
  <c r="D42" i="37" s="1"/>
  <c r="AH57" i="35"/>
  <c r="AL57" i="35" s="1"/>
  <c r="D45" i="37" s="1"/>
  <c r="AH44" i="35"/>
  <c r="AL44" i="35" s="1"/>
  <c r="D32" i="37" s="1"/>
  <c r="AH21" i="35"/>
  <c r="AH59" i="35"/>
  <c r="AL59" i="35" s="1"/>
  <c r="D47" i="37" s="1"/>
  <c r="AH62" i="35"/>
  <c r="AL62" i="35" s="1"/>
  <c r="D50" i="37" s="1"/>
  <c r="AH36" i="35"/>
  <c r="AL36" i="35" s="1"/>
  <c r="D24" i="37" s="1"/>
  <c r="AH35" i="35"/>
  <c r="AL35" i="35" s="1"/>
  <c r="D23" i="37" s="1"/>
  <c r="AF66" i="35"/>
  <c r="AF86" i="35"/>
  <c r="AF26" i="35"/>
  <c r="AH83" i="35"/>
  <c r="AL83" i="35" s="1"/>
  <c r="D71" i="37" s="1"/>
  <c r="AH81" i="35"/>
  <c r="AL81" i="35" s="1"/>
  <c r="D69" i="37" s="1"/>
  <c r="AH78" i="35"/>
  <c r="AL78" i="35" s="1"/>
  <c r="D66" i="37" s="1"/>
  <c r="AH67" i="35"/>
  <c r="AH60" i="35"/>
  <c r="AL60" i="35" s="1"/>
  <c r="D48" i="37" s="1"/>
  <c r="AH64" i="35"/>
  <c r="AL64" i="35" s="1"/>
  <c r="D52" i="37" s="1"/>
  <c r="AH51" i="35"/>
  <c r="AL51" i="35" s="1"/>
  <c r="D39" i="37" s="1"/>
  <c r="AH48" i="35"/>
  <c r="AH42" i="35"/>
  <c r="AL42" i="35" s="1"/>
  <c r="D30" i="37" s="1"/>
  <c r="AH40" i="35"/>
  <c r="AL40" i="35" s="1"/>
  <c r="D28" i="37" s="1"/>
  <c r="AH55" i="35"/>
  <c r="AL55" i="35" s="1"/>
  <c r="D43" i="37" s="1"/>
  <c r="AH39" i="35"/>
  <c r="AL39" i="35" s="1"/>
  <c r="D27" i="37" s="1"/>
  <c r="AH33" i="35"/>
  <c r="AL33" i="35" s="1"/>
  <c r="D21" i="37" s="1"/>
  <c r="AF30" i="35"/>
  <c r="AF93" i="35"/>
  <c r="AH20" i="35"/>
  <c r="AL20" i="35" s="1"/>
  <c r="D8" i="37" s="1"/>
  <c r="AG52" i="35"/>
  <c r="AF82" i="35"/>
  <c r="AF21" i="35"/>
  <c r="AF62" i="35"/>
  <c r="AF87" i="35"/>
  <c r="AG31" i="35"/>
  <c r="AF41" i="35"/>
  <c r="AH74" i="35"/>
  <c r="AL74" i="35" s="1"/>
  <c r="D62" i="37" s="1"/>
  <c r="AK22" i="35"/>
  <c r="AH16" i="35"/>
  <c r="AL16" i="35" s="1"/>
  <c r="D4" i="37" s="1"/>
  <c r="AK14" i="35"/>
  <c r="AF29" i="35"/>
  <c r="AF69" i="35"/>
  <c r="AF68" i="35"/>
  <c r="AH92" i="35"/>
  <c r="AL92" i="35" s="1"/>
  <c r="D80" i="37" s="1"/>
  <c r="AH65" i="35"/>
  <c r="AL65" i="35" s="1"/>
  <c r="D53" i="37" s="1"/>
  <c r="AH43" i="35"/>
  <c r="AL43" i="35" s="1"/>
  <c r="D31" i="37" s="1"/>
  <c r="AH29" i="35"/>
  <c r="AL29" i="35" s="1"/>
  <c r="D17" i="37" s="1"/>
  <c r="AI19" i="35"/>
  <c r="AF53" i="35"/>
  <c r="AH22" i="35"/>
  <c r="AL22" i="35" s="1"/>
  <c r="D10" i="37" s="1"/>
  <c r="AF37" i="35"/>
  <c r="AF44" i="35"/>
  <c r="AG84" i="35"/>
  <c r="AF19" i="35"/>
  <c r="AF88" i="35"/>
  <c r="AH75" i="35"/>
  <c r="AL75" i="35" s="1"/>
  <c r="D63" i="37" s="1"/>
  <c r="AH38" i="35"/>
  <c r="AL38" i="35" s="1"/>
  <c r="D26" i="37" s="1"/>
  <c r="AH25" i="35"/>
  <c r="AK25" i="35"/>
  <c r="AH30" i="35"/>
  <c r="AL30" i="35" s="1"/>
  <c r="D18" i="37" s="1"/>
  <c r="AF17" i="35"/>
  <c r="AH65" i="34"/>
  <c r="AL65" i="34" s="1"/>
  <c r="F53" i="37" s="1"/>
  <c r="AF50" i="34"/>
  <c r="AH21" i="34"/>
  <c r="AL21" i="34" s="1"/>
  <c r="F9" i="37" s="1"/>
  <c r="AF91" i="34"/>
  <c r="AK83" i="34"/>
  <c r="AF79" i="34"/>
  <c r="AF80" i="34"/>
  <c r="AK62" i="34"/>
  <c r="AK60" i="34"/>
  <c r="AK66" i="34"/>
  <c r="AK64" i="34"/>
  <c r="AF63" i="34"/>
  <c r="AF59" i="34"/>
  <c r="AK45" i="34"/>
  <c r="AK58" i="34"/>
  <c r="AK54" i="34"/>
  <c r="AH50" i="34"/>
  <c r="AK55" i="34"/>
  <c r="AF21" i="34"/>
  <c r="AI49" i="34"/>
  <c r="AK37" i="34"/>
  <c r="AH33" i="34"/>
  <c r="AF42" i="34"/>
  <c r="AK38" i="34"/>
  <c r="AH27" i="34"/>
  <c r="AI45" i="34"/>
  <c r="AH43" i="34"/>
  <c r="AL43" i="34" s="1"/>
  <c r="F31" i="37" s="1"/>
  <c r="AK40" i="34"/>
  <c r="AK24" i="34"/>
  <c r="AH18" i="34"/>
  <c r="AL18" i="34" s="1"/>
  <c r="F6" i="37" s="1"/>
  <c r="AF19" i="34"/>
  <c r="AK81" i="34"/>
  <c r="AK88" i="34"/>
  <c r="AK85" i="34"/>
  <c r="AK82" i="34"/>
  <c r="AF60" i="34"/>
  <c r="AK56" i="34"/>
  <c r="AF39" i="34"/>
  <c r="AF33" i="34"/>
  <c r="AK49" i="34"/>
  <c r="AK29" i="34"/>
  <c r="AH25" i="34"/>
  <c r="AL25" i="34" s="1"/>
  <c r="F13" i="37" s="1"/>
  <c r="AI28" i="34"/>
  <c r="AF28" i="34"/>
  <c r="AF37" i="34"/>
  <c r="AK33" i="34"/>
  <c r="AF15" i="34"/>
  <c r="AH20" i="34"/>
  <c r="AL20" i="34" s="1"/>
  <c r="F8" i="37" s="1"/>
  <c r="AH68" i="34"/>
  <c r="AF67" i="34"/>
  <c r="AH23" i="34"/>
  <c r="AL23" i="34" s="1"/>
  <c r="F11" i="37" s="1"/>
  <c r="AF92" i="34"/>
  <c r="AH90" i="34"/>
  <c r="AL90" i="34" s="1"/>
  <c r="F78" i="37" s="1"/>
  <c r="AK87" i="34"/>
  <c r="AF88" i="34"/>
  <c r="AF83" i="34"/>
  <c r="AH93" i="34"/>
  <c r="AH84" i="34"/>
  <c r="AL84" i="34" s="1"/>
  <c r="F72" i="37" s="1"/>
  <c r="AF78" i="34"/>
  <c r="AF74" i="34"/>
  <c r="AK71" i="34"/>
  <c r="AF64" i="34"/>
  <c r="AH71" i="34"/>
  <c r="AK74" i="34"/>
  <c r="AH60" i="34"/>
  <c r="AH47" i="34"/>
  <c r="AL47" i="34" s="1"/>
  <c r="F35" i="37" s="1"/>
  <c r="AK52" i="34"/>
  <c r="AK51" i="34"/>
  <c r="AF49" i="34"/>
  <c r="AH48" i="34"/>
  <c r="AF58" i="34"/>
  <c r="AF44" i="34"/>
  <c r="AK59" i="34"/>
  <c r="AL59" i="34" s="1"/>
  <c r="F47" i="37" s="1"/>
  <c r="AK48" i="34"/>
  <c r="AF54" i="34"/>
  <c r="AK35" i="34"/>
  <c r="AF31" i="34"/>
  <c r="AI24" i="34"/>
  <c r="AF24" i="34"/>
  <c r="AF77" i="34"/>
  <c r="AK36" i="34"/>
  <c r="AF22" i="34"/>
  <c r="AK31" i="34"/>
  <c r="AF27" i="34"/>
  <c r="AK14" i="34"/>
  <c r="AI33" i="34"/>
  <c r="AF18" i="34"/>
  <c r="AH85" i="34"/>
  <c r="AH69" i="34"/>
  <c r="AL69" i="34" s="1"/>
  <c r="F57" i="37" s="1"/>
  <c r="AH46" i="34"/>
  <c r="AL46" i="34" s="1"/>
  <c r="F34" i="37" s="1"/>
  <c r="AH22" i="34"/>
  <c r="AL22" i="34" s="1"/>
  <c r="F10" i="37" s="1"/>
  <c r="AH89" i="34"/>
  <c r="AL89" i="34" s="1"/>
  <c r="F77" i="37" s="1"/>
  <c r="AH86" i="34"/>
  <c r="AL86" i="34" s="1"/>
  <c r="F74" i="37" s="1"/>
  <c r="AH72" i="34"/>
  <c r="AL72" i="34" s="1"/>
  <c r="F60" i="37" s="1"/>
  <c r="AH29" i="34"/>
  <c r="AH55" i="34"/>
  <c r="AH44" i="34"/>
  <c r="AL44" i="34" s="1"/>
  <c r="F32" i="37" s="1"/>
  <c r="AH61" i="34"/>
  <c r="AH17" i="34"/>
  <c r="AL17" i="34" s="1"/>
  <c r="F5" i="37" s="1"/>
  <c r="AF57" i="34"/>
  <c r="AF85" i="34"/>
  <c r="AF61" i="34"/>
  <c r="AG94" i="34"/>
  <c r="AF36" i="34"/>
  <c r="AF93" i="34"/>
  <c r="AF47" i="34"/>
  <c r="AF86" i="34"/>
  <c r="AH88" i="34"/>
  <c r="AH83" i="34"/>
  <c r="AH79" i="34"/>
  <c r="AL79" i="34" s="1"/>
  <c r="F67" i="37" s="1"/>
  <c r="AH78" i="34"/>
  <c r="AL78" i="34" s="1"/>
  <c r="F66" i="37" s="1"/>
  <c r="AH80" i="34"/>
  <c r="AL80" i="34" s="1"/>
  <c r="F68" i="37" s="1"/>
  <c r="AH63" i="34"/>
  <c r="AL63" i="34" s="1"/>
  <c r="F51" i="37" s="1"/>
  <c r="AH67" i="34"/>
  <c r="AL67" i="34" s="1"/>
  <c r="F55" i="37" s="1"/>
  <c r="AH49" i="34"/>
  <c r="AF75" i="34"/>
  <c r="AF73" i="34"/>
  <c r="AF51" i="34"/>
  <c r="AF45" i="34"/>
  <c r="AF40" i="34"/>
  <c r="AH24" i="34"/>
  <c r="AF72" i="34"/>
  <c r="AH42" i="34"/>
  <c r="AL42" i="34" s="1"/>
  <c r="F30" i="37" s="1"/>
  <c r="AH35" i="34"/>
  <c r="AF90" i="34"/>
  <c r="AF65" i="34"/>
  <c r="AF25" i="34"/>
  <c r="AF68" i="34"/>
  <c r="AF34" i="34"/>
  <c r="AK15" i="34"/>
  <c r="AG23" i="34"/>
  <c r="AF14" i="34"/>
  <c r="AF62" i="34"/>
  <c r="AH92" i="34"/>
  <c r="AL92" i="34" s="1"/>
  <c r="F80" i="37" s="1"/>
  <c r="AH52" i="34"/>
  <c r="AF56" i="34"/>
  <c r="AF29" i="34"/>
  <c r="AF84" i="34"/>
  <c r="AH19" i="34"/>
  <c r="AL19" i="34" s="1"/>
  <c r="F7" i="37" s="1"/>
  <c r="AK16" i="34"/>
  <c r="AF89" i="34"/>
  <c r="AH14" i="34"/>
  <c r="AF55" i="34"/>
  <c r="AH81" i="34"/>
  <c r="AF82" i="34"/>
  <c r="AF48" i="34"/>
  <c r="AH87" i="34"/>
  <c r="AL87" i="34" s="1"/>
  <c r="F75" i="37" s="1"/>
  <c r="AH76" i="34"/>
  <c r="AH30" i="34"/>
  <c r="AH15" i="34"/>
  <c r="AF60" i="33"/>
  <c r="AF24" i="33"/>
  <c r="AK94" i="33"/>
  <c r="AK90" i="33"/>
  <c r="AF88" i="33"/>
  <c r="AF90" i="33"/>
  <c r="AH77" i="33"/>
  <c r="AL77" i="33" s="1"/>
  <c r="H65" i="37" s="1"/>
  <c r="AF73" i="33"/>
  <c r="AI71" i="33"/>
  <c r="AI68" i="33"/>
  <c r="AF59" i="33"/>
  <c r="AF65" i="33"/>
  <c r="AF64" i="33"/>
  <c r="AK61" i="33"/>
  <c r="AI58" i="33"/>
  <c r="AI57" i="33"/>
  <c r="AK52" i="33"/>
  <c r="AK47" i="33"/>
  <c r="AI44" i="33"/>
  <c r="AF47" i="33"/>
  <c r="AH45" i="33"/>
  <c r="AL45" i="33" s="1"/>
  <c r="H33" i="37" s="1"/>
  <c r="AF50" i="33"/>
  <c r="AH38" i="33"/>
  <c r="AF52" i="33"/>
  <c r="AF48" i="33"/>
  <c r="AF44" i="33"/>
  <c r="AH40" i="33"/>
  <c r="AL40" i="33" s="1"/>
  <c r="H28" i="37" s="1"/>
  <c r="AK38" i="33"/>
  <c r="AF29" i="33"/>
  <c r="AK23" i="33"/>
  <c r="AK14" i="33"/>
  <c r="AH15" i="33"/>
  <c r="AL15" i="33" s="1"/>
  <c r="H3" i="37" s="1"/>
  <c r="AK92" i="33"/>
  <c r="AF92" i="33"/>
  <c r="AK91" i="33"/>
  <c r="AK84" i="33"/>
  <c r="AF83" i="33"/>
  <c r="AF79" i="33"/>
  <c r="AH85" i="33"/>
  <c r="AI79" i="33"/>
  <c r="AK75" i="33"/>
  <c r="AI66" i="33"/>
  <c r="AH75" i="33"/>
  <c r="AH65" i="33"/>
  <c r="AL65" i="33" s="1"/>
  <c r="H53" i="37" s="1"/>
  <c r="AF66" i="33"/>
  <c r="AI55" i="33"/>
  <c r="AI42" i="33"/>
  <c r="AK32" i="33"/>
  <c r="AK28" i="33"/>
  <c r="AF56" i="33"/>
  <c r="AK27" i="33"/>
  <c r="AK26" i="33"/>
  <c r="AK22" i="33"/>
  <c r="AK89" i="33"/>
  <c r="AI82" i="33"/>
  <c r="AF89" i="33"/>
  <c r="AF84" i="33"/>
  <c r="AI78" i="33"/>
  <c r="AI77" i="33"/>
  <c r="AF76" i="33"/>
  <c r="AF78" i="33"/>
  <c r="AF71" i="33"/>
  <c r="AI65" i="33"/>
  <c r="AI64" i="33"/>
  <c r="AH66" i="33"/>
  <c r="AL66" i="33" s="1"/>
  <c r="H54" i="37" s="1"/>
  <c r="AH62" i="33"/>
  <c r="AL62" i="33" s="1"/>
  <c r="H50" i="37" s="1"/>
  <c r="AK51" i="33"/>
  <c r="AK48" i="33"/>
  <c r="AI41" i="33"/>
  <c r="AI40" i="33"/>
  <c r="AF53" i="33"/>
  <c r="AF33" i="33"/>
  <c r="AF31" i="33"/>
  <c r="AK34" i="33"/>
  <c r="AF41" i="33"/>
  <c r="AK30" i="33"/>
  <c r="AF58" i="33"/>
  <c r="AF22" i="33"/>
  <c r="AF43" i="33"/>
  <c r="AK29" i="33"/>
  <c r="AK25" i="33"/>
  <c r="AK21" i="33"/>
  <c r="AH18" i="33"/>
  <c r="AL18" i="33" s="1"/>
  <c r="H6" i="37" s="1"/>
  <c r="AH19" i="33"/>
  <c r="AL19" i="33" s="1"/>
  <c r="H7" i="37" s="1"/>
  <c r="AK17" i="33"/>
  <c r="AH88" i="33"/>
  <c r="AL88" i="33" s="1"/>
  <c r="H76" i="37" s="1"/>
  <c r="AH50" i="33"/>
  <c r="AL50" i="33" s="1"/>
  <c r="H38" i="37" s="1"/>
  <c r="AH74" i="33"/>
  <c r="AL74" i="33" s="1"/>
  <c r="H62" i="37" s="1"/>
  <c r="AH72" i="33"/>
  <c r="AL72" i="33" s="1"/>
  <c r="H60" i="37" s="1"/>
  <c r="AH56" i="33"/>
  <c r="AL56" i="33" s="1"/>
  <c r="H44" i="37" s="1"/>
  <c r="AH51" i="33"/>
  <c r="AH21" i="33"/>
  <c r="AH94" i="33"/>
  <c r="AH91" i="33"/>
  <c r="AH53" i="33"/>
  <c r="AL53" i="33" s="1"/>
  <c r="H41" i="37" s="1"/>
  <c r="AH43" i="33"/>
  <c r="AL43" i="33" s="1"/>
  <c r="H31" i="37" s="1"/>
  <c r="AH93" i="33"/>
  <c r="AL93" i="33" s="1"/>
  <c r="H81" i="37" s="1"/>
  <c r="AH92" i="33"/>
  <c r="AH82" i="33"/>
  <c r="AL82" i="33" s="1"/>
  <c r="H70" i="37" s="1"/>
  <c r="AH71" i="33"/>
  <c r="AL71" i="33" s="1"/>
  <c r="H59" i="37" s="1"/>
  <c r="AH67" i="33"/>
  <c r="AL67" i="33" s="1"/>
  <c r="H55" i="37" s="1"/>
  <c r="AH58" i="33"/>
  <c r="AL58" i="33" s="1"/>
  <c r="H46" i="37" s="1"/>
  <c r="AH34" i="33"/>
  <c r="AH32" i="33"/>
  <c r="AH30" i="33"/>
  <c r="AH29" i="33"/>
  <c r="AL29" i="33" s="1"/>
  <c r="H17" i="37" s="1"/>
  <c r="AH81" i="33"/>
  <c r="AL81" i="33" s="1"/>
  <c r="H69" i="37" s="1"/>
  <c r="AH46" i="33"/>
  <c r="AL46" i="33" s="1"/>
  <c r="H34" i="37" s="1"/>
  <c r="AF62" i="33"/>
  <c r="AF55" i="33"/>
  <c r="AF21" i="33"/>
  <c r="AF82" i="33"/>
  <c r="AH37" i="33"/>
  <c r="AL37" i="33" s="1"/>
  <c r="H25" i="37" s="1"/>
  <c r="AF75" i="33"/>
  <c r="AF32" i="33"/>
  <c r="AF61" i="33"/>
  <c r="AF36" i="33"/>
  <c r="AF87" i="33"/>
  <c r="AF91" i="33"/>
  <c r="AH90" i="33"/>
  <c r="AH86" i="33"/>
  <c r="AL86" i="33" s="1"/>
  <c r="H74" i="37" s="1"/>
  <c r="AH83" i="33"/>
  <c r="AL83" i="33" s="1"/>
  <c r="H71" i="37" s="1"/>
  <c r="AH59" i="33"/>
  <c r="AL59" i="33" s="1"/>
  <c r="H47" i="37" s="1"/>
  <c r="AH49" i="33"/>
  <c r="AL49" i="33" s="1"/>
  <c r="H37" i="37" s="1"/>
  <c r="AG80" i="33"/>
  <c r="AF51" i="33"/>
  <c r="AF45" i="33"/>
  <c r="AF38" i="33"/>
  <c r="AH35" i="33"/>
  <c r="AL35" i="33" s="1"/>
  <c r="H23" i="37" s="1"/>
  <c r="AF69" i="33"/>
  <c r="AF30" i="33"/>
  <c r="AF15" i="33"/>
  <c r="AF85" i="33"/>
  <c r="AH27" i="33"/>
  <c r="AH25" i="33"/>
  <c r="AF34" i="33"/>
  <c r="AG31" i="33"/>
  <c r="AF23" i="33"/>
  <c r="AF93" i="33"/>
  <c r="AF20" i="33"/>
  <c r="AH78" i="33"/>
  <c r="AL78" i="33" s="1"/>
  <c r="H66" i="37" s="1"/>
  <c r="AH52" i="33"/>
  <c r="AH48" i="33"/>
  <c r="AL48" i="33" s="1"/>
  <c r="H36" i="37" s="1"/>
  <c r="AH47" i="33"/>
  <c r="AH44" i="33"/>
  <c r="AL44" i="33" s="1"/>
  <c r="H32" i="37" s="1"/>
  <c r="AF39" i="33"/>
  <c r="AF18" i="33"/>
  <c r="AF19" i="33"/>
  <c r="AF17" i="33"/>
  <c r="AH17" i="33"/>
  <c r="AH82" i="32"/>
  <c r="AL82" i="32" s="1"/>
  <c r="I70" i="37" s="1"/>
  <c r="AH76" i="32"/>
  <c r="AH64" i="32"/>
  <c r="AH51" i="32"/>
  <c r="AK48" i="32"/>
  <c r="AK31" i="32"/>
  <c r="AF27" i="32"/>
  <c r="AH40" i="32"/>
  <c r="AF26" i="32"/>
  <c r="AF57" i="32"/>
  <c r="AK14" i="32"/>
  <c r="AF86" i="32"/>
  <c r="AH19" i="32"/>
  <c r="AK76" i="32"/>
  <c r="AK68" i="32"/>
  <c r="AL68" i="32" s="1"/>
  <c r="I56" i="37" s="1"/>
  <c r="AF44" i="32"/>
  <c r="AK45" i="32"/>
  <c r="AH27" i="32"/>
  <c r="AL27" i="32" s="1"/>
  <c r="I15" i="37" s="1"/>
  <c r="AK51" i="32"/>
  <c r="AK46" i="32"/>
  <c r="AF62" i="32"/>
  <c r="AF79" i="32"/>
  <c r="AH42" i="32"/>
  <c r="AF68" i="32"/>
  <c r="AK88" i="32"/>
  <c r="AF92" i="32"/>
  <c r="AK93" i="32"/>
  <c r="AK77" i="32"/>
  <c r="AH69" i="32"/>
  <c r="AK71" i="32"/>
  <c r="AF66" i="32"/>
  <c r="AH60" i="32"/>
  <c r="AL60" i="32" s="1"/>
  <c r="I48" i="37" s="1"/>
  <c r="AH53" i="32"/>
  <c r="AF61" i="32"/>
  <c r="AK56" i="32"/>
  <c r="AH38" i="32"/>
  <c r="AL38" i="32" s="1"/>
  <c r="I26" i="37" s="1"/>
  <c r="AK94" i="32"/>
  <c r="AI64" i="32"/>
  <c r="AF64" i="32"/>
  <c r="AI60" i="32"/>
  <c r="AK42" i="32"/>
  <c r="AK40" i="32"/>
  <c r="AK50" i="32"/>
  <c r="AL50" i="32" s="1"/>
  <c r="I38" i="37" s="1"/>
  <c r="AK41" i="32"/>
  <c r="AH36" i="32"/>
  <c r="AL36" i="32" s="1"/>
  <c r="I24" i="37" s="1"/>
  <c r="AF18" i="32"/>
  <c r="AH29" i="32"/>
  <c r="AL29" i="32" s="1"/>
  <c r="I17" i="37" s="1"/>
  <c r="AF19" i="32"/>
  <c r="AH17" i="32"/>
  <c r="AL17" i="32" s="1"/>
  <c r="I5" i="37" s="1"/>
  <c r="AF88" i="32"/>
  <c r="AK89" i="32"/>
  <c r="AF94" i="32"/>
  <c r="AH67" i="32"/>
  <c r="AK61" i="32"/>
  <c r="AK91" i="32"/>
  <c r="AK92" i="32"/>
  <c r="AH87" i="32"/>
  <c r="AL87" i="32" s="1"/>
  <c r="I75" i="37" s="1"/>
  <c r="AH92" i="32"/>
  <c r="AK80" i="32"/>
  <c r="AF85" i="32"/>
  <c r="AK72" i="32"/>
  <c r="AL72" i="32" s="1"/>
  <c r="I60" i="37" s="1"/>
  <c r="AK69" i="32"/>
  <c r="AF78" i="32"/>
  <c r="AK74" i="32"/>
  <c r="AF75" i="32"/>
  <c r="AH80" i="32"/>
  <c r="AF71" i="32"/>
  <c r="AK67" i="32"/>
  <c r="AK66" i="32"/>
  <c r="AH66" i="32"/>
  <c r="AK63" i="32"/>
  <c r="AH62" i="32"/>
  <c r="AL62" i="32" s="1"/>
  <c r="I50" i="37" s="1"/>
  <c r="AF59" i="32"/>
  <c r="AK57" i="32"/>
  <c r="AK59" i="32"/>
  <c r="AK58" i="32"/>
  <c r="AH58" i="32"/>
  <c r="AF55" i="32"/>
  <c r="AF45" i="32"/>
  <c r="AH41" i="32"/>
  <c r="AL41" i="32" s="1"/>
  <c r="I29" i="37" s="1"/>
  <c r="AI94" i="32"/>
  <c r="AK64" i="32"/>
  <c r="AK53" i="32"/>
  <c r="AK54" i="32"/>
  <c r="AH33" i="32"/>
  <c r="AL33" i="32" s="1"/>
  <c r="I21" i="37" s="1"/>
  <c r="AF28" i="32"/>
  <c r="AF54" i="32"/>
  <c r="AK43" i="32"/>
  <c r="AF25" i="32"/>
  <c r="AK16" i="32"/>
  <c r="AH21" i="32"/>
  <c r="AL21" i="32" s="1"/>
  <c r="I9" i="37" s="1"/>
  <c r="AF14" i="32"/>
  <c r="AH28" i="32"/>
  <c r="AL28" i="32" s="1"/>
  <c r="I16" i="37" s="1"/>
  <c r="AH79" i="32"/>
  <c r="AL79" i="32" s="1"/>
  <c r="I67" i="37" s="1"/>
  <c r="AH54" i="32"/>
  <c r="AL54" i="32" s="1"/>
  <c r="I42" i="37" s="1"/>
  <c r="AH32" i="32"/>
  <c r="AL32" i="32" s="1"/>
  <c r="I20" i="37" s="1"/>
  <c r="AH31" i="32"/>
  <c r="AH16" i="32"/>
  <c r="AH57" i="32"/>
  <c r="AH37" i="32"/>
  <c r="AL37" i="32" s="1"/>
  <c r="I25" i="37" s="1"/>
  <c r="AH34" i="32"/>
  <c r="AL34" i="32" s="1"/>
  <c r="I22" i="37" s="1"/>
  <c r="AH39" i="32"/>
  <c r="AL39" i="32" s="1"/>
  <c r="I27" i="37" s="1"/>
  <c r="AH65" i="32"/>
  <c r="AL65" i="32" s="1"/>
  <c r="I53" i="37" s="1"/>
  <c r="AH49" i="32"/>
  <c r="AL49" i="32" s="1"/>
  <c r="I37" i="37" s="1"/>
  <c r="AL35" i="32"/>
  <c r="I23" i="37" s="1"/>
  <c r="AH44" i="32"/>
  <c r="AL44" i="32" s="1"/>
  <c r="I32" i="37" s="1"/>
  <c r="AH15" i="32"/>
  <c r="AH18" i="32"/>
  <c r="AL18" i="32" s="1"/>
  <c r="I6" i="37" s="1"/>
  <c r="AH23" i="32"/>
  <c r="AL23" i="32" s="1"/>
  <c r="I11" i="37" s="1"/>
  <c r="AF83" i="32"/>
  <c r="AF69" i="32"/>
  <c r="AF47" i="32"/>
  <c r="AF72" i="32"/>
  <c r="AF39" i="32"/>
  <c r="AF33" i="32"/>
  <c r="AG77" i="32"/>
  <c r="AF65" i="32"/>
  <c r="AF49" i="32"/>
  <c r="AF37" i="32"/>
  <c r="AF34" i="32"/>
  <c r="AF32" i="32"/>
  <c r="AF43" i="32"/>
  <c r="AF50" i="32"/>
  <c r="AF58" i="32"/>
  <c r="AF41" i="32"/>
  <c r="AF24" i="32"/>
  <c r="AF16" i="32"/>
  <c r="AF81" i="32"/>
  <c r="AF76" i="32"/>
  <c r="AF40" i="32"/>
  <c r="AH93" i="32"/>
  <c r="AL93" i="32" s="1"/>
  <c r="I81" i="37" s="1"/>
  <c r="AH91" i="32"/>
  <c r="AL91" i="32" s="1"/>
  <c r="I79" i="37" s="1"/>
  <c r="AH84" i="32"/>
  <c r="AL84" i="32" s="1"/>
  <c r="I72" i="37" s="1"/>
  <c r="AH89" i="32"/>
  <c r="AH85" i="32"/>
  <c r="AL85" i="32" s="1"/>
  <c r="I73" i="37" s="1"/>
  <c r="AH78" i="32"/>
  <c r="AL78" i="32" s="1"/>
  <c r="I66" i="37" s="1"/>
  <c r="AH71" i="32"/>
  <c r="AH73" i="32"/>
  <c r="AL73" i="32" s="1"/>
  <c r="I61" i="37" s="1"/>
  <c r="AH75" i="32"/>
  <c r="AL75" i="32" s="1"/>
  <c r="I63" i="37" s="1"/>
  <c r="AH61" i="32"/>
  <c r="AH52" i="32"/>
  <c r="AF23" i="32"/>
  <c r="AH48" i="32"/>
  <c r="AF70" i="32"/>
  <c r="AF36" i="32"/>
  <c r="AH46" i="32"/>
  <c r="AL46" i="32" s="1"/>
  <c r="I34" i="37" s="1"/>
  <c r="AF31" i="32"/>
  <c r="AH22" i="32"/>
  <c r="AL22" i="32" s="1"/>
  <c r="I10" i="37" s="1"/>
  <c r="AH26" i="32"/>
  <c r="AL26" i="32" s="1"/>
  <c r="I14" i="37" s="1"/>
  <c r="AF30" i="32"/>
  <c r="AH25" i="32"/>
  <c r="AL25" i="32" s="1"/>
  <c r="I13" i="37" s="1"/>
  <c r="AF63" i="32"/>
  <c r="AH45" i="32"/>
  <c r="AH14" i="32"/>
  <c r="AH64" i="33" l="1"/>
  <c r="AL64" i="33" s="1"/>
  <c r="H52" i="37" s="1"/>
  <c r="AH93" i="38"/>
  <c r="AL93" i="38" s="1"/>
  <c r="C81" i="37" s="1"/>
  <c r="AH68" i="33"/>
  <c r="AL68" i="33" s="1"/>
  <c r="H56" i="37" s="1"/>
  <c r="AH31" i="34"/>
  <c r="AL31" i="34" s="1"/>
  <c r="F19" i="37" s="1"/>
  <c r="AH31" i="35"/>
  <c r="AH91" i="38"/>
  <c r="AL91" i="38" s="1"/>
  <c r="C79" i="37" s="1"/>
  <c r="AH57" i="33"/>
  <c r="AL57" i="33" s="1"/>
  <c r="H45" i="37" s="1"/>
  <c r="AH92" i="38"/>
  <c r="AL92" i="38" s="1"/>
  <c r="C80" i="37" s="1"/>
  <c r="AH28" i="33"/>
  <c r="AH53" i="35"/>
  <c r="AL53" i="35" s="1"/>
  <c r="D41" i="37" s="1"/>
  <c r="AH91" i="35"/>
  <c r="AH65" i="38"/>
  <c r="AL65" i="38" s="1"/>
  <c r="C53" i="37" s="1"/>
  <c r="AH73" i="33"/>
  <c r="AL73" i="33" s="1"/>
  <c r="H61" i="37" s="1"/>
  <c r="AH93" i="39"/>
  <c r="AO18" i="40"/>
  <c r="I6" i="50" s="1"/>
  <c r="AH56" i="32"/>
  <c r="AL56" i="32" s="1"/>
  <c r="I44" i="37" s="1"/>
  <c r="AH49" i="35"/>
  <c r="AL49" i="35" s="1"/>
  <c r="D37" i="37" s="1"/>
  <c r="AH80" i="35"/>
  <c r="AL80" i="35" s="1"/>
  <c r="D68" i="37" s="1"/>
  <c r="AH77" i="39"/>
  <c r="AL77" i="39" s="1"/>
  <c r="G65" i="37" s="1"/>
  <c r="AH60" i="33"/>
  <c r="AL60" i="33" s="1"/>
  <c r="H48" i="37" s="1"/>
  <c r="AH24" i="33"/>
  <c r="AL24" i="33" s="1"/>
  <c r="H12" i="37" s="1"/>
  <c r="AH72" i="35"/>
  <c r="AL72" i="35" s="1"/>
  <c r="D60" i="37" s="1"/>
  <c r="AH39" i="38"/>
  <c r="AL39" i="38" s="1"/>
  <c r="C27" i="37" s="1"/>
  <c r="AH23" i="35"/>
  <c r="AL23" i="35" s="1"/>
  <c r="D11" i="37" s="1"/>
  <c r="AH73" i="34"/>
  <c r="AL73" i="34" s="1"/>
  <c r="F61" i="37" s="1"/>
  <c r="AH28" i="38"/>
  <c r="AL28" i="38" s="1"/>
  <c r="C16" i="37" s="1"/>
  <c r="AH87" i="38"/>
  <c r="AL87" i="38" s="1"/>
  <c r="C75" i="37" s="1"/>
  <c r="AO33" i="40"/>
  <c r="AH61" i="38"/>
  <c r="AL61" i="38" s="1"/>
  <c r="C49" i="37" s="1"/>
  <c r="AH20" i="33"/>
  <c r="AL20" i="33" s="1"/>
  <c r="H8" i="37" s="1"/>
  <c r="AH14" i="33"/>
  <c r="AL14" i="33" s="1"/>
  <c r="H2" i="37" s="1"/>
  <c r="AH70" i="35"/>
  <c r="AL70" i="35" s="1"/>
  <c r="D58" i="37" s="1"/>
  <c r="AH66" i="38"/>
  <c r="AL66" i="38" s="1"/>
  <c r="C54" i="37" s="1"/>
  <c r="AH79" i="33"/>
  <c r="AL79" i="33" s="1"/>
  <c r="H67" i="37" s="1"/>
  <c r="AH47" i="35"/>
  <c r="AL47" i="35" s="1"/>
  <c r="D35" i="37" s="1"/>
  <c r="AP33" i="40"/>
  <c r="AH56" i="38"/>
  <c r="AL56" i="38" s="1"/>
  <c r="C44" i="37" s="1"/>
  <c r="AH67" i="38"/>
  <c r="AL67" i="38" s="1"/>
  <c r="C55" i="37" s="1"/>
  <c r="AH77" i="38"/>
  <c r="AL77" i="38" s="1"/>
  <c r="C65" i="37" s="1"/>
  <c r="AH73" i="38"/>
  <c r="AL73" i="38" s="1"/>
  <c r="C61" i="37" s="1"/>
  <c r="AH94" i="35"/>
  <c r="AL94" i="35" s="1"/>
  <c r="D82" i="37" s="1"/>
  <c r="AH54" i="34"/>
  <c r="AL54" i="34" s="1"/>
  <c r="F42" i="37" s="1"/>
  <c r="AL45" i="34"/>
  <c r="F33" i="37" s="1"/>
  <c r="AO20" i="40"/>
  <c r="W7" i="37" s="1"/>
  <c r="AO19" i="40"/>
  <c r="AL84" i="33"/>
  <c r="H72" i="37" s="1"/>
  <c r="AH94" i="38"/>
  <c r="AL94" i="38" s="1"/>
  <c r="C82" i="37" s="1"/>
  <c r="AH79" i="35"/>
  <c r="AL79" i="35" s="1"/>
  <c r="D67" i="37" s="1"/>
  <c r="AL94" i="34"/>
  <c r="F82" i="37" s="1"/>
  <c r="AL94" i="32"/>
  <c r="I82" i="37" s="1"/>
  <c r="AL32" i="33"/>
  <c r="H20" i="37" s="1"/>
  <c r="AO21" i="40"/>
  <c r="W8" i="37" s="1"/>
  <c r="AL74" i="32"/>
  <c r="I62" i="37" s="1"/>
  <c r="AL77" i="32"/>
  <c r="I65" i="37" s="1"/>
  <c r="AL58" i="34"/>
  <c r="F46" i="37" s="1"/>
  <c r="AL45" i="32"/>
  <c r="I33" i="37" s="1"/>
  <c r="AL85" i="34"/>
  <c r="F73" i="37" s="1"/>
  <c r="AP27" i="40"/>
  <c r="AL71" i="32"/>
  <c r="I59" i="37" s="1"/>
  <c r="AL94" i="33"/>
  <c r="H82" i="37" s="1"/>
  <c r="AL60" i="34"/>
  <c r="F48" i="37" s="1"/>
  <c r="AL83" i="34"/>
  <c r="F71" i="37" s="1"/>
  <c r="AL40" i="34"/>
  <c r="F28" i="37" s="1"/>
  <c r="AL90" i="35"/>
  <c r="D78" i="37" s="1"/>
  <c r="AL63" i="32"/>
  <c r="I51" i="37" s="1"/>
  <c r="AH88" i="38"/>
  <c r="AL88" i="38" s="1"/>
  <c r="C76" i="37" s="1"/>
  <c r="AH39" i="33"/>
  <c r="AL39" i="33" s="1"/>
  <c r="H27" i="37" s="1"/>
  <c r="AL45" i="39"/>
  <c r="G33" i="37" s="1"/>
  <c r="AL36" i="38"/>
  <c r="C24" i="37" s="1"/>
  <c r="AL30" i="38"/>
  <c r="C18" i="37" s="1"/>
  <c r="AH53" i="38"/>
  <c r="AL53" i="38" s="1"/>
  <c r="C41" i="37" s="1"/>
  <c r="AL41" i="38"/>
  <c r="C29" i="37" s="1"/>
  <c r="AH89" i="35"/>
  <c r="AL89" i="35" s="1"/>
  <c r="D77" i="37" s="1"/>
  <c r="AL48" i="38"/>
  <c r="C36" i="37" s="1"/>
  <c r="AL70" i="38"/>
  <c r="C58" i="37" s="1"/>
  <c r="AH24" i="35"/>
  <c r="AL24" i="35" s="1"/>
  <c r="D12" i="37" s="1"/>
  <c r="AL34" i="35"/>
  <c r="D22" i="37" s="1"/>
  <c r="AL58" i="35"/>
  <c r="D46" i="37" s="1"/>
  <c r="AH16" i="34"/>
  <c r="AL16" i="34" s="1"/>
  <c r="F4" i="37" s="1"/>
  <c r="AL93" i="35"/>
  <c r="D81" i="37" s="1"/>
  <c r="AH18" i="35"/>
  <c r="AL18" i="35" s="1"/>
  <c r="D6" i="37" s="1"/>
  <c r="AL45" i="35"/>
  <c r="D33" i="37" s="1"/>
  <c r="AL61" i="32"/>
  <c r="I49" i="37" s="1"/>
  <c r="J56" i="37"/>
  <c r="AO16" i="40"/>
  <c r="W3" i="37" s="1"/>
  <c r="AL52" i="32"/>
  <c r="I40" i="37" s="1"/>
  <c r="AL19" i="32"/>
  <c r="I7" i="37" s="1"/>
  <c r="AL30" i="34"/>
  <c r="F18" i="37" s="1"/>
  <c r="AL93" i="34"/>
  <c r="F81" i="37" s="1"/>
  <c r="AL68" i="34"/>
  <c r="F56" i="37" s="1"/>
  <c r="AL21" i="35"/>
  <c r="D9" i="37" s="1"/>
  <c r="AL73" i="35"/>
  <c r="D61" i="37" s="1"/>
  <c r="AL39" i="39"/>
  <c r="G27" i="37" s="1"/>
  <c r="AL59" i="39"/>
  <c r="G47" i="37" s="1"/>
  <c r="AO29" i="40"/>
  <c r="AL16" i="33"/>
  <c r="H4" i="37" s="1"/>
  <c r="J7" i="37"/>
  <c r="AO32" i="40"/>
  <c r="AP26" i="40"/>
  <c r="AP32" i="40"/>
  <c r="AO27" i="40"/>
  <c r="AO26" i="40"/>
  <c r="AO25" i="40"/>
  <c r="AO31" i="40"/>
  <c r="AO15" i="40"/>
  <c r="I3" i="50" s="1"/>
  <c r="AP29" i="40"/>
  <c r="AO24" i="40"/>
  <c r="AP28" i="40"/>
  <c r="AO30" i="40"/>
  <c r="AP24" i="40"/>
  <c r="AO17" i="40"/>
  <c r="W4" i="37" s="1"/>
  <c r="AP25" i="40"/>
  <c r="AP31" i="40"/>
  <c r="AP30" i="40"/>
  <c r="AL89" i="32"/>
  <c r="I77" i="37" s="1"/>
  <c r="AL15" i="32"/>
  <c r="I3" i="37" s="1"/>
  <c r="AL31" i="32"/>
  <c r="I19" i="37" s="1"/>
  <c r="AL80" i="32"/>
  <c r="I68" i="37" s="1"/>
  <c r="AL92" i="32"/>
  <c r="I80" i="37" s="1"/>
  <c r="AL34" i="33"/>
  <c r="H22" i="37" s="1"/>
  <c r="AL27" i="34"/>
  <c r="F15" i="37" s="1"/>
  <c r="AL31" i="35"/>
  <c r="D19" i="37" s="1"/>
  <c r="AL22" i="38"/>
  <c r="C10" i="37" s="1"/>
  <c r="AO28" i="40"/>
  <c r="AL85" i="33"/>
  <c r="H73" i="37" s="1"/>
  <c r="AL76" i="34"/>
  <c r="F64" i="37" s="1"/>
  <c r="AL48" i="35"/>
  <c r="D36" i="37" s="1"/>
  <c r="AL91" i="35"/>
  <c r="D79" i="37" s="1"/>
  <c r="AL43" i="38"/>
  <c r="C31" i="37" s="1"/>
  <c r="AL93" i="39"/>
  <c r="G81" i="37" s="1"/>
  <c r="AL70" i="39"/>
  <c r="G58" i="37" s="1"/>
  <c r="AL75" i="33"/>
  <c r="H63" i="37" s="1"/>
  <c r="AL64" i="34"/>
  <c r="F52" i="37" s="1"/>
  <c r="AL49" i="34"/>
  <c r="F37" i="37" s="1"/>
  <c r="AL88" i="34"/>
  <c r="F76" i="37" s="1"/>
  <c r="AL61" i="34"/>
  <c r="F49" i="37" s="1"/>
  <c r="AL29" i="34"/>
  <c r="F17" i="37" s="1"/>
  <c r="AL50" i="34"/>
  <c r="F38" i="37" s="1"/>
  <c r="AL87" i="35"/>
  <c r="D75" i="37" s="1"/>
  <c r="AL76" i="35"/>
  <c r="D64" i="37" s="1"/>
  <c r="AL49" i="38"/>
  <c r="C37" i="37" s="1"/>
  <c r="AL20" i="38"/>
  <c r="C8" i="37" s="1"/>
  <c r="AL21" i="38"/>
  <c r="C9" i="37" s="1"/>
  <c r="AL48" i="32"/>
  <c r="I36" i="37" s="1"/>
  <c r="AL57" i="32"/>
  <c r="I45" i="37" s="1"/>
  <c r="AL58" i="32"/>
  <c r="I46" i="37" s="1"/>
  <c r="AL67" i="32"/>
  <c r="I55" i="37" s="1"/>
  <c r="AL52" i="33"/>
  <c r="H40" i="37" s="1"/>
  <c r="AL27" i="33"/>
  <c r="H15" i="37" s="1"/>
  <c r="AL90" i="33"/>
  <c r="H78" i="37" s="1"/>
  <c r="AL30" i="33"/>
  <c r="H18" i="37" s="1"/>
  <c r="AL92" i="33"/>
  <c r="H80" i="37" s="1"/>
  <c r="AL91" i="33"/>
  <c r="H79" i="37" s="1"/>
  <c r="AL36" i="33"/>
  <c r="H24" i="37" s="1"/>
  <c r="AL81" i="34"/>
  <c r="F69" i="37" s="1"/>
  <c r="AL67" i="35"/>
  <c r="D55" i="37" s="1"/>
  <c r="AL85" i="35"/>
  <c r="D73" i="37" s="1"/>
  <c r="AL52" i="35"/>
  <c r="D40" i="37" s="1"/>
  <c r="AL24" i="38"/>
  <c r="C12" i="37" s="1"/>
  <c r="AL74" i="38"/>
  <c r="C62" i="37" s="1"/>
  <c r="AL76" i="38"/>
  <c r="C64" i="37" s="1"/>
  <c r="AL38" i="39"/>
  <c r="G26" i="37" s="1"/>
  <c r="AL46" i="39"/>
  <c r="G34" i="37" s="1"/>
  <c r="AL71" i="39"/>
  <c r="G59" i="37" s="1"/>
  <c r="AL75" i="39"/>
  <c r="G63" i="37" s="1"/>
  <c r="AH79" i="39"/>
  <c r="AL79" i="39" s="1"/>
  <c r="G67" i="37" s="1"/>
  <c r="AL51" i="39"/>
  <c r="G39" i="37" s="1"/>
  <c r="AL28" i="39"/>
  <c r="G16" i="37" s="1"/>
  <c r="AL33" i="39"/>
  <c r="G21" i="37" s="1"/>
  <c r="AL41" i="39"/>
  <c r="G29" i="37" s="1"/>
  <c r="AL66" i="39"/>
  <c r="G54" i="37" s="1"/>
  <c r="AH80" i="39"/>
  <c r="AL80" i="39" s="1"/>
  <c r="G68" i="37" s="1"/>
  <c r="AL91" i="39"/>
  <c r="G79" i="37" s="1"/>
  <c r="AL53" i="39"/>
  <c r="G41" i="37" s="1"/>
  <c r="AL36" i="39"/>
  <c r="G24" i="37" s="1"/>
  <c r="AH70" i="33"/>
  <c r="AL70" i="33" s="1"/>
  <c r="H58" i="37" s="1"/>
  <c r="J96" i="37"/>
  <c r="AL14" i="32"/>
  <c r="I2" i="37" s="1"/>
  <c r="AL53" i="32"/>
  <c r="I41" i="37" s="1"/>
  <c r="AL88" i="32"/>
  <c r="I76" i="37" s="1"/>
  <c r="AL86" i="38"/>
  <c r="C74" i="37" s="1"/>
  <c r="AL48" i="39"/>
  <c r="G36" i="37" s="1"/>
  <c r="AL26" i="39"/>
  <c r="G14" i="37" s="1"/>
  <c r="AL89" i="33"/>
  <c r="H77" i="37" s="1"/>
  <c r="AL16" i="32"/>
  <c r="I4" i="37" s="1"/>
  <c r="AL17" i="33"/>
  <c r="H5" i="37" s="1"/>
  <c r="AL22" i="33"/>
  <c r="H10" i="37" s="1"/>
  <c r="AL21" i="33"/>
  <c r="H9" i="37" s="1"/>
  <c r="AL61" i="33"/>
  <c r="H49" i="37" s="1"/>
  <c r="AL25" i="35"/>
  <c r="D13" i="37" s="1"/>
  <c r="AL32" i="38"/>
  <c r="C20" i="37" s="1"/>
  <c r="AL66" i="32"/>
  <c r="I54" i="37" s="1"/>
  <c r="AL42" i="32"/>
  <c r="I30" i="37" s="1"/>
  <c r="AL55" i="34"/>
  <c r="F43" i="37" s="1"/>
  <c r="AH80" i="33"/>
  <c r="AL80" i="33" s="1"/>
  <c r="H68" i="37" s="1"/>
  <c r="AL60" i="39"/>
  <c r="G48" i="37" s="1"/>
  <c r="I7" i="50"/>
  <c r="W6" i="37"/>
  <c r="AL34" i="39"/>
  <c r="G22" i="37" s="1"/>
  <c r="W5" i="37"/>
  <c r="AL74" i="34"/>
  <c r="F62" i="37" s="1"/>
  <c r="AL66" i="34"/>
  <c r="F54" i="37" s="1"/>
  <c r="AL62" i="34"/>
  <c r="F50" i="37" s="1"/>
  <c r="AL43" i="32"/>
  <c r="I31" i="37" s="1"/>
  <c r="AL82" i="34"/>
  <c r="F70" i="37" s="1"/>
  <c r="AL36" i="34"/>
  <c r="F24" i="37" s="1"/>
  <c r="AL14" i="39"/>
  <c r="G2" i="37" s="1"/>
  <c r="AL28" i="33"/>
  <c r="H16" i="37" s="1"/>
  <c r="AL71" i="34"/>
  <c r="F59" i="37" s="1"/>
  <c r="AH80" i="38"/>
  <c r="AL80" i="38" s="1"/>
  <c r="AH18" i="38"/>
  <c r="AL18" i="38" s="1"/>
  <c r="C6" i="37" s="1"/>
  <c r="AL14" i="35"/>
  <c r="D2" i="37" s="1"/>
  <c r="AL15" i="34"/>
  <c r="F3" i="37" s="1"/>
  <c r="AL14" i="34"/>
  <c r="F2" i="37" s="1"/>
  <c r="AH26" i="34"/>
  <c r="AL26" i="34" s="1"/>
  <c r="AL52" i="34"/>
  <c r="F40" i="37" s="1"/>
  <c r="AL37" i="34"/>
  <c r="F25" i="37" s="1"/>
  <c r="AL35" i="34"/>
  <c r="F23" i="37" s="1"/>
  <c r="AL24" i="34"/>
  <c r="AL56" i="34"/>
  <c r="F44" i="37" s="1"/>
  <c r="AL51" i="34"/>
  <c r="F39" i="37" s="1"/>
  <c r="AL48" i="34"/>
  <c r="F36" i="37" s="1"/>
  <c r="AL33" i="34"/>
  <c r="AL38" i="34"/>
  <c r="F26" i="37" s="1"/>
  <c r="AH31" i="33"/>
  <c r="AL31" i="33" s="1"/>
  <c r="AL47" i="33"/>
  <c r="H35" i="37" s="1"/>
  <c r="AL51" i="33"/>
  <c r="H39" i="37" s="1"/>
  <c r="AL26" i="33"/>
  <c r="AL25" i="33"/>
  <c r="H13" i="37" s="1"/>
  <c r="AL38" i="33"/>
  <c r="AL64" i="32"/>
  <c r="I52" i="37" s="1"/>
  <c r="AL69" i="32"/>
  <c r="I57" i="37" s="1"/>
  <c r="AL40" i="32"/>
  <c r="I28" i="37" s="1"/>
  <c r="AL51" i="32"/>
  <c r="I39" i="37" s="1"/>
  <c r="AL76" i="32"/>
  <c r="I64" i="37" s="1"/>
  <c r="AL59" i="32"/>
  <c r="I47" i="37" s="1"/>
  <c r="I8" i="50" l="1"/>
  <c r="I9" i="50"/>
  <c r="AO19" i="35"/>
  <c r="P6" i="37" s="1"/>
  <c r="AO19" i="38"/>
  <c r="B7" i="50" s="1"/>
  <c r="J137" i="37"/>
  <c r="AN23" i="40"/>
  <c r="AP23" i="40" s="1"/>
  <c r="I4" i="50"/>
  <c r="AO21" i="35"/>
  <c r="P8" i="37" s="1"/>
  <c r="J134" i="37"/>
  <c r="J87" i="37"/>
  <c r="J158" i="37"/>
  <c r="J88" i="37"/>
  <c r="J152" i="37"/>
  <c r="J98" i="37"/>
  <c r="J123" i="37"/>
  <c r="J117" i="37"/>
  <c r="J151" i="37"/>
  <c r="W2" i="37"/>
  <c r="J109" i="37"/>
  <c r="J116" i="37"/>
  <c r="AO21" i="39"/>
  <c r="T8" i="37" s="1"/>
  <c r="AO17" i="38"/>
  <c r="O4" i="37" s="1"/>
  <c r="AO18" i="32"/>
  <c r="V5" i="37" s="1"/>
  <c r="AO20" i="35"/>
  <c r="C8" i="50" s="1"/>
  <c r="AO19" i="39"/>
  <c r="T6" i="37" s="1"/>
  <c r="AO23" i="40"/>
  <c r="AO20" i="39"/>
  <c r="F8" i="50" s="1"/>
  <c r="J104" i="37"/>
  <c r="J102" i="37"/>
  <c r="J107" i="37"/>
  <c r="J125" i="37"/>
  <c r="J160" i="37"/>
  <c r="J85" i="37"/>
  <c r="J132" i="37"/>
  <c r="J130" i="37"/>
  <c r="J135" i="37"/>
  <c r="J153" i="37"/>
  <c r="J140" i="37"/>
  <c r="J122" i="37"/>
  <c r="J111" i="37"/>
  <c r="J97" i="37"/>
  <c r="J161" i="37"/>
  <c r="J94" i="37"/>
  <c r="J147" i="37"/>
  <c r="J120" i="37"/>
  <c r="J118" i="37"/>
  <c r="J139" i="37"/>
  <c r="J141" i="37"/>
  <c r="J126" i="37"/>
  <c r="J149" i="37"/>
  <c r="J148" i="37"/>
  <c r="J146" i="37"/>
  <c r="J89" i="37"/>
  <c r="J92" i="37"/>
  <c r="J156" i="37"/>
  <c r="J138" i="37"/>
  <c r="J127" i="37"/>
  <c r="J113" i="37"/>
  <c r="J162" i="37"/>
  <c r="J110" i="37"/>
  <c r="J101" i="37"/>
  <c r="J136" i="37"/>
  <c r="J150" i="37"/>
  <c r="J155" i="37"/>
  <c r="J157" i="37"/>
  <c r="J99" i="37"/>
  <c r="J163" i="37"/>
  <c r="J164" i="37"/>
  <c r="J103" i="37"/>
  <c r="J105" i="37"/>
  <c r="J108" i="37"/>
  <c r="J90" i="37"/>
  <c r="J154" i="37"/>
  <c r="J143" i="37"/>
  <c r="J129" i="37"/>
  <c r="J112" i="37"/>
  <c r="J142" i="37"/>
  <c r="J133" i="37"/>
  <c r="J91" i="37"/>
  <c r="J100" i="37"/>
  <c r="J124" i="37"/>
  <c r="J145" i="37"/>
  <c r="J93" i="37"/>
  <c r="J114" i="37"/>
  <c r="J106" i="37"/>
  <c r="J144" i="37"/>
  <c r="J165" i="37"/>
  <c r="J128" i="37"/>
  <c r="J119" i="37"/>
  <c r="J95" i="37"/>
  <c r="J115" i="37"/>
  <c r="J86" i="37"/>
  <c r="J131" i="37"/>
  <c r="J121" i="37"/>
  <c r="J159" i="37"/>
  <c r="AO17" i="35"/>
  <c r="P4" i="37" s="1"/>
  <c r="AO16" i="39"/>
  <c r="F4" i="50" s="1"/>
  <c r="I5" i="50"/>
  <c r="AO18" i="33"/>
  <c r="G6" i="50" s="1"/>
  <c r="AO16" i="35"/>
  <c r="P3" i="37" s="1"/>
  <c r="AO18" i="38"/>
  <c r="B6" i="50" s="1"/>
  <c r="AO20" i="32"/>
  <c r="H8" i="50" s="1"/>
  <c r="AO17" i="33"/>
  <c r="G5" i="50" s="1"/>
  <c r="AO17" i="39"/>
  <c r="T4" i="37" s="1"/>
  <c r="B5" i="50"/>
  <c r="F7" i="50"/>
  <c r="AO16" i="32"/>
  <c r="AO18" i="34"/>
  <c r="AO19" i="34"/>
  <c r="G87" i="37"/>
  <c r="G153" i="37"/>
  <c r="G137" i="37"/>
  <c r="G121" i="37"/>
  <c r="G105" i="37"/>
  <c r="G89" i="37"/>
  <c r="G152" i="37"/>
  <c r="G136" i="37"/>
  <c r="G120" i="37"/>
  <c r="G104" i="37"/>
  <c r="G88" i="37"/>
  <c r="G155" i="37"/>
  <c r="G139" i="37"/>
  <c r="G123" i="37"/>
  <c r="G107" i="37"/>
  <c r="G91" i="37"/>
  <c r="G150" i="37"/>
  <c r="G134" i="37"/>
  <c r="G118" i="37"/>
  <c r="G102" i="37"/>
  <c r="G165" i="37"/>
  <c r="G149" i="37"/>
  <c r="G133" i="37"/>
  <c r="G117" i="37"/>
  <c r="G101" i="37"/>
  <c r="G164" i="37"/>
  <c r="G148" i="37"/>
  <c r="G132" i="37"/>
  <c r="G116" i="37"/>
  <c r="G100" i="37"/>
  <c r="G85" i="37"/>
  <c r="G151" i="37"/>
  <c r="G135" i="37"/>
  <c r="G119" i="37"/>
  <c r="G103" i="37"/>
  <c r="G162" i="37"/>
  <c r="G146" i="37"/>
  <c r="G130" i="37"/>
  <c r="G114" i="37"/>
  <c r="G98" i="37"/>
  <c r="G161" i="37"/>
  <c r="G145" i="37"/>
  <c r="G129" i="37"/>
  <c r="G113" i="37"/>
  <c r="G97" i="37"/>
  <c r="G160" i="37"/>
  <c r="G144" i="37"/>
  <c r="G128" i="37"/>
  <c r="G112" i="37"/>
  <c r="G96" i="37"/>
  <c r="G163" i="37"/>
  <c r="G147" i="37"/>
  <c r="G131" i="37"/>
  <c r="G115" i="37"/>
  <c r="G99" i="37"/>
  <c r="G158" i="37"/>
  <c r="G142" i="37"/>
  <c r="G126" i="37"/>
  <c r="G110" i="37"/>
  <c r="G94" i="37"/>
  <c r="G86" i="37"/>
  <c r="G157" i="37"/>
  <c r="G141" i="37"/>
  <c r="G125" i="37"/>
  <c r="G109" i="37"/>
  <c r="G93" i="37"/>
  <c r="G156" i="37"/>
  <c r="G140" i="37"/>
  <c r="G124" i="37"/>
  <c r="G108" i="37"/>
  <c r="G92" i="37"/>
  <c r="G159" i="37"/>
  <c r="G143" i="37"/>
  <c r="G127" i="37"/>
  <c r="G111" i="37"/>
  <c r="G95" i="37"/>
  <c r="G154" i="37"/>
  <c r="G138" i="37"/>
  <c r="G122" i="37"/>
  <c r="G106" i="37"/>
  <c r="G90" i="37"/>
  <c r="AP25" i="32"/>
  <c r="AO16" i="33"/>
  <c r="AO20" i="34"/>
  <c r="AO19" i="32"/>
  <c r="AO33" i="39"/>
  <c r="AO30" i="39"/>
  <c r="AO28" i="39"/>
  <c r="AO27" i="39"/>
  <c r="AP25" i="39"/>
  <c r="AO24" i="39"/>
  <c r="AO15" i="39"/>
  <c r="F3" i="50" s="1"/>
  <c r="AP31" i="39"/>
  <c r="AP29" i="39"/>
  <c r="AP26" i="39"/>
  <c r="AO25" i="39"/>
  <c r="AP32" i="39"/>
  <c r="AO31" i="39"/>
  <c r="AO29" i="39"/>
  <c r="AO26" i="39"/>
  <c r="AP33" i="39"/>
  <c r="AO32" i="39"/>
  <c r="AP30" i="39"/>
  <c r="AP28" i="39"/>
  <c r="AP27" i="39"/>
  <c r="AP24" i="39"/>
  <c r="AO18" i="39"/>
  <c r="AO21" i="38"/>
  <c r="C68" i="37"/>
  <c r="C103" i="37" s="1"/>
  <c r="AP27" i="32"/>
  <c r="AP28" i="32"/>
  <c r="AO21" i="32"/>
  <c r="AO15" i="32"/>
  <c r="AO26" i="32"/>
  <c r="I158" i="37"/>
  <c r="AO20" i="33"/>
  <c r="H19" i="37"/>
  <c r="I103" i="37"/>
  <c r="I138" i="37"/>
  <c r="I105" i="37"/>
  <c r="I140" i="37"/>
  <c r="I90" i="37"/>
  <c r="I117" i="37"/>
  <c r="I146" i="37"/>
  <c r="I137" i="37"/>
  <c r="I125" i="37"/>
  <c r="I148" i="37"/>
  <c r="I104" i="37"/>
  <c r="I93" i="37"/>
  <c r="I111" i="37"/>
  <c r="I128" i="37"/>
  <c r="I160" i="37"/>
  <c r="I106" i="37"/>
  <c r="I99" i="37"/>
  <c r="I135" i="37"/>
  <c r="I134" i="37"/>
  <c r="I161" i="37"/>
  <c r="AO16" i="34"/>
  <c r="F14" i="37"/>
  <c r="D163" i="37"/>
  <c r="D157" i="37"/>
  <c r="D100" i="37"/>
  <c r="D115" i="37"/>
  <c r="D158" i="37"/>
  <c r="D150" i="37"/>
  <c r="D142" i="37"/>
  <c r="D134" i="37"/>
  <c r="D126" i="37"/>
  <c r="D118" i="37"/>
  <c r="D110" i="37"/>
  <c r="D137" i="37"/>
  <c r="D159" i="37"/>
  <c r="D127" i="37"/>
  <c r="D105" i="37"/>
  <c r="D97" i="37"/>
  <c r="D89" i="37"/>
  <c r="D88" i="37"/>
  <c r="D155" i="37"/>
  <c r="D92" i="37"/>
  <c r="D131" i="37"/>
  <c r="D106" i="37"/>
  <c r="D117" i="37"/>
  <c r="D160" i="37"/>
  <c r="D152" i="37"/>
  <c r="D144" i="37"/>
  <c r="D136" i="37"/>
  <c r="D128" i="37"/>
  <c r="D120" i="37"/>
  <c r="D112" i="37"/>
  <c r="D145" i="37"/>
  <c r="D113" i="37"/>
  <c r="D135" i="37"/>
  <c r="D107" i="37"/>
  <c r="D99" i="37"/>
  <c r="D91" i="37"/>
  <c r="D165" i="37"/>
  <c r="D102" i="37"/>
  <c r="D109" i="37"/>
  <c r="D149" i="37"/>
  <c r="D90" i="37"/>
  <c r="D164" i="37"/>
  <c r="D148" i="37"/>
  <c r="D132" i="37"/>
  <c r="D116" i="37"/>
  <c r="D129" i="37"/>
  <c r="D119" i="37"/>
  <c r="D95" i="37"/>
  <c r="D96" i="37"/>
  <c r="D86" i="37"/>
  <c r="D162" i="37"/>
  <c r="D146" i="37"/>
  <c r="D130" i="37"/>
  <c r="D114" i="37"/>
  <c r="D121" i="37"/>
  <c r="D111" i="37"/>
  <c r="D93" i="37"/>
  <c r="D108" i="37"/>
  <c r="D156" i="37"/>
  <c r="D140" i="37"/>
  <c r="D124" i="37"/>
  <c r="D161" i="37"/>
  <c r="D151" i="37"/>
  <c r="D103" i="37"/>
  <c r="D87" i="37"/>
  <c r="D139" i="37"/>
  <c r="D141" i="37"/>
  <c r="D147" i="37"/>
  <c r="D98" i="37"/>
  <c r="D133" i="37"/>
  <c r="D154" i="37"/>
  <c r="D138" i="37"/>
  <c r="D122" i="37"/>
  <c r="D153" i="37"/>
  <c r="D143" i="37"/>
  <c r="D101" i="37"/>
  <c r="D85" i="37"/>
  <c r="D104" i="37"/>
  <c r="D123" i="37"/>
  <c r="D94" i="37"/>
  <c r="D125" i="37"/>
  <c r="I147" i="37"/>
  <c r="I149" i="37"/>
  <c r="I154" i="37"/>
  <c r="I157" i="37"/>
  <c r="I156" i="37"/>
  <c r="I113" i="37"/>
  <c r="I119" i="37"/>
  <c r="I162" i="37"/>
  <c r="I131" i="37"/>
  <c r="I127" i="37"/>
  <c r="I164" i="37"/>
  <c r="I98" i="37"/>
  <c r="I101" i="37"/>
  <c r="I143" i="37"/>
  <c r="I136" i="37"/>
  <c r="I102" i="37"/>
  <c r="I145" i="37"/>
  <c r="I107" i="37"/>
  <c r="I110" i="37"/>
  <c r="I142" i="37"/>
  <c r="I96" i="37"/>
  <c r="AO27" i="32"/>
  <c r="AP33" i="32"/>
  <c r="AO30" i="32"/>
  <c r="AP30" i="32"/>
  <c r="AO32" i="32"/>
  <c r="AO31" i="32"/>
  <c r="AO17" i="32"/>
  <c r="AO19" i="33"/>
  <c r="H26" i="37"/>
  <c r="I151" i="37"/>
  <c r="I92" i="37"/>
  <c r="I159" i="37"/>
  <c r="I86" i="37"/>
  <c r="I100" i="37"/>
  <c r="I114" i="37"/>
  <c r="I123" i="37"/>
  <c r="I129" i="37"/>
  <c r="I116" i="37"/>
  <c r="I139" i="37"/>
  <c r="I108" i="37"/>
  <c r="I109" i="37"/>
  <c r="I112" i="37"/>
  <c r="I144" i="37"/>
  <c r="I121" i="37"/>
  <c r="I163" i="37"/>
  <c r="I133" i="37"/>
  <c r="I118" i="37"/>
  <c r="I150" i="37"/>
  <c r="I155" i="37"/>
  <c r="AP31" i="33"/>
  <c r="H14" i="37"/>
  <c r="AO25" i="32"/>
  <c r="AO28" i="32"/>
  <c r="AP29" i="32"/>
  <c r="AO29" i="32"/>
  <c r="AO17" i="34"/>
  <c r="F21" i="37"/>
  <c r="AO25" i="34"/>
  <c r="F12" i="37"/>
  <c r="AP31" i="32"/>
  <c r="AO24" i="32"/>
  <c r="AP24" i="32"/>
  <c r="AP26" i="32"/>
  <c r="AO33" i="32"/>
  <c r="AP32" i="32"/>
  <c r="I87" i="37"/>
  <c r="I122" i="37"/>
  <c r="I89" i="37"/>
  <c r="I124" i="37"/>
  <c r="I115" i="37"/>
  <c r="I95" i="37"/>
  <c r="I130" i="37"/>
  <c r="I94" i="37"/>
  <c r="I97" i="37"/>
  <c r="I132" i="37"/>
  <c r="I153" i="37"/>
  <c r="I85" i="37"/>
  <c r="I141" i="37"/>
  <c r="I120" i="37"/>
  <c r="I152" i="37"/>
  <c r="I88" i="37"/>
  <c r="I91" i="37"/>
  <c r="I165" i="37"/>
  <c r="I126" i="37"/>
  <c r="AO28" i="38"/>
  <c r="AO16" i="38"/>
  <c r="AO29" i="38"/>
  <c r="AO24" i="38"/>
  <c r="AO20" i="38"/>
  <c r="AO32" i="38"/>
  <c r="AP29" i="38"/>
  <c r="AP25" i="38"/>
  <c r="AP27" i="38"/>
  <c r="AP33" i="38"/>
  <c r="AP32" i="38"/>
  <c r="AP31" i="38"/>
  <c r="AO27" i="38"/>
  <c r="AP30" i="38"/>
  <c r="AP26" i="38"/>
  <c r="AO30" i="38"/>
  <c r="AP24" i="38"/>
  <c r="AO31" i="38"/>
  <c r="AO33" i="38"/>
  <c r="AP28" i="38"/>
  <c r="AO26" i="38"/>
  <c r="AO25" i="38"/>
  <c r="AO15" i="38"/>
  <c r="B3" i="50" s="1"/>
  <c r="AP32" i="35"/>
  <c r="AO31" i="35"/>
  <c r="AO29" i="35"/>
  <c r="AO26" i="35"/>
  <c r="AO33" i="35"/>
  <c r="AO30" i="35"/>
  <c r="AO28" i="35"/>
  <c r="AO27" i="35"/>
  <c r="AP25" i="35"/>
  <c r="AO24" i="35"/>
  <c r="AP31" i="35"/>
  <c r="AP29" i="35"/>
  <c r="AP26" i="35"/>
  <c r="AO25" i="35"/>
  <c r="AP27" i="35"/>
  <c r="AP28" i="35"/>
  <c r="AO18" i="35"/>
  <c r="AP24" i="35"/>
  <c r="AO15" i="35"/>
  <c r="C3" i="50" s="1"/>
  <c r="AP33" i="35"/>
  <c r="AO32" i="35"/>
  <c r="AP30" i="35"/>
  <c r="AP28" i="34"/>
  <c r="AO29" i="34"/>
  <c r="AP24" i="34"/>
  <c r="AP32" i="34"/>
  <c r="AP25" i="34"/>
  <c r="AP29" i="34"/>
  <c r="AO26" i="34"/>
  <c r="AO30" i="34"/>
  <c r="AP26" i="34"/>
  <c r="AO31" i="34"/>
  <c r="AO27" i="34"/>
  <c r="AP27" i="34"/>
  <c r="AO33" i="34"/>
  <c r="AP31" i="34"/>
  <c r="AO21" i="34"/>
  <c r="AP33" i="34"/>
  <c r="AO15" i="34"/>
  <c r="E3" i="50" s="1"/>
  <c r="AO24" i="34"/>
  <c r="AO32" i="34"/>
  <c r="AO28" i="34"/>
  <c r="AP30" i="34"/>
  <c r="AP32" i="33"/>
  <c r="AO27" i="33"/>
  <c r="AO25" i="33"/>
  <c r="AO31" i="33"/>
  <c r="AO21" i="33"/>
  <c r="AP33" i="33"/>
  <c r="AO32" i="33"/>
  <c r="AO15" i="33"/>
  <c r="G3" i="50" s="1"/>
  <c r="AO28" i="33"/>
  <c r="AP26" i="33"/>
  <c r="AP24" i="33"/>
  <c r="AO26" i="33"/>
  <c r="AO29" i="33"/>
  <c r="AO24" i="33"/>
  <c r="AO30" i="33"/>
  <c r="AP29" i="33"/>
  <c r="AP28" i="33"/>
  <c r="AP27" i="33"/>
  <c r="AP30" i="33"/>
  <c r="AP25" i="33"/>
  <c r="AO33" i="33"/>
  <c r="C7" i="50" l="1"/>
  <c r="C5" i="50"/>
  <c r="O6" i="37"/>
  <c r="H6" i="50"/>
  <c r="T7" i="37"/>
  <c r="P7" i="37"/>
  <c r="C9" i="50"/>
  <c r="O5" i="37"/>
  <c r="F9" i="50"/>
  <c r="T3" i="37"/>
  <c r="U5" i="37"/>
  <c r="C4" i="50"/>
  <c r="U4" i="37"/>
  <c r="F5" i="50"/>
  <c r="V7" i="37"/>
  <c r="O3" i="37"/>
  <c r="B4" i="50"/>
  <c r="T5" i="37"/>
  <c r="F6" i="50"/>
  <c r="U3" i="37"/>
  <c r="G4" i="50"/>
  <c r="R5" i="37"/>
  <c r="E6" i="50"/>
  <c r="O7" i="37"/>
  <c r="B8" i="50"/>
  <c r="R8" i="37"/>
  <c r="E9" i="50"/>
  <c r="P5" i="37"/>
  <c r="C6" i="50"/>
  <c r="R4" i="37"/>
  <c r="E5" i="50"/>
  <c r="U6" i="37"/>
  <c r="G7" i="50"/>
  <c r="AN23" i="32"/>
  <c r="AO23" i="32" s="1"/>
  <c r="H3" i="50"/>
  <c r="V6" i="37"/>
  <c r="H7" i="50"/>
  <c r="R3" i="37"/>
  <c r="E4" i="50"/>
  <c r="V3" i="37"/>
  <c r="H4" i="50"/>
  <c r="U8" i="37"/>
  <c r="G9" i="50"/>
  <c r="V4" i="37"/>
  <c r="H5" i="50"/>
  <c r="U7" i="37"/>
  <c r="G8" i="50"/>
  <c r="V8" i="37"/>
  <c r="H9" i="50"/>
  <c r="O8" i="37"/>
  <c r="B9" i="50"/>
  <c r="R7" i="37"/>
  <c r="E8" i="50"/>
  <c r="R6" i="37"/>
  <c r="E7" i="50"/>
  <c r="C152" i="37"/>
  <c r="AN23" i="39"/>
  <c r="AP23" i="39" s="1"/>
  <c r="T2" i="37"/>
  <c r="C126" i="37"/>
  <c r="C99" i="37"/>
  <c r="C114" i="37"/>
  <c r="C137" i="37"/>
  <c r="C98" i="37"/>
  <c r="C158" i="37"/>
  <c r="H145" i="37"/>
  <c r="C117" i="37"/>
  <c r="C123" i="37"/>
  <c r="C96" i="37"/>
  <c r="C120" i="37"/>
  <c r="C88" i="37"/>
  <c r="C115" i="37"/>
  <c r="C149" i="37"/>
  <c r="C155" i="37"/>
  <c r="C116" i="37"/>
  <c r="C108" i="37"/>
  <c r="C119" i="37"/>
  <c r="C159" i="37"/>
  <c r="C89" i="37"/>
  <c r="C148" i="37"/>
  <c r="C97" i="37"/>
  <c r="C129" i="37"/>
  <c r="C145" i="37"/>
  <c r="C138" i="37"/>
  <c r="C132" i="37"/>
  <c r="C140" i="37"/>
  <c r="C151" i="37"/>
  <c r="C113" i="37"/>
  <c r="C157" i="37"/>
  <c r="C102" i="37"/>
  <c r="C109" i="37"/>
  <c r="C141" i="37"/>
  <c r="C95" i="37"/>
  <c r="C161" i="37"/>
  <c r="C85" i="37"/>
  <c r="C118" i="37"/>
  <c r="C122" i="37"/>
  <c r="C127" i="37"/>
  <c r="C104" i="37"/>
  <c r="C134" i="37"/>
  <c r="C90" i="37"/>
  <c r="C86" i="37"/>
  <c r="C111" i="37"/>
  <c r="C142" i="37"/>
  <c r="C162" i="37"/>
  <c r="C147" i="37"/>
  <c r="C106" i="37"/>
  <c r="C128" i="37"/>
  <c r="C124" i="37"/>
  <c r="C93" i="37"/>
  <c r="C121" i="37"/>
  <c r="C107" i="37"/>
  <c r="C160" i="37"/>
  <c r="C133" i="37"/>
  <c r="C135" i="37"/>
  <c r="C163" i="37"/>
  <c r="C87" i="37"/>
  <c r="C144" i="37"/>
  <c r="C156" i="37"/>
  <c r="AN23" i="38"/>
  <c r="AP23" i="38" s="1"/>
  <c r="O2" i="37"/>
  <c r="C130" i="37"/>
  <c r="C164" i="37"/>
  <c r="C153" i="37"/>
  <c r="C131" i="37"/>
  <c r="C92" i="37"/>
  <c r="C125" i="37"/>
  <c r="C154" i="37"/>
  <c r="C112" i="37"/>
  <c r="C143" i="37"/>
  <c r="C150" i="37"/>
  <c r="C136" i="37"/>
  <c r="C100" i="37"/>
  <c r="C165" i="37"/>
  <c r="C139" i="37"/>
  <c r="C110" i="37"/>
  <c r="C105" i="37"/>
  <c r="C94" i="37"/>
  <c r="C146" i="37"/>
  <c r="C91" i="37"/>
  <c r="C101" i="37"/>
  <c r="H139" i="37"/>
  <c r="H85" i="37"/>
  <c r="H151" i="37"/>
  <c r="H127" i="37"/>
  <c r="F144" i="37"/>
  <c r="H103" i="37"/>
  <c r="H99" i="37"/>
  <c r="H157" i="37"/>
  <c r="H158" i="37"/>
  <c r="H144" i="37"/>
  <c r="H87" i="37"/>
  <c r="H112" i="37"/>
  <c r="H115" i="37"/>
  <c r="H88" i="37"/>
  <c r="H90" i="37"/>
  <c r="H100" i="37"/>
  <c r="H152" i="37"/>
  <c r="H114" i="37"/>
  <c r="H154" i="37"/>
  <c r="H162" i="37"/>
  <c r="V2" i="37"/>
  <c r="AN23" i="34"/>
  <c r="R2" i="37"/>
  <c r="AN23" i="35"/>
  <c r="AP23" i="35" s="1"/>
  <c r="P2" i="37"/>
  <c r="H110" i="37"/>
  <c r="H91" i="37"/>
  <c r="H146" i="37"/>
  <c r="H116" i="37"/>
  <c r="H140" i="37"/>
  <c r="F155" i="37"/>
  <c r="F102" i="37"/>
  <c r="F141" i="37"/>
  <c r="F131" i="37"/>
  <c r="F92" i="37"/>
  <c r="F111" i="37"/>
  <c r="F162" i="37"/>
  <c r="F98" i="37"/>
  <c r="F105" i="37"/>
  <c r="F120" i="37"/>
  <c r="F115" i="37"/>
  <c r="F148" i="37"/>
  <c r="F121" i="37"/>
  <c r="F125" i="37"/>
  <c r="F143" i="37"/>
  <c r="F113" i="37"/>
  <c r="F151" i="37"/>
  <c r="F109" i="37"/>
  <c r="F163" i="37"/>
  <c r="F107" i="37"/>
  <c r="F160" i="37"/>
  <c r="H126" i="37"/>
  <c r="H94" i="37"/>
  <c r="H104" i="37"/>
  <c r="H106" i="37"/>
  <c r="H138" i="37"/>
  <c r="H89" i="37"/>
  <c r="H101" i="37"/>
  <c r="H102" i="37"/>
  <c r="H122" i="37"/>
  <c r="H130" i="37"/>
  <c r="H132" i="37"/>
  <c r="H163" i="37"/>
  <c r="H149" i="37"/>
  <c r="H105" i="37"/>
  <c r="H120" i="37"/>
  <c r="H93" i="37"/>
  <c r="F146" i="37"/>
  <c r="F94" i="37"/>
  <c r="F165" i="37"/>
  <c r="F122" i="37"/>
  <c r="F93" i="37"/>
  <c r="F97" i="37"/>
  <c r="F139" i="37"/>
  <c r="F90" i="37"/>
  <c r="F156" i="37"/>
  <c r="F152" i="37"/>
  <c r="F104" i="37"/>
  <c r="F110" i="37"/>
  <c r="F153" i="37"/>
  <c r="F116" i="37"/>
  <c r="F149" i="37"/>
  <c r="F129" i="37"/>
  <c r="F119" i="37"/>
  <c r="F95" i="37"/>
  <c r="F150" i="37"/>
  <c r="F112" i="37"/>
  <c r="H160" i="37"/>
  <c r="H118" i="37"/>
  <c r="H124" i="37"/>
  <c r="H148" i="37"/>
  <c r="H164" i="37"/>
  <c r="H136" i="37"/>
  <c r="H165" i="37"/>
  <c r="H156" i="37"/>
  <c r="H97" i="37"/>
  <c r="H128" i="37"/>
  <c r="AN23" i="33"/>
  <c r="AP23" i="33" s="1"/>
  <c r="U2" i="37"/>
  <c r="H131" i="37"/>
  <c r="H153" i="37"/>
  <c r="H135" i="37"/>
  <c r="H129" i="37"/>
  <c r="H117" i="37"/>
  <c r="F123" i="37"/>
  <c r="F86" i="37"/>
  <c r="F136" i="37"/>
  <c r="F108" i="37"/>
  <c r="F157" i="37"/>
  <c r="F159" i="37"/>
  <c r="F130" i="37"/>
  <c r="F101" i="37"/>
  <c r="F118" i="37"/>
  <c r="F147" i="37"/>
  <c r="F96" i="37"/>
  <c r="F134" i="37"/>
  <c r="F135" i="37"/>
  <c r="F87" i="37"/>
  <c r="F140" i="37"/>
  <c r="F145" i="37"/>
  <c r="F85" i="37"/>
  <c r="F127" i="37"/>
  <c r="F133" i="37"/>
  <c r="F128" i="37"/>
  <c r="H155" i="37"/>
  <c r="H141" i="37"/>
  <c r="H142" i="37"/>
  <c r="H107" i="37"/>
  <c r="H159" i="37"/>
  <c r="H147" i="37"/>
  <c r="H133" i="37"/>
  <c r="H134" i="37"/>
  <c r="H161" i="37"/>
  <c r="H143" i="37"/>
  <c r="H95" i="37"/>
  <c r="H86" i="37"/>
  <c r="H96" i="37"/>
  <c r="H98" i="37"/>
  <c r="H108" i="37"/>
  <c r="F114" i="37"/>
  <c r="F158" i="37"/>
  <c r="F154" i="37"/>
  <c r="F100" i="37"/>
  <c r="F103" i="37"/>
  <c r="F137" i="37"/>
  <c r="F106" i="37"/>
  <c r="F132" i="37"/>
  <c r="F91" i="37"/>
  <c r="F138" i="37"/>
  <c r="F88" i="37"/>
  <c r="F117" i="37"/>
  <c r="F142" i="37"/>
  <c r="F164" i="37"/>
  <c r="F99" i="37"/>
  <c r="F161" i="37"/>
  <c r="F126" i="37"/>
  <c r="F89" i="37"/>
  <c r="F124" i="37"/>
  <c r="H123" i="37"/>
  <c r="H137" i="37"/>
  <c r="H121" i="37"/>
  <c r="H119" i="37"/>
  <c r="H109" i="37"/>
  <c r="H150" i="37"/>
  <c r="H125" i="37"/>
  <c r="H113" i="37"/>
  <c r="H111" i="37"/>
  <c r="H92" i="37"/>
  <c r="AO23" i="33"/>
  <c r="AO23" i="38" l="1"/>
  <c r="AP23" i="32"/>
  <c r="AO23" i="35"/>
  <c r="AO23" i="39"/>
  <c r="AP23" i="34"/>
  <c r="AO23" i="34"/>
  <c r="U23" i="30" l="1"/>
  <c r="U24" i="30"/>
  <c r="U25" i="30"/>
  <c r="U26" i="30"/>
  <c r="U32" i="30"/>
  <c r="U33" i="30"/>
  <c r="U34" i="30"/>
  <c r="U35" i="30"/>
  <c r="U41" i="30"/>
  <c r="U42" i="30"/>
  <c r="U43" i="30"/>
  <c r="U44" i="30"/>
  <c r="U50" i="30"/>
  <c r="U51" i="30"/>
  <c r="U52" i="30"/>
  <c r="U53" i="30"/>
  <c r="U59" i="30"/>
  <c r="U60" i="30"/>
  <c r="U61" i="30"/>
  <c r="U62" i="30"/>
  <c r="U68" i="30"/>
  <c r="U69" i="30"/>
  <c r="U70" i="30"/>
  <c r="U71" i="30"/>
  <c r="U77" i="30"/>
  <c r="U78" i="30"/>
  <c r="U79" i="30"/>
  <c r="U80" i="30"/>
  <c r="U86" i="30"/>
  <c r="U87" i="30"/>
  <c r="U88" i="30"/>
  <c r="U89" i="30"/>
  <c r="U95" i="30"/>
  <c r="U96" i="30"/>
  <c r="U97" i="30"/>
  <c r="U98" i="30"/>
  <c r="U104" i="30"/>
  <c r="U105" i="30"/>
  <c r="U106" i="30"/>
  <c r="U107" i="30"/>
  <c r="U113" i="30"/>
  <c r="U114" i="30"/>
  <c r="U115" i="30"/>
  <c r="U116" i="30"/>
  <c r="U122" i="30"/>
  <c r="U123" i="30"/>
  <c r="U124" i="30"/>
  <c r="U125" i="30"/>
  <c r="U131" i="30"/>
  <c r="U132" i="30"/>
  <c r="U133" i="30"/>
  <c r="U134" i="30"/>
  <c r="U140" i="30"/>
  <c r="U141" i="30"/>
  <c r="U142" i="30"/>
  <c r="U143" i="30"/>
  <c r="U149" i="30"/>
  <c r="U150" i="30"/>
  <c r="U151" i="30"/>
  <c r="U152" i="30"/>
  <c r="U158" i="30"/>
  <c r="U159" i="30"/>
  <c r="U160" i="30"/>
  <c r="U161" i="30"/>
  <c r="U167" i="30"/>
  <c r="U168" i="30"/>
  <c r="U169" i="30"/>
  <c r="U170" i="30"/>
  <c r="U176" i="30"/>
  <c r="U177" i="30"/>
  <c r="U178" i="30"/>
  <c r="U179" i="30"/>
  <c r="U185" i="30"/>
  <c r="U186" i="30"/>
  <c r="U187" i="30"/>
  <c r="U188" i="30"/>
  <c r="U194" i="30"/>
  <c r="U195" i="30"/>
  <c r="U196" i="30"/>
  <c r="U197" i="30"/>
  <c r="U203" i="30"/>
  <c r="U204" i="30"/>
  <c r="U205" i="30"/>
  <c r="U206" i="30"/>
  <c r="U212" i="30"/>
  <c r="U213" i="30"/>
  <c r="U214" i="30"/>
  <c r="U215" i="30"/>
  <c r="U221" i="30"/>
  <c r="U222" i="30"/>
  <c r="U223" i="30"/>
  <c r="U224" i="30"/>
  <c r="U230" i="30"/>
  <c r="U231" i="30"/>
  <c r="U232" i="30"/>
  <c r="U233" i="30"/>
  <c r="U239" i="30"/>
  <c r="U240" i="30"/>
  <c r="U241" i="30"/>
  <c r="U242" i="30"/>
  <c r="U248" i="30"/>
  <c r="U249" i="30"/>
  <c r="U250" i="30"/>
  <c r="U251" i="30"/>
  <c r="U257" i="30"/>
  <c r="U258" i="30"/>
  <c r="U259" i="30"/>
  <c r="U260" i="30"/>
  <c r="U266" i="30"/>
  <c r="U267" i="30"/>
  <c r="U268" i="30"/>
  <c r="U269" i="30"/>
  <c r="U275" i="30"/>
  <c r="U276" i="30"/>
  <c r="U277" i="30"/>
  <c r="U278" i="30"/>
  <c r="U284" i="30"/>
  <c r="U285" i="30"/>
  <c r="U286" i="30"/>
  <c r="U287" i="30"/>
  <c r="U293" i="30"/>
  <c r="U294" i="30"/>
  <c r="U295" i="30"/>
  <c r="U296" i="30"/>
  <c r="U302" i="30"/>
  <c r="U303" i="30"/>
  <c r="U304" i="30"/>
  <c r="U305" i="30"/>
  <c r="U311" i="30"/>
  <c r="U312" i="30"/>
  <c r="U313" i="30"/>
  <c r="U314" i="30"/>
  <c r="U320" i="30"/>
  <c r="U321" i="30"/>
  <c r="U322" i="30"/>
  <c r="U323" i="30"/>
  <c r="U329" i="30"/>
  <c r="U330" i="30"/>
  <c r="U331" i="30"/>
  <c r="U332" i="30"/>
  <c r="U338" i="30"/>
  <c r="U339" i="30"/>
  <c r="U340" i="30"/>
  <c r="U341" i="30"/>
  <c r="U347" i="30"/>
  <c r="U348" i="30"/>
  <c r="U349" i="30"/>
  <c r="U350" i="30"/>
  <c r="U356" i="30"/>
  <c r="U357" i="30"/>
  <c r="U358" i="30"/>
  <c r="U359" i="30"/>
  <c r="U365" i="30"/>
  <c r="U366" i="30"/>
  <c r="U367" i="30"/>
  <c r="U368" i="30"/>
  <c r="U374" i="30"/>
  <c r="U375" i="30"/>
  <c r="U376" i="30"/>
  <c r="U377" i="30"/>
  <c r="U383" i="30"/>
  <c r="U384" i="30"/>
  <c r="U385" i="30"/>
  <c r="U386" i="30"/>
  <c r="U392" i="30"/>
  <c r="U393" i="30"/>
  <c r="U394" i="30"/>
  <c r="U395" i="30"/>
  <c r="U401" i="30"/>
  <c r="U402" i="30"/>
  <c r="U403" i="30"/>
  <c r="U404" i="30"/>
  <c r="U410" i="30"/>
  <c r="U411" i="30"/>
  <c r="U412" i="30"/>
  <c r="U413" i="30"/>
  <c r="U419" i="30"/>
  <c r="U420" i="30"/>
  <c r="U421" i="30"/>
  <c r="U422" i="30"/>
  <c r="U428" i="30"/>
  <c r="U429" i="30"/>
  <c r="U430" i="30"/>
  <c r="U431" i="30"/>
  <c r="U437" i="30"/>
  <c r="U438" i="30"/>
  <c r="U439" i="30"/>
  <c r="U440" i="30"/>
  <c r="U446" i="30"/>
  <c r="U447" i="30"/>
  <c r="U448" i="30"/>
  <c r="U449" i="30"/>
  <c r="U455" i="30"/>
  <c r="U456" i="30"/>
  <c r="U457" i="30"/>
  <c r="U458" i="30"/>
  <c r="U464" i="30"/>
  <c r="U465" i="30"/>
  <c r="U466" i="30"/>
  <c r="U467" i="30"/>
  <c r="U473" i="30"/>
  <c r="U474" i="30"/>
  <c r="U475" i="30"/>
  <c r="U476" i="30"/>
  <c r="U482" i="30"/>
  <c r="U483" i="30"/>
  <c r="U484" i="30"/>
  <c r="U485" i="30"/>
  <c r="U491" i="30"/>
  <c r="U492" i="30"/>
  <c r="U493" i="30"/>
  <c r="U494" i="30"/>
  <c r="U500" i="30"/>
  <c r="U501" i="30"/>
  <c r="U502" i="30"/>
  <c r="U503" i="30"/>
  <c r="U509" i="30"/>
  <c r="U510" i="30"/>
  <c r="U511" i="30"/>
  <c r="U512" i="30"/>
  <c r="U518" i="30"/>
  <c r="U519" i="30"/>
  <c r="U520" i="30"/>
  <c r="U521" i="30"/>
  <c r="U527" i="30"/>
  <c r="U528" i="30"/>
  <c r="U529" i="30"/>
  <c r="U530" i="30"/>
  <c r="U536" i="30"/>
  <c r="U537" i="30"/>
  <c r="U538" i="30"/>
  <c r="U539" i="30"/>
  <c r="U545" i="30"/>
  <c r="U546" i="30"/>
  <c r="U547" i="30"/>
  <c r="U548" i="30"/>
  <c r="U554" i="30"/>
  <c r="U555" i="30"/>
  <c r="U556" i="30"/>
  <c r="U557" i="30"/>
  <c r="U563" i="30"/>
  <c r="U564" i="30"/>
  <c r="U565" i="30"/>
  <c r="U566" i="30"/>
  <c r="U572" i="30"/>
  <c r="U573" i="30"/>
  <c r="U574" i="30"/>
  <c r="U575" i="30"/>
  <c r="U581" i="30"/>
  <c r="U582" i="30"/>
  <c r="U583" i="30"/>
  <c r="U584" i="30"/>
  <c r="U590" i="30"/>
  <c r="U591" i="30"/>
  <c r="U592" i="30"/>
  <c r="U593" i="30"/>
  <c r="U599" i="30"/>
  <c r="U600" i="30"/>
  <c r="U601" i="30"/>
  <c r="U602" i="30"/>
  <c r="U608" i="30"/>
  <c r="U609" i="30"/>
  <c r="U610" i="30"/>
  <c r="U611" i="30"/>
  <c r="U617" i="30"/>
  <c r="U618" i="30"/>
  <c r="U619" i="30"/>
  <c r="U620" i="30"/>
  <c r="U626" i="30"/>
  <c r="U627" i="30"/>
  <c r="U628" i="30"/>
  <c r="U629" i="30"/>
  <c r="U635" i="30"/>
  <c r="U636" i="30"/>
  <c r="U637" i="30"/>
  <c r="U638" i="30"/>
  <c r="U644" i="30"/>
  <c r="U645" i="30"/>
  <c r="U646" i="30"/>
  <c r="U647" i="30"/>
  <c r="U653" i="30"/>
  <c r="U654" i="30"/>
  <c r="U655" i="30"/>
  <c r="U656" i="30"/>
  <c r="U662" i="30"/>
  <c r="U663" i="30"/>
  <c r="U664" i="30"/>
  <c r="U665" i="30"/>
  <c r="U671" i="30"/>
  <c r="U672" i="30"/>
  <c r="U673" i="30"/>
  <c r="U674" i="30"/>
  <c r="U680" i="30"/>
  <c r="U681" i="30"/>
  <c r="U682" i="30"/>
  <c r="U683" i="30"/>
  <c r="U689" i="30"/>
  <c r="U690" i="30"/>
  <c r="U691" i="30"/>
  <c r="U692" i="30"/>
  <c r="U698" i="30"/>
  <c r="U699" i="30"/>
  <c r="U700" i="30"/>
  <c r="U701" i="30"/>
  <c r="U707" i="30"/>
  <c r="U708" i="30"/>
  <c r="U709" i="30"/>
  <c r="U710" i="30"/>
  <c r="U716" i="30"/>
  <c r="U717" i="30"/>
  <c r="U718" i="30"/>
  <c r="U719" i="30"/>
  <c r="U725" i="30"/>
  <c r="U726" i="30"/>
  <c r="U727" i="30"/>
  <c r="U728" i="30"/>
  <c r="U734" i="30"/>
  <c r="U735" i="30"/>
  <c r="U736" i="30"/>
  <c r="U737" i="30"/>
  <c r="U17" i="30"/>
  <c r="U16" i="30"/>
  <c r="U15" i="30"/>
  <c r="U14" i="30"/>
  <c r="S23" i="30" l="1"/>
  <c r="S24" i="30"/>
  <c r="S25" i="30"/>
  <c r="S26" i="30"/>
  <c r="S32" i="30"/>
  <c r="S33" i="30"/>
  <c r="S34" i="30"/>
  <c r="S35" i="30"/>
  <c r="S41" i="30"/>
  <c r="S42" i="30"/>
  <c r="S43" i="30"/>
  <c r="S44" i="30"/>
  <c r="S50" i="30"/>
  <c r="S51" i="30"/>
  <c r="S52" i="30"/>
  <c r="S53" i="30"/>
  <c r="S59" i="30"/>
  <c r="S60" i="30"/>
  <c r="S61" i="30"/>
  <c r="S62" i="30"/>
  <c r="S68" i="30"/>
  <c r="S69" i="30"/>
  <c r="S70" i="30"/>
  <c r="S71" i="30"/>
  <c r="S77" i="30"/>
  <c r="S78" i="30"/>
  <c r="S79" i="30"/>
  <c r="S80" i="30"/>
  <c r="S86" i="30"/>
  <c r="S87" i="30"/>
  <c r="S88" i="30"/>
  <c r="S89" i="30"/>
  <c r="S95" i="30"/>
  <c r="S96" i="30"/>
  <c r="S97" i="30"/>
  <c r="S98" i="30"/>
  <c r="S104" i="30"/>
  <c r="S105" i="30"/>
  <c r="S106" i="30"/>
  <c r="S107" i="30"/>
  <c r="S113" i="30"/>
  <c r="S114" i="30"/>
  <c r="S115" i="30"/>
  <c r="S116" i="30"/>
  <c r="S122" i="30"/>
  <c r="S123" i="30"/>
  <c r="S124" i="30"/>
  <c r="S125" i="30"/>
  <c r="S131" i="30"/>
  <c r="S132" i="30"/>
  <c r="S133" i="30"/>
  <c r="S134" i="30"/>
  <c r="S140" i="30"/>
  <c r="S141" i="30"/>
  <c r="S142" i="30"/>
  <c r="S143" i="30"/>
  <c r="S149" i="30"/>
  <c r="S150" i="30"/>
  <c r="S151" i="30"/>
  <c r="S152" i="30"/>
  <c r="S158" i="30"/>
  <c r="S159" i="30"/>
  <c r="S160" i="30"/>
  <c r="S161" i="30"/>
  <c r="S167" i="30"/>
  <c r="S168" i="30"/>
  <c r="S169" i="30"/>
  <c r="S170" i="30"/>
  <c r="S176" i="30"/>
  <c r="S177" i="30"/>
  <c r="S178" i="30"/>
  <c r="S179" i="30"/>
  <c r="S185" i="30"/>
  <c r="S186" i="30"/>
  <c r="S187" i="30"/>
  <c r="S188" i="30"/>
  <c r="S194" i="30"/>
  <c r="S195" i="30"/>
  <c r="S196" i="30"/>
  <c r="S197" i="30"/>
  <c r="S203" i="30"/>
  <c r="S204" i="30"/>
  <c r="S205" i="30"/>
  <c r="S206" i="30"/>
  <c r="S212" i="30"/>
  <c r="S213" i="30"/>
  <c r="S214" i="30"/>
  <c r="S215" i="30"/>
  <c r="S221" i="30"/>
  <c r="S222" i="30"/>
  <c r="S223" i="30"/>
  <c r="S224" i="30"/>
  <c r="S230" i="30"/>
  <c r="S231" i="30"/>
  <c r="S232" i="30"/>
  <c r="S233" i="30"/>
  <c r="S239" i="30"/>
  <c r="S240" i="30"/>
  <c r="S241" i="30"/>
  <c r="S242" i="30"/>
  <c r="S248" i="30"/>
  <c r="S249" i="30"/>
  <c r="S250" i="30"/>
  <c r="S251" i="30"/>
  <c r="S257" i="30"/>
  <c r="S258" i="30"/>
  <c r="S259" i="30"/>
  <c r="S260" i="30"/>
  <c r="S266" i="30"/>
  <c r="S267" i="30"/>
  <c r="S268" i="30"/>
  <c r="S269" i="30"/>
  <c r="S275" i="30"/>
  <c r="S276" i="30"/>
  <c r="S277" i="30"/>
  <c r="S278" i="30"/>
  <c r="S284" i="30"/>
  <c r="S285" i="30"/>
  <c r="S286" i="30"/>
  <c r="S287" i="30"/>
  <c r="S293" i="30"/>
  <c r="S294" i="30"/>
  <c r="S295" i="30"/>
  <c r="S296" i="30"/>
  <c r="S302" i="30"/>
  <c r="S303" i="30"/>
  <c r="S304" i="30"/>
  <c r="S305" i="30"/>
  <c r="S311" i="30"/>
  <c r="S312" i="30"/>
  <c r="S313" i="30"/>
  <c r="S314" i="30"/>
  <c r="S320" i="30"/>
  <c r="S321" i="30"/>
  <c r="S322" i="30"/>
  <c r="S323" i="30"/>
  <c r="S329" i="30"/>
  <c r="S330" i="30"/>
  <c r="S331" i="30"/>
  <c r="S332" i="30"/>
  <c r="S338" i="30"/>
  <c r="S339" i="30"/>
  <c r="S340" i="30"/>
  <c r="S341" i="30"/>
  <c r="S347" i="30"/>
  <c r="S348" i="30"/>
  <c r="S349" i="30"/>
  <c r="S350" i="30"/>
  <c r="S356" i="30"/>
  <c r="S357" i="30"/>
  <c r="S358" i="30"/>
  <c r="S359" i="30"/>
  <c r="S365" i="30"/>
  <c r="S366" i="30"/>
  <c r="S367" i="30"/>
  <c r="S368" i="30"/>
  <c r="S374" i="30"/>
  <c r="S375" i="30"/>
  <c r="S376" i="30"/>
  <c r="S377" i="30"/>
  <c r="S383" i="30"/>
  <c r="S384" i="30"/>
  <c r="S385" i="30"/>
  <c r="S386" i="30"/>
  <c r="S392" i="30"/>
  <c r="S393" i="30"/>
  <c r="S394" i="30"/>
  <c r="S395" i="30"/>
  <c r="S401" i="30"/>
  <c r="S402" i="30"/>
  <c r="S403" i="30"/>
  <c r="S404" i="30"/>
  <c r="S410" i="30"/>
  <c r="S411" i="30"/>
  <c r="S412" i="30"/>
  <c r="S413" i="30"/>
  <c r="S419" i="30"/>
  <c r="S420" i="30"/>
  <c r="S421" i="30"/>
  <c r="S422" i="30"/>
  <c r="S428" i="30"/>
  <c r="S429" i="30"/>
  <c r="S430" i="30"/>
  <c r="S431" i="30"/>
  <c r="S437" i="30"/>
  <c r="S438" i="30"/>
  <c r="S439" i="30"/>
  <c r="S440" i="30"/>
  <c r="S446" i="30"/>
  <c r="S447" i="30"/>
  <c r="S448" i="30"/>
  <c r="S449" i="30"/>
  <c r="S455" i="30"/>
  <c r="S456" i="30"/>
  <c r="S457" i="30"/>
  <c r="S458" i="30"/>
  <c r="S464" i="30"/>
  <c r="S465" i="30"/>
  <c r="S466" i="30"/>
  <c r="S467" i="30"/>
  <c r="S473" i="30"/>
  <c r="S474" i="30"/>
  <c r="S475" i="30"/>
  <c r="S476" i="30"/>
  <c r="S482" i="30"/>
  <c r="S483" i="30"/>
  <c r="S484" i="30"/>
  <c r="S485" i="30"/>
  <c r="S491" i="30"/>
  <c r="S492" i="30"/>
  <c r="S493" i="30"/>
  <c r="S494" i="30"/>
  <c r="S500" i="30"/>
  <c r="S501" i="30"/>
  <c r="S502" i="30"/>
  <c r="S503" i="30"/>
  <c r="S509" i="30"/>
  <c r="S510" i="30"/>
  <c r="S511" i="30"/>
  <c r="S512" i="30"/>
  <c r="S518" i="30"/>
  <c r="S519" i="30"/>
  <c r="S520" i="30"/>
  <c r="S521" i="30"/>
  <c r="S527" i="30"/>
  <c r="S528" i="30"/>
  <c r="S529" i="30"/>
  <c r="S530" i="30"/>
  <c r="S536" i="30"/>
  <c r="S537" i="30"/>
  <c r="S538" i="30"/>
  <c r="S539" i="30"/>
  <c r="S545" i="30"/>
  <c r="S546" i="30"/>
  <c r="S547" i="30"/>
  <c r="S548" i="30"/>
  <c r="S554" i="30"/>
  <c r="S555" i="30"/>
  <c r="S556" i="30"/>
  <c r="S557" i="30"/>
  <c r="S563" i="30"/>
  <c r="S564" i="30"/>
  <c r="S565" i="30"/>
  <c r="S566" i="30"/>
  <c r="S572" i="30"/>
  <c r="S573" i="30"/>
  <c r="S574" i="30"/>
  <c r="S575" i="30"/>
  <c r="S581" i="30"/>
  <c r="S582" i="30"/>
  <c r="S583" i="30"/>
  <c r="S584" i="30"/>
  <c r="S590" i="30"/>
  <c r="S591" i="30"/>
  <c r="S592" i="30"/>
  <c r="S593" i="30"/>
  <c r="S599" i="30"/>
  <c r="S600" i="30"/>
  <c r="S601" i="30"/>
  <c r="S602" i="30"/>
  <c r="S608" i="30"/>
  <c r="S609" i="30"/>
  <c r="S610" i="30"/>
  <c r="S611" i="30"/>
  <c r="S617" i="30"/>
  <c r="S618" i="30"/>
  <c r="S619" i="30"/>
  <c r="S620" i="30"/>
  <c r="S626" i="30"/>
  <c r="S627" i="30"/>
  <c r="S628" i="30"/>
  <c r="S629" i="30"/>
  <c r="S635" i="30"/>
  <c r="S636" i="30"/>
  <c r="S637" i="30"/>
  <c r="S638" i="30"/>
  <c r="S644" i="30"/>
  <c r="S645" i="30"/>
  <c r="S646" i="30"/>
  <c r="S647" i="30"/>
  <c r="S653" i="30"/>
  <c r="S654" i="30"/>
  <c r="S655" i="30"/>
  <c r="S656" i="30"/>
  <c r="S662" i="30"/>
  <c r="S663" i="30"/>
  <c r="S664" i="30"/>
  <c r="S665" i="30"/>
  <c r="S671" i="30"/>
  <c r="S672" i="30"/>
  <c r="S673" i="30"/>
  <c r="S674" i="30"/>
  <c r="S680" i="30"/>
  <c r="S681" i="30"/>
  <c r="S682" i="30"/>
  <c r="S683" i="30"/>
  <c r="S689" i="30"/>
  <c r="S690" i="30"/>
  <c r="S691" i="30"/>
  <c r="S692" i="30"/>
  <c r="S698" i="30"/>
  <c r="S699" i="30"/>
  <c r="S700" i="30"/>
  <c r="S701" i="30"/>
  <c r="S707" i="30"/>
  <c r="S708" i="30"/>
  <c r="S709" i="30"/>
  <c r="S710" i="30"/>
  <c r="S716" i="30"/>
  <c r="S717" i="30"/>
  <c r="S718" i="30"/>
  <c r="S719" i="30"/>
  <c r="S725" i="30"/>
  <c r="S726" i="30"/>
  <c r="S727" i="30"/>
  <c r="S728" i="30"/>
  <c r="S734" i="30"/>
  <c r="S735" i="30"/>
  <c r="S736" i="30"/>
  <c r="S737" i="30"/>
  <c r="S17" i="30"/>
  <c r="S16" i="30"/>
  <c r="S15" i="30"/>
  <c r="S14" i="30"/>
  <c r="Y742" i="30"/>
  <c r="Z742" i="30" s="1"/>
  <c r="W742" i="30"/>
  <c r="B742" i="30"/>
  <c r="A742" i="30"/>
  <c r="Y741" i="30"/>
  <c r="Z741" i="30" s="1"/>
  <c r="W741" i="30"/>
  <c r="B741" i="30"/>
  <c r="A741" i="30"/>
  <c r="Y740" i="30"/>
  <c r="Z740" i="30" s="1"/>
  <c r="W740" i="30"/>
  <c r="B740" i="30"/>
  <c r="A740" i="30"/>
  <c r="Y739" i="30"/>
  <c r="Z739" i="30" s="1"/>
  <c r="W739" i="30"/>
  <c r="K739" i="30"/>
  <c r="L739" i="30" s="1"/>
  <c r="B739" i="30"/>
  <c r="A739" i="30"/>
  <c r="Y738" i="30"/>
  <c r="Z738" i="30" s="1"/>
  <c r="W738" i="30"/>
  <c r="X738" i="30" s="1"/>
  <c r="B738" i="30"/>
  <c r="A738" i="30"/>
  <c r="P737" i="30"/>
  <c r="Q737" i="30" s="1"/>
  <c r="N737" i="30"/>
  <c r="O737" i="30" s="1"/>
  <c r="K737" i="30"/>
  <c r="L737" i="30" s="1"/>
  <c r="F737" i="30"/>
  <c r="G737" i="30" s="1"/>
  <c r="D737" i="30"/>
  <c r="E737" i="30" s="1"/>
  <c r="B737" i="30"/>
  <c r="A737" i="30"/>
  <c r="M737" i="30" s="1"/>
  <c r="P736" i="30"/>
  <c r="Q736" i="30" s="1"/>
  <c r="N736" i="30"/>
  <c r="O736" i="30" s="1"/>
  <c r="K736" i="30"/>
  <c r="L736" i="30" s="1"/>
  <c r="F736" i="30"/>
  <c r="G736" i="30" s="1"/>
  <c r="D736" i="30"/>
  <c r="E736" i="30" s="1"/>
  <c r="B736" i="30"/>
  <c r="A736" i="30"/>
  <c r="M736" i="30" s="1"/>
  <c r="P735" i="30"/>
  <c r="Q735" i="30" s="1"/>
  <c r="N735" i="30"/>
  <c r="O735" i="30" s="1"/>
  <c r="K735" i="30"/>
  <c r="L735" i="30" s="1"/>
  <c r="F735" i="30"/>
  <c r="G735" i="30" s="1"/>
  <c r="D735" i="30"/>
  <c r="E735" i="30" s="1"/>
  <c r="B735" i="30"/>
  <c r="A735" i="30"/>
  <c r="M735" i="30" s="1"/>
  <c r="P734" i="30"/>
  <c r="Q734" i="30" s="1"/>
  <c r="N734" i="30"/>
  <c r="O734" i="30" s="1"/>
  <c r="K734" i="30"/>
  <c r="L734" i="30" s="1"/>
  <c r="F734" i="30"/>
  <c r="G734" i="30" s="1"/>
  <c r="D734" i="30"/>
  <c r="E734" i="30" s="1"/>
  <c r="B734" i="30"/>
  <c r="A734" i="30"/>
  <c r="M734" i="30" s="1"/>
  <c r="Y733" i="30"/>
  <c r="Z733" i="30" s="1"/>
  <c r="W733" i="30"/>
  <c r="X733" i="30" s="1"/>
  <c r="B733" i="30"/>
  <c r="A733" i="30"/>
  <c r="Y732" i="30"/>
  <c r="Z732" i="30" s="1"/>
  <c r="W732" i="30"/>
  <c r="B732" i="30"/>
  <c r="A732" i="30"/>
  <c r="Y731" i="30"/>
  <c r="Z731" i="30" s="1"/>
  <c r="W731" i="30"/>
  <c r="X731" i="30" s="1"/>
  <c r="B731" i="30"/>
  <c r="A731" i="30"/>
  <c r="Y730" i="30"/>
  <c r="Z730" i="30" s="1"/>
  <c r="W730" i="30"/>
  <c r="K730" i="30"/>
  <c r="L730" i="30" s="1"/>
  <c r="B730" i="30"/>
  <c r="A730" i="30"/>
  <c r="Y729" i="30"/>
  <c r="Z729" i="30" s="1"/>
  <c r="W729" i="30"/>
  <c r="X729" i="30" s="1"/>
  <c r="B729" i="30"/>
  <c r="A729" i="30"/>
  <c r="P728" i="30"/>
  <c r="Q728" i="30" s="1"/>
  <c r="N728" i="30"/>
  <c r="O728" i="30" s="1"/>
  <c r="K728" i="30"/>
  <c r="L728" i="30" s="1"/>
  <c r="F728" i="30"/>
  <c r="G728" i="30" s="1"/>
  <c r="D728" i="30"/>
  <c r="E728" i="30" s="1"/>
  <c r="B728" i="30"/>
  <c r="A728" i="30"/>
  <c r="M728" i="30" s="1"/>
  <c r="P727" i="30"/>
  <c r="Q727" i="30" s="1"/>
  <c r="N727" i="30"/>
  <c r="O727" i="30" s="1"/>
  <c r="K727" i="30"/>
  <c r="L727" i="30" s="1"/>
  <c r="F727" i="30"/>
  <c r="G727" i="30" s="1"/>
  <c r="D727" i="30"/>
  <c r="E727" i="30" s="1"/>
  <c r="B727" i="30"/>
  <c r="A727" i="30"/>
  <c r="M727" i="30" s="1"/>
  <c r="P726" i="30"/>
  <c r="Q726" i="30" s="1"/>
  <c r="N726" i="30"/>
  <c r="O726" i="30" s="1"/>
  <c r="K726" i="30"/>
  <c r="L726" i="30" s="1"/>
  <c r="F726" i="30"/>
  <c r="G726" i="30" s="1"/>
  <c r="D726" i="30"/>
  <c r="E726" i="30" s="1"/>
  <c r="B726" i="30"/>
  <c r="A726" i="30"/>
  <c r="M726" i="30" s="1"/>
  <c r="P725" i="30"/>
  <c r="Q725" i="30" s="1"/>
  <c r="N725" i="30"/>
  <c r="O725" i="30" s="1"/>
  <c r="K725" i="30"/>
  <c r="L725" i="30" s="1"/>
  <c r="F725" i="30"/>
  <c r="G725" i="30" s="1"/>
  <c r="D725" i="30"/>
  <c r="E725" i="30" s="1"/>
  <c r="B725" i="30"/>
  <c r="A725" i="30"/>
  <c r="M725" i="30" s="1"/>
  <c r="Y724" i="30"/>
  <c r="Z724" i="30" s="1"/>
  <c r="W724" i="30"/>
  <c r="X724" i="30" s="1"/>
  <c r="B724" i="30"/>
  <c r="A724" i="30"/>
  <c r="Y723" i="30"/>
  <c r="Z723" i="30" s="1"/>
  <c r="W723" i="30"/>
  <c r="X723" i="30" s="1"/>
  <c r="B723" i="30"/>
  <c r="A723" i="30"/>
  <c r="Y722" i="30"/>
  <c r="Z722" i="30" s="1"/>
  <c r="W722" i="30"/>
  <c r="B722" i="30"/>
  <c r="A722" i="30"/>
  <c r="Y721" i="30"/>
  <c r="W721" i="30"/>
  <c r="X721" i="30" s="1"/>
  <c r="K721" i="30"/>
  <c r="L721" i="30" s="1"/>
  <c r="B721" i="30"/>
  <c r="A721" i="30"/>
  <c r="Y720" i="30"/>
  <c r="Z720" i="30" s="1"/>
  <c r="W720" i="30"/>
  <c r="B720" i="30"/>
  <c r="A720" i="30"/>
  <c r="P719" i="30"/>
  <c r="Q719" i="30" s="1"/>
  <c r="N719" i="30"/>
  <c r="O719" i="30" s="1"/>
  <c r="K719" i="30"/>
  <c r="F719" i="30"/>
  <c r="G719" i="30" s="1"/>
  <c r="D719" i="30"/>
  <c r="E719" i="30" s="1"/>
  <c r="B719" i="30"/>
  <c r="A719" i="30"/>
  <c r="M719" i="30" s="1"/>
  <c r="P718" i="30"/>
  <c r="Q718" i="30" s="1"/>
  <c r="N718" i="30"/>
  <c r="O718" i="30" s="1"/>
  <c r="K718" i="30"/>
  <c r="F718" i="30"/>
  <c r="G718" i="30" s="1"/>
  <c r="D718" i="30"/>
  <c r="E718" i="30" s="1"/>
  <c r="B718" i="30"/>
  <c r="A718" i="30"/>
  <c r="M718" i="30" s="1"/>
  <c r="P717" i="30"/>
  <c r="Q717" i="30" s="1"/>
  <c r="N717" i="30"/>
  <c r="O717" i="30" s="1"/>
  <c r="K717" i="30"/>
  <c r="L717" i="30" s="1"/>
  <c r="F717" i="30"/>
  <c r="G717" i="30" s="1"/>
  <c r="D717" i="30"/>
  <c r="E717" i="30" s="1"/>
  <c r="B717" i="30"/>
  <c r="A717" i="30"/>
  <c r="M717" i="30" s="1"/>
  <c r="P716" i="30"/>
  <c r="Q716" i="30" s="1"/>
  <c r="N716" i="30"/>
  <c r="O716" i="30" s="1"/>
  <c r="K716" i="30"/>
  <c r="L716" i="30" s="1"/>
  <c r="F716" i="30"/>
  <c r="G716" i="30" s="1"/>
  <c r="D716" i="30"/>
  <c r="E716" i="30" s="1"/>
  <c r="B716" i="30"/>
  <c r="A716" i="30"/>
  <c r="M716" i="30" s="1"/>
  <c r="Y715" i="30"/>
  <c r="Z715" i="30" s="1"/>
  <c r="W715" i="30"/>
  <c r="X715" i="30" s="1"/>
  <c r="B715" i="30"/>
  <c r="A715" i="30"/>
  <c r="Y714" i="30"/>
  <c r="Z714" i="30" s="1"/>
  <c r="W714" i="30"/>
  <c r="X714" i="30" s="1"/>
  <c r="B714" i="30"/>
  <c r="A714" i="30"/>
  <c r="Y713" i="30"/>
  <c r="Z713" i="30" s="1"/>
  <c r="W713" i="30"/>
  <c r="B713" i="30"/>
  <c r="A713" i="30"/>
  <c r="Y712" i="30"/>
  <c r="Z712" i="30" s="1"/>
  <c r="W712" i="30"/>
  <c r="K712" i="30"/>
  <c r="L712" i="30" s="1"/>
  <c r="B712" i="30"/>
  <c r="A712" i="30"/>
  <c r="Y711" i="30"/>
  <c r="Z711" i="30" s="1"/>
  <c r="W711" i="30"/>
  <c r="X711" i="30" s="1"/>
  <c r="B711" i="30"/>
  <c r="A711" i="30"/>
  <c r="P710" i="30"/>
  <c r="Q710" i="30" s="1"/>
  <c r="N710" i="30"/>
  <c r="O710" i="30" s="1"/>
  <c r="K710" i="30"/>
  <c r="L710" i="30" s="1"/>
  <c r="F710" i="30"/>
  <c r="G710" i="30" s="1"/>
  <c r="D710" i="30"/>
  <c r="E710" i="30" s="1"/>
  <c r="B710" i="30"/>
  <c r="A710" i="30"/>
  <c r="M710" i="30" s="1"/>
  <c r="P709" i="30"/>
  <c r="Q709" i="30" s="1"/>
  <c r="N709" i="30"/>
  <c r="O709" i="30" s="1"/>
  <c r="K709" i="30"/>
  <c r="F709" i="30"/>
  <c r="G709" i="30" s="1"/>
  <c r="D709" i="30"/>
  <c r="E709" i="30" s="1"/>
  <c r="B709" i="30"/>
  <c r="A709" i="30"/>
  <c r="M709" i="30" s="1"/>
  <c r="P708" i="30"/>
  <c r="Q708" i="30" s="1"/>
  <c r="N708" i="30"/>
  <c r="O708" i="30" s="1"/>
  <c r="K708" i="30"/>
  <c r="L708" i="30" s="1"/>
  <c r="F708" i="30"/>
  <c r="G708" i="30" s="1"/>
  <c r="D708" i="30"/>
  <c r="E708" i="30" s="1"/>
  <c r="B708" i="30"/>
  <c r="A708" i="30"/>
  <c r="M708" i="30" s="1"/>
  <c r="P707" i="30"/>
  <c r="Q707" i="30" s="1"/>
  <c r="N707" i="30"/>
  <c r="O707" i="30" s="1"/>
  <c r="K707" i="30"/>
  <c r="L707" i="30" s="1"/>
  <c r="F707" i="30"/>
  <c r="G707" i="30" s="1"/>
  <c r="D707" i="30"/>
  <c r="E707" i="30" s="1"/>
  <c r="B707" i="30"/>
  <c r="A707" i="30"/>
  <c r="M707" i="30" s="1"/>
  <c r="Y706" i="30"/>
  <c r="Z706" i="30" s="1"/>
  <c r="W706" i="30"/>
  <c r="B706" i="30"/>
  <c r="A706" i="30"/>
  <c r="Y705" i="30"/>
  <c r="Z705" i="30" s="1"/>
  <c r="W705" i="30"/>
  <c r="X705" i="30" s="1"/>
  <c r="B705" i="30"/>
  <c r="A705" i="30"/>
  <c r="Y704" i="30"/>
  <c r="Z704" i="30" s="1"/>
  <c r="W704" i="30"/>
  <c r="B704" i="30"/>
  <c r="A704" i="30"/>
  <c r="Y703" i="30"/>
  <c r="W703" i="30"/>
  <c r="X703" i="30" s="1"/>
  <c r="K703" i="30"/>
  <c r="L703" i="30" s="1"/>
  <c r="B703" i="30"/>
  <c r="A703" i="30"/>
  <c r="Y702" i="30"/>
  <c r="Z702" i="30" s="1"/>
  <c r="W702" i="30"/>
  <c r="X702" i="30" s="1"/>
  <c r="B702" i="30"/>
  <c r="A702" i="30"/>
  <c r="P701" i="30"/>
  <c r="Q701" i="30" s="1"/>
  <c r="N701" i="30"/>
  <c r="O701" i="30" s="1"/>
  <c r="K701" i="30"/>
  <c r="L701" i="30" s="1"/>
  <c r="F701" i="30"/>
  <c r="G701" i="30" s="1"/>
  <c r="D701" i="30"/>
  <c r="E701" i="30" s="1"/>
  <c r="B701" i="30"/>
  <c r="A701" i="30"/>
  <c r="M701" i="30" s="1"/>
  <c r="P700" i="30"/>
  <c r="Q700" i="30" s="1"/>
  <c r="N700" i="30"/>
  <c r="O700" i="30" s="1"/>
  <c r="K700" i="30"/>
  <c r="F700" i="30"/>
  <c r="G700" i="30" s="1"/>
  <c r="D700" i="30"/>
  <c r="E700" i="30" s="1"/>
  <c r="B700" i="30"/>
  <c r="A700" i="30"/>
  <c r="M700" i="30" s="1"/>
  <c r="P699" i="30"/>
  <c r="Q699" i="30" s="1"/>
  <c r="N699" i="30"/>
  <c r="O699" i="30" s="1"/>
  <c r="K699" i="30"/>
  <c r="L699" i="30" s="1"/>
  <c r="F699" i="30"/>
  <c r="G699" i="30" s="1"/>
  <c r="D699" i="30"/>
  <c r="E699" i="30" s="1"/>
  <c r="B699" i="30"/>
  <c r="A699" i="30"/>
  <c r="M699" i="30" s="1"/>
  <c r="P698" i="30"/>
  <c r="Q698" i="30" s="1"/>
  <c r="N698" i="30"/>
  <c r="O698" i="30" s="1"/>
  <c r="K698" i="30"/>
  <c r="F698" i="30"/>
  <c r="G698" i="30" s="1"/>
  <c r="D698" i="30"/>
  <c r="E698" i="30" s="1"/>
  <c r="B698" i="30"/>
  <c r="A698" i="30"/>
  <c r="M698" i="30" s="1"/>
  <c r="Y697" i="30"/>
  <c r="Z697" i="30" s="1"/>
  <c r="W697" i="30"/>
  <c r="X697" i="30" s="1"/>
  <c r="B697" i="30"/>
  <c r="A697" i="30"/>
  <c r="Y696" i="30"/>
  <c r="Z696" i="30" s="1"/>
  <c r="W696" i="30"/>
  <c r="B696" i="30"/>
  <c r="A696" i="30"/>
  <c r="Y695" i="30"/>
  <c r="W695" i="30"/>
  <c r="X695" i="30" s="1"/>
  <c r="B695" i="30"/>
  <c r="A695" i="30"/>
  <c r="Y694" i="30"/>
  <c r="Z694" i="30" s="1"/>
  <c r="W694" i="30"/>
  <c r="X694" i="30" s="1"/>
  <c r="K694" i="30"/>
  <c r="L694" i="30" s="1"/>
  <c r="B694" i="30"/>
  <c r="A694" i="30"/>
  <c r="Y693" i="30"/>
  <c r="Z693" i="30" s="1"/>
  <c r="W693" i="30"/>
  <c r="B693" i="30"/>
  <c r="A693" i="30"/>
  <c r="P692" i="30"/>
  <c r="Q692" i="30" s="1"/>
  <c r="N692" i="30"/>
  <c r="O692" i="30" s="1"/>
  <c r="K692" i="30"/>
  <c r="F692" i="30"/>
  <c r="G692" i="30" s="1"/>
  <c r="D692" i="30"/>
  <c r="E692" i="30" s="1"/>
  <c r="B692" i="30"/>
  <c r="A692" i="30"/>
  <c r="M692" i="30" s="1"/>
  <c r="P691" i="30"/>
  <c r="Q691" i="30" s="1"/>
  <c r="N691" i="30"/>
  <c r="O691" i="30" s="1"/>
  <c r="K691" i="30"/>
  <c r="F691" i="30"/>
  <c r="G691" i="30" s="1"/>
  <c r="D691" i="30"/>
  <c r="E691" i="30" s="1"/>
  <c r="B691" i="30"/>
  <c r="A691" i="30"/>
  <c r="M691" i="30" s="1"/>
  <c r="P690" i="30"/>
  <c r="Q690" i="30" s="1"/>
  <c r="N690" i="30"/>
  <c r="O690" i="30" s="1"/>
  <c r="K690" i="30"/>
  <c r="L690" i="30" s="1"/>
  <c r="F690" i="30"/>
  <c r="G690" i="30" s="1"/>
  <c r="D690" i="30"/>
  <c r="E690" i="30" s="1"/>
  <c r="B690" i="30"/>
  <c r="A690" i="30"/>
  <c r="M690" i="30" s="1"/>
  <c r="P689" i="30"/>
  <c r="Q689" i="30" s="1"/>
  <c r="N689" i="30"/>
  <c r="O689" i="30" s="1"/>
  <c r="K689" i="30"/>
  <c r="F689" i="30"/>
  <c r="G689" i="30" s="1"/>
  <c r="D689" i="30"/>
  <c r="E689" i="30" s="1"/>
  <c r="B689" i="30"/>
  <c r="A689" i="30"/>
  <c r="M689" i="30" s="1"/>
  <c r="Y688" i="30"/>
  <c r="Z688" i="30" s="1"/>
  <c r="W688" i="30"/>
  <c r="B688" i="30"/>
  <c r="A688" i="30"/>
  <c r="Y687" i="30"/>
  <c r="Z687" i="30" s="1"/>
  <c r="W687" i="30"/>
  <c r="B687" i="30"/>
  <c r="A687" i="30"/>
  <c r="Y686" i="30"/>
  <c r="Z686" i="30" s="1"/>
  <c r="W686" i="30"/>
  <c r="B686" i="30"/>
  <c r="A686" i="30"/>
  <c r="Y685" i="30"/>
  <c r="Z685" i="30" s="1"/>
  <c r="W685" i="30"/>
  <c r="X685" i="30" s="1"/>
  <c r="K685" i="30"/>
  <c r="L685" i="30" s="1"/>
  <c r="B685" i="30"/>
  <c r="A685" i="30"/>
  <c r="Y684" i="30"/>
  <c r="Z684" i="30" s="1"/>
  <c r="W684" i="30"/>
  <c r="B684" i="30"/>
  <c r="A684" i="30"/>
  <c r="P683" i="30"/>
  <c r="Q683" i="30" s="1"/>
  <c r="N683" i="30"/>
  <c r="O683" i="30" s="1"/>
  <c r="K683" i="30"/>
  <c r="L683" i="30" s="1"/>
  <c r="F683" i="30"/>
  <c r="G683" i="30" s="1"/>
  <c r="D683" i="30"/>
  <c r="E683" i="30" s="1"/>
  <c r="B683" i="30"/>
  <c r="A683" i="30"/>
  <c r="M683" i="30" s="1"/>
  <c r="P682" i="30"/>
  <c r="Q682" i="30" s="1"/>
  <c r="N682" i="30"/>
  <c r="O682" i="30" s="1"/>
  <c r="K682" i="30"/>
  <c r="F682" i="30"/>
  <c r="G682" i="30" s="1"/>
  <c r="D682" i="30"/>
  <c r="E682" i="30" s="1"/>
  <c r="B682" i="30"/>
  <c r="A682" i="30"/>
  <c r="M682" i="30" s="1"/>
  <c r="P681" i="30"/>
  <c r="Q681" i="30" s="1"/>
  <c r="N681" i="30"/>
  <c r="O681" i="30" s="1"/>
  <c r="K681" i="30"/>
  <c r="L681" i="30" s="1"/>
  <c r="F681" i="30"/>
  <c r="G681" i="30" s="1"/>
  <c r="D681" i="30"/>
  <c r="E681" i="30" s="1"/>
  <c r="B681" i="30"/>
  <c r="A681" i="30"/>
  <c r="M681" i="30" s="1"/>
  <c r="P680" i="30"/>
  <c r="Q680" i="30" s="1"/>
  <c r="N680" i="30"/>
  <c r="O680" i="30" s="1"/>
  <c r="K680" i="30"/>
  <c r="L680" i="30" s="1"/>
  <c r="F680" i="30"/>
  <c r="G680" i="30" s="1"/>
  <c r="D680" i="30"/>
  <c r="E680" i="30" s="1"/>
  <c r="B680" i="30"/>
  <c r="A680" i="30"/>
  <c r="M680" i="30" s="1"/>
  <c r="Y679" i="30"/>
  <c r="Z679" i="30" s="1"/>
  <c r="W679" i="30"/>
  <c r="B679" i="30"/>
  <c r="A679" i="30"/>
  <c r="Y678" i="30"/>
  <c r="Z678" i="30" s="1"/>
  <c r="W678" i="30"/>
  <c r="X678" i="30" s="1"/>
  <c r="B678" i="30"/>
  <c r="A678" i="30"/>
  <c r="Y677" i="30"/>
  <c r="Z677" i="30" s="1"/>
  <c r="W677" i="30"/>
  <c r="B677" i="30"/>
  <c r="A677" i="30"/>
  <c r="Y676" i="30"/>
  <c r="Z676" i="30" s="1"/>
  <c r="W676" i="30"/>
  <c r="K676" i="30"/>
  <c r="L676" i="30" s="1"/>
  <c r="B676" i="30"/>
  <c r="A676" i="30"/>
  <c r="Y675" i="30"/>
  <c r="Z675" i="30" s="1"/>
  <c r="W675" i="30"/>
  <c r="B675" i="30"/>
  <c r="A675" i="30"/>
  <c r="P674" i="30"/>
  <c r="Q674" i="30" s="1"/>
  <c r="N674" i="30"/>
  <c r="O674" i="30" s="1"/>
  <c r="K674" i="30"/>
  <c r="L674" i="30" s="1"/>
  <c r="F674" i="30"/>
  <c r="G674" i="30" s="1"/>
  <c r="D674" i="30"/>
  <c r="E674" i="30" s="1"/>
  <c r="B674" i="30"/>
  <c r="A674" i="30"/>
  <c r="M674" i="30" s="1"/>
  <c r="P673" i="30"/>
  <c r="Q673" i="30" s="1"/>
  <c r="N673" i="30"/>
  <c r="O673" i="30" s="1"/>
  <c r="K673" i="30"/>
  <c r="F673" i="30"/>
  <c r="G673" i="30" s="1"/>
  <c r="D673" i="30"/>
  <c r="E673" i="30" s="1"/>
  <c r="B673" i="30"/>
  <c r="A673" i="30"/>
  <c r="M673" i="30" s="1"/>
  <c r="P672" i="30"/>
  <c r="Q672" i="30" s="1"/>
  <c r="N672" i="30"/>
  <c r="O672" i="30" s="1"/>
  <c r="K672" i="30"/>
  <c r="L672" i="30" s="1"/>
  <c r="F672" i="30"/>
  <c r="G672" i="30" s="1"/>
  <c r="D672" i="30"/>
  <c r="E672" i="30" s="1"/>
  <c r="B672" i="30"/>
  <c r="A672" i="30"/>
  <c r="M672" i="30" s="1"/>
  <c r="P671" i="30"/>
  <c r="Q671" i="30" s="1"/>
  <c r="N671" i="30"/>
  <c r="O671" i="30" s="1"/>
  <c r="K671" i="30"/>
  <c r="L671" i="30" s="1"/>
  <c r="F671" i="30"/>
  <c r="G671" i="30" s="1"/>
  <c r="D671" i="30"/>
  <c r="E671" i="30" s="1"/>
  <c r="B671" i="30"/>
  <c r="A671" i="30"/>
  <c r="M671" i="30" s="1"/>
  <c r="Y670" i="30"/>
  <c r="Z670" i="30" s="1"/>
  <c r="W670" i="30"/>
  <c r="B670" i="30"/>
  <c r="A670" i="30"/>
  <c r="Y669" i="30"/>
  <c r="Z669" i="30" s="1"/>
  <c r="W669" i="30"/>
  <c r="X669" i="30" s="1"/>
  <c r="B669" i="30"/>
  <c r="A669" i="30"/>
  <c r="Y668" i="30"/>
  <c r="Z668" i="30" s="1"/>
  <c r="W668" i="30"/>
  <c r="B668" i="30"/>
  <c r="A668" i="30"/>
  <c r="Y667" i="30"/>
  <c r="W667" i="30"/>
  <c r="X667" i="30" s="1"/>
  <c r="K667" i="30"/>
  <c r="L667" i="30" s="1"/>
  <c r="B667" i="30"/>
  <c r="A667" i="30"/>
  <c r="Y666" i="30"/>
  <c r="Z666" i="30" s="1"/>
  <c r="W666" i="30"/>
  <c r="X666" i="30" s="1"/>
  <c r="B666" i="30"/>
  <c r="A666" i="30"/>
  <c r="P665" i="30"/>
  <c r="Q665" i="30" s="1"/>
  <c r="N665" i="30"/>
  <c r="O665" i="30" s="1"/>
  <c r="K665" i="30"/>
  <c r="F665" i="30"/>
  <c r="G665" i="30" s="1"/>
  <c r="D665" i="30"/>
  <c r="E665" i="30" s="1"/>
  <c r="B665" i="30"/>
  <c r="A665" i="30"/>
  <c r="M665" i="30" s="1"/>
  <c r="P664" i="30"/>
  <c r="Q664" i="30" s="1"/>
  <c r="N664" i="30"/>
  <c r="O664" i="30" s="1"/>
  <c r="K664" i="30"/>
  <c r="F664" i="30"/>
  <c r="G664" i="30" s="1"/>
  <c r="D664" i="30"/>
  <c r="E664" i="30" s="1"/>
  <c r="B664" i="30"/>
  <c r="A664" i="30"/>
  <c r="M664" i="30" s="1"/>
  <c r="P663" i="30"/>
  <c r="Q663" i="30" s="1"/>
  <c r="N663" i="30"/>
  <c r="O663" i="30" s="1"/>
  <c r="K663" i="30"/>
  <c r="F663" i="30"/>
  <c r="G663" i="30" s="1"/>
  <c r="D663" i="30"/>
  <c r="E663" i="30" s="1"/>
  <c r="B663" i="30"/>
  <c r="A663" i="30"/>
  <c r="M663" i="30" s="1"/>
  <c r="P662" i="30"/>
  <c r="Q662" i="30" s="1"/>
  <c r="N662" i="30"/>
  <c r="O662" i="30" s="1"/>
  <c r="K662" i="30"/>
  <c r="F662" i="30"/>
  <c r="G662" i="30" s="1"/>
  <c r="D662" i="30"/>
  <c r="E662" i="30" s="1"/>
  <c r="B662" i="30"/>
  <c r="A662" i="30"/>
  <c r="M662" i="30" s="1"/>
  <c r="Y661" i="30"/>
  <c r="Z661" i="30" s="1"/>
  <c r="W661" i="30"/>
  <c r="B661" i="30"/>
  <c r="A661" i="30"/>
  <c r="Y660" i="30"/>
  <c r="Z660" i="30" s="1"/>
  <c r="W660" i="30"/>
  <c r="X660" i="30" s="1"/>
  <c r="B660" i="30"/>
  <c r="A660" i="30"/>
  <c r="Y659" i="30"/>
  <c r="Z659" i="30" s="1"/>
  <c r="W659" i="30"/>
  <c r="X659" i="30" s="1"/>
  <c r="B659" i="30"/>
  <c r="A659" i="30"/>
  <c r="Y658" i="30"/>
  <c r="Z658" i="30" s="1"/>
  <c r="W658" i="30"/>
  <c r="K658" i="30"/>
  <c r="L658" i="30" s="1"/>
  <c r="B658" i="30"/>
  <c r="A658" i="30"/>
  <c r="Y657" i="30"/>
  <c r="Z657" i="30" s="1"/>
  <c r="W657" i="30"/>
  <c r="B657" i="30"/>
  <c r="A657" i="30"/>
  <c r="P656" i="30"/>
  <c r="Q656" i="30" s="1"/>
  <c r="N656" i="30"/>
  <c r="O656" i="30" s="1"/>
  <c r="K656" i="30"/>
  <c r="F656" i="30"/>
  <c r="G656" i="30" s="1"/>
  <c r="D656" i="30"/>
  <c r="E656" i="30" s="1"/>
  <c r="B656" i="30"/>
  <c r="A656" i="30"/>
  <c r="M656" i="30" s="1"/>
  <c r="P655" i="30"/>
  <c r="Q655" i="30" s="1"/>
  <c r="N655" i="30"/>
  <c r="O655" i="30" s="1"/>
  <c r="K655" i="30"/>
  <c r="F655" i="30"/>
  <c r="G655" i="30" s="1"/>
  <c r="D655" i="30"/>
  <c r="E655" i="30" s="1"/>
  <c r="B655" i="30"/>
  <c r="A655" i="30"/>
  <c r="M655" i="30" s="1"/>
  <c r="P654" i="30"/>
  <c r="Q654" i="30" s="1"/>
  <c r="N654" i="30"/>
  <c r="O654" i="30" s="1"/>
  <c r="K654" i="30"/>
  <c r="L654" i="30" s="1"/>
  <c r="F654" i="30"/>
  <c r="G654" i="30" s="1"/>
  <c r="D654" i="30"/>
  <c r="E654" i="30" s="1"/>
  <c r="B654" i="30"/>
  <c r="A654" i="30"/>
  <c r="M654" i="30" s="1"/>
  <c r="P653" i="30"/>
  <c r="Q653" i="30" s="1"/>
  <c r="N653" i="30"/>
  <c r="O653" i="30" s="1"/>
  <c r="K653" i="30"/>
  <c r="L653" i="30" s="1"/>
  <c r="F653" i="30"/>
  <c r="G653" i="30" s="1"/>
  <c r="D653" i="30"/>
  <c r="E653" i="30" s="1"/>
  <c r="B653" i="30"/>
  <c r="A653" i="30"/>
  <c r="M653" i="30" s="1"/>
  <c r="Y652" i="30"/>
  <c r="Z652" i="30" s="1"/>
  <c r="W652" i="30"/>
  <c r="X652" i="30" s="1"/>
  <c r="B652" i="30"/>
  <c r="A652" i="30"/>
  <c r="Y651" i="30"/>
  <c r="Z651" i="30" s="1"/>
  <c r="W651" i="30"/>
  <c r="X651" i="30" s="1"/>
  <c r="B651" i="30"/>
  <c r="A651" i="30"/>
  <c r="Y650" i="30"/>
  <c r="Z650" i="30" s="1"/>
  <c r="W650" i="30"/>
  <c r="X650" i="30" s="1"/>
  <c r="B650" i="30"/>
  <c r="A650" i="30"/>
  <c r="Y649" i="30"/>
  <c r="Z649" i="30" s="1"/>
  <c r="W649" i="30"/>
  <c r="K649" i="30"/>
  <c r="L649" i="30" s="1"/>
  <c r="B649" i="30"/>
  <c r="A649" i="30"/>
  <c r="Y648" i="30"/>
  <c r="Z648" i="30" s="1"/>
  <c r="W648" i="30"/>
  <c r="X648" i="30" s="1"/>
  <c r="B648" i="30"/>
  <c r="A648" i="30"/>
  <c r="P647" i="30"/>
  <c r="Q647" i="30" s="1"/>
  <c r="N647" i="30"/>
  <c r="O647" i="30" s="1"/>
  <c r="K647" i="30"/>
  <c r="L647" i="30" s="1"/>
  <c r="F647" i="30"/>
  <c r="G647" i="30" s="1"/>
  <c r="D647" i="30"/>
  <c r="E647" i="30" s="1"/>
  <c r="B647" i="30"/>
  <c r="A647" i="30"/>
  <c r="M647" i="30" s="1"/>
  <c r="P646" i="30"/>
  <c r="Q646" i="30" s="1"/>
  <c r="N646" i="30"/>
  <c r="O646" i="30" s="1"/>
  <c r="K646" i="30"/>
  <c r="L646" i="30" s="1"/>
  <c r="F646" i="30"/>
  <c r="G646" i="30" s="1"/>
  <c r="D646" i="30"/>
  <c r="E646" i="30" s="1"/>
  <c r="B646" i="30"/>
  <c r="A646" i="30"/>
  <c r="M646" i="30" s="1"/>
  <c r="P645" i="30"/>
  <c r="Q645" i="30" s="1"/>
  <c r="N645" i="30"/>
  <c r="O645" i="30" s="1"/>
  <c r="K645" i="30"/>
  <c r="L645" i="30" s="1"/>
  <c r="F645" i="30"/>
  <c r="G645" i="30" s="1"/>
  <c r="D645" i="30"/>
  <c r="E645" i="30" s="1"/>
  <c r="B645" i="30"/>
  <c r="A645" i="30"/>
  <c r="M645" i="30" s="1"/>
  <c r="P644" i="30"/>
  <c r="Q644" i="30" s="1"/>
  <c r="N644" i="30"/>
  <c r="O644" i="30" s="1"/>
  <c r="K644" i="30"/>
  <c r="L644" i="30" s="1"/>
  <c r="F644" i="30"/>
  <c r="G644" i="30" s="1"/>
  <c r="D644" i="30"/>
  <c r="E644" i="30" s="1"/>
  <c r="B644" i="30"/>
  <c r="A644" i="30"/>
  <c r="M644" i="30" s="1"/>
  <c r="Y643" i="30"/>
  <c r="W643" i="30"/>
  <c r="X643" i="30" s="1"/>
  <c r="B643" i="30"/>
  <c r="A643" i="30"/>
  <c r="Y642" i="30"/>
  <c r="Z642" i="30" s="1"/>
  <c r="W642" i="30"/>
  <c r="B642" i="30"/>
  <c r="A642" i="30"/>
  <c r="Y641" i="30"/>
  <c r="Z641" i="30" s="1"/>
  <c r="W641" i="30"/>
  <c r="B641" i="30"/>
  <c r="A641" i="30"/>
  <c r="Y640" i="30"/>
  <c r="Z640" i="30" s="1"/>
  <c r="W640" i="30"/>
  <c r="X640" i="30" s="1"/>
  <c r="K640" i="30"/>
  <c r="L640" i="30" s="1"/>
  <c r="B640" i="30"/>
  <c r="A640" i="30"/>
  <c r="Y639" i="30"/>
  <c r="W639" i="30"/>
  <c r="X639" i="30" s="1"/>
  <c r="B639" i="30"/>
  <c r="A639" i="30"/>
  <c r="P638" i="30"/>
  <c r="Q638" i="30" s="1"/>
  <c r="N638" i="30"/>
  <c r="O638" i="30" s="1"/>
  <c r="K638" i="30"/>
  <c r="L638" i="30" s="1"/>
  <c r="F638" i="30"/>
  <c r="G638" i="30" s="1"/>
  <c r="D638" i="30"/>
  <c r="E638" i="30" s="1"/>
  <c r="B638" i="30"/>
  <c r="A638" i="30"/>
  <c r="M638" i="30" s="1"/>
  <c r="P637" i="30"/>
  <c r="Q637" i="30" s="1"/>
  <c r="N637" i="30"/>
  <c r="O637" i="30" s="1"/>
  <c r="K637" i="30"/>
  <c r="L637" i="30" s="1"/>
  <c r="F637" i="30"/>
  <c r="G637" i="30" s="1"/>
  <c r="D637" i="30"/>
  <c r="E637" i="30" s="1"/>
  <c r="B637" i="30"/>
  <c r="A637" i="30"/>
  <c r="M637" i="30" s="1"/>
  <c r="P636" i="30"/>
  <c r="Q636" i="30" s="1"/>
  <c r="N636" i="30"/>
  <c r="O636" i="30" s="1"/>
  <c r="K636" i="30"/>
  <c r="L636" i="30" s="1"/>
  <c r="F636" i="30"/>
  <c r="G636" i="30" s="1"/>
  <c r="D636" i="30"/>
  <c r="E636" i="30" s="1"/>
  <c r="B636" i="30"/>
  <c r="A636" i="30"/>
  <c r="M636" i="30" s="1"/>
  <c r="P635" i="30"/>
  <c r="Q635" i="30" s="1"/>
  <c r="N635" i="30"/>
  <c r="O635" i="30" s="1"/>
  <c r="K635" i="30"/>
  <c r="L635" i="30" s="1"/>
  <c r="F635" i="30"/>
  <c r="G635" i="30" s="1"/>
  <c r="D635" i="30"/>
  <c r="E635" i="30" s="1"/>
  <c r="B635" i="30"/>
  <c r="A635" i="30"/>
  <c r="M635" i="30" s="1"/>
  <c r="Y634" i="30"/>
  <c r="Z634" i="30" s="1"/>
  <c r="W634" i="30"/>
  <c r="X634" i="30" s="1"/>
  <c r="B634" i="30"/>
  <c r="A634" i="30"/>
  <c r="Y633" i="30"/>
  <c r="Z633" i="30" s="1"/>
  <c r="W633" i="30"/>
  <c r="X633" i="30" s="1"/>
  <c r="B633" i="30"/>
  <c r="A633" i="30"/>
  <c r="Y632" i="30"/>
  <c r="Z632" i="30" s="1"/>
  <c r="W632" i="30"/>
  <c r="X632" i="30" s="1"/>
  <c r="B632" i="30"/>
  <c r="A632" i="30"/>
  <c r="Y631" i="30"/>
  <c r="Z631" i="30" s="1"/>
  <c r="W631" i="30"/>
  <c r="X631" i="30" s="1"/>
  <c r="K631" i="30"/>
  <c r="L631" i="30" s="1"/>
  <c r="B631" i="30"/>
  <c r="A631" i="30"/>
  <c r="Y630" i="30"/>
  <c r="Z630" i="30" s="1"/>
  <c r="W630" i="30"/>
  <c r="X630" i="30" s="1"/>
  <c r="B630" i="30"/>
  <c r="A630" i="30"/>
  <c r="P629" i="30"/>
  <c r="Q629" i="30" s="1"/>
  <c r="N629" i="30"/>
  <c r="O629" i="30" s="1"/>
  <c r="K629" i="30"/>
  <c r="F629" i="30"/>
  <c r="G629" i="30" s="1"/>
  <c r="D629" i="30"/>
  <c r="E629" i="30" s="1"/>
  <c r="B629" i="30"/>
  <c r="A629" i="30"/>
  <c r="M629" i="30" s="1"/>
  <c r="P628" i="30"/>
  <c r="Q628" i="30" s="1"/>
  <c r="N628" i="30"/>
  <c r="O628" i="30" s="1"/>
  <c r="K628" i="30"/>
  <c r="F628" i="30"/>
  <c r="G628" i="30" s="1"/>
  <c r="D628" i="30"/>
  <c r="E628" i="30" s="1"/>
  <c r="B628" i="30"/>
  <c r="A628" i="30"/>
  <c r="M628" i="30" s="1"/>
  <c r="P627" i="30"/>
  <c r="Q627" i="30" s="1"/>
  <c r="N627" i="30"/>
  <c r="O627" i="30" s="1"/>
  <c r="K627" i="30"/>
  <c r="L627" i="30" s="1"/>
  <c r="F627" i="30"/>
  <c r="G627" i="30" s="1"/>
  <c r="D627" i="30"/>
  <c r="E627" i="30" s="1"/>
  <c r="B627" i="30"/>
  <c r="A627" i="30"/>
  <c r="M627" i="30" s="1"/>
  <c r="P626" i="30"/>
  <c r="Q626" i="30" s="1"/>
  <c r="N626" i="30"/>
  <c r="O626" i="30" s="1"/>
  <c r="K626" i="30"/>
  <c r="F626" i="30"/>
  <c r="G626" i="30" s="1"/>
  <c r="D626" i="30"/>
  <c r="E626" i="30" s="1"/>
  <c r="B626" i="30"/>
  <c r="A626" i="30"/>
  <c r="M626" i="30" s="1"/>
  <c r="Y625" i="30"/>
  <c r="Z625" i="30" s="1"/>
  <c r="W625" i="30"/>
  <c r="X625" i="30" s="1"/>
  <c r="B625" i="30"/>
  <c r="A625" i="30"/>
  <c r="Y624" i="30"/>
  <c r="Z624" i="30" s="1"/>
  <c r="W624" i="30"/>
  <c r="B624" i="30"/>
  <c r="A624" i="30"/>
  <c r="Y623" i="30"/>
  <c r="Z623" i="30" s="1"/>
  <c r="W623" i="30"/>
  <c r="X623" i="30" s="1"/>
  <c r="B623" i="30"/>
  <c r="A623" i="30"/>
  <c r="Y622" i="30"/>
  <c r="Z622" i="30" s="1"/>
  <c r="W622" i="30"/>
  <c r="K622" i="30"/>
  <c r="L622" i="30" s="1"/>
  <c r="B622" i="30"/>
  <c r="A622" i="30"/>
  <c r="Y621" i="30"/>
  <c r="Z621" i="30" s="1"/>
  <c r="W621" i="30"/>
  <c r="B621" i="30"/>
  <c r="A621" i="30"/>
  <c r="P620" i="30"/>
  <c r="Q620" i="30" s="1"/>
  <c r="N620" i="30"/>
  <c r="O620" i="30" s="1"/>
  <c r="K620" i="30"/>
  <c r="L620" i="30" s="1"/>
  <c r="F620" i="30"/>
  <c r="G620" i="30" s="1"/>
  <c r="D620" i="30"/>
  <c r="E620" i="30" s="1"/>
  <c r="B620" i="30"/>
  <c r="A620" i="30"/>
  <c r="M620" i="30" s="1"/>
  <c r="P619" i="30"/>
  <c r="Q619" i="30" s="1"/>
  <c r="N619" i="30"/>
  <c r="O619" i="30" s="1"/>
  <c r="K619" i="30"/>
  <c r="F619" i="30"/>
  <c r="G619" i="30" s="1"/>
  <c r="D619" i="30"/>
  <c r="E619" i="30" s="1"/>
  <c r="B619" i="30"/>
  <c r="A619" i="30"/>
  <c r="M619" i="30" s="1"/>
  <c r="P618" i="30"/>
  <c r="Q618" i="30" s="1"/>
  <c r="N618" i="30"/>
  <c r="O618" i="30" s="1"/>
  <c r="K618" i="30"/>
  <c r="L618" i="30" s="1"/>
  <c r="F618" i="30"/>
  <c r="G618" i="30" s="1"/>
  <c r="D618" i="30"/>
  <c r="E618" i="30" s="1"/>
  <c r="B618" i="30"/>
  <c r="A618" i="30"/>
  <c r="M618" i="30" s="1"/>
  <c r="P617" i="30"/>
  <c r="Q617" i="30" s="1"/>
  <c r="N617" i="30"/>
  <c r="O617" i="30" s="1"/>
  <c r="K617" i="30"/>
  <c r="L617" i="30" s="1"/>
  <c r="F617" i="30"/>
  <c r="G617" i="30" s="1"/>
  <c r="D617" i="30"/>
  <c r="E617" i="30" s="1"/>
  <c r="B617" i="30"/>
  <c r="A617" i="30"/>
  <c r="M617" i="30" s="1"/>
  <c r="Y616" i="30"/>
  <c r="Z616" i="30" s="1"/>
  <c r="W616" i="30"/>
  <c r="B616" i="30"/>
  <c r="A616" i="30"/>
  <c r="Y615" i="30"/>
  <c r="Z615" i="30" s="1"/>
  <c r="W615" i="30"/>
  <c r="B615" i="30"/>
  <c r="A615" i="30"/>
  <c r="Y614" i="30"/>
  <c r="Z614" i="30" s="1"/>
  <c r="W614" i="30"/>
  <c r="X614" i="30" s="1"/>
  <c r="B614" i="30"/>
  <c r="A614" i="30"/>
  <c r="Y613" i="30"/>
  <c r="Z613" i="30" s="1"/>
  <c r="W613" i="30"/>
  <c r="K613" i="30"/>
  <c r="L613" i="30" s="1"/>
  <c r="B613" i="30"/>
  <c r="A613" i="30"/>
  <c r="Y612" i="30"/>
  <c r="Z612" i="30" s="1"/>
  <c r="W612" i="30"/>
  <c r="B612" i="30"/>
  <c r="A612" i="30"/>
  <c r="P611" i="30"/>
  <c r="Q611" i="30" s="1"/>
  <c r="N611" i="30"/>
  <c r="O611" i="30" s="1"/>
  <c r="K611" i="30"/>
  <c r="L611" i="30" s="1"/>
  <c r="F611" i="30"/>
  <c r="G611" i="30" s="1"/>
  <c r="D611" i="30"/>
  <c r="E611" i="30" s="1"/>
  <c r="B611" i="30"/>
  <c r="A611" i="30"/>
  <c r="M611" i="30" s="1"/>
  <c r="P610" i="30"/>
  <c r="Q610" i="30" s="1"/>
  <c r="N610" i="30"/>
  <c r="O610" i="30" s="1"/>
  <c r="K610" i="30"/>
  <c r="L610" i="30" s="1"/>
  <c r="F610" i="30"/>
  <c r="G610" i="30" s="1"/>
  <c r="D610" i="30"/>
  <c r="E610" i="30" s="1"/>
  <c r="B610" i="30"/>
  <c r="A610" i="30"/>
  <c r="M610" i="30" s="1"/>
  <c r="P609" i="30"/>
  <c r="Q609" i="30" s="1"/>
  <c r="N609" i="30"/>
  <c r="O609" i="30" s="1"/>
  <c r="K609" i="30"/>
  <c r="L609" i="30" s="1"/>
  <c r="F609" i="30"/>
  <c r="G609" i="30" s="1"/>
  <c r="D609" i="30"/>
  <c r="E609" i="30" s="1"/>
  <c r="B609" i="30"/>
  <c r="A609" i="30"/>
  <c r="M609" i="30" s="1"/>
  <c r="P608" i="30"/>
  <c r="Q608" i="30" s="1"/>
  <c r="N608" i="30"/>
  <c r="O608" i="30" s="1"/>
  <c r="K608" i="30"/>
  <c r="L608" i="30" s="1"/>
  <c r="F608" i="30"/>
  <c r="G608" i="30" s="1"/>
  <c r="D608" i="30"/>
  <c r="E608" i="30" s="1"/>
  <c r="B608" i="30"/>
  <c r="A608" i="30"/>
  <c r="M608" i="30" s="1"/>
  <c r="Y607" i="30"/>
  <c r="Z607" i="30" s="1"/>
  <c r="W607" i="30"/>
  <c r="B607" i="30"/>
  <c r="A607" i="30"/>
  <c r="Y606" i="30"/>
  <c r="Z606" i="30" s="1"/>
  <c r="W606" i="30"/>
  <c r="X606" i="30" s="1"/>
  <c r="B606" i="30"/>
  <c r="A606" i="30"/>
  <c r="Y605" i="30"/>
  <c r="Z605" i="30" s="1"/>
  <c r="W605" i="30"/>
  <c r="B605" i="30"/>
  <c r="A605" i="30"/>
  <c r="Y604" i="30"/>
  <c r="Z604" i="30" s="1"/>
  <c r="W604" i="30"/>
  <c r="K604" i="30"/>
  <c r="L604" i="30" s="1"/>
  <c r="B604" i="30"/>
  <c r="A604" i="30"/>
  <c r="Y603" i="30"/>
  <c r="Z603" i="30" s="1"/>
  <c r="W603" i="30"/>
  <c r="B603" i="30"/>
  <c r="A603" i="30"/>
  <c r="P602" i="30"/>
  <c r="Q602" i="30" s="1"/>
  <c r="N602" i="30"/>
  <c r="O602" i="30" s="1"/>
  <c r="K602" i="30"/>
  <c r="F602" i="30"/>
  <c r="G602" i="30" s="1"/>
  <c r="D602" i="30"/>
  <c r="E602" i="30" s="1"/>
  <c r="B602" i="30"/>
  <c r="A602" i="30"/>
  <c r="M602" i="30" s="1"/>
  <c r="P601" i="30"/>
  <c r="Q601" i="30" s="1"/>
  <c r="N601" i="30"/>
  <c r="O601" i="30" s="1"/>
  <c r="K601" i="30"/>
  <c r="F601" i="30"/>
  <c r="G601" i="30" s="1"/>
  <c r="D601" i="30"/>
  <c r="E601" i="30" s="1"/>
  <c r="B601" i="30"/>
  <c r="A601" i="30"/>
  <c r="M601" i="30" s="1"/>
  <c r="P600" i="30"/>
  <c r="Q600" i="30" s="1"/>
  <c r="N600" i="30"/>
  <c r="O600" i="30" s="1"/>
  <c r="K600" i="30"/>
  <c r="L600" i="30" s="1"/>
  <c r="F600" i="30"/>
  <c r="G600" i="30" s="1"/>
  <c r="D600" i="30"/>
  <c r="E600" i="30" s="1"/>
  <c r="B600" i="30"/>
  <c r="A600" i="30"/>
  <c r="M600" i="30" s="1"/>
  <c r="P599" i="30"/>
  <c r="Q599" i="30" s="1"/>
  <c r="N599" i="30"/>
  <c r="O599" i="30" s="1"/>
  <c r="K599" i="30"/>
  <c r="F599" i="30"/>
  <c r="G599" i="30" s="1"/>
  <c r="D599" i="30"/>
  <c r="E599" i="30" s="1"/>
  <c r="B599" i="30"/>
  <c r="A599" i="30"/>
  <c r="M599" i="30" s="1"/>
  <c r="Y598" i="30"/>
  <c r="Z598" i="30" s="1"/>
  <c r="W598" i="30"/>
  <c r="B598" i="30"/>
  <c r="A598" i="30"/>
  <c r="Y597" i="30"/>
  <c r="Z597" i="30" s="1"/>
  <c r="W597" i="30"/>
  <c r="B597" i="30"/>
  <c r="A597" i="30"/>
  <c r="Y596" i="30"/>
  <c r="Z596" i="30" s="1"/>
  <c r="W596" i="30"/>
  <c r="X596" i="30" s="1"/>
  <c r="B596" i="30"/>
  <c r="A596" i="30"/>
  <c r="Y595" i="30"/>
  <c r="Z595" i="30" s="1"/>
  <c r="W595" i="30"/>
  <c r="K595" i="30"/>
  <c r="L595" i="30" s="1"/>
  <c r="B595" i="30"/>
  <c r="A595" i="30"/>
  <c r="Y594" i="30"/>
  <c r="Z594" i="30" s="1"/>
  <c r="W594" i="30"/>
  <c r="B594" i="30"/>
  <c r="A594" i="30"/>
  <c r="P593" i="30"/>
  <c r="Q593" i="30" s="1"/>
  <c r="N593" i="30"/>
  <c r="O593" i="30" s="1"/>
  <c r="K593" i="30"/>
  <c r="L593" i="30" s="1"/>
  <c r="F593" i="30"/>
  <c r="G593" i="30" s="1"/>
  <c r="D593" i="30"/>
  <c r="E593" i="30" s="1"/>
  <c r="B593" i="30"/>
  <c r="A593" i="30"/>
  <c r="M593" i="30" s="1"/>
  <c r="P592" i="30"/>
  <c r="Q592" i="30" s="1"/>
  <c r="N592" i="30"/>
  <c r="O592" i="30" s="1"/>
  <c r="K592" i="30"/>
  <c r="F592" i="30"/>
  <c r="G592" i="30" s="1"/>
  <c r="D592" i="30"/>
  <c r="E592" i="30" s="1"/>
  <c r="B592" i="30"/>
  <c r="A592" i="30"/>
  <c r="M592" i="30" s="1"/>
  <c r="P591" i="30"/>
  <c r="Q591" i="30" s="1"/>
  <c r="N591" i="30"/>
  <c r="O591" i="30" s="1"/>
  <c r="K591" i="30"/>
  <c r="L591" i="30" s="1"/>
  <c r="F591" i="30"/>
  <c r="G591" i="30" s="1"/>
  <c r="D591" i="30"/>
  <c r="E591" i="30" s="1"/>
  <c r="B591" i="30"/>
  <c r="A591" i="30"/>
  <c r="M591" i="30" s="1"/>
  <c r="P590" i="30"/>
  <c r="Q590" i="30" s="1"/>
  <c r="N590" i="30"/>
  <c r="O590" i="30" s="1"/>
  <c r="K590" i="30"/>
  <c r="L590" i="30" s="1"/>
  <c r="F590" i="30"/>
  <c r="G590" i="30" s="1"/>
  <c r="D590" i="30"/>
  <c r="E590" i="30" s="1"/>
  <c r="B590" i="30"/>
  <c r="A590" i="30"/>
  <c r="M590" i="30" s="1"/>
  <c r="Y589" i="30"/>
  <c r="Z589" i="30" s="1"/>
  <c r="W589" i="30"/>
  <c r="B589" i="30"/>
  <c r="A589" i="30"/>
  <c r="Y588" i="30"/>
  <c r="Z588" i="30" s="1"/>
  <c r="W588" i="30"/>
  <c r="B588" i="30"/>
  <c r="A588" i="30"/>
  <c r="Y587" i="30"/>
  <c r="W587" i="30"/>
  <c r="X587" i="30" s="1"/>
  <c r="B587" i="30"/>
  <c r="A587" i="30"/>
  <c r="Y586" i="30"/>
  <c r="W586" i="30"/>
  <c r="X586" i="30" s="1"/>
  <c r="K586" i="30"/>
  <c r="L586" i="30" s="1"/>
  <c r="B586" i="30"/>
  <c r="A586" i="30"/>
  <c r="Y585" i="30"/>
  <c r="Z585" i="30" s="1"/>
  <c r="W585" i="30"/>
  <c r="X585" i="30" s="1"/>
  <c r="B585" i="30"/>
  <c r="A585" i="30"/>
  <c r="P584" i="30"/>
  <c r="Q584" i="30" s="1"/>
  <c r="N584" i="30"/>
  <c r="O584" i="30" s="1"/>
  <c r="K584" i="30"/>
  <c r="L584" i="30" s="1"/>
  <c r="F584" i="30"/>
  <c r="G584" i="30" s="1"/>
  <c r="D584" i="30"/>
  <c r="E584" i="30" s="1"/>
  <c r="B584" i="30"/>
  <c r="A584" i="30"/>
  <c r="M584" i="30" s="1"/>
  <c r="P583" i="30"/>
  <c r="Q583" i="30" s="1"/>
  <c r="N583" i="30"/>
  <c r="O583" i="30" s="1"/>
  <c r="K583" i="30"/>
  <c r="F583" i="30"/>
  <c r="G583" i="30" s="1"/>
  <c r="D583" i="30"/>
  <c r="E583" i="30" s="1"/>
  <c r="B583" i="30"/>
  <c r="A583" i="30"/>
  <c r="M583" i="30" s="1"/>
  <c r="P582" i="30"/>
  <c r="Q582" i="30" s="1"/>
  <c r="N582" i="30"/>
  <c r="O582" i="30" s="1"/>
  <c r="K582" i="30"/>
  <c r="L582" i="30" s="1"/>
  <c r="F582" i="30"/>
  <c r="G582" i="30" s="1"/>
  <c r="D582" i="30"/>
  <c r="E582" i="30" s="1"/>
  <c r="B582" i="30"/>
  <c r="A582" i="30"/>
  <c r="M582" i="30" s="1"/>
  <c r="P581" i="30"/>
  <c r="Q581" i="30" s="1"/>
  <c r="N581" i="30"/>
  <c r="O581" i="30" s="1"/>
  <c r="K581" i="30"/>
  <c r="L581" i="30" s="1"/>
  <c r="F581" i="30"/>
  <c r="G581" i="30" s="1"/>
  <c r="D581" i="30"/>
  <c r="E581" i="30" s="1"/>
  <c r="B581" i="30"/>
  <c r="A581" i="30"/>
  <c r="M581" i="30" s="1"/>
  <c r="Y580" i="30"/>
  <c r="Z580" i="30" s="1"/>
  <c r="W580" i="30"/>
  <c r="X580" i="30" s="1"/>
  <c r="B580" i="30"/>
  <c r="A580" i="30"/>
  <c r="Y579" i="30"/>
  <c r="Z579" i="30" s="1"/>
  <c r="W579" i="30"/>
  <c r="B579" i="30"/>
  <c r="A579" i="30"/>
  <c r="Y578" i="30"/>
  <c r="Z578" i="30" s="1"/>
  <c r="W578" i="30"/>
  <c r="X578" i="30" s="1"/>
  <c r="B578" i="30"/>
  <c r="A578" i="30"/>
  <c r="Y577" i="30"/>
  <c r="Z577" i="30" s="1"/>
  <c r="W577" i="30"/>
  <c r="X577" i="30" s="1"/>
  <c r="K577" i="30"/>
  <c r="L577" i="30" s="1"/>
  <c r="B577" i="30"/>
  <c r="A577" i="30"/>
  <c r="Y576" i="30"/>
  <c r="Z576" i="30" s="1"/>
  <c r="W576" i="30"/>
  <c r="B576" i="30"/>
  <c r="A576" i="30"/>
  <c r="P575" i="30"/>
  <c r="Q575" i="30" s="1"/>
  <c r="N575" i="30"/>
  <c r="O575" i="30" s="1"/>
  <c r="K575" i="30"/>
  <c r="F575" i="30"/>
  <c r="G575" i="30" s="1"/>
  <c r="D575" i="30"/>
  <c r="E575" i="30" s="1"/>
  <c r="B575" i="30"/>
  <c r="A575" i="30"/>
  <c r="M575" i="30" s="1"/>
  <c r="P574" i="30"/>
  <c r="Q574" i="30" s="1"/>
  <c r="N574" i="30"/>
  <c r="O574" i="30" s="1"/>
  <c r="K574" i="30"/>
  <c r="F574" i="30"/>
  <c r="G574" i="30" s="1"/>
  <c r="D574" i="30"/>
  <c r="E574" i="30" s="1"/>
  <c r="B574" i="30"/>
  <c r="A574" i="30"/>
  <c r="M574" i="30" s="1"/>
  <c r="P573" i="30"/>
  <c r="Q573" i="30" s="1"/>
  <c r="N573" i="30"/>
  <c r="O573" i="30" s="1"/>
  <c r="K573" i="30"/>
  <c r="F573" i="30"/>
  <c r="G573" i="30" s="1"/>
  <c r="D573" i="30"/>
  <c r="E573" i="30" s="1"/>
  <c r="B573" i="30"/>
  <c r="A573" i="30"/>
  <c r="M573" i="30" s="1"/>
  <c r="P572" i="30"/>
  <c r="Q572" i="30" s="1"/>
  <c r="N572" i="30"/>
  <c r="O572" i="30" s="1"/>
  <c r="K572" i="30"/>
  <c r="F572" i="30"/>
  <c r="G572" i="30" s="1"/>
  <c r="D572" i="30"/>
  <c r="E572" i="30" s="1"/>
  <c r="B572" i="30"/>
  <c r="A572" i="30"/>
  <c r="M572" i="30" s="1"/>
  <c r="Y571" i="30"/>
  <c r="Z571" i="30" s="1"/>
  <c r="W571" i="30"/>
  <c r="X571" i="30" s="1"/>
  <c r="B571" i="30"/>
  <c r="A571" i="30"/>
  <c r="Y570" i="30"/>
  <c r="Z570" i="30" s="1"/>
  <c r="W570" i="30"/>
  <c r="B570" i="30"/>
  <c r="A570" i="30"/>
  <c r="Y569" i="30"/>
  <c r="Z569" i="30" s="1"/>
  <c r="W569" i="30"/>
  <c r="X569" i="30" s="1"/>
  <c r="B569" i="30"/>
  <c r="A569" i="30"/>
  <c r="Y568" i="30"/>
  <c r="W568" i="30"/>
  <c r="X568" i="30" s="1"/>
  <c r="K568" i="30"/>
  <c r="L568" i="30" s="1"/>
  <c r="B568" i="30"/>
  <c r="A568" i="30"/>
  <c r="Y567" i="30"/>
  <c r="Z567" i="30" s="1"/>
  <c r="W567" i="30"/>
  <c r="X567" i="30" s="1"/>
  <c r="B567" i="30"/>
  <c r="A567" i="30"/>
  <c r="P566" i="30"/>
  <c r="Q566" i="30" s="1"/>
  <c r="N566" i="30"/>
  <c r="O566" i="30" s="1"/>
  <c r="K566" i="30"/>
  <c r="F566" i="30"/>
  <c r="G566" i="30" s="1"/>
  <c r="D566" i="30"/>
  <c r="E566" i="30" s="1"/>
  <c r="B566" i="30"/>
  <c r="A566" i="30"/>
  <c r="M566" i="30" s="1"/>
  <c r="P565" i="30"/>
  <c r="Q565" i="30" s="1"/>
  <c r="N565" i="30"/>
  <c r="O565" i="30" s="1"/>
  <c r="K565" i="30"/>
  <c r="F565" i="30"/>
  <c r="G565" i="30" s="1"/>
  <c r="D565" i="30"/>
  <c r="E565" i="30" s="1"/>
  <c r="B565" i="30"/>
  <c r="A565" i="30"/>
  <c r="M565" i="30" s="1"/>
  <c r="P564" i="30"/>
  <c r="Q564" i="30" s="1"/>
  <c r="N564" i="30"/>
  <c r="O564" i="30" s="1"/>
  <c r="K564" i="30"/>
  <c r="L564" i="30" s="1"/>
  <c r="F564" i="30"/>
  <c r="G564" i="30" s="1"/>
  <c r="D564" i="30"/>
  <c r="E564" i="30" s="1"/>
  <c r="B564" i="30"/>
  <c r="A564" i="30"/>
  <c r="M564" i="30" s="1"/>
  <c r="P563" i="30"/>
  <c r="Q563" i="30" s="1"/>
  <c r="N563" i="30"/>
  <c r="O563" i="30" s="1"/>
  <c r="K563" i="30"/>
  <c r="L563" i="30" s="1"/>
  <c r="F563" i="30"/>
  <c r="G563" i="30" s="1"/>
  <c r="D563" i="30"/>
  <c r="E563" i="30" s="1"/>
  <c r="B563" i="30"/>
  <c r="A563" i="30"/>
  <c r="M563" i="30" s="1"/>
  <c r="Y562" i="30"/>
  <c r="Z562" i="30" s="1"/>
  <c r="W562" i="30"/>
  <c r="X562" i="30" s="1"/>
  <c r="B562" i="30"/>
  <c r="A562" i="30"/>
  <c r="Y561" i="30"/>
  <c r="Z561" i="30" s="1"/>
  <c r="W561" i="30"/>
  <c r="X561" i="30" s="1"/>
  <c r="B561" i="30"/>
  <c r="A561" i="30"/>
  <c r="Y560" i="30"/>
  <c r="Z560" i="30" s="1"/>
  <c r="W560" i="30"/>
  <c r="X560" i="30" s="1"/>
  <c r="B560" i="30"/>
  <c r="A560" i="30"/>
  <c r="Y559" i="30"/>
  <c r="Z559" i="30" s="1"/>
  <c r="W559" i="30"/>
  <c r="X559" i="30" s="1"/>
  <c r="K559" i="30"/>
  <c r="L559" i="30" s="1"/>
  <c r="B559" i="30"/>
  <c r="A559" i="30"/>
  <c r="Y558" i="30"/>
  <c r="Z558" i="30" s="1"/>
  <c r="W558" i="30"/>
  <c r="B558" i="30"/>
  <c r="A558" i="30"/>
  <c r="P557" i="30"/>
  <c r="Q557" i="30" s="1"/>
  <c r="N557" i="30"/>
  <c r="O557" i="30" s="1"/>
  <c r="K557" i="30"/>
  <c r="L557" i="30" s="1"/>
  <c r="F557" i="30"/>
  <c r="G557" i="30" s="1"/>
  <c r="D557" i="30"/>
  <c r="E557" i="30" s="1"/>
  <c r="B557" i="30"/>
  <c r="A557" i="30"/>
  <c r="M557" i="30" s="1"/>
  <c r="P556" i="30"/>
  <c r="Q556" i="30" s="1"/>
  <c r="N556" i="30"/>
  <c r="O556" i="30" s="1"/>
  <c r="K556" i="30"/>
  <c r="F556" i="30"/>
  <c r="G556" i="30" s="1"/>
  <c r="D556" i="30"/>
  <c r="E556" i="30" s="1"/>
  <c r="B556" i="30"/>
  <c r="A556" i="30"/>
  <c r="M556" i="30" s="1"/>
  <c r="P555" i="30"/>
  <c r="Q555" i="30" s="1"/>
  <c r="N555" i="30"/>
  <c r="O555" i="30" s="1"/>
  <c r="K555" i="30"/>
  <c r="L555" i="30" s="1"/>
  <c r="F555" i="30"/>
  <c r="G555" i="30" s="1"/>
  <c r="D555" i="30"/>
  <c r="E555" i="30" s="1"/>
  <c r="B555" i="30"/>
  <c r="A555" i="30"/>
  <c r="M555" i="30" s="1"/>
  <c r="P554" i="30"/>
  <c r="Q554" i="30" s="1"/>
  <c r="N554" i="30"/>
  <c r="O554" i="30" s="1"/>
  <c r="K554" i="30"/>
  <c r="L554" i="30" s="1"/>
  <c r="F554" i="30"/>
  <c r="G554" i="30" s="1"/>
  <c r="D554" i="30"/>
  <c r="E554" i="30" s="1"/>
  <c r="B554" i="30"/>
  <c r="A554" i="30"/>
  <c r="M554" i="30" s="1"/>
  <c r="Y553" i="30"/>
  <c r="Z553" i="30" s="1"/>
  <c r="W553" i="30"/>
  <c r="X553" i="30" s="1"/>
  <c r="B553" i="30"/>
  <c r="A553" i="30"/>
  <c r="Y552" i="30"/>
  <c r="Z552" i="30" s="1"/>
  <c r="W552" i="30"/>
  <c r="B552" i="30"/>
  <c r="A552" i="30"/>
  <c r="Y551" i="30"/>
  <c r="W551" i="30"/>
  <c r="X551" i="30" s="1"/>
  <c r="B551" i="30"/>
  <c r="A551" i="30"/>
  <c r="Y550" i="30"/>
  <c r="Z550" i="30" s="1"/>
  <c r="W550" i="30"/>
  <c r="X550" i="30" s="1"/>
  <c r="K550" i="30"/>
  <c r="L550" i="30" s="1"/>
  <c r="B550" i="30"/>
  <c r="A550" i="30"/>
  <c r="Y549" i="30"/>
  <c r="Z549" i="30" s="1"/>
  <c r="W549" i="30"/>
  <c r="B549" i="30"/>
  <c r="A549" i="30"/>
  <c r="P548" i="30"/>
  <c r="Q548" i="30" s="1"/>
  <c r="N548" i="30"/>
  <c r="O548" i="30" s="1"/>
  <c r="K548" i="30"/>
  <c r="L548" i="30" s="1"/>
  <c r="F548" i="30"/>
  <c r="G548" i="30" s="1"/>
  <c r="D548" i="30"/>
  <c r="E548" i="30" s="1"/>
  <c r="B548" i="30"/>
  <c r="A548" i="30"/>
  <c r="M548" i="30" s="1"/>
  <c r="P547" i="30"/>
  <c r="Q547" i="30" s="1"/>
  <c r="N547" i="30"/>
  <c r="O547" i="30" s="1"/>
  <c r="K547" i="30"/>
  <c r="F547" i="30"/>
  <c r="G547" i="30" s="1"/>
  <c r="D547" i="30"/>
  <c r="E547" i="30" s="1"/>
  <c r="B547" i="30"/>
  <c r="A547" i="30"/>
  <c r="M547" i="30" s="1"/>
  <c r="P546" i="30"/>
  <c r="Q546" i="30" s="1"/>
  <c r="N546" i="30"/>
  <c r="O546" i="30" s="1"/>
  <c r="K546" i="30"/>
  <c r="L546" i="30" s="1"/>
  <c r="F546" i="30"/>
  <c r="G546" i="30" s="1"/>
  <c r="D546" i="30"/>
  <c r="E546" i="30" s="1"/>
  <c r="B546" i="30"/>
  <c r="A546" i="30"/>
  <c r="M546" i="30" s="1"/>
  <c r="P545" i="30"/>
  <c r="Q545" i="30" s="1"/>
  <c r="N545" i="30"/>
  <c r="O545" i="30" s="1"/>
  <c r="K545" i="30"/>
  <c r="L545" i="30" s="1"/>
  <c r="F545" i="30"/>
  <c r="G545" i="30" s="1"/>
  <c r="D545" i="30"/>
  <c r="E545" i="30" s="1"/>
  <c r="B545" i="30"/>
  <c r="A545" i="30"/>
  <c r="M545" i="30" s="1"/>
  <c r="Y544" i="30"/>
  <c r="Z544" i="30" s="1"/>
  <c r="W544" i="30"/>
  <c r="X544" i="30" s="1"/>
  <c r="B544" i="30"/>
  <c r="A544" i="30"/>
  <c r="Y543" i="30"/>
  <c r="Z543" i="30" s="1"/>
  <c r="W543" i="30"/>
  <c r="X543" i="30" s="1"/>
  <c r="B543" i="30"/>
  <c r="A543" i="30"/>
  <c r="Y542" i="30"/>
  <c r="Z542" i="30" s="1"/>
  <c r="W542" i="30"/>
  <c r="X542" i="30" s="1"/>
  <c r="B542" i="30"/>
  <c r="A542" i="30"/>
  <c r="Y541" i="30"/>
  <c r="Z541" i="30" s="1"/>
  <c r="W541" i="30"/>
  <c r="X541" i="30" s="1"/>
  <c r="K541" i="30"/>
  <c r="L541" i="30" s="1"/>
  <c r="B541" i="30"/>
  <c r="A541" i="30"/>
  <c r="Y540" i="30"/>
  <c r="Z540" i="30" s="1"/>
  <c r="W540" i="30"/>
  <c r="B540" i="30"/>
  <c r="A540" i="30"/>
  <c r="P539" i="30"/>
  <c r="Q539" i="30" s="1"/>
  <c r="N539" i="30"/>
  <c r="O539" i="30" s="1"/>
  <c r="K539" i="30"/>
  <c r="F539" i="30"/>
  <c r="G539" i="30" s="1"/>
  <c r="D539" i="30"/>
  <c r="E539" i="30" s="1"/>
  <c r="B539" i="30"/>
  <c r="A539" i="30"/>
  <c r="M539" i="30" s="1"/>
  <c r="P538" i="30"/>
  <c r="Q538" i="30" s="1"/>
  <c r="N538" i="30"/>
  <c r="O538" i="30" s="1"/>
  <c r="K538" i="30"/>
  <c r="F538" i="30"/>
  <c r="G538" i="30" s="1"/>
  <c r="D538" i="30"/>
  <c r="E538" i="30" s="1"/>
  <c r="B538" i="30"/>
  <c r="A538" i="30"/>
  <c r="M538" i="30" s="1"/>
  <c r="P537" i="30"/>
  <c r="Q537" i="30" s="1"/>
  <c r="N537" i="30"/>
  <c r="O537" i="30" s="1"/>
  <c r="K537" i="30"/>
  <c r="F537" i="30"/>
  <c r="G537" i="30" s="1"/>
  <c r="D537" i="30"/>
  <c r="E537" i="30" s="1"/>
  <c r="B537" i="30"/>
  <c r="A537" i="30"/>
  <c r="M537" i="30" s="1"/>
  <c r="P536" i="30"/>
  <c r="Q536" i="30" s="1"/>
  <c r="N536" i="30"/>
  <c r="O536" i="30" s="1"/>
  <c r="K536" i="30"/>
  <c r="F536" i="30"/>
  <c r="G536" i="30" s="1"/>
  <c r="D536" i="30"/>
  <c r="E536" i="30" s="1"/>
  <c r="B536" i="30"/>
  <c r="A536" i="30"/>
  <c r="M536" i="30" s="1"/>
  <c r="Y535" i="30"/>
  <c r="Z535" i="30" s="1"/>
  <c r="W535" i="30"/>
  <c r="B535" i="30"/>
  <c r="A535" i="30"/>
  <c r="Y534" i="30"/>
  <c r="Z534" i="30" s="1"/>
  <c r="W534" i="30"/>
  <c r="B534" i="30"/>
  <c r="A534" i="30"/>
  <c r="Y533" i="30"/>
  <c r="Z533" i="30" s="1"/>
  <c r="W533" i="30"/>
  <c r="B533" i="30"/>
  <c r="A533" i="30"/>
  <c r="Y532" i="30"/>
  <c r="Z532" i="30" s="1"/>
  <c r="W532" i="30"/>
  <c r="K532" i="30"/>
  <c r="L532" i="30" s="1"/>
  <c r="B532" i="30"/>
  <c r="A532" i="30"/>
  <c r="Y531" i="30"/>
  <c r="Z531" i="30" s="1"/>
  <c r="W531" i="30"/>
  <c r="X531" i="30" s="1"/>
  <c r="B531" i="30"/>
  <c r="A531" i="30"/>
  <c r="P530" i="30"/>
  <c r="Q530" i="30" s="1"/>
  <c r="N530" i="30"/>
  <c r="O530" i="30" s="1"/>
  <c r="K530" i="30"/>
  <c r="F530" i="30"/>
  <c r="G530" i="30" s="1"/>
  <c r="D530" i="30"/>
  <c r="E530" i="30" s="1"/>
  <c r="B530" i="30"/>
  <c r="A530" i="30"/>
  <c r="M530" i="30" s="1"/>
  <c r="P529" i="30"/>
  <c r="Q529" i="30" s="1"/>
  <c r="N529" i="30"/>
  <c r="O529" i="30" s="1"/>
  <c r="K529" i="30"/>
  <c r="F529" i="30"/>
  <c r="G529" i="30" s="1"/>
  <c r="D529" i="30"/>
  <c r="E529" i="30" s="1"/>
  <c r="B529" i="30"/>
  <c r="A529" i="30"/>
  <c r="M529" i="30" s="1"/>
  <c r="P528" i="30"/>
  <c r="Q528" i="30" s="1"/>
  <c r="N528" i="30"/>
  <c r="O528" i="30" s="1"/>
  <c r="K528" i="30"/>
  <c r="L528" i="30" s="1"/>
  <c r="F528" i="30"/>
  <c r="G528" i="30" s="1"/>
  <c r="D528" i="30"/>
  <c r="E528" i="30" s="1"/>
  <c r="B528" i="30"/>
  <c r="A528" i="30"/>
  <c r="M528" i="30" s="1"/>
  <c r="P527" i="30"/>
  <c r="Q527" i="30" s="1"/>
  <c r="N527" i="30"/>
  <c r="O527" i="30" s="1"/>
  <c r="K527" i="30"/>
  <c r="F527" i="30"/>
  <c r="G527" i="30" s="1"/>
  <c r="D527" i="30"/>
  <c r="E527" i="30" s="1"/>
  <c r="B527" i="30"/>
  <c r="A527" i="30"/>
  <c r="M527" i="30" s="1"/>
  <c r="Y526" i="30"/>
  <c r="Z526" i="30" s="1"/>
  <c r="W526" i="30"/>
  <c r="X526" i="30" s="1"/>
  <c r="B526" i="30"/>
  <c r="A526" i="30"/>
  <c r="Y525" i="30"/>
  <c r="W525" i="30"/>
  <c r="X525" i="30" s="1"/>
  <c r="B525" i="30"/>
  <c r="A525" i="30"/>
  <c r="Y524" i="30"/>
  <c r="Z524" i="30" s="1"/>
  <c r="W524" i="30"/>
  <c r="B524" i="30"/>
  <c r="A524" i="30"/>
  <c r="Y523" i="30"/>
  <c r="Z523" i="30" s="1"/>
  <c r="W523" i="30"/>
  <c r="X523" i="30" s="1"/>
  <c r="K523" i="30"/>
  <c r="L523" i="30" s="1"/>
  <c r="B523" i="30"/>
  <c r="A523" i="30"/>
  <c r="Y522" i="30"/>
  <c r="Z522" i="30" s="1"/>
  <c r="W522" i="30"/>
  <c r="B522" i="30"/>
  <c r="A522" i="30"/>
  <c r="P521" i="30"/>
  <c r="Q521" i="30" s="1"/>
  <c r="N521" i="30"/>
  <c r="O521" i="30" s="1"/>
  <c r="K521" i="30"/>
  <c r="L521" i="30" s="1"/>
  <c r="F521" i="30"/>
  <c r="G521" i="30" s="1"/>
  <c r="D521" i="30"/>
  <c r="E521" i="30" s="1"/>
  <c r="B521" i="30"/>
  <c r="A521" i="30"/>
  <c r="M521" i="30" s="1"/>
  <c r="P520" i="30"/>
  <c r="Q520" i="30" s="1"/>
  <c r="N520" i="30"/>
  <c r="O520" i="30" s="1"/>
  <c r="K520" i="30"/>
  <c r="L520" i="30" s="1"/>
  <c r="F520" i="30"/>
  <c r="G520" i="30" s="1"/>
  <c r="D520" i="30"/>
  <c r="E520" i="30" s="1"/>
  <c r="B520" i="30"/>
  <c r="A520" i="30"/>
  <c r="M520" i="30" s="1"/>
  <c r="P519" i="30"/>
  <c r="Q519" i="30" s="1"/>
  <c r="N519" i="30"/>
  <c r="O519" i="30" s="1"/>
  <c r="K519" i="30"/>
  <c r="L519" i="30" s="1"/>
  <c r="F519" i="30"/>
  <c r="G519" i="30" s="1"/>
  <c r="D519" i="30"/>
  <c r="E519" i="30" s="1"/>
  <c r="B519" i="30"/>
  <c r="A519" i="30"/>
  <c r="M519" i="30" s="1"/>
  <c r="P518" i="30"/>
  <c r="Q518" i="30" s="1"/>
  <c r="N518" i="30"/>
  <c r="O518" i="30" s="1"/>
  <c r="K518" i="30"/>
  <c r="L518" i="30" s="1"/>
  <c r="F518" i="30"/>
  <c r="G518" i="30" s="1"/>
  <c r="D518" i="30"/>
  <c r="E518" i="30" s="1"/>
  <c r="B518" i="30"/>
  <c r="A518" i="30"/>
  <c r="M518" i="30" s="1"/>
  <c r="Y517" i="30"/>
  <c r="Z517" i="30" s="1"/>
  <c r="W517" i="30"/>
  <c r="X517" i="30" s="1"/>
  <c r="B517" i="30"/>
  <c r="A517" i="30"/>
  <c r="Y516" i="30"/>
  <c r="Z516" i="30" s="1"/>
  <c r="W516" i="30"/>
  <c r="B516" i="30"/>
  <c r="A516" i="30"/>
  <c r="Y515" i="30"/>
  <c r="W515" i="30"/>
  <c r="X515" i="30" s="1"/>
  <c r="B515" i="30"/>
  <c r="A515" i="30"/>
  <c r="Y514" i="30"/>
  <c r="Z514" i="30" s="1"/>
  <c r="W514" i="30"/>
  <c r="K514" i="30"/>
  <c r="L514" i="30" s="1"/>
  <c r="B514" i="30"/>
  <c r="A514" i="30"/>
  <c r="Y513" i="30"/>
  <c r="W513" i="30"/>
  <c r="X513" i="30" s="1"/>
  <c r="B513" i="30"/>
  <c r="A513" i="30"/>
  <c r="P512" i="30"/>
  <c r="Q512" i="30" s="1"/>
  <c r="N512" i="30"/>
  <c r="O512" i="30" s="1"/>
  <c r="K512" i="30"/>
  <c r="L512" i="30" s="1"/>
  <c r="F512" i="30"/>
  <c r="G512" i="30" s="1"/>
  <c r="D512" i="30"/>
  <c r="E512" i="30" s="1"/>
  <c r="B512" i="30"/>
  <c r="A512" i="30"/>
  <c r="M512" i="30" s="1"/>
  <c r="P511" i="30"/>
  <c r="Q511" i="30" s="1"/>
  <c r="N511" i="30"/>
  <c r="O511" i="30" s="1"/>
  <c r="K511" i="30"/>
  <c r="F511" i="30"/>
  <c r="G511" i="30" s="1"/>
  <c r="D511" i="30"/>
  <c r="E511" i="30" s="1"/>
  <c r="B511" i="30"/>
  <c r="A511" i="30"/>
  <c r="M511" i="30" s="1"/>
  <c r="P510" i="30"/>
  <c r="Q510" i="30" s="1"/>
  <c r="N510" i="30"/>
  <c r="O510" i="30" s="1"/>
  <c r="K510" i="30"/>
  <c r="L510" i="30" s="1"/>
  <c r="F510" i="30"/>
  <c r="G510" i="30" s="1"/>
  <c r="D510" i="30"/>
  <c r="E510" i="30" s="1"/>
  <c r="B510" i="30"/>
  <c r="A510" i="30"/>
  <c r="M510" i="30" s="1"/>
  <c r="P509" i="30"/>
  <c r="Q509" i="30" s="1"/>
  <c r="N509" i="30"/>
  <c r="O509" i="30" s="1"/>
  <c r="K509" i="30"/>
  <c r="L509" i="30" s="1"/>
  <c r="F509" i="30"/>
  <c r="G509" i="30" s="1"/>
  <c r="D509" i="30"/>
  <c r="E509" i="30" s="1"/>
  <c r="B509" i="30"/>
  <c r="A509" i="30"/>
  <c r="M509" i="30" s="1"/>
  <c r="Y508" i="30"/>
  <c r="Z508" i="30" s="1"/>
  <c r="W508" i="30"/>
  <c r="B508" i="30"/>
  <c r="A508" i="30"/>
  <c r="Y507" i="30"/>
  <c r="Z507" i="30" s="1"/>
  <c r="W507" i="30"/>
  <c r="X507" i="30" s="1"/>
  <c r="B507" i="30"/>
  <c r="A507" i="30"/>
  <c r="Y506" i="30"/>
  <c r="Z506" i="30" s="1"/>
  <c r="W506" i="30"/>
  <c r="X506" i="30" s="1"/>
  <c r="B506" i="30"/>
  <c r="A506" i="30"/>
  <c r="Y505" i="30"/>
  <c r="Z505" i="30" s="1"/>
  <c r="W505" i="30"/>
  <c r="X505" i="30" s="1"/>
  <c r="K505" i="30"/>
  <c r="L505" i="30" s="1"/>
  <c r="B505" i="30"/>
  <c r="A505" i="30"/>
  <c r="Y504" i="30"/>
  <c r="Z504" i="30" s="1"/>
  <c r="W504" i="30"/>
  <c r="X504" i="30" s="1"/>
  <c r="B504" i="30"/>
  <c r="A504" i="30"/>
  <c r="P503" i="30"/>
  <c r="Q503" i="30" s="1"/>
  <c r="N503" i="30"/>
  <c r="O503" i="30" s="1"/>
  <c r="K503" i="30"/>
  <c r="F503" i="30"/>
  <c r="G503" i="30" s="1"/>
  <c r="D503" i="30"/>
  <c r="E503" i="30" s="1"/>
  <c r="B503" i="30"/>
  <c r="A503" i="30"/>
  <c r="M503" i="30" s="1"/>
  <c r="P502" i="30"/>
  <c r="Q502" i="30" s="1"/>
  <c r="N502" i="30"/>
  <c r="O502" i="30" s="1"/>
  <c r="K502" i="30"/>
  <c r="F502" i="30"/>
  <c r="G502" i="30" s="1"/>
  <c r="D502" i="30"/>
  <c r="E502" i="30" s="1"/>
  <c r="B502" i="30"/>
  <c r="A502" i="30"/>
  <c r="M502" i="30" s="1"/>
  <c r="P501" i="30"/>
  <c r="Q501" i="30" s="1"/>
  <c r="N501" i="30"/>
  <c r="O501" i="30" s="1"/>
  <c r="K501" i="30"/>
  <c r="F501" i="30"/>
  <c r="G501" i="30" s="1"/>
  <c r="D501" i="30"/>
  <c r="E501" i="30" s="1"/>
  <c r="B501" i="30"/>
  <c r="A501" i="30"/>
  <c r="M501" i="30" s="1"/>
  <c r="P500" i="30"/>
  <c r="Q500" i="30" s="1"/>
  <c r="N500" i="30"/>
  <c r="O500" i="30" s="1"/>
  <c r="K500" i="30"/>
  <c r="F500" i="30"/>
  <c r="G500" i="30" s="1"/>
  <c r="D500" i="30"/>
  <c r="E500" i="30" s="1"/>
  <c r="B500" i="30"/>
  <c r="A500" i="30"/>
  <c r="M500" i="30" s="1"/>
  <c r="Y499" i="30"/>
  <c r="Z499" i="30" s="1"/>
  <c r="W499" i="30"/>
  <c r="X499" i="30" s="1"/>
  <c r="B499" i="30"/>
  <c r="A499" i="30"/>
  <c r="Y498" i="30"/>
  <c r="W498" i="30"/>
  <c r="X498" i="30" s="1"/>
  <c r="B498" i="30"/>
  <c r="A498" i="30"/>
  <c r="Y497" i="30"/>
  <c r="Z497" i="30" s="1"/>
  <c r="W497" i="30"/>
  <c r="X497" i="30" s="1"/>
  <c r="B497" i="30"/>
  <c r="A497" i="30"/>
  <c r="Y496" i="30"/>
  <c r="Z496" i="30" s="1"/>
  <c r="W496" i="30"/>
  <c r="X496" i="30" s="1"/>
  <c r="K496" i="30"/>
  <c r="L496" i="30" s="1"/>
  <c r="B496" i="30"/>
  <c r="A496" i="30"/>
  <c r="Y495" i="30"/>
  <c r="Z495" i="30" s="1"/>
  <c r="W495" i="30"/>
  <c r="X495" i="30" s="1"/>
  <c r="B495" i="30"/>
  <c r="A495" i="30"/>
  <c r="P494" i="30"/>
  <c r="Q494" i="30" s="1"/>
  <c r="N494" i="30"/>
  <c r="O494" i="30" s="1"/>
  <c r="K494" i="30"/>
  <c r="F494" i="30"/>
  <c r="G494" i="30" s="1"/>
  <c r="D494" i="30"/>
  <c r="E494" i="30" s="1"/>
  <c r="B494" i="30"/>
  <c r="A494" i="30"/>
  <c r="M494" i="30" s="1"/>
  <c r="P493" i="30"/>
  <c r="Q493" i="30" s="1"/>
  <c r="N493" i="30"/>
  <c r="O493" i="30" s="1"/>
  <c r="K493" i="30"/>
  <c r="F493" i="30"/>
  <c r="G493" i="30" s="1"/>
  <c r="D493" i="30"/>
  <c r="E493" i="30" s="1"/>
  <c r="B493" i="30"/>
  <c r="A493" i="30"/>
  <c r="M493" i="30" s="1"/>
  <c r="P492" i="30"/>
  <c r="Q492" i="30" s="1"/>
  <c r="N492" i="30"/>
  <c r="O492" i="30" s="1"/>
  <c r="K492" i="30"/>
  <c r="L492" i="30" s="1"/>
  <c r="F492" i="30"/>
  <c r="G492" i="30" s="1"/>
  <c r="D492" i="30"/>
  <c r="E492" i="30" s="1"/>
  <c r="B492" i="30"/>
  <c r="A492" i="30"/>
  <c r="M492" i="30" s="1"/>
  <c r="P491" i="30"/>
  <c r="Q491" i="30" s="1"/>
  <c r="N491" i="30"/>
  <c r="O491" i="30" s="1"/>
  <c r="K491" i="30"/>
  <c r="L491" i="30" s="1"/>
  <c r="F491" i="30"/>
  <c r="G491" i="30" s="1"/>
  <c r="D491" i="30"/>
  <c r="E491" i="30" s="1"/>
  <c r="B491" i="30"/>
  <c r="A491" i="30"/>
  <c r="M491" i="30" s="1"/>
  <c r="Y490" i="30"/>
  <c r="Z490" i="30" s="1"/>
  <c r="W490" i="30"/>
  <c r="B490" i="30"/>
  <c r="A490" i="30"/>
  <c r="Y489" i="30"/>
  <c r="Z489" i="30" s="1"/>
  <c r="W489" i="30"/>
  <c r="X489" i="30" s="1"/>
  <c r="B489" i="30"/>
  <c r="A489" i="30"/>
  <c r="Y488" i="30"/>
  <c r="Z488" i="30" s="1"/>
  <c r="W488" i="30"/>
  <c r="X488" i="30" s="1"/>
  <c r="B488" i="30"/>
  <c r="A488" i="30"/>
  <c r="Y487" i="30"/>
  <c r="Z487" i="30" s="1"/>
  <c r="W487" i="30"/>
  <c r="K487" i="30"/>
  <c r="L487" i="30" s="1"/>
  <c r="B487" i="30"/>
  <c r="A487" i="30"/>
  <c r="Y486" i="30"/>
  <c r="Z486" i="30" s="1"/>
  <c r="W486" i="30"/>
  <c r="X486" i="30" s="1"/>
  <c r="B486" i="30"/>
  <c r="A486" i="30"/>
  <c r="P485" i="30"/>
  <c r="Q485" i="30" s="1"/>
  <c r="N485" i="30"/>
  <c r="O485" i="30" s="1"/>
  <c r="K485" i="30"/>
  <c r="L485" i="30" s="1"/>
  <c r="F485" i="30"/>
  <c r="G485" i="30" s="1"/>
  <c r="D485" i="30"/>
  <c r="E485" i="30" s="1"/>
  <c r="B485" i="30"/>
  <c r="A485" i="30"/>
  <c r="M485" i="30" s="1"/>
  <c r="P484" i="30"/>
  <c r="Q484" i="30" s="1"/>
  <c r="N484" i="30"/>
  <c r="O484" i="30" s="1"/>
  <c r="K484" i="30"/>
  <c r="L484" i="30" s="1"/>
  <c r="F484" i="30"/>
  <c r="G484" i="30" s="1"/>
  <c r="D484" i="30"/>
  <c r="E484" i="30" s="1"/>
  <c r="B484" i="30"/>
  <c r="A484" i="30"/>
  <c r="M484" i="30" s="1"/>
  <c r="P483" i="30"/>
  <c r="Q483" i="30" s="1"/>
  <c r="N483" i="30"/>
  <c r="O483" i="30" s="1"/>
  <c r="K483" i="30"/>
  <c r="L483" i="30" s="1"/>
  <c r="F483" i="30"/>
  <c r="G483" i="30" s="1"/>
  <c r="D483" i="30"/>
  <c r="E483" i="30" s="1"/>
  <c r="B483" i="30"/>
  <c r="A483" i="30"/>
  <c r="M483" i="30" s="1"/>
  <c r="P482" i="30"/>
  <c r="Q482" i="30" s="1"/>
  <c r="N482" i="30"/>
  <c r="O482" i="30" s="1"/>
  <c r="K482" i="30"/>
  <c r="L482" i="30" s="1"/>
  <c r="F482" i="30"/>
  <c r="G482" i="30" s="1"/>
  <c r="D482" i="30"/>
  <c r="E482" i="30" s="1"/>
  <c r="B482" i="30"/>
  <c r="A482" i="30"/>
  <c r="M482" i="30" s="1"/>
  <c r="Y481" i="30"/>
  <c r="Z481" i="30" s="1"/>
  <c r="W481" i="30"/>
  <c r="X481" i="30" s="1"/>
  <c r="B481" i="30"/>
  <c r="A481" i="30"/>
  <c r="Y480" i="30"/>
  <c r="Z480" i="30" s="1"/>
  <c r="W480" i="30"/>
  <c r="X480" i="30" s="1"/>
  <c r="B480" i="30"/>
  <c r="A480" i="30"/>
  <c r="Y479" i="30"/>
  <c r="Z479" i="30" s="1"/>
  <c r="W479" i="30"/>
  <c r="X479" i="30" s="1"/>
  <c r="B479" i="30"/>
  <c r="A479" i="30"/>
  <c r="Y478" i="30"/>
  <c r="Z478" i="30" s="1"/>
  <c r="W478" i="30"/>
  <c r="X478" i="30" s="1"/>
  <c r="K478" i="30"/>
  <c r="L478" i="30" s="1"/>
  <c r="B478" i="30"/>
  <c r="A478" i="30"/>
  <c r="Y477" i="30"/>
  <c r="Z477" i="30" s="1"/>
  <c r="W477" i="30"/>
  <c r="X477" i="30" s="1"/>
  <c r="B477" i="30"/>
  <c r="A477" i="30"/>
  <c r="P476" i="30"/>
  <c r="Q476" i="30" s="1"/>
  <c r="N476" i="30"/>
  <c r="O476" i="30" s="1"/>
  <c r="K476" i="30"/>
  <c r="L476" i="30" s="1"/>
  <c r="F476" i="30"/>
  <c r="G476" i="30" s="1"/>
  <c r="D476" i="30"/>
  <c r="E476" i="30" s="1"/>
  <c r="B476" i="30"/>
  <c r="A476" i="30"/>
  <c r="M476" i="30" s="1"/>
  <c r="P475" i="30"/>
  <c r="Q475" i="30" s="1"/>
  <c r="N475" i="30"/>
  <c r="O475" i="30" s="1"/>
  <c r="K475" i="30"/>
  <c r="F475" i="30"/>
  <c r="G475" i="30" s="1"/>
  <c r="D475" i="30"/>
  <c r="E475" i="30" s="1"/>
  <c r="B475" i="30"/>
  <c r="A475" i="30"/>
  <c r="M475" i="30" s="1"/>
  <c r="P474" i="30"/>
  <c r="Q474" i="30" s="1"/>
  <c r="N474" i="30"/>
  <c r="O474" i="30" s="1"/>
  <c r="K474" i="30"/>
  <c r="L474" i="30" s="1"/>
  <c r="F474" i="30"/>
  <c r="G474" i="30" s="1"/>
  <c r="D474" i="30"/>
  <c r="E474" i="30" s="1"/>
  <c r="B474" i="30"/>
  <c r="A474" i="30"/>
  <c r="M474" i="30" s="1"/>
  <c r="P473" i="30"/>
  <c r="Q473" i="30" s="1"/>
  <c r="N473" i="30"/>
  <c r="O473" i="30" s="1"/>
  <c r="K473" i="30"/>
  <c r="L473" i="30" s="1"/>
  <c r="F473" i="30"/>
  <c r="G473" i="30" s="1"/>
  <c r="D473" i="30"/>
  <c r="E473" i="30" s="1"/>
  <c r="B473" i="30"/>
  <c r="A473" i="30"/>
  <c r="M473" i="30" s="1"/>
  <c r="Y472" i="30"/>
  <c r="Z472" i="30" s="1"/>
  <c r="W472" i="30"/>
  <c r="B472" i="30"/>
  <c r="A472" i="30"/>
  <c r="Y471" i="30"/>
  <c r="Z471" i="30" s="1"/>
  <c r="W471" i="30"/>
  <c r="X471" i="30" s="1"/>
  <c r="B471" i="30"/>
  <c r="A471" i="30"/>
  <c r="Y470" i="30"/>
  <c r="Z470" i="30" s="1"/>
  <c r="W470" i="30"/>
  <c r="X470" i="30" s="1"/>
  <c r="B470" i="30"/>
  <c r="A470" i="30"/>
  <c r="Y469" i="30"/>
  <c r="Z469" i="30" s="1"/>
  <c r="W469" i="30"/>
  <c r="X469" i="30" s="1"/>
  <c r="K469" i="30"/>
  <c r="L469" i="30" s="1"/>
  <c r="B469" i="30"/>
  <c r="A469" i="30"/>
  <c r="Y468" i="30"/>
  <c r="Z468" i="30" s="1"/>
  <c r="W468" i="30"/>
  <c r="B468" i="30"/>
  <c r="A468" i="30"/>
  <c r="P467" i="30"/>
  <c r="Q467" i="30" s="1"/>
  <c r="N467" i="30"/>
  <c r="O467" i="30" s="1"/>
  <c r="K467" i="30"/>
  <c r="F467" i="30"/>
  <c r="G467" i="30" s="1"/>
  <c r="D467" i="30"/>
  <c r="E467" i="30" s="1"/>
  <c r="B467" i="30"/>
  <c r="A467" i="30"/>
  <c r="M467" i="30" s="1"/>
  <c r="P466" i="30"/>
  <c r="Q466" i="30" s="1"/>
  <c r="N466" i="30"/>
  <c r="O466" i="30" s="1"/>
  <c r="K466" i="30"/>
  <c r="F466" i="30"/>
  <c r="G466" i="30" s="1"/>
  <c r="D466" i="30"/>
  <c r="E466" i="30" s="1"/>
  <c r="B466" i="30"/>
  <c r="A466" i="30"/>
  <c r="M466" i="30" s="1"/>
  <c r="P465" i="30"/>
  <c r="Q465" i="30" s="1"/>
  <c r="N465" i="30"/>
  <c r="O465" i="30" s="1"/>
  <c r="K465" i="30"/>
  <c r="F465" i="30"/>
  <c r="G465" i="30" s="1"/>
  <c r="D465" i="30"/>
  <c r="E465" i="30" s="1"/>
  <c r="B465" i="30"/>
  <c r="A465" i="30"/>
  <c r="M465" i="30" s="1"/>
  <c r="P464" i="30"/>
  <c r="Q464" i="30" s="1"/>
  <c r="N464" i="30"/>
  <c r="O464" i="30" s="1"/>
  <c r="K464" i="30"/>
  <c r="F464" i="30"/>
  <c r="G464" i="30" s="1"/>
  <c r="D464" i="30"/>
  <c r="E464" i="30" s="1"/>
  <c r="B464" i="30"/>
  <c r="A464" i="30"/>
  <c r="M464" i="30" s="1"/>
  <c r="Y463" i="30"/>
  <c r="Z463" i="30" s="1"/>
  <c r="W463" i="30"/>
  <c r="B463" i="30"/>
  <c r="A463" i="30"/>
  <c r="Y462" i="30"/>
  <c r="Z462" i="30" s="1"/>
  <c r="W462" i="30"/>
  <c r="X462" i="30" s="1"/>
  <c r="B462" i="30"/>
  <c r="A462" i="30"/>
  <c r="Y461" i="30"/>
  <c r="W461" i="30"/>
  <c r="X461" i="30" s="1"/>
  <c r="B461" i="30"/>
  <c r="A461" i="30"/>
  <c r="Y460" i="30"/>
  <c r="Z460" i="30" s="1"/>
  <c r="W460" i="30"/>
  <c r="X460" i="30" s="1"/>
  <c r="K460" i="30"/>
  <c r="L460" i="30" s="1"/>
  <c r="B460" i="30"/>
  <c r="A460" i="30"/>
  <c r="Y459" i="30"/>
  <c r="W459" i="30"/>
  <c r="X459" i="30" s="1"/>
  <c r="B459" i="30"/>
  <c r="A459" i="30"/>
  <c r="P458" i="30"/>
  <c r="Q458" i="30" s="1"/>
  <c r="N458" i="30"/>
  <c r="O458" i="30" s="1"/>
  <c r="K458" i="30"/>
  <c r="L458" i="30" s="1"/>
  <c r="F458" i="30"/>
  <c r="G458" i="30" s="1"/>
  <c r="D458" i="30"/>
  <c r="E458" i="30" s="1"/>
  <c r="B458" i="30"/>
  <c r="A458" i="30"/>
  <c r="M458" i="30" s="1"/>
  <c r="P457" i="30"/>
  <c r="Q457" i="30" s="1"/>
  <c r="N457" i="30"/>
  <c r="O457" i="30" s="1"/>
  <c r="K457" i="30"/>
  <c r="L457" i="30" s="1"/>
  <c r="F457" i="30"/>
  <c r="G457" i="30" s="1"/>
  <c r="D457" i="30"/>
  <c r="E457" i="30" s="1"/>
  <c r="B457" i="30"/>
  <c r="A457" i="30"/>
  <c r="M457" i="30" s="1"/>
  <c r="P456" i="30"/>
  <c r="Q456" i="30" s="1"/>
  <c r="N456" i="30"/>
  <c r="O456" i="30" s="1"/>
  <c r="K456" i="30"/>
  <c r="L456" i="30" s="1"/>
  <c r="F456" i="30"/>
  <c r="G456" i="30" s="1"/>
  <c r="D456" i="30"/>
  <c r="E456" i="30" s="1"/>
  <c r="B456" i="30"/>
  <c r="A456" i="30"/>
  <c r="M456" i="30" s="1"/>
  <c r="P455" i="30"/>
  <c r="Q455" i="30" s="1"/>
  <c r="N455" i="30"/>
  <c r="O455" i="30" s="1"/>
  <c r="K455" i="30"/>
  <c r="L455" i="30" s="1"/>
  <c r="F455" i="30"/>
  <c r="G455" i="30" s="1"/>
  <c r="D455" i="30"/>
  <c r="E455" i="30" s="1"/>
  <c r="B455" i="30"/>
  <c r="A455" i="30"/>
  <c r="M455" i="30" s="1"/>
  <c r="Y454" i="30"/>
  <c r="Z454" i="30" s="1"/>
  <c r="W454" i="30"/>
  <c r="B454" i="30"/>
  <c r="A454" i="30"/>
  <c r="Y453" i="30"/>
  <c r="W453" i="30"/>
  <c r="X453" i="30" s="1"/>
  <c r="B453" i="30"/>
  <c r="A453" i="30"/>
  <c r="Y452" i="30"/>
  <c r="Z452" i="30" s="1"/>
  <c r="W452" i="30"/>
  <c r="X452" i="30" s="1"/>
  <c r="B452" i="30"/>
  <c r="A452" i="30"/>
  <c r="Y451" i="30"/>
  <c r="Z451" i="30" s="1"/>
  <c r="W451" i="30"/>
  <c r="K451" i="30"/>
  <c r="L451" i="30" s="1"/>
  <c r="B451" i="30"/>
  <c r="A451" i="30"/>
  <c r="Y450" i="30"/>
  <c r="W450" i="30"/>
  <c r="X450" i="30" s="1"/>
  <c r="B450" i="30"/>
  <c r="A450" i="30"/>
  <c r="P449" i="30"/>
  <c r="Q449" i="30" s="1"/>
  <c r="N449" i="30"/>
  <c r="O449" i="30" s="1"/>
  <c r="K449" i="30"/>
  <c r="L449" i="30" s="1"/>
  <c r="F449" i="30"/>
  <c r="G449" i="30" s="1"/>
  <c r="D449" i="30"/>
  <c r="E449" i="30" s="1"/>
  <c r="B449" i="30"/>
  <c r="A449" i="30"/>
  <c r="M449" i="30" s="1"/>
  <c r="P448" i="30"/>
  <c r="Q448" i="30" s="1"/>
  <c r="N448" i="30"/>
  <c r="O448" i="30" s="1"/>
  <c r="K448" i="30"/>
  <c r="F448" i="30"/>
  <c r="G448" i="30" s="1"/>
  <c r="D448" i="30"/>
  <c r="E448" i="30" s="1"/>
  <c r="B448" i="30"/>
  <c r="A448" i="30"/>
  <c r="M448" i="30" s="1"/>
  <c r="P447" i="30"/>
  <c r="Q447" i="30" s="1"/>
  <c r="N447" i="30"/>
  <c r="O447" i="30" s="1"/>
  <c r="K447" i="30"/>
  <c r="L447" i="30" s="1"/>
  <c r="F447" i="30"/>
  <c r="G447" i="30" s="1"/>
  <c r="D447" i="30"/>
  <c r="E447" i="30" s="1"/>
  <c r="B447" i="30"/>
  <c r="A447" i="30"/>
  <c r="M447" i="30" s="1"/>
  <c r="P446" i="30"/>
  <c r="Q446" i="30" s="1"/>
  <c r="N446" i="30"/>
  <c r="O446" i="30" s="1"/>
  <c r="K446" i="30"/>
  <c r="L446" i="30" s="1"/>
  <c r="F446" i="30"/>
  <c r="G446" i="30" s="1"/>
  <c r="D446" i="30"/>
  <c r="E446" i="30" s="1"/>
  <c r="B446" i="30"/>
  <c r="A446" i="30"/>
  <c r="M446" i="30" s="1"/>
  <c r="Y445" i="30"/>
  <c r="Z445" i="30" s="1"/>
  <c r="W445" i="30"/>
  <c r="X445" i="30" s="1"/>
  <c r="B445" i="30"/>
  <c r="A445" i="30"/>
  <c r="Y444" i="30"/>
  <c r="Z444" i="30" s="1"/>
  <c r="W444" i="30"/>
  <c r="X444" i="30" s="1"/>
  <c r="B444" i="30"/>
  <c r="A444" i="30"/>
  <c r="Y443" i="30"/>
  <c r="Z443" i="30" s="1"/>
  <c r="W443" i="30"/>
  <c r="X443" i="30" s="1"/>
  <c r="B443" i="30"/>
  <c r="A443" i="30"/>
  <c r="Y442" i="30"/>
  <c r="W442" i="30"/>
  <c r="X442" i="30" s="1"/>
  <c r="K442" i="30"/>
  <c r="L442" i="30" s="1"/>
  <c r="B442" i="30"/>
  <c r="A442" i="30"/>
  <c r="Y441" i="30"/>
  <c r="Z441" i="30" s="1"/>
  <c r="W441" i="30"/>
  <c r="X441" i="30" s="1"/>
  <c r="B441" i="30"/>
  <c r="A441" i="30"/>
  <c r="P440" i="30"/>
  <c r="Q440" i="30" s="1"/>
  <c r="N440" i="30"/>
  <c r="O440" i="30" s="1"/>
  <c r="K440" i="30"/>
  <c r="F440" i="30"/>
  <c r="G440" i="30" s="1"/>
  <c r="D440" i="30"/>
  <c r="E440" i="30" s="1"/>
  <c r="B440" i="30"/>
  <c r="A440" i="30"/>
  <c r="M440" i="30" s="1"/>
  <c r="P439" i="30"/>
  <c r="Q439" i="30" s="1"/>
  <c r="N439" i="30"/>
  <c r="O439" i="30" s="1"/>
  <c r="K439" i="30"/>
  <c r="F439" i="30"/>
  <c r="G439" i="30" s="1"/>
  <c r="D439" i="30"/>
  <c r="E439" i="30" s="1"/>
  <c r="B439" i="30"/>
  <c r="A439" i="30"/>
  <c r="M439" i="30" s="1"/>
  <c r="P438" i="30"/>
  <c r="Q438" i="30" s="1"/>
  <c r="N438" i="30"/>
  <c r="O438" i="30" s="1"/>
  <c r="K438" i="30"/>
  <c r="F438" i="30"/>
  <c r="G438" i="30" s="1"/>
  <c r="D438" i="30"/>
  <c r="E438" i="30" s="1"/>
  <c r="B438" i="30"/>
  <c r="A438" i="30"/>
  <c r="M438" i="30" s="1"/>
  <c r="P437" i="30"/>
  <c r="Q437" i="30" s="1"/>
  <c r="N437" i="30"/>
  <c r="O437" i="30" s="1"/>
  <c r="K437" i="30"/>
  <c r="F437" i="30"/>
  <c r="G437" i="30" s="1"/>
  <c r="D437" i="30"/>
  <c r="E437" i="30" s="1"/>
  <c r="B437" i="30"/>
  <c r="A437" i="30"/>
  <c r="M437" i="30" s="1"/>
  <c r="Y436" i="30"/>
  <c r="Z436" i="30" s="1"/>
  <c r="W436" i="30"/>
  <c r="X436" i="30" s="1"/>
  <c r="B436" i="30"/>
  <c r="A436" i="30"/>
  <c r="Y435" i="30"/>
  <c r="Z435" i="30" s="1"/>
  <c r="W435" i="30"/>
  <c r="B435" i="30"/>
  <c r="A435" i="30"/>
  <c r="Y434" i="30"/>
  <c r="Z434" i="30" s="1"/>
  <c r="W434" i="30"/>
  <c r="B434" i="30"/>
  <c r="A434" i="30"/>
  <c r="Y433" i="30"/>
  <c r="Z433" i="30" s="1"/>
  <c r="W433" i="30"/>
  <c r="K433" i="30"/>
  <c r="L433" i="30" s="1"/>
  <c r="B433" i="30"/>
  <c r="A433" i="30"/>
  <c r="Y432" i="30"/>
  <c r="Z432" i="30" s="1"/>
  <c r="W432" i="30"/>
  <c r="X432" i="30" s="1"/>
  <c r="B432" i="30"/>
  <c r="A432" i="30"/>
  <c r="P431" i="30"/>
  <c r="Q431" i="30" s="1"/>
  <c r="N431" i="30"/>
  <c r="O431" i="30" s="1"/>
  <c r="K431" i="30"/>
  <c r="F431" i="30"/>
  <c r="G431" i="30" s="1"/>
  <c r="D431" i="30"/>
  <c r="E431" i="30" s="1"/>
  <c r="B431" i="30"/>
  <c r="A431" i="30"/>
  <c r="M431" i="30" s="1"/>
  <c r="P430" i="30"/>
  <c r="Q430" i="30" s="1"/>
  <c r="N430" i="30"/>
  <c r="O430" i="30" s="1"/>
  <c r="K430" i="30"/>
  <c r="F430" i="30"/>
  <c r="G430" i="30" s="1"/>
  <c r="D430" i="30"/>
  <c r="E430" i="30" s="1"/>
  <c r="B430" i="30"/>
  <c r="A430" i="30"/>
  <c r="M430" i="30" s="1"/>
  <c r="P429" i="30"/>
  <c r="Q429" i="30" s="1"/>
  <c r="N429" i="30"/>
  <c r="O429" i="30" s="1"/>
  <c r="K429" i="30"/>
  <c r="L429" i="30" s="1"/>
  <c r="F429" i="30"/>
  <c r="G429" i="30" s="1"/>
  <c r="D429" i="30"/>
  <c r="E429" i="30" s="1"/>
  <c r="B429" i="30"/>
  <c r="A429" i="30"/>
  <c r="M429" i="30" s="1"/>
  <c r="P428" i="30"/>
  <c r="Q428" i="30" s="1"/>
  <c r="N428" i="30"/>
  <c r="O428" i="30" s="1"/>
  <c r="K428" i="30"/>
  <c r="L428" i="30" s="1"/>
  <c r="F428" i="30"/>
  <c r="G428" i="30" s="1"/>
  <c r="D428" i="30"/>
  <c r="E428" i="30" s="1"/>
  <c r="B428" i="30"/>
  <c r="A428" i="30"/>
  <c r="M428" i="30" s="1"/>
  <c r="Y427" i="30"/>
  <c r="Z427" i="30" s="1"/>
  <c r="W427" i="30"/>
  <c r="X427" i="30" s="1"/>
  <c r="B427" i="30"/>
  <c r="A427" i="30"/>
  <c r="Y426" i="30"/>
  <c r="Z426" i="30" s="1"/>
  <c r="W426" i="30"/>
  <c r="B426" i="30"/>
  <c r="A426" i="30"/>
  <c r="Y425" i="30"/>
  <c r="Z425" i="30" s="1"/>
  <c r="W425" i="30"/>
  <c r="X425" i="30" s="1"/>
  <c r="B425" i="30"/>
  <c r="A425" i="30"/>
  <c r="Y424" i="30"/>
  <c r="Z424" i="30" s="1"/>
  <c r="W424" i="30"/>
  <c r="X424" i="30" s="1"/>
  <c r="K424" i="30"/>
  <c r="L424" i="30" s="1"/>
  <c r="B424" i="30"/>
  <c r="A424" i="30"/>
  <c r="Y423" i="30"/>
  <c r="Z423" i="30" s="1"/>
  <c r="W423" i="30"/>
  <c r="X423" i="30" s="1"/>
  <c r="B423" i="30"/>
  <c r="A423" i="30"/>
  <c r="P422" i="30"/>
  <c r="Q422" i="30" s="1"/>
  <c r="N422" i="30"/>
  <c r="O422" i="30" s="1"/>
  <c r="K422" i="30"/>
  <c r="L422" i="30" s="1"/>
  <c r="F422" i="30"/>
  <c r="G422" i="30" s="1"/>
  <c r="D422" i="30"/>
  <c r="E422" i="30" s="1"/>
  <c r="B422" i="30"/>
  <c r="A422" i="30"/>
  <c r="M422" i="30" s="1"/>
  <c r="P421" i="30"/>
  <c r="Q421" i="30" s="1"/>
  <c r="N421" i="30"/>
  <c r="O421" i="30" s="1"/>
  <c r="K421" i="30"/>
  <c r="L421" i="30" s="1"/>
  <c r="F421" i="30"/>
  <c r="G421" i="30" s="1"/>
  <c r="D421" i="30"/>
  <c r="E421" i="30" s="1"/>
  <c r="B421" i="30"/>
  <c r="A421" i="30"/>
  <c r="M421" i="30" s="1"/>
  <c r="P420" i="30"/>
  <c r="Q420" i="30" s="1"/>
  <c r="N420" i="30"/>
  <c r="O420" i="30" s="1"/>
  <c r="K420" i="30"/>
  <c r="L420" i="30" s="1"/>
  <c r="F420" i="30"/>
  <c r="G420" i="30" s="1"/>
  <c r="D420" i="30"/>
  <c r="E420" i="30" s="1"/>
  <c r="B420" i="30"/>
  <c r="A420" i="30"/>
  <c r="M420" i="30" s="1"/>
  <c r="P419" i="30"/>
  <c r="Q419" i="30" s="1"/>
  <c r="N419" i="30"/>
  <c r="O419" i="30" s="1"/>
  <c r="K419" i="30"/>
  <c r="L419" i="30" s="1"/>
  <c r="F419" i="30"/>
  <c r="G419" i="30" s="1"/>
  <c r="D419" i="30"/>
  <c r="E419" i="30" s="1"/>
  <c r="B419" i="30"/>
  <c r="A419" i="30"/>
  <c r="M419" i="30" s="1"/>
  <c r="Y418" i="30"/>
  <c r="Z418" i="30" s="1"/>
  <c r="W418" i="30"/>
  <c r="B418" i="30"/>
  <c r="A418" i="30"/>
  <c r="Y417" i="30"/>
  <c r="Z417" i="30" s="1"/>
  <c r="W417" i="30"/>
  <c r="X417" i="30" s="1"/>
  <c r="B417" i="30"/>
  <c r="A417" i="30"/>
  <c r="Y416" i="30"/>
  <c r="Z416" i="30" s="1"/>
  <c r="W416" i="30"/>
  <c r="B416" i="30"/>
  <c r="A416" i="30"/>
  <c r="Y415" i="30"/>
  <c r="Z415" i="30" s="1"/>
  <c r="W415" i="30"/>
  <c r="X415" i="30" s="1"/>
  <c r="K415" i="30"/>
  <c r="L415" i="30" s="1"/>
  <c r="B415" i="30"/>
  <c r="A415" i="30"/>
  <c r="Y414" i="30"/>
  <c r="Z414" i="30" s="1"/>
  <c r="W414" i="30"/>
  <c r="B414" i="30"/>
  <c r="A414" i="30"/>
  <c r="P413" i="30"/>
  <c r="Q413" i="30" s="1"/>
  <c r="N413" i="30"/>
  <c r="O413" i="30" s="1"/>
  <c r="K413" i="30"/>
  <c r="L413" i="30" s="1"/>
  <c r="F413" i="30"/>
  <c r="G413" i="30" s="1"/>
  <c r="D413" i="30"/>
  <c r="E413" i="30" s="1"/>
  <c r="B413" i="30"/>
  <c r="A413" i="30"/>
  <c r="M413" i="30" s="1"/>
  <c r="P412" i="30"/>
  <c r="Q412" i="30" s="1"/>
  <c r="N412" i="30"/>
  <c r="O412" i="30" s="1"/>
  <c r="K412" i="30"/>
  <c r="F412" i="30"/>
  <c r="G412" i="30" s="1"/>
  <c r="D412" i="30"/>
  <c r="E412" i="30" s="1"/>
  <c r="B412" i="30"/>
  <c r="A412" i="30"/>
  <c r="M412" i="30" s="1"/>
  <c r="P411" i="30"/>
  <c r="Q411" i="30" s="1"/>
  <c r="N411" i="30"/>
  <c r="O411" i="30" s="1"/>
  <c r="K411" i="30"/>
  <c r="L411" i="30" s="1"/>
  <c r="F411" i="30"/>
  <c r="G411" i="30" s="1"/>
  <c r="D411" i="30"/>
  <c r="E411" i="30" s="1"/>
  <c r="B411" i="30"/>
  <c r="A411" i="30"/>
  <c r="M411" i="30" s="1"/>
  <c r="P410" i="30"/>
  <c r="Q410" i="30" s="1"/>
  <c r="N410" i="30"/>
  <c r="O410" i="30" s="1"/>
  <c r="K410" i="30"/>
  <c r="L410" i="30" s="1"/>
  <c r="F410" i="30"/>
  <c r="G410" i="30" s="1"/>
  <c r="D410" i="30"/>
  <c r="E410" i="30" s="1"/>
  <c r="B410" i="30"/>
  <c r="A410" i="30"/>
  <c r="M410" i="30" s="1"/>
  <c r="Y409" i="30"/>
  <c r="Z409" i="30" s="1"/>
  <c r="W409" i="30"/>
  <c r="X409" i="30" s="1"/>
  <c r="B409" i="30"/>
  <c r="A409" i="30"/>
  <c r="Y408" i="30"/>
  <c r="Z408" i="30" s="1"/>
  <c r="W408" i="30"/>
  <c r="X408" i="30" s="1"/>
  <c r="B408" i="30"/>
  <c r="A408" i="30"/>
  <c r="Y407" i="30"/>
  <c r="Z407" i="30" s="1"/>
  <c r="W407" i="30"/>
  <c r="X407" i="30" s="1"/>
  <c r="B407" i="30"/>
  <c r="A407" i="30"/>
  <c r="Y406" i="30"/>
  <c r="Z406" i="30" s="1"/>
  <c r="W406" i="30"/>
  <c r="X406" i="30" s="1"/>
  <c r="K406" i="30"/>
  <c r="L406" i="30" s="1"/>
  <c r="B406" i="30"/>
  <c r="A406" i="30"/>
  <c r="Y405" i="30"/>
  <c r="Z405" i="30" s="1"/>
  <c r="W405" i="30"/>
  <c r="X405" i="30" s="1"/>
  <c r="B405" i="30"/>
  <c r="A405" i="30"/>
  <c r="P404" i="30"/>
  <c r="Q404" i="30" s="1"/>
  <c r="N404" i="30"/>
  <c r="O404" i="30" s="1"/>
  <c r="K404" i="30"/>
  <c r="F404" i="30"/>
  <c r="G404" i="30" s="1"/>
  <c r="D404" i="30"/>
  <c r="E404" i="30" s="1"/>
  <c r="B404" i="30"/>
  <c r="A404" i="30"/>
  <c r="M404" i="30" s="1"/>
  <c r="P403" i="30"/>
  <c r="Q403" i="30" s="1"/>
  <c r="N403" i="30"/>
  <c r="O403" i="30" s="1"/>
  <c r="K403" i="30"/>
  <c r="F403" i="30"/>
  <c r="G403" i="30" s="1"/>
  <c r="D403" i="30"/>
  <c r="E403" i="30" s="1"/>
  <c r="B403" i="30"/>
  <c r="A403" i="30"/>
  <c r="M403" i="30" s="1"/>
  <c r="P402" i="30"/>
  <c r="Q402" i="30" s="1"/>
  <c r="N402" i="30"/>
  <c r="O402" i="30" s="1"/>
  <c r="K402" i="30"/>
  <c r="F402" i="30"/>
  <c r="G402" i="30" s="1"/>
  <c r="D402" i="30"/>
  <c r="E402" i="30" s="1"/>
  <c r="B402" i="30"/>
  <c r="A402" i="30"/>
  <c r="M402" i="30" s="1"/>
  <c r="P401" i="30"/>
  <c r="Q401" i="30" s="1"/>
  <c r="N401" i="30"/>
  <c r="O401" i="30" s="1"/>
  <c r="K401" i="30"/>
  <c r="F401" i="30"/>
  <c r="G401" i="30" s="1"/>
  <c r="D401" i="30"/>
  <c r="E401" i="30" s="1"/>
  <c r="B401" i="30"/>
  <c r="A401" i="30"/>
  <c r="M401" i="30" s="1"/>
  <c r="Y400" i="30"/>
  <c r="Z400" i="30" s="1"/>
  <c r="W400" i="30"/>
  <c r="X400" i="30" s="1"/>
  <c r="B400" i="30"/>
  <c r="A400" i="30"/>
  <c r="Y399" i="30"/>
  <c r="Z399" i="30" s="1"/>
  <c r="W399" i="30"/>
  <c r="X399" i="30" s="1"/>
  <c r="B399" i="30"/>
  <c r="A399" i="30"/>
  <c r="Y398" i="30"/>
  <c r="Z398" i="30" s="1"/>
  <c r="W398" i="30"/>
  <c r="X398" i="30" s="1"/>
  <c r="B398" i="30"/>
  <c r="A398" i="30"/>
  <c r="Y397" i="30"/>
  <c r="Z397" i="30" s="1"/>
  <c r="W397" i="30"/>
  <c r="X397" i="30" s="1"/>
  <c r="K397" i="30"/>
  <c r="L397" i="30" s="1"/>
  <c r="B397" i="30"/>
  <c r="A397" i="30"/>
  <c r="Y396" i="30"/>
  <c r="Z396" i="30" s="1"/>
  <c r="W396" i="30"/>
  <c r="X396" i="30" s="1"/>
  <c r="B396" i="30"/>
  <c r="A396" i="30"/>
  <c r="P395" i="30"/>
  <c r="Q395" i="30" s="1"/>
  <c r="N395" i="30"/>
  <c r="O395" i="30" s="1"/>
  <c r="K395" i="30"/>
  <c r="L395" i="30" s="1"/>
  <c r="F395" i="30"/>
  <c r="G395" i="30" s="1"/>
  <c r="D395" i="30"/>
  <c r="E395" i="30" s="1"/>
  <c r="B395" i="30"/>
  <c r="A395" i="30"/>
  <c r="M395" i="30" s="1"/>
  <c r="P394" i="30"/>
  <c r="Q394" i="30" s="1"/>
  <c r="N394" i="30"/>
  <c r="O394" i="30" s="1"/>
  <c r="K394" i="30"/>
  <c r="L394" i="30" s="1"/>
  <c r="F394" i="30"/>
  <c r="G394" i="30" s="1"/>
  <c r="D394" i="30"/>
  <c r="E394" i="30" s="1"/>
  <c r="B394" i="30"/>
  <c r="A394" i="30"/>
  <c r="M394" i="30" s="1"/>
  <c r="P393" i="30"/>
  <c r="Q393" i="30" s="1"/>
  <c r="N393" i="30"/>
  <c r="O393" i="30" s="1"/>
  <c r="K393" i="30"/>
  <c r="L393" i="30" s="1"/>
  <c r="F393" i="30"/>
  <c r="G393" i="30" s="1"/>
  <c r="D393" i="30"/>
  <c r="E393" i="30" s="1"/>
  <c r="B393" i="30"/>
  <c r="A393" i="30"/>
  <c r="M393" i="30" s="1"/>
  <c r="P392" i="30"/>
  <c r="Q392" i="30" s="1"/>
  <c r="N392" i="30"/>
  <c r="O392" i="30" s="1"/>
  <c r="K392" i="30"/>
  <c r="L392" i="30" s="1"/>
  <c r="F392" i="30"/>
  <c r="G392" i="30" s="1"/>
  <c r="D392" i="30"/>
  <c r="E392" i="30" s="1"/>
  <c r="B392" i="30"/>
  <c r="A392" i="30"/>
  <c r="M392" i="30" s="1"/>
  <c r="Y391" i="30"/>
  <c r="Z391" i="30" s="1"/>
  <c r="W391" i="30"/>
  <c r="X391" i="30" s="1"/>
  <c r="B391" i="30"/>
  <c r="A391" i="30"/>
  <c r="Y390" i="30"/>
  <c r="Z390" i="30" s="1"/>
  <c r="W390" i="30"/>
  <c r="B390" i="30"/>
  <c r="A390" i="30"/>
  <c r="Y389" i="30"/>
  <c r="Z389" i="30" s="1"/>
  <c r="W389" i="30"/>
  <c r="X389" i="30" s="1"/>
  <c r="B389" i="30"/>
  <c r="A389" i="30"/>
  <c r="Y388" i="30"/>
  <c r="Z388" i="30" s="1"/>
  <c r="W388" i="30"/>
  <c r="K388" i="30"/>
  <c r="L388" i="30" s="1"/>
  <c r="B388" i="30"/>
  <c r="A388" i="30"/>
  <c r="Y387" i="30"/>
  <c r="Z387" i="30" s="1"/>
  <c r="W387" i="30"/>
  <c r="X387" i="30" s="1"/>
  <c r="B387" i="30"/>
  <c r="A387" i="30"/>
  <c r="P386" i="30"/>
  <c r="Q386" i="30" s="1"/>
  <c r="N386" i="30"/>
  <c r="O386" i="30" s="1"/>
  <c r="K386" i="30"/>
  <c r="L386" i="30" s="1"/>
  <c r="F386" i="30"/>
  <c r="G386" i="30" s="1"/>
  <c r="D386" i="30"/>
  <c r="E386" i="30" s="1"/>
  <c r="B386" i="30"/>
  <c r="A386" i="30"/>
  <c r="M386" i="30" s="1"/>
  <c r="P385" i="30"/>
  <c r="Q385" i="30" s="1"/>
  <c r="N385" i="30"/>
  <c r="O385" i="30" s="1"/>
  <c r="K385" i="30"/>
  <c r="F385" i="30"/>
  <c r="G385" i="30" s="1"/>
  <c r="D385" i="30"/>
  <c r="E385" i="30" s="1"/>
  <c r="B385" i="30"/>
  <c r="A385" i="30"/>
  <c r="M385" i="30" s="1"/>
  <c r="P384" i="30"/>
  <c r="Q384" i="30" s="1"/>
  <c r="N384" i="30"/>
  <c r="O384" i="30" s="1"/>
  <c r="K384" i="30"/>
  <c r="L384" i="30" s="1"/>
  <c r="F384" i="30"/>
  <c r="G384" i="30" s="1"/>
  <c r="D384" i="30"/>
  <c r="E384" i="30" s="1"/>
  <c r="B384" i="30"/>
  <c r="A384" i="30"/>
  <c r="M384" i="30" s="1"/>
  <c r="P383" i="30"/>
  <c r="Q383" i="30" s="1"/>
  <c r="N383" i="30"/>
  <c r="O383" i="30" s="1"/>
  <c r="K383" i="30"/>
  <c r="L383" i="30" s="1"/>
  <c r="F383" i="30"/>
  <c r="G383" i="30" s="1"/>
  <c r="D383" i="30"/>
  <c r="E383" i="30" s="1"/>
  <c r="B383" i="30"/>
  <c r="A383" i="30"/>
  <c r="M383" i="30" s="1"/>
  <c r="Y382" i="30"/>
  <c r="Z382" i="30" s="1"/>
  <c r="W382" i="30"/>
  <c r="X382" i="30" s="1"/>
  <c r="B382" i="30"/>
  <c r="A382" i="30"/>
  <c r="Y381" i="30"/>
  <c r="Z381" i="30" s="1"/>
  <c r="W381" i="30"/>
  <c r="X381" i="30" s="1"/>
  <c r="B381" i="30"/>
  <c r="A381" i="30"/>
  <c r="Y380" i="30"/>
  <c r="Z380" i="30" s="1"/>
  <c r="W380" i="30"/>
  <c r="B380" i="30"/>
  <c r="A380" i="30"/>
  <c r="Y379" i="30"/>
  <c r="Z379" i="30" s="1"/>
  <c r="W379" i="30"/>
  <c r="X379" i="30" s="1"/>
  <c r="K379" i="30"/>
  <c r="L379" i="30" s="1"/>
  <c r="B379" i="30"/>
  <c r="A379" i="30"/>
  <c r="Y378" i="30"/>
  <c r="Z378" i="30" s="1"/>
  <c r="W378" i="30"/>
  <c r="X378" i="30" s="1"/>
  <c r="B378" i="30"/>
  <c r="A378" i="30"/>
  <c r="P377" i="30"/>
  <c r="Q377" i="30" s="1"/>
  <c r="N377" i="30"/>
  <c r="O377" i="30" s="1"/>
  <c r="K377" i="30"/>
  <c r="F377" i="30"/>
  <c r="G377" i="30" s="1"/>
  <c r="D377" i="30"/>
  <c r="E377" i="30" s="1"/>
  <c r="B377" i="30"/>
  <c r="A377" i="30"/>
  <c r="M377" i="30" s="1"/>
  <c r="P376" i="30"/>
  <c r="Q376" i="30" s="1"/>
  <c r="N376" i="30"/>
  <c r="O376" i="30" s="1"/>
  <c r="K376" i="30"/>
  <c r="F376" i="30"/>
  <c r="G376" i="30" s="1"/>
  <c r="D376" i="30"/>
  <c r="E376" i="30" s="1"/>
  <c r="B376" i="30"/>
  <c r="A376" i="30"/>
  <c r="M376" i="30" s="1"/>
  <c r="P375" i="30"/>
  <c r="Q375" i="30" s="1"/>
  <c r="N375" i="30"/>
  <c r="O375" i="30" s="1"/>
  <c r="K375" i="30"/>
  <c r="F375" i="30"/>
  <c r="G375" i="30" s="1"/>
  <c r="D375" i="30"/>
  <c r="E375" i="30" s="1"/>
  <c r="B375" i="30"/>
  <c r="A375" i="30"/>
  <c r="M375" i="30" s="1"/>
  <c r="P374" i="30"/>
  <c r="Q374" i="30" s="1"/>
  <c r="N374" i="30"/>
  <c r="O374" i="30" s="1"/>
  <c r="K374" i="30"/>
  <c r="F374" i="30"/>
  <c r="G374" i="30" s="1"/>
  <c r="D374" i="30"/>
  <c r="E374" i="30" s="1"/>
  <c r="B374" i="30"/>
  <c r="A374" i="30"/>
  <c r="M374" i="30" s="1"/>
  <c r="Y373" i="30"/>
  <c r="Z373" i="30" s="1"/>
  <c r="W373" i="30"/>
  <c r="X373" i="30" s="1"/>
  <c r="B373" i="30"/>
  <c r="A373" i="30"/>
  <c r="Y372" i="30"/>
  <c r="Z372" i="30" s="1"/>
  <c r="W372" i="30"/>
  <c r="X372" i="30" s="1"/>
  <c r="B372" i="30"/>
  <c r="A372" i="30"/>
  <c r="Y371" i="30"/>
  <c r="Z371" i="30" s="1"/>
  <c r="W371" i="30"/>
  <c r="X371" i="30" s="1"/>
  <c r="B371" i="30"/>
  <c r="A371" i="30"/>
  <c r="Y370" i="30"/>
  <c r="Z370" i="30" s="1"/>
  <c r="W370" i="30"/>
  <c r="X370" i="30" s="1"/>
  <c r="K370" i="30"/>
  <c r="L370" i="30" s="1"/>
  <c r="B370" i="30"/>
  <c r="A370" i="30"/>
  <c r="Y369" i="30"/>
  <c r="Z369" i="30" s="1"/>
  <c r="W369" i="30"/>
  <c r="B369" i="30"/>
  <c r="A369" i="30"/>
  <c r="P368" i="30"/>
  <c r="Q368" i="30" s="1"/>
  <c r="N368" i="30"/>
  <c r="O368" i="30" s="1"/>
  <c r="K368" i="30"/>
  <c r="F368" i="30"/>
  <c r="G368" i="30" s="1"/>
  <c r="D368" i="30"/>
  <c r="E368" i="30" s="1"/>
  <c r="B368" i="30"/>
  <c r="A368" i="30"/>
  <c r="M368" i="30" s="1"/>
  <c r="P367" i="30"/>
  <c r="Q367" i="30" s="1"/>
  <c r="N367" i="30"/>
  <c r="O367" i="30" s="1"/>
  <c r="K367" i="30"/>
  <c r="F367" i="30"/>
  <c r="G367" i="30" s="1"/>
  <c r="D367" i="30"/>
  <c r="E367" i="30" s="1"/>
  <c r="B367" i="30"/>
  <c r="A367" i="30"/>
  <c r="M367" i="30" s="1"/>
  <c r="P366" i="30"/>
  <c r="Q366" i="30" s="1"/>
  <c r="N366" i="30"/>
  <c r="O366" i="30" s="1"/>
  <c r="K366" i="30"/>
  <c r="L366" i="30" s="1"/>
  <c r="F366" i="30"/>
  <c r="G366" i="30" s="1"/>
  <c r="D366" i="30"/>
  <c r="E366" i="30" s="1"/>
  <c r="B366" i="30"/>
  <c r="A366" i="30"/>
  <c r="M366" i="30" s="1"/>
  <c r="P365" i="30"/>
  <c r="Q365" i="30" s="1"/>
  <c r="N365" i="30"/>
  <c r="O365" i="30" s="1"/>
  <c r="K365" i="30"/>
  <c r="L365" i="30" s="1"/>
  <c r="F365" i="30"/>
  <c r="G365" i="30" s="1"/>
  <c r="D365" i="30"/>
  <c r="E365" i="30" s="1"/>
  <c r="B365" i="30"/>
  <c r="A365" i="30"/>
  <c r="M365" i="30" s="1"/>
  <c r="Y364" i="30"/>
  <c r="Z364" i="30" s="1"/>
  <c r="W364" i="30"/>
  <c r="B364" i="30"/>
  <c r="A364" i="30"/>
  <c r="Y363" i="30"/>
  <c r="Z363" i="30" s="1"/>
  <c r="W363" i="30"/>
  <c r="B363" i="30"/>
  <c r="A363" i="30"/>
  <c r="Y362" i="30"/>
  <c r="Z362" i="30" s="1"/>
  <c r="W362" i="30"/>
  <c r="X362" i="30" s="1"/>
  <c r="B362" i="30"/>
  <c r="A362" i="30"/>
  <c r="Y361" i="30"/>
  <c r="Z361" i="30" s="1"/>
  <c r="W361" i="30"/>
  <c r="X361" i="30" s="1"/>
  <c r="K361" i="30"/>
  <c r="L361" i="30" s="1"/>
  <c r="B361" i="30"/>
  <c r="A361" i="30"/>
  <c r="Y360" i="30"/>
  <c r="Z360" i="30" s="1"/>
  <c r="W360" i="30"/>
  <c r="X360" i="30" s="1"/>
  <c r="B360" i="30"/>
  <c r="A360" i="30"/>
  <c r="P359" i="30"/>
  <c r="Q359" i="30" s="1"/>
  <c r="N359" i="30"/>
  <c r="O359" i="30" s="1"/>
  <c r="K359" i="30"/>
  <c r="L359" i="30" s="1"/>
  <c r="F359" i="30"/>
  <c r="G359" i="30" s="1"/>
  <c r="D359" i="30"/>
  <c r="E359" i="30" s="1"/>
  <c r="B359" i="30"/>
  <c r="A359" i="30"/>
  <c r="M359" i="30" s="1"/>
  <c r="P358" i="30"/>
  <c r="Q358" i="30" s="1"/>
  <c r="N358" i="30"/>
  <c r="O358" i="30" s="1"/>
  <c r="K358" i="30"/>
  <c r="F358" i="30"/>
  <c r="G358" i="30" s="1"/>
  <c r="D358" i="30"/>
  <c r="E358" i="30" s="1"/>
  <c r="B358" i="30"/>
  <c r="A358" i="30"/>
  <c r="M358" i="30" s="1"/>
  <c r="P357" i="30"/>
  <c r="Q357" i="30" s="1"/>
  <c r="N357" i="30"/>
  <c r="O357" i="30" s="1"/>
  <c r="K357" i="30"/>
  <c r="L357" i="30" s="1"/>
  <c r="F357" i="30"/>
  <c r="G357" i="30" s="1"/>
  <c r="D357" i="30"/>
  <c r="E357" i="30" s="1"/>
  <c r="B357" i="30"/>
  <c r="A357" i="30"/>
  <c r="M357" i="30" s="1"/>
  <c r="P356" i="30"/>
  <c r="Q356" i="30" s="1"/>
  <c r="N356" i="30"/>
  <c r="O356" i="30" s="1"/>
  <c r="K356" i="30"/>
  <c r="L356" i="30" s="1"/>
  <c r="F356" i="30"/>
  <c r="G356" i="30" s="1"/>
  <c r="D356" i="30"/>
  <c r="E356" i="30" s="1"/>
  <c r="B356" i="30"/>
  <c r="A356" i="30"/>
  <c r="M356" i="30" s="1"/>
  <c r="Y355" i="30"/>
  <c r="Z355" i="30" s="1"/>
  <c r="W355" i="30"/>
  <c r="X355" i="30" s="1"/>
  <c r="B355" i="30"/>
  <c r="A355" i="30"/>
  <c r="Y354" i="30"/>
  <c r="Z354" i="30" s="1"/>
  <c r="W354" i="30"/>
  <c r="X354" i="30" s="1"/>
  <c r="B354" i="30"/>
  <c r="A354" i="30"/>
  <c r="Y353" i="30"/>
  <c r="Z353" i="30" s="1"/>
  <c r="W353" i="30"/>
  <c r="X353" i="30" s="1"/>
  <c r="B353" i="30"/>
  <c r="A353" i="30"/>
  <c r="Y352" i="30"/>
  <c r="Z352" i="30" s="1"/>
  <c r="W352" i="30"/>
  <c r="X352" i="30" s="1"/>
  <c r="K352" i="30"/>
  <c r="L352" i="30" s="1"/>
  <c r="B352" i="30"/>
  <c r="A352" i="30"/>
  <c r="Y351" i="30"/>
  <c r="Z351" i="30" s="1"/>
  <c r="W351" i="30"/>
  <c r="X351" i="30" s="1"/>
  <c r="B351" i="30"/>
  <c r="A351" i="30"/>
  <c r="P350" i="30"/>
  <c r="Q350" i="30" s="1"/>
  <c r="N350" i="30"/>
  <c r="O350" i="30" s="1"/>
  <c r="K350" i="30"/>
  <c r="L350" i="30" s="1"/>
  <c r="F350" i="30"/>
  <c r="G350" i="30" s="1"/>
  <c r="D350" i="30"/>
  <c r="E350" i="30" s="1"/>
  <c r="B350" i="30"/>
  <c r="A350" i="30"/>
  <c r="M350" i="30" s="1"/>
  <c r="P349" i="30"/>
  <c r="Q349" i="30" s="1"/>
  <c r="N349" i="30"/>
  <c r="O349" i="30" s="1"/>
  <c r="K349" i="30"/>
  <c r="L349" i="30" s="1"/>
  <c r="F349" i="30"/>
  <c r="G349" i="30" s="1"/>
  <c r="D349" i="30"/>
  <c r="E349" i="30" s="1"/>
  <c r="B349" i="30"/>
  <c r="A349" i="30"/>
  <c r="M349" i="30" s="1"/>
  <c r="P348" i="30"/>
  <c r="Q348" i="30" s="1"/>
  <c r="N348" i="30"/>
  <c r="O348" i="30" s="1"/>
  <c r="K348" i="30"/>
  <c r="F348" i="30"/>
  <c r="G348" i="30" s="1"/>
  <c r="D348" i="30"/>
  <c r="E348" i="30" s="1"/>
  <c r="B348" i="30"/>
  <c r="A348" i="30"/>
  <c r="M348" i="30" s="1"/>
  <c r="P347" i="30"/>
  <c r="Q347" i="30" s="1"/>
  <c r="N347" i="30"/>
  <c r="O347" i="30" s="1"/>
  <c r="K347" i="30"/>
  <c r="L347" i="30" s="1"/>
  <c r="F347" i="30"/>
  <c r="G347" i="30" s="1"/>
  <c r="D347" i="30"/>
  <c r="E347" i="30" s="1"/>
  <c r="B347" i="30"/>
  <c r="A347" i="30"/>
  <c r="M347" i="30" s="1"/>
  <c r="Y346" i="30"/>
  <c r="Z346" i="30" s="1"/>
  <c r="W346" i="30"/>
  <c r="X346" i="30" s="1"/>
  <c r="B346" i="30"/>
  <c r="A346" i="30"/>
  <c r="Y345" i="30"/>
  <c r="Z345" i="30" s="1"/>
  <c r="W345" i="30"/>
  <c r="X345" i="30" s="1"/>
  <c r="B345" i="30"/>
  <c r="A345" i="30"/>
  <c r="Y344" i="30"/>
  <c r="Z344" i="30" s="1"/>
  <c r="W344" i="30"/>
  <c r="X344" i="30" s="1"/>
  <c r="B344" i="30"/>
  <c r="A344" i="30"/>
  <c r="Y343" i="30"/>
  <c r="Z343" i="30" s="1"/>
  <c r="W343" i="30"/>
  <c r="K343" i="30"/>
  <c r="L343" i="30" s="1"/>
  <c r="B343" i="30"/>
  <c r="A343" i="30"/>
  <c r="Y342" i="30"/>
  <c r="Z342" i="30" s="1"/>
  <c r="W342" i="30"/>
  <c r="X342" i="30" s="1"/>
  <c r="B342" i="30"/>
  <c r="A342" i="30"/>
  <c r="P341" i="30"/>
  <c r="Q341" i="30" s="1"/>
  <c r="N341" i="30"/>
  <c r="O341" i="30" s="1"/>
  <c r="K341" i="30"/>
  <c r="F341" i="30"/>
  <c r="G341" i="30" s="1"/>
  <c r="D341" i="30"/>
  <c r="E341" i="30" s="1"/>
  <c r="B341" i="30"/>
  <c r="A341" i="30"/>
  <c r="M341" i="30" s="1"/>
  <c r="P340" i="30"/>
  <c r="Q340" i="30" s="1"/>
  <c r="N340" i="30"/>
  <c r="O340" i="30" s="1"/>
  <c r="K340" i="30"/>
  <c r="F340" i="30"/>
  <c r="G340" i="30" s="1"/>
  <c r="D340" i="30"/>
  <c r="E340" i="30" s="1"/>
  <c r="B340" i="30"/>
  <c r="A340" i="30"/>
  <c r="M340" i="30" s="1"/>
  <c r="P339" i="30"/>
  <c r="Q339" i="30" s="1"/>
  <c r="N339" i="30"/>
  <c r="O339" i="30" s="1"/>
  <c r="K339" i="30"/>
  <c r="L339" i="30" s="1"/>
  <c r="F339" i="30"/>
  <c r="G339" i="30" s="1"/>
  <c r="D339" i="30"/>
  <c r="E339" i="30" s="1"/>
  <c r="B339" i="30"/>
  <c r="A339" i="30"/>
  <c r="M339" i="30" s="1"/>
  <c r="P338" i="30"/>
  <c r="Q338" i="30" s="1"/>
  <c r="N338" i="30"/>
  <c r="O338" i="30" s="1"/>
  <c r="K338" i="30"/>
  <c r="F338" i="30"/>
  <c r="G338" i="30" s="1"/>
  <c r="D338" i="30"/>
  <c r="E338" i="30" s="1"/>
  <c r="B338" i="30"/>
  <c r="A338" i="30"/>
  <c r="M338" i="30" s="1"/>
  <c r="Y337" i="30"/>
  <c r="Z337" i="30" s="1"/>
  <c r="W337" i="30"/>
  <c r="B337" i="30"/>
  <c r="A337" i="30"/>
  <c r="Y336" i="30"/>
  <c r="Z336" i="30" s="1"/>
  <c r="W336" i="30"/>
  <c r="X336" i="30" s="1"/>
  <c r="B336" i="30"/>
  <c r="A336" i="30"/>
  <c r="Y335" i="30"/>
  <c r="Z335" i="30" s="1"/>
  <c r="W335" i="30"/>
  <c r="B335" i="30"/>
  <c r="A335" i="30"/>
  <c r="Y334" i="30"/>
  <c r="Z334" i="30" s="1"/>
  <c r="W334" i="30"/>
  <c r="K334" i="30"/>
  <c r="L334" i="30" s="1"/>
  <c r="B334" i="30"/>
  <c r="A334" i="30"/>
  <c r="Y333" i="30"/>
  <c r="Z333" i="30" s="1"/>
  <c r="W333" i="30"/>
  <c r="B333" i="30"/>
  <c r="A333" i="30"/>
  <c r="P332" i="30"/>
  <c r="Q332" i="30" s="1"/>
  <c r="N332" i="30"/>
  <c r="O332" i="30" s="1"/>
  <c r="K332" i="30"/>
  <c r="L332" i="30" s="1"/>
  <c r="F332" i="30"/>
  <c r="G332" i="30" s="1"/>
  <c r="D332" i="30"/>
  <c r="E332" i="30" s="1"/>
  <c r="B332" i="30"/>
  <c r="A332" i="30"/>
  <c r="M332" i="30" s="1"/>
  <c r="P331" i="30"/>
  <c r="Q331" i="30" s="1"/>
  <c r="N331" i="30"/>
  <c r="O331" i="30" s="1"/>
  <c r="K331" i="30"/>
  <c r="F331" i="30"/>
  <c r="G331" i="30" s="1"/>
  <c r="D331" i="30"/>
  <c r="E331" i="30" s="1"/>
  <c r="B331" i="30"/>
  <c r="A331" i="30"/>
  <c r="M331" i="30" s="1"/>
  <c r="P330" i="30"/>
  <c r="Q330" i="30" s="1"/>
  <c r="N330" i="30"/>
  <c r="O330" i="30" s="1"/>
  <c r="K330" i="30"/>
  <c r="L330" i="30" s="1"/>
  <c r="F330" i="30"/>
  <c r="G330" i="30" s="1"/>
  <c r="D330" i="30"/>
  <c r="E330" i="30" s="1"/>
  <c r="B330" i="30"/>
  <c r="A330" i="30"/>
  <c r="M330" i="30" s="1"/>
  <c r="P329" i="30"/>
  <c r="Q329" i="30" s="1"/>
  <c r="N329" i="30"/>
  <c r="O329" i="30" s="1"/>
  <c r="K329" i="30"/>
  <c r="L329" i="30" s="1"/>
  <c r="F329" i="30"/>
  <c r="G329" i="30" s="1"/>
  <c r="D329" i="30"/>
  <c r="E329" i="30" s="1"/>
  <c r="B329" i="30"/>
  <c r="A329" i="30"/>
  <c r="M329" i="30" s="1"/>
  <c r="Y328" i="30"/>
  <c r="Z328" i="30" s="1"/>
  <c r="W328" i="30"/>
  <c r="B328" i="30"/>
  <c r="A328" i="30"/>
  <c r="Y327" i="30"/>
  <c r="Z327" i="30" s="1"/>
  <c r="W327" i="30"/>
  <c r="B327" i="30"/>
  <c r="A327" i="30"/>
  <c r="Y326" i="30"/>
  <c r="Z326" i="30" s="1"/>
  <c r="W326" i="30"/>
  <c r="B326" i="30"/>
  <c r="A326" i="30"/>
  <c r="Y325" i="30"/>
  <c r="Z325" i="30" s="1"/>
  <c r="W325" i="30"/>
  <c r="K325" i="30"/>
  <c r="L325" i="30" s="1"/>
  <c r="B325" i="30"/>
  <c r="A325" i="30"/>
  <c r="Y324" i="30"/>
  <c r="Z324" i="30" s="1"/>
  <c r="W324" i="30"/>
  <c r="B324" i="30"/>
  <c r="A324" i="30"/>
  <c r="P323" i="30"/>
  <c r="Q323" i="30" s="1"/>
  <c r="N323" i="30"/>
  <c r="O323" i="30" s="1"/>
  <c r="K323" i="30"/>
  <c r="L323" i="30" s="1"/>
  <c r="F323" i="30"/>
  <c r="G323" i="30" s="1"/>
  <c r="D323" i="30"/>
  <c r="E323" i="30" s="1"/>
  <c r="B323" i="30"/>
  <c r="A323" i="30"/>
  <c r="M323" i="30" s="1"/>
  <c r="P322" i="30"/>
  <c r="Q322" i="30" s="1"/>
  <c r="N322" i="30"/>
  <c r="O322" i="30" s="1"/>
  <c r="K322" i="30"/>
  <c r="F322" i="30"/>
  <c r="G322" i="30" s="1"/>
  <c r="D322" i="30"/>
  <c r="E322" i="30" s="1"/>
  <c r="B322" i="30"/>
  <c r="A322" i="30"/>
  <c r="M322" i="30" s="1"/>
  <c r="P321" i="30"/>
  <c r="Q321" i="30" s="1"/>
  <c r="N321" i="30"/>
  <c r="O321" i="30" s="1"/>
  <c r="K321" i="30"/>
  <c r="L321" i="30" s="1"/>
  <c r="F321" i="30"/>
  <c r="G321" i="30" s="1"/>
  <c r="D321" i="30"/>
  <c r="E321" i="30" s="1"/>
  <c r="B321" i="30"/>
  <c r="A321" i="30"/>
  <c r="M321" i="30" s="1"/>
  <c r="P320" i="30"/>
  <c r="Q320" i="30" s="1"/>
  <c r="N320" i="30"/>
  <c r="O320" i="30" s="1"/>
  <c r="K320" i="30"/>
  <c r="L320" i="30" s="1"/>
  <c r="F320" i="30"/>
  <c r="G320" i="30" s="1"/>
  <c r="D320" i="30"/>
  <c r="E320" i="30" s="1"/>
  <c r="B320" i="30"/>
  <c r="A320" i="30"/>
  <c r="M320" i="30" s="1"/>
  <c r="Y319" i="30"/>
  <c r="Z319" i="30" s="1"/>
  <c r="W319" i="30"/>
  <c r="X319" i="30" s="1"/>
  <c r="B319" i="30"/>
  <c r="A319" i="30"/>
  <c r="Y318" i="30"/>
  <c r="Z318" i="30" s="1"/>
  <c r="W318" i="30"/>
  <c r="X318" i="30" s="1"/>
  <c r="B318" i="30"/>
  <c r="A318" i="30"/>
  <c r="Y317" i="30"/>
  <c r="Z317" i="30" s="1"/>
  <c r="W317" i="30"/>
  <c r="X317" i="30" s="1"/>
  <c r="B317" i="30"/>
  <c r="A317" i="30"/>
  <c r="Y316" i="30"/>
  <c r="Z316" i="30" s="1"/>
  <c r="W316" i="30"/>
  <c r="K316" i="30"/>
  <c r="L316" i="30" s="1"/>
  <c r="B316" i="30"/>
  <c r="A316" i="30"/>
  <c r="Y315" i="30"/>
  <c r="Z315" i="30" s="1"/>
  <c r="W315" i="30"/>
  <c r="B315" i="30"/>
  <c r="A315" i="30"/>
  <c r="P314" i="30"/>
  <c r="Q314" i="30" s="1"/>
  <c r="N314" i="30"/>
  <c r="O314" i="30" s="1"/>
  <c r="K314" i="30"/>
  <c r="F314" i="30"/>
  <c r="G314" i="30" s="1"/>
  <c r="D314" i="30"/>
  <c r="E314" i="30" s="1"/>
  <c r="B314" i="30"/>
  <c r="A314" i="30"/>
  <c r="M314" i="30" s="1"/>
  <c r="P313" i="30"/>
  <c r="Q313" i="30" s="1"/>
  <c r="N313" i="30"/>
  <c r="O313" i="30" s="1"/>
  <c r="K313" i="30"/>
  <c r="F313" i="30"/>
  <c r="G313" i="30" s="1"/>
  <c r="D313" i="30"/>
  <c r="E313" i="30" s="1"/>
  <c r="B313" i="30"/>
  <c r="A313" i="30"/>
  <c r="M313" i="30" s="1"/>
  <c r="P312" i="30"/>
  <c r="Q312" i="30" s="1"/>
  <c r="N312" i="30"/>
  <c r="O312" i="30" s="1"/>
  <c r="K312" i="30"/>
  <c r="F312" i="30"/>
  <c r="G312" i="30" s="1"/>
  <c r="D312" i="30"/>
  <c r="E312" i="30" s="1"/>
  <c r="B312" i="30"/>
  <c r="A312" i="30"/>
  <c r="M312" i="30" s="1"/>
  <c r="P311" i="30"/>
  <c r="Q311" i="30" s="1"/>
  <c r="N311" i="30"/>
  <c r="O311" i="30" s="1"/>
  <c r="K311" i="30"/>
  <c r="F311" i="30"/>
  <c r="G311" i="30" s="1"/>
  <c r="D311" i="30"/>
  <c r="E311" i="30" s="1"/>
  <c r="B311" i="30"/>
  <c r="A311" i="30"/>
  <c r="M311" i="30" s="1"/>
  <c r="Y310" i="30"/>
  <c r="Z310" i="30" s="1"/>
  <c r="W310" i="30"/>
  <c r="B310" i="30"/>
  <c r="A310" i="30"/>
  <c r="Y309" i="30"/>
  <c r="Z309" i="30" s="1"/>
  <c r="W309" i="30"/>
  <c r="B309" i="30"/>
  <c r="A309" i="30"/>
  <c r="Y308" i="30"/>
  <c r="Z308" i="30" s="1"/>
  <c r="W308" i="30"/>
  <c r="B308" i="30"/>
  <c r="A308" i="30"/>
  <c r="Y307" i="30"/>
  <c r="Z307" i="30" s="1"/>
  <c r="W307" i="30"/>
  <c r="K307" i="30"/>
  <c r="L307" i="30" s="1"/>
  <c r="B307" i="30"/>
  <c r="A307" i="30"/>
  <c r="Y306" i="30"/>
  <c r="Z306" i="30" s="1"/>
  <c r="W306" i="30"/>
  <c r="X306" i="30" s="1"/>
  <c r="B306" i="30"/>
  <c r="A306" i="30"/>
  <c r="P305" i="30"/>
  <c r="Q305" i="30" s="1"/>
  <c r="N305" i="30"/>
  <c r="O305" i="30" s="1"/>
  <c r="K305" i="30"/>
  <c r="F305" i="30"/>
  <c r="G305" i="30" s="1"/>
  <c r="D305" i="30"/>
  <c r="E305" i="30" s="1"/>
  <c r="B305" i="30"/>
  <c r="A305" i="30"/>
  <c r="M305" i="30" s="1"/>
  <c r="P304" i="30"/>
  <c r="Q304" i="30" s="1"/>
  <c r="N304" i="30"/>
  <c r="O304" i="30" s="1"/>
  <c r="K304" i="30"/>
  <c r="F304" i="30"/>
  <c r="G304" i="30" s="1"/>
  <c r="D304" i="30"/>
  <c r="E304" i="30" s="1"/>
  <c r="B304" i="30"/>
  <c r="A304" i="30"/>
  <c r="M304" i="30" s="1"/>
  <c r="P303" i="30"/>
  <c r="Q303" i="30" s="1"/>
  <c r="N303" i="30"/>
  <c r="O303" i="30" s="1"/>
  <c r="K303" i="30"/>
  <c r="L303" i="30" s="1"/>
  <c r="F303" i="30"/>
  <c r="G303" i="30" s="1"/>
  <c r="D303" i="30"/>
  <c r="E303" i="30" s="1"/>
  <c r="B303" i="30"/>
  <c r="A303" i="30"/>
  <c r="M303" i="30" s="1"/>
  <c r="P302" i="30"/>
  <c r="Q302" i="30" s="1"/>
  <c r="N302" i="30"/>
  <c r="O302" i="30" s="1"/>
  <c r="K302" i="30"/>
  <c r="F302" i="30"/>
  <c r="G302" i="30" s="1"/>
  <c r="D302" i="30"/>
  <c r="E302" i="30" s="1"/>
  <c r="B302" i="30"/>
  <c r="A302" i="30"/>
  <c r="M302" i="30" s="1"/>
  <c r="Y301" i="30"/>
  <c r="Z301" i="30" s="1"/>
  <c r="W301" i="30"/>
  <c r="B301" i="30"/>
  <c r="A301" i="30"/>
  <c r="Y300" i="30"/>
  <c r="Z300" i="30" s="1"/>
  <c r="W300" i="30"/>
  <c r="X300" i="30" s="1"/>
  <c r="B300" i="30"/>
  <c r="A300" i="30"/>
  <c r="Y299" i="30"/>
  <c r="Z299" i="30" s="1"/>
  <c r="W299" i="30"/>
  <c r="X299" i="30" s="1"/>
  <c r="B299" i="30"/>
  <c r="A299" i="30"/>
  <c r="Y298" i="30"/>
  <c r="Z298" i="30" s="1"/>
  <c r="W298" i="30"/>
  <c r="X298" i="30" s="1"/>
  <c r="K298" i="30"/>
  <c r="L298" i="30" s="1"/>
  <c r="B298" i="30"/>
  <c r="A298" i="30"/>
  <c r="Y297" i="30"/>
  <c r="Z297" i="30" s="1"/>
  <c r="W297" i="30"/>
  <c r="B297" i="30"/>
  <c r="A297" i="30"/>
  <c r="P296" i="30"/>
  <c r="Q296" i="30" s="1"/>
  <c r="N296" i="30"/>
  <c r="O296" i="30" s="1"/>
  <c r="K296" i="30"/>
  <c r="L296" i="30" s="1"/>
  <c r="F296" i="30"/>
  <c r="G296" i="30" s="1"/>
  <c r="D296" i="30"/>
  <c r="E296" i="30" s="1"/>
  <c r="B296" i="30"/>
  <c r="A296" i="30"/>
  <c r="M296" i="30" s="1"/>
  <c r="P295" i="30"/>
  <c r="Q295" i="30" s="1"/>
  <c r="N295" i="30"/>
  <c r="O295" i="30" s="1"/>
  <c r="K295" i="30"/>
  <c r="L295" i="30" s="1"/>
  <c r="F295" i="30"/>
  <c r="G295" i="30" s="1"/>
  <c r="D295" i="30"/>
  <c r="E295" i="30" s="1"/>
  <c r="B295" i="30"/>
  <c r="A295" i="30"/>
  <c r="M295" i="30" s="1"/>
  <c r="P294" i="30"/>
  <c r="Q294" i="30" s="1"/>
  <c r="N294" i="30"/>
  <c r="O294" i="30" s="1"/>
  <c r="K294" i="30"/>
  <c r="L294" i="30" s="1"/>
  <c r="F294" i="30"/>
  <c r="G294" i="30" s="1"/>
  <c r="D294" i="30"/>
  <c r="E294" i="30" s="1"/>
  <c r="B294" i="30"/>
  <c r="A294" i="30"/>
  <c r="M294" i="30" s="1"/>
  <c r="P293" i="30"/>
  <c r="Q293" i="30" s="1"/>
  <c r="N293" i="30"/>
  <c r="O293" i="30" s="1"/>
  <c r="K293" i="30"/>
  <c r="L293" i="30" s="1"/>
  <c r="F293" i="30"/>
  <c r="G293" i="30" s="1"/>
  <c r="D293" i="30"/>
  <c r="E293" i="30" s="1"/>
  <c r="B293" i="30"/>
  <c r="A293" i="30"/>
  <c r="M293" i="30" s="1"/>
  <c r="Y292" i="30"/>
  <c r="Z292" i="30" s="1"/>
  <c r="W292" i="30"/>
  <c r="B292" i="30"/>
  <c r="A292" i="30"/>
  <c r="Y291" i="30"/>
  <c r="Z291" i="30" s="1"/>
  <c r="W291" i="30"/>
  <c r="X291" i="30" s="1"/>
  <c r="B291" i="30"/>
  <c r="A291" i="30"/>
  <c r="Y290" i="30"/>
  <c r="Z290" i="30" s="1"/>
  <c r="W290" i="30"/>
  <c r="B290" i="30"/>
  <c r="A290" i="30"/>
  <c r="Y289" i="30"/>
  <c r="Z289" i="30" s="1"/>
  <c r="W289" i="30"/>
  <c r="X289" i="30" s="1"/>
  <c r="K289" i="30"/>
  <c r="L289" i="30" s="1"/>
  <c r="B289" i="30"/>
  <c r="A289" i="30"/>
  <c r="Y288" i="30"/>
  <c r="Z288" i="30" s="1"/>
  <c r="W288" i="30"/>
  <c r="X288" i="30" s="1"/>
  <c r="B288" i="30"/>
  <c r="A288" i="30"/>
  <c r="P287" i="30"/>
  <c r="Q287" i="30" s="1"/>
  <c r="N287" i="30"/>
  <c r="O287" i="30" s="1"/>
  <c r="K287" i="30"/>
  <c r="L287" i="30" s="1"/>
  <c r="F287" i="30"/>
  <c r="G287" i="30" s="1"/>
  <c r="D287" i="30"/>
  <c r="E287" i="30" s="1"/>
  <c r="B287" i="30"/>
  <c r="A287" i="30"/>
  <c r="M287" i="30" s="1"/>
  <c r="P286" i="30"/>
  <c r="Q286" i="30" s="1"/>
  <c r="N286" i="30"/>
  <c r="O286" i="30" s="1"/>
  <c r="K286" i="30"/>
  <c r="F286" i="30"/>
  <c r="G286" i="30" s="1"/>
  <c r="D286" i="30"/>
  <c r="E286" i="30" s="1"/>
  <c r="B286" i="30"/>
  <c r="A286" i="30"/>
  <c r="M286" i="30" s="1"/>
  <c r="P285" i="30"/>
  <c r="Q285" i="30" s="1"/>
  <c r="N285" i="30"/>
  <c r="O285" i="30" s="1"/>
  <c r="K285" i="30"/>
  <c r="L285" i="30" s="1"/>
  <c r="F285" i="30"/>
  <c r="G285" i="30" s="1"/>
  <c r="D285" i="30"/>
  <c r="E285" i="30" s="1"/>
  <c r="B285" i="30"/>
  <c r="A285" i="30"/>
  <c r="M285" i="30" s="1"/>
  <c r="P284" i="30"/>
  <c r="Q284" i="30" s="1"/>
  <c r="N284" i="30"/>
  <c r="O284" i="30" s="1"/>
  <c r="K284" i="30"/>
  <c r="L284" i="30" s="1"/>
  <c r="F284" i="30"/>
  <c r="G284" i="30" s="1"/>
  <c r="D284" i="30"/>
  <c r="E284" i="30" s="1"/>
  <c r="B284" i="30"/>
  <c r="A284" i="30"/>
  <c r="M284" i="30" s="1"/>
  <c r="Y283" i="30"/>
  <c r="Z283" i="30" s="1"/>
  <c r="W283" i="30"/>
  <c r="X283" i="30" s="1"/>
  <c r="B283" i="30"/>
  <c r="A283" i="30"/>
  <c r="Y282" i="30"/>
  <c r="Z282" i="30" s="1"/>
  <c r="W282" i="30"/>
  <c r="X282" i="30" s="1"/>
  <c r="B282" i="30"/>
  <c r="A282" i="30"/>
  <c r="Y281" i="30"/>
  <c r="Z281" i="30" s="1"/>
  <c r="W281" i="30"/>
  <c r="X281" i="30" s="1"/>
  <c r="B281" i="30"/>
  <c r="A281" i="30"/>
  <c r="Y280" i="30"/>
  <c r="Z280" i="30" s="1"/>
  <c r="W280" i="30"/>
  <c r="X280" i="30" s="1"/>
  <c r="K280" i="30"/>
  <c r="L280" i="30" s="1"/>
  <c r="B280" i="30"/>
  <c r="A280" i="30"/>
  <c r="Y279" i="30"/>
  <c r="Z279" i="30" s="1"/>
  <c r="W279" i="30"/>
  <c r="B279" i="30"/>
  <c r="A279" i="30"/>
  <c r="P278" i="30"/>
  <c r="Q278" i="30" s="1"/>
  <c r="N278" i="30"/>
  <c r="O278" i="30" s="1"/>
  <c r="K278" i="30"/>
  <c r="F278" i="30"/>
  <c r="G278" i="30" s="1"/>
  <c r="D278" i="30"/>
  <c r="E278" i="30" s="1"/>
  <c r="B278" i="30"/>
  <c r="A278" i="30"/>
  <c r="M278" i="30" s="1"/>
  <c r="P277" i="30"/>
  <c r="Q277" i="30" s="1"/>
  <c r="N277" i="30"/>
  <c r="O277" i="30" s="1"/>
  <c r="K277" i="30"/>
  <c r="F277" i="30"/>
  <c r="G277" i="30" s="1"/>
  <c r="D277" i="30"/>
  <c r="E277" i="30" s="1"/>
  <c r="B277" i="30"/>
  <c r="A277" i="30"/>
  <c r="M277" i="30" s="1"/>
  <c r="P276" i="30"/>
  <c r="Q276" i="30" s="1"/>
  <c r="N276" i="30"/>
  <c r="O276" i="30" s="1"/>
  <c r="K276" i="30"/>
  <c r="F276" i="30"/>
  <c r="G276" i="30" s="1"/>
  <c r="D276" i="30"/>
  <c r="E276" i="30" s="1"/>
  <c r="B276" i="30"/>
  <c r="A276" i="30"/>
  <c r="M276" i="30" s="1"/>
  <c r="P275" i="30"/>
  <c r="Q275" i="30" s="1"/>
  <c r="N275" i="30"/>
  <c r="O275" i="30" s="1"/>
  <c r="K275" i="30"/>
  <c r="F275" i="30"/>
  <c r="G275" i="30" s="1"/>
  <c r="D275" i="30"/>
  <c r="E275" i="30" s="1"/>
  <c r="B275" i="30"/>
  <c r="A275" i="30"/>
  <c r="M275" i="30" s="1"/>
  <c r="Y274" i="30"/>
  <c r="Z274" i="30" s="1"/>
  <c r="W274" i="30"/>
  <c r="B274" i="30"/>
  <c r="A274" i="30"/>
  <c r="Y273" i="30"/>
  <c r="Z273" i="30" s="1"/>
  <c r="W273" i="30"/>
  <c r="X273" i="30" s="1"/>
  <c r="B273" i="30"/>
  <c r="A273" i="30"/>
  <c r="Y272" i="30"/>
  <c r="Z272" i="30" s="1"/>
  <c r="W272" i="30"/>
  <c r="B272" i="30"/>
  <c r="A272" i="30"/>
  <c r="Y271" i="30"/>
  <c r="Z271" i="30" s="1"/>
  <c r="W271" i="30"/>
  <c r="X271" i="30" s="1"/>
  <c r="K271" i="30"/>
  <c r="L271" i="30" s="1"/>
  <c r="B271" i="30"/>
  <c r="A271" i="30"/>
  <c r="Y270" i="30"/>
  <c r="Z270" i="30" s="1"/>
  <c r="W270" i="30"/>
  <c r="X270" i="30" s="1"/>
  <c r="B270" i="30"/>
  <c r="A270" i="30"/>
  <c r="P269" i="30"/>
  <c r="Q269" i="30" s="1"/>
  <c r="N269" i="30"/>
  <c r="O269" i="30" s="1"/>
  <c r="K269" i="30"/>
  <c r="F269" i="30"/>
  <c r="G269" i="30" s="1"/>
  <c r="D269" i="30"/>
  <c r="E269" i="30" s="1"/>
  <c r="B269" i="30"/>
  <c r="A269" i="30"/>
  <c r="M269" i="30" s="1"/>
  <c r="P268" i="30"/>
  <c r="Q268" i="30" s="1"/>
  <c r="N268" i="30"/>
  <c r="O268" i="30" s="1"/>
  <c r="K268" i="30"/>
  <c r="L268" i="30" s="1"/>
  <c r="F268" i="30"/>
  <c r="G268" i="30" s="1"/>
  <c r="D268" i="30"/>
  <c r="E268" i="30" s="1"/>
  <c r="B268" i="30"/>
  <c r="A268" i="30"/>
  <c r="M268" i="30" s="1"/>
  <c r="P267" i="30"/>
  <c r="Q267" i="30" s="1"/>
  <c r="N267" i="30"/>
  <c r="O267" i="30" s="1"/>
  <c r="K267" i="30"/>
  <c r="F267" i="30"/>
  <c r="G267" i="30" s="1"/>
  <c r="D267" i="30"/>
  <c r="E267" i="30" s="1"/>
  <c r="B267" i="30"/>
  <c r="A267" i="30"/>
  <c r="M267" i="30" s="1"/>
  <c r="P266" i="30"/>
  <c r="Q266" i="30" s="1"/>
  <c r="N266" i="30"/>
  <c r="O266" i="30" s="1"/>
  <c r="K266" i="30"/>
  <c r="L266" i="30" s="1"/>
  <c r="F266" i="30"/>
  <c r="G266" i="30" s="1"/>
  <c r="D266" i="30"/>
  <c r="E266" i="30" s="1"/>
  <c r="B266" i="30"/>
  <c r="A266" i="30"/>
  <c r="M266" i="30" s="1"/>
  <c r="Y265" i="30"/>
  <c r="Z265" i="30" s="1"/>
  <c r="W265" i="30"/>
  <c r="X265" i="30" s="1"/>
  <c r="B265" i="30"/>
  <c r="A265" i="30"/>
  <c r="Y264" i="30"/>
  <c r="Z264" i="30" s="1"/>
  <c r="W264" i="30"/>
  <c r="X264" i="30" s="1"/>
  <c r="B264" i="30"/>
  <c r="A264" i="30"/>
  <c r="Y263" i="30"/>
  <c r="Z263" i="30" s="1"/>
  <c r="W263" i="30"/>
  <c r="X263" i="30" s="1"/>
  <c r="B263" i="30"/>
  <c r="A263" i="30"/>
  <c r="Y262" i="30"/>
  <c r="Z262" i="30" s="1"/>
  <c r="W262" i="30"/>
  <c r="X262" i="30" s="1"/>
  <c r="K262" i="30"/>
  <c r="L262" i="30" s="1"/>
  <c r="B262" i="30"/>
  <c r="A262" i="30"/>
  <c r="Y261" i="30"/>
  <c r="Z261" i="30" s="1"/>
  <c r="W261" i="30"/>
  <c r="B261" i="30"/>
  <c r="A261" i="30"/>
  <c r="P260" i="30"/>
  <c r="Q260" i="30" s="1"/>
  <c r="N260" i="30"/>
  <c r="O260" i="30" s="1"/>
  <c r="K260" i="30"/>
  <c r="L260" i="30" s="1"/>
  <c r="F260" i="30"/>
  <c r="G260" i="30" s="1"/>
  <c r="D260" i="30"/>
  <c r="E260" i="30" s="1"/>
  <c r="B260" i="30"/>
  <c r="A260" i="30"/>
  <c r="M260" i="30" s="1"/>
  <c r="P259" i="30"/>
  <c r="Q259" i="30" s="1"/>
  <c r="N259" i="30"/>
  <c r="O259" i="30" s="1"/>
  <c r="K259" i="30"/>
  <c r="F259" i="30"/>
  <c r="G259" i="30" s="1"/>
  <c r="D259" i="30"/>
  <c r="E259" i="30" s="1"/>
  <c r="B259" i="30"/>
  <c r="A259" i="30"/>
  <c r="M259" i="30" s="1"/>
  <c r="P258" i="30"/>
  <c r="Q258" i="30" s="1"/>
  <c r="N258" i="30"/>
  <c r="O258" i="30" s="1"/>
  <c r="K258" i="30"/>
  <c r="L258" i="30" s="1"/>
  <c r="F258" i="30"/>
  <c r="G258" i="30" s="1"/>
  <c r="D258" i="30"/>
  <c r="E258" i="30" s="1"/>
  <c r="B258" i="30"/>
  <c r="A258" i="30"/>
  <c r="M258" i="30" s="1"/>
  <c r="P257" i="30"/>
  <c r="Q257" i="30" s="1"/>
  <c r="N257" i="30"/>
  <c r="O257" i="30" s="1"/>
  <c r="K257" i="30"/>
  <c r="L257" i="30" s="1"/>
  <c r="F257" i="30"/>
  <c r="G257" i="30" s="1"/>
  <c r="D257" i="30"/>
  <c r="E257" i="30" s="1"/>
  <c r="B257" i="30"/>
  <c r="A257" i="30"/>
  <c r="M257" i="30" s="1"/>
  <c r="Y256" i="30"/>
  <c r="Z256" i="30" s="1"/>
  <c r="W256" i="30"/>
  <c r="B256" i="30"/>
  <c r="A256" i="30"/>
  <c r="Y255" i="30"/>
  <c r="Z255" i="30" s="1"/>
  <c r="W255" i="30"/>
  <c r="B255" i="30"/>
  <c r="A255" i="30"/>
  <c r="Y254" i="30"/>
  <c r="Z254" i="30" s="1"/>
  <c r="W254" i="30"/>
  <c r="X254" i="30" s="1"/>
  <c r="B254" i="30"/>
  <c r="A254" i="30"/>
  <c r="Y253" i="30"/>
  <c r="Z253" i="30" s="1"/>
  <c r="W253" i="30"/>
  <c r="K253" i="30"/>
  <c r="L253" i="30" s="1"/>
  <c r="B253" i="30"/>
  <c r="A253" i="30"/>
  <c r="Y252" i="30"/>
  <c r="Z252" i="30" s="1"/>
  <c r="W252" i="30"/>
  <c r="X252" i="30" s="1"/>
  <c r="B252" i="30"/>
  <c r="A252" i="30"/>
  <c r="P251" i="30"/>
  <c r="Q251" i="30" s="1"/>
  <c r="N251" i="30"/>
  <c r="O251" i="30" s="1"/>
  <c r="K251" i="30"/>
  <c r="F251" i="30"/>
  <c r="G251" i="30" s="1"/>
  <c r="D251" i="30"/>
  <c r="E251" i="30" s="1"/>
  <c r="B251" i="30"/>
  <c r="A251" i="30"/>
  <c r="M251" i="30" s="1"/>
  <c r="P250" i="30"/>
  <c r="Q250" i="30" s="1"/>
  <c r="N250" i="30"/>
  <c r="O250" i="30" s="1"/>
  <c r="K250" i="30"/>
  <c r="F250" i="30"/>
  <c r="G250" i="30" s="1"/>
  <c r="D250" i="30"/>
  <c r="E250" i="30" s="1"/>
  <c r="B250" i="30"/>
  <c r="A250" i="30"/>
  <c r="M250" i="30" s="1"/>
  <c r="P249" i="30"/>
  <c r="Q249" i="30" s="1"/>
  <c r="N249" i="30"/>
  <c r="O249" i="30" s="1"/>
  <c r="K249" i="30"/>
  <c r="L249" i="30" s="1"/>
  <c r="F249" i="30"/>
  <c r="G249" i="30" s="1"/>
  <c r="D249" i="30"/>
  <c r="E249" i="30" s="1"/>
  <c r="B249" i="30"/>
  <c r="A249" i="30"/>
  <c r="M249" i="30" s="1"/>
  <c r="P248" i="30"/>
  <c r="Q248" i="30" s="1"/>
  <c r="N248" i="30"/>
  <c r="O248" i="30" s="1"/>
  <c r="K248" i="30"/>
  <c r="F248" i="30"/>
  <c r="G248" i="30" s="1"/>
  <c r="D248" i="30"/>
  <c r="E248" i="30" s="1"/>
  <c r="B248" i="30"/>
  <c r="A248" i="30"/>
  <c r="M248" i="30" s="1"/>
  <c r="Y247" i="30"/>
  <c r="W247" i="30"/>
  <c r="X247" i="30" s="1"/>
  <c r="B247" i="30"/>
  <c r="A247" i="30"/>
  <c r="Y246" i="30"/>
  <c r="Z246" i="30" s="1"/>
  <c r="W246" i="30"/>
  <c r="X246" i="30" s="1"/>
  <c r="B246" i="30"/>
  <c r="A246" i="30"/>
  <c r="Y245" i="30"/>
  <c r="Z245" i="30" s="1"/>
  <c r="W245" i="30"/>
  <c r="B245" i="30"/>
  <c r="A245" i="30"/>
  <c r="Y244" i="30"/>
  <c r="Z244" i="30" s="1"/>
  <c r="W244" i="30"/>
  <c r="K244" i="30"/>
  <c r="L244" i="30" s="1"/>
  <c r="B244" i="30"/>
  <c r="A244" i="30"/>
  <c r="Y243" i="30"/>
  <c r="Z243" i="30" s="1"/>
  <c r="W243" i="30"/>
  <c r="B243" i="30"/>
  <c r="A243" i="30"/>
  <c r="P242" i="30"/>
  <c r="Q242" i="30" s="1"/>
  <c r="N242" i="30"/>
  <c r="O242" i="30" s="1"/>
  <c r="K242" i="30"/>
  <c r="F242" i="30"/>
  <c r="G242" i="30" s="1"/>
  <c r="D242" i="30"/>
  <c r="E242" i="30" s="1"/>
  <c r="B242" i="30"/>
  <c r="A242" i="30"/>
  <c r="M242" i="30" s="1"/>
  <c r="P241" i="30"/>
  <c r="Q241" i="30" s="1"/>
  <c r="N241" i="30"/>
  <c r="O241" i="30" s="1"/>
  <c r="K241" i="30"/>
  <c r="F241" i="30"/>
  <c r="G241" i="30" s="1"/>
  <c r="D241" i="30"/>
  <c r="E241" i="30" s="1"/>
  <c r="B241" i="30"/>
  <c r="A241" i="30"/>
  <c r="M241" i="30" s="1"/>
  <c r="P240" i="30"/>
  <c r="Q240" i="30" s="1"/>
  <c r="N240" i="30"/>
  <c r="O240" i="30" s="1"/>
  <c r="K240" i="30"/>
  <c r="L240" i="30" s="1"/>
  <c r="F240" i="30"/>
  <c r="G240" i="30" s="1"/>
  <c r="D240" i="30"/>
  <c r="E240" i="30" s="1"/>
  <c r="B240" i="30"/>
  <c r="A240" i="30"/>
  <c r="M240" i="30" s="1"/>
  <c r="P239" i="30"/>
  <c r="Q239" i="30" s="1"/>
  <c r="N239" i="30"/>
  <c r="O239" i="30" s="1"/>
  <c r="K239" i="30"/>
  <c r="L239" i="30" s="1"/>
  <c r="F239" i="30"/>
  <c r="G239" i="30" s="1"/>
  <c r="D239" i="30"/>
  <c r="E239" i="30" s="1"/>
  <c r="B239" i="30"/>
  <c r="A239" i="30"/>
  <c r="M239" i="30" s="1"/>
  <c r="Y238" i="30"/>
  <c r="Z238" i="30" s="1"/>
  <c r="W238" i="30"/>
  <c r="B238" i="30"/>
  <c r="A238" i="30"/>
  <c r="Y237" i="30"/>
  <c r="Z237" i="30" s="1"/>
  <c r="W237" i="30"/>
  <c r="B237" i="30"/>
  <c r="A237" i="30"/>
  <c r="Y236" i="30"/>
  <c r="Z236" i="30" s="1"/>
  <c r="W236" i="30"/>
  <c r="B236" i="30"/>
  <c r="A236" i="30"/>
  <c r="Y235" i="30"/>
  <c r="Z235" i="30" s="1"/>
  <c r="W235" i="30"/>
  <c r="K235" i="30"/>
  <c r="L235" i="30" s="1"/>
  <c r="B235" i="30"/>
  <c r="A235" i="30"/>
  <c r="Y234" i="30"/>
  <c r="Z234" i="30" s="1"/>
  <c r="W234" i="30"/>
  <c r="X234" i="30" s="1"/>
  <c r="B234" i="30"/>
  <c r="A234" i="30"/>
  <c r="P233" i="30"/>
  <c r="Q233" i="30" s="1"/>
  <c r="N233" i="30"/>
  <c r="O233" i="30" s="1"/>
  <c r="K233" i="30"/>
  <c r="L233" i="30" s="1"/>
  <c r="F233" i="30"/>
  <c r="G233" i="30" s="1"/>
  <c r="D233" i="30"/>
  <c r="E233" i="30" s="1"/>
  <c r="B233" i="30"/>
  <c r="A233" i="30"/>
  <c r="M233" i="30" s="1"/>
  <c r="P232" i="30"/>
  <c r="Q232" i="30" s="1"/>
  <c r="N232" i="30"/>
  <c r="O232" i="30" s="1"/>
  <c r="K232" i="30"/>
  <c r="F232" i="30"/>
  <c r="G232" i="30" s="1"/>
  <c r="D232" i="30"/>
  <c r="E232" i="30" s="1"/>
  <c r="B232" i="30"/>
  <c r="A232" i="30"/>
  <c r="M232" i="30" s="1"/>
  <c r="P231" i="30"/>
  <c r="Q231" i="30" s="1"/>
  <c r="N231" i="30"/>
  <c r="O231" i="30" s="1"/>
  <c r="K231" i="30"/>
  <c r="L231" i="30" s="1"/>
  <c r="F231" i="30"/>
  <c r="G231" i="30" s="1"/>
  <c r="D231" i="30"/>
  <c r="E231" i="30" s="1"/>
  <c r="B231" i="30"/>
  <c r="A231" i="30"/>
  <c r="M231" i="30" s="1"/>
  <c r="P230" i="30"/>
  <c r="Q230" i="30" s="1"/>
  <c r="N230" i="30"/>
  <c r="O230" i="30" s="1"/>
  <c r="K230" i="30"/>
  <c r="L230" i="30" s="1"/>
  <c r="F230" i="30"/>
  <c r="G230" i="30" s="1"/>
  <c r="D230" i="30"/>
  <c r="E230" i="30" s="1"/>
  <c r="B230" i="30"/>
  <c r="A230" i="30"/>
  <c r="M230" i="30" s="1"/>
  <c r="Y229" i="30"/>
  <c r="Z229" i="30" s="1"/>
  <c r="W229" i="30"/>
  <c r="X229" i="30" s="1"/>
  <c r="B229" i="30"/>
  <c r="A229" i="30"/>
  <c r="Y228" i="30"/>
  <c r="W228" i="30"/>
  <c r="X228" i="30" s="1"/>
  <c r="B228" i="30"/>
  <c r="A228" i="30"/>
  <c r="Y227" i="30"/>
  <c r="Z227" i="30" s="1"/>
  <c r="W227" i="30"/>
  <c r="X227" i="30" s="1"/>
  <c r="B227" i="30"/>
  <c r="A227" i="30"/>
  <c r="Y226" i="30"/>
  <c r="Z226" i="30" s="1"/>
  <c r="W226" i="30"/>
  <c r="X226" i="30" s="1"/>
  <c r="K226" i="30"/>
  <c r="L226" i="30" s="1"/>
  <c r="B226" i="30"/>
  <c r="A226" i="30"/>
  <c r="Y225" i="30"/>
  <c r="Z225" i="30" s="1"/>
  <c r="W225" i="30"/>
  <c r="B225" i="30"/>
  <c r="A225" i="30"/>
  <c r="P224" i="30"/>
  <c r="Q224" i="30" s="1"/>
  <c r="N224" i="30"/>
  <c r="O224" i="30" s="1"/>
  <c r="K224" i="30"/>
  <c r="L224" i="30" s="1"/>
  <c r="F224" i="30"/>
  <c r="G224" i="30" s="1"/>
  <c r="D224" i="30"/>
  <c r="E224" i="30" s="1"/>
  <c r="B224" i="30"/>
  <c r="A224" i="30"/>
  <c r="M224" i="30" s="1"/>
  <c r="P223" i="30"/>
  <c r="Q223" i="30" s="1"/>
  <c r="N223" i="30"/>
  <c r="O223" i="30" s="1"/>
  <c r="K223" i="30"/>
  <c r="F223" i="30"/>
  <c r="G223" i="30" s="1"/>
  <c r="D223" i="30"/>
  <c r="E223" i="30" s="1"/>
  <c r="B223" i="30"/>
  <c r="A223" i="30"/>
  <c r="M223" i="30" s="1"/>
  <c r="P222" i="30"/>
  <c r="Q222" i="30" s="1"/>
  <c r="N222" i="30"/>
  <c r="O222" i="30" s="1"/>
  <c r="K222" i="30"/>
  <c r="L222" i="30" s="1"/>
  <c r="F222" i="30"/>
  <c r="G222" i="30" s="1"/>
  <c r="D222" i="30"/>
  <c r="E222" i="30" s="1"/>
  <c r="B222" i="30"/>
  <c r="A222" i="30"/>
  <c r="M222" i="30" s="1"/>
  <c r="P221" i="30"/>
  <c r="Q221" i="30" s="1"/>
  <c r="N221" i="30"/>
  <c r="O221" i="30" s="1"/>
  <c r="K221" i="30"/>
  <c r="L221" i="30" s="1"/>
  <c r="F221" i="30"/>
  <c r="G221" i="30" s="1"/>
  <c r="D221" i="30"/>
  <c r="E221" i="30" s="1"/>
  <c r="B221" i="30"/>
  <c r="A221" i="30"/>
  <c r="M221" i="30" s="1"/>
  <c r="Y220" i="30"/>
  <c r="Z220" i="30" s="1"/>
  <c r="W220" i="30"/>
  <c r="X220" i="30" s="1"/>
  <c r="B220" i="30"/>
  <c r="A220" i="30"/>
  <c r="Y219" i="30"/>
  <c r="Z219" i="30" s="1"/>
  <c r="W219" i="30"/>
  <c r="B219" i="30"/>
  <c r="A219" i="30"/>
  <c r="Y218" i="30"/>
  <c r="Z218" i="30" s="1"/>
  <c r="W218" i="30"/>
  <c r="X218" i="30" s="1"/>
  <c r="B218" i="30"/>
  <c r="A218" i="30"/>
  <c r="Y217" i="30"/>
  <c r="Z217" i="30" s="1"/>
  <c r="W217" i="30"/>
  <c r="K217" i="30"/>
  <c r="L217" i="30" s="1"/>
  <c r="B217" i="30"/>
  <c r="A217" i="30"/>
  <c r="Y216" i="30"/>
  <c r="Z216" i="30" s="1"/>
  <c r="W216" i="30"/>
  <c r="X216" i="30" s="1"/>
  <c r="B216" i="30"/>
  <c r="A216" i="30"/>
  <c r="P215" i="30"/>
  <c r="Q215" i="30" s="1"/>
  <c r="N215" i="30"/>
  <c r="O215" i="30" s="1"/>
  <c r="K215" i="30"/>
  <c r="F215" i="30"/>
  <c r="G215" i="30" s="1"/>
  <c r="D215" i="30"/>
  <c r="E215" i="30" s="1"/>
  <c r="B215" i="30"/>
  <c r="A215" i="30"/>
  <c r="M215" i="30" s="1"/>
  <c r="P214" i="30"/>
  <c r="Q214" i="30" s="1"/>
  <c r="N214" i="30"/>
  <c r="O214" i="30" s="1"/>
  <c r="K214" i="30"/>
  <c r="F214" i="30"/>
  <c r="G214" i="30" s="1"/>
  <c r="D214" i="30"/>
  <c r="E214" i="30" s="1"/>
  <c r="B214" i="30"/>
  <c r="A214" i="30"/>
  <c r="M214" i="30" s="1"/>
  <c r="P213" i="30"/>
  <c r="Q213" i="30" s="1"/>
  <c r="N213" i="30"/>
  <c r="O213" i="30" s="1"/>
  <c r="K213" i="30"/>
  <c r="F213" i="30"/>
  <c r="G213" i="30" s="1"/>
  <c r="D213" i="30"/>
  <c r="E213" i="30" s="1"/>
  <c r="B213" i="30"/>
  <c r="A213" i="30"/>
  <c r="M213" i="30" s="1"/>
  <c r="P212" i="30"/>
  <c r="Q212" i="30" s="1"/>
  <c r="N212" i="30"/>
  <c r="O212" i="30" s="1"/>
  <c r="K212" i="30"/>
  <c r="F212" i="30"/>
  <c r="G212" i="30" s="1"/>
  <c r="D212" i="30"/>
  <c r="E212" i="30" s="1"/>
  <c r="B212" i="30"/>
  <c r="A212" i="30"/>
  <c r="M212" i="30" s="1"/>
  <c r="Y211" i="30"/>
  <c r="Z211" i="30" s="1"/>
  <c r="W211" i="30"/>
  <c r="X211" i="30" s="1"/>
  <c r="B211" i="30"/>
  <c r="A211" i="30"/>
  <c r="Y210" i="30"/>
  <c r="Z210" i="30" s="1"/>
  <c r="W210" i="30"/>
  <c r="X210" i="30" s="1"/>
  <c r="B210" i="30"/>
  <c r="A210" i="30"/>
  <c r="Y209" i="30"/>
  <c r="Z209" i="30" s="1"/>
  <c r="W209" i="30"/>
  <c r="B209" i="30"/>
  <c r="A209" i="30"/>
  <c r="Y208" i="30"/>
  <c r="Z208" i="30" s="1"/>
  <c r="W208" i="30"/>
  <c r="X208" i="30" s="1"/>
  <c r="K208" i="30"/>
  <c r="L208" i="30" s="1"/>
  <c r="B208" i="30"/>
  <c r="A208" i="30"/>
  <c r="Y207" i="30"/>
  <c r="W207" i="30"/>
  <c r="X207" i="30" s="1"/>
  <c r="B207" i="30"/>
  <c r="A207" i="30"/>
  <c r="P206" i="30"/>
  <c r="Q206" i="30" s="1"/>
  <c r="N206" i="30"/>
  <c r="O206" i="30" s="1"/>
  <c r="K206" i="30"/>
  <c r="L206" i="30" s="1"/>
  <c r="F206" i="30"/>
  <c r="G206" i="30" s="1"/>
  <c r="D206" i="30"/>
  <c r="E206" i="30" s="1"/>
  <c r="B206" i="30"/>
  <c r="A206" i="30"/>
  <c r="M206" i="30" s="1"/>
  <c r="P205" i="30"/>
  <c r="Q205" i="30" s="1"/>
  <c r="N205" i="30"/>
  <c r="O205" i="30" s="1"/>
  <c r="K205" i="30"/>
  <c r="F205" i="30"/>
  <c r="G205" i="30" s="1"/>
  <c r="D205" i="30"/>
  <c r="E205" i="30" s="1"/>
  <c r="B205" i="30"/>
  <c r="A205" i="30"/>
  <c r="M205" i="30" s="1"/>
  <c r="P204" i="30"/>
  <c r="Q204" i="30" s="1"/>
  <c r="N204" i="30"/>
  <c r="O204" i="30" s="1"/>
  <c r="K204" i="30"/>
  <c r="L204" i="30" s="1"/>
  <c r="F204" i="30"/>
  <c r="G204" i="30" s="1"/>
  <c r="D204" i="30"/>
  <c r="E204" i="30" s="1"/>
  <c r="B204" i="30"/>
  <c r="A204" i="30"/>
  <c r="M204" i="30" s="1"/>
  <c r="P203" i="30"/>
  <c r="Q203" i="30" s="1"/>
  <c r="N203" i="30"/>
  <c r="O203" i="30" s="1"/>
  <c r="K203" i="30"/>
  <c r="L203" i="30" s="1"/>
  <c r="F203" i="30"/>
  <c r="G203" i="30" s="1"/>
  <c r="D203" i="30"/>
  <c r="E203" i="30" s="1"/>
  <c r="B203" i="30"/>
  <c r="A203" i="30"/>
  <c r="M203" i="30" s="1"/>
  <c r="Y202" i="30"/>
  <c r="Z202" i="30" s="1"/>
  <c r="W202" i="30"/>
  <c r="X202" i="30" s="1"/>
  <c r="B202" i="30"/>
  <c r="A202" i="30"/>
  <c r="Y201" i="30"/>
  <c r="Z201" i="30" s="1"/>
  <c r="W201" i="30"/>
  <c r="B201" i="30"/>
  <c r="A201" i="30"/>
  <c r="Y200" i="30"/>
  <c r="Z200" i="30" s="1"/>
  <c r="W200" i="30"/>
  <c r="X200" i="30" s="1"/>
  <c r="B200" i="30"/>
  <c r="A200" i="30"/>
  <c r="Y199" i="30"/>
  <c r="Z199" i="30" s="1"/>
  <c r="W199" i="30"/>
  <c r="K199" i="30"/>
  <c r="L199" i="30" s="1"/>
  <c r="B199" i="30"/>
  <c r="A199" i="30"/>
  <c r="Y198" i="30"/>
  <c r="Z198" i="30" s="1"/>
  <c r="W198" i="30"/>
  <c r="X198" i="30" s="1"/>
  <c r="B198" i="30"/>
  <c r="A198" i="30"/>
  <c r="P197" i="30"/>
  <c r="Q197" i="30" s="1"/>
  <c r="N197" i="30"/>
  <c r="O197" i="30" s="1"/>
  <c r="K197" i="30"/>
  <c r="L197" i="30" s="1"/>
  <c r="F197" i="30"/>
  <c r="G197" i="30" s="1"/>
  <c r="D197" i="30"/>
  <c r="E197" i="30" s="1"/>
  <c r="B197" i="30"/>
  <c r="A197" i="30"/>
  <c r="M197" i="30" s="1"/>
  <c r="P196" i="30"/>
  <c r="Q196" i="30" s="1"/>
  <c r="N196" i="30"/>
  <c r="O196" i="30" s="1"/>
  <c r="K196" i="30"/>
  <c r="F196" i="30"/>
  <c r="G196" i="30" s="1"/>
  <c r="D196" i="30"/>
  <c r="E196" i="30" s="1"/>
  <c r="B196" i="30"/>
  <c r="A196" i="30"/>
  <c r="M196" i="30" s="1"/>
  <c r="P195" i="30"/>
  <c r="Q195" i="30" s="1"/>
  <c r="N195" i="30"/>
  <c r="O195" i="30" s="1"/>
  <c r="K195" i="30"/>
  <c r="L195" i="30" s="1"/>
  <c r="F195" i="30"/>
  <c r="G195" i="30" s="1"/>
  <c r="D195" i="30"/>
  <c r="E195" i="30" s="1"/>
  <c r="B195" i="30"/>
  <c r="A195" i="30"/>
  <c r="M195" i="30" s="1"/>
  <c r="P194" i="30"/>
  <c r="Q194" i="30" s="1"/>
  <c r="N194" i="30"/>
  <c r="O194" i="30" s="1"/>
  <c r="K194" i="30"/>
  <c r="L194" i="30" s="1"/>
  <c r="F194" i="30"/>
  <c r="G194" i="30" s="1"/>
  <c r="D194" i="30"/>
  <c r="E194" i="30" s="1"/>
  <c r="B194" i="30"/>
  <c r="A194" i="30"/>
  <c r="M194" i="30" s="1"/>
  <c r="Y193" i="30"/>
  <c r="Z193" i="30" s="1"/>
  <c r="W193" i="30"/>
  <c r="X193" i="30" s="1"/>
  <c r="B193" i="30"/>
  <c r="A193" i="30"/>
  <c r="Y192" i="30"/>
  <c r="Z192" i="30" s="1"/>
  <c r="W192" i="30"/>
  <c r="X192" i="30" s="1"/>
  <c r="B192" i="30"/>
  <c r="A192" i="30"/>
  <c r="Y191" i="30"/>
  <c r="Z191" i="30" s="1"/>
  <c r="W191" i="30"/>
  <c r="B191" i="30"/>
  <c r="A191" i="30"/>
  <c r="Y190" i="30"/>
  <c r="Z190" i="30" s="1"/>
  <c r="W190" i="30"/>
  <c r="K190" i="30"/>
  <c r="L190" i="30" s="1"/>
  <c r="B190" i="30"/>
  <c r="A190" i="30"/>
  <c r="Y189" i="30"/>
  <c r="Z189" i="30" s="1"/>
  <c r="W189" i="30"/>
  <c r="X189" i="30" s="1"/>
  <c r="B189" i="30"/>
  <c r="A189" i="30"/>
  <c r="P188" i="30"/>
  <c r="Q188" i="30" s="1"/>
  <c r="N188" i="30"/>
  <c r="O188" i="30" s="1"/>
  <c r="K188" i="30"/>
  <c r="F188" i="30"/>
  <c r="G188" i="30" s="1"/>
  <c r="D188" i="30"/>
  <c r="E188" i="30" s="1"/>
  <c r="B188" i="30"/>
  <c r="A188" i="30"/>
  <c r="M188" i="30" s="1"/>
  <c r="P187" i="30"/>
  <c r="Q187" i="30" s="1"/>
  <c r="N187" i="30"/>
  <c r="O187" i="30" s="1"/>
  <c r="K187" i="30"/>
  <c r="F187" i="30"/>
  <c r="G187" i="30" s="1"/>
  <c r="D187" i="30"/>
  <c r="E187" i="30" s="1"/>
  <c r="B187" i="30"/>
  <c r="A187" i="30"/>
  <c r="M187" i="30" s="1"/>
  <c r="P186" i="30"/>
  <c r="Q186" i="30" s="1"/>
  <c r="N186" i="30"/>
  <c r="O186" i="30" s="1"/>
  <c r="K186" i="30"/>
  <c r="F186" i="30"/>
  <c r="G186" i="30" s="1"/>
  <c r="D186" i="30"/>
  <c r="E186" i="30" s="1"/>
  <c r="B186" i="30"/>
  <c r="A186" i="30"/>
  <c r="M186" i="30" s="1"/>
  <c r="P185" i="30"/>
  <c r="Q185" i="30" s="1"/>
  <c r="N185" i="30"/>
  <c r="O185" i="30" s="1"/>
  <c r="K185" i="30"/>
  <c r="F185" i="30"/>
  <c r="G185" i="30" s="1"/>
  <c r="D185" i="30"/>
  <c r="E185" i="30" s="1"/>
  <c r="B185" i="30"/>
  <c r="A185" i="30"/>
  <c r="M185" i="30" s="1"/>
  <c r="Y184" i="30"/>
  <c r="Z184" i="30" s="1"/>
  <c r="W184" i="30"/>
  <c r="X184" i="30" s="1"/>
  <c r="B184" i="30"/>
  <c r="A184" i="30"/>
  <c r="Y183" i="30"/>
  <c r="Z183" i="30" s="1"/>
  <c r="W183" i="30"/>
  <c r="X183" i="30" s="1"/>
  <c r="B183" i="30"/>
  <c r="A183" i="30"/>
  <c r="Y182" i="30"/>
  <c r="Z182" i="30" s="1"/>
  <c r="W182" i="30"/>
  <c r="X182" i="30" s="1"/>
  <c r="B182" i="30"/>
  <c r="A182" i="30"/>
  <c r="Y181" i="30"/>
  <c r="Z181" i="30" s="1"/>
  <c r="W181" i="30"/>
  <c r="X181" i="30" s="1"/>
  <c r="K181" i="30"/>
  <c r="L181" i="30" s="1"/>
  <c r="B181" i="30"/>
  <c r="A181" i="30"/>
  <c r="Y180" i="30"/>
  <c r="Z180" i="30" s="1"/>
  <c r="W180" i="30"/>
  <c r="X180" i="30" s="1"/>
  <c r="B180" i="30"/>
  <c r="A180" i="30"/>
  <c r="P179" i="30"/>
  <c r="Q179" i="30" s="1"/>
  <c r="N179" i="30"/>
  <c r="O179" i="30" s="1"/>
  <c r="K179" i="30"/>
  <c r="L179" i="30" s="1"/>
  <c r="F179" i="30"/>
  <c r="G179" i="30" s="1"/>
  <c r="D179" i="30"/>
  <c r="E179" i="30" s="1"/>
  <c r="B179" i="30"/>
  <c r="A179" i="30"/>
  <c r="M179" i="30" s="1"/>
  <c r="P178" i="30"/>
  <c r="Q178" i="30" s="1"/>
  <c r="N178" i="30"/>
  <c r="O178" i="30" s="1"/>
  <c r="K178" i="30"/>
  <c r="F178" i="30"/>
  <c r="G178" i="30" s="1"/>
  <c r="D178" i="30"/>
  <c r="E178" i="30" s="1"/>
  <c r="B178" i="30"/>
  <c r="A178" i="30"/>
  <c r="M178" i="30" s="1"/>
  <c r="P177" i="30"/>
  <c r="Q177" i="30" s="1"/>
  <c r="N177" i="30"/>
  <c r="O177" i="30" s="1"/>
  <c r="K177" i="30"/>
  <c r="L177" i="30" s="1"/>
  <c r="F177" i="30"/>
  <c r="G177" i="30" s="1"/>
  <c r="D177" i="30"/>
  <c r="E177" i="30" s="1"/>
  <c r="B177" i="30"/>
  <c r="A177" i="30"/>
  <c r="M177" i="30" s="1"/>
  <c r="P176" i="30"/>
  <c r="Q176" i="30" s="1"/>
  <c r="N176" i="30"/>
  <c r="O176" i="30" s="1"/>
  <c r="K176" i="30"/>
  <c r="L176" i="30" s="1"/>
  <c r="F176" i="30"/>
  <c r="G176" i="30" s="1"/>
  <c r="D176" i="30"/>
  <c r="E176" i="30" s="1"/>
  <c r="B176" i="30"/>
  <c r="A176" i="30"/>
  <c r="M176" i="30" s="1"/>
  <c r="Y175" i="30"/>
  <c r="Z175" i="30" s="1"/>
  <c r="W175" i="30"/>
  <c r="B175" i="30"/>
  <c r="A175" i="30"/>
  <c r="Y174" i="30"/>
  <c r="Z174" i="30" s="1"/>
  <c r="W174" i="30"/>
  <c r="X174" i="30" s="1"/>
  <c r="B174" i="30"/>
  <c r="A174" i="30"/>
  <c r="Y173" i="30"/>
  <c r="Z173" i="30" s="1"/>
  <c r="W173" i="30"/>
  <c r="B173" i="30"/>
  <c r="A173" i="30"/>
  <c r="Y172" i="30"/>
  <c r="Z172" i="30" s="1"/>
  <c r="W172" i="30"/>
  <c r="X172" i="30" s="1"/>
  <c r="K172" i="30"/>
  <c r="L172" i="30" s="1"/>
  <c r="B172" i="30"/>
  <c r="A172" i="30"/>
  <c r="Y171" i="30"/>
  <c r="Z171" i="30" s="1"/>
  <c r="W171" i="30"/>
  <c r="B171" i="30"/>
  <c r="A171" i="30"/>
  <c r="P170" i="30"/>
  <c r="Q170" i="30" s="1"/>
  <c r="N170" i="30"/>
  <c r="O170" i="30" s="1"/>
  <c r="K170" i="30"/>
  <c r="L170" i="30" s="1"/>
  <c r="F170" i="30"/>
  <c r="G170" i="30" s="1"/>
  <c r="D170" i="30"/>
  <c r="E170" i="30" s="1"/>
  <c r="B170" i="30"/>
  <c r="A170" i="30"/>
  <c r="M170" i="30" s="1"/>
  <c r="P169" i="30"/>
  <c r="Q169" i="30" s="1"/>
  <c r="N169" i="30"/>
  <c r="O169" i="30" s="1"/>
  <c r="K169" i="30"/>
  <c r="F169" i="30"/>
  <c r="G169" i="30" s="1"/>
  <c r="D169" i="30"/>
  <c r="E169" i="30" s="1"/>
  <c r="B169" i="30"/>
  <c r="A169" i="30"/>
  <c r="M169" i="30" s="1"/>
  <c r="P168" i="30"/>
  <c r="Q168" i="30" s="1"/>
  <c r="N168" i="30"/>
  <c r="O168" i="30" s="1"/>
  <c r="K168" i="30"/>
  <c r="L168" i="30" s="1"/>
  <c r="F168" i="30"/>
  <c r="G168" i="30" s="1"/>
  <c r="D168" i="30"/>
  <c r="E168" i="30" s="1"/>
  <c r="B168" i="30"/>
  <c r="A168" i="30"/>
  <c r="M168" i="30" s="1"/>
  <c r="P167" i="30"/>
  <c r="Q167" i="30" s="1"/>
  <c r="N167" i="30"/>
  <c r="O167" i="30" s="1"/>
  <c r="K167" i="30"/>
  <c r="L167" i="30" s="1"/>
  <c r="F167" i="30"/>
  <c r="G167" i="30" s="1"/>
  <c r="D167" i="30"/>
  <c r="E167" i="30" s="1"/>
  <c r="B167" i="30"/>
  <c r="A167" i="30"/>
  <c r="M167" i="30" s="1"/>
  <c r="Y166" i="30"/>
  <c r="Z166" i="30" s="1"/>
  <c r="W166" i="30"/>
  <c r="B166" i="30"/>
  <c r="A166" i="30"/>
  <c r="Y165" i="30"/>
  <c r="Z165" i="30" s="1"/>
  <c r="W165" i="30"/>
  <c r="X165" i="30" s="1"/>
  <c r="B165" i="30"/>
  <c r="A165" i="30"/>
  <c r="Y164" i="30"/>
  <c r="Z164" i="30" s="1"/>
  <c r="W164" i="30"/>
  <c r="B164" i="30"/>
  <c r="A164" i="30"/>
  <c r="Y163" i="30"/>
  <c r="Z163" i="30" s="1"/>
  <c r="W163" i="30"/>
  <c r="X163" i="30" s="1"/>
  <c r="K163" i="30"/>
  <c r="L163" i="30" s="1"/>
  <c r="B163" i="30"/>
  <c r="A163" i="30"/>
  <c r="Y162" i="30"/>
  <c r="Z162" i="30" s="1"/>
  <c r="W162" i="30"/>
  <c r="B162" i="30"/>
  <c r="A162" i="30"/>
  <c r="P161" i="30"/>
  <c r="Q161" i="30" s="1"/>
  <c r="N161" i="30"/>
  <c r="O161" i="30" s="1"/>
  <c r="K161" i="30"/>
  <c r="F161" i="30"/>
  <c r="G161" i="30" s="1"/>
  <c r="D161" i="30"/>
  <c r="E161" i="30" s="1"/>
  <c r="B161" i="30"/>
  <c r="A161" i="30"/>
  <c r="M161" i="30" s="1"/>
  <c r="P160" i="30"/>
  <c r="Q160" i="30" s="1"/>
  <c r="N160" i="30"/>
  <c r="O160" i="30" s="1"/>
  <c r="K160" i="30"/>
  <c r="F160" i="30"/>
  <c r="G160" i="30" s="1"/>
  <c r="D160" i="30"/>
  <c r="E160" i="30" s="1"/>
  <c r="B160" i="30"/>
  <c r="A160" i="30"/>
  <c r="M160" i="30" s="1"/>
  <c r="P159" i="30"/>
  <c r="Q159" i="30" s="1"/>
  <c r="N159" i="30"/>
  <c r="O159" i="30" s="1"/>
  <c r="K159" i="30"/>
  <c r="L159" i="30" s="1"/>
  <c r="F159" i="30"/>
  <c r="G159" i="30" s="1"/>
  <c r="D159" i="30"/>
  <c r="E159" i="30" s="1"/>
  <c r="B159" i="30"/>
  <c r="A159" i="30"/>
  <c r="M159" i="30" s="1"/>
  <c r="P158" i="30"/>
  <c r="Q158" i="30" s="1"/>
  <c r="N158" i="30"/>
  <c r="O158" i="30" s="1"/>
  <c r="K158" i="30"/>
  <c r="F158" i="30"/>
  <c r="G158" i="30" s="1"/>
  <c r="D158" i="30"/>
  <c r="E158" i="30" s="1"/>
  <c r="B158" i="30"/>
  <c r="A158" i="30"/>
  <c r="M158" i="30" s="1"/>
  <c r="Y157" i="30"/>
  <c r="Z157" i="30" s="1"/>
  <c r="W157" i="30"/>
  <c r="B157" i="30"/>
  <c r="A157" i="30"/>
  <c r="Y156" i="30"/>
  <c r="Z156" i="30" s="1"/>
  <c r="W156" i="30"/>
  <c r="B156" i="30"/>
  <c r="A156" i="30"/>
  <c r="Y155" i="30"/>
  <c r="Z155" i="30" s="1"/>
  <c r="W155" i="30"/>
  <c r="B155" i="30"/>
  <c r="A155" i="30"/>
  <c r="Y154" i="30"/>
  <c r="Z154" i="30" s="1"/>
  <c r="W154" i="30"/>
  <c r="K154" i="30"/>
  <c r="L154" i="30" s="1"/>
  <c r="B154" i="30"/>
  <c r="A154" i="30"/>
  <c r="Y153" i="30"/>
  <c r="Z153" i="30" s="1"/>
  <c r="W153" i="30"/>
  <c r="B153" i="30"/>
  <c r="A153" i="30"/>
  <c r="P152" i="30"/>
  <c r="Q152" i="30" s="1"/>
  <c r="N152" i="30"/>
  <c r="O152" i="30" s="1"/>
  <c r="K152" i="30"/>
  <c r="L152" i="30" s="1"/>
  <c r="F152" i="30"/>
  <c r="G152" i="30" s="1"/>
  <c r="D152" i="30"/>
  <c r="E152" i="30" s="1"/>
  <c r="B152" i="30"/>
  <c r="A152" i="30"/>
  <c r="M152" i="30" s="1"/>
  <c r="P151" i="30"/>
  <c r="Q151" i="30" s="1"/>
  <c r="N151" i="30"/>
  <c r="O151" i="30" s="1"/>
  <c r="K151" i="30"/>
  <c r="F151" i="30"/>
  <c r="G151" i="30" s="1"/>
  <c r="D151" i="30"/>
  <c r="E151" i="30" s="1"/>
  <c r="B151" i="30"/>
  <c r="A151" i="30"/>
  <c r="M151" i="30" s="1"/>
  <c r="P150" i="30"/>
  <c r="Q150" i="30" s="1"/>
  <c r="N150" i="30"/>
  <c r="O150" i="30" s="1"/>
  <c r="K150" i="30"/>
  <c r="F150" i="30"/>
  <c r="G150" i="30" s="1"/>
  <c r="D150" i="30"/>
  <c r="E150" i="30" s="1"/>
  <c r="B150" i="30"/>
  <c r="A150" i="30"/>
  <c r="M150" i="30" s="1"/>
  <c r="P149" i="30"/>
  <c r="Q149" i="30" s="1"/>
  <c r="N149" i="30"/>
  <c r="O149" i="30" s="1"/>
  <c r="K149" i="30"/>
  <c r="L149" i="30" s="1"/>
  <c r="F149" i="30"/>
  <c r="G149" i="30" s="1"/>
  <c r="D149" i="30"/>
  <c r="E149" i="30" s="1"/>
  <c r="B149" i="30"/>
  <c r="A149" i="30"/>
  <c r="M149" i="30" s="1"/>
  <c r="Y148" i="30"/>
  <c r="Z148" i="30" s="1"/>
  <c r="W148" i="30"/>
  <c r="B148" i="30"/>
  <c r="A148" i="30"/>
  <c r="Y147" i="30"/>
  <c r="Z147" i="30" s="1"/>
  <c r="W147" i="30"/>
  <c r="X147" i="30" s="1"/>
  <c r="B147" i="30"/>
  <c r="A147" i="30"/>
  <c r="Y146" i="30"/>
  <c r="Z146" i="30" s="1"/>
  <c r="W146" i="30"/>
  <c r="B146" i="30"/>
  <c r="A146" i="30"/>
  <c r="Y145" i="30"/>
  <c r="Z145" i="30" s="1"/>
  <c r="W145" i="30"/>
  <c r="X145" i="30" s="1"/>
  <c r="K145" i="30"/>
  <c r="L145" i="30" s="1"/>
  <c r="B145" i="30"/>
  <c r="A145" i="30"/>
  <c r="Y144" i="30"/>
  <c r="Z144" i="30" s="1"/>
  <c r="W144" i="30"/>
  <c r="X144" i="30" s="1"/>
  <c r="B144" i="30"/>
  <c r="A144" i="30"/>
  <c r="P143" i="30"/>
  <c r="Q143" i="30" s="1"/>
  <c r="N143" i="30"/>
  <c r="O143" i="30" s="1"/>
  <c r="K143" i="30"/>
  <c r="F143" i="30"/>
  <c r="G143" i="30" s="1"/>
  <c r="D143" i="30"/>
  <c r="E143" i="30" s="1"/>
  <c r="B143" i="30"/>
  <c r="A143" i="30"/>
  <c r="M143" i="30" s="1"/>
  <c r="P142" i="30"/>
  <c r="Q142" i="30" s="1"/>
  <c r="N142" i="30"/>
  <c r="O142" i="30" s="1"/>
  <c r="K142" i="30"/>
  <c r="F142" i="30"/>
  <c r="G142" i="30" s="1"/>
  <c r="D142" i="30"/>
  <c r="E142" i="30" s="1"/>
  <c r="B142" i="30"/>
  <c r="A142" i="30"/>
  <c r="M142" i="30" s="1"/>
  <c r="P141" i="30"/>
  <c r="Q141" i="30" s="1"/>
  <c r="N141" i="30"/>
  <c r="O141" i="30" s="1"/>
  <c r="K141" i="30"/>
  <c r="F141" i="30"/>
  <c r="G141" i="30" s="1"/>
  <c r="D141" i="30"/>
  <c r="E141" i="30" s="1"/>
  <c r="B141" i="30"/>
  <c r="A141" i="30"/>
  <c r="M141" i="30" s="1"/>
  <c r="P140" i="30"/>
  <c r="Q140" i="30" s="1"/>
  <c r="N140" i="30"/>
  <c r="O140" i="30" s="1"/>
  <c r="K140" i="30"/>
  <c r="F140" i="30"/>
  <c r="G140" i="30" s="1"/>
  <c r="D140" i="30"/>
  <c r="E140" i="30" s="1"/>
  <c r="B140" i="30"/>
  <c r="A140" i="30"/>
  <c r="M140" i="30" s="1"/>
  <c r="Y139" i="30"/>
  <c r="Z139" i="30" s="1"/>
  <c r="W139" i="30"/>
  <c r="B139" i="30"/>
  <c r="A139" i="30"/>
  <c r="Y138" i="30"/>
  <c r="Z138" i="30" s="1"/>
  <c r="W138" i="30"/>
  <c r="X138" i="30" s="1"/>
  <c r="B138" i="30"/>
  <c r="A138" i="30"/>
  <c r="Y137" i="30"/>
  <c r="Z137" i="30" s="1"/>
  <c r="W137" i="30"/>
  <c r="B137" i="30"/>
  <c r="A137" i="30"/>
  <c r="Y136" i="30"/>
  <c r="Z136" i="30" s="1"/>
  <c r="W136" i="30"/>
  <c r="X136" i="30" s="1"/>
  <c r="K136" i="30"/>
  <c r="L136" i="30" s="1"/>
  <c r="B136" i="30"/>
  <c r="A136" i="30"/>
  <c r="Y135" i="30"/>
  <c r="Z135" i="30" s="1"/>
  <c r="W135" i="30"/>
  <c r="B135" i="30"/>
  <c r="A135" i="30"/>
  <c r="P134" i="30"/>
  <c r="Q134" i="30" s="1"/>
  <c r="N134" i="30"/>
  <c r="O134" i="30" s="1"/>
  <c r="K134" i="30"/>
  <c r="F134" i="30"/>
  <c r="G134" i="30" s="1"/>
  <c r="D134" i="30"/>
  <c r="E134" i="30" s="1"/>
  <c r="B134" i="30"/>
  <c r="A134" i="30"/>
  <c r="M134" i="30" s="1"/>
  <c r="P133" i="30"/>
  <c r="Q133" i="30" s="1"/>
  <c r="N133" i="30"/>
  <c r="O133" i="30" s="1"/>
  <c r="K133" i="30"/>
  <c r="F133" i="30"/>
  <c r="G133" i="30" s="1"/>
  <c r="D133" i="30"/>
  <c r="E133" i="30" s="1"/>
  <c r="B133" i="30"/>
  <c r="A133" i="30"/>
  <c r="M133" i="30" s="1"/>
  <c r="P132" i="30"/>
  <c r="Q132" i="30" s="1"/>
  <c r="N132" i="30"/>
  <c r="O132" i="30" s="1"/>
  <c r="K132" i="30"/>
  <c r="L132" i="30" s="1"/>
  <c r="F132" i="30"/>
  <c r="G132" i="30" s="1"/>
  <c r="D132" i="30"/>
  <c r="E132" i="30" s="1"/>
  <c r="B132" i="30"/>
  <c r="A132" i="30"/>
  <c r="M132" i="30" s="1"/>
  <c r="P131" i="30"/>
  <c r="Q131" i="30" s="1"/>
  <c r="N131" i="30"/>
  <c r="O131" i="30" s="1"/>
  <c r="K131" i="30"/>
  <c r="L131" i="30" s="1"/>
  <c r="F131" i="30"/>
  <c r="G131" i="30" s="1"/>
  <c r="D131" i="30"/>
  <c r="E131" i="30" s="1"/>
  <c r="B131" i="30"/>
  <c r="A131" i="30"/>
  <c r="M131" i="30" s="1"/>
  <c r="Y130" i="30"/>
  <c r="Z130" i="30" s="1"/>
  <c r="W130" i="30"/>
  <c r="B130" i="30"/>
  <c r="A130" i="30"/>
  <c r="Y129" i="30"/>
  <c r="Z129" i="30" s="1"/>
  <c r="W129" i="30"/>
  <c r="X129" i="30" s="1"/>
  <c r="B129" i="30"/>
  <c r="A129" i="30"/>
  <c r="Y128" i="30"/>
  <c r="Z128" i="30" s="1"/>
  <c r="W128" i="30"/>
  <c r="B128" i="30"/>
  <c r="A128" i="30"/>
  <c r="Y127" i="30"/>
  <c r="Z127" i="30" s="1"/>
  <c r="W127" i="30"/>
  <c r="X127" i="30" s="1"/>
  <c r="K127" i="30"/>
  <c r="L127" i="30" s="1"/>
  <c r="B127" i="30"/>
  <c r="A127" i="30"/>
  <c r="Y126" i="30"/>
  <c r="Z126" i="30" s="1"/>
  <c r="W126" i="30"/>
  <c r="B126" i="30"/>
  <c r="A126" i="30"/>
  <c r="P125" i="30"/>
  <c r="Q125" i="30" s="1"/>
  <c r="N125" i="30"/>
  <c r="O125" i="30" s="1"/>
  <c r="K125" i="30"/>
  <c r="L125" i="30" s="1"/>
  <c r="F125" i="30"/>
  <c r="G125" i="30" s="1"/>
  <c r="D125" i="30"/>
  <c r="E125" i="30" s="1"/>
  <c r="B125" i="30"/>
  <c r="A125" i="30"/>
  <c r="M125" i="30" s="1"/>
  <c r="P124" i="30"/>
  <c r="Q124" i="30" s="1"/>
  <c r="N124" i="30"/>
  <c r="O124" i="30" s="1"/>
  <c r="K124" i="30"/>
  <c r="F124" i="30"/>
  <c r="G124" i="30" s="1"/>
  <c r="D124" i="30"/>
  <c r="E124" i="30" s="1"/>
  <c r="B124" i="30"/>
  <c r="A124" i="30"/>
  <c r="M124" i="30" s="1"/>
  <c r="P123" i="30"/>
  <c r="Q123" i="30" s="1"/>
  <c r="N123" i="30"/>
  <c r="O123" i="30" s="1"/>
  <c r="K123" i="30"/>
  <c r="L123" i="30" s="1"/>
  <c r="F123" i="30"/>
  <c r="G123" i="30" s="1"/>
  <c r="D123" i="30"/>
  <c r="E123" i="30" s="1"/>
  <c r="B123" i="30"/>
  <c r="A123" i="30"/>
  <c r="M123" i="30" s="1"/>
  <c r="P122" i="30"/>
  <c r="Q122" i="30" s="1"/>
  <c r="N122" i="30"/>
  <c r="O122" i="30" s="1"/>
  <c r="K122" i="30"/>
  <c r="L122" i="30" s="1"/>
  <c r="F122" i="30"/>
  <c r="G122" i="30" s="1"/>
  <c r="D122" i="30"/>
  <c r="E122" i="30" s="1"/>
  <c r="B122" i="30"/>
  <c r="A122" i="30"/>
  <c r="M122" i="30" s="1"/>
  <c r="Y121" i="30"/>
  <c r="Z121" i="30" s="1"/>
  <c r="W121" i="30"/>
  <c r="B121" i="30"/>
  <c r="A121" i="30"/>
  <c r="Y120" i="30"/>
  <c r="Z120" i="30" s="1"/>
  <c r="W120" i="30"/>
  <c r="X120" i="30" s="1"/>
  <c r="B120" i="30"/>
  <c r="A120" i="30"/>
  <c r="Y119" i="30"/>
  <c r="Z119" i="30" s="1"/>
  <c r="W119" i="30"/>
  <c r="B119" i="30"/>
  <c r="A119" i="30"/>
  <c r="Y118" i="30"/>
  <c r="Z118" i="30" s="1"/>
  <c r="W118" i="30"/>
  <c r="X118" i="30" s="1"/>
  <c r="K118" i="30"/>
  <c r="L118" i="30" s="1"/>
  <c r="B118" i="30"/>
  <c r="A118" i="30"/>
  <c r="Y117" i="30"/>
  <c r="Z117" i="30" s="1"/>
  <c r="W117" i="30"/>
  <c r="B117" i="30"/>
  <c r="A117" i="30"/>
  <c r="P116" i="30"/>
  <c r="Q116" i="30" s="1"/>
  <c r="N116" i="30"/>
  <c r="O116" i="30" s="1"/>
  <c r="K116" i="30"/>
  <c r="L116" i="30" s="1"/>
  <c r="F116" i="30"/>
  <c r="G116" i="30" s="1"/>
  <c r="D116" i="30"/>
  <c r="E116" i="30" s="1"/>
  <c r="B116" i="30"/>
  <c r="A116" i="30"/>
  <c r="M116" i="30" s="1"/>
  <c r="P115" i="30"/>
  <c r="Q115" i="30" s="1"/>
  <c r="N115" i="30"/>
  <c r="O115" i="30" s="1"/>
  <c r="K115" i="30"/>
  <c r="F115" i="30"/>
  <c r="G115" i="30" s="1"/>
  <c r="D115" i="30"/>
  <c r="E115" i="30" s="1"/>
  <c r="B115" i="30"/>
  <c r="A115" i="30"/>
  <c r="M115" i="30" s="1"/>
  <c r="P114" i="30"/>
  <c r="Q114" i="30" s="1"/>
  <c r="N114" i="30"/>
  <c r="O114" i="30" s="1"/>
  <c r="K114" i="30"/>
  <c r="L114" i="30" s="1"/>
  <c r="F114" i="30"/>
  <c r="G114" i="30" s="1"/>
  <c r="D114" i="30"/>
  <c r="E114" i="30" s="1"/>
  <c r="B114" i="30"/>
  <c r="A114" i="30"/>
  <c r="M114" i="30" s="1"/>
  <c r="P113" i="30"/>
  <c r="Q113" i="30" s="1"/>
  <c r="N113" i="30"/>
  <c r="O113" i="30" s="1"/>
  <c r="K113" i="30"/>
  <c r="L113" i="30" s="1"/>
  <c r="F113" i="30"/>
  <c r="G113" i="30" s="1"/>
  <c r="D113" i="30"/>
  <c r="E113" i="30" s="1"/>
  <c r="B113" i="30"/>
  <c r="A113" i="30"/>
  <c r="M113" i="30" s="1"/>
  <c r="Y112" i="30"/>
  <c r="Z112" i="30" s="1"/>
  <c r="W112" i="30"/>
  <c r="B112" i="30"/>
  <c r="A112" i="30"/>
  <c r="Y111" i="30"/>
  <c r="Z111" i="30" s="1"/>
  <c r="W111" i="30"/>
  <c r="X111" i="30" s="1"/>
  <c r="B111" i="30"/>
  <c r="A111" i="30"/>
  <c r="Y110" i="30"/>
  <c r="Z110" i="30" s="1"/>
  <c r="W110" i="30"/>
  <c r="B110" i="30"/>
  <c r="A110" i="30"/>
  <c r="Y109" i="30"/>
  <c r="Z109" i="30" s="1"/>
  <c r="W109" i="30"/>
  <c r="X109" i="30" s="1"/>
  <c r="K109" i="30"/>
  <c r="L109" i="30" s="1"/>
  <c r="B109" i="30"/>
  <c r="A109" i="30"/>
  <c r="Y108" i="30"/>
  <c r="Z108" i="30" s="1"/>
  <c r="W108" i="30"/>
  <c r="B108" i="30"/>
  <c r="A108" i="30"/>
  <c r="P107" i="30"/>
  <c r="Q107" i="30" s="1"/>
  <c r="N107" i="30"/>
  <c r="O107" i="30" s="1"/>
  <c r="K107" i="30"/>
  <c r="F107" i="30"/>
  <c r="G107" i="30" s="1"/>
  <c r="D107" i="30"/>
  <c r="E107" i="30" s="1"/>
  <c r="B107" i="30"/>
  <c r="A107" i="30"/>
  <c r="M107" i="30" s="1"/>
  <c r="P106" i="30"/>
  <c r="Q106" i="30" s="1"/>
  <c r="N106" i="30"/>
  <c r="O106" i="30" s="1"/>
  <c r="K106" i="30"/>
  <c r="F106" i="30"/>
  <c r="G106" i="30" s="1"/>
  <c r="D106" i="30"/>
  <c r="E106" i="30" s="1"/>
  <c r="B106" i="30"/>
  <c r="A106" i="30"/>
  <c r="M106" i="30" s="1"/>
  <c r="P105" i="30"/>
  <c r="Q105" i="30" s="1"/>
  <c r="N105" i="30"/>
  <c r="O105" i="30" s="1"/>
  <c r="K105" i="30"/>
  <c r="F105" i="30"/>
  <c r="G105" i="30" s="1"/>
  <c r="D105" i="30"/>
  <c r="E105" i="30" s="1"/>
  <c r="B105" i="30"/>
  <c r="A105" i="30"/>
  <c r="M105" i="30" s="1"/>
  <c r="P104" i="30"/>
  <c r="Q104" i="30" s="1"/>
  <c r="N104" i="30"/>
  <c r="O104" i="30" s="1"/>
  <c r="K104" i="30"/>
  <c r="F104" i="30"/>
  <c r="G104" i="30" s="1"/>
  <c r="D104" i="30"/>
  <c r="E104" i="30" s="1"/>
  <c r="B104" i="30"/>
  <c r="A104" i="30"/>
  <c r="M104" i="30" s="1"/>
  <c r="Y103" i="30"/>
  <c r="Z103" i="30" s="1"/>
  <c r="W103" i="30"/>
  <c r="B103" i="30"/>
  <c r="A103" i="30"/>
  <c r="Y102" i="30"/>
  <c r="Z102" i="30" s="1"/>
  <c r="W102" i="30"/>
  <c r="X102" i="30" s="1"/>
  <c r="B102" i="30"/>
  <c r="A102" i="30"/>
  <c r="Y101" i="30"/>
  <c r="Z101" i="30" s="1"/>
  <c r="W101" i="30"/>
  <c r="B101" i="30"/>
  <c r="A101" i="30"/>
  <c r="Y100" i="30"/>
  <c r="Z100" i="30" s="1"/>
  <c r="W100" i="30"/>
  <c r="K100" i="30"/>
  <c r="L100" i="30" s="1"/>
  <c r="B100" i="30"/>
  <c r="A100" i="30"/>
  <c r="Y99" i="30"/>
  <c r="Z99" i="30" s="1"/>
  <c r="W99" i="30"/>
  <c r="B99" i="30"/>
  <c r="A99" i="30"/>
  <c r="P98" i="30"/>
  <c r="Q98" i="30" s="1"/>
  <c r="N98" i="30"/>
  <c r="O98" i="30" s="1"/>
  <c r="K98" i="30"/>
  <c r="L98" i="30" s="1"/>
  <c r="F98" i="30"/>
  <c r="G98" i="30" s="1"/>
  <c r="D98" i="30"/>
  <c r="E98" i="30" s="1"/>
  <c r="B98" i="30"/>
  <c r="A98" i="30"/>
  <c r="M98" i="30" s="1"/>
  <c r="P97" i="30"/>
  <c r="Q97" i="30" s="1"/>
  <c r="N97" i="30"/>
  <c r="O97" i="30" s="1"/>
  <c r="K97" i="30"/>
  <c r="F97" i="30"/>
  <c r="G97" i="30" s="1"/>
  <c r="D97" i="30"/>
  <c r="E97" i="30" s="1"/>
  <c r="B97" i="30"/>
  <c r="A97" i="30"/>
  <c r="M97" i="30" s="1"/>
  <c r="P96" i="30"/>
  <c r="Q96" i="30" s="1"/>
  <c r="N96" i="30"/>
  <c r="O96" i="30" s="1"/>
  <c r="K96" i="30"/>
  <c r="L96" i="30" s="1"/>
  <c r="F96" i="30"/>
  <c r="G96" i="30" s="1"/>
  <c r="D96" i="30"/>
  <c r="E96" i="30" s="1"/>
  <c r="B96" i="30"/>
  <c r="A96" i="30"/>
  <c r="M96" i="30" s="1"/>
  <c r="P95" i="30"/>
  <c r="Q95" i="30" s="1"/>
  <c r="N95" i="30"/>
  <c r="O95" i="30" s="1"/>
  <c r="K95" i="30"/>
  <c r="L95" i="30" s="1"/>
  <c r="F95" i="30"/>
  <c r="G95" i="30" s="1"/>
  <c r="D95" i="30"/>
  <c r="E95" i="30" s="1"/>
  <c r="B95" i="30"/>
  <c r="A95" i="30"/>
  <c r="M95" i="30" s="1"/>
  <c r="AE94" i="30"/>
  <c r="Y94" i="30"/>
  <c r="Z94" i="30" s="1"/>
  <c r="W94" i="30"/>
  <c r="X94" i="30" s="1"/>
  <c r="B94" i="30"/>
  <c r="A94" i="30"/>
  <c r="AE93" i="30"/>
  <c r="Y93" i="30"/>
  <c r="Z93" i="30" s="1"/>
  <c r="W93" i="30"/>
  <c r="X93" i="30" s="1"/>
  <c r="B93" i="30"/>
  <c r="A93" i="30"/>
  <c r="AE92" i="30"/>
  <c r="Y92" i="30"/>
  <c r="Z92" i="30" s="1"/>
  <c r="W92" i="30"/>
  <c r="X92" i="30" s="1"/>
  <c r="B92" i="30"/>
  <c r="A92" i="30"/>
  <c r="AE91" i="30"/>
  <c r="Y91" i="30"/>
  <c r="Z91" i="30" s="1"/>
  <c r="W91" i="30"/>
  <c r="X91" i="30" s="1"/>
  <c r="K91" i="30"/>
  <c r="L91" i="30" s="1"/>
  <c r="B91" i="30"/>
  <c r="A91" i="30"/>
  <c r="AE90" i="30"/>
  <c r="Y90" i="30"/>
  <c r="Z90" i="30" s="1"/>
  <c r="W90" i="30"/>
  <c r="X90" i="30" s="1"/>
  <c r="B90" i="30"/>
  <c r="A90" i="30"/>
  <c r="AE89" i="30"/>
  <c r="P89" i="30"/>
  <c r="Q89" i="30" s="1"/>
  <c r="N89" i="30"/>
  <c r="O89" i="30" s="1"/>
  <c r="K89" i="30"/>
  <c r="L89" i="30" s="1"/>
  <c r="F89" i="30"/>
  <c r="G89" i="30" s="1"/>
  <c r="D89" i="30"/>
  <c r="E89" i="30" s="1"/>
  <c r="B89" i="30"/>
  <c r="A89" i="30"/>
  <c r="M89" i="30" s="1"/>
  <c r="AE88" i="30"/>
  <c r="P88" i="30"/>
  <c r="Q88" i="30" s="1"/>
  <c r="N88" i="30"/>
  <c r="O88" i="30" s="1"/>
  <c r="K88" i="30"/>
  <c r="L88" i="30" s="1"/>
  <c r="F88" i="30"/>
  <c r="G88" i="30" s="1"/>
  <c r="D88" i="30"/>
  <c r="E88" i="30" s="1"/>
  <c r="B88" i="30"/>
  <c r="A88" i="30"/>
  <c r="M88" i="30" s="1"/>
  <c r="AE87" i="30"/>
  <c r="P87" i="30"/>
  <c r="Q87" i="30" s="1"/>
  <c r="N87" i="30"/>
  <c r="O87" i="30" s="1"/>
  <c r="K87" i="30"/>
  <c r="L87" i="30" s="1"/>
  <c r="F87" i="30"/>
  <c r="G87" i="30" s="1"/>
  <c r="D87" i="30"/>
  <c r="E87" i="30" s="1"/>
  <c r="B87" i="30"/>
  <c r="A87" i="30"/>
  <c r="M87" i="30" s="1"/>
  <c r="AE86" i="30"/>
  <c r="P86" i="30"/>
  <c r="Q86" i="30" s="1"/>
  <c r="N86" i="30"/>
  <c r="O86" i="30" s="1"/>
  <c r="K86" i="30"/>
  <c r="L86" i="30" s="1"/>
  <c r="F86" i="30"/>
  <c r="G86" i="30" s="1"/>
  <c r="D86" i="30"/>
  <c r="E86" i="30" s="1"/>
  <c r="B86" i="30"/>
  <c r="A86" i="30"/>
  <c r="M86" i="30" s="1"/>
  <c r="AE85" i="30"/>
  <c r="Y85" i="30"/>
  <c r="Z85" i="30" s="1"/>
  <c r="W85" i="30"/>
  <c r="X85" i="30" s="1"/>
  <c r="B85" i="30"/>
  <c r="A85" i="30"/>
  <c r="AE84" i="30"/>
  <c r="Y84" i="30"/>
  <c r="Z84" i="30" s="1"/>
  <c r="W84" i="30"/>
  <c r="X84" i="30" s="1"/>
  <c r="B84" i="30"/>
  <c r="A84" i="30"/>
  <c r="AE83" i="30"/>
  <c r="Y83" i="30"/>
  <c r="Z83" i="30" s="1"/>
  <c r="W83" i="30"/>
  <c r="X83" i="30" s="1"/>
  <c r="B83" i="30"/>
  <c r="A83" i="30"/>
  <c r="AE82" i="30"/>
  <c r="Y82" i="30"/>
  <c r="Z82" i="30" s="1"/>
  <c r="W82" i="30"/>
  <c r="X82" i="30" s="1"/>
  <c r="K82" i="30"/>
  <c r="L82" i="30" s="1"/>
  <c r="B82" i="30"/>
  <c r="A82" i="30"/>
  <c r="AE81" i="30"/>
  <c r="Y81" i="30"/>
  <c r="Z81" i="30" s="1"/>
  <c r="W81" i="30"/>
  <c r="X81" i="30" s="1"/>
  <c r="B81" i="30"/>
  <c r="A81" i="30"/>
  <c r="AE80" i="30"/>
  <c r="P80" i="30"/>
  <c r="Q80" i="30" s="1"/>
  <c r="N80" i="30"/>
  <c r="O80" i="30" s="1"/>
  <c r="K80" i="30"/>
  <c r="L80" i="30" s="1"/>
  <c r="F80" i="30"/>
  <c r="G80" i="30" s="1"/>
  <c r="D80" i="30"/>
  <c r="E80" i="30" s="1"/>
  <c r="B80" i="30"/>
  <c r="A80" i="30"/>
  <c r="M80" i="30" s="1"/>
  <c r="AE79" i="30"/>
  <c r="P79" i="30"/>
  <c r="Q79" i="30" s="1"/>
  <c r="N79" i="30"/>
  <c r="O79" i="30" s="1"/>
  <c r="K79" i="30"/>
  <c r="L79" i="30" s="1"/>
  <c r="F79" i="30"/>
  <c r="G79" i="30" s="1"/>
  <c r="D79" i="30"/>
  <c r="E79" i="30" s="1"/>
  <c r="B79" i="30"/>
  <c r="A79" i="30"/>
  <c r="M79" i="30" s="1"/>
  <c r="AE78" i="30"/>
  <c r="P78" i="30"/>
  <c r="Q78" i="30" s="1"/>
  <c r="N78" i="30"/>
  <c r="O78" i="30" s="1"/>
  <c r="K78" i="30"/>
  <c r="L78" i="30" s="1"/>
  <c r="F78" i="30"/>
  <c r="G78" i="30" s="1"/>
  <c r="D78" i="30"/>
  <c r="E78" i="30" s="1"/>
  <c r="B78" i="30"/>
  <c r="A78" i="30"/>
  <c r="M78" i="30" s="1"/>
  <c r="AE77" i="30"/>
  <c r="P77" i="30"/>
  <c r="Q77" i="30" s="1"/>
  <c r="N77" i="30"/>
  <c r="O77" i="30" s="1"/>
  <c r="K77" i="30"/>
  <c r="L77" i="30" s="1"/>
  <c r="F77" i="30"/>
  <c r="G77" i="30" s="1"/>
  <c r="D77" i="30"/>
  <c r="E77" i="30" s="1"/>
  <c r="B77" i="30"/>
  <c r="A77" i="30"/>
  <c r="M77" i="30" s="1"/>
  <c r="AE76" i="30"/>
  <c r="Y76" i="30"/>
  <c r="Z76" i="30" s="1"/>
  <c r="W76" i="30"/>
  <c r="X76" i="30" s="1"/>
  <c r="B76" i="30"/>
  <c r="A76" i="30"/>
  <c r="AE75" i="30"/>
  <c r="Y75" i="30"/>
  <c r="Z75" i="30" s="1"/>
  <c r="W75" i="30"/>
  <c r="B75" i="30"/>
  <c r="A75" i="30"/>
  <c r="AE74" i="30"/>
  <c r="Y74" i="30"/>
  <c r="Z74" i="30" s="1"/>
  <c r="W74" i="30"/>
  <c r="X74" i="30" s="1"/>
  <c r="B74" i="30"/>
  <c r="A74" i="30"/>
  <c r="AE73" i="30"/>
  <c r="Y73" i="30"/>
  <c r="Z73" i="30" s="1"/>
  <c r="W73" i="30"/>
  <c r="X73" i="30" s="1"/>
  <c r="K73" i="30"/>
  <c r="L73" i="30" s="1"/>
  <c r="B73" i="30"/>
  <c r="A73" i="30"/>
  <c r="AE72" i="30"/>
  <c r="Y72" i="30"/>
  <c r="Z72" i="30" s="1"/>
  <c r="W72" i="30"/>
  <c r="X72" i="30" s="1"/>
  <c r="B72" i="30"/>
  <c r="A72" i="30"/>
  <c r="AE71" i="30"/>
  <c r="P71" i="30"/>
  <c r="Q71" i="30" s="1"/>
  <c r="N71" i="30"/>
  <c r="O71" i="30" s="1"/>
  <c r="K71" i="30"/>
  <c r="L71" i="30" s="1"/>
  <c r="F71" i="30"/>
  <c r="G71" i="30" s="1"/>
  <c r="D71" i="30"/>
  <c r="E71" i="30" s="1"/>
  <c r="B71" i="30"/>
  <c r="A71" i="30"/>
  <c r="M71" i="30" s="1"/>
  <c r="AE70" i="30"/>
  <c r="P70" i="30"/>
  <c r="Q70" i="30" s="1"/>
  <c r="N70" i="30"/>
  <c r="O70" i="30" s="1"/>
  <c r="K70" i="30"/>
  <c r="L70" i="30" s="1"/>
  <c r="F70" i="30"/>
  <c r="G70" i="30" s="1"/>
  <c r="D70" i="30"/>
  <c r="E70" i="30" s="1"/>
  <c r="B70" i="30"/>
  <c r="A70" i="30"/>
  <c r="M70" i="30" s="1"/>
  <c r="AE69" i="30"/>
  <c r="P69" i="30"/>
  <c r="Q69" i="30" s="1"/>
  <c r="N69" i="30"/>
  <c r="O69" i="30" s="1"/>
  <c r="K69" i="30"/>
  <c r="L69" i="30" s="1"/>
  <c r="F69" i="30"/>
  <c r="G69" i="30" s="1"/>
  <c r="D69" i="30"/>
  <c r="E69" i="30" s="1"/>
  <c r="B69" i="30"/>
  <c r="A69" i="30"/>
  <c r="M69" i="30" s="1"/>
  <c r="AE68" i="30"/>
  <c r="P68" i="30"/>
  <c r="Q68" i="30" s="1"/>
  <c r="N68" i="30"/>
  <c r="O68" i="30" s="1"/>
  <c r="K68" i="30"/>
  <c r="L68" i="30" s="1"/>
  <c r="F68" i="30"/>
  <c r="G68" i="30" s="1"/>
  <c r="D68" i="30"/>
  <c r="E68" i="30" s="1"/>
  <c r="B68" i="30"/>
  <c r="A68" i="30"/>
  <c r="M68" i="30" s="1"/>
  <c r="AE67" i="30"/>
  <c r="Y67" i="30"/>
  <c r="Z67" i="30" s="1"/>
  <c r="W67" i="30"/>
  <c r="X67" i="30" s="1"/>
  <c r="B67" i="30"/>
  <c r="A67" i="30"/>
  <c r="AE66" i="30"/>
  <c r="Y66" i="30"/>
  <c r="Z66" i="30" s="1"/>
  <c r="W66" i="30"/>
  <c r="X66" i="30" s="1"/>
  <c r="B66" i="30"/>
  <c r="A66" i="30"/>
  <c r="AE65" i="30"/>
  <c r="Y65" i="30"/>
  <c r="Z65" i="30" s="1"/>
  <c r="W65" i="30"/>
  <c r="X65" i="30" s="1"/>
  <c r="B65" i="30"/>
  <c r="A65" i="30"/>
  <c r="AE64" i="30"/>
  <c r="Y64" i="30"/>
  <c r="Z64" i="30" s="1"/>
  <c r="W64" i="30"/>
  <c r="X64" i="30" s="1"/>
  <c r="K64" i="30"/>
  <c r="L64" i="30" s="1"/>
  <c r="B64" i="30"/>
  <c r="A64" i="30"/>
  <c r="AE63" i="30"/>
  <c r="Y63" i="30"/>
  <c r="Z63" i="30" s="1"/>
  <c r="W63" i="30"/>
  <c r="X63" i="30" s="1"/>
  <c r="B63" i="30"/>
  <c r="A63" i="30"/>
  <c r="AE62" i="30"/>
  <c r="P62" i="30"/>
  <c r="Q62" i="30" s="1"/>
  <c r="N62" i="30"/>
  <c r="O62" i="30" s="1"/>
  <c r="K62" i="30"/>
  <c r="L62" i="30" s="1"/>
  <c r="F62" i="30"/>
  <c r="G62" i="30" s="1"/>
  <c r="D62" i="30"/>
  <c r="E62" i="30" s="1"/>
  <c r="B62" i="30"/>
  <c r="A62" i="30"/>
  <c r="M62" i="30" s="1"/>
  <c r="AE61" i="30"/>
  <c r="P61" i="30"/>
  <c r="Q61" i="30" s="1"/>
  <c r="N61" i="30"/>
  <c r="O61" i="30" s="1"/>
  <c r="K61" i="30"/>
  <c r="L61" i="30" s="1"/>
  <c r="F61" i="30"/>
  <c r="G61" i="30" s="1"/>
  <c r="D61" i="30"/>
  <c r="E61" i="30" s="1"/>
  <c r="B61" i="30"/>
  <c r="A61" i="30"/>
  <c r="M61" i="30" s="1"/>
  <c r="AE60" i="30"/>
  <c r="P60" i="30"/>
  <c r="Q60" i="30" s="1"/>
  <c r="N60" i="30"/>
  <c r="O60" i="30" s="1"/>
  <c r="K60" i="30"/>
  <c r="L60" i="30" s="1"/>
  <c r="F60" i="30"/>
  <c r="G60" i="30" s="1"/>
  <c r="D60" i="30"/>
  <c r="E60" i="30" s="1"/>
  <c r="B60" i="30"/>
  <c r="A60" i="30"/>
  <c r="M60" i="30" s="1"/>
  <c r="AE59" i="30"/>
  <c r="P59" i="30"/>
  <c r="Q59" i="30" s="1"/>
  <c r="N59" i="30"/>
  <c r="O59" i="30" s="1"/>
  <c r="K59" i="30"/>
  <c r="L59" i="30" s="1"/>
  <c r="F59" i="30"/>
  <c r="G59" i="30" s="1"/>
  <c r="D59" i="30"/>
  <c r="E59" i="30" s="1"/>
  <c r="B59" i="30"/>
  <c r="A59" i="30"/>
  <c r="M59" i="30" s="1"/>
  <c r="AE58" i="30"/>
  <c r="Y58" i="30"/>
  <c r="Z58" i="30" s="1"/>
  <c r="W58" i="30"/>
  <c r="X58" i="30" s="1"/>
  <c r="B58" i="30"/>
  <c r="A58" i="30"/>
  <c r="AE57" i="30"/>
  <c r="Y57" i="30"/>
  <c r="Z57" i="30" s="1"/>
  <c r="W57" i="30"/>
  <c r="B57" i="30"/>
  <c r="A57" i="30"/>
  <c r="AE56" i="30"/>
  <c r="Y56" i="30"/>
  <c r="Z56" i="30" s="1"/>
  <c r="W56" i="30"/>
  <c r="X56" i="30" s="1"/>
  <c r="B56" i="30"/>
  <c r="A56" i="30"/>
  <c r="AE55" i="30"/>
  <c r="Y55" i="30"/>
  <c r="Z55" i="30" s="1"/>
  <c r="W55" i="30"/>
  <c r="X55" i="30" s="1"/>
  <c r="K55" i="30"/>
  <c r="L55" i="30" s="1"/>
  <c r="B55" i="30"/>
  <c r="A55" i="30"/>
  <c r="AE54" i="30"/>
  <c r="Y54" i="30"/>
  <c r="Z54" i="30" s="1"/>
  <c r="W54" i="30"/>
  <c r="X54" i="30" s="1"/>
  <c r="B54" i="30"/>
  <c r="A54" i="30"/>
  <c r="AE53" i="30"/>
  <c r="P53" i="30"/>
  <c r="Q53" i="30" s="1"/>
  <c r="N53" i="30"/>
  <c r="O53" i="30" s="1"/>
  <c r="K53" i="30"/>
  <c r="L53" i="30" s="1"/>
  <c r="F53" i="30"/>
  <c r="G53" i="30" s="1"/>
  <c r="D53" i="30"/>
  <c r="E53" i="30" s="1"/>
  <c r="B53" i="30"/>
  <c r="A53" i="30"/>
  <c r="M53" i="30" s="1"/>
  <c r="AE52" i="30"/>
  <c r="P52" i="30"/>
  <c r="Q52" i="30" s="1"/>
  <c r="N52" i="30"/>
  <c r="O52" i="30" s="1"/>
  <c r="K52" i="30"/>
  <c r="L52" i="30" s="1"/>
  <c r="F52" i="30"/>
  <c r="G52" i="30" s="1"/>
  <c r="D52" i="30"/>
  <c r="E52" i="30" s="1"/>
  <c r="B52" i="30"/>
  <c r="A52" i="30"/>
  <c r="M52" i="30" s="1"/>
  <c r="AE51" i="30"/>
  <c r="P51" i="30"/>
  <c r="Q51" i="30" s="1"/>
  <c r="N51" i="30"/>
  <c r="O51" i="30" s="1"/>
  <c r="K51" i="30"/>
  <c r="L51" i="30" s="1"/>
  <c r="F51" i="30"/>
  <c r="G51" i="30" s="1"/>
  <c r="D51" i="30"/>
  <c r="E51" i="30" s="1"/>
  <c r="B51" i="30"/>
  <c r="A51" i="30"/>
  <c r="M51" i="30" s="1"/>
  <c r="AE50" i="30"/>
  <c r="P50" i="30"/>
  <c r="Q50" i="30" s="1"/>
  <c r="N50" i="30"/>
  <c r="O50" i="30" s="1"/>
  <c r="K50" i="30"/>
  <c r="L50" i="30" s="1"/>
  <c r="F50" i="30"/>
  <c r="G50" i="30" s="1"/>
  <c r="D50" i="30"/>
  <c r="E50" i="30" s="1"/>
  <c r="B50" i="30"/>
  <c r="A50" i="30"/>
  <c r="M50" i="30" s="1"/>
  <c r="AE49" i="30"/>
  <c r="Y49" i="30"/>
  <c r="Z49" i="30" s="1"/>
  <c r="W49" i="30"/>
  <c r="X49" i="30" s="1"/>
  <c r="B49" i="30"/>
  <c r="A49" i="30"/>
  <c r="AE48" i="30"/>
  <c r="Y48" i="30"/>
  <c r="Z48" i="30" s="1"/>
  <c r="W48" i="30"/>
  <c r="X48" i="30" s="1"/>
  <c r="B48" i="30"/>
  <c r="A48" i="30"/>
  <c r="AE47" i="30"/>
  <c r="Y47" i="30"/>
  <c r="Z47" i="30" s="1"/>
  <c r="W47" i="30"/>
  <c r="X47" i="30" s="1"/>
  <c r="B47" i="30"/>
  <c r="A47" i="30"/>
  <c r="AE46" i="30"/>
  <c r="Y46" i="30"/>
  <c r="Z46" i="30" s="1"/>
  <c r="W46" i="30"/>
  <c r="K46" i="30"/>
  <c r="L46" i="30" s="1"/>
  <c r="B46" i="30"/>
  <c r="A46" i="30"/>
  <c r="AE45" i="30"/>
  <c r="Y45" i="30"/>
  <c r="Z45" i="30" s="1"/>
  <c r="W45" i="30"/>
  <c r="X45" i="30" s="1"/>
  <c r="B45" i="30"/>
  <c r="A45" i="30"/>
  <c r="AE44" i="30"/>
  <c r="P44" i="30"/>
  <c r="Q44" i="30" s="1"/>
  <c r="N44" i="30"/>
  <c r="O44" i="30" s="1"/>
  <c r="K44" i="30"/>
  <c r="L44" i="30" s="1"/>
  <c r="F44" i="30"/>
  <c r="G44" i="30" s="1"/>
  <c r="D44" i="30"/>
  <c r="E44" i="30" s="1"/>
  <c r="B44" i="30"/>
  <c r="A44" i="30"/>
  <c r="M44" i="30" s="1"/>
  <c r="AE43" i="30"/>
  <c r="P43" i="30"/>
  <c r="Q43" i="30" s="1"/>
  <c r="N43" i="30"/>
  <c r="O43" i="30" s="1"/>
  <c r="K43" i="30"/>
  <c r="L43" i="30" s="1"/>
  <c r="F43" i="30"/>
  <c r="G43" i="30" s="1"/>
  <c r="D43" i="30"/>
  <c r="E43" i="30" s="1"/>
  <c r="B43" i="30"/>
  <c r="A43" i="30"/>
  <c r="M43" i="30" s="1"/>
  <c r="AE42" i="30"/>
  <c r="P42" i="30"/>
  <c r="Q42" i="30" s="1"/>
  <c r="N42" i="30"/>
  <c r="O42" i="30" s="1"/>
  <c r="K42" i="30"/>
  <c r="L42" i="30" s="1"/>
  <c r="F42" i="30"/>
  <c r="G42" i="30" s="1"/>
  <c r="D42" i="30"/>
  <c r="E42" i="30" s="1"/>
  <c r="B42" i="30"/>
  <c r="A42" i="30"/>
  <c r="M42" i="30" s="1"/>
  <c r="AE41" i="30"/>
  <c r="P41" i="30"/>
  <c r="Q41" i="30" s="1"/>
  <c r="N41" i="30"/>
  <c r="O41" i="30" s="1"/>
  <c r="K41" i="30"/>
  <c r="L41" i="30" s="1"/>
  <c r="F41" i="30"/>
  <c r="G41" i="30" s="1"/>
  <c r="D41" i="30"/>
  <c r="E41" i="30" s="1"/>
  <c r="B41" i="30"/>
  <c r="A41" i="30"/>
  <c r="M41" i="30" s="1"/>
  <c r="AE40" i="30"/>
  <c r="Y40" i="30"/>
  <c r="Z40" i="30" s="1"/>
  <c r="W40" i="30"/>
  <c r="X40" i="30" s="1"/>
  <c r="B40" i="30"/>
  <c r="A40" i="30"/>
  <c r="AE39" i="30"/>
  <c r="Y39" i="30"/>
  <c r="Z39" i="30" s="1"/>
  <c r="W39" i="30"/>
  <c r="X39" i="30" s="1"/>
  <c r="B39" i="30"/>
  <c r="A39" i="30"/>
  <c r="AE38" i="30"/>
  <c r="Y38" i="30"/>
  <c r="Z38" i="30" s="1"/>
  <c r="W38" i="30"/>
  <c r="X38" i="30" s="1"/>
  <c r="B38" i="30"/>
  <c r="A38" i="30"/>
  <c r="AE37" i="30"/>
  <c r="Y37" i="30"/>
  <c r="Z37" i="30" s="1"/>
  <c r="W37" i="30"/>
  <c r="X37" i="30" s="1"/>
  <c r="K37" i="30"/>
  <c r="L37" i="30" s="1"/>
  <c r="B37" i="30"/>
  <c r="A37" i="30"/>
  <c r="AE36" i="30"/>
  <c r="Y36" i="30"/>
  <c r="Z36" i="30" s="1"/>
  <c r="W36" i="30"/>
  <c r="B36" i="30"/>
  <c r="A36" i="30"/>
  <c r="AE35" i="30"/>
  <c r="P35" i="30"/>
  <c r="Q35" i="30" s="1"/>
  <c r="N35" i="30"/>
  <c r="O35" i="30" s="1"/>
  <c r="K35" i="30"/>
  <c r="L35" i="30" s="1"/>
  <c r="F35" i="30"/>
  <c r="G35" i="30" s="1"/>
  <c r="D35" i="30"/>
  <c r="E35" i="30" s="1"/>
  <c r="B35" i="30"/>
  <c r="A35" i="30"/>
  <c r="M35" i="30" s="1"/>
  <c r="AE34" i="30"/>
  <c r="P34" i="30"/>
  <c r="Q34" i="30" s="1"/>
  <c r="N34" i="30"/>
  <c r="O34" i="30" s="1"/>
  <c r="K34" i="30"/>
  <c r="L34" i="30" s="1"/>
  <c r="F34" i="30"/>
  <c r="G34" i="30" s="1"/>
  <c r="D34" i="30"/>
  <c r="E34" i="30" s="1"/>
  <c r="B34" i="30"/>
  <c r="A34" i="30"/>
  <c r="M34" i="30" s="1"/>
  <c r="AE33" i="30"/>
  <c r="P33" i="30"/>
  <c r="Q33" i="30" s="1"/>
  <c r="N33" i="30"/>
  <c r="O33" i="30" s="1"/>
  <c r="K33" i="30"/>
  <c r="L33" i="30" s="1"/>
  <c r="F33" i="30"/>
  <c r="G33" i="30" s="1"/>
  <c r="D33" i="30"/>
  <c r="E33" i="30" s="1"/>
  <c r="B33" i="30"/>
  <c r="A33" i="30"/>
  <c r="M33" i="30" s="1"/>
  <c r="AE32" i="30"/>
  <c r="P32" i="30"/>
  <c r="Q32" i="30" s="1"/>
  <c r="N32" i="30"/>
  <c r="O32" i="30" s="1"/>
  <c r="K32" i="30"/>
  <c r="L32" i="30" s="1"/>
  <c r="F32" i="30"/>
  <c r="G32" i="30" s="1"/>
  <c r="D32" i="30"/>
  <c r="E32" i="30" s="1"/>
  <c r="B32" i="30"/>
  <c r="A32" i="30"/>
  <c r="M32" i="30" s="1"/>
  <c r="AE31" i="30"/>
  <c r="Y31" i="30"/>
  <c r="Z31" i="30" s="1"/>
  <c r="W31" i="30"/>
  <c r="X31" i="30" s="1"/>
  <c r="B31" i="30"/>
  <c r="A31" i="30"/>
  <c r="AE30" i="30"/>
  <c r="Y30" i="30"/>
  <c r="Z30" i="30" s="1"/>
  <c r="W30" i="30"/>
  <c r="B30" i="30"/>
  <c r="A30" i="30"/>
  <c r="AE29" i="30"/>
  <c r="Y29" i="30"/>
  <c r="Z29" i="30" s="1"/>
  <c r="W29" i="30"/>
  <c r="B29" i="30"/>
  <c r="A29" i="30"/>
  <c r="AE28" i="30"/>
  <c r="Y28" i="30"/>
  <c r="Z28" i="30" s="1"/>
  <c r="W28" i="30"/>
  <c r="X28" i="30" s="1"/>
  <c r="K28" i="30"/>
  <c r="L28" i="30" s="1"/>
  <c r="B28" i="30"/>
  <c r="A28" i="30"/>
  <c r="AE27" i="30"/>
  <c r="Y27" i="30"/>
  <c r="Z27" i="30" s="1"/>
  <c r="W27" i="30"/>
  <c r="B27" i="30"/>
  <c r="A27" i="30"/>
  <c r="AE26" i="30"/>
  <c r="P26" i="30"/>
  <c r="Q26" i="30" s="1"/>
  <c r="N26" i="30"/>
  <c r="O26" i="30" s="1"/>
  <c r="K26" i="30"/>
  <c r="L26" i="30" s="1"/>
  <c r="F26" i="30"/>
  <c r="G26" i="30" s="1"/>
  <c r="D26" i="30"/>
  <c r="E26" i="30" s="1"/>
  <c r="B26" i="30"/>
  <c r="A26" i="30"/>
  <c r="M26" i="30" s="1"/>
  <c r="AE25" i="30"/>
  <c r="P25" i="30"/>
  <c r="Q25" i="30" s="1"/>
  <c r="N25" i="30"/>
  <c r="O25" i="30" s="1"/>
  <c r="K25" i="30"/>
  <c r="L25" i="30" s="1"/>
  <c r="F25" i="30"/>
  <c r="G25" i="30" s="1"/>
  <c r="D25" i="30"/>
  <c r="E25" i="30" s="1"/>
  <c r="B25" i="30"/>
  <c r="A25" i="30"/>
  <c r="M25" i="30" s="1"/>
  <c r="AE24" i="30"/>
  <c r="P24" i="30"/>
  <c r="Q24" i="30" s="1"/>
  <c r="N24" i="30"/>
  <c r="O24" i="30" s="1"/>
  <c r="K24" i="30"/>
  <c r="L24" i="30" s="1"/>
  <c r="F24" i="30"/>
  <c r="G24" i="30" s="1"/>
  <c r="D24" i="30"/>
  <c r="E24" i="30" s="1"/>
  <c r="B24" i="30"/>
  <c r="A24" i="30"/>
  <c r="M24" i="30" s="1"/>
  <c r="AE23" i="30"/>
  <c r="P23" i="30"/>
  <c r="Q23" i="30" s="1"/>
  <c r="N23" i="30"/>
  <c r="O23" i="30" s="1"/>
  <c r="K23" i="30"/>
  <c r="L23" i="30" s="1"/>
  <c r="F23" i="30"/>
  <c r="G23" i="30" s="1"/>
  <c r="D23" i="30"/>
  <c r="E23" i="30" s="1"/>
  <c r="B23" i="30"/>
  <c r="A23" i="30"/>
  <c r="M23" i="30" s="1"/>
  <c r="AE22" i="30"/>
  <c r="Y22" i="30"/>
  <c r="Z22" i="30" s="1"/>
  <c r="W22" i="30"/>
  <c r="X22" i="30" s="1"/>
  <c r="B22" i="30"/>
  <c r="A22" i="30"/>
  <c r="AE21" i="30"/>
  <c r="Y21" i="30"/>
  <c r="Z21" i="30" s="1"/>
  <c r="W21" i="30"/>
  <c r="X21" i="30" s="1"/>
  <c r="B21" i="30"/>
  <c r="A21" i="30"/>
  <c r="AE20" i="30"/>
  <c r="Y20" i="30"/>
  <c r="Z20" i="30" s="1"/>
  <c r="W20" i="30"/>
  <c r="X20" i="30" s="1"/>
  <c r="B20" i="30"/>
  <c r="A20" i="30"/>
  <c r="AE19" i="30"/>
  <c r="Y19" i="30"/>
  <c r="Z19" i="30" s="1"/>
  <c r="W19" i="30"/>
  <c r="X19" i="30" s="1"/>
  <c r="K19" i="30"/>
  <c r="L19" i="30" s="1"/>
  <c r="B19" i="30"/>
  <c r="A19" i="30"/>
  <c r="AE18" i="30"/>
  <c r="Y18" i="30"/>
  <c r="Z18" i="30" s="1"/>
  <c r="W18" i="30"/>
  <c r="X18" i="30" s="1"/>
  <c r="B18" i="30"/>
  <c r="A18" i="30"/>
  <c r="AE17" i="30"/>
  <c r="P17" i="30"/>
  <c r="Q17" i="30" s="1"/>
  <c r="N17" i="30"/>
  <c r="O17" i="30" s="1"/>
  <c r="K17" i="30"/>
  <c r="L17" i="30" s="1"/>
  <c r="F17" i="30"/>
  <c r="G17" i="30" s="1"/>
  <c r="D17" i="30"/>
  <c r="E17" i="30" s="1"/>
  <c r="B17" i="30"/>
  <c r="A17" i="30"/>
  <c r="M17" i="30" s="1"/>
  <c r="AE16" i="30"/>
  <c r="P16" i="30"/>
  <c r="Q16" i="30" s="1"/>
  <c r="N16" i="30"/>
  <c r="O16" i="30" s="1"/>
  <c r="K16" i="30"/>
  <c r="L16" i="30" s="1"/>
  <c r="F16" i="30"/>
  <c r="G16" i="30" s="1"/>
  <c r="D16" i="30"/>
  <c r="E16" i="30" s="1"/>
  <c r="B16" i="30"/>
  <c r="A16" i="30"/>
  <c r="M16" i="30" s="1"/>
  <c r="AE15" i="30"/>
  <c r="P15" i="30"/>
  <c r="Q15" i="30" s="1"/>
  <c r="N15" i="30"/>
  <c r="O15" i="30" s="1"/>
  <c r="K15" i="30"/>
  <c r="L15" i="30" s="1"/>
  <c r="F15" i="30"/>
  <c r="G15" i="30" s="1"/>
  <c r="D15" i="30"/>
  <c r="E15" i="30" s="1"/>
  <c r="B15" i="30"/>
  <c r="A15" i="30"/>
  <c r="M15" i="30" s="1"/>
  <c r="AE14" i="30"/>
  <c r="P14" i="30"/>
  <c r="Q14" i="30" s="1"/>
  <c r="N14" i="30"/>
  <c r="O14" i="30" s="1"/>
  <c r="K14" i="30"/>
  <c r="L14" i="30" s="1"/>
  <c r="F14" i="30"/>
  <c r="G14" i="30" s="1"/>
  <c r="D14" i="30"/>
  <c r="E14" i="30" s="1"/>
  <c r="B14" i="30"/>
  <c r="A14" i="30"/>
  <c r="M14" i="30" s="1"/>
  <c r="J727" i="30" l="1"/>
  <c r="H727" i="30" s="1"/>
  <c r="I727" i="30" s="1"/>
  <c r="J358" i="30"/>
  <c r="H358" i="30" s="1"/>
  <c r="I358" i="30" s="1"/>
  <c r="AA343" i="30"/>
  <c r="AB343" i="30" s="1"/>
  <c r="T620" i="30"/>
  <c r="AA639" i="30"/>
  <c r="AB639" i="30" s="1"/>
  <c r="AA642" i="30"/>
  <c r="AB642" i="30" s="1"/>
  <c r="L104" i="30"/>
  <c r="L134" i="30"/>
  <c r="L151" i="30"/>
  <c r="L161" i="30"/>
  <c r="L188" i="30"/>
  <c r="L205" i="30"/>
  <c r="L311" i="30"/>
  <c r="L358" i="30"/>
  <c r="L368" i="30"/>
  <c r="L437" i="30"/>
  <c r="L494" i="30"/>
  <c r="L530" i="30"/>
  <c r="L566" i="30"/>
  <c r="L592" i="30"/>
  <c r="L656" i="30"/>
  <c r="L698" i="30"/>
  <c r="L105" i="30"/>
  <c r="L115" i="30"/>
  <c r="L141" i="30"/>
  <c r="L158" i="30"/>
  <c r="L169" i="30"/>
  <c r="L185" i="30"/>
  <c r="L196" i="30"/>
  <c r="L213" i="30"/>
  <c r="L223" i="30"/>
  <c r="L259" i="30"/>
  <c r="L276" i="30"/>
  <c r="L286" i="30"/>
  <c r="L302" i="30"/>
  <c r="L312" i="30"/>
  <c r="L322" i="30"/>
  <c r="L338" i="30"/>
  <c r="L348" i="30"/>
  <c r="L375" i="30"/>
  <c r="L385" i="30"/>
  <c r="L401" i="30"/>
  <c r="L412" i="30"/>
  <c r="L438" i="30"/>
  <c r="L448" i="30"/>
  <c r="L464" i="30"/>
  <c r="L475" i="30"/>
  <c r="L501" i="30"/>
  <c r="J503" i="30"/>
  <c r="H503" i="30" s="1"/>
  <c r="I503" i="30" s="1"/>
  <c r="L511" i="30"/>
  <c r="L527" i="30"/>
  <c r="L537" i="30"/>
  <c r="L547" i="30"/>
  <c r="L573" i="30"/>
  <c r="L583" i="30"/>
  <c r="L599" i="30"/>
  <c r="L626" i="30"/>
  <c r="L663" i="30"/>
  <c r="L673" i="30"/>
  <c r="L689" i="30"/>
  <c r="L709" i="30"/>
  <c r="L150" i="30"/>
  <c r="L178" i="30"/>
  <c r="L212" i="30"/>
  <c r="L242" i="30"/>
  <c r="L269" i="30"/>
  <c r="L331" i="30"/>
  <c r="L341" i="30"/>
  <c r="L374" i="30"/>
  <c r="L536" i="30"/>
  <c r="L556" i="30"/>
  <c r="L572" i="30"/>
  <c r="L602" i="30"/>
  <c r="L619" i="30"/>
  <c r="L629" i="30"/>
  <c r="L662" i="30"/>
  <c r="L692" i="30"/>
  <c r="L107" i="30"/>
  <c r="L133" i="30"/>
  <c r="L143" i="30"/>
  <c r="L160" i="30"/>
  <c r="L187" i="30"/>
  <c r="L215" i="30"/>
  <c r="L241" i="30"/>
  <c r="L251" i="30"/>
  <c r="L267" i="30"/>
  <c r="L278" i="30"/>
  <c r="L304" i="30"/>
  <c r="L314" i="30"/>
  <c r="L340" i="30"/>
  <c r="L367" i="30"/>
  <c r="L377" i="30"/>
  <c r="L404" i="30"/>
  <c r="L430" i="30"/>
  <c r="L440" i="30"/>
  <c r="L466" i="30"/>
  <c r="L467" i="30"/>
  <c r="L493" i="30"/>
  <c r="L503" i="30"/>
  <c r="L529" i="30"/>
  <c r="L539" i="30"/>
  <c r="L565" i="30"/>
  <c r="L575" i="30"/>
  <c r="L601" i="30"/>
  <c r="L628" i="30"/>
  <c r="L655" i="30"/>
  <c r="L665" i="30"/>
  <c r="L691" i="30"/>
  <c r="L718" i="30"/>
  <c r="L97" i="30"/>
  <c r="L124" i="30"/>
  <c r="L140" i="30"/>
  <c r="L232" i="30"/>
  <c r="L248" i="30"/>
  <c r="L275" i="30"/>
  <c r="L305" i="30"/>
  <c r="L431" i="30"/>
  <c r="L500" i="30"/>
  <c r="L682" i="30"/>
  <c r="L719" i="30"/>
  <c r="L106" i="30"/>
  <c r="L142" i="30"/>
  <c r="L186" i="30"/>
  <c r="L214" i="30"/>
  <c r="L250" i="30"/>
  <c r="L277" i="30"/>
  <c r="L313" i="30"/>
  <c r="L376" i="30"/>
  <c r="L402" i="30"/>
  <c r="L403" i="30"/>
  <c r="L439" i="30"/>
  <c r="L465" i="30"/>
  <c r="L502" i="30"/>
  <c r="L538" i="30"/>
  <c r="L574" i="30"/>
  <c r="L664" i="30"/>
  <c r="L700" i="30"/>
  <c r="J698" i="30"/>
  <c r="H698" i="30" s="1"/>
  <c r="I698" i="30" s="1"/>
  <c r="V698" i="30" s="1"/>
  <c r="X380" i="30"/>
  <c r="AA380" i="30"/>
  <c r="AB380" i="30" s="1"/>
  <c r="AA703" i="30"/>
  <c r="AB703" i="30" s="1"/>
  <c r="J653" i="30"/>
  <c r="H653" i="30" s="1"/>
  <c r="I653" i="30" s="1"/>
  <c r="V653" i="30" s="1"/>
  <c r="AA667" i="30"/>
  <c r="AB667" i="30" s="1"/>
  <c r="AA677" i="30"/>
  <c r="AB677" i="30" s="1"/>
  <c r="AA731" i="30"/>
  <c r="AB731" i="30" s="1"/>
  <c r="J239" i="30"/>
  <c r="H239" i="30" s="1"/>
  <c r="I239" i="30" s="1"/>
  <c r="V239" i="30" s="1"/>
  <c r="AA299" i="30"/>
  <c r="AB299" i="30" s="1"/>
  <c r="AA337" i="30"/>
  <c r="AB337" i="30" s="1"/>
  <c r="J338" i="30"/>
  <c r="H338" i="30" s="1"/>
  <c r="I338" i="30" s="1"/>
  <c r="J421" i="30"/>
  <c r="H421" i="30" s="1"/>
  <c r="I421" i="30" s="1"/>
  <c r="V421" i="30" s="1"/>
  <c r="AA489" i="30"/>
  <c r="AB489" i="30" s="1"/>
  <c r="X677" i="30"/>
  <c r="T113" i="30"/>
  <c r="T413" i="30"/>
  <c r="T494" i="30"/>
  <c r="T275" i="30"/>
  <c r="T637" i="30"/>
  <c r="T53" i="30"/>
  <c r="T213" i="30"/>
  <c r="T521" i="30"/>
  <c r="T602" i="30"/>
  <c r="T727" i="30"/>
  <c r="V727" i="30" s="1"/>
  <c r="T141" i="30"/>
  <c r="T269" i="30"/>
  <c r="T565" i="30"/>
  <c r="T575" i="30"/>
  <c r="T95" i="30"/>
  <c r="T339" i="30"/>
  <c r="T357" i="30"/>
  <c r="T393" i="30"/>
  <c r="T529" i="30"/>
  <c r="T556" i="30"/>
  <c r="T629" i="30"/>
  <c r="T305" i="30"/>
  <c r="T311" i="30"/>
  <c r="T365" i="30"/>
  <c r="T449" i="30"/>
  <c r="T611" i="30"/>
  <c r="T701" i="30"/>
  <c r="T709" i="30"/>
  <c r="T484" i="30"/>
  <c r="T557" i="30"/>
  <c r="T601" i="30"/>
  <c r="T692" i="30"/>
  <c r="T691" i="30"/>
  <c r="J305" i="30"/>
  <c r="H305" i="30" s="1"/>
  <c r="I305" i="30" s="1"/>
  <c r="AA445" i="30"/>
  <c r="AB445" i="30" s="1"/>
  <c r="T14" i="30"/>
  <c r="T23" i="30"/>
  <c r="T33" i="30"/>
  <c r="T35" i="30"/>
  <c r="J71" i="30"/>
  <c r="H71" i="30" s="1"/>
  <c r="I71" i="30" s="1"/>
  <c r="V71" i="30" s="1"/>
  <c r="AA100" i="30"/>
  <c r="AB100" i="30" s="1"/>
  <c r="T149" i="30"/>
  <c r="T161" i="30"/>
  <c r="T203" i="30"/>
  <c r="J215" i="30"/>
  <c r="H215" i="30" s="1"/>
  <c r="I215" i="30" s="1"/>
  <c r="T221" i="30"/>
  <c r="T231" i="30"/>
  <c r="T249" i="30"/>
  <c r="J260" i="30"/>
  <c r="H260" i="30" s="1"/>
  <c r="I260" i="30" s="1"/>
  <c r="AA333" i="30"/>
  <c r="AB333" i="30" s="1"/>
  <c r="T440" i="30"/>
  <c r="T448" i="30"/>
  <c r="T548" i="30"/>
  <c r="T683" i="30"/>
  <c r="Z703" i="30"/>
  <c r="AJ90" i="30" s="1"/>
  <c r="AA711" i="30"/>
  <c r="AB711" i="30" s="1"/>
  <c r="AA713" i="30"/>
  <c r="AB713" i="30" s="1"/>
  <c r="T41" i="30"/>
  <c r="T69" i="30"/>
  <c r="J122" i="30"/>
  <c r="H122" i="30" s="1"/>
  <c r="I122" i="30" s="1"/>
  <c r="V122" i="30" s="1"/>
  <c r="T125" i="30"/>
  <c r="AA126" i="30"/>
  <c r="AB126" i="30" s="1"/>
  <c r="T177" i="30"/>
  <c r="T185" i="30"/>
  <c r="T233" i="30"/>
  <c r="T239" i="30"/>
  <c r="T251" i="30"/>
  <c r="T267" i="30"/>
  <c r="T285" i="30"/>
  <c r="T303" i="30"/>
  <c r="T321" i="30"/>
  <c r="T329" i="30"/>
  <c r="T377" i="30"/>
  <c r="J386" i="30"/>
  <c r="H386" i="30" s="1"/>
  <c r="I386" i="30" s="1"/>
  <c r="V386" i="30" s="1"/>
  <c r="T412" i="30"/>
  <c r="J431" i="30"/>
  <c r="H431" i="30" s="1"/>
  <c r="I431" i="30" s="1"/>
  <c r="V431" i="30" s="1"/>
  <c r="J474" i="30"/>
  <c r="H474" i="30" s="1"/>
  <c r="I474" i="30" s="1"/>
  <c r="V474" i="30" s="1"/>
  <c r="T485" i="30"/>
  <c r="T503" i="30"/>
  <c r="T520" i="30"/>
  <c r="J521" i="30"/>
  <c r="H521" i="30" s="1"/>
  <c r="I521" i="30" s="1"/>
  <c r="V521" i="30" s="1"/>
  <c r="AA559" i="30"/>
  <c r="AB559" i="30" s="1"/>
  <c r="T566" i="30"/>
  <c r="J620" i="30"/>
  <c r="H620" i="30" s="1"/>
  <c r="I620" i="30" s="1"/>
  <c r="T647" i="30"/>
  <c r="T700" i="30"/>
  <c r="J709" i="30"/>
  <c r="H709" i="30" s="1"/>
  <c r="I709" i="30" s="1"/>
  <c r="V709" i="30" s="1"/>
  <c r="T728" i="30"/>
  <c r="T737" i="30"/>
  <c r="T15" i="30"/>
  <c r="T16" i="30"/>
  <c r="T17" i="30"/>
  <c r="J15" i="30"/>
  <c r="H15" i="30" s="1"/>
  <c r="I15" i="30" s="1"/>
  <c r="V15" i="30" s="1"/>
  <c r="T51" i="30"/>
  <c r="J62" i="30"/>
  <c r="H62" i="30" s="1"/>
  <c r="I62" i="30" s="1"/>
  <c r="V62" i="30" s="1"/>
  <c r="T77" i="30"/>
  <c r="T89" i="30"/>
  <c r="AA102" i="30"/>
  <c r="AB102" i="30" s="1"/>
  <c r="J104" i="30"/>
  <c r="H104" i="30" s="1"/>
  <c r="I104" i="30" s="1"/>
  <c r="T105" i="30"/>
  <c r="T123" i="30"/>
  <c r="AA137" i="30"/>
  <c r="AB137" i="30" s="1"/>
  <c r="J140" i="30"/>
  <c r="H140" i="30" s="1"/>
  <c r="I140" i="30" s="1"/>
  <c r="J158" i="30"/>
  <c r="H158" i="30" s="1"/>
  <c r="I158" i="30" s="1"/>
  <c r="V158" i="30" s="1"/>
  <c r="AA172" i="30"/>
  <c r="AB172" i="30" s="1"/>
  <c r="J176" i="30"/>
  <c r="H176" i="30" s="1"/>
  <c r="I176" i="30" s="1"/>
  <c r="V176" i="30" s="1"/>
  <c r="T179" i="30"/>
  <c r="AA335" i="30"/>
  <c r="AB335" i="30" s="1"/>
  <c r="X343" i="30"/>
  <c r="AI50" i="30" s="1"/>
  <c r="J350" i="30"/>
  <c r="H350" i="30" s="1"/>
  <c r="I350" i="30" s="1"/>
  <c r="V350" i="30" s="1"/>
  <c r="T375" i="30"/>
  <c r="T383" i="30"/>
  <c r="J392" i="30"/>
  <c r="H392" i="30" s="1"/>
  <c r="I392" i="30" s="1"/>
  <c r="V392" i="30" s="1"/>
  <c r="AA398" i="30"/>
  <c r="AB398" i="30" s="1"/>
  <c r="T401" i="30"/>
  <c r="J402" i="30"/>
  <c r="H402" i="30" s="1"/>
  <c r="I402" i="30" s="1"/>
  <c r="V402" i="30" s="1"/>
  <c r="T403" i="30"/>
  <c r="T404" i="30"/>
  <c r="T421" i="30"/>
  <c r="T422" i="30"/>
  <c r="AA433" i="30"/>
  <c r="AB433" i="30" s="1"/>
  <c r="T467" i="30"/>
  <c r="T493" i="30"/>
  <c r="T512" i="30"/>
  <c r="T539" i="30"/>
  <c r="AA552" i="30"/>
  <c r="AB552" i="30" s="1"/>
  <c r="J556" i="30"/>
  <c r="H556" i="30" s="1"/>
  <c r="I556" i="30" s="1"/>
  <c r="J565" i="30"/>
  <c r="H565" i="30" s="1"/>
  <c r="I565" i="30" s="1"/>
  <c r="T593" i="30"/>
  <c r="T656" i="30"/>
  <c r="AA659" i="30"/>
  <c r="AB659" i="30" s="1"/>
  <c r="T665" i="30"/>
  <c r="AA669" i="30"/>
  <c r="AB669" i="30" s="1"/>
  <c r="T673" i="30"/>
  <c r="AA705" i="30"/>
  <c r="AB705" i="30" s="1"/>
  <c r="T710" i="30"/>
  <c r="AA715" i="30"/>
  <c r="AB715" i="30" s="1"/>
  <c r="T736" i="30"/>
  <c r="T627" i="30"/>
  <c r="T582" i="30"/>
  <c r="T538" i="30"/>
  <c r="T187" i="30"/>
  <c r="AA210" i="30"/>
  <c r="AB210" i="30" s="1"/>
  <c r="J213" i="30"/>
  <c r="H213" i="30" s="1"/>
  <c r="I213" i="30" s="1"/>
  <c r="J251" i="30"/>
  <c r="H251" i="30" s="1"/>
  <c r="I251" i="30" s="1"/>
  <c r="V251" i="30" s="1"/>
  <c r="T257" i="30"/>
  <c r="T293" i="30"/>
  <c r="T323" i="30"/>
  <c r="T341" i="30"/>
  <c r="T347" i="30"/>
  <c r="T395" i="30"/>
  <c r="T457" i="30"/>
  <c r="T458" i="30"/>
  <c r="T475" i="30"/>
  <c r="T476" i="30"/>
  <c r="T511" i="30"/>
  <c r="J518" i="30"/>
  <c r="H518" i="30" s="1"/>
  <c r="I518" i="30" s="1"/>
  <c r="V518" i="30" s="1"/>
  <c r="T530" i="30"/>
  <c r="J539" i="30"/>
  <c r="H539" i="30" s="1"/>
  <c r="I539" i="30" s="1"/>
  <c r="V539" i="30" s="1"/>
  <c r="J581" i="30"/>
  <c r="H581" i="30" s="1"/>
  <c r="I581" i="30" s="1"/>
  <c r="V581" i="30" s="1"/>
  <c r="J582" i="30"/>
  <c r="H582" i="30" s="1"/>
  <c r="I582" i="30" s="1"/>
  <c r="T583" i="30"/>
  <c r="T584" i="30"/>
  <c r="T592" i="30"/>
  <c r="T638" i="30"/>
  <c r="T655" i="30"/>
  <c r="T664" i="30"/>
  <c r="T735" i="30"/>
  <c r="T726" i="30"/>
  <c r="T717" i="30"/>
  <c r="T707" i="30"/>
  <c r="T610" i="30"/>
  <c r="T411" i="30"/>
  <c r="T338" i="30"/>
  <c r="T284" i="30"/>
  <c r="T230" i="30"/>
  <c r="T143" i="30"/>
  <c r="T122" i="30"/>
  <c r="J51" i="30"/>
  <c r="H51" i="30" s="1"/>
  <c r="I51" i="30" s="1"/>
  <c r="J78" i="30"/>
  <c r="H78" i="30" s="1"/>
  <c r="I78" i="30" s="1"/>
  <c r="X100" i="30"/>
  <c r="AA118" i="30"/>
  <c r="AB118" i="30" s="1"/>
  <c r="T431" i="30"/>
  <c r="T547" i="30"/>
  <c r="T619" i="30"/>
  <c r="J736" i="30"/>
  <c r="H736" i="30" s="1"/>
  <c r="I736" i="30" s="1"/>
  <c r="T699" i="30"/>
  <c r="T689" i="30"/>
  <c r="T663" i="30"/>
  <c r="T483" i="30"/>
  <c r="T438" i="30"/>
  <c r="T349" i="30"/>
  <c r="T176" i="30"/>
  <c r="T68" i="30"/>
  <c r="J26" i="30"/>
  <c r="H26" i="30" s="1"/>
  <c r="I26" i="30" s="1"/>
  <c r="V26" i="30" s="1"/>
  <c r="T59" i="30"/>
  <c r="J70" i="30"/>
  <c r="H70" i="30" s="1"/>
  <c r="I70" i="30" s="1"/>
  <c r="V70" i="30" s="1"/>
  <c r="T87" i="30"/>
  <c r="T107" i="30"/>
  <c r="AA108" i="30"/>
  <c r="AB108" i="30" s="1"/>
  <c r="J125" i="30"/>
  <c r="H125" i="30" s="1"/>
  <c r="I125" i="30" s="1"/>
  <c r="V125" i="30" s="1"/>
  <c r="T131" i="30"/>
  <c r="T159" i="30"/>
  <c r="T167" i="30"/>
  <c r="T195" i="30"/>
  <c r="T197" i="30"/>
  <c r="J203" i="30"/>
  <c r="H203" i="30" s="1"/>
  <c r="I203" i="30" s="1"/>
  <c r="V203" i="30" s="1"/>
  <c r="AA408" i="30"/>
  <c r="AB408" i="30" s="1"/>
  <c r="T439" i="30"/>
  <c r="J536" i="30"/>
  <c r="H536" i="30" s="1"/>
  <c r="I536" i="30" s="1"/>
  <c r="J545" i="30"/>
  <c r="H545" i="30" s="1"/>
  <c r="I545" i="30" s="1"/>
  <c r="V545" i="30" s="1"/>
  <c r="T628" i="30"/>
  <c r="J629" i="30"/>
  <c r="H629" i="30" s="1"/>
  <c r="I629" i="30" s="1"/>
  <c r="AA632" i="30"/>
  <c r="AB632" i="30" s="1"/>
  <c r="J636" i="30"/>
  <c r="H636" i="30" s="1"/>
  <c r="I636" i="30" s="1"/>
  <c r="V636" i="30" s="1"/>
  <c r="Z667" i="30"/>
  <c r="T674" i="30"/>
  <c r="T725" i="30"/>
  <c r="T719" i="30"/>
  <c r="T716" i="30"/>
  <c r="T555" i="30"/>
  <c r="T510" i="30"/>
  <c r="T466" i="30"/>
  <c r="T392" i="30"/>
  <c r="T295" i="30"/>
  <c r="T241" i="30"/>
  <c r="T133" i="30"/>
  <c r="T71" i="30"/>
  <c r="T734" i="30"/>
  <c r="T718" i="30"/>
  <c r="T698" i="30"/>
  <c r="T672" i="30"/>
  <c r="T618" i="30"/>
  <c r="T609" i="30"/>
  <c r="T546" i="30"/>
  <c r="T537" i="30"/>
  <c r="T474" i="30"/>
  <c r="T465" i="30"/>
  <c r="T402" i="30"/>
  <c r="T384" i="30"/>
  <c r="T332" i="30"/>
  <c r="T322" i="30"/>
  <c r="T314" i="30"/>
  <c r="T278" i="30"/>
  <c r="T268" i="30"/>
  <c r="T260" i="30"/>
  <c r="T232" i="30"/>
  <c r="T214" i="30"/>
  <c r="T206" i="30"/>
  <c r="T178" i="30"/>
  <c r="T160" i="30"/>
  <c r="T97" i="30"/>
  <c r="T79" i="30"/>
  <c r="T70" i="30"/>
  <c r="T52" i="30"/>
  <c r="T32" i="30"/>
  <c r="T24" i="30"/>
  <c r="T682" i="30"/>
  <c r="T680" i="30"/>
  <c r="T671" i="30"/>
  <c r="T654" i="30"/>
  <c r="T645" i="30"/>
  <c r="T591" i="30"/>
  <c r="T574" i="30"/>
  <c r="T572" i="30"/>
  <c r="T519" i="30"/>
  <c r="T502" i="30"/>
  <c r="T500" i="30"/>
  <c r="T447" i="30"/>
  <c r="T430" i="30"/>
  <c r="T428" i="30"/>
  <c r="T394" i="30"/>
  <c r="T374" i="30"/>
  <c r="T366" i="30"/>
  <c r="T359" i="30"/>
  <c r="T356" i="30"/>
  <c r="T331" i="30"/>
  <c r="T313" i="30"/>
  <c r="T302" i="30"/>
  <c r="T277" i="30"/>
  <c r="T259" i="30"/>
  <c r="T248" i="30"/>
  <c r="T223" i="30"/>
  <c r="T205" i="30"/>
  <c r="T194" i="30"/>
  <c r="T169" i="30"/>
  <c r="T152" i="30"/>
  <c r="T134" i="30"/>
  <c r="T114" i="30"/>
  <c r="T104" i="30"/>
  <c r="T96" i="30"/>
  <c r="T61" i="30"/>
  <c r="T44" i="30"/>
  <c r="T34" i="30"/>
  <c r="T26" i="30"/>
  <c r="T708" i="30"/>
  <c r="T662" i="30"/>
  <c r="T636" i="30"/>
  <c r="T617" i="30"/>
  <c r="T608" i="30"/>
  <c r="T599" i="30"/>
  <c r="T590" i="30"/>
  <c r="T581" i="30"/>
  <c r="T564" i="30"/>
  <c r="T545" i="30"/>
  <c r="T536" i="30"/>
  <c r="T527" i="30"/>
  <c r="T518" i="30"/>
  <c r="T509" i="30"/>
  <c r="T492" i="30"/>
  <c r="T473" i="30"/>
  <c r="T464" i="30"/>
  <c r="T455" i="30"/>
  <c r="T446" i="30"/>
  <c r="T437" i="30"/>
  <c r="T420" i="30"/>
  <c r="T386" i="30"/>
  <c r="T376" i="30"/>
  <c r="T368" i="30"/>
  <c r="T348" i="30"/>
  <c r="T330" i="30"/>
  <c r="T287" i="30"/>
  <c r="T276" i="30"/>
  <c r="T215" i="30"/>
  <c r="T151" i="30"/>
  <c r="T124" i="30"/>
  <c r="T106" i="30"/>
  <c r="T86" i="30"/>
  <c r="T78" i="30"/>
  <c r="T43" i="30"/>
  <c r="T25" i="30"/>
  <c r="T690" i="30"/>
  <c r="T681" i="30"/>
  <c r="T653" i="30"/>
  <c r="T646" i="30"/>
  <c r="T644" i="30"/>
  <c r="T635" i="30"/>
  <c r="T573" i="30"/>
  <c r="T563" i="30"/>
  <c r="T501" i="30"/>
  <c r="T491" i="30"/>
  <c r="T429" i="30"/>
  <c r="T419" i="30"/>
  <c r="T385" i="30"/>
  <c r="T367" i="30"/>
  <c r="T358" i="30"/>
  <c r="V358" i="30" s="1"/>
  <c r="T340" i="30"/>
  <c r="T320" i="30"/>
  <c r="T312" i="30"/>
  <c r="T296" i="30"/>
  <c r="T286" i="30"/>
  <c r="T266" i="30"/>
  <c r="T258" i="30"/>
  <c r="T242" i="30"/>
  <c r="T222" i="30"/>
  <c r="T212" i="30"/>
  <c r="T204" i="30"/>
  <c r="T188" i="30"/>
  <c r="T168" i="30"/>
  <c r="T158" i="30"/>
  <c r="T150" i="30"/>
  <c r="T140" i="30"/>
  <c r="T115" i="30"/>
  <c r="T98" i="30"/>
  <c r="T88" i="30"/>
  <c r="T80" i="30"/>
  <c r="T60" i="30"/>
  <c r="T50" i="30"/>
  <c r="T42" i="30"/>
  <c r="T626" i="30"/>
  <c r="T600" i="30"/>
  <c r="T554" i="30"/>
  <c r="T528" i="30"/>
  <c r="T482" i="30"/>
  <c r="T456" i="30"/>
  <c r="T410" i="30"/>
  <c r="T350" i="30"/>
  <c r="T304" i="30"/>
  <c r="T294" i="30"/>
  <c r="T250" i="30"/>
  <c r="T240" i="30"/>
  <c r="T224" i="30"/>
  <c r="T196" i="30"/>
  <c r="T186" i="30"/>
  <c r="T170" i="30"/>
  <c r="T142" i="30"/>
  <c r="T132" i="30"/>
  <c r="T116" i="30"/>
  <c r="T62" i="30"/>
  <c r="AA616" i="30"/>
  <c r="AB616" i="30" s="1"/>
  <c r="X616" i="30"/>
  <c r="J69" i="30"/>
  <c r="H69" i="30" s="1"/>
  <c r="I69" i="30" s="1"/>
  <c r="V69" i="30" s="1"/>
  <c r="J97" i="30"/>
  <c r="H97" i="30" s="1"/>
  <c r="I97" i="30" s="1"/>
  <c r="X126" i="30"/>
  <c r="AA191" i="30"/>
  <c r="AB191" i="30" s="1"/>
  <c r="X243" i="30"/>
  <c r="AA243" i="30"/>
  <c r="AB243" i="30" s="1"/>
  <c r="X274" i="30"/>
  <c r="AA274" i="30"/>
  <c r="AB274" i="30" s="1"/>
  <c r="X472" i="30"/>
  <c r="AA472" i="30"/>
  <c r="AB472" i="30" s="1"/>
  <c r="J25" i="30"/>
  <c r="H25" i="30" s="1"/>
  <c r="I25" i="30" s="1"/>
  <c r="V25" i="30" s="1"/>
  <c r="AA30" i="30"/>
  <c r="AB30" i="30" s="1"/>
  <c r="AA144" i="30"/>
  <c r="AB144" i="30" s="1"/>
  <c r="AA262" i="30"/>
  <c r="AB262" i="30" s="1"/>
  <c r="X390" i="30"/>
  <c r="AA390" i="30"/>
  <c r="AB390" i="30" s="1"/>
  <c r="Z450" i="30"/>
  <c r="AA450" i="30"/>
  <c r="AB450" i="30" s="1"/>
  <c r="X463" i="30"/>
  <c r="AI63" i="30" s="1"/>
  <c r="AA463" i="30"/>
  <c r="AB463" i="30" s="1"/>
  <c r="AA64" i="30"/>
  <c r="AB64" i="30" s="1"/>
  <c r="AA162" i="30"/>
  <c r="AB162" i="30" s="1"/>
  <c r="X162" i="30"/>
  <c r="X30" i="30"/>
  <c r="J35" i="30"/>
  <c r="H35" i="30" s="1"/>
  <c r="I35" i="30" s="1"/>
  <c r="V35" i="30" s="1"/>
  <c r="AA36" i="30"/>
  <c r="AB36" i="30" s="1"/>
  <c r="J52" i="30"/>
  <c r="H52" i="30" s="1"/>
  <c r="I52" i="30" s="1"/>
  <c r="AA192" i="30"/>
  <c r="AB192" i="30" s="1"/>
  <c r="X236" i="30"/>
  <c r="AA236" i="30"/>
  <c r="AB236" i="30" s="1"/>
  <c r="AA317" i="30"/>
  <c r="AB317" i="30" s="1"/>
  <c r="X435" i="30"/>
  <c r="AA435" i="30"/>
  <c r="AB435" i="30" s="1"/>
  <c r="J80" i="30"/>
  <c r="H80" i="30" s="1"/>
  <c r="I80" i="30" s="1"/>
  <c r="V80" i="30" s="1"/>
  <c r="AA120" i="30"/>
  <c r="AB120" i="30" s="1"/>
  <c r="J161" i="30"/>
  <c r="H161" i="30" s="1"/>
  <c r="I161" i="30" s="1"/>
  <c r="V161" i="30" s="1"/>
  <c r="J169" i="30"/>
  <c r="H169" i="30" s="1"/>
  <c r="I169" i="30" s="1"/>
  <c r="J223" i="30"/>
  <c r="H223" i="30" s="1"/>
  <c r="I223" i="30" s="1"/>
  <c r="J231" i="30"/>
  <c r="H231" i="30" s="1"/>
  <c r="I231" i="30" s="1"/>
  <c r="V231" i="30" s="1"/>
  <c r="AA306" i="30"/>
  <c r="AB306" i="30" s="1"/>
  <c r="AA308" i="30"/>
  <c r="AB308" i="30" s="1"/>
  <c r="AA309" i="30"/>
  <c r="AB309" i="30" s="1"/>
  <c r="AA328" i="30"/>
  <c r="AB328" i="30" s="1"/>
  <c r="AA382" i="30"/>
  <c r="AB382" i="30" s="1"/>
  <c r="Z461" i="30"/>
  <c r="AA461" i="30"/>
  <c r="AB461" i="30" s="1"/>
  <c r="AA515" i="30"/>
  <c r="AB515" i="30" s="1"/>
  <c r="Z515" i="30"/>
  <c r="X522" i="30"/>
  <c r="AA522" i="30"/>
  <c r="AB522" i="30" s="1"/>
  <c r="J664" i="30"/>
  <c r="H664" i="30" s="1"/>
  <c r="I664" i="30" s="1"/>
  <c r="AA416" i="30"/>
  <c r="AB416" i="30" s="1"/>
  <c r="X416" i="30"/>
  <c r="X426" i="30"/>
  <c r="AI59" i="30" s="1"/>
  <c r="AA426" i="30"/>
  <c r="AB426" i="30" s="1"/>
  <c r="J205" i="30"/>
  <c r="H205" i="30" s="1"/>
  <c r="I205" i="30" s="1"/>
  <c r="AA254" i="30"/>
  <c r="AB254" i="30" s="1"/>
  <c r="AA297" i="30"/>
  <c r="AB297" i="30" s="1"/>
  <c r="J303" i="30"/>
  <c r="H303" i="30" s="1"/>
  <c r="I303" i="30" s="1"/>
  <c r="V303" i="30" s="1"/>
  <c r="AA325" i="30"/>
  <c r="AB325" i="30" s="1"/>
  <c r="AA424" i="30"/>
  <c r="AB424" i="30" s="1"/>
  <c r="X508" i="30"/>
  <c r="AA508" i="30"/>
  <c r="AB508" i="30" s="1"/>
  <c r="AA363" i="30"/>
  <c r="AB363" i="30" s="1"/>
  <c r="AA436" i="30"/>
  <c r="AB436" i="30" s="1"/>
  <c r="AA441" i="30"/>
  <c r="AB441" i="30" s="1"/>
  <c r="AA496" i="30"/>
  <c r="AB496" i="30" s="1"/>
  <c r="AA561" i="30"/>
  <c r="AB561" i="30" s="1"/>
  <c r="J564" i="30"/>
  <c r="H564" i="30" s="1"/>
  <c r="I564" i="30" s="1"/>
  <c r="V564" i="30" s="1"/>
  <c r="AA577" i="30"/>
  <c r="AB577" i="30" s="1"/>
  <c r="J609" i="30"/>
  <c r="H609" i="30" s="1"/>
  <c r="I609" i="30" s="1"/>
  <c r="V609" i="30" s="1"/>
  <c r="AA666" i="30"/>
  <c r="AB666" i="30" s="1"/>
  <c r="AA697" i="30"/>
  <c r="AB697" i="30" s="1"/>
  <c r="X713" i="30"/>
  <c r="AA724" i="30"/>
  <c r="AB724" i="30" s="1"/>
  <c r="J618" i="30"/>
  <c r="H618" i="30" s="1"/>
  <c r="I618" i="30" s="1"/>
  <c r="J482" i="30"/>
  <c r="H482" i="30" s="1"/>
  <c r="I482" i="30" s="1"/>
  <c r="V482" i="30" s="1"/>
  <c r="J593" i="30"/>
  <c r="H593" i="30" s="1"/>
  <c r="I593" i="30" s="1"/>
  <c r="V593" i="30" s="1"/>
  <c r="J645" i="30"/>
  <c r="H645" i="30" s="1"/>
  <c r="I645" i="30" s="1"/>
  <c r="AA685" i="30"/>
  <c r="AB685" i="30" s="1"/>
  <c r="J14" i="30"/>
  <c r="H14" i="30" s="1"/>
  <c r="I14" i="30" s="1"/>
  <c r="V14" i="30" s="1"/>
  <c r="J24" i="30"/>
  <c r="H24" i="30" s="1"/>
  <c r="I24" i="30" s="1"/>
  <c r="V24" i="30" s="1"/>
  <c r="X75" i="30"/>
  <c r="AI20" i="30" s="1"/>
  <c r="AA75" i="30"/>
  <c r="AB75" i="30" s="1"/>
  <c r="X261" i="30"/>
  <c r="AI41" i="30" s="1"/>
  <c r="AA261" i="30"/>
  <c r="AB261" i="30" s="1"/>
  <c r="X301" i="30"/>
  <c r="AA301" i="30"/>
  <c r="AB301" i="30" s="1"/>
  <c r="AA334" i="30"/>
  <c r="AB334" i="30" s="1"/>
  <c r="X334" i="30"/>
  <c r="AA19" i="30"/>
  <c r="AB19" i="30" s="1"/>
  <c r="AA21" i="30"/>
  <c r="AB21" i="30" s="1"/>
  <c r="AA27" i="30"/>
  <c r="AB27" i="30" s="1"/>
  <c r="X27" i="30"/>
  <c r="X36" i="30"/>
  <c r="AI16" i="30" s="1"/>
  <c r="J60" i="30"/>
  <c r="H60" i="30" s="1"/>
  <c r="I60" i="30" s="1"/>
  <c r="V60" i="30" s="1"/>
  <c r="AA72" i="30"/>
  <c r="AB72" i="30" s="1"/>
  <c r="AA91" i="30"/>
  <c r="AB91" i="30" s="1"/>
  <c r="AA93" i="30"/>
  <c r="AB93" i="30" s="1"/>
  <c r="AA101" i="30"/>
  <c r="AB101" i="30" s="1"/>
  <c r="X108" i="30"/>
  <c r="J133" i="30"/>
  <c r="H133" i="30" s="1"/>
  <c r="I133" i="30" s="1"/>
  <c r="X154" i="30"/>
  <c r="AA154" i="30"/>
  <c r="AB154" i="30" s="1"/>
  <c r="AA156" i="30"/>
  <c r="AB156" i="30" s="1"/>
  <c r="X156" i="30"/>
  <c r="AA207" i="30"/>
  <c r="AB207" i="30" s="1"/>
  <c r="Z207" i="30"/>
  <c r="AJ35" i="30" s="1"/>
  <c r="X238" i="30"/>
  <c r="AA238" i="30"/>
  <c r="AB238" i="30" s="1"/>
  <c r="AA369" i="30"/>
  <c r="AB369" i="30" s="1"/>
  <c r="X369" i="30"/>
  <c r="AI53" i="30" s="1"/>
  <c r="AA29" i="30"/>
  <c r="AB29" i="30" s="1"/>
  <c r="X29" i="30"/>
  <c r="X57" i="30"/>
  <c r="AI18" i="30" s="1"/>
  <c r="AA57" i="30"/>
  <c r="AB57" i="30" s="1"/>
  <c r="AA138" i="30"/>
  <c r="AB138" i="30" s="1"/>
  <c r="X244" i="30"/>
  <c r="AA244" i="30"/>
  <c r="AB244" i="30" s="1"/>
  <c r="X256" i="30"/>
  <c r="AA256" i="30"/>
  <c r="AB256" i="30" s="1"/>
  <c r="X414" i="30"/>
  <c r="AA414" i="30"/>
  <c r="AB414" i="30" s="1"/>
  <c r="J17" i="30"/>
  <c r="H17" i="30" s="1"/>
  <c r="I17" i="30" s="1"/>
  <c r="V17" i="30" s="1"/>
  <c r="X46" i="30"/>
  <c r="AA46" i="30"/>
  <c r="AB46" i="30" s="1"/>
  <c r="AA54" i="30"/>
  <c r="AB54" i="30" s="1"/>
  <c r="AA82" i="30"/>
  <c r="AB82" i="30" s="1"/>
  <c r="J86" i="30"/>
  <c r="H86" i="30" s="1"/>
  <c r="I86" i="30" s="1"/>
  <c r="V86" i="30" s="1"/>
  <c r="AA92" i="30"/>
  <c r="AB92" i="30" s="1"/>
  <c r="AA94" i="30"/>
  <c r="AB94" i="30" s="1"/>
  <c r="X292" i="30"/>
  <c r="AA292" i="30"/>
  <c r="AB292" i="30" s="1"/>
  <c r="X316" i="30"/>
  <c r="AA316" i="30"/>
  <c r="AB316" i="30" s="1"/>
  <c r="X290" i="30"/>
  <c r="AI44" i="30" s="1"/>
  <c r="AA290" i="30"/>
  <c r="AB290" i="30" s="1"/>
  <c r="AA315" i="30"/>
  <c r="AB315" i="30" s="1"/>
  <c r="AA327" i="30"/>
  <c r="AB327" i="30" s="1"/>
  <c r="J366" i="30"/>
  <c r="H366" i="30" s="1"/>
  <c r="I366" i="30" s="1"/>
  <c r="V366" i="30" s="1"/>
  <c r="J368" i="30"/>
  <c r="H368" i="30" s="1"/>
  <c r="I368" i="30" s="1"/>
  <c r="J458" i="30"/>
  <c r="H458" i="30" s="1"/>
  <c r="I458" i="30" s="1"/>
  <c r="V458" i="30" s="1"/>
  <c r="X468" i="30"/>
  <c r="AA468" i="30"/>
  <c r="AB468" i="30" s="1"/>
  <c r="AA507" i="30"/>
  <c r="AB507" i="30" s="1"/>
  <c r="J510" i="30"/>
  <c r="H510" i="30" s="1"/>
  <c r="I510" i="30" s="1"/>
  <c r="V510" i="30" s="1"/>
  <c r="AA524" i="30"/>
  <c r="AB524" i="30" s="1"/>
  <c r="X524" i="30"/>
  <c r="X535" i="30"/>
  <c r="AA535" i="30"/>
  <c r="AB535" i="30" s="1"/>
  <c r="AA589" i="30"/>
  <c r="AB589" i="30" s="1"/>
  <c r="X589" i="30"/>
  <c r="J591" i="30"/>
  <c r="H591" i="30" s="1"/>
  <c r="I591" i="30" s="1"/>
  <c r="V591" i="30" s="1"/>
  <c r="AA607" i="30"/>
  <c r="AB607" i="30" s="1"/>
  <c r="X607" i="30"/>
  <c r="AA621" i="30"/>
  <c r="AB621" i="30" s="1"/>
  <c r="X621" i="30"/>
  <c r="AA624" i="30"/>
  <c r="AB624" i="30" s="1"/>
  <c r="X624" i="30"/>
  <c r="AA487" i="30"/>
  <c r="AB487" i="30" s="1"/>
  <c r="X487" i="30"/>
  <c r="AA498" i="30"/>
  <c r="AB498" i="30" s="1"/>
  <c r="Z498" i="30"/>
  <c r="AJ67" i="30" s="1"/>
  <c r="Z587" i="30"/>
  <c r="AA587" i="30"/>
  <c r="AB587" i="30" s="1"/>
  <c r="X597" i="30"/>
  <c r="AA597" i="30"/>
  <c r="AB597" i="30" s="1"/>
  <c r="AA615" i="30"/>
  <c r="AB615" i="30" s="1"/>
  <c r="X615" i="30"/>
  <c r="AA658" i="30"/>
  <c r="AB658" i="30" s="1"/>
  <c r="X658" i="30"/>
  <c r="X687" i="30"/>
  <c r="AA687" i="30"/>
  <c r="AB687" i="30" s="1"/>
  <c r="AA190" i="30"/>
  <c r="AB190" i="30" s="1"/>
  <c r="AA202" i="30"/>
  <c r="AB202" i="30" s="1"/>
  <c r="AA229" i="30"/>
  <c r="AB229" i="30" s="1"/>
  <c r="X272" i="30"/>
  <c r="AA272" i="30"/>
  <c r="AB272" i="30" s="1"/>
  <c r="AA300" i="30"/>
  <c r="AB300" i="30" s="1"/>
  <c r="AA318" i="30"/>
  <c r="AB318" i="30" s="1"/>
  <c r="J331" i="30"/>
  <c r="H331" i="30" s="1"/>
  <c r="I331" i="30" s="1"/>
  <c r="J374" i="30"/>
  <c r="H374" i="30" s="1"/>
  <c r="I374" i="30" s="1"/>
  <c r="V374" i="30" s="1"/>
  <c r="X388" i="30"/>
  <c r="AI55" i="30" s="1"/>
  <c r="AA388" i="30"/>
  <c r="AB388" i="30" s="1"/>
  <c r="J404" i="30"/>
  <c r="H404" i="30" s="1"/>
  <c r="I404" i="30" s="1"/>
  <c r="V404" i="30" s="1"/>
  <c r="AA418" i="30"/>
  <c r="AB418" i="30" s="1"/>
  <c r="X418" i="30"/>
  <c r="X433" i="30"/>
  <c r="AA434" i="30"/>
  <c r="AB434" i="30" s="1"/>
  <c r="X434" i="30"/>
  <c r="X454" i="30"/>
  <c r="AA454" i="30"/>
  <c r="AB454" i="30" s="1"/>
  <c r="J77" i="30"/>
  <c r="H77" i="30" s="1"/>
  <c r="I77" i="30" s="1"/>
  <c r="V77" i="30" s="1"/>
  <c r="AA136" i="30"/>
  <c r="AB136" i="30" s="1"/>
  <c r="AA174" i="30"/>
  <c r="AB174" i="30" s="1"/>
  <c r="AA180" i="30"/>
  <c r="AB180" i="30" s="1"/>
  <c r="X190" i="30"/>
  <c r="AA209" i="30"/>
  <c r="AB209" i="30" s="1"/>
  <c r="X209" i="30"/>
  <c r="AI35" i="30" s="1"/>
  <c r="AA220" i="30"/>
  <c r="AB220" i="30" s="1"/>
  <c r="J221" i="30"/>
  <c r="H221" i="30" s="1"/>
  <c r="I221" i="30" s="1"/>
  <c r="V221" i="30" s="1"/>
  <c r="X225" i="30"/>
  <c r="AA225" i="30"/>
  <c r="AB225" i="30" s="1"/>
  <c r="J249" i="30"/>
  <c r="H249" i="30" s="1"/>
  <c r="I249" i="30" s="1"/>
  <c r="V249" i="30" s="1"/>
  <c r="X279" i="30"/>
  <c r="AI43" i="30" s="1"/>
  <c r="AA279" i="30"/>
  <c r="AB279" i="30" s="1"/>
  <c r="AA280" i="30"/>
  <c r="AB280" i="30" s="1"/>
  <c r="J295" i="30"/>
  <c r="H295" i="30" s="1"/>
  <c r="I295" i="30" s="1"/>
  <c r="V295" i="30" s="1"/>
  <c r="J323" i="30"/>
  <c r="H323" i="30" s="1"/>
  <c r="I323" i="30" s="1"/>
  <c r="V323" i="30" s="1"/>
  <c r="AA324" i="30"/>
  <c r="AB324" i="30" s="1"/>
  <c r="X324" i="30"/>
  <c r="X335" i="30"/>
  <c r="X337" i="30"/>
  <c r="AA346" i="30"/>
  <c r="AB346" i="30" s="1"/>
  <c r="J356" i="30"/>
  <c r="H356" i="30" s="1"/>
  <c r="I356" i="30" s="1"/>
  <c r="V356" i="30" s="1"/>
  <c r="AA361" i="30"/>
  <c r="AB361" i="30" s="1"/>
  <c r="X363" i="30"/>
  <c r="AA364" i="30"/>
  <c r="AB364" i="30" s="1"/>
  <c r="X364" i="30"/>
  <c r="AI52" i="30" s="1"/>
  <c r="J394" i="30"/>
  <c r="H394" i="30" s="1"/>
  <c r="I394" i="30" s="1"/>
  <c r="V394" i="30" s="1"/>
  <c r="AA400" i="30"/>
  <c r="AB400" i="30" s="1"/>
  <c r="AA406" i="30"/>
  <c r="AB406" i="30" s="1"/>
  <c r="J410" i="30"/>
  <c r="H410" i="30" s="1"/>
  <c r="I410" i="30" s="1"/>
  <c r="V410" i="30" s="1"/>
  <c r="J412" i="30"/>
  <c r="H412" i="30" s="1"/>
  <c r="I412" i="30" s="1"/>
  <c r="J420" i="30"/>
  <c r="H420" i="30" s="1"/>
  <c r="I420" i="30" s="1"/>
  <c r="V420" i="30" s="1"/>
  <c r="J430" i="30"/>
  <c r="H430" i="30" s="1"/>
  <c r="I430" i="30" s="1"/>
  <c r="J440" i="30"/>
  <c r="H440" i="30" s="1"/>
  <c r="I440" i="30" s="1"/>
  <c r="J446" i="30"/>
  <c r="H446" i="30" s="1"/>
  <c r="I446" i="30" s="1"/>
  <c r="V446" i="30" s="1"/>
  <c r="J448" i="30"/>
  <c r="H448" i="30" s="1"/>
  <c r="I448" i="30" s="1"/>
  <c r="AA490" i="30"/>
  <c r="AB490" i="30" s="1"/>
  <c r="AA495" i="30"/>
  <c r="AB495" i="30" s="1"/>
  <c r="AA517" i="30"/>
  <c r="AB517" i="30" s="1"/>
  <c r="AA526" i="30"/>
  <c r="AB526" i="30" s="1"/>
  <c r="X533" i="30"/>
  <c r="AA533" i="30"/>
  <c r="AB533" i="30" s="1"/>
  <c r="X540" i="30"/>
  <c r="AA540" i="30"/>
  <c r="AB540" i="30" s="1"/>
  <c r="AA549" i="30"/>
  <c r="AB549" i="30" s="1"/>
  <c r="X549" i="30"/>
  <c r="AA550" i="30"/>
  <c r="AB550" i="30" s="1"/>
  <c r="Z551" i="30"/>
  <c r="AA551" i="30"/>
  <c r="AB551" i="30" s="1"/>
  <c r="AA569" i="30"/>
  <c r="AB569" i="30" s="1"/>
  <c r="AA605" i="30"/>
  <c r="AB605" i="30" s="1"/>
  <c r="X605" i="30"/>
  <c r="AA613" i="30"/>
  <c r="AB613" i="30" s="1"/>
  <c r="X613" i="30"/>
  <c r="AA634" i="30"/>
  <c r="AB634" i="30" s="1"/>
  <c r="X641" i="30"/>
  <c r="AA641" i="30"/>
  <c r="AB641" i="30" s="1"/>
  <c r="AA676" i="30"/>
  <c r="AB676" i="30" s="1"/>
  <c r="X676" i="30"/>
  <c r="AA28" i="30"/>
  <c r="AB28" i="30" s="1"/>
  <c r="J53" i="30"/>
  <c r="H53" i="30" s="1"/>
  <c r="I53" i="30" s="1"/>
  <c r="J88" i="30"/>
  <c r="H88" i="30" s="1"/>
  <c r="I88" i="30" s="1"/>
  <c r="V88" i="30" s="1"/>
  <c r="J151" i="30"/>
  <c r="H151" i="30" s="1"/>
  <c r="I151" i="30" s="1"/>
  <c r="AA227" i="30"/>
  <c r="AB227" i="30" s="1"/>
  <c r="J257" i="30"/>
  <c r="H257" i="30" s="1"/>
  <c r="I257" i="30" s="1"/>
  <c r="V257" i="30" s="1"/>
  <c r="J259" i="30"/>
  <c r="H259" i="30" s="1"/>
  <c r="I259" i="30" s="1"/>
  <c r="J267" i="30"/>
  <c r="H267" i="30" s="1"/>
  <c r="I267" i="30" s="1"/>
  <c r="J269" i="30"/>
  <c r="H269" i="30" s="1"/>
  <c r="I269" i="30" s="1"/>
  <c r="J285" i="30"/>
  <c r="H285" i="30" s="1"/>
  <c r="I285" i="30" s="1"/>
  <c r="V285" i="30" s="1"/>
  <c r="J287" i="30"/>
  <c r="H287" i="30" s="1"/>
  <c r="I287" i="30" s="1"/>
  <c r="V287" i="30" s="1"/>
  <c r="AA326" i="30"/>
  <c r="AB326" i="30" s="1"/>
  <c r="AA336" i="30"/>
  <c r="AB336" i="30" s="1"/>
  <c r="J340" i="30"/>
  <c r="H340" i="30" s="1"/>
  <c r="I340" i="30" s="1"/>
  <c r="AA345" i="30"/>
  <c r="AB345" i="30" s="1"/>
  <c r="J348" i="30"/>
  <c r="H348" i="30" s="1"/>
  <c r="I348" i="30" s="1"/>
  <c r="AA351" i="30"/>
  <c r="AB351" i="30" s="1"/>
  <c r="J376" i="30"/>
  <c r="H376" i="30" s="1"/>
  <c r="I376" i="30" s="1"/>
  <c r="J384" i="30"/>
  <c r="H384" i="30" s="1"/>
  <c r="I384" i="30" s="1"/>
  <c r="V384" i="30" s="1"/>
  <c r="AA442" i="30"/>
  <c r="AB442" i="30" s="1"/>
  <c r="AA444" i="30"/>
  <c r="AB444" i="30" s="1"/>
  <c r="J476" i="30"/>
  <c r="H476" i="30" s="1"/>
  <c r="I476" i="30" s="1"/>
  <c r="V476" i="30" s="1"/>
  <c r="J492" i="30"/>
  <c r="H492" i="30" s="1"/>
  <c r="I492" i="30" s="1"/>
  <c r="V492" i="30" s="1"/>
  <c r="AA505" i="30"/>
  <c r="AB505" i="30" s="1"/>
  <c r="AA541" i="30"/>
  <c r="AB541" i="30" s="1"/>
  <c r="J573" i="30"/>
  <c r="H573" i="30" s="1"/>
  <c r="I573" i="30" s="1"/>
  <c r="X579" i="30"/>
  <c r="AA579" i="30"/>
  <c r="AB579" i="30" s="1"/>
  <c r="X595" i="30"/>
  <c r="AA595" i="30"/>
  <c r="AB595" i="30" s="1"/>
  <c r="AA612" i="30"/>
  <c r="AB612" i="30" s="1"/>
  <c r="AK80" i="30" s="1"/>
  <c r="X612" i="30"/>
  <c r="AA614" i="30"/>
  <c r="AB614" i="30" s="1"/>
  <c r="AA622" i="30"/>
  <c r="AB622" i="30" s="1"/>
  <c r="X622" i="30"/>
  <c r="AA640" i="30"/>
  <c r="AB640" i="30" s="1"/>
  <c r="AA660" i="30"/>
  <c r="AB660" i="30" s="1"/>
  <c r="J663" i="30"/>
  <c r="H663" i="30" s="1"/>
  <c r="I663" i="30" s="1"/>
  <c r="AA723" i="30"/>
  <c r="AB723" i="30" s="1"/>
  <c r="J726" i="30"/>
  <c r="H726" i="30" s="1"/>
  <c r="I726" i="30" s="1"/>
  <c r="J528" i="30"/>
  <c r="H528" i="30" s="1"/>
  <c r="I528" i="30" s="1"/>
  <c r="V528" i="30" s="1"/>
  <c r="J555" i="30"/>
  <c r="H555" i="30" s="1"/>
  <c r="I555" i="30" s="1"/>
  <c r="V555" i="30" s="1"/>
  <c r="J563" i="30"/>
  <c r="H563" i="30" s="1"/>
  <c r="I563" i="30" s="1"/>
  <c r="V563" i="30" s="1"/>
  <c r="J601" i="30"/>
  <c r="H601" i="30" s="1"/>
  <c r="I601" i="30" s="1"/>
  <c r="J682" i="30"/>
  <c r="H682" i="30" s="1"/>
  <c r="I682" i="30" s="1"/>
  <c r="X684" i="30"/>
  <c r="AA684" i="30"/>
  <c r="AB684" i="30" s="1"/>
  <c r="X722" i="30"/>
  <c r="AA722" i="30"/>
  <c r="AB722" i="30" s="1"/>
  <c r="J647" i="30"/>
  <c r="H647" i="30" s="1"/>
  <c r="I647" i="30" s="1"/>
  <c r="V647" i="30" s="1"/>
  <c r="AA679" i="30"/>
  <c r="AB679" i="30" s="1"/>
  <c r="J719" i="30"/>
  <c r="H719" i="30" s="1"/>
  <c r="I719" i="30" s="1"/>
  <c r="AA733" i="30"/>
  <c r="AB733" i="30" s="1"/>
  <c r="AA543" i="30"/>
  <c r="AB543" i="30" s="1"/>
  <c r="J548" i="30"/>
  <c r="H548" i="30" s="1"/>
  <c r="I548" i="30" s="1"/>
  <c r="V548" i="30" s="1"/>
  <c r="AA571" i="30"/>
  <c r="AB571" i="30" s="1"/>
  <c r="J575" i="30"/>
  <c r="H575" i="30" s="1"/>
  <c r="I575" i="30" s="1"/>
  <c r="AA606" i="30"/>
  <c r="AB606" i="30" s="1"/>
  <c r="AA623" i="30"/>
  <c r="AB623" i="30" s="1"/>
  <c r="J635" i="30"/>
  <c r="H635" i="30" s="1"/>
  <c r="I635" i="30" s="1"/>
  <c r="V635" i="30" s="1"/>
  <c r="AA648" i="30"/>
  <c r="AB648" i="30" s="1"/>
  <c r="J691" i="30"/>
  <c r="H691" i="30" s="1"/>
  <c r="I691" i="30" s="1"/>
  <c r="J707" i="30"/>
  <c r="H707" i="30" s="1"/>
  <c r="I707" i="30" s="1"/>
  <c r="V707" i="30" s="1"/>
  <c r="J23" i="30"/>
  <c r="H23" i="30" s="1"/>
  <c r="I23" i="30" s="1"/>
  <c r="V23" i="30" s="1"/>
  <c r="J32" i="30"/>
  <c r="H32" i="30" s="1"/>
  <c r="I32" i="30" s="1"/>
  <c r="J34" i="30"/>
  <c r="H34" i="30" s="1"/>
  <c r="I34" i="30" s="1"/>
  <c r="V34" i="30" s="1"/>
  <c r="AJ14" i="30"/>
  <c r="J42" i="30"/>
  <c r="H42" i="30" s="1"/>
  <c r="I42" i="30" s="1"/>
  <c r="V42" i="30" s="1"/>
  <c r="J16" i="30"/>
  <c r="H16" i="30" s="1"/>
  <c r="I16" i="30" s="1"/>
  <c r="V16" i="30" s="1"/>
  <c r="J43" i="30"/>
  <c r="H43" i="30" s="1"/>
  <c r="I43" i="30" s="1"/>
  <c r="V43" i="30" s="1"/>
  <c r="AJ19" i="30"/>
  <c r="AJ28" i="30"/>
  <c r="J33" i="30"/>
  <c r="H33" i="30" s="1"/>
  <c r="I33" i="30" s="1"/>
  <c r="J44" i="30"/>
  <c r="H44" i="30" s="1"/>
  <c r="I44" i="30" s="1"/>
  <c r="V44" i="30" s="1"/>
  <c r="AJ44" i="30"/>
  <c r="AJ87" i="30"/>
  <c r="AJ85" i="30"/>
  <c r="AJ84" i="30"/>
  <c r="AJ82" i="30"/>
  <c r="AJ79" i="30"/>
  <c r="AJ72" i="30"/>
  <c r="AJ71" i="30"/>
  <c r="AJ66" i="30"/>
  <c r="AJ65" i="30"/>
  <c r="AJ64" i="30"/>
  <c r="AJ59" i="30"/>
  <c r="AJ54" i="30"/>
  <c r="AJ53" i="30"/>
  <c r="AJ51" i="30"/>
  <c r="AJ49" i="30"/>
  <c r="AJ48" i="30"/>
  <c r="AJ47" i="30"/>
  <c r="AJ46" i="30"/>
  <c r="AJ43" i="30"/>
  <c r="AJ41" i="30"/>
  <c r="AJ36" i="30"/>
  <c r="AJ94" i="30"/>
  <c r="AJ93" i="30"/>
  <c r="AJ91" i="30"/>
  <c r="AJ88" i="30"/>
  <c r="AJ86" i="30"/>
  <c r="AJ81" i="30"/>
  <c r="AJ80" i="30"/>
  <c r="AJ78" i="30"/>
  <c r="AJ76" i="30"/>
  <c r="AJ74" i="30"/>
  <c r="AJ73" i="30"/>
  <c r="AJ68" i="30"/>
  <c r="AJ60" i="30"/>
  <c r="AJ58" i="30"/>
  <c r="AJ57" i="30"/>
  <c r="AJ56" i="30"/>
  <c r="AJ55" i="30"/>
  <c r="AJ52" i="30"/>
  <c r="AJ50" i="30"/>
  <c r="AJ45" i="30"/>
  <c r="AJ21" i="30"/>
  <c r="AI22" i="30"/>
  <c r="AJ24" i="30"/>
  <c r="AJ29" i="30"/>
  <c r="AJ38" i="30"/>
  <c r="AJ40" i="30"/>
  <c r="J41" i="30"/>
  <c r="H41" i="30" s="1"/>
  <c r="I41" i="30" s="1"/>
  <c r="V41" i="30" s="1"/>
  <c r="AA45" i="30"/>
  <c r="AB45" i="30" s="1"/>
  <c r="AA48" i="30"/>
  <c r="AB48" i="30" s="1"/>
  <c r="AA55" i="30"/>
  <c r="AB55" i="30" s="1"/>
  <c r="AI56" i="30"/>
  <c r="AA63" i="30"/>
  <c r="AB63" i="30" s="1"/>
  <c r="AA66" i="30"/>
  <c r="AB66" i="30" s="1"/>
  <c r="AI67" i="30"/>
  <c r="AA73" i="30"/>
  <c r="AB73" i="30" s="1"/>
  <c r="AA81" i="30"/>
  <c r="AB81" i="30" s="1"/>
  <c r="AA84" i="30"/>
  <c r="AB84" i="30" s="1"/>
  <c r="J95" i="30"/>
  <c r="H95" i="30" s="1"/>
  <c r="I95" i="30" s="1"/>
  <c r="X99" i="30"/>
  <c r="AA99" i="30"/>
  <c r="AB99" i="30" s="1"/>
  <c r="X110" i="30"/>
  <c r="AA110" i="30"/>
  <c r="AB110" i="30" s="1"/>
  <c r="X139" i="30"/>
  <c r="AA139" i="30"/>
  <c r="AB139" i="30" s="1"/>
  <c r="J142" i="30"/>
  <c r="H142" i="30" s="1"/>
  <c r="I142" i="30" s="1"/>
  <c r="X148" i="30"/>
  <c r="AA148" i="30"/>
  <c r="AB148" i="30" s="1"/>
  <c r="J150" i="30"/>
  <c r="H150" i="30" s="1"/>
  <c r="I150" i="30" s="1"/>
  <c r="X171" i="30"/>
  <c r="AA171" i="30"/>
  <c r="AB171" i="30" s="1"/>
  <c r="AA173" i="30"/>
  <c r="AB173" i="30" s="1"/>
  <c r="J196" i="30"/>
  <c r="H196" i="30" s="1"/>
  <c r="I196" i="30" s="1"/>
  <c r="AJ30" i="30"/>
  <c r="AI65" i="30"/>
  <c r="AJ15" i="30"/>
  <c r="AA18" i="30"/>
  <c r="AB18" i="30" s="1"/>
  <c r="AA20" i="30"/>
  <c r="AB20" i="30" s="1"/>
  <c r="AJ25" i="30"/>
  <c r="AJ26" i="30"/>
  <c r="AJ31" i="30"/>
  <c r="AI14" i="30"/>
  <c r="AI17" i="30"/>
  <c r="AI19" i="30"/>
  <c r="AJ22" i="30"/>
  <c r="AJ34" i="30"/>
  <c r="AJ42" i="30"/>
  <c r="AA49" i="30"/>
  <c r="AB49" i="30" s="1"/>
  <c r="AI54" i="30"/>
  <c r="AA56" i="30"/>
  <c r="AB56" i="30" s="1"/>
  <c r="AI57" i="30"/>
  <c r="J59" i="30"/>
  <c r="H59" i="30" s="1"/>
  <c r="I59" i="30" s="1"/>
  <c r="V59" i="30" s="1"/>
  <c r="AA67" i="30"/>
  <c r="AB67" i="30" s="1"/>
  <c r="AI70" i="30"/>
  <c r="AI72" i="30"/>
  <c r="AA74" i="30"/>
  <c r="AB74" i="30" s="1"/>
  <c r="AI82" i="30"/>
  <c r="J107" i="30"/>
  <c r="H107" i="30" s="1"/>
  <c r="I107" i="30" s="1"/>
  <c r="J115" i="30"/>
  <c r="H115" i="30" s="1"/>
  <c r="I115" i="30" s="1"/>
  <c r="X121" i="30"/>
  <c r="AA121" i="30"/>
  <c r="AB121" i="30" s="1"/>
  <c r="J124" i="30"/>
  <c r="H124" i="30" s="1"/>
  <c r="I124" i="30" s="1"/>
  <c r="X130" i="30"/>
  <c r="AA130" i="30"/>
  <c r="AB130" i="30" s="1"/>
  <c r="J132" i="30"/>
  <c r="H132" i="30" s="1"/>
  <c r="I132" i="30" s="1"/>
  <c r="V132" i="30" s="1"/>
  <c r="X153" i="30"/>
  <c r="AA153" i="30"/>
  <c r="AB153" i="30" s="1"/>
  <c r="AA155" i="30"/>
  <c r="AB155" i="30" s="1"/>
  <c r="X164" i="30"/>
  <c r="AA164" i="30"/>
  <c r="AB164" i="30" s="1"/>
  <c r="J179" i="30"/>
  <c r="H179" i="30" s="1"/>
  <c r="I179" i="30" s="1"/>
  <c r="V179" i="30" s="1"/>
  <c r="AJ17" i="30"/>
  <c r="AJ33" i="30"/>
  <c r="J87" i="30"/>
  <c r="H87" i="30" s="1"/>
  <c r="I87" i="30" s="1"/>
  <c r="V87" i="30" s="1"/>
  <c r="J89" i="30"/>
  <c r="H89" i="30" s="1"/>
  <c r="I89" i="30" s="1"/>
  <c r="V89" i="30" s="1"/>
  <c r="X103" i="30"/>
  <c r="AA103" i="30"/>
  <c r="AB103" i="30" s="1"/>
  <c r="J106" i="30"/>
  <c r="H106" i="30" s="1"/>
  <c r="I106" i="30" s="1"/>
  <c r="X112" i="30"/>
  <c r="AA112" i="30"/>
  <c r="AB112" i="30" s="1"/>
  <c r="J114" i="30"/>
  <c r="H114" i="30" s="1"/>
  <c r="I114" i="30" s="1"/>
  <c r="V114" i="30" s="1"/>
  <c r="X135" i="30"/>
  <c r="AA135" i="30"/>
  <c r="AB135" i="30" s="1"/>
  <c r="X146" i="30"/>
  <c r="AA146" i="30"/>
  <c r="AB146" i="30" s="1"/>
  <c r="X175" i="30"/>
  <c r="AA175" i="30"/>
  <c r="AB175" i="30" s="1"/>
  <c r="J178" i="30"/>
  <c r="H178" i="30" s="1"/>
  <c r="I178" i="30" s="1"/>
  <c r="J186" i="30"/>
  <c r="H186" i="30" s="1"/>
  <c r="I186" i="30" s="1"/>
  <c r="AA22" i="30"/>
  <c r="AB22" i="30" s="1"/>
  <c r="AJ27" i="30"/>
  <c r="AI32" i="30"/>
  <c r="AI51" i="30"/>
  <c r="AJ16" i="30"/>
  <c r="AJ18" i="30"/>
  <c r="AJ20" i="30"/>
  <c r="AI21" i="30"/>
  <c r="AJ23" i="30"/>
  <c r="AA31" i="30"/>
  <c r="AB31" i="30" s="1"/>
  <c r="AJ32" i="30"/>
  <c r="AA37" i="30"/>
  <c r="AB37" i="30" s="1"/>
  <c r="AI37" i="30"/>
  <c r="AA38" i="30"/>
  <c r="AB38" i="30" s="1"/>
  <c r="AA39" i="30"/>
  <c r="AB39" i="30" s="1"/>
  <c r="AA40" i="30"/>
  <c r="AB40" i="30" s="1"/>
  <c r="AA47" i="30"/>
  <c r="AB47" i="30" s="1"/>
  <c r="J50" i="30"/>
  <c r="H50" i="30" s="1"/>
  <c r="I50" i="30" s="1"/>
  <c r="V50" i="30" s="1"/>
  <c r="AA58" i="30"/>
  <c r="AB58" i="30" s="1"/>
  <c r="J61" i="30"/>
  <c r="H61" i="30" s="1"/>
  <c r="I61" i="30" s="1"/>
  <c r="V61" i="30" s="1"/>
  <c r="AI61" i="30"/>
  <c r="AA65" i="30"/>
  <c r="AB65" i="30" s="1"/>
  <c r="J68" i="30"/>
  <c r="H68" i="30" s="1"/>
  <c r="I68" i="30" s="1"/>
  <c r="V68" i="30" s="1"/>
  <c r="AI68" i="30"/>
  <c r="AA76" i="30"/>
  <c r="AB76" i="30" s="1"/>
  <c r="J79" i="30"/>
  <c r="H79" i="30" s="1"/>
  <c r="I79" i="30" s="1"/>
  <c r="V79" i="30" s="1"/>
  <c r="AA83" i="30"/>
  <c r="AB83" i="30" s="1"/>
  <c r="J96" i="30"/>
  <c r="H96" i="30" s="1"/>
  <c r="I96" i="30" s="1"/>
  <c r="X117" i="30"/>
  <c r="AA117" i="30"/>
  <c r="AB117" i="30" s="1"/>
  <c r="AA119" i="30"/>
  <c r="AB119" i="30" s="1"/>
  <c r="X128" i="30"/>
  <c r="AA128" i="30"/>
  <c r="AB128" i="30" s="1"/>
  <c r="J143" i="30"/>
  <c r="H143" i="30" s="1"/>
  <c r="I143" i="30" s="1"/>
  <c r="X157" i="30"/>
  <c r="AA157" i="30"/>
  <c r="AB157" i="30" s="1"/>
  <c r="J160" i="30"/>
  <c r="H160" i="30" s="1"/>
  <c r="I160" i="30" s="1"/>
  <c r="X166" i="30"/>
  <c r="AA166" i="30"/>
  <c r="AB166" i="30" s="1"/>
  <c r="J168" i="30"/>
  <c r="H168" i="30" s="1"/>
  <c r="I168" i="30" s="1"/>
  <c r="J187" i="30"/>
  <c r="H187" i="30" s="1"/>
  <c r="I187" i="30" s="1"/>
  <c r="AA85" i="30"/>
  <c r="AB85" i="30" s="1"/>
  <c r="AA90" i="30"/>
  <c r="AB90" i="30" s="1"/>
  <c r="J98" i="30"/>
  <c r="H98" i="30" s="1"/>
  <c r="I98" i="30" s="1"/>
  <c r="V98" i="30" s="1"/>
  <c r="J105" i="30"/>
  <c r="H105" i="30" s="1"/>
  <c r="I105" i="30" s="1"/>
  <c r="J113" i="30"/>
  <c r="H113" i="30" s="1"/>
  <c r="I113" i="30" s="1"/>
  <c r="V113" i="30" s="1"/>
  <c r="J116" i="30"/>
  <c r="H116" i="30" s="1"/>
  <c r="I116" i="30" s="1"/>
  <c r="V116" i="30" s="1"/>
  <c r="J123" i="30"/>
  <c r="H123" i="30" s="1"/>
  <c r="I123" i="30" s="1"/>
  <c r="J131" i="30"/>
  <c r="H131" i="30" s="1"/>
  <c r="I131" i="30" s="1"/>
  <c r="V131" i="30" s="1"/>
  <c r="J134" i="30"/>
  <c r="H134" i="30" s="1"/>
  <c r="I134" i="30" s="1"/>
  <c r="J141" i="30"/>
  <c r="H141" i="30" s="1"/>
  <c r="I141" i="30" s="1"/>
  <c r="J149" i="30"/>
  <c r="H149" i="30" s="1"/>
  <c r="I149" i="30" s="1"/>
  <c r="V149" i="30" s="1"/>
  <c r="J152" i="30"/>
  <c r="H152" i="30" s="1"/>
  <c r="I152" i="30" s="1"/>
  <c r="V152" i="30" s="1"/>
  <c r="J159" i="30"/>
  <c r="H159" i="30" s="1"/>
  <c r="I159" i="30" s="1"/>
  <c r="V159" i="30" s="1"/>
  <c r="J167" i="30"/>
  <c r="H167" i="30" s="1"/>
  <c r="I167" i="30" s="1"/>
  <c r="V167" i="30" s="1"/>
  <c r="J170" i="30"/>
  <c r="H170" i="30" s="1"/>
  <c r="I170" i="30" s="1"/>
  <c r="J177" i="30"/>
  <c r="H177" i="30" s="1"/>
  <c r="I177" i="30" s="1"/>
  <c r="V177" i="30" s="1"/>
  <c r="J185" i="30"/>
  <c r="H185" i="30" s="1"/>
  <c r="I185" i="30" s="1"/>
  <c r="J188" i="30"/>
  <c r="H188" i="30" s="1"/>
  <c r="I188" i="30" s="1"/>
  <c r="J195" i="30"/>
  <c r="H195" i="30" s="1"/>
  <c r="I195" i="30" s="1"/>
  <c r="V195" i="30" s="1"/>
  <c r="X201" i="30"/>
  <c r="AA201" i="30"/>
  <c r="AB201" i="30" s="1"/>
  <c r="J212" i="30"/>
  <c r="H212" i="30" s="1"/>
  <c r="I212" i="30" s="1"/>
  <c r="X219" i="30"/>
  <c r="AA219" i="30"/>
  <c r="AB219" i="30" s="1"/>
  <c r="X237" i="30"/>
  <c r="AA237" i="30"/>
  <c r="AB237" i="30" s="1"/>
  <c r="J248" i="30"/>
  <c r="H248" i="30" s="1"/>
  <c r="I248" i="30" s="1"/>
  <c r="J250" i="30"/>
  <c r="H250" i="30" s="1"/>
  <c r="I250" i="30" s="1"/>
  <c r="V250" i="30" s="1"/>
  <c r="J258" i="30"/>
  <c r="H258" i="30" s="1"/>
  <c r="I258" i="30" s="1"/>
  <c r="V258" i="30" s="1"/>
  <c r="J266" i="30"/>
  <c r="H266" i="30" s="1"/>
  <c r="I266" i="30" s="1"/>
  <c r="V266" i="30" s="1"/>
  <c r="J284" i="30"/>
  <c r="H284" i="30" s="1"/>
  <c r="I284" i="30" s="1"/>
  <c r="V284" i="30" s="1"/>
  <c r="X101" i="30"/>
  <c r="X119" i="30"/>
  <c r="X137" i="30"/>
  <c r="X155" i="30"/>
  <c r="X173" i="30"/>
  <c r="AA182" i="30"/>
  <c r="AB182" i="30" s="1"/>
  <c r="AA184" i="30"/>
  <c r="AB184" i="30" s="1"/>
  <c r="AA189" i="30"/>
  <c r="AB189" i="30" s="1"/>
  <c r="X191" i="30"/>
  <c r="AA193" i="30"/>
  <c r="AB193" i="30" s="1"/>
  <c r="J197" i="30"/>
  <c r="H197" i="30" s="1"/>
  <c r="I197" i="30" s="1"/>
  <c r="V197" i="30" s="1"/>
  <c r="AA198" i="30"/>
  <c r="AB198" i="30" s="1"/>
  <c r="X199" i="30"/>
  <c r="AA199" i="30"/>
  <c r="AB199" i="30" s="1"/>
  <c r="AA200" i="30"/>
  <c r="AB200" i="30" s="1"/>
  <c r="AA208" i="30"/>
  <c r="AB208" i="30" s="1"/>
  <c r="AA216" i="30"/>
  <c r="AB216" i="30" s="1"/>
  <c r="X217" i="30"/>
  <c r="AA217" i="30"/>
  <c r="AB217" i="30" s="1"/>
  <c r="AA218" i="30"/>
  <c r="AB218" i="30" s="1"/>
  <c r="AA226" i="30"/>
  <c r="AB226" i="30" s="1"/>
  <c r="Z228" i="30"/>
  <c r="AJ37" i="30" s="1"/>
  <c r="AA228" i="30"/>
  <c r="AB228" i="30" s="1"/>
  <c r="J230" i="30"/>
  <c r="H230" i="30" s="1"/>
  <c r="I230" i="30" s="1"/>
  <c r="V230" i="30" s="1"/>
  <c r="Z247" i="30"/>
  <c r="AJ39" i="30" s="1"/>
  <c r="AA247" i="30"/>
  <c r="AB247" i="30" s="1"/>
  <c r="X255" i="30"/>
  <c r="AA255" i="30"/>
  <c r="AB255" i="30" s="1"/>
  <c r="J302" i="30"/>
  <c r="H302" i="30" s="1"/>
  <c r="I302" i="30" s="1"/>
  <c r="J304" i="30"/>
  <c r="H304" i="30" s="1"/>
  <c r="I304" i="30" s="1"/>
  <c r="J194" i="30"/>
  <c r="H194" i="30" s="1"/>
  <c r="I194" i="30" s="1"/>
  <c r="V194" i="30" s="1"/>
  <c r="J214" i="30"/>
  <c r="H214" i="30" s="1"/>
  <c r="I214" i="30" s="1"/>
  <c r="X235" i="30"/>
  <c r="AA235" i="30"/>
  <c r="AB235" i="30" s="1"/>
  <c r="X245" i="30"/>
  <c r="AA245" i="30"/>
  <c r="AB245" i="30" s="1"/>
  <c r="J268" i="30"/>
  <c r="H268" i="30" s="1"/>
  <c r="I268" i="30" s="1"/>
  <c r="V268" i="30" s="1"/>
  <c r="J286" i="30"/>
  <c r="H286" i="30" s="1"/>
  <c r="I286" i="30" s="1"/>
  <c r="V286" i="30" s="1"/>
  <c r="J296" i="30"/>
  <c r="H296" i="30" s="1"/>
  <c r="I296" i="30" s="1"/>
  <c r="V296" i="30" s="1"/>
  <c r="J314" i="30"/>
  <c r="H314" i="30" s="1"/>
  <c r="I314" i="30" s="1"/>
  <c r="AA109" i="30"/>
  <c r="AB109" i="30" s="1"/>
  <c r="AA111" i="30"/>
  <c r="AB111" i="30" s="1"/>
  <c r="AA127" i="30"/>
  <c r="AB127" i="30" s="1"/>
  <c r="AA129" i="30"/>
  <c r="AB129" i="30" s="1"/>
  <c r="AA145" i="30"/>
  <c r="AB145" i="30" s="1"/>
  <c r="AA147" i="30"/>
  <c r="AB147" i="30" s="1"/>
  <c r="AA163" i="30"/>
  <c r="AB163" i="30" s="1"/>
  <c r="AA165" i="30"/>
  <c r="AB165" i="30" s="1"/>
  <c r="AA181" i="30"/>
  <c r="AB181" i="30" s="1"/>
  <c r="AA183" i="30"/>
  <c r="AB183" i="30" s="1"/>
  <c r="J204" i="30"/>
  <c r="H204" i="30" s="1"/>
  <c r="I204" i="30" s="1"/>
  <c r="V204" i="30" s="1"/>
  <c r="J206" i="30"/>
  <c r="H206" i="30" s="1"/>
  <c r="I206" i="30" s="1"/>
  <c r="V206" i="30" s="1"/>
  <c r="AA211" i="30"/>
  <c r="AB211" i="30" s="1"/>
  <c r="J222" i="30"/>
  <c r="H222" i="30" s="1"/>
  <c r="I222" i="30" s="1"/>
  <c r="V222" i="30" s="1"/>
  <c r="J224" i="30"/>
  <c r="H224" i="30" s="1"/>
  <c r="I224" i="30" s="1"/>
  <c r="V224" i="30" s="1"/>
  <c r="J232" i="30"/>
  <c r="H232" i="30" s="1"/>
  <c r="I232" i="30" s="1"/>
  <c r="J233" i="30"/>
  <c r="H233" i="30" s="1"/>
  <c r="I233" i="30" s="1"/>
  <c r="V233" i="30" s="1"/>
  <c r="J240" i="30"/>
  <c r="H240" i="30" s="1"/>
  <c r="I240" i="30" s="1"/>
  <c r="J241" i="30"/>
  <c r="H241" i="30" s="1"/>
  <c r="I241" i="30" s="1"/>
  <c r="J242" i="30"/>
  <c r="H242" i="30" s="1"/>
  <c r="I242" i="30" s="1"/>
  <c r="X253" i="30"/>
  <c r="AA253" i="30"/>
  <c r="AB253" i="30" s="1"/>
  <c r="J275" i="30"/>
  <c r="H275" i="30" s="1"/>
  <c r="I275" i="30" s="1"/>
  <c r="J276" i="30"/>
  <c r="H276" i="30" s="1"/>
  <c r="I276" i="30" s="1"/>
  <c r="J277" i="30"/>
  <c r="H277" i="30" s="1"/>
  <c r="I277" i="30" s="1"/>
  <c r="J293" i="30"/>
  <c r="H293" i="30" s="1"/>
  <c r="I293" i="30" s="1"/>
  <c r="V293" i="30" s="1"/>
  <c r="J294" i="30"/>
  <c r="H294" i="30" s="1"/>
  <c r="I294" i="30" s="1"/>
  <c r="V294" i="30" s="1"/>
  <c r="J311" i="30"/>
  <c r="H311" i="30" s="1"/>
  <c r="I311" i="30" s="1"/>
  <c r="AA234" i="30"/>
  <c r="AB234" i="30" s="1"/>
  <c r="AA246" i="30"/>
  <c r="AB246" i="30" s="1"/>
  <c r="AA252" i="30"/>
  <c r="AB252" i="30" s="1"/>
  <c r="AA264" i="30"/>
  <c r="AB264" i="30" s="1"/>
  <c r="AA270" i="30"/>
  <c r="AB270" i="30" s="1"/>
  <c r="AA282" i="30"/>
  <c r="AB282" i="30" s="1"/>
  <c r="AA288" i="30"/>
  <c r="AB288" i="30" s="1"/>
  <c r="AA310" i="30"/>
  <c r="AB310" i="30" s="1"/>
  <c r="J329" i="30"/>
  <c r="H329" i="30" s="1"/>
  <c r="I329" i="30" s="1"/>
  <c r="V329" i="30" s="1"/>
  <c r="AA263" i="30"/>
  <c r="AB263" i="30" s="1"/>
  <c r="AA271" i="30"/>
  <c r="AB271" i="30" s="1"/>
  <c r="AA273" i="30"/>
  <c r="AB273" i="30" s="1"/>
  <c r="AA281" i="30"/>
  <c r="AB281" i="30" s="1"/>
  <c r="AA289" i="30"/>
  <c r="AB289" i="30" s="1"/>
  <c r="AA291" i="30"/>
  <c r="AB291" i="30" s="1"/>
  <c r="AA298" i="30"/>
  <c r="AB298" i="30" s="1"/>
  <c r="AA307" i="30"/>
  <c r="AB307" i="30" s="1"/>
  <c r="J313" i="30"/>
  <c r="H313" i="30" s="1"/>
  <c r="I313" i="30" s="1"/>
  <c r="AA319" i="30"/>
  <c r="AB319" i="30" s="1"/>
  <c r="J321" i="30"/>
  <c r="H321" i="30" s="1"/>
  <c r="I321" i="30" s="1"/>
  <c r="V321" i="30" s="1"/>
  <c r="J332" i="30"/>
  <c r="H332" i="30" s="1"/>
  <c r="I332" i="30" s="1"/>
  <c r="V332" i="30" s="1"/>
  <c r="J278" i="30"/>
  <c r="H278" i="30" s="1"/>
  <c r="I278" i="30" s="1"/>
  <c r="J312" i="30"/>
  <c r="H312" i="30" s="1"/>
  <c r="I312" i="30" s="1"/>
  <c r="J320" i="30"/>
  <c r="H320" i="30" s="1"/>
  <c r="I320" i="30" s="1"/>
  <c r="V320" i="30" s="1"/>
  <c r="AA265" i="30"/>
  <c r="AB265" i="30" s="1"/>
  <c r="AA283" i="30"/>
  <c r="AB283" i="30" s="1"/>
  <c r="J322" i="30"/>
  <c r="H322" i="30" s="1"/>
  <c r="I322" i="30" s="1"/>
  <c r="J330" i="30"/>
  <c r="H330" i="30" s="1"/>
  <c r="I330" i="30" s="1"/>
  <c r="V330" i="30" s="1"/>
  <c r="J377" i="30"/>
  <c r="H377" i="30" s="1"/>
  <c r="I377" i="30" s="1"/>
  <c r="J395" i="30"/>
  <c r="H395" i="30" s="1"/>
  <c r="I395" i="30" s="1"/>
  <c r="V395" i="30" s="1"/>
  <c r="J413" i="30"/>
  <c r="H413" i="30" s="1"/>
  <c r="I413" i="30" s="1"/>
  <c r="V413" i="30" s="1"/>
  <c r="J437" i="30"/>
  <c r="H437" i="30" s="1"/>
  <c r="I437" i="30" s="1"/>
  <c r="X297" i="30"/>
  <c r="X307" i="30"/>
  <c r="X308" i="30"/>
  <c r="X309" i="30"/>
  <c r="X310" i="30"/>
  <c r="X315" i="30"/>
  <c r="AI47" i="30" s="1"/>
  <c r="X325" i="30"/>
  <c r="X326" i="30"/>
  <c r="X327" i="30"/>
  <c r="X328" i="30"/>
  <c r="X333" i="30"/>
  <c r="J347" i="30"/>
  <c r="H347" i="30" s="1"/>
  <c r="I347" i="30" s="1"/>
  <c r="V347" i="30" s="1"/>
  <c r="J365" i="30"/>
  <c r="H365" i="30" s="1"/>
  <c r="I365" i="30" s="1"/>
  <c r="V365" i="30" s="1"/>
  <c r="AA381" i="30"/>
  <c r="AB381" i="30" s="1"/>
  <c r="J383" i="30"/>
  <c r="H383" i="30" s="1"/>
  <c r="I383" i="30" s="1"/>
  <c r="V383" i="30" s="1"/>
  <c r="AA387" i="30"/>
  <c r="AB387" i="30" s="1"/>
  <c r="AA399" i="30"/>
  <c r="AB399" i="30" s="1"/>
  <c r="J401" i="30"/>
  <c r="H401" i="30" s="1"/>
  <c r="I401" i="30" s="1"/>
  <c r="V401" i="30" s="1"/>
  <c r="AA405" i="30"/>
  <c r="AB405" i="30" s="1"/>
  <c r="AA425" i="30"/>
  <c r="AB425" i="30" s="1"/>
  <c r="AA427" i="30"/>
  <c r="AB427" i="30" s="1"/>
  <c r="AA432" i="30"/>
  <c r="AB432" i="30" s="1"/>
  <c r="AA443" i="30"/>
  <c r="AB443" i="30" s="1"/>
  <c r="J447" i="30"/>
  <c r="H447" i="30" s="1"/>
  <c r="I447" i="30" s="1"/>
  <c r="V447" i="30" s="1"/>
  <c r="J449" i="30"/>
  <c r="H449" i="30" s="1"/>
  <c r="I449" i="30" s="1"/>
  <c r="V449" i="30" s="1"/>
  <c r="J456" i="30"/>
  <c r="H456" i="30" s="1"/>
  <c r="I456" i="30" s="1"/>
  <c r="V456" i="30" s="1"/>
  <c r="J466" i="30"/>
  <c r="H466" i="30" s="1"/>
  <c r="I466" i="30" s="1"/>
  <c r="J467" i="30"/>
  <c r="H467" i="30" s="1"/>
  <c r="I467" i="30" s="1"/>
  <c r="V467" i="30" s="1"/>
  <c r="J473" i="30"/>
  <c r="H473" i="30" s="1"/>
  <c r="I473" i="30" s="1"/>
  <c r="V473" i="30" s="1"/>
  <c r="J475" i="30"/>
  <c r="H475" i="30" s="1"/>
  <c r="I475" i="30" s="1"/>
  <c r="J484" i="30"/>
  <c r="H484" i="30" s="1"/>
  <c r="I484" i="30" s="1"/>
  <c r="V484" i="30" s="1"/>
  <c r="J485" i="30"/>
  <c r="H485" i="30" s="1"/>
  <c r="I485" i="30" s="1"/>
  <c r="V485" i="30" s="1"/>
  <c r="J493" i="30"/>
  <c r="H493" i="30" s="1"/>
  <c r="I493" i="30" s="1"/>
  <c r="J339" i="30"/>
  <c r="H339" i="30" s="1"/>
  <c r="I339" i="30" s="1"/>
  <c r="V339" i="30" s="1"/>
  <c r="AA344" i="30"/>
  <c r="AB344" i="30" s="1"/>
  <c r="J349" i="30"/>
  <c r="H349" i="30" s="1"/>
  <c r="I349" i="30" s="1"/>
  <c r="V349" i="30" s="1"/>
  <c r="AA352" i="30"/>
  <c r="AB352" i="30" s="1"/>
  <c r="AA354" i="30"/>
  <c r="AB354" i="30" s="1"/>
  <c r="J357" i="30"/>
  <c r="H357" i="30" s="1"/>
  <c r="I357" i="30" s="1"/>
  <c r="V357" i="30" s="1"/>
  <c r="AA362" i="30"/>
  <c r="AB362" i="30" s="1"/>
  <c r="J367" i="30"/>
  <c r="H367" i="30" s="1"/>
  <c r="I367" i="30" s="1"/>
  <c r="AA370" i="30"/>
  <c r="AB370" i="30" s="1"/>
  <c r="AA372" i="30"/>
  <c r="AB372" i="30" s="1"/>
  <c r="J375" i="30"/>
  <c r="H375" i="30" s="1"/>
  <c r="I375" i="30" s="1"/>
  <c r="J385" i="30"/>
  <c r="H385" i="30" s="1"/>
  <c r="I385" i="30" s="1"/>
  <c r="J393" i="30"/>
  <c r="H393" i="30" s="1"/>
  <c r="I393" i="30" s="1"/>
  <c r="V393" i="30" s="1"/>
  <c r="J403" i="30"/>
  <c r="H403" i="30" s="1"/>
  <c r="I403" i="30" s="1"/>
  <c r="J411" i="30"/>
  <c r="H411" i="30" s="1"/>
  <c r="I411" i="30" s="1"/>
  <c r="V411" i="30" s="1"/>
  <c r="J439" i="30"/>
  <c r="H439" i="30" s="1"/>
  <c r="I439" i="30" s="1"/>
  <c r="Z453" i="30"/>
  <c r="AJ62" i="30" s="1"/>
  <c r="AA453" i="30"/>
  <c r="AB453" i="30" s="1"/>
  <c r="J455" i="30"/>
  <c r="H455" i="30" s="1"/>
  <c r="I455" i="30" s="1"/>
  <c r="V455" i="30" s="1"/>
  <c r="Z459" i="30"/>
  <c r="AJ63" i="30" s="1"/>
  <c r="AA459" i="30"/>
  <c r="AB459" i="30" s="1"/>
  <c r="J483" i="30"/>
  <c r="H483" i="30" s="1"/>
  <c r="I483" i="30" s="1"/>
  <c r="V483" i="30" s="1"/>
  <c r="J341" i="30"/>
  <c r="H341" i="30" s="1"/>
  <c r="I341" i="30" s="1"/>
  <c r="J359" i="30"/>
  <c r="H359" i="30" s="1"/>
  <c r="I359" i="30" s="1"/>
  <c r="AA379" i="30"/>
  <c r="AB379" i="30" s="1"/>
  <c r="AA397" i="30"/>
  <c r="AB397" i="30" s="1"/>
  <c r="X451" i="30"/>
  <c r="AA451" i="30"/>
  <c r="AB451" i="30" s="1"/>
  <c r="J465" i="30"/>
  <c r="H465" i="30" s="1"/>
  <c r="I465" i="30" s="1"/>
  <c r="AA342" i="30"/>
  <c r="AB342" i="30" s="1"/>
  <c r="AA353" i="30"/>
  <c r="AB353" i="30" s="1"/>
  <c r="AA355" i="30"/>
  <c r="AB355" i="30" s="1"/>
  <c r="AA360" i="30"/>
  <c r="AB360" i="30" s="1"/>
  <c r="AA371" i="30"/>
  <c r="AB371" i="30" s="1"/>
  <c r="AA373" i="30"/>
  <c r="AB373" i="30" s="1"/>
  <c r="AA378" i="30"/>
  <c r="AB378" i="30" s="1"/>
  <c r="AA389" i="30"/>
  <c r="AB389" i="30" s="1"/>
  <c r="AA391" i="30"/>
  <c r="AB391" i="30" s="1"/>
  <c r="AA396" i="30"/>
  <c r="AB396" i="30" s="1"/>
  <c r="AA407" i="30"/>
  <c r="AB407" i="30" s="1"/>
  <c r="AA409" i="30"/>
  <c r="AB409" i="30" s="1"/>
  <c r="AA415" i="30"/>
  <c r="AB415" i="30" s="1"/>
  <c r="AA417" i="30"/>
  <c r="AB417" i="30" s="1"/>
  <c r="J419" i="30"/>
  <c r="H419" i="30" s="1"/>
  <c r="I419" i="30" s="1"/>
  <c r="V419" i="30" s="1"/>
  <c r="J422" i="30"/>
  <c r="H422" i="30" s="1"/>
  <c r="I422" i="30" s="1"/>
  <c r="V422" i="30" s="1"/>
  <c r="AA423" i="30"/>
  <c r="AB423" i="30" s="1"/>
  <c r="J428" i="30"/>
  <c r="H428" i="30" s="1"/>
  <c r="I428" i="30" s="1"/>
  <c r="V428" i="30" s="1"/>
  <c r="J429" i="30"/>
  <c r="H429" i="30" s="1"/>
  <c r="I429" i="30" s="1"/>
  <c r="V429" i="30" s="1"/>
  <c r="J438" i="30"/>
  <c r="H438" i="30" s="1"/>
  <c r="I438" i="30" s="1"/>
  <c r="Z442" i="30"/>
  <c r="AJ61" i="30" s="1"/>
  <c r="J457" i="30"/>
  <c r="H457" i="30" s="1"/>
  <c r="I457" i="30" s="1"/>
  <c r="V457" i="30" s="1"/>
  <c r="J464" i="30"/>
  <c r="H464" i="30" s="1"/>
  <c r="I464" i="30" s="1"/>
  <c r="J494" i="30"/>
  <c r="H494" i="30" s="1"/>
  <c r="I494" i="30" s="1"/>
  <c r="AA452" i="30"/>
  <c r="AB452" i="30" s="1"/>
  <c r="AA460" i="30"/>
  <c r="AB460" i="30" s="1"/>
  <c r="AA462" i="30"/>
  <c r="AB462" i="30" s="1"/>
  <c r="AA470" i="30"/>
  <c r="AB470" i="30" s="1"/>
  <c r="AA478" i="30"/>
  <c r="AB478" i="30" s="1"/>
  <c r="AA480" i="30"/>
  <c r="AB480" i="30" s="1"/>
  <c r="AA488" i="30"/>
  <c r="AB488" i="30" s="1"/>
  <c r="X490" i="30"/>
  <c r="AA506" i="30"/>
  <c r="AB506" i="30" s="1"/>
  <c r="Z513" i="30"/>
  <c r="AJ69" i="30" s="1"/>
  <c r="AA513" i="30"/>
  <c r="AB513" i="30" s="1"/>
  <c r="X514" i="30"/>
  <c r="AA514" i="30"/>
  <c r="AB514" i="30" s="1"/>
  <c r="J530" i="30"/>
  <c r="H530" i="30" s="1"/>
  <c r="I530" i="30" s="1"/>
  <c r="V530" i="30" s="1"/>
  <c r="AA531" i="30"/>
  <c r="AB531" i="30" s="1"/>
  <c r="X534" i="30"/>
  <c r="AA534" i="30"/>
  <c r="AB534" i="30" s="1"/>
  <c r="AA469" i="30"/>
  <c r="AB469" i="30" s="1"/>
  <c r="J500" i="30"/>
  <c r="H500" i="30" s="1"/>
  <c r="I500" i="30" s="1"/>
  <c r="AA504" i="30"/>
  <c r="AB504" i="30" s="1"/>
  <c r="J511" i="30"/>
  <c r="H511" i="30" s="1"/>
  <c r="I511" i="30" s="1"/>
  <c r="J519" i="30"/>
  <c r="H519" i="30" s="1"/>
  <c r="I519" i="30" s="1"/>
  <c r="V519" i="30" s="1"/>
  <c r="AA523" i="30"/>
  <c r="AB523" i="30" s="1"/>
  <c r="Z525" i="30"/>
  <c r="AJ70" i="30" s="1"/>
  <c r="AA525" i="30"/>
  <c r="AB525" i="30" s="1"/>
  <c r="J527" i="30"/>
  <c r="H527" i="30" s="1"/>
  <c r="I527" i="30" s="1"/>
  <c r="J538" i="30"/>
  <c r="H538" i="30" s="1"/>
  <c r="I538" i="30" s="1"/>
  <c r="J547" i="30"/>
  <c r="H547" i="30" s="1"/>
  <c r="I547" i="30" s="1"/>
  <c r="Z586" i="30"/>
  <c r="AJ77" i="30" s="1"/>
  <c r="AA586" i="30"/>
  <c r="AB586" i="30" s="1"/>
  <c r="X588" i="30"/>
  <c r="AI77" i="30" s="1"/>
  <c r="AA588" i="30"/>
  <c r="AB588" i="30" s="1"/>
  <c r="AA479" i="30"/>
  <c r="AB479" i="30" s="1"/>
  <c r="AA481" i="30"/>
  <c r="AB481" i="30" s="1"/>
  <c r="AA486" i="30"/>
  <c r="AB486" i="30" s="1"/>
  <c r="AA497" i="30"/>
  <c r="AB497" i="30" s="1"/>
  <c r="AA499" i="30"/>
  <c r="AB499" i="30" s="1"/>
  <c r="J501" i="30"/>
  <c r="H501" i="30" s="1"/>
  <c r="I501" i="30" s="1"/>
  <c r="J502" i="30"/>
  <c r="H502" i="30" s="1"/>
  <c r="I502" i="30" s="1"/>
  <c r="J512" i="30"/>
  <c r="H512" i="30" s="1"/>
  <c r="I512" i="30" s="1"/>
  <c r="V512" i="30" s="1"/>
  <c r="X516" i="30"/>
  <c r="AA516" i="30"/>
  <c r="AB516" i="30" s="1"/>
  <c r="J520" i="30"/>
  <c r="H520" i="30" s="1"/>
  <c r="I520" i="30" s="1"/>
  <c r="V520" i="30" s="1"/>
  <c r="X532" i="30"/>
  <c r="AA532" i="30"/>
  <c r="AB532" i="30" s="1"/>
  <c r="J574" i="30"/>
  <c r="H574" i="30" s="1"/>
  <c r="I574" i="30" s="1"/>
  <c r="AA471" i="30"/>
  <c r="AB471" i="30" s="1"/>
  <c r="AA477" i="30"/>
  <c r="AB477" i="30" s="1"/>
  <c r="J491" i="30"/>
  <c r="H491" i="30" s="1"/>
  <c r="I491" i="30" s="1"/>
  <c r="V491" i="30" s="1"/>
  <c r="J509" i="30"/>
  <c r="H509" i="30" s="1"/>
  <c r="I509" i="30" s="1"/>
  <c r="J529" i="30"/>
  <c r="H529" i="30" s="1"/>
  <c r="I529" i="30" s="1"/>
  <c r="J537" i="30"/>
  <c r="H537" i="30" s="1"/>
  <c r="I537" i="30" s="1"/>
  <c r="X558" i="30"/>
  <c r="AI74" i="30" s="1"/>
  <c r="AA558" i="30"/>
  <c r="AB558" i="30" s="1"/>
  <c r="X552" i="30"/>
  <c r="J557" i="30"/>
  <c r="H557" i="30" s="1"/>
  <c r="I557" i="30" s="1"/>
  <c r="V557" i="30" s="1"/>
  <c r="J566" i="30"/>
  <c r="H566" i="30" s="1"/>
  <c r="I566" i="30" s="1"/>
  <c r="X594" i="30"/>
  <c r="AA594" i="30"/>
  <c r="AB594" i="30" s="1"/>
  <c r="X604" i="30"/>
  <c r="AA604" i="30"/>
  <c r="AB604" i="30" s="1"/>
  <c r="AA542" i="30"/>
  <c r="AB542" i="30" s="1"/>
  <c r="AA544" i="30"/>
  <c r="AB544" i="30" s="1"/>
  <c r="J546" i="30"/>
  <c r="H546" i="30" s="1"/>
  <c r="I546" i="30" s="1"/>
  <c r="V546" i="30" s="1"/>
  <c r="AA553" i="30"/>
  <c r="AB553" i="30" s="1"/>
  <c r="AK73" i="30" s="1"/>
  <c r="X576" i="30"/>
  <c r="AA576" i="30"/>
  <c r="AB576" i="30" s="1"/>
  <c r="J583" i="30"/>
  <c r="H583" i="30" s="1"/>
  <c r="I583" i="30" s="1"/>
  <c r="Z568" i="30"/>
  <c r="AJ75" i="30" s="1"/>
  <c r="AA568" i="30"/>
  <c r="AB568" i="30" s="1"/>
  <c r="X570" i="30"/>
  <c r="AI75" i="30" s="1"/>
  <c r="AA570" i="30"/>
  <c r="AB570" i="30" s="1"/>
  <c r="J584" i="30"/>
  <c r="H584" i="30" s="1"/>
  <c r="I584" i="30" s="1"/>
  <c r="J592" i="30"/>
  <c r="H592" i="30" s="1"/>
  <c r="I592" i="30" s="1"/>
  <c r="J599" i="30"/>
  <c r="H599" i="30" s="1"/>
  <c r="I599" i="30" s="1"/>
  <c r="J600" i="30"/>
  <c r="H600" i="30" s="1"/>
  <c r="I600" i="30" s="1"/>
  <c r="V600" i="30" s="1"/>
  <c r="J602" i="30"/>
  <c r="H602" i="30" s="1"/>
  <c r="I602" i="30" s="1"/>
  <c r="V602" i="30" s="1"/>
  <c r="J554" i="30"/>
  <c r="H554" i="30" s="1"/>
  <c r="I554" i="30" s="1"/>
  <c r="V554" i="30" s="1"/>
  <c r="J572" i="30"/>
  <c r="H572" i="30" s="1"/>
  <c r="I572" i="30" s="1"/>
  <c r="J590" i="30"/>
  <c r="H590" i="30" s="1"/>
  <c r="I590" i="30" s="1"/>
  <c r="V590" i="30" s="1"/>
  <c r="AA598" i="30"/>
  <c r="AB598" i="30" s="1"/>
  <c r="J608" i="30"/>
  <c r="H608" i="30" s="1"/>
  <c r="I608" i="30" s="1"/>
  <c r="V608" i="30" s="1"/>
  <c r="J628" i="30"/>
  <c r="H628" i="30" s="1"/>
  <c r="I628" i="30" s="1"/>
  <c r="V628" i="30" s="1"/>
  <c r="J610" i="30"/>
  <c r="H610" i="30" s="1"/>
  <c r="I610" i="30" s="1"/>
  <c r="AA560" i="30"/>
  <c r="AB560" i="30" s="1"/>
  <c r="AA562" i="30"/>
  <c r="AB562" i="30" s="1"/>
  <c r="AA567" i="30"/>
  <c r="AB567" i="30" s="1"/>
  <c r="AA578" i="30"/>
  <c r="AB578" i="30" s="1"/>
  <c r="AA580" i="30"/>
  <c r="AB580" i="30" s="1"/>
  <c r="AA585" i="30"/>
  <c r="AB585" i="30" s="1"/>
  <c r="AA596" i="30"/>
  <c r="AB596" i="30" s="1"/>
  <c r="AA603" i="30"/>
  <c r="AB603" i="30" s="1"/>
  <c r="X598" i="30"/>
  <c r="X603" i="30"/>
  <c r="J627" i="30"/>
  <c r="H627" i="30" s="1"/>
  <c r="I627" i="30" s="1"/>
  <c r="V627" i="30" s="1"/>
  <c r="J644" i="30"/>
  <c r="H644" i="30" s="1"/>
  <c r="I644" i="30" s="1"/>
  <c r="V644" i="30" s="1"/>
  <c r="J672" i="30"/>
  <c r="H672" i="30" s="1"/>
  <c r="I672" i="30" s="1"/>
  <c r="V672" i="30" s="1"/>
  <c r="J680" i="30"/>
  <c r="H680" i="30" s="1"/>
  <c r="I680" i="30" s="1"/>
  <c r="V680" i="30" s="1"/>
  <c r="X693" i="30"/>
  <c r="AA693" i="30"/>
  <c r="AB693" i="30" s="1"/>
  <c r="Z695" i="30"/>
  <c r="AJ89" i="30" s="1"/>
  <c r="AA695" i="30"/>
  <c r="AB695" i="30" s="1"/>
  <c r="J701" i="30"/>
  <c r="H701" i="30" s="1"/>
  <c r="I701" i="30" s="1"/>
  <c r="V701" i="30" s="1"/>
  <c r="J611" i="30"/>
  <c r="H611" i="30" s="1"/>
  <c r="I611" i="30" s="1"/>
  <c r="V611" i="30" s="1"/>
  <c r="J617" i="30"/>
  <c r="H617" i="30" s="1"/>
  <c r="I617" i="30" s="1"/>
  <c r="V617" i="30" s="1"/>
  <c r="J619" i="30"/>
  <c r="H619" i="30" s="1"/>
  <c r="I619" i="30" s="1"/>
  <c r="AA625" i="30"/>
  <c r="AB625" i="30" s="1"/>
  <c r="Z643" i="30"/>
  <c r="AA643" i="30"/>
  <c r="AB643" i="30" s="1"/>
  <c r="X686" i="30"/>
  <c r="AA686" i="30"/>
  <c r="AB686" i="30" s="1"/>
  <c r="J626" i="30"/>
  <c r="H626" i="30" s="1"/>
  <c r="I626" i="30" s="1"/>
  <c r="V626" i="30" s="1"/>
  <c r="AA630" i="30"/>
  <c r="AB630" i="30" s="1"/>
  <c r="J637" i="30"/>
  <c r="H637" i="30" s="1"/>
  <c r="I637" i="30" s="1"/>
  <c r="V637" i="30" s="1"/>
  <c r="Z639" i="30"/>
  <c r="X642" i="30"/>
  <c r="AI83" i="30" s="1"/>
  <c r="X649" i="30"/>
  <c r="AI84" i="30" s="1"/>
  <c r="AA649" i="30"/>
  <c r="AB649" i="30" s="1"/>
  <c r="Z721" i="30"/>
  <c r="AJ92" i="30" s="1"/>
  <c r="AA721" i="30"/>
  <c r="AB721" i="30" s="1"/>
  <c r="AA631" i="30"/>
  <c r="AB631" i="30" s="1"/>
  <c r="AA633" i="30"/>
  <c r="AB633" i="30" s="1"/>
  <c r="J638" i="30"/>
  <c r="H638" i="30" s="1"/>
  <c r="I638" i="30" s="1"/>
  <c r="V638" i="30" s="1"/>
  <c r="AA661" i="30"/>
  <c r="AB661" i="30" s="1"/>
  <c r="X661" i="30"/>
  <c r="X696" i="30"/>
  <c r="AA696" i="30"/>
  <c r="AB696" i="30" s="1"/>
  <c r="AA720" i="30"/>
  <c r="AB720" i="30" s="1"/>
  <c r="X720" i="30"/>
  <c r="AI92" i="30" s="1"/>
  <c r="J646" i="30"/>
  <c r="H646" i="30" s="1"/>
  <c r="I646" i="30" s="1"/>
  <c r="J654" i="30"/>
  <c r="H654" i="30" s="1"/>
  <c r="I654" i="30" s="1"/>
  <c r="V654" i="30" s="1"/>
  <c r="X668" i="30"/>
  <c r="AA668" i="30"/>
  <c r="AB668" i="30" s="1"/>
  <c r="J673" i="30"/>
  <c r="H673" i="30" s="1"/>
  <c r="I673" i="30" s="1"/>
  <c r="X675" i="30"/>
  <c r="AA675" i="30"/>
  <c r="AB675" i="30" s="1"/>
  <c r="J683" i="30"/>
  <c r="H683" i="30" s="1"/>
  <c r="I683" i="30" s="1"/>
  <c r="V683" i="30" s="1"/>
  <c r="J692" i="30"/>
  <c r="H692" i="30" s="1"/>
  <c r="I692" i="30" s="1"/>
  <c r="V692" i="30" s="1"/>
  <c r="X706" i="30"/>
  <c r="AA706" i="30"/>
  <c r="AB706" i="30" s="1"/>
  <c r="J708" i="30"/>
  <c r="H708" i="30" s="1"/>
  <c r="I708" i="30" s="1"/>
  <c r="V708" i="30" s="1"/>
  <c r="J656" i="30"/>
  <c r="H656" i="30" s="1"/>
  <c r="I656" i="30" s="1"/>
  <c r="J662" i="30"/>
  <c r="H662" i="30" s="1"/>
  <c r="I662" i="30" s="1"/>
  <c r="X670" i="30"/>
  <c r="AA670" i="30"/>
  <c r="AB670" i="30" s="1"/>
  <c r="J671" i="30"/>
  <c r="H671" i="30" s="1"/>
  <c r="I671" i="30" s="1"/>
  <c r="V671" i="30" s="1"/>
  <c r="AA678" i="30"/>
  <c r="AB678" i="30" s="1"/>
  <c r="J681" i="30"/>
  <c r="H681" i="30" s="1"/>
  <c r="I681" i="30" s="1"/>
  <c r="V681" i="30" s="1"/>
  <c r="AA694" i="30"/>
  <c r="AB694" i="30" s="1"/>
  <c r="AA702" i="30"/>
  <c r="AB702" i="30" s="1"/>
  <c r="X704" i="30"/>
  <c r="AA704" i="30"/>
  <c r="AB704" i="30" s="1"/>
  <c r="X712" i="30"/>
  <c r="AI91" i="30" s="1"/>
  <c r="AA712" i="30"/>
  <c r="AB712" i="30" s="1"/>
  <c r="J737" i="30"/>
  <c r="H737" i="30" s="1"/>
  <c r="I737" i="30" s="1"/>
  <c r="X739" i="30"/>
  <c r="AA739" i="30"/>
  <c r="AB739" i="30" s="1"/>
  <c r="J655" i="30"/>
  <c r="H655" i="30" s="1"/>
  <c r="I655" i="30" s="1"/>
  <c r="X657" i="30"/>
  <c r="AA657" i="30"/>
  <c r="AB657" i="30" s="1"/>
  <c r="J665" i="30"/>
  <c r="H665" i="30" s="1"/>
  <c r="I665" i="30" s="1"/>
  <c r="J674" i="30"/>
  <c r="H674" i="30" s="1"/>
  <c r="I674" i="30" s="1"/>
  <c r="V674" i="30" s="1"/>
  <c r="X679" i="30"/>
  <c r="X688" i="30"/>
  <c r="AA688" i="30"/>
  <c r="AB688" i="30" s="1"/>
  <c r="J689" i="30"/>
  <c r="H689" i="30" s="1"/>
  <c r="I689" i="30" s="1"/>
  <c r="J690" i="30"/>
  <c r="H690" i="30" s="1"/>
  <c r="I690" i="30" s="1"/>
  <c r="V690" i="30" s="1"/>
  <c r="J699" i="30"/>
  <c r="H699" i="30" s="1"/>
  <c r="I699" i="30" s="1"/>
  <c r="V699" i="30" s="1"/>
  <c r="J700" i="30"/>
  <c r="H700" i="30" s="1"/>
  <c r="I700" i="30" s="1"/>
  <c r="J710" i="30"/>
  <c r="H710" i="30" s="1"/>
  <c r="I710" i="30" s="1"/>
  <c r="V710" i="30" s="1"/>
  <c r="J718" i="30"/>
  <c r="H718" i="30" s="1"/>
  <c r="I718" i="30" s="1"/>
  <c r="V718" i="30" s="1"/>
  <c r="J725" i="30"/>
  <c r="H725" i="30" s="1"/>
  <c r="I725" i="30" s="1"/>
  <c r="V725" i="30" s="1"/>
  <c r="J734" i="30"/>
  <c r="H734" i="30" s="1"/>
  <c r="I734" i="30" s="1"/>
  <c r="V734" i="30" s="1"/>
  <c r="AA650" i="30"/>
  <c r="AB650" i="30" s="1"/>
  <c r="AA651" i="30"/>
  <c r="AB651" i="30" s="1"/>
  <c r="AA652" i="30"/>
  <c r="AB652" i="30" s="1"/>
  <c r="AA714" i="30"/>
  <c r="AB714" i="30" s="1"/>
  <c r="J716" i="30"/>
  <c r="H716" i="30" s="1"/>
  <c r="I716" i="30" s="1"/>
  <c r="V716" i="30" s="1"/>
  <c r="J717" i="30"/>
  <c r="H717" i="30" s="1"/>
  <c r="I717" i="30" s="1"/>
  <c r="V717" i="30" s="1"/>
  <c r="AA729" i="30"/>
  <c r="AB729" i="30" s="1"/>
  <c r="X730" i="30"/>
  <c r="AA730" i="30"/>
  <c r="AB730" i="30" s="1"/>
  <c r="X741" i="30"/>
  <c r="AA741" i="30"/>
  <c r="AB741" i="30" s="1"/>
  <c r="J735" i="30"/>
  <c r="H735" i="30" s="1"/>
  <c r="I735" i="30" s="1"/>
  <c r="V735" i="30" s="1"/>
  <c r="X742" i="30"/>
  <c r="AA742" i="30"/>
  <c r="AB742" i="30" s="1"/>
  <c r="J728" i="30"/>
  <c r="H728" i="30" s="1"/>
  <c r="I728" i="30" s="1"/>
  <c r="V728" i="30" s="1"/>
  <c r="AA732" i="30"/>
  <c r="AB732" i="30" s="1"/>
  <c r="X732" i="30"/>
  <c r="AA738" i="30"/>
  <c r="AB738" i="30" s="1"/>
  <c r="X740" i="30"/>
  <c r="AA740" i="30"/>
  <c r="AB740" i="30" s="1"/>
  <c r="AG49" i="30" l="1"/>
  <c r="AG55" i="30"/>
  <c r="V78" i="30"/>
  <c r="AH21" i="30" s="1"/>
  <c r="V618" i="30"/>
  <c r="V620" i="30"/>
  <c r="V464" i="30"/>
  <c r="V338" i="30"/>
  <c r="V213" i="30"/>
  <c r="V106" i="30"/>
  <c r="V232" i="30"/>
  <c r="AH38" i="30" s="1"/>
  <c r="AL38" i="30" s="1"/>
  <c r="E26" i="37" s="1"/>
  <c r="V160" i="30"/>
  <c r="V170" i="30"/>
  <c r="V240" i="30"/>
  <c r="V509" i="30"/>
  <c r="V726" i="30"/>
  <c r="V123" i="30"/>
  <c r="V737" i="30"/>
  <c r="V500" i="30"/>
  <c r="V124" i="30"/>
  <c r="V665" i="30"/>
  <c r="V107" i="30"/>
  <c r="V150" i="30"/>
  <c r="V573" i="30"/>
  <c r="V412" i="30"/>
  <c r="V312" i="30"/>
  <c r="V32" i="30"/>
  <c r="V547" i="30"/>
  <c r="V610" i="30"/>
  <c r="AH80" i="30" s="1"/>
  <c r="AL80" i="30" s="1"/>
  <c r="E68" i="37" s="1"/>
  <c r="V582" i="30"/>
  <c r="V574" i="30"/>
  <c r="V439" i="30"/>
  <c r="V97" i="30"/>
  <c r="V575" i="30"/>
  <c r="V302" i="30"/>
  <c r="V185" i="30"/>
  <c r="V115" i="30"/>
  <c r="AH25" i="30" s="1"/>
  <c r="AL25" i="30" s="1"/>
  <c r="E13" i="37" s="1"/>
  <c r="V592" i="30"/>
  <c r="V437" i="30"/>
  <c r="V205" i="30"/>
  <c r="V134" i="30"/>
  <c r="AI60" i="30"/>
  <c r="V168" i="30"/>
  <c r="V646" i="30"/>
  <c r="V96" i="30"/>
  <c r="V359" i="30"/>
  <c r="V52" i="30"/>
  <c r="V314" i="30"/>
  <c r="AH47" i="30" s="1"/>
  <c r="V584" i="30"/>
  <c r="V95" i="30"/>
  <c r="V313" i="30"/>
  <c r="V186" i="30"/>
  <c r="V565" i="30"/>
  <c r="V440" i="30"/>
  <c r="V278" i="30"/>
  <c r="V188" i="30"/>
  <c r="AI42" i="30"/>
  <c r="V242" i="30"/>
  <c r="V645" i="30"/>
  <c r="V260" i="30"/>
  <c r="V736" i="30"/>
  <c r="V51" i="30"/>
  <c r="V33" i="30"/>
  <c r="V53" i="30"/>
  <c r="V277" i="30"/>
  <c r="V682" i="30"/>
  <c r="V275" i="30"/>
  <c r="V430" i="30"/>
  <c r="AH60" i="30" s="1"/>
  <c r="V267" i="30"/>
  <c r="AH42" i="30" s="1"/>
  <c r="V133" i="30"/>
  <c r="V629" i="30"/>
  <c r="AH82" i="30" s="1"/>
  <c r="V556" i="30"/>
  <c r="V331" i="30"/>
  <c r="AH49" i="30" s="1"/>
  <c r="AL49" i="30" s="1"/>
  <c r="E37" i="37" s="1"/>
  <c r="V178" i="30"/>
  <c r="V673" i="30"/>
  <c r="AH87" i="30" s="1"/>
  <c r="AL87" i="30" s="1"/>
  <c r="E75" i="37" s="1"/>
  <c r="V527" i="30"/>
  <c r="V438" i="30"/>
  <c r="V375" i="30"/>
  <c r="V583" i="30"/>
  <c r="V503" i="30"/>
  <c r="V259" i="30"/>
  <c r="V367" i="30"/>
  <c r="V215" i="30"/>
  <c r="V501" i="30"/>
  <c r="V169" i="30"/>
  <c r="V566" i="30"/>
  <c r="V538" i="30"/>
  <c r="V376" i="30"/>
  <c r="V719" i="30"/>
  <c r="V140" i="30"/>
  <c r="V601" i="30"/>
  <c r="V466" i="30"/>
  <c r="V304" i="30"/>
  <c r="V143" i="30"/>
  <c r="V572" i="30"/>
  <c r="V212" i="30"/>
  <c r="V599" i="30"/>
  <c r="V448" i="30"/>
  <c r="V322" i="30"/>
  <c r="AH48" i="30" s="1"/>
  <c r="V196" i="30"/>
  <c r="AH34" i="30" s="1"/>
  <c r="V656" i="30"/>
  <c r="V311" i="30"/>
  <c r="V536" i="30"/>
  <c r="AH72" i="30" s="1"/>
  <c r="V700" i="30"/>
  <c r="V502" i="30"/>
  <c r="V403" i="30"/>
  <c r="V142" i="30"/>
  <c r="V248" i="30"/>
  <c r="AH40" i="30" s="1"/>
  <c r="AL40" i="30" s="1"/>
  <c r="E28" i="37" s="1"/>
  <c r="V655" i="30"/>
  <c r="AH85" i="30" s="1"/>
  <c r="V493" i="30"/>
  <c r="V340" i="30"/>
  <c r="V187" i="30"/>
  <c r="V619" i="30"/>
  <c r="AH81" i="30" s="1"/>
  <c r="V269" i="30"/>
  <c r="V663" i="30"/>
  <c r="V511" i="30"/>
  <c r="V475" i="30"/>
  <c r="AH65" i="30" s="1"/>
  <c r="V348" i="30"/>
  <c r="V223" i="30"/>
  <c r="AH37" i="30" s="1"/>
  <c r="AL37" i="30" s="1"/>
  <c r="E25" i="37" s="1"/>
  <c r="V105" i="30"/>
  <c r="AH24" i="30" s="1"/>
  <c r="V368" i="30"/>
  <c r="AH53" i="30" s="1"/>
  <c r="V104" i="30"/>
  <c r="V664" i="30"/>
  <c r="V465" i="30"/>
  <c r="V214" i="30"/>
  <c r="V305" i="30"/>
  <c r="V691" i="30"/>
  <c r="V529" i="30"/>
  <c r="V377" i="30"/>
  <c r="V241" i="30"/>
  <c r="V662" i="30"/>
  <c r="V341" i="30"/>
  <c r="V689" i="30"/>
  <c r="AH89" i="30" s="1"/>
  <c r="AL89" i="30" s="1"/>
  <c r="E77" i="37" s="1"/>
  <c r="V537" i="30"/>
  <c r="V385" i="30"/>
  <c r="AH55" i="30" s="1"/>
  <c r="V276" i="30"/>
  <c r="V141" i="30"/>
  <c r="AH28" i="30" s="1"/>
  <c r="V494" i="30"/>
  <c r="V151" i="30"/>
  <c r="AI76" i="30"/>
  <c r="AK45" i="30"/>
  <c r="AI45" i="30"/>
  <c r="AG43" i="30"/>
  <c r="AG42" i="30"/>
  <c r="AG19" i="30"/>
  <c r="AF75" i="30"/>
  <c r="AK14" i="30"/>
  <c r="AF56" i="30"/>
  <c r="AK46" i="30"/>
  <c r="AH52" i="30"/>
  <c r="AI64" i="30"/>
  <c r="AH39" i="30"/>
  <c r="AG63" i="30"/>
  <c r="AG73" i="30"/>
  <c r="AG79" i="30"/>
  <c r="AG86" i="30"/>
  <c r="AG15" i="30"/>
  <c r="AG75" i="30"/>
  <c r="AG36" i="30"/>
  <c r="AG91" i="30"/>
  <c r="AG65" i="30"/>
  <c r="AG84" i="30"/>
  <c r="AG90" i="30"/>
  <c r="AG24" i="30"/>
  <c r="AG89" i="30"/>
  <c r="AG50" i="30"/>
  <c r="AG23" i="30"/>
  <c r="AG66" i="30"/>
  <c r="AG82" i="30"/>
  <c r="AG60" i="30"/>
  <c r="AG62" i="30"/>
  <c r="AG40" i="30"/>
  <c r="AG70" i="30"/>
  <c r="AG48" i="30"/>
  <c r="AG64" i="30"/>
  <c r="AG56" i="30"/>
  <c r="AG76" i="30"/>
  <c r="AG80" i="30"/>
  <c r="AG14" i="30"/>
  <c r="AG83" i="30"/>
  <c r="AG93" i="30"/>
  <c r="AG20" i="30"/>
  <c r="AG37" i="30"/>
  <c r="AG52" i="30"/>
  <c r="AG31" i="30"/>
  <c r="AG71" i="30"/>
  <c r="AG17" i="30"/>
  <c r="AG67" i="30"/>
  <c r="AG85" i="30"/>
  <c r="AG45" i="30"/>
  <c r="AG74" i="30"/>
  <c r="AG32" i="30"/>
  <c r="AG28" i="30"/>
  <c r="AG58" i="30"/>
  <c r="AG72" i="30"/>
  <c r="AG78" i="30"/>
  <c r="AG57" i="30"/>
  <c r="AG77" i="30"/>
  <c r="AG51" i="30"/>
  <c r="AG29" i="30"/>
  <c r="AG47" i="30"/>
  <c r="AG88" i="30"/>
  <c r="AG21" i="30"/>
  <c r="AG54" i="30"/>
  <c r="AG18" i="30"/>
  <c r="AG16" i="30"/>
  <c r="AG27" i="30"/>
  <c r="AG59" i="30"/>
  <c r="AG46" i="30"/>
  <c r="AG92" i="30"/>
  <c r="AG53" i="30"/>
  <c r="AG26" i="30"/>
  <c r="AG38" i="30"/>
  <c r="AK68" i="30"/>
  <c r="AK79" i="30"/>
  <c r="AF31" i="30"/>
  <c r="AF17" i="30"/>
  <c r="AI28" i="30"/>
  <c r="AI87" i="30"/>
  <c r="AI80" i="30"/>
  <c r="AG61" i="30"/>
  <c r="AG44" i="30"/>
  <c r="AK49" i="30"/>
  <c r="AF93" i="30"/>
  <c r="AK81" i="30"/>
  <c r="AI89" i="30"/>
  <c r="AK52" i="30"/>
  <c r="AF66" i="30"/>
  <c r="AF49" i="30"/>
  <c r="AK38" i="30"/>
  <c r="AF45" i="30"/>
  <c r="AG41" i="30"/>
  <c r="AK30" i="30"/>
  <c r="AK26" i="30"/>
  <c r="AI34" i="30"/>
  <c r="AI33" i="30"/>
  <c r="AI23" i="30"/>
  <c r="AF16" i="30"/>
  <c r="AI58" i="30"/>
  <c r="AF76" i="30"/>
  <c r="AK22" i="30"/>
  <c r="AI73" i="30"/>
  <c r="AI39" i="30"/>
  <c r="AK35" i="30"/>
  <c r="AK86" i="30"/>
  <c r="AF83" i="30"/>
  <c r="AF82" i="30"/>
  <c r="AK64" i="30"/>
  <c r="AF60" i="30"/>
  <c r="AK56" i="30"/>
  <c r="AI62" i="30"/>
  <c r="AK24" i="30"/>
  <c r="AI30" i="30"/>
  <c r="AK27" i="30"/>
  <c r="AI15" i="30"/>
  <c r="AK62" i="30"/>
  <c r="AF94" i="30"/>
  <c r="AI85" i="30"/>
  <c r="AF74" i="30"/>
  <c r="AK72" i="30"/>
  <c r="AI78" i="30"/>
  <c r="AF72" i="30"/>
  <c r="AK67" i="30"/>
  <c r="AF50" i="30"/>
  <c r="AI49" i="30"/>
  <c r="AF47" i="30"/>
  <c r="AI38" i="30"/>
  <c r="AH30" i="30"/>
  <c r="AL30" i="30" s="1"/>
  <c r="E18" i="37" s="1"/>
  <c r="AF25" i="30"/>
  <c r="AF23" i="30"/>
  <c r="AK23" i="30"/>
  <c r="AK18" i="30"/>
  <c r="AG39" i="30"/>
  <c r="AK93" i="30"/>
  <c r="AK90" i="30"/>
  <c r="AK88" i="30"/>
  <c r="AI31" i="30"/>
  <c r="AF18" i="30"/>
  <c r="AG87" i="30"/>
  <c r="AG81" i="30"/>
  <c r="AG69" i="30"/>
  <c r="AK48" i="30"/>
  <c r="AG25" i="30"/>
  <c r="AK83" i="30"/>
  <c r="AG33" i="30"/>
  <c r="AG30" i="30"/>
  <c r="AG34" i="30"/>
  <c r="AG68" i="30"/>
  <c r="AI81" i="30"/>
  <c r="AK57" i="30"/>
  <c r="AH90" i="30"/>
  <c r="AI88" i="30"/>
  <c r="AF78" i="30"/>
  <c r="AI69" i="30"/>
  <c r="AF58" i="30"/>
  <c r="AK60" i="30"/>
  <c r="AK47" i="30"/>
  <c r="AK43" i="30"/>
  <c r="AF37" i="30"/>
  <c r="AK33" i="30"/>
  <c r="AI29" i="30"/>
  <c r="AF26" i="30"/>
  <c r="AI25" i="30"/>
  <c r="AF20" i="30"/>
  <c r="AK31" i="30"/>
  <c r="AF15" i="30"/>
  <c r="AG35" i="30"/>
  <c r="AI24" i="30"/>
  <c r="AG22" i="30"/>
  <c r="AF57" i="30"/>
  <c r="AF55" i="30"/>
  <c r="AK42" i="30"/>
  <c r="AF42" i="30"/>
  <c r="AI93" i="30"/>
  <c r="AF92" i="30"/>
  <c r="AF89" i="30"/>
  <c r="AK85" i="30"/>
  <c r="AI94" i="30"/>
  <c r="AF87" i="30"/>
  <c r="AF91" i="30"/>
  <c r="AK87" i="30"/>
  <c r="AI86" i="30"/>
  <c r="AF81" i="30"/>
  <c r="AF84" i="30"/>
  <c r="AI79" i="30"/>
  <c r="AK75" i="30"/>
  <c r="AH74" i="30"/>
  <c r="AF79" i="30"/>
  <c r="AK66" i="30"/>
  <c r="AK71" i="30"/>
  <c r="AI66" i="30"/>
  <c r="AK59" i="30"/>
  <c r="AK58" i="30"/>
  <c r="AK50" i="30"/>
  <c r="AH66" i="30"/>
  <c r="AK51" i="30"/>
  <c r="AK61" i="30"/>
  <c r="AH57" i="30"/>
  <c r="AL57" i="30" s="1"/>
  <c r="E45" i="37" s="1"/>
  <c r="AF61" i="30"/>
  <c r="AF48" i="30"/>
  <c r="AI40" i="30"/>
  <c r="AF39" i="30"/>
  <c r="AK39" i="30"/>
  <c r="AF46" i="30"/>
  <c r="AI36" i="30"/>
  <c r="AF36" i="30"/>
  <c r="AF32" i="30"/>
  <c r="AI26" i="30"/>
  <c r="AK25" i="30"/>
  <c r="AK19" i="30"/>
  <c r="AK16" i="30"/>
  <c r="AK15" i="30"/>
  <c r="AF22" i="30"/>
  <c r="AK29" i="30"/>
  <c r="AF86" i="30"/>
  <c r="AI90" i="30"/>
  <c r="AK92" i="30"/>
  <c r="AK89" i="30"/>
  <c r="AF80" i="30"/>
  <c r="AF73" i="30"/>
  <c r="AK74" i="30"/>
  <c r="AF67" i="30"/>
  <c r="AI71" i="30"/>
  <c r="AK70" i="30"/>
  <c r="AF68" i="30"/>
  <c r="AK69" i="30"/>
  <c r="AK63" i="30"/>
  <c r="AF54" i="30"/>
  <c r="AK53" i="30"/>
  <c r="AF65" i="30"/>
  <c r="AF62" i="30"/>
  <c r="AI48" i="30"/>
  <c r="AK44" i="30"/>
  <c r="AK40" i="30"/>
  <c r="AK32" i="30"/>
  <c r="AK28" i="30"/>
  <c r="AF38" i="30"/>
  <c r="AK37" i="30"/>
  <c r="AK36" i="30"/>
  <c r="AF41" i="30"/>
  <c r="AF40" i="30"/>
  <c r="AK21" i="30"/>
  <c r="AK17" i="30"/>
  <c r="AH15" i="30"/>
  <c r="AF63" i="30"/>
  <c r="AK77" i="30"/>
  <c r="AK94" i="30"/>
  <c r="AK91" i="30"/>
  <c r="AK84" i="30"/>
  <c r="AJ83" i="30"/>
  <c r="AK82" i="30"/>
  <c r="AH83" i="30"/>
  <c r="AL83" i="30" s="1"/>
  <c r="E71" i="37" s="1"/>
  <c r="AK76" i="30"/>
  <c r="AK78" i="30"/>
  <c r="AH67" i="30"/>
  <c r="AL67" i="30" s="1"/>
  <c r="E55" i="37" s="1"/>
  <c r="AK65" i="30"/>
  <c r="AF70" i="30"/>
  <c r="AF64" i="30"/>
  <c r="AK54" i="30"/>
  <c r="AH62" i="30"/>
  <c r="AK55" i="30"/>
  <c r="AF53" i="30"/>
  <c r="AI46" i="30"/>
  <c r="AH45" i="30"/>
  <c r="AL45" i="30" s="1"/>
  <c r="E33" i="37" s="1"/>
  <c r="AK41" i="30"/>
  <c r="AK34" i="30"/>
  <c r="AI27" i="30"/>
  <c r="AK20" i="30"/>
  <c r="AH51" i="30"/>
  <c r="AL51" i="30" s="1"/>
  <c r="E39" i="37" s="1"/>
  <c r="AH58" i="30"/>
  <c r="AH88" i="30"/>
  <c r="AL88" i="30" s="1"/>
  <c r="E76" i="37" s="1"/>
  <c r="AH91" i="30"/>
  <c r="AH59" i="30"/>
  <c r="AL59" i="30" s="1"/>
  <c r="E47" i="37" s="1"/>
  <c r="AH35" i="30"/>
  <c r="AL35" i="30" s="1"/>
  <c r="E23" i="37" s="1"/>
  <c r="AH44" i="30"/>
  <c r="AL44" i="30" s="1"/>
  <c r="E32" i="37" s="1"/>
  <c r="AH22" i="30"/>
  <c r="AH14" i="30"/>
  <c r="AL14" i="30" s="1"/>
  <c r="E2" i="37" s="1"/>
  <c r="AH63" i="30"/>
  <c r="AH27" i="30"/>
  <c r="AL27" i="30" s="1"/>
  <c r="E15" i="37" s="1"/>
  <c r="AH61" i="30"/>
  <c r="AH19" i="30"/>
  <c r="AL19" i="30" s="1"/>
  <c r="E7" i="37" s="1"/>
  <c r="AH78" i="30"/>
  <c r="AH70" i="30"/>
  <c r="AL70" i="30" s="1"/>
  <c r="E58" i="37" s="1"/>
  <c r="AH92" i="30"/>
  <c r="AH43" i="30"/>
  <c r="AL43" i="30" s="1"/>
  <c r="E31" i="37" s="1"/>
  <c r="AH17" i="30"/>
  <c r="AL17" i="30" s="1"/>
  <c r="E5" i="37" s="1"/>
  <c r="AF34" i="30"/>
  <c r="AH32" i="30"/>
  <c r="AF44" i="30"/>
  <c r="AF33" i="30"/>
  <c r="AF30" i="30"/>
  <c r="AF24" i="30"/>
  <c r="AG94" i="30"/>
  <c r="AF29" i="30"/>
  <c r="AF52" i="30"/>
  <c r="AF71" i="30"/>
  <c r="AF77" i="30"/>
  <c r="AF19" i="30"/>
  <c r="AF27" i="30"/>
  <c r="AF21" i="30"/>
  <c r="AF43" i="30"/>
  <c r="AF59" i="30"/>
  <c r="AF69" i="30"/>
  <c r="AF85" i="30"/>
  <c r="AF90" i="30"/>
  <c r="AF28" i="30"/>
  <c r="AH20" i="30"/>
  <c r="AF88" i="30"/>
  <c r="AF35" i="30"/>
  <c r="AF51" i="30"/>
  <c r="AF14" i="30"/>
  <c r="AH75" i="30"/>
  <c r="AL75" i="30" s="1"/>
  <c r="E63" i="37" s="1"/>
  <c r="AH71" i="30" l="1"/>
  <c r="AL71" i="30" s="1"/>
  <c r="E59" i="37" s="1"/>
  <c r="AH33" i="30"/>
  <c r="AL33" i="30" s="1"/>
  <c r="E21" i="37" s="1"/>
  <c r="AH50" i="30"/>
  <c r="AL50" i="30" s="1"/>
  <c r="E38" i="37" s="1"/>
  <c r="AH54" i="30"/>
  <c r="AH26" i="30"/>
  <c r="AL26" i="30" s="1"/>
  <c r="E14" i="37" s="1"/>
  <c r="AH76" i="30"/>
  <c r="AH69" i="30"/>
  <c r="AL69" i="30" s="1"/>
  <c r="E57" i="37" s="1"/>
  <c r="AH64" i="30"/>
  <c r="AH36" i="30"/>
  <c r="AL36" i="30" s="1"/>
  <c r="E24" i="37" s="1"/>
  <c r="AH77" i="30"/>
  <c r="AH46" i="30"/>
  <c r="AL46" i="30" s="1"/>
  <c r="E34" i="37" s="1"/>
  <c r="AH16" i="30"/>
  <c r="AL16" i="30" s="1"/>
  <c r="E4" i="37" s="1"/>
  <c r="AH29" i="30"/>
  <c r="AL29" i="30" s="1"/>
  <c r="E17" i="37" s="1"/>
  <c r="AL81" i="30"/>
  <c r="E69" i="37" s="1"/>
  <c r="AL47" i="30"/>
  <c r="E35" i="37" s="1"/>
  <c r="AL52" i="30"/>
  <c r="E40" i="37" s="1"/>
  <c r="AL39" i="30"/>
  <c r="E27" i="37" s="1"/>
  <c r="AH93" i="30"/>
  <c r="AL93" i="30" s="1"/>
  <c r="E81" i="37" s="1"/>
  <c r="AH94" i="30"/>
  <c r="AH23" i="30"/>
  <c r="AL23" i="30" s="1"/>
  <c r="E11" i="37" s="1"/>
  <c r="AH73" i="30"/>
  <c r="AL73" i="30" s="1"/>
  <c r="E61" i="37" s="1"/>
  <c r="AH84" i="30"/>
  <c r="AL84" i="30" s="1"/>
  <c r="E72" i="37" s="1"/>
  <c r="AH31" i="30"/>
  <c r="AL31" i="30" s="1"/>
  <c r="E19" i="37" s="1"/>
  <c r="AH41" i="30"/>
  <c r="AL41" i="30" s="1"/>
  <c r="E29" i="37" s="1"/>
  <c r="AH18" i="30"/>
  <c r="AL18" i="30" s="1"/>
  <c r="E6" i="37" s="1"/>
  <c r="AH56" i="30"/>
  <c r="AL56" i="30" s="1"/>
  <c r="E44" i="37" s="1"/>
  <c r="AH79" i="30"/>
  <c r="AL79" i="30" s="1"/>
  <c r="E67" i="37" s="1"/>
  <c r="AL20" i="30"/>
  <c r="E8" i="37" s="1"/>
  <c r="AL53" i="30"/>
  <c r="E41" i="37" s="1"/>
  <c r="AL22" i="30"/>
  <c r="E10" i="37" s="1"/>
  <c r="AL55" i="30"/>
  <c r="E43" i="37" s="1"/>
  <c r="AL60" i="30"/>
  <c r="E48" i="37" s="1"/>
  <c r="AL62" i="30"/>
  <c r="E50" i="37" s="1"/>
  <c r="AL72" i="30"/>
  <c r="E60" i="37" s="1"/>
  <c r="AL24" i="30"/>
  <c r="E12" i="37" s="1"/>
  <c r="AL61" i="30"/>
  <c r="E49" i="37" s="1"/>
  <c r="AL42" i="30"/>
  <c r="E30" i="37" s="1"/>
  <c r="AL15" i="30"/>
  <c r="E3" i="37" s="1"/>
  <c r="AL64" i="30"/>
  <c r="E52" i="37" s="1"/>
  <c r="AL92" i="30"/>
  <c r="E80" i="37" s="1"/>
  <c r="AL77" i="30"/>
  <c r="E65" i="37" s="1"/>
  <c r="AL91" i="30"/>
  <c r="E79" i="37" s="1"/>
  <c r="AL65" i="30"/>
  <c r="E53" i="37" s="1"/>
  <c r="AL28" i="30"/>
  <c r="E16" i="37" s="1"/>
  <c r="AL90" i="30"/>
  <c r="E78" i="37" s="1"/>
  <c r="AL48" i="30"/>
  <c r="E36" i="37" s="1"/>
  <c r="AL76" i="30"/>
  <c r="E64" i="37" s="1"/>
  <c r="AL34" i="30"/>
  <c r="E22" i="37" s="1"/>
  <c r="AL94" i="30"/>
  <c r="E82" i="37" s="1"/>
  <c r="AH86" i="30"/>
  <c r="AL86" i="30" s="1"/>
  <c r="E74" i="37" s="1"/>
  <c r="AL66" i="30"/>
  <c r="E54" i="37" s="1"/>
  <c r="AL74" i="30"/>
  <c r="E62" i="37" s="1"/>
  <c r="AL54" i="30"/>
  <c r="E42" i="37" s="1"/>
  <c r="AL32" i="30"/>
  <c r="E20" i="37" s="1"/>
  <c r="AL21" i="30"/>
  <c r="E9" i="37" s="1"/>
  <c r="AL63" i="30"/>
  <c r="E51" i="37" s="1"/>
  <c r="AL58" i="30"/>
  <c r="E46" i="37" s="1"/>
  <c r="AH68" i="30"/>
  <c r="AL68" i="30" s="1"/>
  <c r="E56" i="37" s="1"/>
  <c r="AL78" i="30"/>
  <c r="E66" i="37" s="1"/>
  <c r="AL82" i="30"/>
  <c r="E70" i="37" s="1"/>
  <c r="AL85" i="30"/>
  <c r="E73" i="37" s="1"/>
  <c r="E165" i="37" l="1"/>
  <c r="E108" i="37"/>
  <c r="E98" i="37"/>
  <c r="E101" i="37"/>
  <c r="E152" i="37"/>
  <c r="E140" i="37"/>
  <c r="E158" i="37"/>
  <c r="E155" i="37"/>
  <c r="E154" i="37"/>
  <c r="E104" i="37"/>
  <c r="E95" i="37"/>
  <c r="E128" i="37"/>
  <c r="E136" i="37"/>
  <c r="E116" i="37"/>
  <c r="E91" i="37"/>
  <c r="E134" i="37"/>
  <c r="E112" i="37"/>
  <c r="E146" i="37"/>
  <c r="E143" i="37"/>
  <c r="E163" i="37"/>
  <c r="E117" i="37"/>
  <c r="E153" i="37"/>
  <c r="E161" i="37"/>
  <c r="E125" i="37"/>
  <c r="E130" i="37"/>
  <c r="E87" i="37"/>
  <c r="E151" i="37"/>
  <c r="E93" i="37"/>
  <c r="E113" i="37"/>
  <c r="E90" i="37"/>
  <c r="E110" i="37"/>
  <c r="E160" i="37"/>
  <c r="E88" i="37"/>
  <c r="E132" i="37"/>
  <c r="E99" i="37"/>
  <c r="E150" i="37"/>
  <c r="E92" i="37"/>
  <c r="E137" i="37"/>
  <c r="E115" i="37"/>
  <c r="E89" i="37"/>
  <c r="E133" i="37"/>
  <c r="E114" i="37"/>
  <c r="E139" i="37"/>
  <c r="E157" i="37"/>
  <c r="E127" i="37"/>
  <c r="E103" i="37"/>
  <c r="E86" i="37"/>
  <c r="E109" i="37"/>
  <c r="E100" i="37"/>
  <c r="E124" i="37"/>
  <c r="E142" i="37"/>
  <c r="E135" i="37"/>
  <c r="E159" i="37"/>
  <c r="E148" i="37"/>
  <c r="E107" i="37"/>
  <c r="E138" i="37"/>
  <c r="E119" i="37"/>
  <c r="E120" i="37"/>
  <c r="E131" i="37"/>
  <c r="E97" i="37"/>
  <c r="E149" i="37"/>
  <c r="E144" i="37"/>
  <c r="E111" i="37"/>
  <c r="E85" i="37"/>
  <c r="E122" i="37"/>
  <c r="E162" i="37"/>
  <c r="E126" i="37"/>
  <c r="E123" i="37"/>
  <c r="E141" i="37"/>
  <c r="E121" i="37"/>
  <c r="E156" i="37"/>
  <c r="E145" i="37"/>
  <c r="E94" i="37"/>
  <c r="E106" i="37"/>
  <c r="E164" i="37"/>
  <c r="E118" i="37"/>
  <c r="E129" i="37"/>
  <c r="E102" i="37"/>
  <c r="E96" i="37"/>
  <c r="E147" i="37"/>
  <c r="E105" i="37"/>
  <c r="AO19" i="30"/>
  <c r="AO20" i="30"/>
  <c r="AO18" i="30"/>
  <c r="AO26" i="30"/>
  <c r="AO17" i="30"/>
  <c r="AO29" i="30"/>
  <c r="AO33" i="30"/>
  <c r="AP28" i="30"/>
  <c r="AP31" i="30"/>
  <c r="AP25" i="30"/>
  <c r="AO15" i="30"/>
  <c r="D3" i="50" s="1"/>
  <c r="AO31" i="30"/>
  <c r="AO21" i="30"/>
  <c r="AO32" i="30"/>
  <c r="AO24" i="30"/>
  <c r="AP24" i="30"/>
  <c r="AO28" i="30"/>
  <c r="AP33" i="30"/>
  <c r="AP30" i="30"/>
  <c r="AP29" i="30"/>
  <c r="AP32" i="30"/>
  <c r="AP27" i="30"/>
  <c r="AO16" i="30"/>
  <c r="AO27" i="30"/>
  <c r="AO25" i="30"/>
  <c r="AP26" i="30"/>
  <c r="AO30" i="30"/>
  <c r="Q3" i="37" l="1"/>
  <c r="D4" i="50"/>
  <c r="Q5" i="37"/>
  <c r="D6" i="50"/>
  <c r="Q8" i="37"/>
  <c r="D9" i="50"/>
  <c r="Q4" i="37"/>
  <c r="D5" i="50"/>
  <c r="Q6" i="37"/>
  <c r="D7" i="50"/>
  <c r="Q7" i="37"/>
  <c r="D8" i="50"/>
  <c r="AN23" i="30"/>
  <c r="Q2" i="37"/>
  <c r="AP23" i="30" l="1"/>
  <c r="AO23" i="30"/>
  <c r="H9" i="3" l="1"/>
  <c r="H10" i="3"/>
  <c r="H8" i="3"/>
  <c r="C996" i="5" l="1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F36" i="5"/>
  <c r="F48" i="5" s="1"/>
  <c r="F60" i="5" s="1"/>
  <c r="F72" i="5" s="1"/>
  <c r="F84" i="5" s="1"/>
  <c r="F96" i="5" s="1"/>
  <c r="F108" i="5" s="1"/>
  <c r="F120" i="5" s="1"/>
  <c r="F132" i="5" s="1"/>
  <c r="F144" i="5" s="1"/>
  <c r="F156" i="5" s="1"/>
  <c r="F168" i="5" s="1"/>
  <c r="F180" i="5" s="1"/>
  <c r="F192" i="5" s="1"/>
  <c r="F204" i="5" s="1"/>
  <c r="F216" i="5" s="1"/>
  <c r="F228" i="5" s="1"/>
  <c r="F240" i="5" s="1"/>
  <c r="F252" i="5" s="1"/>
  <c r="F264" i="5" s="1"/>
  <c r="F276" i="5" s="1"/>
  <c r="F288" i="5" s="1"/>
  <c r="F300" i="5" s="1"/>
  <c r="F312" i="5" s="1"/>
  <c r="F324" i="5" s="1"/>
  <c r="F336" i="5" s="1"/>
  <c r="F348" i="5" s="1"/>
  <c r="F360" i="5" s="1"/>
  <c r="F372" i="5" s="1"/>
  <c r="F384" i="5" s="1"/>
  <c r="F396" i="5" s="1"/>
  <c r="F408" i="5" s="1"/>
  <c r="F420" i="5" s="1"/>
  <c r="F432" i="5" s="1"/>
  <c r="F444" i="5" s="1"/>
  <c r="F456" i="5" s="1"/>
  <c r="F468" i="5" s="1"/>
  <c r="F480" i="5" s="1"/>
  <c r="F492" i="5" s="1"/>
  <c r="F504" i="5" s="1"/>
  <c r="F516" i="5" s="1"/>
  <c r="F528" i="5" s="1"/>
  <c r="F540" i="5" s="1"/>
  <c r="F552" i="5" s="1"/>
  <c r="F564" i="5" s="1"/>
  <c r="F576" i="5" s="1"/>
  <c r="F588" i="5" s="1"/>
  <c r="F600" i="5" s="1"/>
  <c r="F612" i="5" s="1"/>
  <c r="F624" i="5" s="1"/>
  <c r="F636" i="5" s="1"/>
  <c r="F648" i="5" s="1"/>
  <c r="F660" i="5" s="1"/>
  <c r="F672" i="5" s="1"/>
  <c r="F684" i="5" s="1"/>
  <c r="F696" i="5" s="1"/>
  <c r="F708" i="5" s="1"/>
  <c r="F720" i="5" s="1"/>
  <c r="F732" i="5" s="1"/>
  <c r="F744" i="5" s="1"/>
  <c r="F756" i="5" s="1"/>
  <c r="F768" i="5" s="1"/>
  <c r="F780" i="5" s="1"/>
  <c r="F792" i="5" s="1"/>
  <c r="F804" i="5" s="1"/>
  <c r="F816" i="5" s="1"/>
  <c r="F828" i="5" s="1"/>
  <c r="F840" i="5" s="1"/>
  <c r="F852" i="5" s="1"/>
  <c r="F864" i="5" s="1"/>
  <c r="F876" i="5" s="1"/>
  <c r="F888" i="5" s="1"/>
  <c r="F900" i="5" s="1"/>
  <c r="F912" i="5" s="1"/>
  <c r="F924" i="5" s="1"/>
  <c r="F936" i="5" s="1"/>
  <c r="F948" i="5" s="1"/>
  <c r="F960" i="5" s="1"/>
  <c r="F972" i="5" s="1"/>
  <c r="F984" i="5" s="1"/>
  <c r="F996" i="5" s="1"/>
  <c r="E36" i="5"/>
  <c r="E48" i="5" s="1"/>
  <c r="E60" i="5" s="1"/>
  <c r="E72" i="5" s="1"/>
  <c r="E84" i="5" s="1"/>
  <c r="E96" i="5" s="1"/>
  <c r="E108" i="5" s="1"/>
  <c r="E120" i="5" s="1"/>
  <c r="E132" i="5" s="1"/>
  <c r="E144" i="5" s="1"/>
  <c r="E156" i="5" s="1"/>
  <c r="E168" i="5" s="1"/>
  <c r="E180" i="5" s="1"/>
  <c r="E192" i="5" s="1"/>
  <c r="E204" i="5" s="1"/>
  <c r="E216" i="5" s="1"/>
  <c r="E228" i="5" s="1"/>
  <c r="E240" i="5" s="1"/>
  <c r="E252" i="5" s="1"/>
  <c r="E264" i="5" s="1"/>
  <c r="E276" i="5" s="1"/>
  <c r="E288" i="5" s="1"/>
  <c r="E300" i="5" s="1"/>
  <c r="E312" i="5" s="1"/>
  <c r="E324" i="5" s="1"/>
  <c r="E336" i="5" s="1"/>
  <c r="E348" i="5" s="1"/>
  <c r="E360" i="5" s="1"/>
  <c r="E372" i="5" s="1"/>
  <c r="E384" i="5" s="1"/>
  <c r="E396" i="5" s="1"/>
  <c r="E408" i="5" s="1"/>
  <c r="E420" i="5" s="1"/>
  <c r="E432" i="5" s="1"/>
  <c r="E444" i="5" s="1"/>
  <c r="E456" i="5" s="1"/>
  <c r="E468" i="5" s="1"/>
  <c r="E480" i="5" s="1"/>
  <c r="E492" i="5" s="1"/>
  <c r="E504" i="5" s="1"/>
  <c r="E516" i="5" s="1"/>
  <c r="E528" i="5" s="1"/>
  <c r="E540" i="5" s="1"/>
  <c r="E552" i="5" s="1"/>
  <c r="E564" i="5" s="1"/>
  <c r="E576" i="5" s="1"/>
  <c r="E588" i="5" s="1"/>
  <c r="E600" i="5" s="1"/>
  <c r="E612" i="5" s="1"/>
  <c r="E624" i="5" s="1"/>
  <c r="E636" i="5" s="1"/>
  <c r="E648" i="5" s="1"/>
  <c r="E660" i="5" s="1"/>
  <c r="E672" i="5" s="1"/>
  <c r="E684" i="5" s="1"/>
  <c r="E696" i="5" s="1"/>
  <c r="E708" i="5" s="1"/>
  <c r="E720" i="5" s="1"/>
  <c r="E732" i="5" s="1"/>
  <c r="E744" i="5" s="1"/>
  <c r="E756" i="5" s="1"/>
  <c r="E768" i="5" s="1"/>
  <c r="E780" i="5" s="1"/>
  <c r="E792" i="5" s="1"/>
  <c r="E804" i="5" s="1"/>
  <c r="E816" i="5" s="1"/>
  <c r="E828" i="5" s="1"/>
  <c r="E840" i="5" s="1"/>
  <c r="E852" i="5" s="1"/>
  <c r="E864" i="5" s="1"/>
  <c r="E876" i="5" s="1"/>
  <c r="E888" i="5" s="1"/>
  <c r="E900" i="5" s="1"/>
  <c r="E912" i="5" s="1"/>
  <c r="E924" i="5" s="1"/>
  <c r="E936" i="5" s="1"/>
  <c r="E948" i="5" s="1"/>
  <c r="E960" i="5" s="1"/>
  <c r="E972" i="5" s="1"/>
  <c r="E984" i="5" s="1"/>
  <c r="E996" i="5" s="1"/>
  <c r="C36" i="5"/>
  <c r="F35" i="5"/>
  <c r="F47" i="5" s="1"/>
  <c r="F59" i="5" s="1"/>
  <c r="F71" i="5" s="1"/>
  <c r="F83" i="5" s="1"/>
  <c r="F95" i="5" s="1"/>
  <c r="F107" i="5" s="1"/>
  <c r="F119" i="5" s="1"/>
  <c r="F131" i="5" s="1"/>
  <c r="F143" i="5" s="1"/>
  <c r="F155" i="5" s="1"/>
  <c r="F167" i="5" s="1"/>
  <c r="F179" i="5" s="1"/>
  <c r="F191" i="5" s="1"/>
  <c r="F203" i="5" s="1"/>
  <c r="F215" i="5" s="1"/>
  <c r="F227" i="5" s="1"/>
  <c r="F239" i="5" s="1"/>
  <c r="F251" i="5" s="1"/>
  <c r="F263" i="5" s="1"/>
  <c r="F275" i="5" s="1"/>
  <c r="F287" i="5" s="1"/>
  <c r="F299" i="5" s="1"/>
  <c r="F311" i="5" s="1"/>
  <c r="F323" i="5" s="1"/>
  <c r="F335" i="5" s="1"/>
  <c r="F347" i="5" s="1"/>
  <c r="F359" i="5" s="1"/>
  <c r="F371" i="5" s="1"/>
  <c r="F383" i="5" s="1"/>
  <c r="F395" i="5" s="1"/>
  <c r="F407" i="5" s="1"/>
  <c r="F419" i="5" s="1"/>
  <c r="F431" i="5" s="1"/>
  <c r="F443" i="5" s="1"/>
  <c r="F455" i="5" s="1"/>
  <c r="F467" i="5" s="1"/>
  <c r="F479" i="5" s="1"/>
  <c r="F491" i="5" s="1"/>
  <c r="F503" i="5" s="1"/>
  <c r="F515" i="5" s="1"/>
  <c r="F527" i="5" s="1"/>
  <c r="F539" i="5" s="1"/>
  <c r="F551" i="5" s="1"/>
  <c r="F563" i="5" s="1"/>
  <c r="F575" i="5" s="1"/>
  <c r="F587" i="5" s="1"/>
  <c r="F599" i="5" s="1"/>
  <c r="F611" i="5" s="1"/>
  <c r="F623" i="5" s="1"/>
  <c r="F635" i="5" s="1"/>
  <c r="F647" i="5" s="1"/>
  <c r="F659" i="5" s="1"/>
  <c r="F671" i="5" s="1"/>
  <c r="F683" i="5" s="1"/>
  <c r="F695" i="5" s="1"/>
  <c r="F707" i="5" s="1"/>
  <c r="F719" i="5" s="1"/>
  <c r="F731" i="5" s="1"/>
  <c r="F743" i="5" s="1"/>
  <c r="F755" i="5" s="1"/>
  <c r="F767" i="5" s="1"/>
  <c r="F779" i="5" s="1"/>
  <c r="F791" i="5" s="1"/>
  <c r="F803" i="5" s="1"/>
  <c r="F815" i="5" s="1"/>
  <c r="F827" i="5" s="1"/>
  <c r="F839" i="5" s="1"/>
  <c r="F851" i="5" s="1"/>
  <c r="F863" i="5" s="1"/>
  <c r="F875" i="5" s="1"/>
  <c r="F887" i="5" s="1"/>
  <c r="F899" i="5" s="1"/>
  <c r="F911" i="5" s="1"/>
  <c r="F923" i="5" s="1"/>
  <c r="F935" i="5" s="1"/>
  <c r="F947" i="5" s="1"/>
  <c r="F959" i="5" s="1"/>
  <c r="F971" i="5" s="1"/>
  <c r="F983" i="5" s="1"/>
  <c r="F995" i="5" s="1"/>
  <c r="E35" i="5"/>
  <c r="E47" i="5" s="1"/>
  <c r="E59" i="5" s="1"/>
  <c r="E71" i="5" s="1"/>
  <c r="E83" i="5" s="1"/>
  <c r="E95" i="5" s="1"/>
  <c r="E107" i="5" s="1"/>
  <c r="E119" i="5" s="1"/>
  <c r="E131" i="5" s="1"/>
  <c r="E143" i="5" s="1"/>
  <c r="E155" i="5" s="1"/>
  <c r="E167" i="5" s="1"/>
  <c r="E179" i="5" s="1"/>
  <c r="E191" i="5" s="1"/>
  <c r="E203" i="5" s="1"/>
  <c r="E215" i="5" s="1"/>
  <c r="E227" i="5" s="1"/>
  <c r="E239" i="5" s="1"/>
  <c r="E251" i="5" s="1"/>
  <c r="E263" i="5" s="1"/>
  <c r="E275" i="5" s="1"/>
  <c r="E287" i="5" s="1"/>
  <c r="E299" i="5" s="1"/>
  <c r="E311" i="5" s="1"/>
  <c r="E323" i="5" s="1"/>
  <c r="E335" i="5" s="1"/>
  <c r="E347" i="5" s="1"/>
  <c r="E359" i="5" s="1"/>
  <c r="E371" i="5" s="1"/>
  <c r="E383" i="5" s="1"/>
  <c r="E395" i="5" s="1"/>
  <c r="E407" i="5" s="1"/>
  <c r="E419" i="5" s="1"/>
  <c r="E431" i="5" s="1"/>
  <c r="E443" i="5" s="1"/>
  <c r="E455" i="5" s="1"/>
  <c r="E467" i="5" s="1"/>
  <c r="E479" i="5" s="1"/>
  <c r="E491" i="5" s="1"/>
  <c r="E503" i="5" s="1"/>
  <c r="E515" i="5" s="1"/>
  <c r="E527" i="5" s="1"/>
  <c r="E539" i="5" s="1"/>
  <c r="E551" i="5" s="1"/>
  <c r="E563" i="5" s="1"/>
  <c r="E575" i="5" s="1"/>
  <c r="E587" i="5" s="1"/>
  <c r="E599" i="5" s="1"/>
  <c r="E611" i="5" s="1"/>
  <c r="E623" i="5" s="1"/>
  <c r="E635" i="5" s="1"/>
  <c r="E647" i="5" s="1"/>
  <c r="E659" i="5" s="1"/>
  <c r="E671" i="5" s="1"/>
  <c r="E683" i="5" s="1"/>
  <c r="E695" i="5" s="1"/>
  <c r="E707" i="5" s="1"/>
  <c r="E719" i="5" s="1"/>
  <c r="E731" i="5" s="1"/>
  <c r="E743" i="5" s="1"/>
  <c r="E755" i="5" s="1"/>
  <c r="E767" i="5" s="1"/>
  <c r="E779" i="5" s="1"/>
  <c r="E791" i="5" s="1"/>
  <c r="E803" i="5" s="1"/>
  <c r="E815" i="5" s="1"/>
  <c r="E827" i="5" s="1"/>
  <c r="E839" i="5" s="1"/>
  <c r="E851" i="5" s="1"/>
  <c r="E863" i="5" s="1"/>
  <c r="E875" i="5" s="1"/>
  <c r="E887" i="5" s="1"/>
  <c r="E899" i="5" s="1"/>
  <c r="E911" i="5" s="1"/>
  <c r="E923" i="5" s="1"/>
  <c r="E935" i="5" s="1"/>
  <c r="E947" i="5" s="1"/>
  <c r="E959" i="5" s="1"/>
  <c r="E971" i="5" s="1"/>
  <c r="E983" i="5" s="1"/>
  <c r="E995" i="5" s="1"/>
  <c r="C35" i="5"/>
  <c r="F34" i="5"/>
  <c r="F46" i="5" s="1"/>
  <c r="F58" i="5" s="1"/>
  <c r="F70" i="5" s="1"/>
  <c r="F82" i="5" s="1"/>
  <c r="F94" i="5" s="1"/>
  <c r="F106" i="5" s="1"/>
  <c r="F118" i="5" s="1"/>
  <c r="F130" i="5" s="1"/>
  <c r="F142" i="5" s="1"/>
  <c r="F154" i="5" s="1"/>
  <c r="F166" i="5" s="1"/>
  <c r="F178" i="5" s="1"/>
  <c r="F190" i="5" s="1"/>
  <c r="F202" i="5" s="1"/>
  <c r="F214" i="5" s="1"/>
  <c r="F226" i="5" s="1"/>
  <c r="F238" i="5" s="1"/>
  <c r="F250" i="5" s="1"/>
  <c r="F262" i="5" s="1"/>
  <c r="F274" i="5" s="1"/>
  <c r="F286" i="5" s="1"/>
  <c r="F298" i="5" s="1"/>
  <c r="F310" i="5" s="1"/>
  <c r="F322" i="5" s="1"/>
  <c r="F334" i="5" s="1"/>
  <c r="F346" i="5" s="1"/>
  <c r="F358" i="5" s="1"/>
  <c r="F370" i="5" s="1"/>
  <c r="F382" i="5" s="1"/>
  <c r="F394" i="5" s="1"/>
  <c r="F406" i="5" s="1"/>
  <c r="F418" i="5" s="1"/>
  <c r="F430" i="5" s="1"/>
  <c r="F442" i="5" s="1"/>
  <c r="F454" i="5" s="1"/>
  <c r="F466" i="5" s="1"/>
  <c r="F478" i="5" s="1"/>
  <c r="F490" i="5" s="1"/>
  <c r="F502" i="5" s="1"/>
  <c r="F514" i="5" s="1"/>
  <c r="F526" i="5" s="1"/>
  <c r="F538" i="5" s="1"/>
  <c r="F550" i="5" s="1"/>
  <c r="F562" i="5" s="1"/>
  <c r="F574" i="5" s="1"/>
  <c r="F586" i="5" s="1"/>
  <c r="F598" i="5" s="1"/>
  <c r="F610" i="5" s="1"/>
  <c r="F622" i="5" s="1"/>
  <c r="F634" i="5" s="1"/>
  <c r="F646" i="5" s="1"/>
  <c r="F658" i="5" s="1"/>
  <c r="F670" i="5" s="1"/>
  <c r="F682" i="5" s="1"/>
  <c r="F694" i="5" s="1"/>
  <c r="F706" i="5" s="1"/>
  <c r="F718" i="5" s="1"/>
  <c r="F730" i="5" s="1"/>
  <c r="F742" i="5" s="1"/>
  <c r="F754" i="5" s="1"/>
  <c r="F766" i="5" s="1"/>
  <c r="F778" i="5" s="1"/>
  <c r="F790" i="5" s="1"/>
  <c r="F802" i="5" s="1"/>
  <c r="F814" i="5" s="1"/>
  <c r="F826" i="5" s="1"/>
  <c r="F838" i="5" s="1"/>
  <c r="F850" i="5" s="1"/>
  <c r="F862" i="5" s="1"/>
  <c r="F874" i="5" s="1"/>
  <c r="F886" i="5" s="1"/>
  <c r="F898" i="5" s="1"/>
  <c r="F910" i="5" s="1"/>
  <c r="F922" i="5" s="1"/>
  <c r="F934" i="5" s="1"/>
  <c r="F946" i="5" s="1"/>
  <c r="F958" i="5" s="1"/>
  <c r="F970" i="5" s="1"/>
  <c r="F982" i="5" s="1"/>
  <c r="F994" i="5" s="1"/>
  <c r="E34" i="5"/>
  <c r="E46" i="5" s="1"/>
  <c r="E58" i="5" s="1"/>
  <c r="E70" i="5" s="1"/>
  <c r="E82" i="5" s="1"/>
  <c r="E94" i="5" s="1"/>
  <c r="E106" i="5" s="1"/>
  <c r="E118" i="5" s="1"/>
  <c r="E130" i="5" s="1"/>
  <c r="E142" i="5" s="1"/>
  <c r="E154" i="5" s="1"/>
  <c r="E166" i="5" s="1"/>
  <c r="E178" i="5" s="1"/>
  <c r="E190" i="5" s="1"/>
  <c r="E202" i="5" s="1"/>
  <c r="E214" i="5" s="1"/>
  <c r="E226" i="5" s="1"/>
  <c r="E238" i="5" s="1"/>
  <c r="E250" i="5" s="1"/>
  <c r="E262" i="5" s="1"/>
  <c r="E274" i="5" s="1"/>
  <c r="E286" i="5" s="1"/>
  <c r="E298" i="5" s="1"/>
  <c r="E310" i="5" s="1"/>
  <c r="E322" i="5" s="1"/>
  <c r="E334" i="5" s="1"/>
  <c r="E346" i="5" s="1"/>
  <c r="E358" i="5" s="1"/>
  <c r="E370" i="5" s="1"/>
  <c r="E382" i="5" s="1"/>
  <c r="E394" i="5" s="1"/>
  <c r="E406" i="5" s="1"/>
  <c r="E418" i="5" s="1"/>
  <c r="E430" i="5" s="1"/>
  <c r="E442" i="5" s="1"/>
  <c r="E454" i="5" s="1"/>
  <c r="E466" i="5" s="1"/>
  <c r="E478" i="5" s="1"/>
  <c r="E490" i="5" s="1"/>
  <c r="E502" i="5" s="1"/>
  <c r="E514" i="5" s="1"/>
  <c r="E526" i="5" s="1"/>
  <c r="E538" i="5" s="1"/>
  <c r="E550" i="5" s="1"/>
  <c r="E562" i="5" s="1"/>
  <c r="E574" i="5" s="1"/>
  <c r="E586" i="5" s="1"/>
  <c r="E598" i="5" s="1"/>
  <c r="E610" i="5" s="1"/>
  <c r="E622" i="5" s="1"/>
  <c r="E634" i="5" s="1"/>
  <c r="E646" i="5" s="1"/>
  <c r="E658" i="5" s="1"/>
  <c r="E670" i="5" s="1"/>
  <c r="E682" i="5" s="1"/>
  <c r="E694" i="5" s="1"/>
  <c r="E706" i="5" s="1"/>
  <c r="E718" i="5" s="1"/>
  <c r="E730" i="5" s="1"/>
  <c r="E742" i="5" s="1"/>
  <c r="E754" i="5" s="1"/>
  <c r="E766" i="5" s="1"/>
  <c r="E778" i="5" s="1"/>
  <c r="E790" i="5" s="1"/>
  <c r="E802" i="5" s="1"/>
  <c r="E814" i="5" s="1"/>
  <c r="E826" i="5" s="1"/>
  <c r="E838" i="5" s="1"/>
  <c r="E850" i="5" s="1"/>
  <c r="E862" i="5" s="1"/>
  <c r="E874" i="5" s="1"/>
  <c r="E886" i="5" s="1"/>
  <c r="E898" i="5" s="1"/>
  <c r="E910" i="5" s="1"/>
  <c r="E922" i="5" s="1"/>
  <c r="E934" i="5" s="1"/>
  <c r="E946" i="5" s="1"/>
  <c r="E958" i="5" s="1"/>
  <c r="E970" i="5" s="1"/>
  <c r="E982" i="5" s="1"/>
  <c r="E994" i="5" s="1"/>
  <c r="C34" i="5"/>
  <c r="F33" i="5"/>
  <c r="F45" i="5" s="1"/>
  <c r="F57" i="5" s="1"/>
  <c r="F69" i="5" s="1"/>
  <c r="F81" i="5" s="1"/>
  <c r="F93" i="5" s="1"/>
  <c r="F105" i="5" s="1"/>
  <c r="F117" i="5" s="1"/>
  <c r="F129" i="5" s="1"/>
  <c r="F141" i="5" s="1"/>
  <c r="F153" i="5" s="1"/>
  <c r="F165" i="5" s="1"/>
  <c r="F177" i="5" s="1"/>
  <c r="F189" i="5" s="1"/>
  <c r="F201" i="5" s="1"/>
  <c r="F213" i="5" s="1"/>
  <c r="F225" i="5" s="1"/>
  <c r="F237" i="5" s="1"/>
  <c r="F249" i="5" s="1"/>
  <c r="F261" i="5" s="1"/>
  <c r="F273" i="5" s="1"/>
  <c r="F285" i="5" s="1"/>
  <c r="F297" i="5" s="1"/>
  <c r="F309" i="5" s="1"/>
  <c r="F321" i="5" s="1"/>
  <c r="F333" i="5" s="1"/>
  <c r="F345" i="5" s="1"/>
  <c r="F357" i="5" s="1"/>
  <c r="F369" i="5" s="1"/>
  <c r="F381" i="5" s="1"/>
  <c r="F393" i="5" s="1"/>
  <c r="F405" i="5" s="1"/>
  <c r="F417" i="5" s="1"/>
  <c r="F429" i="5" s="1"/>
  <c r="F441" i="5" s="1"/>
  <c r="F453" i="5" s="1"/>
  <c r="F465" i="5" s="1"/>
  <c r="F477" i="5" s="1"/>
  <c r="F489" i="5" s="1"/>
  <c r="F501" i="5" s="1"/>
  <c r="F513" i="5" s="1"/>
  <c r="F525" i="5" s="1"/>
  <c r="F537" i="5" s="1"/>
  <c r="F549" i="5" s="1"/>
  <c r="F561" i="5" s="1"/>
  <c r="F573" i="5" s="1"/>
  <c r="F585" i="5" s="1"/>
  <c r="F597" i="5" s="1"/>
  <c r="F609" i="5" s="1"/>
  <c r="F621" i="5" s="1"/>
  <c r="F633" i="5" s="1"/>
  <c r="F645" i="5" s="1"/>
  <c r="F657" i="5" s="1"/>
  <c r="F669" i="5" s="1"/>
  <c r="F681" i="5" s="1"/>
  <c r="F693" i="5" s="1"/>
  <c r="F705" i="5" s="1"/>
  <c r="F717" i="5" s="1"/>
  <c r="F729" i="5" s="1"/>
  <c r="F741" i="5" s="1"/>
  <c r="F753" i="5" s="1"/>
  <c r="F765" i="5" s="1"/>
  <c r="F777" i="5" s="1"/>
  <c r="F789" i="5" s="1"/>
  <c r="F801" i="5" s="1"/>
  <c r="F813" i="5" s="1"/>
  <c r="F825" i="5" s="1"/>
  <c r="F837" i="5" s="1"/>
  <c r="F849" i="5" s="1"/>
  <c r="F861" i="5" s="1"/>
  <c r="F873" i="5" s="1"/>
  <c r="F885" i="5" s="1"/>
  <c r="F897" i="5" s="1"/>
  <c r="F909" i="5" s="1"/>
  <c r="F921" i="5" s="1"/>
  <c r="F933" i="5" s="1"/>
  <c r="F945" i="5" s="1"/>
  <c r="F957" i="5" s="1"/>
  <c r="F969" i="5" s="1"/>
  <c r="F981" i="5" s="1"/>
  <c r="F993" i="5" s="1"/>
  <c r="E33" i="5"/>
  <c r="E45" i="5" s="1"/>
  <c r="E57" i="5" s="1"/>
  <c r="E69" i="5" s="1"/>
  <c r="E81" i="5" s="1"/>
  <c r="E93" i="5" s="1"/>
  <c r="E105" i="5" s="1"/>
  <c r="E117" i="5" s="1"/>
  <c r="E129" i="5" s="1"/>
  <c r="E141" i="5" s="1"/>
  <c r="E153" i="5" s="1"/>
  <c r="E165" i="5" s="1"/>
  <c r="E177" i="5" s="1"/>
  <c r="E189" i="5" s="1"/>
  <c r="E201" i="5" s="1"/>
  <c r="E213" i="5" s="1"/>
  <c r="E225" i="5" s="1"/>
  <c r="E237" i="5" s="1"/>
  <c r="E249" i="5" s="1"/>
  <c r="E261" i="5" s="1"/>
  <c r="E273" i="5" s="1"/>
  <c r="E285" i="5" s="1"/>
  <c r="E297" i="5" s="1"/>
  <c r="E309" i="5" s="1"/>
  <c r="E321" i="5" s="1"/>
  <c r="E333" i="5" s="1"/>
  <c r="E345" i="5" s="1"/>
  <c r="E357" i="5" s="1"/>
  <c r="E369" i="5" s="1"/>
  <c r="E381" i="5" s="1"/>
  <c r="E393" i="5" s="1"/>
  <c r="E405" i="5" s="1"/>
  <c r="E417" i="5" s="1"/>
  <c r="E429" i="5" s="1"/>
  <c r="E441" i="5" s="1"/>
  <c r="E453" i="5" s="1"/>
  <c r="E465" i="5" s="1"/>
  <c r="E477" i="5" s="1"/>
  <c r="E489" i="5" s="1"/>
  <c r="E501" i="5" s="1"/>
  <c r="E513" i="5" s="1"/>
  <c r="E525" i="5" s="1"/>
  <c r="E537" i="5" s="1"/>
  <c r="E549" i="5" s="1"/>
  <c r="E561" i="5" s="1"/>
  <c r="E573" i="5" s="1"/>
  <c r="E585" i="5" s="1"/>
  <c r="E597" i="5" s="1"/>
  <c r="E609" i="5" s="1"/>
  <c r="E621" i="5" s="1"/>
  <c r="E633" i="5" s="1"/>
  <c r="E645" i="5" s="1"/>
  <c r="E657" i="5" s="1"/>
  <c r="E669" i="5" s="1"/>
  <c r="E681" i="5" s="1"/>
  <c r="E693" i="5" s="1"/>
  <c r="E705" i="5" s="1"/>
  <c r="E717" i="5" s="1"/>
  <c r="E729" i="5" s="1"/>
  <c r="E741" i="5" s="1"/>
  <c r="E753" i="5" s="1"/>
  <c r="E765" i="5" s="1"/>
  <c r="E777" i="5" s="1"/>
  <c r="E789" i="5" s="1"/>
  <c r="E801" i="5" s="1"/>
  <c r="E813" i="5" s="1"/>
  <c r="E825" i="5" s="1"/>
  <c r="E837" i="5" s="1"/>
  <c r="E849" i="5" s="1"/>
  <c r="E861" i="5" s="1"/>
  <c r="E873" i="5" s="1"/>
  <c r="E885" i="5" s="1"/>
  <c r="E897" i="5" s="1"/>
  <c r="E909" i="5" s="1"/>
  <c r="E921" i="5" s="1"/>
  <c r="E933" i="5" s="1"/>
  <c r="E945" i="5" s="1"/>
  <c r="E957" i="5" s="1"/>
  <c r="E969" i="5" s="1"/>
  <c r="E981" i="5" s="1"/>
  <c r="E993" i="5" s="1"/>
  <c r="C33" i="5"/>
  <c r="F32" i="5"/>
  <c r="F44" i="5" s="1"/>
  <c r="F56" i="5" s="1"/>
  <c r="F68" i="5" s="1"/>
  <c r="F80" i="5" s="1"/>
  <c r="F92" i="5" s="1"/>
  <c r="F104" i="5" s="1"/>
  <c r="F116" i="5" s="1"/>
  <c r="F128" i="5" s="1"/>
  <c r="F140" i="5" s="1"/>
  <c r="F152" i="5" s="1"/>
  <c r="F164" i="5" s="1"/>
  <c r="F176" i="5" s="1"/>
  <c r="F188" i="5" s="1"/>
  <c r="F200" i="5" s="1"/>
  <c r="F212" i="5" s="1"/>
  <c r="F224" i="5" s="1"/>
  <c r="F236" i="5" s="1"/>
  <c r="F248" i="5" s="1"/>
  <c r="F260" i="5" s="1"/>
  <c r="F272" i="5" s="1"/>
  <c r="F284" i="5" s="1"/>
  <c r="F296" i="5" s="1"/>
  <c r="F308" i="5" s="1"/>
  <c r="F320" i="5" s="1"/>
  <c r="F332" i="5" s="1"/>
  <c r="F344" i="5" s="1"/>
  <c r="F356" i="5" s="1"/>
  <c r="F368" i="5" s="1"/>
  <c r="F380" i="5" s="1"/>
  <c r="F392" i="5" s="1"/>
  <c r="F404" i="5" s="1"/>
  <c r="F416" i="5" s="1"/>
  <c r="F428" i="5" s="1"/>
  <c r="F440" i="5" s="1"/>
  <c r="F452" i="5" s="1"/>
  <c r="F464" i="5" s="1"/>
  <c r="F476" i="5" s="1"/>
  <c r="F488" i="5" s="1"/>
  <c r="F500" i="5" s="1"/>
  <c r="F512" i="5" s="1"/>
  <c r="F524" i="5" s="1"/>
  <c r="F536" i="5" s="1"/>
  <c r="F548" i="5" s="1"/>
  <c r="F560" i="5" s="1"/>
  <c r="F572" i="5" s="1"/>
  <c r="F584" i="5" s="1"/>
  <c r="F596" i="5" s="1"/>
  <c r="F608" i="5" s="1"/>
  <c r="F620" i="5" s="1"/>
  <c r="F632" i="5" s="1"/>
  <c r="F644" i="5" s="1"/>
  <c r="F656" i="5" s="1"/>
  <c r="F668" i="5" s="1"/>
  <c r="F680" i="5" s="1"/>
  <c r="F692" i="5" s="1"/>
  <c r="F704" i="5" s="1"/>
  <c r="F716" i="5" s="1"/>
  <c r="F728" i="5" s="1"/>
  <c r="F740" i="5" s="1"/>
  <c r="F752" i="5" s="1"/>
  <c r="F764" i="5" s="1"/>
  <c r="F776" i="5" s="1"/>
  <c r="F788" i="5" s="1"/>
  <c r="F800" i="5" s="1"/>
  <c r="F812" i="5" s="1"/>
  <c r="F824" i="5" s="1"/>
  <c r="F836" i="5" s="1"/>
  <c r="F848" i="5" s="1"/>
  <c r="F860" i="5" s="1"/>
  <c r="F872" i="5" s="1"/>
  <c r="F884" i="5" s="1"/>
  <c r="F896" i="5" s="1"/>
  <c r="F908" i="5" s="1"/>
  <c r="F920" i="5" s="1"/>
  <c r="F932" i="5" s="1"/>
  <c r="F944" i="5" s="1"/>
  <c r="F956" i="5" s="1"/>
  <c r="F968" i="5" s="1"/>
  <c r="F980" i="5" s="1"/>
  <c r="F992" i="5" s="1"/>
  <c r="E32" i="5"/>
  <c r="E44" i="5" s="1"/>
  <c r="E56" i="5" s="1"/>
  <c r="E68" i="5" s="1"/>
  <c r="E80" i="5" s="1"/>
  <c r="E92" i="5" s="1"/>
  <c r="E104" i="5" s="1"/>
  <c r="E116" i="5" s="1"/>
  <c r="E128" i="5" s="1"/>
  <c r="E140" i="5" s="1"/>
  <c r="E152" i="5" s="1"/>
  <c r="E164" i="5" s="1"/>
  <c r="E176" i="5" s="1"/>
  <c r="E188" i="5" s="1"/>
  <c r="E200" i="5" s="1"/>
  <c r="E212" i="5" s="1"/>
  <c r="E224" i="5" s="1"/>
  <c r="E236" i="5" s="1"/>
  <c r="E248" i="5" s="1"/>
  <c r="E260" i="5" s="1"/>
  <c r="E272" i="5" s="1"/>
  <c r="E284" i="5" s="1"/>
  <c r="E296" i="5" s="1"/>
  <c r="E308" i="5" s="1"/>
  <c r="E320" i="5" s="1"/>
  <c r="E332" i="5" s="1"/>
  <c r="E344" i="5" s="1"/>
  <c r="E356" i="5" s="1"/>
  <c r="E368" i="5" s="1"/>
  <c r="E380" i="5" s="1"/>
  <c r="E392" i="5" s="1"/>
  <c r="E404" i="5" s="1"/>
  <c r="E416" i="5" s="1"/>
  <c r="E428" i="5" s="1"/>
  <c r="E440" i="5" s="1"/>
  <c r="E452" i="5" s="1"/>
  <c r="E464" i="5" s="1"/>
  <c r="E476" i="5" s="1"/>
  <c r="E488" i="5" s="1"/>
  <c r="E500" i="5" s="1"/>
  <c r="E512" i="5" s="1"/>
  <c r="E524" i="5" s="1"/>
  <c r="E536" i="5" s="1"/>
  <c r="E548" i="5" s="1"/>
  <c r="E560" i="5" s="1"/>
  <c r="E572" i="5" s="1"/>
  <c r="E584" i="5" s="1"/>
  <c r="E596" i="5" s="1"/>
  <c r="E608" i="5" s="1"/>
  <c r="E620" i="5" s="1"/>
  <c r="E632" i="5" s="1"/>
  <c r="E644" i="5" s="1"/>
  <c r="E656" i="5" s="1"/>
  <c r="E668" i="5" s="1"/>
  <c r="E680" i="5" s="1"/>
  <c r="E692" i="5" s="1"/>
  <c r="E704" i="5" s="1"/>
  <c r="E716" i="5" s="1"/>
  <c r="E728" i="5" s="1"/>
  <c r="E740" i="5" s="1"/>
  <c r="E752" i="5" s="1"/>
  <c r="E764" i="5" s="1"/>
  <c r="E776" i="5" s="1"/>
  <c r="E788" i="5" s="1"/>
  <c r="E800" i="5" s="1"/>
  <c r="E812" i="5" s="1"/>
  <c r="E824" i="5" s="1"/>
  <c r="E836" i="5" s="1"/>
  <c r="E848" i="5" s="1"/>
  <c r="E860" i="5" s="1"/>
  <c r="E872" i="5" s="1"/>
  <c r="E884" i="5" s="1"/>
  <c r="E896" i="5" s="1"/>
  <c r="E908" i="5" s="1"/>
  <c r="E920" i="5" s="1"/>
  <c r="E932" i="5" s="1"/>
  <c r="E944" i="5" s="1"/>
  <c r="E956" i="5" s="1"/>
  <c r="E968" i="5" s="1"/>
  <c r="E980" i="5" s="1"/>
  <c r="E992" i="5" s="1"/>
  <c r="C32" i="5"/>
  <c r="F31" i="5"/>
  <c r="F43" i="5" s="1"/>
  <c r="F55" i="5" s="1"/>
  <c r="F67" i="5" s="1"/>
  <c r="F79" i="5" s="1"/>
  <c r="F91" i="5" s="1"/>
  <c r="F103" i="5" s="1"/>
  <c r="F115" i="5" s="1"/>
  <c r="F127" i="5" s="1"/>
  <c r="F139" i="5" s="1"/>
  <c r="F151" i="5" s="1"/>
  <c r="F163" i="5" s="1"/>
  <c r="F175" i="5" s="1"/>
  <c r="F187" i="5" s="1"/>
  <c r="F199" i="5" s="1"/>
  <c r="F211" i="5" s="1"/>
  <c r="F223" i="5" s="1"/>
  <c r="F235" i="5" s="1"/>
  <c r="F247" i="5" s="1"/>
  <c r="F259" i="5" s="1"/>
  <c r="F271" i="5" s="1"/>
  <c r="F283" i="5" s="1"/>
  <c r="F295" i="5" s="1"/>
  <c r="F307" i="5" s="1"/>
  <c r="F319" i="5" s="1"/>
  <c r="F331" i="5" s="1"/>
  <c r="F343" i="5" s="1"/>
  <c r="F355" i="5" s="1"/>
  <c r="F367" i="5" s="1"/>
  <c r="F379" i="5" s="1"/>
  <c r="F391" i="5" s="1"/>
  <c r="F403" i="5" s="1"/>
  <c r="F415" i="5" s="1"/>
  <c r="F427" i="5" s="1"/>
  <c r="F439" i="5" s="1"/>
  <c r="F451" i="5" s="1"/>
  <c r="F463" i="5" s="1"/>
  <c r="F475" i="5" s="1"/>
  <c r="F487" i="5" s="1"/>
  <c r="F499" i="5" s="1"/>
  <c r="F511" i="5" s="1"/>
  <c r="F523" i="5" s="1"/>
  <c r="F535" i="5" s="1"/>
  <c r="F547" i="5" s="1"/>
  <c r="F559" i="5" s="1"/>
  <c r="F571" i="5" s="1"/>
  <c r="F583" i="5" s="1"/>
  <c r="F595" i="5" s="1"/>
  <c r="F607" i="5" s="1"/>
  <c r="F619" i="5" s="1"/>
  <c r="F631" i="5" s="1"/>
  <c r="F643" i="5" s="1"/>
  <c r="F655" i="5" s="1"/>
  <c r="F667" i="5" s="1"/>
  <c r="F679" i="5" s="1"/>
  <c r="F691" i="5" s="1"/>
  <c r="F703" i="5" s="1"/>
  <c r="F715" i="5" s="1"/>
  <c r="F727" i="5" s="1"/>
  <c r="F739" i="5" s="1"/>
  <c r="F751" i="5" s="1"/>
  <c r="F763" i="5" s="1"/>
  <c r="F775" i="5" s="1"/>
  <c r="F787" i="5" s="1"/>
  <c r="F799" i="5" s="1"/>
  <c r="F811" i="5" s="1"/>
  <c r="F823" i="5" s="1"/>
  <c r="F835" i="5" s="1"/>
  <c r="F847" i="5" s="1"/>
  <c r="F859" i="5" s="1"/>
  <c r="F871" i="5" s="1"/>
  <c r="F883" i="5" s="1"/>
  <c r="F895" i="5" s="1"/>
  <c r="F907" i="5" s="1"/>
  <c r="F919" i="5" s="1"/>
  <c r="F931" i="5" s="1"/>
  <c r="F943" i="5" s="1"/>
  <c r="F955" i="5" s="1"/>
  <c r="F967" i="5" s="1"/>
  <c r="F979" i="5" s="1"/>
  <c r="F991" i="5" s="1"/>
  <c r="E31" i="5"/>
  <c r="E43" i="5" s="1"/>
  <c r="E55" i="5" s="1"/>
  <c r="E67" i="5" s="1"/>
  <c r="E79" i="5" s="1"/>
  <c r="E91" i="5" s="1"/>
  <c r="E103" i="5" s="1"/>
  <c r="E115" i="5" s="1"/>
  <c r="E127" i="5" s="1"/>
  <c r="E139" i="5" s="1"/>
  <c r="E151" i="5" s="1"/>
  <c r="E163" i="5" s="1"/>
  <c r="E175" i="5" s="1"/>
  <c r="E187" i="5" s="1"/>
  <c r="E199" i="5" s="1"/>
  <c r="E211" i="5" s="1"/>
  <c r="E223" i="5" s="1"/>
  <c r="E235" i="5" s="1"/>
  <c r="E247" i="5" s="1"/>
  <c r="E259" i="5" s="1"/>
  <c r="E271" i="5" s="1"/>
  <c r="E283" i="5" s="1"/>
  <c r="E295" i="5" s="1"/>
  <c r="E307" i="5" s="1"/>
  <c r="E319" i="5" s="1"/>
  <c r="E331" i="5" s="1"/>
  <c r="E343" i="5" s="1"/>
  <c r="E355" i="5" s="1"/>
  <c r="E367" i="5" s="1"/>
  <c r="E379" i="5" s="1"/>
  <c r="E391" i="5" s="1"/>
  <c r="E403" i="5" s="1"/>
  <c r="E415" i="5" s="1"/>
  <c r="E427" i="5" s="1"/>
  <c r="E439" i="5" s="1"/>
  <c r="E451" i="5" s="1"/>
  <c r="E463" i="5" s="1"/>
  <c r="E475" i="5" s="1"/>
  <c r="E487" i="5" s="1"/>
  <c r="E499" i="5" s="1"/>
  <c r="E511" i="5" s="1"/>
  <c r="E523" i="5" s="1"/>
  <c r="E535" i="5" s="1"/>
  <c r="E547" i="5" s="1"/>
  <c r="E559" i="5" s="1"/>
  <c r="E571" i="5" s="1"/>
  <c r="E583" i="5" s="1"/>
  <c r="E595" i="5" s="1"/>
  <c r="E607" i="5" s="1"/>
  <c r="E619" i="5" s="1"/>
  <c r="E631" i="5" s="1"/>
  <c r="E643" i="5" s="1"/>
  <c r="E655" i="5" s="1"/>
  <c r="E667" i="5" s="1"/>
  <c r="E679" i="5" s="1"/>
  <c r="E691" i="5" s="1"/>
  <c r="E703" i="5" s="1"/>
  <c r="E715" i="5" s="1"/>
  <c r="E727" i="5" s="1"/>
  <c r="E739" i="5" s="1"/>
  <c r="E751" i="5" s="1"/>
  <c r="E763" i="5" s="1"/>
  <c r="E775" i="5" s="1"/>
  <c r="E787" i="5" s="1"/>
  <c r="E799" i="5" s="1"/>
  <c r="E811" i="5" s="1"/>
  <c r="E823" i="5" s="1"/>
  <c r="E835" i="5" s="1"/>
  <c r="E847" i="5" s="1"/>
  <c r="E859" i="5" s="1"/>
  <c r="E871" i="5" s="1"/>
  <c r="E883" i="5" s="1"/>
  <c r="E895" i="5" s="1"/>
  <c r="E907" i="5" s="1"/>
  <c r="E919" i="5" s="1"/>
  <c r="E931" i="5" s="1"/>
  <c r="E943" i="5" s="1"/>
  <c r="E955" i="5" s="1"/>
  <c r="E967" i="5" s="1"/>
  <c r="E979" i="5" s="1"/>
  <c r="E991" i="5" s="1"/>
  <c r="C31" i="5"/>
  <c r="F30" i="5"/>
  <c r="F42" i="5" s="1"/>
  <c r="F54" i="5" s="1"/>
  <c r="F66" i="5" s="1"/>
  <c r="F78" i="5" s="1"/>
  <c r="F90" i="5" s="1"/>
  <c r="F102" i="5" s="1"/>
  <c r="F114" i="5" s="1"/>
  <c r="F126" i="5" s="1"/>
  <c r="F138" i="5" s="1"/>
  <c r="F150" i="5" s="1"/>
  <c r="F162" i="5" s="1"/>
  <c r="F174" i="5" s="1"/>
  <c r="F186" i="5" s="1"/>
  <c r="F198" i="5" s="1"/>
  <c r="F210" i="5" s="1"/>
  <c r="F222" i="5" s="1"/>
  <c r="F234" i="5" s="1"/>
  <c r="F246" i="5" s="1"/>
  <c r="F258" i="5" s="1"/>
  <c r="F270" i="5" s="1"/>
  <c r="F282" i="5" s="1"/>
  <c r="F294" i="5" s="1"/>
  <c r="F306" i="5" s="1"/>
  <c r="F318" i="5" s="1"/>
  <c r="F330" i="5" s="1"/>
  <c r="F342" i="5" s="1"/>
  <c r="F354" i="5" s="1"/>
  <c r="F366" i="5" s="1"/>
  <c r="F378" i="5" s="1"/>
  <c r="F390" i="5" s="1"/>
  <c r="F402" i="5" s="1"/>
  <c r="F414" i="5" s="1"/>
  <c r="F426" i="5" s="1"/>
  <c r="F438" i="5" s="1"/>
  <c r="F450" i="5" s="1"/>
  <c r="F462" i="5" s="1"/>
  <c r="F474" i="5" s="1"/>
  <c r="F486" i="5" s="1"/>
  <c r="F498" i="5" s="1"/>
  <c r="F510" i="5" s="1"/>
  <c r="F522" i="5" s="1"/>
  <c r="F534" i="5" s="1"/>
  <c r="F546" i="5" s="1"/>
  <c r="F558" i="5" s="1"/>
  <c r="F570" i="5" s="1"/>
  <c r="F582" i="5" s="1"/>
  <c r="F594" i="5" s="1"/>
  <c r="F606" i="5" s="1"/>
  <c r="F618" i="5" s="1"/>
  <c r="F630" i="5" s="1"/>
  <c r="F642" i="5" s="1"/>
  <c r="F654" i="5" s="1"/>
  <c r="F666" i="5" s="1"/>
  <c r="F678" i="5" s="1"/>
  <c r="F690" i="5" s="1"/>
  <c r="F702" i="5" s="1"/>
  <c r="F714" i="5" s="1"/>
  <c r="F726" i="5" s="1"/>
  <c r="F738" i="5" s="1"/>
  <c r="F750" i="5" s="1"/>
  <c r="F762" i="5" s="1"/>
  <c r="F774" i="5" s="1"/>
  <c r="F786" i="5" s="1"/>
  <c r="F798" i="5" s="1"/>
  <c r="F810" i="5" s="1"/>
  <c r="F822" i="5" s="1"/>
  <c r="F834" i="5" s="1"/>
  <c r="F846" i="5" s="1"/>
  <c r="F858" i="5" s="1"/>
  <c r="F870" i="5" s="1"/>
  <c r="F882" i="5" s="1"/>
  <c r="F894" i="5" s="1"/>
  <c r="F906" i="5" s="1"/>
  <c r="F918" i="5" s="1"/>
  <c r="F930" i="5" s="1"/>
  <c r="F942" i="5" s="1"/>
  <c r="F954" i="5" s="1"/>
  <c r="F966" i="5" s="1"/>
  <c r="F978" i="5" s="1"/>
  <c r="F990" i="5" s="1"/>
  <c r="E30" i="5"/>
  <c r="E42" i="5" s="1"/>
  <c r="E54" i="5" s="1"/>
  <c r="E66" i="5" s="1"/>
  <c r="E78" i="5" s="1"/>
  <c r="E90" i="5" s="1"/>
  <c r="E102" i="5" s="1"/>
  <c r="E114" i="5" s="1"/>
  <c r="E126" i="5" s="1"/>
  <c r="E138" i="5" s="1"/>
  <c r="E150" i="5" s="1"/>
  <c r="E162" i="5" s="1"/>
  <c r="E174" i="5" s="1"/>
  <c r="E186" i="5" s="1"/>
  <c r="E198" i="5" s="1"/>
  <c r="E210" i="5" s="1"/>
  <c r="E222" i="5" s="1"/>
  <c r="E234" i="5" s="1"/>
  <c r="E246" i="5" s="1"/>
  <c r="E258" i="5" s="1"/>
  <c r="E270" i="5" s="1"/>
  <c r="E282" i="5" s="1"/>
  <c r="E294" i="5" s="1"/>
  <c r="E306" i="5" s="1"/>
  <c r="E318" i="5" s="1"/>
  <c r="E330" i="5" s="1"/>
  <c r="E342" i="5" s="1"/>
  <c r="E354" i="5" s="1"/>
  <c r="E366" i="5" s="1"/>
  <c r="E378" i="5" s="1"/>
  <c r="E390" i="5" s="1"/>
  <c r="E402" i="5" s="1"/>
  <c r="E414" i="5" s="1"/>
  <c r="E426" i="5" s="1"/>
  <c r="E438" i="5" s="1"/>
  <c r="E450" i="5" s="1"/>
  <c r="E462" i="5" s="1"/>
  <c r="E474" i="5" s="1"/>
  <c r="E486" i="5" s="1"/>
  <c r="E498" i="5" s="1"/>
  <c r="E510" i="5" s="1"/>
  <c r="E522" i="5" s="1"/>
  <c r="E534" i="5" s="1"/>
  <c r="E546" i="5" s="1"/>
  <c r="E558" i="5" s="1"/>
  <c r="E570" i="5" s="1"/>
  <c r="E582" i="5" s="1"/>
  <c r="E594" i="5" s="1"/>
  <c r="E606" i="5" s="1"/>
  <c r="E618" i="5" s="1"/>
  <c r="E630" i="5" s="1"/>
  <c r="E642" i="5" s="1"/>
  <c r="E654" i="5" s="1"/>
  <c r="E666" i="5" s="1"/>
  <c r="E678" i="5" s="1"/>
  <c r="E690" i="5" s="1"/>
  <c r="E702" i="5" s="1"/>
  <c r="E714" i="5" s="1"/>
  <c r="E726" i="5" s="1"/>
  <c r="E738" i="5" s="1"/>
  <c r="E750" i="5" s="1"/>
  <c r="E762" i="5" s="1"/>
  <c r="E774" i="5" s="1"/>
  <c r="E786" i="5" s="1"/>
  <c r="E798" i="5" s="1"/>
  <c r="E810" i="5" s="1"/>
  <c r="E822" i="5" s="1"/>
  <c r="E834" i="5" s="1"/>
  <c r="E846" i="5" s="1"/>
  <c r="E858" i="5" s="1"/>
  <c r="E870" i="5" s="1"/>
  <c r="E882" i="5" s="1"/>
  <c r="E894" i="5" s="1"/>
  <c r="E906" i="5" s="1"/>
  <c r="E918" i="5" s="1"/>
  <c r="E930" i="5" s="1"/>
  <c r="E942" i="5" s="1"/>
  <c r="E954" i="5" s="1"/>
  <c r="E966" i="5" s="1"/>
  <c r="E978" i="5" s="1"/>
  <c r="E990" i="5" s="1"/>
  <c r="C30" i="5"/>
  <c r="F29" i="5"/>
  <c r="F41" i="5" s="1"/>
  <c r="F53" i="5" s="1"/>
  <c r="F65" i="5" s="1"/>
  <c r="F77" i="5" s="1"/>
  <c r="F89" i="5" s="1"/>
  <c r="F101" i="5" s="1"/>
  <c r="F113" i="5" s="1"/>
  <c r="F125" i="5" s="1"/>
  <c r="F137" i="5" s="1"/>
  <c r="F149" i="5" s="1"/>
  <c r="F161" i="5" s="1"/>
  <c r="F173" i="5" s="1"/>
  <c r="F185" i="5" s="1"/>
  <c r="F197" i="5" s="1"/>
  <c r="F209" i="5" s="1"/>
  <c r="F221" i="5" s="1"/>
  <c r="F233" i="5" s="1"/>
  <c r="F245" i="5" s="1"/>
  <c r="F257" i="5" s="1"/>
  <c r="F269" i="5" s="1"/>
  <c r="F281" i="5" s="1"/>
  <c r="F293" i="5" s="1"/>
  <c r="F305" i="5" s="1"/>
  <c r="F317" i="5" s="1"/>
  <c r="F329" i="5" s="1"/>
  <c r="F341" i="5" s="1"/>
  <c r="F353" i="5" s="1"/>
  <c r="F365" i="5" s="1"/>
  <c r="F377" i="5" s="1"/>
  <c r="F389" i="5" s="1"/>
  <c r="F401" i="5" s="1"/>
  <c r="F413" i="5" s="1"/>
  <c r="F425" i="5" s="1"/>
  <c r="F437" i="5" s="1"/>
  <c r="F449" i="5" s="1"/>
  <c r="F461" i="5" s="1"/>
  <c r="F473" i="5" s="1"/>
  <c r="F485" i="5" s="1"/>
  <c r="F497" i="5" s="1"/>
  <c r="F509" i="5" s="1"/>
  <c r="F521" i="5" s="1"/>
  <c r="F533" i="5" s="1"/>
  <c r="F545" i="5" s="1"/>
  <c r="F557" i="5" s="1"/>
  <c r="F569" i="5" s="1"/>
  <c r="F581" i="5" s="1"/>
  <c r="F593" i="5" s="1"/>
  <c r="F605" i="5" s="1"/>
  <c r="F617" i="5" s="1"/>
  <c r="F629" i="5" s="1"/>
  <c r="F641" i="5" s="1"/>
  <c r="F653" i="5" s="1"/>
  <c r="F665" i="5" s="1"/>
  <c r="F677" i="5" s="1"/>
  <c r="F689" i="5" s="1"/>
  <c r="F701" i="5" s="1"/>
  <c r="F713" i="5" s="1"/>
  <c r="F725" i="5" s="1"/>
  <c r="F737" i="5" s="1"/>
  <c r="F749" i="5" s="1"/>
  <c r="F761" i="5" s="1"/>
  <c r="F773" i="5" s="1"/>
  <c r="F785" i="5" s="1"/>
  <c r="F797" i="5" s="1"/>
  <c r="F809" i="5" s="1"/>
  <c r="F821" i="5" s="1"/>
  <c r="F833" i="5" s="1"/>
  <c r="F845" i="5" s="1"/>
  <c r="F857" i="5" s="1"/>
  <c r="F869" i="5" s="1"/>
  <c r="F881" i="5" s="1"/>
  <c r="F893" i="5" s="1"/>
  <c r="F905" i="5" s="1"/>
  <c r="F917" i="5" s="1"/>
  <c r="F929" i="5" s="1"/>
  <c r="F941" i="5" s="1"/>
  <c r="F953" i="5" s="1"/>
  <c r="F965" i="5" s="1"/>
  <c r="F977" i="5" s="1"/>
  <c r="F989" i="5" s="1"/>
  <c r="E29" i="5"/>
  <c r="E41" i="5" s="1"/>
  <c r="E53" i="5" s="1"/>
  <c r="E65" i="5" s="1"/>
  <c r="E77" i="5" s="1"/>
  <c r="E89" i="5" s="1"/>
  <c r="E101" i="5" s="1"/>
  <c r="E113" i="5" s="1"/>
  <c r="E125" i="5" s="1"/>
  <c r="E137" i="5" s="1"/>
  <c r="E149" i="5" s="1"/>
  <c r="E161" i="5" s="1"/>
  <c r="E173" i="5" s="1"/>
  <c r="E185" i="5" s="1"/>
  <c r="E197" i="5" s="1"/>
  <c r="E209" i="5" s="1"/>
  <c r="E221" i="5" s="1"/>
  <c r="E233" i="5" s="1"/>
  <c r="E245" i="5" s="1"/>
  <c r="E257" i="5" s="1"/>
  <c r="E269" i="5" s="1"/>
  <c r="E281" i="5" s="1"/>
  <c r="E293" i="5" s="1"/>
  <c r="E305" i="5" s="1"/>
  <c r="E317" i="5" s="1"/>
  <c r="E329" i="5" s="1"/>
  <c r="E341" i="5" s="1"/>
  <c r="E353" i="5" s="1"/>
  <c r="E365" i="5" s="1"/>
  <c r="E377" i="5" s="1"/>
  <c r="E389" i="5" s="1"/>
  <c r="E401" i="5" s="1"/>
  <c r="E413" i="5" s="1"/>
  <c r="E425" i="5" s="1"/>
  <c r="E437" i="5" s="1"/>
  <c r="E449" i="5" s="1"/>
  <c r="E461" i="5" s="1"/>
  <c r="E473" i="5" s="1"/>
  <c r="E485" i="5" s="1"/>
  <c r="E497" i="5" s="1"/>
  <c r="E509" i="5" s="1"/>
  <c r="E521" i="5" s="1"/>
  <c r="E533" i="5" s="1"/>
  <c r="E545" i="5" s="1"/>
  <c r="E557" i="5" s="1"/>
  <c r="E569" i="5" s="1"/>
  <c r="E581" i="5" s="1"/>
  <c r="E593" i="5" s="1"/>
  <c r="E605" i="5" s="1"/>
  <c r="E617" i="5" s="1"/>
  <c r="E629" i="5" s="1"/>
  <c r="E641" i="5" s="1"/>
  <c r="E653" i="5" s="1"/>
  <c r="E665" i="5" s="1"/>
  <c r="E677" i="5" s="1"/>
  <c r="E689" i="5" s="1"/>
  <c r="E701" i="5" s="1"/>
  <c r="E713" i="5" s="1"/>
  <c r="E725" i="5" s="1"/>
  <c r="E737" i="5" s="1"/>
  <c r="E749" i="5" s="1"/>
  <c r="E761" i="5" s="1"/>
  <c r="E773" i="5" s="1"/>
  <c r="E785" i="5" s="1"/>
  <c r="E797" i="5" s="1"/>
  <c r="E809" i="5" s="1"/>
  <c r="E821" i="5" s="1"/>
  <c r="E833" i="5" s="1"/>
  <c r="E845" i="5" s="1"/>
  <c r="E857" i="5" s="1"/>
  <c r="E869" i="5" s="1"/>
  <c r="E881" i="5" s="1"/>
  <c r="E893" i="5" s="1"/>
  <c r="E905" i="5" s="1"/>
  <c r="E917" i="5" s="1"/>
  <c r="E929" i="5" s="1"/>
  <c r="E941" i="5" s="1"/>
  <c r="E953" i="5" s="1"/>
  <c r="E965" i="5" s="1"/>
  <c r="E977" i="5" s="1"/>
  <c r="E989" i="5" s="1"/>
  <c r="C29" i="5"/>
  <c r="F28" i="5"/>
  <c r="F40" i="5" s="1"/>
  <c r="F52" i="5" s="1"/>
  <c r="F64" i="5" s="1"/>
  <c r="F76" i="5" s="1"/>
  <c r="F88" i="5" s="1"/>
  <c r="F100" i="5" s="1"/>
  <c r="F112" i="5" s="1"/>
  <c r="F124" i="5" s="1"/>
  <c r="F136" i="5" s="1"/>
  <c r="F148" i="5" s="1"/>
  <c r="F160" i="5" s="1"/>
  <c r="F172" i="5" s="1"/>
  <c r="F184" i="5" s="1"/>
  <c r="F196" i="5" s="1"/>
  <c r="F208" i="5" s="1"/>
  <c r="F220" i="5" s="1"/>
  <c r="F232" i="5" s="1"/>
  <c r="F244" i="5" s="1"/>
  <c r="F256" i="5" s="1"/>
  <c r="F268" i="5" s="1"/>
  <c r="F280" i="5" s="1"/>
  <c r="F292" i="5" s="1"/>
  <c r="F304" i="5" s="1"/>
  <c r="F316" i="5" s="1"/>
  <c r="F328" i="5" s="1"/>
  <c r="F340" i="5" s="1"/>
  <c r="F352" i="5" s="1"/>
  <c r="F364" i="5" s="1"/>
  <c r="F376" i="5" s="1"/>
  <c r="F388" i="5" s="1"/>
  <c r="F400" i="5" s="1"/>
  <c r="F412" i="5" s="1"/>
  <c r="F424" i="5" s="1"/>
  <c r="F436" i="5" s="1"/>
  <c r="F448" i="5" s="1"/>
  <c r="F460" i="5" s="1"/>
  <c r="F472" i="5" s="1"/>
  <c r="F484" i="5" s="1"/>
  <c r="F496" i="5" s="1"/>
  <c r="F508" i="5" s="1"/>
  <c r="F520" i="5" s="1"/>
  <c r="F532" i="5" s="1"/>
  <c r="F544" i="5" s="1"/>
  <c r="F556" i="5" s="1"/>
  <c r="F568" i="5" s="1"/>
  <c r="F580" i="5" s="1"/>
  <c r="F592" i="5" s="1"/>
  <c r="F604" i="5" s="1"/>
  <c r="F616" i="5" s="1"/>
  <c r="F628" i="5" s="1"/>
  <c r="F640" i="5" s="1"/>
  <c r="F652" i="5" s="1"/>
  <c r="F664" i="5" s="1"/>
  <c r="F676" i="5" s="1"/>
  <c r="F688" i="5" s="1"/>
  <c r="F700" i="5" s="1"/>
  <c r="F712" i="5" s="1"/>
  <c r="F724" i="5" s="1"/>
  <c r="F736" i="5" s="1"/>
  <c r="F748" i="5" s="1"/>
  <c r="F760" i="5" s="1"/>
  <c r="F772" i="5" s="1"/>
  <c r="F784" i="5" s="1"/>
  <c r="F796" i="5" s="1"/>
  <c r="F808" i="5" s="1"/>
  <c r="F820" i="5" s="1"/>
  <c r="F832" i="5" s="1"/>
  <c r="F844" i="5" s="1"/>
  <c r="F856" i="5" s="1"/>
  <c r="F868" i="5" s="1"/>
  <c r="F880" i="5" s="1"/>
  <c r="F892" i="5" s="1"/>
  <c r="F904" i="5" s="1"/>
  <c r="F916" i="5" s="1"/>
  <c r="F928" i="5" s="1"/>
  <c r="F940" i="5" s="1"/>
  <c r="F952" i="5" s="1"/>
  <c r="F964" i="5" s="1"/>
  <c r="F976" i="5" s="1"/>
  <c r="F988" i="5" s="1"/>
  <c r="E28" i="5"/>
  <c r="E40" i="5" s="1"/>
  <c r="E52" i="5" s="1"/>
  <c r="E64" i="5" s="1"/>
  <c r="E76" i="5" s="1"/>
  <c r="E88" i="5" s="1"/>
  <c r="E100" i="5" s="1"/>
  <c r="E112" i="5" s="1"/>
  <c r="E124" i="5" s="1"/>
  <c r="E136" i="5" s="1"/>
  <c r="E148" i="5" s="1"/>
  <c r="E160" i="5" s="1"/>
  <c r="E172" i="5" s="1"/>
  <c r="E184" i="5" s="1"/>
  <c r="E196" i="5" s="1"/>
  <c r="E208" i="5" s="1"/>
  <c r="E220" i="5" s="1"/>
  <c r="E232" i="5" s="1"/>
  <c r="E244" i="5" s="1"/>
  <c r="E256" i="5" s="1"/>
  <c r="E268" i="5" s="1"/>
  <c r="E280" i="5" s="1"/>
  <c r="E292" i="5" s="1"/>
  <c r="E304" i="5" s="1"/>
  <c r="E316" i="5" s="1"/>
  <c r="E328" i="5" s="1"/>
  <c r="E340" i="5" s="1"/>
  <c r="E352" i="5" s="1"/>
  <c r="E364" i="5" s="1"/>
  <c r="E376" i="5" s="1"/>
  <c r="E388" i="5" s="1"/>
  <c r="E400" i="5" s="1"/>
  <c r="E412" i="5" s="1"/>
  <c r="E424" i="5" s="1"/>
  <c r="E436" i="5" s="1"/>
  <c r="E448" i="5" s="1"/>
  <c r="E460" i="5" s="1"/>
  <c r="E472" i="5" s="1"/>
  <c r="E484" i="5" s="1"/>
  <c r="E496" i="5" s="1"/>
  <c r="E508" i="5" s="1"/>
  <c r="E520" i="5" s="1"/>
  <c r="E532" i="5" s="1"/>
  <c r="E544" i="5" s="1"/>
  <c r="E556" i="5" s="1"/>
  <c r="E568" i="5" s="1"/>
  <c r="E580" i="5" s="1"/>
  <c r="E592" i="5" s="1"/>
  <c r="E604" i="5" s="1"/>
  <c r="E616" i="5" s="1"/>
  <c r="E628" i="5" s="1"/>
  <c r="E640" i="5" s="1"/>
  <c r="E652" i="5" s="1"/>
  <c r="E664" i="5" s="1"/>
  <c r="E676" i="5" s="1"/>
  <c r="E688" i="5" s="1"/>
  <c r="E700" i="5" s="1"/>
  <c r="E712" i="5" s="1"/>
  <c r="E724" i="5" s="1"/>
  <c r="E736" i="5" s="1"/>
  <c r="E748" i="5" s="1"/>
  <c r="E760" i="5" s="1"/>
  <c r="E772" i="5" s="1"/>
  <c r="E784" i="5" s="1"/>
  <c r="E796" i="5" s="1"/>
  <c r="E808" i="5" s="1"/>
  <c r="E820" i="5" s="1"/>
  <c r="E832" i="5" s="1"/>
  <c r="E844" i="5" s="1"/>
  <c r="E856" i="5" s="1"/>
  <c r="E868" i="5" s="1"/>
  <c r="E880" i="5" s="1"/>
  <c r="E892" i="5" s="1"/>
  <c r="E904" i="5" s="1"/>
  <c r="E916" i="5" s="1"/>
  <c r="E928" i="5" s="1"/>
  <c r="E940" i="5" s="1"/>
  <c r="E952" i="5" s="1"/>
  <c r="E964" i="5" s="1"/>
  <c r="E976" i="5" s="1"/>
  <c r="E988" i="5" s="1"/>
  <c r="C28" i="5"/>
  <c r="F27" i="5"/>
  <c r="F39" i="5" s="1"/>
  <c r="F51" i="5" s="1"/>
  <c r="F63" i="5" s="1"/>
  <c r="F75" i="5" s="1"/>
  <c r="F87" i="5" s="1"/>
  <c r="F99" i="5" s="1"/>
  <c r="F111" i="5" s="1"/>
  <c r="F123" i="5" s="1"/>
  <c r="F135" i="5" s="1"/>
  <c r="F147" i="5" s="1"/>
  <c r="F159" i="5" s="1"/>
  <c r="F171" i="5" s="1"/>
  <c r="F183" i="5" s="1"/>
  <c r="F195" i="5" s="1"/>
  <c r="F207" i="5" s="1"/>
  <c r="F219" i="5" s="1"/>
  <c r="F231" i="5" s="1"/>
  <c r="F243" i="5" s="1"/>
  <c r="F255" i="5" s="1"/>
  <c r="F267" i="5" s="1"/>
  <c r="F279" i="5" s="1"/>
  <c r="F291" i="5" s="1"/>
  <c r="F303" i="5" s="1"/>
  <c r="F315" i="5" s="1"/>
  <c r="F327" i="5" s="1"/>
  <c r="F339" i="5" s="1"/>
  <c r="F351" i="5" s="1"/>
  <c r="F363" i="5" s="1"/>
  <c r="F375" i="5" s="1"/>
  <c r="F387" i="5" s="1"/>
  <c r="F399" i="5" s="1"/>
  <c r="F411" i="5" s="1"/>
  <c r="F423" i="5" s="1"/>
  <c r="F435" i="5" s="1"/>
  <c r="F447" i="5" s="1"/>
  <c r="F459" i="5" s="1"/>
  <c r="F471" i="5" s="1"/>
  <c r="F483" i="5" s="1"/>
  <c r="F495" i="5" s="1"/>
  <c r="F507" i="5" s="1"/>
  <c r="F519" i="5" s="1"/>
  <c r="F531" i="5" s="1"/>
  <c r="F543" i="5" s="1"/>
  <c r="F555" i="5" s="1"/>
  <c r="F567" i="5" s="1"/>
  <c r="F579" i="5" s="1"/>
  <c r="F591" i="5" s="1"/>
  <c r="F603" i="5" s="1"/>
  <c r="F615" i="5" s="1"/>
  <c r="F627" i="5" s="1"/>
  <c r="F639" i="5" s="1"/>
  <c r="F651" i="5" s="1"/>
  <c r="F663" i="5" s="1"/>
  <c r="F675" i="5" s="1"/>
  <c r="F687" i="5" s="1"/>
  <c r="F699" i="5" s="1"/>
  <c r="F711" i="5" s="1"/>
  <c r="F723" i="5" s="1"/>
  <c r="F735" i="5" s="1"/>
  <c r="F747" i="5" s="1"/>
  <c r="F759" i="5" s="1"/>
  <c r="F771" i="5" s="1"/>
  <c r="F783" i="5" s="1"/>
  <c r="F795" i="5" s="1"/>
  <c r="F807" i="5" s="1"/>
  <c r="F819" i="5" s="1"/>
  <c r="F831" i="5" s="1"/>
  <c r="F843" i="5" s="1"/>
  <c r="F855" i="5" s="1"/>
  <c r="F867" i="5" s="1"/>
  <c r="F879" i="5" s="1"/>
  <c r="F891" i="5" s="1"/>
  <c r="F903" i="5" s="1"/>
  <c r="F915" i="5" s="1"/>
  <c r="F927" i="5" s="1"/>
  <c r="F939" i="5" s="1"/>
  <c r="F951" i="5" s="1"/>
  <c r="F963" i="5" s="1"/>
  <c r="F975" i="5" s="1"/>
  <c r="F987" i="5" s="1"/>
  <c r="E27" i="5"/>
  <c r="E39" i="5" s="1"/>
  <c r="E51" i="5" s="1"/>
  <c r="E63" i="5" s="1"/>
  <c r="E75" i="5" s="1"/>
  <c r="E87" i="5" s="1"/>
  <c r="E99" i="5" s="1"/>
  <c r="E111" i="5" s="1"/>
  <c r="E123" i="5" s="1"/>
  <c r="E135" i="5" s="1"/>
  <c r="E147" i="5" s="1"/>
  <c r="E159" i="5" s="1"/>
  <c r="E171" i="5" s="1"/>
  <c r="E183" i="5" s="1"/>
  <c r="E195" i="5" s="1"/>
  <c r="E207" i="5" s="1"/>
  <c r="E219" i="5" s="1"/>
  <c r="E231" i="5" s="1"/>
  <c r="E243" i="5" s="1"/>
  <c r="E255" i="5" s="1"/>
  <c r="E267" i="5" s="1"/>
  <c r="E279" i="5" s="1"/>
  <c r="E291" i="5" s="1"/>
  <c r="E303" i="5" s="1"/>
  <c r="E315" i="5" s="1"/>
  <c r="E327" i="5" s="1"/>
  <c r="E339" i="5" s="1"/>
  <c r="E351" i="5" s="1"/>
  <c r="E363" i="5" s="1"/>
  <c r="E375" i="5" s="1"/>
  <c r="E387" i="5" s="1"/>
  <c r="E399" i="5" s="1"/>
  <c r="E411" i="5" s="1"/>
  <c r="E423" i="5" s="1"/>
  <c r="E435" i="5" s="1"/>
  <c r="E447" i="5" s="1"/>
  <c r="E459" i="5" s="1"/>
  <c r="E471" i="5" s="1"/>
  <c r="E483" i="5" s="1"/>
  <c r="E495" i="5" s="1"/>
  <c r="E507" i="5" s="1"/>
  <c r="E519" i="5" s="1"/>
  <c r="E531" i="5" s="1"/>
  <c r="E543" i="5" s="1"/>
  <c r="E555" i="5" s="1"/>
  <c r="E567" i="5" s="1"/>
  <c r="E579" i="5" s="1"/>
  <c r="E591" i="5" s="1"/>
  <c r="E603" i="5" s="1"/>
  <c r="E615" i="5" s="1"/>
  <c r="E627" i="5" s="1"/>
  <c r="E639" i="5" s="1"/>
  <c r="E651" i="5" s="1"/>
  <c r="E663" i="5" s="1"/>
  <c r="E675" i="5" s="1"/>
  <c r="E687" i="5" s="1"/>
  <c r="E699" i="5" s="1"/>
  <c r="E711" i="5" s="1"/>
  <c r="E723" i="5" s="1"/>
  <c r="E735" i="5" s="1"/>
  <c r="E747" i="5" s="1"/>
  <c r="E759" i="5" s="1"/>
  <c r="E771" i="5" s="1"/>
  <c r="E783" i="5" s="1"/>
  <c r="E795" i="5" s="1"/>
  <c r="E807" i="5" s="1"/>
  <c r="E819" i="5" s="1"/>
  <c r="E831" i="5" s="1"/>
  <c r="E843" i="5" s="1"/>
  <c r="E855" i="5" s="1"/>
  <c r="E867" i="5" s="1"/>
  <c r="E879" i="5" s="1"/>
  <c r="E891" i="5" s="1"/>
  <c r="E903" i="5" s="1"/>
  <c r="E915" i="5" s="1"/>
  <c r="E927" i="5" s="1"/>
  <c r="E939" i="5" s="1"/>
  <c r="E951" i="5" s="1"/>
  <c r="E963" i="5" s="1"/>
  <c r="E975" i="5" s="1"/>
  <c r="E987" i="5" s="1"/>
  <c r="C27" i="5"/>
  <c r="F26" i="5"/>
  <c r="F38" i="5" s="1"/>
  <c r="F50" i="5" s="1"/>
  <c r="F62" i="5" s="1"/>
  <c r="F74" i="5" s="1"/>
  <c r="F86" i="5" s="1"/>
  <c r="F98" i="5" s="1"/>
  <c r="F110" i="5" s="1"/>
  <c r="F122" i="5" s="1"/>
  <c r="F134" i="5" s="1"/>
  <c r="F146" i="5" s="1"/>
  <c r="F158" i="5" s="1"/>
  <c r="F170" i="5" s="1"/>
  <c r="F182" i="5" s="1"/>
  <c r="F194" i="5" s="1"/>
  <c r="F206" i="5" s="1"/>
  <c r="F218" i="5" s="1"/>
  <c r="F230" i="5" s="1"/>
  <c r="F242" i="5" s="1"/>
  <c r="F254" i="5" s="1"/>
  <c r="F266" i="5" s="1"/>
  <c r="F278" i="5" s="1"/>
  <c r="F290" i="5" s="1"/>
  <c r="F302" i="5" s="1"/>
  <c r="F314" i="5" s="1"/>
  <c r="F326" i="5" s="1"/>
  <c r="F338" i="5" s="1"/>
  <c r="F350" i="5" s="1"/>
  <c r="F362" i="5" s="1"/>
  <c r="F374" i="5" s="1"/>
  <c r="F386" i="5" s="1"/>
  <c r="F398" i="5" s="1"/>
  <c r="F410" i="5" s="1"/>
  <c r="F422" i="5" s="1"/>
  <c r="F434" i="5" s="1"/>
  <c r="F446" i="5" s="1"/>
  <c r="F458" i="5" s="1"/>
  <c r="F470" i="5" s="1"/>
  <c r="F482" i="5" s="1"/>
  <c r="F494" i="5" s="1"/>
  <c r="F506" i="5" s="1"/>
  <c r="F518" i="5" s="1"/>
  <c r="F530" i="5" s="1"/>
  <c r="F542" i="5" s="1"/>
  <c r="F554" i="5" s="1"/>
  <c r="F566" i="5" s="1"/>
  <c r="F578" i="5" s="1"/>
  <c r="F590" i="5" s="1"/>
  <c r="F602" i="5" s="1"/>
  <c r="F614" i="5" s="1"/>
  <c r="F626" i="5" s="1"/>
  <c r="F638" i="5" s="1"/>
  <c r="F650" i="5" s="1"/>
  <c r="F662" i="5" s="1"/>
  <c r="F674" i="5" s="1"/>
  <c r="F686" i="5" s="1"/>
  <c r="F698" i="5" s="1"/>
  <c r="F710" i="5" s="1"/>
  <c r="F722" i="5" s="1"/>
  <c r="F734" i="5" s="1"/>
  <c r="F746" i="5" s="1"/>
  <c r="F758" i="5" s="1"/>
  <c r="F770" i="5" s="1"/>
  <c r="F782" i="5" s="1"/>
  <c r="F794" i="5" s="1"/>
  <c r="F806" i="5" s="1"/>
  <c r="F818" i="5" s="1"/>
  <c r="F830" i="5" s="1"/>
  <c r="F842" i="5" s="1"/>
  <c r="F854" i="5" s="1"/>
  <c r="F866" i="5" s="1"/>
  <c r="F878" i="5" s="1"/>
  <c r="F890" i="5" s="1"/>
  <c r="F902" i="5" s="1"/>
  <c r="F914" i="5" s="1"/>
  <c r="F926" i="5" s="1"/>
  <c r="F938" i="5" s="1"/>
  <c r="F950" i="5" s="1"/>
  <c r="F962" i="5" s="1"/>
  <c r="F974" i="5" s="1"/>
  <c r="F986" i="5" s="1"/>
  <c r="E26" i="5"/>
  <c r="E38" i="5" s="1"/>
  <c r="E50" i="5" s="1"/>
  <c r="E62" i="5" s="1"/>
  <c r="E74" i="5" s="1"/>
  <c r="E86" i="5" s="1"/>
  <c r="E98" i="5" s="1"/>
  <c r="E110" i="5" s="1"/>
  <c r="E122" i="5" s="1"/>
  <c r="E134" i="5" s="1"/>
  <c r="E146" i="5" s="1"/>
  <c r="E158" i="5" s="1"/>
  <c r="E170" i="5" s="1"/>
  <c r="E182" i="5" s="1"/>
  <c r="E194" i="5" s="1"/>
  <c r="E206" i="5" s="1"/>
  <c r="E218" i="5" s="1"/>
  <c r="E230" i="5" s="1"/>
  <c r="E242" i="5" s="1"/>
  <c r="E254" i="5" s="1"/>
  <c r="E266" i="5" s="1"/>
  <c r="E278" i="5" s="1"/>
  <c r="E290" i="5" s="1"/>
  <c r="E302" i="5" s="1"/>
  <c r="E314" i="5" s="1"/>
  <c r="E326" i="5" s="1"/>
  <c r="E338" i="5" s="1"/>
  <c r="E350" i="5" s="1"/>
  <c r="E362" i="5" s="1"/>
  <c r="E374" i="5" s="1"/>
  <c r="E386" i="5" s="1"/>
  <c r="E398" i="5" s="1"/>
  <c r="E410" i="5" s="1"/>
  <c r="E422" i="5" s="1"/>
  <c r="E434" i="5" s="1"/>
  <c r="E446" i="5" s="1"/>
  <c r="E458" i="5" s="1"/>
  <c r="E470" i="5" s="1"/>
  <c r="E482" i="5" s="1"/>
  <c r="E494" i="5" s="1"/>
  <c r="E506" i="5" s="1"/>
  <c r="E518" i="5" s="1"/>
  <c r="E530" i="5" s="1"/>
  <c r="E542" i="5" s="1"/>
  <c r="E554" i="5" s="1"/>
  <c r="E566" i="5" s="1"/>
  <c r="E578" i="5" s="1"/>
  <c r="E590" i="5" s="1"/>
  <c r="E602" i="5" s="1"/>
  <c r="E614" i="5" s="1"/>
  <c r="E626" i="5" s="1"/>
  <c r="E638" i="5" s="1"/>
  <c r="E650" i="5" s="1"/>
  <c r="E662" i="5" s="1"/>
  <c r="E674" i="5" s="1"/>
  <c r="E686" i="5" s="1"/>
  <c r="E698" i="5" s="1"/>
  <c r="E710" i="5" s="1"/>
  <c r="E722" i="5" s="1"/>
  <c r="E734" i="5" s="1"/>
  <c r="E746" i="5" s="1"/>
  <c r="E758" i="5" s="1"/>
  <c r="E770" i="5" s="1"/>
  <c r="E782" i="5" s="1"/>
  <c r="E794" i="5" s="1"/>
  <c r="E806" i="5" s="1"/>
  <c r="E818" i="5" s="1"/>
  <c r="E830" i="5" s="1"/>
  <c r="E842" i="5" s="1"/>
  <c r="E854" i="5" s="1"/>
  <c r="E866" i="5" s="1"/>
  <c r="E878" i="5" s="1"/>
  <c r="E890" i="5" s="1"/>
  <c r="E902" i="5" s="1"/>
  <c r="E914" i="5" s="1"/>
  <c r="E926" i="5" s="1"/>
  <c r="E938" i="5" s="1"/>
  <c r="E950" i="5" s="1"/>
  <c r="E962" i="5" s="1"/>
  <c r="E974" i="5" s="1"/>
  <c r="E986" i="5" s="1"/>
  <c r="C26" i="5"/>
  <c r="F25" i="5"/>
  <c r="F37" i="5" s="1"/>
  <c r="F49" i="5" s="1"/>
  <c r="F61" i="5" s="1"/>
  <c r="F73" i="5" s="1"/>
  <c r="F85" i="5" s="1"/>
  <c r="F97" i="5" s="1"/>
  <c r="F109" i="5" s="1"/>
  <c r="F121" i="5" s="1"/>
  <c r="F133" i="5" s="1"/>
  <c r="F145" i="5" s="1"/>
  <c r="F157" i="5" s="1"/>
  <c r="F169" i="5" s="1"/>
  <c r="F181" i="5" s="1"/>
  <c r="F193" i="5" s="1"/>
  <c r="F205" i="5" s="1"/>
  <c r="F217" i="5" s="1"/>
  <c r="F229" i="5" s="1"/>
  <c r="F241" i="5" s="1"/>
  <c r="F253" i="5" s="1"/>
  <c r="F265" i="5" s="1"/>
  <c r="F277" i="5" s="1"/>
  <c r="F289" i="5" s="1"/>
  <c r="F301" i="5" s="1"/>
  <c r="F313" i="5" s="1"/>
  <c r="F325" i="5" s="1"/>
  <c r="F337" i="5" s="1"/>
  <c r="F349" i="5" s="1"/>
  <c r="F361" i="5" s="1"/>
  <c r="F373" i="5" s="1"/>
  <c r="F385" i="5" s="1"/>
  <c r="F397" i="5" s="1"/>
  <c r="F409" i="5" s="1"/>
  <c r="F421" i="5" s="1"/>
  <c r="F433" i="5" s="1"/>
  <c r="F445" i="5" s="1"/>
  <c r="F457" i="5" s="1"/>
  <c r="F469" i="5" s="1"/>
  <c r="F481" i="5" s="1"/>
  <c r="F493" i="5" s="1"/>
  <c r="F505" i="5" s="1"/>
  <c r="F517" i="5" s="1"/>
  <c r="F529" i="5" s="1"/>
  <c r="F541" i="5" s="1"/>
  <c r="F553" i="5" s="1"/>
  <c r="F565" i="5" s="1"/>
  <c r="F577" i="5" s="1"/>
  <c r="F589" i="5" s="1"/>
  <c r="F601" i="5" s="1"/>
  <c r="F613" i="5" s="1"/>
  <c r="F625" i="5" s="1"/>
  <c r="F637" i="5" s="1"/>
  <c r="F649" i="5" s="1"/>
  <c r="F661" i="5" s="1"/>
  <c r="F673" i="5" s="1"/>
  <c r="F685" i="5" s="1"/>
  <c r="F697" i="5" s="1"/>
  <c r="F709" i="5" s="1"/>
  <c r="F721" i="5" s="1"/>
  <c r="F733" i="5" s="1"/>
  <c r="F745" i="5" s="1"/>
  <c r="F757" i="5" s="1"/>
  <c r="F769" i="5" s="1"/>
  <c r="F781" i="5" s="1"/>
  <c r="F793" i="5" s="1"/>
  <c r="F805" i="5" s="1"/>
  <c r="F817" i="5" s="1"/>
  <c r="F829" i="5" s="1"/>
  <c r="F841" i="5" s="1"/>
  <c r="F853" i="5" s="1"/>
  <c r="F865" i="5" s="1"/>
  <c r="F877" i="5" s="1"/>
  <c r="F889" i="5" s="1"/>
  <c r="F901" i="5" s="1"/>
  <c r="F913" i="5" s="1"/>
  <c r="F925" i="5" s="1"/>
  <c r="F937" i="5" s="1"/>
  <c r="F949" i="5" s="1"/>
  <c r="F961" i="5" s="1"/>
  <c r="F973" i="5" s="1"/>
  <c r="F985" i="5" s="1"/>
  <c r="E25" i="5"/>
  <c r="E37" i="5" s="1"/>
  <c r="E49" i="5" s="1"/>
  <c r="E61" i="5" s="1"/>
  <c r="E73" i="5" s="1"/>
  <c r="E85" i="5" s="1"/>
  <c r="E97" i="5" s="1"/>
  <c r="E109" i="5" s="1"/>
  <c r="E121" i="5" s="1"/>
  <c r="E133" i="5" s="1"/>
  <c r="E145" i="5" s="1"/>
  <c r="E157" i="5" s="1"/>
  <c r="E169" i="5" s="1"/>
  <c r="E181" i="5" s="1"/>
  <c r="E193" i="5" s="1"/>
  <c r="E205" i="5" s="1"/>
  <c r="E217" i="5" s="1"/>
  <c r="E229" i="5" s="1"/>
  <c r="E241" i="5" s="1"/>
  <c r="E253" i="5" s="1"/>
  <c r="E265" i="5" s="1"/>
  <c r="E277" i="5" s="1"/>
  <c r="E289" i="5" s="1"/>
  <c r="E301" i="5" s="1"/>
  <c r="E313" i="5" s="1"/>
  <c r="E325" i="5" s="1"/>
  <c r="E337" i="5" s="1"/>
  <c r="E349" i="5" s="1"/>
  <c r="E361" i="5" s="1"/>
  <c r="E373" i="5" s="1"/>
  <c r="E385" i="5" s="1"/>
  <c r="E397" i="5" s="1"/>
  <c r="E409" i="5" s="1"/>
  <c r="E421" i="5" s="1"/>
  <c r="E433" i="5" s="1"/>
  <c r="E445" i="5" s="1"/>
  <c r="E457" i="5" s="1"/>
  <c r="E469" i="5" s="1"/>
  <c r="E481" i="5" s="1"/>
  <c r="E493" i="5" s="1"/>
  <c r="E505" i="5" s="1"/>
  <c r="E517" i="5" s="1"/>
  <c r="E529" i="5" s="1"/>
  <c r="E541" i="5" s="1"/>
  <c r="E553" i="5" s="1"/>
  <c r="E565" i="5" s="1"/>
  <c r="E577" i="5" s="1"/>
  <c r="E589" i="5" s="1"/>
  <c r="E601" i="5" s="1"/>
  <c r="E613" i="5" s="1"/>
  <c r="E625" i="5" s="1"/>
  <c r="E637" i="5" s="1"/>
  <c r="E649" i="5" s="1"/>
  <c r="E661" i="5" s="1"/>
  <c r="E673" i="5" s="1"/>
  <c r="E685" i="5" s="1"/>
  <c r="E697" i="5" s="1"/>
  <c r="E709" i="5" s="1"/>
  <c r="E721" i="5" s="1"/>
  <c r="E733" i="5" s="1"/>
  <c r="E745" i="5" s="1"/>
  <c r="E757" i="5" s="1"/>
  <c r="E769" i="5" s="1"/>
  <c r="E781" i="5" s="1"/>
  <c r="E793" i="5" s="1"/>
  <c r="E805" i="5" s="1"/>
  <c r="E817" i="5" s="1"/>
  <c r="E829" i="5" s="1"/>
  <c r="E841" i="5" s="1"/>
  <c r="E853" i="5" s="1"/>
  <c r="E865" i="5" s="1"/>
  <c r="E877" i="5" s="1"/>
  <c r="E889" i="5" s="1"/>
  <c r="E901" i="5" s="1"/>
  <c r="E913" i="5" s="1"/>
  <c r="E925" i="5" s="1"/>
  <c r="E937" i="5" s="1"/>
  <c r="E949" i="5" s="1"/>
  <c r="E961" i="5" s="1"/>
  <c r="E973" i="5" s="1"/>
  <c r="E985" i="5" s="1"/>
  <c r="C25" i="5"/>
  <c r="C24" i="5"/>
  <c r="C23" i="5"/>
  <c r="C22" i="5"/>
  <c r="C21" i="5"/>
  <c r="C20" i="5"/>
  <c r="C19" i="5"/>
  <c r="C18" i="5"/>
  <c r="C17" i="5"/>
  <c r="C16" i="5"/>
  <c r="C15" i="5"/>
  <c r="C14" i="5"/>
  <c r="C13" i="5"/>
</calcChain>
</file>

<file path=xl/sharedStrings.xml><?xml version="1.0" encoding="utf-8"?>
<sst xmlns="http://schemas.openxmlformats.org/spreadsheetml/2006/main" count="2503" uniqueCount="173">
  <si>
    <t xml:space="preserve"> </t>
  </si>
  <si>
    <t>Date</t>
  </si>
  <si>
    <t>TAF</t>
  </si>
  <si>
    <t>A</t>
  </si>
  <si>
    <t/>
  </si>
  <si>
    <t>CALSIM</t>
  </si>
  <si>
    <t>B</t>
  </si>
  <si>
    <t>S4</t>
  </si>
  <si>
    <t>C5</t>
  </si>
  <si>
    <t>BANKS_CONVLTD</t>
  </si>
  <si>
    <t>C</t>
  </si>
  <si>
    <t>STORAGE</t>
  </si>
  <si>
    <t>FLOW-CHANNEL</t>
  </si>
  <si>
    <t>AVAIL-CONVEYANCE</t>
  </si>
  <si>
    <t>E</t>
  </si>
  <si>
    <t>F</t>
  </si>
  <si>
    <t>2020D09E</t>
  </si>
  <si>
    <t>Units</t>
  </si>
  <si>
    <t>CFS</t>
  </si>
  <si>
    <t>Type</t>
  </si>
  <si>
    <t>PER-AVER</t>
  </si>
  <si>
    <t>CFS-&gt;TAF/MON</t>
  </si>
  <si>
    <t>EOMay</t>
  </si>
  <si>
    <t>EOSep</t>
  </si>
  <si>
    <t>Driest Periods</t>
  </si>
  <si>
    <t>40-30-30 type sets</t>
  </si>
  <si>
    <t>WATERYEAR</t>
  </si>
  <si>
    <t>40-30-30</t>
  </si>
  <si>
    <t>60-20-20</t>
  </si>
  <si>
    <t>Shasta</t>
  </si>
  <si>
    <t>W</t>
  </si>
  <si>
    <t>AB</t>
  </si>
  <si>
    <t>BN</t>
  </si>
  <si>
    <t>D</t>
  </si>
  <si>
    <t>Keswick Flow</t>
  </si>
  <si>
    <t>Banks Capacity</t>
  </si>
  <si>
    <t>Shasta Storage</t>
  </si>
  <si>
    <t>May</t>
  </si>
  <si>
    <t>Jun</t>
  </si>
  <si>
    <t>Jul</t>
  </si>
  <si>
    <t>WYT</t>
  </si>
  <si>
    <t>LT</t>
  </si>
  <si>
    <t>AN</t>
  </si>
  <si>
    <t>DP</t>
  </si>
  <si>
    <t>WYT (Jan-Dec)</t>
  </si>
  <si>
    <t>Controls</t>
  </si>
  <si>
    <t>April</t>
  </si>
  <si>
    <t>TC Diversion</t>
  </si>
  <si>
    <t>GC Diversion</t>
  </si>
  <si>
    <t>Clear Creek Temp</t>
  </si>
  <si>
    <t>D112</t>
  </si>
  <si>
    <t>D114</t>
  </si>
  <si>
    <t>FLOW-DELIVERY</t>
  </si>
  <si>
    <t>SACRAMENTO</t>
  </si>
  <si>
    <t>BLW CLEAR CREEK</t>
  </si>
  <si>
    <t>TEMP_F</t>
  </si>
  <si>
    <t>SR</t>
  </si>
  <si>
    <t>DEGF</t>
  </si>
  <si>
    <t>Keswick</t>
  </si>
  <si>
    <t>Flag</t>
  </si>
  <si>
    <t>Storable Water</t>
  </si>
  <si>
    <t>Exchangeable Water</t>
  </si>
  <si>
    <t>Aug</t>
  </si>
  <si>
    <t>Sep</t>
  </si>
  <si>
    <t>Oct</t>
  </si>
  <si>
    <t>Nov</t>
  </si>
  <si>
    <t>Dec</t>
  </si>
  <si>
    <t>No rule</t>
  </si>
  <si>
    <t>Max Projected September Storage</t>
  </si>
  <si>
    <t>Max critical season (Jul 1)</t>
  </si>
  <si>
    <t>Max for pre-critical</t>
  </si>
  <si>
    <t>Minimum rule for exchange</t>
  </si>
  <si>
    <t>Temperature control minimum</t>
  </si>
  <si>
    <t>Optimal WUA level</t>
  </si>
  <si>
    <t>Potential Temperature Control/WUA Flow</t>
  </si>
  <si>
    <t>Diversion Capacity</t>
  </si>
  <si>
    <t>Upstream</t>
  </si>
  <si>
    <t>Upstream Water</t>
  </si>
  <si>
    <t>Habitat Improvement</t>
  </si>
  <si>
    <t>Reduceable Diversions</t>
  </si>
  <si>
    <t>1 &amp; 2</t>
  </si>
  <si>
    <t>3 &amp; 4</t>
  </si>
  <si>
    <t>1 - 4</t>
  </si>
  <si>
    <t>Apr - Jul</t>
  </si>
  <si>
    <t>Aug-Dec</t>
  </si>
  <si>
    <t>Apr-Dec</t>
  </si>
  <si>
    <t>Max release</t>
  </si>
  <si>
    <t>No release</t>
  </si>
  <si>
    <t>WYT Control</t>
  </si>
  <si>
    <t>Release Schedule</t>
  </si>
  <si>
    <t>Year</t>
  </si>
  <si>
    <t>Exchange Operation</t>
  </si>
  <si>
    <t>Sac Flow check</t>
  </si>
  <si>
    <t>- All scenarios</t>
  </si>
  <si>
    <t>Sac Temperature check</t>
  </si>
  <si>
    <t>Hold Operation</t>
  </si>
  <si>
    <t>Prior to Summer</t>
  </si>
  <si>
    <t>Storage over Summer</t>
  </si>
  <si>
    <t>- Habitat scenarios</t>
  </si>
  <si>
    <t>Release Operation</t>
  </si>
  <si>
    <t xml:space="preserve">   delayed release</t>
  </si>
  <si>
    <t>- other scnearios</t>
  </si>
  <si>
    <t xml:space="preserve">   release starts in Aug</t>
  </si>
  <si>
    <t>various</t>
  </si>
  <si>
    <t>Year Types</t>
  </si>
  <si>
    <t>Exchange limited to conditions with limited flow/temperature impact potential</t>
  </si>
  <si>
    <t xml:space="preserve">Storage released from Shasta for export starting in August </t>
  </si>
  <si>
    <t>Only Dry and Critically Dry years considered</t>
  </si>
  <si>
    <t>Export required</t>
  </si>
  <si>
    <t>Storage is carried into December at risk of spill</t>
  </si>
  <si>
    <t>Storage must be released from Shasta by Nov 15</t>
  </si>
  <si>
    <t>Keswick Flow (cfs)</t>
  </si>
  <si>
    <t>Clear Creek Temp (F)</t>
  </si>
  <si>
    <t>Shasta Storage (TAF)</t>
  </si>
  <si>
    <t>All month</t>
  </si>
  <si>
    <t>Through Nov 15</t>
  </si>
  <si>
    <t>No Release</t>
  </si>
  <si>
    <t>Maximum Keswick Flow (cfs)</t>
  </si>
  <si>
    <t>Habitat benefit and export required</t>
  </si>
  <si>
    <t>Storage accrued in Shasta by exchange</t>
  </si>
  <si>
    <t>Banks export capacity must be available</t>
  </si>
  <si>
    <t>Delevan Release</t>
  </si>
  <si>
    <t>Sac River Exchangeable</t>
  </si>
  <si>
    <t>INT_IBU_UWFE</t>
  </si>
  <si>
    <t>INTEGER</t>
  </si>
  <si>
    <t>NONE</t>
  </si>
  <si>
    <t>COA Condition</t>
  </si>
  <si>
    <t>C112</t>
  </si>
  <si>
    <t>C114</t>
  </si>
  <si>
    <t>Flow Below Red Bluff</t>
  </si>
  <si>
    <t>Flow Below Hamilton City</t>
  </si>
  <si>
    <t>Delevan Release Available</t>
  </si>
  <si>
    <t>UWFE Restriction</t>
  </si>
  <si>
    <t>[Sensitivity] Releases allowed through December</t>
  </si>
  <si>
    <t>[Sensitivity] Exchanges allowed in Below Normal years</t>
  </si>
  <si>
    <t>[Sensitivity] Exchanges assumed to occur under UWFE conditions as well</t>
  </si>
  <si>
    <t>Sep - low</t>
  </si>
  <si>
    <t>Sep - high</t>
  </si>
  <si>
    <t>[Sensitivity] Releases required to have habitat benefit, allowed through December</t>
  </si>
  <si>
    <t>[Sensitivity] Releases required to have habitat benefit, allowed through December, Storage RPA control</t>
  </si>
  <si>
    <t>Initial Concept - no Delevan Pipeline</t>
  </si>
  <si>
    <t>Initial Concept - 1 pipe Delevan Pipeline</t>
  </si>
  <si>
    <t>Initial Concept - 2 pipe Delevan Pipeline</t>
  </si>
  <si>
    <t>COA Conditions Permitted</t>
  </si>
  <si>
    <t>IBU</t>
  </si>
  <si>
    <t>UWFE</t>
  </si>
  <si>
    <t>Yes</t>
  </si>
  <si>
    <t>No Delevan Pipeline</t>
  </si>
  <si>
    <t>1-pipe Delevan Pipeline</t>
  </si>
  <si>
    <t>2-pipe Delevan Pipeline</t>
  </si>
  <si>
    <t>Below Normal, Dry, and Critically Dry years considered</t>
  </si>
  <si>
    <t>Sites Project with no Reclamation Investment</t>
  </si>
  <si>
    <t>Sites-Shasta Exchange Operation</t>
  </si>
  <si>
    <t>Alternatives</t>
  </si>
  <si>
    <t>Sites-Shasta Exchangeable Water</t>
  </si>
  <si>
    <t>Long-Term Average</t>
  </si>
  <si>
    <t>Dry Periods</t>
  </si>
  <si>
    <t>Wet Years</t>
  </si>
  <si>
    <t>Above Normal Years</t>
  </si>
  <si>
    <t>Below Normal Years</t>
  </si>
  <si>
    <t>Dry Years</t>
  </si>
  <si>
    <t>Critical Years</t>
  </si>
  <si>
    <t>Calc-Upper2+NoPipe</t>
  </si>
  <si>
    <t>Calc-Upper2+1Pipe</t>
  </si>
  <si>
    <t>Calc-Upper2+</t>
  </si>
  <si>
    <t>Calc-Upper2+BN</t>
  </si>
  <si>
    <t>Calc-Upper2+UWFE</t>
  </si>
  <si>
    <t>Calc-Upper2+Dec</t>
  </si>
  <si>
    <t>Calc-Upper1+</t>
  </si>
  <si>
    <t>Calc-Upper1+SHA</t>
  </si>
  <si>
    <t>Tab</t>
  </si>
  <si>
    <t>C:\Reclamation_ROConLTO\models\CurrentOps\CALSIM_011319_rev06</t>
  </si>
  <si>
    <t>Q5ELT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</si>
</sst>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"/>
    <numFmt numFmtId="165" formatCode="ddmmmyyyy"/>
    <numFmt numFmtId="166" formatCode="0.0"/>
    <numFmt numFmtId="167" formatCode="0.0%"/>
  </numFmts>
  <fonts count="1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Courier New"/>
      <family val="3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color rgb="FF000000"/>
      <name val="Segoe UI"/>
      <family val="2"/>
    </font>
    <font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</cellStyleXfs>
  <cellXfs count="131">
    <xf numFmtId="0" fontId="0" fillId="0" borderId="0" xfId="0"/>
    <xf numFmtId="0" fontId="0" fillId="0" borderId="1" xfId="0" applyBorder="1"/>
    <xf numFmtId="0" fontId="3" fillId="0" borderId="0" xfId="1" applyFont="1"/>
    <xf numFmtId="14" fontId="3" fillId="0" borderId="0" xfId="1" applyNumberFormat="1" applyFont="1"/>
    <xf numFmtId="1" fontId="3" fillId="0" borderId="0" xfId="1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2" fillId="0" borderId="0" xfId="1"/>
    <xf numFmtId="49" fontId="2" fillId="0" borderId="0" xfId="1" applyNumberFormat="1"/>
    <xf numFmtId="14" fontId="2" fillId="0" borderId="0" xfId="1" applyNumberFormat="1"/>
    <xf numFmtId="0" fontId="2" fillId="0" borderId="0" xfId="1" applyNumberFormat="1"/>
    <xf numFmtId="0" fontId="2" fillId="3" borderId="0" xfId="1" applyFill="1"/>
    <xf numFmtId="4" fontId="2" fillId="0" borderId="0" xfId="1" applyNumberFormat="1"/>
    <xf numFmtId="49" fontId="3" fillId="0" borderId="0" xfId="1" applyNumberFormat="1" applyFont="1"/>
    <xf numFmtId="167" fontId="3" fillId="0" borderId="0" xfId="2" applyNumberFormat="1" applyFont="1"/>
    <xf numFmtId="4" fontId="3" fillId="0" borderId="0" xfId="1" applyNumberFormat="1" applyFont="1"/>
    <xf numFmtId="164" fontId="0" fillId="0" borderId="0" xfId="0" applyNumberFormat="1"/>
    <xf numFmtId="1" fontId="0" fillId="0" borderId="0" xfId="0" applyNumberFormat="1" applyAlignment="1">
      <alignment horizontal="center" vertical="center" wrapText="1"/>
    </xf>
    <xf numFmtId="0" fontId="0" fillId="2" borderId="1" xfId="0" applyFill="1" applyBorder="1"/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right"/>
    </xf>
    <xf numFmtId="0" fontId="0" fillId="0" borderId="0" xfId="0" applyAlignment="1">
      <alignment horizontal="center" vertical="center"/>
    </xf>
    <xf numFmtId="0" fontId="0" fillId="0" borderId="0" xfId="0" applyBorder="1"/>
    <xf numFmtId="14" fontId="0" fillId="0" borderId="0" xfId="0" applyNumberFormat="1" applyBorder="1"/>
    <xf numFmtId="1" fontId="0" fillId="0" borderId="0" xfId="0" applyNumberFormat="1" applyBorder="1"/>
    <xf numFmtId="0" fontId="0" fillId="0" borderId="5" xfId="0" applyBorder="1"/>
    <xf numFmtId="0" fontId="0" fillId="0" borderId="6" xfId="0" applyBorder="1"/>
    <xf numFmtId="14" fontId="0" fillId="0" borderId="6" xfId="0" applyNumberFormat="1" applyBorder="1"/>
    <xf numFmtId="1" fontId="0" fillId="0" borderId="6" xfId="0" applyNumberFormat="1" applyBorder="1"/>
    <xf numFmtId="1" fontId="0" fillId="0" borderId="7" xfId="0" applyNumberFormat="1" applyBorder="1"/>
    <xf numFmtId="0" fontId="0" fillId="0" borderId="8" xfId="0" applyBorder="1"/>
    <xf numFmtId="1" fontId="0" fillId="0" borderId="9" xfId="0" applyNumberFormat="1" applyBorder="1"/>
    <xf numFmtId="0" fontId="0" fillId="0" borderId="10" xfId="0" applyBorder="1"/>
    <xf numFmtId="0" fontId="0" fillId="0" borderId="11" xfId="0" applyBorder="1"/>
    <xf numFmtId="14" fontId="0" fillId="0" borderId="11" xfId="0" applyNumberFormat="1" applyBorder="1"/>
    <xf numFmtId="1" fontId="0" fillId="0" borderId="11" xfId="0" applyNumberFormat="1" applyBorder="1"/>
    <xf numFmtId="1" fontId="0" fillId="0" borderId="12" xfId="0" applyNumberFormat="1" applyBorder="1"/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" fontId="0" fillId="0" borderId="11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" fontId="0" fillId="0" borderId="1" xfId="0" applyNumberFormat="1" applyBorder="1"/>
    <xf numFmtId="1" fontId="0" fillId="4" borderId="1" xfId="0" applyNumberFormat="1" applyFill="1" applyBorder="1"/>
    <xf numFmtId="0" fontId="0" fillId="4" borderId="1" xfId="0" applyFill="1" applyBorder="1"/>
    <xf numFmtId="0" fontId="0" fillId="0" borderId="0" xfId="0" applyFill="1" applyBorder="1"/>
    <xf numFmtId="0" fontId="0" fillId="5" borderId="1" xfId="0" applyFill="1" applyBorder="1"/>
    <xf numFmtId="1" fontId="0" fillId="2" borderId="1" xfId="0" applyNumberFormat="1" applyFill="1" applyBorder="1" applyAlignment="1">
      <alignment horizontal="left"/>
    </xf>
    <xf numFmtId="1" fontId="0" fillId="2" borderId="1" xfId="0" applyNumberFormat="1" applyFill="1" applyBorder="1"/>
    <xf numFmtId="16" fontId="0" fillId="0" borderId="0" xfId="0" quotePrefix="1" applyNumberFormat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1" fontId="0" fillId="0" borderId="0" xfId="0" applyNumberFormat="1" applyFill="1" applyBorder="1"/>
    <xf numFmtId="9" fontId="0" fillId="0" borderId="0" xfId="3" applyFont="1"/>
    <xf numFmtId="0" fontId="0" fillId="0" borderId="1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1" fontId="0" fillId="0" borderId="1" xfId="0" applyNumberFormat="1" applyBorder="1" applyAlignment="1">
      <alignment horizontal="center" wrapText="1"/>
    </xf>
    <xf numFmtId="1" fontId="6" fillId="0" borderId="1" xfId="0" applyNumberFormat="1" applyFont="1" applyBorder="1" applyAlignment="1">
      <alignment horizontal="center" wrapText="1"/>
    </xf>
    <xf numFmtId="0" fontId="7" fillId="0" borderId="0" xfId="0" applyFont="1"/>
    <xf numFmtId="0" fontId="8" fillId="0" borderId="0" xfId="0" applyFont="1" applyAlignment="1">
      <alignment horizontal="left" vertical="center"/>
    </xf>
    <xf numFmtId="0" fontId="7" fillId="0" borderId="0" xfId="0" quotePrefix="1" applyFont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right"/>
    </xf>
    <xf numFmtId="0" fontId="7" fillId="2" borderId="1" xfId="0" applyFont="1" applyFill="1" applyBorder="1"/>
    <xf numFmtId="1" fontId="7" fillId="2" borderId="1" xfId="0" applyNumberFormat="1" applyFont="1" applyFill="1" applyBorder="1" applyAlignment="1">
      <alignment horizontal="left"/>
    </xf>
    <xf numFmtId="1" fontId="7" fillId="2" borderId="1" xfId="0" applyNumberFormat="1" applyFont="1" applyFill="1" applyBorder="1"/>
    <xf numFmtId="0" fontId="7" fillId="5" borderId="1" xfId="0" applyFont="1" applyFill="1" applyBorder="1"/>
    <xf numFmtId="0" fontId="0" fillId="0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16" fontId="7" fillId="2" borderId="1" xfId="0" applyNumberFormat="1" applyFont="1" applyFill="1" applyBorder="1"/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wrapText="1"/>
    </xf>
    <xf numFmtId="3" fontId="7" fillId="5" borderId="1" xfId="0" applyNumberFormat="1" applyFont="1" applyFill="1" applyBorder="1"/>
    <xf numFmtId="3" fontId="0" fillId="4" borderId="1" xfId="0" applyNumberFormat="1" applyFill="1" applyBorder="1"/>
    <xf numFmtId="3" fontId="0" fillId="0" borderId="0" xfId="0" applyNumberFormat="1"/>
    <xf numFmtId="3" fontId="0" fillId="0" borderId="1" xfId="0" applyNumberFormat="1" applyBorder="1"/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2" borderId="1" xfId="0" applyFont="1" applyFill="1" applyBorder="1"/>
    <xf numFmtId="3" fontId="7" fillId="2" borderId="1" xfId="5" applyNumberFormat="1" applyFont="1" applyFill="1" applyBorder="1" applyAlignment="1">
      <alignment horizontal="right"/>
    </xf>
    <xf numFmtId="0" fontId="7" fillId="2" borderId="1" xfId="0" applyFont="1" applyFill="1" applyBorder="1" applyAlignment="1"/>
    <xf numFmtId="0" fontId="13" fillId="0" borderId="1" xfId="0" applyFont="1" applyBorder="1" applyAlignment="1">
      <alignment horizontal="left"/>
    </xf>
    <xf numFmtId="0" fontId="0" fillId="0" borderId="1" xfId="0" applyBorder="1"/>
    <xf numFmtId="0" fontId="13" fillId="0" borderId="1" xfId="0" applyFont="1" applyBorder="1"/>
    <xf numFmtId="1" fontId="0" fillId="0" borderId="0" xfId="0" applyNumberFormat="1" applyAlignment="1">
      <alignment horizontal="right"/>
    </xf>
    <xf numFmtId="0" fontId="14" fillId="0" borderId="0" xfId="0" applyFont="1" applyAlignment="1">
      <alignment horizontal="center"/>
    </xf>
    <xf numFmtId="0" fontId="12" fillId="0" borderId="1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1" fontId="0" fillId="0" borderId="7" xfId="0" applyNumberForma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1" fontId="0" fillId="0" borderId="6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textRotation="90"/>
    </xf>
    <xf numFmtId="0" fontId="0" fillId="0" borderId="11" xfId="0" applyBorder="1" applyAlignment="1">
      <alignment horizontal="center" vertical="center" textRotation="90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" fontId="0" fillId="0" borderId="6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</cellXfs>
  <cellStyles count="6">
    <cellStyle name="Comma" xfId="5" builtinId="3"/>
    <cellStyle name="Normal" xfId="0" builtinId="0"/>
    <cellStyle name="Normal 2" xfId="1" xr:uid="{3FBA65FE-374C-45AF-A923-E89734F5D8AF}"/>
    <cellStyle name="Normal 3" xfId="4" xr:uid="{58C21843-6049-49FC-BC27-5DCA7B100EED}"/>
    <cellStyle name="Percent" xfId="3" builtinId="5"/>
    <cellStyle name="Percent 2" xfId="2" xr:uid="{535FCC6C-F87B-4952-8898-48D492F7D31E}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worksheet" Target="worksheets/sheet10.xml"/><Relationship Id="rId18" Type="http://schemas.openxmlformats.org/officeDocument/2006/relationships/worksheet" Target="worksheets/sheet15.xml"/><Relationship Id="rId3" Type="http://schemas.openxmlformats.org/officeDocument/2006/relationships/chartsheet" Target="chartsheets/sheet1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4.xml"/><Relationship Id="rId12" Type="http://schemas.openxmlformats.org/officeDocument/2006/relationships/worksheet" Target="worksheets/sheet9.xml"/><Relationship Id="rId17" Type="http://schemas.openxmlformats.org/officeDocument/2006/relationships/worksheet" Target="worksheets/sheet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Relationship Id="rId11" Type="http://schemas.openxmlformats.org/officeDocument/2006/relationships/worksheet" Target="worksheets/sheet8.xml"/><Relationship Id="rId5" Type="http://schemas.openxmlformats.org/officeDocument/2006/relationships/chartsheet" Target="chartsheets/sheet3.xml"/><Relationship Id="rId15" Type="http://schemas.openxmlformats.org/officeDocument/2006/relationships/worksheet" Target="worksheets/sheet12.xml"/><Relationship Id="rId10" Type="http://schemas.openxmlformats.org/officeDocument/2006/relationships/worksheet" Target="worksheets/sheet7.xml"/><Relationship Id="rId19" Type="http://schemas.openxmlformats.org/officeDocument/2006/relationships/theme" Target="theme/theme1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22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Exchangeable Water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8678915135608045E-2"/>
          <c:y val="0.1144753086419753"/>
          <c:w val="0.85954036995375582"/>
          <c:h val="0.58321303587051621"/>
        </c:manualLayout>
      </c:layout>
      <c:scatterChart>
        <c:scatterStyle val="lineMarker"/>
        <c:varyColors val="0"/>
        <c:ser>
          <c:idx val="4"/>
          <c:order val="0"/>
          <c:tx>
            <c:strRef>
              <c:f>ChartData!$C$1</c:f>
              <c:strCache>
                <c:ptCount val="1"/>
                <c:pt idx="0">
                  <c:v>Initial Concept - no Delevan Pipeline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ChartData!$B$2:$B$82</c:f>
              <c:numCache>
                <c:formatCode>0</c:formatCode>
                <c:ptCount val="81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</c:numCache>
            </c:numRef>
          </c:xVal>
          <c:yVal>
            <c:numRef>
              <c:f>ChartData!$C$2:$C$82</c:f>
              <c:numCache>
                <c:formatCode>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78.227418475190461</c:v>
                </c:pt>
                <c:pt idx="3">
                  <c:v>42.764748192148765</c:v>
                </c:pt>
                <c:pt idx="4">
                  <c:v>81.131935828342904</c:v>
                </c:pt>
                <c:pt idx="5">
                  <c:v>0</c:v>
                </c:pt>
                <c:pt idx="6">
                  <c:v>0</c:v>
                </c:pt>
                <c:pt idx="7">
                  <c:v>82.320104506311338</c:v>
                </c:pt>
                <c:pt idx="8">
                  <c:v>0</c:v>
                </c:pt>
                <c:pt idx="9">
                  <c:v>87.457805528877202</c:v>
                </c:pt>
                <c:pt idx="10">
                  <c:v>0</c:v>
                </c:pt>
                <c:pt idx="11">
                  <c:v>0</c:v>
                </c:pt>
                <c:pt idx="12">
                  <c:v>61.140804816632233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174.18674200389012</c:v>
                </c:pt>
                <c:pt idx="26">
                  <c:v>0</c:v>
                </c:pt>
                <c:pt idx="27">
                  <c:v>101.453290107664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93.016015524115446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184.72581111182853</c:v>
                </c:pt>
                <c:pt idx="39">
                  <c:v>100.54246273324509</c:v>
                </c:pt>
                <c:pt idx="40">
                  <c:v>0</c:v>
                </c:pt>
                <c:pt idx="41">
                  <c:v>0</c:v>
                </c:pt>
                <c:pt idx="42">
                  <c:v>90.881380716118926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79.782986066833999</c:v>
                </c:pt>
                <c:pt idx="55">
                  <c:v>103.43018733253164</c:v>
                </c:pt>
                <c:pt idx="56">
                  <c:v>0</c:v>
                </c:pt>
                <c:pt idx="57">
                  <c:v>34.877614927685947</c:v>
                </c:pt>
                <c:pt idx="58">
                  <c:v>0</c:v>
                </c:pt>
                <c:pt idx="59">
                  <c:v>293.28102526956354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169.35851681039352</c:v>
                </c:pt>
                <c:pt idx="66">
                  <c:v>110.63555559142561</c:v>
                </c:pt>
                <c:pt idx="67">
                  <c:v>190.82287105339617</c:v>
                </c:pt>
                <c:pt idx="68">
                  <c:v>0</c:v>
                </c:pt>
                <c:pt idx="69">
                  <c:v>0</c:v>
                </c:pt>
                <c:pt idx="70">
                  <c:v>93.357286605834943</c:v>
                </c:pt>
                <c:pt idx="71">
                  <c:v>0</c:v>
                </c:pt>
                <c:pt idx="72">
                  <c:v>21.768285123966944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164.24551104080581</c:v>
                </c:pt>
                <c:pt idx="80">
                  <c:v>168.6621136726821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3-448C-A95A-40FB87A3D2BC}"/>
            </c:ext>
          </c:extLst>
        </c:ser>
        <c:ser>
          <c:idx val="3"/>
          <c:order val="1"/>
          <c:tx>
            <c:strRef>
              <c:f>ChartData!$D$1</c:f>
              <c:strCache>
                <c:ptCount val="1"/>
                <c:pt idx="0">
                  <c:v>Initial Concept - 1 pipe Delevan Pipeline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ChartData!$B$2:$B$82</c:f>
              <c:numCache>
                <c:formatCode>0</c:formatCode>
                <c:ptCount val="81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</c:numCache>
            </c:numRef>
          </c:xVal>
          <c:yVal>
            <c:numRef>
              <c:f>ChartData!$D$2:$D$82</c:f>
              <c:numCache>
                <c:formatCode>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124.3431209545293</c:v>
                </c:pt>
                <c:pt idx="3">
                  <c:v>42.764748192148765</c:v>
                </c:pt>
                <c:pt idx="4">
                  <c:v>127.24763830768177</c:v>
                </c:pt>
                <c:pt idx="5">
                  <c:v>0</c:v>
                </c:pt>
                <c:pt idx="6">
                  <c:v>0</c:v>
                </c:pt>
                <c:pt idx="7">
                  <c:v>127.9222265625</c:v>
                </c:pt>
                <c:pt idx="8">
                  <c:v>0</c:v>
                </c:pt>
                <c:pt idx="9">
                  <c:v>162.48389609092524</c:v>
                </c:pt>
                <c:pt idx="10">
                  <c:v>0</c:v>
                </c:pt>
                <c:pt idx="11">
                  <c:v>0</c:v>
                </c:pt>
                <c:pt idx="12">
                  <c:v>61.140804816632233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237.51639891569278</c:v>
                </c:pt>
                <c:pt idx="26">
                  <c:v>0</c:v>
                </c:pt>
                <c:pt idx="27">
                  <c:v>147.56899258700284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139.1317180034543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261.65510391109245</c:v>
                </c:pt>
                <c:pt idx="39">
                  <c:v>146.65816521258392</c:v>
                </c:pt>
                <c:pt idx="40">
                  <c:v>0</c:v>
                </c:pt>
                <c:pt idx="41">
                  <c:v>0</c:v>
                </c:pt>
                <c:pt idx="42">
                  <c:v>136.99708319545778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125.89868854617285</c:v>
                </c:pt>
                <c:pt idx="55">
                  <c:v>188.52377036859181</c:v>
                </c:pt>
                <c:pt idx="56">
                  <c:v>0</c:v>
                </c:pt>
                <c:pt idx="57">
                  <c:v>34.877614927685947</c:v>
                </c:pt>
                <c:pt idx="58">
                  <c:v>0</c:v>
                </c:pt>
                <c:pt idx="59">
                  <c:v>328.53171665160124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260.10231846328611</c:v>
                </c:pt>
                <c:pt idx="66">
                  <c:v>110.63555559142561</c:v>
                </c:pt>
                <c:pt idx="67">
                  <c:v>236.93857353273501</c:v>
                </c:pt>
                <c:pt idx="68">
                  <c:v>0</c:v>
                </c:pt>
                <c:pt idx="69">
                  <c:v>0</c:v>
                </c:pt>
                <c:pt idx="70">
                  <c:v>139.47298908517379</c:v>
                </c:pt>
                <c:pt idx="71">
                  <c:v>0</c:v>
                </c:pt>
                <c:pt idx="72">
                  <c:v>21.768285123966944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254.98931269369837</c:v>
                </c:pt>
                <c:pt idx="80">
                  <c:v>214.77781615202093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A3-448C-A95A-40FB87A3D2BC}"/>
            </c:ext>
          </c:extLst>
        </c:ser>
        <c:ser>
          <c:idx val="2"/>
          <c:order val="2"/>
          <c:tx>
            <c:strRef>
              <c:f>ChartData!$E$1</c:f>
              <c:strCache>
                <c:ptCount val="1"/>
                <c:pt idx="0">
                  <c:v>Initial Concept - 2 pipe Delevan Pipeline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ChartData!$B$2:$B$82</c:f>
              <c:numCache>
                <c:formatCode>0</c:formatCode>
                <c:ptCount val="81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</c:numCache>
            </c:numRef>
          </c:xVal>
          <c:yVal>
            <c:numRef>
              <c:f>ChartData!$E$2:$E$82</c:f>
              <c:numCache>
                <c:formatCode>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161.14381650309917</c:v>
                </c:pt>
                <c:pt idx="3">
                  <c:v>42.764748192148765</c:v>
                </c:pt>
                <c:pt idx="4">
                  <c:v>173.3633407870206</c:v>
                </c:pt>
                <c:pt idx="5">
                  <c:v>0</c:v>
                </c:pt>
                <c:pt idx="6">
                  <c:v>0</c:v>
                </c:pt>
                <c:pt idx="7">
                  <c:v>127.9222265625</c:v>
                </c:pt>
                <c:pt idx="8">
                  <c:v>0</c:v>
                </c:pt>
                <c:pt idx="9">
                  <c:v>174.23468879132233</c:v>
                </c:pt>
                <c:pt idx="10">
                  <c:v>0</c:v>
                </c:pt>
                <c:pt idx="11">
                  <c:v>0</c:v>
                </c:pt>
                <c:pt idx="12">
                  <c:v>61.140804816632233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267.69855565599175</c:v>
                </c:pt>
                <c:pt idx="26">
                  <c:v>0</c:v>
                </c:pt>
                <c:pt idx="27">
                  <c:v>156.38789449896694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146.39928137913225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263.79778449444728</c:v>
                </c:pt>
                <c:pt idx="39">
                  <c:v>192.77386769192276</c:v>
                </c:pt>
                <c:pt idx="40">
                  <c:v>0</c:v>
                </c:pt>
                <c:pt idx="41">
                  <c:v>0</c:v>
                </c:pt>
                <c:pt idx="42">
                  <c:v>154.401796875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172.01439102551169</c:v>
                </c:pt>
                <c:pt idx="55">
                  <c:v>196.3267368285124</c:v>
                </c:pt>
                <c:pt idx="56">
                  <c:v>0</c:v>
                </c:pt>
                <c:pt idx="57">
                  <c:v>34.877614927685947</c:v>
                </c:pt>
                <c:pt idx="58">
                  <c:v>0</c:v>
                </c:pt>
                <c:pt idx="59">
                  <c:v>328.53171665160124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345.5484845475126</c:v>
                </c:pt>
                <c:pt idx="66">
                  <c:v>110.63555559142561</c:v>
                </c:pt>
                <c:pt idx="67">
                  <c:v>264.68922750677945</c:v>
                </c:pt>
                <c:pt idx="68">
                  <c:v>0</c:v>
                </c:pt>
                <c:pt idx="69">
                  <c:v>0</c:v>
                </c:pt>
                <c:pt idx="70">
                  <c:v>184.40940534607438</c:v>
                </c:pt>
                <c:pt idx="71">
                  <c:v>0</c:v>
                </c:pt>
                <c:pt idx="72">
                  <c:v>21.768285123966944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345.73311434659092</c:v>
                </c:pt>
                <c:pt idx="80">
                  <c:v>236.88286286157023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A3-448C-A95A-40FB87A3D2BC}"/>
            </c:ext>
          </c:extLst>
        </c:ser>
        <c:ser>
          <c:idx val="6"/>
          <c:order val="3"/>
          <c:tx>
            <c:strRef>
              <c:f>ChartData!$F$1</c:f>
              <c:strCache>
                <c:ptCount val="1"/>
                <c:pt idx="0">
                  <c:v>[Sensitivity] Exchanges allowed in Below Normal years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ChartData!$B$2:$B$82</c:f>
              <c:numCache>
                <c:formatCode>0</c:formatCode>
                <c:ptCount val="81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</c:numCache>
            </c:numRef>
          </c:xVal>
          <c:yVal>
            <c:numRef>
              <c:f>ChartData!$F$2:$F$82</c:f>
              <c:numCache>
                <c:formatCode>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161.14381650309917</c:v>
                </c:pt>
                <c:pt idx="3">
                  <c:v>42.764748192148765</c:v>
                </c:pt>
                <c:pt idx="4">
                  <c:v>173.3633407870206</c:v>
                </c:pt>
                <c:pt idx="5">
                  <c:v>0</c:v>
                </c:pt>
                <c:pt idx="6">
                  <c:v>0</c:v>
                </c:pt>
                <c:pt idx="7">
                  <c:v>127.9222265625</c:v>
                </c:pt>
                <c:pt idx="8">
                  <c:v>0</c:v>
                </c:pt>
                <c:pt idx="9" formatCode="#,##0">
                  <c:v>174.23468879132233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61.140804816632233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315.06763107930328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101.6310337035124</c:v>
                </c:pt>
                <c:pt idx="24">
                  <c:v>0</c:v>
                </c:pt>
                <c:pt idx="25">
                  <c:v>267.69855565599175</c:v>
                </c:pt>
                <c:pt idx="26">
                  <c:v>12.524736570247935</c:v>
                </c:pt>
                <c:pt idx="27">
                  <c:v>156.38789449896694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146.39928137913225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180.16086248224431</c:v>
                </c:pt>
                <c:pt idx="38">
                  <c:v>263.79778449444728</c:v>
                </c:pt>
                <c:pt idx="39">
                  <c:v>192.77386769192276</c:v>
                </c:pt>
                <c:pt idx="40">
                  <c:v>20.045821845945248</c:v>
                </c:pt>
                <c:pt idx="41">
                  <c:v>0</c:v>
                </c:pt>
                <c:pt idx="42">
                  <c:v>154.401796875</c:v>
                </c:pt>
                <c:pt idx="43">
                  <c:v>0</c:v>
                </c:pt>
                <c:pt idx="44">
                  <c:v>167.80600934998063</c:v>
                </c:pt>
                <c:pt idx="45">
                  <c:v>0</c:v>
                </c:pt>
                <c:pt idx="46">
                  <c:v>117.78686721171229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229.24088621029185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172.01439102551169</c:v>
                </c:pt>
                <c:pt idx="55">
                  <c:v>196.3267368285124</c:v>
                </c:pt>
                <c:pt idx="56">
                  <c:v>0</c:v>
                </c:pt>
                <c:pt idx="57">
                  <c:v>34.877614927685947</c:v>
                </c:pt>
                <c:pt idx="58">
                  <c:v>0</c:v>
                </c:pt>
                <c:pt idx="59">
                  <c:v>328.53171665160124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227.67342561579932</c:v>
                </c:pt>
                <c:pt idx="64">
                  <c:v>0</c:v>
                </c:pt>
                <c:pt idx="65">
                  <c:v>345.5484845475126</c:v>
                </c:pt>
                <c:pt idx="66">
                  <c:v>110.63555559142561</c:v>
                </c:pt>
                <c:pt idx="67">
                  <c:v>264.68922750677945</c:v>
                </c:pt>
                <c:pt idx="68">
                  <c:v>0</c:v>
                </c:pt>
                <c:pt idx="69">
                  <c:v>0</c:v>
                </c:pt>
                <c:pt idx="70">
                  <c:v>184.40940534607438</c:v>
                </c:pt>
                <c:pt idx="71">
                  <c:v>0</c:v>
                </c:pt>
                <c:pt idx="72">
                  <c:v>21.768285123966944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345.73311434659092</c:v>
                </c:pt>
                <c:pt idx="80">
                  <c:v>236.88286286157023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2A3-448C-A95A-40FB87A3D2BC}"/>
            </c:ext>
          </c:extLst>
        </c:ser>
        <c:ser>
          <c:idx val="0"/>
          <c:order val="4"/>
          <c:tx>
            <c:strRef>
              <c:f>ChartData!$G$1</c:f>
              <c:strCache>
                <c:ptCount val="1"/>
                <c:pt idx="0">
                  <c:v>[Sensitivity] Exchanges assumed to occur under UWFE conditions as well</c:v>
                </c:pt>
              </c:strCache>
            </c:strRef>
          </c:tx>
          <c:spPr>
            <a:ln>
              <a:solidFill>
                <a:schemeClr val="accent4"/>
              </a:solidFill>
              <a:prstDash val="sysDash"/>
            </a:ln>
          </c:spPr>
          <c:marker>
            <c:symbol val="none"/>
          </c:marker>
          <c:xVal>
            <c:numRef>
              <c:f>ChartData!$B$2:$B$82</c:f>
              <c:numCache>
                <c:formatCode>0</c:formatCode>
                <c:ptCount val="81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</c:numCache>
            </c:numRef>
          </c:xVal>
          <c:yVal>
            <c:numRef>
              <c:f>ChartData!$G$2:$G$82</c:f>
              <c:numCache>
                <c:formatCode>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161.14381650309917</c:v>
                </c:pt>
                <c:pt idx="3">
                  <c:v>43.79148308367769</c:v>
                </c:pt>
                <c:pt idx="4">
                  <c:v>173.3633407870206</c:v>
                </c:pt>
                <c:pt idx="5">
                  <c:v>0</c:v>
                </c:pt>
                <c:pt idx="6">
                  <c:v>0</c:v>
                </c:pt>
                <c:pt idx="7">
                  <c:v>127.9222265625</c:v>
                </c:pt>
                <c:pt idx="8">
                  <c:v>0</c:v>
                </c:pt>
                <c:pt idx="9">
                  <c:v>174.23468879132233</c:v>
                </c:pt>
                <c:pt idx="10">
                  <c:v>0</c:v>
                </c:pt>
                <c:pt idx="11">
                  <c:v>30.825164643595041</c:v>
                </c:pt>
                <c:pt idx="12">
                  <c:v>61.140804816632233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267.69855565599175</c:v>
                </c:pt>
                <c:pt idx="26">
                  <c:v>0</c:v>
                </c:pt>
                <c:pt idx="27">
                  <c:v>193.31074993543388</c:v>
                </c:pt>
                <c:pt idx="28">
                  <c:v>24.391813985020661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146.39928137913225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263.79778449444728</c:v>
                </c:pt>
                <c:pt idx="39">
                  <c:v>302.66380377146822</c:v>
                </c:pt>
                <c:pt idx="40">
                  <c:v>0</c:v>
                </c:pt>
                <c:pt idx="41">
                  <c:v>0</c:v>
                </c:pt>
                <c:pt idx="42">
                  <c:v>202.95327447055786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172.01439102551169</c:v>
                </c:pt>
                <c:pt idx="55">
                  <c:v>196.3267368285124</c:v>
                </c:pt>
                <c:pt idx="56">
                  <c:v>0</c:v>
                </c:pt>
                <c:pt idx="57">
                  <c:v>34.877614927685947</c:v>
                </c:pt>
                <c:pt idx="58">
                  <c:v>0</c:v>
                </c:pt>
                <c:pt idx="59">
                  <c:v>328.53171665160124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345.5484845475126</c:v>
                </c:pt>
                <c:pt idx="66">
                  <c:v>110.63555559142561</c:v>
                </c:pt>
                <c:pt idx="67">
                  <c:v>264.68922750677945</c:v>
                </c:pt>
                <c:pt idx="68">
                  <c:v>0</c:v>
                </c:pt>
                <c:pt idx="69">
                  <c:v>45.886084710743802</c:v>
                </c:pt>
                <c:pt idx="70">
                  <c:v>184.40940534607438</c:v>
                </c:pt>
                <c:pt idx="71">
                  <c:v>0</c:v>
                </c:pt>
                <c:pt idx="72">
                  <c:v>21.768285123966944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345.73311434659092</c:v>
                </c:pt>
                <c:pt idx="80">
                  <c:v>290.89275418872677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2A3-448C-A95A-40FB87A3D2BC}"/>
            </c:ext>
          </c:extLst>
        </c:ser>
        <c:ser>
          <c:idx val="1"/>
          <c:order val="5"/>
          <c:tx>
            <c:strRef>
              <c:f>ChartData!$H$1</c:f>
              <c:strCache>
                <c:ptCount val="1"/>
                <c:pt idx="0">
                  <c:v>[Sensitivity] Releases allowed through December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ChartData!$B$2:$B$82</c:f>
              <c:numCache>
                <c:formatCode>0</c:formatCode>
                <c:ptCount val="81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</c:numCache>
            </c:numRef>
          </c:xVal>
          <c:yVal>
            <c:numRef>
              <c:f>ChartData!$H$2:$H$82</c:f>
              <c:numCache>
                <c:formatCode>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161.14381650309917</c:v>
                </c:pt>
                <c:pt idx="3">
                  <c:v>42.764748192148765</c:v>
                </c:pt>
                <c:pt idx="4">
                  <c:v>173.3633407870206</c:v>
                </c:pt>
                <c:pt idx="5">
                  <c:v>0</c:v>
                </c:pt>
                <c:pt idx="6">
                  <c:v>0</c:v>
                </c:pt>
                <c:pt idx="7">
                  <c:v>127.9222265625</c:v>
                </c:pt>
                <c:pt idx="8">
                  <c:v>0</c:v>
                </c:pt>
                <c:pt idx="9">
                  <c:v>174.23468879132233</c:v>
                </c:pt>
                <c:pt idx="10">
                  <c:v>0</c:v>
                </c:pt>
                <c:pt idx="11">
                  <c:v>0</c:v>
                </c:pt>
                <c:pt idx="12">
                  <c:v>61.140804816632233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277.55906249999998</c:v>
                </c:pt>
                <c:pt idx="26">
                  <c:v>0</c:v>
                </c:pt>
                <c:pt idx="27">
                  <c:v>156.38789449896694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146.39928137913225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306.28320308464617</c:v>
                </c:pt>
                <c:pt idx="39">
                  <c:v>192.77386769192276</c:v>
                </c:pt>
                <c:pt idx="40">
                  <c:v>0</c:v>
                </c:pt>
                <c:pt idx="41">
                  <c:v>0</c:v>
                </c:pt>
                <c:pt idx="42">
                  <c:v>154.401796875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172.01439102551169</c:v>
                </c:pt>
                <c:pt idx="55">
                  <c:v>196.3267368285124</c:v>
                </c:pt>
                <c:pt idx="56">
                  <c:v>0</c:v>
                </c:pt>
                <c:pt idx="57">
                  <c:v>34.877614927685947</c:v>
                </c:pt>
                <c:pt idx="58">
                  <c:v>0</c:v>
                </c:pt>
                <c:pt idx="59">
                  <c:v>328.53171665160124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345.5484845475126</c:v>
                </c:pt>
                <c:pt idx="66">
                  <c:v>110.63555559142561</c:v>
                </c:pt>
                <c:pt idx="67">
                  <c:v>283.05427601207384</c:v>
                </c:pt>
                <c:pt idx="68">
                  <c:v>0</c:v>
                </c:pt>
                <c:pt idx="69">
                  <c:v>0</c:v>
                </c:pt>
                <c:pt idx="70">
                  <c:v>184.40940534607438</c:v>
                </c:pt>
                <c:pt idx="71">
                  <c:v>0</c:v>
                </c:pt>
                <c:pt idx="72">
                  <c:v>21.768285123966944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345.73311434659092</c:v>
                </c:pt>
                <c:pt idx="80">
                  <c:v>236.88286286157023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2A3-448C-A95A-40FB87A3D2BC}"/>
            </c:ext>
          </c:extLst>
        </c:ser>
        <c:ser>
          <c:idx val="7"/>
          <c:order val="6"/>
          <c:tx>
            <c:strRef>
              <c:f>ChartData!$I$1</c:f>
              <c:strCache>
                <c:ptCount val="1"/>
                <c:pt idx="0">
                  <c:v>[Sensitivity] Releases required to have habitat benefit, allowed through December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ChartData!$B$2:$B$82</c:f>
              <c:numCache>
                <c:formatCode>0</c:formatCode>
                <c:ptCount val="81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</c:numCache>
            </c:numRef>
          </c:xVal>
          <c:yVal>
            <c:numRef>
              <c:f>ChartData!$I$2:$I$82</c:f>
              <c:numCache>
                <c:formatCode>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161.14381650309917</c:v>
                </c:pt>
                <c:pt idx="3">
                  <c:v>42.764748192148765</c:v>
                </c:pt>
                <c:pt idx="4">
                  <c:v>151.4505739927686</c:v>
                </c:pt>
                <c:pt idx="5">
                  <c:v>0</c:v>
                </c:pt>
                <c:pt idx="6">
                  <c:v>0</c:v>
                </c:pt>
                <c:pt idx="7">
                  <c:v>127.9222265625</c:v>
                </c:pt>
                <c:pt idx="8">
                  <c:v>0</c:v>
                </c:pt>
                <c:pt idx="9" formatCode="#,##0">
                  <c:v>174.23468879132233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61.140804816632233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 formatCode="#,##0">
                  <c:v>277.55906249999998</c:v>
                </c:pt>
                <c:pt idx="26">
                  <c:v>0</c:v>
                </c:pt>
                <c:pt idx="27">
                  <c:v>156.38789449896694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>
                  <c:v>146.39928137913225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210.90438702543906</c:v>
                </c:pt>
                <c:pt idx="39">
                  <c:v>192.77386769192276</c:v>
                </c:pt>
                <c:pt idx="40">
                  <c:v>0</c:v>
                </c:pt>
                <c:pt idx="41">
                  <c:v>0</c:v>
                </c:pt>
                <c:pt idx="42">
                  <c:v>154.401796875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172.01439102551169</c:v>
                </c:pt>
                <c:pt idx="55">
                  <c:v>196.3267368285124</c:v>
                </c:pt>
                <c:pt idx="56">
                  <c:v>0</c:v>
                </c:pt>
                <c:pt idx="57">
                  <c:v>34.877614927685947</c:v>
                </c:pt>
                <c:pt idx="58">
                  <c:v>0</c:v>
                </c:pt>
                <c:pt idx="59">
                  <c:v>310.97147606211257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320.19282049005682</c:v>
                </c:pt>
                <c:pt idx="66">
                  <c:v>110.63555559142561</c:v>
                </c:pt>
                <c:pt idx="67">
                  <c:v>261.25910640495869</c:v>
                </c:pt>
                <c:pt idx="68">
                  <c:v>0</c:v>
                </c:pt>
                <c:pt idx="69">
                  <c:v>0</c:v>
                </c:pt>
                <c:pt idx="70">
                  <c:v>184.40940534607438</c:v>
                </c:pt>
                <c:pt idx="71">
                  <c:v>0</c:v>
                </c:pt>
                <c:pt idx="72">
                  <c:v>21.768285123966944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284.57847704674589</c:v>
                </c:pt>
                <c:pt idx="80">
                  <c:v>138.32404886040806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2A3-448C-A95A-40FB87A3D2BC}"/>
            </c:ext>
          </c:extLst>
        </c:ser>
        <c:ser>
          <c:idx val="8"/>
          <c:order val="7"/>
          <c:tx>
            <c:strRef>
              <c:f>ChartData!$J$1</c:f>
              <c:strCache>
                <c:ptCount val="1"/>
                <c:pt idx="0">
                  <c:v>[Sensitivity] Releases required to have habitat benefit, allowed through December, Storage RPA control</c:v>
                </c:pt>
              </c:strCache>
            </c:strRef>
          </c:tx>
          <c:spPr>
            <a:ln w="19050" cap="rnd">
              <a:solidFill>
                <a:schemeClr val="accent6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ChartData!$B$2:$B$82</c:f>
              <c:numCache>
                <c:formatCode>0</c:formatCode>
                <c:ptCount val="81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</c:numCache>
            </c:numRef>
          </c:xVal>
          <c:yVal>
            <c:numRef>
              <c:f>ChartData!$J$2:$J$82</c:f>
              <c:numCache>
                <c:formatCode>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42.764748192148765</c:v>
                </c:pt>
                <c:pt idx="4">
                  <c:v>151.4505739927686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 formatCode="#,##0">
                  <c:v>277.55906249999998</c:v>
                </c:pt>
                <c:pt idx="26">
                  <c:v>0</c:v>
                </c:pt>
                <c:pt idx="27">
                  <c:v>156.38789449896694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>
                  <c:v>146.39928137913225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210.90438702543906</c:v>
                </c:pt>
                <c:pt idx="39">
                  <c:v>192.77386769192276</c:v>
                </c:pt>
                <c:pt idx="40">
                  <c:v>0</c:v>
                </c:pt>
                <c:pt idx="41">
                  <c:v>0</c:v>
                </c:pt>
                <c:pt idx="42">
                  <c:v>154.401796875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172.01439102551169</c:v>
                </c:pt>
                <c:pt idx="55">
                  <c:v>0</c:v>
                </c:pt>
                <c:pt idx="56">
                  <c:v>0</c:v>
                </c:pt>
                <c:pt idx="57">
                  <c:v>34.877614927685947</c:v>
                </c:pt>
                <c:pt idx="58">
                  <c:v>0</c:v>
                </c:pt>
                <c:pt idx="59">
                  <c:v>310.97147606211257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320.19282049005682</c:v>
                </c:pt>
                <c:pt idx="66">
                  <c:v>110.63555559142561</c:v>
                </c:pt>
                <c:pt idx="67">
                  <c:v>261.25910640495869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284.57847704674589</c:v>
                </c:pt>
                <c:pt idx="80">
                  <c:v>138.32404886040806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2A3-448C-A95A-40FB87A3D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072304"/>
        <c:axId val="682072632"/>
        <c:extLst/>
      </c:scatterChart>
      <c:valAx>
        <c:axId val="682072304"/>
        <c:scaling>
          <c:orientation val="minMax"/>
          <c:max val="2003"/>
          <c:min val="19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632"/>
        <c:crosses val="autoZero"/>
        <c:crossBetween val="midCat"/>
      </c:valAx>
      <c:valAx>
        <c:axId val="68207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Volume (TAF)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30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76002867697093424"/>
          <c:w val="1"/>
          <c:h val="0.23997132302906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Exchangeable Water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678915135608045E-2"/>
          <c:y val="0.1144753086419753"/>
          <c:w val="0.87949568803899514"/>
          <c:h val="0.48059030815592496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ChartData!$O$1</c:f>
              <c:strCache>
                <c:ptCount val="1"/>
                <c:pt idx="0">
                  <c:v>Initial Concept - no Delevan Pipeline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ChartData!$N$2:$N$8</c:f>
              <c:strCache>
                <c:ptCount val="7"/>
                <c:pt idx="0">
                  <c:v>LT</c:v>
                </c:pt>
                <c:pt idx="1">
                  <c:v>DP</c:v>
                </c:pt>
                <c:pt idx="2">
                  <c:v>W</c:v>
                </c:pt>
                <c:pt idx="3">
                  <c:v>AN</c:v>
                </c:pt>
                <c:pt idx="4">
                  <c:v>BN</c:v>
                </c:pt>
                <c:pt idx="5">
                  <c:v>D</c:v>
                </c:pt>
                <c:pt idx="6">
                  <c:v>C</c:v>
                </c:pt>
              </c:strCache>
            </c:strRef>
          </c:cat>
          <c:val>
            <c:numRef>
              <c:f>ChartData!$O$2:$O$8</c:f>
              <c:numCache>
                <c:formatCode>0</c:formatCode>
                <c:ptCount val="7"/>
                <c:pt idx="0">
                  <c:v>32.198400901722039</c:v>
                </c:pt>
                <c:pt idx="1">
                  <c:v>69.879008450874053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98.486651252935729</c:v>
                </c:pt>
                <c:pt idx="6">
                  <c:v>53.194787331730872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8-41CD-8FF4-09664264FA25}"/>
            </c:ext>
          </c:extLst>
        </c:ser>
        <c:ser>
          <c:idx val="3"/>
          <c:order val="1"/>
          <c:tx>
            <c:strRef>
              <c:f>ChartData!$P$1</c:f>
              <c:strCache>
                <c:ptCount val="1"/>
                <c:pt idx="0">
                  <c:v>Initial Concept - 1 pipe Delevan Pipeline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ChartData!$N$2:$N$8</c:f>
              <c:strCache>
                <c:ptCount val="7"/>
                <c:pt idx="0">
                  <c:v>LT</c:v>
                </c:pt>
                <c:pt idx="1">
                  <c:v>DP</c:v>
                </c:pt>
                <c:pt idx="2">
                  <c:v>W</c:v>
                </c:pt>
                <c:pt idx="3">
                  <c:v>AN</c:v>
                </c:pt>
                <c:pt idx="4">
                  <c:v>BN</c:v>
                </c:pt>
                <c:pt idx="5">
                  <c:v>D</c:v>
                </c:pt>
                <c:pt idx="6">
                  <c:v>C</c:v>
                </c:pt>
              </c:strCache>
            </c:strRef>
          </c:cat>
          <c:val>
            <c:numRef>
              <c:f>ChartData!$P$2:$P$8</c:f>
              <c:numCache>
                <c:formatCode>0</c:formatCode>
                <c:ptCount val="7"/>
                <c:pt idx="0">
                  <c:v>44.838846146741488</c:v>
                </c:pt>
                <c:pt idx="1">
                  <c:v>100.93705878981734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134.78279446461573</c:v>
                </c:pt>
                <c:pt idx="6">
                  <c:v>78.024220716145422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68-41CD-8FF4-09664264FA25}"/>
            </c:ext>
          </c:extLst>
        </c:ser>
        <c:ser>
          <c:idx val="2"/>
          <c:order val="2"/>
          <c:tx>
            <c:strRef>
              <c:f>ChartData!$Q$1</c:f>
              <c:strCache>
                <c:ptCount val="1"/>
                <c:pt idx="0">
                  <c:v>Initial Concept - 2 pipe Delevan Pipeline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ChartData!$N$2:$N$8</c:f>
              <c:strCache>
                <c:ptCount val="7"/>
                <c:pt idx="0">
                  <c:v>LT</c:v>
                </c:pt>
                <c:pt idx="1">
                  <c:v>DP</c:v>
                </c:pt>
                <c:pt idx="2">
                  <c:v>W</c:v>
                </c:pt>
                <c:pt idx="3">
                  <c:v>AN</c:v>
                </c:pt>
                <c:pt idx="4">
                  <c:v>BN</c:v>
                </c:pt>
                <c:pt idx="5">
                  <c:v>D</c:v>
                </c:pt>
                <c:pt idx="6">
                  <c:v>C</c:v>
                </c:pt>
              </c:strCache>
            </c:strRef>
          </c:cat>
          <c:val>
            <c:numRef>
              <c:f>ChartData!$Q$2:$Q$8</c:f>
              <c:numCache>
                <c:formatCode>0</c:formatCode>
                <c:ptCount val="7"/>
                <c:pt idx="0">
                  <c:v>51.400570382782902</c:v>
                </c:pt>
                <c:pt idx="1">
                  <c:v>116.92296578687647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156.29323407209409</c:v>
                </c:pt>
                <c:pt idx="6">
                  <c:v>86.465126630294421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68-41CD-8FF4-09664264FA25}"/>
            </c:ext>
          </c:extLst>
        </c:ser>
        <c:ser>
          <c:idx val="6"/>
          <c:order val="3"/>
          <c:tx>
            <c:strRef>
              <c:f>ChartData!$R$1</c:f>
              <c:strCache>
                <c:ptCount val="1"/>
                <c:pt idx="0">
                  <c:v>[Sensitivity] Exchanges allowed in Below Normal years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ChartData!$N$2:$N$8</c:f>
              <c:strCache>
                <c:ptCount val="7"/>
                <c:pt idx="0">
                  <c:v>LT</c:v>
                </c:pt>
                <c:pt idx="1">
                  <c:v>DP</c:v>
                </c:pt>
                <c:pt idx="2">
                  <c:v>W</c:v>
                </c:pt>
                <c:pt idx="3">
                  <c:v>AN</c:v>
                </c:pt>
                <c:pt idx="4">
                  <c:v>BN</c:v>
                </c:pt>
                <c:pt idx="5">
                  <c:v>D</c:v>
                </c:pt>
                <c:pt idx="6">
                  <c:v>C</c:v>
                </c:pt>
              </c:strCache>
            </c:strRef>
          </c:cat>
          <c:val>
            <c:numRef>
              <c:f>ChartData!$R$2:$R$8</c:f>
              <c:numCache>
                <c:formatCode>0</c:formatCode>
                <c:ptCount val="7"/>
                <c:pt idx="0">
                  <c:v>68.338067593511767</c:v>
                </c:pt>
                <c:pt idx="1">
                  <c:v>116.92296578687647</c:v>
                </c:pt>
                <c:pt idx="2">
                  <c:v>0</c:v>
                </c:pt>
                <c:pt idx="3">
                  <c:v>0</c:v>
                </c:pt>
                <c:pt idx="4">
                  <c:v>124.72157036991248</c:v>
                </c:pt>
                <c:pt idx="5">
                  <c:v>156.29323407209409</c:v>
                </c:pt>
                <c:pt idx="6">
                  <c:v>86.465126630294421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68-41CD-8FF4-09664264FA25}"/>
            </c:ext>
          </c:extLst>
        </c:ser>
        <c:ser>
          <c:idx val="5"/>
          <c:order val="4"/>
          <c:tx>
            <c:strRef>
              <c:f>ChartData!$S$1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ChartData!$N$2:$N$8</c:f>
              <c:strCache>
                <c:ptCount val="7"/>
                <c:pt idx="0">
                  <c:v>LT</c:v>
                </c:pt>
                <c:pt idx="1">
                  <c:v>DP</c:v>
                </c:pt>
                <c:pt idx="2">
                  <c:v>W</c:v>
                </c:pt>
                <c:pt idx="3">
                  <c:v>AN</c:v>
                </c:pt>
                <c:pt idx="4">
                  <c:v>BN</c:v>
                </c:pt>
                <c:pt idx="5">
                  <c:v>D</c:v>
                </c:pt>
                <c:pt idx="6">
                  <c:v>C</c:v>
                </c:pt>
              </c:strCache>
              <c:extLst xmlns:c15="http://schemas.microsoft.com/office/drawing/2012/chart"/>
            </c:strRef>
          </c:cat>
          <c:val>
            <c:numRef>
              <c:f>ChartData!$S$2:$S$8</c:f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7768-41CD-8FF4-09664264FA25}"/>
            </c:ext>
          </c:extLst>
        </c:ser>
        <c:ser>
          <c:idx val="0"/>
          <c:order val="5"/>
          <c:tx>
            <c:strRef>
              <c:f>ChartData!$T$1</c:f>
              <c:strCache>
                <c:ptCount val="1"/>
                <c:pt idx="0">
                  <c:v>[Sensitivity] Exchanges assumed to occur under UWFE conditions as well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ChartData!$N$2:$N$8</c:f>
              <c:strCache>
                <c:ptCount val="7"/>
                <c:pt idx="0">
                  <c:v>LT</c:v>
                </c:pt>
                <c:pt idx="1">
                  <c:v>DP</c:v>
                </c:pt>
                <c:pt idx="2">
                  <c:v>W</c:v>
                </c:pt>
                <c:pt idx="3">
                  <c:v>AN</c:v>
                </c:pt>
                <c:pt idx="4">
                  <c:v>BN</c:v>
                </c:pt>
                <c:pt idx="5">
                  <c:v>D</c:v>
                </c:pt>
                <c:pt idx="6">
                  <c:v>C</c:v>
                </c:pt>
              </c:strCache>
            </c:strRef>
          </c:cat>
          <c:val>
            <c:numRef>
              <c:f>ChartData!$T$2:$T$8</c:f>
              <c:numCache>
                <c:formatCode>0</c:formatCode>
                <c:ptCount val="7"/>
                <c:pt idx="0">
                  <c:v>55.740125428086799</c:v>
                </c:pt>
                <c:pt idx="1">
                  <c:v>122.40234074075782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170.03286953785795</c:v>
                </c:pt>
                <c:pt idx="6">
                  <c:v>92.857730743155983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68-41CD-8FF4-09664264FA25}"/>
            </c:ext>
          </c:extLst>
        </c:ser>
        <c:ser>
          <c:idx val="1"/>
          <c:order val="6"/>
          <c:tx>
            <c:strRef>
              <c:f>ChartData!$U$1</c:f>
              <c:strCache>
                <c:ptCount val="1"/>
                <c:pt idx="0">
                  <c:v>[Sensitivity] Releases allowed through December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ChartData!$N$2:$N$8</c:f>
              <c:strCache>
                <c:ptCount val="7"/>
                <c:pt idx="0">
                  <c:v>LT</c:v>
                </c:pt>
                <c:pt idx="1">
                  <c:v>DP</c:v>
                </c:pt>
                <c:pt idx="2">
                  <c:v>W</c:v>
                </c:pt>
                <c:pt idx="3">
                  <c:v>AN</c:v>
                </c:pt>
                <c:pt idx="4">
                  <c:v>BN</c:v>
                </c:pt>
                <c:pt idx="5">
                  <c:v>D</c:v>
                </c:pt>
                <c:pt idx="6">
                  <c:v>C</c:v>
                </c:pt>
              </c:strCache>
            </c:strRef>
          </c:cat>
          <c:val>
            <c:numRef>
              <c:f>ChartData!$U$2:$U$8</c:f>
              <c:numCache>
                <c:formatCode>0</c:formatCode>
                <c:ptCount val="7"/>
                <c:pt idx="0">
                  <c:v>52.273545369690332</c:v>
                </c:pt>
                <c:pt idx="1">
                  <c:v>118.23475496582607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159.82878276906919</c:v>
                </c:pt>
                <c:pt idx="6">
                  <c:v>86.465126630294421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68-41CD-8FF4-09664264FA25}"/>
            </c:ext>
          </c:extLst>
        </c:ser>
        <c:ser>
          <c:idx val="7"/>
          <c:order val="7"/>
          <c:tx>
            <c:strRef>
              <c:f>ChartData!$V$1</c:f>
              <c:strCache>
                <c:ptCount val="1"/>
                <c:pt idx="0">
                  <c:v>[Sensitivity] Releases required to have habitat benefit, allowed through December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ChartData!$N$2:$N$8</c:f>
              <c:strCache>
                <c:ptCount val="7"/>
                <c:pt idx="0">
                  <c:v>LT</c:v>
                </c:pt>
                <c:pt idx="1">
                  <c:v>DP</c:v>
                </c:pt>
                <c:pt idx="2">
                  <c:v>W</c:v>
                </c:pt>
                <c:pt idx="3">
                  <c:v>AN</c:v>
                </c:pt>
                <c:pt idx="4">
                  <c:v>BN</c:v>
                </c:pt>
                <c:pt idx="5">
                  <c:v>D</c:v>
                </c:pt>
                <c:pt idx="6">
                  <c:v>C</c:v>
                </c:pt>
              </c:strCache>
            </c:strRef>
          </c:cat>
          <c:val>
            <c:numRef>
              <c:f>ChartData!$V$2:$V$8</c:f>
              <c:numCache>
                <c:formatCode>0</c:formatCode>
                <c:ptCount val="7"/>
                <c:pt idx="0">
                  <c:v>48.054827981930757</c:v>
                </c:pt>
                <c:pt idx="1">
                  <c:v>114.86683827549959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142.74297734864291</c:v>
                </c:pt>
                <c:pt idx="6">
                  <c:v>86.465126630294421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68-41CD-8FF4-09664264FA25}"/>
            </c:ext>
          </c:extLst>
        </c:ser>
        <c:ser>
          <c:idx val="8"/>
          <c:order val="8"/>
          <c:tx>
            <c:strRef>
              <c:f>ChartData!$W$1</c:f>
              <c:strCache>
                <c:ptCount val="1"/>
                <c:pt idx="0">
                  <c:v>[Sensitivity] Releases required to have habitat benefit, allowed through December, Storage RPA control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ChartData!$N$2:$N$8</c:f>
              <c:strCache>
                <c:ptCount val="7"/>
                <c:pt idx="0">
                  <c:v>LT</c:v>
                </c:pt>
                <c:pt idx="1">
                  <c:v>DP</c:v>
                </c:pt>
                <c:pt idx="2">
                  <c:v>W</c:v>
                </c:pt>
                <c:pt idx="3">
                  <c:v>AN</c:v>
                </c:pt>
                <c:pt idx="4">
                  <c:v>BN</c:v>
                </c:pt>
                <c:pt idx="5">
                  <c:v>D</c:v>
                </c:pt>
                <c:pt idx="6">
                  <c:v>C</c:v>
                </c:pt>
              </c:strCache>
            </c:strRef>
          </c:cat>
          <c:val>
            <c:numRef>
              <c:f>ChartData!$W$2:$W$8</c:f>
              <c:numCache>
                <c:formatCode>0</c:formatCode>
                <c:ptCount val="7"/>
                <c:pt idx="0">
                  <c:v>36.61105064894177</c:v>
                </c:pt>
                <c:pt idx="1">
                  <c:v>61.721562393710919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142.74297734864291</c:v>
                </c:pt>
                <c:pt idx="6">
                  <c:v>9.2196296326188012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68-41CD-8FF4-09664264F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26753616"/>
        <c:axId val="1026753944"/>
        <c:extLst/>
      </c:barChart>
      <c:catAx>
        <c:axId val="102675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6753944"/>
        <c:crosses val="autoZero"/>
        <c:auto val="1"/>
        <c:lblAlgn val="ctr"/>
        <c:lblOffset val="100"/>
        <c:noMultiLvlLbl val="0"/>
      </c:catAx>
      <c:valAx>
        <c:axId val="102675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Volume (TAF)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675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5431952950325656"/>
          <c:w val="0.99647544056992876"/>
          <c:h val="0.3271619519782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Exchangeable Water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678915135608045E-2"/>
          <c:y val="0.1144753086419753"/>
          <c:w val="0.85954036995375582"/>
          <c:h val="0.58321303587051621"/>
        </c:manualLayout>
      </c:layout>
      <c:scatterChart>
        <c:scatterStyle val="lineMarker"/>
        <c:varyColors val="0"/>
        <c:ser>
          <c:idx val="4"/>
          <c:order val="0"/>
          <c:tx>
            <c:strRef>
              <c:f>ChartData!$C$84</c:f>
              <c:strCache>
                <c:ptCount val="1"/>
                <c:pt idx="0">
                  <c:v>Initial Concept - no Delevan Pipeline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ChartData!$B$85:$B$165</c:f>
              <c:numCache>
                <c:formatCode>0%</c:formatCode>
                <c:ptCount val="81"/>
                <c:pt idx="0">
                  <c:v>0</c:v>
                </c:pt>
                <c:pt idx="1">
                  <c:v>1.2500000000000001E-2</c:v>
                </c:pt>
                <c:pt idx="2">
                  <c:v>2.5000000000000001E-2</c:v>
                </c:pt>
                <c:pt idx="3">
                  <c:v>3.7499999999999999E-2</c:v>
                </c:pt>
                <c:pt idx="4">
                  <c:v>0.05</c:v>
                </c:pt>
                <c:pt idx="5">
                  <c:v>6.25E-2</c:v>
                </c:pt>
                <c:pt idx="6">
                  <c:v>7.4999999999999997E-2</c:v>
                </c:pt>
                <c:pt idx="7">
                  <c:v>8.7499999999999994E-2</c:v>
                </c:pt>
                <c:pt idx="8">
                  <c:v>0.1</c:v>
                </c:pt>
                <c:pt idx="9">
                  <c:v>0.1125</c:v>
                </c:pt>
                <c:pt idx="10">
                  <c:v>0.125</c:v>
                </c:pt>
                <c:pt idx="11">
                  <c:v>0.13750000000000001</c:v>
                </c:pt>
                <c:pt idx="12">
                  <c:v>0.15</c:v>
                </c:pt>
                <c:pt idx="13">
                  <c:v>0.16250000000000001</c:v>
                </c:pt>
                <c:pt idx="14">
                  <c:v>0.17499999999999999</c:v>
                </c:pt>
                <c:pt idx="15">
                  <c:v>0.1875</c:v>
                </c:pt>
                <c:pt idx="16">
                  <c:v>0.2</c:v>
                </c:pt>
                <c:pt idx="17">
                  <c:v>0.21249999999999999</c:v>
                </c:pt>
                <c:pt idx="18">
                  <c:v>0.22500000000000001</c:v>
                </c:pt>
                <c:pt idx="19">
                  <c:v>0.23749999999999999</c:v>
                </c:pt>
                <c:pt idx="20">
                  <c:v>0.25</c:v>
                </c:pt>
                <c:pt idx="21">
                  <c:v>0.26250000000000001</c:v>
                </c:pt>
                <c:pt idx="22">
                  <c:v>0.27500000000000002</c:v>
                </c:pt>
                <c:pt idx="23">
                  <c:v>0.28749999999999998</c:v>
                </c:pt>
                <c:pt idx="24">
                  <c:v>0.3</c:v>
                </c:pt>
                <c:pt idx="25">
                  <c:v>0.3125</c:v>
                </c:pt>
                <c:pt idx="26">
                  <c:v>0.32500000000000001</c:v>
                </c:pt>
                <c:pt idx="27">
                  <c:v>0.33750000000000002</c:v>
                </c:pt>
                <c:pt idx="28">
                  <c:v>0.35</c:v>
                </c:pt>
                <c:pt idx="29">
                  <c:v>0.36249999999999999</c:v>
                </c:pt>
                <c:pt idx="30">
                  <c:v>0.375</c:v>
                </c:pt>
                <c:pt idx="31">
                  <c:v>0.38750000000000001</c:v>
                </c:pt>
                <c:pt idx="32">
                  <c:v>0.4</c:v>
                </c:pt>
                <c:pt idx="33">
                  <c:v>0.41249999999999998</c:v>
                </c:pt>
                <c:pt idx="34">
                  <c:v>0.42499999999999999</c:v>
                </c:pt>
                <c:pt idx="35">
                  <c:v>0.4375</c:v>
                </c:pt>
                <c:pt idx="36">
                  <c:v>0.45</c:v>
                </c:pt>
                <c:pt idx="37">
                  <c:v>0.46250000000000002</c:v>
                </c:pt>
                <c:pt idx="38">
                  <c:v>0.47499999999999998</c:v>
                </c:pt>
                <c:pt idx="39">
                  <c:v>0.48749999999999999</c:v>
                </c:pt>
                <c:pt idx="40">
                  <c:v>0.5</c:v>
                </c:pt>
                <c:pt idx="41">
                  <c:v>0.51249999999999996</c:v>
                </c:pt>
                <c:pt idx="42">
                  <c:v>0.52500000000000002</c:v>
                </c:pt>
                <c:pt idx="43">
                  <c:v>0.53749999999999998</c:v>
                </c:pt>
                <c:pt idx="44">
                  <c:v>0.55000000000000004</c:v>
                </c:pt>
                <c:pt idx="45">
                  <c:v>0.5625</c:v>
                </c:pt>
                <c:pt idx="46">
                  <c:v>0.57499999999999996</c:v>
                </c:pt>
                <c:pt idx="47">
                  <c:v>0.58750000000000002</c:v>
                </c:pt>
                <c:pt idx="48">
                  <c:v>0.6</c:v>
                </c:pt>
                <c:pt idx="49">
                  <c:v>0.61250000000000004</c:v>
                </c:pt>
                <c:pt idx="50">
                  <c:v>0.625</c:v>
                </c:pt>
                <c:pt idx="51">
                  <c:v>0.63749999999999996</c:v>
                </c:pt>
                <c:pt idx="52">
                  <c:v>0.65</c:v>
                </c:pt>
                <c:pt idx="53">
                  <c:v>0.66249999999999998</c:v>
                </c:pt>
                <c:pt idx="54">
                  <c:v>0.67500000000000004</c:v>
                </c:pt>
                <c:pt idx="55">
                  <c:v>0.6875</c:v>
                </c:pt>
                <c:pt idx="56">
                  <c:v>0.7</c:v>
                </c:pt>
                <c:pt idx="57">
                  <c:v>0.71250000000000002</c:v>
                </c:pt>
                <c:pt idx="58">
                  <c:v>0.72499999999999998</c:v>
                </c:pt>
                <c:pt idx="59">
                  <c:v>0.73750000000000004</c:v>
                </c:pt>
                <c:pt idx="60">
                  <c:v>0.75</c:v>
                </c:pt>
                <c:pt idx="61">
                  <c:v>0.76249999999999996</c:v>
                </c:pt>
                <c:pt idx="62">
                  <c:v>0.77500000000000002</c:v>
                </c:pt>
                <c:pt idx="63">
                  <c:v>0.78749999999999998</c:v>
                </c:pt>
                <c:pt idx="64">
                  <c:v>0.8</c:v>
                </c:pt>
                <c:pt idx="65">
                  <c:v>0.8125</c:v>
                </c:pt>
                <c:pt idx="66">
                  <c:v>0.82499999999999996</c:v>
                </c:pt>
                <c:pt idx="67">
                  <c:v>0.83750000000000002</c:v>
                </c:pt>
                <c:pt idx="68">
                  <c:v>0.85</c:v>
                </c:pt>
                <c:pt idx="69">
                  <c:v>0.86250000000000004</c:v>
                </c:pt>
                <c:pt idx="70">
                  <c:v>0.875</c:v>
                </c:pt>
                <c:pt idx="71">
                  <c:v>0.88749999999999996</c:v>
                </c:pt>
                <c:pt idx="72">
                  <c:v>0.9</c:v>
                </c:pt>
                <c:pt idx="73">
                  <c:v>0.91249999999999998</c:v>
                </c:pt>
                <c:pt idx="74">
                  <c:v>0.92500000000000004</c:v>
                </c:pt>
                <c:pt idx="75">
                  <c:v>0.9375</c:v>
                </c:pt>
                <c:pt idx="76">
                  <c:v>0.95</c:v>
                </c:pt>
                <c:pt idx="77">
                  <c:v>0.96250000000000002</c:v>
                </c:pt>
                <c:pt idx="78">
                  <c:v>0.97499999999999998</c:v>
                </c:pt>
                <c:pt idx="79">
                  <c:v>0.98750000000000004</c:v>
                </c:pt>
                <c:pt idx="80">
                  <c:v>1</c:v>
                </c:pt>
              </c:numCache>
            </c:numRef>
          </c:xVal>
          <c:yVal>
            <c:numRef>
              <c:f>ChartData!$C$85:$C$165</c:f>
              <c:numCache>
                <c:formatCode>0</c:formatCode>
                <c:ptCount val="81"/>
                <c:pt idx="0">
                  <c:v>293.28102526956354</c:v>
                </c:pt>
                <c:pt idx="1">
                  <c:v>190.82287105339617</c:v>
                </c:pt>
                <c:pt idx="2">
                  <c:v>184.72581111182853</c:v>
                </c:pt>
                <c:pt idx="3">
                  <c:v>174.18674200389012</c:v>
                </c:pt>
                <c:pt idx="4">
                  <c:v>169.35851681039352</c:v>
                </c:pt>
                <c:pt idx="5">
                  <c:v>168.6621136726821</c:v>
                </c:pt>
                <c:pt idx="6">
                  <c:v>164.24551104080581</c:v>
                </c:pt>
                <c:pt idx="7">
                  <c:v>110.63555559142561</c:v>
                </c:pt>
                <c:pt idx="8">
                  <c:v>103.43018733253164</c:v>
                </c:pt>
                <c:pt idx="9">
                  <c:v>101.453290107664</c:v>
                </c:pt>
                <c:pt idx="10">
                  <c:v>100.54246273324509</c:v>
                </c:pt>
                <c:pt idx="11">
                  <c:v>93.357286605834943</c:v>
                </c:pt>
                <c:pt idx="12">
                  <c:v>93.016015524115446</c:v>
                </c:pt>
                <c:pt idx="13">
                  <c:v>90.881380716118926</c:v>
                </c:pt>
                <c:pt idx="14">
                  <c:v>87.457805528877202</c:v>
                </c:pt>
                <c:pt idx="15">
                  <c:v>82.320104506311338</c:v>
                </c:pt>
                <c:pt idx="16">
                  <c:v>81.131935828342904</c:v>
                </c:pt>
                <c:pt idx="17">
                  <c:v>79.782986066833999</c:v>
                </c:pt>
                <c:pt idx="18">
                  <c:v>78.227418475190461</c:v>
                </c:pt>
                <c:pt idx="19">
                  <c:v>61.140804816632233</c:v>
                </c:pt>
                <c:pt idx="20">
                  <c:v>42.764748192148765</c:v>
                </c:pt>
                <c:pt idx="21">
                  <c:v>34.877614927685947</c:v>
                </c:pt>
                <c:pt idx="22">
                  <c:v>21.768285123966944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BF-4D20-8B2B-B497FD69CED3}"/>
            </c:ext>
          </c:extLst>
        </c:ser>
        <c:ser>
          <c:idx val="3"/>
          <c:order val="1"/>
          <c:tx>
            <c:strRef>
              <c:f>ChartData!$D$84</c:f>
              <c:strCache>
                <c:ptCount val="1"/>
                <c:pt idx="0">
                  <c:v>Initial Concept - 1 pipe Delevan Pipeline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ChartData!$B$85:$B$165</c:f>
              <c:numCache>
                <c:formatCode>0%</c:formatCode>
                <c:ptCount val="81"/>
                <c:pt idx="0">
                  <c:v>0</c:v>
                </c:pt>
                <c:pt idx="1">
                  <c:v>1.2500000000000001E-2</c:v>
                </c:pt>
                <c:pt idx="2">
                  <c:v>2.5000000000000001E-2</c:v>
                </c:pt>
                <c:pt idx="3">
                  <c:v>3.7499999999999999E-2</c:v>
                </c:pt>
                <c:pt idx="4">
                  <c:v>0.05</c:v>
                </c:pt>
                <c:pt idx="5">
                  <c:v>6.25E-2</c:v>
                </c:pt>
                <c:pt idx="6">
                  <c:v>7.4999999999999997E-2</c:v>
                </c:pt>
                <c:pt idx="7">
                  <c:v>8.7499999999999994E-2</c:v>
                </c:pt>
                <c:pt idx="8">
                  <c:v>0.1</c:v>
                </c:pt>
                <c:pt idx="9">
                  <c:v>0.1125</c:v>
                </c:pt>
                <c:pt idx="10">
                  <c:v>0.125</c:v>
                </c:pt>
                <c:pt idx="11">
                  <c:v>0.13750000000000001</c:v>
                </c:pt>
                <c:pt idx="12">
                  <c:v>0.15</c:v>
                </c:pt>
                <c:pt idx="13">
                  <c:v>0.16250000000000001</c:v>
                </c:pt>
                <c:pt idx="14">
                  <c:v>0.17499999999999999</c:v>
                </c:pt>
                <c:pt idx="15">
                  <c:v>0.1875</c:v>
                </c:pt>
                <c:pt idx="16">
                  <c:v>0.2</c:v>
                </c:pt>
                <c:pt idx="17">
                  <c:v>0.21249999999999999</c:v>
                </c:pt>
                <c:pt idx="18">
                  <c:v>0.22500000000000001</c:v>
                </c:pt>
                <c:pt idx="19">
                  <c:v>0.23749999999999999</c:v>
                </c:pt>
                <c:pt idx="20">
                  <c:v>0.25</c:v>
                </c:pt>
                <c:pt idx="21">
                  <c:v>0.26250000000000001</c:v>
                </c:pt>
                <c:pt idx="22">
                  <c:v>0.27500000000000002</c:v>
                </c:pt>
                <c:pt idx="23">
                  <c:v>0.28749999999999998</c:v>
                </c:pt>
                <c:pt idx="24">
                  <c:v>0.3</c:v>
                </c:pt>
                <c:pt idx="25">
                  <c:v>0.3125</c:v>
                </c:pt>
                <c:pt idx="26">
                  <c:v>0.32500000000000001</c:v>
                </c:pt>
                <c:pt idx="27">
                  <c:v>0.33750000000000002</c:v>
                </c:pt>
                <c:pt idx="28">
                  <c:v>0.35</c:v>
                </c:pt>
                <c:pt idx="29">
                  <c:v>0.36249999999999999</c:v>
                </c:pt>
                <c:pt idx="30">
                  <c:v>0.375</c:v>
                </c:pt>
                <c:pt idx="31">
                  <c:v>0.38750000000000001</c:v>
                </c:pt>
                <c:pt idx="32">
                  <c:v>0.4</c:v>
                </c:pt>
                <c:pt idx="33">
                  <c:v>0.41249999999999998</c:v>
                </c:pt>
                <c:pt idx="34">
                  <c:v>0.42499999999999999</c:v>
                </c:pt>
                <c:pt idx="35">
                  <c:v>0.4375</c:v>
                </c:pt>
                <c:pt idx="36">
                  <c:v>0.45</c:v>
                </c:pt>
                <c:pt idx="37">
                  <c:v>0.46250000000000002</c:v>
                </c:pt>
                <c:pt idx="38">
                  <c:v>0.47499999999999998</c:v>
                </c:pt>
                <c:pt idx="39">
                  <c:v>0.48749999999999999</c:v>
                </c:pt>
                <c:pt idx="40">
                  <c:v>0.5</c:v>
                </c:pt>
                <c:pt idx="41">
                  <c:v>0.51249999999999996</c:v>
                </c:pt>
                <c:pt idx="42">
                  <c:v>0.52500000000000002</c:v>
                </c:pt>
                <c:pt idx="43">
                  <c:v>0.53749999999999998</c:v>
                </c:pt>
                <c:pt idx="44">
                  <c:v>0.55000000000000004</c:v>
                </c:pt>
                <c:pt idx="45">
                  <c:v>0.5625</c:v>
                </c:pt>
                <c:pt idx="46">
                  <c:v>0.57499999999999996</c:v>
                </c:pt>
                <c:pt idx="47">
                  <c:v>0.58750000000000002</c:v>
                </c:pt>
                <c:pt idx="48">
                  <c:v>0.6</c:v>
                </c:pt>
                <c:pt idx="49">
                  <c:v>0.61250000000000004</c:v>
                </c:pt>
                <c:pt idx="50">
                  <c:v>0.625</c:v>
                </c:pt>
                <c:pt idx="51">
                  <c:v>0.63749999999999996</c:v>
                </c:pt>
                <c:pt idx="52">
                  <c:v>0.65</c:v>
                </c:pt>
                <c:pt idx="53">
                  <c:v>0.66249999999999998</c:v>
                </c:pt>
                <c:pt idx="54">
                  <c:v>0.67500000000000004</c:v>
                </c:pt>
                <c:pt idx="55">
                  <c:v>0.6875</c:v>
                </c:pt>
                <c:pt idx="56">
                  <c:v>0.7</c:v>
                </c:pt>
                <c:pt idx="57">
                  <c:v>0.71250000000000002</c:v>
                </c:pt>
                <c:pt idx="58">
                  <c:v>0.72499999999999998</c:v>
                </c:pt>
                <c:pt idx="59">
                  <c:v>0.73750000000000004</c:v>
                </c:pt>
                <c:pt idx="60">
                  <c:v>0.75</c:v>
                </c:pt>
                <c:pt idx="61">
                  <c:v>0.76249999999999996</c:v>
                </c:pt>
                <c:pt idx="62">
                  <c:v>0.77500000000000002</c:v>
                </c:pt>
                <c:pt idx="63">
                  <c:v>0.78749999999999998</c:v>
                </c:pt>
                <c:pt idx="64">
                  <c:v>0.8</c:v>
                </c:pt>
                <c:pt idx="65">
                  <c:v>0.8125</c:v>
                </c:pt>
                <c:pt idx="66">
                  <c:v>0.82499999999999996</c:v>
                </c:pt>
                <c:pt idx="67">
                  <c:v>0.83750000000000002</c:v>
                </c:pt>
                <c:pt idx="68">
                  <c:v>0.85</c:v>
                </c:pt>
                <c:pt idx="69">
                  <c:v>0.86250000000000004</c:v>
                </c:pt>
                <c:pt idx="70">
                  <c:v>0.875</c:v>
                </c:pt>
                <c:pt idx="71">
                  <c:v>0.88749999999999996</c:v>
                </c:pt>
                <c:pt idx="72">
                  <c:v>0.9</c:v>
                </c:pt>
                <c:pt idx="73">
                  <c:v>0.91249999999999998</c:v>
                </c:pt>
                <c:pt idx="74">
                  <c:v>0.92500000000000004</c:v>
                </c:pt>
                <c:pt idx="75">
                  <c:v>0.9375</c:v>
                </c:pt>
                <c:pt idx="76">
                  <c:v>0.95</c:v>
                </c:pt>
                <c:pt idx="77">
                  <c:v>0.96250000000000002</c:v>
                </c:pt>
                <c:pt idx="78">
                  <c:v>0.97499999999999998</c:v>
                </c:pt>
                <c:pt idx="79">
                  <c:v>0.98750000000000004</c:v>
                </c:pt>
                <c:pt idx="80">
                  <c:v>1</c:v>
                </c:pt>
              </c:numCache>
            </c:numRef>
          </c:xVal>
          <c:yVal>
            <c:numRef>
              <c:f>ChartData!$D$85:$D$165</c:f>
              <c:numCache>
                <c:formatCode>0</c:formatCode>
                <c:ptCount val="81"/>
                <c:pt idx="0">
                  <c:v>328.53171665160124</c:v>
                </c:pt>
                <c:pt idx="1">
                  <c:v>261.65510391109245</c:v>
                </c:pt>
                <c:pt idx="2">
                  <c:v>260.10231846328611</c:v>
                </c:pt>
                <c:pt idx="3">
                  <c:v>254.98931269369837</c:v>
                </c:pt>
                <c:pt idx="4">
                  <c:v>237.51639891569278</c:v>
                </c:pt>
                <c:pt idx="5">
                  <c:v>236.93857353273501</c:v>
                </c:pt>
                <c:pt idx="6">
                  <c:v>214.77781615202093</c:v>
                </c:pt>
                <c:pt idx="7">
                  <c:v>188.52377036859181</c:v>
                </c:pt>
                <c:pt idx="8">
                  <c:v>162.48389609092524</c:v>
                </c:pt>
                <c:pt idx="9">
                  <c:v>147.56899258700284</c:v>
                </c:pt>
                <c:pt idx="10">
                  <c:v>146.65816521258392</c:v>
                </c:pt>
                <c:pt idx="11">
                  <c:v>139.47298908517379</c:v>
                </c:pt>
                <c:pt idx="12">
                  <c:v>139.1317180034543</c:v>
                </c:pt>
                <c:pt idx="13">
                  <c:v>136.99708319545778</c:v>
                </c:pt>
                <c:pt idx="14">
                  <c:v>127.9222265625</c:v>
                </c:pt>
                <c:pt idx="15">
                  <c:v>127.24763830768177</c:v>
                </c:pt>
                <c:pt idx="16">
                  <c:v>125.89868854617285</c:v>
                </c:pt>
                <c:pt idx="17">
                  <c:v>124.3431209545293</c:v>
                </c:pt>
                <c:pt idx="18">
                  <c:v>110.63555559142561</c:v>
                </c:pt>
                <c:pt idx="19">
                  <c:v>61.140804816632233</c:v>
                </c:pt>
                <c:pt idx="20">
                  <c:v>42.764748192148765</c:v>
                </c:pt>
                <c:pt idx="21">
                  <c:v>34.877614927685947</c:v>
                </c:pt>
                <c:pt idx="22">
                  <c:v>21.768285123966944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BF-4D20-8B2B-B497FD69CED3}"/>
            </c:ext>
          </c:extLst>
        </c:ser>
        <c:ser>
          <c:idx val="2"/>
          <c:order val="2"/>
          <c:tx>
            <c:strRef>
              <c:f>ChartData!$E$84</c:f>
              <c:strCache>
                <c:ptCount val="1"/>
                <c:pt idx="0">
                  <c:v>Initial Concept - 2 pipe Delevan Pipeline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ChartData!$B$85:$B$165</c:f>
              <c:numCache>
                <c:formatCode>0%</c:formatCode>
                <c:ptCount val="81"/>
                <c:pt idx="0">
                  <c:v>0</c:v>
                </c:pt>
                <c:pt idx="1">
                  <c:v>1.2500000000000001E-2</c:v>
                </c:pt>
                <c:pt idx="2">
                  <c:v>2.5000000000000001E-2</c:v>
                </c:pt>
                <c:pt idx="3">
                  <c:v>3.7499999999999999E-2</c:v>
                </c:pt>
                <c:pt idx="4">
                  <c:v>0.05</c:v>
                </c:pt>
                <c:pt idx="5">
                  <c:v>6.25E-2</c:v>
                </c:pt>
                <c:pt idx="6">
                  <c:v>7.4999999999999997E-2</c:v>
                </c:pt>
                <c:pt idx="7">
                  <c:v>8.7499999999999994E-2</c:v>
                </c:pt>
                <c:pt idx="8">
                  <c:v>0.1</c:v>
                </c:pt>
                <c:pt idx="9">
                  <c:v>0.1125</c:v>
                </c:pt>
                <c:pt idx="10">
                  <c:v>0.125</c:v>
                </c:pt>
                <c:pt idx="11">
                  <c:v>0.13750000000000001</c:v>
                </c:pt>
                <c:pt idx="12">
                  <c:v>0.15</c:v>
                </c:pt>
                <c:pt idx="13">
                  <c:v>0.16250000000000001</c:v>
                </c:pt>
                <c:pt idx="14">
                  <c:v>0.17499999999999999</c:v>
                </c:pt>
                <c:pt idx="15">
                  <c:v>0.1875</c:v>
                </c:pt>
                <c:pt idx="16">
                  <c:v>0.2</c:v>
                </c:pt>
                <c:pt idx="17">
                  <c:v>0.21249999999999999</c:v>
                </c:pt>
                <c:pt idx="18">
                  <c:v>0.22500000000000001</c:v>
                </c:pt>
                <c:pt idx="19">
                  <c:v>0.23749999999999999</c:v>
                </c:pt>
                <c:pt idx="20">
                  <c:v>0.25</c:v>
                </c:pt>
                <c:pt idx="21">
                  <c:v>0.26250000000000001</c:v>
                </c:pt>
                <c:pt idx="22">
                  <c:v>0.27500000000000002</c:v>
                </c:pt>
                <c:pt idx="23">
                  <c:v>0.28749999999999998</c:v>
                </c:pt>
                <c:pt idx="24">
                  <c:v>0.3</c:v>
                </c:pt>
                <c:pt idx="25">
                  <c:v>0.3125</c:v>
                </c:pt>
                <c:pt idx="26">
                  <c:v>0.32500000000000001</c:v>
                </c:pt>
                <c:pt idx="27">
                  <c:v>0.33750000000000002</c:v>
                </c:pt>
                <c:pt idx="28">
                  <c:v>0.35</c:v>
                </c:pt>
                <c:pt idx="29">
                  <c:v>0.36249999999999999</c:v>
                </c:pt>
                <c:pt idx="30">
                  <c:v>0.375</c:v>
                </c:pt>
                <c:pt idx="31">
                  <c:v>0.38750000000000001</c:v>
                </c:pt>
                <c:pt idx="32">
                  <c:v>0.4</c:v>
                </c:pt>
                <c:pt idx="33">
                  <c:v>0.41249999999999998</c:v>
                </c:pt>
                <c:pt idx="34">
                  <c:v>0.42499999999999999</c:v>
                </c:pt>
                <c:pt idx="35">
                  <c:v>0.4375</c:v>
                </c:pt>
                <c:pt idx="36">
                  <c:v>0.45</c:v>
                </c:pt>
                <c:pt idx="37">
                  <c:v>0.46250000000000002</c:v>
                </c:pt>
                <c:pt idx="38">
                  <c:v>0.47499999999999998</c:v>
                </c:pt>
                <c:pt idx="39">
                  <c:v>0.48749999999999999</c:v>
                </c:pt>
                <c:pt idx="40">
                  <c:v>0.5</c:v>
                </c:pt>
                <c:pt idx="41">
                  <c:v>0.51249999999999996</c:v>
                </c:pt>
                <c:pt idx="42">
                  <c:v>0.52500000000000002</c:v>
                </c:pt>
                <c:pt idx="43">
                  <c:v>0.53749999999999998</c:v>
                </c:pt>
                <c:pt idx="44">
                  <c:v>0.55000000000000004</c:v>
                </c:pt>
                <c:pt idx="45">
                  <c:v>0.5625</c:v>
                </c:pt>
                <c:pt idx="46">
                  <c:v>0.57499999999999996</c:v>
                </c:pt>
                <c:pt idx="47">
                  <c:v>0.58750000000000002</c:v>
                </c:pt>
                <c:pt idx="48">
                  <c:v>0.6</c:v>
                </c:pt>
                <c:pt idx="49">
                  <c:v>0.61250000000000004</c:v>
                </c:pt>
                <c:pt idx="50">
                  <c:v>0.625</c:v>
                </c:pt>
                <c:pt idx="51">
                  <c:v>0.63749999999999996</c:v>
                </c:pt>
                <c:pt idx="52">
                  <c:v>0.65</c:v>
                </c:pt>
                <c:pt idx="53">
                  <c:v>0.66249999999999998</c:v>
                </c:pt>
                <c:pt idx="54">
                  <c:v>0.67500000000000004</c:v>
                </c:pt>
                <c:pt idx="55">
                  <c:v>0.6875</c:v>
                </c:pt>
                <c:pt idx="56">
                  <c:v>0.7</c:v>
                </c:pt>
                <c:pt idx="57">
                  <c:v>0.71250000000000002</c:v>
                </c:pt>
                <c:pt idx="58">
                  <c:v>0.72499999999999998</c:v>
                </c:pt>
                <c:pt idx="59">
                  <c:v>0.73750000000000004</c:v>
                </c:pt>
                <c:pt idx="60">
                  <c:v>0.75</c:v>
                </c:pt>
                <c:pt idx="61">
                  <c:v>0.76249999999999996</c:v>
                </c:pt>
                <c:pt idx="62">
                  <c:v>0.77500000000000002</c:v>
                </c:pt>
                <c:pt idx="63">
                  <c:v>0.78749999999999998</c:v>
                </c:pt>
                <c:pt idx="64">
                  <c:v>0.8</c:v>
                </c:pt>
                <c:pt idx="65">
                  <c:v>0.8125</c:v>
                </c:pt>
                <c:pt idx="66">
                  <c:v>0.82499999999999996</c:v>
                </c:pt>
                <c:pt idx="67">
                  <c:v>0.83750000000000002</c:v>
                </c:pt>
                <c:pt idx="68">
                  <c:v>0.85</c:v>
                </c:pt>
                <c:pt idx="69">
                  <c:v>0.86250000000000004</c:v>
                </c:pt>
                <c:pt idx="70">
                  <c:v>0.875</c:v>
                </c:pt>
                <c:pt idx="71">
                  <c:v>0.88749999999999996</c:v>
                </c:pt>
                <c:pt idx="72">
                  <c:v>0.9</c:v>
                </c:pt>
                <c:pt idx="73">
                  <c:v>0.91249999999999998</c:v>
                </c:pt>
                <c:pt idx="74">
                  <c:v>0.92500000000000004</c:v>
                </c:pt>
                <c:pt idx="75">
                  <c:v>0.9375</c:v>
                </c:pt>
                <c:pt idx="76">
                  <c:v>0.95</c:v>
                </c:pt>
                <c:pt idx="77">
                  <c:v>0.96250000000000002</c:v>
                </c:pt>
                <c:pt idx="78">
                  <c:v>0.97499999999999998</c:v>
                </c:pt>
                <c:pt idx="79">
                  <c:v>0.98750000000000004</c:v>
                </c:pt>
                <c:pt idx="80">
                  <c:v>1</c:v>
                </c:pt>
              </c:numCache>
            </c:numRef>
          </c:xVal>
          <c:yVal>
            <c:numRef>
              <c:f>ChartData!$E$85:$E$165</c:f>
              <c:numCache>
                <c:formatCode>0</c:formatCode>
                <c:ptCount val="81"/>
                <c:pt idx="0">
                  <c:v>345.73311434659092</c:v>
                </c:pt>
                <c:pt idx="1">
                  <c:v>345.5484845475126</c:v>
                </c:pt>
                <c:pt idx="2">
                  <c:v>328.53171665160124</c:v>
                </c:pt>
                <c:pt idx="3">
                  <c:v>267.69855565599175</c:v>
                </c:pt>
                <c:pt idx="4">
                  <c:v>264.68922750677945</c:v>
                </c:pt>
                <c:pt idx="5">
                  <c:v>263.79778449444728</c:v>
                </c:pt>
                <c:pt idx="6">
                  <c:v>236.88286286157023</c:v>
                </c:pt>
                <c:pt idx="7">
                  <c:v>196.3267368285124</c:v>
                </c:pt>
                <c:pt idx="8">
                  <c:v>192.77386769192276</c:v>
                </c:pt>
                <c:pt idx="9">
                  <c:v>184.40940534607438</c:v>
                </c:pt>
                <c:pt idx="10">
                  <c:v>174.23468879132233</c:v>
                </c:pt>
                <c:pt idx="11">
                  <c:v>173.3633407870206</c:v>
                </c:pt>
                <c:pt idx="12">
                  <c:v>172.01439102551169</c:v>
                </c:pt>
                <c:pt idx="13">
                  <c:v>161.14381650309917</c:v>
                </c:pt>
                <c:pt idx="14">
                  <c:v>156.38789449896694</c:v>
                </c:pt>
                <c:pt idx="15">
                  <c:v>154.401796875</c:v>
                </c:pt>
                <c:pt idx="16">
                  <c:v>146.39928137913225</c:v>
                </c:pt>
                <c:pt idx="17">
                  <c:v>127.9222265625</c:v>
                </c:pt>
                <c:pt idx="18">
                  <c:v>110.63555559142561</c:v>
                </c:pt>
                <c:pt idx="19">
                  <c:v>61.140804816632233</c:v>
                </c:pt>
                <c:pt idx="20">
                  <c:v>42.764748192148765</c:v>
                </c:pt>
                <c:pt idx="21">
                  <c:v>34.877614927685947</c:v>
                </c:pt>
                <c:pt idx="22">
                  <c:v>21.768285123966944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BF-4D20-8B2B-B497FD69CED3}"/>
            </c:ext>
          </c:extLst>
        </c:ser>
        <c:ser>
          <c:idx val="6"/>
          <c:order val="3"/>
          <c:tx>
            <c:strRef>
              <c:f>ChartData!$F$84</c:f>
              <c:strCache>
                <c:ptCount val="1"/>
                <c:pt idx="0">
                  <c:v>[Sensitivity] Exchanges allowed in Below Normal years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ChartData!$B$85:$B$165</c:f>
              <c:numCache>
                <c:formatCode>0%</c:formatCode>
                <c:ptCount val="81"/>
                <c:pt idx="0">
                  <c:v>0</c:v>
                </c:pt>
                <c:pt idx="1">
                  <c:v>1.2500000000000001E-2</c:v>
                </c:pt>
                <c:pt idx="2">
                  <c:v>2.5000000000000001E-2</c:v>
                </c:pt>
                <c:pt idx="3">
                  <c:v>3.7499999999999999E-2</c:v>
                </c:pt>
                <c:pt idx="4">
                  <c:v>0.05</c:v>
                </c:pt>
                <c:pt idx="5">
                  <c:v>6.25E-2</c:v>
                </c:pt>
                <c:pt idx="6">
                  <c:v>7.4999999999999997E-2</c:v>
                </c:pt>
                <c:pt idx="7">
                  <c:v>8.7499999999999994E-2</c:v>
                </c:pt>
                <c:pt idx="8">
                  <c:v>0.1</c:v>
                </c:pt>
                <c:pt idx="9">
                  <c:v>0.1125</c:v>
                </c:pt>
                <c:pt idx="10">
                  <c:v>0.125</c:v>
                </c:pt>
                <c:pt idx="11">
                  <c:v>0.13750000000000001</c:v>
                </c:pt>
                <c:pt idx="12">
                  <c:v>0.15</c:v>
                </c:pt>
                <c:pt idx="13">
                  <c:v>0.16250000000000001</c:v>
                </c:pt>
                <c:pt idx="14">
                  <c:v>0.17499999999999999</c:v>
                </c:pt>
                <c:pt idx="15">
                  <c:v>0.1875</c:v>
                </c:pt>
                <c:pt idx="16">
                  <c:v>0.2</c:v>
                </c:pt>
                <c:pt idx="17">
                  <c:v>0.21249999999999999</c:v>
                </c:pt>
                <c:pt idx="18">
                  <c:v>0.22500000000000001</c:v>
                </c:pt>
                <c:pt idx="19">
                  <c:v>0.23749999999999999</c:v>
                </c:pt>
                <c:pt idx="20">
                  <c:v>0.25</c:v>
                </c:pt>
                <c:pt idx="21">
                  <c:v>0.26250000000000001</c:v>
                </c:pt>
                <c:pt idx="22">
                  <c:v>0.27500000000000002</c:v>
                </c:pt>
                <c:pt idx="23">
                  <c:v>0.28749999999999998</c:v>
                </c:pt>
                <c:pt idx="24">
                  <c:v>0.3</c:v>
                </c:pt>
                <c:pt idx="25">
                  <c:v>0.3125</c:v>
                </c:pt>
                <c:pt idx="26">
                  <c:v>0.32500000000000001</c:v>
                </c:pt>
                <c:pt idx="27">
                  <c:v>0.33750000000000002</c:v>
                </c:pt>
                <c:pt idx="28">
                  <c:v>0.35</c:v>
                </c:pt>
                <c:pt idx="29">
                  <c:v>0.36249999999999999</c:v>
                </c:pt>
                <c:pt idx="30">
                  <c:v>0.375</c:v>
                </c:pt>
                <c:pt idx="31">
                  <c:v>0.38750000000000001</c:v>
                </c:pt>
                <c:pt idx="32">
                  <c:v>0.4</c:v>
                </c:pt>
                <c:pt idx="33">
                  <c:v>0.41249999999999998</c:v>
                </c:pt>
                <c:pt idx="34">
                  <c:v>0.42499999999999999</c:v>
                </c:pt>
                <c:pt idx="35">
                  <c:v>0.4375</c:v>
                </c:pt>
                <c:pt idx="36">
                  <c:v>0.45</c:v>
                </c:pt>
                <c:pt idx="37">
                  <c:v>0.46250000000000002</c:v>
                </c:pt>
                <c:pt idx="38">
                  <c:v>0.47499999999999998</c:v>
                </c:pt>
                <c:pt idx="39">
                  <c:v>0.48749999999999999</c:v>
                </c:pt>
                <c:pt idx="40">
                  <c:v>0.5</c:v>
                </c:pt>
                <c:pt idx="41">
                  <c:v>0.51249999999999996</c:v>
                </c:pt>
                <c:pt idx="42">
                  <c:v>0.52500000000000002</c:v>
                </c:pt>
                <c:pt idx="43">
                  <c:v>0.53749999999999998</c:v>
                </c:pt>
                <c:pt idx="44">
                  <c:v>0.55000000000000004</c:v>
                </c:pt>
                <c:pt idx="45">
                  <c:v>0.5625</c:v>
                </c:pt>
                <c:pt idx="46">
                  <c:v>0.57499999999999996</c:v>
                </c:pt>
                <c:pt idx="47">
                  <c:v>0.58750000000000002</c:v>
                </c:pt>
                <c:pt idx="48">
                  <c:v>0.6</c:v>
                </c:pt>
                <c:pt idx="49">
                  <c:v>0.61250000000000004</c:v>
                </c:pt>
                <c:pt idx="50">
                  <c:v>0.625</c:v>
                </c:pt>
                <c:pt idx="51">
                  <c:v>0.63749999999999996</c:v>
                </c:pt>
                <c:pt idx="52">
                  <c:v>0.65</c:v>
                </c:pt>
                <c:pt idx="53">
                  <c:v>0.66249999999999998</c:v>
                </c:pt>
                <c:pt idx="54">
                  <c:v>0.67500000000000004</c:v>
                </c:pt>
                <c:pt idx="55">
                  <c:v>0.6875</c:v>
                </c:pt>
                <c:pt idx="56">
                  <c:v>0.7</c:v>
                </c:pt>
                <c:pt idx="57">
                  <c:v>0.71250000000000002</c:v>
                </c:pt>
                <c:pt idx="58">
                  <c:v>0.72499999999999998</c:v>
                </c:pt>
                <c:pt idx="59">
                  <c:v>0.73750000000000004</c:v>
                </c:pt>
                <c:pt idx="60">
                  <c:v>0.75</c:v>
                </c:pt>
                <c:pt idx="61">
                  <c:v>0.76249999999999996</c:v>
                </c:pt>
                <c:pt idx="62">
                  <c:v>0.77500000000000002</c:v>
                </c:pt>
                <c:pt idx="63">
                  <c:v>0.78749999999999998</c:v>
                </c:pt>
                <c:pt idx="64">
                  <c:v>0.8</c:v>
                </c:pt>
                <c:pt idx="65">
                  <c:v>0.8125</c:v>
                </c:pt>
                <c:pt idx="66">
                  <c:v>0.82499999999999996</c:v>
                </c:pt>
                <c:pt idx="67">
                  <c:v>0.83750000000000002</c:v>
                </c:pt>
                <c:pt idx="68">
                  <c:v>0.85</c:v>
                </c:pt>
                <c:pt idx="69">
                  <c:v>0.86250000000000004</c:v>
                </c:pt>
                <c:pt idx="70">
                  <c:v>0.875</c:v>
                </c:pt>
                <c:pt idx="71">
                  <c:v>0.88749999999999996</c:v>
                </c:pt>
                <c:pt idx="72">
                  <c:v>0.9</c:v>
                </c:pt>
                <c:pt idx="73">
                  <c:v>0.91249999999999998</c:v>
                </c:pt>
                <c:pt idx="74">
                  <c:v>0.92500000000000004</c:v>
                </c:pt>
                <c:pt idx="75">
                  <c:v>0.9375</c:v>
                </c:pt>
                <c:pt idx="76">
                  <c:v>0.95</c:v>
                </c:pt>
                <c:pt idx="77">
                  <c:v>0.96250000000000002</c:v>
                </c:pt>
                <c:pt idx="78">
                  <c:v>0.97499999999999998</c:v>
                </c:pt>
                <c:pt idx="79">
                  <c:v>0.98750000000000004</c:v>
                </c:pt>
                <c:pt idx="80">
                  <c:v>1</c:v>
                </c:pt>
              </c:numCache>
            </c:numRef>
          </c:xVal>
          <c:yVal>
            <c:numRef>
              <c:f>ChartData!$F$85:$F$165</c:f>
              <c:numCache>
                <c:formatCode>0</c:formatCode>
                <c:ptCount val="81"/>
                <c:pt idx="0">
                  <c:v>345.73311434659092</c:v>
                </c:pt>
                <c:pt idx="1">
                  <c:v>345.5484845475126</c:v>
                </c:pt>
                <c:pt idx="2">
                  <c:v>328.53171665160124</c:v>
                </c:pt>
                <c:pt idx="3">
                  <c:v>315.06763107930328</c:v>
                </c:pt>
                <c:pt idx="4">
                  <c:v>267.69855565599175</c:v>
                </c:pt>
                <c:pt idx="5">
                  <c:v>264.68922750677945</c:v>
                </c:pt>
                <c:pt idx="6">
                  <c:v>263.79778449444728</c:v>
                </c:pt>
                <c:pt idx="7">
                  <c:v>236.88286286157023</c:v>
                </c:pt>
                <c:pt idx="8">
                  <c:v>229.24088621029185</c:v>
                </c:pt>
                <c:pt idx="9">
                  <c:v>227.67342561579932</c:v>
                </c:pt>
                <c:pt idx="10">
                  <c:v>196.3267368285124</c:v>
                </c:pt>
                <c:pt idx="11">
                  <c:v>192.77386769192276</c:v>
                </c:pt>
                <c:pt idx="12">
                  <c:v>184.40940534607438</c:v>
                </c:pt>
                <c:pt idx="13">
                  <c:v>180.16086248224431</c:v>
                </c:pt>
                <c:pt idx="14">
                  <c:v>174.23468879132233</c:v>
                </c:pt>
                <c:pt idx="15">
                  <c:v>173.3633407870206</c:v>
                </c:pt>
                <c:pt idx="16">
                  <c:v>172.01439102551169</c:v>
                </c:pt>
                <c:pt idx="17">
                  <c:v>167.80600934998063</c:v>
                </c:pt>
                <c:pt idx="18">
                  <c:v>161.14381650309917</c:v>
                </c:pt>
                <c:pt idx="19">
                  <c:v>156.38789449896694</c:v>
                </c:pt>
                <c:pt idx="20">
                  <c:v>154.401796875</c:v>
                </c:pt>
                <c:pt idx="21">
                  <c:v>146.39928137913225</c:v>
                </c:pt>
                <c:pt idx="22">
                  <c:v>127.9222265625</c:v>
                </c:pt>
                <c:pt idx="23">
                  <c:v>117.78686721171229</c:v>
                </c:pt>
                <c:pt idx="24">
                  <c:v>110.63555559142561</c:v>
                </c:pt>
                <c:pt idx="25">
                  <c:v>101.6310337035124</c:v>
                </c:pt>
                <c:pt idx="26">
                  <c:v>61.140804816632233</c:v>
                </c:pt>
                <c:pt idx="27">
                  <c:v>42.764748192148765</c:v>
                </c:pt>
                <c:pt idx="28">
                  <c:v>34.877614927685947</c:v>
                </c:pt>
                <c:pt idx="29">
                  <c:v>21.768285123966944</c:v>
                </c:pt>
                <c:pt idx="30">
                  <c:v>20.045821845945248</c:v>
                </c:pt>
                <c:pt idx="31">
                  <c:v>12.524736570247935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BF-4D20-8B2B-B497FD69CED3}"/>
            </c:ext>
          </c:extLst>
        </c:ser>
        <c:ser>
          <c:idx val="0"/>
          <c:order val="4"/>
          <c:tx>
            <c:strRef>
              <c:f>ChartData!$G$84</c:f>
              <c:strCache>
                <c:ptCount val="1"/>
                <c:pt idx="0">
                  <c:v>[Sensitivity] Exchanges assumed to occur under UWFE conditions as well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ChartData!$B$85:$B$165</c:f>
              <c:numCache>
                <c:formatCode>0%</c:formatCode>
                <c:ptCount val="81"/>
                <c:pt idx="0">
                  <c:v>0</c:v>
                </c:pt>
                <c:pt idx="1">
                  <c:v>1.2500000000000001E-2</c:v>
                </c:pt>
                <c:pt idx="2">
                  <c:v>2.5000000000000001E-2</c:v>
                </c:pt>
                <c:pt idx="3">
                  <c:v>3.7499999999999999E-2</c:v>
                </c:pt>
                <c:pt idx="4">
                  <c:v>0.05</c:v>
                </c:pt>
                <c:pt idx="5">
                  <c:v>6.25E-2</c:v>
                </c:pt>
                <c:pt idx="6">
                  <c:v>7.4999999999999997E-2</c:v>
                </c:pt>
                <c:pt idx="7">
                  <c:v>8.7499999999999994E-2</c:v>
                </c:pt>
                <c:pt idx="8">
                  <c:v>0.1</c:v>
                </c:pt>
                <c:pt idx="9">
                  <c:v>0.1125</c:v>
                </c:pt>
                <c:pt idx="10">
                  <c:v>0.125</c:v>
                </c:pt>
                <c:pt idx="11">
                  <c:v>0.13750000000000001</c:v>
                </c:pt>
                <c:pt idx="12">
                  <c:v>0.15</c:v>
                </c:pt>
                <c:pt idx="13">
                  <c:v>0.16250000000000001</c:v>
                </c:pt>
                <c:pt idx="14">
                  <c:v>0.17499999999999999</c:v>
                </c:pt>
                <c:pt idx="15">
                  <c:v>0.1875</c:v>
                </c:pt>
                <c:pt idx="16">
                  <c:v>0.2</c:v>
                </c:pt>
                <c:pt idx="17">
                  <c:v>0.21249999999999999</c:v>
                </c:pt>
                <c:pt idx="18">
                  <c:v>0.22500000000000001</c:v>
                </c:pt>
                <c:pt idx="19">
                  <c:v>0.23749999999999999</c:v>
                </c:pt>
                <c:pt idx="20">
                  <c:v>0.25</c:v>
                </c:pt>
                <c:pt idx="21">
                  <c:v>0.26250000000000001</c:v>
                </c:pt>
                <c:pt idx="22">
                  <c:v>0.27500000000000002</c:v>
                </c:pt>
                <c:pt idx="23">
                  <c:v>0.28749999999999998</c:v>
                </c:pt>
                <c:pt idx="24">
                  <c:v>0.3</c:v>
                </c:pt>
                <c:pt idx="25">
                  <c:v>0.3125</c:v>
                </c:pt>
                <c:pt idx="26">
                  <c:v>0.32500000000000001</c:v>
                </c:pt>
                <c:pt idx="27">
                  <c:v>0.33750000000000002</c:v>
                </c:pt>
                <c:pt idx="28">
                  <c:v>0.35</c:v>
                </c:pt>
                <c:pt idx="29">
                  <c:v>0.36249999999999999</c:v>
                </c:pt>
                <c:pt idx="30">
                  <c:v>0.375</c:v>
                </c:pt>
                <c:pt idx="31">
                  <c:v>0.38750000000000001</c:v>
                </c:pt>
                <c:pt idx="32">
                  <c:v>0.4</c:v>
                </c:pt>
                <c:pt idx="33">
                  <c:v>0.41249999999999998</c:v>
                </c:pt>
                <c:pt idx="34">
                  <c:v>0.42499999999999999</c:v>
                </c:pt>
                <c:pt idx="35">
                  <c:v>0.4375</c:v>
                </c:pt>
                <c:pt idx="36">
                  <c:v>0.45</c:v>
                </c:pt>
                <c:pt idx="37">
                  <c:v>0.46250000000000002</c:v>
                </c:pt>
                <c:pt idx="38">
                  <c:v>0.47499999999999998</c:v>
                </c:pt>
                <c:pt idx="39">
                  <c:v>0.48749999999999999</c:v>
                </c:pt>
                <c:pt idx="40">
                  <c:v>0.5</c:v>
                </c:pt>
                <c:pt idx="41">
                  <c:v>0.51249999999999996</c:v>
                </c:pt>
                <c:pt idx="42">
                  <c:v>0.52500000000000002</c:v>
                </c:pt>
                <c:pt idx="43">
                  <c:v>0.53749999999999998</c:v>
                </c:pt>
                <c:pt idx="44">
                  <c:v>0.55000000000000004</c:v>
                </c:pt>
                <c:pt idx="45">
                  <c:v>0.5625</c:v>
                </c:pt>
                <c:pt idx="46">
                  <c:v>0.57499999999999996</c:v>
                </c:pt>
                <c:pt idx="47">
                  <c:v>0.58750000000000002</c:v>
                </c:pt>
                <c:pt idx="48">
                  <c:v>0.6</c:v>
                </c:pt>
                <c:pt idx="49">
                  <c:v>0.61250000000000004</c:v>
                </c:pt>
                <c:pt idx="50">
                  <c:v>0.625</c:v>
                </c:pt>
                <c:pt idx="51">
                  <c:v>0.63749999999999996</c:v>
                </c:pt>
                <c:pt idx="52">
                  <c:v>0.65</c:v>
                </c:pt>
                <c:pt idx="53">
                  <c:v>0.66249999999999998</c:v>
                </c:pt>
                <c:pt idx="54">
                  <c:v>0.67500000000000004</c:v>
                </c:pt>
                <c:pt idx="55">
                  <c:v>0.6875</c:v>
                </c:pt>
                <c:pt idx="56">
                  <c:v>0.7</c:v>
                </c:pt>
                <c:pt idx="57">
                  <c:v>0.71250000000000002</c:v>
                </c:pt>
                <c:pt idx="58">
                  <c:v>0.72499999999999998</c:v>
                </c:pt>
                <c:pt idx="59">
                  <c:v>0.73750000000000004</c:v>
                </c:pt>
                <c:pt idx="60">
                  <c:v>0.75</c:v>
                </c:pt>
                <c:pt idx="61">
                  <c:v>0.76249999999999996</c:v>
                </c:pt>
                <c:pt idx="62">
                  <c:v>0.77500000000000002</c:v>
                </c:pt>
                <c:pt idx="63">
                  <c:v>0.78749999999999998</c:v>
                </c:pt>
                <c:pt idx="64">
                  <c:v>0.8</c:v>
                </c:pt>
                <c:pt idx="65">
                  <c:v>0.8125</c:v>
                </c:pt>
                <c:pt idx="66">
                  <c:v>0.82499999999999996</c:v>
                </c:pt>
                <c:pt idx="67">
                  <c:v>0.83750000000000002</c:v>
                </c:pt>
                <c:pt idx="68">
                  <c:v>0.85</c:v>
                </c:pt>
                <c:pt idx="69">
                  <c:v>0.86250000000000004</c:v>
                </c:pt>
                <c:pt idx="70">
                  <c:v>0.875</c:v>
                </c:pt>
                <c:pt idx="71">
                  <c:v>0.88749999999999996</c:v>
                </c:pt>
                <c:pt idx="72">
                  <c:v>0.9</c:v>
                </c:pt>
                <c:pt idx="73">
                  <c:v>0.91249999999999998</c:v>
                </c:pt>
                <c:pt idx="74">
                  <c:v>0.92500000000000004</c:v>
                </c:pt>
                <c:pt idx="75">
                  <c:v>0.9375</c:v>
                </c:pt>
                <c:pt idx="76">
                  <c:v>0.95</c:v>
                </c:pt>
                <c:pt idx="77">
                  <c:v>0.96250000000000002</c:v>
                </c:pt>
                <c:pt idx="78">
                  <c:v>0.97499999999999998</c:v>
                </c:pt>
                <c:pt idx="79">
                  <c:v>0.98750000000000004</c:v>
                </c:pt>
                <c:pt idx="80">
                  <c:v>1</c:v>
                </c:pt>
              </c:numCache>
            </c:numRef>
          </c:xVal>
          <c:yVal>
            <c:numRef>
              <c:f>ChartData!$G$85:$G$165</c:f>
              <c:numCache>
                <c:formatCode>0</c:formatCode>
                <c:ptCount val="81"/>
                <c:pt idx="0">
                  <c:v>345.73311434659092</c:v>
                </c:pt>
                <c:pt idx="1">
                  <c:v>345.5484845475126</c:v>
                </c:pt>
                <c:pt idx="2">
                  <c:v>328.53171665160124</c:v>
                </c:pt>
                <c:pt idx="3">
                  <c:v>302.66380377146822</c:v>
                </c:pt>
                <c:pt idx="4">
                  <c:v>290.89275418872677</c:v>
                </c:pt>
                <c:pt idx="5">
                  <c:v>267.69855565599175</c:v>
                </c:pt>
                <c:pt idx="6">
                  <c:v>264.68922750677945</c:v>
                </c:pt>
                <c:pt idx="7">
                  <c:v>263.79778449444728</c:v>
                </c:pt>
                <c:pt idx="8">
                  <c:v>202.95327447055786</c:v>
                </c:pt>
                <c:pt idx="9">
                  <c:v>196.3267368285124</c:v>
                </c:pt>
                <c:pt idx="10">
                  <c:v>193.31074993543388</c:v>
                </c:pt>
                <c:pt idx="11">
                  <c:v>184.40940534607438</c:v>
                </c:pt>
                <c:pt idx="12">
                  <c:v>174.23468879132233</c:v>
                </c:pt>
                <c:pt idx="13">
                  <c:v>173.3633407870206</c:v>
                </c:pt>
                <c:pt idx="14">
                  <c:v>172.01439102551169</c:v>
                </c:pt>
                <c:pt idx="15">
                  <c:v>161.14381650309917</c:v>
                </c:pt>
                <c:pt idx="16">
                  <c:v>146.39928137913225</c:v>
                </c:pt>
                <c:pt idx="17">
                  <c:v>127.9222265625</c:v>
                </c:pt>
                <c:pt idx="18">
                  <c:v>110.63555559142561</c:v>
                </c:pt>
                <c:pt idx="19">
                  <c:v>61.140804816632233</c:v>
                </c:pt>
                <c:pt idx="20">
                  <c:v>45.886084710743802</c:v>
                </c:pt>
                <c:pt idx="21">
                  <c:v>43.79148308367769</c:v>
                </c:pt>
                <c:pt idx="22">
                  <c:v>34.877614927685947</c:v>
                </c:pt>
                <c:pt idx="23">
                  <c:v>30.825164643595041</c:v>
                </c:pt>
                <c:pt idx="24">
                  <c:v>24.391813985020661</c:v>
                </c:pt>
                <c:pt idx="25">
                  <c:v>21.768285123966944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BF-4D20-8B2B-B497FD69CED3}"/>
            </c:ext>
          </c:extLst>
        </c:ser>
        <c:ser>
          <c:idx val="1"/>
          <c:order val="5"/>
          <c:tx>
            <c:strRef>
              <c:f>ChartData!$H$84</c:f>
              <c:strCache>
                <c:ptCount val="1"/>
                <c:pt idx="0">
                  <c:v>[Sensitivity] Releases allowed through December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ChartData!$B$85:$B$165</c:f>
              <c:numCache>
                <c:formatCode>0%</c:formatCode>
                <c:ptCount val="81"/>
                <c:pt idx="0">
                  <c:v>0</c:v>
                </c:pt>
                <c:pt idx="1">
                  <c:v>1.2500000000000001E-2</c:v>
                </c:pt>
                <c:pt idx="2">
                  <c:v>2.5000000000000001E-2</c:v>
                </c:pt>
                <c:pt idx="3">
                  <c:v>3.7499999999999999E-2</c:v>
                </c:pt>
                <c:pt idx="4">
                  <c:v>0.05</c:v>
                </c:pt>
                <c:pt idx="5">
                  <c:v>6.25E-2</c:v>
                </c:pt>
                <c:pt idx="6">
                  <c:v>7.4999999999999997E-2</c:v>
                </c:pt>
                <c:pt idx="7">
                  <c:v>8.7499999999999994E-2</c:v>
                </c:pt>
                <c:pt idx="8">
                  <c:v>0.1</c:v>
                </c:pt>
                <c:pt idx="9">
                  <c:v>0.1125</c:v>
                </c:pt>
                <c:pt idx="10">
                  <c:v>0.125</c:v>
                </c:pt>
                <c:pt idx="11">
                  <c:v>0.13750000000000001</c:v>
                </c:pt>
                <c:pt idx="12">
                  <c:v>0.15</c:v>
                </c:pt>
                <c:pt idx="13">
                  <c:v>0.16250000000000001</c:v>
                </c:pt>
                <c:pt idx="14">
                  <c:v>0.17499999999999999</c:v>
                </c:pt>
                <c:pt idx="15">
                  <c:v>0.1875</c:v>
                </c:pt>
                <c:pt idx="16">
                  <c:v>0.2</c:v>
                </c:pt>
                <c:pt idx="17">
                  <c:v>0.21249999999999999</c:v>
                </c:pt>
                <c:pt idx="18">
                  <c:v>0.22500000000000001</c:v>
                </c:pt>
                <c:pt idx="19">
                  <c:v>0.23749999999999999</c:v>
                </c:pt>
                <c:pt idx="20">
                  <c:v>0.25</c:v>
                </c:pt>
                <c:pt idx="21">
                  <c:v>0.26250000000000001</c:v>
                </c:pt>
                <c:pt idx="22">
                  <c:v>0.27500000000000002</c:v>
                </c:pt>
                <c:pt idx="23">
                  <c:v>0.28749999999999998</c:v>
                </c:pt>
                <c:pt idx="24">
                  <c:v>0.3</c:v>
                </c:pt>
                <c:pt idx="25">
                  <c:v>0.3125</c:v>
                </c:pt>
                <c:pt idx="26">
                  <c:v>0.32500000000000001</c:v>
                </c:pt>
                <c:pt idx="27">
                  <c:v>0.33750000000000002</c:v>
                </c:pt>
                <c:pt idx="28">
                  <c:v>0.35</c:v>
                </c:pt>
                <c:pt idx="29">
                  <c:v>0.36249999999999999</c:v>
                </c:pt>
                <c:pt idx="30">
                  <c:v>0.375</c:v>
                </c:pt>
                <c:pt idx="31">
                  <c:v>0.38750000000000001</c:v>
                </c:pt>
                <c:pt idx="32">
                  <c:v>0.4</c:v>
                </c:pt>
                <c:pt idx="33">
                  <c:v>0.41249999999999998</c:v>
                </c:pt>
                <c:pt idx="34">
                  <c:v>0.42499999999999999</c:v>
                </c:pt>
                <c:pt idx="35">
                  <c:v>0.4375</c:v>
                </c:pt>
                <c:pt idx="36">
                  <c:v>0.45</c:v>
                </c:pt>
                <c:pt idx="37">
                  <c:v>0.46250000000000002</c:v>
                </c:pt>
                <c:pt idx="38">
                  <c:v>0.47499999999999998</c:v>
                </c:pt>
                <c:pt idx="39">
                  <c:v>0.48749999999999999</c:v>
                </c:pt>
                <c:pt idx="40">
                  <c:v>0.5</c:v>
                </c:pt>
                <c:pt idx="41">
                  <c:v>0.51249999999999996</c:v>
                </c:pt>
                <c:pt idx="42">
                  <c:v>0.52500000000000002</c:v>
                </c:pt>
                <c:pt idx="43">
                  <c:v>0.53749999999999998</c:v>
                </c:pt>
                <c:pt idx="44">
                  <c:v>0.55000000000000004</c:v>
                </c:pt>
                <c:pt idx="45">
                  <c:v>0.5625</c:v>
                </c:pt>
                <c:pt idx="46">
                  <c:v>0.57499999999999996</c:v>
                </c:pt>
                <c:pt idx="47">
                  <c:v>0.58750000000000002</c:v>
                </c:pt>
                <c:pt idx="48">
                  <c:v>0.6</c:v>
                </c:pt>
                <c:pt idx="49">
                  <c:v>0.61250000000000004</c:v>
                </c:pt>
                <c:pt idx="50">
                  <c:v>0.625</c:v>
                </c:pt>
                <c:pt idx="51">
                  <c:v>0.63749999999999996</c:v>
                </c:pt>
                <c:pt idx="52">
                  <c:v>0.65</c:v>
                </c:pt>
                <c:pt idx="53">
                  <c:v>0.66249999999999998</c:v>
                </c:pt>
                <c:pt idx="54">
                  <c:v>0.67500000000000004</c:v>
                </c:pt>
                <c:pt idx="55">
                  <c:v>0.6875</c:v>
                </c:pt>
                <c:pt idx="56">
                  <c:v>0.7</c:v>
                </c:pt>
                <c:pt idx="57">
                  <c:v>0.71250000000000002</c:v>
                </c:pt>
                <c:pt idx="58">
                  <c:v>0.72499999999999998</c:v>
                </c:pt>
                <c:pt idx="59">
                  <c:v>0.73750000000000004</c:v>
                </c:pt>
                <c:pt idx="60">
                  <c:v>0.75</c:v>
                </c:pt>
                <c:pt idx="61">
                  <c:v>0.76249999999999996</c:v>
                </c:pt>
                <c:pt idx="62">
                  <c:v>0.77500000000000002</c:v>
                </c:pt>
                <c:pt idx="63">
                  <c:v>0.78749999999999998</c:v>
                </c:pt>
                <c:pt idx="64">
                  <c:v>0.8</c:v>
                </c:pt>
                <c:pt idx="65">
                  <c:v>0.8125</c:v>
                </c:pt>
                <c:pt idx="66">
                  <c:v>0.82499999999999996</c:v>
                </c:pt>
                <c:pt idx="67">
                  <c:v>0.83750000000000002</c:v>
                </c:pt>
                <c:pt idx="68">
                  <c:v>0.85</c:v>
                </c:pt>
                <c:pt idx="69">
                  <c:v>0.86250000000000004</c:v>
                </c:pt>
                <c:pt idx="70">
                  <c:v>0.875</c:v>
                </c:pt>
                <c:pt idx="71">
                  <c:v>0.88749999999999996</c:v>
                </c:pt>
                <c:pt idx="72">
                  <c:v>0.9</c:v>
                </c:pt>
                <c:pt idx="73">
                  <c:v>0.91249999999999998</c:v>
                </c:pt>
                <c:pt idx="74">
                  <c:v>0.92500000000000004</c:v>
                </c:pt>
                <c:pt idx="75">
                  <c:v>0.9375</c:v>
                </c:pt>
                <c:pt idx="76">
                  <c:v>0.95</c:v>
                </c:pt>
                <c:pt idx="77">
                  <c:v>0.96250000000000002</c:v>
                </c:pt>
                <c:pt idx="78">
                  <c:v>0.97499999999999998</c:v>
                </c:pt>
                <c:pt idx="79">
                  <c:v>0.98750000000000004</c:v>
                </c:pt>
                <c:pt idx="80">
                  <c:v>1</c:v>
                </c:pt>
              </c:numCache>
            </c:numRef>
          </c:xVal>
          <c:yVal>
            <c:numRef>
              <c:f>ChartData!$H$85:$H$165</c:f>
              <c:numCache>
                <c:formatCode>0</c:formatCode>
                <c:ptCount val="81"/>
                <c:pt idx="0">
                  <c:v>345.73311434659092</c:v>
                </c:pt>
                <c:pt idx="1">
                  <c:v>345.5484845475126</c:v>
                </c:pt>
                <c:pt idx="2">
                  <c:v>328.53171665160124</c:v>
                </c:pt>
                <c:pt idx="3">
                  <c:v>306.28320308464617</c:v>
                </c:pt>
                <c:pt idx="4">
                  <c:v>283.05427601207384</c:v>
                </c:pt>
                <c:pt idx="5">
                  <c:v>277.55906249999998</c:v>
                </c:pt>
                <c:pt idx="6">
                  <c:v>236.88286286157023</c:v>
                </c:pt>
                <c:pt idx="7">
                  <c:v>196.3267368285124</c:v>
                </c:pt>
                <c:pt idx="8">
                  <c:v>192.77386769192276</c:v>
                </c:pt>
                <c:pt idx="9">
                  <c:v>184.40940534607438</c:v>
                </c:pt>
                <c:pt idx="10">
                  <c:v>174.23468879132233</c:v>
                </c:pt>
                <c:pt idx="11">
                  <c:v>173.3633407870206</c:v>
                </c:pt>
                <c:pt idx="12">
                  <c:v>172.01439102551169</c:v>
                </c:pt>
                <c:pt idx="13">
                  <c:v>161.14381650309917</c:v>
                </c:pt>
                <c:pt idx="14">
                  <c:v>156.38789449896694</c:v>
                </c:pt>
                <c:pt idx="15">
                  <c:v>154.401796875</c:v>
                </c:pt>
                <c:pt idx="16">
                  <c:v>146.39928137913225</c:v>
                </c:pt>
                <c:pt idx="17">
                  <c:v>127.9222265625</c:v>
                </c:pt>
                <c:pt idx="18">
                  <c:v>110.63555559142561</c:v>
                </c:pt>
                <c:pt idx="19">
                  <c:v>61.140804816632233</c:v>
                </c:pt>
                <c:pt idx="20">
                  <c:v>42.764748192148765</c:v>
                </c:pt>
                <c:pt idx="21">
                  <c:v>34.877614927685947</c:v>
                </c:pt>
                <c:pt idx="22">
                  <c:v>21.768285123966944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BF-4D20-8B2B-B497FD69CED3}"/>
            </c:ext>
          </c:extLst>
        </c:ser>
        <c:ser>
          <c:idx val="7"/>
          <c:order val="6"/>
          <c:tx>
            <c:strRef>
              <c:f>ChartData!$I$84</c:f>
              <c:strCache>
                <c:ptCount val="1"/>
                <c:pt idx="0">
                  <c:v>[Sensitivity] Releases required to have habitat benefit, allowed through December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ChartData!$B$85:$B$165</c:f>
              <c:numCache>
                <c:formatCode>0%</c:formatCode>
                <c:ptCount val="81"/>
                <c:pt idx="0">
                  <c:v>0</c:v>
                </c:pt>
                <c:pt idx="1">
                  <c:v>1.2500000000000001E-2</c:v>
                </c:pt>
                <c:pt idx="2">
                  <c:v>2.5000000000000001E-2</c:v>
                </c:pt>
                <c:pt idx="3">
                  <c:v>3.7499999999999999E-2</c:v>
                </c:pt>
                <c:pt idx="4">
                  <c:v>0.05</c:v>
                </c:pt>
                <c:pt idx="5">
                  <c:v>6.25E-2</c:v>
                </c:pt>
                <c:pt idx="6">
                  <c:v>7.4999999999999997E-2</c:v>
                </c:pt>
                <c:pt idx="7">
                  <c:v>8.7499999999999994E-2</c:v>
                </c:pt>
                <c:pt idx="8">
                  <c:v>0.1</c:v>
                </c:pt>
                <c:pt idx="9">
                  <c:v>0.1125</c:v>
                </c:pt>
                <c:pt idx="10">
                  <c:v>0.125</c:v>
                </c:pt>
                <c:pt idx="11">
                  <c:v>0.13750000000000001</c:v>
                </c:pt>
                <c:pt idx="12">
                  <c:v>0.15</c:v>
                </c:pt>
                <c:pt idx="13">
                  <c:v>0.16250000000000001</c:v>
                </c:pt>
                <c:pt idx="14">
                  <c:v>0.17499999999999999</c:v>
                </c:pt>
                <c:pt idx="15">
                  <c:v>0.1875</c:v>
                </c:pt>
                <c:pt idx="16">
                  <c:v>0.2</c:v>
                </c:pt>
                <c:pt idx="17">
                  <c:v>0.21249999999999999</c:v>
                </c:pt>
                <c:pt idx="18">
                  <c:v>0.22500000000000001</c:v>
                </c:pt>
                <c:pt idx="19">
                  <c:v>0.23749999999999999</c:v>
                </c:pt>
                <c:pt idx="20">
                  <c:v>0.25</c:v>
                </c:pt>
                <c:pt idx="21">
                  <c:v>0.26250000000000001</c:v>
                </c:pt>
                <c:pt idx="22">
                  <c:v>0.27500000000000002</c:v>
                </c:pt>
                <c:pt idx="23">
                  <c:v>0.28749999999999998</c:v>
                </c:pt>
                <c:pt idx="24">
                  <c:v>0.3</c:v>
                </c:pt>
                <c:pt idx="25">
                  <c:v>0.3125</c:v>
                </c:pt>
                <c:pt idx="26">
                  <c:v>0.32500000000000001</c:v>
                </c:pt>
                <c:pt idx="27">
                  <c:v>0.33750000000000002</c:v>
                </c:pt>
                <c:pt idx="28">
                  <c:v>0.35</c:v>
                </c:pt>
                <c:pt idx="29">
                  <c:v>0.36249999999999999</c:v>
                </c:pt>
                <c:pt idx="30">
                  <c:v>0.375</c:v>
                </c:pt>
                <c:pt idx="31">
                  <c:v>0.38750000000000001</c:v>
                </c:pt>
                <c:pt idx="32">
                  <c:v>0.4</c:v>
                </c:pt>
                <c:pt idx="33">
                  <c:v>0.41249999999999998</c:v>
                </c:pt>
                <c:pt idx="34">
                  <c:v>0.42499999999999999</c:v>
                </c:pt>
                <c:pt idx="35">
                  <c:v>0.4375</c:v>
                </c:pt>
                <c:pt idx="36">
                  <c:v>0.45</c:v>
                </c:pt>
                <c:pt idx="37">
                  <c:v>0.46250000000000002</c:v>
                </c:pt>
                <c:pt idx="38">
                  <c:v>0.47499999999999998</c:v>
                </c:pt>
                <c:pt idx="39">
                  <c:v>0.48749999999999999</c:v>
                </c:pt>
                <c:pt idx="40">
                  <c:v>0.5</c:v>
                </c:pt>
                <c:pt idx="41">
                  <c:v>0.51249999999999996</c:v>
                </c:pt>
                <c:pt idx="42">
                  <c:v>0.52500000000000002</c:v>
                </c:pt>
                <c:pt idx="43">
                  <c:v>0.53749999999999998</c:v>
                </c:pt>
                <c:pt idx="44">
                  <c:v>0.55000000000000004</c:v>
                </c:pt>
                <c:pt idx="45">
                  <c:v>0.5625</c:v>
                </c:pt>
                <c:pt idx="46">
                  <c:v>0.57499999999999996</c:v>
                </c:pt>
                <c:pt idx="47">
                  <c:v>0.58750000000000002</c:v>
                </c:pt>
                <c:pt idx="48">
                  <c:v>0.6</c:v>
                </c:pt>
                <c:pt idx="49">
                  <c:v>0.61250000000000004</c:v>
                </c:pt>
                <c:pt idx="50">
                  <c:v>0.625</c:v>
                </c:pt>
                <c:pt idx="51">
                  <c:v>0.63749999999999996</c:v>
                </c:pt>
                <c:pt idx="52">
                  <c:v>0.65</c:v>
                </c:pt>
                <c:pt idx="53">
                  <c:v>0.66249999999999998</c:v>
                </c:pt>
                <c:pt idx="54">
                  <c:v>0.67500000000000004</c:v>
                </c:pt>
                <c:pt idx="55">
                  <c:v>0.6875</c:v>
                </c:pt>
                <c:pt idx="56">
                  <c:v>0.7</c:v>
                </c:pt>
                <c:pt idx="57">
                  <c:v>0.71250000000000002</c:v>
                </c:pt>
                <c:pt idx="58">
                  <c:v>0.72499999999999998</c:v>
                </c:pt>
                <c:pt idx="59">
                  <c:v>0.73750000000000004</c:v>
                </c:pt>
                <c:pt idx="60">
                  <c:v>0.75</c:v>
                </c:pt>
                <c:pt idx="61">
                  <c:v>0.76249999999999996</c:v>
                </c:pt>
                <c:pt idx="62">
                  <c:v>0.77500000000000002</c:v>
                </c:pt>
                <c:pt idx="63">
                  <c:v>0.78749999999999998</c:v>
                </c:pt>
                <c:pt idx="64">
                  <c:v>0.8</c:v>
                </c:pt>
                <c:pt idx="65">
                  <c:v>0.8125</c:v>
                </c:pt>
                <c:pt idx="66">
                  <c:v>0.82499999999999996</c:v>
                </c:pt>
                <c:pt idx="67">
                  <c:v>0.83750000000000002</c:v>
                </c:pt>
                <c:pt idx="68">
                  <c:v>0.85</c:v>
                </c:pt>
                <c:pt idx="69">
                  <c:v>0.86250000000000004</c:v>
                </c:pt>
                <c:pt idx="70">
                  <c:v>0.875</c:v>
                </c:pt>
                <c:pt idx="71">
                  <c:v>0.88749999999999996</c:v>
                </c:pt>
                <c:pt idx="72">
                  <c:v>0.9</c:v>
                </c:pt>
                <c:pt idx="73">
                  <c:v>0.91249999999999998</c:v>
                </c:pt>
                <c:pt idx="74">
                  <c:v>0.92500000000000004</c:v>
                </c:pt>
                <c:pt idx="75">
                  <c:v>0.9375</c:v>
                </c:pt>
                <c:pt idx="76">
                  <c:v>0.95</c:v>
                </c:pt>
                <c:pt idx="77">
                  <c:v>0.96250000000000002</c:v>
                </c:pt>
                <c:pt idx="78">
                  <c:v>0.97499999999999998</c:v>
                </c:pt>
                <c:pt idx="79">
                  <c:v>0.98750000000000004</c:v>
                </c:pt>
                <c:pt idx="80">
                  <c:v>1</c:v>
                </c:pt>
              </c:numCache>
            </c:numRef>
          </c:xVal>
          <c:yVal>
            <c:numRef>
              <c:f>ChartData!$I$85:$I$165</c:f>
              <c:numCache>
                <c:formatCode>0</c:formatCode>
                <c:ptCount val="81"/>
                <c:pt idx="0">
                  <c:v>320.19282049005682</c:v>
                </c:pt>
                <c:pt idx="1">
                  <c:v>310.97147606211257</c:v>
                </c:pt>
                <c:pt idx="2">
                  <c:v>284.57847704674589</c:v>
                </c:pt>
                <c:pt idx="3">
                  <c:v>277.55906249999998</c:v>
                </c:pt>
                <c:pt idx="4">
                  <c:v>261.25910640495869</c:v>
                </c:pt>
                <c:pt idx="5">
                  <c:v>210.90438702543906</c:v>
                </c:pt>
                <c:pt idx="6">
                  <c:v>196.3267368285124</c:v>
                </c:pt>
                <c:pt idx="7">
                  <c:v>192.77386769192276</c:v>
                </c:pt>
                <c:pt idx="8">
                  <c:v>184.40940534607438</c:v>
                </c:pt>
                <c:pt idx="9">
                  <c:v>174.23468879132233</c:v>
                </c:pt>
                <c:pt idx="10">
                  <c:v>172.01439102551169</c:v>
                </c:pt>
                <c:pt idx="11">
                  <c:v>161.14381650309917</c:v>
                </c:pt>
                <c:pt idx="12">
                  <c:v>156.38789449896694</c:v>
                </c:pt>
                <c:pt idx="13">
                  <c:v>154.401796875</c:v>
                </c:pt>
                <c:pt idx="14">
                  <c:v>151.4505739927686</c:v>
                </c:pt>
                <c:pt idx="15">
                  <c:v>146.39928137913225</c:v>
                </c:pt>
                <c:pt idx="16">
                  <c:v>138.32404886040806</c:v>
                </c:pt>
                <c:pt idx="17">
                  <c:v>127.9222265625</c:v>
                </c:pt>
                <c:pt idx="18">
                  <c:v>110.63555559142561</c:v>
                </c:pt>
                <c:pt idx="19">
                  <c:v>61.140804816632233</c:v>
                </c:pt>
                <c:pt idx="20">
                  <c:v>42.764748192148765</c:v>
                </c:pt>
                <c:pt idx="21">
                  <c:v>34.877614927685947</c:v>
                </c:pt>
                <c:pt idx="22">
                  <c:v>21.768285123966944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4BF-4D20-8B2B-B497FD69CED3}"/>
            </c:ext>
          </c:extLst>
        </c:ser>
        <c:ser>
          <c:idx val="8"/>
          <c:order val="7"/>
          <c:tx>
            <c:strRef>
              <c:f>ChartData!$J$84</c:f>
              <c:strCache>
                <c:ptCount val="1"/>
                <c:pt idx="0">
                  <c:v>[Sensitivity] Releases required to have habitat benefit, allowed through December, Storage RPA control</c:v>
                </c:pt>
              </c:strCache>
            </c:strRef>
          </c:tx>
          <c:spPr>
            <a:ln w="19050" cap="rnd">
              <a:solidFill>
                <a:schemeClr val="accent6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ChartData!$B$85:$B$165</c:f>
              <c:numCache>
                <c:formatCode>0%</c:formatCode>
                <c:ptCount val="81"/>
                <c:pt idx="0">
                  <c:v>0</c:v>
                </c:pt>
                <c:pt idx="1">
                  <c:v>1.2500000000000001E-2</c:v>
                </c:pt>
                <c:pt idx="2">
                  <c:v>2.5000000000000001E-2</c:v>
                </c:pt>
                <c:pt idx="3">
                  <c:v>3.7499999999999999E-2</c:v>
                </c:pt>
                <c:pt idx="4">
                  <c:v>0.05</c:v>
                </c:pt>
                <c:pt idx="5">
                  <c:v>6.25E-2</c:v>
                </c:pt>
                <c:pt idx="6">
                  <c:v>7.4999999999999997E-2</c:v>
                </c:pt>
                <c:pt idx="7">
                  <c:v>8.7499999999999994E-2</c:v>
                </c:pt>
                <c:pt idx="8">
                  <c:v>0.1</c:v>
                </c:pt>
                <c:pt idx="9">
                  <c:v>0.1125</c:v>
                </c:pt>
                <c:pt idx="10">
                  <c:v>0.125</c:v>
                </c:pt>
                <c:pt idx="11">
                  <c:v>0.13750000000000001</c:v>
                </c:pt>
                <c:pt idx="12">
                  <c:v>0.15</c:v>
                </c:pt>
                <c:pt idx="13">
                  <c:v>0.16250000000000001</c:v>
                </c:pt>
                <c:pt idx="14">
                  <c:v>0.17499999999999999</c:v>
                </c:pt>
                <c:pt idx="15">
                  <c:v>0.1875</c:v>
                </c:pt>
                <c:pt idx="16">
                  <c:v>0.2</c:v>
                </c:pt>
                <c:pt idx="17">
                  <c:v>0.21249999999999999</c:v>
                </c:pt>
                <c:pt idx="18">
                  <c:v>0.22500000000000001</c:v>
                </c:pt>
                <c:pt idx="19">
                  <c:v>0.23749999999999999</c:v>
                </c:pt>
                <c:pt idx="20">
                  <c:v>0.25</c:v>
                </c:pt>
                <c:pt idx="21">
                  <c:v>0.26250000000000001</c:v>
                </c:pt>
                <c:pt idx="22">
                  <c:v>0.27500000000000002</c:v>
                </c:pt>
                <c:pt idx="23">
                  <c:v>0.28749999999999998</c:v>
                </c:pt>
                <c:pt idx="24">
                  <c:v>0.3</c:v>
                </c:pt>
                <c:pt idx="25">
                  <c:v>0.3125</c:v>
                </c:pt>
                <c:pt idx="26">
                  <c:v>0.32500000000000001</c:v>
                </c:pt>
                <c:pt idx="27">
                  <c:v>0.33750000000000002</c:v>
                </c:pt>
                <c:pt idx="28">
                  <c:v>0.35</c:v>
                </c:pt>
                <c:pt idx="29">
                  <c:v>0.36249999999999999</c:v>
                </c:pt>
                <c:pt idx="30">
                  <c:v>0.375</c:v>
                </c:pt>
                <c:pt idx="31">
                  <c:v>0.38750000000000001</c:v>
                </c:pt>
                <c:pt idx="32">
                  <c:v>0.4</c:v>
                </c:pt>
                <c:pt idx="33">
                  <c:v>0.41249999999999998</c:v>
                </c:pt>
                <c:pt idx="34">
                  <c:v>0.42499999999999999</c:v>
                </c:pt>
                <c:pt idx="35">
                  <c:v>0.4375</c:v>
                </c:pt>
                <c:pt idx="36">
                  <c:v>0.45</c:v>
                </c:pt>
                <c:pt idx="37">
                  <c:v>0.46250000000000002</c:v>
                </c:pt>
                <c:pt idx="38">
                  <c:v>0.47499999999999998</c:v>
                </c:pt>
                <c:pt idx="39">
                  <c:v>0.48749999999999999</c:v>
                </c:pt>
                <c:pt idx="40">
                  <c:v>0.5</c:v>
                </c:pt>
                <c:pt idx="41">
                  <c:v>0.51249999999999996</c:v>
                </c:pt>
                <c:pt idx="42">
                  <c:v>0.52500000000000002</c:v>
                </c:pt>
                <c:pt idx="43">
                  <c:v>0.53749999999999998</c:v>
                </c:pt>
                <c:pt idx="44">
                  <c:v>0.55000000000000004</c:v>
                </c:pt>
                <c:pt idx="45">
                  <c:v>0.5625</c:v>
                </c:pt>
                <c:pt idx="46">
                  <c:v>0.57499999999999996</c:v>
                </c:pt>
                <c:pt idx="47">
                  <c:v>0.58750000000000002</c:v>
                </c:pt>
                <c:pt idx="48">
                  <c:v>0.6</c:v>
                </c:pt>
                <c:pt idx="49">
                  <c:v>0.61250000000000004</c:v>
                </c:pt>
                <c:pt idx="50">
                  <c:v>0.625</c:v>
                </c:pt>
                <c:pt idx="51">
                  <c:v>0.63749999999999996</c:v>
                </c:pt>
                <c:pt idx="52">
                  <c:v>0.65</c:v>
                </c:pt>
                <c:pt idx="53">
                  <c:v>0.66249999999999998</c:v>
                </c:pt>
                <c:pt idx="54">
                  <c:v>0.67500000000000004</c:v>
                </c:pt>
                <c:pt idx="55">
                  <c:v>0.6875</c:v>
                </c:pt>
                <c:pt idx="56">
                  <c:v>0.7</c:v>
                </c:pt>
                <c:pt idx="57">
                  <c:v>0.71250000000000002</c:v>
                </c:pt>
                <c:pt idx="58">
                  <c:v>0.72499999999999998</c:v>
                </c:pt>
                <c:pt idx="59">
                  <c:v>0.73750000000000004</c:v>
                </c:pt>
                <c:pt idx="60">
                  <c:v>0.75</c:v>
                </c:pt>
                <c:pt idx="61">
                  <c:v>0.76249999999999996</c:v>
                </c:pt>
                <c:pt idx="62">
                  <c:v>0.77500000000000002</c:v>
                </c:pt>
                <c:pt idx="63">
                  <c:v>0.78749999999999998</c:v>
                </c:pt>
                <c:pt idx="64">
                  <c:v>0.8</c:v>
                </c:pt>
                <c:pt idx="65">
                  <c:v>0.8125</c:v>
                </c:pt>
                <c:pt idx="66">
                  <c:v>0.82499999999999996</c:v>
                </c:pt>
                <c:pt idx="67">
                  <c:v>0.83750000000000002</c:v>
                </c:pt>
                <c:pt idx="68">
                  <c:v>0.85</c:v>
                </c:pt>
                <c:pt idx="69">
                  <c:v>0.86250000000000004</c:v>
                </c:pt>
                <c:pt idx="70">
                  <c:v>0.875</c:v>
                </c:pt>
                <c:pt idx="71">
                  <c:v>0.88749999999999996</c:v>
                </c:pt>
                <c:pt idx="72">
                  <c:v>0.9</c:v>
                </c:pt>
                <c:pt idx="73">
                  <c:v>0.91249999999999998</c:v>
                </c:pt>
                <c:pt idx="74">
                  <c:v>0.92500000000000004</c:v>
                </c:pt>
                <c:pt idx="75">
                  <c:v>0.9375</c:v>
                </c:pt>
                <c:pt idx="76">
                  <c:v>0.95</c:v>
                </c:pt>
                <c:pt idx="77">
                  <c:v>0.96250000000000002</c:v>
                </c:pt>
                <c:pt idx="78">
                  <c:v>0.97499999999999998</c:v>
                </c:pt>
                <c:pt idx="79">
                  <c:v>0.98750000000000004</c:v>
                </c:pt>
                <c:pt idx="80">
                  <c:v>1</c:v>
                </c:pt>
              </c:numCache>
            </c:numRef>
          </c:xVal>
          <c:yVal>
            <c:numRef>
              <c:f>ChartData!$J$85:$J$165</c:f>
              <c:numCache>
                <c:formatCode>0</c:formatCode>
                <c:ptCount val="81"/>
                <c:pt idx="0">
                  <c:v>320.19282049005682</c:v>
                </c:pt>
                <c:pt idx="1">
                  <c:v>310.97147606211257</c:v>
                </c:pt>
                <c:pt idx="2">
                  <c:v>284.57847704674589</c:v>
                </c:pt>
                <c:pt idx="3">
                  <c:v>277.55906249999998</c:v>
                </c:pt>
                <c:pt idx="4">
                  <c:v>261.25910640495869</c:v>
                </c:pt>
                <c:pt idx="5">
                  <c:v>210.90438702543906</c:v>
                </c:pt>
                <c:pt idx="6">
                  <c:v>192.77386769192276</c:v>
                </c:pt>
                <c:pt idx="7">
                  <c:v>172.01439102551169</c:v>
                </c:pt>
                <c:pt idx="8">
                  <c:v>156.38789449896694</c:v>
                </c:pt>
                <c:pt idx="9">
                  <c:v>154.401796875</c:v>
                </c:pt>
                <c:pt idx="10">
                  <c:v>151.4505739927686</c:v>
                </c:pt>
                <c:pt idx="11">
                  <c:v>146.39928137913225</c:v>
                </c:pt>
                <c:pt idx="12">
                  <c:v>138.32404886040806</c:v>
                </c:pt>
                <c:pt idx="13">
                  <c:v>110.63555559142561</c:v>
                </c:pt>
                <c:pt idx="14">
                  <c:v>42.764748192148765</c:v>
                </c:pt>
                <c:pt idx="15">
                  <c:v>34.877614927685947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4BF-4D20-8B2B-B497FD69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072304"/>
        <c:axId val="682072632"/>
        <c:extLst/>
      </c:scatterChart>
      <c:valAx>
        <c:axId val="6820723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632"/>
        <c:crosses val="autoZero"/>
        <c:crossBetween val="midCat"/>
      </c:valAx>
      <c:valAx>
        <c:axId val="68207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Volume (TAF)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002867697093424"/>
          <c:w val="0.99769263217097859"/>
          <c:h val="0.23997132302906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CF2B9E5-C216-40FB-88E4-BD83FF6C314D}">
  <sheetPr>
    <tabColor theme="5"/>
  </sheetPr>
  <sheetViews>
    <sheetView zoomScale="71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8A49864-D213-4B5F-B14D-D48DE4373CC6}">
  <sheetPr>
    <tabColor theme="5"/>
  </sheetPr>
  <sheetViews>
    <sheetView zoomScale="71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9D17E7-7FDA-450A-A5F4-C4D0885CEE7A}">
  <sheetPr>
    <tabColor theme="5"/>
  </sheetPr>
  <sheetViews>
    <sheetView zoomScale="71" workbookViewId="0" zoomToFit="1"/>
  </sheetViews>
  <pageMargins left="0.7" right="0.7" top="0.75" bottom="0.75" header="0.3" footer="0.3"/>
  <pageSetup orientation="landscape" r:id="rId1"/>
  <drawing r:id="rId2"/>
</chartsheet>
</file>

<file path=xl/ctrlProps/ctrlProp1.xml><?xml version="1.0" encoding="utf-8"?>
<formControlPr xmlns="http://schemas.microsoft.com/office/spreadsheetml/2009/9/main" objectType="Radio" firstButton="1" fmlaLink="$AA$3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$AA$3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3.xml><?xml version="1.0" encoding="utf-8"?>
<formControlPr xmlns="http://schemas.microsoft.com/office/spreadsheetml/2009/9/main" objectType="Radio" firstButton="1" fmlaLink="$AA$3" lockText="1" noThreeD="1"/>
</file>

<file path=xl/ctrlProps/ctrlProp14.xml><?xml version="1.0" encoding="utf-8"?>
<formControlPr xmlns="http://schemas.microsoft.com/office/spreadsheetml/2009/9/main" objectType="Radio" checked="Checked" lockText="1" noThreeD="1"/>
</file>

<file path=xl/ctrlProps/ctrlProp15.xml><?xml version="1.0" encoding="utf-8"?>
<formControlPr xmlns="http://schemas.microsoft.com/office/spreadsheetml/2009/9/main" objectType="Radio" firstButton="1" fmlaLink="$AA$3" lockText="1" noThreeD="1"/>
</file>

<file path=xl/ctrlProps/ctrlProp16.xml><?xml version="1.0" encoding="utf-8"?>
<formControlPr xmlns="http://schemas.microsoft.com/office/spreadsheetml/2009/9/main" objectType="Radio" checked="Checked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firstButton="1" fmlaLink="$AA$3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firstButton="1" fmlaLink="$AA$3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firstButton="1" fmlaLink="$AA$3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checked="Checked" firstButton="1" fmlaLink="$AA$3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1042" cy="62784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792480</xdr:colOff>
          <xdr:row>1</xdr:row>
          <xdr:rowOff>175260</xdr:rowOff>
        </xdr:from>
        <xdr:to>
          <xdr:col>26</xdr:col>
          <xdr:colOff>868680</xdr:colOff>
          <xdr:row>3</xdr:row>
          <xdr:rowOff>22860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D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OFF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800100</xdr:colOff>
          <xdr:row>2</xdr:row>
          <xdr:rowOff>175260</xdr:rowOff>
        </xdr:from>
        <xdr:to>
          <xdr:col>26</xdr:col>
          <xdr:colOff>876300</xdr:colOff>
          <xdr:row>4</xdr:row>
          <xdr:rowOff>22860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D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ON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792480</xdr:colOff>
          <xdr:row>1</xdr:row>
          <xdr:rowOff>175260</xdr:rowOff>
        </xdr:from>
        <xdr:to>
          <xdr:col>26</xdr:col>
          <xdr:colOff>868680</xdr:colOff>
          <xdr:row>3</xdr:row>
          <xdr:rowOff>22860</xdr:rowOff>
        </xdr:to>
        <xdr:sp macro="" textlink="">
          <xdr:nvSpPr>
            <xdr:cNvPr id="31745" name="Option Button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0E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OFF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800100</xdr:colOff>
          <xdr:row>2</xdr:row>
          <xdr:rowOff>175260</xdr:rowOff>
        </xdr:from>
        <xdr:to>
          <xdr:col>26</xdr:col>
          <xdr:colOff>876300</xdr:colOff>
          <xdr:row>4</xdr:row>
          <xdr:rowOff>22860</xdr:rowOff>
        </xdr:to>
        <xdr:sp macro="" textlink="">
          <xdr:nvSpPr>
            <xdr:cNvPr id="31746" name="Option Button 2" hidden="1">
              <a:extLst>
                <a:ext uri="{63B3BB69-23CF-44E3-9099-C40C66FF867C}">
                  <a14:compatExt spid="_x0000_s31746"/>
                </a:ext>
                <a:ext uri="{FF2B5EF4-FFF2-40B4-BE49-F238E27FC236}">
                  <a16:creationId xmlns:a16="http://schemas.microsoft.com/office/drawing/2014/main" id="{00000000-0008-0000-0E00-00000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ON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1042" cy="62784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1042" cy="62784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792480</xdr:colOff>
          <xdr:row>1</xdr:row>
          <xdr:rowOff>175260</xdr:rowOff>
        </xdr:from>
        <xdr:to>
          <xdr:col>26</xdr:col>
          <xdr:colOff>868680</xdr:colOff>
          <xdr:row>3</xdr:row>
          <xdr:rowOff>22860</xdr:rowOff>
        </xdr:to>
        <xdr:sp macro="" textlink="">
          <xdr:nvSpPr>
            <xdr:cNvPr id="23553" name="Option Button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7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OFF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800100</xdr:colOff>
          <xdr:row>2</xdr:row>
          <xdr:rowOff>175260</xdr:rowOff>
        </xdr:from>
        <xdr:to>
          <xdr:col>26</xdr:col>
          <xdr:colOff>876300</xdr:colOff>
          <xdr:row>4</xdr:row>
          <xdr:rowOff>22860</xdr:rowOff>
        </xdr:to>
        <xdr:sp macro="" textlink="">
          <xdr:nvSpPr>
            <xdr:cNvPr id="23554" name="Option Button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7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ON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792480</xdr:colOff>
          <xdr:row>1</xdr:row>
          <xdr:rowOff>175260</xdr:rowOff>
        </xdr:from>
        <xdr:to>
          <xdr:col>26</xdr:col>
          <xdr:colOff>868680</xdr:colOff>
          <xdr:row>3</xdr:row>
          <xdr:rowOff>22860</xdr:rowOff>
        </xdr:to>
        <xdr:sp macro="" textlink="">
          <xdr:nvSpPr>
            <xdr:cNvPr id="20481" name="Option Butto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8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OFF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800100</xdr:colOff>
          <xdr:row>2</xdr:row>
          <xdr:rowOff>175260</xdr:rowOff>
        </xdr:from>
        <xdr:to>
          <xdr:col>26</xdr:col>
          <xdr:colOff>876300</xdr:colOff>
          <xdr:row>4</xdr:row>
          <xdr:rowOff>22860</xdr:rowOff>
        </xdr:to>
        <xdr:sp macro="" textlink="">
          <xdr:nvSpPr>
            <xdr:cNvPr id="20482" name="Option Button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8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ON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792480</xdr:colOff>
          <xdr:row>1</xdr:row>
          <xdr:rowOff>175260</xdr:rowOff>
        </xdr:from>
        <xdr:to>
          <xdr:col>26</xdr:col>
          <xdr:colOff>868680</xdr:colOff>
          <xdr:row>3</xdr:row>
          <xdr:rowOff>22860</xdr:rowOff>
        </xdr:to>
        <xdr:sp macro="" textlink="">
          <xdr:nvSpPr>
            <xdr:cNvPr id="3156" name="Option Button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9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OFF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800100</xdr:colOff>
          <xdr:row>2</xdr:row>
          <xdr:rowOff>175260</xdr:rowOff>
        </xdr:from>
        <xdr:to>
          <xdr:col>26</xdr:col>
          <xdr:colOff>876300</xdr:colOff>
          <xdr:row>4</xdr:row>
          <xdr:rowOff>22860</xdr:rowOff>
        </xdr:to>
        <xdr:sp macro="" textlink="">
          <xdr:nvSpPr>
            <xdr:cNvPr id="3157" name="Option Button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9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ON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792480</xdr:colOff>
          <xdr:row>1</xdr:row>
          <xdr:rowOff>175260</xdr:rowOff>
        </xdr:from>
        <xdr:to>
          <xdr:col>26</xdr:col>
          <xdr:colOff>868680</xdr:colOff>
          <xdr:row>3</xdr:row>
          <xdr:rowOff>22860</xdr:rowOff>
        </xdr:to>
        <xdr:sp macro="" textlink="">
          <xdr:nvSpPr>
            <xdr:cNvPr id="19457" name="Option Button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A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OFF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800100</xdr:colOff>
          <xdr:row>2</xdr:row>
          <xdr:rowOff>175260</xdr:rowOff>
        </xdr:from>
        <xdr:to>
          <xdr:col>26</xdr:col>
          <xdr:colOff>876300</xdr:colOff>
          <xdr:row>4</xdr:row>
          <xdr:rowOff>22860</xdr:rowOff>
        </xdr:to>
        <xdr:sp macro="" textlink="">
          <xdr:nvSpPr>
            <xdr:cNvPr id="19458" name="Option Button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0A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ON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792480</xdr:colOff>
          <xdr:row>1</xdr:row>
          <xdr:rowOff>175260</xdr:rowOff>
        </xdr:from>
        <xdr:to>
          <xdr:col>26</xdr:col>
          <xdr:colOff>868680</xdr:colOff>
          <xdr:row>3</xdr:row>
          <xdr:rowOff>22860</xdr:rowOff>
        </xdr:to>
        <xdr:sp macro="" textlink="">
          <xdr:nvSpPr>
            <xdr:cNvPr id="24577" name="Option Button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B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OFF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800100</xdr:colOff>
          <xdr:row>2</xdr:row>
          <xdr:rowOff>175260</xdr:rowOff>
        </xdr:from>
        <xdr:to>
          <xdr:col>26</xdr:col>
          <xdr:colOff>876300</xdr:colOff>
          <xdr:row>4</xdr:row>
          <xdr:rowOff>22860</xdr:rowOff>
        </xdr:to>
        <xdr:sp macro="" textlink="">
          <xdr:nvSpPr>
            <xdr:cNvPr id="24578" name="Option Button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0B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ON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792480</xdr:colOff>
          <xdr:row>1</xdr:row>
          <xdr:rowOff>175260</xdr:rowOff>
        </xdr:from>
        <xdr:to>
          <xdr:col>26</xdr:col>
          <xdr:colOff>868680</xdr:colOff>
          <xdr:row>3</xdr:row>
          <xdr:rowOff>22860</xdr:rowOff>
        </xdr:to>
        <xdr:sp macro="" textlink="">
          <xdr:nvSpPr>
            <xdr:cNvPr id="18433" name="Option Button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C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OFF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800100</xdr:colOff>
          <xdr:row>2</xdr:row>
          <xdr:rowOff>175260</xdr:rowOff>
        </xdr:from>
        <xdr:to>
          <xdr:col>26</xdr:col>
          <xdr:colOff>876300</xdr:colOff>
          <xdr:row>4</xdr:row>
          <xdr:rowOff>22860</xdr:rowOff>
        </xdr:to>
        <xdr:sp macro="" textlink="">
          <xdr:nvSpPr>
            <xdr:cNvPr id="18434" name="Option Button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C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BCAA2-B0E3-4304-9273-58AE7AC9755B}">
  <sheetPr>
    <tabColor theme="5"/>
  </sheetPr>
  <dimension ref="A1:B11"/>
  <sheetViews>
    <sheetView workbookViewId="0">
      <selection activeCell="B13" sqref="B13"/>
    </sheetView>
  </sheetViews>
  <sheetFormatPr defaultRowHeight="14.4" x14ac:dyDescent="0.3"/>
  <cols>
    <col min="1" max="1" width="86.21875" bestFit="1" customWidth="1"/>
    <col min="2" max="2" width="18.21875" bestFit="1" customWidth="1"/>
  </cols>
  <sheetData>
    <row r="1" spans="1:2" ht="21" x14ac:dyDescent="0.4">
      <c r="A1" s="97" t="s">
        <v>151</v>
      </c>
      <c r="B1" s="97"/>
    </row>
    <row r="2" spans="1:2" ht="21" x14ac:dyDescent="0.4">
      <c r="A2" s="98" t="s">
        <v>152</v>
      </c>
      <c r="B2" s="98"/>
    </row>
    <row r="3" spans="1:2" x14ac:dyDescent="0.3">
      <c r="A3" s="93" t="s">
        <v>153</v>
      </c>
      <c r="B3" s="95" t="s">
        <v>170</v>
      </c>
    </row>
    <row r="4" spans="1:2" x14ac:dyDescent="0.3">
      <c r="A4" s="94" t="s">
        <v>140</v>
      </c>
      <c r="B4" s="94" t="s">
        <v>162</v>
      </c>
    </row>
    <row r="5" spans="1:2" x14ac:dyDescent="0.3">
      <c r="A5" s="94" t="s">
        <v>141</v>
      </c>
      <c r="B5" s="94" t="s">
        <v>163</v>
      </c>
    </row>
    <row r="6" spans="1:2" x14ac:dyDescent="0.3">
      <c r="A6" s="94" t="s">
        <v>142</v>
      </c>
      <c r="B6" s="94" t="s">
        <v>164</v>
      </c>
    </row>
    <row r="7" spans="1:2" x14ac:dyDescent="0.3">
      <c r="A7" s="94" t="s">
        <v>134</v>
      </c>
      <c r="B7" s="94" t="s">
        <v>165</v>
      </c>
    </row>
    <row r="8" spans="1:2" x14ac:dyDescent="0.3">
      <c r="A8" s="94" t="s">
        <v>135</v>
      </c>
      <c r="B8" s="94" t="s">
        <v>166</v>
      </c>
    </row>
    <row r="9" spans="1:2" x14ac:dyDescent="0.3">
      <c r="A9" s="94" t="s">
        <v>133</v>
      </c>
      <c r="B9" s="94" t="s">
        <v>167</v>
      </c>
    </row>
    <row r="10" spans="1:2" x14ac:dyDescent="0.3">
      <c r="A10" s="94" t="s">
        <v>138</v>
      </c>
      <c r="B10" s="94" t="s">
        <v>168</v>
      </c>
    </row>
    <row r="11" spans="1:2" x14ac:dyDescent="0.3">
      <c r="A11" s="94" t="s">
        <v>139</v>
      </c>
      <c r="B11" s="94" t="s">
        <v>169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F713-91FC-4983-8A36-1665502C3BF2}">
  <dimension ref="A1:AP742"/>
  <sheetViews>
    <sheetView workbookViewId="0">
      <selection activeCell="N17" sqref="N17"/>
    </sheetView>
  </sheetViews>
  <sheetFormatPr defaultRowHeight="14.4" x14ac:dyDescent="0.3"/>
  <cols>
    <col min="1" max="1" width="9.109375" bestFit="1" customWidth="1"/>
    <col min="3" max="3" width="10.5546875" bestFit="1" customWidth="1"/>
    <col min="4" max="4" width="11.77734375" style="6" bestFit="1" customWidth="1"/>
    <col min="5" max="5" width="8" customWidth="1"/>
    <col min="6" max="6" width="8.5546875" bestFit="1" customWidth="1"/>
    <col min="7" max="8" width="8.5546875" customWidth="1"/>
    <col min="9" max="9" width="8.5546875" style="6" customWidth="1"/>
    <col min="10" max="10" width="10.33203125" customWidth="1"/>
    <col min="11" max="11" width="8.5546875" bestFit="1" customWidth="1"/>
    <col min="12" max="13" width="8.5546875" customWidth="1"/>
    <col min="14" max="14" width="11" customWidth="1"/>
    <col min="15" max="15" width="12.6640625" customWidth="1"/>
    <col min="16" max="16" width="10.33203125" customWidth="1"/>
    <col min="17" max="17" width="13.109375" bestFit="1" customWidth="1"/>
    <col min="18" max="21" width="13.109375" customWidth="1"/>
    <col min="22" max="26" width="12.109375" customWidth="1"/>
    <col min="27" max="28" width="13.109375" customWidth="1"/>
    <col min="33" max="33" width="11.44140625" bestFit="1" customWidth="1"/>
    <col min="34" max="34" width="12.109375" bestFit="1" customWidth="1"/>
    <col min="35" max="36" width="12.109375" customWidth="1"/>
    <col min="41" max="41" width="12.109375" bestFit="1" customWidth="1"/>
  </cols>
  <sheetData>
    <row r="1" spans="1:41" x14ac:dyDescent="0.3">
      <c r="D1"/>
      <c r="F1" s="6"/>
      <c r="I1"/>
    </row>
    <row r="2" spans="1:41" ht="14.4" customHeight="1" x14ac:dyDescent="0.3">
      <c r="A2" s="124" t="s">
        <v>45</v>
      </c>
      <c r="B2" s="126" t="s">
        <v>58</v>
      </c>
      <c r="C2" s="127"/>
      <c r="D2"/>
      <c r="E2" s="126" t="s">
        <v>49</v>
      </c>
      <c r="F2" s="127"/>
      <c r="H2" s="126" t="s">
        <v>36</v>
      </c>
      <c r="I2" s="127"/>
      <c r="K2" s="126" t="s">
        <v>88</v>
      </c>
      <c r="L2" s="128"/>
      <c r="M2" s="127"/>
      <c r="N2" s="51"/>
      <c r="O2" s="126" t="s">
        <v>89</v>
      </c>
      <c r="P2" s="127"/>
      <c r="R2" s="122" t="s">
        <v>121</v>
      </c>
      <c r="S2" s="122"/>
      <c r="U2" s="122" t="s">
        <v>129</v>
      </c>
      <c r="V2" s="122"/>
      <c r="X2" s="122" t="s">
        <v>130</v>
      </c>
      <c r="Y2" s="122"/>
      <c r="AA2" s="20" t="s">
        <v>132</v>
      </c>
    </row>
    <row r="3" spans="1:41" x14ac:dyDescent="0.3">
      <c r="A3" s="124"/>
      <c r="B3" s="21" t="s">
        <v>46</v>
      </c>
      <c r="C3" s="22">
        <v>6000</v>
      </c>
      <c r="D3" t="s">
        <v>71</v>
      </c>
      <c r="E3" s="48" t="s">
        <v>46</v>
      </c>
      <c r="F3" s="20">
        <v>99999</v>
      </c>
      <c r="G3" t="s">
        <v>67</v>
      </c>
      <c r="H3" s="21" t="s">
        <v>46</v>
      </c>
      <c r="I3" s="20">
        <v>99999</v>
      </c>
      <c r="J3" t="s">
        <v>67</v>
      </c>
      <c r="K3" s="20" t="s">
        <v>30</v>
      </c>
      <c r="L3" s="20">
        <v>1</v>
      </c>
      <c r="M3" s="20">
        <v>0</v>
      </c>
      <c r="N3" s="52"/>
      <c r="O3" s="48" t="s">
        <v>62</v>
      </c>
      <c r="P3" s="20">
        <v>1</v>
      </c>
      <c r="R3" s="21" t="s">
        <v>46</v>
      </c>
      <c r="S3" s="20">
        <v>1500</v>
      </c>
      <c r="U3" s="21" t="s">
        <v>46</v>
      </c>
      <c r="V3" s="20">
        <v>3250</v>
      </c>
      <c r="X3" s="21" t="s">
        <v>46</v>
      </c>
      <c r="Y3" s="20">
        <v>4000</v>
      </c>
      <c r="AA3" s="90">
        <v>2</v>
      </c>
    </row>
    <row r="4" spans="1:41" ht="14.4" customHeight="1" x14ac:dyDescent="0.3">
      <c r="A4" s="124"/>
      <c r="B4" s="20" t="s">
        <v>37</v>
      </c>
      <c r="C4" s="20">
        <v>6000</v>
      </c>
      <c r="D4" t="s">
        <v>71</v>
      </c>
      <c r="E4" s="49" t="s">
        <v>37</v>
      </c>
      <c r="F4" s="20">
        <v>56</v>
      </c>
      <c r="G4" t="s">
        <v>70</v>
      </c>
      <c r="H4" s="20" t="s">
        <v>37</v>
      </c>
      <c r="I4" s="20">
        <v>99999</v>
      </c>
      <c r="J4" t="s">
        <v>67</v>
      </c>
      <c r="K4" s="20" t="s">
        <v>42</v>
      </c>
      <c r="L4" s="20">
        <v>2</v>
      </c>
      <c r="M4" s="20">
        <v>0</v>
      </c>
      <c r="N4" s="52"/>
      <c r="O4" s="48" t="s">
        <v>63</v>
      </c>
      <c r="P4" s="20">
        <v>1</v>
      </c>
      <c r="R4" s="20" t="s">
        <v>37</v>
      </c>
      <c r="S4" s="20">
        <v>1500</v>
      </c>
      <c r="U4" s="20" t="s">
        <v>37</v>
      </c>
      <c r="V4" s="20">
        <v>3250</v>
      </c>
      <c r="X4" s="20" t="s">
        <v>37</v>
      </c>
      <c r="Y4" s="20">
        <v>4000</v>
      </c>
      <c r="AA4" s="20"/>
    </row>
    <row r="5" spans="1:41" x14ac:dyDescent="0.3">
      <c r="A5" s="124"/>
      <c r="B5" s="20" t="s">
        <v>38</v>
      </c>
      <c r="C5" s="20">
        <v>10000</v>
      </c>
      <c r="D5" t="s">
        <v>71</v>
      </c>
      <c r="E5" s="49" t="s">
        <v>38</v>
      </c>
      <c r="F5" s="20">
        <v>56</v>
      </c>
      <c r="G5" t="s">
        <v>70</v>
      </c>
      <c r="H5" s="20" t="s">
        <v>38</v>
      </c>
      <c r="I5" s="20">
        <v>99999</v>
      </c>
      <c r="J5" t="s">
        <v>67</v>
      </c>
      <c r="K5" s="20" t="s">
        <v>32</v>
      </c>
      <c r="L5" s="20">
        <v>3</v>
      </c>
      <c r="M5" s="20">
        <v>0</v>
      </c>
      <c r="N5" s="52"/>
      <c r="O5" s="48" t="s">
        <v>64</v>
      </c>
      <c r="P5" s="20">
        <v>1</v>
      </c>
      <c r="R5" s="20" t="s">
        <v>38</v>
      </c>
      <c r="S5" s="20">
        <v>1500</v>
      </c>
      <c r="U5" s="20" t="s">
        <v>38</v>
      </c>
      <c r="V5" s="20">
        <v>3250</v>
      </c>
      <c r="X5" s="20" t="s">
        <v>38</v>
      </c>
      <c r="Y5" s="20">
        <v>4000</v>
      </c>
    </row>
    <row r="6" spans="1:41" x14ac:dyDescent="0.3">
      <c r="A6" s="124"/>
      <c r="B6" s="20" t="s">
        <v>39</v>
      </c>
      <c r="C6" s="20">
        <v>12000</v>
      </c>
      <c r="D6" t="s">
        <v>71</v>
      </c>
      <c r="E6" s="49" t="s">
        <v>39</v>
      </c>
      <c r="F6" s="20">
        <v>53.5</v>
      </c>
      <c r="G6" t="s">
        <v>69</v>
      </c>
      <c r="H6" s="20" t="s">
        <v>39</v>
      </c>
      <c r="I6" s="20">
        <v>99999</v>
      </c>
      <c r="J6" t="s">
        <v>67</v>
      </c>
      <c r="K6" s="20" t="s">
        <v>33</v>
      </c>
      <c r="L6" s="20">
        <v>4</v>
      </c>
      <c r="M6" s="20">
        <v>1</v>
      </c>
      <c r="N6" s="52"/>
      <c r="O6" s="48" t="s">
        <v>65</v>
      </c>
      <c r="P6" s="20">
        <v>1</v>
      </c>
      <c r="R6" s="20" t="s">
        <v>39</v>
      </c>
      <c r="S6" s="20">
        <v>1500</v>
      </c>
      <c r="U6" s="20" t="s">
        <v>39</v>
      </c>
      <c r="V6" s="20">
        <v>3250</v>
      </c>
      <c r="X6" s="20" t="s">
        <v>39</v>
      </c>
      <c r="Y6" s="20">
        <v>4000</v>
      </c>
    </row>
    <row r="7" spans="1:41" x14ac:dyDescent="0.3">
      <c r="A7" s="124"/>
      <c r="B7" s="47" t="s">
        <v>62</v>
      </c>
      <c r="C7" s="47">
        <v>99999</v>
      </c>
      <c r="D7" t="s">
        <v>86</v>
      </c>
      <c r="E7" s="6"/>
      <c r="H7" s="20" t="s">
        <v>136</v>
      </c>
      <c r="I7" s="20">
        <v>0</v>
      </c>
      <c r="J7" t="s">
        <v>67</v>
      </c>
      <c r="K7" s="20" t="s">
        <v>10</v>
      </c>
      <c r="L7" s="20">
        <v>5</v>
      </c>
      <c r="M7" s="20">
        <v>1</v>
      </c>
      <c r="N7" s="52"/>
      <c r="O7" s="48" t="s">
        <v>66</v>
      </c>
      <c r="P7" s="20">
        <v>1</v>
      </c>
    </row>
    <row r="8" spans="1:41" x14ac:dyDescent="0.3">
      <c r="A8" s="124"/>
      <c r="B8" s="47" t="s">
        <v>63</v>
      </c>
      <c r="C8" s="47">
        <v>99999</v>
      </c>
      <c r="D8" t="s">
        <v>86</v>
      </c>
      <c r="E8" s="6"/>
      <c r="H8" s="20" t="s">
        <v>137</v>
      </c>
      <c r="I8" s="20">
        <v>99999</v>
      </c>
    </row>
    <row r="9" spans="1:41" x14ac:dyDescent="0.3">
      <c r="A9" s="124"/>
      <c r="B9" s="47" t="s">
        <v>64</v>
      </c>
      <c r="C9" s="47">
        <v>99999</v>
      </c>
      <c r="D9" t="s">
        <v>86</v>
      </c>
      <c r="E9" s="6"/>
      <c r="H9" s="46"/>
      <c r="I9" s="46"/>
    </row>
    <row r="10" spans="1:41" x14ac:dyDescent="0.3">
      <c r="A10" s="124"/>
      <c r="B10" s="47" t="s">
        <v>65</v>
      </c>
      <c r="C10" s="47">
        <v>99999</v>
      </c>
      <c r="D10" t="s">
        <v>86</v>
      </c>
      <c r="E10" s="6"/>
      <c r="H10" s="46"/>
      <c r="I10" s="46"/>
    </row>
    <row r="11" spans="1:41" x14ac:dyDescent="0.3">
      <c r="A11" s="125"/>
      <c r="B11" s="47" t="s">
        <v>66</v>
      </c>
      <c r="C11" s="47">
        <v>99999</v>
      </c>
      <c r="D11" t="s">
        <v>87</v>
      </c>
      <c r="E11" s="6"/>
      <c r="I11"/>
      <c r="AF11" t="s">
        <v>83</v>
      </c>
      <c r="AG11" t="s">
        <v>83</v>
      </c>
      <c r="AH11" t="s">
        <v>83</v>
      </c>
      <c r="AI11" t="s">
        <v>84</v>
      </c>
      <c r="AJ11" t="s">
        <v>84</v>
      </c>
      <c r="AK11" t="s">
        <v>84</v>
      </c>
      <c r="AL11" t="s">
        <v>85</v>
      </c>
    </row>
    <row r="12" spans="1:41" s="23" customFormat="1" ht="28.8" x14ac:dyDescent="0.3">
      <c r="A12" s="80"/>
      <c r="B12" s="81"/>
      <c r="C12" s="81"/>
      <c r="D12" s="129" t="s">
        <v>34</v>
      </c>
      <c r="E12" s="129"/>
      <c r="F12" s="123" t="s">
        <v>49</v>
      </c>
      <c r="G12" s="123"/>
      <c r="H12" s="123" t="s">
        <v>76</v>
      </c>
      <c r="I12" s="123"/>
      <c r="J12" s="123"/>
      <c r="K12" s="123" t="s">
        <v>36</v>
      </c>
      <c r="L12" s="123"/>
      <c r="M12" s="83" t="s">
        <v>88</v>
      </c>
      <c r="N12" s="130" t="s">
        <v>47</v>
      </c>
      <c r="O12" s="130"/>
      <c r="P12" s="123" t="s">
        <v>48</v>
      </c>
      <c r="Q12" s="123"/>
      <c r="R12" s="123" t="s">
        <v>131</v>
      </c>
      <c r="S12" s="123"/>
      <c r="T12" s="83" t="s">
        <v>122</v>
      </c>
      <c r="U12" s="83" t="s">
        <v>126</v>
      </c>
      <c r="V12" s="83" t="s">
        <v>61</v>
      </c>
      <c r="W12" s="116" t="s">
        <v>74</v>
      </c>
      <c r="X12" s="117"/>
      <c r="Y12" s="118" t="s">
        <v>35</v>
      </c>
      <c r="Z12" s="119"/>
      <c r="AA12" s="120" t="s">
        <v>75</v>
      </c>
      <c r="AB12" s="118"/>
      <c r="AC12" s="19"/>
      <c r="AF12" s="23">
        <v>1</v>
      </c>
      <c r="AG12" s="23">
        <v>2</v>
      </c>
      <c r="AH12" s="23" t="s">
        <v>80</v>
      </c>
      <c r="AI12" s="23">
        <v>3</v>
      </c>
      <c r="AJ12" s="23">
        <v>4</v>
      </c>
      <c r="AK12" s="23" t="s">
        <v>81</v>
      </c>
      <c r="AL12" s="50" t="s">
        <v>82</v>
      </c>
    </row>
    <row r="13" spans="1:41" s="84" customFormat="1" ht="28.8" x14ac:dyDescent="0.3">
      <c r="A13" s="39" t="s">
        <v>44</v>
      </c>
      <c r="B13" s="40"/>
      <c r="C13" s="40"/>
      <c r="D13" s="41" t="s">
        <v>18</v>
      </c>
      <c r="E13" s="40" t="s">
        <v>59</v>
      </c>
      <c r="F13" s="40" t="s">
        <v>15</v>
      </c>
      <c r="G13" s="40" t="s">
        <v>59</v>
      </c>
      <c r="H13" s="40" t="s">
        <v>18</v>
      </c>
      <c r="I13" s="41" t="s">
        <v>2</v>
      </c>
      <c r="J13" s="41" t="s">
        <v>59</v>
      </c>
      <c r="K13" s="40" t="s">
        <v>2</v>
      </c>
      <c r="L13" s="40" t="s">
        <v>59</v>
      </c>
      <c r="M13" s="40" t="s">
        <v>59</v>
      </c>
      <c r="N13" s="40" t="s">
        <v>18</v>
      </c>
      <c r="O13" s="40" t="s">
        <v>2</v>
      </c>
      <c r="P13" s="40" t="s">
        <v>18</v>
      </c>
      <c r="Q13" s="40" t="s">
        <v>2</v>
      </c>
      <c r="R13" s="40" t="s">
        <v>18</v>
      </c>
      <c r="S13" s="40" t="s">
        <v>2</v>
      </c>
      <c r="T13" s="40" t="s">
        <v>2</v>
      </c>
      <c r="U13" s="40"/>
      <c r="V13" s="40" t="s">
        <v>2</v>
      </c>
      <c r="W13" s="40" t="s">
        <v>18</v>
      </c>
      <c r="X13" s="40" t="s">
        <v>2</v>
      </c>
      <c r="Y13" s="40" t="s">
        <v>18</v>
      </c>
      <c r="Z13" s="40" t="s">
        <v>2</v>
      </c>
      <c r="AA13" s="40" t="s">
        <v>18</v>
      </c>
      <c r="AB13" s="42" t="s">
        <v>2</v>
      </c>
      <c r="AD13" s="82"/>
      <c r="AE13" s="82" t="s">
        <v>40</v>
      </c>
      <c r="AF13" s="82" t="s">
        <v>77</v>
      </c>
      <c r="AG13" s="82" t="s">
        <v>79</v>
      </c>
      <c r="AH13" s="82" t="s">
        <v>61</v>
      </c>
      <c r="AI13" s="82" t="s">
        <v>78</v>
      </c>
      <c r="AJ13" s="82" t="s">
        <v>35</v>
      </c>
      <c r="AK13" s="82" t="s">
        <v>75</v>
      </c>
      <c r="AL13" s="82" t="s">
        <v>60</v>
      </c>
    </row>
    <row r="14" spans="1:41" x14ac:dyDescent="0.3">
      <c r="A14" s="27">
        <f>VLOOKUP(YEAR(C14),Flags!$A$13:$B$95,2,FALSE)</f>
        <v>1</v>
      </c>
      <c r="B14" s="28">
        <f>YEAR(C14)</f>
        <v>1922</v>
      </c>
      <c r="C14" s="29">
        <v>8156</v>
      </c>
      <c r="D14" s="30">
        <f>VLOOKUP($C14,COS!$B$8:$H$991,3,FALSE)</f>
        <v>4490.92138671875</v>
      </c>
      <c r="E14" s="28">
        <f>IF(D14&gt;=IF(MONTH($C14)=4,$C$3,IF(MONTH($C14)=5,$C$4,IF(MONTH($C14)=6,$C$5,IF(MONTH($C14)=7,$C$6,"ERROR")))),1,0)</f>
        <v>0</v>
      </c>
      <c r="F14" s="30">
        <f>VLOOKUP($C14,COS!$B$8:$H$991,7,FALSE)</f>
        <v>53.804779052734375</v>
      </c>
      <c r="G14" s="28">
        <f>IF(F14&lt;=IF(MONTH($C14)=4,$F$3,IF(MONTH($C14)=5,$F$4,IF(MONTH($C14)=6,$F$5,IF(MONTH($C14)=7,$F$6,"ERROR")))),1,0)</f>
        <v>1</v>
      </c>
      <c r="H14" s="30">
        <f>IF(J14=1,D14-$C$3,0)</f>
        <v>0</v>
      </c>
      <c r="I14" s="30">
        <f t="shared" ref="I14:I17" si="0">H14*DAY($C14)*86400/43560/1000</f>
        <v>0</v>
      </c>
      <c r="J14" s="28">
        <f>IF(AND(E14=1,G14=1),1,0)</f>
        <v>0</v>
      </c>
      <c r="K14" s="30">
        <f>VLOOKUP($C14,COS!$B$8:$H$991,2,FALSE)</f>
        <v>4552</v>
      </c>
      <c r="L14" s="28">
        <f>IF(K14&lt;=IF(MONTH($C14)=4,$I$3,IF(MONTH($C14)=5,$I$4,IF(MONTH($C14)=6,$I$5,IF(MONTH($C14)=7,$I$6,"ERROR")))),1,0)</f>
        <v>1</v>
      </c>
      <c r="M14" s="28">
        <f>VLOOKUP($A14,$L$3:$M$7,2,FALSE)</f>
        <v>0</v>
      </c>
      <c r="N14" s="30">
        <f>VLOOKUP($C14,COS!$B$8:$H$991,5,FALSE)</f>
        <v>373.61062622070313</v>
      </c>
      <c r="O14" s="30">
        <f>N14*DAY($C14)*86400/43560/1000</f>
        <v>22.231376105694729</v>
      </c>
      <c r="P14" s="30">
        <f>VLOOKUP($C14,COS!$B$8:$H$991,6,FALSE)</f>
        <v>533.257080078125</v>
      </c>
      <c r="Q14" s="30">
        <f>P14*DAY($C14)*86400/43560/1000</f>
        <v>31.730999806301654</v>
      </c>
      <c r="R14" s="30">
        <f>MIN(IF(MONTH($C14)=4,$S$3,IF(MONTH($C14)=5,$S$4,IF(MONTH($C14)=6,$S$5,IF(MONTH($C14)=7,$S$6,"ERROR")))),MAX(VLOOKUP($C14,COS!$B$8:$K$991,10,FALSE)-IF(MONTH($C14)=4,$Y$3,IF(MONTH($C14)=5,$Y$4,IF(MONTH($C14)=6,$Y$5,IF(MONTH($C14)=7,$Y$6,"ERROR")))),0),MAX(VLOOKUP($C14,COS!$B$8:$K$991,9,FALSE)-IF(MONTH($C14)=4,$V$3,IF(MONTH($C14)=5,$V$4,IF(MONTH($C14)=6,$V$5,IF(MONTH($C14)=7,$V$6,"ERROR"))))-VLOOKUP($C14,COS!$B$8:$K$991,6,FALSE)/2,0))</f>
        <v>1500</v>
      </c>
      <c r="S14" s="30">
        <f>R14*DAY($C14)*86400/43560/1000</f>
        <v>89.256198347107429</v>
      </c>
      <c r="T14" s="30">
        <f>(O14+Q14)/2+S14</f>
        <v>116.23738630310562</v>
      </c>
      <c r="U14" s="30" t="str">
        <f>IF(VLOOKUP($C14,COS!$B$8:$I$991,8,FALSE)=1,"UWFE","IBU")</f>
        <v>UWFE</v>
      </c>
      <c r="V14" s="30">
        <f>MIN(IF(IF($AA$3=2,AND(E14=1,G14=1,L14=1,L19=1,M14=1,U14="IBU"),AND(E14=1,G14=1,L14=1,L19=1,M14=1)),T14,0),I14)</f>
        <v>0</v>
      </c>
      <c r="W14" s="30"/>
      <c r="X14" s="30"/>
      <c r="Y14" s="30"/>
      <c r="Z14" s="30"/>
      <c r="AA14" s="30"/>
      <c r="AB14" s="31"/>
      <c r="AC14" s="6"/>
      <c r="AD14" s="43">
        <v>1922</v>
      </c>
      <c r="AE14" s="1">
        <f>VLOOKUP(AD14,Flags!$A$13:$B$95,2,FALSE)</f>
        <v>1</v>
      </c>
      <c r="AF14" s="43">
        <f>SUMIF($B$14:$B$742,$AD14,$I$14:$I$742)</f>
        <v>375.87902827995867</v>
      </c>
      <c r="AG14" s="43">
        <f>SUMIF($B$14:$B$742,$AD14,$T$14:$T$742)</f>
        <v>704.36979855371897</v>
      </c>
      <c r="AH14" s="43">
        <f>SUMIF($B$14:$B$742,$AD14,$V$14:$V$742)</f>
        <v>0</v>
      </c>
      <c r="AI14" s="43">
        <f>SUMIF($B$14:$B$742,$AD14,$X$14:$X$742)</f>
        <v>27711.146126033054</v>
      </c>
      <c r="AJ14" s="43">
        <f>SUMIF($B$14:$B$742,$AD14,$Z$14:$Z$742)</f>
        <v>131.72308775342202</v>
      </c>
      <c r="AK14" s="43">
        <f t="shared" ref="AK14:AK77" si="1">SUMIF($B$14:$B$742,$AD14,$AB$14:$AB$742)</f>
        <v>131.72308775342202</v>
      </c>
      <c r="AL14" s="43">
        <f>MIN(AH14,AK14)</f>
        <v>0</v>
      </c>
      <c r="AN14" s="121" t="s">
        <v>60</v>
      </c>
      <c r="AO14" s="121"/>
    </row>
    <row r="15" spans="1:41" x14ac:dyDescent="0.3">
      <c r="A15" s="32">
        <f>VLOOKUP(YEAR(C15),Flags!$A$13:$B$95,2,FALSE)</f>
        <v>1</v>
      </c>
      <c r="B15" s="24">
        <f t="shared" ref="B15:B78" si="2">YEAR(C15)</f>
        <v>1922</v>
      </c>
      <c r="C15" s="25">
        <v>8187</v>
      </c>
      <c r="D15" s="26">
        <f>VLOOKUP($C15,COS!$B$8:$H$991,3,FALSE)</f>
        <v>11232.6396484375</v>
      </c>
      <c r="E15" s="24">
        <f>IF(D15&gt;=IF(MONTH($C15)=4,$C$3,IF(MONTH($C15)=5,$C$4,IF(MONTH($C15)=6,$C$5,IF(MONTH($C15)=7,$C$6,"ERROR")))),1,0)</f>
        <v>1</v>
      </c>
      <c r="F15" s="26">
        <f>VLOOKUP($C15,COS!$B$8:$H$991,7,FALSE)</f>
        <v>55.40838623046875</v>
      </c>
      <c r="G15" s="24">
        <f>IF(F15&lt;=IF(MONTH($C15)=4,$F$3,IF(MONTH($C15)=5,$F$4,IF(MONTH($C15)=6,$F$5,IF(MONTH($C15)=7,$F$6,"ERROR")))),1,0)</f>
        <v>1</v>
      </c>
      <c r="H15" s="26">
        <f>IF(J15=1,D15-$C$4,0)</f>
        <v>5232.6396484375</v>
      </c>
      <c r="I15" s="26">
        <f t="shared" si="0"/>
        <v>321.74247094524793</v>
      </c>
      <c r="J15" s="24">
        <f t="shared" ref="J15:J17" si="3">IF(AND(E15=1,G15=1),1,0)</f>
        <v>1</v>
      </c>
      <c r="K15" s="26">
        <f>VLOOKUP($C15,COS!$B$8:$H$991,2,FALSE)</f>
        <v>4552</v>
      </c>
      <c r="L15" s="24">
        <f t="shared" ref="L15:L17" si="4">IF(K15&lt;=IF(MONTH($C15)=4,$I$3,IF(MONTH($C15)=5,$I$4,IF(MONTH($C15)=6,$I$5,IF(MONTH($C15)=7,$I$6,"ERROR")))),1,0)</f>
        <v>1</v>
      </c>
      <c r="M15" s="24">
        <f t="shared" ref="M15:M17" si="5">VLOOKUP($A15,$L$3:$M$7,2,FALSE)</f>
        <v>0</v>
      </c>
      <c r="N15" s="26">
        <f>VLOOKUP($C15,COS!$B$8:$H$991,5,FALSE)</f>
        <v>868.27056884765625</v>
      </c>
      <c r="O15" s="26">
        <f>N15*DAY($C15)*86400/43560/1000</f>
        <v>53.387876299393078</v>
      </c>
      <c r="P15" s="26">
        <f>VLOOKUP($C15,COS!$B$8:$H$991,6,FALSE)</f>
        <v>2241.916259765625</v>
      </c>
      <c r="Q15" s="26">
        <f>P15*DAY($C15)*86400/43560/1000</f>
        <v>137.85005762525824</v>
      </c>
      <c r="R15" s="26">
        <f>MIN(IF(MONTH($C15)=4,$S$3,IF(MONTH($C15)=5,$S$4,IF(MONTH($C15)=6,$S$5,IF(MONTH($C15)=7,$S$6,"ERROR")))),MAX(VLOOKUP($C15,COS!$B$8:$K$991,10,FALSE)-IF(MONTH($C15)=4,$Y$3,IF(MONTH($C15)=5,$Y$4,IF(MONTH($C15)=6,$Y$5,IF(MONTH($C15)=7,$Y$6,"ERROR")))),0),MAX(VLOOKUP($C15,COS!$B$8:$K$991,9,FALSE)-IF(MONTH($C15)=4,$V$3,IF(MONTH($C15)=5,$V$4,IF(MONTH($C15)=6,$V$5,IF(MONTH($C15)=7,$V$6,"ERROR"))))-VLOOKUP($C15,COS!$B$8:$K$991,6,FALSE)/2,0))</f>
        <v>1500</v>
      </c>
      <c r="S15" s="26">
        <f>R15*DAY($C15)*86400/43560/1000</f>
        <v>92.231404958677686</v>
      </c>
      <c r="T15" s="26">
        <f>(O15+Q15)/2+S15</f>
        <v>187.85037192100333</v>
      </c>
      <c r="U15" s="26" t="str">
        <f>IF(VLOOKUP($C15,COS!$B$8:$I$991,8,FALSE)=1,"UWFE","IBU")</f>
        <v>UWFE</v>
      </c>
      <c r="V15" s="26">
        <f>MIN(IF(IF($AA$3=2,AND(E15=1,G15=1,L15=1,L19=1,M15=1,U15="IBU"),AND(E15=1,G15=1,L15=1,L19=1,M15=1)),T15,0),I15)</f>
        <v>0</v>
      </c>
      <c r="W15" s="26"/>
      <c r="X15" s="26"/>
      <c r="Y15" s="26"/>
      <c r="Z15" s="26"/>
      <c r="AA15" s="26"/>
      <c r="AB15" s="33"/>
      <c r="AC15" s="6"/>
      <c r="AD15" s="43">
        <v>1923</v>
      </c>
      <c r="AE15" s="1">
        <f>VLOOKUP(AD15,Flags!$A$13:$B$95,2,FALSE)</f>
        <v>3</v>
      </c>
      <c r="AF15" s="43">
        <f t="shared" ref="AF15:AF78" si="6">SUMIF($B$14:$B$742,$AD15,$I$14:$I$742)</f>
        <v>198.67443246384298</v>
      </c>
      <c r="AG15" s="43">
        <f t="shared" ref="AG15:AG78" si="7">SUMIF($B$14:$B$742,$AD15,$T$14:$T$742)</f>
        <v>652.53447745835479</v>
      </c>
      <c r="AH15" s="43">
        <f t="shared" ref="AH15:AH78" si="8">SUMIF($B$14:$B$742,$AD15,$V$14:$V$742)</f>
        <v>0</v>
      </c>
      <c r="AI15" s="43">
        <f t="shared" ref="AI15:AI78" si="9">SUMIF($B$14:$B$742,$AD15,$X$14:$X$742)</f>
        <v>28605.264869899278</v>
      </c>
      <c r="AJ15" s="43">
        <f t="shared" ref="AJ15:AJ78" si="10">SUMIF($B$14:$B$742,$AD15,$Z$14:$Z$742)</f>
        <v>218.30497927831226</v>
      </c>
      <c r="AK15" s="43">
        <f t="shared" si="1"/>
        <v>218.30497927831226</v>
      </c>
      <c r="AL15" s="43">
        <f t="shared" ref="AL15:AL78" si="11">MIN(AH15,AK15)</f>
        <v>0</v>
      </c>
      <c r="AN15" s="1" t="s">
        <v>41</v>
      </c>
      <c r="AO15" s="43">
        <f>AVERAGE($AL$14:$AL$94)</f>
        <v>52.273545369690332</v>
      </c>
    </row>
    <row r="16" spans="1:41" x14ac:dyDescent="0.3">
      <c r="A16" s="32">
        <f>VLOOKUP(YEAR(C16),Flags!$A$13:$B$95,2,FALSE)</f>
        <v>1</v>
      </c>
      <c r="B16" s="24">
        <f t="shared" si="2"/>
        <v>1922</v>
      </c>
      <c r="C16" s="25">
        <v>8217</v>
      </c>
      <c r="D16" s="26">
        <f>VLOOKUP($C16,COS!$B$8:$H$991,3,FALSE)</f>
        <v>10909.794921875</v>
      </c>
      <c r="E16" s="24">
        <f>IF(D16&gt;=IF(MONTH($C16)=4,$C$3,IF(MONTH($C16)=5,$C$4,IF(MONTH($C16)=6,$C$5,IF(MONTH($C16)=7,$C$6,"ERROR")))),1,0)</f>
        <v>1</v>
      </c>
      <c r="F16" s="26">
        <f>VLOOKUP($C16,COS!$B$8:$H$991,7,FALSE)</f>
        <v>53.329750061035156</v>
      </c>
      <c r="G16" s="24">
        <f>IF(F16&lt;=IF(MONTH($C16)=4,$F$3,IF(MONTH($C16)=5,$F$4,IF(MONTH($C16)=6,$F$5,IF(MONTH($C16)=7,$F$6,"ERROR")))),1,0)</f>
        <v>1</v>
      </c>
      <c r="H16" s="26">
        <f>IF(J16=1,D16-$C$5,0)</f>
        <v>909.794921875</v>
      </c>
      <c r="I16" s="26">
        <f t="shared" si="0"/>
        <v>54.136557334710744</v>
      </c>
      <c r="J16" s="24">
        <f t="shared" si="3"/>
        <v>1</v>
      </c>
      <c r="K16" s="26">
        <f>VLOOKUP($C16,COS!$B$8:$H$991,2,FALSE)</f>
        <v>4241.47265625</v>
      </c>
      <c r="L16" s="24">
        <f t="shared" si="4"/>
        <v>1</v>
      </c>
      <c r="M16" s="24">
        <f t="shared" si="5"/>
        <v>0</v>
      </c>
      <c r="N16" s="26">
        <f>VLOOKUP($C16,COS!$B$8:$H$991,5,FALSE)</f>
        <v>1108.1929931640625</v>
      </c>
      <c r="O16" s="26">
        <f>N16*DAY($C16)*86400/43560/1000</f>
        <v>65.942062403150814</v>
      </c>
      <c r="P16" s="26">
        <f>VLOOKUP($C16,COS!$B$8:$H$991,6,FALSE)</f>
        <v>2347.418701171875</v>
      </c>
      <c r="Q16" s="26">
        <f>P16*DAY($C16)*86400/43560/1000</f>
        <v>139.68111279700415</v>
      </c>
      <c r="R16" s="26">
        <f>MIN(IF(MONTH($C16)=4,$S$3,IF(MONTH($C16)=5,$S$4,IF(MONTH($C16)=6,$S$5,IF(MONTH($C16)=7,$S$6,"ERROR")))),MAX(VLOOKUP($C16,COS!$B$8:$K$991,10,FALSE)-IF(MONTH($C16)=4,$Y$3,IF(MONTH($C16)=5,$Y$4,IF(MONTH($C16)=6,$Y$5,IF(MONTH($C16)=7,$Y$6,"ERROR")))),0),MAX(VLOOKUP($C16,COS!$B$8:$K$991,9,FALSE)-IF(MONTH($C16)=4,$V$3,IF(MONTH($C16)=5,$V$4,IF(MONTH($C16)=6,$V$5,IF(MONTH($C16)=7,$V$6,"ERROR"))))-VLOOKUP($C16,COS!$B$8:$K$991,6,FALSE)/2,0))</f>
        <v>1500</v>
      </c>
      <c r="S16" s="26">
        <f>R16*DAY($C16)*86400/43560/1000</f>
        <v>89.256198347107429</v>
      </c>
      <c r="T16" s="26">
        <f t="shared" ref="T16:T17" si="12">(O16+Q16)/2+S16</f>
        <v>192.06778594718492</v>
      </c>
      <c r="U16" s="26" t="str">
        <f>IF(VLOOKUP($C16,COS!$B$8:$I$991,8,FALSE)=1,"UWFE","IBU")</f>
        <v>UWFE</v>
      </c>
      <c r="V16" s="26">
        <f>MIN(IF(IF($AA$3=2,AND(E16=1,G16=1,L16=1,L19=1,M16=1,U16="IBU"),AND(E16=1,G16=1,L16=1,L19=1,M16=1)),T16,0),I16)</f>
        <v>0</v>
      </c>
      <c r="W16" s="26"/>
      <c r="X16" s="26"/>
      <c r="Y16" s="26"/>
      <c r="Z16" s="26"/>
      <c r="AA16" s="26"/>
      <c r="AB16" s="33"/>
      <c r="AC16" s="6"/>
      <c r="AD16" s="43">
        <v>1924</v>
      </c>
      <c r="AE16" s="1">
        <f>VLOOKUP(AD16,Flags!$A$13:$B$95,2,FALSE)</f>
        <v>5</v>
      </c>
      <c r="AF16" s="43">
        <f t="shared" si="6"/>
        <v>161.14381650309917</v>
      </c>
      <c r="AG16" s="43">
        <f t="shared" si="7"/>
        <v>617.91795171059857</v>
      </c>
      <c r="AH16" s="43">
        <f t="shared" si="8"/>
        <v>161.14381650309917</v>
      </c>
      <c r="AI16" s="43">
        <f t="shared" si="9"/>
        <v>28836.970623385845</v>
      </c>
      <c r="AJ16" s="43">
        <f t="shared" si="10"/>
        <v>598.65797722430273</v>
      </c>
      <c r="AK16" s="43">
        <f t="shared" si="1"/>
        <v>598.65797722430273</v>
      </c>
      <c r="AL16" s="43">
        <f t="shared" si="11"/>
        <v>161.14381650309917</v>
      </c>
      <c r="AN16" s="1" t="s">
        <v>43</v>
      </c>
      <c r="AO16" s="43">
        <f>AVERAGEIF(Flags!$G$14:$G$94,1,$AL$14:$AL$94)</f>
        <v>118.23475496582607</v>
      </c>
    </row>
    <row r="17" spans="1:42" x14ac:dyDescent="0.3">
      <c r="A17" s="32">
        <f>VLOOKUP(YEAR(C17),Flags!$A$13:$B$95,2,FALSE)</f>
        <v>1</v>
      </c>
      <c r="B17" s="24">
        <f t="shared" si="2"/>
        <v>1922</v>
      </c>
      <c r="C17" s="25">
        <v>8248</v>
      </c>
      <c r="D17" s="26">
        <f>VLOOKUP($C17,COS!$B$8:$H$991,3,FALSE)</f>
        <v>12170.349609375</v>
      </c>
      <c r="E17" s="24">
        <f>IF(D17&gt;=IF(MONTH($C17)=4,$C$3,IF(MONTH($C17)=5,$C$4,IF(MONTH($C17)=6,$C$5,IF(MONTH($C17)=7,$C$6,"ERROR")))),1,0)</f>
        <v>1</v>
      </c>
      <c r="F17" s="26">
        <f>VLOOKUP($C17,COS!$B$8:$H$991,7,FALSE)</f>
        <v>54.132045745849609</v>
      </c>
      <c r="G17" s="24">
        <f>IF(F17&lt;=IF(MONTH($C17)=4,$F$3,IF(MONTH($C17)=5,$F$4,IF(MONTH($C17)=6,$F$5,IF(MONTH($C17)=7,$F$6,"ERROR")))),1,0)</f>
        <v>0</v>
      </c>
      <c r="H17" s="26">
        <f>IF(J17=1,D17-$C$6,0)</f>
        <v>0</v>
      </c>
      <c r="I17" s="26">
        <f t="shared" si="0"/>
        <v>0</v>
      </c>
      <c r="J17" s="24">
        <f t="shared" si="3"/>
        <v>0</v>
      </c>
      <c r="K17" s="26">
        <f>VLOOKUP($C17,COS!$B$8:$H$991,2,FALSE)</f>
        <v>3788.69091796875</v>
      </c>
      <c r="L17" s="24">
        <f t="shared" si="4"/>
        <v>1</v>
      </c>
      <c r="M17" s="24">
        <f t="shared" si="5"/>
        <v>0</v>
      </c>
      <c r="N17" s="26">
        <f>VLOOKUP($C17,COS!$B$8:$H$991,5,FALSE)</f>
        <v>1209.6676025390625</v>
      </c>
      <c r="O17" s="26">
        <f>N17*DAY($C17)*86400/43560/1000</f>
        <v>74.379561676782032</v>
      </c>
      <c r="P17" s="26">
        <f>VLOOKUP($C17,COS!$B$8:$H$991,6,FALSE)</f>
        <v>2562.892822265625</v>
      </c>
      <c r="Q17" s="26">
        <f>P17*DAY($C17)*86400/43560/1000</f>
        <v>157.58613717071282</v>
      </c>
      <c r="R17" s="26">
        <f>MIN(IF(MONTH($C17)=4,$S$3,IF(MONTH($C17)=5,$S$4,IF(MONTH($C17)=6,$S$5,IF(MONTH($C17)=7,$S$6,"ERROR")))),MAX(VLOOKUP($C17,COS!$B$8:$K$991,10,FALSE)-IF(MONTH($C17)=4,$Y$3,IF(MONTH($C17)=5,$Y$4,IF(MONTH($C17)=6,$Y$5,IF(MONTH($C17)=7,$Y$6,"ERROR")))),0),MAX(VLOOKUP($C17,COS!$B$8:$K$991,9,FALSE)-IF(MONTH($C17)=4,$V$3,IF(MONTH($C17)=5,$V$4,IF(MONTH($C17)=6,$V$5,IF(MONTH($C17)=7,$V$6,"ERROR"))))-VLOOKUP($C17,COS!$B$8:$K$991,6,FALSE)/2,0))</f>
        <v>1500</v>
      </c>
      <c r="S17" s="26">
        <f>R17*DAY($C17)*86400/43560/1000</f>
        <v>92.231404958677686</v>
      </c>
      <c r="T17" s="26">
        <f t="shared" si="12"/>
        <v>208.21425438242511</v>
      </c>
      <c r="U17" s="26" t="str">
        <f>IF(VLOOKUP($C17,COS!$B$8:$I$991,8,FALSE)=1,"UWFE","IBU")</f>
        <v>IBU</v>
      </c>
      <c r="V17" s="26">
        <f>MIN(IF(IF($AA$3=2,AND(E17=1,G17=1,L17=1,L19=1,M17=1,U17="IBU"),AND(E17=1,G17=1,L17=1,L19=1,M17=1)),T17,0),I17)</f>
        <v>0</v>
      </c>
      <c r="W17" s="26"/>
      <c r="X17" s="26"/>
      <c r="Y17" s="26"/>
      <c r="Z17" s="26"/>
      <c r="AA17" s="26"/>
      <c r="AB17" s="33"/>
      <c r="AC17" s="6"/>
      <c r="AD17" s="43">
        <v>1925</v>
      </c>
      <c r="AE17" s="1">
        <f>VLOOKUP(AD17,Flags!$A$13:$B$95,2,FALSE)</f>
        <v>4</v>
      </c>
      <c r="AF17" s="43">
        <f t="shared" si="6"/>
        <v>43.79148308367769</v>
      </c>
      <c r="AG17" s="43">
        <f t="shared" si="7"/>
        <v>654.4869609132877</v>
      </c>
      <c r="AH17" s="43">
        <f t="shared" si="8"/>
        <v>42.764748192148765</v>
      </c>
      <c r="AI17" s="43">
        <f t="shared" si="9"/>
        <v>28510.917107599431</v>
      </c>
      <c r="AJ17" s="43">
        <f t="shared" si="10"/>
        <v>376.96743043001032</v>
      </c>
      <c r="AK17" s="43">
        <f t="shared" si="1"/>
        <v>376.96743043001032</v>
      </c>
      <c r="AL17" s="43">
        <f>MIN(AH17,AK17)</f>
        <v>42.764748192148765</v>
      </c>
      <c r="AN17" s="1" t="s">
        <v>30</v>
      </c>
      <c r="AO17" s="43">
        <f>AVERAGEIF($AE$14:$AE$94,1,$AL$14:$AL$94)</f>
        <v>0</v>
      </c>
    </row>
    <row r="18" spans="1:42" x14ac:dyDescent="0.3">
      <c r="A18" s="32">
        <f>VLOOKUP(YEAR(C18),Flags!$A$13:$B$95,2,FALSE)</f>
        <v>1</v>
      </c>
      <c r="B18" s="24">
        <f t="shared" si="2"/>
        <v>1922</v>
      </c>
      <c r="C18" s="25">
        <v>8279</v>
      </c>
      <c r="D18" s="26"/>
      <c r="E18" s="24"/>
      <c r="F18" s="26"/>
      <c r="G18" s="24"/>
      <c r="H18" s="24"/>
      <c r="I18" s="26"/>
      <c r="J18" s="24"/>
      <c r="K18" s="26"/>
      <c r="L18" s="24"/>
      <c r="M18" s="24"/>
      <c r="N18" s="26"/>
      <c r="O18" s="26"/>
      <c r="P18" s="26"/>
      <c r="Q18" s="26"/>
      <c r="R18" s="26"/>
      <c r="S18" s="26"/>
      <c r="T18" s="26"/>
      <c r="U18" s="26"/>
      <c r="V18" s="26"/>
      <c r="W18" s="26">
        <f>MAX($C$7-VLOOKUP($C18,COS!$B$8:$H$991,3,FALSE),0)</f>
        <v>89237.1474609375</v>
      </c>
      <c r="X18" s="26">
        <f t="shared" ref="X18:X22" si="13">W18*DAY($C18)*86400/43560/1000</f>
        <v>5486.9783232179752</v>
      </c>
      <c r="Y18" s="26">
        <f>VLOOKUP($C18,COS!$B$8:$H$991,4,FALSE)</f>
        <v>0</v>
      </c>
      <c r="Z18" s="26">
        <f t="shared" ref="Z18:Z22" si="14">Y18*DAY($C18)*86400/43560/1000</f>
        <v>0</v>
      </c>
      <c r="AA18" s="26">
        <f>MIN(W18,Y18)</f>
        <v>0</v>
      </c>
      <c r="AB18" s="33">
        <f>AA18*DAY($C18)*86400/43560/1000*IF(MONTH($C18)=8,$P$3,IF(MONTH($C18)=9,$P$4,IF(MONTH($C18)=10,$P$5,IF(MONTH($C18)=11,$P$6,IF(MONTH($C18)=12,$P$7,NA())))))</f>
        <v>0</v>
      </c>
      <c r="AC18" s="6"/>
      <c r="AD18" s="43">
        <v>1926</v>
      </c>
      <c r="AE18" s="1">
        <f>VLOOKUP(AD18,Flags!$A$13:$B$95,2,FALSE)</f>
        <v>4</v>
      </c>
      <c r="AF18" s="43">
        <f t="shared" si="6"/>
        <v>194.10762009297522</v>
      </c>
      <c r="AG18" s="43">
        <f t="shared" si="7"/>
        <v>628.74933393746369</v>
      </c>
      <c r="AH18" s="43">
        <f t="shared" si="8"/>
        <v>173.3633407870206</v>
      </c>
      <c r="AI18" s="43">
        <f t="shared" si="9"/>
        <v>28868.988010072309</v>
      </c>
      <c r="AJ18" s="43">
        <f t="shared" si="10"/>
        <v>222.87584847946798</v>
      </c>
      <c r="AK18" s="43">
        <f t="shared" si="1"/>
        <v>222.87584847946798</v>
      </c>
      <c r="AL18" s="43">
        <f t="shared" si="11"/>
        <v>173.3633407870206</v>
      </c>
      <c r="AN18" s="1" t="s">
        <v>42</v>
      </c>
      <c r="AO18" s="43">
        <f>AVERAGEIF($AE$14:$AE$94,2,$AL$14:$AL$94)</f>
        <v>0</v>
      </c>
    </row>
    <row r="19" spans="1:42" x14ac:dyDescent="0.3">
      <c r="A19" s="32">
        <f>VLOOKUP(YEAR(C19),Flags!$A$13:$B$95,2,FALSE)</f>
        <v>1</v>
      </c>
      <c r="B19" s="24">
        <f t="shared" si="2"/>
        <v>1922</v>
      </c>
      <c r="C19" s="25">
        <v>8309</v>
      </c>
      <c r="D19" s="26"/>
      <c r="E19" s="24"/>
      <c r="F19" s="26"/>
      <c r="G19" s="24"/>
      <c r="H19" s="24"/>
      <c r="I19" s="26"/>
      <c r="J19" s="24"/>
      <c r="K19" s="26">
        <f>VLOOKUP($C19,COS!$B$8:$H$991,2,FALSE)</f>
        <v>2693.51513671875</v>
      </c>
      <c r="L19" s="24">
        <f>IF(AND(K19&gt;$I$7,K19&lt;$I$8),1,0)</f>
        <v>1</v>
      </c>
      <c r="M19" s="24"/>
      <c r="N19" s="26"/>
      <c r="O19" s="26"/>
      <c r="P19" s="26"/>
      <c r="Q19" s="26"/>
      <c r="R19" s="26"/>
      <c r="S19" s="26"/>
      <c r="T19" s="26"/>
      <c r="U19" s="26"/>
      <c r="V19" s="26"/>
      <c r="W19" s="26">
        <f>MAX($C$8-VLOOKUP($C19,COS!$B$8:$H$991,3,FALSE),0)</f>
        <v>82918.25390625</v>
      </c>
      <c r="X19" s="26">
        <f t="shared" si="13"/>
        <v>4933.9787448347106</v>
      </c>
      <c r="Y19" s="26">
        <f>VLOOKUP($C19,COS!$B$8:$H$991,4,FALSE)</f>
        <v>136.41513061523438</v>
      </c>
      <c r="Z19" s="26">
        <f t="shared" si="14"/>
        <v>8.1172639704932852</v>
      </c>
      <c r="AA19" s="26">
        <f t="shared" ref="AA19:AA22" si="15">MIN(W19,Y19)</f>
        <v>136.41513061523438</v>
      </c>
      <c r="AB19" s="33">
        <f t="shared" ref="AB19:AB22" si="16">AA19*DAY($C19)*86400/43560/1000*IF(MONTH($C19)=8,$P$3,IF(MONTH($C19)=9,$P$4,IF(MONTH($C19)=10,$P$5,IF(MONTH($C19)=11,$P$6,IF(MONTH($C19)=12,$P$7,NA())))))</f>
        <v>8.1172639704932852</v>
      </c>
      <c r="AC19" s="6"/>
      <c r="AD19" s="43">
        <v>1927</v>
      </c>
      <c r="AE19" s="1">
        <f>VLOOKUP(AD19,Flags!$A$13:$B$95,2,FALSE)</f>
        <v>2</v>
      </c>
      <c r="AF19" s="43">
        <f t="shared" si="6"/>
        <v>577.17067019628098</v>
      </c>
      <c r="AG19" s="43">
        <f t="shared" si="7"/>
        <v>702.40231152747288</v>
      </c>
      <c r="AH19" s="43">
        <f t="shared" si="8"/>
        <v>0</v>
      </c>
      <c r="AI19" s="43">
        <f t="shared" si="9"/>
        <v>27957.013321119575</v>
      </c>
      <c r="AJ19" s="43">
        <f t="shared" si="10"/>
        <v>102.32853633659931</v>
      </c>
      <c r="AK19" s="43">
        <f t="shared" si="1"/>
        <v>102.32853633659931</v>
      </c>
      <c r="AL19" s="43">
        <f t="shared" si="11"/>
        <v>0</v>
      </c>
      <c r="AN19" s="1" t="s">
        <v>32</v>
      </c>
      <c r="AO19" s="43">
        <f>AVERAGEIF($AE$14:$AE$94,3,$AL$14:$AL$94)</f>
        <v>0</v>
      </c>
    </row>
    <row r="20" spans="1:42" x14ac:dyDescent="0.3">
      <c r="A20" s="32">
        <f>VLOOKUP(YEAR(C20),Flags!$A$13:$B$95,2,FALSE)</f>
        <v>1</v>
      </c>
      <c r="B20" s="24">
        <f t="shared" si="2"/>
        <v>1922</v>
      </c>
      <c r="C20" s="25">
        <v>8340</v>
      </c>
      <c r="D20" s="26"/>
      <c r="E20" s="24"/>
      <c r="F20" s="26"/>
      <c r="G20" s="26"/>
      <c r="H20" s="26"/>
      <c r="I20" s="26"/>
      <c r="J20" s="26"/>
      <c r="K20" s="26"/>
      <c r="L20" s="24"/>
      <c r="M20" s="24"/>
      <c r="N20" s="26"/>
      <c r="O20" s="26"/>
      <c r="P20" s="26"/>
      <c r="Q20" s="26"/>
      <c r="R20" s="26"/>
      <c r="S20" s="26"/>
      <c r="T20" s="26"/>
      <c r="U20" s="26"/>
      <c r="V20" s="26"/>
      <c r="W20" s="26">
        <f>MAX($C$9-VLOOKUP($C20,COS!$B$8:$H$991,3,FALSE),0)</f>
        <v>95405.1708984375</v>
      </c>
      <c r="X20" s="26">
        <f t="shared" si="13"/>
        <v>5866.2353015237595</v>
      </c>
      <c r="Y20" s="26">
        <f>VLOOKUP($C20,COS!$B$8:$H$991,4,FALSE)</f>
        <v>940.9134521484375</v>
      </c>
      <c r="Z20" s="26">
        <f t="shared" si="14"/>
        <v>57.85451309077996</v>
      </c>
      <c r="AA20" s="26">
        <f t="shared" si="15"/>
        <v>940.9134521484375</v>
      </c>
      <c r="AB20" s="33">
        <f t="shared" si="16"/>
        <v>57.85451309077996</v>
      </c>
      <c r="AC20" s="6"/>
      <c r="AD20" s="44">
        <v>1928</v>
      </c>
      <c r="AE20" s="45">
        <f>VLOOKUP(AD20,Flags!$A$13:$B$95,2,FALSE)</f>
        <v>2</v>
      </c>
      <c r="AF20" s="44">
        <f t="shared" si="6"/>
        <v>530.64339456353309</v>
      </c>
      <c r="AG20" s="44">
        <f t="shared" si="7"/>
        <v>653.27225191478885</v>
      </c>
      <c r="AH20" s="44">
        <f t="shared" si="8"/>
        <v>0</v>
      </c>
      <c r="AI20" s="44">
        <f t="shared" si="9"/>
        <v>27770.861691632235</v>
      </c>
      <c r="AJ20" s="44">
        <f t="shared" si="10"/>
        <v>112.69071519394552</v>
      </c>
      <c r="AK20" s="44">
        <f t="shared" si="1"/>
        <v>112.69071519394552</v>
      </c>
      <c r="AL20" s="44">
        <f t="shared" si="11"/>
        <v>0</v>
      </c>
      <c r="AN20" s="1" t="s">
        <v>33</v>
      </c>
      <c r="AO20" s="43">
        <f>AVERAGEIF($AE$14:$AE$94,4,$AL$14:$AL$94)</f>
        <v>159.82878276906919</v>
      </c>
    </row>
    <row r="21" spans="1:42" x14ac:dyDescent="0.3">
      <c r="A21" s="32">
        <f>VLOOKUP(YEAR(C21),Flags!$A$13:$B$95,2,FALSE)</f>
        <v>1</v>
      </c>
      <c r="B21" s="24">
        <f t="shared" si="2"/>
        <v>1922</v>
      </c>
      <c r="C21" s="25">
        <v>8370</v>
      </c>
      <c r="D21" s="26"/>
      <c r="E21" s="24"/>
      <c r="F21" s="26"/>
      <c r="G21" s="26"/>
      <c r="H21" s="26"/>
      <c r="I21" s="26"/>
      <c r="J21" s="26"/>
      <c r="K21" s="26"/>
      <c r="L21" s="24"/>
      <c r="M21" s="24"/>
      <c r="N21" s="26"/>
      <c r="O21" s="26"/>
      <c r="P21" s="26"/>
      <c r="Q21" s="26"/>
      <c r="R21" s="26"/>
      <c r="S21" s="26"/>
      <c r="T21" s="26"/>
      <c r="U21" s="26"/>
      <c r="V21" s="26"/>
      <c r="W21" s="26">
        <f>MAX($C$10-VLOOKUP($C21,COS!$B$8:$H$991,3,FALSE),0)</f>
        <v>92011.9228515625</v>
      </c>
      <c r="X21" s="26">
        <f t="shared" si="13"/>
        <v>5475.0896242252065</v>
      </c>
      <c r="Y21" s="26">
        <f>VLOOKUP($C21,COS!$B$8:$H$991,4,FALSE)</f>
        <v>1104.9873046875</v>
      </c>
      <c r="Z21" s="26">
        <f t="shared" si="14"/>
        <v>65.751310692148763</v>
      </c>
      <c r="AA21" s="26">
        <f t="shared" si="15"/>
        <v>1104.9873046875</v>
      </c>
      <c r="AB21" s="33">
        <f t="shared" si="16"/>
        <v>65.751310692148763</v>
      </c>
      <c r="AC21" s="6"/>
      <c r="AD21" s="44">
        <v>1929</v>
      </c>
      <c r="AE21" s="45">
        <f>VLOOKUP(AD21,Flags!$A$13:$B$95,2,FALSE)</f>
        <v>5</v>
      </c>
      <c r="AF21" s="44">
        <f t="shared" si="6"/>
        <v>127.9222265625</v>
      </c>
      <c r="AG21" s="44">
        <f t="shared" si="7"/>
        <v>580.13305915265039</v>
      </c>
      <c r="AH21" s="44">
        <f t="shared" si="8"/>
        <v>127.9222265625</v>
      </c>
      <c r="AI21" s="44">
        <f t="shared" si="9"/>
        <v>28772.016356211258</v>
      </c>
      <c r="AJ21" s="44">
        <f t="shared" si="10"/>
        <v>547.35015011621897</v>
      </c>
      <c r="AK21" s="44">
        <f t="shared" si="1"/>
        <v>547.35015011621897</v>
      </c>
      <c r="AL21" s="44">
        <f t="shared" si="11"/>
        <v>127.9222265625</v>
      </c>
      <c r="AN21" s="1" t="s">
        <v>10</v>
      </c>
      <c r="AO21" s="43">
        <f>AVERAGEIF($AE$14:$AE$94,5,$AL$14:$AL$94)</f>
        <v>86.465126630294421</v>
      </c>
    </row>
    <row r="22" spans="1:42" x14ac:dyDescent="0.3">
      <c r="A22" s="34">
        <f>VLOOKUP(YEAR(C22),Flags!$A$13:$B$95,2,FALSE)</f>
        <v>1</v>
      </c>
      <c r="B22" s="35">
        <f t="shared" si="2"/>
        <v>1922</v>
      </c>
      <c r="C22" s="36">
        <v>8401</v>
      </c>
      <c r="D22" s="37"/>
      <c r="E22" s="35"/>
      <c r="F22" s="37"/>
      <c r="G22" s="37"/>
      <c r="H22" s="37"/>
      <c r="I22" s="37"/>
      <c r="J22" s="37"/>
      <c r="K22" s="37"/>
      <c r="L22" s="35"/>
      <c r="M22" s="35"/>
      <c r="N22" s="37"/>
      <c r="O22" s="37"/>
      <c r="P22" s="37"/>
      <c r="Q22" s="37"/>
      <c r="R22" s="37"/>
      <c r="S22" s="37"/>
      <c r="T22" s="37"/>
      <c r="U22" s="37"/>
      <c r="V22" s="37"/>
      <c r="W22" s="37">
        <f>MAX($C$11-VLOOKUP($C22,COS!$B$8:$H$991,3,FALSE),0)</f>
        <v>96749</v>
      </c>
      <c r="X22" s="37">
        <f t="shared" si="13"/>
        <v>5948.8641322314052</v>
      </c>
      <c r="Y22" s="37">
        <f>VLOOKUP($C22,COS!$B$8:$H$991,4,FALSE)</f>
        <v>0</v>
      </c>
      <c r="Z22" s="37">
        <f t="shared" si="14"/>
        <v>0</v>
      </c>
      <c r="AA22" s="37">
        <f t="shared" si="15"/>
        <v>0</v>
      </c>
      <c r="AB22" s="38">
        <f t="shared" si="16"/>
        <v>0</v>
      </c>
      <c r="AC22" s="6"/>
      <c r="AD22" s="44">
        <v>1930</v>
      </c>
      <c r="AE22" s="45">
        <f>VLOOKUP(AD22,Flags!$A$13:$B$95,2,FALSE)</f>
        <v>4</v>
      </c>
      <c r="AF22" s="44">
        <f t="shared" si="6"/>
        <v>0</v>
      </c>
      <c r="AG22" s="44">
        <f t="shared" si="7"/>
        <v>613.88301786690704</v>
      </c>
      <c r="AH22" s="44">
        <f t="shared" si="8"/>
        <v>0</v>
      </c>
      <c r="AI22" s="44">
        <f t="shared" si="9"/>
        <v>28915.277942277891</v>
      </c>
      <c r="AJ22" s="44">
        <f t="shared" si="10"/>
        <v>529.99753042678208</v>
      </c>
      <c r="AK22" s="44">
        <f t="shared" si="1"/>
        <v>529.99753042678208</v>
      </c>
      <c r="AL22" s="44">
        <f t="shared" si="11"/>
        <v>0</v>
      </c>
    </row>
    <row r="23" spans="1:42" x14ac:dyDescent="0.3">
      <c r="A23" s="27">
        <f>VLOOKUP(YEAR(C23),Flags!$A$13:$B$95,2,FALSE)</f>
        <v>3</v>
      </c>
      <c r="B23" s="28">
        <f t="shared" si="2"/>
        <v>1923</v>
      </c>
      <c r="C23" s="29">
        <v>8521</v>
      </c>
      <c r="D23" s="30">
        <f>VLOOKUP($C23,COS!$B$8:$H$991,3,FALSE)</f>
        <v>3250</v>
      </c>
      <c r="E23" s="28">
        <f>IF(D23&gt;=IF(MONTH($C23)=4,$C$3,IF(MONTH($C23)=5,$C$4,IF(MONTH($C23)=6,$C$5,IF(MONTH($C23)=7,$C$6,"ERROR")))),1,0)</f>
        <v>0</v>
      </c>
      <c r="F23" s="30">
        <f>VLOOKUP($C23,COS!$B$8:$H$991,7,FALSE)</f>
        <v>52.349773406982422</v>
      </c>
      <c r="G23" s="28">
        <f>IF(F23&lt;=IF(MONTH($C23)=4,$F$3,IF(MONTH($C23)=5,$F$4,IF(MONTH($C23)=6,$F$5,IF(MONTH($C23)=7,$F$6,"ERROR")))),1,0)</f>
        <v>1</v>
      </c>
      <c r="H23" s="30">
        <f>IF(J23=1,D23-$C$3,0)</f>
        <v>0</v>
      </c>
      <c r="I23" s="30">
        <f t="shared" ref="I23:I86" si="17">H23*DAY($C23)*86400/43560/1000</f>
        <v>0</v>
      </c>
      <c r="J23" s="28">
        <f t="shared" ref="J23:J26" si="18">IF(AND(E23=1,G23=1),1,0)</f>
        <v>0</v>
      </c>
      <c r="K23" s="30">
        <f>VLOOKUP($C23,COS!$B$8:$H$991,2,FALSE)</f>
        <v>3743.0517578125</v>
      </c>
      <c r="L23" s="28">
        <f t="shared" ref="L23:L80" si="19">IF(K23&lt;=IF(MONTH($C23)=4,$I$3,IF(MONTH($C23)=5,$I$4,IF(MONTH($C23)=6,$I$5,IF(MONTH($C23)=7,$I$6,"ERROR")))),1,0)</f>
        <v>1</v>
      </c>
      <c r="M23" s="28">
        <f t="shared" ref="M23:M80" si="20">VLOOKUP($A23,$L$3:$M$7,2,FALSE)</f>
        <v>0</v>
      </c>
      <c r="N23" s="30">
        <f>VLOOKUP($C23,COS!$B$8:$H$991,5,FALSE)</f>
        <v>244.48347473144531</v>
      </c>
      <c r="O23" s="30">
        <f t="shared" ref="O23:O26" si="21">N23*DAY($C23)*86400/43560/1000</f>
        <v>14.547777008813275</v>
      </c>
      <c r="P23" s="30">
        <f>VLOOKUP($C23,COS!$B$8:$H$991,6,FALSE)</f>
        <v>427.781494140625</v>
      </c>
      <c r="Q23" s="30">
        <f t="shared" ref="Q23:Q26" si="22">P23*DAY($C23)*86400/43560/1000</f>
        <v>25.454766593491733</v>
      </c>
      <c r="R23" s="30">
        <f>MIN(IF(MONTH($C23)=4,$S$3,IF(MONTH($C23)=5,$S$4,IF(MONTH($C23)=6,$S$5,IF(MONTH($C23)=7,$S$6,"ERROR")))),MAX(VLOOKUP($C23,COS!$B$8:$K$991,10,FALSE)-IF(MONTH($C23)=4,$Y$3,IF(MONTH($C23)=5,$Y$4,IF(MONTH($C23)=6,$Y$5,IF(MONTH($C23)=7,$Y$6,"ERROR")))),0),MAX(VLOOKUP($C23,COS!$B$8:$K$991,9,FALSE)-IF(MONTH($C23)=4,$V$3,IF(MONTH($C23)=5,$V$4,IF(MONTH($C23)=6,$V$5,IF(MONTH($C23)=7,$V$6,"ERROR"))))-VLOOKUP($C23,COS!$B$8:$K$991,6,FALSE)/2,0))</f>
        <v>1500</v>
      </c>
      <c r="S23" s="30">
        <f t="shared" ref="S23:S26" si="23">R23*DAY($C23)*86400/43560/1000</f>
        <v>89.256198347107429</v>
      </c>
      <c r="T23" s="30">
        <f t="shared" ref="T23:T26" si="24">(O23+Q23)/2+S23</f>
        <v>109.25747014825993</v>
      </c>
      <c r="U23" s="30" t="str">
        <f>IF(VLOOKUP($C23,COS!$B$8:$I$991,8,FALSE)=1,"UWFE","IBU")</f>
        <v>UWFE</v>
      </c>
      <c r="V23" s="30">
        <f t="shared" ref="V23" si="25">MIN(IF(IF($AA$3=2,AND(E23=1,G23=1,L23=1,L28=1,M23=1,U23="IBU"),AND(E23=1,G23=1,L23=1,L28=1,M23=1)),T23,0),I23)</f>
        <v>0</v>
      </c>
      <c r="W23" s="30"/>
      <c r="X23" s="30"/>
      <c r="Y23" s="30"/>
      <c r="Z23" s="30"/>
      <c r="AA23" s="30"/>
      <c r="AB23" s="31"/>
      <c r="AC23" s="6"/>
      <c r="AD23" s="44">
        <v>1931</v>
      </c>
      <c r="AE23" s="45">
        <f>VLOOKUP(AD23,Flags!$A$13:$B$95,2,FALSE)</f>
        <v>5</v>
      </c>
      <c r="AF23" s="44">
        <f t="shared" si="6"/>
        <v>174.23468879132233</v>
      </c>
      <c r="AG23" s="44">
        <f t="shared" si="7"/>
        <v>600.06150887985859</v>
      </c>
      <c r="AH23" s="44">
        <f t="shared" si="8"/>
        <v>174.23468879132233</v>
      </c>
      <c r="AI23" s="44">
        <f t="shared" si="9"/>
        <v>28947.654193892049</v>
      </c>
      <c r="AJ23" s="44">
        <f t="shared" si="10"/>
        <v>417.20645168840394</v>
      </c>
      <c r="AK23" s="44">
        <f t="shared" si="1"/>
        <v>417.20645168840394</v>
      </c>
      <c r="AL23" s="44">
        <f t="shared" si="11"/>
        <v>174.23468879132233</v>
      </c>
      <c r="AN23" s="6">
        <f>AO15</f>
        <v>52.273545369690332</v>
      </c>
      <c r="AO23">
        <f t="shared" ref="AO23:AO33" si="26">COUNTIF($AL$14:$AL$94,"&gt;"&amp;AN23)</f>
        <v>20</v>
      </c>
      <c r="AP23">
        <f>AVERAGEIF($AL$14:$AL$94,"&gt;"&amp;AN23)</f>
        <v>206.73732633505574</v>
      </c>
    </row>
    <row r="24" spans="1:42" x14ac:dyDescent="0.3">
      <c r="A24" s="32">
        <f>VLOOKUP(YEAR(C24),Flags!$A$13:$B$95,2,FALSE)</f>
        <v>3</v>
      </c>
      <c r="B24" s="24">
        <f t="shared" si="2"/>
        <v>1923</v>
      </c>
      <c r="C24" s="25">
        <v>8552</v>
      </c>
      <c r="D24" s="26">
        <f>VLOOKUP($C24,COS!$B$8:$H$991,3,FALSE)</f>
        <v>9231.1298828125</v>
      </c>
      <c r="E24" s="24">
        <f>IF(D24&gt;=IF(MONTH($C24)=4,$C$3,IF(MONTH($C24)=5,$C$4,IF(MONTH($C24)=6,$C$5,IF(MONTH($C24)=7,$C$6,"ERROR")))),1,0)</f>
        <v>1</v>
      </c>
      <c r="F24" s="26">
        <f>VLOOKUP($C24,COS!$B$8:$H$991,7,FALSE)</f>
        <v>55.448532104492188</v>
      </c>
      <c r="G24" s="24">
        <f>IF(F24&lt;=IF(MONTH($C24)=4,$F$3,IF(MONTH($C24)=5,$F$4,IF(MONTH($C24)=6,$F$5,IF(MONTH($C24)=7,$F$6,"ERROR")))),1,0)</f>
        <v>1</v>
      </c>
      <c r="H24" s="26">
        <f>IF(J24=1,D24-$C$4,0)</f>
        <v>3231.1298828125</v>
      </c>
      <c r="I24" s="26">
        <f t="shared" si="17"/>
        <v>198.67443246384298</v>
      </c>
      <c r="J24" s="24">
        <f t="shared" si="18"/>
        <v>1</v>
      </c>
      <c r="K24" s="26">
        <f>VLOOKUP($C24,COS!$B$8:$H$991,2,FALSE)</f>
        <v>3524.205322265625</v>
      </c>
      <c r="L24" s="24">
        <f t="shared" si="19"/>
        <v>1</v>
      </c>
      <c r="M24" s="24">
        <f t="shared" si="20"/>
        <v>0</v>
      </c>
      <c r="N24" s="26">
        <f>VLOOKUP($C24,COS!$B$8:$H$991,5,FALSE)</f>
        <v>301.41696166992188</v>
      </c>
      <c r="O24" s="26">
        <f t="shared" si="21"/>
        <v>18.533406568795193</v>
      </c>
      <c r="P24" s="26">
        <f>VLOOKUP($C24,COS!$B$8:$H$991,6,FALSE)</f>
        <v>2265.772216796875</v>
      </c>
      <c r="Q24" s="26">
        <f t="shared" si="22"/>
        <v>139.31690324767561</v>
      </c>
      <c r="R24" s="26">
        <f>MIN(IF(MONTH($C24)=4,$S$3,IF(MONTH($C24)=5,$S$4,IF(MONTH($C24)=6,$S$5,IF(MONTH($C24)=7,$S$6,"ERROR")))),MAX(VLOOKUP($C24,COS!$B$8:$K$991,10,FALSE)-IF(MONTH($C24)=4,$Y$3,IF(MONTH($C24)=5,$Y$4,IF(MONTH($C24)=6,$Y$5,IF(MONTH($C24)=7,$Y$6,"ERROR")))),0),MAX(VLOOKUP($C24,COS!$B$8:$K$991,9,FALSE)-IF(MONTH($C24)=4,$V$3,IF(MONTH($C24)=5,$V$4,IF(MONTH($C24)=6,$V$5,IF(MONTH($C24)=7,$V$6,"ERROR"))))-VLOOKUP($C24,COS!$B$8:$K$991,6,FALSE)/2,0))</f>
        <v>1500</v>
      </c>
      <c r="S24" s="26">
        <f t="shared" si="23"/>
        <v>92.231404958677686</v>
      </c>
      <c r="T24" s="26">
        <f t="shared" si="24"/>
        <v>171.15655986691308</v>
      </c>
      <c r="U24" s="26" t="str">
        <f>IF(VLOOKUP($C24,COS!$B$8:$I$991,8,FALSE)=1,"UWFE","IBU")</f>
        <v>UWFE</v>
      </c>
      <c r="V24" s="26">
        <f t="shared" ref="V24" si="27">MIN(IF(IF($AA$3=2,AND(E24=1,G24=1,L24=1,L28=1,M24=1,U24="IBU"),AND(E24=1,G24=1,L24=1,L28=1,M24=1)),T24,0),I24)</f>
        <v>0</v>
      </c>
      <c r="W24" s="26"/>
      <c r="X24" s="26"/>
      <c r="Y24" s="26"/>
      <c r="Z24" s="26"/>
      <c r="AA24" s="26"/>
      <c r="AB24" s="33"/>
      <c r="AC24" s="6"/>
      <c r="AD24" s="44">
        <v>1932</v>
      </c>
      <c r="AE24" s="45">
        <f>VLOOKUP(AD24,Flags!$A$13:$B$95,2,FALSE)</f>
        <v>5</v>
      </c>
      <c r="AF24" s="44">
        <f t="shared" si="6"/>
        <v>0</v>
      </c>
      <c r="AG24" s="44">
        <f t="shared" si="7"/>
        <v>577.67348919324638</v>
      </c>
      <c r="AH24" s="44">
        <f t="shared" si="8"/>
        <v>0</v>
      </c>
      <c r="AI24" s="44">
        <f t="shared" si="9"/>
        <v>28942.828113378098</v>
      </c>
      <c r="AJ24" s="44">
        <f t="shared" si="10"/>
        <v>468.21170793517558</v>
      </c>
      <c r="AK24" s="44">
        <f t="shared" si="1"/>
        <v>468.21170793517558</v>
      </c>
      <c r="AL24" s="44">
        <f t="shared" si="11"/>
        <v>0</v>
      </c>
      <c r="AN24" s="6">
        <v>15</v>
      </c>
      <c r="AO24">
        <f t="shared" si="26"/>
        <v>23</v>
      </c>
      <c r="AP24">
        <f>AVERAGEIF($AL$14:$AL$94,"&gt;"&amp;AN24)</f>
        <v>184.09379021499637</v>
      </c>
    </row>
    <row r="25" spans="1:42" x14ac:dyDescent="0.3">
      <c r="A25" s="32">
        <f>VLOOKUP(YEAR(C25),Flags!$A$13:$B$95,2,FALSE)</f>
        <v>3</v>
      </c>
      <c r="B25" s="24">
        <f t="shared" si="2"/>
        <v>1923</v>
      </c>
      <c r="C25" s="25">
        <v>8582</v>
      </c>
      <c r="D25" s="26">
        <f>VLOOKUP($C25,COS!$B$8:$H$991,3,FALSE)</f>
        <v>9187.771484375</v>
      </c>
      <c r="E25" s="24">
        <f>IF(D25&gt;=IF(MONTH($C25)=4,$C$3,IF(MONTH($C25)=5,$C$4,IF(MONTH($C25)=6,$C$5,IF(MONTH($C25)=7,$C$6,"ERROR")))),1,0)</f>
        <v>0</v>
      </c>
      <c r="F25" s="26">
        <f>VLOOKUP($C25,COS!$B$8:$H$991,7,FALSE)</f>
        <v>53.151496887207031</v>
      </c>
      <c r="G25" s="24">
        <f>IF(F25&lt;=IF(MONTH($C25)=4,$F$3,IF(MONTH($C25)=5,$F$4,IF(MONTH($C25)=6,$F$5,IF(MONTH($C25)=7,$F$6,"ERROR")))),1,0)</f>
        <v>1</v>
      </c>
      <c r="H25" s="26">
        <f>IF(J25=1,D25-$C$5,0)</f>
        <v>0</v>
      </c>
      <c r="I25" s="26">
        <f t="shared" si="17"/>
        <v>0</v>
      </c>
      <c r="J25" s="24">
        <f t="shared" si="18"/>
        <v>0</v>
      </c>
      <c r="K25" s="26">
        <f>VLOOKUP($C25,COS!$B$8:$H$991,2,FALSE)</f>
        <v>3273.186279296875</v>
      </c>
      <c r="L25" s="24">
        <f t="shared" si="19"/>
        <v>1</v>
      </c>
      <c r="M25" s="24">
        <f t="shared" si="20"/>
        <v>0</v>
      </c>
      <c r="N25" s="26">
        <f>VLOOKUP($C25,COS!$B$8:$H$991,5,FALSE)</f>
        <v>530.37872314453125</v>
      </c>
      <c r="O25" s="26">
        <f t="shared" si="21"/>
        <v>31.559725674715907</v>
      </c>
      <c r="P25" s="26">
        <f>VLOOKUP($C25,COS!$B$8:$H$991,6,FALSE)</f>
        <v>2621.187744140625</v>
      </c>
      <c r="Q25" s="26">
        <f t="shared" si="22"/>
        <v>155.97150213068181</v>
      </c>
      <c r="R25" s="26">
        <f>MIN(IF(MONTH($C25)=4,$S$3,IF(MONTH($C25)=5,$S$4,IF(MONTH($C25)=6,$S$5,IF(MONTH($C25)=7,$S$6,"ERROR")))),MAX(VLOOKUP($C25,COS!$B$8:$K$991,10,FALSE)-IF(MONTH($C25)=4,$Y$3,IF(MONTH($C25)=5,$Y$4,IF(MONTH($C25)=6,$Y$5,IF(MONTH($C25)=7,$Y$6,"ERROR")))),0),MAX(VLOOKUP($C25,COS!$B$8:$K$991,9,FALSE)-IF(MONTH($C25)=4,$V$3,IF(MONTH($C25)=5,$V$4,IF(MONTH($C25)=6,$V$5,IF(MONTH($C25)=7,$V$6,"ERROR"))))-VLOOKUP($C25,COS!$B$8:$K$991,6,FALSE)/2,0))</f>
        <v>1500</v>
      </c>
      <c r="S25" s="26">
        <f t="shared" si="23"/>
        <v>89.256198347107429</v>
      </c>
      <c r="T25" s="26">
        <f t="shared" si="24"/>
        <v>183.02181224980629</v>
      </c>
      <c r="U25" s="26" t="str">
        <f>IF(VLOOKUP($C25,COS!$B$8:$I$991,8,FALSE)=1,"UWFE","IBU")</f>
        <v>IBU</v>
      </c>
      <c r="V25" s="26">
        <f t="shared" ref="V25" si="28">MIN(IF(IF($AA$3=2,AND(E25=1,G25=1,L25=1,L28=1,M25=1,U25="IBU"),AND(E25=1,G25=1,L25=1,L28=1,M25=1)),T25,0),I25)</f>
        <v>0</v>
      </c>
      <c r="W25" s="26"/>
      <c r="X25" s="26"/>
      <c r="Y25" s="26"/>
      <c r="Z25" s="26"/>
      <c r="AA25" s="26"/>
      <c r="AB25" s="33"/>
      <c r="AC25" s="6"/>
      <c r="AD25" s="44">
        <v>1933</v>
      </c>
      <c r="AE25" s="45">
        <f>VLOOKUP(AD25,Flags!$A$13:$B$95,2,FALSE)</f>
        <v>5</v>
      </c>
      <c r="AF25" s="44">
        <f t="shared" si="6"/>
        <v>30.825164643595041</v>
      </c>
      <c r="AG25" s="44">
        <f t="shared" si="7"/>
        <v>581.39606733337905</v>
      </c>
      <c r="AH25" s="44">
        <f t="shared" si="8"/>
        <v>0</v>
      </c>
      <c r="AI25" s="44">
        <f t="shared" si="9"/>
        <v>28944.667955191115</v>
      </c>
      <c r="AJ25" s="44">
        <f t="shared" si="10"/>
        <v>364.82492195570762</v>
      </c>
      <c r="AK25" s="44">
        <f t="shared" si="1"/>
        <v>364.82492195570762</v>
      </c>
      <c r="AL25" s="44">
        <f t="shared" si="11"/>
        <v>0</v>
      </c>
      <c r="AN25" s="6">
        <v>30</v>
      </c>
      <c r="AO25">
        <f t="shared" si="26"/>
        <v>22</v>
      </c>
      <c r="AP25">
        <f t="shared" ref="AP25:AP33" si="29">AVERAGEIF($AL$14:$AL$94,"&gt;"&amp;AN25)</f>
        <v>191.47222226458862</v>
      </c>
    </row>
    <row r="26" spans="1:42" x14ac:dyDescent="0.3">
      <c r="A26" s="32">
        <f>VLOOKUP(YEAR(C26),Flags!$A$13:$B$95,2,FALSE)</f>
        <v>3</v>
      </c>
      <c r="B26" s="24">
        <f t="shared" si="2"/>
        <v>1923</v>
      </c>
      <c r="C26" s="25">
        <v>8613</v>
      </c>
      <c r="D26" s="26">
        <f>VLOOKUP($C26,COS!$B$8:$H$991,3,FALSE)</f>
        <v>11611.94921875</v>
      </c>
      <c r="E26" s="24">
        <f>IF(D26&gt;=IF(MONTH($C26)=4,$C$3,IF(MONTH($C26)=5,$C$4,IF(MONTH($C26)=6,$C$5,IF(MONTH($C26)=7,$C$6,"ERROR")))),1,0)</f>
        <v>0</v>
      </c>
      <c r="F26" s="26">
        <f>VLOOKUP($C26,COS!$B$8:$H$991,7,FALSE)</f>
        <v>55.377204895019531</v>
      </c>
      <c r="G26" s="24">
        <f>IF(F26&lt;=IF(MONTH($C26)=4,$F$3,IF(MONTH($C26)=5,$F$4,IF(MONTH($C26)=6,$F$5,IF(MONTH($C26)=7,$F$6,"ERROR")))),1,0)</f>
        <v>0</v>
      </c>
      <c r="H26" s="26">
        <f>IF(J26=1,D26-$C$6,0)</f>
        <v>0</v>
      </c>
      <c r="I26" s="26">
        <f t="shared" si="17"/>
        <v>0</v>
      </c>
      <c r="J26" s="24">
        <f t="shared" si="18"/>
        <v>0</v>
      </c>
      <c r="K26" s="26">
        <f>VLOOKUP($C26,COS!$B$8:$H$991,2,FALSE)</f>
        <v>2867.132080078125</v>
      </c>
      <c r="L26" s="24">
        <f t="shared" si="19"/>
        <v>1</v>
      </c>
      <c r="M26" s="24">
        <f t="shared" si="20"/>
        <v>0</v>
      </c>
      <c r="N26" s="26">
        <f>VLOOKUP($C26,COS!$B$8:$H$991,5,FALSE)</f>
        <v>613.4034423828125</v>
      </c>
      <c r="O26" s="26">
        <f t="shared" si="21"/>
        <v>37.716707531637397</v>
      </c>
      <c r="P26" s="26">
        <f>VLOOKUP($C26,COS!$B$8:$H$991,6,FALSE)</f>
        <v>2537.385498046875</v>
      </c>
      <c r="Q26" s="26">
        <f t="shared" si="22"/>
        <v>156.01775293775825</v>
      </c>
      <c r="R26" s="26">
        <f>MIN(IF(MONTH($C26)=4,$S$3,IF(MONTH($C26)=5,$S$4,IF(MONTH($C26)=6,$S$5,IF(MONTH($C26)=7,$S$6,"ERROR")))),MAX(VLOOKUP($C26,COS!$B$8:$K$991,10,FALSE)-IF(MONTH($C26)=4,$Y$3,IF(MONTH($C26)=5,$Y$4,IF(MONTH($C26)=6,$Y$5,IF(MONTH($C26)=7,$Y$6,"ERROR")))),0),MAX(VLOOKUP($C26,COS!$B$8:$K$991,9,FALSE)-IF(MONTH($C26)=4,$V$3,IF(MONTH($C26)=5,$V$4,IF(MONTH($C26)=6,$V$5,IF(MONTH($C26)=7,$V$6,"ERROR"))))-VLOOKUP($C26,COS!$B$8:$K$991,6,FALSE)/2,0))</f>
        <v>1500</v>
      </c>
      <c r="S26" s="26">
        <f t="shared" si="23"/>
        <v>92.231404958677686</v>
      </c>
      <c r="T26" s="26">
        <f t="shared" si="24"/>
        <v>189.09863519337551</v>
      </c>
      <c r="U26" s="26" t="str">
        <f>IF(VLOOKUP($C26,COS!$B$8:$I$991,8,FALSE)=1,"UWFE","IBU")</f>
        <v>IBU</v>
      </c>
      <c r="V26" s="26">
        <f t="shared" ref="V26" si="30">MIN(IF(IF($AA$3=2,AND(E26=1,G26=1,L26=1,L28=1,M26=1,U26="IBU"),AND(E26=1,G26=1,L26=1,L28=1,M26=1)),T26,0),I26)</f>
        <v>0</v>
      </c>
      <c r="W26" s="26"/>
      <c r="X26" s="26"/>
      <c r="Y26" s="26"/>
      <c r="Z26" s="26"/>
      <c r="AA26" s="26"/>
      <c r="AB26" s="33"/>
      <c r="AC26" s="6"/>
      <c r="AD26" s="44">
        <v>1934</v>
      </c>
      <c r="AE26" s="45">
        <f>VLOOKUP(AD26,Flags!$A$13:$B$95,2,FALSE)</f>
        <v>5</v>
      </c>
      <c r="AF26" s="44">
        <f t="shared" si="6"/>
        <v>61.140804816632233</v>
      </c>
      <c r="AG26" s="44">
        <f t="shared" si="7"/>
        <v>586.09518616227069</v>
      </c>
      <c r="AH26" s="44">
        <f t="shared" si="8"/>
        <v>61.140804816632233</v>
      </c>
      <c r="AI26" s="44">
        <f t="shared" si="9"/>
        <v>29112.205985117507</v>
      </c>
      <c r="AJ26" s="44">
        <f t="shared" si="10"/>
        <v>541.70656306495357</v>
      </c>
      <c r="AK26" s="44">
        <f t="shared" si="1"/>
        <v>541.70656306495357</v>
      </c>
      <c r="AL26" s="44">
        <f t="shared" si="11"/>
        <v>61.140804816632233</v>
      </c>
      <c r="AN26" s="6">
        <v>60</v>
      </c>
      <c r="AO26">
        <f t="shared" si="26"/>
        <v>20</v>
      </c>
      <c r="AP26">
        <f t="shared" si="29"/>
        <v>206.73732633505574</v>
      </c>
    </row>
    <row r="27" spans="1:42" x14ac:dyDescent="0.3">
      <c r="A27" s="32">
        <f>VLOOKUP(YEAR(C27),Flags!$A$13:$B$95,2,FALSE)</f>
        <v>3</v>
      </c>
      <c r="B27" s="24">
        <f t="shared" si="2"/>
        <v>1923</v>
      </c>
      <c r="C27" s="25">
        <v>8644</v>
      </c>
      <c r="D27" s="26"/>
      <c r="E27" s="24"/>
      <c r="F27" s="26"/>
      <c r="G27" s="24"/>
      <c r="H27" s="24"/>
      <c r="I27" s="26"/>
      <c r="J27" s="24"/>
      <c r="K27" s="26"/>
      <c r="L27" s="24"/>
      <c r="M27" s="24"/>
      <c r="N27" s="26"/>
      <c r="O27" s="26"/>
      <c r="P27" s="26"/>
      <c r="Q27" s="26"/>
      <c r="R27" s="26"/>
      <c r="S27" s="26"/>
      <c r="T27" s="26"/>
      <c r="U27" s="26"/>
      <c r="V27" s="26"/>
      <c r="W27" s="26">
        <f>MAX($C$7-VLOOKUP($C27,COS!$B$8:$H$991,3,FALSE),0)</f>
        <v>90980.109375</v>
      </c>
      <c r="X27" s="26">
        <f t="shared" ref="X27:X90" si="31">W27*DAY($C27)*86400/43560/1000</f>
        <v>5594.1488739669421</v>
      </c>
      <c r="Y27" s="26">
        <f>VLOOKUP($C27,COS!$B$8:$H$991,4,FALSE)</f>
        <v>223.26168823242188</v>
      </c>
      <c r="Z27" s="26">
        <f t="shared" ref="Z27:Z90" si="32">Y27*DAY($C27)*86400/43560/1000</f>
        <v>13.727826119415031</v>
      </c>
      <c r="AA27" s="26">
        <f t="shared" ref="AA27:AA31" si="33">MIN(W27,Y27)</f>
        <v>223.26168823242188</v>
      </c>
      <c r="AB27" s="33">
        <f t="shared" ref="AB27:AB85" si="34">AA27*DAY($C27)*86400/43560/1000*IF(MONTH($C27)=8,$P$3,IF(MONTH($C27)=9,$P$4,IF(MONTH($C27)=10,$P$5,IF(MONTH($C27)=11,$P$6,IF(MONTH($C27)=12,$P$7,NA())))))</f>
        <v>13.727826119415031</v>
      </c>
      <c r="AC27" s="6"/>
      <c r="AD27" s="43">
        <v>1935</v>
      </c>
      <c r="AE27" s="1">
        <f>VLOOKUP(AD27,Flags!$A$13:$B$95,2,FALSE)</f>
        <v>4</v>
      </c>
      <c r="AF27" s="43">
        <f t="shared" si="6"/>
        <v>0</v>
      </c>
      <c r="AG27" s="43">
        <f t="shared" si="7"/>
        <v>621.9039977995817</v>
      </c>
      <c r="AH27" s="43">
        <f t="shared" si="8"/>
        <v>0</v>
      </c>
      <c r="AI27" s="43">
        <f t="shared" si="9"/>
        <v>28961.056868220563</v>
      </c>
      <c r="AJ27" s="43">
        <f t="shared" si="10"/>
        <v>121.23425982388584</v>
      </c>
      <c r="AK27" s="43">
        <f t="shared" si="1"/>
        <v>121.23425982388584</v>
      </c>
      <c r="AL27" s="43">
        <f t="shared" si="11"/>
        <v>0</v>
      </c>
      <c r="AN27" s="6">
        <v>90</v>
      </c>
      <c r="AO27">
        <f t="shared" si="26"/>
        <v>19</v>
      </c>
      <c r="AP27">
        <f t="shared" si="29"/>
        <v>214.40030115181489</v>
      </c>
    </row>
    <row r="28" spans="1:42" x14ac:dyDescent="0.3">
      <c r="A28" s="32">
        <f>VLOOKUP(YEAR(C28),Flags!$A$13:$B$95,2,FALSE)</f>
        <v>3</v>
      </c>
      <c r="B28" s="24">
        <f t="shared" si="2"/>
        <v>1923</v>
      </c>
      <c r="C28" s="25">
        <v>8674</v>
      </c>
      <c r="D28" s="26"/>
      <c r="E28" s="24"/>
      <c r="F28" s="26"/>
      <c r="G28" s="24"/>
      <c r="H28" s="24"/>
      <c r="I28" s="26"/>
      <c r="J28" s="24"/>
      <c r="K28" s="26">
        <f>VLOOKUP($C28,COS!$B$8:$H$991,2,FALSE)</f>
        <v>2596.2392578125</v>
      </c>
      <c r="L28" s="24">
        <f t="shared" ref="L28" si="35">IF(AND(K28&gt;$I$7,K28&lt;$I$8),1,0)</f>
        <v>1</v>
      </c>
      <c r="M28" s="24"/>
      <c r="N28" s="26"/>
      <c r="O28" s="26"/>
      <c r="P28" s="26"/>
      <c r="Q28" s="26"/>
      <c r="R28" s="26"/>
      <c r="S28" s="26"/>
      <c r="T28" s="26"/>
      <c r="U28" s="26"/>
      <c r="V28" s="26"/>
      <c r="W28" s="26">
        <f>MAX($C$8-VLOOKUP($C28,COS!$B$8:$H$991,3,FALSE),0)</f>
        <v>95583.35595703125</v>
      </c>
      <c r="X28" s="26">
        <f t="shared" si="31"/>
        <v>5687.6046519886368</v>
      </c>
      <c r="Y28" s="26">
        <f>VLOOKUP($C28,COS!$B$8:$H$991,4,FALSE)</f>
        <v>0</v>
      </c>
      <c r="Z28" s="26">
        <f t="shared" si="32"/>
        <v>0</v>
      </c>
      <c r="AA28" s="26">
        <f t="shared" si="33"/>
        <v>0</v>
      </c>
      <c r="AB28" s="33">
        <f t="shared" si="34"/>
        <v>0</v>
      </c>
      <c r="AC28" s="6"/>
      <c r="AD28" s="43">
        <v>1936</v>
      </c>
      <c r="AE28" s="1">
        <f>VLOOKUP(AD28,Flags!$A$13:$B$95,2,FALSE)</f>
        <v>3</v>
      </c>
      <c r="AF28" s="43">
        <f t="shared" si="6"/>
        <v>0</v>
      </c>
      <c r="AG28" s="43">
        <f t="shared" si="7"/>
        <v>640.065817921536</v>
      </c>
      <c r="AH28" s="43">
        <f t="shared" si="8"/>
        <v>0</v>
      </c>
      <c r="AI28" s="43">
        <f t="shared" si="9"/>
        <v>28617.219777408314</v>
      </c>
      <c r="AJ28" s="43">
        <f t="shared" si="10"/>
        <v>178.08673882602659</v>
      </c>
      <c r="AK28" s="43">
        <f t="shared" si="1"/>
        <v>178.08673882602659</v>
      </c>
      <c r="AL28" s="43">
        <f t="shared" si="11"/>
        <v>0</v>
      </c>
      <c r="AN28" s="6">
        <v>100</v>
      </c>
      <c r="AO28">
        <f t="shared" si="26"/>
        <v>19</v>
      </c>
      <c r="AP28">
        <f t="shared" si="29"/>
        <v>214.40030115181489</v>
      </c>
    </row>
    <row r="29" spans="1:42" x14ac:dyDescent="0.3">
      <c r="A29" s="32">
        <f>VLOOKUP(YEAR(C29),Flags!$A$13:$B$95,2,FALSE)</f>
        <v>3</v>
      </c>
      <c r="B29" s="24">
        <f t="shared" si="2"/>
        <v>1923</v>
      </c>
      <c r="C29" s="25">
        <v>8705</v>
      </c>
      <c r="D29" s="26"/>
      <c r="E29" s="24"/>
      <c r="F29" s="26"/>
      <c r="G29" s="26"/>
      <c r="H29" s="26"/>
      <c r="I29" s="26"/>
      <c r="J29" s="26"/>
      <c r="K29" s="26"/>
      <c r="L29" s="24"/>
      <c r="M29" s="24"/>
      <c r="N29" s="26"/>
      <c r="O29" s="26"/>
      <c r="P29" s="26"/>
      <c r="Q29" s="26"/>
      <c r="R29" s="26"/>
      <c r="S29" s="26"/>
      <c r="T29" s="26"/>
      <c r="U29" s="26"/>
      <c r="V29" s="26"/>
      <c r="W29" s="26">
        <f>MAX($C$9-VLOOKUP($C29,COS!$B$8:$H$991,3,FALSE),0)</f>
        <v>95392.662109375</v>
      </c>
      <c r="X29" s="26">
        <f t="shared" si="31"/>
        <v>5865.4661660640504</v>
      </c>
      <c r="Y29" s="26">
        <f>VLOOKUP($C29,COS!$B$8:$H$991,4,FALSE)</f>
        <v>906.51263427734375</v>
      </c>
      <c r="Z29" s="26">
        <f t="shared" si="32"/>
        <v>55.739289248127584</v>
      </c>
      <c r="AA29" s="26">
        <f t="shared" si="33"/>
        <v>906.51263427734375</v>
      </c>
      <c r="AB29" s="33">
        <f t="shared" si="34"/>
        <v>55.739289248127584</v>
      </c>
      <c r="AC29" s="6"/>
      <c r="AD29" s="43">
        <v>1937</v>
      </c>
      <c r="AE29" s="1">
        <f>VLOOKUP(AD29,Flags!$A$13:$B$95,2,FALSE)</f>
        <v>4</v>
      </c>
      <c r="AF29" s="43">
        <f t="shared" si="6"/>
        <v>0</v>
      </c>
      <c r="AG29" s="43">
        <f t="shared" si="7"/>
        <v>644.85532843345459</v>
      </c>
      <c r="AH29" s="43">
        <f t="shared" si="8"/>
        <v>0</v>
      </c>
      <c r="AI29" s="43">
        <f t="shared" si="9"/>
        <v>27496.523444279439</v>
      </c>
      <c r="AJ29" s="43">
        <f t="shared" si="10"/>
        <v>104.74674873288998</v>
      </c>
      <c r="AK29" s="43">
        <f t="shared" si="1"/>
        <v>104.74674873288998</v>
      </c>
      <c r="AL29" s="43">
        <f t="shared" si="11"/>
        <v>0</v>
      </c>
      <c r="AN29" s="6">
        <v>120</v>
      </c>
      <c r="AO29">
        <f t="shared" si="26"/>
        <v>18</v>
      </c>
      <c r="AP29">
        <f t="shared" si="29"/>
        <v>220.16500923850316</v>
      </c>
    </row>
    <row r="30" spans="1:42" x14ac:dyDescent="0.3">
      <c r="A30" s="32">
        <f>VLOOKUP(YEAR(C30),Flags!$A$13:$B$95,2,FALSE)</f>
        <v>3</v>
      </c>
      <c r="B30" s="24">
        <f t="shared" si="2"/>
        <v>1923</v>
      </c>
      <c r="C30" s="25">
        <v>8735</v>
      </c>
      <c r="D30" s="26"/>
      <c r="E30" s="24"/>
      <c r="F30" s="26"/>
      <c r="G30" s="26"/>
      <c r="H30" s="26"/>
      <c r="I30" s="26"/>
      <c r="J30" s="26"/>
      <c r="K30" s="26"/>
      <c r="L30" s="24"/>
      <c r="M30" s="24"/>
      <c r="N30" s="26"/>
      <c r="O30" s="26"/>
      <c r="P30" s="26"/>
      <c r="Q30" s="26"/>
      <c r="R30" s="26"/>
      <c r="S30" s="26"/>
      <c r="T30" s="26"/>
      <c r="U30" s="26"/>
      <c r="V30" s="26"/>
      <c r="W30" s="26">
        <f>MAX($C$10-VLOOKUP($C30,COS!$B$8:$H$991,3,FALSE),0)</f>
        <v>94286.98779296875</v>
      </c>
      <c r="X30" s="26">
        <f t="shared" si="31"/>
        <v>5610.4653893336772</v>
      </c>
      <c r="Y30" s="26">
        <f>VLOOKUP($C30,COS!$B$8:$H$991,4,FALSE)</f>
        <v>1181.566162109375</v>
      </c>
      <c r="Z30" s="26">
        <f t="shared" si="32"/>
        <v>70.308069150309919</v>
      </c>
      <c r="AA30" s="26">
        <f t="shared" si="33"/>
        <v>1181.566162109375</v>
      </c>
      <c r="AB30" s="33">
        <f>AA30*DAY($C30)*86400/43560/1000*IF(MONTH($C30)=8,$P$3,IF(MONTH($C30)=9,$P$4,IF(MONTH($C30)=10,$P$5,IF(MONTH($C30)=11,$P$6,IF(MONTH($C30)=12,$P$7,NA())))))</f>
        <v>70.308069150309919</v>
      </c>
      <c r="AC30" s="6"/>
      <c r="AD30" s="43">
        <v>1938</v>
      </c>
      <c r="AE30" s="1">
        <f>VLOOKUP(AD30,Flags!$A$13:$B$95,2,FALSE)</f>
        <v>1</v>
      </c>
      <c r="AF30" s="43">
        <f t="shared" si="6"/>
        <v>467.85146435950412</v>
      </c>
      <c r="AG30" s="43">
        <f t="shared" si="7"/>
        <v>685.29858967426389</v>
      </c>
      <c r="AH30" s="43">
        <f t="shared" si="8"/>
        <v>0</v>
      </c>
      <c r="AI30" s="43">
        <f t="shared" si="9"/>
        <v>27645.848176975727</v>
      </c>
      <c r="AJ30" s="43">
        <f t="shared" si="10"/>
        <v>2.9732576581466295</v>
      </c>
      <c r="AK30" s="43">
        <f t="shared" si="1"/>
        <v>2.9732576581466295</v>
      </c>
      <c r="AL30" s="43">
        <f t="shared" si="11"/>
        <v>0</v>
      </c>
      <c r="AN30" s="6">
        <v>150</v>
      </c>
      <c r="AO30">
        <f t="shared" si="26"/>
        <v>16</v>
      </c>
      <c r="AP30">
        <f t="shared" si="29"/>
        <v>230.54054114696405</v>
      </c>
    </row>
    <row r="31" spans="1:42" x14ac:dyDescent="0.3">
      <c r="A31" s="34">
        <f>VLOOKUP(YEAR(C31),Flags!$A$13:$B$95,2,FALSE)</f>
        <v>3</v>
      </c>
      <c r="B31" s="35">
        <f t="shared" si="2"/>
        <v>1923</v>
      </c>
      <c r="C31" s="36">
        <v>8766</v>
      </c>
      <c r="D31" s="37"/>
      <c r="E31" s="35"/>
      <c r="F31" s="37"/>
      <c r="G31" s="37"/>
      <c r="H31" s="37"/>
      <c r="I31" s="37"/>
      <c r="J31" s="37"/>
      <c r="K31" s="37"/>
      <c r="L31" s="35"/>
      <c r="M31" s="35"/>
      <c r="N31" s="37"/>
      <c r="O31" s="37"/>
      <c r="P31" s="37"/>
      <c r="Q31" s="37"/>
      <c r="R31" s="37"/>
      <c r="S31" s="37"/>
      <c r="T31" s="37"/>
      <c r="U31" s="37"/>
      <c r="V31" s="37"/>
      <c r="W31" s="37">
        <f>MAX($C$11-VLOOKUP($C31,COS!$B$8:$H$991,3,FALSE),0)</f>
        <v>95101.76806640625</v>
      </c>
      <c r="X31" s="37">
        <f t="shared" si="31"/>
        <v>5847.5797885459706</v>
      </c>
      <c r="Y31" s="37">
        <f>VLOOKUP($C31,COS!$B$8:$H$991,4,FALSE)</f>
        <v>1277.1646728515625</v>
      </c>
      <c r="Z31" s="37">
        <f t="shared" si="32"/>
        <v>78.529794760459708</v>
      </c>
      <c r="AA31" s="37">
        <f t="shared" si="33"/>
        <v>1277.1646728515625</v>
      </c>
      <c r="AB31" s="38">
        <f t="shared" si="34"/>
        <v>78.529794760459708</v>
      </c>
      <c r="AC31" s="6"/>
      <c r="AD31" s="43">
        <v>1939</v>
      </c>
      <c r="AE31" s="1">
        <f>VLOOKUP(AD31,Flags!$A$13:$B$95,2,FALSE)</f>
        <v>3</v>
      </c>
      <c r="AF31" s="43">
        <f t="shared" si="6"/>
        <v>397.28989733987601</v>
      </c>
      <c r="AG31" s="43">
        <f t="shared" si="7"/>
        <v>676.80928974246194</v>
      </c>
      <c r="AH31" s="43">
        <f t="shared" si="8"/>
        <v>0</v>
      </c>
      <c r="AI31" s="43">
        <f t="shared" si="9"/>
        <v>28239.952036092458</v>
      </c>
      <c r="AJ31" s="43">
        <f t="shared" si="10"/>
        <v>623.40796705513947</v>
      </c>
      <c r="AK31" s="43">
        <f t="shared" si="1"/>
        <v>623.40796705513947</v>
      </c>
      <c r="AL31" s="43">
        <f t="shared" si="11"/>
        <v>0</v>
      </c>
      <c r="AN31" s="6">
        <v>180</v>
      </c>
      <c r="AO31">
        <f t="shared" si="26"/>
        <v>10</v>
      </c>
      <c r="AP31">
        <f t="shared" si="29"/>
        <v>269.71027298705042</v>
      </c>
    </row>
    <row r="32" spans="1:42" x14ac:dyDescent="0.3">
      <c r="A32" s="27">
        <f>VLOOKUP(YEAR(C32),Flags!$A$13:$B$95,2,FALSE)</f>
        <v>5</v>
      </c>
      <c r="B32" s="28">
        <f t="shared" si="2"/>
        <v>1924</v>
      </c>
      <c r="C32" s="29">
        <v>8887</v>
      </c>
      <c r="D32" s="30">
        <f>VLOOKUP($C32,COS!$B$8:$H$991,3,FALSE)</f>
        <v>5624.3779296875</v>
      </c>
      <c r="E32" s="28">
        <f>IF(D32&gt;=IF(MONTH($C32)=4,$C$3,IF(MONTH($C32)=5,$C$4,IF(MONTH($C32)=6,$C$5,IF(MONTH($C32)=7,$C$6,"ERROR")))),1,0)</f>
        <v>0</v>
      </c>
      <c r="F32" s="30">
        <f>VLOOKUP($C32,COS!$B$8:$H$991,7,FALSE)</f>
        <v>51.900558471679688</v>
      </c>
      <c r="G32" s="28">
        <f>IF(F32&lt;=IF(MONTH($C32)=4,$F$3,IF(MONTH($C32)=5,$F$4,IF(MONTH($C32)=6,$F$5,IF(MONTH($C32)=7,$F$6,"ERROR")))),1,0)</f>
        <v>1</v>
      </c>
      <c r="H32" s="30">
        <f>IF(J32=1,D32-$C$3,0)</f>
        <v>0</v>
      </c>
      <c r="I32" s="30">
        <f t="shared" si="17"/>
        <v>0</v>
      </c>
      <c r="J32" s="28">
        <f t="shared" ref="J32:J35" si="36">IF(AND(E32=1,G32=1),1,0)</f>
        <v>0</v>
      </c>
      <c r="K32" s="30">
        <f>VLOOKUP($C32,COS!$B$8:$H$991,2,FALSE)</f>
        <v>2500</v>
      </c>
      <c r="L32" s="28">
        <f t="shared" ref="L32" si="37">IF(K32&lt;=IF(MONTH($C32)=4,$I$3,IF(MONTH($C32)=5,$I$4,IF(MONTH($C32)=6,$I$5,IF(MONTH($C32)=7,$I$6,"ERROR")))),1,0)</f>
        <v>1</v>
      </c>
      <c r="M32" s="28">
        <f t="shared" ref="M32" si="38">VLOOKUP($A32,$L$3:$M$7,2,FALSE)</f>
        <v>1</v>
      </c>
      <c r="N32" s="30">
        <f>VLOOKUP($C32,COS!$B$8:$H$991,5,FALSE)</f>
        <v>202.00408935546875</v>
      </c>
      <c r="O32" s="30">
        <f t="shared" ref="O32:O35" si="39">N32*DAY($C32)*86400/43560/1000</f>
        <v>12.020078044292354</v>
      </c>
      <c r="P32" s="30">
        <f>VLOOKUP($C32,COS!$B$8:$H$991,6,FALSE)</f>
        <v>537.10101318359375</v>
      </c>
      <c r="Q32" s="30">
        <f t="shared" ref="Q32:Q35" si="40">P32*DAY($C32)*86400/43560/1000</f>
        <v>31.959729710098141</v>
      </c>
      <c r="R32" s="30">
        <f>MIN(IF(MONTH($C32)=4,$S$3,IF(MONTH($C32)=5,$S$4,IF(MONTH($C32)=6,$S$5,IF(MONTH($C32)=7,$S$6,"ERROR")))),MAX(VLOOKUP($C32,COS!$B$8:$K$991,10,FALSE)-IF(MONTH($C32)=4,$Y$3,IF(MONTH($C32)=5,$Y$4,IF(MONTH($C32)=6,$Y$5,IF(MONTH($C32)=7,$Y$6,"ERROR")))),0),MAX(VLOOKUP($C32,COS!$B$8:$K$991,9,FALSE)-IF(MONTH($C32)=4,$V$3,IF(MONTH($C32)=5,$V$4,IF(MONTH($C32)=6,$V$5,IF(MONTH($C32)=7,$V$6,"ERROR"))))-VLOOKUP($C32,COS!$B$8:$K$991,6,FALSE)/2,0))</f>
        <v>1411.9501953125</v>
      </c>
      <c r="S32" s="30">
        <f t="shared" ref="S32:S35" si="41">R32*DAY($C32)*86400/43560/1000</f>
        <v>84.016871126033067</v>
      </c>
      <c r="T32" s="30">
        <f t="shared" ref="T32:T35" si="42">(O32+Q32)/2+S32</f>
        <v>106.00677500322831</v>
      </c>
      <c r="U32" s="30" t="str">
        <f>IF(VLOOKUP($C32,COS!$B$8:$I$991,8,FALSE)=1,"UWFE","IBU")</f>
        <v>IBU</v>
      </c>
      <c r="V32" s="30">
        <f t="shared" ref="V32" si="43">MIN(IF(IF($AA$3=2,AND(E32=1,G32=1,L32=1,L37=1,M32=1,U32="IBU"),AND(E32=1,G32=1,L32=1,L37=1,M32=1)),T32,0),I32)</f>
        <v>0</v>
      </c>
      <c r="W32" s="30"/>
      <c r="X32" s="30"/>
      <c r="Y32" s="30"/>
      <c r="Z32" s="30"/>
      <c r="AA32" s="30"/>
      <c r="AB32" s="31"/>
      <c r="AC32" s="6"/>
      <c r="AD32" s="43">
        <v>1940</v>
      </c>
      <c r="AE32" s="1">
        <f>VLOOKUP(AD32,Flags!$A$13:$B$95,2,FALSE)</f>
        <v>2</v>
      </c>
      <c r="AF32" s="43">
        <f t="shared" si="6"/>
        <v>229.39817858987604</v>
      </c>
      <c r="AG32" s="43">
        <f t="shared" si="7"/>
        <v>663.77439249338204</v>
      </c>
      <c r="AH32" s="43">
        <f t="shared" si="8"/>
        <v>0</v>
      </c>
      <c r="AI32" s="43">
        <f t="shared" si="9"/>
        <v>27816.926441761367</v>
      </c>
      <c r="AJ32" s="43">
        <f t="shared" si="10"/>
        <v>129.20468558319345</v>
      </c>
      <c r="AK32" s="43">
        <f t="shared" si="1"/>
        <v>129.20468558319345</v>
      </c>
      <c r="AL32" s="43">
        <f t="shared" si="11"/>
        <v>0</v>
      </c>
      <c r="AN32" s="6">
        <v>210</v>
      </c>
      <c r="AO32">
        <f t="shared" si="26"/>
        <v>7</v>
      </c>
      <c r="AP32">
        <f t="shared" si="29"/>
        <v>303.37038857199929</v>
      </c>
    </row>
    <row r="33" spans="1:42" x14ac:dyDescent="0.3">
      <c r="A33" s="32">
        <f>VLOOKUP(YEAR(C33),Flags!$A$13:$B$95,2,FALSE)</f>
        <v>5</v>
      </c>
      <c r="B33" s="24">
        <f t="shared" si="2"/>
        <v>1924</v>
      </c>
      <c r="C33" s="25">
        <v>8918</v>
      </c>
      <c r="D33" s="26">
        <f>VLOOKUP($C33,COS!$B$8:$H$991,3,FALSE)</f>
        <v>8620.7529296875</v>
      </c>
      <c r="E33" s="24">
        <f>IF(D33&gt;=IF(MONTH($C33)=4,$C$3,IF(MONTH($C33)=5,$C$4,IF(MONTH($C33)=6,$C$5,IF(MONTH($C33)=7,$C$6,"ERROR")))),1,0)</f>
        <v>1</v>
      </c>
      <c r="F33" s="26">
        <f>VLOOKUP($C33,COS!$B$8:$H$991,7,FALSE)</f>
        <v>55.089752197265625</v>
      </c>
      <c r="G33" s="24">
        <f>IF(F33&lt;=IF(MONTH($C33)=4,$F$3,IF(MONTH($C33)=5,$F$4,IF(MONTH($C33)=6,$F$5,IF(MONTH($C33)=7,$F$6,"ERROR")))),1,0)</f>
        <v>1</v>
      </c>
      <c r="H33" s="26">
        <f>IF(J33=1,D33-$C$4,0)</f>
        <v>2620.7529296875</v>
      </c>
      <c r="I33" s="26">
        <f t="shared" si="17"/>
        <v>161.14381650309917</v>
      </c>
      <c r="J33" s="24">
        <f t="shared" si="36"/>
        <v>1</v>
      </c>
      <c r="K33" s="26">
        <f>VLOOKUP($C33,COS!$B$8:$H$991,2,FALSE)</f>
        <v>2135.375732421875</v>
      </c>
      <c r="L33" s="24">
        <f t="shared" si="19"/>
        <v>1</v>
      </c>
      <c r="M33" s="24">
        <f t="shared" si="20"/>
        <v>1</v>
      </c>
      <c r="N33" s="26">
        <f>VLOOKUP($C33,COS!$B$8:$H$991,5,FALSE)</f>
        <v>220.09066772460938</v>
      </c>
      <c r="O33" s="26">
        <f t="shared" si="39"/>
        <v>13.532847668356148</v>
      </c>
      <c r="P33" s="26">
        <f>VLOOKUP($C33,COS!$B$8:$H$991,6,FALSE)</f>
        <v>2324.4033203125</v>
      </c>
      <c r="Q33" s="26">
        <f t="shared" si="40"/>
        <v>142.92198928202478</v>
      </c>
      <c r="R33" s="26">
        <f>MIN(IF(MONTH($C33)=4,$S$3,IF(MONTH($C33)=5,$S$4,IF(MONTH($C33)=6,$S$5,IF(MONTH($C33)=7,$S$6,"ERROR")))),MAX(VLOOKUP($C33,COS!$B$8:$K$991,10,FALSE)-IF(MONTH($C33)=4,$Y$3,IF(MONTH($C33)=5,$Y$4,IF(MONTH($C33)=6,$Y$5,IF(MONTH($C33)=7,$Y$6,"ERROR")))),0),MAX(VLOOKUP($C33,COS!$B$8:$K$991,9,FALSE)-IF(MONTH($C33)=4,$V$3,IF(MONTH($C33)=5,$V$4,IF(MONTH($C33)=6,$V$5,IF(MONTH($C33)=7,$V$6,"ERROR"))))-VLOOKUP($C33,COS!$B$8:$K$991,6,FALSE)/2,0))</f>
        <v>1500</v>
      </c>
      <c r="S33" s="26">
        <f t="shared" si="41"/>
        <v>92.231404958677686</v>
      </c>
      <c r="T33" s="26">
        <f t="shared" si="42"/>
        <v>170.45882343386813</v>
      </c>
      <c r="U33" s="26" t="str">
        <f>IF(VLOOKUP($C33,COS!$B$8:$I$991,8,FALSE)=1,"UWFE","IBU")</f>
        <v>IBU</v>
      </c>
      <c r="V33" s="26">
        <f t="shared" ref="V33" si="44">MIN(IF(IF($AA$3=2,AND(E33=1,G33=1,L33=1,L37=1,M33=1,U33="IBU"),AND(E33=1,G33=1,L33=1,L37=1,M33=1)),T33,0),I33)</f>
        <v>161.14381650309917</v>
      </c>
      <c r="W33" s="26"/>
      <c r="X33" s="26"/>
      <c r="Y33" s="26"/>
      <c r="Z33" s="26"/>
      <c r="AA33" s="26"/>
      <c r="AB33" s="33"/>
      <c r="AC33" s="6"/>
      <c r="AD33" s="43">
        <v>1941</v>
      </c>
      <c r="AE33" s="1">
        <f>VLOOKUP(AD33,Flags!$A$13:$B$95,2,FALSE)</f>
        <v>1</v>
      </c>
      <c r="AF33" s="43">
        <f t="shared" si="6"/>
        <v>840.21232050619835</v>
      </c>
      <c r="AG33" s="43">
        <f t="shared" si="7"/>
        <v>667.11986649820619</v>
      </c>
      <c r="AH33" s="43">
        <f t="shared" si="8"/>
        <v>0</v>
      </c>
      <c r="AI33" s="43">
        <f t="shared" si="9"/>
        <v>26872.442957773765</v>
      </c>
      <c r="AJ33" s="43">
        <f t="shared" si="10"/>
        <v>62.00514242377163</v>
      </c>
      <c r="AK33" s="43">
        <f t="shared" si="1"/>
        <v>62.00514242377163</v>
      </c>
      <c r="AL33" s="43">
        <f t="shared" si="11"/>
        <v>0</v>
      </c>
      <c r="AN33" s="6">
        <v>240</v>
      </c>
      <c r="AO33">
        <f t="shared" si="26"/>
        <v>6</v>
      </c>
      <c r="AP33">
        <f t="shared" si="29"/>
        <v>314.45164285707079</v>
      </c>
    </row>
    <row r="34" spans="1:42" x14ac:dyDescent="0.3">
      <c r="A34" s="32">
        <f>VLOOKUP(YEAR(C34),Flags!$A$13:$B$95,2,FALSE)</f>
        <v>5</v>
      </c>
      <c r="B34" s="24">
        <f t="shared" si="2"/>
        <v>1924</v>
      </c>
      <c r="C34" s="25">
        <v>8948</v>
      </c>
      <c r="D34" s="26">
        <f>VLOOKUP($C34,COS!$B$8:$H$991,3,FALSE)</f>
        <v>8906.197265625</v>
      </c>
      <c r="E34" s="24">
        <f>IF(D34&gt;=IF(MONTH($C34)=4,$C$3,IF(MONTH($C34)=5,$C$4,IF(MONTH($C34)=6,$C$5,IF(MONTH($C34)=7,$C$6,"ERROR")))),1,0)</f>
        <v>0</v>
      </c>
      <c r="F34" s="26">
        <f>VLOOKUP($C34,COS!$B$8:$H$991,7,FALSE)</f>
        <v>56.186325073242188</v>
      </c>
      <c r="G34" s="24">
        <f>IF(F34&lt;=IF(MONTH($C34)=4,$F$3,IF(MONTH($C34)=5,$F$4,IF(MONTH($C34)=6,$F$5,IF(MONTH($C34)=7,$F$6,"ERROR")))),1,0)</f>
        <v>0</v>
      </c>
      <c r="H34" s="26">
        <f>IF(J34=1,D34-$C$5,0)</f>
        <v>0</v>
      </c>
      <c r="I34" s="26">
        <f t="shared" si="17"/>
        <v>0</v>
      </c>
      <c r="J34" s="24">
        <f t="shared" si="36"/>
        <v>0</v>
      </c>
      <c r="K34" s="26">
        <f>VLOOKUP($C34,COS!$B$8:$H$991,2,FALSE)</f>
        <v>1764.862060546875</v>
      </c>
      <c r="L34" s="24">
        <f t="shared" si="19"/>
        <v>1</v>
      </c>
      <c r="M34" s="24">
        <f t="shared" si="20"/>
        <v>1</v>
      </c>
      <c r="N34" s="26">
        <f>VLOOKUP($C34,COS!$B$8:$H$991,5,FALSE)</f>
        <v>251.78248596191406</v>
      </c>
      <c r="O34" s="26">
        <f t="shared" si="39"/>
        <v>14.982098338229596</v>
      </c>
      <c r="P34" s="26">
        <f>VLOOKUP($C34,COS!$B$8:$H$991,6,FALSE)</f>
        <v>2484.036376953125</v>
      </c>
      <c r="Q34" s="26">
        <f t="shared" si="40"/>
        <v>147.81042904183886</v>
      </c>
      <c r="R34" s="26">
        <f>MIN(IF(MONTH($C34)=4,$S$3,IF(MONTH($C34)=5,$S$4,IF(MONTH($C34)=6,$S$5,IF(MONTH($C34)=7,$S$6,"ERROR")))),MAX(VLOOKUP($C34,COS!$B$8:$K$991,10,FALSE)-IF(MONTH($C34)=4,$Y$3,IF(MONTH($C34)=5,$Y$4,IF(MONTH($C34)=6,$Y$5,IF(MONTH($C34)=7,$Y$6,"ERROR")))),0),MAX(VLOOKUP($C34,COS!$B$8:$K$991,9,FALSE)-IF(MONTH($C34)=4,$V$3,IF(MONTH($C34)=5,$V$4,IF(MONTH($C34)=6,$V$5,IF(MONTH($C34)=7,$V$6,"ERROR"))))-VLOOKUP($C34,COS!$B$8:$K$991,6,FALSE)/2,0))</f>
        <v>1500</v>
      </c>
      <c r="S34" s="26">
        <f t="shared" si="41"/>
        <v>89.256198347107429</v>
      </c>
      <c r="T34" s="26">
        <f t="shared" si="42"/>
        <v>170.65246203714167</v>
      </c>
      <c r="U34" s="26" t="str">
        <f>IF(VLOOKUP($C34,COS!$B$8:$I$991,8,FALSE)=1,"UWFE","IBU")</f>
        <v>IBU</v>
      </c>
      <c r="V34" s="26">
        <f t="shared" ref="V34" si="45">MIN(IF(IF($AA$3=2,AND(E34=1,G34=1,L34=1,L37=1,M34=1,U34="IBU"),AND(E34=1,G34=1,L34=1,L37=1,M34=1)),T34,0),I34)</f>
        <v>0</v>
      </c>
      <c r="W34" s="26"/>
      <c r="X34" s="26"/>
      <c r="Y34" s="26"/>
      <c r="Z34" s="26"/>
      <c r="AA34" s="26"/>
      <c r="AB34" s="33"/>
      <c r="AC34" s="6"/>
      <c r="AD34" s="43">
        <v>1942</v>
      </c>
      <c r="AE34" s="1">
        <f>VLOOKUP(AD34,Flags!$A$13:$B$95,2,FALSE)</f>
        <v>1</v>
      </c>
      <c r="AF34" s="43">
        <f t="shared" si="6"/>
        <v>277.68167936466938</v>
      </c>
      <c r="AG34" s="43">
        <f t="shared" si="7"/>
        <v>681.46334333435561</v>
      </c>
      <c r="AH34" s="43">
        <f t="shared" si="8"/>
        <v>0</v>
      </c>
      <c r="AI34" s="43">
        <f t="shared" si="9"/>
        <v>27463.757384426652</v>
      </c>
      <c r="AJ34" s="43">
        <f t="shared" si="10"/>
        <v>142.97065114927688</v>
      </c>
      <c r="AK34" s="43">
        <f t="shared" si="1"/>
        <v>142.97065114927688</v>
      </c>
      <c r="AL34" s="43">
        <f t="shared" si="11"/>
        <v>0</v>
      </c>
      <c r="AN34" s="6"/>
    </row>
    <row r="35" spans="1:42" x14ac:dyDescent="0.3">
      <c r="A35" s="32">
        <f>VLOOKUP(YEAR(C35),Flags!$A$13:$B$95,2,FALSE)</f>
        <v>5</v>
      </c>
      <c r="B35" s="24">
        <f t="shared" si="2"/>
        <v>1924</v>
      </c>
      <c r="C35" s="25">
        <v>8979</v>
      </c>
      <c r="D35" s="26">
        <f>VLOOKUP($C35,COS!$B$8:$H$991,3,FALSE)</f>
        <v>9371.8037109375</v>
      </c>
      <c r="E35" s="24">
        <f>IF(D35&gt;=IF(MONTH($C35)=4,$C$3,IF(MONTH($C35)=5,$C$4,IF(MONTH($C35)=6,$C$5,IF(MONTH($C35)=7,$C$6,"ERROR")))),1,0)</f>
        <v>0</v>
      </c>
      <c r="F35" s="26">
        <f>VLOOKUP($C35,COS!$B$8:$H$991,7,FALSE)</f>
        <v>55.104015350341797</v>
      </c>
      <c r="G35" s="24">
        <f>IF(F35&lt;=IF(MONTH($C35)=4,$F$3,IF(MONTH($C35)=5,$F$4,IF(MONTH($C35)=6,$F$5,IF(MONTH($C35)=7,$F$6,"ERROR")))),1,0)</f>
        <v>0</v>
      </c>
      <c r="H35" s="26">
        <f>IF(J35=1,D35-$C$6,0)</f>
        <v>0</v>
      </c>
      <c r="I35" s="26">
        <f t="shared" si="17"/>
        <v>0</v>
      </c>
      <c r="J35" s="24">
        <f t="shared" si="36"/>
        <v>0</v>
      </c>
      <c r="K35" s="26">
        <f>VLOOKUP($C35,COS!$B$8:$H$991,2,FALSE)</f>
        <v>1413.5540771484375</v>
      </c>
      <c r="L35" s="24">
        <f t="shared" si="19"/>
        <v>1</v>
      </c>
      <c r="M35" s="24">
        <f t="shared" si="20"/>
        <v>1</v>
      </c>
      <c r="N35" s="26">
        <f>VLOOKUP($C35,COS!$B$8:$H$991,5,FALSE)</f>
        <v>274.10446166992188</v>
      </c>
      <c r="O35" s="26">
        <f t="shared" si="39"/>
        <v>16.854026403505941</v>
      </c>
      <c r="P35" s="26">
        <f>VLOOKUP($C35,COS!$B$8:$H$991,6,FALSE)</f>
        <v>2281.4833984375</v>
      </c>
      <c r="Q35" s="26">
        <f t="shared" si="40"/>
        <v>140.28294615185951</v>
      </c>
      <c r="R35" s="26">
        <f>MIN(IF(MONTH($C35)=4,$S$3,IF(MONTH($C35)=5,$S$4,IF(MONTH($C35)=6,$S$5,IF(MONTH($C35)=7,$S$6,"ERROR")))),MAX(VLOOKUP($C35,COS!$B$8:$K$991,10,FALSE)-IF(MONTH($C35)=4,$Y$3,IF(MONTH($C35)=5,$Y$4,IF(MONTH($C35)=6,$Y$5,IF(MONTH($C35)=7,$Y$6,"ERROR")))),0),MAX(VLOOKUP($C35,COS!$B$8:$K$991,9,FALSE)-IF(MONTH($C35)=4,$V$3,IF(MONTH($C35)=5,$V$4,IF(MONTH($C35)=6,$V$5,IF(MONTH($C35)=7,$V$6,"ERROR"))))-VLOOKUP($C35,COS!$B$8:$K$991,6,FALSE)/2,0))</f>
        <v>1500</v>
      </c>
      <c r="S35" s="26">
        <f t="shared" si="41"/>
        <v>92.231404958677686</v>
      </c>
      <c r="T35" s="26">
        <f t="shared" si="42"/>
        <v>170.79989123636039</v>
      </c>
      <c r="U35" s="26" t="str">
        <f>IF(VLOOKUP($C35,COS!$B$8:$I$991,8,FALSE)=1,"UWFE","IBU")</f>
        <v>IBU</v>
      </c>
      <c r="V35" s="26">
        <f t="shared" ref="V35" si="46">MIN(IF(IF($AA$3=2,AND(E35=1,G35=1,L35=1,L37=1,M35=1,U35="IBU"),AND(E35=1,G35=1,L35=1,L37=1,M35=1)),T35,0),I35)</f>
        <v>0</v>
      </c>
      <c r="W35" s="26"/>
      <c r="X35" s="26"/>
      <c r="Y35" s="26"/>
      <c r="Z35" s="26"/>
      <c r="AA35" s="26"/>
      <c r="AB35" s="33"/>
      <c r="AC35" s="6"/>
      <c r="AD35" s="43">
        <v>1943</v>
      </c>
      <c r="AE35" s="1">
        <f>VLOOKUP(AD35,Flags!$A$13:$B$95,2,FALSE)</f>
        <v>1</v>
      </c>
      <c r="AF35" s="43">
        <f t="shared" si="6"/>
        <v>317.65369544163224</v>
      </c>
      <c r="AG35" s="43">
        <f t="shared" si="7"/>
        <v>677.93526625451966</v>
      </c>
      <c r="AH35" s="43">
        <f t="shared" si="8"/>
        <v>0</v>
      </c>
      <c r="AI35" s="43">
        <f t="shared" si="9"/>
        <v>27301.688789546744</v>
      </c>
      <c r="AJ35" s="43">
        <f t="shared" si="10"/>
        <v>283.83824287855919</v>
      </c>
      <c r="AK35" s="43">
        <f t="shared" si="1"/>
        <v>283.83824287855919</v>
      </c>
      <c r="AL35" s="43">
        <f t="shared" si="11"/>
        <v>0</v>
      </c>
    </row>
    <row r="36" spans="1:42" x14ac:dyDescent="0.3">
      <c r="A36" s="32">
        <f>VLOOKUP(YEAR(C36),Flags!$A$13:$B$95,2,FALSE)</f>
        <v>5</v>
      </c>
      <c r="B36" s="24">
        <f t="shared" si="2"/>
        <v>1924</v>
      </c>
      <c r="C36" s="25">
        <v>9010</v>
      </c>
      <c r="D36" s="26"/>
      <c r="E36" s="24"/>
      <c r="F36" s="26"/>
      <c r="G36" s="24"/>
      <c r="H36" s="24"/>
      <c r="I36" s="26"/>
      <c r="J36" s="24"/>
      <c r="K36" s="26"/>
      <c r="L36" s="24"/>
      <c r="M36" s="24"/>
      <c r="N36" s="26"/>
      <c r="O36" s="26"/>
      <c r="P36" s="26"/>
      <c r="Q36" s="26"/>
      <c r="R36" s="26"/>
      <c r="S36" s="26"/>
      <c r="T36" s="26"/>
      <c r="U36" s="26"/>
      <c r="V36" s="26"/>
      <c r="W36" s="26">
        <f>MAX($C$7-VLOOKUP($C36,COS!$B$8:$H$991,3,FALSE),0)</f>
        <v>91864.53125</v>
      </c>
      <c r="X36" s="26">
        <f t="shared" si="31"/>
        <v>5648.5298553719012</v>
      </c>
      <c r="Y36" s="26">
        <f>VLOOKUP($C36,COS!$B$8:$H$991,4,FALSE)</f>
        <v>3013.011474609375</v>
      </c>
      <c r="Z36" s="26">
        <f t="shared" si="32"/>
        <v>185.26285430655992</v>
      </c>
      <c r="AA36" s="26">
        <f t="shared" ref="AA36:AA40" si="47">MIN(W36,Y36)</f>
        <v>3013.011474609375</v>
      </c>
      <c r="AB36" s="33">
        <f t="shared" ref="AB36" si="48">AA36*DAY($C36)*86400/43560/1000*IF(MONTH($C36)=8,$P$3,IF(MONTH($C36)=9,$P$4,IF(MONTH($C36)=10,$P$5,IF(MONTH($C36)=11,$P$6,IF(MONTH($C36)=12,$P$7,NA())))))</f>
        <v>185.26285430655992</v>
      </c>
      <c r="AC36" s="6"/>
      <c r="AD36" s="43">
        <v>1944</v>
      </c>
      <c r="AE36" s="1">
        <f>VLOOKUP(AD36,Flags!$A$13:$B$95,2,FALSE)</f>
        <v>4</v>
      </c>
      <c r="AF36" s="43">
        <f t="shared" si="6"/>
        <v>0</v>
      </c>
      <c r="AG36" s="43">
        <f t="shared" si="7"/>
        <v>536.4356380027582</v>
      </c>
      <c r="AH36" s="43">
        <f t="shared" si="8"/>
        <v>0</v>
      </c>
      <c r="AI36" s="43">
        <f t="shared" si="9"/>
        <v>28779.487859310437</v>
      </c>
      <c r="AJ36" s="43">
        <f t="shared" si="10"/>
        <v>425.35607502582639</v>
      </c>
      <c r="AK36" s="43">
        <f t="shared" si="1"/>
        <v>425.35607502582639</v>
      </c>
      <c r="AL36" s="43">
        <f t="shared" si="11"/>
        <v>0</v>
      </c>
    </row>
    <row r="37" spans="1:42" x14ac:dyDescent="0.3">
      <c r="A37" s="32">
        <f>VLOOKUP(YEAR(C37),Flags!$A$13:$B$95,2,FALSE)</f>
        <v>5</v>
      </c>
      <c r="B37" s="24">
        <f t="shared" si="2"/>
        <v>1924</v>
      </c>
      <c r="C37" s="25">
        <v>9040</v>
      </c>
      <c r="D37" s="26"/>
      <c r="E37" s="24"/>
      <c r="F37" s="26"/>
      <c r="G37" s="24"/>
      <c r="H37" s="24"/>
      <c r="I37" s="26"/>
      <c r="J37" s="24"/>
      <c r="K37" s="26">
        <f>VLOOKUP($C37,COS!$B$8:$H$991,2,FALSE)</f>
        <v>953.81658935546875</v>
      </c>
      <c r="L37" s="24">
        <f t="shared" ref="L37" si="49">IF(AND(K37&gt;$I$7,K37&lt;$I$8),1,0)</f>
        <v>1</v>
      </c>
      <c r="M37" s="24"/>
      <c r="N37" s="26"/>
      <c r="O37" s="26"/>
      <c r="P37" s="26"/>
      <c r="Q37" s="26"/>
      <c r="R37" s="26"/>
      <c r="S37" s="26"/>
      <c r="T37" s="26"/>
      <c r="U37" s="26"/>
      <c r="V37" s="26"/>
      <c r="W37" s="26">
        <f>MAX($C$8-VLOOKUP($C37,COS!$B$8:$H$991,3,FALSE),0)</f>
        <v>93796.91650390625</v>
      </c>
      <c r="X37" s="26">
        <f t="shared" si="31"/>
        <v>5581.3041225464876</v>
      </c>
      <c r="Y37" s="26">
        <f>VLOOKUP($C37,COS!$B$8:$H$991,4,FALSE)</f>
        <v>1832.2586669921875</v>
      </c>
      <c r="Z37" s="26">
        <f t="shared" si="32"/>
        <v>109.02696200284092</v>
      </c>
      <c r="AA37" s="26">
        <f t="shared" si="47"/>
        <v>1832.2586669921875</v>
      </c>
      <c r="AB37" s="33">
        <f t="shared" si="34"/>
        <v>109.02696200284092</v>
      </c>
      <c r="AC37" s="6"/>
      <c r="AD37" s="43">
        <v>1945</v>
      </c>
      <c r="AE37" s="1">
        <f>VLOOKUP(AD37,Flags!$A$13:$B$95,2,FALSE)</f>
        <v>3</v>
      </c>
      <c r="AF37" s="43">
        <f t="shared" si="6"/>
        <v>114.73130423553718</v>
      </c>
      <c r="AG37" s="43">
        <f t="shared" si="7"/>
        <v>638.10357915200473</v>
      </c>
      <c r="AH37" s="43">
        <f t="shared" si="8"/>
        <v>0</v>
      </c>
      <c r="AI37" s="43">
        <f t="shared" si="9"/>
        <v>26767.336712293389</v>
      </c>
      <c r="AJ37" s="43">
        <f t="shared" si="10"/>
        <v>122.39421326188017</v>
      </c>
      <c r="AK37" s="43">
        <f t="shared" si="1"/>
        <v>122.39421326188017</v>
      </c>
      <c r="AL37" s="43">
        <f t="shared" si="11"/>
        <v>0</v>
      </c>
    </row>
    <row r="38" spans="1:42" x14ac:dyDescent="0.3">
      <c r="A38" s="32">
        <f>VLOOKUP(YEAR(C38),Flags!$A$13:$B$95,2,FALSE)</f>
        <v>5</v>
      </c>
      <c r="B38" s="24">
        <f t="shared" si="2"/>
        <v>1924</v>
      </c>
      <c r="C38" s="25">
        <v>9071</v>
      </c>
      <c r="D38" s="26"/>
      <c r="E38" s="24"/>
      <c r="F38" s="26"/>
      <c r="G38" s="26"/>
      <c r="H38" s="26"/>
      <c r="I38" s="26"/>
      <c r="J38" s="26"/>
      <c r="K38" s="26"/>
      <c r="L38" s="24"/>
      <c r="M38" s="24"/>
      <c r="N38" s="26"/>
      <c r="O38" s="26"/>
      <c r="P38" s="26"/>
      <c r="Q38" s="26"/>
      <c r="R38" s="26"/>
      <c r="S38" s="26"/>
      <c r="T38" s="26"/>
      <c r="U38" s="26"/>
      <c r="V38" s="26"/>
      <c r="W38" s="26">
        <f>MAX($C$9-VLOOKUP($C38,COS!$B$8:$H$991,3,FALSE),0)</f>
        <v>95975.56103515625</v>
      </c>
      <c r="X38" s="26">
        <f t="shared" si="31"/>
        <v>5901.3072239798548</v>
      </c>
      <c r="Y38" s="26">
        <f>VLOOKUP($C38,COS!$B$8:$H$991,4,FALSE)</f>
        <v>661.1058349609375</v>
      </c>
      <c r="Z38" s="26">
        <f t="shared" si="32"/>
        <v>40.649813323217977</v>
      </c>
      <c r="AA38" s="26">
        <f t="shared" si="47"/>
        <v>661.1058349609375</v>
      </c>
      <c r="AB38" s="33">
        <f t="shared" si="34"/>
        <v>40.649813323217977</v>
      </c>
      <c r="AC38" s="6"/>
      <c r="AD38" s="43">
        <v>1946</v>
      </c>
      <c r="AE38" s="1">
        <f>VLOOKUP(AD38,Flags!$A$13:$B$95,2,FALSE)</f>
        <v>2</v>
      </c>
      <c r="AF38" s="43">
        <f t="shared" si="6"/>
        <v>407.88433400051656</v>
      </c>
      <c r="AG38" s="43">
        <f t="shared" si="7"/>
        <v>703.64850392239146</v>
      </c>
      <c r="AH38" s="43">
        <f t="shared" si="8"/>
        <v>0</v>
      </c>
      <c r="AI38" s="43">
        <f t="shared" si="9"/>
        <v>27759.638933367765</v>
      </c>
      <c r="AJ38" s="43">
        <f t="shared" si="10"/>
        <v>168.4989415192407</v>
      </c>
      <c r="AK38" s="43">
        <f t="shared" si="1"/>
        <v>168.4989415192407</v>
      </c>
      <c r="AL38" s="43">
        <f t="shared" si="11"/>
        <v>0</v>
      </c>
    </row>
    <row r="39" spans="1:42" x14ac:dyDescent="0.3">
      <c r="A39" s="32">
        <f>VLOOKUP(YEAR(C39),Flags!$A$13:$B$95,2,FALSE)</f>
        <v>5</v>
      </c>
      <c r="B39" s="24">
        <f t="shared" si="2"/>
        <v>1924</v>
      </c>
      <c r="C39" s="25">
        <v>9101</v>
      </c>
      <c r="D39" s="26"/>
      <c r="E39" s="24"/>
      <c r="F39" s="26"/>
      <c r="G39" s="26"/>
      <c r="H39" s="26"/>
      <c r="I39" s="26"/>
      <c r="J39" s="26"/>
      <c r="K39" s="26"/>
      <c r="L39" s="24"/>
      <c r="M39" s="24"/>
      <c r="N39" s="26"/>
      <c r="O39" s="26"/>
      <c r="P39" s="26"/>
      <c r="Q39" s="26"/>
      <c r="R39" s="26"/>
      <c r="S39" s="26"/>
      <c r="T39" s="26"/>
      <c r="U39" s="26"/>
      <c r="V39" s="26"/>
      <c r="W39" s="26">
        <f>MAX($C$10-VLOOKUP($C39,COS!$B$8:$H$991,3,FALSE),0)</f>
        <v>96749</v>
      </c>
      <c r="X39" s="26">
        <f t="shared" si="31"/>
        <v>5756.965289256198</v>
      </c>
      <c r="Y39" s="26">
        <f>VLOOKUP($C39,COS!$B$8:$H$991,4,FALSE)</f>
        <v>1030.6826171875</v>
      </c>
      <c r="Z39" s="26">
        <f t="shared" si="32"/>
        <v>61.329874741735537</v>
      </c>
      <c r="AA39" s="26">
        <f t="shared" si="47"/>
        <v>1030.6826171875</v>
      </c>
      <c r="AB39" s="33">
        <f t="shared" si="34"/>
        <v>61.329874741735537</v>
      </c>
      <c r="AC39" s="6"/>
      <c r="AD39" s="43">
        <v>1947</v>
      </c>
      <c r="AE39" s="1">
        <f>VLOOKUP(AD39,Flags!$A$13:$B$95,2,FALSE)</f>
        <v>4</v>
      </c>
      <c r="AF39" s="43">
        <f t="shared" si="6"/>
        <v>277.55906249999998</v>
      </c>
      <c r="AG39" s="43">
        <f t="shared" si="7"/>
        <v>637.84218946724877</v>
      </c>
      <c r="AH39" s="43">
        <f t="shared" si="8"/>
        <v>277.55906249999998</v>
      </c>
      <c r="AI39" s="43">
        <f t="shared" si="9"/>
        <v>28843.136269369832</v>
      </c>
      <c r="AJ39" s="43">
        <f t="shared" si="10"/>
        <v>397.17103701252586</v>
      </c>
      <c r="AK39" s="43">
        <f t="shared" si="1"/>
        <v>397.17103701252586</v>
      </c>
      <c r="AL39" s="43">
        <f t="shared" si="11"/>
        <v>277.55906249999998</v>
      </c>
    </row>
    <row r="40" spans="1:42" x14ac:dyDescent="0.3">
      <c r="A40" s="34">
        <f>VLOOKUP(YEAR(C40),Flags!$A$13:$B$95,2,FALSE)</f>
        <v>5</v>
      </c>
      <c r="B40" s="35">
        <f t="shared" si="2"/>
        <v>1924</v>
      </c>
      <c r="C40" s="36">
        <v>9132</v>
      </c>
      <c r="D40" s="37"/>
      <c r="E40" s="35"/>
      <c r="F40" s="37"/>
      <c r="G40" s="37"/>
      <c r="H40" s="37"/>
      <c r="I40" s="37"/>
      <c r="J40" s="37"/>
      <c r="K40" s="37"/>
      <c r="L40" s="35"/>
      <c r="M40" s="35"/>
      <c r="N40" s="37"/>
      <c r="O40" s="37"/>
      <c r="P40" s="37"/>
      <c r="Q40" s="37"/>
      <c r="R40" s="37"/>
      <c r="S40" s="37"/>
      <c r="T40" s="37"/>
      <c r="U40" s="37"/>
      <c r="V40" s="37"/>
      <c r="W40" s="37">
        <f>MAX($C$11-VLOOKUP($C40,COS!$B$8:$H$991,3,FALSE),0)</f>
        <v>96749</v>
      </c>
      <c r="X40" s="37">
        <f t="shared" si="31"/>
        <v>5948.8641322314052</v>
      </c>
      <c r="Y40" s="37">
        <f>VLOOKUP($C40,COS!$B$8:$H$991,4,FALSE)</f>
        <v>3291.532958984375</v>
      </c>
      <c r="Z40" s="37">
        <f t="shared" si="32"/>
        <v>202.38847284994836</v>
      </c>
      <c r="AA40" s="37">
        <f t="shared" si="47"/>
        <v>3291.532958984375</v>
      </c>
      <c r="AB40" s="38">
        <f t="shared" si="34"/>
        <v>202.38847284994836</v>
      </c>
      <c r="AC40" s="6"/>
      <c r="AD40" s="43">
        <v>1948</v>
      </c>
      <c r="AE40" s="1">
        <f>VLOOKUP(AD40,Flags!$A$13:$B$95,2,FALSE)</f>
        <v>3</v>
      </c>
      <c r="AF40" s="43">
        <f t="shared" si="6"/>
        <v>208.57675878099175</v>
      </c>
      <c r="AG40" s="43">
        <f t="shared" si="7"/>
        <v>636.59657708538452</v>
      </c>
      <c r="AH40" s="43">
        <f t="shared" si="8"/>
        <v>0</v>
      </c>
      <c r="AI40" s="43">
        <f t="shared" si="9"/>
        <v>28560.025635007747</v>
      </c>
      <c r="AJ40" s="43">
        <f t="shared" si="10"/>
        <v>206.49819967474818</v>
      </c>
      <c r="AK40" s="43">
        <f t="shared" si="1"/>
        <v>206.49819967474818</v>
      </c>
      <c r="AL40" s="43">
        <f t="shared" si="11"/>
        <v>0</v>
      </c>
    </row>
    <row r="41" spans="1:42" x14ac:dyDescent="0.3">
      <c r="A41" s="27">
        <f>VLOOKUP(YEAR(C41),Flags!$A$13:$B$95,2,FALSE)</f>
        <v>4</v>
      </c>
      <c r="B41" s="28">
        <f t="shared" si="2"/>
        <v>1925</v>
      </c>
      <c r="C41" s="29">
        <v>9252</v>
      </c>
      <c r="D41" s="30">
        <f>VLOOKUP($C41,COS!$B$8:$H$991,3,FALSE)</f>
        <v>3250</v>
      </c>
      <c r="E41" s="28">
        <f>IF(D41&gt;=IF(MONTH($C41)=4,$C$3,IF(MONTH($C41)=5,$C$4,IF(MONTH($C41)=6,$C$5,IF(MONTH($C41)=7,$C$6,"ERROR")))),1,0)</f>
        <v>0</v>
      </c>
      <c r="F41" s="30">
        <f>VLOOKUP($C41,COS!$B$8:$H$991,7,FALSE)</f>
        <v>49.611015319824219</v>
      </c>
      <c r="G41" s="28">
        <f>IF(F41&lt;=IF(MONTH($C41)=4,$F$3,IF(MONTH($C41)=5,$F$4,IF(MONTH($C41)=6,$F$5,IF(MONTH($C41)=7,$F$6,"ERROR")))),1,0)</f>
        <v>1</v>
      </c>
      <c r="H41" s="30">
        <f>IF(J41=1,D41-$C$3,0)</f>
        <v>0</v>
      </c>
      <c r="I41" s="30">
        <f t="shared" si="17"/>
        <v>0</v>
      </c>
      <c r="J41" s="28">
        <f t="shared" ref="J41:J44" si="50">IF(AND(E41=1,G41=1),1,0)</f>
        <v>0</v>
      </c>
      <c r="K41" s="30">
        <f>VLOOKUP($C41,COS!$B$8:$H$991,2,FALSE)</f>
        <v>4202.82470703125</v>
      </c>
      <c r="L41" s="28">
        <f t="shared" ref="L41" si="51">IF(K41&lt;=IF(MONTH($C41)=4,$I$3,IF(MONTH($C41)=5,$I$4,IF(MONTH($C41)=6,$I$5,IF(MONTH($C41)=7,$I$6,"ERROR")))),1,0)</f>
        <v>1</v>
      </c>
      <c r="M41" s="28">
        <f t="shared" ref="M41" si="52">VLOOKUP($A41,$L$3:$M$7,2,FALSE)</f>
        <v>1</v>
      </c>
      <c r="N41" s="30">
        <f>VLOOKUP($C41,COS!$B$8:$H$991,5,FALSE)</f>
        <v>154.96903991699219</v>
      </c>
      <c r="O41" s="30">
        <f t="shared" ref="O41:O44" si="53">N41*DAY($C41)*86400/43560/1000</f>
        <v>9.2212982429945765</v>
      </c>
      <c r="P41" s="30">
        <f>VLOOKUP($C41,COS!$B$8:$H$991,6,FALSE)</f>
        <v>375.54595947265625</v>
      </c>
      <c r="Q41" s="30">
        <f t="shared" ref="Q41:Q44" si="54">P41*DAY($C41)*86400/43560/1000</f>
        <v>22.346536431430785</v>
      </c>
      <c r="R41" s="30">
        <f>MIN(IF(MONTH($C41)=4,$S$3,IF(MONTH($C41)=5,$S$4,IF(MONTH($C41)=6,$S$5,IF(MONTH($C41)=7,$S$6,"ERROR")))),MAX(VLOOKUP($C41,COS!$B$8:$K$991,10,FALSE)-IF(MONTH($C41)=4,$Y$3,IF(MONTH($C41)=5,$Y$4,IF(MONTH($C41)=6,$Y$5,IF(MONTH($C41)=7,$Y$6,"ERROR")))),0),MAX(VLOOKUP($C41,COS!$B$8:$K$991,9,FALSE)-IF(MONTH($C41)=4,$V$3,IF(MONTH($C41)=5,$V$4,IF(MONTH($C41)=6,$V$5,IF(MONTH($C41)=7,$V$6,"ERROR"))))-VLOOKUP($C41,COS!$B$8:$K$991,6,FALSE)/2,0))</f>
        <v>1500</v>
      </c>
      <c r="S41" s="30">
        <f t="shared" ref="S41:S44" si="55">R41*DAY($C41)*86400/43560/1000</f>
        <v>89.256198347107429</v>
      </c>
      <c r="T41" s="30">
        <f t="shared" ref="T41:T44" si="56">(O41+Q41)/2+S41</f>
        <v>105.04011568432011</v>
      </c>
      <c r="U41" s="30" t="str">
        <f>IF(VLOOKUP($C41,COS!$B$8:$I$991,8,FALSE)=1,"UWFE","IBU")</f>
        <v>UWFE</v>
      </c>
      <c r="V41" s="30">
        <f t="shared" ref="V41" si="57">MIN(IF(IF($AA$3=2,AND(E41=1,G41=1,L41=1,L46=1,M41=1,U41="IBU"),AND(E41=1,G41=1,L41=1,L46=1,M41=1)),T41,0),I41)</f>
        <v>0</v>
      </c>
      <c r="W41" s="30"/>
      <c r="X41" s="30"/>
      <c r="Y41" s="30"/>
      <c r="Z41" s="30"/>
      <c r="AA41" s="30"/>
      <c r="AB41" s="31"/>
      <c r="AC41" s="6"/>
      <c r="AD41" s="43">
        <v>1949</v>
      </c>
      <c r="AE41" s="1">
        <f>VLOOKUP(AD41,Flags!$A$13:$B$95,2,FALSE)</f>
        <v>4</v>
      </c>
      <c r="AF41" s="43">
        <f t="shared" si="6"/>
        <v>193.31074993543388</v>
      </c>
      <c r="AG41" s="43">
        <f t="shared" si="7"/>
        <v>668.08874654974829</v>
      </c>
      <c r="AH41" s="43">
        <f t="shared" si="8"/>
        <v>156.38789449896694</v>
      </c>
      <c r="AI41" s="43">
        <f t="shared" si="9"/>
        <v>28519.192326639979</v>
      </c>
      <c r="AJ41" s="43">
        <f t="shared" si="10"/>
        <v>433.91744003422002</v>
      </c>
      <c r="AK41" s="43">
        <f t="shared" si="1"/>
        <v>433.91744003422002</v>
      </c>
      <c r="AL41" s="43">
        <f t="shared" si="11"/>
        <v>156.38789449896694</v>
      </c>
    </row>
    <row r="42" spans="1:42" x14ac:dyDescent="0.3">
      <c r="A42" s="32">
        <f>VLOOKUP(YEAR(C42),Flags!$A$13:$B$95,2,FALSE)</f>
        <v>4</v>
      </c>
      <c r="B42" s="24">
        <f t="shared" si="2"/>
        <v>1925</v>
      </c>
      <c r="C42" s="25">
        <v>9283</v>
      </c>
      <c r="D42" s="26">
        <f>VLOOKUP($C42,COS!$B$8:$H$991,3,FALSE)</f>
        <v>6016.6982421875</v>
      </c>
      <c r="E42" s="24">
        <f>IF(D42&gt;=IF(MONTH($C42)=4,$C$3,IF(MONTH($C42)=5,$C$4,IF(MONTH($C42)=6,$C$5,IF(MONTH($C42)=7,$C$6,"ERROR")))),1,0)</f>
        <v>1</v>
      </c>
      <c r="F42" s="26">
        <f>VLOOKUP($C42,COS!$B$8:$H$991,7,FALSE)</f>
        <v>50.364429473876953</v>
      </c>
      <c r="G42" s="24">
        <f>IF(F42&lt;=IF(MONTH($C42)=4,$F$3,IF(MONTH($C42)=5,$F$4,IF(MONTH($C42)=6,$F$5,IF(MONTH($C42)=7,$F$6,"ERROR")))),1,0)</f>
        <v>1</v>
      </c>
      <c r="H42" s="26">
        <f>IF(J42=1,D42-$C$4,0)</f>
        <v>16.6982421875</v>
      </c>
      <c r="I42" s="26">
        <f t="shared" si="17"/>
        <v>1.0267348915289256</v>
      </c>
      <c r="J42" s="24">
        <f t="shared" si="50"/>
        <v>1</v>
      </c>
      <c r="K42" s="26">
        <f>VLOOKUP($C42,COS!$B$8:$H$991,2,FALSE)</f>
        <v>4282.16650390625</v>
      </c>
      <c r="L42" s="24">
        <f t="shared" si="19"/>
        <v>1</v>
      </c>
      <c r="M42" s="24">
        <f t="shared" si="20"/>
        <v>1</v>
      </c>
      <c r="N42" s="26">
        <f>VLOOKUP($C42,COS!$B$8:$H$991,5,FALSE)</f>
        <v>377.79129028320313</v>
      </c>
      <c r="O42" s="26">
        <f t="shared" si="53"/>
        <v>23.229480989314307</v>
      </c>
      <c r="P42" s="26">
        <f>VLOOKUP($C42,COS!$B$8:$H$991,6,FALSE)</f>
        <v>1796.5595703125</v>
      </c>
      <c r="Q42" s="26">
        <f t="shared" si="54"/>
        <v>110.46614217458676</v>
      </c>
      <c r="R42" s="26">
        <f>MIN(IF(MONTH($C42)=4,$S$3,IF(MONTH($C42)=5,$S$4,IF(MONTH($C42)=6,$S$5,IF(MONTH($C42)=7,$S$6,"ERROR")))),MAX(VLOOKUP($C42,COS!$B$8:$K$991,10,FALSE)-IF(MONTH($C42)=4,$Y$3,IF(MONTH($C42)=5,$Y$4,IF(MONTH($C42)=6,$Y$5,IF(MONTH($C42)=7,$Y$6,"ERROR")))),0),MAX(VLOOKUP($C42,COS!$B$8:$K$991,9,FALSE)-IF(MONTH($C42)=4,$V$3,IF(MONTH($C42)=5,$V$4,IF(MONTH($C42)=6,$V$5,IF(MONTH($C42)=7,$V$6,"ERROR"))))-VLOOKUP($C42,COS!$B$8:$K$991,6,FALSE)/2,0))</f>
        <v>1500</v>
      </c>
      <c r="S42" s="26">
        <f t="shared" si="55"/>
        <v>92.231404958677686</v>
      </c>
      <c r="T42" s="26">
        <f t="shared" si="56"/>
        <v>159.07921654062824</v>
      </c>
      <c r="U42" s="26" t="str">
        <f>IF(VLOOKUP($C42,COS!$B$8:$I$991,8,FALSE)=1,"UWFE","IBU")</f>
        <v>UWFE</v>
      </c>
      <c r="V42" s="26">
        <f t="shared" ref="V42" si="58">MIN(IF(IF($AA$3=2,AND(E42=1,G42=1,L42=1,L46=1,M42=1,U42="IBU"),AND(E42=1,G42=1,L42=1,L46=1,M42=1)),T42,0),I42)</f>
        <v>0</v>
      </c>
      <c r="W42" s="26"/>
      <c r="X42" s="26"/>
      <c r="Y42" s="26"/>
      <c r="Z42" s="26"/>
      <c r="AA42" s="26"/>
      <c r="AB42" s="33"/>
      <c r="AC42" s="6"/>
      <c r="AD42" s="43">
        <v>1950</v>
      </c>
      <c r="AE42" s="1">
        <f>VLOOKUP(AD42,Flags!$A$13:$B$95,2,FALSE)</f>
        <v>4</v>
      </c>
      <c r="AF42" s="43">
        <f t="shared" si="6"/>
        <v>24.391813985020661</v>
      </c>
      <c r="AG42" s="43">
        <f t="shared" si="7"/>
        <v>648.70872080905383</v>
      </c>
      <c r="AH42" s="43">
        <f t="shared" si="8"/>
        <v>0</v>
      </c>
      <c r="AI42" s="43">
        <f t="shared" si="9"/>
        <v>27332.766608987604</v>
      </c>
      <c r="AJ42" s="43">
        <f t="shared" si="10"/>
        <v>112.07308938775182</v>
      </c>
      <c r="AK42" s="43">
        <f t="shared" si="1"/>
        <v>112.07308938775182</v>
      </c>
      <c r="AL42" s="43">
        <f t="shared" si="11"/>
        <v>0</v>
      </c>
    </row>
    <row r="43" spans="1:42" x14ac:dyDescent="0.3">
      <c r="A43" s="32">
        <f>VLOOKUP(YEAR(C43),Flags!$A$13:$B$95,2,FALSE)</f>
        <v>4</v>
      </c>
      <c r="B43" s="24">
        <f t="shared" si="2"/>
        <v>1925</v>
      </c>
      <c r="C43" s="25">
        <v>9313</v>
      </c>
      <c r="D43" s="26">
        <f>VLOOKUP($C43,COS!$B$8:$H$991,3,FALSE)</f>
        <v>9612.4140625</v>
      </c>
      <c r="E43" s="24">
        <f>IF(D43&gt;=IF(MONTH($C43)=4,$C$3,IF(MONTH($C43)=5,$C$4,IF(MONTH($C43)=6,$C$5,IF(MONTH($C43)=7,$C$6,"ERROR")))),1,0)</f>
        <v>0</v>
      </c>
      <c r="F43" s="26">
        <f>VLOOKUP($C43,COS!$B$8:$H$991,7,FALSE)</f>
        <v>50.799709320068359</v>
      </c>
      <c r="G43" s="24">
        <f>IF(F43&lt;=IF(MONTH($C43)=4,$F$3,IF(MONTH($C43)=5,$F$4,IF(MONTH($C43)=6,$F$5,IF(MONTH($C43)=7,$F$6,"ERROR")))),1,0)</f>
        <v>1</v>
      </c>
      <c r="H43" s="26">
        <f>IF(J43=1,D43-$C$5,0)</f>
        <v>0</v>
      </c>
      <c r="I43" s="26">
        <f t="shared" si="17"/>
        <v>0</v>
      </c>
      <c r="J43" s="24">
        <f t="shared" si="50"/>
        <v>0</v>
      </c>
      <c r="K43" s="26">
        <f>VLOOKUP($C43,COS!$B$8:$H$991,2,FALSE)</f>
        <v>3989.940673828125</v>
      </c>
      <c r="L43" s="24">
        <f t="shared" si="19"/>
        <v>1</v>
      </c>
      <c r="M43" s="24">
        <f t="shared" si="20"/>
        <v>1</v>
      </c>
      <c r="N43" s="26">
        <f>VLOOKUP($C43,COS!$B$8:$H$991,5,FALSE)</f>
        <v>794.0576171875</v>
      </c>
      <c r="O43" s="26">
        <f t="shared" si="53"/>
        <v>47.249709452479337</v>
      </c>
      <c r="P43" s="26">
        <f>VLOOKUP($C43,COS!$B$8:$H$991,6,FALSE)</f>
        <v>2591.778564453125</v>
      </c>
      <c r="Q43" s="26">
        <f t="shared" si="54"/>
        <v>154.22153441373965</v>
      </c>
      <c r="R43" s="26">
        <f>MIN(IF(MONTH($C43)=4,$S$3,IF(MONTH($C43)=5,$S$4,IF(MONTH($C43)=6,$S$5,IF(MONTH($C43)=7,$S$6,"ERROR")))),MAX(VLOOKUP($C43,COS!$B$8:$K$991,10,FALSE)-IF(MONTH($C43)=4,$Y$3,IF(MONTH($C43)=5,$Y$4,IF(MONTH($C43)=6,$Y$5,IF(MONTH($C43)=7,$Y$6,"ERROR")))),0),MAX(VLOOKUP($C43,COS!$B$8:$K$991,9,FALSE)-IF(MONTH($C43)=4,$V$3,IF(MONTH($C43)=5,$V$4,IF(MONTH($C43)=6,$V$5,IF(MONTH($C43)=7,$V$6,"ERROR"))))-VLOOKUP($C43,COS!$B$8:$K$991,6,FALSE)/2,0))</f>
        <v>1500</v>
      </c>
      <c r="S43" s="26">
        <f t="shared" si="55"/>
        <v>89.256198347107429</v>
      </c>
      <c r="T43" s="26">
        <f t="shared" si="56"/>
        <v>189.99182028021693</v>
      </c>
      <c r="U43" s="26" t="str">
        <f>IF(VLOOKUP($C43,COS!$B$8:$I$991,8,FALSE)=1,"UWFE","IBU")</f>
        <v>IBU</v>
      </c>
      <c r="V43" s="26">
        <f t="shared" ref="V43" si="59">MIN(IF(IF($AA$3=2,AND(E43=1,G43=1,L43=1,L46=1,M43=1,U43="IBU"),AND(E43=1,G43=1,L43=1,L46=1,M43=1)),T43,0),I43)</f>
        <v>0</v>
      </c>
      <c r="W43" s="26"/>
      <c r="X43" s="26"/>
      <c r="Y43" s="26"/>
      <c r="Z43" s="26"/>
      <c r="AA43" s="26"/>
      <c r="AB43" s="33"/>
      <c r="AC43" s="6"/>
      <c r="AD43" s="43">
        <v>1951</v>
      </c>
      <c r="AE43" s="1">
        <f>VLOOKUP(AD43,Flags!$A$13:$B$95,2,FALSE)</f>
        <v>2</v>
      </c>
      <c r="AF43" s="43">
        <f t="shared" si="6"/>
        <v>318.2121345557851</v>
      </c>
      <c r="AG43" s="43">
        <f t="shared" si="7"/>
        <v>645.21338185207901</v>
      </c>
      <c r="AH43" s="43">
        <f t="shared" si="8"/>
        <v>0</v>
      </c>
      <c r="AI43" s="43">
        <f t="shared" si="9"/>
        <v>27538.720263106919</v>
      </c>
      <c r="AJ43" s="43">
        <f t="shared" si="10"/>
        <v>123.98751945054235</v>
      </c>
      <c r="AK43" s="43">
        <f t="shared" si="1"/>
        <v>123.98751945054235</v>
      </c>
      <c r="AL43" s="43">
        <f t="shared" si="11"/>
        <v>0</v>
      </c>
    </row>
    <row r="44" spans="1:42" x14ac:dyDescent="0.3">
      <c r="A44" s="32">
        <f>VLOOKUP(YEAR(C44),Flags!$A$13:$B$95,2,FALSE)</f>
        <v>4</v>
      </c>
      <c r="B44" s="24">
        <f t="shared" si="2"/>
        <v>1925</v>
      </c>
      <c r="C44" s="25">
        <v>9344</v>
      </c>
      <c r="D44" s="26">
        <f>VLOOKUP($C44,COS!$B$8:$H$991,3,FALSE)</f>
        <v>12695.501953125</v>
      </c>
      <c r="E44" s="24">
        <f>IF(D44&gt;=IF(MONTH($C44)=4,$C$3,IF(MONTH($C44)=5,$C$4,IF(MONTH($C44)=6,$C$5,IF(MONTH($C44)=7,$C$6,"ERROR")))),1,0)</f>
        <v>1</v>
      </c>
      <c r="F44" s="26">
        <f>VLOOKUP($C44,COS!$B$8:$H$991,7,FALSE)</f>
        <v>51.456871032714844</v>
      </c>
      <c r="G44" s="24">
        <f>IF(F44&lt;=IF(MONTH($C44)=4,$F$3,IF(MONTH($C44)=5,$F$4,IF(MONTH($C44)=6,$F$5,IF(MONTH($C44)=7,$F$6,"ERROR")))),1,0)</f>
        <v>1</v>
      </c>
      <c r="H44" s="26">
        <f>IF(J44=1,D44-$C$6,0)</f>
        <v>695.501953125</v>
      </c>
      <c r="I44" s="26">
        <f t="shared" si="17"/>
        <v>42.764748192148765</v>
      </c>
      <c r="J44" s="24">
        <f t="shared" si="50"/>
        <v>1</v>
      </c>
      <c r="K44" s="26">
        <f>VLOOKUP($C44,COS!$B$8:$H$991,2,FALSE)</f>
        <v>3437.54150390625</v>
      </c>
      <c r="L44" s="24">
        <f t="shared" si="19"/>
        <v>1</v>
      </c>
      <c r="M44" s="24">
        <f t="shared" si="20"/>
        <v>1</v>
      </c>
      <c r="N44" s="26">
        <f>VLOOKUP($C44,COS!$B$8:$H$991,5,FALSE)</f>
        <v>979.5245361328125</v>
      </c>
      <c r="O44" s="26">
        <f t="shared" si="53"/>
        <v>60.228616106017569</v>
      </c>
      <c r="P44" s="26">
        <f>VLOOKUP($C44,COS!$B$8:$H$991,6,FALSE)</f>
        <v>2538.07568359375</v>
      </c>
      <c r="Q44" s="26">
        <f t="shared" si="54"/>
        <v>156.06019079287191</v>
      </c>
      <c r="R44" s="26">
        <f>MIN(IF(MONTH($C44)=4,$S$3,IF(MONTH($C44)=5,$S$4,IF(MONTH($C44)=6,$S$5,IF(MONTH($C44)=7,$S$6,"ERROR")))),MAX(VLOOKUP($C44,COS!$B$8:$K$991,10,FALSE)-IF(MONTH($C44)=4,$Y$3,IF(MONTH($C44)=5,$Y$4,IF(MONTH($C44)=6,$Y$5,IF(MONTH($C44)=7,$Y$6,"ERROR")))),0),MAX(VLOOKUP($C44,COS!$B$8:$K$991,9,FALSE)-IF(MONTH($C44)=4,$V$3,IF(MONTH($C44)=5,$V$4,IF(MONTH($C44)=6,$V$5,IF(MONTH($C44)=7,$V$6,"ERROR"))))-VLOOKUP($C44,COS!$B$8:$K$991,6,FALSE)/2,0))</f>
        <v>1500</v>
      </c>
      <c r="S44" s="26">
        <f t="shared" si="55"/>
        <v>92.231404958677686</v>
      </c>
      <c r="T44" s="26">
        <f t="shared" si="56"/>
        <v>200.37580840812242</v>
      </c>
      <c r="U44" s="26" t="str">
        <f>IF(VLOOKUP($C44,COS!$B$8:$I$991,8,FALSE)=1,"UWFE","IBU")</f>
        <v>IBU</v>
      </c>
      <c r="V44" s="26">
        <f t="shared" ref="V44" si="60">MIN(IF(IF($AA$3=2,AND(E44=1,G44=1,L44=1,L46=1,M44=1,U44="IBU"),AND(E44=1,G44=1,L44=1,L46=1,M44=1)),T44,0),I44)</f>
        <v>42.764748192148765</v>
      </c>
      <c r="W44" s="26"/>
      <c r="X44" s="26"/>
      <c r="Y44" s="26"/>
      <c r="Z44" s="26"/>
      <c r="AA44" s="26"/>
      <c r="AB44" s="33"/>
      <c r="AC44" s="6"/>
      <c r="AD44" s="43">
        <v>1952</v>
      </c>
      <c r="AE44" s="1">
        <f>VLOOKUP(AD44,Flags!$A$13:$B$95,2,FALSE)</f>
        <v>1</v>
      </c>
      <c r="AF44" s="43">
        <f t="shared" si="6"/>
        <v>697.78984633264463</v>
      </c>
      <c r="AG44" s="43">
        <f t="shared" si="7"/>
        <v>685.72902777553577</v>
      </c>
      <c r="AH44" s="43">
        <f t="shared" si="8"/>
        <v>0</v>
      </c>
      <c r="AI44" s="43">
        <f t="shared" si="9"/>
        <v>27354.450310885848</v>
      </c>
      <c r="AJ44" s="43">
        <f t="shared" si="10"/>
        <v>58.610078891722623</v>
      </c>
      <c r="AK44" s="43">
        <f t="shared" si="1"/>
        <v>58.610078891722623</v>
      </c>
      <c r="AL44" s="43">
        <f t="shared" si="11"/>
        <v>0</v>
      </c>
    </row>
    <row r="45" spans="1:42" x14ac:dyDescent="0.3">
      <c r="A45" s="32">
        <f>VLOOKUP(YEAR(C45),Flags!$A$13:$B$95,2,FALSE)</f>
        <v>4</v>
      </c>
      <c r="B45" s="24">
        <f t="shared" si="2"/>
        <v>1925</v>
      </c>
      <c r="C45" s="25">
        <v>9375</v>
      </c>
      <c r="D45" s="26"/>
      <c r="E45" s="24"/>
      <c r="F45" s="26"/>
      <c r="G45" s="24"/>
      <c r="H45" s="24"/>
      <c r="I45" s="26"/>
      <c r="J45" s="24"/>
      <c r="K45" s="26"/>
      <c r="L45" s="24"/>
      <c r="M45" s="24"/>
      <c r="N45" s="26"/>
      <c r="O45" s="26"/>
      <c r="P45" s="26"/>
      <c r="Q45" s="26"/>
      <c r="R45" s="26"/>
      <c r="S45" s="26"/>
      <c r="T45" s="26"/>
      <c r="U45" s="26"/>
      <c r="V45" s="26"/>
      <c r="W45" s="26">
        <f>MAX($C$7-VLOOKUP($C45,COS!$B$8:$H$991,3,FALSE),0)</f>
        <v>90169.4140625</v>
      </c>
      <c r="X45" s="26">
        <f t="shared" si="31"/>
        <v>5544.3011621900823</v>
      </c>
      <c r="Y45" s="26">
        <f>VLOOKUP($C45,COS!$B$8:$H$991,4,FALSE)</f>
        <v>1755.4483642578125</v>
      </c>
      <c r="Z45" s="26">
        <f t="shared" si="32"/>
        <v>107.93831264527377</v>
      </c>
      <c r="AA45" s="26">
        <f t="shared" ref="AA45:AA49" si="61">MIN(W45,Y45)</f>
        <v>1755.4483642578125</v>
      </c>
      <c r="AB45" s="33">
        <f t="shared" ref="AB45" si="62">AA45*DAY($C45)*86400/43560/1000*IF(MONTH($C45)=8,$P$3,IF(MONTH($C45)=9,$P$4,IF(MONTH($C45)=10,$P$5,IF(MONTH($C45)=11,$P$6,IF(MONTH($C45)=12,$P$7,NA())))))</f>
        <v>107.93831264527377</v>
      </c>
      <c r="AC45" s="6"/>
      <c r="AD45" s="43">
        <v>1953</v>
      </c>
      <c r="AE45" s="1">
        <f>VLOOKUP(AD45,Flags!$A$13:$B$95,2,FALSE)</f>
        <v>1</v>
      </c>
      <c r="AF45" s="43">
        <f t="shared" si="6"/>
        <v>393.94290805785124</v>
      </c>
      <c r="AG45" s="43">
        <f t="shared" si="7"/>
        <v>699.80341564840523</v>
      </c>
      <c r="AH45" s="43">
        <f t="shared" si="8"/>
        <v>0</v>
      </c>
      <c r="AI45" s="43">
        <f t="shared" si="9"/>
        <v>27246.841087616216</v>
      </c>
      <c r="AJ45" s="43">
        <f t="shared" si="10"/>
        <v>184.16609680806309</v>
      </c>
      <c r="AK45" s="43">
        <f t="shared" si="1"/>
        <v>184.16609680806309</v>
      </c>
      <c r="AL45" s="43">
        <f t="shared" si="11"/>
        <v>0</v>
      </c>
    </row>
    <row r="46" spans="1:42" x14ac:dyDescent="0.3">
      <c r="A46" s="32">
        <f>VLOOKUP(YEAR(C46),Flags!$A$13:$B$95,2,FALSE)</f>
        <v>4</v>
      </c>
      <c r="B46" s="24">
        <f t="shared" si="2"/>
        <v>1925</v>
      </c>
      <c r="C46" s="25">
        <v>9405</v>
      </c>
      <c r="D46" s="26"/>
      <c r="E46" s="24"/>
      <c r="F46" s="26"/>
      <c r="G46" s="24"/>
      <c r="H46" s="24"/>
      <c r="I46" s="26"/>
      <c r="J46" s="24"/>
      <c r="K46" s="26">
        <f>VLOOKUP($C46,COS!$B$8:$H$991,2,FALSE)</f>
        <v>2972.557373046875</v>
      </c>
      <c r="L46" s="24">
        <f t="shared" ref="L46" si="63">IF(AND(K46&gt;$I$7,K46&lt;$I$8),1,0)</f>
        <v>1</v>
      </c>
      <c r="M46" s="24"/>
      <c r="N46" s="26"/>
      <c r="O46" s="26"/>
      <c r="P46" s="26"/>
      <c r="Q46" s="26"/>
      <c r="R46" s="26"/>
      <c r="S46" s="26"/>
      <c r="T46" s="26"/>
      <c r="U46" s="26"/>
      <c r="V46" s="26"/>
      <c r="W46" s="26">
        <f>MAX($C$8-VLOOKUP($C46,COS!$B$8:$H$991,3,FALSE),0)</f>
        <v>94122.39599609375</v>
      </c>
      <c r="X46" s="26">
        <f t="shared" si="31"/>
        <v>5600.6714972882237</v>
      </c>
      <c r="Y46" s="26">
        <f>VLOOKUP($C46,COS!$B$8:$H$991,4,FALSE)</f>
        <v>601.609375</v>
      </c>
      <c r="Z46" s="26">
        <f t="shared" si="32"/>
        <v>35.798243801652887</v>
      </c>
      <c r="AA46" s="26">
        <f t="shared" si="61"/>
        <v>601.609375</v>
      </c>
      <c r="AB46" s="33">
        <f t="shared" si="34"/>
        <v>35.798243801652887</v>
      </c>
      <c r="AC46" s="6"/>
      <c r="AD46" s="43">
        <v>1954</v>
      </c>
      <c r="AE46" s="1">
        <f>VLOOKUP(AD46,Flags!$A$13:$B$95,2,FALSE)</f>
        <v>2</v>
      </c>
      <c r="AF46" s="43">
        <f t="shared" si="6"/>
        <v>628.75953060433881</v>
      </c>
      <c r="AG46" s="43">
        <f t="shared" si="7"/>
        <v>682.99890435337034</v>
      </c>
      <c r="AH46" s="43">
        <f t="shared" si="8"/>
        <v>0</v>
      </c>
      <c r="AI46" s="43">
        <f t="shared" si="9"/>
        <v>27958.400209517044</v>
      </c>
      <c r="AJ46" s="43">
        <f t="shared" si="10"/>
        <v>98.616977740831601</v>
      </c>
      <c r="AK46" s="43">
        <f t="shared" si="1"/>
        <v>98.616977740831601</v>
      </c>
      <c r="AL46" s="43">
        <f t="shared" si="11"/>
        <v>0</v>
      </c>
    </row>
    <row r="47" spans="1:42" x14ac:dyDescent="0.3">
      <c r="A47" s="32">
        <f>VLOOKUP(YEAR(C47),Flags!$A$13:$B$95,2,FALSE)</f>
        <v>4</v>
      </c>
      <c r="B47" s="24">
        <f t="shared" si="2"/>
        <v>1925</v>
      </c>
      <c r="C47" s="25">
        <v>9436</v>
      </c>
      <c r="D47" s="26"/>
      <c r="E47" s="24"/>
      <c r="F47" s="26"/>
      <c r="G47" s="26"/>
      <c r="H47" s="26"/>
      <c r="I47" s="26"/>
      <c r="J47" s="26"/>
      <c r="K47" s="26"/>
      <c r="L47" s="24"/>
      <c r="M47" s="24"/>
      <c r="N47" s="26"/>
      <c r="O47" s="26"/>
      <c r="P47" s="26"/>
      <c r="Q47" s="26"/>
      <c r="R47" s="26"/>
      <c r="S47" s="26"/>
      <c r="T47" s="26"/>
      <c r="U47" s="26"/>
      <c r="V47" s="26"/>
      <c r="W47" s="26">
        <f>MAX($C$9-VLOOKUP($C47,COS!$B$8:$H$991,3,FALSE),0)</f>
        <v>94097.9453125</v>
      </c>
      <c r="X47" s="26">
        <f t="shared" si="31"/>
        <v>5785.8571332644624</v>
      </c>
      <c r="Y47" s="26">
        <f>VLOOKUP($C47,COS!$B$8:$H$991,4,FALSE)</f>
        <v>1509.1988525390625</v>
      </c>
      <c r="Z47" s="26">
        <f t="shared" si="32"/>
        <v>92.797020354467975</v>
      </c>
      <c r="AA47" s="26">
        <f t="shared" si="61"/>
        <v>1509.1988525390625</v>
      </c>
      <c r="AB47" s="33">
        <f t="shared" si="34"/>
        <v>92.797020354467975</v>
      </c>
      <c r="AC47" s="6"/>
      <c r="AD47" s="43">
        <v>1955</v>
      </c>
      <c r="AE47" s="1">
        <f>VLOOKUP(AD47,Flags!$A$13:$B$95,2,FALSE)</f>
        <v>4</v>
      </c>
      <c r="AF47" s="43">
        <f t="shared" si="6"/>
        <v>146.39928137913225</v>
      </c>
      <c r="AG47" s="43">
        <f t="shared" si="7"/>
        <v>650.48586702204932</v>
      </c>
      <c r="AH47" s="43">
        <f t="shared" si="8"/>
        <v>146.39928137913225</v>
      </c>
      <c r="AI47" s="43">
        <f t="shared" si="9"/>
        <v>27220.747638494318</v>
      </c>
      <c r="AJ47" s="43">
        <f t="shared" si="10"/>
        <v>316.76745553008783</v>
      </c>
      <c r="AK47" s="43">
        <f t="shared" si="1"/>
        <v>316.76745553008783</v>
      </c>
      <c r="AL47" s="43">
        <f t="shared" si="11"/>
        <v>146.39928137913225</v>
      </c>
    </row>
    <row r="48" spans="1:42" x14ac:dyDescent="0.3">
      <c r="A48" s="32">
        <f>VLOOKUP(YEAR(C48),Flags!$A$13:$B$95,2,FALSE)</f>
        <v>4</v>
      </c>
      <c r="B48" s="24">
        <f t="shared" si="2"/>
        <v>1925</v>
      </c>
      <c r="C48" s="25">
        <v>9466</v>
      </c>
      <c r="D48" s="26"/>
      <c r="E48" s="24"/>
      <c r="F48" s="26"/>
      <c r="G48" s="26"/>
      <c r="H48" s="26"/>
      <c r="I48" s="26"/>
      <c r="J48" s="26"/>
      <c r="K48" s="26"/>
      <c r="L48" s="24"/>
      <c r="M48" s="24"/>
      <c r="N48" s="26"/>
      <c r="O48" s="26"/>
      <c r="P48" s="26"/>
      <c r="Q48" s="26"/>
      <c r="R48" s="26"/>
      <c r="S48" s="26"/>
      <c r="T48" s="26"/>
      <c r="U48" s="26"/>
      <c r="V48" s="26"/>
      <c r="W48" s="26">
        <f>MAX($C$10-VLOOKUP($C48,COS!$B$8:$H$991,3,FALSE),0)</f>
        <v>94973.6005859375</v>
      </c>
      <c r="X48" s="26">
        <f t="shared" si="31"/>
        <v>5651.3216877582645</v>
      </c>
      <c r="Y48" s="26">
        <f>VLOOKUP($C48,COS!$B$8:$H$991,4,FALSE)</f>
        <v>1037.1134033203125</v>
      </c>
      <c r="Z48" s="26">
        <f t="shared" si="32"/>
        <v>61.712533090134293</v>
      </c>
      <c r="AA48" s="26">
        <f t="shared" si="61"/>
        <v>1037.1134033203125</v>
      </c>
      <c r="AB48" s="33">
        <f t="shared" si="34"/>
        <v>61.712533090134293</v>
      </c>
      <c r="AC48" s="6"/>
      <c r="AD48" s="43">
        <v>1956</v>
      </c>
      <c r="AE48" s="1">
        <f>VLOOKUP(AD48,Flags!$A$13:$B$95,2,FALSE)</f>
        <v>1</v>
      </c>
      <c r="AF48" s="43">
        <f t="shared" si="6"/>
        <v>238.41283768078512</v>
      </c>
      <c r="AG48" s="43">
        <f t="shared" si="7"/>
        <v>688.1348309780152</v>
      </c>
      <c r="AH48" s="43">
        <f t="shared" si="8"/>
        <v>0</v>
      </c>
      <c r="AI48" s="43">
        <f t="shared" si="9"/>
        <v>27339.575032283061</v>
      </c>
      <c r="AJ48" s="43">
        <f t="shared" si="10"/>
        <v>69.803219589359514</v>
      </c>
      <c r="AK48" s="43">
        <f t="shared" si="1"/>
        <v>69.803219589359514</v>
      </c>
      <c r="AL48" s="43">
        <f t="shared" si="11"/>
        <v>0</v>
      </c>
    </row>
    <row r="49" spans="1:38" x14ac:dyDescent="0.3">
      <c r="A49" s="34">
        <f>VLOOKUP(YEAR(C49),Flags!$A$13:$B$95,2,FALSE)</f>
        <v>4</v>
      </c>
      <c r="B49" s="35">
        <f t="shared" si="2"/>
        <v>1925</v>
      </c>
      <c r="C49" s="36">
        <v>9497</v>
      </c>
      <c r="D49" s="37"/>
      <c r="E49" s="35"/>
      <c r="F49" s="37"/>
      <c r="G49" s="37"/>
      <c r="H49" s="37"/>
      <c r="I49" s="37"/>
      <c r="J49" s="37"/>
      <c r="K49" s="37"/>
      <c r="L49" s="35"/>
      <c r="M49" s="35"/>
      <c r="N49" s="37"/>
      <c r="O49" s="37"/>
      <c r="P49" s="37"/>
      <c r="Q49" s="37"/>
      <c r="R49" s="37"/>
      <c r="S49" s="37"/>
      <c r="T49" s="37"/>
      <c r="U49" s="37"/>
      <c r="V49" s="37"/>
      <c r="W49" s="37">
        <f>MAX($C$11-VLOOKUP($C49,COS!$B$8:$H$991,3,FALSE),0)</f>
        <v>96422.129150390625</v>
      </c>
      <c r="X49" s="37">
        <f t="shared" si="31"/>
        <v>5928.7656270983989</v>
      </c>
      <c r="Y49" s="37">
        <f>VLOOKUP($C49,COS!$B$8:$H$991,4,FALSE)</f>
        <v>1280.279541015625</v>
      </c>
      <c r="Z49" s="37">
        <f t="shared" si="32"/>
        <v>78.721320538481407</v>
      </c>
      <c r="AA49" s="37">
        <f t="shared" si="61"/>
        <v>1280.279541015625</v>
      </c>
      <c r="AB49" s="38">
        <f t="shared" si="34"/>
        <v>78.721320538481407</v>
      </c>
      <c r="AC49" s="6"/>
      <c r="AD49" s="43">
        <v>1957</v>
      </c>
      <c r="AE49" s="1">
        <f>VLOOKUP(AD49,Flags!$A$13:$B$95,2,FALSE)</f>
        <v>2</v>
      </c>
      <c r="AF49" s="43">
        <f t="shared" si="6"/>
        <v>515.49969653925621</v>
      </c>
      <c r="AG49" s="43">
        <f t="shared" si="7"/>
        <v>678.53450308303195</v>
      </c>
      <c r="AH49" s="43">
        <f t="shared" si="8"/>
        <v>0</v>
      </c>
      <c r="AI49" s="43">
        <f t="shared" si="9"/>
        <v>27658.93331579287</v>
      </c>
      <c r="AJ49" s="43">
        <f t="shared" si="10"/>
        <v>311.10799308335481</v>
      </c>
      <c r="AK49" s="43">
        <f t="shared" si="1"/>
        <v>311.10799308335481</v>
      </c>
      <c r="AL49" s="43">
        <f t="shared" si="11"/>
        <v>0</v>
      </c>
    </row>
    <row r="50" spans="1:38" x14ac:dyDescent="0.3">
      <c r="A50" s="27">
        <f>VLOOKUP(YEAR(C50),Flags!$A$13:$B$95,2,FALSE)</f>
        <v>4</v>
      </c>
      <c r="B50" s="28">
        <f t="shared" si="2"/>
        <v>1926</v>
      </c>
      <c r="C50" s="29">
        <v>9617</v>
      </c>
      <c r="D50" s="30">
        <f>VLOOKUP($C50,COS!$B$8:$H$991,3,FALSE)</f>
        <v>3250</v>
      </c>
      <c r="E50" s="28">
        <f>IF(D50&gt;=IF(MONTH($C50)=4,$C$3,IF(MONTH($C50)=5,$C$4,IF(MONTH($C50)=6,$C$5,IF(MONTH($C50)=7,$C$6,"ERROR")))),1,0)</f>
        <v>0</v>
      </c>
      <c r="F50" s="30">
        <f>VLOOKUP($C50,COS!$B$8:$H$991,7,FALSE)</f>
        <v>51.212348937988281</v>
      </c>
      <c r="G50" s="28">
        <f>IF(F50&lt;=IF(MONTH($C50)=4,$F$3,IF(MONTH($C50)=5,$F$4,IF(MONTH($C50)=6,$F$5,IF(MONTH($C50)=7,$F$6,"ERROR")))),1,0)</f>
        <v>1</v>
      </c>
      <c r="H50" s="30">
        <f>IF(J50=1,D50-$C$3,0)</f>
        <v>0</v>
      </c>
      <c r="I50" s="30">
        <f t="shared" si="17"/>
        <v>0</v>
      </c>
      <c r="J50" s="28">
        <f t="shared" ref="J50:J53" si="64">IF(AND(E50=1,G50=1),1,0)</f>
        <v>0</v>
      </c>
      <c r="K50" s="30">
        <f>VLOOKUP($C50,COS!$B$8:$H$991,2,FALSE)</f>
        <v>3896.73193359375</v>
      </c>
      <c r="L50" s="28">
        <f t="shared" ref="L50" si="65">IF(K50&lt;=IF(MONTH($C50)=4,$I$3,IF(MONTH($C50)=5,$I$4,IF(MONTH($C50)=6,$I$5,IF(MONTH($C50)=7,$I$6,"ERROR")))),1,0)</f>
        <v>1</v>
      </c>
      <c r="M50" s="28">
        <f t="shared" ref="M50" si="66">VLOOKUP($A50,$L$3:$M$7,2,FALSE)</f>
        <v>1</v>
      </c>
      <c r="N50" s="30">
        <f>VLOOKUP($C50,COS!$B$8:$H$991,5,FALSE)</f>
        <v>52.222553253173828</v>
      </c>
      <c r="O50" s="30">
        <f t="shared" ref="O50:O53" si="67">N50*DAY($C50)*86400/43560/1000</f>
        <v>3.1074577142384427</v>
      </c>
      <c r="P50" s="30">
        <f>VLOOKUP($C50,COS!$B$8:$H$991,6,FALSE)</f>
        <v>311.75833129882813</v>
      </c>
      <c r="Q50" s="30">
        <f t="shared" ref="Q50:Q53" si="68">P50*DAY($C50)*86400/43560/1000</f>
        <v>18.550908969847622</v>
      </c>
      <c r="R50" s="30">
        <f>MIN(IF(MONTH($C50)=4,$S$3,IF(MONTH($C50)=5,$S$4,IF(MONTH($C50)=6,$S$5,IF(MONTH($C50)=7,$S$6,"ERROR")))),MAX(VLOOKUP($C50,COS!$B$8:$K$991,10,FALSE)-IF(MONTH($C50)=4,$Y$3,IF(MONTH($C50)=5,$Y$4,IF(MONTH($C50)=6,$Y$5,IF(MONTH($C50)=7,$Y$6,"ERROR")))),0),MAX(VLOOKUP($C50,COS!$B$8:$K$991,9,FALSE)-IF(MONTH($C50)=4,$V$3,IF(MONTH($C50)=5,$V$4,IF(MONTH($C50)=6,$V$5,IF(MONTH($C50)=7,$V$6,"ERROR"))))-VLOOKUP($C50,COS!$B$8:$K$991,6,FALSE)/2,0))</f>
        <v>1500</v>
      </c>
      <c r="S50" s="30">
        <f t="shared" ref="S50:S53" si="69">R50*DAY($C50)*86400/43560/1000</f>
        <v>89.256198347107429</v>
      </c>
      <c r="T50" s="30">
        <f t="shared" ref="T50:T53" si="70">(O50+Q50)/2+S50</f>
        <v>100.08538168915047</v>
      </c>
      <c r="U50" s="30" t="str">
        <f>IF(VLOOKUP($C50,COS!$B$8:$I$991,8,FALSE)=1,"UWFE","IBU")</f>
        <v>UWFE</v>
      </c>
      <c r="V50" s="30">
        <f t="shared" ref="V50" si="71">MIN(IF(IF($AA$3=2,AND(E50=1,G50=1,L50=1,L55=1,M50=1,U50="IBU"),AND(E50=1,G50=1,L50=1,L55=1,M50=1)),T50,0),I50)</f>
        <v>0</v>
      </c>
      <c r="W50" s="30"/>
      <c r="X50" s="30"/>
      <c r="Y50" s="30"/>
      <c r="Z50" s="30"/>
      <c r="AA50" s="30"/>
      <c r="AB50" s="31"/>
      <c r="AC50" s="6"/>
      <c r="AD50" s="43">
        <v>1958</v>
      </c>
      <c r="AE50" s="1">
        <f>VLOOKUP(AD50,Flags!$A$13:$B$95,2,FALSE)</f>
        <v>1</v>
      </c>
      <c r="AF50" s="43">
        <f t="shared" si="6"/>
        <v>412.32285705061986</v>
      </c>
      <c r="AG50" s="43">
        <f t="shared" si="7"/>
        <v>667.28328076323191</v>
      </c>
      <c r="AH50" s="43">
        <f t="shared" si="8"/>
        <v>0</v>
      </c>
      <c r="AI50" s="43">
        <f t="shared" si="9"/>
        <v>27286.309309788223</v>
      </c>
      <c r="AJ50" s="43">
        <f t="shared" si="10"/>
        <v>93.370713062128743</v>
      </c>
      <c r="AK50" s="43">
        <f t="shared" si="1"/>
        <v>93.370713062128743</v>
      </c>
      <c r="AL50" s="43">
        <f t="shared" si="11"/>
        <v>0</v>
      </c>
    </row>
    <row r="51" spans="1:38" x14ac:dyDescent="0.3">
      <c r="A51" s="32">
        <f>VLOOKUP(YEAR(C51),Flags!$A$13:$B$95,2,FALSE)</f>
        <v>4</v>
      </c>
      <c r="B51" s="24">
        <f t="shared" si="2"/>
        <v>1926</v>
      </c>
      <c r="C51" s="25">
        <v>9648</v>
      </c>
      <c r="D51" s="26">
        <f>VLOOKUP($C51,COS!$B$8:$H$991,3,FALSE)</f>
        <v>8995.443359375</v>
      </c>
      <c r="E51" s="24">
        <f>IF(D51&gt;=IF(MONTH($C51)=4,$C$3,IF(MONTH($C51)=5,$C$4,IF(MONTH($C51)=6,$C$5,IF(MONTH($C51)=7,$C$6,"ERROR")))),1,0)</f>
        <v>1</v>
      </c>
      <c r="F51" s="26">
        <f>VLOOKUP($C51,COS!$B$8:$H$991,7,FALSE)</f>
        <v>50.193782806396484</v>
      </c>
      <c r="G51" s="24">
        <f>IF(F51&lt;=IF(MONTH($C51)=4,$F$3,IF(MONTH($C51)=5,$F$4,IF(MONTH($C51)=6,$F$5,IF(MONTH($C51)=7,$F$6,"ERROR")))),1,0)</f>
        <v>1</v>
      </c>
      <c r="H51" s="26">
        <f>IF(J51=1,D51-$C$4,0)</f>
        <v>2995.443359375</v>
      </c>
      <c r="I51" s="26">
        <f t="shared" si="17"/>
        <v>184.18263300619836</v>
      </c>
      <c r="J51" s="24">
        <f t="shared" si="64"/>
        <v>1</v>
      </c>
      <c r="K51" s="26">
        <f>VLOOKUP($C51,COS!$B$8:$H$991,2,FALSE)</f>
        <v>3570.763671875</v>
      </c>
      <c r="L51" s="24">
        <f t="shared" si="19"/>
        <v>1</v>
      </c>
      <c r="M51" s="24">
        <f t="shared" si="20"/>
        <v>1</v>
      </c>
      <c r="N51" s="26">
        <f>VLOOKUP($C51,COS!$B$8:$H$991,5,FALSE)</f>
        <v>105.33164978027344</v>
      </c>
      <c r="O51" s="26">
        <f t="shared" si="67"/>
        <v>6.476590697233342</v>
      </c>
      <c r="P51" s="26">
        <f>VLOOKUP($C51,COS!$B$8:$H$991,6,FALSE)</f>
        <v>2210.808349609375</v>
      </c>
      <c r="Q51" s="26">
        <f t="shared" si="68"/>
        <v>135.93730678589876</v>
      </c>
      <c r="R51" s="26">
        <f>MIN(IF(MONTH($C51)=4,$S$3,IF(MONTH($C51)=5,$S$4,IF(MONTH($C51)=6,$S$5,IF(MONTH($C51)=7,$S$6,"ERROR")))),MAX(VLOOKUP($C51,COS!$B$8:$K$991,10,FALSE)-IF(MONTH($C51)=4,$Y$3,IF(MONTH($C51)=5,$Y$4,IF(MONTH($C51)=6,$Y$5,IF(MONTH($C51)=7,$Y$6,"ERROR")))),0),MAX(VLOOKUP($C51,COS!$B$8:$K$991,9,FALSE)-IF(MONTH($C51)=4,$V$3,IF(MONTH($C51)=5,$V$4,IF(MONTH($C51)=6,$V$5,IF(MONTH($C51)=7,$V$6,"ERROR"))))-VLOOKUP($C51,COS!$B$8:$K$991,6,FALSE)/2,0))</f>
        <v>1500</v>
      </c>
      <c r="S51" s="26">
        <f t="shared" si="69"/>
        <v>92.231404958677686</v>
      </c>
      <c r="T51" s="26">
        <f t="shared" si="70"/>
        <v>163.43835370024374</v>
      </c>
      <c r="U51" s="26" t="str">
        <f>IF(VLOOKUP($C51,COS!$B$8:$I$991,8,FALSE)=1,"UWFE","IBU")</f>
        <v>IBU</v>
      </c>
      <c r="V51" s="26">
        <f t="shared" ref="V51" si="72">MIN(IF(IF($AA$3=2,AND(E51=1,G51=1,L51=1,L55=1,M51=1,U51="IBU"),AND(E51=1,G51=1,L51=1,L55=1,M51=1)),T51,0),I51)</f>
        <v>163.43835370024374</v>
      </c>
      <c r="W51" s="26"/>
      <c r="X51" s="26"/>
      <c r="Y51" s="26"/>
      <c r="Z51" s="26"/>
      <c r="AA51" s="26"/>
      <c r="AB51" s="33"/>
      <c r="AC51" s="6"/>
      <c r="AD51" s="43">
        <v>1959</v>
      </c>
      <c r="AE51" s="1">
        <f>VLOOKUP(AD51,Flags!$A$13:$B$95,2,FALSE)</f>
        <v>3</v>
      </c>
      <c r="AF51" s="43">
        <f t="shared" si="6"/>
        <v>504.12418001033052</v>
      </c>
      <c r="AG51" s="43">
        <f t="shared" si="7"/>
        <v>681.42011773227659</v>
      </c>
      <c r="AH51" s="43">
        <f t="shared" si="8"/>
        <v>0</v>
      </c>
      <c r="AI51" s="43">
        <f t="shared" si="9"/>
        <v>28174.206439501548</v>
      </c>
      <c r="AJ51" s="43">
        <f t="shared" si="10"/>
        <v>344.76315813048814</v>
      </c>
      <c r="AK51" s="43">
        <f t="shared" si="1"/>
        <v>344.76315813048814</v>
      </c>
      <c r="AL51" s="43">
        <f t="shared" si="11"/>
        <v>0</v>
      </c>
    </row>
    <row r="52" spans="1:38" x14ac:dyDescent="0.3">
      <c r="A52" s="32">
        <f>VLOOKUP(YEAR(C52),Flags!$A$13:$B$95,2,FALSE)</f>
        <v>4</v>
      </c>
      <c r="B52" s="24">
        <f t="shared" si="2"/>
        <v>1926</v>
      </c>
      <c r="C52" s="25">
        <v>9678</v>
      </c>
      <c r="D52" s="26">
        <f>VLOOKUP($C52,COS!$B$8:$H$991,3,FALSE)</f>
        <v>10166.794921875</v>
      </c>
      <c r="E52" s="24">
        <f>IF(D52&gt;=IF(MONTH($C52)=4,$C$3,IF(MONTH($C52)=5,$C$4,IF(MONTH($C52)=6,$C$5,IF(MONTH($C52)=7,$C$6,"ERROR")))),1,0)</f>
        <v>1</v>
      </c>
      <c r="F52" s="26">
        <f>VLOOKUP($C52,COS!$B$8:$H$991,7,FALSE)</f>
        <v>51.801841735839844</v>
      </c>
      <c r="G52" s="24">
        <f>IF(F52&lt;=IF(MONTH($C52)=4,$F$3,IF(MONTH($C52)=5,$F$4,IF(MONTH($C52)=6,$F$5,IF(MONTH($C52)=7,$F$6,"ERROR")))),1,0)</f>
        <v>1</v>
      </c>
      <c r="H52" s="26">
        <f>IF(J52=1,D52-$C$5,0)</f>
        <v>166.794921875</v>
      </c>
      <c r="I52" s="26">
        <f t="shared" si="17"/>
        <v>9.9249870867768593</v>
      </c>
      <c r="J52" s="24">
        <f t="shared" si="64"/>
        <v>1</v>
      </c>
      <c r="K52" s="26">
        <f>VLOOKUP($C52,COS!$B$8:$H$991,2,FALSE)</f>
        <v>3144.499267578125</v>
      </c>
      <c r="L52" s="24">
        <f t="shared" si="19"/>
        <v>1</v>
      </c>
      <c r="M52" s="24">
        <f t="shared" si="20"/>
        <v>1</v>
      </c>
      <c r="N52" s="26">
        <f>VLOOKUP($C52,COS!$B$8:$H$991,5,FALSE)</f>
        <v>393.1129150390625</v>
      </c>
      <c r="O52" s="26">
        <f t="shared" si="67"/>
        <v>23.391842878357437</v>
      </c>
      <c r="P52" s="26">
        <f>VLOOKUP($C52,COS!$B$8:$H$991,6,FALSE)</f>
        <v>2714.961669921875</v>
      </c>
      <c r="Q52" s="26">
        <f t="shared" si="68"/>
        <v>161.55143821022727</v>
      </c>
      <c r="R52" s="26">
        <f>MIN(IF(MONTH($C52)=4,$S$3,IF(MONTH($C52)=5,$S$4,IF(MONTH($C52)=6,$S$5,IF(MONTH($C52)=7,$S$6,"ERROR")))),MAX(VLOOKUP($C52,COS!$B$8:$K$991,10,FALSE)-IF(MONTH($C52)=4,$Y$3,IF(MONTH($C52)=5,$Y$4,IF(MONTH($C52)=6,$Y$5,IF(MONTH($C52)=7,$Y$6,"ERROR")))),0),MAX(VLOOKUP($C52,COS!$B$8:$K$991,9,FALSE)-IF(MONTH($C52)=4,$V$3,IF(MONTH($C52)=5,$V$4,IF(MONTH($C52)=6,$V$5,IF(MONTH($C52)=7,$V$6,"ERROR"))))-VLOOKUP($C52,COS!$B$8:$K$991,6,FALSE)/2,0))</f>
        <v>1500</v>
      </c>
      <c r="S52" s="26">
        <f t="shared" si="69"/>
        <v>89.256198347107429</v>
      </c>
      <c r="T52" s="26">
        <f t="shared" si="70"/>
        <v>181.72783889139978</v>
      </c>
      <c r="U52" s="26" t="str">
        <f>IF(VLOOKUP($C52,COS!$B$8:$I$991,8,FALSE)=1,"UWFE","IBU")</f>
        <v>IBU</v>
      </c>
      <c r="V52" s="26">
        <f t="shared" ref="V52" si="73">MIN(IF(IF($AA$3=2,AND(E52=1,G52=1,L52=1,L55=1,M52=1,U52="IBU"),AND(E52=1,G52=1,L52=1,L55=1,M52=1)),T52,0),I52)</f>
        <v>9.9249870867768593</v>
      </c>
      <c r="W52" s="26"/>
      <c r="X52" s="26"/>
      <c r="Y52" s="26"/>
      <c r="Z52" s="26"/>
      <c r="AA52" s="26"/>
      <c r="AB52" s="33"/>
      <c r="AC52" s="6"/>
      <c r="AD52" s="43">
        <v>1960</v>
      </c>
      <c r="AE52" s="1">
        <f>VLOOKUP(AD52,Flags!$A$13:$B$95,2,FALSE)</f>
        <v>4</v>
      </c>
      <c r="AF52" s="43">
        <f t="shared" si="6"/>
        <v>382.20118737086773</v>
      </c>
      <c r="AG52" s="43">
        <f t="shared" si="7"/>
        <v>605.60543626265098</v>
      </c>
      <c r="AH52" s="43">
        <f t="shared" si="8"/>
        <v>306.28320308464617</v>
      </c>
      <c r="AI52" s="43">
        <f t="shared" si="9"/>
        <v>28622.287133910126</v>
      </c>
      <c r="AJ52" s="43">
        <f t="shared" si="10"/>
        <v>422.76635379003096</v>
      </c>
      <c r="AK52" s="43">
        <f t="shared" si="1"/>
        <v>422.76635379003096</v>
      </c>
      <c r="AL52" s="43">
        <f t="shared" si="11"/>
        <v>306.28320308464617</v>
      </c>
    </row>
    <row r="53" spans="1:38" x14ac:dyDescent="0.3">
      <c r="A53" s="32">
        <f>VLOOKUP(YEAR(C53),Flags!$A$13:$B$95,2,FALSE)</f>
        <v>4</v>
      </c>
      <c r="B53" s="24">
        <f t="shared" si="2"/>
        <v>1926</v>
      </c>
      <c r="C53" s="25">
        <v>9709</v>
      </c>
      <c r="D53" s="26">
        <f>VLOOKUP($C53,COS!$B$8:$H$991,3,FALSE)</f>
        <v>11392.6767578125</v>
      </c>
      <c r="E53" s="24">
        <f>IF(D53&gt;=IF(MONTH($C53)=4,$C$3,IF(MONTH($C53)=5,$C$4,IF(MONTH($C53)=6,$C$5,IF(MONTH($C53)=7,$C$6,"ERROR")))),1,0)</f>
        <v>0</v>
      </c>
      <c r="F53" s="26">
        <f>VLOOKUP($C53,COS!$B$8:$H$991,7,FALSE)</f>
        <v>53.78912353515625</v>
      </c>
      <c r="G53" s="24">
        <f>IF(F53&lt;=IF(MONTH($C53)=4,$F$3,IF(MONTH($C53)=5,$F$4,IF(MONTH($C53)=6,$F$5,IF(MONTH($C53)=7,$F$6,"ERROR")))),1,0)</f>
        <v>0</v>
      </c>
      <c r="H53" s="26">
        <f>IF(J53=1,D53-$C$6,0)</f>
        <v>0</v>
      </c>
      <c r="I53" s="26">
        <f t="shared" si="17"/>
        <v>0</v>
      </c>
      <c r="J53" s="24">
        <f t="shared" si="64"/>
        <v>0</v>
      </c>
      <c r="K53" s="26">
        <f>VLOOKUP($C53,COS!$B$8:$H$991,2,FALSE)</f>
        <v>2700.429443359375</v>
      </c>
      <c r="L53" s="24">
        <f t="shared" si="19"/>
        <v>1</v>
      </c>
      <c r="M53" s="24">
        <f t="shared" si="20"/>
        <v>1</v>
      </c>
      <c r="N53" s="26">
        <f>VLOOKUP($C53,COS!$B$8:$H$991,5,FALSE)</f>
        <v>430.53424072265625</v>
      </c>
      <c r="O53" s="26">
        <f t="shared" si="67"/>
        <v>26.472518603112086</v>
      </c>
      <c r="P53" s="26">
        <f>VLOOKUP($C53,COS!$B$8:$H$991,6,FALSE)</f>
        <v>2538.07568359375</v>
      </c>
      <c r="Q53" s="26">
        <f t="shared" si="68"/>
        <v>156.06019079287191</v>
      </c>
      <c r="R53" s="26">
        <f>MIN(IF(MONTH($C53)=4,$S$3,IF(MONTH($C53)=5,$S$4,IF(MONTH($C53)=6,$S$5,IF(MONTH($C53)=7,$S$6,"ERROR")))),MAX(VLOOKUP($C53,COS!$B$8:$K$991,10,FALSE)-IF(MONTH($C53)=4,$Y$3,IF(MONTH($C53)=5,$Y$4,IF(MONTH($C53)=6,$Y$5,IF(MONTH($C53)=7,$Y$6,"ERROR")))),0),MAX(VLOOKUP($C53,COS!$B$8:$K$991,9,FALSE)-IF(MONTH($C53)=4,$V$3,IF(MONTH($C53)=5,$V$4,IF(MONTH($C53)=6,$V$5,IF(MONTH($C53)=7,$V$6,"ERROR"))))-VLOOKUP($C53,COS!$B$8:$K$991,6,FALSE)/2,0))</f>
        <v>1500</v>
      </c>
      <c r="S53" s="26">
        <f t="shared" si="69"/>
        <v>92.231404958677686</v>
      </c>
      <c r="T53" s="26">
        <f t="shared" si="70"/>
        <v>183.4977596566697</v>
      </c>
      <c r="U53" s="26" t="str">
        <f>IF(VLOOKUP($C53,COS!$B$8:$I$991,8,FALSE)=1,"UWFE","IBU")</f>
        <v>IBU</v>
      </c>
      <c r="V53" s="26">
        <f t="shared" ref="V53" si="74">MIN(IF(IF($AA$3=2,AND(E53=1,G53=1,L53=1,L55=1,M53=1,U53="IBU"),AND(E53=1,G53=1,L53=1,L55=1,M53=1)),T53,0),I53)</f>
        <v>0</v>
      </c>
      <c r="W53" s="26"/>
      <c r="X53" s="26"/>
      <c r="Y53" s="26"/>
      <c r="Z53" s="26"/>
      <c r="AA53" s="26"/>
      <c r="AB53" s="33"/>
      <c r="AC53" s="6"/>
      <c r="AD53" s="43">
        <v>1961</v>
      </c>
      <c r="AE53" s="1">
        <f>VLOOKUP(AD53,Flags!$A$13:$B$95,2,FALSE)</f>
        <v>4</v>
      </c>
      <c r="AF53" s="43">
        <f t="shared" si="6"/>
        <v>359.59358406508261</v>
      </c>
      <c r="AG53" s="43">
        <f t="shared" si="7"/>
        <v>650.41003054784346</v>
      </c>
      <c r="AH53" s="43">
        <f t="shared" si="8"/>
        <v>192.77386769192276</v>
      </c>
      <c r="AI53" s="43">
        <f t="shared" si="9"/>
        <v>28506.349759168388</v>
      </c>
      <c r="AJ53" s="43">
        <f t="shared" si="10"/>
        <v>593.48291451446278</v>
      </c>
      <c r="AK53" s="43">
        <f t="shared" si="1"/>
        <v>593.48291451446278</v>
      </c>
      <c r="AL53" s="43">
        <f t="shared" si="11"/>
        <v>192.77386769192276</v>
      </c>
    </row>
    <row r="54" spans="1:38" x14ac:dyDescent="0.3">
      <c r="A54" s="32">
        <f>VLOOKUP(YEAR(C54),Flags!$A$13:$B$95,2,FALSE)</f>
        <v>4</v>
      </c>
      <c r="B54" s="24">
        <f t="shared" si="2"/>
        <v>1926</v>
      </c>
      <c r="C54" s="25">
        <v>9740</v>
      </c>
      <c r="D54" s="26"/>
      <c r="E54" s="24"/>
      <c r="F54" s="26"/>
      <c r="G54" s="24"/>
      <c r="H54" s="24"/>
      <c r="I54" s="26"/>
      <c r="J54" s="24"/>
      <c r="K54" s="26"/>
      <c r="L54" s="24"/>
      <c r="M54" s="24"/>
      <c r="N54" s="26"/>
      <c r="O54" s="26"/>
      <c r="P54" s="26"/>
      <c r="Q54" s="26"/>
      <c r="R54" s="26"/>
      <c r="S54" s="26"/>
      <c r="T54" s="26"/>
      <c r="U54" s="26"/>
      <c r="V54" s="26"/>
      <c r="W54" s="26">
        <f>MAX($C$7-VLOOKUP($C54,COS!$B$8:$H$991,3,FALSE),0)</f>
        <v>91690.6279296875</v>
      </c>
      <c r="X54" s="26">
        <f t="shared" si="31"/>
        <v>5637.8369569989663</v>
      </c>
      <c r="Y54" s="26">
        <f>VLOOKUP($C54,COS!$B$8:$H$991,4,FALSE)</f>
        <v>1075.45947265625</v>
      </c>
      <c r="Z54" s="26">
        <f t="shared" si="32"/>
        <v>66.127425426136369</v>
      </c>
      <c r="AA54" s="26">
        <f t="shared" ref="AA54:AA58" si="75">MIN(W54,Y54)</f>
        <v>1075.45947265625</v>
      </c>
      <c r="AB54" s="33">
        <f t="shared" ref="AB54" si="76">AA54*DAY($C54)*86400/43560/1000*IF(MONTH($C54)=8,$P$3,IF(MONTH($C54)=9,$P$4,IF(MONTH($C54)=10,$P$5,IF(MONTH($C54)=11,$P$6,IF(MONTH($C54)=12,$P$7,NA())))))</f>
        <v>66.127425426136369</v>
      </c>
      <c r="AC54" s="6"/>
      <c r="AD54" s="43">
        <v>1962</v>
      </c>
      <c r="AE54" s="1">
        <f>VLOOKUP(AD54,Flags!$A$13:$B$95,2,FALSE)</f>
        <v>3</v>
      </c>
      <c r="AF54" s="43">
        <f t="shared" si="6"/>
        <v>350.84847462551647</v>
      </c>
      <c r="AG54" s="43">
        <f t="shared" si="7"/>
        <v>686.24664181543767</v>
      </c>
      <c r="AH54" s="43">
        <f t="shared" si="8"/>
        <v>0</v>
      </c>
      <c r="AI54" s="43">
        <f t="shared" si="9"/>
        <v>28002.035365444215</v>
      </c>
      <c r="AJ54" s="43">
        <f t="shared" si="10"/>
        <v>20.045821845945248</v>
      </c>
      <c r="AK54" s="43">
        <f t="shared" si="1"/>
        <v>20.045821845945248</v>
      </c>
      <c r="AL54" s="43">
        <f t="shared" si="11"/>
        <v>0</v>
      </c>
    </row>
    <row r="55" spans="1:38" x14ac:dyDescent="0.3">
      <c r="A55" s="32">
        <f>VLOOKUP(YEAR(C55),Flags!$A$13:$B$95,2,FALSE)</f>
        <v>4</v>
      </c>
      <c r="B55" s="24">
        <f t="shared" si="2"/>
        <v>1926</v>
      </c>
      <c r="C55" s="25">
        <v>9770</v>
      </c>
      <c r="D55" s="26"/>
      <c r="E55" s="24"/>
      <c r="F55" s="26"/>
      <c r="G55" s="24"/>
      <c r="H55" s="24"/>
      <c r="I55" s="26"/>
      <c r="J55" s="24"/>
      <c r="K55" s="26">
        <f>VLOOKUP($C55,COS!$B$8:$H$991,2,FALSE)</f>
        <v>2281.95703125</v>
      </c>
      <c r="L55" s="24">
        <f t="shared" ref="L55" si="77">IF(AND(K55&gt;$I$7,K55&lt;$I$8),1,0)</f>
        <v>1</v>
      </c>
      <c r="M55" s="24"/>
      <c r="N55" s="26"/>
      <c r="O55" s="26"/>
      <c r="P55" s="26"/>
      <c r="Q55" s="26"/>
      <c r="R55" s="26"/>
      <c r="S55" s="26"/>
      <c r="T55" s="26"/>
      <c r="U55" s="26"/>
      <c r="V55" s="26"/>
      <c r="W55" s="26">
        <f>MAX($C$8-VLOOKUP($C55,COS!$B$8:$H$991,3,FALSE),0)</f>
        <v>95112.1767578125</v>
      </c>
      <c r="X55" s="26">
        <f t="shared" si="31"/>
        <v>5659.5675426136368</v>
      </c>
      <c r="Y55" s="26">
        <f>VLOOKUP($C55,COS!$B$8:$H$991,4,FALSE)</f>
        <v>1022.280029296875</v>
      </c>
      <c r="Z55" s="26">
        <f t="shared" si="32"/>
        <v>60.829886040805789</v>
      </c>
      <c r="AA55" s="26">
        <f t="shared" si="75"/>
        <v>1022.280029296875</v>
      </c>
      <c r="AB55" s="33">
        <f t="shared" si="34"/>
        <v>60.829886040805789</v>
      </c>
      <c r="AD55" s="43">
        <v>1963</v>
      </c>
      <c r="AE55" s="1">
        <f>VLOOKUP(AD55,Flags!$A$13:$B$95,2,FALSE)</f>
        <v>1</v>
      </c>
      <c r="AF55" s="43">
        <f t="shared" si="6"/>
        <v>1727.2135072314047</v>
      </c>
      <c r="AG55" s="43">
        <f t="shared" si="7"/>
        <v>677.1253517503975</v>
      </c>
      <c r="AH55" s="43">
        <f t="shared" si="8"/>
        <v>0</v>
      </c>
      <c r="AI55" s="43">
        <f t="shared" si="9"/>
        <v>27769.391039837297</v>
      </c>
      <c r="AJ55" s="43">
        <f t="shared" si="10"/>
        <v>160.53308410140107</v>
      </c>
      <c r="AK55" s="43">
        <f t="shared" si="1"/>
        <v>160.53308410140107</v>
      </c>
      <c r="AL55" s="43">
        <f t="shared" si="11"/>
        <v>0</v>
      </c>
    </row>
    <row r="56" spans="1:38" x14ac:dyDescent="0.3">
      <c r="A56" s="32">
        <f>VLOOKUP(YEAR(C56),Flags!$A$13:$B$95,2,FALSE)</f>
        <v>4</v>
      </c>
      <c r="B56" s="24">
        <f t="shared" si="2"/>
        <v>1926</v>
      </c>
      <c r="C56" s="25">
        <v>9801</v>
      </c>
      <c r="D56" s="26"/>
      <c r="E56" s="24"/>
      <c r="F56" s="26"/>
      <c r="G56" s="26"/>
      <c r="H56" s="26"/>
      <c r="I56" s="26"/>
      <c r="J56" s="26"/>
      <c r="K56" s="26"/>
      <c r="L56" s="24"/>
      <c r="M56" s="24"/>
      <c r="N56" s="26"/>
      <c r="O56" s="26"/>
      <c r="P56" s="26"/>
      <c r="Q56" s="26"/>
      <c r="R56" s="26"/>
      <c r="S56" s="26"/>
      <c r="T56" s="26"/>
      <c r="U56" s="26"/>
      <c r="V56" s="26"/>
      <c r="W56" s="26">
        <f>MAX($C$9-VLOOKUP($C56,COS!$B$8:$H$991,3,FALSE),0)</f>
        <v>95397.3447265625</v>
      </c>
      <c r="X56" s="26">
        <f t="shared" si="31"/>
        <v>5865.7540889721076</v>
      </c>
      <c r="Y56" s="26">
        <f>VLOOKUP($C56,COS!$B$8:$H$991,4,FALSE)</f>
        <v>1559.9654541015625</v>
      </c>
      <c r="Z56" s="26">
        <f t="shared" si="32"/>
        <v>95.918537012525817</v>
      </c>
      <c r="AA56" s="26">
        <f t="shared" si="75"/>
        <v>1559.9654541015625</v>
      </c>
      <c r="AB56" s="33">
        <f t="shared" si="34"/>
        <v>95.918537012525817</v>
      </c>
      <c r="AD56" s="43">
        <v>1964</v>
      </c>
      <c r="AE56" s="1">
        <f>VLOOKUP(AD56,Flags!$A$13:$B$95,2,FALSE)</f>
        <v>4</v>
      </c>
      <c r="AF56" s="43">
        <f t="shared" si="6"/>
        <v>202.95327447055786</v>
      </c>
      <c r="AG56" s="43">
        <f t="shared" si="7"/>
        <v>649.6019249782089</v>
      </c>
      <c r="AH56" s="43">
        <f t="shared" si="8"/>
        <v>154.401796875</v>
      </c>
      <c r="AI56" s="43">
        <f t="shared" si="9"/>
        <v>27794.608424263944</v>
      </c>
      <c r="AJ56" s="43">
        <f t="shared" si="10"/>
        <v>318.52011081159606</v>
      </c>
      <c r="AK56" s="43">
        <f t="shared" si="1"/>
        <v>318.52011081159606</v>
      </c>
      <c r="AL56" s="43">
        <f t="shared" si="11"/>
        <v>154.401796875</v>
      </c>
    </row>
    <row r="57" spans="1:38" x14ac:dyDescent="0.3">
      <c r="A57" s="32">
        <f>VLOOKUP(YEAR(C57),Flags!$A$13:$B$95,2,FALSE)</f>
        <v>4</v>
      </c>
      <c r="B57" s="24">
        <f t="shared" si="2"/>
        <v>1926</v>
      </c>
      <c r="C57" s="25">
        <v>9831</v>
      </c>
      <c r="D57" s="26"/>
      <c r="E57" s="24"/>
      <c r="F57" s="26"/>
      <c r="G57" s="26"/>
      <c r="H57" s="26"/>
      <c r="I57" s="26"/>
      <c r="J57" s="26"/>
      <c r="K57" s="26"/>
      <c r="L57" s="24"/>
      <c r="M57" s="24"/>
      <c r="N57" s="26"/>
      <c r="O57" s="26"/>
      <c r="P57" s="26"/>
      <c r="Q57" s="26"/>
      <c r="R57" s="26"/>
      <c r="S57" s="26"/>
      <c r="T57" s="26"/>
      <c r="U57" s="26"/>
      <c r="V57" s="26"/>
      <c r="W57" s="26">
        <f>MAX($C$10-VLOOKUP($C57,COS!$B$8:$H$991,3,FALSE),0)</f>
        <v>96749</v>
      </c>
      <c r="X57" s="26">
        <f t="shared" si="31"/>
        <v>5756.965289256198</v>
      </c>
      <c r="Y57" s="26">
        <f>VLOOKUP($C57,COS!$B$8:$H$991,4,FALSE)</f>
        <v>0</v>
      </c>
      <c r="Z57" s="26">
        <f t="shared" si="32"/>
        <v>0</v>
      </c>
      <c r="AA57" s="26">
        <f t="shared" si="75"/>
        <v>0</v>
      </c>
      <c r="AB57" s="33">
        <f t="shared" si="34"/>
        <v>0</v>
      </c>
      <c r="AD57" s="43">
        <v>1965</v>
      </c>
      <c r="AE57" s="1">
        <f>VLOOKUP(AD57,Flags!$A$13:$B$95,2,FALSE)</f>
        <v>1</v>
      </c>
      <c r="AF57" s="43">
        <f t="shared" si="6"/>
        <v>332.63346364927685</v>
      </c>
      <c r="AG57" s="43">
        <f t="shared" si="7"/>
        <v>667.59995301743174</v>
      </c>
      <c r="AH57" s="43">
        <f t="shared" si="8"/>
        <v>0</v>
      </c>
      <c r="AI57" s="43">
        <f t="shared" si="9"/>
        <v>27801.395590134292</v>
      </c>
      <c r="AJ57" s="43">
        <f t="shared" si="10"/>
        <v>84.214305308948866</v>
      </c>
      <c r="AK57" s="43">
        <f t="shared" si="1"/>
        <v>84.214305308948866</v>
      </c>
      <c r="AL57" s="43">
        <f t="shared" si="11"/>
        <v>0</v>
      </c>
    </row>
    <row r="58" spans="1:38" x14ac:dyDescent="0.3">
      <c r="A58" s="34">
        <f>VLOOKUP(YEAR(C58),Flags!$A$13:$B$95,2,FALSE)</f>
        <v>4</v>
      </c>
      <c r="B58" s="35">
        <f t="shared" si="2"/>
        <v>1926</v>
      </c>
      <c r="C58" s="36">
        <v>9862</v>
      </c>
      <c r="D58" s="37"/>
      <c r="E58" s="35"/>
      <c r="F58" s="37"/>
      <c r="G58" s="37"/>
      <c r="H58" s="37"/>
      <c r="I58" s="37"/>
      <c r="J58" s="37"/>
      <c r="K58" s="37"/>
      <c r="L58" s="35"/>
      <c r="M58" s="35"/>
      <c r="N58" s="37"/>
      <c r="O58" s="37"/>
      <c r="P58" s="37"/>
      <c r="Q58" s="37"/>
      <c r="R58" s="37"/>
      <c r="S58" s="37"/>
      <c r="T58" s="37"/>
      <c r="U58" s="37"/>
      <c r="V58" s="37"/>
      <c r="W58" s="37">
        <f>MAX($C$11-VLOOKUP($C58,COS!$B$8:$H$991,3,FALSE),0)</f>
        <v>96749</v>
      </c>
      <c r="X58" s="37">
        <f t="shared" si="31"/>
        <v>5948.8641322314052</v>
      </c>
      <c r="Y58" s="37">
        <f>VLOOKUP($C58,COS!$B$8:$H$991,4,FALSE)</f>
        <v>0</v>
      </c>
      <c r="Z58" s="37">
        <f t="shared" si="32"/>
        <v>0</v>
      </c>
      <c r="AA58" s="37">
        <f t="shared" si="75"/>
        <v>0</v>
      </c>
      <c r="AB58" s="38">
        <f t="shared" si="34"/>
        <v>0</v>
      </c>
      <c r="AD58" s="43">
        <v>1966</v>
      </c>
      <c r="AE58" s="1">
        <f>VLOOKUP(AD58,Flags!$A$13:$B$95,2,FALSE)</f>
        <v>3</v>
      </c>
      <c r="AF58" s="43">
        <f t="shared" si="6"/>
        <v>622.64396629648752</v>
      </c>
      <c r="AG58" s="43">
        <f t="shared" si="7"/>
        <v>692.24323587212677</v>
      </c>
      <c r="AH58" s="43">
        <f t="shared" si="8"/>
        <v>0</v>
      </c>
      <c r="AI58" s="43">
        <f t="shared" si="9"/>
        <v>27935.945506844007</v>
      </c>
      <c r="AJ58" s="43">
        <f t="shared" si="10"/>
        <v>202.35919891609635</v>
      </c>
      <c r="AK58" s="43">
        <f t="shared" si="1"/>
        <v>202.35919891609635</v>
      </c>
      <c r="AL58" s="43">
        <f t="shared" si="11"/>
        <v>0</v>
      </c>
    </row>
    <row r="59" spans="1:38" x14ac:dyDescent="0.3">
      <c r="A59" s="27">
        <f>VLOOKUP(YEAR(C59),Flags!$A$13:$B$95,2,FALSE)</f>
        <v>2</v>
      </c>
      <c r="B59" s="28">
        <f t="shared" si="2"/>
        <v>1927</v>
      </c>
      <c r="C59" s="29">
        <v>9982</v>
      </c>
      <c r="D59" s="30">
        <f>VLOOKUP($C59,COS!$B$8:$H$991,3,FALSE)</f>
        <v>9794.8115234375</v>
      </c>
      <c r="E59" s="28">
        <f>IF(D59&gt;=IF(MONTH($C59)=4,$C$3,IF(MONTH($C59)=5,$C$4,IF(MONTH($C59)=6,$C$5,IF(MONTH($C59)=7,$C$6,"ERROR")))),1,0)</f>
        <v>1</v>
      </c>
      <c r="F59" s="30">
        <f>VLOOKUP($C59,COS!$B$8:$H$991,7,FALSE)</f>
        <v>47.578723907470703</v>
      </c>
      <c r="G59" s="28">
        <f>IF(F59&lt;=IF(MONTH($C59)=4,$F$3,IF(MONTH($C59)=5,$F$4,IF(MONTH($C59)=6,$F$5,IF(MONTH($C59)=7,$F$6,"ERROR")))),1,0)</f>
        <v>1</v>
      </c>
      <c r="H59" s="30">
        <f>IF(J59=1,D59-$C$3,0)</f>
        <v>3794.8115234375</v>
      </c>
      <c r="I59" s="30">
        <f t="shared" si="17"/>
        <v>225.8069666838843</v>
      </c>
      <c r="J59" s="28">
        <f t="shared" ref="J59:J62" si="78">IF(AND(E59=1,G59=1),1,0)</f>
        <v>1</v>
      </c>
      <c r="K59" s="30">
        <f>VLOOKUP($C59,COS!$B$8:$H$991,2,FALSE)</f>
        <v>4552</v>
      </c>
      <c r="L59" s="28">
        <f t="shared" ref="L59" si="79">IF(K59&lt;=IF(MONTH($C59)=4,$I$3,IF(MONTH($C59)=5,$I$4,IF(MONTH($C59)=6,$I$5,IF(MONTH($C59)=7,$I$6,"ERROR")))),1,0)</f>
        <v>1</v>
      </c>
      <c r="M59" s="28">
        <f t="shared" ref="M59" si="80">VLOOKUP($A59,$L$3:$M$7,2,FALSE)</f>
        <v>0</v>
      </c>
      <c r="N59" s="30">
        <f>VLOOKUP($C59,COS!$B$8:$H$991,5,FALSE)</f>
        <v>550.79229736328125</v>
      </c>
      <c r="O59" s="30">
        <f t="shared" ref="O59:O62" si="81">N59*DAY($C59)*86400/43560/1000</f>
        <v>32.77441769434401</v>
      </c>
      <c r="P59" s="30">
        <f>VLOOKUP($C59,COS!$B$8:$H$991,6,FALSE)</f>
        <v>486.04421997070313</v>
      </c>
      <c r="Q59" s="30">
        <f t="shared" ref="Q59:Q62" si="82">P59*DAY($C59)*86400/43560/1000</f>
        <v>28.921639535446797</v>
      </c>
      <c r="R59" s="30">
        <f>MIN(IF(MONTH($C59)=4,$S$3,IF(MONTH($C59)=5,$S$4,IF(MONTH($C59)=6,$S$5,IF(MONTH($C59)=7,$S$6,"ERROR")))),MAX(VLOOKUP($C59,COS!$B$8:$K$991,10,FALSE)-IF(MONTH($C59)=4,$Y$3,IF(MONTH($C59)=5,$Y$4,IF(MONTH($C59)=6,$Y$5,IF(MONTH($C59)=7,$Y$6,"ERROR")))),0),MAX(VLOOKUP($C59,COS!$B$8:$K$991,9,FALSE)-IF(MONTH($C59)=4,$V$3,IF(MONTH($C59)=5,$V$4,IF(MONTH($C59)=6,$V$5,IF(MONTH($C59)=7,$V$6,"ERROR"))))-VLOOKUP($C59,COS!$B$8:$K$991,6,FALSE)/2,0))</f>
        <v>1500</v>
      </c>
      <c r="S59" s="30">
        <f t="shared" ref="S59:S62" si="83">R59*DAY($C59)*86400/43560/1000</f>
        <v>89.256198347107429</v>
      </c>
      <c r="T59" s="30">
        <f t="shared" ref="T59:T62" si="84">(O59+Q59)/2+S59</f>
        <v>120.10422696200283</v>
      </c>
      <c r="U59" s="30" t="str">
        <f>IF(VLOOKUP($C59,COS!$B$8:$I$991,8,FALSE)=1,"UWFE","IBU")</f>
        <v>UWFE</v>
      </c>
      <c r="V59" s="30">
        <f t="shared" ref="V59" si="85">MIN(IF(IF($AA$3=2,AND(E59=1,G59=1,L59=1,L64=1,M59=1,U59="IBU"),AND(E59=1,G59=1,L59=1,L64=1,M59=1)),T59,0),I59)</f>
        <v>0</v>
      </c>
      <c r="W59" s="30"/>
      <c r="X59" s="30"/>
      <c r="Y59" s="30"/>
      <c r="Z59" s="30"/>
      <c r="AA59" s="30"/>
      <c r="AB59" s="31"/>
      <c r="AD59" s="43">
        <v>1967</v>
      </c>
      <c r="AE59" s="1">
        <f>VLOOKUP(AD59,Flags!$A$13:$B$95,2,FALSE)</f>
        <v>1</v>
      </c>
      <c r="AF59" s="43">
        <f t="shared" si="6"/>
        <v>650.62075025826448</v>
      </c>
      <c r="AG59" s="43">
        <f t="shared" si="7"/>
        <v>666.82755976905503</v>
      </c>
      <c r="AH59" s="43">
        <f t="shared" si="8"/>
        <v>0</v>
      </c>
      <c r="AI59" s="43">
        <f t="shared" si="9"/>
        <v>27683.562846074383</v>
      </c>
      <c r="AJ59" s="43">
        <f t="shared" si="10"/>
        <v>121.2366370133329</v>
      </c>
      <c r="AK59" s="43">
        <f t="shared" si="1"/>
        <v>121.2366370133329</v>
      </c>
      <c r="AL59" s="43">
        <f t="shared" si="11"/>
        <v>0</v>
      </c>
    </row>
    <row r="60" spans="1:38" x14ac:dyDescent="0.3">
      <c r="A60" s="32">
        <f>VLOOKUP(YEAR(C60),Flags!$A$13:$B$95,2,FALSE)</f>
        <v>2</v>
      </c>
      <c r="B60" s="24">
        <f t="shared" si="2"/>
        <v>1927</v>
      </c>
      <c r="C60" s="25">
        <v>10013</v>
      </c>
      <c r="D60" s="26">
        <f>VLOOKUP($C60,COS!$B$8:$H$991,3,FALSE)</f>
        <v>7714.3828125</v>
      </c>
      <c r="E60" s="24">
        <f>IF(D60&gt;=IF(MONTH($C60)=4,$C$3,IF(MONTH($C60)=5,$C$4,IF(MONTH($C60)=6,$C$5,IF(MONTH($C60)=7,$C$6,"ERROR")))),1,0)</f>
        <v>1</v>
      </c>
      <c r="F60" s="26">
        <f>VLOOKUP($C60,COS!$B$8:$H$991,7,FALSE)</f>
        <v>50.201419830322266</v>
      </c>
      <c r="G60" s="24">
        <f>IF(F60&lt;=IF(MONTH($C60)=4,$F$3,IF(MONTH($C60)=5,$F$4,IF(MONTH($C60)=6,$F$5,IF(MONTH($C60)=7,$F$6,"ERROR")))),1,0)</f>
        <v>1</v>
      </c>
      <c r="H60" s="26">
        <f>IF(J60=1,D60-$C$4,0)</f>
        <v>1714.3828125</v>
      </c>
      <c r="I60" s="26">
        <f t="shared" si="17"/>
        <v>105.4132902892562</v>
      </c>
      <c r="J60" s="24">
        <f t="shared" si="78"/>
        <v>1</v>
      </c>
      <c r="K60" s="26">
        <f>VLOOKUP($C60,COS!$B$8:$H$991,2,FALSE)</f>
        <v>4552</v>
      </c>
      <c r="L60" s="24">
        <f t="shared" si="19"/>
        <v>1</v>
      </c>
      <c r="M60" s="24">
        <f t="shared" si="20"/>
        <v>0</v>
      </c>
      <c r="N60" s="26">
        <f>VLOOKUP($C60,COS!$B$8:$H$991,5,FALSE)</f>
        <v>894.1383056640625</v>
      </c>
      <c r="O60" s="26">
        <f t="shared" si="81"/>
        <v>54.978421439178717</v>
      </c>
      <c r="P60" s="26">
        <f>VLOOKUP($C60,COS!$B$8:$H$991,6,FALSE)</f>
        <v>2249.693359375</v>
      </c>
      <c r="Q60" s="26">
        <f t="shared" si="82"/>
        <v>138.3282528409091</v>
      </c>
      <c r="R60" s="26">
        <f>MIN(IF(MONTH($C60)=4,$S$3,IF(MONTH($C60)=5,$S$4,IF(MONTH($C60)=6,$S$5,IF(MONTH($C60)=7,$S$6,"ERROR")))),MAX(VLOOKUP($C60,COS!$B$8:$K$991,10,FALSE)-IF(MONTH($C60)=4,$Y$3,IF(MONTH($C60)=5,$Y$4,IF(MONTH($C60)=6,$Y$5,IF(MONTH($C60)=7,$Y$6,"ERROR")))),0),MAX(VLOOKUP($C60,COS!$B$8:$K$991,9,FALSE)-IF(MONTH($C60)=4,$V$3,IF(MONTH($C60)=5,$V$4,IF(MONTH($C60)=6,$V$5,IF(MONTH($C60)=7,$V$6,"ERROR"))))-VLOOKUP($C60,COS!$B$8:$K$991,6,FALSE)/2,0))</f>
        <v>1500</v>
      </c>
      <c r="S60" s="26">
        <f t="shared" si="83"/>
        <v>92.231404958677686</v>
      </c>
      <c r="T60" s="26">
        <f t="shared" si="84"/>
        <v>188.88474209872157</v>
      </c>
      <c r="U60" s="26" t="str">
        <f>IF(VLOOKUP($C60,COS!$B$8:$I$991,8,FALSE)=1,"UWFE","IBU")</f>
        <v>UWFE</v>
      </c>
      <c r="V60" s="26">
        <f t="shared" ref="V60" si="86">MIN(IF(IF($AA$3=2,AND(E60=1,G60=1,L60=1,L64=1,M60=1,U60="IBU"),AND(E60=1,G60=1,L60=1,L64=1,M60=1)),T60,0),I60)</f>
        <v>0</v>
      </c>
      <c r="W60" s="26"/>
      <c r="X60" s="26"/>
      <c r="Y60" s="26"/>
      <c r="Z60" s="26"/>
      <c r="AA60" s="26"/>
      <c r="AB60" s="33"/>
      <c r="AD60" s="43">
        <v>1968</v>
      </c>
      <c r="AE60" s="1">
        <f>VLOOKUP(AD60,Flags!$A$13:$B$95,2,FALSE)</f>
        <v>3</v>
      </c>
      <c r="AF60" s="43">
        <f t="shared" si="6"/>
        <v>497.01562403150825</v>
      </c>
      <c r="AG60" s="43">
        <f t="shared" si="7"/>
        <v>644.81326589537048</v>
      </c>
      <c r="AH60" s="43">
        <f t="shared" si="8"/>
        <v>0</v>
      </c>
      <c r="AI60" s="43">
        <f t="shared" si="9"/>
        <v>28751.351141528925</v>
      </c>
      <c r="AJ60" s="43">
        <f t="shared" si="10"/>
        <v>131.14432005827092</v>
      </c>
      <c r="AK60" s="43">
        <f t="shared" si="1"/>
        <v>131.14432005827092</v>
      </c>
      <c r="AL60" s="43">
        <f t="shared" si="11"/>
        <v>0</v>
      </c>
    </row>
    <row r="61" spans="1:38" x14ac:dyDescent="0.3">
      <c r="A61" s="32">
        <f>VLOOKUP(YEAR(C61),Flags!$A$13:$B$95,2,FALSE)</f>
        <v>2</v>
      </c>
      <c r="B61" s="24">
        <f t="shared" si="2"/>
        <v>1927</v>
      </c>
      <c r="C61" s="25">
        <v>10043</v>
      </c>
      <c r="D61" s="26">
        <f>VLOOKUP($C61,COS!$B$8:$H$991,3,FALSE)</f>
        <v>8988.9208984375</v>
      </c>
      <c r="E61" s="24">
        <f>IF(D61&gt;=IF(MONTH($C61)=4,$C$3,IF(MONTH($C61)=5,$C$4,IF(MONTH($C61)=6,$C$5,IF(MONTH($C61)=7,$C$6,"ERROR")))),1,0)</f>
        <v>0</v>
      </c>
      <c r="F61" s="26">
        <f>VLOOKUP($C61,COS!$B$8:$H$991,7,FALSE)</f>
        <v>51.129753112792969</v>
      </c>
      <c r="G61" s="24">
        <f>IF(F61&lt;=IF(MONTH($C61)=4,$F$3,IF(MONTH($C61)=5,$F$4,IF(MONTH($C61)=6,$F$5,IF(MONTH($C61)=7,$F$6,"ERROR")))),1,0)</f>
        <v>1</v>
      </c>
      <c r="H61" s="26">
        <f>IF(J61=1,D61-$C$5,0)</f>
        <v>0</v>
      </c>
      <c r="I61" s="26">
        <f t="shared" si="17"/>
        <v>0</v>
      </c>
      <c r="J61" s="24">
        <f t="shared" si="78"/>
        <v>0</v>
      </c>
      <c r="K61" s="26">
        <f>VLOOKUP($C61,COS!$B$8:$H$991,2,FALSE)</f>
        <v>4290.38525390625</v>
      </c>
      <c r="L61" s="24">
        <f t="shared" si="19"/>
        <v>1</v>
      </c>
      <c r="M61" s="24">
        <f t="shared" si="20"/>
        <v>0</v>
      </c>
      <c r="N61" s="26">
        <f>VLOOKUP($C61,COS!$B$8:$H$991,5,FALSE)</f>
        <v>1054.7291259765625</v>
      </c>
      <c r="O61" s="26">
        <f t="shared" si="81"/>
        <v>62.760741380423553</v>
      </c>
      <c r="P61" s="26">
        <f>VLOOKUP($C61,COS!$B$8:$H$991,6,FALSE)</f>
        <v>2141.721923828125</v>
      </c>
      <c r="Q61" s="26">
        <f t="shared" si="82"/>
        <v>127.44130455836778</v>
      </c>
      <c r="R61" s="26">
        <f>MIN(IF(MONTH($C61)=4,$S$3,IF(MONTH($C61)=5,$S$4,IF(MONTH($C61)=6,$S$5,IF(MONTH($C61)=7,$S$6,"ERROR")))),MAX(VLOOKUP($C61,COS!$B$8:$K$991,10,FALSE)-IF(MONTH($C61)=4,$Y$3,IF(MONTH($C61)=5,$Y$4,IF(MONTH($C61)=6,$Y$5,IF(MONTH($C61)=7,$Y$6,"ERROR")))),0),MAX(VLOOKUP($C61,COS!$B$8:$K$991,9,FALSE)-IF(MONTH($C61)=4,$V$3,IF(MONTH($C61)=5,$V$4,IF(MONTH($C61)=6,$V$5,IF(MONTH($C61)=7,$V$6,"ERROR"))))-VLOOKUP($C61,COS!$B$8:$K$991,6,FALSE)/2,0))</f>
        <v>1500</v>
      </c>
      <c r="S61" s="26">
        <f t="shared" si="83"/>
        <v>89.256198347107429</v>
      </c>
      <c r="T61" s="26">
        <f t="shared" si="84"/>
        <v>184.35722131650311</v>
      </c>
      <c r="U61" s="26" t="str">
        <f>IF(VLOOKUP($C61,COS!$B$8:$I$991,8,FALSE)=1,"UWFE","IBU")</f>
        <v>UWFE</v>
      </c>
      <c r="V61" s="26">
        <f t="shared" ref="V61" si="87">MIN(IF(IF($AA$3=2,AND(E61=1,G61=1,L61=1,L64=1,M61=1,U61="IBU"),AND(E61=1,G61=1,L61=1,L64=1,M61=1)),T61,0),I61)</f>
        <v>0</v>
      </c>
      <c r="W61" s="26"/>
      <c r="X61" s="26"/>
      <c r="Y61" s="26"/>
      <c r="Z61" s="26"/>
      <c r="AA61" s="26"/>
      <c r="AB61" s="33"/>
      <c r="AD61" s="43">
        <v>1969</v>
      </c>
      <c r="AE61" s="1">
        <f>VLOOKUP(AD61,Flags!$A$13:$B$95,2,FALSE)</f>
        <v>1</v>
      </c>
      <c r="AF61" s="43">
        <f t="shared" si="6"/>
        <v>438.45833871384298</v>
      </c>
      <c r="AG61" s="43">
        <f t="shared" si="7"/>
        <v>692.78652045131707</v>
      </c>
      <c r="AH61" s="43">
        <f t="shared" si="8"/>
        <v>0</v>
      </c>
      <c r="AI61" s="43">
        <f t="shared" si="9"/>
        <v>27120.941059207125</v>
      </c>
      <c r="AJ61" s="43">
        <f t="shared" si="10"/>
        <v>17.674964503769047</v>
      </c>
      <c r="AK61" s="43">
        <f t="shared" si="1"/>
        <v>17.674964503769047</v>
      </c>
      <c r="AL61" s="43">
        <f t="shared" si="11"/>
        <v>0</v>
      </c>
    </row>
    <row r="62" spans="1:38" x14ac:dyDescent="0.3">
      <c r="A62" s="32">
        <f>VLOOKUP(YEAR(C62),Flags!$A$13:$B$95,2,FALSE)</f>
        <v>2</v>
      </c>
      <c r="B62" s="24">
        <f t="shared" si="2"/>
        <v>1927</v>
      </c>
      <c r="C62" s="25">
        <v>10074</v>
      </c>
      <c r="D62" s="26">
        <f>VLOOKUP($C62,COS!$B$8:$H$991,3,FALSE)</f>
        <v>16000</v>
      </c>
      <c r="E62" s="24">
        <f>IF(D62&gt;=IF(MONTH($C62)=4,$C$3,IF(MONTH($C62)=5,$C$4,IF(MONTH($C62)=6,$C$5,IF(MONTH($C62)=7,$C$6,"ERROR")))),1,0)</f>
        <v>1</v>
      </c>
      <c r="F62" s="26">
        <f>VLOOKUP($C62,COS!$B$8:$H$991,7,FALSE)</f>
        <v>51.332504272460938</v>
      </c>
      <c r="G62" s="24">
        <f>IF(F62&lt;=IF(MONTH($C62)=4,$F$3,IF(MONTH($C62)=5,$F$4,IF(MONTH($C62)=6,$F$5,IF(MONTH($C62)=7,$F$6,"ERROR")))),1,0)</f>
        <v>1</v>
      </c>
      <c r="H62" s="26">
        <f>IF(J62=1,D62-$C$6,0)</f>
        <v>4000</v>
      </c>
      <c r="I62" s="26">
        <f t="shared" si="17"/>
        <v>245.95041322314049</v>
      </c>
      <c r="J62" s="24">
        <f t="shared" si="78"/>
        <v>1</v>
      </c>
      <c r="K62" s="26">
        <f>VLOOKUP($C62,COS!$B$8:$H$991,2,FALSE)</f>
        <v>3557.699462890625</v>
      </c>
      <c r="L62" s="24">
        <f t="shared" si="19"/>
        <v>1</v>
      </c>
      <c r="M62" s="24">
        <f t="shared" si="20"/>
        <v>0</v>
      </c>
      <c r="N62" s="26">
        <f>VLOOKUP($C62,COS!$B$8:$H$991,5,FALSE)</f>
        <v>1278.4688720703125</v>
      </c>
      <c r="O62" s="26">
        <f t="shared" si="81"/>
        <v>78.609986844653918</v>
      </c>
      <c r="P62" s="26">
        <f>VLOOKUP($C62,COS!$B$8:$H$991,6,FALSE)</f>
        <v>2521.474853515625</v>
      </c>
      <c r="Q62" s="26">
        <f t="shared" si="82"/>
        <v>155.0394455384814</v>
      </c>
      <c r="R62" s="26">
        <f>MIN(IF(MONTH($C62)=4,$S$3,IF(MONTH($C62)=5,$S$4,IF(MONTH($C62)=6,$S$5,IF(MONTH($C62)=7,$S$6,"ERROR")))),MAX(VLOOKUP($C62,COS!$B$8:$K$991,10,FALSE)-IF(MONTH($C62)=4,$Y$3,IF(MONTH($C62)=5,$Y$4,IF(MONTH($C62)=6,$Y$5,IF(MONTH($C62)=7,$Y$6,"ERROR")))),0),MAX(VLOOKUP($C62,COS!$B$8:$K$991,9,FALSE)-IF(MONTH($C62)=4,$V$3,IF(MONTH($C62)=5,$V$4,IF(MONTH($C62)=6,$V$5,IF(MONTH($C62)=7,$V$6,"ERROR"))))-VLOOKUP($C62,COS!$B$8:$K$991,6,FALSE)/2,0))</f>
        <v>1500</v>
      </c>
      <c r="S62" s="26">
        <f t="shared" si="83"/>
        <v>92.231404958677686</v>
      </c>
      <c r="T62" s="26">
        <f t="shared" si="84"/>
        <v>209.05612115024536</v>
      </c>
      <c r="U62" s="26" t="str">
        <f>IF(VLOOKUP($C62,COS!$B$8:$I$991,8,FALSE)=1,"UWFE","IBU")</f>
        <v>IBU</v>
      </c>
      <c r="V62" s="26">
        <f t="shared" ref="V62" si="88">MIN(IF(IF($AA$3=2,AND(E62=1,G62=1,L62=1,L64=1,M62=1,U62="IBU"),AND(E62=1,G62=1,L62=1,L64=1,M62=1)),T62,0),I62)</f>
        <v>0</v>
      </c>
      <c r="W62" s="26"/>
      <c r="X62" s="26"/>
      <c r="Y62" s="26"/>
      <c r="Z62" s="26"/>
      <c r="AA62" s="26"/>
      <c r="AB62" s="33"/>
      <c r="AD62" s="43">
        <v>1970</v>
      </c>
      <c r="AE62" s="1">
        <f>VLOOKUP(AD62,Flags!$A$13:$B$95,2,FALSE)</f>
        <v>1</v>
      </c>
      <c r="AF62" s="43">
        <f t="shared" si="6"/>
        <v>344.98198799070246</v>
      </c>
      <c r="AG62" s="43">
        <f t="shared" si="7"/>
        <v>613.52775824428591</v>
      </c>
      <c r="AH62" s="43">
        <f t="shared" si="8"/>
        <v>0</v>
      </c>
      <c r="AI62" s="43">
        <f t="shared" si="9"/>
        <v>27458.247300813531</v>
      </c>
      <c r="AJ62" s="43">
        <f t="shared" si="10"/>
        <v>170.52140419195507</v>
      </c>
      <c r="AK62" s="43">
        <f t="shared" si="1"/>
        <v>170.52140419195507</v>
      </c>
      <c r="AL62" s="43">
        <f t="shared" si="11"/>
        <v>0</v>
      </c>
    </row>
    <row r="63" spans="1:38" x14ac:dyDescent="0.3">
      <c r="A63" s="32">
        <f>VLOOKUP(YEAR(C63),Flags!$A$13:$B$95,2,FALSE)</f>
        <v>2</v>
      </c>
      <c r="B63" s="24">
        <f t="shared" si="2"/>
        <v>1927</v>
      </c>
      <c r="C63" s="25">
        <v>10105</v>
      </c>
      <c r="D63" s="26"/>
      <c r="E63" s="24"/>
      <c r="F63" s="26"/>
      <c r="G63" s="24"/>
      <c r="H63" s="24"/>
      <c r="I63" s="26"/>
      <c r="J63" s="24"/>
      <c r="K63" s="26"/>
      <c r="L63" s="24"/>
      <c r="M63" s="24"/>
      <c r="N63" s="26"/>
      <c r="O63" s="26"/>
      <c r="P63" s="26"/>
      <c r="Q63" s="26"/>
      <c r="R63" s="26"/>
      <c r="S63" s="26"/>
      <c r="T63" s="26"/>
      <c r="U63" s="26"/>
      <c r="V63" s="26"/>
      <c r="W63" s="26">
        <f>MAX($C$7-VLOOKUP($C63,COS!$B$8:$H$991,3,FALSE),0)</f>
        <v>88882.072265625</v>
      </c>
      <c r="X63" s="26">
        <f t="shared" si="31"/>
        <v>5465.1456004648762</v>
      </c>
      <c r="Y63" s="26">
        <f>VLOOKUP($C63,COS!$B$8:$H$991,4,FALSE)</f>
        <v>131.21571350097656</v>
      </c>
      <c r="Z63" s="26">
        <f t="shared" si="32"/>
        <v>8.0681397392336009</v>
      </c>
      <c r="AA63" s="26">
        <f t="shared" ref="AA63:AA67" si="89">MIN(W63,Y63)</f>
        <v>131.21571350097656</v>
      </c>
      <c r="AB63" s="33">
        <f t="shared" ref="AB63" si="90">AA63*DAY($C63)*86400/43560/1000*IF(MONTH($C63)=8,$P$3,IF(MONTH($C63)=9,$P$4,IF(MONTH($C63)=10,$P$5,IF(MONTH($C63)=11,$P$6,IF(MONTH($C63)=12,$P$7,NA())))))</f>
        <v>8.0681397392336009</v>
      </c>
      <c r="AD63" s="43">
        <v>1971</v>
      </c>
      <c r="AE63" s="1">
        <f>VLOOKUP(AD63,Flags!$A$13:$B$95,2,FALSE)</f>
        <v>1</v>
      </c>
      <c r="AF63" s="43">
        <f t="shared" si="6"/>
        <v>413.69826252582646</v>
      </c>
      <c r="AG63" s="43">
        <f t="shared" si="7"/>
        <v>685.45884684917348</v>
      </c>
      <c r="AH63" s="43">
        <f t="shared" si="8"/>
        <v>0</v>
      </c>
      <c r="AI63" s="43">
        <f t="shared" si="9"/>
        <v>27495.592356663226</v>
      </c>
      <c r="AJ63" s="43">
        <f t="shared" si="10"/>
        <v>198.7760154434078</v>
      </c>
      <c r="AK63" s="43">
        <f t="shared" si="1"/>
        <v>198.7760154434078</v>
      </c>
      <c r="AL63" s="43">
        <f t="shared" si="11"/>
        <v>0</v>
      </c>
    </row>
    <row r="64" spans="1:38" x14ac:dyDescent="0.3">
      <c r="A64" s="32">
        <f>VLOOKUP(YEAR(C64),Flags!$A$13:$B$95,2,FALSE)</f>
        <v>2</v>
      </c>
      <c r="B64" s="24">
        <f t="shared" si="2"/>
        <v>1927</v>
      </c>
      <c r="C64" s="25">
        <v>10135</v>
      </c>
      <c r="D64" s="26"/>
      <c r="E64" s="24"/>
      <c r="F64" s="26"/>
      <c r="G64" s="24"/>
      <c r="H64" s="24"/>
      <c r="I64" s="26"/>
      <c r="J64" s="24"/>
      <c r="K64" s="26">
        <f>VLOOKUP($C64,COS!$B$8:$H$991,2,FALSE)</f>
        <v>2812.22802734375</v>
      </c>
      <c r="L64" s="24">
        <f t="shared" ref="L64" si="91">IF(AND(K64&gt;$I$7,K64&lt;$I$8),1,0)</f>
        <v>1</v>
      </c>
      <c r="M64" s="24"/>
      <c r="N64" s="26"/>
      <c r="O64" s="26"/>
      <c r="P64" s="26"/>
      <c r="Q64" s="26"/>
      <c r="R64" s="26"/>
      <c r="S64" s="26"/>
      <c r="T64" s="26"/>
      <c r="U64" s="26"/>
      <c r="V64" s="26"/>
      <c r="W64" s="26">
        <f>MAX($C$8-VLOOKUP($C64,COS!$B$8:$H$991,3,FALSE),0)</f>
        <v>89196.4267578125</v>
      </c>
      <c r="X64" s="26">
        <f t="shared" si="31"/>
        <v>5307.5559723657025</v>
      </c>
      <c r="Y64" s="26">
        <f>VLOOKUP($C64,COS!$B$8:$H$991,4,FALSE)</f>
        <v>0</v>
      </c>
      <c r="Z64" s="26">
        <f t="shared" si="32"/>
        <v>0</v>
      </c>
      <c r="AA64" s="26">
        <f t="shared" si="89"/>
        <v>0</v>
      </c>
      <c r="AB64" s="33">
        <f t="shared" si="34"/>
        <v>0</v>
      </c>
      <c r="AD64" s="43">
        <v>1972</v>
      </c>
      <c r="AE64" s="1">
        <f>VLOOKUP(AD64,Flags!$A$13:$B$95,2,FALSE)</f>
        <v>3</v>
      </c>
      <c r="AF64" s="43">
        <f t="shared" si="6"/>
        <v>529.18486247417354</v>
      </c>
      <c r="AG64" s="43">
        <f t="shared" si="7"/>
        <v>647.49496554792415</v>
      </c>
      <c r="AH64" s="43">
        <f t="shared" si="8"/>
        <v>0</v>
      </c>
      <c r="AI64" s="43">
        <f t="shared" si="9"/>
        <v>28492.338994059915</v>
      </c>
      <c r="AJ64" s="43">
        <f t="shared" si="10"/>
        <v>297.71753264624226</v>
      </c>
      <c r="AK64" s="43">
        <f t="shared" si="1"/>
        <v>297.71753264624226</v>
      </c>
      <c r="AL64" s="43">
        <f t="shared" si="11"/>
        <v>0</v>
      </c>
    </row>
    <row r="65" spans="1:38" x14ac:dyDescent="0.3">
      <c r="A65" s="32">
        <f>VLOOKUP(YEAR(C65),Flags!$A$13:$B$95,2,FALSE)</f>
        <v>2</v>
      </c>
      <c r="B65" s="24">
        <f t="shared" si="2"/>
        <v>1927</v>
      </c>
      <c r="C65" s="25">
        <v>10166</v>
      </c>
      <c r="D65" s="26"/>
      <c r="E65" s="24"/>
      <c r="F65" s="26"/>
      <c r="G65" s="26"/>
      <c r="H65" s="26"/>
      <c r="I65" s="26"/>
      <c r="J65" s="26"/>
      <c r="K65" s="26"/>
      <c r="L65" s="24"/>
      <c r="M65" s="24"/>
      <c r="N65" s="26"/>
      <c r="O65" s="26"/>
      <c r="P65" s="26"/>
      <c r="Q65" s="26"/>
      <c r="R65" s="26"/>
      <c r="S65" s="26"/>
      <c r="T65" s="26"/>
      <c r="U65" s="26"/>
      <c r="V65" s="26"/>
      <c r="W65" s="26">
        <f>MAX($C$9-VLOOKUP($C65,COS!$B$8:$H$991,3,FALSE),0)</f>
        <v>92950.994140625</v>
      </c>
      <c r="X65" s="26">
        <f t="shared" si="31"/>
        <v>5715.3338545971073</v>
      </c>
      <c r="Y65" s="26">
        <f>VLOOKUP($C65,COS!$B$8:$H$991,4,FALSE)</f>
        <v>958.4876708984375</v>
      </c>
      <c r="Z65" s="26">
        <f t="shared" si="32"/>
        <v>58.935109681689049</v>
      </c>
      <c r="AA65" s="26">
        <f t="shared" si="89"/>
        <v>958.4876708984375</v>
      </c>
      <c r="AB65" s="33">
        <f t="shared" si="34"/>
        <v>58.935109681689049</v>
      </c>
      <c r="AD65" s="43">
        <v>1973</v>
      </c>
      <c r="AE65" s="1">
        <f>VLOOKUP(AD65,Flags!$A$13:$B$95,2,FALSE)</f>
        <v>2</v>
      </c>
      <c r="AF65" s="43">
        <f t="shared" si="6"/>
        <v>456.36225174328513</v>
      </c>
      <c r="AG65" s="43">
        <f t="shared" si="7"/>
        <v>697.35026663788096</v>
      </c>
      <c r="AH65" s="43">
        <f t="shared" si="8"/>
        <v>0</v>
      </c>
      <c r="AI65" s="43">
        <f t="shared" si="9"/>
        <v>25766.510311208676</v>
      </c>
      <c r="AJ65" s="43">
        <f t="shared" si="10"/>
        <v>104.91092460695377</v>
      </c>
      <c r="AK65" s="43">
        <f t="shared" si="1"/>
        <v>104.91092460695377</v>
      </c>
      <c r="AL65" s="43">
        <f t="shared" si="11"/>
        <v>0</v>
      </c>
    </row>
    <row r="66" spans="1:38" x14ac:dyDescent="0.3">
      <c r="A66" s="32">
        <f>VLOOKUP(YEAR(C66),Flags!$A$13:$B$95,2,FALSE)</f>
        <v>2</v>
      </c>
      <c r="B66" s="24">
        <f t="shared" si="2"/>
        <v>1927</v>
      </c>
      <c r="C66" s="25">
        <v>10196</v>
      </c>
      <c r="D66" s="26"/>
      <c r="E66" s="24"/>
      <c r="F66" s="26"/>
      <c r="G66" s="26"/>
      <c r="H66" s="26"/>
      <c r="I66" s="26"/>
      <c r="J66" s="26"/>
      <c r="K66" s="26"/>
      <c r="L66" s="24"/>
      <c r="M66" s="24"/>
      <c r="N66" s="26"/>
      <c r="O66" s="26"/>
      <c r="P66" s="26"/>
      <c r="Q66" s="26"/>
      <c r="R66" s="26"/>
      <c r="S66" s="26"/>
      <c r="T66" s="26"/>
      <c r="U66" s="26"/>
      <c r="V66" s="26"/>
      <c r="W66" s="26">
        <f>MAX($C$10-VLOOKUP($C66,COS!$B$8:$H$991,3,FALSE),0)</f>
        <v>93176.5546875</v>
      </c>
      <c r="X66" s="26">
        <f t="shared" si="31"/>
        <v>5544.3900309917362</v>
      </c>
      <c r="Y66" s="26">
        <f>VLOOKUP($C66,COS!$B$8:$H$991,4,FALSE)</f>
        <v>593.66107177734375</v>
      </c>
      <c r="Z66" s="26">
        <f t="shared" si="32"/>
        <v>35.325286915676656</v>
      </c>
      <c r="AA66" s="26">
        <f t="shared" si="89"/>
        <v>593.66107177734375</v>
      </c>
      <c r="AB66" s="33">
        <f t="shared" si="34"/>
        <v>35.325286915676656</v>
      </c>
      <c r="AD66" s="43">
        <v>1974</v>
      </c>
      <c r="AE66" s="1">
        <f>VLOOKUP(AD66,Flags!$A$13:$B$95,2,FALSE)</f>
        <v>1</v>
      </c>
      <c r="AF66" s="43">
        <f t="shared" si="6"/>
        <v>37.038895273760332</v>
      </c>
      <c r="AG66" s="43">
        <f t="shared" si="7"/>
        <v>679.96204771183739</v>
      </c>
      <c r="AH66" s="43">
        <f t="shared" si="8"/>
        <v>0</v>
      </c>
      <c r="AI66" s="43">
        <f t="shared" si="9"/>
        <v>27497.839205191114</v>
      </c>
      <c r="AJ66" s="43">
        <f t="shared" si="10"/>
        <v>158.65327051588326</v>
      </c>
      <c r="AK66" s="43">
        <f t="shared" si="1"/>
        <v>158.65327051588326</v>
      </c>
      <c r="AL66" s="43">
        <f t="shared" si="11"/>
        <v>0</v>
      </c>
    </row>
    <row r="67" spans="1:38" x14ac:dyDescent="0.3">
      <c r="A67" s="34">
        <f>VLOOKUP(YEAR(C67),Flags!$A$13:$B$95,2,FALSE)</f>
        <v>2</v>
      </c>
      <c r="B67" s="35">
        <f t="shared" si="2"/>
        <v>1927</v>
      </c>
      <c r="C67" s="36">
        <v>10227</v>
      </c>
      <c r="D67" s="37"/>
      <c r="E67" s="35"/>
      <c r="F67" s="37"/>
      <c r="G67" s="37"/>
      <c r="H67" s="37"/>
      <c r="I67" s="37"/>
      <c r="J67" s="37"/>
      <c r="K67" s="37"/>
      <c r="L67" s="35"/>
      <c r="M67" s="35"/>
      <c r="N67" s="37"/>
      <c r="O67" s="37"/>
      <c r="P67" s="37"/>
      <c r="Q67" s="37"/>
      <c r="R67" s="37"/>
      <c r="S67" s="37"/>
      <c r="T67" s="37"/>
      <c r="U67" s="37"/>
      <c r="V67" s="37"/>
      <c r="W67" s="37">
        <f>MAX($C$11-VLOOKUP($C67,COS!$B$8:$H$991,3,FALSE),0)</f>
        <v>96354.184326171875</v>
      </c>
      <c r="X67" s="37">
        <f t="shared" si="31"/>
        <v>5924.5878627001548</v>
      </c>
      <c r="Y67" s="37">
        <f>VLOOKUP($C67,COS!$B$8:$H$991,4,FALSE)</f>
        <v>0</v>
      </c>
      <c r="Z67" s="37">
        <f t="shared" si="32"/>
        <v>0</v>
      </c>
      <c r="AA67" s="37">
        <f t="shared" si="89"/>
        <v>0</v>
      </c>
      <c r="AB67" s="38">
        <f t="shared" si="34"/>
        <v>0</v>
      </c>
      <c r="AD67" s="43">
        <v>1975</v>
      </c>
      <c r="AE67" s="1">
        <f>VLOOKUP(AD67,Flags!$A$13:$B$95,2,FALSE)</f>
        <v>1</v>
      </c>
      <c r="AF67" s="43">
        <f t="shared" si="6"/>
        <v>358.21987151342972</v>
      </c>
      <c r="AG67" s="43">
        <f t="shared" si="7"/>
        <v>704.98574924941886</v>
      </c>
      <c r="AH67" s="43">
        <f t="shared" si="8"/>
        <v>0</v>
      </c>
      <c r="AI67" s="43">
        <f t="shared" si="9"/>
        <v>27680.469481534092</v>
      </c>
      <c r="AJ67" s="43">
        <f t="shared" si="10"/>
        <v>123.33492744382747</v>
      </c>
      <c r="AK67" s="43">
        <f t="shared" si="1"/>
        <v>123.33492744382747</v>
      </c>
      <c r="AL67" s="43">
        <f t="shared" si="11"/>
        <v>0</v>
      </c>
    </row>
    <row r="68" spans="1:38" x14ac:dyDescent="0.3">
      <c r="A68" s="27">
        <f>VLOOKUP(YEAR(C68),Flags!$A$13:$B$95,2,FALSE)</f>
        <v>2</v>
      </c>
      <c r="B68" s="28">
        <f t="shared" si="2"/>
        <v>1928</v>
      </c>
      <c r="C68" s="29">
        <v>10348</v>
      </c>
      <c r="D68" s="30">
        <f>VLOOKUP($C68,COS!$B$8:$H$991,3,FALSE)</f>
        <v>3250</v>
      </c>
      <c r="E68" s="28">
        <f>IF(D68&gt;=IF(MONTH($C68)=4,$C$3,IF(MONTH($C68)=5,$C$4,IF(MONTH($C68)=6,$C$5,IF(MONTH($C68)=7,$C$6,"ERROR")))),1,0)</f>
        <v>0</v>
      </c>
      <c r="F68" s="30">
        <f>VLOOKUP($C68,COS!$B$8:$H$991,7,FALSE)</f>
        <v>51.280696868896484</v>
      </c>
      <c r="G68" s="28">
        <f>IF(F68&lt;=IF(MONTH($C68)=4,$F$3,IF(MONTH($C68)=5,$F$4,IF(MONTH($C68)=6,$F$5,IF(MONTH($C68)=7,$F$6,"ERROR")))),1,0)</f>
        <v>1</v>
      </c>
      <c r="H68" s="30">
        <f>IF(J68=1,D68-$C$3,0)</f>
        <v>0</v>
      </c>
      <c r="I68" s="30">
        <f t="shared" si="17"/>
        <v>0</v>
      </c>
      <c r="J68" s="28">
        <f t="shared" ref="J68:J71" si="92">IF(AND(E68=1,G68=1),1,0)</f>
        <v>0</v>
      </c>
      <c r="K68" s="30">
        <f>VLOOKUP($C68,COS!$B$8:$H$991,2,FALSE)</f>
        <v>4536.6591796875</v>
      </c>
      <c r="L68" s="28">
        <f t="shared" ref="L68" si="93">IF(K68&lt;=IF(MONTH($C68)=4,$I$3,IF(MONTH($C68)=5,$I$4,IF(MONTH($C68)=6,$I$5,IF(MONTH($C68)=7,$I$6,"ERROR")))),1,0)</f>
        <v>1</v>
      </c>
      <c r="M68" s="28">
        <f t="shared" ref="M68" si="94">VLOOKUP($A68,$L$3:$M$7,2,FALSE)</f>
        <v>0</v>
      </c>
      <c r="N68" s="30">
        <f>VLOOKUP($C68,COS!$B$8:$H$991,5,FALSE)</f>
        <v>195.05795288085938</v>
      </c>
      <c r="O68" s="30">
        <f t="shared" ref="O68:O71" si="95">N68*DAY($C68)*86400/43560/1000</f>
        <v>11.606754221009815</v>
      </c>
      <c r="P68" s="30">
        <f>VLOOKUP($C68,COS!$B$8:$H$991,6,FALSE)</f>
        <v>419.7452392578125</v>
      </c>
      <c r="Q68" s="30">
        <f t="shared" ref="Q68:Q71" si="96">P68*DAY($C68)*86400/43560/1000</f>
        <v>24.976576220299588</v>
      </c>
      <c r="R68" s="30">
        <f>MIN(IF(MONTH($C68)=4,$S$3,IF(MONTH($C68)=5,$S$4,IF(MONTH($C68)=6,$S$5,IF(MONTH($C68)=7,$S$6,"ERROR")))),MAX(VLOOKUP($C68,COS!$B$8:$K$991,10,FALSE)-IF(MONTH($C68)=4,$Y$3,IF(MONTH($C68)=5,$Y$4,IF(MONTH($C68)=6,$Y$5,IF(MONTH($C68)=7,$Y$6,"ERROR")))),0),MAX(VLOOKUP($C68,COS!$B$8:$K$991,9,FALSE)-IF(MONTH($C68)=4,$V$3,IF(MONTH($C68)=5,$V$4,IF(MONTH($C68)=6,$V$5,IF(MONTH($C68)=7,$V$6,"ERROR"))))-VLOOKUP($C68,COS!$B$8:$K$991,6,FALSE)/2,0))</f>
        <v>1500</v>
      </c>
      <c r="S68" s="30">
        <f t="shared" ref="S68:S71" si="97">R68*DAY($C68)*86400/43560/1000</f>
        <v>89.256198347107429</v>
      </c>
      <c r="T68" s="30">
        <f t="shared" ref="T68:T71" si="98">(O68+Q68)/2+S68</f>
        <v>107.54786356776214</v>
      </c>
      <c r="U68" s="30" t="str">
        <f>IF(VLOOKUP($C68,COS!$B$8:$I$991,8,FALSE)=1,"UWFE","IBU")</f>
        <v>UWFE</v>
      </c>
      <c r="V68" s="30">
        <f t="shared" ref="V68" si="99">MIN(IF(IF($AA$3=2,AND(E68=1,G68=1,L68=1,L73=1,M68=1,U68="IBU"),AND(E68=1,G68=1,L68=1,L73=1,M68=1)),T68,0),I68)</f>
        <v>0</v>
      </c>
      <c r="W68" s="30"/>
      <c r="X68" s="30"/>
      <c r="Y68" s="30"/>
      <c r="Z68" s="30"/>
      <c r="AA68" s="30"/>
      <c r="AB68" s="31"/>
      <c r="AD68" s="44">
        <v>1976</v>
      </c>
      <c r="AE68" s="45">
        <f>VLOOKUP(AD68,Flags!$A$13:$B$95,2,FALSE)</f>
        <v>4</v>
      </c>
      <c r="AF68" s="44">
        <f t="shared" si="6"/>
        <v>250.9674774018595</v>
      </c>
      <c r="AG68" s="44">
        <f t="shared" si="7"/>
        <v>607.49359581813337</v>
      </c>
      <c r="AH68" s="44">
        <f t="shared" si="8"/>
        <v>172.01439102551169</v>
      </c>
      <c r="AI68" s="44">
        <f t="shared" si="9"/>
        <v>28388.454774018595</v>
      </c>
      <c r="AJ68" s="44">
        <f t="shared" si="10"/>
        <v>561.13268578899783</v>
      </c>
      <c r="AK68" s="44">
        <f t="shared" si="1"/>
        <v>561.13268578899783</v>
      </c>
      <c r="AL68" s="44">
        <f t="shared" si="11"/>
        <v>172.01439102551169</v>
      </c>
    </row>
    <row r="69" spans="1:38" x14ac:dyDescent="0.3">
      <c r="A69" s="32">
        <f>VLOOKUP(YEAR(C69),Flags!$A$13:$B$95,2,FALSE)</f>
        <v>2</v>
      </c>
      <c r="B69" s="24">
        <f t="shared" si="2"/>
        <v>1928</v>
      </c>
      <c r="C69" s="25">
        <v>10379</v>
      </c>
      <c r="D69" s="26">
        <f>VLOOKUP($C69,COS!$B$8:$H$991,3,FALSE)</f>
        <v>7197.19873046875</v>
      </c>
      <c r="E69" s="24">
        <f>IF(D69&gt;=IF(MONTH($C69)=4,$C$3,IF(MONTH($C69)=5,$C$4,IF(MONTH($C69)=6,$C$5,IF(MONTH($C69)=7,$C$6,"ERROR")))),1,0)</f>
        <v>1</v>
      </c>
      <c r="F69" s="26">
        <f>VLOOKUP($C69,COS!$B$8:$H$991,7,FALSE)</f>
        <v>51.672935485839844</v>
      </c>
      <c r="G69" s="24">
        <f>IF(F69&lt;=IF(MONTH($C69)=4,$F$3,IF(MONTH($C69)=5,$F$4,IF(MONTH($C69)=6,$F$5,IF(MONTH($C69)=7,$F$6,"ERROR")))),1,0)</f>
        <v>1</v>
      </c>
      <c r="H69" s="26">
        <f>IF(J69=1,D69-$C$4,0)</f>
        <v>1197.19873046875</v>
      </c>
      <c r="I69" s="26">
        <f t="shared" si="17"/>
        <v>73.612880617252074</v>
      </c>
      <c r="J69" s="24">
        <f t="shared" si="92"/>
        <v>1</v>
      </c>
      <c r="K69" s="26">
        <f>VLOOKUP($C69,COS!$B$8:$H$991,2,FALSE)</f>
        <v>4435.58349609375</v>
      </c>
      <c r="L69" s="24">
        <f t="shared" si="19"/>
        <v>1</v>
      </c>
      <c r="M69" s="24">
        <f t="shared" si="20"/>
        <v>0</v>
      </c>
      <c r="N69" s="26">
        <f>VLOOKUP($C69,COS!$B$8:$H$991,5,FALSE)</f>
        <v>357.50259399414063</v>
      </c>
      <c r="O69" s="26">
        <f t="shared" si="95"/>
        <v>21.981977680300879</v>
      </c>
      <c r="P69" s="26">
        <f>VLOOKUP($C69,COS!$B$8:$H$991,6,FALSE)</f>
        <v>2314.501708984375</v>
      </c>
      <c r="Q69" s="26">
        <f t="shared" si="96"/>
        <v>142.31316293259297</v>
      </c>
      <c r="R69" s="26">
        <f>MIN(IF(MONTH($C69)=4,$S$3,IF(MONTH($C69)=5,$S$4,IF(MONTH($C69)=6,$S$5,IF(MONTH($C69)=7,$S$6,"ERROR")))),MAX(VLOOKUP($C69,COS!$B$8:$K$991,10,FALSE)-IF(MONTH($C69)=4,$Y$3,IF(MONTH($C69)=5,$Y$4,IF(MONTH($C69)=6,$Y$5,IF(MONTH($C69)=7,$Y$6,"ERROR")))),0),MAX(VLOOKUP($C69,COS!$B$8:$K$991,9,FALSE)-IF(MONTH($C69)=4,$V$3,IF(MONTH($C69)=5,$V$4,IF(MONTH($C69)=6,$V$5,IF(MONTH($C69)=7,$V$6,"ERROR"))))-VLOOKUP($C69,COS!$B$8:$K$991,6,FALSE)/2,0))</f>
        <v>1500</v>
      </c>
      <c r="S69" s="26">
        <f t="shared" si="97"/>
        <v>92.231404958677686</v>
      </c>
      <c r="T69" s="26">
        <f t="shared" si="98"/>
        <v>174.37897526512461</v>
      </c>
      <c r="U69" s="26" t="str">
        <f>IF(VLOOKUP($C69,COS!$B$8:$I$991,8,FALSE)=1,"UWFE","IBU")</f>
        <v>UWFE</v>
      </c>
      <c r="V69" s="26">
        <f t="shared" ref="V69" si="100">MIN(IF(IF($AA$3=2,AND(E69=1,G69=1,L69=1,L73=1,M69=1,U69="IBU"),AND(E69=1,G69=1,L69=1,L73=1,M69=1)),T69,0),I69)</f>
        <v>0</v>
      </c>
      <c r="W69" s="26"/>
      <c r="X69" s="26"/>
      <c r="Y69" s="26"/>
      <c r="Z69" s="26"/>
      <c r="AA69" s="26"/>
      <c r="AB69" s="33"/>
      <c r="AD69" s="44">
        <v>1977</v>
      </c>
      <c r="AE69" s="45">
        <f>VLOOKUP(AD69,Flags!$A$13:$B$95,2,FALSE)</f>
        <v>5</v>
      </c>
      <c r="AF69" s="44">
        <f t="shared" si="6"/>
        <v>196.3267368285124</v>
      </c>
      <c r="AG69" s="44">
        <f t="shared" si="7"/>
        <v>601.92241988252999</v>
      </c>
      <c r="AH69" s="44">
        <f t="shared" si="8"/>
        <v>196.3267368285124</v>
      </c>
      <c r="AI69" s="44">
        <f t="shared" si="9"/>
        <v>28741.108109504137</v>
      </c>
      <c r="AJ69" s="44">
        <f t="shared" si="10"/>
        <v>635.35222042871908</v>
      </c>
      <c r="AK69" s="44">
        <f t="shared" si="1"/>
        <v>635.35222042871908</v>
      </c>
      <c r="AL69" s="44">
        <f t="shared" si="11"/>
        <v>196.3267368285124</v>
      </c>
    </row>
    <row r="70" spans="1:38" x14ac:dyDescent="0.3">
      <c r="A70" s="32">
        <f>VLOOKUP(YEAR(C70),Flags!$A$13:$B$95,2,FALSE)</f>
        <v>2</v>
      </c>
      <c r="B70" s="24">
        <f t="shared" si="2"/>
        <v>1928</v>
      </c>
      <c r="C70" s="25">
        <v>10409</v>
      </c>
      <c r="D70" s="26">
        <f>VLOOKUP($C70,COS!$B$8:$H$991,3,FALSE)</f>
        <v>13547.318359375</v>
      </c>
      <c r="E70" s="24">
        <f>IF(D70&gt;=IF(MONTH($C70)=4,$C$3,IF(MONTH($C70)=5,$C$4,IF(MONTH($C70)=6,$C$5,IF(MONTH($C70)=7,$C$6,"ERROR")))),1,0)</f>
        <v>1</v>
      </c>
      <c r="F70" s="26">
        <f>VLOOKUP($C70,COS!$B$8:$H$991,7,FALSE)</f>
        <v>51.193431854248047</v>
      </c>
      <c r="G70" s="24">
        <f>IF(F70&lt;=IF(MONTH($C70)=4,$F$3,IF(MONTH($C70)=5,$F$4,IF(MONTH($C70)=6,$F$5,IF(MONTH($C70)=7,$F$6,"ERROR")))),1,0)</f>
        <v>1</v>
      </c>
      <c r="H70" s="26">
        <f>IF(J70=1,D70-$C$5,0)</f>
        <v>3547.318359375</v>
      </c>
      <c r="I70" s="26">
        <f t="shared" si="17"/>
        <v>211.0801007231405</v>
      </c>
      <c r="J70" s="24">
        <f t="shared" si="92"/>
        <v>1</v>
      </c>
      <c r="K70" s="26">
        <f>VLOOKUP($C70,COS!$B$8:$H$991,2,FALSE)</f>
        <v>3819.055419921875</v>
      </c>
      <c r="L70" s="24">
        <f t="shared" si="19"/>
        <v>1</v>
      </c>
      <c r="M70" s="24">
        <f t="shared" si="20"/>
        <v>0</v>
      </c>
      <c r="N70" s="26">
        <f>VLOOKUP($C70,COS!$B$8:$H$991,5,FALSE)</f>
        <v>655.33172607421875</v>
      </c>
      <c r="O70" s="26">
        <f t="shared" si="95"/>
        <v>38.994945683755162</v>
      </c>
      <c r="P70" s="26">
        <f>VLOOKUP($C70,COS!$B$8:$H$991,6,FALSE)</f>
        <v>2329.183349609375</v>
      </c>
      <c r="Q70" s="26">
        <f t="shared" si="96"/>
        <v>138.59603402634298</v>
      </c>
      <c r="R70" s="26">
        <f>MIN(IF(MONTH($C70)=4,$S$3,IF(MONTH($C70)=5,$S$4,IF(MONTH($C70)=6,$S$5,IF(MONTH($C70)=7,$S$6,"ERROR")))),MAX(VLOOKUP($C70,COS!$B$8:$K$991,10,FALSE)-IF(MONTH($C70)=4,$Y$3,IF(MONTH($C70)=5,$Y$4,IF(MONTH($C70)=6,$Y$5,IF(MONTH($C70)=7,$Y$6,"ERROR")))),0),MAX(VLOOKUP($C70,COS!$B$8:$K$991,9,FALSE)-IF(MONTH($C70)=4,$V$3,IF(MONTH($C70)=5,$V$4,IF(MONTH($C70)=6,$V$5,IF(MONTH($C70)=7,$V$6,"ERROR"))))-VLOOKUP($C70,COS!$B$8:$K$991,6,FALSE)/2,0))</f>
        <v>1500</v>
      </c>
      <c r="S70" s="26">
        <f t="shared" si="97"/>
        <v>89.256198347107429</v>
      </c>
      <c r="T70" s="26">
        <f t="shared" si="98"/>
        <v>178.0516882021565</v>
      </c>
      <c r="U70" s="26" t="str">
        <f>IF(VLOOKUP($C70,COS!$B$8:$I$991,8,FALSE)=1,"UWFE","IBU")</f>
        <v>IBU</v>
      </c>
      <c r="V70" s="26">
        <f t="shared" ref="V70" si="101">MIN(IF(IF($AA$3=2,AND(E70=1,G70=1,L70=1,L73=1,M70=1,U70="IBU"),AND(E70=1,G70=1,L70=1,L73=1,M70=1)),T70,0),I70)</f>
        <v>0</v>
      </c>
      <c r="W70" s="26"/>
      <c r="X70" s="26"/>
      <c r="Y70" s="26"/>
      <c r="Z70" s="26"/>
      <c r="AA70" s="26"/>
      <c r="AB70" s="33"/>
      <c r="AD70" s="43">
        <v>1978</v>
      </c>
      <c r="AE70" s="1">
        <f>VLOOKUP(AD70,Flags!$A$13:$B$95,2,FALSE)</f>
        <v>2</v>
      </c>
      <c r="AF70" s="43">
        <f t="shared" si="6"/>
        <v>217.96352595557852</v>
      </c>
      <c r="AG70" s="43">
        <f t="shared" si="7"/>
        <v>695.25521309025021</v>
      </c>
      <c r="AH70" s="43">
        <f t="shared" si="8"/>
        <v>0</v>
      </c>
      <c r="AI70" s="43">
        <f t="shared" si="9"/>
        <v>28150.665187887396</v>
      </c>
      <c r="AJ70" s="43">
        <f t="shared" si="10"/>
        <v>86.702932471913741</v>
      </c>
      <c r="AK70" s="43">
        <f t="shared" si="1"/>
        <v>86.702932471913741</v>
      </c>
      <c r="AL70" s="43">
        <f t="shared" si="11"/>
        <v>0</v>
      </c>
    </row>
    <row r="71" spans="1:38" x14ac:dyDescent="0.3">
      <c r="A71" s="32">
        <f>VLOOKUP(YEAR(C71),Flags!$A$13:$B$95,2,FALSE)</f>
        <v>2</v>
      </c>
      <c r="B71" s="24">
        <f t="shared" si="2"/>
        <v>1928</v>
      </c>
      <c r="C71" s="25">
        <v>10440</v>
      </c>
      <c r="D71" s="26">
        <f>VLOOKUP($C71,COS!$B$8:$H$991,3,FALSE)</f>
        <v>16000</v>
      </c>
      <c r="E71" s="24">
        <f>IF(D71&gt;=IF(MONTH($C71)=4,$C$3,IF(MONTH($C71)=5,$C$4,IF(MONTH($C71)=6,$C$5,IF(MONTH($C71)=7,$C$6,"ERROR")))),1,0)</f>
        <v>1</v>
      </c>
      <c r="F71" s="26">
        <f>VLOOKUP($C71,COS!$B$8:$H$991,7,FALSE)</f>
        <v>52.268638610839844</v>
      </c>
      <c r="G71" s="24">
        <f>IF(F71&lt;=IF(MONTH($C71)=4,$F$3,IF(MONTH($C71)=5,$F$4,IF(MONTH($C71)=6,$F$5,IF(MONTH($C71)=7,$F$6,"ERROR")))),1,0)</f>
        <v>1</v>
      </c>
      <c r="H71" s="26">
        <f>IF(J71=1,D71-$C$6,0)</f>
        <v>4000</v>
      </c>
      <c r="I71" s="26">
        <f t="shared" si="17"/>
        <v>245.95041322314049</v>
      </c>
      <c r="J71" s="24">
        <f t="shared" si="92"/>
        <v>1</v>
      </c>
      <c r="K71" s="26">
        <f>VLOOKUP($C71,COS!$B$8:$H$991,2,FALSE)</f>
        <v>3098.602294921875</v>
      </c>
      <c r="L71" s="24">
        <f t="shared" si="19"/>
        <v>1</v>
      </c>
      <c r="M71" s="24">
        <f t="shared" si="20"/>
        <v>0</v>
      </c>
      <c r="N71" s="26">
        <f>VLOOKUP($C71,COS!$B$8:$H$991,5,FALSE)</f>
        <v>724.34930419921875</v>
      </c>
      <c r="O71" s="26">
        <f t="shared" si="95"/>
        <v>44.538502671423039</v>
      </c>
      <c r="P71" s="26">
        <f>VLOOKUP($C71,COS!$B$8:$H$991,6,FALSE)</f>
        <v>2562.892822265625</v>
      </c>
      <c r="Q71" s="26">
        <f t="shared" si="96"/>
        <v>157.58613717071282</v>
      </c>
      <c r="R71" s="26">
        <f>MIN(IF(MONTH($C71)=4,$S$3,IF(MONTH($C71)=5,$S$4,IF(MONTH($C71)=6,$S$5,IF(MONTH($C71)=7,$S$6,"ERROR")))),MAX(VLOOKUP($C71,COS!$B$8:$K$991,10,FALSE)-IF(MONTH($C71)=4,$Y$3,IF(MONTH($C71)=5,$Y$4,IF(MONTH($C71)=6,$Y$5,IF(MONTH($C71)=7,$Y$6,"ERROR")))),0),MAX(VLOOKUP($C71,COS!$B$8:$K$991,9,FALSE)-IF(MONTH($C71)=4,$V$3,IF(MONTH($C71)=5,$V$4,IF(MONTH($C71)=6,$V$5,IF(MONTH($C71)=7,$V$6,"ERROR"))))-VLOOKUP($C71,COS!$B$8:$K$991,6,FALSE)/2,0))</f>
        <v>1500</v>
      </c>
      <c r="S71" s="26">
        <f t="shared" si="97"/>
        <v>92.231404958677686</v>
      </c>
      <c r="T71" s="26">
        <f t="shared" si="98"/>
        <v>193.29372487974561</v>
      </c>
      <c r="U71" s="26" t="str">
        <f>IF(VLOOKUP($C71,COS!$B$8:$I$991,8,FALSE)=1,"UWFE","IBU")</f>
        <v>IBU</v>
      </c>
      <c r="V71" s="26">
        <f t="shared" ref="V71" si="102">MIN(IF(IF($AA$3=2,AND(E71=1,G71=1,L71=1,L73=1,M71=1,U71="IBU"),AND(E71=1,G71=1,L71=1,L73=1,M71=1)),T71,0),I71)</f>
        <v>0</v>
      </c>
      <c r="W71" s="26"/>
      <c r="X71" s="26"/>
      <c r="Y71" s="26"/>
      <c r="Z71" s="26"/>
      <c r="AA71" s="26"/>
      <c r="AB71" s="33"/>
      <c r="AD71" s="43">
        <v>1979</v>
      </c>
      <c r="AE71" s="1">
        <f>VLOOKUP(AD71,Flags!$A$13:$B$95,2,FALSE)</f>
        <v>4</v>
      </c>
      <c r="AF71" s="43">
        <f t="shared" si="6"/>
        <v>34.877614927685947</v>
      </c>
      <c r="AG71" s="43">
        <f t="shared" si="7"/>
        <v>653.80688880100729</v>
      </c>
      <c r="AH71" s="43">
        <f t="shared" si="8"/>
        <v>34.877614927685947</v>
      </c>
      <c r="AI71" s="43">
        <f t="shared" si="9"/>
        <v>28686.860483600209</v>
      </c>
      <c r="AJ71" s="43">
        <f t="shared" si="10"/>
        <v>125.50075800619835</v>
      </c>
      <c r="AK71" s="43">
        <f t="shared" si="1"/>
        <v>125.50075800619835</v>
      </c>
      <c r="AL71" s="43">
        <f t="shared" si="11"/>
        <v>34.877614927685947</v>
      </c>
    </row>
    <row r="72" spans="1:38" x14ac:dyDescent="0.3">
      <c r="A72" s="32">
        <f>VLOOKUP(YEAR(C72),Flags!$A$13:$B$95,2,FALSE)</f>
        <v>2</v>
      </c>
      <c r="B72" s="24">
        <f t="shared" si="2"/>
        <v>1928</v>
      </c>
      <c r="C72" s="25">
        <v>10471</v>
      </c>
      <c r="D72" s="26"/>
      <c r="E72" s="24"/>
      <c r="F72" s="26"/>
      <c r="G72" s="24"/>
      <c r="H72" s="24"/>
      <c r="I72" s="26"/>
      <c r="J72" s="24"/>
      <c r="K72" s="26"/>
      <c r="L72" s="24"/>
      <c r="M72" s="24"/>
      <c r="N72" s="26"/>
      <c r="O72" s="26"/>
      <c r="P72" s="26"/>
      <c r="Q72" s="26"/>
      <c r="R72" s="26"/>
      <c r="S72" s="26"/>
      <c r="T72" s="26"/>
      <c r="U72" s="26"/>
      <c r="V72" s="26"/>
      <c r="W72" s="26">
        <f>MAX($C$7-VLOOKUP($C72,COS!$B$8:$H$991,3,FALSE),0)</f>
        <v>87836.8740234375</v>
      </c>
      <c r="X72" s="26">
        <f t="shared" si="31"/>
        <v>5400.8788655733479</v>
      </c>
      <c r="Y72" s="26">
        <f>VLOOKUP($C72,COS!$B$8:$H$991,4,FALSE)</f>
        <v>4.0736780166625977</v>
      </c>
      <c r="Z72" s="26">
        <f t="shared" si="32"/>
        <v>0.25048069788404731</v>
      </c>
      <c r="AA72" s="26">
        <f t="shared" ref="AA72:AA76" si="103">MIN(W72,Y72)</f>
        <v>4.0736780166625977</v>
      </c>
      <c r="AB72" s="33">
        <f t="shared" ref="AB72" si="104">AA72*DAY($C72)*86400/43560/1000*IF(MONTH($C72)=8,$P$3,IF(MONTH($C72)=9,$P$4,IF(MONTH($C72)=10,$P$5,IF(MONTH($C72)=11,$P$6,IF(MONTH($C72)=12,$P$7,NA())))))</f>
        <v>0.25048069788404731</v>
      </c>
      <c r="AD72" s="43">
        <v>1980</v>
      </c>
      <c r="AE72" s="1">
        <f>VLOOKUP(AD72,Flags!$A$13:$B$95,2,FALSE)</f>
        <v>2</v>
      </c>
      <c r="AF72" s="43">
        <f t="shared" si="6"/>
        <v>40.083372288223138</v>
      </c>
      <c r="AG72" s="43">
        <f t="shared" si="7"/>
        <v>678.40361045648251</v>
      </c>
      <c r="AH72" s="43">
        <f t="shared" si="8"/>
        <v>0</v>
      </c>
      <c r="AI72" s="43">
        <f t="shared" si="9"/>
        <v>28034.883994059921</v>
      </c>
      <c r="AJ72" s="43">
        <f t="shared" si="10"/>
        <v>39.282558795519115</v>
      </c>
      <c r="AK72" s="43">
        <f t="shared" si="1"/>
        <v>39.282558795519115</v>
      </c>
      <c r="AL72" s="43">
        <f t="shared" si="11"/>
        <v>0</v>
      </c>
    </row>
    <row r="73" spans="1:38" x14ac:dyDescent="0.3">
      <c r="A73" s="32">
        <f>VLOOKUP(YEAR(C73),Flags!$A$13:$B$95,2,FALSE)</f>
        <v>2</v>
      </c>
      <c r="B73" s="24">
        <f t="shared" si="2"/>
        <v>1928</v>
      </c>
      <c r="C73" s="25">
        <v>10501</v>
      </c>
      <c r="D73" s="26"/>
      <c r="E73" s="24"/>
      <c r="F73" s="26"/>
      <c r="G73" s="24"/>
      <c r="H73" s="24"/>
      <c r="I73" s="26"/>
      <c r="J73" s="24"/>
      <c r="K73" s="26">
        <f>VLOOKUP($C73,COS!$B$8:$H$991,2,FALSE)</f>
        <v>2247.118896484375</v>
      </c>
      <c r="L73" s="24">
        <f t="shared" ref="L73" si="105">IF(AND(K73&gt;$I$7,K73&lt;$I$8),1,0)</f>
        <v>1</v>
      </c>
      <c r="M73" s="24"/>
      <c r="N73" s="26"/>
      <c r="O73" s="26"/>
      <c r="P73" s="26"/>
      <c r="Q73" s="26"/>
      <c r="R73" s="26"/>
      <c r="S73" s="26"/>
      <c r="T73" s="26"/>
      <c r="U73" s="26"/>
      <c r="V73" s="26"/>
      <c r="W73" s="26">
        <f>MAX($C$8-VLOOKUP($C73,COS!$B$8:$H$991,3,FALSE),0)</f>
        <v>87919.5517578125</v>
      </c>
      <c r="X73" s="26">
        <f t="shared" si="31"/>
        <v>5231.5766335227272</v>
      </c>
      <c r="Y73" s="26">
        <f>VLOOKUP($C73,COS!$B$8:$H$991,4,FALSE)</f>
        <v>0</v>
      </c>
      <c r="Z73" s="26">
        <f t="shared" si="32"/>
        <v>0</v>
      </c>
      <c r="AA73" s="26">
        <f t="shared" si="103"/>
        <v>0</v>
      </c>
      <c r="AB73" s="33">
        <f t="shared" si="34"/>
        <v>0</v>
      </c>
      <c r="AD73" s="43">
        <v>1981</v>
      </c>
      <c r="AE73" s="1">
        <f>VLOOKUP(AD73,Flags!$A$13:$B$95,2,FALSE)</f>
        <v>4</v>
      </c>
      <c r="AF73" s="43">
        <f t="shared" si="6"/>
        <v>591.60021791064048</v>
      </c>
      <c r="AG73" s="43">
        <f t="shared" si="7"/>
        <v>674.76521393578901</v>
      </c>
      <c r="AH73" s="43">
        <f t="shared" si="8"/>
        <v>493.14746985569474</v>
      </c>
      <c r="AI73" s="43">
        <f t="shared" si="9"/>
        <v>27235.292361667096</v>
      </c>
      <c r="AJ73" s="43">
        <f t="shared" si="10"/>
        <v>328.53171665160124</v>
      </c>
      <c r="AK73" s="43">
        <f t="shared" si="1"/>
        <v>328.53171665160124</v>
      </c>
      <c r="AL73" s="43">
        <f t="shared" si="11"/>
        <v>328.53171665160124</v>
      </c>
    </row>
    <row r="74" spans="1:38" x14ac:dyDescent="0.3">
      <c r="A74" s="32">
        <f>VLOOKUP(YEAR(C74),Flags!$A$13:$B$95,2,FALSE)</f>
        <v>2</v>
      </c>
      <c r="B74" s="24">
        <f t="shared" si="2"/>
        <v>1928</v>
      </c>
      <c r="C74" s="25">
        <v>10532</v>
      </c>
      <c r="D74" s="26"/>
      <c r="E74" s="24"/>
      <c r="F74" s="26"/>
      <c r="G74" s="26"/>
      <c r="H74" s="26"/>
      <c r="I74" s="26"/>
      <c r="J74" s="26"/>
      <c r="K74" s="26"/>
      <c r="L74" s="24"/>
      <c r="M74" s="24"/>
      <c r="N74" s="26"/>
      <c r="O74" s="26"/>
      <c r="P74" s="26"/>
      <c r="Q74" s="26"/>
      <c r="R74" s="26"/>
      <c r="S74" s="26"/>
      <c r="T74" s="26"/>
      <c r="U74" s="26"/>
      <c r="V74" s="26"/>
      <c r="W74" s="26">
        <f>MAX($C$9-VLOOKUP($C74,COS!$B$8:$H$991,3,FALSE),0)</f>
        <v>91149.44921875</v>
      </c>
      <c r="X74" s="26">
        <f t="shared" si="31"/>
        <v>5604.5611751033057</v>
      </c>
      <c r="Y74" s="26">
        <f>VLOOKUP($C74,COS!$B$8:$H$991,4,FALSE)</f>
        <v>828.01947021484375</v>
      </c>
      <c r="Z74" s="26">
        <f t="shared" si="32"/>
        <v>50.912932714036671</v>
      </c>
      <c r="AA74" s="26">
        <f t="shared" si="103"/>
        <v>828.01947021484375</v>
      </c>
      <c r="AB74" s="33">
        <f t="shared" si="34"/>
        <v>50.912932714036671</v>
      </c>
      <c r="AD74" s="43">
        <v>1982</v>
      </c>
      <c r="AE74" s="1">
        <f>VLOOKUP(AD74,Flags!$A$13:$B$95,2,FALSE)</f>
        <v>1</v>
      </c>
      <c r="AF74" s="43">
        <f t="shared" si="6"/>
        <v>1125.442561983471</v>
      </c>
      <c r="AG74" s="43">
        <f t="shared" si="7"/>
        <v>640.36909747667551</v>
      </c>
      <c r="AH74" s="43">
        <f t="shared" si="8"/>
        <v>0</v>
      </c>
      <c r="AI74" s="43">
        <f t="shared" si="9"/>
        <v>27384.52280733471</v>
      </c>
      <c r="AJ74" s="43">
        <f t="shared" si="10"/>
        <v>0</v>
      </c>
      <c r="AK74" s="43">
        <f t="shared" si="1"/>
        <v>0</v>
      </c>
      <c r="AL74" s="43">
        <f t="shared" si="11"/>
        <v>0</v>
      </c>
    </row>
    <row r="75" spans="1:38" x14ac:dyDescent="0.3">
      <c r="A75" s="32">
        <f>VLOOKUP(YEAR(C75),Flags!$A$13:$B$95,2,FALSE)</f>
        <v>2</v>
      </c>
      <c r="B75" s="24">
        <f t="shared" si="2"/>
        <v>1928</v>
      </c>
      <c r="C75" s="25">
        <v>10562</v>
      </c>
      <c r="D75" s="26"/>
      <c r="E75" s="24"/>
      <c r="F75" s="26"/>
      <c r="G75" s="26"/>
      <c r="H75" s="26"/>
      <c r="I75" s="26"/>
      <c r="J75" s="26"/>
      <c r="K75" s="26"/>
      <c r="L75" s="24"/>
      <c r="M75" s="24"/>
      <c r="N75" s="26"/>
      <c r="O75" s="26"/>
      <c r="P75" s="26"/>
      <c r="Q75" s="26"/>
      <c r="R75" s="26"/>
      <c r="S75" s="26"/>
      <c r="T75" s="26"/>
      <c r="U75" s="26"/>
      <c r="V75" s="26"/>
      <c r="W75" s="26">
        <f>MAX($C$10-VLOOKUP($C75,COS!$B$8:$H$991,3,FALSE),0)</f>
        <v>93858.70654296875</v>
      </c>
      <c r="X75" s="26">
        <f t="shared" si="31"/>
        <v>5584.9808852014467</v>
      </c>
      <c r="Y75" s="26">
        <f>VLOOKUP($C75,COS!$B$8:$H$991,4,FALSE)</f>
        <v>1034.00048828125</v>
      </c>
      <c r="Z75" s="26">
        <f t="shared" si="32"/>
        <v>61.527301782024793</v>
      </c>
      <c r="AA75" s="26">
        <f t="shared" si="103"/>
        <v>1034.00048828125</v>
      </c>
      <c r="AB75" s="33">
        <f t="shared" si="34"/>
        <v>61.527301782024793</v>
      </c>
      <c r="AD75" s="43">
        <v>1983</v>
      </c>
      <c r="AE75" s="1">
        <f>VLOOKUP(AD75,Flags!$A$13:$B$95,2,FALSE)</f>
        <v>1</v>
      </c>
      <c r="AF75" s="43">
        <f t="shared" si="6"/>
        <v>1379.8435440340911</v>
      </c>
      <c r="AG75" s="43">
        <f t="shared" si="7"/>
        <v>680.26086035610228</v>
      </c>
      <c r="AH75" s="43">
        <f t="shared" si="8"/>
        <v>0</v>
      </c>
      <c r="AI75" s="43">
        <f t="shared" si="9"/>
        <v>25379.231129907024</v>
      </c>
      <c r="AJ75" s="43">
        <f t="shared" si="10"/>
        <v>19.84101265899406</v>
      </c>
      <c r="AK75" s="43">
        <f t="shared" si="1"/>
        <v>19.84101265899406</v>
      </c>
      <c r="AL75" s="43">
        <f t="shared" si="11"/>
        <v>0</v>
      </c>
    </row>
    <row r="76" spans="1:38" x14ac:dyDescent="0.3">
      <c r="A76" s="34">
        <f>VLOOKUP(YEAR(C76),Flags!$A$13:$B$95,2,FALSE)</f>
        <v>2</v>
      </c>
      <c r="B76" s="35">
        <f t="shared" si="2"/>
        <v>1928</v>
      </c>
      <c r="C76" s="36">
        <v>10593</v>
      </c>
      <c r="D76" s="37"/>
      <c r="E76" s="35"/>
      <c r="F76" s="37"/>
      <c r="G76" s="37"/>
      <c r="H76" s="37"/>
      <c r="I76" s="37"/>
      <c r="J76" s="37"/>
      <c r="K76" s="37"/>
      <c r="L76" s="35"/>
      <c r="M76" s="35"/>
      <c r="N76" s="37"/>
      <c r="O76" s="37"/>
      <c r="P76" s="37"/>
      <c r="Q76" s="37"/>
      <c r="R76" s="37"/>
      <c r="S76" s="37"/>
      <c r="T76" s="37"/>
      <c r="U76" s="37"/>
      <c r="V76" s="37"/>
      <c r="W76" s="37">
        <f>MAX($C$11-VLOOKUP($C76,COS!$B$8:$H$991,3,FALSE),0)</f>
        <v>96749</v>
      </c>
      <c r="X76" s="37">
        <f t="shared" si="31"/>
        <v>5948.8641322314052</v>
      </c>
      <c r="Y76" s="37">
        <f>VLOOKUP($C76,COS!$B$8:$H$991,4,FALSE)</f>
        <v>0</v>
      </c>
      <c r="Z76" s="37">
        <f t="shared" si="32"/>
        <v>0</v>
      </c>
      <c r="AA76" s="37">
        <f t="shared" si="103"/>
        <v>0</v>
      </c>
      <c r="AB76" s="38">
        <f t="shared" si="34"/>
        <v>0</v>
      </c>
      <c r="AD76" s="43">
        <v>1984</v>
      </c>
      <c r="AE76" s="1">
        <f>VLOOKUP(AD76,Flags!$A$13:$B$95,2,FALSE)</f>
        <v>1</v>
      </c>
      <c r="AF76" s="43">
        <f t="shared" si="6"/>
        <v>407.10620706353302</v>
      </c>
      <c r="AG76" s="43">
        <f t="shared" si="7"/>
        <v>692.32239814695242</v>
      </c>
      <c r="AH76" s="43">
        <f t="shared" si="8"/>
        <v>0</v>
      </c>
      <c r="AI76" s="43">
        <f t="shared" si="9"/>
        <v>28013.493290934915</v>
      </c>
      <c r="AJ76" s="43">
        <f t="shared" si="10"/>
        <v>71.716279014398239</v>
      </c>
      <c r="AK76" s="43">
        <f t="shared" si="1"/>
        <v>71.716279014398239</v>
      </c>
      <c r="AL76" s="43">
        <f t="shared" si="11"/>
        <v>0</v>
      </c>
    </row>
    <row r="77" spans="1:38" x14ac:dyDescent="0.3">
      <c r="A77" s="27">
        <f>VLOOKUP(YEAR(C77),Flags!$A$13:$B$95,2,FALSE)</f>
        <v>5</v>
      </c>
      <c r="B77" s="28">
        <f t="shared" si="2"/>
        <v>1929</v>
      </c>
      <c r="C77" s="29">
        <v>10713</v>
      </c>
      <c r="D77" s="30">
        <f>VLOOKUP($C77,COS!$B$8:$H$991,3,FALSE)</f>
        <v>3250</v>
      </c>
      <c r="E77" s="28">
        <f>IF(D77&gt;=IF(MONTH($C77)=4,$C$3,IF(MONTH($C77)=5,$C$4,IF(MONTH($C77)=6,$C$5,IF(MONTH($C77)=7,$C$6,"ERROR")))),1,0)</f>
        <v>0</v>
      </c>
      <c r="F77" s="30">
        <f>VLOOKUP($C77,COS!$B$8:$H$991,7,FALSE)</f>
        <v>51.192344665527344</v>
      </c>
      <c r="G77" s="28">
        <f>IF(F77&lt;=IF(MONTH($C77)=4,$F$3,IF(MONTH($C77)=5,$F$4,IF(MONTH($C77)=6,$F$5,IF(MONTH($C77)=7,$F$6,"ERROR")))),1,0)</f>
        <v>1</v>
      </c>
      <c r="H77" s="30">
        <f>IF(J77=1,D77-$C$3,0)</f>
        <v>0</v>
      </c>
      <c r="I77" s="30">
        <f t="shared" si="17"/>
        <v>0</v>
      </c>
      <c r="J77" s="28">
        <f t="shared" ref="J77:J80" si="106">IF(AND(E77=1,G77=1),1,0)</f>
        <v>0</v>
      </c>
      <c r="K77" s="30">
        <f>VLOOKUP($C77,COS!$B$8:$H$991,2,FALSE)</f>
        <v>2771.09326171875</v>
      </c>
      <c r="L77" s="28">
        <f t="shared" ref="L77" si="107">IF(K77&lt;=IF(MONTH($C77)=4,$I$3,IF(MONTH($C77)=5,$I$4,IF(MONTH($C77)=6,$I$5,IF(MONTH($C77)=7,$I$6,"ERROR")))),1,0)</f>
        <v>1</v>
      </c>
      <c r="M77" s="28">
        <f t="shared" ref="M77" si="108">VLOOKUP($A77,$L$3:$M$7,2,FALSE)</f>
        <v>1</v>
      </c>
      <c r="N77" s="30">
        <f>VLOOKUP($C77,COS!$B$8:$H$991,5,FALSE)</f>
        <v>223.38325500488281</v>
      </c>
      <c r="O77" s="30">
        <f t="shared" ref="O77:O80" si="109">N77*DAY($C77)*86400/43560/1000</f>
        <v>13.292226744092201</v>
      </c>
      <c r="P77" s="30">
        <f>VLOOKUP($C77,COS!$B$8:$H$991,6,FALSE)</f>
        <v>516.50811767578125</v>
      </c>
      <c r="Q77" s="30">
        <f t="shared" ref="Q77:Q80" si="110">P77*DAY($C77)*86400/43560/1000</f>
        <v>30.734367332773761</v>
      </c>
      <c r="R77" s="30">
        <f>MIN(IF(MONTH($C77)=4,$S$3,IF(MONTH($C77)=5,$S$4,IF(MONTH($C77)=6,$S$5,IF(MONTH($C77)=7,$S$6,"ERROR")))),MAX(VLOOKUP($C77,COS!$B$8:$K$991,10,FALSE)-IF(MONTH($C77)=4,$Y$3,IF(MONTH($C77)=5,$Y$4,IF(MONTH($C77)=6,$Y$5,IF(MONTH($C77)=7,$Y$6,"ERROR")))),0),MAX(VLOOKUP($C77,COS!$B$8:$K$991,9,FALSE)-IF(MONTH($C77)=4,$V$3,IF(MONTH($C77)=5,$V$4,IF(MONTH($C77)=6,$V$5,IF(MONTH($C77)=7,$V$6,"ERROR"))))-VLOOKUP($C77,COS!$B$8:$K$991,6,FALSE)/2,0))</f>
        <v>785.21630859375</v>
      </c>
      <c r="S77" s="30">
        <f t="shared" ref="S77:S80" si="111">R77*DAY($C77)*86400/43560/1000</f>
        <v>46.723615056818183</v>
      </c>
      <c r="T77" s="30">
        <f t="shared" ref="T77:T80" si="112">(O77+Q77)/2+S77</f>
        <v>68.736912095251171</v>
      </c>
      <c r="U77" s="30" t="str">
        <f>IF(VLOOKUP($C77,COS!$B$8:$I$991,8,FALSE)=1,"UWFE","IBU")</f>
        <v>UWFE</v>
      </c>
      <c r="V77" s="30">
        <f t="shared" ref="V77" si="113">MIN(IF(IF($AA$3=2,AND(E77=1,G77=1,L77=1,L82=1,M77=1,U77="IBU"),AND(E77=1,G77=1,L77=1,L82=1,M77=1)),T77,0),I77)</f>
        <v>0</v>
      </c>
      <c r="W77" s="30"/>
      <c r="X77" s="30"/>
      <c r="Y77" s="30"/>
      <c r="Z77" s="30"/>
      <c r="AA77" s="30"/>
      <c r="AB77" s="31"/>
      <c r="AD77" s="43">
        <v>1985</v>
      </c>
      <c r="AE77" s="1">
        <f>VLOOKUP(AD77,Flags!$A$13:$B$95,2,FALSE)</f>
        <v>3</v>
      </c>
      <c r="AF77" s="43">
        <f t="shared" si="6"/>
        <v>489.51717361828509</v>
      </c>
      <c r="AG77" s="43">
        <f t="shared" si="7"/>
        <v>656.34193189888947</v>
      </c>
      <c r="AH77" s="43">
        <f t="shared" si="8"/>
        <v>0</v>
      </c>
      <c r="AI77" s="43">
        <f t="shared" si="9"/>
        <v>28578.0588165031</v>
      </c>
      <c r="AJ77" s="43">
        <f t="shared" si="10"/>
        <v>253.37745220089744</v>
      </c>
      <c r="AK77" s="43">
        <f t="shared" si="1"/>
        <v>253.37745220089744</v>
      </c>
      <c r="AL77" s="43">
        <f t="shared" si="11"/>
        <v>0</v>
      </c>
    </row>
    <row r="78" spans="1:38" x14ac:dyDescent="0.3">
      <c r="A78" s="32">
        <f>VLOOKUP(YEAR(C78),Flags!$A$13:$B$95,2,FALSE)</f>
        <v>5</v>
      </c>
      <c r="B78" s="24">
        <f t="shared" si="2"/>
        <v>1929</v>
      </c>
      <c r="C78" s="25">
        <v>10744</v>
      </c>
      <c r="D78" s="26">
        <f>VLOOKUP($C78,COS!$B$8:$H$991,3,FALSE)</f>
        <v>8080.45556640625</v>
      </c>
      <c r="E78" s="24">
        <f>IF(D78&gt;=IF(MONTH($C78)=4,$C$3,IF(MONTH($C78)=5,$C$4,IF(MONTH($C78)=6,$C$5,IF(MONTH($C78)=7,$C$6,"ERROR")))),1,0)</f>
        <v>1</v>
      </c>
      <c r="F78" s="26">
        <f>VLOOKUP($C78,COS!$B$8:$H$991,7,FALSE)</f>
        <v>51.678050994873047</v>
      </c>
      <c r="G78" s="24">
        <f>IF(F78&lt;=IF(MONTH($C78)=4,$F$3,IF(MONTH($C78)=5,$F$4,IF(MONTH($C78)=6,$F$5,IF(MONTH($C78)=7,$F$6,"ERROR")))),1,0)</f>
        <v>1</v>
      </c>
      <c r="H78" s="26">
        <f>IF(J78=1,D78-$C$4,0)</f>
        <v>2080.45556640625</v>
      </c>
      <c r="I78" s="26">
        <f t="shared" si="17"/>
        <v>127.9222265625</v>
      </c>
      <c r="J78" s="24">
        <f t="shared" si="106"/>
        <v>1</v>
      </c>
      <c r="K78" s="26">
        <f>VLOOKUP($C78,COS!$B$8:$H$991,2,FALSE)</f>
        <v>2547.78955078125</v>
      </c>
      <c r="L78" s="24">
        <f t="shared" si="19"/>
        <v>1</v>
      </c>
      <c r="M78" s="24">
        <f t="shared" si="20"/>
        <v>1</v>
      </c>
      <c r="N78" s="26">
        <f>VLOOKUP($C78,COS!$B$8:$H$991,5,FALSE)</f>
        <v>306.94467163085938</v>
      </c>
      <c r="O78" s="26">
        <f t="shared" si="109"/>
        <v>18.873292206062757</v>
      </c>
      <c r="P78" s="26">
        <f>VLOOKUP($C78,COS!$B$8:$H$991,6,FALSE)</f>
        <v>2370.671630859375</v>
      </c>
      <c r="Q78" s="26">
        <f t="shared" si="110"/>
        <v>145.76691680655992</v>
      </c>
      <c r="R78" s="26">
        <f>MIN(IF(MONTH($C78)=4,$S$3,IF(MONTH($C78)=5,$S$4,IF(MONTH($C78)=6,$S$5,IF(MONTH($C78)=7,$S$6,"ERROR")))),MAX(VLOOKUP($C78,COS!$B$8:$K$991,10,FALSE)-IF(MONTH($C78)=4,$Y$3,IF(MONTH($C78)=5,$Y$4,IF(MONTH($C78)=6,$Y$5,IF(MONTH($C78)=7,$Y$6,"ERROR")))),0),MAX(VLOOKUP($C78,COS!$B$8:$K$991,9,FALSE)-IF(MONTH($C78)=4,$V$3,IF(MONTH($C78)=5,$V$4,IF(MONTH($C78)=6,$V$5,IF(MONTH($C78)=7,$V$6,"ERROR"))))-VLOOKUP($C78,COS!$B$8:$K$991,6,FALSE)/2,0))</f>
        <v>1500</v>
      </c>
      <c r="S78" s="26">
        <f t="shared" si="111"/>
        <v>92.231404958677686</v>
      </c>
      <c r="T78" s="26">
        <f t="shared" si="112"/>
        <v>174.55150946498901</v>
      </c>
      <c r="U78" s="26" t="str">
        <f>IF(VLOOKUP($C78,COS!$B$8:$I$991,8,FALSE)=1,"UWFE","IBU")</f>
        <v>IBU</v>
      </c>
      <c r="V78" s="26">
        <f t="shared" ref="V78" si="114">MIN(IF(IF($AA$3=2,AND(E78=1,G78=1,L78=1,L82=1,M78=1,U78="IBU"),AND(E78=1,G78=1,L78=1,L82=1,M78=1)),T78,0),I78)</f>
        <v>127.9222265625</v>
      </c>
      <c r="W78" s="26"/>
      <c r="X78" s="26"/>
      <c r="Y78" s="26"/>
      <c r="Z78" s="26"/>
      <c r="AA78" s="26"/>
      <c r="AB78" s="33"/>
      <c r="AD78" s="44">
        <v>1986</v>
      </c>
      <c r="AE78" s="45">
        <f>VLOOKUP(AD78,Flags!$A$13:$B$95,2,FALSE)</f>
        <v>1</v>
      </c>
      <c r="AF78" s="44">
        <f t="shared" si="6"/>
        <v>63.803206030475209</v>
      </c>
      <c r="AG78" s="44">
        <f t="shared" si="7"/>
        <v>643.07545471695823</v>
      </c>
      <c r="AH78" s="44">
        <f t="shared" si="8"/>
        <v>0</v>
      </c>
      <c r="AI78" s="44">
        <f t="shared" si="9"/>
        <v>28025.454479597109</v>
      </c>
      <c r="AJ78" s="44">
        <f t="shared" si="10"/>
        <v>288.06291219411798</v>
      </c>
      <c r="AK78" s="44">
        <f t="shared" ref="AK78:AK94" si="115">SUMIF($B$14:$B$742,$AD78,$AB$14:$AB$742)</f>
        <v>288.06291219411798</v>
      </c>
      <c r="AL78" s="44">
        <f t="shared" si="11"/>
        <v>0</v>
      </c>
    </row>
    <row r="79" spans="1:38" x14ac:dyDescent="0.3">
      <c r="A79" s="32">
        <f>VLOOKUP(YEAR(C79),Flags!$A$13:$B$95,2,FALSE)</f>
        <v>5</v>
      </c>
      <c r="B79" s="24">
        <f t="shared" ref="B79:B142" si="116">YEAR(C79)</f>
        <v>1929</v>
      </c>
      <c r="C79" s="25">
        <v>10774</v>
      </c>
      <c r="D79" s="26">
        <f>VLOOKUP($C79,COS!$B$8:$H$991,3,FALSE)</f>
        <v>8416.89453125</v>
      </c>
      <c r="E79" s="24">
        <f>IF(D79&gt;=IF(MONTH($C79)=4,$C$3,IF(MONTH($C79)=5,$C$4,IF(MONTH($C79)=6,$C$5,IF(MONTH($C79)=7,$C$6,"ERROR")))),1,0)</f>
        <v>0</v>
      </c>
      <c r="F79" s="26">
        <f>VLOOKUP($C79,COS!$B$8:$H$991,7,FALSE)</f>
        <v>54.286209106445313</v>
      </c>
      <c r="G79" s="24">
        <f>IF(F79&lt;=IF(MONTH($C79)=4,$F$3,IF(MONTH($C79)=5,$F$4,IF(MONTH($C79)=6,$F$5,IF(MONTH($C79)=7,$F$6,"ERROR")))),1,0)</f>
        <v>1</v>
      </c>
      <c r="H79" s="26">
        <f>IF(J79=1,D79-$C$5,0)</f>
        <v>0</v>
      </c>
      <c r="I79" s="26">
        <f t="shared" si="17"/>
        <v>0</v>
      </c>
      <c r="J79" s="24">
        <f t="shared" si="106"/>
        <v>0</v>
      </c>
      <c r="K79" s="26">
        <f>VLOOKUP($C79,COS!$B$8:$H$991,2,FALSE)</f>
        <v>2247.309814453125</v>
      </c>
      <c r="L79" s="24">
        <f t="shared" si="19"/>
        <v>1</v>
      </c>
      <c r="M79" s="24">
        <f t="shared" si="20"/>
        <v>1</v>
      </c>
      <c r="N79" s="26">
        <f>VLOOKUP($C79,COS!$B$8:$H$991,5,FALSE)</f>
        <v>280.00125122070313</v>
      </c>
      <c r="O79" s="26">
        <f t="shared" si="109"/>
        <v>16.661231477595557</v>
      </c>
      <c r="P79" s="26">
        <f>VLOOKUP($C79,COS!$B$8:$H$991,6,FALSE)</f>
        <v>2189.392578125</v>
      </c>
      <c r="Q79" s="26">
        <f t="shared" si="110"/>
        <v>130.27790547520661</v>
      </c>
      <c r="R79" s="26">
        <f>MIN(IF(MONTH($C79)=4,$S$3,IF(MONTH($C79)=5,$S$4,IF(MONTH($C79)=6,$S$5,IF(MONTH($C79)=7,$S$6,"ERROR")))),MAX(VLOOKUP($C79,COS!$B$8:$K$991,10,FALSE)-IF(MONTH($C79)=4,$Y$3,IF(MONTH($C79)=5,$Y$4,IF(MONTH($C79)=6,$Y$5,IF(MONTH($C79)=7,$Y$6,"ERROR")))),0),MAX(VLOOKUP($C79,COS!$B$8:$K$991,9,FALSE)-IF(MONTH($C79)=4,$V$3,IF(MONTH($C79)=5,$V$4,IF(MONTH($C79)=6,$V$5,IF(MONTH($C79)=7,$V$6,"ERROR"))))-VLOOKUP($C79,COS!$B$8:$K$991,6,FALSE)/2,0))</f>
        <v>1500</v>
      </c>
      <c r="S79" s="26">
        <f t="shared" si="111"/>
        <v>89.256198347107429</v>
      </c>
      <c r="T79" s="26">
        <f t="shared" si="112"/>
        <v>162.72576682350851</v>
      </c>
      <c r="U79" s="26" t="str">
        <f>IF(VLOOKUP($C79,COS!$B$8:$I$991,8,FALSE)=1,"UWFE","IBU")</f>
        <v>IBU</v>
      </c>
      <c r="V79" s="26">
        <f t="shared" ref="V79" si="117">MIN(IF(IF($AA$3=2,AND(E79=1,G79=1,L79=1,L82=1,M79=1,U79="IBU"),AND(E79=1,G79=1,L79=1,L82=1,M79=1)),T79,0),I79)</f>
        <v>0</v>
      </c>
      <c r="W79" s="26"/>
      <c r="X79" s="26"/>
      <c r="Y79" s="26"/>
      <c r="Z79" s="26"/>
      <c r="AA79" s="26"/>
      <c r="AB79" s="33"/>
      <c r="AD79" s="44">
        <v>1987</v>
      </c>
      <c r="AE79" s="45">
        <f>VLOOKUP(AD79,Flags!$A$13:$B$95,2,FALSE)</f>
        <v>4</v>
      </c>
      <c r="AF79" s="44">
        <f t="shared" ref="AF79:AF94" si="118">SUMIF($B$14:$B$742,$AD79,$I$14:$I$742)</f>
        <v>384.23917097107437</v>
      </c>
      <c r="AG79" s="44">
        <f t="shared" ref="AG79:AG94" si="119">SUMIF($B$14:$B$742,$AD79,$T$14:$T$742)</f>
        <v>639.51027884995642</v>
      </c>
      <c r="AH79" s="44">
        <f t="shared" ref="AH79:AH94" si="120">SUMIF($B$14:$B$742,$AD79,$V$14:$V$742)</f>
        <v>345.5484845475126</v>
      </c>
      <c r="AI79" s="44">
        <f t="shared" ref="AI79:AI94" si="121">SUMIF($B$14:$B$742,$AD79,$X$14:$X$742)</f>
        <v>28712.005163352274</v>
      </c>
      <c r="AJ79" s="44">
        <f t="shared" ref="AJ79:AJ94" si="122">SUMIF($B$14:$B$742,$AD79,$Z$14:$Z$742)</f>
        <v>559.00714303008783</v>
      </c>
      <c r="AK79" s="44">
        <f t="shared" si="115"/>
        <v>559.00714303008783</v>
      </c>
      <c r="AL79" s="44">
        <f t="shared" ref="AL79:AL94" si="123">MIN(AH79,AK79)</f>
        <v>345.5484845475126</v>
      </c>
    </row>
    <row r="80" spans="1:38" x14ac:dyDescent="0.3">
      <c r="A80" s="32">
        <f>VLOOKUP(YEAR(C80),Flags!$A$13:$B$95,2,FALSE)</f>
        <v>5</v>
      </c>
      <c r="B80" s="24">
        <f t="shared" si="116"/>
        <v>1929</v>
      </c>
      <c r="C80" s="25">
        <v>10805</v>
      </c>
      <c r="D80" s="26">
        <f>VLOOKUP($C80,COS!$B$8:$H$991,3,FALSE)</f>
        <v>12141.1708984375</v>
      </c>
      <c r="E80" s="24">
        <f>IF(D80&gt;=IF(MONTH($C80)=4,$C$3,IF(MONTH($C80)=5,$C$4,IF(MONTH($C80)=6,$C$5,IF(MONTH($C80)=7,$C$6,"ERROR")))),1,0)</f>
        <v>1</v>
      </c>
      <c r="F80" s="26">
        <f>VLOOKUP($C80,COS!$B$8:$H$991,7,FALSE)</f>
        <v>55.623313903808594</v>
      </c>
      <c r="G80" s="24">
        <f>IF(F80&lt;=IF(MONTH($C80)=4,$F$3,IF(MONTH($C80)=5,$F$4,IF(MONTH($C80)=6,$F$5,IF(MONTH($C80)=7,$F$6,"ERROR")))),1,0)</f>
        <v>0</v>
      </c>
      <c r="H80" s="26">
        <f>IF(J80=1,D80-$C$6,0)</f>
        <v>0</v>
      </c>
      <c r="I80" s="26">
        <f t="shared" si="17"/>
        <v>0</v>
      </c>
      <c r="J80" s="24">
        <f t="shared" si="106"/>
        <v>0</v>
      </c>
      <c r="K80" s="26">
        <f>VLOOKUP($C80,COS!$B$8:$H$991,2,FALSE)</f>
        <v>1718.207763671875</v>
      </c>
      <c r="L80" s="24">
        <f t="shared" si="19"/>
        <v>1</v>
      </c>
      <c r="M80" s="24">
        <f t="shared" si="20"/>
        <v>1</v>
      </c>
      <c r="N80" s="26">
        <f>VLOOKUP($C80,COS!$B$8:$H$991,5,FALSE)</f>
        <v>382.06051635742188</v>
      </c>
      <c r="O80" s="26">
        <f t="shared" si="109"/>
        <v>23.491985468588584</v>
      </c>
      <c r="P80" s="26">
        <f>VLOOKUP($C80,COS!$B$8:$H$991,6,FALSE)</f>
        <v>2281.4833984375</v>
      </c>
      <c r="Q80" s="26">
        <f t="shared" si="110"/>
        <v>140.28294615185951</v>
      </c>
      <c r="R80" s="26">
        <f>MIN(IF(MONTH($C80)=4,$S$3,IF(MONTH($C80)=5,$S$4,IF(MONTH($C80)=6,$S$5,IF(MONTH($C80)=7,$S$6,"ERROR")))),MAX(VLOOKUP($C80,COS!$B$8:$K$991,10,FALSE)-IF(MONTH($C80)=4,$Y$3,IF(MONTH($C80)=5,$Y$4,IF(MONTH($C80)=6,$Y$5,IF(MONTH($C80)=7,$Y$6,"ERROR")))),0),MAX(VLOOKUP($C80,COS!$B$8:$K$991,9,FALSE)-IF(MONTH($C80)=4,$V$3,IF(MONTH($C80)=5,$V$4,IF(MONTH($C80)=6,$V$5,IF(MONTH($C80)=7,$V$6,"ERROR"))))-VLOOKUP($C80,COS!$B$8:$K$991,6,FALSE)/2,0))</f>
        <v>1500</v>
      </c>
      <c r="S80" s="26">
        <f t="shared" si="111"/>
        <v>92.231404958677686</v>
      </c>
      <c r="T80" s="26">
        <f t="shared" si="112"/>
        <v>174.11887076890173</v>
      </c>
      <c r="U80" s="26" t="str">
        <f>IF(VLOOKUP($C80,COS!$B$8:$I$991,8,FALSE)=1,"UWFE","IBU")</f>
        <v>IBU</v>
      </c>
      <c r="V80" s="26">
        <f t="shared" ref="V80" si="124">MIN(IF(IF($AA$3=2,AND(E80=1,G80=1,L80=1,L82=1,M80=1,U80="IBU"),AND(E80=1,G80=1,L80=1,L82=1,M80=1)),T80,0),I80)</f>
        <v>0</v>
      </c>
      <c r="W80" s="26"/>
      <c r="X80" s="26"/>
      <c r="Y80" s="26"/>
      <c r="Z80" s="26"/>
      <c r="AA80" s="26"/>
      <c r="AB80" s="33"/>
      <c r="AD80" s="44">
        <v>1988</v>
      </c>
      <c r="AE80" s="45">
        <f>VLOOKUP(AD80,Flags!$A$13:$B$95,2,FALSE)</f>
        <v>5</v>
      </c>
      <c r="AF80" s="44">
        <f t="shared" si="118"/>
        <v>110.63555559142561</v>
      </c>
      <c r="AG80" s="44">
        <f t="shared" si="119"/>
        <v>562.63756641230316</v>
      </c>
      <c r="AH80" s="44">
        <f t="shared" si="120"/>
        <v>110.63555559142561</v>
      </c>
      <c r="AI80" s="44">
        <f t="shared" si="121"/>
        <v>28794.413279635846</v>
      </c>
      <c r="AJ80" s="44">
        <f t="shared" si="122"/>
        <v>534.81629519628098</v>
      </c>
      <c r="AK80" s="44">
        <f t="shared" si="115"/>
        <v>534.81629519628098</v>
      </c>
      <c r="AL80" s="44">
        <f t="shared" si="123"/>
        <v>110.63555559142561</v>
      </c>
    </row>
    <row r="81" spans="1:38" x14ac:dyDescent="0.3">
      <c r="A81" s="32">
        <f>VLOOKUP(YEAR(C81),Flags!$A$13:$B$95,2,FALSE)</f>
        <v>5</v>
      </c>
      <c r="B81" s="24">
        <f t="shared" si="116"/>
        <v>1929</v>
      </c>
      <c r="C81" s="25">
        <v>10836</v>
      </c>
      <c r="D81" s="26"/>
      <c r="E81" s="24"/>
      <c r="F81" s="26"/>
      <c r="G81" s="24"/>
      <c r="H81" s="24"/>
      <c r="I81" s="26"/>
      <c r="J81" s="24"/>
      <c r="K81" s="26"/>
      <c r="L81" s="24"/>
      <c r="M81" s="24"/>
      <c r="N81" s="26"/>
      <c r="O81" s="26"/>
      <c r="P81" s="26"/>
      <c r="Q81" s="26"/>
      <c r="R81" s="26"/>
      <c r="S81" s="26"/>
      <c r="T81" s="26"/>
      <c r="U81" s="26"/>
      <c r="V81" s="26"/>
      <c r="W81" s="26">
        <f>MAX($C$7-VLOOKUP($C81,COS!$B$8:$H$991,3,FALSE),0)</f>
        <v>92112.06689453125</v>
      </c>
      <c r="X81" s="26">
        <f t="shared" si="31"/>
        <v>5663.75022888688</v>
      </c>
      <c r="Y81" s="26">
        <f>VLOOKUP($C81,COS!$B$8:$H$991,4,FALSE)</f>
        <v>2623.390625</v>
      </c>
      <c r="Z81" s="26">
        <f t="shared" si="32"/>
        <v>161.3060020661157</v>
      </c>
      <c r="AA81" s="26">
        <f t="shared" ref="AA81:AA85" si="125">MIN(W81,Y81)</f>
        <v>2623.390625</v>
      </c>
      <c r="AB81" s="33">
        <f t="shared" ref="AB81" si="126">AA81*DAY($C81)*86400/43560/1000*IF(MONTH($C81)=8,$P$3,IF(MONTH($C81)=9,$P$4,IF(MONTH($C81)=10,$P$5,IF(MONTH($C81)=11,$P$6,IF(MONTH($C81)=12,$P$7,NA())))))</f>
        <v>161.3060020661157</v>
      </c>
      <c r="AD81" s="44">
        <v>1989</v>
      </c>
      <c r="AE81" s="45">
        <f>VLOOKUP(AD81,Flags!$A$13:$B$95,2,FALSE)</f>
        <v>4</v>
      </c>
      <c r="AF81" s="44">
        <f t="shared" si="118"/>
        <v>354.86444473140494</v>
      </c>
      <c r="AG81" s="44">
        <f t="shared" si="119"/>
        <v>654.21735975029048</v>
      </c>
      <c r="AH81" s="44">
        <f t="shared" si="120"/>
        <v>283.05427601207384</v>
      </c>
      <c r="AI81" s="44">
        <f t="shared" si="121"/>
        <v>28800.174747869321</v>
      </c>
      <c r="AJ81" s="44">
        <f t="shared" si="122"/>
        <v>434.55095263268333</v>
      </c>
      <c r="AK81" s="44">
        <f t="shared" si="115"/>
        <v>434.55095263268333</v>
      </c>
      <c r="AL81" s="44">
        <f t="shared" si="123"/>
        <v>283.05427601207384</v>
      </c>
    </row>
    <row r="82" spans="1:38" x14ac:dyDescent="0.3">
      <c r="A82" s="32">
        <f>VLOOKUP(YEAR(C82),Flags!$A$13:$B$95,2,FALSE)</f>
        <v>5</v>
      </c>
      <c r="B82" s="24">
        <f t="shared" si="116"/>
        <v>1929</v>
      </c>
      <c r="C82" s="25">
        <v>10866</v>
      </c>
      <c r="D82" s="26"/>
      <c r="E82" s="24"/>
      <c r="F82" s="26"/>
      <c r="G82" s="24"/>
      <c r="H82" s="24"/>
      <c r="I82" s="26"/>
      <c r="J82" s="24"/>
      <c r="K82" s="26">
        <f>VLOOKUP($C82,COS!$B$8:$H$991,2,FALSE)</f>
        <v>1326.92724609375</v>
      </c>
      <c r="L82" s="24">
        <f t="shared" ref="L82" si="127">IF(AND(K82&gt;$I$7,K82&lt;$I$8),1,0)</f>
        <v>1</v>
      </c>
      <c r="M82" s="24"/>
      <c r="N82" s="26"/>
      <c r="O82" s="26"/>
      <c r="P82" s="26"/>
      <c r="Q82" s="26"/>
      <c r="R82" s="26"/>
      <c r="S82" s="26"/>
      <c r="T82" s="26"/>
      <c r="U82" s="26"/>
      <c r="V82" s="26"/>
      <c r="W82" s="26">
        <f>MAX($C$8-VLOOKUP($C82,COS!$B$8:$H$991,3,FALSE),0)</f>
        <v>94693.32568359375</v>
      </c>
      <c r="X82" s="26">
        <f t="shared" si="31"/>
        <v>5634.644172908057</v>
      </c>
      <c r="Y82" s="26">
        <f>VLOOKUP($C82,COS!$B$8:$H$991,4,FALSE)</f>
        <v>1966.5052490234375</v>
      </c>
      <c r="Z82" s="26">
        <f t="shared" si="32"/>
        <v>117.01518837164257</v>
      </c>
      <c r="AA82" s="26">
        <f t="shared" si="125"/>
        <v>1966.5052490234375</v>
      </c>
      <c r="AB82" s="33">
        <f t="shared" si="34"/>
        <v>117.01518837164257</v>
      </c>
      <c r="AD82" s="44">
        <v>1990</v>
      </c>
      <c r="AE82" s="45">
        <f>VLOOKUP(AD82,Flags!$A$13:$B$95,2,FALSE)</f>
        <v>5</v>
      </c>
      <c r="AF82" s="44">
        <f t="shared" si="118"/>
        <v>0</v>
      </c>
      <c r="AG82" s="44">
        <f t="shared" si="119"/>
        <v>508.50892750385378</v>
      </c>
      <c r="AH82" s="44">
        <f t="shared" si="120"/>
        <v>0</v>
      </c>
      <c r="AI82" s="44">
        <f t="shared" si="121"/>
        <v>28762.885508135325</v>
      </c>
      <c r="AJ82" s="44">
        <f t="shared" si="122"/>
        <v>684.5884151439825</v>
      </c>
      <c r="AK82" s="44">
        <f t="shared" si="115"/>
        <v>684.5884151439825</v>
      </c>
      <c r="AL82" s="44">
        <f t="shared" si="123"/>
        <v>0</v>
      </c>
    </row>
    <row r="83" spans="1:38" x14ac:dyDescent="0.3">
      <c r="A83" s="32">
        <f>VLOOKUP(YEAR(C83),Flags!$A$13:$B$95,2,FALSE)</f>
        <v>5</v>
      </c>
      <c r="B83" s="24">
        <f t="shared" si="116"/>
        <v>1929</v>
      </c>
      <c r="C83" s="25">
        <v>10897</v>
      </c>
      <c r="D83" s="26"/>
      <c r="E83" s="24"/>
      <c r="F83" s="26"/>
      <c r="G83" s="26"/>
      <c r="H83" s="26"/>
      <c r="I83" s="26"/>
      <c r="J83" s="26"/>
      <c r="K83" s="26"/>
      <c r="L83" s="24"/>
      <c r="M83" s="24"/>
      <c r="N83" s="26"/>
      <c r="O83" s="26"/>
      <c r="P83" s="26"/>
      <c r="Q83" s="26"/>
      <c r="R83" s="26"/>
      <c r="S83" s="26"/>
      <c r="T83" s="26"/>
      <c r="U83" s="26"/>
      <c r="V83" s="26"/>
      <c r="W83" s="26">
        <f>MAX($C$9-VLOOKUP($C83,COS!$B$8:$H$991,3,FALSE),0)</f>
        <v>94798.603515625</v>
      </c>
      <c r="X83" s="26">
        <f t="shared" si="31"/>
        <v>5828.9389269111571</v>
      </c>
      <c r="Y83" s="26">
        <f>VLOOKUP($C83,COS!$B$8:$H$991,4,FALSE)</f>
        <v>1369.061767578125</v>
      </c>
      <c r="Z83" s="26">
        <f t="shared" si="32"/>
        <v>84.180326865960737</v>
      </c>
      <c r="AA83" s="26">
        <f t="shared" si="125"/>
        <v>1369.061767578125</v>
      </c>
      <c r="AB83" s="33">
        <f t="shared" si="34"/>
        <v>84.180326865960737</v>
      </c>
      <c r="AD83" s="44">
        <v>1991</v>
      </c>
      <c r="AE83" s="45">
        <f>VLOOKUP(AD83,Flags!$A$13:$B$95,2,FALSE)</f>
        <v>5</v>
      </c>
      <c r="AF83" s="44">
        <f t="shared" si="118"/>
        <v>45.886084710743802</v>
      </c>
      <c r="AG83" s="44">
        <f t="shared" si="119"/>
        <v>601.89792775556077</v>
      </c>
      <c r="AH83" s="44">
        <f t="shared" si="120"/>
        <v>0</v>
      </c>
      <c r="AI83" s="44">
        <f t="shared" si="121"/>
        <v>28833.668652505163</v>
      </c>
      <c r="AJ83" s="44">
        <f t="shared" si="122"/>
        <v>691.69384434723656</v>
      </c>
      <c r="AK83" s="44">
        <f t="shared" si="115"/>
        <v>691.69384434723656</v>
      </c>
      <c r="AL83" s="44">
        <f t="shared" si="123"/>
        <v>0</v>
      </c>
    </row>
    <row r="84" spans="1:38" x14ac:dyDescent="0.3">
      <c r="A84" s="32">
        <f>VLOOKUP(YEAR(C84),Flags!$A$13:$B$95,2,FALSE)</f>
        <v>5</v>
      </c>
      <c r="B84" s="24">
        <f t="shared" si="116"/>
        <v>1929</v>
      </c>
      <c r="C84" s="25">
        <v>10927</v>
      </c>
      <c r="D84" s="26"/>
      <c r="E84" s="24"/>
      <c r="F84" s="26"/>
      <c r="G84" s="26"/>
      <c r="H84" s="26"/>
      <c r="I84" s="26"/>
      <c r="J84" s="26"/>
      <c r="K84" s="26"/>
      <c r="L84" s="24"/>
      <c r="M84" s="24"/>
      <c r="N84" s="26"/>
      <c r="O84" s="26"/>
      <c r="P84" s="26"/>
      <c r="Q84" s="26"/>
      <c r="R84" s="26"/>
      <c r="S84" s="26"/>
      <c r="T84" s="26"/>
      <c r="U84" s="26"/>
      <c r="V84" s="26"/>
      <c r="W84" s="26">
        <f>MAX($C$10-VLOOKUP($C84,COS!$B$8:$H$991,3,FALSE),0)</f>
        <v>95721.40087890625</v>
      </c>
      <c r="X84" s="26">
        <f t="shared" si="31"/>
        <v>5695.8188952737601</v>
      </c>
      <c r="Y84" s="26">
        <f>VLOOKUP($C84,COS!$B$8:$H$991,4,FALSE)</f>
        <v>1476.7601318359375</v>
      </c>
      <c r="Z84" s="26">
        <f t="shared" si="32"/>
        <v>87.873330158832644</v>
      </c>
      <c r="AA84" s="26">
        <f t="shared" si="125"/>
        <v>1476.7601318359375</v>
      </c>
      <c r="AB84" s="33">
        <f t="shared" si="34"/>
        <v>87.873330158832644</v>
      </c>
      <c r="AD84" s="43">
        <v>1992</v>
      </c>
      <c r="AE84" s="1">
        <f>VLOOKUP(AD84,Flags!$A$13:$B$95,2,FALSE)</f>
        <v>5</v>
      </c>
      <c r="AF84" s="43">
        <f t="shared" si="118"/>
        <v>184.40940534607438</v>
      </c>
      <c r="AG84" s="43">
        <f t="shared" si="119"/>
        <v>595.25417847373262</v>
      </c>
      <c r="AH84" s="43">
        <f t="shared" si="120"/>
        <v>184.40940534607438</v>
      </c>
      <c r="AI84" s="43">
        <f t="shared" si="121"/>
        <v>28817.838244447317</v>
      </c>
      <c r="AJ84" s="43">
        <f t="shared" si="122"/>
        <v>529.46044728176651</v>
      </c>
      <c r="AK84" s="43">
        <f t="shared" si="115"/>
        <v>529.46044728176651</v>
      </c>
      <c r="AL84" s="43">
        <f t="shared" si="123"/>
        <v>184.40940534607438</v>
      </c>
    </row>
    <row r="85" spans="1:38" x14ac:dyDescent="0.3">
      <c r="A85" s="34">
        <f>VLOOKUP(YEAR(C85),Flags!$A$13:$B$95,2,FALSE)</f>
        <v>5</v>
      </c>
      <c r="B85" s="35">
        <f t="shared" si="116"/>
        <v>1929</v>
      </c>
      <c r="C85" s="36">
        <v>10958</v>
      </c>
      <c r="D85" s="37"/>
      <c r="E85" s="35"/>
      <c r="F85" s="37"/>
      <c r="G85" s="37"/>
      <c r="H85" s="37"/>
      <c r="I85" s="37"/>
      <c r="J85" s="37"/>
      <c r="K85" s="37"/>
      <c r="L85" s="35"/>
      <c r="M85" s="35"/>
      <c r="N85" s="37"/>
      <c r="O85" s="37"/>
      <c r="P85" s="37"/>
      <c r="Q85" s="37"/>
      <c r="R85" s="37"/>
      <c r="S85" s="37"/>
      <c r="T85" s="37"/>
      <c r="U85" s="37"/>
      <c r="V85" s="37"/>
      <c r="W85" s="37">
        <f>MAX($C$11-VLOOKUP($C85,COS!$B$8:$H$991,3,FALSE),0)</f>
        <v>96749</v>
      </c>
      <c r="X85" s="37">
        <f t="shared" si="31"/>
        <v>5948.8641322314052</v>
      </c>
      <c r="Y85" s="37">
        <f>VLOOKUP($C85,COS!$B$8:$H$991,4,FALSE)</f>
        <v>1577.152099609375</v>
      </c>
      <c r="Z85" s="37">
        <f t="shared" si="32"/>
        <v>96.975302653667356</v>
      </c>
      <c r="AA85" s="37">
        <f t="shared" si="125"/>
        <v>1577.152099609375</v>
      </c>
      <c r="AB85" s="38">
        <f t="shared" si="34"/>
        <v>96.975302653667356</v>
      </c>
      <c r="AD85" s="43">
        <v>1993</v>
      </c>
      <c r="AE85" s="1">
        <f>VLOOKUP(AD85,Flags!$A$13:$B$95,2,FALSE)</f>
        <v>2</v>
      </c>
      <c r="AF85" s="43">
        <f t="shared" si="118"/>
        <v>368.51700348657027</v>
      </c>
      <c r="AG85" s="43">
        <f t="shared" si="119"/>
        <v>678.65893496174454</v>
      </c>
      <c r="AH85" s="43">
        <f t="shared" si="120"/>
        <v>0</v>
      </c>
      <c r="AI85" s="43">
        <f t="shared" si="121"/>
        <v>27996.752928719012</v>
      </c>
      <c r="AJ85" s="43">
        <f t="shared" si="122"/>
        <v>150.01719971711969</v>
      </c>
      <c r="AK85" s="43">
        <f t="shared" si="115"/>
        <v>150.01719971711969</v>
      </c>
      <c r="AL85" s="43">
        <f t="shared" si="123"/>
        <v>0</v>
      </c>
    </row>
    <row r="86" spans="1:38" x14ac:dyDescent="0.3">
      <c r="A86" s="27">
        <f>VLOOKUP(YEAR(C86),Flags!$A$13:$B$95,2,FALSE)</f>
        <v>4</v>
      </c>
      <c r="B86" s="28">
        <f t="shared" si="116"/>
        <v>1930</v>
      </c>
      <c r="C86" s="29">
        <v>11078</v>
      </c>
      <c r="D86" s="30">
        <f>VLOOKUP($C86,COS!$B$8:$H$991,3,FALSE)</f>
        <v>3250</v>
      </c>
      <c r="E86" s="28">
        <f>IF(D86&gt;=IF(MONTH($C86)=4,$C$3,IF(MONTH($C86)=5,$C$4,IF(MONTH($C86)=6,$C$5,IF(MONTH($C86)=7,$C$6,"ERROR")))),1,0)</f>
        <v>0</v>
      </c>
      <c r="F86" s="30">
        <f>VLOOKUP($C86,COS!$B$8:$H$991,7,FALSE)</f>
        <v>51.239517211914063</v>
      </c>
      <c r="G86" s="28">
        <f>IF(F86&lt;=IF(MONTH($C86)=4,$F$3,IF(MONTH($C86)=5,$F$4,IF(MONTH($C86)=6,$F$5,IF(MONTH($C86)=7,$F$6,"ERROR")))),1,0)</f>
        <v>1</v>
      </c>
      <c r="H86" s="30">
        <f>IF(J86=1,D86-$C$3,0)</f>
        <v>0</v>
      </c>
      <c r="I86" s="30">
        <f t="shared" si="17"/>
        <v>0</v>
      </c>
      <c r="J86" s="28">
        <f t="shared" ref="J86:J89" si="128">IF(AND(E86=1,G86=1),1,0)</f>
        <v>0</v>
      </c>
      <c r="K86" s="30">
        <f>VLOOKUP($C86,COS!$B$8:$H$991,2,FALSE)</f>
        <v>2916.82275390625</v>
      </c>
      <c r="L86" s="28">
        <f t="shared" ref="L86:L143" si="129">IF(K86&lt;=IF(MONTH($C86)=4,$I$3,IF(MONTH($C86)=5,$I$4,IF(MONTH($C86)=6,$I$5,IF(MONTH($C86)=7,$I$6,"ERROR")))),1,0)</f>
        <v>1</v>
      </c>
      <c r="M86" s="28">
        <f t="shared" ref="M86:M143" si="130">VLOOKUP($A86,$L$3:$M$7,2,FALSE)</f>
        <v>1</v>
      </c>
      <c r="N86" s="30">
        <f>VLOOKUP($C86,COS!$B$8:$H$991,5,FALSE)</f>
        <v>44.508659362792969</v>
      </c>
      <c r="O86" s="30">
        <f t="shared" ref="O86:O89" si="131">N86*DAY($C86)*86400/43560/1000</f>
        <v>2.6484491521661928</v>
      </c>
      <c r="P86" s="30">
        <f>VLOOKUP($C86,COS!$B$8:$H$991,6,FALSE)</f>
        <v>392.62295532226563</v>
      </c>
      <c r="Q86" s="30">
        <f t="shared" ref="Q86:Q89" si="132">P86*DAY($C86)*86400/43560/1000</f>
        <v>23.362688250581094</v>
      </c>
      <c r="R86" s="30">
        <f>MIN(IF(MONTH($C86)=4,$S$3,IF(MONTH($C86)=5,$S$4,IF(MONTH($C86)=6,$S$5,IF(MONTH($C86)=7,$S$6,"ERROR")))),MAX(VLOOKUP($C86,COS!$B$8:$K$991,10,FALSE)-IF(MONTH($C86)=4,$Y$3,IF(MONTH($C86)=5,$Y$4,IF(MONTH($C86)=6,$Y$5,IF(MONTH($C86)=7,$Y$6,"ERROR")))),0),MAX(VLOOKUP($C86,COS!$B$8:$K$991,9,FALSE)-IF(MONTH($C86)=4,$V$3,IF(MONTH($C86)=5,$V$4,IF(MONTH($C86)=6,$V$5,IF(MONTH($C86)=7,$V$6,"ERROR"))))-VLOOKUP($C86,COS!$B$8:$K$991,6,FALSE)/2,0))</f>
        <v>1500</v>
      </c>
      <c r="S86" s="30">
        <f t="shared" ref="S86:S89" si="133">R86*DAY($C86)*86400/43560/1000</f>
        <v>89.256198347107429</v>
      </c>
      <c r="T86" s="30">
        <f t="shared" ref="T86:T89" si="134">(O86+Q86)/2+S86</f>
        <v>102.26176704848108</v>
      </c>
      <c r="U86" s="30" t="str">
        <f>IF(VLOOKUP($C86,COS!$B$8:$I$991,8,FALSE)=1,"UWFE","IBU")</f>
        <v>UWFE</v>
      </c>
      <c r="V86" s="30">
        <f t="shared" ref="V86" si="135">MIN(IF(IF($AA$3=2,AND(E86=1,G86=1,L86=1,L91=1,M86=1,U86="IBU"),AND(E86=1,G86=1,L86=1,L91=1,M86=1)),T86,0),I86)</f>
        <v>0</v>
      </c>
      <c r="W86" s="30"/>
      <c r="X86" s="30"/>
      <c r="Y86" s="30"/>
      <c r="Z86" s="30"/>
      <c r="AA86" s="30"/>
      <c r="AB86" s="31"/>
      <c r="AD86" s="43">
        <v>1994</v>
      </c>
      <c r="AE86" s="1">
        <f>VLOOKUP(AD86,Flags!$A$13:$B$95,2,FALSE)</f>
        <v>5</v>
      </c>
      <c r="AF86" s="43">
        <f t="shared" si="118"/>
        <v>21.768285123966944</v>
      </c>
      <c r="AG86" s="43">
        <f t="shared" si="119"/>
        <v>561.5149479334807</v>
      </c>
      <c r="AH86" s="43">
        <f t="shared" si="120"/>
        <v>21.768285123966944</v>
      </c>
      <c r="AI86" s="43">
        <f t="shared" si="121"/>
        <v>28885.769560304747</v>
      </c>
      <c r="AJ86" s="43">
        <f t="shared" si="122"/>
        <v>521.34395168840388</v>
      </c>
      <c r="AK86" s="43">
        <f t="shared" si="115"/>
        <v>521.34395168840388</v>
      </c>
      <c r="AL86" s="43">
        <f t="shared" si="123"/>
        <v>21.768285123966944</v>
      </c>
    </row>
    <row r="87" spans="1:38" x14ac:dyDescent="0.3">
      <c r="A87" s="32">
        <f>VLOOKUP(YEAR(C87),Flags!$A$13:$B$95,2,FALSE)</f>
        <v>4</v>
      </c>
      <c r="B87" s="24">
        <f t="shared" si="116"/>
        <v>1930</v>
      </c>
      <c r="C87" s="25">
        <v>11109</v>
      </c>
      <c r="D87" s="26">
        <f>VLOOKUP($C87,COS!$B$8:$H$991,3,FALSE)</f>
        <v>5412.98681640625</v>
      </c>
      <c r="E87" s="24">
        <f>IF(D87&gt;=IF(MONTH($C87)=4,$C$3,IF(MONTH($C87)=5,$C$4,IF(MONTH($C87)=6,$C$5,IF(MONTH($C87)=7,$C$6,"ERROR")))),1,0)</f>
        <v>0</v>
      </c>
      <c r="F87" s="26">
        <f>VLOOKUP($C87,COS!$B$8:$H$991,7,FALSE)</f>
        <v>51.472103118896484</v>
      </c>
      <c r="G87" s="24">
        <f>IF(F87&lt;=IF(MONTH($C87)=4,$F$3,IF(MONTH($C87)=5,$F$4,IF(MONTH($C87)=6,$F$5,IF(MONTH($C87)=7,$F$6,"ERROR")))),1,0)</f>
        <v>1</v>
      </c>
      <c r="H87" s="26">
        <f>IF(J87=1,D87-$C$4,0)</f>
        <v>0</v>
      </c>
      <c r="I87" s="26">
        <f t="shared" ref="I87:I150" si="136">H87*DAY($C87)*86400/43560/1000</f>
        <v>0</v>
      </c>
      <c r="J87" s="24">
        <f t="shared" si="128"/>
        <v>0</v>
      </c>
      <c r="K87" s="26">
        <f>VLOOKUP($C87,COS!$B$8:$H$991,2,FALSE)</f>
        <v>2856.510986328125</v>
      </c>
      <c r="L87" s="24">
        <f t="shared" si="129"/>
        <v>1</v>
      </c>
      <c r="M87" s="24">
        <f t="shared" si="130"/>
        <v>1</v>
      </c>
      <c r="N87" s="26">
        <f>VLOOKUP($C87,COS!$B$8:$H$991,5,FALSE)</f>
        <v>14.996692657470703</v>
      </c>
      <c r="O87" s="26">
        <f t="shared" si="131"/>
        <v>0.92211068902133908</v>
      </c>
      <c r="P87" s="26">
        <f>VLOOKUP($C87,COS!$B$8:$H$991,6,FALSE)</f>
        <v>2146.524658203125</v>
      </c>
      <c r="Q87" s="26">
        <f t="shared" si="132"/>
        <v>131.98465666967974</v>
      </c>
      <c r="R87" s="26">
        <f>MIN(IF(MONTH($C87)=4,$S$3,IF(MONTH($C87)=5,$S$4,IF(MONTH($C87)=6,$S$5,IF(MONTH($C87)=7,$S$6,"ERROR")))),MAX(VLOOKUP($C87,COS!$B$8:$K$991,10,FALSE)-IF(MONTH($C87)=4,$Y$3,IF(MONTH($C87)=5,$Y$4,IF(MONTH($C87)=6,$Y$5,IF(MONTH($C87)=7,$Y$6,"ERROR")))),0),MAX(VLOOKUP($C87,COS!$B$8:$K$991,9,FALSE)-IF(MONTH($C87)=4,$V$3,IF(MONTH($C87)=5,$V$4,IF(MONTH($C87)=6,$V$5,IF(MONTH($C87)=7,$V$6,"ERROR"))))-VLOOKUP($C87,COS!$B$8:$K$991,6,FALSE)/2,0))</f>
        <v>1500</v>
      </c>
      <c r="S87" s="26">
        <f t="shared" si="133"/>
        <v>92.231404958677686</v>
      </c>
      <c r="T87" s="26">
        <f t="shared" si="134"/>
        <v>158.68478863802824</v>
      </c>
      <c r="U87" s="26" t="str">
        <f>IF(VLOOKUP($C87,COS!$B$8:$I$991,8,FALSE)=1,"UWFE","IBU")</f>
        <v>UWFE</v>
      </c>
      <c r="V87" s="26">
        <f t="shared" ref="V87" si="137">MIN(IF(IF($AA$3=2,AND(E87=1,G87=1,L87=1,L91=1,M87=1,U87="IBU"),AND(E87=1,G87=1,L87=1,L91=1,M87=1)),T87,0),I87)</f>
        <v>0</v>
      </c>
      <c r="W87" s="26"/>
      <c r="X87" s="26"/>
      <c r="Y87" s="26"/>
      <c r="Z87" s="26"/>
      <c r="AA87" s="26"/>
      <c r="AB87" s="33"/>
      <c r="AD87" s="43">
        <v>1995</v>
      </c>
      <c r="AE87" s="1">
        <f>VLOOKUP(AD87,Flags!$A$13:$B$95,2,FALSE)</f>
        <v>1</v>
      </c>
      <c r="AF87" s="43">
        <f t="shared" si="118"/>
        <v>374.49814307851238</v>
      </c>
      <c r="AG87" s="43">
        <f t="shared" si="119"/>
        <v>676.62732833483983</v>
      </c>
      <c r="AH87" s="43">
        <f t="shared" si="120"/>
        <v>0</v>
      </c>
      <c r="AI87" s="43">
        <f t="shared" si="121"/>
        <v>27560.390924748193</v>
      </c>
      <c r="AJ87" s="43">
        <f t="shared" si="122"/>
        <v>112.67233340428881</v>
      </c>
      <c r="AK87" s="43">
        <f t="shared" si="115"/>
        <v>112.67233340428881</v>
      </c>
      <c r="AL87" s="43">
        <f t="shared" si="123"/>
        <v>0</v>
      </c>
    </row>
    <row r="88" spans="1:38" x14ac:dyDescent="0.3">
      <c r="A88" s="32">
        <f>VLOOKUP(YEAR(C88),Flags!$A$13:$B$95,2,FALSE)</f>
        <v>4</v>
      </c>
      <c r="B88" s="24">
        <f t="shared" si="116"/>
        <v>1930</v>
      </c>
      <c r="C88" s="25">
        <v>11139</v>
      </c>
      <c r="D88" s="26">
        <f>VLOOKUP($C88,COS!$B$8:$H$991,3,FALSE)</f>
        <v>8881.8974609375</v>
      </c>
      <c r="E88" s="24">
        <f>IF(D88&gt;=IF(MONTH($C88)=4,$C$3,IF(MONTH($C88)=5,$C$4,IF(MONTH($C88)=6,$C$5,IF(MONTH($C88)=7,$C$6,"ERROR")))),1,0)</f>
        <v>0</v>
      </c>
      <c r="F88" s="26">
        <f>VLOOKUP($C88,COS!$B$8:$H$991,7,FALSE)</f>
        <v>52.899250030517578</v>
      </c>
      <c r="G88" s="24">
        <f>IF(F88&lt;=IF(MONTH($C88)=4,$F$3,IF(MONTH($C88)=5,$F$4,IF(MONTH($C88)=6,$F$5,IF(MONTH($C88)=7,$F$6,"ERROR")))),1,0)</f>
        <v>1</v>
      </c>
      <c r="H88" s="26">
        <f>IF(J88=1,D88-$C$5,0)</f>
        <v>0</v>
      </c>
      <c r="I88" s="26">
        <f t="shared" si="136"/>
        <v>0</v>
      </c>
      <c r="J88" s="24">
        <f t="shared" si="128"/>
        <v>0</v>
      </c>
      <c r="K88" s="26">
        <f>VLOOKUP($C88,COS!$B$8:$H$991,2,FALSE)</f>
        <v>2536.044189453125</v>
      </c>
      <c r="L88" s="24">
        <f t="shared" si="129"/>
        <v>1</v>
      </c>
      <c r="M88" s="24">
        <f t="shared" si="130"/>
        <v>1</v>
      </c>
      <c r="N88" s="26">
        <f>VLOOKUP($C88,COS!$B$8:$H$991,5,FALSE)</f>
        <v>199.59013366699219</v>
      </c>
      <c r="O88" s="26">
        <f t="shared" si="131"/>
        <v>11.876437705804493</v>
      </c>
      <c r="P88" s="26">
        <f>VLOOKUP($C88,COS!$B$8:$H$991,6,FALSE)</f>
        <v>2714.961669921875</v>
      </c>
      <c r="Q88" s="26">
        <f t="shared" si="132"/>
        <v>161.55143821022727</v>
      </c>
      <c r="R88" s="26">
        <f>MIN(IF(MONTH($C88)=4,$S$3,IF(MONTH($C88)=5,$S$4,IF(MONTH($C88)=6,$S$5,IF(MONTH($C88)=7,$S$6,"ERROR")))),MAX(VLOOKUP($C88,COS!$B$8:$K$991,10,FALSE)-IF(MONTH($C88)=4,$Y$3,IF(MONTH($C88)=5,$Y$4,IF(MONTH($C88)=6,$Y$5,IF(MONTH($C88)=7,$Y$6,"ERROR")))),0),MAX(VLOOKUP($C88,COS!$B$8:$K$991,9,FALSE)-IF(MONTH($C88)=4,$V$3,IF(MONTH($C88)=5,$V$4,IF(MONTH($C88)=6,$V$5,IF(MONTH($C88)=7,$V$6,"ERROR"))))-VLOOKUP($C88,COS!$B$8:$K$991,6,FALSE)/2,0))</f>
        <v>1500</v>
      </c>
      <c r="S88" s="26">
        <f t="shared" si="133"/>
        <v>89.256198347107429</v>
      </c>
      <c r="T88" s="26">
        <f t="shared" si="134"/>
        <v>175.97013630512333</v>
      </c>
      <c r="U88" s="26" t="str">
        <f>IF(VLOOKUP($C88,COS!$B$8:$I$991,8,FALSE)=1,"UWFE","IBU")</f>
        <v>IBU</v>
      </c>
      <c r="V88" s="26">
        <f t="shared" ref="V88" si="138">MIN(IF(IF($AA$3=2,AND(E88=1,G88=1,L88=1,L91=1,M88=1,U88="IBU"),AND(E88=1,G88=1,L88=1,L91=1,M88=1)),T88,0),I88)</f>
        <v>0</v>
      </c>
      <c r="W88" s="26"/>
      <c r="X88" s="26"/>
      <c r="Y88" s="26"/>
      <c r="Z88" s="26"/>
      <c r="AA88" s="26"/>
      <c r="AB88" s="33"/>
      <c r="AD88" s="43">
        <v>1996</v>
      </c>
      <c r="AE88" s="1">
        <f>VLOOKUP(AD88,Flags!$A$13:$B$95,2,FALSE)</f>
        <v>1</v>
      </c>
      <c r="AF88" s="43">
        <f t="shared" si="118"/>
        <v>470.82685111053718</v>
      </c>
      <c r="AG88" s="43">
        <f t="shared" si="119"/>
        <v>673.70356104322696</v>
      </c>
      <c r="AH88" s="43">
        <f t="shared" si="120"/>
        <v>0</v>
      </c>
      <c r="AI88" s="43">
        <f t="shared" si="121"/>
        <v>26517.156293259297</v>
      </c>
      <c r="AJ88" s="43">
        <f t="shared" si="122"/>
        <v>153.2964386137655</v>
      </c>
      <c r="AK88" s="43">
        <f t="shared" si="115"/>
        <v>153.2964386137655</v>
      </c>
      <c r="AL88" s="43">
        <f t="shared" si="123"/>
        <v>0</v>
      </c>
    </row>
    <row r="89" spans="1:38" x14ac:dyDescent="0.3">
      <c r="A89" s="32">
        <f>VLOOKUP(YEAR(C89),Flags!$A$13:$B$95,2,FALSE)</f>
        <v>4</v>
      </c>
      <c r="B89" s="24">
        <f t="shared" si="116"/>
        <v>1930</v>
      </c>
      <c r="C89" s="25">
        <v>11170</v>
      </c>
      <c r="D89" s="26">
        <f>VLOOKUP($C89,COS!$B$8:$H$991,3,FALSE)</f>
        <v>9171.2353515625</v>
      </c>
      <c r="E89" s="24">
        <f>IF(D89&gt;=IF(MONTH($C89)=4,$C$3,IF(MONTH($C89)=5,$C$4,IF(MONTH($C89)=6,$C$5,IF(MONTH($C89)=7,$C$6,"ERROR")))),1,0)</f>
        <v>0</v>
      </c>
      <c r="F89" s="26">
        <f>VLOOKUP($C89,COS!$B$8:$H$991,7,FALSE)</f>
        <v>55.481464385986328</v>
      </c>
      <c r="G89" s="24">
        <f>IF(F89&lt;=IF(MONTH($C89)=4,$F$3,IF(MONTH($C89)=5,$F$4,IF(MONTH($C89)=6,$F$5,IF(MONTH($C89)=7,$F$6,"ERROR")))),1,0)</f>
        <v>0</v>
      </c>
      <c r="H89" s="26">
        <f>IF(J89=1,D89-$C$6,0)</f>
        <v>0</v>
      </c>
      <c r="I89" s="26">
        <f t="shared" si="136"/>
        <v>0</v>
      </c>
      <c r="J89" s="24">
        <f t="shared" si="128"/>
        <v>0</v>
      </c>
      <c r="K89" s="26">
        <f>VLOOKUP($C89,COS!$B$8:$H$991,2,FALSE)</f>
        <v>2214.108642578125</v>
      </c>
      <c r="L89" s="24">
        <f t="shared" si="129"/>
        <v>1</v>
      </c>
      <c r="M89" s="24">
        <f t="shared" si="130"/>
        <v>1</v>
      </c>
      <c r="N89" s="26">
        <f>VLOOKUP($C89,COS!$B$8:$H$991,5,FALSE)</f>
        <v>218.08706665039063</v>
      </c>
      <c r="O89" s="26">
        <f t="shared" si="131"/>
        <v>13.40965104032154</v>
      </c>
      <c r="P89" s="26">
        <f>VLOOKUP($C89,COS!$B$8:$H$991,6,FALSE)</f>
        <v>2538.07568359375</v>
      </c>
      <c r="Q89" s="26">
        <f t="shared" si="132"/>
        <v>156.06019079287191</v>
      </c>
      <c r="R89" s="26">
        <f>MIN(IF(MONTH($C89)=4,$S$3,IF(MONTH($C89)=5,$S$4,IF(MONTH($C89)=6,$S$5,IF(MONTH($C89)=7,$S$6,"ERROR")))),MAX(VLOOKUP($C89,COS!$B$8:$K$991,10,FALSE)-IF(MONTH($C89)=4,$Y$3,IF(MONTH($C89)=5,$Y$4,IF(MONTH($C89)=6,$Y$5,IF(MONTH($C89)=7,$Y$6,"ERROR")))),0),MAX(VLOOKUP($C89,COS!$B$8:$K$991,9,FALSE)-IF(MONTH($C89)=4,$V$3,IF(MONTH($C89)=5,$V$4,IF(MONTH($C89)=6,$V$5,IF(MONTH($C89)=7,$V$6,"ERROR"))))-VLOOKUP($C89,COS!$B$8:$K$991,6,FALSE)/2,0))</f>
        <v>1500</v>
      </c>
      <c r="S89" s="26">
        <f t="shared" si="133"/>
        <v>92.231404958677686</v>
      </c>
      <c r="T89" s="26">
        <f t="shared" si="134"/>
        <v>176.96632587527441</v>
      </c>
      <c r="U89" s="26" t="str">
        <f>IF(VLOOKUP($C89,COS!$B$8:$I$991,8,FALSE)=1,"UWFE","IBU")</f>
        <v>IBU</v>
      </c>
      <c r="V89" s="26">
        <f t="shared" ref="V89" si="139">MIN(IF(IF($AA$3=2,AND(E89=1,G89=1,L89=1,L91=1,M89=1,U89="IBU"),AND(E89=1,G89=1,L89=1,L91=1,M89=1)),T89,0),I89)</f>
        <v>0</v>
      </c>
      <c r="W89" s="26"/>
      <c r="X89" s="26"/>
      <c r="Y89" s="26"/>
      <c r="Z89" s="26"/>
      <c r="AA89" s="26"/>
      <c r="AB89" s="33"/>
      <c r="AD89" s="43">
        <v>1997</v>
      </c>
      <c r="AE89" s="1">
        <f>VLOOKUP(AD89,Flags!$A$13:$B$95,2,FALSE)</f>
        <v>1</v>
      </c>
      <c r="AF89" s="43">
        <f t="shared" si="118"/>
        <v>379.07900051652894</v>
      </c>
      <c r="AG89" s="43">
        <f t="shared" si="119"/>
        <v>682.87646986780089</v>
      </c>
      <c r="AH89" s="43">
        <f t="shared" si="120"/>
        <v>0</v>
      </c>
      <c r="AI89" s="43">
        <f t="shared" si="121"/>
        <v>27407.336862086777</v>
      </c>
      <c r="AJ89" s="43">
        <f t="shared" si="122"/>
        <v>130.54690817084196</v>
      </c>
      <c r="AK89" s="43">
        <f t="shared" si="115"/>
        <v>130.54690817084196</v>
      </c>
      <c r="AL89" s="43">
        <f t="shared" si="123"/>
        <v>0</v>
      </c>
    </row>
    <row r="90" spans="1:38" x14ac:dyDescent="0.3">
      <c r="A90" s="32">
        <f>VLOOKUP(YEAR(C90),Flags!$A$13:$B$95,2,FALSE)</f>
        <v>4</v>
      </c>
      <c r="B90" s="24">
        <f t="shared" si="116"/>
        <v>1930</v>
      </c>
      <c r="C90" s="25">
        <v>11201</v>
      </c>
      <c r="D90" s="26"/>
      <c r="E90" s="24"/>
      <c r="F90" s="26"/>
      <c r="G90" s="24"/>
      <c r="H90" s="24"/>
      <c r="I90" s="26"/>
      <c r="J90" s="24"/>
      <c r="K90" s="26"/>
      <c r="L90" s="24"/>
      <c r="M90" s="24"/>
      <c r="N90" s="26"/>
      <c r="O90" s="26"/>
      <c r="P90" s="26"/>
      <c r="Q90" s="26"/>
      <c r="R90" s="26"/>
      <c r="S90" s="26"/>
      <c r="T90" s="26"/>
      <c r="U90" s="26"/>
      <c r="V90" s="26"/>
      <c r="W90" s="26">
        <f>MAX($C$7-VLOOKUP($C90,COS!$B$8:$H$991,3,FALSE),0)</f>
        <v>92245.44091796875</v>
      </c>
      <c r="X90" s="26">
        <f t="shared" si="31"/>
        <v>5671.9510779313014</v>
      </c>
      <c r="Y90" s="26">
        <f>VLOOKUP($C90,COS!$B$8:$H$991,4,FALSE)</f>
        <v>2140.212646484375</v>
      </c>
      <c r="Z90" s="26">
        <f t="shared" si="32"/>
        <v>131.59654619705577</v>
      </c>
      <c r="AA90" s="26">
        <f t="shared" ref="AA90:AA94" si="140">MIN(W90,Y90)</f>
        <v>2140.212646484375</v>
      </c>
      <c r="AB90" s="33">
        <f t="shared" ref="AB90:AB148" si="141">AA90*DAY($C90)*86400/43560/1000*IF(MONTH($C90)=8,$P$3,IF(MONTH($C90)=9,$P$4,IF(MONTH($C90)=10,$P$5,IF(MONTH($C90)=11,$P$6,IF(MONTH($C90)=12,$P$7,NA())))))</f>
        <v>131.59654619705577</v>
      </c>
      <c r="AD90" s="43">
        <v>1998</v>
      </c>
      <c r="AE90" s="1">
        <f>VLOOKUP(AD90,Flags!$A$13:$B$95,2,FALSE)</f>
        <v>1</v>
      </c>
      <c r="AF90" s="43">
        <f t="shared" si="118"/>
        <v>1046.5325051652894</v>
      </c>
      <c r="AG90" s="43">
        <f t="shared" si="119"/>
        <v>637.77182187671497</v>
      </c>
      <c r="AH90" s="43">
        <f t="shared" si="120"/>
        <v>0</v>
      </c>
      <c r="AI90" s="43">
        <f t="shared" si="121"/>
        <v>26796.256495351237</v>
      </c>
      <c r="AJ90" s="43">
        <f t="shared" si="122"/>
        <v>3.2741707793937245</v>
      </c>
      <c r="AK90" s="43">
        <f t="shared" si="115"/>
        <v>3.2741707793937245</v>
      </c>
      <c r="AL90" s="43">
        <f t="shared" si="123"/>
        <v>0</v>
      </c>
    </row>
    <row r="91" spans="1:38" x14ac:dyDescent="0.3">
      <c r="A91" s="32">
        <f>VLOOKUP(YEAR(C91),Flags!$A$13:$B$95,2,FALSE)</f>
        <v>4</v>
      </c>
      <c r="B91" s="24">
        <f t="shared" si="116"/>
        <v>1930</v>
      </c>
      <c r="C91" s="25">
        <v>11231</v>
      </c>
      <c r="D91" s="26"/>
      <c r="E91" s="24"/>
      <c r="F91" s="26"/>
      <c r="G91" s="24"/>
      <c r="H91" s="24"/>
      <c r="I91" s="26"/>
      <c r="J91" s="24"/>
      <c r="K91" s="26">
        <f>VLOOKUP($C91,COS!$B$8:$H$991,2,FALSE)</f>
        <v>1915.04248046875</v>
      </c>
      <c r="L91" s="24">
        <f t="shared" ref="L91" si="142">IF(AND(K91&gt;$I$7,K91&lt;$I$8),1,0)</f>
        <v>1</v>
      </c>
      <c r="M91" s="24"/>
      <c r="N91" s="26"/>
      <c r="O91" s="26"/>
      <c r="P91" s="26"/>
      <c r="Q91" s="26"/>
      <c r="R91" s="26"/>
      <c r="S91" s="26"/>
      <c r="T91" s="26"/>
      <c r="U91" s="26"/>
      <c r="V91" s="26"/>
      <c r="W91" s="26">
        <f>MAX($C$8-VLOOKUP($C91,COS!$B$8:$H$991,3,FALSE),0)</f>
        <v>95941.968505859375</v>
      </c>
      <c r="X91" s="26">
        <f t="shared" ref="X91:X154" si="143">W91*DAY($C91)*86400/43560/1000</f>
        <v>5708.9435805139465</v>
      </c>
      <c r="Y91" s="26">
        <f>VLOOKUP($C91,COS!$B$8:$H$991,4,FALSE)</f>
        <v>1280.4638671875</v>
      </c>
      <c r="Z91" s="26">
        <f t="shared" ref="Z91:Z154" si="144">Y91*DAY($C91)*86400/43560/1000</f>
        <v>76.192891270661164</v>
      </c>
      <c r="AA91" s="26">
        <f t="shared" si="140"/>
        <v>1280.4638671875</v>
      </c>
      <c r="AB91" s="33">
        <f t="shared" si="141"/>
        <v>76.192891270661164</v>
      </c>
      <c r="AD91" s="43">
        <v>1999</v>
      </c>
      <c r="AE91" s="1">
        <f>VLOOKUP(AD91,Flags!$A$13:$B$95,2,FALSE)</f>
        <v>1</v>
      </c>
      <c r="AF91" s="43">
        <f t="shared" si="118"/>
        <v>395.80849238119833</v>
      </c>
      <c r="AG91" s="43">
        <f t="shared" si="119"/>
        <v>693.09303507150685</v>
      </c>
      <c r="AH91" s="43">
        <f t="shared" si="120"/>
        <v>0</v>
      </c>
      <c r="AI91" s="43">
        <f t="shared" si="121"/>
        <v>27003.320845816113</v>
      </c>
      <c r="AJ91" s="43">
        <f t="shared" si="122"/>
        <v>135.00084912512912</v>
      </c>
      <c r="AK91" s="43">
        <f t="shared" si="115"/>
        <v>135.00084912512912</v>
      </c>
      <c r="AL91" s="43">
        <f t="shared" si="123"/>
        <v>0</v>
      </c>
    </row>
    <row r="92" spans="1:38" x14ac:dyDescent="0.3">
      <c r="A92" s="32">
        <f>VLOOKUP(YEAR(C92),Flags!$A$13:$B$95,2,FALSE)</f>
        <v>4</v>
      </c>
      <c r="B92" s="24">
        <f t="shared" si="116"/>
        <v>1930</v>
      </c>
      <c r="C92" s="25">
        <v>11262</v>
      </c>
      <c r="D92" s="26"/>
      <c r="E92" s="24"/>
      <c r="F92" s="26"/>
      <c r="G92" s="26"/>
      <c r="H92" s="26"/>
      <c r="I92" s="26"/>
      <c r="J92" s="26"/>
      <c r="K92" s="26"/>
      <c r="L92" s="24"/>
      <c r="M92" s="24"/>
      <c r="N92" s="26"/>
      <c r="O92" s="26"/>
      <c r="P92" s="26"/>
      <c r="Q92" s="26"/>
      <c r="R92" s="26"/>
      <c r="S92" s="26"/>
      <c r="T92" s="26"/>
      <c r="U92" s="26"/>
      <c r="V92" s="26"/>
      <c r="W92" s="26">
        <f>MAX($C$9-VLOOKUP($C92,COS!$B$8:$H$991,3,FALSE),0)</f>
        <v>95080.65087890625</v>
      </c>
      <c r="X92" s="26">
        <f t="shared" si="143"/>
        <v>5846.2813432980374</v>
      </c>
      <c r="Y92" s="26">
        <f>VLOOKUP($C92,COS!$B$8:$H$991,4,FALSE)</f>
        <v>1605.8980712890625</v>
      </c>
      <c r="Z92" s="26">
        <f t="shared" si="144"/>
        <v>98.742823556947315</v>
      </c>
      <c r="AA92" s="26">
        <f t="shared" si="140"/>
        <v>1605.8980712890625</v>
      </c>
      <c r="AB92" s="33">
        <f t="shared" si="141"/>
        <v>98.742823556947315</v>
      </c>
      <c r="AD92" s="43">
        <v>2000</v>
      </c>
      <c r="AE92" s="1">
        <f>VLOOKUP(AD92,Flags!$A$13:$B$95,2,FALSE)</f>
        <v>2</v>
      </c>
      <c r="AF92" s="43">
        <f t="shared" si="118"/>
        <v>514.27096332644635</v>
      </c>
      <c r="AG92" s="43">
        <f t="shared" si="119"/>
        <v>676.36010551515687</v>
      </c>
      <c r="AH92" s="43">
        <f t="shared" si="120"/>
        <v>0</v>
      </c>
      <c r="AI92" s="43">
        <f t="shared" si="121"/>
        <v>27550.220583354854</v>
      </c>
      <c r="AJ92" s="43">
        <f t="shared" si="122"/>
        <v>180.63067758103045</v>
      </c>
      <c r="AK92" s="43">
        <f t="shared" si="115"/>
        <v>180.63067758103045</v>
      </c>
      <c r="AL92" s="43">
        <f t="shared" si="123"/>
        <v>0</v>
      </c>
    </row>
    <row r="93" spans="1:38" x14ac:dyDescent="0.3">
      <c r="A93" s="32">
        <f>VLOOKUP(YEAR(C93),Flags!$A$13:$B$95,2,FALSE)</f>
        <v>4</v>
      </c>
      <c r="B93" s="24">
        <f t="shared" si="116"/>
        <v>1930</v>
      </c>
      <c r="C93" s="25">
        <v>11292</v>
      </c>
      <c r="D93" s="26"/>
      <c r="E93" s="24"/>
      <c r="F93" s="26"/>
      <c r="G93" s="26"/>
      <c r="H93" s="26"/>
      <c r="I93" s="26"/>
      <c r="J93" s="26"/>
      <c r="K93" s="26"/>
      <c r="L93" s="24"/>
      <c r="M93" s="24"/>
      <c r="N93" s="26"/>
      <c r="O93" s="26"/>
      <c r="P93" s="26"/>
      <c r="Q93" s="26"/>
      <c r="R93" s="26"/>
      <c r="S93" s="26"/>
      <c r="T93" s="26"/>
      <c r="U93" s="26"/>
      <c r="V93" s="26"/>
      <c r="W93" s="26">
        <f>MAX($C$10-VLOOKUP($C93,COS!$B$8:$H$991,3,FALSE),0)</f>
        <v>96451.079833984375</v>
      </c>
      <c r="X93" s="26">
        <f t="shared" si="143"/>
        <v>5739.2378083032027</v>
      </c>
      <c r="Y93" s="26">
        <f>VLOOKUP($C93,COS!$B$8:$H$991,4,FALSE)</f>
        <v>1772.532958984375</v>
      </c>
      <c r="Z93" s="26">
        <f t="shared" si="144"/>
        <v>105.47303557592976</v>
      </c>
      <c r="AA93" s="26">
        <f t="shared" si="140"/>
        <v>1772.532958984375</v>
      </c>
      <c r="AB93" s="33">
        <f t="shared" si="141"/>
        <v>105.47303557592976</v>
      </c>
      <c r="AD93" s="43">
        <v>2001</v>
      </c>
      <c r="AE93" s="1">
        <f>VLOOKUP(AD93,Flags!$A$13:$B$95,2,FALSE)</f>
        <v>4</v>
      </c>
      <c r="AF93" s="43">
        <f t="shared" si="118"/>
        <v>418.97775697314046</v>
      </c>
      <c r="AG93" s="43">
        <f t="shared" si="119"/>
        <v>629.78990330215333</v>
      </c>
      <c r="AH93" s="43">
        <f t="shared" si="120"/>
        <v>345.73311434659092</v>
      </c>
      <c r="AI93" s="43">
        <f t="shared" si="121"/>
        <v>28486.916998644112</v>
      </c>
      <c r="AJ93" s="43">
        <f t="shared" si="122"/>
        <v>436.66178630229854</v>
      </c>
      <c r="AK93" s="43">
        <f t="shared" si="115"/>
        <v>436.66178630229854</v>
      </c>
      <c r="AL93" s="43">
        <f t="shared" si="123"/>
        <v>345.73311434659092</v>
      </c>
    </row>
    <row r="94" spans="1:38" x14ac:dyDescent="0.3">
      <c r="A94" s="34">
        <f>VLOOKUP(YEAR(C94),Flags!$A$13:$B$95,2,FALSE)</f>
        <v>4</v>
      </c>
      <c r="B94" s="35">
        <f t="shared" si="116"/>
        <v>1930</v>
      </c>
      <c r="C94" s="36">
        <v>11323</v>
      </c>
      <c r="D94" s="37"/>
      <c r="E94" s="35"/>
      <c r="F94" s="37"/>
      <c r="G94" s="37"/>
      <c r="H94" s="37"/>
      <c r="I94" s="37"/>
      <c r="J94" s="37"/>
      <c r="K94" s="37"/>
      <c r="L94" s="35"/>
      <c r="M94" s="35"/>
      <c r="N94" s="37"/>
      <c r="O94" s="37"/>
      <c r="P94" s="37"/>
      <c r="Q94" s="37"/>
      <c r="R94" s="37"/>
      <c r="S94" s="37"/>
      <c r="T94" s="37"/>
      <c r="U94" s="37"/>
      <c r="V94" s="37"/>
      <c r="W94" s="37">
        <f>MAX($C$11-VLOOKUP($C94,COS!$B$8:$H$991,3,FALSE),0)</f>
        <v>96749</v>
      </c>
      <c r="X94" s="37">
        <f t="shared" si="143"/>
        <v>5948.8641322314052</v>
      </c>
      <c r="Y94" s="37">
        <f>VLOOKUP($C94,COS!$B$8:$H$991,4,FALSE)</f>
        <v>1918.959716796875</v>
      </c>
      <c r="Z94" s="37">
        <f t="shared" si="144"/>
        <v>117.99223382618803</v>
      </c>
      <c r="AA94" s="37">
        <f t="shared" si="140"/>
        <v>1918.959716796875</v>
      </c>
      <c r="AB94" s="38">
        <f t="shared" si="141"/>
        <v>117.99223382618803</v>
      </c>
      <c r="AD94" s="43">
        <v>2002</v>
      </c>
      <c r="AE94" s="1">
        <f>VLOOKUP(AD94,Flags!$A$13:$B$95,2,FALSE)</f>
        <v>4</v>
      </c>
      <c r="AF94" s="43">
        <f t="shared" si="118"/>
        <v>367.82716909865701</v>
      </c>
      <c r="AG94" s="43">
        <f t="shared" si="119"/>
        <v>683.04540938952732</v>
      </c>
      <c r="AH94" s="43">
        <f t="shared" si="120"/>
        <v>236.88286286157023</v>
      </c>
      <c r="AI94" s="43">
        <f t="shared" si="121"/>
        <v>28042.669817277892</v>
      </c>
      <c r="AJ94" s="43">
        <f t="shared" si="122"/>
        <v>314.62177201704543</v>
      </c>
      <c r="AK94" s="43">
        <f t="shared" si="115"/>
        <v>314.62177201704543</v>
      </c>
      <c r="AL94" s="43">
        <f t="shared" si="123"/>
        <v>236.88286286157023</v>
      </c>
    </row>
    <row r="95" spans="1:38" x14ac:dyDescent="0.3">
      <c r="A95" s="27">
        <f>VLOOKUP(YEAR(C95),Flags!$A$13:$B$95,2,FALSE)</f>
        <v>5</v>
      </c>
      <c r="B95" s="28">
        <f t="shared" si="116"/>
        <v>1931</v>
      </c>
      <c r="C95" s="29">
        <v>11443</v>
      </c>
      <c r="D95" s="30">
        <f>VLOOKUP($C95,COS!$B$8:$H$991,3,FALSE)</f>
        <v>6839.51904296875</v>
      </c>
      <c r="E95" s="28">
        <f>IF(D95&gt;=IF(MONTH($C95)=4,$C$3,IF(MONTH($C95)=5,$C$4,IF(MONTH($C95)=6,$C$5,IF(MONTH($C95)=7,$C$6,"ERROR")))),1,0)</f>
        <v>1</v>
      </c>
      <c r="F95" s="30">
        <f>VLOOKUP($C95,COS!$B$8:$H$991,7,FALSE)</f>
        <v>50.956645965576172</v>
      </c>
      <c r="G95" s="28">
        <f>IF(F95&lt;=IF(MONTH($C95)=4,$F$3,IF(MONTH($C95)=5,$F$4,IF(MONTH($C95)=6,$F$5,IF(MONTH($C95)=7,$F$6,"ERROR")))),1,0)</f>
        <v>1</v>
      </c>
      <c r="H95" s="30">
        <f>IF(J95=1,D95-$C$3,0)</f>
        <v>839.51904296875</v>
      </c>
      <c r="I95" s="30">
        <f t="shared" si="136"/>
        <v>49.954852143595041</v>
      </c>
      <c r="J95" s="28">
        <f t="shared" ref="J95:J98" si="145">IF(AND(E95=1,G95=1),1,0)</f>
        <v>1</v>
      </c>
      <c r="K95" s="30">
        <f>VLOOKUP($C95,COS!$B$8:$H$991,2,FALSE)</f>
        <v>1860.261474609375</v>
      </c>
      <c r="L95" s="28">
        <f t="shared" ref="L95" si="146">IF(K95&lt;=IF(MONTH($C95)=4,$I$3,IF(MONTH($C95)=5,$I$4,IF(MONTH($C95)=6,$I$5,IF(MONTH($C95)=7,$I$6,"ERROR")))),1,0)</f>
        <v>1</v>
      </c>
      <c r="M95" s="28">
        <f t="shared" ref="M95" si="147">VLOOKUP($A95,$L$3:$M$7,2,FALSE)</f>
        <v>1</v>
      </c>
      <c r="N95" s="30">
        <f>VLOOKUP($C95,COS!$B$8:$H$991,5,FALSE)</f>
        <v>166.208740234375</v>
      </c>
      <c r="O95" s="30">
        <f t="shared" ref="O95:O98" si="148">N95*DAY($C95)*86400/43560/1000</f>
        <v>9.8901068569214878</v>
      </c>
      <c r="P95" s="30">
        <f>VLOOKUP($C95,COS!$B$8:$H$991,6,FALSE)</f>
        <v>541.11907958984375</v>
      </c>
      <c r="Q95" s="30">
        <f t="shared" ref="Q95:Q98" si="149">P95*DAY($C95)*86400/43560/1000</f>
        <v>32.198821264850203</v>
      </c>
      <c r="R95" s="30">
        <f>MIN(IF(MONTH($C95)=4,$S$3,IF(MONTH($C95)=5,$S$4,IF(MONTH($C95)=6,$S$5,IF(MONTH($C95)=7,$S$6,"ERROR")))),MAX(VLOOKUP($C95,COS!$B$8:$K$991,10,FALSE)-IF(MONTH($C95)=4,$Y$3,IF(MONTH($C95)=5,$Y$4,IF(MONTH($C95)=6,$Y$5,IF(MONTH($C95)=7,$Y$6,"ERROR")))),0),MAX(VLOOKUP($C95,COS!$B$8:$K$991,9,FALSE)-IF(MONTH($C95)=4,$V$3,IF(MONTH($C95)=5,$V$4,IF(MONTH($C95)=6,$V$5,IF(MONTH($C95)=7,$V$6,"ERROR"))))-VLOOKUP($C95,COS!$B$8:$K$991,6,FALSE)/2,0))</f>
        <v>1500</v>
      </c>
      <c r="S95" s="30">
        <f t="shared" ref="S95:S98" si="150">R95*DAY($C95)*86400/43560/1000</f>
        <v>89.256198347107429</v>
      </c>
      <c r="T95" s="30">
        <f t="shared" ref="T95:T98" si="151">(O95+Q95)/2+S95</f>
        <v>110.30066240799327</v>
      </c>
      <c r="U95" s="30" t="str">
        <f>IF(VLOOKUP($C95,COS!$B$8:$I$991,8,FALSE)=1,"UWFE","IBU")</f>
        <v>IBU</v>
      </c>
      <c r="V95" s="30">
        <f t="shared" ref="V95" si="152">MIN(IF(IF($AA$3=2,AND(E95=1,G95=1,L95=1,L100=1,M95=1,U95="IBU"),AND(E95=1,G95=1,L95=1,L100=1,M95=1)),T95,0),I95)</f>
        <v>49.954852143595041</v>
      </c>
      <c r="W95" s="30"/>
      <c r="X95" s="30"/>
      <c r="Y95" s="30"/>
      <c r="Z95" s="30"/>
      <c r="AA95" s="30"/>
      <c r="AB95" s="31"/>
      <c r="AD95" s="6"/>
      <c r="AE95" s="6"/>
      <c r="AF95" s="6"/>
      <c r="AG95" s="6"/>
    </row>
    <row r="96" spans="1:38" x14ac:dyDescent="0.3">
      <c r="A96" s="32">
        <f>VLOOKUP(YEAR(C96),Flags!$A$13:$B$95,2,FALSE)</f>
        <v>5</v>
      </c>
      <c r="B96" s="24">
        <f t="shared" si="116"/>
        <v>1931</v>
      </c>
      <c r="C96" s="25">
        <v>11474</v>
      </c>
      <c r="D96" s="26">
        <f>VLOOKUP($C96,COS!$B$8:$H$991,3,FALSE)</f>
        <v>8021.2177734375</v>
      </c>
      <c r="E96" s="24">
        <f>IF(D96&gt;=IF(MONTH($C96)=4,$C$3,IF(MONTH($C96)=5,$C$4,IF(MONTH($C96)=6,$C$5,IF(MONTH($C96)=7,$C$6,"ERROR")))),1,0)</f>
        <v>1</v>
      </c>
      <c r="F96" s="26">
        <f>VLOOKUP($C96,COS!$B$8:$H$991,7,FALSE)</f>
        <v>54.440109252929688</v>
      </c>
      <c r="G96" s="24">
        <f>IF(F96&lt;=IF(MONTH($C96)=4,$F$3,IF(MONTH($C96)=5,$F$4,IF(MONTH($C96)=6,$F$5,IF(MONTH($C96)=7,$F$6,"ERROR")))),1,0)</f>
        <v>1</v>
      </c>
      <c r="H96" s="26">
        <f>IF(J96=1,D96-$C$4,0)</f>
        <v>2021.2177734375</v>
      </c>
      <c r="I96" s="26">
        <f t="shared" si="136"/>
        <v>124.27983664772728</v>
      </c>
      <c r="J96" s="24">
        <f t="shared" si="145"/>
        <v>1</v>
      </c>
      <c r="K96" s="26">
        <f>VLOOKUP($C96,COS!$B$8:$H$991,2,FALSE)</f>
        <v>1533.49609375</v>
      </c>
      <c r="L96" s="24">
        <f t="shared" si="129"/>
        <v>1</v>
      </c>
      <c r="M96" s="24">
        <f t="shared" si="130"/>
        <v>1</v>
      </c>
      <c r="N96" s="26">
        <f>VLOOKUP($C96,COS!$B$8:$H$991,5,FALSE)</f>
        <v>149.48806762695313</v>
      </c>
      <c r="O96" s="26">
        <f t="shared" si="148"/>
        <v>9.1916630011944722</v>
      </c>
      <c r="P96" s="26">
        <f>VLOOKUP($C96,COS!$B$8:$H$991,6,FALSE)</f>
        <v>2010.7308349609375</v>
      </c>
      <c r="Q96" s="26">
        <f t="shared" si="149"/>
        <v>123.63501993478823</v>
      </c>
      <c r="R96" s="26">
        <f>MIN(IF(MONTH($C96)=4,$S$3,IF(MONTH($C96)=5,$S$4,IF(MONTH($C96)=6,$S$5,IF(MONTH($C96)=7,$S$6,"ERROR")))),MAX(VLOOKUP($C96,COS!$B$8:$K$991,10,FALSE)-IF(MONTH($C96)=4,$Y$3,IF(MONTH($C96)=5,$Y$4,IF(MONTH($C96)=6,$Y$5,IF(MONTH($C96)=7,$Y$6,"ERROR")))),0),MAX(VLOOKUP($C96,COS!$B$8:$K$991,9,FALSE)-IF(MONTH($C96)=4,$V$3,IF(MONTH($C96)=5,$V$4,IF(MONTH($C96)=6,$V$5,IF(MONTH($C96)=7,$V$6,"ERROR"))))-VLOOKUP($C96,COS!$B$8:$K$991,6,FALSE)/2,0))</f>
        <v>1500</v>
      </c>
      <c r="S96" s="26">
        <f t="shared" si="150"/>
        <v>92.231404958677686</v>
      </c>
      <c r="T96" s="26">
        <f t="shared" si="151"/>
        <v>158.64474642666903</v>
      </c>
      <c r="U96" s="26" t="str">
        <f>IF(VLOOKUP($C96,COS!$B$8:$I$991,8,FALSE)=1,"UWFE","IBU")</f>
        <v>IBU</v>
      </c>
      <c r="V96" s="26">
        <f t="shared" ref="V96" si="153">MIN(IF(IF($AA$3=2,AND(E96=1,G96=1,L96=1,L100=1,M96=1,U96="IBU"),AND(E96=1,G96=1,L96=1,L100=1,M96=1)),T96,0),I96)</f>
        <v>124.27983664772728</v>
      </c>
      <c r="W96" s="26"/>
      <c r="X96" s="26"/>
      <c r="Y96" s="26"/>
      <c r="Z96" s="26"/>
      <c r="AA96" s="26"/>
      <c r="AB96" s="33"/>
    </row>
    <row r="97" spans="1:28" x14ac:dyDescent="0.3">
      <c r="A97" s="32">
        <f>VLOOKUP(YEAR(C97),Flags!$A$13:$B$95,2,FALSE)</f>
        <v>5</v>
      </c>
      <c r="B97" s="24">
        <f t="shared" si="116"/>
        <v>1931</v>
      </c>
      <c r="C97" s="25">
        <v>11504</v>
      </c>
      <c r="D97" s="26">
        <f>VLOOKUP($C97,COS!$B$8:$H$991,3,FALSE)</f>
        <v>8236.236328125</v>
      </c>
      <c r="E97" s="24">
        <f>IF(D97&gt;=IF(MONTH($C97)=4,$C$3,IF(MONTH($C97)=5,$C$4,IF(MONTH($C97)=6,$C$5,IF(MONTH($C97)=7,$C$6,"ERROR")))),1,0)</f>
        <v>0</v>
      </c>
      <c r="F97" s="26">
        <f>VLOOKUP($C97,COS!$B$8:$H$991,7,FALSE)</f>
        <v>53.915287017822266</v>
      </c>
      <c r="G97" s="24">
        <f>IF(F97&lt;=IF(MONTH($C97)=4,$F$3,IF(MONTH($C97)=5,$F$4,IF(MONTH($C97)=6,$F$5,IF(MONTH($C97)=7,$F$6,"ERROR")))),1,0)</f>
        <v>1</v>
      </c>
      <c r="H97" s="26">
        <f>IF(J97=1,D97-$C$5,0)</f>
        <v>0</v>
      </c>
      <c r="I97" s="26">
        <f t="shared" si="136"/>
        <v>0</v>
      </c>
      <c r="J97" s="24">
        <f t="shared" si="145"/>
        <v>0</v>
      </c>
      <c r="K97" s="26">
        <f>VLOOKUP($C97,COS!$B$8:$H$991,2,FALSE)</f>
        <v>1203.680419921875</v>
      </c>
      <c r="L97" s="24">
        <f t="shared" si="129"/>
        <v>1</v>
      </c>
      <c r="M97" s="24">
        <f t="shared" si="130"/>
        <v>1</v>
      </c>
      <c r="N97" s="26">
        <f>VLOOKUP($C97,COS!$B$8:$H$991,5,FALSE)</f>
        <v>183.68203735351563</v>
      </c>
      <c r="O97" s="26">
        <f t="shared" si="148"/>
        <v>10.929840239217459</v>
      </c>
      <c r="P97" s="26">
        <f>VLOOKUP($C97,COS!$B$8:$H$991,6,FALSE)</f>
        <v>2250.943115234375</v>
      </c>
      <c r="Q97" s="26">
        <f t="shared" si="149"/>
        <v>133.94041677427685</v>
      </c>
      <c r="R97" s="26">
        <f>MIN(IF(MONTH($C97)=4,$S$3,IF(MONTH($C97)=5,$S$4,IF(MONTH($C97)=6,$S$5,IF(MONTH($C97)=7,$S$6,"ERROR")))),MAX(VLOOKUP($C97,COS!$B$8:$K$991,10,FALSE)-IF(MONTH($C97)=4,$Y$3,IF(MONTH($C97)=5,$Y$4,IF(MONTH($C97)=6,$Y$5,IF(MONTH($C97)=7,$Y$6,"ERROR")))),0),MAX(VLOOKUP($C97,COS!$B$8:$K$991,9,FALSE)-IF(MONTH($C97)=4,$V$3,IF(MONTH($C97)=5,$V$4,IF(MONTH($C97)=6,$V$5,IF(MONTH($C97)=7,$V$6,"ERROR"))))-VLOOKUP($C97,COS!$B$8:$K$991,6,FALSE)/2,0))</f>
        <v>1500</v>
      </c>
      <c r="S97" s="26">
        <f t="shared" si="150"/>
        <v>89.256198347107429</v>
      </c>
      <c r="T97" s="26">
        <f t="shared" si="151"/>
        <v>161.6913268538546</v>
      </c>
      <c r="U97" s="26" t="str">
        <f>IF(VLOOKUP($C97,COS!$B$8:$I$991,8,FALSE)=1,"UWFE","IBU")</f>
        <v>IBU</v>
      </c>
      <c r="V97" s="26">
        <f t="shared" ref="V97" si="154">MIN(IF(IF($AA$3=2,AND(E97=1,G97=1,L97=1,L100=1,M97=1,U97="IBU"),AND(E97=1,G97=1,L97=1,L100=1,M97=1)),T97,0),I97)</f>
        <v>0</v>
      </c>
      <c r="W97" s="26"/>
      <c r="X97" s="26"/>
      <c r="Y97" s="26"/>
      <c r="Z97" s="26"/>
      <c r="AA97" s="26"/>
      <c r="AB97" s="33"/>
    </row>
    <row r="98" spans="1:28" x14ac:dyDescent="0.3">
      <c r="A98" s="32">
        <f>VLOOKUP(YEAR(C98),Flags!$A$13:$B$95,2,FALSE)</f>
        <v>5</v>
      </c>
      <c r="B98" s="24">
        <f t="shared" si="116"/>
        <v>1931</v>
      </c>
      <c r="C98" s="25">
        <v>11535</v>
      </c>
      <c r="D98" s="26">
        <f>VLOOKUP($C98,COS!$B$8:$H$991,3,FALSE)</f>
        <v>9719.40234375</v>
      </c>
      <c r="E98" s="24">
        <f>IF(D98&gt;=IF(MONTH($C98)=4,$C$3,IF(MONTH($C98)=5,$C$4,IF(MONTH($C98)=6,$C$5,IF(MONTH($C98)=7,$C$6,"ERROR")))),1,0)</f>
        <v>0</v>
      </c>
      <c r="F98" s="26">
        <f>VLOOKUP($C98,COS!$B$8:$H$991,7,FALSE)</f>
        <v>56.554588317871094</v>
      </c>
      <c r="G98" s="24">
        <f>IF(F98&lt;=IF(MONTH($C98)=4,$F$3,IF(MONTH($C98)=5,$F$4,IF(MONTH($C98)=6,$F$5,IF(MONTH($C98)=7,$F$6,"ERROR")))),1,0)</f>
        <v>0</v>
      </c>
      <c r="H98" s="26">
        <f>IF(J98=1,D98-$C$6,0)</f>
        <v>0</v>
      </c>
      <c r="I98" s="26">
        <f t="shared" si="136"/>
        <v>0</v>
      </c>
      <c r="J98" s="24">
        <f t="shared" si="145"/>
        <v>0</v>
      </c>
      <c r="K98" s="26">
        <f>VLOOKUP($C98,COS!$B$8:$H$991,2,FALSE)</f>
        <v>751.55364990234375</v>
      </c>
      <c r="L98" s="24">
        <f t="shared" si="129"/>
        <v>1</v>
      </c>
      <c r="M98" s="24">
        <f t="shared" si="130"/>
        <v>1</v>
      </c>
      <c r="N98" s="26">
        <f>VLOOKUP($C98,COS!$B$8:$H$991,5,FALSE)</f>
        <v>229.37615966796875</v>
      </c>
      <c r="O98" s="26">
        <f t="shared" si="148"/>
        <v>14.10379031346849</v>
      </c>
      <c r="P98" s="26">
        <f>VLOOKUP($C98,COS!$B$8:$H$991,6,FALSE)</f>
        <v>2281.4833984375</v>
      </c>
      <c r="Q98" s="26">
        <f t="shared" si="149"/>
        <v>140.28294615185951</v>
      </c>
      <c r="R98" s="26">
        <f>MIN(IF(MONTH($C98)=4,$S$3,IF(MONTH($C98)=5,$S$4,IF(MONTH($C98)=6,$S$5,IF(MONTH($C98)=7,$S$6,"ERROR")))),MAX(VLOOKUP($C98,COS!$B$8:$K$991,10,FALSE)-IF(MONTH($C98)=4,$Y$3,IF(MONTH($C98)=5,$Y$4,IF(MONTH($C98)=6,$Y$5,IF(MONTH($C98)=7,$Y$6,"ERROR")))),0),MAX(VLOOKUP($C98,COS!$B$8:$K$991,9,FALSE)-IF(MONTH($C98)=4,$V$3,IF(MONTH($C98)=5,$V$4,IF(MONTH($C98)=6,$V$5,IF(MONTH($C98)=7,$V$6,"ERROR"))))-VLOOKUP($C98,COS!$B$8:$K$991,6,FALSE)/2,0))</f>
        <v>1500</v>
      </c>
      <c r="S98" s="26">
        <f t="shared" si="150"/>
        <v>92.231404958677686</v>
      </c>
      <c r="T98" s="26">
        <f t="shared" si="151"/>
        <v>169.42477319134167</v>
      </c>
      <c r="U98" s="26" t="str">
        <f>IF(VLOOKUP($C98,COS!$B$8:$I$991,8,FALSE)=1,"UWFE","IBU")</f>
        <v>IBU</v>
      </c>
      <c r="V98" s="26">
        <f t="shared" ref="V98" si="155">MIN(IF(IF($AA$3=2,AND(E98=1,G98=1,L98=1,L100=1,M98=1,U98="IBU"),AND(E98=1,G98=1,L98=1,L100=1,M98=1)),T98,0),I98)</f>
        <v>0</v>
      </c>
      <c r="W98" s="26"/>
      <c r="X98" s="26"/>
      <c r="Y98" s="26"/>
      <c r="Z98" s="26"/>
      <c r="AA98" s="26"/>
      <c r="AB98" s="33"/>
    </row>
    <row r="99" spans="1:28" x14ac:dyDescent="0.3">
      <c r="A99" s="32">
        <f>VLOOKUP(YEAR(C99),Flags!$A$13:$B$95,2,FALSE)</f>
        <v>5</v>
      </c>
      <c r="B99" s="24">
        <f t="shared" si="116"/>
        <v>1931</v>
      </c>
      <c r="C99" s="25">
        <v>11566</v>
      </c>
      <c r="D99" s="26"/>
      <c r="E99" s="24"/>
      <c r="F99" s="26"/>
      <c r="G99" s="24"/>
      <c r="H99" s="24"/>
      <c r="I99" s="26"/>
      <c r="J99" s="24"/>
      <c r="K99" s="26"/>
      <c r="L99" s="24"/>
      <c r="M99" s="24"/>
      <c r="N99" s="26"/>
      <c r="O99" s="26"/>
      <c r="P99" s="26"/>
      <c r="Q99" s="26"/>
      <c r="R99" s="26"/>
      <c r="S99" s="26"/>
      <c r="T99" s="26"/>
      <c r="U99" s="26"/>
      <c r="V99" s="26"/>
      <c r="W99" s="26">
        <f>MAX($C$7-VLOOKUP($C99,COS!$B$8:$H$991,3,FALSE),0)</f>
        <v>92453.15478515625</v>
      </c>
      <c r="X99" s="26">
        <f t="shared" si="143"/>
        <v>5684.7229057980376</v>
      </c>
      <c r="Y99" s="26">
        <f>VLOOKUP($C99,COS!$B$8:$H$991,4,FALSE)</f>
        <v>1954.847412109375</v>
      </c>
      <c r="Z99" s="26">
        <f t="shared" si="144"/>
        <v>120.1988821991219</v>
      </c>
      <c r="AA99" s="26">
        <f t="shared" ref="AA99:AA103" si="156">MIN(W99,Y99)</f>
        <v>1954.847412109375</v>
      </c>
      <c r="AB99" s="33">
        <f t="shared" ref="AB99" si="157">AA99*DAY($C99)*86400/43560/1000*IF(MONTH($C99)=8,$P$3,IF(MONTH($C99)=9,$P$4,IF(MONTH($C99)=10,$P$5,IF(MONTH($C99)=11,$P$6,IF(MONTH($C99)=12,$P$7,NA())))))</f>
        <v>120.1988821991219</v>
      </c>
    </row>
    <row r="100" spans="1:28" x14ac:dyDescent="0.3">
      <c r="A100" s="32">
        <f>VLOOKUP(YEAR(C100),Flags!$A$13:$B$95,2,FALSE)</f>
        <v>5</v>
      </c>
      <c r="B100" s="24">
        <f t="shared" si="116"/>
        <v>1931</v>
      </c>
      <c r="C100" s="25">
        <v>11596</v>
      </c>
      <c r="D100" s="26"/>
      <c r="E100" s="24"/>
      <c r="F100" s="26"/>
      <c r="G100" s="24"/>
      <c r="H100" s="24"/>
      <c r="I100" s="26"/>
      <c r="J100" s="24"/>
      <c r="K100" s="26">
        <f>VLOOKUP($C100,COS!$B$8:$H$991,2,FALSE)</f>
        <v>558.61627197265625</v>
      </c>
      <c r="L100" s="24">
        <f t="shared" ref="L100" si="158">IF(AND(K100&gt;$I$7,K100&lt;$I$8),1,0)</f>
        <v>1</v>
      </c>
      <c r="M100" s="24"/>
      <c r="N100" s="26"/>
      <c r="O100" s="26"/>
      <c r="P100" s="26"/>
      <c r="Q100" s="26"/>
      <c r="R100" s="26"/>
      <c r="S100" s="26"/>
      <c r="T100" s="26"/>
      <c r="U100" s="26"/>
      <c r="V100" s="26"/>
      <c r="W100" s="26">
        <f>MAX($C$8-VLOOKUP($C100,COS!$B$8:$H$991,3,FALSE),0)</f>
        <v>95634.48095703125</v>
      </c>
      <c r="X100" s="26">
        <f t="shared" si="143"/>
        <v>5690.6468007489666</v>
      </c>
      <c r="Y100" s="26">
        <f>VLOOKUP($C100,COS!$B$8:$H$991,4,FALSE)</f>
        <v>2060.603515625</v>
      </c>
      <c r="Z100" s="26">
        <f t="shared" si="144"/>
        <v>122.61442407024794</v>
      </c>
      <c r="AA100" s="26">
        <f t="shared" si="156"/>
        <v>2060.603515625</v>
      </c>
      <c r="AB100" s="33">
        <f t="shared" si="141"/>
        <v>122.61442407024794</v>
      </c>
    </row>
    <row r="101" spans="1:28" x14ac:dyDescent="0.3">
      <c r="A101" s="32">
        <f>VLOOKUP(YEAR(C101),Flags!$A$13:$B$95,2,FALSE)</f>
        <v>5</v>
      </c>
      <c r="B101" s="24">
        <f t="shared" si="116"/>
        <v>1931</v>
      </c>
      <c r="C101" s="25">
        <v>11627</v>
      </c>
      <c r="D101" s="26"/>
      <c r="E101" s="24"/>
      <c r="F101" s="26"/>
      <c r="G101" s="26"/>
      <c r="H101" s="26"/>
      <c r="I101" s="26"/>
      <c r="J101" s="26"/>
      <c r="K101" s="26"/>
      <c r="L101" s="24"/>
      <c r="M101" s="24"/>
      <c r="N101" s="26"/>
      <c r="O101" s="26"/>
      <c r="P101" s="26"/>
      <c r="Q101" s="26"/>
      <c r="R101" s="26"/>
      <c r="S101" s="26"/>
      <c r="T101" s="26"/>
      <c r="U101" s="26"/>
      <c r="V101" s="26"/>
      <c r="W101" s="26">
        <f>MAX($C$9-VLOOKUP($C101,COS!$B$8:$H$991,3,FALSE),0)</f>
        <v>95356.61572265625</v>
      </c>
      <c r="X101" s="26">
        <f t="shared" si="143"/>
        <v>5863.2497601368796</v>
      </c>
      <c r="Y101" s="26">
        <f>VLOOKUP($C101,COS!$B$8:$H$991,4,FALSE)</f>
        <v>1549.2154541015625</v>
      </c>
      <c r="Z101" s="26">
        <f t="shared" si="144"/>
        <v>95.257545276988637</v>
      </c>
      <c r="AA101" s="26">
        <f t="shared" si="156"/>
        <v>1549.2154541015625</v>
      </c>
      <c r="AB101" s="33">
        <f t="shared" si="141"/>
        <v>95.257545276988637</v>
      </c>
    </row>
    <row r="102" spans="1:28" x14ac:dyDescent="0.3">
      <c r="A102" s="32">
        <f>VLOOKUP(YEAR(C102),Flags!$A$13:$B$95,2,FALSE)</f>
        <v>5</v>
      </c>
      <c r="B102" s="24">
        <f t="shared" si="116"/>
        <v>1931</v>
      </c>
      <c r="C102" s="25">
        <v>11657</v>
      </c>
      <c r="D102" s="26"/>
      <c r="E102" s="24"/>
      <c r="F102" s="26"/>
      <c r="G102" s="26"/>
      <c r="H102" s="26"/>
      <c r="I102" s="26"/>
      <c r="J102" s="26"/>
      <c r="K102" s="26"/>
      <c r="L102" s="24"/>
      <c r="M102" s="24"/>
      <c r="N102" s="26"/>
      <c r="O102" s="26"/>
      <c r="P102" s="26"/>
      <c r="Q102" s="26"/>
      <c r="R102" s="26"/>
      <c r="S102" s="26"/>
      <c r="T102" s="26"/>
      <c r="U102" s="26"/>
      <c r="V102" s="26"/>
      <c r="W102" s="26">
        <f>MAX($C$10-VLOOKUP($C102,COS!$B$8:$H$991,3,FALSE),0)</f>
        <v>96802.866943359375</v>
      </c>
      <c r="X102" s="26">
        <f t="shared" si="143"/>
        <v>5760.1705949767556</v>
      </c>
      <c r="Y102" s="26">
        <f>VLOOKUP($C102,COS!$B$8:$H$991,4,FALSE)</f>
        <v>1329.917724609375</v>
      </c>
      <c r="Z102" s="26">
        <f t="shared" si="144"/>
        <v>79.135600142045462</v>
      </c>
      <c r="AA102" s="26">
        <f t="shared" si="156"/>
        <v>1329.917724609375</v>
      </c>
      <c r="AB102" s="33">
        <f t="shared" si="141"/>
        <v>79.135600142045462</v>
      </c>
    </row>
    <row r="103" spans="1:28" x14ac:dyDescent="0.3">
      <c r="A103" s="34">
        <f>VLOOKUP(YEAR(C103),Flags!$A$13:$B$95,2,FALSE)</f>
        <v>5</v>
      </c>
      <c r="B103" s="35">
        <f t="shared" si="116"/>
        <v>1931</v>
      </c>
      <c r="C103" s="36">
        <v>11688</v>
      </c>
      <c r="D103" s="37"/>
      <c r="E103" s="35"/>
      <c r="F103" s="37"/>
      <c r="G103" s="37"/>
      <c r="H103" s="37"/>
      <c r="I103" s="37"/>
      <c r="J103" s="37"/>
      <c r="K103" s="37"/>
      <c r="L103" s="35"/>
      <c r="M103" s="35"/>
      <c r="N103" s="37"/>
      <c r="O103" s="37"/>
      <c r="P103" s="37"/>
      <c r="Q103" s="37"/>
      <c r="R103" s="37"/>
      <c r="S103" s="37"/>
      <c r="T103" s="37"/>
      <c r="U103" s="37"/>
      <c r="V103" s="37"/>
      <c r="W103" s="37">
        <f>MAX($C$11-VLOOKUP($C103,COS!$B$8:$H$991,3,FALSE),0)</f>
        <v>96749</v>
      </c>
      <c r="X103" s="37">
        <f t="shared" si="143"/>
        <v>5948.8641322314052</v>
      </c>
      <c r="Y103" s="37">
        <f>VLOOKUP($C103,COS!$B$8:$H$991,4,FALSE)</f>
        <v>0</v>
      </c>
      <c r="Z103" s="37">
        <f t="shared" si="144"/>
        <v>0</v>
      </c>
      <c r="AA103" s="37">
        <f t="shared" si="156"/>
        <v>0</v>
      </c>
      <c r="AB103" s="38">
        <f t="shared" si="141"/>
        <v>0</v>
      </c>
    </row>
    <row r="104" spans="1:28" x14ac:dyDescent="0.3">
      <c r="A104" s="27">
        <f>VLOOKUP(YEAR(C104),Flags!$A$13:$B$95,2,FALSE)</f>
        <v>5</v>
      </c>
      <c r="B104" s="28">
        <f t="shared" si="116"/>
        <v>1932</v>
      </c>
      <c r="C104" s="29">
        <v>11809</v>
      </c>
      <c r="D104" s="30">
        <f>VLOOKUP($C104,COS!$B$8:$H$991,3,FALSE)</f>
        <v>3250</v>
      </c>
      <c r="E104" s="28">
        <f>IF(D104&gt;=IF(MONTH($C104)=4,$C$3,IF(MONTH($C104)=5,$C$4,IF(MONTH($C104)=6,$C$5,IF(MONTH($C104)=7,$C$6,"ERROR")))),1,0)</f>
        <v>0</v>
      </c>
      <c r="F104" s="30">
        <f>VLOOKUP($C104,COS!$B$8:$H$991,7,FALSE)</f>
        <v>49.347862243652344</v>
      </c>
      <c r="G104" s="28">
        <f>IF(F104&lt;=IF(MONTH($C104)=4,$F$3,IF(MONTH($C104)=5,$F$4,IF(MONTH($C104)=6,$F$5,IF(MONTH($C104)=7,$F$6,"ERROR")))),1,0)</f>
        <v>1</v>
      </c>
      <c r="H104" s="30">
        <f>IF(J104=1,D104-$C$3,0)</f>
        <v>0</v>
      </c>
      <c r="I104" s="30">
        <f t="shared" si="136"/>
        <v>0</v>
      </c>
      <c r="J104" s="28">
        <f t="shared" ref="J104:J107" si="159">IF(AND(E104=1,G104=1),1,0)</f>
        <v>0</v>
      </c>
      <c r="K104" s="30">
        <f>VLOOKUP($C104,COS!$B$8:$H$991,2,FALSE)</f>
        <v>1787.3011474609375</v>
      </c>
      <c r="L104" s="28">
        <f t="shared" ref="L104" si="160">IF(K104&lt;=IF(MONTH($C104)=4,$I$3,IF(MONTH($C104)=5,$I$4,IF(MONTH($C104)=6,$I$5,IF(MONTH($C104)=7,$I$6,"ERROR")))),1,0)</f>
        <v>1</v>
      </c>
      <c r="M104" s="28">
        <f t="shared" ref="M104" si="161">VLOOKUP($A104,$L$3:$M$7,2,FALSE)</f>
        <v>1</v>
      </c>
      <c r="N104" s="30">
        <f>VLOOKUP($C104,COS!$B$8:$H$991,5,FALSE)</f>
        <v>0</v>
      </c>
      <c r="O104" s="30">
        <f t="shared" ref="O104:O107" si="162">N104*DAY($C104)*86400/43560/1000</f>
        <v>0</v>
      </c>
      <c r="P104" s="30">
        <f>VLOOKUP($C104,COS!$B$8:$H$991,6,FALSE)</f>
        <v>527.22991943359375</v>
      </c>
      <c r="Q104" s="30">
        <f t="shared" ref="Q104:Q107" si="163">P104*DAY($C104)*86400/43560/1000</f>
        <v>31.372358842329543</v>
      </c>
      <c r="R104" s="30">
        <f>MIN(IF(MONTH($C104)=4,$S$3,IF(MONTH($C104)=5,$S$4,IF(MONTH($C104)=6,$S$5,IF(MONTH($C104)=7,$S$6,"ERROR")))),MAX(VLOOKUP($C104,COS!$B$8:$K$991,10,FALSE)-IF(MONTH($C104)=4,$Y$3,IF(MONTH($C104)=5,$Y$4,IF(MONTH($C104)=6,$Y$5,IF(MONTH($C104)=7,$Y$6,"ERROR")))),0),MAX(VLOOKUP($C104,COS!$B$8:$K$991,9,FALSE)-IF(MONTH($C104)=4,$V$3,IF(MONTH($C104)=5,$V$4,IF(MONTH($C104)=6,$V$5,IF(MONTH($C104)=7,$V$6,"ERROR"))))-VLOOKUP($C104,COS!$B$8:$K$991,6,FALSE)/2,0))</f>
        <v>1207.2068176269531</v>
      </c>
      <c r="S104" s="30">
        <f t="shared" ref="S104:S107" si="164">R104*DAY($C104)*86400/43560/1000</f>
        <v>71.83379410672778</v>
      </c>
      <c r="T104" s="30">
        <f t="shared" ref="T104:T107" si="165">(O104+Q104)/2+S104</f>
        <v>87.519973527892546</v>
      </c>
      <c r="U104" s="30" t="str">
        <f>IF(VLOOKUP($C104,COS!$B$8:$I$991,8,FALSE)=1,"UWFE","IBU")</f>
        <v>UWFE</v>
      </c>
      <c r="V104" s="30">
        <f t="shared" ref="V104" si="166">MIN(IF(IF($AA$3=2,AND(E104=1,G104=1,L104=1,L109=1,M104=1,U104="IBU"),AND(E104=1,G104=1,L104=1,L109=1,M104=1)),T104,0),I104)</f>
        <v>0</v>
      </c>
      <c r="W104" s="30"/>
      <c r="X104" s="30"/>
      <c r="Y104" s="30"/>
      <c r="Z104" s="30"/>
      <c r="AA104" s="30"/>
      <c r="AB104" s="31"/>
    </row>
    <row r="105" spans="1:28" x14ac:dyDescent="0.3">
      <c r="A105" s="32">
        <f>VLOOKUP(YEAR(C105),Flags!$A$13:$B$95,2,FALSE)</f>
        <v>5</v>
      </c>
      <c r="B105" s="24">
        <f t="shared" si="116"/>
        <v>1932</v>
      </c>
      <c r="C105" s="25">
        <v>11840</v>
      </c>
      <c r="D105" s="26">
        <f>VLOOKUP($C105,COS!$B$8:$H$991,3,FALSE)</f>
        <v>4951.02978515625</v>
      </c>
      <c r="E105" s="24">
        <f>IF(D105&gt;=IF(MONTH($C105)=4,$C$3,IF(MONTH($C105)=5,$C$4,IF(MONTH($C105)=6,$C$5,IF(MONTH($C105)=7,$C$6,"ERROR")))),1,0)</f>
        <v>0</v>
      </c>
      <c r="F105" s="26">
        <f>VLOOKUP($C105,COS!$B$8:$H$991,7,FALSE)</f>
        <v>51.659408569335938</v>
      </c>
      <c r="G105" s="24">
        <f>IF(F105&lt;=IF(MONTH($C105)=4,$F$3,IF(MONTH($C105)=5,$F$4,IF(MONTH($C105)=6,$F$5,IF(MONTH($C105)=7,$F$6,"ERROR")))),1,0)</f>
        <v>1</v>
      </c>
      <c r="H105" s="26">
        <f>IF(J105=1,D105-$C$4,0)</f>
        <v>0</v>
      </c>
      <c r="I105" s="26">
        <f t="shared" si="136"/>
        <v>0</v>
      </c>
      <c r="J105" s="24">
        <f t="shared" si="159"/>
        <v>0</v>
      </c>
      <c r="K105" s="26">
        <f>VLOOKUP($C105,COS!$B$8:$H$991,2,FALSE)</f>
        <v>1880.785400390625</v>
      </c>
      <c r="L105" s="24">
        <f t="shared" si="129"/>
        <v>1</v>
      </c>
      <c r="M105" s="24">
        <f t="shared" si="130"/>
        <v>1</v>
      </c>
      <c r="N105" s="26">
        <f>VLOOKUP($C105,COS!$B$8:$H$991,5,FALSE)</f>
        <v>0</v>
      </c>
      <c r="O105" s="26">
        <f t="shared" si="162"/>
        <v>0</v>
      </c>
      <c r="P105" s="26">
        <f>VLOOKUP($C105,COS!$B$8:$H$991,6,FALSE)</f>
        <v>2037.6466064453125</v>
      </c>
      <c r="Q105" s="26">
        <f t="shared" si="163"/>
        <v>125.29000621448863</v>
      </c>
      <c r="R105" s="26">
        <f>MIN(IF(MONTH($C105)=4,$S$3,IF(MONTH($C105)=5,$S$4,IF(MONTH($C105)=6,$S$5,IF(MONTH($C105)=7,$S$6,"ERROR")))),MAX(VLOOKUP($C105,COS!$B$8:$K$991,10,FALSE)-IF(MONTH($C105)=4,$Y$3,IF(MONTH($C105)=5,$Y$4,IF(MONTH($C105)=6,$Y$5,IF(MONTH($C105)=7,$Y$6,"ERROR")))),0),MAX(VLOOKUP($C105,COS!$B$8:$K$991,9,FALSE)-IF(MONTH($C105)=4,$V$3,IF(MONTH($C105)=5,$V$4,IF(MONTH($C105)=6,$V$5,IF(MONTH($C105)=7,$V$6,"ERROR"))))-VLOOKUP($C105,COS!$B$8:$K$991,6,FALSE)/2,0))</f>
        <v>1500</v>
      </c>
      <c r="S105" s="26">
        <f t="shared" si="164"/>
        <v>92.231404958677686</v>
      </c>
      <c r="T105" s="26">
        <f t="shared" si="165"/>
        <v>154.87640806592199</v>
      </c>
      <c r="U105" s="26" t="str">
        <f>IF(VLOOKUP($C105,COS!$B$8:$I$991,8,FALSE)=1,"UWFE","IBU")</f>
        <v>UWFE</v>
      </c>
      <c r="V105" s="26">
        <f t="shared" ref="V105" si="167">MIN(IF(IF($AA$3=2,AND(E105=1,G105=1,L105=1,L109=1,M105=1,U105="IBU"),AND(E105=1,G105=1,L105=1,L109=1,M105=1)),T105,0),I105)</f>
        <v>0</v>
      </c>
      <c r="W105" s="26"/>
      <c r="X105" s="26"/>
      <c r="Y105" s="26"/>
      <c r="Z105" s="26"/>
      <c r="AA105" s="26"/>
      <c r="AB105" s="33"/>
    </row>
    <row r="106" spans="1:28" x14ac:dyDescent="0.3">
      <c r="A106" s="32">
        <f>VLOOKUP(YEAR(C106),Flags!$A$13:$B$95,2,FALSE)</f>
        <v>5</v>
      </c>
      <c r="B106" s="24">
        <f t="shared" si="116"/>
        <v>1932</v>
      </c>
      <c r="C106" s="25">
        <v>11870</v>
      </c>
      <c r="D106" s="26">
        <f>VLOOKUP($C106,COS!$B$8:$H$991,3,FALSE)</f>
        <v>7197.30029296875</v>
      </c>
      <c r="E106" s="24">
        <f>IF(D106&gt;=IF(MONTH($C106)=4,$C$3,IF(MONTH($C106)=5,$C$4,IF(MONTH($C106)=6,$C$5,IF(MONTH($C106)=7,$C$6,"ERROR")))),1,0)</f>
        <v>0</v>
      </c>
      <c r="F106" s="26">
        <f>VLOOKUP($C106,COS!$B$8:$H$991,7,FALSE)</f>
        <v>54.089519500732422</v>
      </c>
      <c r="G106" s="24">
        <f>IF(F106&lt;=IF(MONTH($C106)=4,$F$3,IF(MONTH($C106)=5,$F$4,IF(MONTH($C106)=6,$F$5,IF(MONTH($C106)=7,$F$6,"ERROR")))),1,0)</f>
        <v>1</v>
      </c>
      <c r="H106" s="26">
        <f>IF(J106=1,D106-$C$5,0)</f>
        <v>0</v>
      </c>
      <c r="I106" s="26">
        <f t="shared" si="136"/>
        <v>0</v>
      </c>
      <c r="J106" s="24">
        <f t="shared" si="159"/>
        <v>0</v>
      </c>
      <c r="K106" s="26">
        <f>VLOOKUP($C106,COS!$B$8:$H$991,2,FALSE)</f>
        <v>1657.180419921875</v>
      </c>
      <c r="L106" s="24">
        <f t="shared" si="129"/>
        <v>1</v>
      </c>
      <c r="M106" s="24">
        <f t="shared" si="130"/>
        <v>1</v>
      </c>
      <c r="N106" s="26">
        <f>VLOOKUP($C106,COS!$B$8:$H$991,5,FALSE)</f>
        <v>0</v>
      </c>
      <c r="O106" s="26">
        <f t="shared" si="162"/>
        <v>0</v>
      </c>
      <c r="P106" s="26">
        <f>VLOOKUP($C106,COS!$B$8:$H$991,6,FALSE)</f>
        <v>2546.35791015625</v>
      </c>
      <c r="Q106" s="26">
        <f t="shared" si="163"/>
        <v>151.51881779442149</v>
      </c>
      <c r="R106" s="26">
        <f>MIN(IF(MONTH($C106)=4,$S$3,IF(MONTH($C106)=5,$S$4,IF(MONTH($C106)=6,$S$5,IF(MONTH($C106)=7,$S$6,"ERROR")))),MAX(VLOOKUP($C106,COS!$B$8:$K$991,10,FALSE)-IF(MONTH($C106)=4,$Y$3,IF(MONTH($C106)=5,$Y$4,IF(MONTH($C106)=6,$Y$5,IF(MONTH($C106)=7,$Y$6,"ERROR")))),0),MAX(VLOOKUP($C106,COS!$B$8:$K$991,9,FALSE)-IF(MONTH($C106)=4,$V$3,IF(MONTH($C106)=5,$V$4,IF(MONTH($C106)=6,$V$5,IF(MONTH($C106)=7,$V$6,"ERROR"))))-VLOOKUP($C106,COS!$B$8:$K$991,6,FALSE)/2,0))</f>
        <v>1500</v>
      </c>
      <c r="S106" s="26">
        <f t="shared" si="164"/>
        <v>89.256198347107429</v>
      </c>
      <c r="T106" s="26">
        <f t="shared" si="165"/>
        <v>165.01560724431818</v>
      </c>
      <c r="U106" s="26" t="str">
        <f>IF(VLOOKUP($C106,COS!$B$8:$I$991,8,FALSE)=1,"UWFE","IBU")</f>
        <v>IBU</v>
      </c>
      <c r="V106" s="26">
        <f t="shared" ref="V106" si="168">MIN(IF(IF($AA$3=2,AND(E106=1,G106=1,L106=1,L109=1,M106=1,U106="IBU"),AND(E106=1,G106=1,L106=1,L109=1,M106=1)),T106,0),I106)</f>
        <v>0</v>
      </c>
      <c r="W106" s="26"/>
      <c r="X106" s="26"/>
      <c r="Y106" s="26"/>
      <c r="Z106" s="26"/>
      <c r="AA106" s="26"/>
      <c r="AB106" s="33"/>
    </row>
    <row r="107" spans="1:28" x14ac:dyDescent="0.3">
      <c r="A107" s="32">
        <f>VLOOKUP(YEAR(C107),Flags!$A$13:$B$95,2,FALSE)</f>
        <v>5</v>
      </c>
      <c r="B107" s="24">
        <f t="shared" si="116"/>
        <v>1932</v>
      </c>
      <c r="C107" s="25">
        <v>11901</v>
      </c>
      <c r="D107" s="26">
        <f>VLOOKUP($C107,COS!$B$8:$H$991,3,FALSE)</f>
        <v>8582.53125</v>
      </c>
      <c r="E107" s="24">
        <f>IF(D107&gt;=IF(MONTH($C107)=4,$C$3,IF(MONTH($C107)=5,$C$4,IF(MONTH($C107)=6,$C$5,IF(MONTH($C107)=7,$C$6,"ERROR")))),1,0)</f>
        <v>0</v>
      </c>
      <c r="F107" s="26">
        <f>VLOOKUP($C107,COS!$B$8:$H$991,7,FALSE)</f>
        <v>55.753875732421875</v>
      </c>
      <c r="G107" s="24">
        <f>IF(F107&lt;=IF(MONTH($C107)=4,$F$3,IF(MONTH($C107)=5,$F$4,IF(MONTH($C107)=6,$F$5,IF(MONTH($C107)=7,$F$6,"ERROR")))),1,0)</f>
        <v>0</v>
      </c>
      <c r="H107" s="26">
        <f>IF(J107=1,D107-$C$6,0)</f>
        <v>0</v>
      </c>
      <c r="I107" s="26">
        <f t="shared" si="136"/>
        <v>0</v>
      </c>
      <c r="J107" s="24">
        <f t="shared" si="159"/>
        <v>0</v>
      </c>
      <c r="K107" s="26">
        <f>VLOOKUP($C107,COS!$B$8:$H$991,2,FALSE)</f>
        <v>1286.91845703125</v>
      </c>
      <c r="L107" s="24">
        <f t="shared" si="129"/>
        <v>1</v>
      </c>
      <c r="M107" s="24">
        <f t="shared" si="130"/>
        <v>1</v>
      </c>
      <c r="N107" s="26">
        <f>VLOOKUP($C107,COS!$B$8:$H$991,5,FALSE)</f>
        <v>0</v>
      </c>
      <c r="O107" s="26">
        <f t="shared" si="162"/>
        <v>0</v>
      </c>
      <c r="P107" s="26">
        <f>VLOOKUP($C107,COS!$B$8:$H$991,6,FALSE)</f>
        <v>2538.07568359375</v>
      </c>
      <c r="Q107" s="26">
        <f t="shared" si="163"/>
        <v>156.06019079287191</v>
      </c>
      <c r="R107" s="26">
        <f>MIN(IF(MONTH($C107)=4,$S$3,IF(MONTH($C107)=5,$S$4,IF(MONTH($C107)=6,$S$5,IF(MONTH($C107)=7,$S$6,"ERROR")))),MAX(VLOOKUP($C107,COS!$B$8:$K$991,10,FALSE)-IF(MONTH($C107)=4,$Y$3,IF(MONTH($C107)=5,$Y$4,IF(MONTH($C107)=6,$Y$5,IF(MONTH($C107)=7,$Y$6,"ERROR")))),0),MAX(VLOOKUP($C107,COS!$B$8:$K$991,9,FALSE)-IF(MONTH($C107)=4,$V$3,IF(MONTH($C107)=5,$V$4,IF(MONTH($C107)=6,$V$5,IF(MONTH($C107)=7,$V$6,"ERROR"))))-VLOOKUP($C107,COS!$B$8:$K$991,6,FALSE)/2,0))</f>
        <v>1500</v>
      </c>
      <c r="S107" s="26">
        <f t="shared" si="164"/>
        <v>92.231404958677686</v>
      </c>
      <c r="T107" s="26">
        <f t="shared" si="165"/>
        <v>170.26150035511364</v>
      </c>
      <c r="U107" s="26" t="str">
        <f>IF(VLOOKUP($C107,COS!$B$8:$I$991,8,FALSE)=1,"UWFE","IBU")</f>
        <v>IBU</v>
      </c>
      <c r="V107" s="26">
        <f t="shared" ref="V107" si="169">MIN(IF(IF($AA$3=2,AND(E107=1,G107=1,L107=1,L109=1,M107=1,U107="IBU"),AND(E107=1,G107=1,L107=1,L109=1,M107=1)),T107,0),I107)</f>
        <v>0</v>
      </c>
      <c r="W107" s="26"/>
      <c r="X107" s="26"/>
      <c r="Y107" s="26"/>
      <c r="Z107" s="26"/>
      <c r="AA107" s="26"/>
      <c r="AB107" s="33"/>
    </row>
    <row r="108" spans="1:28" x14ac:dyDescent="0.3">
      <c r="A108" s="32">
        <f>VLOOKUP(YEAR(C108),Flags!$A$13:$B$95,2,FALSE)</f>
        <v>5</v>
      </c>
      <c r="B108" s="24">
        <f t="shared" si="116"/>
        <v>1932</v>
      </c>
      <c r="C108" s="25">
        <v>11932</v>
      </c>
      <c r="D108" s="26"/>
      <c r="E108" s="24"/>
      <c r="F108" s="26"/>
      <c r="G108" s="24"/>
      <c r="H108" s="24"/>
      <c r="I108" s="26"/>
      <c r="J108" s="24"/>
      <c r="K108" s="26"/>
      <c r="L108" s="24"/>
      <c r="M108" s="24"/>
      <c r="N108" s="26"/>
      <c r="O108" s="26"/>
      <c r="P108" s="26"/>
      <c r="Q108" s="26"/>
      <c r="R108" s="26"/>
      <c r="S108" s="26"/>
      <c r="T108" s="26"/>
      <c r="U108" s="26"/>
      <c r="V108" s="26"/>
      <c r="W108" s="26">
        <f>MAX($C$7-VLOOKUP($C108,COS!$B$8:$H$991,3,FALSE),0)</f>
        <v>92726.396484375</v>
      </c>
      <c r="X108" s="26">
        <f t="shared" si="143"/>
        <v>5701.523883006198</v>
      </c>
      <c r="Y108" s="26">
        <f>VLOOKUP($C108,COS!$B$8:$H$991,4,FALSE)</f>
        <v>1881.437744140625</v>
      </c>
      <c r="Z108" s="26">
        <f t="shared" si="144"/>
        <v>115.68509765624999</v>
      </c>
      <c r="AA108" s="26">
        <f t="shared" ref="AA108:AA112" si="170">MIN(W108,Y108)</f>
        <v>1881.437744140625</v>
      </c>
      <c r="AB108" s="33">
        <f t="shared" ref="AB108" si="171">AA108*DAY($C108)*86400/43560/1000*IF(MONTH($C108)=8,$P$3,IF(MONTH($C108)=9,$P$4,IF(MONTH($C108)=10,$P$5,IF(MONTH($C108)=11,$P$6,IF(MONTH($C108)=12,$P$7,NA())))))</f>
        <v>115.68509765624999</v>
      </c>
    </row>
    <row r="109" spans="1:28" x14ac:dyDescent="0.3">
      <c r="A109" s="32">
        <f>VLOOKUP(YEAR(C109),Flags!$A$13:$B$95,2,FALSE)</f>
        <v>5</v>
      </c>
      <c r="B109" s="24">
        <f t="shared" si="116"/>
        <v>1932</v>
      </c>
      <c r="C109" s="25">
        <v>11962</v>
      </c>
      <c r="D109" s="26"/>
      <c r="E109" s="24"/>
      <c r="F109" s="26"/>
      <c r="G109" s="24"/>
      <c r="H109" s="24"/>
      <c r="I109" s="26"/>
      <c r="J109" s="24"/>
      <c r="K109" s="26">
        <f>VLOOKUP($C109,COS!$B$8:$H$991,2,FALSE)</f>
        <v>902.0557861328125</v>
      </c>
      <c r="L109" s="24">
        <f t="shared" ref="L109" si="172">IF(AND(K109&gt;$I$7,K109&lt;$I$8),1,0)</f>
        <v>1</v>
      </c>
      <c r="M109" s="24"/>
      <c r="N109" s="26"/>
      <c r="O109" s="26"/>
      <c r="P109" s="26"/>
      <c r="Q109" s="26"/>
      <c r="R109" s="26"/>
      <c r="S109" s="26"/>
      <c r="T109" s="26"/>
      <c r="U109" s="26"/>
      <c r="V109" s="26"/>
      <c r="W109" s="26">
        <f>MAX($C$8-VLOOKUP($C109,COS!$B$8:$H$991,3,FALSE),0)</f>
        <v>95768.7431640625</v>
      </c>
      <c r="X109" s="26">
        <f t="shared" si="143"/>
        <v>5698.6359568698354</v>
      </c>
      <c r="Y109" s="26">
        <f>VLOOKUP($C109,COS!$B$8:$H$991,4,FALSE)</f>
        <v>909.056396484375</v>
      </c>
      <c r="Z109" s="26">
        <f t="shared" si="144"/>
        <v>54.092612022210744</v>
      </c>
      <c r="AA109" s="26">
        <f t="shared" si="170"/>
        <v>909.056396484375</v>
      </c>
      <c r="AB109" s="33">
        <f t="shared" si="141"/>
        <v>54.092612022210744</v>
      </c>
    </row>
    <row r="110" spans="1:28" x14ac:dyDescent="0.3">
      <c r="A110" s="32">
        <f>VLOOKUP(YEAR(C110),Flags!$A$13:$B$95,2,FALSE)</f>
        <v>5</v>
      </c>
      <c r="B110" s="24">
        <f t="shared" si="116"/>
        <v>1932</v>
      </c>
      <c r="C110" s="25">
        <v>11993</v>
      </c>
      <c r="D110" s="26"/>
      <c r="E110" s="24"/>
      <c r="F110" s="26"/>
      <c r="G110" s="26"/>
      <c r="H110" s="26"/>
      <c r="I110" s="26"/>
      <c r="J110" s="26"/>
      <c r="K110" s="26"/>
      <c r="L110" s="24"/>
      <c r="M110" s="24"/>
      <c r="N110" s="26"/>
      <c r="O110" s="26"/>
      <c r="P110" s="26"/>
      <c r="Q110" s="26"/>
      <c r="R110" s="26"/>
      <c r="S110" s="26"/>
      <c r="T110" s="26"/>
      <c r="U110" s="26"/>
      <c r="V110" s="26"/>
      <c r="W110" s="26">
        <f>MAX($C$9-VLOOKUP($C110,COS!$B$8:$H$991,3,FALSE),0)</f>
        <v>95267.88623046875</v>
      </c>
      <c r="X110" s="26">
        <f t="shared" si="143"/>
        <v>5857.7939963197314</v>
      </c>
      <c r="Y110" s="26">
        <f>VLOOKUP($C110,COS!$B$8:$H$991,4,FALSE)</f>
        <v>1075.1279296875</v>
      </c>
      <c r="Z110" s="26">
        <f t="shared" si="144"/>
        <v>66.107039643595044</v>
      </c>
      <c r="AA110" s="26">
        <f t="shared" si="170"/>
        <v>1075.1279296875</v>
      </c>
      <c r="AB110" s="33">
        <f t="shared" si="141"/>
        <v>66.107039643595044</v>
      </c>
    </row>
    <row r="111" spans="1:28" x14ac:dyDescent="0.3">
      <c r="A111" s="32">
        <f>VLOOKUP(YEAR(C111),Flags!$A$13:$B$95,2,FALSE)</f>
        <v>5</v>
      </c>
      <c r="B111" s="24">
        <f t="shared" si="116"/>
        <v>1932</v>
      </c>
      <c r="C111" s="25">
        <v>12023</v>
      </c>
      <c r="D111" s="26"/>
      <c r="E111" s="24"/>
      <c r="F111" s="26"/>
      <c r="G111" s="26"/>
      <c r="H111" s="26"/>
      <c r="I111" s="26"/>
      <c r="J111" s="26"/>
      <c r="K111" s="26"/>
      <c r="L111" s="24"/>
      <c r="M111" s="24"/>
      <c r="N111" s="26"/>
      <c r="O111" s="26"/>
      <c r="P111" s="26"/>
      <c r="Q111" s="26"/>
      <c r="R111" s="26"/>
      <c r="S111" s="26"/>
      <c r="T111" s="26"/>
      <c r="U111" s="26"/>
      <c r="V111" s="26"/>
      <c r="W111" s="26">
        <f>MAX($C$10-VLOOKUP($C111,COS!$B$8:$H$991,3,FALSE),0)</f>
        <v>96396.837158203125</v>
      </c>
      <c r="X111" s="26">
        <f t="shared" si="143"/>
        <v>5736.0101449509302</v>
      </c>
      <c r="Y111" s="26">
        <f>VLOOKUP($C111,COS!$B$8:$H$991,4,FALSE)</f>
        <v>1139.5615234375</v>
      </c>
      <c r="Z111" s="26">
        <f t="shared" si="144"/>
        <v>67.808619576446276</v>
      </c>
      <c r="AA111" s="26">
        <f t="shared" si="170"/>
        <v>1139.5615234375</v>
      </c>
      <c r="AB111" s="33">
        <f t="shared" si="141"/>
        <v>67.808619576446276</v>
      </c>
    </row>
    <row r="112" spans="1:28" x14ac:dyDescent="0.3">
      <c r="A112" s="34">
        <f>VLOOKUP(YEAR(C112),Flags!$A$13:$B$95,2,FALSE)</f>
        <v>5</v>
      </c>
      <c r="B112" s="35">
        <f t="shared" si="116"/>
        <v>1932</v>
      </c>
      <c r="C112" s="36">
        <v>12054</v>
      </c>
      <c r="D112" s="37"/>
      <c r="E112" s="35"/>
      <c r="F112" s="37"/>
      <c r="G112" s="37"/>
      <c r="H112" s="37"/>
      <c r="I112" s="37"/>
      <c r="J112" s="37"/>
      <c r="K112" s="37"/>
      <c r="L112" s="35"/>
      <c r="M112" s="35"/>
      <c r="N112" s="37"/>
      <c r="O112" s="37"/>
      <c r="P112" s="37"/>
      <c r="Q112" s="37"/>
      <c r="R112" s="37"/>
      <c r="S112" s="37"/>
      <c r="T112" s="37"/>
      <c r="U112" s="37"/>
      <c r="V112" s="37"/>
      <c r="W112" s="37">
        <f>MAX($C$11-VLOOKUP($C112,COS!$B$8:$H$991,3,FALSE),0)</f>
        <v>96749</v>
      </c>
      <c r="X112" s="37">
        <f t="shared" si="143"/>
        <v>5948.8641322314052</v>
      </c>
      <c r="Y112" s="37">
        <f>VLOOKUP($C112,COS!$B$8:$H$991,4,FALSE)</f>
        <v>2675.63427734375</v>
      </c>
      <c r="Z112" s="37">
        <f t="shared" si="144"/>
        <v>164.51833903667355</v>
      </c>
      <c r="AA112" s="37">
        <f t="shared" si="170"/>
        <v>2675.63427734375</v>
      </c>
      <c r="AB112" s="38">
        <f t="shared" si="141"/>
        <v>164.51833903667355</v>
      </c>
    </row>
    <row r="113" spans="1:28" x14ac:dyDescent="0.3">
      <c r="A113" s="27">
        <f>VLOOKUP(YEAR(C113),Flags!$A$13:$B$95,2,FALSE)</f>
        <v>5</v>
      </c>
      <c r="B113" s="28">
        <f t="shared" si="116"/>
        <v>1933</v>
      </c>
      <c r="C113" s="29">
        <v>12174</v>
      </c>
      <c r="D113" s="30">
        <f>VLOOKUP($C113,COS!$B$8:$H$991,3,FALSE)</f>
        <v>3250</v>
      </c>
      <c r="E113" s="28">
        <f>IF(D113&gt;=IF(MONTH($C113)=4,$C$3,IF(MONTH($C113)=5,$C$4,IF(MONTH($C113)=6,$C$5,IF(MONTH($C113)=7,$C$6,"ERROR")))),1,0)</f>
        <v>0</v>
      </c>
      <c r="F113" s="30">
        <f>VLOOKUP($C113,COS!$B$8:$H$991,7,FALSE)</f>
        <v>51.034336090087891</v>
      </c>
      <c r="G113" s="28">
        <f>IF(F113&lt;=IF(MONTH($C113)=4,$F$3,IF(MONTH($C113)=5,$F$4,IF(MONTH($C113)=6,$F$5,IF(MONTH($C113)=7,$F$6,"ERROR")))),1,0)</f>
        <v>1</v>
      </c>
      <c r="H113" s="30">
        <f>IF(J113=1,D113-$C$3,0)</f>
        <v>0</v>
      </c>
      <c r="I113" s="30">
        <f t="shared" si="136"/>
        <v>0</v>
      </c>
      <c r="J113" s="28">
        <f t="shared" ref="J113:J116" si="173">IF(AND(E113=1,G113=1),1,0)</f>
        <v>0</v>
      </c>
      <c r="K113" s="30">
        <f>VLOOKUP($C113,COS!$B$8:$H$991,2,FALSE)</f>
        <v>1716.4488525390625</v>
      </c>
      <c r="L113" s="28">
        <f t="shared" ref="L113" si="174">IF(K113&lt;=IF(MONTH($C113)=4,$I$3,IF(MONTH($C113)=5,$I$4,IF(MONTH($C113)=6,$I$5,IF(MONTH($C113)=7,$I$6,"ERROR")))),1,0)</f>
        <v>1</v>
      </c>
      <c r="M113" s="28">
        <f t="shared" ref="M113" si="175">VLOOKUP($A113,$L$3:$M$7,2,FALSE)</f>
        <v>1</v>
      </c>
      <c r="N113" s="30">
        <f>VLOOKUP($C113,COS!$B$8:$H$991,5,FALSE)</f>
        <v>180.99517822265625</v>
      </c>
      <c r="O113" s="30">
        <f t="shared" ref="O113:O116" si="176">N113*DAY($C113)*86400/43560/1000</f>
        <v>10.769961018207646</v>
      </c>
      <c r="P113" s="30">
        <f>VLOOKUP($C113,COS!$B$8:$H$991,6,FALSE)</f>
        <v>566.2322998046875</v>
      </c>
      <c r="Q113" s="30">
        <f t="shared" ref="Q113:Q116" si="177">P113*DAY($C113)*86400/43560/1000</f>
        <v>33.693161641270663</v>
      </c>
      <c r="R113" s="30">
        <f>MIN(IF(MONTH($C113)=4,$S$3,IF(MONTH($C113)=5,$S$4,IF(MONTH($C113)=6,$S$5,IF(MONTH($C113)=7,$S$6,"ERROR")))),MAX(VLOOKUP($C113,COS!$B$8:$K$991,10,FALSE)-IF(MONTH($C113)=4,$Y$3,IF(MONTH($C113)=5,$Y$4,IF(MONTH($C113)=6,$Y$5,IF(MONTH($C113)=7,$Y$6,"ERROR")))),0),MAX(VLOOKUP($C113,COS!$B$8:$K$991,9,FALSE)-IF(MONTH($C113)=4,$V$3,IF(MONTH($C113)=5,$V$4,IF(MONTH($C113)=6,$V$5,IF(MONTH($C113)=7,$V$6,"ERROR"))))-VLOOKUP($C113,COS!$B$8:$K$991,6,FALSE)/2,0))</f>
        <v>929.328125</v>
      </c>
      <c r="S113" s="30">
        <f t="shared" ref="S113:S116" si="178">R113*DAY($C113)*86400/43560/1000</f>
        <v>55.298863636363642</v>
      </c>
      <c r="T113" s="30">
        <f t="shared" ref="T113:T116" si="179">(O113+Q113)/2+S113</f>
        <v>77.5304249661028</v>
      </c>
      <c r="U113" s="30" t="str">
        <f>IF(VLOOKUP($C113,COS!$B$8:$I$991,8,FALSE)=1,"UWFE","IBU")</f>
        <v>UWFE</v>
      </c>
      <c r="V113" s="30">
        <f t="shared" ref="V113" si="180">MIN(IF(IF($AA$3=2,AND(E113=1,G113=1,L113=1,L118=1,M113=1,U113="IBU"),AND(E113=1,G113=1,L113=1,L118=1,M113=1)),T113,0),I113)</f>
        <v>0</v>
      </c>
      <c r="W113" s="30"/>
      <c r="X113" s="30"/>
      <c r="Y113" s="30"/>
      <c r="Z113" s="30"/>
      <c r="AA113" s="30"/>
      <c r="AB113" s="31"/>
    </row>
    <row r="114" spans="1:28" x14ac:dyDescent="0.3">
      <c r="A114" s="32">
        <f>VLOOKUP(YEAR(C114),Flags!$A$13:$B$95,2,FALSE)</f>
        <v>5</v>
      </c>
      <c r="B114" s="24">
        <f t="shared" si="116"/>
        <v>1933</v>
      </c>
      <c r="C114" s="25">
        <v>12205</v>
      </c>
      <c r="D114" s="26">
        <f>VLOOKUP($C114,COS!$B$8:$H$991,3,FALSE)</f>
        <v>6501.3232421875</v>
      </c>
      <c r="E114" s="24">
        <f>IF(D114&gt;=IF(MONTH($C114)=4,$C$3,IF(MONTH($C114)=5,$C$4,IF(MONTH($C114)=6,$C$5,IF(MONTH($C114)=7,$C$6,"ERROR")))),1,0)</f>
        <v>1</v>
      </c>
      <c r="F114" s="26">
        <f>VLOOKUP($C114,COS!$B$8:$H$991,7,FALSE)</f>
        <v>51.829986572265625</v>
      </c>
      <c r="G114" s="24">
        <f>IF(F114&lt;=IF(MONTH($C114)=4,$F$3,IF(MONTH($C114)=5,$F$4,IF(MONTH($C114)=6,$F$5,IF(MONTH($C114)=7,$F$6,"ERROR")))),1,0)</f>
        <v>1</v>
      </c>
      <c r="H114" s="26">
        <f>IF(J114=1,D114-$C$4,0)</f>
        <v>501.3232421875</v>
      </c>
      <c r="I114" s="26">
        <f t="shared" si="136"/>
        <v>30.825164643595041</v>
      </c>
      <c r="J114" s="24">
        <f t="shared" si="173"/>
        <v>1</v>
      </c>
      <c r="K114" s="26">
        <f>VLOOKUP($C114,COS!$B$8:$H$991,2,FALSE)</f>
        <v>1691.36767578125</v>
      </c>
      <c r="L114" s="24">
        <f t="shared" si="129"/>
        <v>1</v>
      </c>
      <c r="M114" s="24">
        <f t="shared" si="130"/>
        <v>1</v>
      </c>
      <c r="N114" s="26">
        <f>VLOOKUP($C114,COS!$B$8:$H$991,5,FALSE)</f>
        <v>170.30894470214844</v>
      </c>
      <c r="O114" s="26">
        <f t="shared" si="176"/>
        <v>10.471888831272597</v>
      </c>
      <c r="P114" s="26">
        <f>VLOOKUP($C114,COS!$B$8:$H$991,6,FALSE)</f>
        <v>2197.37890625</v>
      </c>
      <c r="Q114" s="26">
        <f t="shared" si="177"/>
        <v>135.11156249999999</v>
      </c>
      <c r="R114" s="26">
        <f>MIN(IF(MONTH($C114)=4,$S$3,IF(MONTH($C114)=5,$S$4,IF(MONTH($C114)=6,$S$5,IF(MONTH($C114)=7,$S$6,"ERROR")))),MAX(VLOOKUP($C114,COS!$B$8:$K$991,10,FALSE)-IF(MONTH($C114)=4,$Y$3,IF(MONTH($C114)=5,$Y$4,IF(MONTH($C114)=6,$Y$5,IF(MONTH($C114)=7,$Y$6,"ERROR")))),0),MAX(VLOOKUP($C114,COS!$B$8:$K$991,9,FALSE)-IF(MONTH($C114)=4,$V$3,IF(MONTH($C114)=5,$V$4,IF(MONTH($C114)=6,$V$5,IF(MONTH($C114)=7,$V$6,"ERROR"))))-VLOOKUP($C114,COS!$B$8:$K$991,6,FALSE)/2,0))</f>
        <v>1500</v>
      </c>
      <c r="S114" s="26">
        <f t="shared" si="178"/>
        <v>92.231404958677686</v>
      </c>
      <c r="T114" s="26">
        <f t="shared" si="179"/>
        <v>165.02313062431398</v>
      </c>
      <c r="U114" s="26" t="str">
        <f>IF(VLOOKUP($C114,COS!$B$8:$I$991,8,FALSE)=1,"UWFE","IBU")</f>
        <v>UWFE</v>
      </c>
      <c r="V114" s="26">
        <f t="shared" ref="V114" si="181">MIN(IF(IF($AA$3=2,AND(E114=1,G114=1,L114=1,L118=1,M114=1,U114="IBU"),AND(E114=1,G114=1,L114=1,L118=1,M114=1)),T114,0),I114)</f>
        <v>0</v>
      </c>
      <c r="W114" s="26"/>
      <c r="X114" s="26"/>
      <c r="Y114" s="26"/>
      <c r="Z114" s="26"/>
      <c r="AA114" s="26"/>
      <c r="AB114" s="33"/>
    </row>
    <row r="115" spans="1:28" x14ac:dyDescent="0.3">
      <c r="A115" s="32">
        <f>VLOOKUP(YEAR(C115),Flags!$A$13:$B$95,2,FALSE)</f>
        <v>5</v>
      </c>
      <c r="B115" s="24">
        <f t="shared" si="116"/>
        <v>1933</v>
      </c>
      <c r="C115" s="25">
        <v>12235</v>
      </c>
      <c r="D115" s="26">
        <f>VLOOKUP($C115,COS!$B$8:$H$991,3,FALSE)</f>
        <v>7378.09228515625</v>
      </c>
      <c r="E115" s="24">
        <f>IF(D115&gt;=IF(MONTH($C115)=4,$C$3,IF(MONTH($C115)=5,$C$4,IF(MONTH($C115)=6,$C$5,IF(MONTH($C115)=7,$C$6,"ERROR")))),1,0)</f>
        <v>0</v>
      </c>
      <c r="F115" s="26">
        <f>VLOOKUP($C115,COS!$B$8:$H$991,7,FALSE)</f>
        <v>54.679584503173828</v>
      </c>
      <c r="G115" s="24">
        <f>IF(F115&lt;=IF(MONTH($C115)=4,$F$3,IF(MONTH($C115)=5,$F$4,IF(MONTH($C115)=6,$F$5,IF(MONTH($C115)=7,$F$6,"ERROR")))),1,0)</f>
        <v>1</v>
      </c>
      <c r="H115" s="26">
        <f>IF(J115=1,D115-$C$5,0)</f>
        <v>0</v>
      </c>
      <c r="I115" s="26">
        <f t="shared" si="136"/>
        <v>0</v>
      </c>
      <c r="J115" s="24">
        <f t="shared" si="173"/>
        <v>0</v>
      </c>
      <c r="K115" s="26">
        <f>VLOOKUP($C115,COS!$B$8:$H$991,2,FALSE)</f>
        <v>1503.1099853515625</v>
      </c>
      <c r="L115" s="24">
        <f t="shared" si="129"/>
        <v>1</v>
      </c>
      <c r="M115" s="24">
        <f t="shared" si="130"/>
        <v>1</v>
      </c>
      <c r="N115" s="26">
        <f>VLOOKUP($C115,COS!$B$8:$H$991,5,FALSE)</f>
        <v>210.99021911621094</v>
      </c>
      <c r="O115" s="26">
        <f t="shared" si="176"/>
        <v>12.55478989782412</v>
      </c>
      <c r="P115" s="26">
        <f>VLOOKUP($C115,COS!$B$8:$H$991,6,FALSE)</f>
        <v>2481.931884765625</v>
      </c>
      <c r="Q115" s="26">
        <f t="shared" si="177"/>
        <v>147.68520306043388</v>
      </c>
      <c r="R115" s="26">
        <f>MIN(IF(MONTH($C115)=4,$S$3,IF(MONTH($C115)=5,$S$4,IF(MONTH($C115)=6,$S$5,IF(MONTH($C115)=7,$S$6,"ERROR")))),MAX(VLOOKUP($C115,COS!$B$8:$K$991,10,FALSE)-IF(MONTH($C115)=4,$Y$3,IF(MONTH($C115)=5,$Y$4,IF(MONTH($C115)=6,$Y$5,IF(MONTH($C115)=7,$Y$6,"ERROR")))),0),MAX(VLOOKUP($C115,COS!$B$8:$K$991,9,FALSE)-IF(MONTH($C115)=4,$V$3,IF(MONTH($C115)=5,$V$4,IF(MONTH($C115)=6,$V$5,IF(MONTH($C115)=7,$V$6,"ERROR"))))-VLOOKUP($C115,COS!$B$8:$K$991,6,FALSE)/2,0))</f>
        <v>1500</v>
      </c>
      <c r="S115" s="26">
        <f t="shared" si="178"/>
        <v>89.256198347107429</v>
      </c>
      <c r="T115" s="26">
        <f t="shared" si="179"/>
        <v>169.37619482623643</v>
      </c>
      <c r="U115" s="26" t="str">
        <f>IF(VLOOKUP($C115,COS!$B$8:$I$991,8,FALSE)=1,"UWFE","IBU")</f>
        <v>IBU</v>
      </c>
      <c r="V115" s="26">
        <f t="shared" ref="V115" si="182">MIN(IF(IF($AA$3=2,AND(E115=1,G115=1,L115=1,L118=1,M115=1,U115="IBU"),AND(E115=1,G115=1,L115=1,L118=1,M115=1)),T115,0),I115)</f>
        <v>0</v>
      </c>
      <c r="W115" s="26"/>
      <c r="X115" s="26"/>
      <c r="Y115" s="26"/>
      <c r="Z115" s="26"/>
      <c r="AA115" s="26"/>
      <c r="AB115" s="33"/>
    </row>
    <row r="116" spans="1:28" x14ac:dyDescent="0.3">
      <c r="A116" s="32">
        <f>VLOOKUP(YEAR(C116),Flags!$A$13:$B$95,2,FALSE)</f>
        <v>5</v>
      </c>
      <c r="B116" s="24">
        <f t="shared" si="116"/>
        <v>1933</v>
      </c>
      <c r="C116" s="25">
        <v>12266</v>
      </c>
      <c r="D116" s="26">
        <f>VLOOKUP($C116,COS!$B$8:$H$991,3,FALSE)</f>
        <v>10174.720703125</v>
      </c>
      <c r="E116" s="24">
        <f>IF(D116&gt;=IF(MONTH($C116)=4,$C$3,IF(MONTH($C116)=5,$C$4,IF(MONTH($C116)=6,$C$5,IF(MONTH($C116)=7,$C$6,"ERROR")))),1,0)</f>
        <v>0</v>
      </c>
      <c r="F116" s="26">
        <f>VLOOKUP($C116,COS!$B$8:$H$991,7,FALSE)</f>
        <v>55.866065979003906</v>
      </c>
      <c r="G116" s="24">
        <f>IF(F116&lt;=IF(MONTH($C116)=4,$F$3,IF(MONTH($C116)=5,$F$4,IF(MONTH($C116)=6,$F$5,IF(MONTH($C116)=7,$F$6,"ERROR")))),1,0)</f>
        <v>0</v>
      </c>
      <c r="H116" s="26">
        <f>IF(J116=1,D116-$C$6,0)</f>
        <v>0</v>
      </c>
      <c r="I116" s="26">
        <f t="shared" si="136"/>
        <v>0</v>
      </c>
      <c r="J116" s="24">
        <f t="shared" si="173"/>
        <v>0</v>
      </c>
      <c r="K116" s="26">
        <f>VLOOKUP($C116,COS!$B$8:$H$991,2,FALSE)</f>
        <v>1036.812744140625</v>
      </c>
      <c r="L116" s="24">
        <f t="shared" si="129"/>
        <v>1</v>
      </c>
      <c r="M116" s="24">
        <f t="shared" si="130"/>
        <v>1</v>
      </c>
      <c r="N116" s="26">
        <f>VLOOKUP($C116,COS!$B$8:$H$991,5,FALSE)</f>
        <v>230.72744750976563</v>
      </c>
      <c r="O116" s="26">
        <f t="shared" si="176"/>
        <v>14.186877764236828</v>
      </c>
      <c r="P116" s="26">
        <f>VLOOKUP($C116,COS!$B$8:$H$991,6,FALSE)</f>
        <v>2281.4833984375</v>
      </c>
      <c r="Q116" s="26">
        <f t="shared" si="177"/>
        <v>140.28294615185951</v>
      </c>
      <c r="R116" s="26">
        <f>MIN(IF(MONTH($C116)=4,$S$3,IF(MONTH($C116)=5,$S$4,IF(MONTH($C116)=6,$S$5,IF(MONTH($C116)=7,$S$6,"ERROR")))),MAX(VLOOKUP($C116,COS!$B$8:$K$991,10,FALSE)-IF(MONTH($C116)=4,$Y$3,IF(MONTH($C116)=5,$Y$4,IF(MONTH($C116)=6,$Y$5,IF(MONTH($C116)=7,$Y$6,"ERROR")))),0),MAX(VLOOKUP($C116,COS!$B$8:$K$991,9,FALSE)-IF(MONTH($C116)=4,$V$3,IF(MONTH($C116)=5,$V$4,IF(MONTH($C116)=6,$V$5,IF(MONTH($C116)=7,$V$6,"ERROR"))))-VLOOKUP($C116,COS!$B$8:$K$991,6,FALSE)/2,0))</f>
        <v>1500</v>
      </c>
      <c r="S116" s="26">
        <f t="shared" si="178"/>
        <v>92.231404958677686</v>
      </c>
      <c r="T116" s="26">
        <f t="shared" si="179"/>
        <v>169.46631691672587</v>
      </c>
      <c r="U116" s="26" t="str">
        <f>IF(VLOOKUP($C116,COS!$B$8:$I$991,8,FALSE)=1,"UWFE","IBU")</f>
        <v>IBU</v>
      </c>
      <c r="V116" s="26">
        <f t="shared" ref="V116" si="183">MIN(IF(IF($AA$3=2,AND(E116=1,G116=1,L116=1,L118=1,M116=1,U116="IBU"),AND(E116=1,G116=1,L116=1,L118=1,M116=1)),T116,0),I116)</f>
        <v>0</v>
      </c>
      <c r="W116" s="26"/>
      <c r="X116" s="26"/>
      <c r="Y116" s="26"/>
      <c r="Z116" s="26"/>
      <c r="AA116" s="26"/>
      <c r="AB116" s="33"/>
    </row>
    <row r="117" spans="1:28" x14ac:dyDescent="0.3">
      <c r="A117" s="32">
        <f>VLOOKUP(YEAR(C117),Flags!$A$13:$B$95,2,FALSE)</f>
        <v>5</v>
      </c>
      <c r="B117" s="24">
        <f t="shared" si="116"/>
        <v>1933</v>
      </c>
      <c r="C117" s="25">
        <v>12297</v>
      </c>
      <c r="D117" s="26"/>
      <c r="E117" s="24"/>
      <c r="F117" s="26"/>
      <c r="G117" s="24"/>
      <c r="H117" s="24"/>
      <c r="I117" s="26"/>
      <c r="J117" s="24"/>
      <c r="K117" s="26"/>
      <c r="L117" s="24"/>
      <c r="M117" s="24"/>
      <c r="N117" s="26"/>
      <c r="O117" s="26"/>
      <c r="P117" s="26"/>
      <c r="Q117" s="26"/>
      <c r="R117" s="26"/>
      <c r="S117" s="26"/>
      <c r="T117" s="26"/>
      <c r="U117" s="26"/>
      <c r="V117" s="26"/>
      <c r="W117" s="26">
        <f>MAX($C$7-VLOOKUP($C117,COS!$B$8:$H$991,3,FALSE),0)</f>
        <v>91960.78125</v>
      </c>
      <c r="X117" s="26">
        <f t="shared" si="143"/>
        <v>5654.4480371900827</v>
      </c>
      <c r="Y117" s="26">
        <f>VLOOKUP($C117,COS!$B$8:$H$991,4,FALSE)</f>
        <v>1026.3896484375</v>
      </c>
      <c r="Z117" s="26">
        <f t="shared" si="144"/>
        <v>63.110239540289257</v>
      </c>
      <c r="AA117" s="26">
        <f t="shared" ref="AA117:AA121" si="184">MIN(W117,Y117)</f>
        <v>1026.3896484375</v>
      </c>
      <c r="AB117" s="33">
        <f t="shared" ref="AB117" si="185">AA117*DAY($C117)*86400/43560/1000*IF(MONTH($C117)=8,$P$3,IF(MONTH($C117)=9,$P$4,IF(MONTH($C117)=10,$P$5,IF(MONTH($C117)=11,$P$6,IF(MONTH($C117)=12,$P$7,NA())))))</f>
        <v>63.110239540289257</v>
      </c>
    </row>
    <row r="118" spans="1:28" x14ac:dyDescent="0.3">
      <c r="A118" s="32">
        <f>VLOOKUP(YEAR(C118),Flags!$A$13:$B$95,2,FALSE)</f>
        <v>5</v>
      </c>
      <c r="B118" s="24">
        <f t="shared" si="116"/>
        <v>1933</v>
      </c>
      <c r="C118" s="25">
        <v>12327</v>
      </c>
      <c r="D118" s="26"/>
      <c r="E118" s="24"/>
      <c r="F118" s="26"/>
      <c r="G118" s="24"/>
      <c r="H118" s="24"/>
      <c r="I118" s="26"/>
      <c r="J118" s="24"/>
      <c r="K118" s="26">
        <f>VLOOKUP($C118,COS!$B$8:$H$991,2,FALSE)</f>
        <v>614.1947021484375</v>
      </c>
      <c r="L118" s="24">
        <f t="shared" ref="L118" si="186">IF(AND(K118&gt;$I$7,K118&lt;$I$8),1,0)</f>
        <v>1</v>
      </c>
      <c r="M118" s="24"/>
      <c r="N118" s="26"/>
      <c r="O118" s="26"/>
      <c r="P118" s="26"/>
      <c r="Q118" s="26"/>
      <c r="R118" s="26"/>
      <c r="S118" s="26"/>
      <c r="T118" s="26"/>
      <c r="U118" s="26"/>
      <c r="V118" s="26"/>
      <c r="W118" s="26">
        <f>MAX($C$8-VLOOKUP($C118,COS!$B$8:$H$991,3,FALSE),0)</f>
        <v>95805.57763671875</v>
      </c>
      <c r="X118" s="26">
        <f t="shared" si="143"/>
        <v>5700.8277602014468</v>
      </c>
      <c r="Y118" s="26">
        <f>VLOOKUP($C118,COS!$B$8:$H$991,4,FALSE)</f>
        <v>1631.19287109375</v>
      </c>
      <c r="Z118" s="26">
        <f t="shared" si="144"/>
        <v>97.062716296487608</v>
      </c>
      <c r="AA118" s="26">
        <f t="shared" si="184"/>
        <v>1631.19287109375</v>
      </c>
      <c r="AB118" s="33">
        <f t="shared" si="141"/>
        <v>97.062716296487608</v>
      </c>
    </row>
    <row r="119" spans="1:28" x14ac:dyDescent="0.3">
      <c r="A119" s="32">
        <f>VLOOKUP(YEAR(C119),Flags!$A$13:$B$95,2,FALSE)</f>
        <v>5</v>
      </c>
      <c r="B119" s="24">
        <f t="shared" si="116"/>
        <v>1933</v>
      </c>
      <c r="C119" s="25">
        <v>12358</v>
      </c>
      <c r="D119" s="26"/>
      <c r="E119" s="24"/>
      <c r="F119" s="26"/>
      <c r="G119" s="26"/>
      <c r="H119" s="26"/>
      <c r="I119" s="26"/>
      <c r="J119" s="26"/>
      <c r="K119" s="26"/>
      <c r="L119" s="24"/>
      <c r="M119" s="24"/>
      <c r="N119" s="26"/>
      <c r="O119" s="26"/>
      <c r="P119" s="26"/>
      <c r="Q119" s="26"/>
      <c r="R119" s="26"/>
      <c r="S119" s="26"/>
      <c r="T119" s="26"/>
      <c r="U119" s="26"/>
      <c r="V119" s="26"/>
      <c r="W119" s="26">
        <f>MAX($C$9-VLOOKUP($C119,COS!$B$8:$H$991,3,FALSE),0)</f>
        <v>95686.974609375</v>
      </c>
      <c r="X119" s="26">
        <f t="shared" si="143"/>
        <v>5883.5627363119829</v>
      </c>
      <c r="Y119" s="26">
        <f>VLOOKUP($C119,COS!$B$8:$H$991,4,FALSE)</f>
        <v>1357.4503173828125</v>
      </c>
      <c r="Z119" s="26">
        <f t="shared" si="144"/>
        <v>83.466366622546488</v>
      </c>
      <c r="AA119" s="26">
        <f t="shared" si="184"/>
        <v>1357.4503173828125</v>
      </c>
      <c r="AB119" s="33">
        <f t="shared" si="141"/>
        <v>83.466366622546488</v>
      </c>
    </row>
    <row r="120" spans="1:28" x14ac:dyDescent="0.3">
      <c r="A120" s="32">
        <f>VLOOKUP(YEAR(C120),Flags!$A$13:$B$95,2,FALSE)</f>
        <v>5</v>
      </c>
      <c r="B120" s="24">
        <f t="shared" si="116"/>
        <v>1933</v>
      </c>
      <c r="C120" s="25">
        <v>12388</v>
      </c>
      <c r="D120" s="26"/>
      <c r="E120" s="24"/>
      <c r="F120" s="26"/>
      <c r="G120" s="26"/>
      <c r="H120" s="26"/>
      <c r="I120" s="26"/>
      <c r="J120" s="26"/>
      <c r="K120" s="26"/>
      <c r="L120" s="24"/>
      <c r="M120" s="24"/>
      <c r="N120" s="26"/>
      <c r="O120" s="26"/>
      <c r="P120" s="26"/>
      <c r="Q120" s="26"/>
      <c r="R120" s="26"/>
      <c r="S120" s="26"/>
      <c r="T120" s="26"/>
      <c r="U120" s="26"/>
      <c r="V120" s="26"/>
      <c r="W120" s="26">
        <f>MAX($C$10-VLOOKUP($C120,COS!$B$8:$H$991,3,FALSE),0)</f>
        <v>96749</v>
      </c>
      <c r="X120" s="26">
        <f t="shared" si="143"/>
        <v>5756.965289256198</v>
      </c>
      <c r="Y120" s="26">
        <f>VLOOKUP($C120,COS!$B$8:$H$991,4,FALSE)</f>
        <v>1382.873779296875</v>
      </c>
      <c r="Z120" s="26">
        <f t="shared" si="144"/>
        <v>82.286704222623968</v>
      </c>
      <c r="AA120" s="26">
        <f t="shared" si="184"/>
        <v>1382.873779296875</v>
      </c>
      <c r="AB120" s="33">
        <f t="shared" si="141"/>
        <v>82.286704222623968</v>
      </c>
    </row>
    <row r="121" spans="1:28" x14ac:dyDescent="0.3">
      <c r="A121" s="34">
        <f>VLOOKUP(YEAR(C121),Flags!$A$13:$B$95,2,FALSE)</f>
        <v>5</v>
      </c>
      <c r="B121" s="35">
        <f t="shared" si="116"/>
        <v>1933</v>
      </c>
      <c r="C121" s="36">
        <v>12419</v>
      </c>
      <c r="D121" s="37"/>
      <c r="E121" s="35"/>
      <c r="F121" s="37"/>
      <c r="G121" s="37"/>
      <c r="H121" s="37"/>
      <c r="I121" s="37"/>
      <c r="J121" s="37"/>
      <c r="K121" s="37"/>
      <c r="L121" s="35"/>
      <c r="M121" s="35"/>
      <c r="N121" s="37"/>
      <c r="O121" s="37"/>
      <c r="P121" s="37"/>
      <c r="Q121" s="37"/>
      <c r="R121" s="37"/>
      <c r="S121" s="37"/>
      <c r="T121" s="37"/>
      <c r="U121" s="37"/>
      <c r="V121" s="37"/>
      <c r="W121" s="37">
        <f>MAX($C$11-VLOOKUP($C121,COS!$B$8:$H$991,3,FALSE),0)</f>
        <v>96749</v>
      </c>
      <c r="X121" s="37">
        <f t="shared" si="143"/>
        <v>5948.8641322314052</v>
      </c>
      <c r="Y121" s="37">
        <f>VLOOKUP($C121,COS!$B$8:$H$991,4,FALSE)</f>
        <v>632.6298828125</v>
      </c>
      <c r="Z121" s="37">
        <f t="shared" si="144"/>
        <v>38.898895273760331</v>
      </c>
      <c r="AA121" s="37">
        <f t="shared" si="184"/>
        <v>632.6298828125</v>
      </c>
      <c r="AB121" s="38">
        <f t="shared" si="141"/>
        <v>38.898895273760331</v>
      </c>
    </row>
    <row r="122" spans="1:28" x14ac:dyDescent="0.3">
      <c r="A122" s="27">
        <f>VLOOKUP(YEAR(C122),Flags!$A$13:$B$95,2,FALSE)</f>
        <v>5</v>
      </c>
      <c r="B122" s="28">
        <f t="shared" si="116"/>
        <v>1934</v>
      </c>
      <c r="C122" s="29">
        <v>12539</v>
      </c>
      <c r="D122" s="30">
        <f>VLOOKUP($C122,COS!$B$8:$H$991,3,FALSE)</f>
        <v>3250</v>
      </c>
      <c r="E122" s="28">
        <f>IF(D122&gt;=IF(MONTH($C122)=4,$C$3,IF(MONTH($C122)=5,$C$4,IF(MONTH($C122)=6,$C$5,IF(MONTH($C122)=7,$C$6,"ERROR")))),1,0)</f>
        <v>0</v>
      </c>
      <c r="F122" s="30">
        <f>VLOOKUP($C122,COS!$B$8:$H$991,7,FALSE)</f>
        <v>50.49676513671875</v>
      </c>
      <c r="G122" s="28">
        <f>IF(F122&lt;=IF(MONTH($C122)=4,$F$3,IF(MONTH($C122)=5,$F$4,IF(MONTH($C122)=6,$F$5,IF(MONTH($C122)=7,$F$6,"ERROR")))),1,0)</f>
        <v>1</v>
      </c>
      <c r="H122" s="30">
        <f>IF(J122=1,D122-$C$3,0)</f>
        <v>0</v>
      </c>
      <c r="I122" s="30">
        <f t="shared" si="136"/>
        <v>0</v>
      </c>
      <c r="J122" s="28">
        <f t="shared" ref="J122:J125" si="187">IF(AND(E122=1,G122=1),1,0)</f>
        <v>0</v>
      </c>
      <c r="K122" s="30">
        <f>VLOOKUP($C122,COS!$B$8:$H$991,2,FALSE)</f>
        <v>1640.1229248046875</v>
      </c>
      <c r="L122" s="28">
        <f t="shared" ref="L122" si="188">IF(K122&lt;=IF(MONTH($C122)=4,$I$3,IF(MONTH($C122)=5,$I$4,IF(MONTH($C122)=6,$I$5,IF(MONTH($C122)=7,$I$6,"ERROR")))),1,0)</f>
        <v>1</v>
      </c>
      <c r="M122" s="28">
        <f t="shared" ref="M122" si="189">VLOOKUP($A122,$L$3:$M$7,2,FALSE)</f>
        <v>1</v>
      </c>
      <c r="N122" s="30">
        <f>VLOOKUP($C122,COS!$B$8:$H$991,5,FALSE)</f>
        <v>162.71662902832031</v>
      </c>
      <c r="O122" s="30">
        <f t="shared" ref="O122:O125" si="190">N122*DAY($C122)*86400/43560/1000</f>
        <v>9.6823118099496384</v>
      </c>
      <c r="P122" s="30">
        <f>VLOOKUP($C122,COS!$B$8:$H$991,6,FALSE)</f>
        <v>521.53076171875</v>
      </c>
      <c r="Q122" s="30">
        <f t="shared" ref="Q122:Q125" si="191">P122*DAY($C122)*86400/43560/1000</f>
        <v>31.033235408057852</v>
      </c>
      <c r="R122" s="30">
        <f>MIN(IF(MONTH($C122)=4,$S$3,IF(MONTH($C122)=5,$S$4,IF(MONTH($C122)=6,$S$5,IF(MONTH($C122)=7,$S$6,"ERROR")))),MAX(VLOOKUP($C122,COS!$B$8:$K$991,10,FALSE)-IF(MONTH($C122)=4,$Y$3,IF(MONTH($C122)=5,$Y$4,IF(MONTH($C122)=6,$Y$5,IF(MONTH($C122)=7,$Y$6,"ERROR")))),0),MAX(VLOOKUP($C122,COS!$B$8:$K$991,9,FALSE)-IF(MONTH($C122)=4,$V$3,IF(MONTH($C122)=5,$V$4,IF(MONTH($C122)=6,$V$5,IF(MONTH($C122)=7,$V$6,"ERROR"))))-VLOOKUP($C122,COS!$B$8:$K$991,6,FALSE)/2,0))</f>
        <v>953.18115234375</v>
      </c>
      <c r="S122" s="30">
        <f t="shared" ref="S122:S125" si="192">R122*DAY($C122)*86400/43560/1000</f>
        <v>56.718217329545453</v>
      </c>
      <c r="T122" s="30">
        <f t="shared" ref="T122:T125" si="193">(O122+Q122)/2+S122</f>
        <v>77.075990938549197</v>
      </c>
      <c r="U122" s="30" t="str">
        <f>IF(VLOOKUP($C122,COS!$B$8:$I$991,8,FALSE)=1,"UWFE","IBU")</f>
        <v>UWFE</v>
      </c>
      <c r="V122" s="30">
        <f t="shared" ref="V122" si="194">MIN(IF(IF($AA$3=2,AND(E122=1,G122=1,L122=1,L127=1,M122=1,U122="IBU"),AND(E122=1,G122=1,L122=1,L127=1,M122=1)),T122,0),I122)</f>
        <v>0</v>
      </c>
      <c r="W122" s="30"/>
      <c r="X122" s="30"/>
      <c r="Y122" s="30"/>
      <c r="Z122" s="30"/>
      <c r="AA122" s="30"/>
      <c r="AB122" s="31"/>
    </row>
    <row r="123" spans="1:28" x14ac:dyDescent="0.3">
      <c r="A123" s="32">
        <f>VLOOKUP(YEAR(C123),Flags!$A$13:$B$95,2,FALSE)</f>
        <v>5</v>
      </c>
      <c r="B123" s="24">
        <f t="shared" si="116"/>
        <v>1934</v>
      </c>
      <c r="C123" s="25">
        <v>12570</v>
      </c>
      <c r="D123" s="26">
        <f>VLOOKUP($C123,COS!$B$8:$H$991,3,FALSE)</f>
        <v>6994.35986328125</v>
      </c>
      <c r="E123" s="24">
        <f>IF(D123&gt;=IF(MONTH($C123)=4,$C$3,IF(MONTH($C123)=5,$C$4,IF(MONTH($C123)=6,$C$5,IF(MONTH($C123)=7,$C$6,"ERROR")))),1,0)</f>
        <v>1</v>
      </c>
      <c r="F123" s="26">
        <f>VLOOKUP($C123,COS!$B$8:$H$991,7,FALSE)</f>
        <v>51.022247314453125</v>
      </c>
      <c r="G123" s="24">
        <f>IF(F123&lt;=IF(MONTH($C123)=4,$F$3,IF(MONTH($C123)=5,$F$4,IF(MONTH($C123)=6,$F$5,IF(MONTH($C123)=7,$F$6,"ERROR")))),1,0)</f>
        <v>1</v>
      </c>
      <c r="H123" s="26">
        <f>IF(J123=1,D123-$C$4,0)</f>
        <v>994.35986328125</v>
      </c>
      <c r="I123" s="26">
        <f t="shared" si="136"/>
        <v>61.140804816632233</v>
      </c>
      <c r="J123" s="24">
        <f t="shared" si="187"/>
        <v>1</v>
      </c>
      <c r="K123" s="26">
        <f>VLOOKUP($C123,COS!$B$8:$H$991,2,FALSE)</f>
        <v>1420.9012451171875</v>
      </c>
      <c r="L123" s="24">
        <f t="shared" si="129"/>
        <v>1</v>
      </c>
      <c r="M123" s="24">
        <f t="shared" si="130"/>
        <v>1</v>
      </c>
      <c r="N123" s="26">
        <f>VLOOKUP($C123,COS!$B$8:$H$991,5,FALSE)</f>
        <v>222.39739990234375</v>
      </c>
      <c r="O123" s="26">
        <f t="shared" si="190"/>
        <v>13.674683101433368</v>
      </c>
      <c r="P123" s="26">
        <f>VLOOKUP($C123,COS!$B$8:$H$991,6,FALSE)</f>
        <v>2243.647216796875</v>
      </c>
      <c r="Q123" s="26">
        <f t="shared" si="191"/>
        <v>137.95649002453513</v>
      </c>
      <c r="R123" s="26">
        <f>MIN(IF(MONTH($C123)=4,$S$3,IF(MONTH($C123)=5,$S$4,IF(MONTH($C123)=6,$S$5,IF(MONTH($C123)=7,$S$6,"ERROR")))),MAX(VLOOKUP($C123,COS!$B$8:$K$991,10,FALSE)-IF(MONTH($C123)=4,$Y$3,IF(MONTH($C123)=5,$Y$4,IF(MONTH($C123)=6,$Y$5,IF(MONTH($C123)=7,$Y$6,"ERROR")))),0),MAX(VLOOKUP($C123,COS!$B$8:$K$991,9,FALSE)-IF(MONTH($C123)=4,$V$3,IF(MONTH($C123)=5,$V$4,IF(MONTH($C123)=6,$V$5,IF(MONTH($C123)=7,$V$6,"ERROR"))))-VLOOKUP($C123,COS!$B$8:$K$991,6,FALSE)/2,0))</f>
        <v>1500</v>
      </c>
      <c r="S123" s="26">
        <f t="shared" si="192"/>
        <v>92.231404958677686</v>
      </c>
      <c r="T123" s="26">
        <f t="shared" si="193"/>
        <v>168.04699152166194</v>
      </c>
      <c r="U123" s="26" t="str">
        <f>IF(VLOOKUP($C123,COS!$B$8:$I$991,8,FALSE)=1,"UWFE","IBU")</f>
        <v>IBU</v>
      </c>
      <c r="V123" s="26">
        <f t="shared" ref="V123" si="195">MIN(IF(IF($AA$3=2,AND(E123=1,G123=1,L123=1,L127=1,M123=1,U123="IBU"),AND(E123=1,G123=1,L123=1,L127=1,M123=1)),T123,0),I123)</f>
        <v>61.140804816632233</v>
      </c>
      <c r="W123" s="26"/>
      <c r="X123" s="26"/>
      <c r="Y123" s="26"/>
      <c r="Z123" s="26"/>
      <c r="AA123" s="26"/>
      <c r="AB123" s="33"/>
    </row>
    <row r="124" spans="1:28" x14ac:dyDescent="0.3">
      <c r="A124" s="32">
        <f>VLOOKUP(YEAR(C124),Flags!$A$13:$B$95,2,FALSE)</f>
        <v>5</v>
      </c>
      <c r="B124" s="24">
        <f t="shared" si="116"/>
        <v>1934</v>
      </c>
      <c r="C124" s="25">
        <v>12600</v>
      </c>
      <c r="D124" s="26">
        <f>VLOOKUP($C124,COS!$B$8:$H$991,3,FALSE)</f>
        <v>8056.033203125</v>
      </c>
      <c r="E124" s="24">
        <f>IF(D124&gt;=IF(MONTH($C124)=4,$C$3,IF(MONTH($C124)=5,$C$4,IF(MONTH($C124)=6,$C$5,IF(MONTH($C124)=7,$C$6,"ERROR")))),1,0)</f>
        <v>0</v>
      </c>
      <c r="F124" s="26">
        <f>VLOOKUP($C124,COS!$B$8:$H$991,7,FALSE)</f>
        <v>54.752338409423828</v>
      </c>
      <c r="G124" s="24">
        <f>IF(F124&lt;=IF(MONTH($C124)=4,$F$3,IF(MONTH($C124)=5,$F$4,IF(MONTH($C124)=6,$F$5,IF(MONTH($C124)=7,$F$6,"ERROR")))),1,0)</f>
        <v>1</v>
      </c>
      <c r="H124" s="26">
        <f>IF(J124=1,D124-$C$5,0)</f>
        <v>0</v>
      </c>
      <c r="I124" s="26">
        <f t="shared" si="136"/>
        <v>0</v>
      </c>
      <c r="J124" s="24">
        <f t="shared" si="187"/>
        <v>0</v>
      </c>
      <c r="K124" s="26">
        <f>VLOOKUP($C124,COS!$B$8:$H$991,2,FALSE)</f>
        <v>1102.0863037109375</v>
      </c>
      <c r="L124" s="24">
        <f t="shared" si="129"/>
        <v>1</v>
      </c>
      <c r="M124" s="24">
        <f t="shared" si="130"/>
        <v>1</v>
      </c>
      <c r="N124" s="26">
        <f>VLOOKUP($C124,COS!$B$8:$H$991,5,FALSE)</f>
        <v>267.839599609375</v>
      </c>
      <c r="O124" s="26">
        <f t="shared" si="190"/>
        <v>15.937562951962809</v>
      </c>
      <c r="P124" s="26">
        <f>VLOOKUP($C124,COS!$B$8:$H$991,6,FALSE)</f>
        <v>2418.7939453125</v>
      </c>
      <c r="Q124" s="26">
        <f t="shared" si="191"/>
        <v>143.9282347623967</v>
      </c>
      <c r="R124" s="26">
        <f>MIN(IF(MONTH($C124)=4,$S$3,IF(MONTH($C124)=5,$S$4,IF(MONTH($C124)=6,$S$5,IF(MONTH($C124)=7,$S$6,"ERROR")))),MAX(VLOOKUP($C124,COS!$B$8:$K$991,10,FALSE)-IF(MONTH($C124)=4,$Y$3,IF(MONTH($C124)=5,$Y$4,IF(MONTH($C124)=6,$Y$5,IF(MONTH($C124)=7,$Y$6,"ERROR")))),0),MAX(VLOOKUP($C124,COS!$B$8:$K$991,9,FALSE)-IF(MONTH($C124)=4,$V$3,IF(MONTH($C124)=5,$V$4,IF(MONTH($C124)=6,$V$5,IF(MONTH($C124)=7,$V$6,"ERROR"))))-VLOOKUP($C124,COS!$B$8:$K$991,6,FALSE)/2,0))</f>
        <v>1500</v>
      </c>
      <c r="S124" s="26">
        <f t="shared" si="192"/>
        <v>89.256198347107429</v>
      </c>
      <c r="T124" s="26">
        <f t="shared" si="193"/>
        <v>169.18909720428718</v>
      </c>
      <c r="U124" s="26" t="str">
        <f>IF(VLOOKUP($C124,COS!$B$8:$I$991,8,FALSE)=1,"UWFE","IBU")</f>
        <v>IBU</v>
      </c>
      <c r="V124" s="26">
        <f t="shared" ref="V124" si="196">MIN(IF(IF($AA$3=2,AND(E124=1,G124=1,L124=1,L127=1,M124=1,U124="IBU"),AND(E124=1,G124=1,L124=1,L127=1,M124=1)),T124,0),I124)</f>
        <v>0</v>
      </c>
      <c r="W124" s="26"/>
      <c r="X124" s="26"/>
      <c r="Y124" s="26"/>
      <c r="Z124" s="26"/>
      <c r="AA124" s="26"/>
      <c r="AB124" s="33"/>
    </row>
    <row r="125" spans="1:28" x14ac:dyDescent="0.3">
      <c r="A125" s="32">
        <f>VLOOKUP(YEAR(C125),Flags!$A$13:$B$95,2,FALSE)</f>
        <v>5</v>
      </c>
      <c r="B125" s="24">
        <f t="shared" si="116"/>
        <v>1934</v>
      </c>
      <c r="C125" s="25">
        <v>12631</v>
      </c>
      <c r="D125" s="26">
        <f>VLOOKUP($C125,COS!$B$8:$H$991,3,FALSE)</f>
        <v>10945.8583984375</v>
      </c>
      <c r="E125" s="24">
        <f>IF(D125&gt;=IF(MONTH($C125)=4,$C$3,IF(MONTH($C125)=5,$C$4,IF(MONTH($C125)=6,$C$5,IF(MONTH($C125)=7,$C$6,"ERROR")))),1,0)</f>
        <v>0</v>
      </c>
      <c r="F125" s="26">
        <f>VLOOKUP($C125,COS!$B$8:$H$991,7,FALSE)</f>
        <v>56.054607391357422</v>
      </c>
      <c r="G125" s="24">
        <f>IF(F125&lt;=IF(MONTH($C125)=4,$F$3,IF(MONTH($C125)=5,$F$4,IF(MONTH($C125)=6,$F$5,IF(MONTH($C125)=7,$F$6,"ERROR")))),1,0)</f>
        <v>0</v>
      </c>
      <c r="H125" s="26">
        <f>IF(J125=1,D125-$C$6,0)</f>
        <v>0</v>
      </c>
      <c r="I125" s="26">
        <f t="shared" si="136"/>
        <v>0</v>
      </c>
      <c r="J125" s="24">
        <f t="shared" si="187"/>
        <v>0</v>
      </c>
      <c r="K125" s="26">
        <f>VLOOKUP($C125,COS!$B$8:$H$991,2,FALSE)</f>
        <v>650</v>
      </c>
      <c r="L125" s="24">
        <f t="shared" si="129"/>
        <v>1</v>
      </c>
      <c r="M125" s="24">
        <f t="shared" si="130"/>
        <v>1</v>
      </c>
      <c r="N125" s="26">
        <f>VLOOKUP($C125,COS!$B$8:$H$991,5,FALSE)</f>
        <v>306.08538818359375</v>
      </c>
      <c r="O125" s="26">
        <f t="shared" si="190"/>
        <v>18.820456926330063</v>
      </c>
      <c r="P125" s="26">
        <f>VLOOKUP($C125,COS!$B$8:$H$991,6,FALSE)</f>
        <v>2281.4833984375</v>
      </c>
      <c r="Q125" s="26">
        <f t="shared" si="191"/>
        <v>140.28294615185951</v>
      </c>
      <c r="R125" s="26">
        <f>MIN(IF(MONTH($C125)=4,$S$3,IF(MONTH($C125)=5,$S$4,IF(MONTH($C125)=6,$S$5,IF(MONTH($C125)=7,$S$6,"ERROR")))),MAX(VLOOKUP($C125,COS!$B$8:$K$991,10,FALSE)-IF(MONTH($C125)=4,$Y$3,IF(MONTH($C125)=5,$Y$4,IF(MONTH($C125)=6,$Y$5,IF(MONTH($C125)=7,$Y$6,"ERROR")))),0),MAX(VLOOKUP($C125,COS!$B$8:$K$991,9,FALSE)-IF(MONTH($C125)=4,$V$3,IF(MONTH($C125)=5,$V$4,IF(MONTH($C125)=6,$V$5,IF(MONTH($C125)=7,$V$6,"ERROR"))))-VLOOKUP($C125,COS!$B$8:$K$991,6,FALSE)/2,0))</f>
        <v>1500</v>
      </c>
      <c r="S125" s="26">
        <f t="shared" si="192"/>
        <v>92.231404958677686</v>
      </c>
      <c r="T125" s="26">
        <f t="shared" si="193"/>
        <v>171.78310649777245</v>
      </c>
      <c r="U125" s="26" t="str">
        <f>IF(VLOOKUP($C125,COS!$B$8:$I$991,8,FALSE)=1,"UWFE","IBU")</f>
        <v>IBU</v>
      </c>
      <c r="V125" s="26">
        <f t="shared" ref="V125" si="197">MIN(IF(IF($AA$3=2,AND(E125=1,G125=1,L125=1,L127=1,M125=1,U125="IBU"),AND(E125=1,G125=1,L125=1,L127=1,M125=1)),T125,0),I125)</f>
        <v>0</v>
      </c>
      <c r="W125" s="26"/>
      <c r="X125" s="26"/>
      <c r="Y125" s="26"/>
      <c r="Z125" s="26"/>
      <c r="AA125" s="26"/>
      <c r="AB125" s="33"/>
    </row>
    <row r="126" spans="1:28" x14ac:dyDescent="0.3">
      <c r="A126" s="32">
        <f>VLOOKUP(YEAR(C126),Flags!$A$13:$B$95,2,FALSE)</f>
        <v>5</v>
      </c>
      <c r="B126" s="24">
        <f t="shared" si="116"/>
        <v>1934</v>
      </c>
      <c r="C126" s="25">
        <v>12662</v>
      </c>
      <c r="D126" s="26"/>
      <c r="E126" s="24"/>
      <c r="F126" s="26"/>
      <c r="G126" s="24"/>
      <c r="H126" s="24"/>
      <c r="I126" s="26"/>
      <c r="J126" s="24"/>
      <c r="K126" s="26"/>
      <c r="L126" s="24"/>
      <c r="M126" s="24"/>
      <c r="N126" s="26"/>
      <c r="O126" s="26"/>
      <c r="P126" s="26"/>
      <c r="Q126" s="26"/>
      <c r="R126" s="26"/>
      <c r="S126" s="26"/>
      <c r="T126" s="26"/>
      <c r="U126" s="26"/>
      <c r="V126" s="26"/>
      <c r="W126" s="26">
        <f>MAX($C$7-VLOOKUP($C126,COS!$B$8:$H$991,3,FALSE),0)</f>
        <v>92824.48193359375</v>
      </c>
      <c r="X126" s="26">
        <f t="shared" si="143"/>
        <v>5707.5549221978308</v>
      </c>
      <c r="Y126" s="26">
        <f>VLOOKUP($C126,COS!$B$8:$H$991,4,FALSE)</f>
        <v>3029.425537109375</v>
      </c>
      <c r="Z126" s="26">
        <f t="shared" si="144"/>
        <v>186.27211567019629</v>
      </c>
      <c r="AA126" s="26">
        <f t="shared" ref="AA126:AA130" si="198">MIN(W126,Y126)</f>
        <v>3029.425537109375</v>
      </c>
      <c r="AB126" s="33">
        <f t="shared" ref="AB126" si="199">AA126*DAY($C126)*86400/43560/1000*IF(MONTH($C126)=8,$P$3,IF(MONTH($C126)=9,$P$4,IF(MONTH($C126)=10,$P$5,IF(MONTH($C126)=11,$P$6,IF(MONTH($C126)=12,$P$7,NA())))))</f>
        <v>186.27211567019629</v>
      </c>
    </row>
    <row r="127" spans="1:28" x14ac:dyDescent="0.3">
      <c r="A127" s="32">
        <f>VLOOKUP(YEAR(C127),Flags!$A$13:$B$95,2,FALSE)</f>
        <v>5</v>
      </c>
      <c r="B127" s="24">
        <f t="shared" si="116"/>
        <v>1934</v>
      </c>
      <c r="C127" s="25">
        <v>12692</v>
      </c>
      <c r="D127" s="26"/>
      <c r="E127" s="24"/>
      <c r="F127" s="26"/>
      <c r="G127" s="24"/>
      <c r="H127" s="24"/>
      <c r="I127" s="26"/>
      <c r="J127" s="24"/>
      <c r="K127" s="26">
        <f>VLOOKUP($C127,COS!$B$8:$H$991,2,FALSE)</f>
        <v>550</v>
      </c>
      <c r="L127" s="24">
        <f t="shared" ref="L127" si="200">IF(AND(K127&gt;$I$7,K127&lt;$I$8),1,0)</f>
        <v>1</v>
      </c>
      <c r="M127" s="24"/>
      <c r="N127" s="26"/>
      <c r="O127" s="26"/>
      <c r="P127" s="26"/>
      <c r="Q127" s="26"/>
      <c r="R127" s="26"/>
      <c r="S127" s="26"/>
      <c r="T127" s="26"/>
      <c r="U127" s="26"/>
      <c r="V127" s="26"/>
      <c r="W127" s="26">
        <f>MAX($C$8-VLOOKUP($C127,COS!$B$8:$H$991,3,FALSE),0)</f>
        <v>96065.62744140625</v>
      </c>
      <c r="X127" s="26">
        <f t="shared" si="143"/>
        <v>5716.3017981663224</v>
      </c>
      <c r="Y127" s="26">
        <f>VLOOKUP($C127,COS!$B$8:$H$991,4,FALSE)</f>
        <v>1900.230224609375</v>
      </c>
      <c r="Z127" s="26">
        <f t="shared" si="144"/>
        <v>113.07155055526859</v>
      </c>
      <c r="AA127" s="26">
        <f t="shared" si="198"/>
        <v>1900.230224609375</v>
      </c>
      <c r="AB127" s="33">
        <f t="shared" si="141"/>
        <v>113.07155055526859</v>
      </c>
    </row>
    <row r="128" spans="1:28" x14ac:dyDescent="0.3">
      <c r="A128" s="32">
        <f>VLOOKUP(YEAR(C128),Flags!$A$13:$B$95,2,FALSE)</f>
        <v>5</v>
      </c>
      <c r="B128" s="24">
        <f t="shared" si="116"/>
        <v>1934</v>
      </c>
      <c r="C128" s="25">
        <v>12723</v>
      </c>
      <c r="D128" s="26"/>
      <c r="E128" s="24"/>
      <c r="F128" s="26"/>
      <c r="G128" s="26"/>
      <c r="H128" s="26"/>
      <c r="I128" s="26"/>
      <c r="J128" s="26"/>
      <c r="K128" s="26"/>
      <c r="L128" s="24"/>
      <c r="M128" s="24"/>
      <c r="N128" s="26"/>
      <c r="O128" s="26"/>
      <c r="P128" s="26"/>
      <c r="Q128" s="26"/>
      <c r="R128" s="26"/>
      <c r="S128" s="26"/>
      <c r="T128" s="26"/>
      <c r="U128" s="26"/>
      <c r="V128" s="26"/>
      <c r="W128" s="26">
        <f>MAX($C$9-VLOOKUP($C128,COS!$B$8:$H$991,3,FALSE),0)</f>
        <v>97296.357666015625</v>
      </c>
      <c r="X128" s="26">
        <f t="shared" si="143"/>
        <v>5982.5198432657544</v>
      </c>
      <c r="Y128" s="26">
        <f>VLOOKUP($C128,COS!$B$8:$H$991,4,FALSE)</f>
        <v>1445.2672119140625</v>
      </c>
      <c r="Z128" s="26">
        <f t="shared" si="144"/>
        <v>88.866016997029959</v>
      </c>
      <c r="AA128" s="26">
        <f t="shared" si="198"/>
        <v>1445.2672119140625</v>
      </c>
      <c r="AB128" s="33">
        <f t="shared" si="141"/>
        <v>88.866016997029959</v>
      </c>
    </row>
    <row r="129" spans="1:28" x14ac:dyDescent="0.3">
      <c r="A129" s="32">
        <f>VLOOKUP(YEAR(C129),Flags!$A$13:$B$95,2,FALSE)</f>
        <v>5</v>
      </c>
      <c r="B129" s="24">
        <f t="shared" si="116"/>
        <v>1934</v>
      </c>
      <c r="C129" s="25">
        <v>12753</v>
      </c>
      <c r="D129" s="26"/>
      <c r="E129" s="24"/>
      <c r="F129" s="26"/>
      <c r="G129" s="26"/>
      <c r="H129" s="26"/>
      <c r="I129" s="26"/>
      <c r="J129" s="26"/>
      <c r="K129" s="26"/>
      <c r="L129" s="24"/>
      <c r="M129" s="24"/>
      <c r="N129" s="26"/>
      <c r="O129" s="26"/>
      <c r="P129" s="26"/>
      <c r="Q129" s="26"/>
      <c r="R129" s="26"/>
      <c r="S129" s="26"/>
      <c r="T129" s="26"/>
      <c r="U129" s="26"/>
      <c r="V129" s="26"/>
      <c r="W129" s="26">
        <f>MAX($C$10-VLOOKUP($C129,COS!$B$8:$H$991,3,FALSE),0)</f>
        <v>96749</v>
      </c>
      <c r="X129" s="26">
        <f t="shared" si="143"/>
        <v>5756.965289256198</v>
      </c>
      <c r="Y129" s="26">
        <f>VLOOKUP($C129,COS!$B$8:$H$991,4,FALSE)</f>
        <v>2579.600341796875</v>
      </c>
      <c r="Z129" s="26">
        <f t="shared" si="144"/>
        <v>153.49687984245867</v>
      </c>
      <c r="AA129" s="26">
        <f t="shared" si="198"/>
        <v>2579.600341796875</v>
      </c>
      <c r="AB129" s="33">
        <f t="shared" si="141"/>
        <v>153.49687984245867</v>
      </c>
    </row>
    <row r="130" spans="1:28" x14ac:dyDescent="0.3">
      <c r="A130" s="34">
        <f>VLOOKUP(YEAR(C130),Flags!$A$13:$B$95,2,FALSE)</f>
        <v>5</v>
      </c>
      <c r="B130" s="35">
        <f t="shared" si="116"/>
        <v>1934</v>
      </c>
      <c r="C130" s="36">
        <v>12784</v>
      </c>
      <c r="D130" s="37"/>
      <c r="E130" s="35"/>
      <c r="F130" s="37"/>
      <c r="G130" s="37"/>
      <c r="H130" s="37"/>
      <c r="I130" s="37"/>
      <c r="J130" s="37"/>
      <c r="K130" s="37"/>
      <c r="L130" s="35"/>
      <c r="M130" s="35"/>
      <c r="N130" s="37"/>
      <c r="O130" s="37"/>
      <c r="P130" s="37"/>
      <c r="Q130" s="37"/>
      <c r="R130" s="37"/>
      <c r="S130" s="37"/>
      <c r="T130" s="37"/>
      <c r="U130" s="37"/>
      <c r="V130" s="37"/>
      <c r="W130" s="37">
        <f>MAX($C$11-VLOOKUP($C130,COS!$B$8:$H$991,3,FALSE),0)</f>
        <v>96749</v>
      </c>
      <c r="X130" s="37">
        <f t="shared" si="143"/>
        <v>5948.8641322314052</v>
      </c>
      <c r="Y130" s="37">
        <f>VLOOKUP($C130,COS!$B$8:$H$991,4,FALSE)</f>
        <v>0</v>
      </c>
      <c r="Z130" s="37">
        <f t="shared" si="144"/>
        <v>0</v>
      </c>
      <c r="AA130" s="37">
        <f t="shared" si="198"/>
        <v>0</v>
      </c>
      <c r="AB130" s="38">
        <f t="shared" si="141"/>
        <v>0</v>
      </c>
    </row>
    <row r="131" spans="1:28" x14ac:dyDescent="0.3">
      <c r="A131" s="27">
        <f>VLOOKUP(YEAR(C131),Flags!$A$13:$B$95,2,FALSE)</f>
        <v>4</v>
      </c>
      <c r="B131" s="28">
        <f t="shared" si="116"/>
        <v>1935</v>
      </c>
      <c r="C131" s="29">
        <v>12904</v>
      </c>
      <c r="D131" s="30">
        <f>VLOOKUP($C131,COS!$B$8:$H$991,3,FALSE)</f>
        <v>3250</v>
      </c>
      <c r="E131" s="28">
        <f>IF(D131&gt;=IF(MONTH($C131)=4,$C$3,IF(MONTH($C131)=5,$C$4,IF(MONTH($C131)=6,$C$5,IF(MONTH($C131)=7,$C$6,"ERROR")))),1,0)</f>
        <v>0</v>
      </c>
      <c r="F131" s="30">
        <f>VLOOKUP($C131,COS!$B$8:$H$991,7,FALSE)</f>
        <v>49.358055114746094</v>
      </c>
      <c r="G131" s="28">
        <f>IF(F131&lt;=IF(MONTH($C131)=4,$F$3,IF(MONTH($C131)=5,$F$4,IF(MONTH($C131)=6,$F$5,IF(MONTH($C131)=7,$F$6,"ERROR")))),1,0)</f>
        <v>1</v>
      </c>
      <c r="H131" s="30">
        <f>IF(J131=1,D131-$C$3,0)</f>
        <v>0</v>
      </c>
      <c r="I131" s="30">
        <f t="shared" si="136"/>
        <v>0</v>
      </c>
      <c r="J131" s="28">
        <f t="shared" ref="J131:J134" si="201">IF(AND(E131=1,G131=1),1,0)</f>
        <v>0</v>
      </c>
      <c r="K131" s="30">
        <f>VLOOKUP($C131,COS!$B$8:$H$991,2,FALSE)</f>
        <v>2701.329833984375</v>
      </c>
      <c r="L131" s="28">
        <f t="shared" ref="L131" si="202">IF(K131&lt;=IF(MONTH($C131)=4,$I$3,IF(MONTH($C131)=5,$I$4,IF(MONTH($C131)=6,$I$5,IF(MONTH($C131)=7,$I$6,"ERROR")))),1,0)</f>
        <v>1</v>
      </c>
      <c r="M131" s="28">
        <f t="shared" ref="M131" si="203">VLOOKUP($A131,$L$3:$M$7,2,FALSE)</f>
        <v>1</v>
      </c>
      <c r="N131" s="30">
        <f>VLOOKUP($C131,COS!$B$8:$H$991,5,FALSE)</f>
        <v>1.3366308212280273</v>
      </c>
      <c r="O131" s="30">
        <f t="shared" ref="O131:O134" si="204">N131*DAY($C131)*86400/43560/1000</f>
        <v>7.9535057130923945E-2</v>
      </c>
      <c r="P131" s="30">
        <f>VLOOKUP($C131,COS!$B$8:$H$991,6,FALSE)</f>
        <v>295.18359375</v>
      </c>
      <c r="Q131" s="30">
        <f t="shared" ref="Q131:Q134" si="205">P131*DAY($C131)*86400/43560/1000</f>
        <v>17.564643595041321</v>
      </c>
      <c r="R131" s="30">
        <f>MIN(IF(MONTH($C131)=4,$S$3,IF(MONTH($C131)=5,$S$4,IF(MONTH($C131)=6,$S$5,IF(MONTH($C131)=7,$S$6,"ERROR")))),MAX(VLOOKUP($C131,COS!$B$8:$K$991,10,FALSE)-IF(MONTH($C131)=4,$Y$3,IF(MONTH($C131)=5,$Y$4,IF(MONTH($C131)=6,$Y$5,IF(MONTH($C131)=7,$Y$6,"ERROR")))),0),MAX(VLOOKUP($C131,COS!$B$8:$K$991,9,FALSE)-IF(MONTH($C131)=4,$V$3,IF(MONTH($C131)=5,$V$4,IF(MONTH($C131)=6,$V$5,IF(MONTH($C131)=7,$V$6,"ERROR"))))-VLOOKUP($C131,COS!$B$8:$K$991,6,FALSE)/2,0))</f>
        <v>1500</v>
      </c>
      <c r="S131" s="30">
        <f t="shared" ref="S131:S134" si="206">R131*DAY($C131)*86400/43560/1000</f>
        <v>89.256198347107429</v>
      </c>
      <c r="T131" s="30">
        <f t="shared" ref="T131:T134" si="207">(O131+Q131)/2+S131</f>
        <v>98.078287673193557</v>
      </c>
      <c r="U131" s="30" t="str">
        <f>IF(VLOOKUP($C131,COS!$B$8:$I$991,8,FALSE)=1,"UWFE","IBU")</f>
        <v>UWFE</v>
      </c>
      <c r="V131" s="30">
        <f t="shared" ref="V131" si="208">MIN(IF(IF($AA$3=2,AND(E131=1,G131=1,L131=1,L136=1,M131=1,U131="IBU"),AND(E131=1,G131=1,L131=1,L136=1,M131=1)),T131,0),I131)</f>
        <v>0</v>
      </c>
      <c r="W131" s="30"/>
      <c r="X131" s="30"/>
      <c r="Y131" s="30"/>
      <c r="Z131" s="30"/>
      <c r="AA131" s="30"/>
      <c r="AB131" s="31"/>
    </row>
    <row r="132" spans="1:28" x14ac:dyDescent="0.3">
      <c r="A132" s="32">
        <f>VLOOKUP(YEAR(C132),Flags!$A$13:$B$95,2,FALSE)</f>
        <v>4</v>
      </c>
      <c r="B132" s="24">
        <f t="shared" si="116"/>
        <v>1935</v>
      </c>
      <c r="C132" s="25">
        <v>12935</v>
      </c>
      <c r="D132" s="26">
        <f>VLOOKUP($C132,COS!$B$8:$H$991,3,FALSE)</f>
        <v>3785.33349609375</v>
      </c>
      <c r="E132" s="24">
        <f>IF(D132&gt;=IF(MONTH($C132)=4,$C$3,IF(MONTH($C132)=5,$C$4,IF(MONTH($C132)=6,$C$5,IF(MONTH($C132)=7,$C$6,"ERROR")))),1,0)</f>
        <v>0</v>
      </c>
      <c r="F132" s="26">
        <f>VLOOKUP($C132,COS!$B$8:$H$991,7,FALSE)</f>
        <v>51.774246215820313</v>
      </c>
      <c r="G132" s="24">
        <f>IF(F132&lt;=IF(MONTH($C132)=4,$F$3,IF(MONTH($C132)=5,$F$4,IF(MONTH($C132)=6,$F$5,IF(MONTH($C132)=7,$F$6,"ERROR")))),1,0)</f>
        <v>1</v>
      </c>
      <c r="H132" s="26">
        <f>IF(J132=1,D132-$C$4,0)</f>
        <v>0</v>
      </c>
      <c r="I132" s="26">
        <f t="shared" si="136"/>
        <v>0</v>
      </c>
      <c r="J132" s="24">
        <f t="shared" si="201"/>
        <v>0</v>
      </c>
      <c r="K132" s="26">
        <f>VLOOKUP($C132,COS!$B$8:$H$991,2,FALSE)</f>
        <v>2993.270751953125</v>
      </c>
      <c r="L132" s="24">
        <f t="shared" si="129"/>
        <v>1</v>
      </c>
      <c r="M132" s="24">
        <f t="shared" si="130"/>
        <v>1</v>
      </c>
      <c r="N132" s="26">
        <f>VLOOKUP($C132,COS!$B$8:$H$991,5,FALSE)</f>
        <v>70.798858642578125</v>
      </c>
      <c r="O132" s="26">
        <f t="shared" si="204"/>
        <v>4.3532521347172004</v>
      </c>
      <c r="P132" s="26">
        <f>VLOOKUP($C132,COS!$B$8:$H$991,6,FALSE)</f>
        <v>2185.40966796875</v>
      </c>
      <c r="Q132" s="26">
        <f t="shared" si="205"/>
        <v>134.37560272469008</v>
      </c>
      <c r="R132" s="26">
        <f>MIN(IF(MONTH($C132)=4,$S$3,IF(MONTH($C132)=5,$S$4,IF(MONTH($C132)=6,$S$5,IF(MONTH($C132)=7,$S$6,"ERROR")))),MAX(VLOOKUP($C132,COS!$B$8:$K$991,10,FALSE)-IF(MONTH($C132)=4,$Y$3,IF(MONTH($C132)=5,$Y$4,IF(MONTH($C132)=6,$Y$5,IF(MONTH($C132)=7,$Y$6,"ERROR")))),0),MAX(VLOOKUP($C132,COS!$B$8:$K$991,9,FALSE)-IF(MONTH($C132)=4,$V$3,IF(MONTH($C132)=5,$V$4,IF(MONTH($C132)=6,$V$5,IF(MONTH($C132)=7,$V$6,"ERROR"))))-VLOOKUP($C132,COS!$B$8:$K$991,6,FALSE)/2,0))</f>
        <v>1500</v>
      </c>
      <c r="S132" s="26">
        <f t="shared" si="206"/>
        <v>92.231404958677686</v>
      </c>
      <c r="T132" s="26">
        <f t="shared" si="207"/>
        <v>161.59583238838133</v>
      </c>
      <c r="U132" s="26" t="str">
        <f>IF(VLOOKUP($C132,COS!$B$8:$I$991,8,FALSE)=1,"UWFE","IBU")</f>
        <v>UWFE</v>
      </c>
      <c r="V132" s="26">
        <f t="shared" ref="V132" si="209">MIN(IF(IF($AA$3=2,AND(E132=1,G132=1,L132=1,L136=1,M132=1,U132="IBU"),AND(E132=1,G132=1,L132=1,L136=1,M132=1)),T132,0),I132)</f>
        <v>0</v>
      </c>
      <c r="W132" s="26"/>
      <c r="X132" s="26"/>
      <c r="Y132" s="26"/>
      <c r="Z132" s="26"/>
      <c r="AA132" s="26"/>
      <c r="AB132" s="33"/>
    </row>
    <row r="133" spans="1:28" x14ac:dyDescent="0.3">
      <c r="A133" s="32">
        <f>VLOOKUP(YEAR(C133),Flags!$A$13:$B$95,2,FALSE)</f>
        <v>4</v>
      </c>
      <c r="B133" s="24">
        <f t="shared" si="116"/>
        <v>1935</v>
      </c>
      <c r="C133" s="25">
        <v>12965</v>
      </c>
      <c r="D133" s="26">
        <f>VLOOKUP($C133,COS!$B$8:$H$991,3,FALSE)</f>
        <v>8129.7919921875</v>
      </c>
      <c r="E133" s="24">
        <f>IF(D133&gt;=IF(MONTH($C133)=4,$C$3,IF(MONTH($C133)=5,$C$4,IF(MONTH($C133)=6,$C$5,IF(MONTH($C133)=7,$C$6,"ERROR")))),1,0)</f>
        <v>0</v>
      </c>
      <c r="F133" s="26">
        <f>VLOOKUP($C133,COS!$B$8:$H$991,7,FALSE)</f>
        <v>51.700939178466797</v>
      </c>
      <c r="G133" s="24">
        <f>IF(F133&lt;=IF(MONTH($C133)=4,$F$3,IF(MONTH($C133)=5,$F$4,IF(MONTH($C133)=6,$F$5,IF(MONTH($C133)=7,$F$6,"ERROR")))),1,0)</f>
        <v>1</v>
      </c>
      <c r="H133" s="26">
        <f>IF(J133=1,D133-$C$5,0)</f>
        <v>0</v>
      </c>
      <c r="I133" s="26">
        <f t="shared" si="136"/>
        <v>0</v>
      </c>
      <c r="J133" s="24">
        <f t="shared" si="201"/>
        <v>0</v>
      </c>
      <c r="K133" s="26">
        <f>VLOOKUP($C133,COS!$B$8:$H$991,2,FALSE)</f>
        <v>2742.553466796875</v>
      </c>
      <c r="L133" s="24">
        <f t="shared" si="129"/>
        <v>1</v>
      </c>
      <c r="M133" s="24">
        <f t="shared" si="130"/>
        <v>1</v>
      </c>
      <c r="N133" s="26">
        <f>VLOOKUP($C133,COS!$B$8:$H$991,5,FALSE)</f>
        <v>355.03094482421875</v>
      </c>
      <c r="O133" s="26">
        <f t="shared" si="204"/>
        <v>21.125808287060952</v>
      </c>
      <c r="P133" s="26">
        <f>VLOOKUP($C133,COS!$B$8:$H$991,6,FALSE)</f>
        <v>2600.013916015625</v>
      </c>
      <c r="Q133" s="26">
        <f t="shared" si="205"/>
        <v>154.71157186208677</v>
      </c>
      <c r="R133" s="26">
        <f>MIN(IF(MONTH($C133)=4,$S$3,IF(MONTH($C133)=5,$S$4,IF(MONTH($C133)=6,$S$5,IF(MONTH($C133)=7,$S$6,"ERROR")))),MAX(VLOOKUP($C133,COS!$B$8:$K$991,10,FALSE)-IF(MONTH($C133)=4,$Y$3,IF(MONTH($C133)=5,$Y$4,IF(MONTH($C133)=6,$Y$5,IF(MONTH($C133)=7,$Y$6,"ERROR")))),0),MAX(VLOOKUP($C133,COS!$B$8:$K$991,9,FALSE)-IF(MONTH($C133)=4,$V$3,IF(MONTH($C133)=5,$V$4,IF(MONTH($C133)=6,$V$5,IF(MONTH($C133)=7,$V$6,"ERROR"))))-VLOOKUP($C133,COS!$B$8:$K$991,6,FALSE)/2,0))</f>
        <v>1500</v>
      </c>
      <c r="S133" s="26">
        <f t="shared" si="206"/>
        <v>89.256198347107429</v>
      </c>
      <c r="T133" s="26">
        <f t="shared" si="207"/>
        <v>177.17488842168129</v>
      </c>
      <c r="U133" s="26" t="str">
        <f>IF(VLOOKUP($C133,COS!$B$8:$I$991,8,FALSE)=1,"UWFE","IBU")</f>
        <v>IBU</v>
      </c>
      <c r="V133" s="26">
        <f t="shared" ref="V133" si="210">MIN(IF(IF($AA$3=2,AND(E133=1,G133=1,L133=1,L136=1,M133=1,U133="IBU"),AND(E133=1,G133=1,L133=1,L136=1,M133=1)),T133,0),I133)</f>
        <v>0</v>
      </c>
      <c r="W133" s="26"/>
      <c r="X133" s="26"/>
      <c r="Y133" s="26"/>
      <c r="Z133" s="26"/>
      <c r="AA133" s="26"/>
      <c r="AB133" s="33"/>
    </row>
    <row r="134" spans="1:28" x14ac:dyDescent="0.3">
      <c r="A134" s="32">
        <f>VLOOKUP(YEAR(C134),Flags!$A$13:$B$95,2,FALSE)</f>
        <v>4</v>
      </c>
      <c r="B134" s="24">
        <f t="shared" si="116"/>
        <v>1935</v>
      </c>
      <c r="C134" s="25">
        <v>12996</v>
      </c>
      <c r="D134" s="26">
        <f>VLOOKUP($C134,COS!$B$8:$H$991,3,FALSE)</f>
        <v>9552.029296875</v>
      </c>
      <c r="E134" s="24">
        <f>IF(D134&gt;=IF(MONTH($C134)=4,$C$3,IF(MONTH($C134)=5,$C$4,IF(MONTH($C134)=6,$C$5,IF(MONTH($C134)=7,$C$6,"ERROR")))),1,0)</f>
        <v>0</v>
      </c>
      <c r="F134" s="26">
        <f>VLOOKUP($C134,COS!$B$8:$H$991,7,FALSE)</f>
        <v>53.422840118408203</v>
      </c>
      <c r="G134" s="24">
        <f>IF(F134&lt;=IF(MONTH($C134)=4,$F$3,IF(MONTH($C134)=5,$F$4,IF(MONTH($C134)=6,$F$5,IF(MONTH($C134)=7,$F$6,"ERROR")))),1,0)</f>
        <v>1</v>
      </c>
      <c r="H134" s="26">
        <f>IF(J134=1,D134-$C$6,0)</f>
        <v>0</v>
      </c>
      <c r="I134" s="26">
        <f t="shared" si="136"/>
        <v>0</v>
      </c>
      <c r="J134" s="24">
        <f t="shared" si="201"/>
        <v>0</v>
      </c>
      <c r="K134" s="26">
        <f>VLOOKUP($C134,COS!$B$8:$H$991,2,FALSE)</f>
        <v>2381.828857421875</v>
      </c>
      <c r="L134" s="24">
        <f t="shared" si="129"/>
        <v>1</v>
      </c>
      <c r="M134" s="24">
        <f t="shared" si="130"/>
        <v>1</v>
      </c>
      <c r="N134" s="26">
        <f>VLOOKUP($C134,COS!$B$8:$H$991,5,FALSE)</f>
        <v>386.67288208007813</v>
      </c>
      <c r="O134" s="26">
        <f t="shared" si="204"/>
        <v>23.775588782444473</v>
      </c>
      <c r="P134" s="26">
        <f>VLOOKUP($C134,COS!$B$8:$H$991,6,FALSE)</f>
        <v>2632.5888671875</v>
      </c>
      <c r="Q134" s="26">
        <f t="shared" si="205"/>
        <v>161.87157993285126</v>
      </c>
      <c r="R134" s="26">
        <f>MIN(IF(MONTH($C134)=4,$S$3,IF(MONTH($C134)=5,$S$4,IF(MONTH($C134)=6,$S$5,IF(MONTH($C134)=7,$S$6,"ERROR")))),MAX(VLOOKUP($C134,COS!$B$8:$K$991,10,FALSE)-IF(MONTH($C134)=4,$Y$3,IF(MONTH($C134)=5,$Y$4,IF(MONTH($C134)=6,$Y$5,IF(MONTH($C134)=7,$Y$6,"ERROR")))),0),MAX(VLOOKUP($C134,COS!$B$8:$K$991,9,FALSE)-IF(MONTH($C134)=4,$V$3,IF(MONTH($C134)=5,$V$4,IF(MONTH($C134)=6,$V$5,IF(MONTH($C134)=7,$V$6,"ERROR"))))-VLOOKUP($C134,COS!$B$8:$K$991,6,FALSE)/2,0))</f>
        <v>1500</v>
      </c>
      <c r="S134" s="26">
        <f t="shared" si="206"/>
        <v>92.231404958677686</v>
      </c>
      <c r="T134" s="26">
        <f t="shared" si="207"/>
        <v>185.05498931632553</v>
      </c>
      <c r="U134" s="26" t="str">
        <f>IF(VLOOKUP($C134,COS!$B$8:$I$991,8,FALSE)=1,"UWFE","IBU")</f>
        <v>IBU</v>
      </c>
      <c r="V134" s="26">
        <f t="shared" ref="V134" si="211">MIN(IF(IF($AA$3=2,AND(E134=1,G134=1,L134=1,L136=1,M134=1,U134="IBU"),AND(E134=1,G134=1,L134=1,L136=1,M134=1)),T134,0),I134)</f>
        <v>0</v>
      </c>
      <c r="W134" s="26"/>
      <c r="X134" s="26"/>
      <c r="Y134" s="26"/>
      <c r="Z134" s="26"/>
      <c r="AA134" s="26"/>
      <c r="AB134" s="33"/>
    </row>
    <row r="135" spans="1:28" x14ac:dyDescent="0.3">
      <c r="A135" s="32">
        <f>VLOOKUP(YEAR(C135),Flags!$A$13:$B$95,2,FALSE)</f>
        <v>4</v>
      </c>
      <c r="B135" s="24">
        <f t="shared" si="116"/>
        <v>1935</v>
      </c>
      <c r="C135" s="25">
        <v>13027</v>
      </c>
      <c r="D135" s="26"/>
      <c r="E135" s="24"/>
      <c r="F135" s="26"/>
      <c r="G135" s="24"/>
      <c r="H135" s="24"/>
      <c r="I135" s="26"/>
      <c r="J135" s="24"/>
      <c r="K135" s="26"/>
      <c r="L135" s="24"/>
      <c r="M135" s="24"/>
      <c r="N135" s="26"/>
      <c r="O135" s="26"/>
      <c r="P135" s="26"/>
      <c r="Q135" s="26"/>
      <c r="R135" s="26"/>
      <c r="S135" s="26"/>
      <c r="T135" s="26"/>
      <c r="U135" s="26"/>
      <c r="V135" s="26"/>
      <c r="W135" s="26">
        <f>MAX($C$7-VLOOKUP($C135,COS!$B$8:$H$991,3,FALSE),0)</f>
        <v>91777.314453125</v>
      </c>
      <c r="X135" s="26">
        <f t="shared" si="143"/>
        <v>5643.1671035640502</v>
      </c>
      <c r="Y135" s="26">
        <f>VLOOKUP($C135,COS!$B$8:$H$991,4,FALSE)</f>
        <v>311.4095458984375</v>
      </c>
      <c r="Z135" s="26">
        <f t="shared" si="144"/>
        <v>19.147826623837808</v>
      </c>
      <c r="AA135" s="26">
        <f t="shared" ref="AA135:AA139" si="212">MIN(W135,Y135)</f>
        <v>311.4095458984375</v>
      </c>
      <c r="AB135" s="33">
        <f t="shared" ref="AB135" si="213">AA135*DAY($C135)*86400/43560/1000*IF(MONTH($C135)=8,$P$3,IF(MONTH($C135)=9,$P$4,IF(MONTH($C135)=10,$P$5,IF(MONTH($C135)=11,$P$6,IF(MONTH($C135)=12,$P$7,NA())))))</f>
        <v>19.147826623837808</v>
      </c>
    </row>
    <row r="136" spans="1:28" x14ac:dyDescent="0.3">
      <c r="A136" s="32">
        <f>VLOOKUP(YEAR(C136),Flags!$A$13:$B$95,2,FALSE)</f>
        <v>4</v>
      </c>
      <c r="B136" s="24">
        <f t="shared" si="116"/>
        <v>1935</v>
      </c>
      <c r="C136" s="25">
        <v>13057</v>
      </c>
      <c r="D136" s="26"/>
      <c r="E136" s="24"/>
      <c r="F136" s="26"/>
      <c r="G136" s="24"/>
      <c r="H136" s="24"/>
      <c r="I136" s="26"/>
      <c r="J136" s="24"/>
      <c r="K136" s="26">
        <f>VLOOKUP($C136,COS!$B$8:$H$991,2,FALSE)</f>
        <v>1958.6934814453125</v>
      </c>
      <c r="L136" s="24">
        <f t="shared" ref="L136" si="214">IF(AND(K136&gt;$I$7,K136&lt;$I$8),1,0)</f>
        <v>1</v>
      </c>
      <c r="M136" s="24"/>
      <c r="N136" s="26"/>
      <c r="O136" s="26"/>
      <c r="P136" s="26"/>
      <c r="Q136" s="26"/>
      <c r="R136" s="26"/>
      <c r="S136" s="26"/>
      <c r="T136" s="26"/>
      <c r="U136" s="26"/>
      <c r="V136" s="26"/>
      <c r="W136" s="26">
        <f>MAX($C$8-VLOOKUP($C136,COS!$B$8:$H$991,3,FALSE),0)</f>
        <v>95974.235595703125</v>
      </c>
      <c r="X136" s="26">
        <f t="shared" si="143"/>
        <v>5710.8636056947316</v>
      </c>
      <c r="Y136" s="26">
        <f>VLOOKUP($C136,COS!$B$8:$H$991,4,FALSE)</f>
        <v>386.73208618164063</v>
      </c>
      <c r="Z136" s="26">
        <f t="shared" si="144"/>
        <v>23.012157194279443</v>
      </c>
      <c r="AA136" s="26">
        <f t="shared" si="212"/>
        <v>386.73208618164063</v>
      </c>
      <c r="AB136" s="33">
        <f t="shared" si="141"/>
        <v>23.012157194279443</v>
      </c>
    </row>
    <row r="137" spans="1:28" x14ac:dyDescent="0.3">
      <c r="A137" s="32">
        <f>VLOOKUP(YEAR(C137),Flags!$A$13:$B$95,2,FALSE)</f>
        <v>4</v>
      </c>
      <c r="B137" s="24">
        <f t="shared" si="116"/>
        <v>1935</v>
      </c>
      <c r="C137" s="25">
        <v>13088</v>
      </c>
      <c r="D137" s="26"/>
      <c r="E137" s="24"/>
      <c r="F137" s="26"/>
      <c r="G137" s="26"/>
      <c r="H137" s="26"/>
      <c r="I137" s="26"/>
      <c r="J137" s="26"/>
      <c r="K137" s="26"/>
      <c r="L137" s="24"/>
      <c r="M137" s="24"/>
      <c r="N137" s="26"/>
      <c r="O137" s="26"/>
      <c r="P137" s="26"/>
      <c r="Q137" s="26"/>
      <c r="R137" s="26"/>
      <c r="S137" s="26"/>
      <c r="T137" s="26"/>
      <c r="U137" s="26"/>
      <c r="V137" s="26"/>
      <c r="W137" s="26">
        <f>MAX($C$9-VLOOKUP($C137,COS!$B$8:$H$991,3,FALSE),0)</f>
        <v>96108.80029296875</v>
      </c>
      <c r="X137" s="26">
        <f t="shared" si="143"/>
        <v>5909.4997866089871</v>
      </c>
      <c r="Y137" s="26">
        <f>VLOOKUP($C137,COS!$B$8:$H$991,4,FALSE)</f>
        <v>839.30419921875</v>
      </c>
      <c r="Z137" s="26">
        <f t="shared" si="144"/>
        <v>51.606803654442146</v>
      </c>
      <c r="AA137" s="26">
        <f t="shared" si="212"/>
        <v>839.30419921875</v>
      </c>
      <c r="AB137" s="33">
        <f t="shared" si="141"/>
        <v>51.606803654442146</v>
      </c>
    </row>
    <row r="138" spans="1:28" x14ac:dyDescent="0.3">
      <c r="A138" s="32">
        <f>VLOOKUP(YEAR(C138),Flags!$A$13:$B$95,2,FALSE)</f>
        <v>4</v>
      </c>
      <c r="B138" s="24">
        <f t="shared" si="116"/>
        <v>1935</v>
      </c>
      <c r="C138" s="25">
        <v>13118</v>
      </c>
      <c r="D138" s="26"/>
      <c r="E138" s="24"/>
      <c r="F138" s="26"/>
      <c r="G138" s="26"/>
      <c r="H138" s="26"/>
      <c r="I138" s="26"/>
      <c r="J138" s="26"/>
      <c r="K138" s="26"/>
      <c r="L138" s="24"/>
      <c r="M138" s="24"/>
      <c r="N138" s="26"/>
      <c r="O138" s="26"/>
      <c r="P138" s="26"/>
      <c r="Q138" s="26"/>
      <c r="R138" s="26"/>
      <c r="S138" s="26"/>
      <c r="T138" s="26"/>
      <c r="U138" s="26"/>
      <c r="V138" s="26"/>
      <c r="W138" s="26">
        <f>MAX($C$10-VLOOKUP($C138,COS!$B$8:$H$991,3,FALSE),0)</f>
        <v>96609.462646484375</v>
      </c>
      <c r="X138" s="26">
        <f t="shared" si="143"/>
        <v>5748.6622401213845</v>
      </c>
      <c r="Y138" s="26">
        <f>VLOOKUP($C138,COS!$B$8:$H$991,4,FALSE)</f>
        <v>442.06243896484375</v>
      </c>
      <c r="Z138" s="26">
        <f t="shared" si="144"/>
        <v>26.304541822701445</v>
      </c>
      <c r="AA138" s="26">
        <f t="shared" si="212"/>
        <v>442.06243896484375</v>
      </c>
      <c r="AB138" s="33">
        <f t="shared" si="141"/>
        <v>26.304541822701445</v>
      </c>
    </row>
    <row r="139" spans="1:28" x14ac:dyDescent="0.3">
      <c r="A139" s="34">
        <f>VLOOKUP(YEAR(C139),Flags!$A$13:$B$95,2,FALSE)</f>
        <v>4</v>
      </c>
      <c r="B139" s="35">
        <f t="shared" si="116"/>
        <v>1935</v>
      </c>
      <c r="C139" s="36">
        <v>13149</v>
      </c>
      <c r="D139" s="37"/>
      <c r="E139" s="35"/>
      <c r="F139" s="37"/>
      <c r="G139" s="37"/>
      <c r="H139" s="37"/>
      <c r="I139" s="37"/>
      <c r="J139" s="37"/>
      <c r="K139" s="37"/>
      <c r="L139" s="35"/>
      <c r="M139" s="35"/>
      <c r="N139" s="37"/>
      <c r="O139" s="37"/>
      <c r="P139" s="37"/>
      <c r="Q139" s="37"/>
      <c r="R139" s="37"/>
      <c r="S139" s="37"/>
      <c r="T139" s="37"/>
      <c r="U139" s="37"/>
      <c r="V139" s="37"/>
      <c r="W139" s="37">
        <f>MAX($C$11-VLOOKUP($C139,COS!$B$8:$H$991,3,FALSE),0)</f>
        <v>96749</v>
      </c>
      <c r="X139" s="37">
        <f t="shared" si="143"/>
        <v>5948.8641322314052</v>
      </c>
      <c r="Y139" s="37">
        <f>VLOOKUP($C139,COS!$B$8:$H$991,4,FALSE)</f>
        <v>18.913251876831055</v>
      </c>
      <c r="Z139" s="37">
        <f t="shared" si="144"/>
        <v>1.162930528624984</v>
      </c>
      <c r="AA139" s="37">
        <f t="shared" si="212"/>
        <v>18.913251876831055</v>
      </c>
      <c r="AB139" s="38">
        <f t="shared" si="141"/>
        <v>1.162930528624984</v>
      </c>
    </row>
    <row r="140" spans="1:28" x14ac:dyDescent="0.3">
      <c r="A140" s="27">
        <f>VLOOKUP(YEAR(C140),Flags!$A$13:$B$95,2,FALSE)</f>
        <v>3</v>
      </c>
      <c r="B140" s="28">
        <f t="shared" si="116"/>
        <v>1936</v>
      </c>
      <c r="C140" s="29">
        <v>13270</v>
      </c>
      <c r="D140" s="30">
        <f>VLOOKUP($C140,COS!$B$8:$H$991,3,FALSE)</f>
        <v>3250</v>
      </c>
      <c r="E140" s="28">
        <f>IF(D140&gt;=IF(MONTH($C140)=4,$C$3,IF(MONTH($C140)=5,$C$4,IF(MONTH($C140)=6,$C$5,IF(MONTH($C140)=7,$C$6,"ERROR")))),1,0)</f>
        <v>0</v>
      </c>
      <c r="F140" s="30">
        <f>VLOOKUP($C140,COS!$B$8:$H$991,7,FALSE)</f>
        <v>49.935798645019531</v>
      </c>
      <c r="G140" s="28">
        <f>IF(F140&lt;=IF(MONTH($C140)=4,$F$3,IF(MONTH($C140)=5,$F$4,IF(MONTH($C140)=6,$F$5,IF(MONTH($C140)=7,$F$6,"ERROR")))),1,0)</f>
        <v>1</v>
      </c>
      <c r="H140" s="30">
        <f>IF(J140=1,D140-$C$3,0)</f>
        <v>0</v>
      </c>
      <c r="I140" s="30">
        <f t="shared" si="136"/>
        <v>0</v>
      </c>
      <c r="J140" s="28">
        <f t="shared" ref="J140:J143" si="215">IF(AND(E140=1,G140=1),1,0)</f>
        <v>0</v>
      </c>
      <c r="K140" s="30">
        <f>VLOOKUP($C140,COS!$B$8:$H$991,2,FALSE)</f>
        <v>4126.388671875</v>
      </c>
      <c r="L140" s="28">
        <f t="shared" ref="L140" si="216">IF(K140&lt;=IF(MONTH($C140)=4,$I$3,IF(MONTH($C140)=5,$I$4,IF(MONTH($C140)=6,$I$5,IF(MONTH($C140)=7,$I$6,"ERROR")))),1,0)</f>
        <v>1</v>
      </c>
      <c r="M140" s="28">
        <f t="shared" ref="M140" si="217">VLOOKUP($A140,$L$3:$M$7,2,FALSE)</f>
        <v>0</v>
      </c>
      <c r="N140" s="30">
        <f>VLOOKUP($C140,COS!$B$8:$H$991,5,FALSE)</f>
        <v>205.43023681640625</v>
      </c>
      <c r="O140" s="30">
        <f t="shared" ref="O140:O143" si="218">N140*DAY($C140)*86400/43560/1000</f>
        <v>12.223947975852273</v>
      </c>
      <c r="P140" s="30">
        <f>VLOOKUP($C140,COS!$B$8:$H$991,6,FALSE)</f>
        <v>427.27923583984375</v>
      </c>
      <c r="Q140" s="30">
        <f t="shared" ref="Q140:Q143" si="219">P140*DAY($C140)*86400/43560/1000</f>
        <v>25.424880149147729</v>
      </c>
      <c r="R140" s="30">
        <f>MIN(IF(MONTH($C140)=4,$S$3,IF(MONTH($C140)=5,$S$4,IF(MONTH($C140)=6,$S$5,IF(MONTH($C140)=7,$S$6,"ERROR")))),MAX(VLOOKUP($C140,COS!$B$8:$K$991,10,FALSE)-IF(MONTH($C140)=4,$Y$3,IF(MONTH($C140)=5,$Y$4,IF(MONTH($C140)=6,$Y$5,IF(MONTH($C140)=7,$Y$6,"ERROR")))),0),MAX(VLOOKUP($C140,COS!$B$8:$K$991,9,FALSE)-IF(MONTH($C140)=4,$V$3,IF(MONTH($C140)=5,$V$4,IF(MONTH($C140)=6,$V$5,IF(MONTH($C140)=7,$V$6,"ERROR"))))-VLOOKUP($C140,COS!$B$8:$K$991,6,FALSE)/2,0))</f>
        <v>1500</v>
      </c>
      <c r="S140" s="30">
        <f t="shared" ref="S140:S143" si="220">R140*DAY($C140)*86400/43560/1000</f>
        <v>89.256198347107429</v>
      </c>
      <c r="T140" s="30">
        <f t="shared" ref="T140:T143" si="221">(O140+Q140)/2+S140</f>
        <v>108.08061240960743</v>
      </c>
      <c r="U140" s="30" t="str">
        <f>IF(VLOOKUP($C140,COS!$B$8:$I$991,8,FALSE)=1,"UWFE","IBU")</f>
        <v>UWFE</v>
      </c>
      <c r="V140" s="30">
        <f t="shared" ref="V140" si="222">MIN(IF(IF($AA$3=2,AND(E140=1,G140=1,L140=1,L145=1,M140=1,U140="IBU"),AND(E140=1,G140=1,L140=1,L145=1,M140=1)),T140,0),I140)</f>
        <v>0</v>
      </c>
      <c r="W140" s="30"/>
      <c r="X140" s="30"/>
      <c r="Y140" s="30"/>
      <c r="Z140" s="30"/>
      <c r="AA140" s="30"/>
      <c r="AB140" s="31"/>
    </row>
    <row r="141" spans="1:28" x14ac:dyDescent="0.3">
      <c r="A141" s="32">
        <f>VLOOKUP(YEAR(C141),Flags!$A$13:$B$95,2,FALSE)</f>
        <v>3</v>
      </c>
      <c r="B141" s="24">
        <f t="shared" si="116"/>
        <v>1936</v>
      </c>
      <c r="C141" s="25">
        <v>13301</v>
      </c>
      <c r="D141" s="26">
        <f>VLOOKUP($C141,COS!$B$8:$H$991,3,FALSE)</f>
        <v>5730.4501953125</v>
      </c>
      <c r="E141" s="24">
        <f>IF(D141&gt;=IF(MONTH($C141)=4,$C$3,IF(MONTH($C141)=5,$C$4,IF(MONTH($C141)=6,$C$5,IF(MONTH($C141)=7,$C$6,"ERROR")))),1,0)</f>
        <v>0</v>
      </c>
      <c r="F141" s="26">
        <f>VLOOKUP($C141,COS!$B$8:$H$991,7,FALSE)</f>
        <v>50.767982482910156</v>
      </c>
      <c r="G141" s="24">
        <f>IF(F141&lt;=IF(MONTH($C141)=4,$F$3,IF(MONTH($C141)=5,$F$4,IF(MONTH($C141)=6,$F$5,IF(MONTH($C141)=7,$F$6,"ERROR")))),1,0)</f>
        <v>1</v>
      </c>
      <c r="H141" s="26">
        <f>IF(J141=1,D141-$C$4,0)</f>
        <v>0</v>
      </c>
      <c r="I141" s="26">
        <f t="shared" si="136"/>
        <v>0</v>
      </c>
      <c r="J141" s="24">
        <f t="shared" si="215"/>
        <v>0</v>
      </c>
      <c r="K141" s="26">
        <f>VLOOKUP($C141,COS!$B$8:$H$991,2,FALSE)</f>
        <v>4065.37890625</v>
      </c>
      <c r="L141" s="24">
        <f t="shared" si="129"/>
        <v>1</v>
      </c>
      <c r="M141" s="24">
        <f t="shared" si="130"/>
        <v>0</v>
      </c>
      <c r="N141" s="26">
        <f>VLOOKUP($C141,COS!$B$8:$H$991,5,FALSE)</f>
        <v>284.62387084960938</v>
      </c>
      <c r="O141" s="26">
        <f t="shared" si="218"/>
        <v>17.500839662157798</v>
      </c>
      <c r="P141" s="26">
        <f>VLOOKUP($C141,COS!$B$8:$H$991,6,FALSE)</f>
        <v>2118.009033203125</v>
      </c>
      <c r="Q141" s="26">
        <f t="shared" si="219"/>
        <v>130.23129923166323</v>
      </c>
      <c r="R141" s="26">
        <f>MIN(IF(MONTH($C141)=4,$S$3,IF(MONTH($C141)=5,$S$4,IF(MONTH($C141)=6,$S$5,IF(MONTH($C141)=7,$S$6,"ERROR")))),MAX(VLOOKUP($C141,COS!$B$8:$K$991,10,FALSE)-IF(MONTH($C141)=4,$Y$3,IF(MONTH($C141)=5,$Y$4,IF(MONTH($C141)=6,$Y$5,IF(MONTH($C141)=7,$Y$6,"ERROR")))),0),MAX(VLOOKUP($C141,COS!$B$8:$K$991,9,FALSE)-IF(MONTH($C141)=4,$V$3,IF(MONTH($C141)=5,$V$4,IF(MONTH($C141)=6,$V$5,IF(MONTH($C141)=7,$V$6,"ERROR"))))-VLOOKUP($C141,COS!$B$8:$K$991,6,FALSE)/2,0))</f>
        <v>1500</v>
      </c>
      <c r="S141" s="26">
        <f t="shared" si="220"/>
        <v>92.231404958677686</v>
      </c>
      <c r="T141" s="26">
        <f t="shared" si="221"/>
        <v>166.0974744055882</v>
      </c>
      <c r="U141" s="26" t="str">
        <f>IF(VLOOKUP($C141,COS!$B$8:$I$991,8,FALSE)=1,"UWFE","IBU")</f>
        <v>UWFE</v>
      </c>
      <c r="V141" s="26">
        <f t="shared" ref="V141" si="223">MIN(IF(IF($AA$3=2,AND(E141=1,G141=1,L141=1,L145=1,M141=1,U141="IBU"),AND(E141=1,G141=1,L141=1,L145=1,M141=1)),T141,0),I141)</f>
        <v>0</v>
      </c>
      <c r="W141" s="26"/>
      <c r="X141" s="26"/>
      <c r="Y141" s="26"/>
      <c r="Z141" s="26"/>
      <c r="AA141" s="26"/>
      <c r="AB141" s="33"/>
    </row>
    <row r="142" spans="1:28" x14ac:dyDescent="0.3">
      <c r="A142" s="32">
        <f>VLOOKUP(YEAR(C142),Flags!$A$13:$B$95,2,FALSE)</f>
        <v>3</v>
      </c>
      <c r="B142" s="24">
        <f t="shared" si="116"/>
        <v>1936</v>
      </c>
      <c r="C142" s="25">
        <v>13331</v>
      </c>
      <c r="D142" s="26">
        <f>VLOOKUP($C142,COS!$B$8:$H$991,3,FALSE)</f>
        <v>7140.05078125</v>
      </c>
      <c r="E142" s="24">
        <f>IF(D142&gt;=IF(MONTH($C142)=4,$C$3,IF(MONTH($C142)=5,$C$4,IF(MONTH($C142)=6,$C$5,IF(MONTH($C142)=7,$C$6,"ERROR")))),1,0)</f>
        <v>0</v>
      </c>
      <c r="F142" s="26">
        <f>VLOOKUP($C142,COS!$B$8:$H$991,7,FALSE)</f>
        <v>50.706310272216797</v>
      </c>
      <c r="G142" s="24">
        <f>IF(F142&lt;=IF(MONTH($C142)=4,$F$3,IF(MONTH($C142)=5,$F$4,IF(MONTH($C142)=6,$F$5,IF(MONTH($C142)=7,$F$6,"ERROR")))),1,0)</f>
        <v>1</v>
      </c>
      <c r="H142" s="26">
        <f>IF(J142=1,D142-$C$5,0)</f>
        <v>0</v>
      </c>
      <c r="I142" s="26">
        <f t="shared" si="136"/>
        <v>0</v>
      </c>
      <c r="J142" s="24">
        <f t="shared" si="215"/>
        <v>0</v>
      </c>
      <c r="K142" s="26">
        <f>VLOOKUP($C142,COS!$B$8:$H$991,2,FALSE)</f>
        <v>3872.543701171875</v>
      </c>
      <c r="L142" s="24">
        <f t="shared" si="129"/>
        <v>1</v>
      </c>
      <c r="M142" s="24">
        <f t="shared" si="130"/>
        <v>0</v>
      </c>
      <c r="N142" s="26">
        <f>VLOOKUP($C142,COS!$B$8:$H$991,5,FALSE)</f>
        <v>523.20947265625</v>
      </c>
      <c r="O142" s="26">
        <f t="shared" si="218"/>
        <v>31.133125645661156</v>
      </c>
      <c r="P142" s="26">
        <f>VLOOKUP($C142,COS!$B$8:$H$991,6,FALSE)</f>
        <v>2337.24169921875</v>
      </c>
      <c r="Q142" s="26">
        <f t="shared" si="219"/>
        <v>139.07553912706612</v>
      </c>
      <c r="R142" s="26">
        <f>MIN(IF(MONTH($C142)=4,$S$3,IF(MONTH($C142)=5,$S$4,IF(MONTH($C142)=6,$S$5,IF(MONTH($C142)=7,$S$6,"ERROR")))),MAX(VLOOKUP($C142,COS!$B$8:$K$991,10,FALSE)-IF(MONTH($C142)=4,$Y$3,IF(MONTH($C142)=5,$Y$4,IF(MONTH($C142)=6,$Y$5,IF(MONTH($C142)=7,$Y$6,"ERROR")))),0),MAX(VLOOKUP($C142,COS!$B$8:$K$991,9,FALSE)-IF(MONTH($C142)=4,$V$3,IF(MONTH($C142)=5,$V$4,IF(MONTH($C142)=6,$V$5,IF(MONTH($C142)=7,$V$6,"ERROR"))))-VLOOKUP($C142,COS!$B$8:$K$991,6,FALSE)/2,0))</f>
        <v>1500</v>
      </c>
      <c r="S142" s="26">
        <f t="shared" si="220"/>
        <v>89.256198347107429</v>
      </c>
      <c r="T142" s="26">
        <f t="shared" si="221"/>
        <v>174.36053073347108</v>
      </c>
      <c r="U142" s="26" t="str">
        <f>IF(VLOOKUP($C142,COS!$B$8:$I$991,8,FALSE)=1,"UWFE","IBU")</f>
        <v>UWFE</v>
      </c>
      <c r="V142" s="26">
        <f t="shared" ref="V142" si="224">MIN(IF(IF($AA$3=2,AND(E142=1,G142=1,L142=1,L145=1,M142=1,U142="IBU"),AND(E142=1,G142=1,L142=1,L145=1,M142=1)),T142,0),I142)</f>
        <v>0</v>
      </c>
      <c r="W142" s="26"/>
      <c r="X142" s="26"/>
      <c r="Y142" s="26"/>
      <c r="Z142" s="26"/>
      <c r="AA142" s="26"/>
      <c r="AB142" s="33"/>
    </row>
    <row r="143" spans="1:28" x14ac:dyDescent="0.3">
      <c r="A143" s="32">
        <f>VLOOKUP(YEAR(C143),Flags!$A$13:$B$95,2,FALSE)</f>
        <v>3</v>
      </c>
      <c r="B143" s="24">
        <f t="shared" ref="B143:B206" si="225">YEAR(C143)</f>
        <v>1936</v>
      </c>
      <c r="C143" s="25">
        <v>13362</v>
      </c>
      <c r="D143" s="26">
        <f>VLOOKUP($C143,COS!$B$8:$H$991,3,FALSE)</f>
        <v>10100.955078125</v>
      </c>
      <c r="E143" s="24">
        <f>IF(D143&gt;=IF(MONTH($C143)=4,$C$3,IF(MONTH($C143)=5,$C$4,IF(MONTH($C143)=6,$C$5,IF(MONTH($C143)=7,$C$6,"ERROR")))),1,0)</f>
        <v>0</v>
      </c>
      <c r="F143" s="26">
        <f>VLOOKUP($C143,COS!$B$8:$H$991,7,FALSE)</f>
        <v>50.784397125244141</v>
      </c>
      <c r="G143" s="24">
        <f>IF(F143&lt;=IF(MONTH($C143)=4,$F$3,IF(MONTH($C143)=5,$F$4,IF(MONTH($C143)=6,$F$5,IF(MONTH($C143)=7,$F$6,"ERROR")))),1,0)</f>
        <v>1</v>
      </c>
      <c r="H143" s="26">
        <f>IF(J143=1,D143-$C$6,0)</f>
        <v>0</v>
      </c>
      <c r="I143" s="26">
        <f t="shared" si="136"/>
        <v>0</v>
      </c>
      <c r="J143" s="24">
        <f t="shared" si="215"/>
        <v>0</v>
      </c>
      <c r="K143" s="26">
        <f>VLOOKUP($C143,COS!$B$8:$H$991,2,FALSE)</f>
        <v>3405.32080078125</v>
      </c>
      <c r="L143" s="24">
        <f t="shared" si="129"/>
        <v>1</v>
      </c>
      <c r="M143" s="24">
        <f t="shared" si="130"/>
        <v>0</v>
      </c>
      <c r="N143" s="26">
        <f>VLOOKUP($C143,COS!$B$8:$H$991,5,FALSE)</f>
        <v>692.3970947265625</v>
      </c>
      <c r="O143" s="26">
        <f t="shared" si="218"/>
        <v>42.573837890625001</v>
      </c>
      <c r="P143" s="26">
        <f>VLOOKUP($C143,COS!$B$8:$H$991,6,FALSE)</f>
        <v>2537.385498046875</v>
      </c>
      <c r="Q143" s="26">
        <f t="shared" si="219"/>
        <v>156.01775293775825</v>
      </c>
      <c r="R143" s="26">
        <f>MIN(IF(MONTH($C143)=4,$S$3,IF(MONTH($C143)=5,$S$4,IF(MONTH($C143)=6,$S$5,IF(MONTH($C143)=7,$S$6,"ERROR")))),MAX(VLOOKUP($C143,COS!$B$8:$K$991,10,FALSE)-IF(MONTH($C143)=4,$Y$3,IF(MONTH($C143)=5,$Y$4,IF(MONTH($C143)=6,$Y$5,IF(MONTH($C143)=7,$Y$6,"ERROR")))),0),MAX(VLOOKUP($C143,COS!$B$8:$K$991,9,FALSE)-IF(MONTH($C143)=4,$V$3,IF(MONTH($C143)=5,$V$4,IF(MONTH($C143)=6,$V$5,IF(MONTH($C143)=7,$V$6,"ERROR"))))-VLOOKUP($C143,COS!$B$8:$K$991,6,FALSE)/2,0))</f>
        <v>1500</v>
      </c>
      <c r="S143" s="26">
        <f t="shared" si="220"/>
        <v>92.231404958677686</v>
      </c>
      <c r="T143" s="26">
        <f t="shared" si="221"/>
        <v>191.52720037286929</v>
      </c>
      <c r="U143" s="26" t="str">
        <f>IF(VLOOKUP($C143,COS!$B$8:$I$991,8,FALSE)=1,"UWFE","IBU")</f>
        <v>IBU</v>
      </c>
      <c r="V143" s="26">
        <f t="shared" ref="V143" si="226">MIN(IF(IF($AA$3=2,AND(E143=1,G143=1,L143=1,L145=1,M143=1,U143="IBU"),AND(E143=1,G143=1,L143=1,L145=1,M143=1)),T143,0),I143)</f>
        <v>0</v>
      </c>
      <c r="W143" s="26"/>
      <c r="X143" s="26"/>
      <c r="Y143" s="26"/>
      <c r="Z143" s="26"/>
      <c r="AA143" s="26"/>
      <c r="AB143" s="33"/>
    </row>
    <row r="144" spans="1:28" x14ac:dyDescent="0.3">
      <c r="A144" s="32">
        <f>VLOOKUP(YEAR(C144),Flags!$A$13:$B$95,2,FALSE)</f>
        <v>3</v>
      </c>
      <c r="B144" s="24">
        <f t="shared" si="225"/>
        <v>1936</v>
      </c>
      <c r="C144" s="25">
        <v>13393</v>
      </c>
      <c r="D144" s="26"/>
      <c r="E144" s="24"/>
      <c r="F144" s="26"/>
      <c r="G144" s="24"/>
      <c r="H144" s="24"/>
      <c r="I144" s="26"/>
      <c r="J144" s="24"/>
      <c r="K144" s="26"/>
      <c r="L144" s="24"/>
      <c r="M144" s="24"/>
      <c r="N144" s="26"/>
      <c r="O144" s="26"/>
      <c r="P144" s="26"/>
      <c r="Q144" s="26"/>
      <c r="R144" s="26"/>
      <c r="S144" s="26"/>
      <c r="T144" s="26"/>
      <c r="U144" s="26"/>
      <c r="V144" s="26"/>
      <c r="W144" s="26">
        <f>MAX($C$7-VLOOKUP($C144,COS!$B$8:$H$991,3,FALSE),0)</f>
        <v>90321.0078125</v>
      </c>
      <c r="X144" s="26">
        <f t="shared" si="143"/>
        <v>5553.6222985537188</v>
      </c>
      <c r="Y144" s="26">
        <f>VLOOKUP($C144,COS!$B$8:$H$991,4,FALSE)</f>
        <v>354.93222045898438</v>
      </c>
      <c r="Z144" s="26">
        <f t="shared" si="144"/>
        <v>21.823931572023504</v>
      </c>
      <c r="AA144" s="26">
        <f t="shared" ref="AA144:AA148" si="227">MIN(W144,Y144)</f>
        <v>354.93222045898438</v>
      </c>
      <c r="AB144" s="33">
        <f t="shared" ref="AB144" si="228">AA144*DAY($C144)*86400/43560/1000*IF(MONTH($C144)=8,$P$3,IF(MONTH($C144)=9,$P$4,IF(MONTH($C144)=10,$P$5,IF(MONTH($C144)=11,$P$6,IF(MONTH($C144)=12,$P$7,NA())))))</f>
        <v>21.823931572023504</v>
      </c>
    </row>
    <row r="145" spans="1:28" x14ac:dyDescent="0.3">
      <c r="A145" s="32">
        <f>VLOOKUP(YEAR(C145),Flags!$A$13:$B$95,2,FALSE)</f>
        <v>3</v>
      </c>
      <c r="B145" s="24">
        <f t="shared" si="225"/>
        <v>1936</v>
      </c>
      <c r="C145" s="25">
        <v>13423</v>
      </c>
      <c r="D145" s="26"/>
      <c r="E145" s="24"/>
      <c r="F145" s="26"/>
      <c r="G145" s="24"/>
      <c r="H145" s="24"/>
      <c r="I145" s="26"/>
      <c r="J145" s="24"/>
      <c r="K145" s="26">
        <f>VLOOKUP($C145,COS!$B$8:$H$991,2,FALSE)</f>
        <v>2909.572509765625</v>
      </c>
      <c r="L145" s="24">
        <f t="shared" ref="L145" si="229">IF(AND(K145&gt;$I$7,K145&lt;$I$8),1,0)</f>
        <v>1</v>
      </c>
      <c r="M145" s="24"/>
      <c r="N145" s="26"/>
      <c r="O145" s="26"/>
      <c r="P145" s="26"/>
      <c r="Q145" s="26"/>
      <c r="R145" s="26"/>
      <c r="S145" s="26"/>
      <c r="T145" s="26"/>
      <c r="U145" s="26"/>
      <c r="V145" s="26"/>
      <c r="W145" s="26">
        <f>MAX($C$8-VLOOKUP($C145,COS!$B$8:$H$991,3,FALSE),0)</f>
        <v>95795.64453125</v>
      </c>
      <c r="X145" s="26">
        <f t="shared" si="143"/>
        <v>5700.2366993801652</v>
      </c>
      <c r="Y145" s="26">
        <f>VLOOKUP($C145,COS!$B$8:$H$991,4,FALSE)</f>
        <v>0</v>
      </c>
      <c r="Z145" s="26">
        <f t="shared" si="144"/>
        <v>0</v>
      </c>
      <c r="AA145" s="26">
        <f t="shared" si="227"/>
        <v>0</v>
      </c>
      <c r="AB145" s="33">
        <f t="shared" si="141"/>
        <v>0</v>
      </c>
    </row>
    <row r="146" spans="1:28" x14ac:dyDescent="0.3">
      <c r="A146" s="32">
        <f>VLOOKUP(YEAR(C146),Flags!$A$13:$B$95,2,FALSE)</f>
        <v>3</v>
      </c>
      <c r="B146" s="24">
        <f t="shared" si="225"/>
        <v>1936</v>
      </c>
      <c r="C146" s="25">
        <v>13454</v>
      </c>
      <c r="D146" s="26"/>
      <c r="E146" s="24"/>
      <c r="F146" s="26"/>
      <c r="G146" s="26"/>
      <c r="H146" s="26"/>
      <c r="I146" s="26"/>
      <c r="J146" s="26"/>
      <c r="K146" s="26"/>
      <c r="L146" s="24"/>
      <c r="M146" s="24"/>
      <c r="N146" s="26"/>
      <c r="O146" s="26"/>
      <c r="P146" s="26"/>
      <c r="Q146" s="26"/>
      <c r="R146" s="26"/>
      <c r="S146" s="26"/>
      <c r="T146" s="26"/>
      <c r="U146" s="26"/>
      <c r="V146" s="26"/>
      <c r="W146" s="26">
        <f>MAX($C$9-VLOOKUP($C146,COS!$B$8:$H$991,3,FALSE),0)</f>
        <v>94201.28515625</v>
      </c>
      <c r="X146" s="26">
        <f t="shared" si="143"/>
        <v>5792.2112525826451</v>
      </c>
      <c r="Y146" s="26">
        <f>VLOOKUP($C146,COS!$B$8:$H$991,4,FALSE)</f>
        <v>840.8681640625</v>
      </c>
      <c r="Z146" s="26">
        <f t="shared" si="144"/>
        <v>51.702968104338844</v>
      </c>
      <c r="AA146" s="26">
        <f t="shared" si="227"/>
        <v>840.8681640625</v>
      </c>
      <c r="AB146" s="33">
        <f t="shared" si="141"/>
        <v>51.702968104338844</v>
      </c>
    </row>
    <row r="147" spans="1:28" x14ac:dyDescent="0.3">
      <c r="A147" s="32">
        <f>VLOOKUP(YEAR(C147),Flags!$A$13:$B$95,2,FALSE)</f>
        <v>3</v>
      </c>
      <c r="B147" s="24">
        <f t="shared" si="225"/>
        <v>1936</v>
      </c>
      <c r="C147" s="25">
        <v>13484</v>
      </c>
      <c r="D147" s="26"/>
      <c r="E147" s="24"/>
      <c r="F147" s="26"/>
      <c r="G147" s="26"/>
      <c r="H147" s="26"/>
      <c r="I147" s="26"/>
      <c r="J147" s="26"/>
      <c r="K147" s="26"/>
      <c r="L147" s="24"/>
      <c r="M147" s="24"/>
      <c r="N147" s="26"/>
      <c r="O147" s="26"/>
      <c r="P147" s="26"/>
      <c r="Q147" s="26"/>
      <c r="R147" s="26"/>
      <c r="S147" s="26"/>
      <c r="T147" s="26"/>
      <c r="U147" s="26"/>
      <c r="V147" s="26"/>
      <c r="W147" s="26">
        <f>MAX($C$10-VLOOKUP($C147,COS!$B$8:$H$991,3,FALSE),0)</f>
        <v>94597.1748046875</v>
      </c>
      <c r="X147" s="26">
        <f t="shared" si="143"/>
        <v>5628.9227982954544</v>
      </c>
      <c r="Y147" s="26">
        <f>VLOOKUP($C147,COS!$B$8:$H$991,4,FALSE)</f>
        <v>1128.2205810546875</v>
      </c>
      <c r="Z147" s="26">
        <f t="shared" si="144"/>
        <v>67.13378664127066</v>
      </c>
      <c r="AA147" s="26">
        <f t="shared" si="227"/>
        <v>1128.2205810546875</v>
      </c>
      <c r="AB147" s="33">
        <f t="shared" si="141"/>
        <v>67.13378664127066</v>
      </c>
    </row>
    <row r="148" spans="1:28" x14ac:dyDescent="0.3">
      <c r="A148" s="34">
        <f>VLOOKUP(YEAR(C148),Flags!$A$13:$B$95,2,FALSE)</f>
        <v>3</v>
      </c>
      <c r="B148" s="35">
        <f t="shared" si="225"/>
        <v>1936</v>
      </c>
      <c r="C148" s="36">
        <v>13515</v>
      </c>
      <c r="D148" s="37"/>
      <c r="E148" s="35"/>
      <c r="F148" s="37"/>
      <c r="G148" s="37"/>
      <c r="H148" s="37"/>
      <c r="I148" s="37"/>
      <c r="J148" s="37"/>
      <c r="K148" s="37"/>
      <c r="L148" s="35"/>
      <c r="M148" s="35"/>
      <c r="N148" s="37"/>
      <c r="O148" s="37"/>
      <c r="P148" s="37"/>
      <c r="Q148" s="37"/>
      <c r="R148" s="37"/>
      <c r="S148" s="37"/>
      <c r="T148" s="37"/>
      <c r="U148" s="37"/>
      <c r="V148" s="37"/>
      <c r="W148" s="37">
        <f>MAX($C$11-VLOOKUP($C148,COS!$B$8:$H$991,3,FALSE),0)</f>
        <v>96641.052978515625</v>
      </c>
      <c r="X148" s="37">
        <f t="shared" si="143"/>
        <v>5942.2267285963326</v>
      </c>
      <c r="Y148" s="37">
        <f>VLOOKUP($C148,COS!$B$8:$H$991,4,FALSE)</f>
        <v>608.6763916015625</v>
      </c>
      <c r="Z148" s="37">
        <f t="shared" si="144"/>
        <v>37.426052508393596</v>
      </c>
      <c r="AA148" s="37">
        <f t="shared" si="227"/>
        <v>608.6763916015625</v>
      </c>
      <c r="AB148" s="38">
        <f t="shared" si="141"/>
        <v>37.426052508393596</v>
      </c>
    </row>
    <row r="149" spans="1:28" x14ac:dyDescent="0.3">
      <c r="A149" s="27">
        <f>VLOOKUP(YEAR(C149),Flags!$A$13:$B$95,2,FALSE)</f>
        <v>4</v>
      </c>
      <c r="B149" s="28">
        <f t="shared" si="225"/>
        <v>1937</v>
      </c>
      <c r="C149" s="29">
        <v>13635</v>
      </c>
      <c r="D149" s="30">
        <f>VLOOKUP($C149,COS!$B$8:$H$991,3,FALSE)</f>
        <v>3250</v>
      </c>
      <c r="E149" s="28">
        <f>IF(D149&gt;=IF(MONTH($C149)=4,$C$3,IF(MONTH($C149)=5,$C$4,IF(MONTH($C149)=6,$C$5,IF(MONTH($C149)=7,$C$6,"ERROR")))),1,0)</f>
        <v>0</v>
      </c>
      <c r="F149" s="30">
        <f>VLOOKUP($C149,COS!$B$8:$H$991,7,FALSE)</f>
        <v>51.161907196044922</v>
      </c>
      <c r="G149" s="28">
        <f>IF(F149&lt;=IF(MONTH($C149)=4,$F$3,IF(MONTH($C149)=5,$F$4,IF(MONTH($C149)=6,$F$5,IF(MONTH($C149)=7,$F$6,"ERROR")))),1,0)</f>
        <v>1</v>
      </c>
      <c r="H149" s="30">
        <f>IF(J149=1,D149-$C$3,0)</f>
        <v>0</v>
      </c>
      <c r="I149" s="30">
        <f t="shared" si="136"/>
        <v>0</v>
      </c>
      <c r="J149" s="28">
        <f t="shared" ref="J149:J152" si="230">IF(AND(E149=1,G149=1),1,0)</f>
        <v>0</v>
      </c>
      <c r="K149" s="30">
        <f>VLOOKUP($C149,COS!$B$8:$H$991,2,FALSE)</f>
        <v>4047.59912109375</v>
      </c>
      <c r="L149" s="28">
        <f t="shared" ref="L149:L206" si="231">IF(K149&lt;=IF(MONTH($C149)=4,$I$3,IF(MONTH($C149)=5,$I$4,IF(MONTH($C149)=6,$I$5,IF(MONTH($C149)=7,$I$6,"ERROR")))),1,0)</f>
        <v>1</v>
      </c>
      <c r="M149" s="28">
        <f t="shared" ref="M149:M206" si="232">VLOOKUP($A149,$L$3:$M$7,2,FALSE)</f>
        <v>1</v>
      </c>
      <c r="N149" s="30">
        <f>VLOOKUP($C149,COS!$B$8:$H$991,5,FALSE)</f>
        <v>21.622846603393555</v>
      </c>
      <c r="O149" s="30">
        <f t="shared" ref="O149:O152" si="233">N149*DAY($C149)*86400/43560/1000</f>
        <v>1.2866487235077158</v>
      </c>
      <c r="P149" s="30">
        <f>VLOOKUP($C149,COS!$B$8:$H$991,6,FALSE)</f>
        <v>433.80865478515625</v>
      </c>
      <c r="Q149" s="30">
        <f t="shared" ref="Q149:Q152" si="234">P149*DAY($C149)*86400/43560/1000</f>
        <v>25.813407557463844</v>
      </c>
      <c r="R149" s="30">
        <f>MIN(IF(MONTH($C149)=4,$S$3,IF(MONTH($C149)=5,$S$4,IF(MONTH($C149)=6,$S$5,IF(MONTH($C149)=7,$S$6,"ERROR")))),MAX(VLOOKUP($C149,COS!$B$8:$K$991,10,FALSE)-IF(MONTH($C149)=4,$Y$3,IF(MONTH($C149)=5,$Y$4,IF(MONTH($C149)=6,$Y$5,IF(MONTH($C149)=7,$Y$6,"ERROR")))),0),MAX(VLOOKUP($C149,COS!$B$8:$K$991,9,FALSE)-IF(MONTH($C149)=4,$V$3,IF(MONTH($C149)=5,$V$4,IF(MONTH($C149)=6,$V$5,IF(MONTH($C149)=7,$V$6,"ERROR"))))-VLOOKUP($C149,COS!$B$8:$K$991,6,FALSE)/2,0))</f>
        <v>1500</v>
      </c>
      <c r="S149" s="30">
        <f t="shared" ref="S149:S152" si="235">R149*DAY($C149)*86400/43560/1000</f>
        <v>89.256198347107429</v>
      </c>
      <c r="T149" s="30">
        <f t="shared" ref="T149:T152" si="236">(O149+Q149)/2+S149</f>
        <v>102.80622648759321</v>
      </c>
      <c r="U149" s="30" t="str">
        <f>IF(VLOOKUP($C149,COS!$B$8:$I$991,8,FALSE)=1,"UWFE","IBU")</f>
        <v>UWFE</v>
      </c>
      <c r="V149" s="30">
        <f t="shared" ref="V149" si="237">MIN(IF(IF($AA$3=2,AND(E149=1,G149=1,L149=1,L154=1,M149=1,U149="IBU"),AND(E149=1,G149=1,L149=1,L154=1,M149=1)),T149,0),I149)</f>
        <v>0</v>
      </c>
      <c r="W149" s="30"/>
      <c r="X149" s="30"/>
      <c r="Y149" s="30"/>
      <c r="Z149" s="30"/>
      <c r="AA149" s="30"/>
      <c r="AB149" s="31"/>
    </row>
    <row r="150" spans="1:28" x14ac:dyDescent="0.3">
      <c r="A150" s="32">
        <f>VLOOKUP(YEAR(C150),Flags!$A$13:$B$95,2,FALSE)</f>
        <v>4</v>
      </c>
      <c r="B150" s="24">
        <f t="shared" si="225"/>
        <v>1937</v>
      </c>
      <c r="C150" s="25">
        <v>13666</v>
      </c>
      <c r="D150" s="26">
        <f>VLOOKUP($C150,COS!$B$8:$H$991,3,FALSE)</f>
        <v>5043.80322265625</v>
      </c>
      <c r="E150" s="24">
        <f>IF(D150&gt;=IF(MONTH($C150)=4,$C$3,IF(MONTH($C150)=5,$C$4,IF(MONTH($C150)=6,$C$5,IF(MONTH($C150)=7,$C$6,"ERROR")))),1,0)</f>
        <v>0</v>
      </c>
      <c r="F150" s="26">
        <f>VLOOKUP($C150,COS!$B$8:$H$991,7,FALSE)</f>
        <v>52.362800598144531</v>
      </c>
      <c r="G150" s="24">
        <f>IF(F150&lt;=IF(MONTH($C150)=4,$F$3,IF(MONTH($C150)=5,$F$4,IF(MONTH($C150)=6,$F$5,IF(MONTH($C150)=7,$F$6,"ERROR")))),1,0)</f>
        <v>1</v>
      </c>
      <c r="H150" s="26">
        <f>IF(J150=1,D150-$C$4,0)</f>
        <v>0</v>
      </c>
      <c r="I150" s="26">
        <f t="shared" si="136"/>
        <v>0</v>
      </c>
      <c r="J150" s="24">
        <f t="shared" si="230"/>
        <v>0</v>
      </c>
      <c r="K150" s="26">
        <f>VLOOKUP($C150,COS!$B$8:$H$991,2,FALSE)</f>
        <v>4246.3125</v>
      </c>
      <c r="L150" s="24">
        <f t="shared" si="231"/>
        <v>1</v>
      </c>
      <c r="M150" s="24">
        <f t="shared" si="232"/>
        <v>1</v>
      </c>
      <c r="N150" s="26">
        <f>VLOOKUP($C150,COS!$B$8:$H$991,5,FALSE)</f>
        <v>298.0838623046875</v>
      </c>
      <c r="O150" s="26">
        <f t="shared" si="233"/>
        <v>18.328462277246903</v>
      </c>
      <c r="P150" s="26">
        <f>VLOOKUP($C150,COS!$B$8:$H$991,6,FALSE)</f>
        <v>2283.91845703125</v>
      </c>
      <c r="Q150" s="26">
        <f t="shared" si="234"/>
        <v>140.43267206869837</v>
      </c>
      <c r="R150" s="26">
        <f>MIN(IF(MONTH($C150)=4,$S$3,IF(MONTH($C150)=5,$S$4,IF(MONTH($C150)=6,$S$5,IF(MONTH($C150)=7,$S$6,"ERROR")))),MAX(VLOOKUP($C150,COS!$B$8:$K$991,10,FALSE)-IF(MONTH($C150)=4,$Y$3,IF(MONTH($C150)=5,$Y$4,IF(MONTH($C150)=6,$Y$5,IF(MONTH($C150)=7,$Y$6,"ERROR")))),0),MAX(VLOOKUP($C150,COS!$B$8:$K$991,9,FALSE)-IF(MONTH($C150)=4,$V$3,IF(MONTH($C150)=5,$V$4,IF(MONTH($C150)=6,$V$5,IF(MONTH($C150)=7,$V$6,"ERROR"))))-VLOOKUP($C150,COS!$B$8:$K$991,6,FALSE)/2,0))</f>
        <v>1500</v>
      </c>
      <c r="S150" s="26">
        <f t="shared" si="235"/>
        <v>92.231404958677686</v>
      </c>
      <c r="T150" s="26">
        <f t="shared" si="236"/>
        <v>171.6119721316503</v>
      </c>
      <c r="U150" s="26" t="str">
        <f>IF(VLOOKUP($C150,COS!$B$8:$I$991,8,FALSE)=1,"UWFE","IBU")</f>
        <v>UWFE</v>
      </c>
      <c r="V150" s="26">
        <f t="shared" ref="V150" si="238">MIN(IF(IF($AA$3=2,AND(E150=1,G150=1,L150=1,L154=1,M150=1,U150="IBU"),AND(E150=1,G150=1,L150=1,L154=1,M150=1)),T150,0),I150)</f>
        <v>0</v>
      </c>
      <c r="W150" s="26"/>
      <c r="X150" s="26"/>
      <c r="Y150" s="26"/>
      <c r="Z150" s="26"/>
      <c r="AA150" s="26"/>
      <c r="AB150" s="33"/>
    </row>
    <row r="151" spans="1:28" x14ac:dyDescent="0.3">
      <c r="A151" s="32">
        <f>VLOOKUP(YEAR(C151),Flags!$A$13:$B$95,2,FALSE)</f>
        <v>4</v>
      </c>
      <c r="B151" s="24">
        <f t="shared" si="225"/>
        <v>1937</v>
      </c>
      <c r="C151" s="25">
        <v>13696</v>
      </c>
      <c r="D151" s="26">
        <f>VLOOKUP($C151,COS!$B$8:$H$991,3,FALSE)</f>
        <v>7479.65771484375</v>
      </c>
      <c r="E151" s="24">
        <f>IF(D151&gt;=IF(MONTH($C151)=4,$C$3,IF(MONTH($C151)=5,$C$4,IF(MONTH($C151)=6,$C$5,IF(MONTH($C151)=7,$C$6,"ERROR")))),1,0)</f>
        <v>0</v>
      </c>
      <c r="F151" s="26">
        <f>VLOOKUP($C151,COS!$B$8:$H$991,7,FALSE)</f>
        <v>52.658245086669922</v>
      </c>
      <c r="G151" s="24">
        <f>IF(F151&lt;=IF(MONTH($C151)=4,$F$3,IF(MONTH($C151)=5,$F$4,IF(MONTH($C151)=6,$F$5,IF(MONTH($C151)=7,$F$6,"ERROR")))),1,0)</f>
        <v>1</v>
      </c>
      <c r="H151" s="26">
        <f>IF(J151=1,D151-$C$5,0)</f>
        <v>0</v>
      </c>
      <c r="I151" s="26">
        <f t="shared" ref="I151:I214" si="239">H151*DAY($C151)*86400/43560/1000</f>
        <v>0</v>
      </c>
      <c r="J151" s="24">
        <f t="shared" si="230"/>
        <v>0</v>
      </c>
      <c r="K151" s="26">
        <f>VLOOKUP($C151,COS!$B$8:$H$991,2,FALSE)</f>
        <v>4074.04931640625</v>
      </c>
      <c r="L151" s="24">
        <f t="shared" si="231"/>
        <v>1</v>
      </c>
      <c r="M151" s="24">
        <f t="shared" si="232"/>
        <v>1</v>
      </c>
      <c r="N151" s="26">
        <f>VLOOKUP($C151,COS!$B$8:$H$991,5,FALSE)</f>
        <v>523.22735595703125</v>
      </c>
      <c r="O151" s="26">
        <f t="shared" si="233"/>
        <v>31.13418977595558</v>
      </c>
      <c r="P151" s="26">
        <f>VLOOKUP($C151,COS!$B$8:$H$991,6,FALSE)</f>
        <v>2560.548095703125</v>
      </c>
      <c r="Q151" s="26">
        <f t="shared" si="234"/>
        <v>152.36319247159091</v>
      </c>
      <c r="R151" s="26">
        <f>MIN(IF(MONTH($C151)=4,$S$3,IF(MONTH($C151)=5,$S$4,IF(MONTH($C151)=6,$S$5,IF(MONTH($C151)=7,$S$6,"ERROR")))),MAX(VLOOKUP($C151,COS!$B$8:$K$991,10,FALSE)-IF(MONTH($C151)=4,$Y$3,IF(MONTH($C151)=5,$Y$4,IF(MONTH($C151)=6,$Y$5,IF(MONTH($C151)=7,$Y$6,"ERROR")))),0),MAX(VLOOKUP($C151,COS!$B$8:$K$991,9,FALSE)-IF(MONTH($C151)=4,$V$3,IF(MONTH($C151)=5,$V$4,IF(MONTH($C151)=6,$V$5,IF(MONTH($C151)=7,$V$6,"ERROR"))))-VLOOKUP($C151,COS!$B$8:$K$991,6,FALSE)/2,0))</f>
        <v>1500</v>
      </c>
      <c r="S151" s="26">
        <f t="shared" si="235"/>
        <v>89.256198347107429</v>
      </c>
      <c r="T151" s="26">
        <f t="shared" si="236"/>
        <v>181.00488947088067</v>
      </c>
      <c r="U151" s="26" t="str">
        <f>IF(VLOOKUP($C151,COS!$B$8:$I$991,8,FALSE)=1,"UWFE","IBU")</f>
        <v>IBU</v>
      </c>
      <c r="V151" s="26">
        <f t="shared" ref="V151" si="240">MIN(IF(IF($AA$3=2,AND(E151=1,G151=1,L151=1,L154=1,M151=1,U151="IBU"),AND(E151=1,G151=1,L151=1,L154=1,M151=1)),T151,0),I151)</f>
        <v>0</v>
      </c>
      <c r="W151" s="26"/>
      <c r="X151" s="26"/>
      <c r="Y151" s="26"/>
      <c r="Z151" s="26"/>
      <c r="AA151" s="26"/>
      <c r="AB151" s="33"/>
    </row>
    <row r="152" spans="1:28" x14ac:dyDescent="0.3">
      <c r="A152" s="32">
        <f>VLOOKUP(YEAR(C152),Flags!$A$13:$B$95,2,FALSE)</f>
        <v>4</v>
      </c>
      <c r="B152" s="24">
        <f t="shared" si="225"/>
        <v>1937</v>
      </c>
      <c r="C152" s="25">
        <v>13727</v>
      </c>
      <c r="D152" s="26">
        <f>VLOOKUP($C152,COS!$B$8:$H$991,3,FALSE)</f>
        <v>10615.4677734375</v>
      </c>
      <c r="E152" s="24">
        <f>IF(D152&gt;=IF(MONTH($C152)=4,$C$3,IF(MONTH($C152)=5,$C$4,IF(MONTH($C152)=6,$C$5,IF(MONTH($C152)=7,$C$6,"ERROR")))),1,0)</f>
        <v>0</v>
      </c>
      <c r="F152" s="26">
        <f>VLOOKUP($C152,COS!$B$8:$H$991,7,FALSE)</f>
        <v>52.404350280761719</v>
      </c>
      <c r="G152" s="24">
        <f>IF(F152&lt;=IF(MONTH($C152)=4,$F$3,IF(MONTH($C152)=5,$F$4,IF(MONTH($C152)=6,$F$5,IF(MONTH($C152)=7,$F$6,"ERROR")))),1,0)</f>
        <v>1</v>
      </c>
      <c r="H152" s="26">
        <f>IF(J152=1,D152-$C$6,0)</f>
        <v>0</v>
      </c>
      <c r="I152" s="26">
        <f t="shared" si="239"/>
        <v>0</v>
      </c>
      <c r="J152" s="24">
        <f t="shared" si="230"/>
        <v>0</v>
      </c>
      <c r="K152" s="26">
        <f>VLOOKUP($C152,COS!$B$8:$H$991,2,FALSE)</f>
        <v>3583.887451171875</v>
      </c>
      <c r="L152" s="24">
        <f t="shared" si="231"/>
        <v>1</v>
      </c>
      <c r="M152" s="24">
        <f t="shared" si="232"/>
        <v>1</v>
      </c>
      <c r="N152" s="26">
        <f>VLOOKUP($C152,COS!$B$8:$H$991,5,FALSE)</f>
        <v>624.25457763671875</v>
      </c>
      <c r="O152" s="26">
        <f t="shared" si="233"/>
        <v>38.383917831547002</v>
      </c>
      <c r="P152" s="26">
        <f>VLOOKUP($C152,COS!$B$8:$H$991,6,FALSE)</f>
        <v>2537.385498046875</v>
      </c>
      <c r="Q152" s="26">
        <f t="shared" si="234"/>
        <v>156.01775293775825</v>
      </c>
      <c r="R152" s="26">
        <f>MIN(IF(MONTH($C152)=4,$S$3,IF(MONTH($C152)=5,$S$4,IF(MONTH($C152)=6,$S$5,IF(MONTH($C152)=7,$S$6,"ERROR")))),MAX(VLOOKUP($C152,COS!$B$8:$K$991,10,FALSE)-IF(MONTH($C152)=4,$Y$3,IF(MONTH($C152)=5,$Y$4,IF(MONTH($C152)=6,$Y$5,IF(MONTH($C152)=7,$Y$6,"ERROR")))),0),MAX(VLOOKUP($C152,COS!$B$8:$K$991,9,FALSE)-IF(MONTH($C152)=4,$V$3,IF(MONTH($C152)=5,$V$4,IF(MONTH($C152)=6,$V$5,IF(MONTH($C152)=7,$V$6,"ERROR"))))-VLOOKUP($C152,COS!$B$8:$K$991,6,FALSE)/2,0))</f>
        <v>1500</v>
      </c>
      <c r="S152" s="26">
        <f t="shared" si="235"/>
        <v>92.231404958677686</v>
      </c>
      <c r="T152" s="26">
        <f t="shared" si="236"/>
        <v>189.43224034333031</v>
      </c>
      <c r="U152" s="26" t="str">
        <f>IF(VLOOKUP($C152,COS!$B$8:$I$991,8,FALSE)=1,"UWFE","IBU")</f>
        <v>IBU</v>
      </c>
      <c r="V152" s="26">
        <f t="shared" ref="V152" si="241">MIN(IF(IF($AA$3=2,AND(E152=1,G152=1,L152=1,L154=1,M152=1,U152="IBU"),AND(E152=1,G152=1,L152=1,L154=1,M152=1)),T152,0),I152)</f>
        <v>0</v>
      </c>
      <c r="W152" s="26"/>
      <c r="X152" s="26"/>
      <c r="Y152" s="26"/>
      <c r="Z152" s="26"/>
      <c r="AA152" s="26"/>
      <c r="AB152" s="33"/>
    </row>
    <row r="153" spans="1:28" x14ac:dyDescent="0.3">
      <c r="A153" s="32">
        <f>VLOOKUP(YEAR(C153),Flags!$A$13:$B$95,2,FALSE)</f>
        <v>4</v>
      </c>
      <c r="B153" s="24">
        <f t="shared" si="225"/>
        <v>1937</v>
      </c>
      <c r="C153" s="25">
        <v>13758</v>
      </c>
      <c r="D153" s="26"/>
      <c r="E153" s="24"/>
      <c r="F153" s="26"/>
      <c r="G153" s="24"/>
      <c r="H153" s="24"/>
      <c r="I153" s="26"/>
      <c r="J153" s="24"/>
      <c r="K153" s="26"/>
      <c r="L153" s="24"/>
      <c r="M153" s="24"/>
      <c r="N153" s="26"/>
      <c r="O153" s="26"/>
      <c r="P153" s="26"/>
      <c r="Q153" s="26"/>
      <c r="R153" s="26"/>
      <c r="S153" s="26"/>
      <c r="T153" s="26"/>
      <c r="U153" s="26"/>
      <c r="V153" s="26"/>
      <c r="W153" s="26">
        <f>MAX($C$7-VLOOKUP($C153,COS!$B$8:$H$991,3,FALSE),0)</f>
        <v>90408.666015625</v>
      </c>
      <c r="X153" s="26">
        <f t="shared" si="143"/>
        <v>5559.0121913739667</v>
      </c>
      <c r="Y153" s="26">
        <f>VLOOKUP($C153,COS!$B$8:$H$991,4,FALSE)</f>
        <v>565.9937744140625</v>
      </c>
      <c r="Z153" s="26">
        <f t="shared" si="144"/>
        <v>34.801600674715914</v>
      </c>
      <c r="AA153" s="26">
        <f t="shared" ref="AA153:AA157" si="242">MIN(W153,Y153)</f>
        <v>565.9937744140625</v>
      </c>
      <c r="AB153" s="33">
        <f t="shared" ref="AB153:AB211" si="243">AA153*DAY($C153)*86400/43560/1000*IF(MONTH($C153)=8,$P$3,IF(MONTH($C153)=9,$P$4,IF(MONTH($C153)=10,$P$5,IF(MONTH($C153)=11,$P$6,IF(MONTH($C153)=12,$P$7,NA())))))</f>
        <v>34.801600674715914</v>
      </c>
    </row>
    <row r="154" spans="1:28" x14ac:dyDescent="0.3">
      <c r="A154" s="32">
        <f>VLOOKUP(YEAR(C154),Flags!$A$13:$B$95,2,FALSE)</f>
        <v>4</v>
      </c>
      <c r="B154" s="24">
        <f t="shared" si="225"/>
        <v>1937</v>
      </c>
      <c r="C154" s="25">
        <v>13788</v>
      </c>
      <c r="D154" s="26"/>
      <c r="E154" s="24"/>
      <c r="F154" s="26"/>
      <c r="G154" s="24"/>
      <c r="H154" s="24"/>
      <c r="I154" s="26"/>
      <c r="J154" s="24"/>
      <c r="K154" s="26">
        <f>VLOOKUP($C154,COS!$B$8:$H$991,2,FALSE)</f>
        <v>3016.538330078125</v>
      </c>
      <c r="L154" s="24">
        <f t="shared" ref="L154" si="244">IF(AND(K154&gt;$I$7,K154&lt;$I$8),1,0)</f>
        <v>1</v>
      </c>
      <c r="M154" s="24"/>
      <c r="N154" s="26"/>
      <c r="O154" s="26"/>
      <c r="P154" s="26"/>
      <c r="Q154" s="26"/>
      <c r="R154" s="26"/>
      <c r="S154" s="26"/>
      <c r="T154" s="26"/>
      <c r="U154" s="26"/>
      <c r="V154" s="26"/>
      <c r="W154" s="26">
        <f>MAX($C$8-VLOOKUP($C154,COS!$B$8:$H$991,3,FALSE),0)</f>
        <v>94463.15234375</v>
      </c>
      <c r="X154" s="26">
        <f t="shared" si="143"/>
        <v>5620.9479080578512</v>
      </c>
      <c r="Y154" s="26">
        <f>VLOOKUP($C154,COS!$B$8:$H$991,4,FALSE)</f>
        <v>479.2886962890625</v>
      </c>
      <c r="Z154" s="26">
        <f t="shared" si="144"/>
        <v>28.519657961002068</v>
      </c>
      <c r="AA154" s="26">
        <f t="shared" si="242"/>
        <v>479.2886962890625</v>
      </c>
      <c r="AB154" s="33">
        <f t="shared" si="243"/>
        <v>28.519657961002068</v>
      </c>
    </row>
    <row r="155" spans="1:28" x14ac:dyDescent="0.3">
      <c r="A155" s="32">
        <f>VLOOKUP(YEAR(C155),Flags!$A$13:$B$95,2,FALSE)</f>
        <v>4</v>
      </c>
      <c r="B155" s="24">
        <f t="shared" si="225"/>
        <v>1937</v>
      </c>
      <c r="C155" s="25">
        <v>13819</v>
      </c>
      <c r="D155" s="26"/>
      <c r="E155" s="24"/>
      <c r="F155" s="26"/>
      <c r="G155" s="26"/>
      <c r="H155" s="26"/>
      <c r="I155" s="26"/>
      <c r="J155" s="26"/>
      <c r="K155" s="26"/>
      <c r="L155" s="24"/>
      <c r="M155" s="24"/>
      <c r="N155" s="26"/>
      <c r="O155" s="26"/>
      <c r="P155" s="26"/>
      <c r="Q155" s="26"/>
      <c r="R155" s="26"/>
      <c r="S155" s="26"/>
      <c r="T155" s="26"/>
      <c r="U155" s="26"/>
      <c r="V155" s="26"/>
      <c r="W155" s="26">
        <f>MAX($C$9-VLOOKUP($C155,COS!$B$8:$H$991,3,FALSE),0)</f>
        <v>95507.43994140625</v>
      </c>
      <c r="X155" s="26">
        <f t="shared" ref="X155:X218" si="245">W155*DAY($C155)*86400/43560/1000</f>
        <v>5872.5235798682852</v>
      </c>
      <c r="Y155" s="26">
        <f>VLOOKUP($C155,COS!$B$8:$H$991,4,FALSE)</f>
        <v>673.72100830078125</v>
      </c>
      <c r="Z155" s="26">
        <f t="shared" ref="Z155:Z218" si="246">Y155*DAY($C155)*86400/43560/1000</f>
        <v>41.425490097172002</v>
      </c>
      <c r="AA155" s="26">
        <f t="shared" si="242"/>
        <v>673.72100830078125</v>
      </c>
      <c r="AB155" s="33">
        <f t="shared" si="243"/>
        <v>41.425490097172002</v>
      </c>
    </row>
    <row r="156" spans="1:28" x14ac:dyDescent="0.3">
      <c r="A156" s="32">
        <f>VLOOKUP(YEAR(C156),Flags!$A$13:$B$95,2,FALSE)</f>
        <v>4</v>
      </c>
      <c r="B156" s="24">
        <f t="shared" si="225"/>
        <v>1937</v>
      </c>
      <c r="C156" s="25">
        <v>13849</v>
      </c>
      <c r="D156" s="26"/>
      <c r="E156" s="24"/>
      <c r="F156" s="26"/>
      <c r="G156" s="26"/>
      <c r="H156" s="26"/>
      <c r="I156" s="26"/>
      <c r="J156" s="26"/>
      <c r="K156" s="26"/>
      <c r="L156" s="24"/>
      <c r="M156" s="24"/>
      <c r="N156" s="26"/>
      <c r="O156" s="26"/>
      <c r="P156" s="26"/>
      <c r="Q156" s="26"/>
      <c r="R156" s="26"/>
      <c r="S156" s="26"/>
      <c r="T156" s="26"/>
      <c r="U156" s="26"/>
      <c r="V156" s="26"/>
      <c r="W156" s="26">
        <f>MAX($C$10-VLOOKUP($C156,COS!$B$8:$H$991,3,FALSE),0)</f>
        <v>91785.7744140625</v>
      </c>
      <c r="X156" s="26">
        <f t="shared" si="245"/>
        <v>5461.6328576962806</v>
      </c>
      <c r="Y156" s="26">
        <f>VLOOKUP($C156,COS!$B$8:$H$991,4,FALSE)</f>
        <v>0</v>
      </c>
      <c r="Z156" s="26">
        <f t="shared" si="246"/>
        <v>0</v>
      </c>
      <c r="AA156" s="26">
        <f t="shared" si="242"/>
        <v>0</v>
      </c>
      <c r="AB156" s="33">
        <f t="shared" si="243"/>
        <v>0</v>
      </c>
    </row>
    <row r="157" spans="1:28" x14ac:dyDescent="0.3">
      <c r="A157" s="34">
        <f>VLOOKUP(YEAR(C157),Flags!$A$13:$B$95,2,FALSE)</f>
        <v>4</v>
      </c>
      <c r="B157" s="35">
        <f t="shared" si="225"/>
        <v>1937</v>
      </c>
      <c r="C157" s="36">
        <v>13880</v>
      </c>
      <c r="D157" s="37"/>
      <c r="E157" s="35"/>
      <c r="F157" s="37"/>
      <c r="G157" s="37"/>
      <c r="H157" s="37"/>
      <c r="I157" s="37"/>
      <c r="J157" s="37"/>
      <c r="K157" s="37"/>
      <c r="L157" s="35"/>
      <c r="M157" s="35"/>
      <c r="N157" s="37"/>
      <c r="O157" s="37"/>
      <c r="P157" s="37"/>
      <c r="Q157" s="37"/>
      <c r="R157" s="37"/>
      <c r="S157" s="37"/>
      <c r="T157" s="37"/>
      <c r="U157" s="37"/>
      <c r="V157" s="37"/>
      <c r="W157" s="37">
        <f>MAX($C$11-VLOOKUP($C157,COS!$B$8:$H$991,3,FALSE),0)</f>
        <v>81031.080078125</v>
      </c>
      <c r="X157" s="37">
        <f t="shared" si="245"/>
        <v>4982.4069072830571</v>
      </c>
      <c r="Y157" s="37">
        <f>VLOOKUP($C157,COS!$B$8:$H$991,4,FALSE)</f>
        <v>0</v>
      </c>
      <c r="Z157" s="37">
        <f t="shared" si="246"/>
        <v>0</v>
      </c>
      <c r="AA157" s="37">
        <f t="shared" si="242"/>
        <v>0</v>
      </c>
      <c r="AB157" s="38">
        <f t="shared" si="243"/>
        <v>0</v>
      </c>
    </row>
    <row r="158" spans="1:28" x14ac:dyDescent="0.3">
      <c r="A158" s="27">
        <f>VLOOKUP(YEAR(C158),Flags!$A$13:$B$95,2,FALSE)</f>
        <v>1</v>
      </c>
      <c r="B158" s="28">
        <f t="shared" si="225"/>
        <v>1938</v>
      </c>
      <c r="C158" s="29">
        <v>14000</v>
      </c>
      <c r="D158" s="30">
        <f>VLOOKUP($C158,COS!$B$8:$H$991,3,FALSE)</f>
        <v>11215.0048828125</v>
      </c>
      <c r="E158" s="28">
        <f>IF(D158&gt;=IF(MONTH($C158)=4,$C$3,IF(MONTH($C158)=5,$C$4,IF(MONTH($C158)=6,$C$5,IF(MONTH($C158)=7,$C$6,"ERROR")))),1,0)</f>
        <v>1</v>
      </c>
      <c r="F158" s="30">
        <f>VLOOKUP($C158,COS!$B$8:$H$991,7,FALSE)</f>
        <v>47.354358673095703</v>
      </c>
      <c r="G158" s="28">
        <f>IF(F158&lt;=IF(MONTH($C158)=4,$F$3,IF(MONTH($C158)=5,$F$4,IF(MONTH($C158)=6,$F$5,IF(MONTH($C158)=7,$F$6,"ERROR")))),1,0)</f>
        <v>1</v>
      </c>
      <c r="H158" s="30">
        <f>IF(J158=1,D158-$C$3,0)</f>
        <v>5215.0048828125</v>
      </c>
      <c r="I158" s="30">
        <f t="shared" si="239"/>
        <v>310.31434013429748</v>
      </c>
      <c r="J158" s="28">
        <f t="shared" ref="J158:J161" si="247">IF(AND(E158=1,G158=1),1,0)</f>
        <v>1</v>
      </c>
      <c r="K158" s="30">
        <f>VLOOKUP($C158,COS!$B$8:$H$991,2,FALSE)</f>
        <v>4058</v>
      </c>
      <c r="L158" s="28">
        <f t="shared" ref="L158" si="248">IF(K158&lt;=IF(MONTH($C158)=4,$I$3,IF(MONTH($C158)=5,$I$4,IF(MONTH($C158)=6,$I$5,IF(MONTH($C158)=7,$I$6,"ERROR")))),1,0)</f>
        <v>1</v>
      </c>
      <c r="M158" s="28">
        <f t="shared" ref="M158" si="249">VLOOKUP($A158,$L$3:$M$7,2,FALSE)</f>
        <v>0</v>
      </c>
      <c r="N158" s="30">
        <f>VLOOKUP($C158,COS!$B$8:$H$991,5,FALSE)</f>
        <v>40.17889404296875</v>
      </c>
      <c r="O158" s="30">
        <f t="shared" ref="O158:O161" si="250">N158*DAY($C158)*86400/43560/1000</f>
        <v>2.3908102240444213</v>
      </c>
      <c r="P158" s="30">
        <f>VLOOKUP($C158,COS!$B$8:$H$991,6,FALSE)</f>
        <v>377.05276489257813</v>
      </c>
      <c r="Q158" s="30">
        <f t="shared" ref="Q158:Q161" si="251">P158*DAY($C158)*86400/43560/1000</f>
        <v>22.436197580384814</v>
      </c>
      <c r="R158" s="30">
        <f>MIN(IF(MONTH($C158)=4,$S$3,IF(MONTH($C158)=5,$S$4,IF(MONTH($C158)=6,$S$5,IF(MONTH($C158)=7,$S$6,"ERROR")))),MAX(VLOOKUP($C158,COS!$B$8:$K$991,10,FALSE)-IF(MONTH($C158)=4,$Y$3,IF(MONTH($C158)=5,$Y$4,IF(MONTH($C158)=6,$Y$5,IF(MONTH($C158)=7,$Y$6,"ERROR")))),0),MAX(VLOOKUP($C158,COS!$B$8:$K$991,9,FALSE)-IF(MONTH($C158)=4,$V$3,IF(MONTH($C158)=5,$V$4,IF(MONTH($C158)=6,$V$5,IF(MONTH($C158)=7,$V$6,"ERROR"))))-VLOOKUP($C158,COS!$B$8:$K$991,6,FALSE)/2,0))</f>
        <v>1500</v>
      </c>
      <c r="S158" s="30">
        <f t="shared" ref="S158:S161" si="252">R158*DAY($C158)*86400/43560/1000</f>
        <v>89.256198347107429</v>
      </c>
      <c r="T158" s="30">
        <f t="shared" ref="T158:T161" si="253">(O158+Q158)/2+S158</f>
        <v>101.66970224932204</v>
      </c>
      <c r="U158" s="30" t="str">
        <f>IF(VLOOKUP($C158,COS!$B$8:$I$991,8,FALSE)=1,"UWFE","IBU")</f>
        <v>UWFE</v>
      </c>
      <c r="V158" s="30">
        <f t="shared" ref="V158" si="254">MIN(IF(IF($AA$3=2,AND(E158=1,G158=1,L158=1,L163=1,M158=1,U158="IBU"),AND(E158=1,G158=1,L158=1,L163=1,M158=1)),T158,0),I158)</f>
        <v>0</v>
      </c>
      <c r="W158" s="30"/>
      <c r="X158" s="30"/>
      <c r="Y158" s="30"/>
      <c r="Z158" s="30"/>
      <c r="AA158" s="30"/>
      <c r="AB158" s="31"/>
    </row>
    <row r="159" spans="1:28" x14ac:dyDescent="0.3">
      <c r="A159" s="32">
        <f>VLOOKUP(YEAR(C159),Flags!$A$13:$B$95,2,FALSE)</f>
        <v>1</v>
      </c>
      <c r="B159" s="24">
        <f t="shared" si="225"/>
        <v>1938</v>
      </c>
      <c r="C159" s="25">
        <v>14031</v>
      </c>
      <c r="D159" s="26">
        <f>VLOOKUP($C159,COS!$B$8:$H$991,3,FALSE)</f>
        <v>8562.095703125</v>
      </c>
      <c r="E159" s="24">
        <f>IF(D159&gt;=IF(MONTH($C159)=4,$C$3,IF(MONTH($C159)=5,$C$4,IF(MONTH($C159)=6,$C$5,IF(MONTH($C159)=7,$C$6,"ERROR")))),1,0)</f>
        <v>1</v>
      </c>
      <c r="F159" s="26">
        <f>VLOOKUP($C159,COS!$B$8:$H$991,7,FALSE)</f>
        <v>50.241443634033203</v>
      </c>
      <c r="G159" s="24">
        <f>IF(F159&lt;=IF(MONTH($C159)=4,$F$3,IF(MONTH($C159)=5,$F$4,IF(MONTH($C159)=6,$F$5,IF(MONTH($C159)=7,$F$6,"ERROR")))),1,0)</f>
        <v>1</v>
      </c>
      <c r="H159" s="26">
        <f>IF(J159=1,D159-$C$4,0)</f>
        <v>2562.095703125</v>
      </c>
      <c r="I159" s="26">
        <f t="shared" si="239"/>
        <v>157.53712422520661</v>
      </c>
      <c r="J159" s="24">
        <f t="shared" si="247"/>
        <v>1</v>
      </c>
      <c r="K159" s="26">
        <f>VLOOKUP($C159,COS!$B$8:$H$991,2,FALSE)</f>
        <v>4488.45849609375</v>
      </c>
      <c r="L159" s="24">
        <f t="shared" si="231"/>
        <v>1</v>
      </c>
      <c r="M159" s="24">
        <f t="shared" si="232"/>
        <v>0</v>
      </c>
      <c r="N159" s="26">
        <f>VLOOKUP($C159,COS!$B$8:$H$991,5,FALSE)</f>
        <v>664.77288818359375</v>
      </c>
      <c r="O159" s="26">
        <f t="shared" si="250"/>
        <v>40.875291637073857</v>
      </c>
      <c r="P159" s="26">
        <f>VLOOKUP($C159,COS!$B$8:$H$991,6,FALSE)</f>
        <v>2143.932373046875</v>
      </c>
      <c r="Q159" s="26">
        <f t="shared" si="251"/>
        <v>131.82526326833678</v>
      </c>
      <c r="R159" s="26">
        <f>MIN(IF(MONTH($C159)=4,$S$3,IF(MONTH($C159)=5,$S$4,IF(MONTH($C159)=6,$S$5,IF(MONTH($C159)=7,$S$6,"ERROR")))),MAX(VLOOKUP($C159,COS!$B$8:$K$991,10,FALSE)-IF(MONTH($C159)=4,$Y$3,IF(MONTH($C159)=5,$Y$4,IF(MONTH($C159)=6,$Y$5,IF(MONTH($C159)=7,$Y$6,"ERROR")))),0),MAX(VLOOKUP($C159,COS!$B$8:$K$991,9,FALSE)-IF(MONTH($C159)=4,$V$3,IF(MONTH($C159)=5,$V$4,IF(MONTH($C159)=6,$V$5,IF(MONTH($C159)=7,$V$6,"ERROR"))))-VLOOKUP($C159,COS!$B$8:$K$991,6,FALSE)/2,0))</f>
        <v>1500</v>
      </c>
      <c r="S159" s="26">
        <f t="shared" si="252"/>
        <v>92.231404958677686</v>
      </c>
      <c r="T159" s="26">
        <f t="shared" si="253"/>
        <v>178.58168241138299</v>
      </c>
      <c r="U159" s="26" t="str">
        <f>IF(VLOOKUP($C159,COS!$B$8:$I$991,8,FALSE)=1,"UWFE","IBU")</f>
        <v>UWFE</v>
      </c>
      <c r="V159" s="26">
        <f t="shared" ref="V159" si="255">MIN(IF(IF($AA$3=2,AND(E159=1,G159=1,L159=1,L163=1,M159=1,U159="IBU"),AND(E159=1,G159=1,L159=1,L163=1,M159=1)),T159,0),I159)</f>
        <v>0</v>
      </c>
      <c r="W159" s="26"/>
      <c r="X159" s="26"/>
      <c r="Y159" s="26"/>
      <c r="Z159" s="26"/>
      <c r="AA159" s="26"/>
      <c r="AB159" s="33"/>
    </row>
    <row r="160" spans="1:28" x14ac:dyDescent="0.3">
      <c r="A160" s="32">
        <f>VLOOKUP(YEAR(C160),Flags!$A$13:$B$95,2,FALSE)</f>
        <v>1</v>
      </c>
      <c r="B160" s="24">
        <f t="shared" si="225"/>
        <v>1938</v>
      </c>
      <c r="C160" s="25">
        <v>14061</v>
      </c>
      <c r="D160" s="26">
        <f>VLOOKUP($C160,COS!$B$8:$H$991,3,FALSE)</f>
        <v>7901.6748046875</v>
      </c>
      <c r="E160" s="24">
        <f>IF(D160&gt;=IF(MONTH($C160)=4,$C$3,IF(MONTH($C160)=5,$C$4,IF(MONTH($C160)=6,$C$5,IF(MONTH($C160)=7,$C$6,"ERROR")))),1,0)</f>
        <v>0</v>
      </c>
      <c r="F160" s="26">
        <f>VLOOKUP($C160,COS!$B$8:$H$991,7,FALSE)</f>
        <v>52.2984619140625</v>
      </c>
      <c r="G160" s="24">
        <f>IF(F160&lt;=IF(MONTH($C160)=4,$F$3,IF(MONTH($C160)=5,$F$4,IF(MONTH($C160)=6,$F$5,IF(MONTH($C160)=7,$F$6,"ERROR")))),1,0)</f>
        <v>1</v>
      </c>
      <c r="H160" s="26">
        <f>IF(J160=1,D160-$C$5,0)</f>
        <v>0</v>
      </c>
      <c r="I160" s="26">
        <f t="shared" si="239"/>
        <v>0</v>
      </c>
      <c r="J160" s="24">
        <f t="shared" si="247"/>
        <v>0</v>
      </c>
      <c r="K160" s="26">
        <f>VLOOKUP($C160,COS!$B$8:$H$991,2,FALSE)</f>
        <v>4435.94384765625</v>
      </c>
      <c r="L160" s="24">
        <f t="shared" si="231"/>
        <v>1</v>
      </c>
      <c r="M160" s="24">
        <f t="shared" si="232"/>
        <v>0</v>
      </c>
      <c r="N160" s="26">
        <f>VLOOKUP($C160,COS!$B$8:$H$991,5,FALSE)</f>
        <v>1236.6031494140625</v>
      </c>
      <c r="O160" s="26">
        <f t="shared" si="250"/>
        <v>73.582997320506195</v>
      </c>
      <c r="P160" s="26">
        <f>VLOOKUP($C160,COS!$B$8:$H$991,6,FALSE)</f>
        <v>2276.98291015625</v>
      </c>
      <c r="Q160" s="26">
        <f t="shared" si="251"/>
        <v>135.48989217458677</v>
      </c>
      <c r="R160" s="26">
        <f>MIN(IF(MONTH($C160)=4,$S$3,IF(MONTH($C160)=5,$S$4,IF(MONTH($C160)=6,$S$5,IF(MONTH($C160)=7,$S$6,"ERROR")))),MAX(VLOOKUP($C160,COS!$B$8:$K$991,10,FALSE)-IF(MONTH($C160)=4,$Y$3,IF(MONTH($C160)=5,$Y$4,IF(MONTH($C160)=6,$Y$5,IF(MONTH($C160)=7,$Y$6,"ERROR")))),0),MAX(VLOOKUP($C160,COS!$B$8:$K$991,9,FALSE)-IF(MONTH($C160)=4,$V$3,IF(MONTH($C160)=5,$V$4,IF(MONTH($C160)=6,$V$5,IF(MONTH($C160)=7,$V$6,"ERROR"))))-VLOOKUP($C160,COS!$B$8:$K$991,6,FALSE)/2,0))</f>
        <v>1500</v>
      </c>
      <c r="S160" s="26">
        <f t="shared" si="252"/>
        <v>89.256198347107429</v>
      </c>
      <c r="T160" s="26">
        <f t="shared" si="253"/>
        <v>193.7926430946539</v>
      </c>
      <c r="U160" s="26" t="str">
        <f>IF(VLOOKUP($C160,COS!$B$8:$I$991,8,FALSE)=1,"UWFE","IBU")</f>
        <v>UWFE</v>
      </c>
      <c r="V160" s="26">
        <f t="shared" ref="V160" si="256">MIN(IF(IF($AA$3=2,AND(E160=1,G160=1,L160=1,L163=1,M160=1,U160="IBU"),AND(E160=1,G160=1,L160=1,L163=1,M160=1)),T160,0),I160)</f>
        <v>0</v>
      </c>
      <c r="W160" s="26"/>
      <c r="X160" s="26"/>
      <c r="Y160" s="26"/>
      <c r="Z160" s="26"/>
      <c r="AA160" s="26"/>
      <c r="AB160" s="33"/>
    </row>
    <row r="161" spans="1:28" x14ac:dyDescent="0.3">
      <c r="A161" s="32">
        <f>VLOOKUP(YEAR(C161),Flags!$A$13:$B$95,2,FALSE)</f>
        <v>1</v>
      </c>
      <c r="B161" s="24">
        <f t="shared" si="225"/>
        <v>1938</v>
      </c>
      <c r="C161" s="25">
        <v>14092</v>
      </c>
      <c r="D161" s="26">
        <f>VLOOKUP($C161,COS!$B$8:$H$991,3,FALSE)</f>
        <v>10626.4931640625</v>
      </c>
      <c r="E161" s="24">
        <f>IF(D161&gt;=IF(MONTH($C161)=4,$C$3,IF(MONTH($C161)=5,$C$4,IF(MONTH($C161)=6,$C$5,IF(MONTH($C161)=7,$C$6,"ERROR")))),1,0)</f>
        <v>0</v>
      </c>
      <c r="F161" s="26">
        <f>VLOOKUP($C161,COS!$B$8:$H$991,7,FALSE)</f>
        <v>52.414962768554688</v>
      </c>
      <c r="G161" s="24">
        <f>IF(F161&lt;=IF(MONTH($C161)=4,$F$3,IF(MONTH($C161)=5,$F$4,IF(MONTH($C161)=6,$F$5,IF(MONTH($C161)=7,$F$6,"ERROR")))),1,0)</f>
        <v>1</v>
      </c>
      <c r="H161" s="26">
        <f>IF(J161=1,D161-$C$6,0)</f>
        <v>0</v>
      </c>
      <c r="I161" s="26">
        <f t="shared" si="239"/>
        <v>0</v>
      </c>
      <c r="J161" s="24">
        <f t="shared" si="247"/>
        <v>0</v>
      </c>
      <c r="K161" s="26">
        <f>VLOOKUP($C161,COS!$B$8:$H$991,2,FALSE)</f>
        <v>4015.395751953125</v>
      </c>
      <c r="L161" s="24">
        <f t="shared" si="231"/>
        <v>1</v>
      </c>
      <c r="M161" s="24">
        <f t="shared" si="232"/>
        <v>0</v>
      </c>
      <c r="N161" s="26">
        <f>VLOOKUP($C161,COS!$B$8:$H$991,5,FALSE)</f>
        <v>1349.977294921875</v>
      </c>
      <c r="O161" s="26">
        <f t="shared" si="250"/>
        <v>83.006868381973135</v>
      </c>
      <c r="P161" s="26">
        <f>VLOOKUP($C161,COS!$B$8:$H$991,6,FALSE)</f>
        <v>2521.474853515625</v>
      </c>
      <c r="Q161" s="26">
        <f t="shared" si="251"/>
        <v>155.0394455384814</v>
      </c>
      <c r="R161" s="26">
        <f>MIN(IF(MONTH($C161)=4,$S$3,IF(MONTH($C161)=5,$S$4,IF(MONTH($C161)=6,$S$5,IF(MONTH($C161)=7,$S$6,"ERROR")))),MAX(VLOOKUP($C161,COS!$B$8:$K$991,10,FALSE)-IF(MONTH($C161)=4,$Y$3,IF(MONTH($C161)=5,$Y$4,IF(MONTH($C161)=6,$Y$5,IF(MONTH($C161)=7,$Y$6,"ERROR")))),0),MAX(VLOOKUP($C161,COS!$B$8:$K$991,9,FALSE)-IF(MONTH($C161)=4,$V$3,IF(MONTH($C161)=5,$V$4,IF(MONTH($C161)=6,$V$5,IF(MONTH($C161)=7,$V$6,"ERROR"))))-VLOOKUP($C161,COS!$B$8:$K$991,6,FALSE)/2,0))</f>
        <v>1500</v>
      </c>
      <c r="S161" s="26">
        <f t="shared" si="252"/>
        <v>92.231404958677686</v>
      </c>
      <c r="T161" s="26">
        <f t="shared" si="253"/>
        <v>211.25456191890495</v>
      </c>
      <c r="U161" s="26" t="str">
        <f>IF(VLOOKUP($C161,COS!$B$8:$I$991,8,FALSE)=1,"UWFE","IBU")</f>
        <v>IBU</v>
      </c>
      <c r="V161" s="26">
        <f t="shared" ref="V161" si="257">MIN(IF(IF($AA$3=2,AND(E161=1,G161=1,L161=1,L163=1,M161=1,U161="IBU"),AND(E161=1,G161=1,L161=1,L163=1,M161=1)),T161,0),I161)</f>
        <v>0</v>
      </c>
      <c r="W161" s="26"/>
      <c r="X161" s="26"/>
      <c r="Y161" s="26"/>
      <c r="Z161" s="26"/>
      <c r="AA161" s="26"/>
      <c r="AB161" s="33"/>
    </row>
    <row r="162" spans="1:28" x14ac:dyDescent="0.3">
      <c r="A162" s="32">
        <f>VLOOKUP(YEAR(C162),Flags!$A$13:$B$95,2,FALSE)</f>
        <v>1</v>
      </c>
      <c r="B162" s="24">
        <f t="shared" si="225"/>
        <v>1938</v>
      </c>
      <c r="C162" s="25">
        <v>14123</v>
      </c>
      <c r="D162" s="26"/>
      <c r="E162" s="24"/>
      <c r="F162" s="26"/>
      <c r="G162" s="24"/>
      <c r="H162" s="24"/>
      <c r="I162" s="26"/>
      <c r="J162" s="24"/>
      <c r="K162" s="26"/>
      <c r="L162" s="24"/>
      <c r="M162" s="24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f>MAX($C$7-VLOOKUP($C162,COS!$B$8:$H$991,3,FALSE),0)</f>
        <v>89530.1455078125</v>
      </c>
      <c r="X162" s="26">
        <f t="shared" si="245"/>
        <v>5504.9940708935947</v>
      </c>
      <c r="Y162" s="26">
        <f>VLOOKUP($C162,COS!$B$8:$H$991,4,FALSE)</f>
        <v>0</v>
      </c>
      <c r="Z162" s="26">
        <f t="shared" si="246"/>
        <v>0</v>
      </c>
      <c r="AA162" s="26">
        <f t="shared" ref="AA162:AA166" si="258">MIN(W162,Y162)</f>
        <v>0</v>
      </c>
      <c r="AB162" s="33">
        <f t="shared" ref="AB162" si="259">AA162*DAY($C162)*86400/43560/1000*IF(MONTH($C162)=8,$P$3,IF(MONTH($C162)=9,$P$4,IF(MONTH($C162)=10,$P$5,IF(MONTH($C162)=11,$P$6,IF(MONTH($C162)=12,$P$7,NA())))))</f>
        <v>0</v>
      </c>
    </row>
    <row r="163" spans="1:28" x14ac:dyDescent="0.3">
      <c r="A163" s="32">
        <f>VLOOKUP(YEAR(C163),Flags!$A$13:$B$95,2,FALSE)</f>
        <v>1</v>
      </c>
      <c r="B163" s="24">
        <f t="shared" si="225"/>
        <v>1938</v>
      </c>
      <c r="C163" s="25">
        <v>14153</v>
      </c>
      <c r="D163" s="26"/>
      <c r="E163" s="24"/>
      <c r="F163" s="26"/>
      <c r="G163" s="24"/>
      <c r="H163" s="24"/>
      <c r="I163" s="26"/>
      <c r="J163" s="24"/>
      <c r="K163" s="26">
        <f>VLOOKUP($C163,COS!$B$8:$H$991,2,FALSE)</f>
        <v>3067.66845703125</v>
      </c>
      <c r="L163" s="24">
        <f t="shared" ref="L163" si="260">IF(AND(K163&gt;$I$7,K163&lt;$I$8),1,0)</f>
        <v>1</v>
      </c>
      <c r="M163" s="24"/>
      <c r="N163" s="26"/>
      <c r="O163" s="26"/>
      <c r="P163" s="26"/>
      <c r="Q163" s="26"/>
      <c r="R163" s="26"/>
      <c r="S163" s="26"/>
      <c r="T163" s="26"/>
      <c r="U163" s="26"/>
      <c r="V163" s="26"/>
      <c r="W163" s="26">
        <f>MAX($C$8-VLOOKUP($C163,COS!$B$8:$H$991,3,FALSE),0)</f>
        <v>84308.306640625</v>
      </c>
      <c r="X163" s="26">
        <f t="shared" si="245"/>
        <v>5016.6926265495867</v>
      </c>
      <c r="Y163" s="26">
        <f>VLOOKUP($C163,COS!$B$8:$H$991,4,FALSE)</f>
        <v>0</v>
      </c>
      <c r="Z163" s="26">
        <f t="shared" si="246"/>
        <v>0</v>
      </c>
      <c r="AA163" s="26">
        <f t="shared" si="258"/>
        <v>0</v>
      </c>
      <c r="AB163" s="33">
        <f t="shared" si="243"/>
        <v>0</v>
      </c>
    </row>
    <row r="164" spans="1:28" x14ac:dyDescent="0.3">
      <c r="A164" s="32">
        <f>VLOOKUP(YEAR(C164),Flags!$A$13:$B$95,2,FALSE)</f>
        <v>1</v>
      </c>
      <c r="B164" s="24">
        <f t="shared" si="225"/>
        <v>1938</v>
      </c>
      <c r="C164" s="25">
        <v>14184</v>
      </c>
      <c r="D164" s="26"/>
      <c r="E164" s="24"/>
      <c r="F164" s="26"/>
      <c r="G164" s="26"/>
      <c r="H164" s="26"/>
      <c r="I164" s="26"/>
      <c r="J164" s="26"/>
      <c r="K164" s="26"/>
      <c r="L164" s="24"/>
      <c r="M164" s="24"/>
      <c r="N164" s="26"/>
      <c r="O164" s="26"/>
      <c r="P164" s="26"/>
      <c r="Q164" s="26"/>
      <c r="R164" s="26"/>
      <c r="S164" s="26"/>
      <c r="T164" s="26"/>
      <c r="U164" s="26"/>
      <c r="V164" s="26"/>
      <c r="W164" s="26">
        <f>MAX($C$9-VLOOKUP($C164,COS!$B$8:$H$991,3,FALSE),0)</f>
        <v>94842.9638671875</v>
      </c>
      <c r="X164" s="26">
        <f t="shared" si="245"/>
        <v>5831.6665386105378</v>
      </c>
      <c r="Y164" s="26">
        <f>VLOOKUP($C164,COS!$B$8:$H$991,4,FALSE)</f>
        <v>48.355400085449219</v>
      </c>
      <c r="Z164" s="26">
        <f t="shared" si="246"/>
        <v>2.9732576581466295</v>
      </c>
      <c r="AA164" s="26">
        <f t="shared" si="258"/>
        <v>48.355400085449219</v>
      </c>
      <c r="AB164" s="33">
        <f t="shared" si="243"/>
        <v>2.9732576581466295</v>
      </c>
    </row>
    <row r="165" spans="1:28" x14ac:dyDescent="0.3">
      <c r="A165" s="32">
        <f>VLOOKUP(YEAR(C165),Flags!$A$13:$B$95,2,FALSE)</f>
        <v>1</v>
      </c>
      <c r="B165" s="24">
        <f t="shared" si="225"/>
        <v>1938</v>
      </c>
      <c r="C165" s="25">
        <v>14214</v>
      </c>
      <c r="D165" s="26"/>
      <c r="E165" s="24"/>
      <c r="F165" s="26"/>
      <c r="G165" s="26"/>
      <c r="H165" s="26"/>
      <c r="I165" s="26"/>
      <c r="J165" s="26"/>
      <c r="K165" s="26"/>
      <c r="L165" s="24"/>
      <c r="M165" s="24"/>
      <c r="N165" s="26"/>
      <c r="O165" s="26"/>
      <c r="P165" s="26"/>
      <c r="Q165" s="26"/>
      <c r="R165" s="26"/>
      <c r="S165" s="26"/>
      <c r="T165" s="26"/>
      <c r="U165" s="26"/>
      <c r="V165" s="26"/>
      <c r="W165" s="26">
        <f>MAX($C$10-VLOOKUP($C165,COS!$B$8:$H$991,3,FALSE),0)</f>
        <v>91290.8857421875</v>
      </c>
      <c r="X165" s="26">
        <f t="shared" si="245"/>
        <v>5432.1849367252071</v>
      </c>
      <c r="Y165" s="26">
        <f>VLOOKUP($C165,COS!$B$8:$H$991,4,FALSE)</f>
        <v>0</v>
      </c>
      <c r="Z165" s="26">
        <f t="shared" si="246"/>
        <v>0</v>
      </c>
      <c r="AA165" s="26">
        <f t="shared" si="258"/>
        <v>0</v>
      </c>
      <c r="AB165" s="33">
        <f t="shared" si="243"/>
        <v>0</v>
      </c>
    </row>
    <row r="166" spans="1:28" x14ac:dyDescent="0.3">
      <c r="A166" s="34">
        <f>VLOOKUP(YEAR(C166),Flags!$A$13:$B$95,2,FALSE)</f>
        <v>1</v>
      </c>
      <c r="B166" s="35">
        <f t="shared" si="225"/>
        <v>1938</v>
      </c>
      <c r="C166" s="36">
        <v>14245</v>
      </c>
      <c r="D166" s="37"/>
      <c r="E166" s="35"/>
      <c r="F166" s="37"/>
      <c r="G166" s="37"/>
      <c r="H166" s="37"/>
      <c r="I166" s="37"/>
      <c r="J166" s="37"/>
      <c r="K166" s="37"/>
      <c r="L166" s="35"/>
      <c r="M166" s="35"/>
      <c r="N166" s="37"/>
      <c r="O166" s="37"/>
      <c r="P166" s="37"/>
      <c r="Q166" s="37"/>
      <c r="R166" s="37"/>
      <c r="S166" s="37"/>
      <c r="T166" s="37"/>
      <c r="U166" s="37"/>
      <c r="V166" s="37"/>
      <c r="W166" s="37">
        <f>MAX($C$11-VLOOKUP($C166,COS!$B$8:$H$991,3,FALSE),0)</f>
        <v>95308.80517578125</v>
      </c>
      <c r="X166" s="37">
        <f t="shared" si="245"/>
        <v>5860.3100041967973</v>
      </c>
      <c r="Y166" s="37">
        <f>VLOOKUP($C166,COS!$B$8:$H$991,4,FALSE)</f>
        <v>0</v>
      </c>
      <c r="Z166" s="37">
        <f t="shared" si="246"/>
        <v>0</v>
      </c>
      <c r="AA166" s="37">
        <f t="shared" si="258"/>
        <v>0</v>
      </c>
      <c r="AB166" s="38">
        <f t="shared" si="243"/>
        <v>0</v>
      </c>
    </row>
    <row r="167" spans="1:28" x14ac:dyDescent="0.3">
      <c r="A167" s="27">
        <f>VLOOKUP(YEAR(C167),Flags!$A$13:$B$95,2,FALSE)</f>
        <v>3</v>
      </c>
      <c r="B167" s="28">
        <f t="shared" si="225"/>
        <v>1939</v>
      </c>
      <c r="C167" s="29">
        <v>14365</v>
      </c>
      <c r="D167" s="30">
        <f>VLOOKUP($C167,COS!$B$8:$H$991,3,FALSE)</f>
        <v>5639.22900390625</v>
      </c>
      <c r="E167" s="28">
        <f>IF(D167&gt;=IF(MONTH($C167)=4,$C$3,IF(MONTH($C167)=5,$C$4,IF(MONTH($C167)=6,$C$5,IF(MONTH($C167)=7,$C$6,"ERROR")))),1,0)</f>
        <v>0</v>
      </c>
      <c r="F167" s="30">
        <f>VLOOKUP($C167,COS!$B$8:$H$991,7,FALSE)</f>
        <v>50.994121551513672</v>
      </c>
      <c r="G167" s="28">
        <f>IF(F167&lt;=IF(MONTH($C167)=4,$F$3,IF(MONTH($C167)=5,$F$4,IF(MONTH($C167)=6,$F$5,IF(MONTH($C167)=7,$F$6,"ERROR")))),1,0)</f>
        <v>1</v>
      </c>
      <c r="H167" s="30">
        <f>IF(J167=1,D167-$C$3,0)</f>
        <v>0</v>
      </c>
      <c r="I167" s="30">
        <f t="shared" si="239"/>
        <v>0</v>
      </c>
      <c r="J167" s="28">
        <f t="shared" ref="J167:J170" si="261">IF(AND(E167=1,G167=1),1,0)</f>
        <v>0</v>
      </c>
      <c r="K167" s="30">
        <f>VLOOKUP($C167,COS!$B$8:$H$991,2,FALSE)</f>
        <v>3617.388427734375</v>
      </c>
      <c r="L167" s="28">
        <f t="shared" ref="L167" si="262">IF(K167&lt;=IF(MONTH($C167)=4,$I$3,IF(MONTH($C167)=5,$I$4,IF(MONTH($C167)=6,$I$5,IF(MONTH($C167)=7,$I$6,"ERROR")))),1,0)</f>
        <v>1</v>
      </c>
      <c r="M167" s="28">
        <f t="shared" ref="M167" si="263">VLOOKUP($A167,$L$3:$M$7,2,FALSE)</f>
        <v>0</v>
      </c>
      <c r="N167" s="30">
        <f>VLOOKUP($C167,COS!$B$8:$H$991,5,FALSE)</f>
        <v>605.5399169921875</v>
      </c>
      <c r="O167" s="30">
        <f t="shared" ref="O167:O170" si="264">N167*DAY($C167)*86400/43560/1000</f>
        <v>36.032127292097108</v>
      </c>
      <c r="P167" s="30">
        <f>VLOOKUP($C167,COS!$B$8:$H$991,6,FALSE)</f>
        <v>578.7889404296875</v>
      </c>
      <c r="Q167" s="30">
        <f t="shared" ref="Q167:Q170" si="265">P167*DAY($C167)*86400/43560/1000</f>
        <v>34.440333645402887</v>
      </c>
      <c r="R167" s="30">
        <f>MIN(IF(MONTH($C167)=4,$S$3,IF(MONTH($C167)=5,$S$4,IF(MONTH($C167)=6,$S$5,IF(MONTH($C167)=7,$S$6,"ERROR")))),MAX(VLOOKUP($C167,COS!$B$8:$K$991,10,FALSE)-IF(MONTH($C167)=4,$Y$3,IF(MONTH($C167)=5,$Y$4,IF(MONTH($C167)=6,$Y$5,IF(MONTH($C167)=7,$Y$6,"ERROR")))),0),MAX(VLOOKUP($C167,COS!$B$8:$K$991,9,FALSE)-IF(MONTH($C167)=4,$V$3,IF(MONTH($C167)=5,$V$4,IF(MONTH($C167)=6,$V$5,IF(MONTH($C167)=7,$V$6,"ERROR"))))-VLOOKUP($C167,COS!$B$8:$K$991,6,FALSE)/2,0))</f>
        <v>1500</v>
      </c>
      <c r="S167" s="30">
        <f t="shared" ref="S167:S170" si="266">R167*DAY($C167)*86400/43560/1000</f>
        <v>89.256198347107429</v>
      </c>
      <c r="T167" s="30">
        <f t="shared" ref="T167:T170" si="267">(O167+Q167)/2+S167</f>
        <v>124.49242881585742</v>
      </c>
      <c r="U167" s="30" t="str">
        <f>IF(VLOOKUP($C167,COS!$B$8:$I$991,8,FALSE)=1,"UWFE","IBU")</f>
        <v>UWFE</v>
      </c>
      <c r="V167" s="30">
        <f t="shared" ref="V167" si="268">MIN(IF(IF($AA$3=2,AND(E167=1,G167=1,L167=1,L172=1,M167=1,U167="IBU"),AND(E167=1,G167=1,L167=1,L172=1,M167=1)),T167,0),I167)</f>
        <v>0</v>
      </c>
      <c r="W167" s="30"/>
      <c r="X167" s="30"/>
      <c r="Y167" s="30"/>
      <c r="Z167" s="30"/>
      <c r="AA167" s="30"/>
      <c r="AB167" s="31"/>
    </row>
    <row r="168" spans="1:28" x14ac:dyDescent="0.3">
      <c r="A168" s="32">
        <f>VLOOKUP(YEAR(C168),Flags!$A$13:$B$95,2,FALSE)</f>
        <v>3</v>
      </c>
      <c r="B168" s="24">
        <f t="shared" si="225"/>
        <v>1939</v>
      </c>
      <c r="C168" s="25">
        <v>14396</v>
      </c>
      <c r="D168" s="26">
        <f>VLOOKUP($C168,COS!$B$8:$H$991,3,FALSE)</f>
        <v>10183.0283203125</v>
      </c>
      <c r="E168" s="24">
        <f>IF(D168&gt;=IF(MONTH($C168)=4,$C$3,IF(MONTH($C168)=5,$C$4,IF(MONTH($C168)=6,$C$5,IF(MONTH($C168)=7,$C$6,"ERROR")))),1,0)</f>
        <v>1</v>
      </c>
      <c r="F168" s="26">
        <f>VLOOKUP($C168,COS!$B$8:$H$991,7,FALSE)</f>
        <v>50.974002838134766</v>
      </c>
      <c r="G168" s="24">
        <f>IF(F168&lt;=IF(MONTH($C168)=4,$F$3,IF(MONTH($C168)=5,$F$4,IF(MONTH($C168)=6,$F$5,IF(MONTH($C168)=7,$F$6,"ERROR")))),1,0)</f>
        <v>1</v>
      </c>
      <c r="H168" s="26">
        <f>IF(J168=1,D168-$C$4,0)</f>
        <v>4183.0283203125</v>
      </c>
      <c r="I168" s="26">
        <f t="shared" si="239"/>
        <v>257.20438597623968</v>
      </c>
      <c r="J168" s="24">
        <f t="shared" si="261"/>
        <v>1</v>
      </c>
      <c r="K168" s="26">
        <f>VLOOKUP($C168,COS!$B$8:$H$991,2,FALSE)</f>
        <v>3339.732177734375</v>
      </c>
      <c r="L168" s="24">
        <f t="shared" si="231"/>
        <v>1</v>
      </c>
      <c r="M168" s="24">
        <f t="shared" si="232"/>
        <v>0</v>
      </c>
      <c r="N168" s="26">
        <f>VLOOKUP($C168,COS!$B$8:$H$991,5,FALSE)</f>
        <v>507.59902954101563</v>
      </c>
      <c r="O168" s="26">
        <f t="shared" si="264"/>
        <v>31.211047766819473</v>
      </c>
      <c r="P168" s="26">
        <f>VLOOKUP($C168,COS!$B$8:$H$991,6,FALSE)</f>
        <v>2184.023681640625</v>
      </c>
      <c r="Q168" s="26">
        <f t="shared" si="265"/>
        <v>134.29038174715907</v>
      </c>
      <c r="R168" s="26">
        <f>MIN(IF(MONTH($C168)=4,$S$3,IF(MONTH($C168)=5,$S$4,IF(MONTH($C168)=6,$S$5,IF(MONTH($C168)=7,$S$6,"ERROR")))),MAX(VLOOKUP($C168,COS!$B$8:$K$991,10,FALSE)-IF(MONTH($C168)=4,$Y$3,IF(MONTH($C168)=5,$Y$4,IF(MONTH($C168)=6,$Y$5,IF(MONTH($C168)=7,$Y$6,"ERROR")))),0),MAX(VLOOKUP($C168,COS!$B$8:$K$991,9,FALSE)-IF(MONTH($C168)=4,$V$3,IF(MONTH($C168)=5,$V$4,IF(MONTH($C168)=6,$V$5,IF(MONTH($C168)=7,$V$6,"ERROR"))))-VLOOKUP($C168,COS!$B$8:$K$991,6,FALSE)/2,0))</f>
        <v>1500</v>
      </c>
      <c r="S168" s="26">
        <f t="shared" si="266"/>
        <v>92.231404958677686</v>
      </c>
      <c r="T168" s="26">
        <f t="shared" si="267"/>
        <v>174.98211971566695</v>
      </c>
      <c r="U168" s="26" t="str">
        <f>IF(VLOOKUP($C168,COS!$B$8:$I$991,8,FALSE)=1,"UWFE","IBU")</f>
        <v>IBU</v>
      </c>
      <c r="V168" s="26">
        <f t="shared" ref="V168" si="269">MIN(IF(IF($AA$3=2,AND(E168=1,G168=1,L168=1,L172=1,M168=1,U168="IBU"),AND(E168=1,G168=1,L168=1,L172=1,M168=1)),T168,0),I168)</f>
        <v>0</v>
      </c>
      <c r="W168" s="26"/>
      <c r="X168" s="26"/>
      <c r="Y168" s="26"/>
      <c r="Z168" s="26"/>
      <c r="AA168" s="26"/>
      <c r="AB168" s="33"/>
    </row>
    <row r="169" spans="1:28" x14ac:dyDescent="0.3">
      <c r="A169" s="32">
        <f>VLOOKUP(YEAR(C169),Flags!$A$13:$B$95,2,FALSE)</f>
        <v>3</v>
      </c>
      <c r="B169" s="24">
        <f t="shared" si="225"/>
        <v>1939</v>
      </c>
      <c r="C169" s="25">
        <v>14426</v>
      </c>
      <c r="D169" s="26">
        <f>VLOOKUP($C169,COS!$B$8:$H$991,3,FALSE)</f>
        <v>12354.21484375</v>
      </c>
      <c r="E169" s="24">
        <f>IF(D169&gt;=IF(MONTH($C169)=4,$C$3,IF(MONTH($C169)=5,$C$4,IF(MONTH($C169)=6,$C$5,IF(MONTH($C169)=7,$C$6,"ERROR")))),1,0)</f>
        <v>1</v>
      </c>
      <c r="F169" s="26">
        <f>VLOOKUP($C169,COS!$B$8:$H$991,7,FALSE)</f>
        <v>52.385540008544922</v>
      </c>
      <c r="G169" s="24">
        <f>IF(F169&lt;=IF(MONTH($C169)=4,$F$3,IF(MONTH($C169)=5,$F$4,IF(MONTH($C169)=6,$F$5,IF(MONTH($C169)=7,$F$6,"ERROR")))),1,0)</f>
        <v>1</v>
      </c>
      <c r="H169" s="26">
        <f>IF(J169=1,D169-$C$5,0)</f>
        <v>2354.21484375</v>
      </c>
      <c r="I169" s="26">
        <f t="shared" si="239"/>
        <v>140.08551136363636</v>
      </c>
      <c r="J169" s="24">
        <f t="shared" si="261"/>
        <v>1</v>
      </c>
      <c r="K169" s="26">
        <f>VLOOKUP($C169,COS!$B$8:$H$991,2,FALSE)</f>
        <v>2944.504150390625</v>
      </c>
      <c r="L169" s="24">
        <f t="shared" si="231"/>
        <v>1</v>
      </c>
      <c r="M169" s="24">
        <f t="shared" si="232"/>
        <v>0</v>
      </c>
      <c r="N169" s="26">
        <f>VLOOKUP($C169,COS!$B$8:$H$991,5,FALSE)</f>
        <v>658.92901611328125</v>
      </c>
      <c r="O169" s="26">
        <f t="shared" si="264"/>
        <v>39.208999305914261</v>
      </c>
      <c r="P169" s="26">
        <f>VLOOKUP($C169,COS!$B$8:$H$991,6,FALSE)</f>
        <v>2679.353271484375</v>
      </c>
      <c r="Q169" s="26">
        <f t="shared" si="265"/>
        <v>159.43259136105374</v>
      </c>
      <c r="R169" s="26">
        <f>MIN(IF(MONTH($C169)=4,$S$3,IF(MONTH($C169)=5,$S$4,IF(MONTH($C169)=6,$S$5,IF(MONTH($C169)=7,$S$6,"ERROR")))),MAX(VLOOKUP($C169,COS!$B$8:$K$991,10,FALSE)-IF(MONTH($C169)=4,$Y$3,IF(MONTH($C169)=5,$Y$4,IF(MONTH($C169)=6,$Y$5,IF(MONTH($C169)=7,$Y$6,"ERROR")))),0),MAX(VLOOKUP($C169,COS!$B$8:$K$991,9,FALSE)-IF(MONTH($C169)=4,$V$3,IF(MONTH($C169)=5,$V$4,IF(MONTH($C169)=6,$V$5,IF(MONTH($C169)=7,$V$6,"ERROR"))))-VLOOKUP($C169,COS!$B$8:$K$991,6,FALSE)/2,0))</f>
        <v>1500</v>
      </c>
      <c r="S169" s="26">
        <f t="shared" si="266"/>
        <v>89.256198347107429</v>
      </c>
      <c r="T169" s="26">
        <f t="shared" si="267"/>
        <v>188.57699368059144</v>
      </c>
      <c r="U169" s="26" t="str">
        <f>IF(VLOOKUP($C169,COS!$B$8:$I$991,8,FALSE)=1,"UWFE","IBU")</f>
        <v>IBU</v>
      </c>
      <c r="V169" s="26">
        <f t="shared" ref="V169" si="270">MIN(IF(IF($AA$3=2,AND(E169=1,G169=1,L169=1,L172=1,M169=1,U169="IBU"),AND(E169=1,G169=1,L169=1,L172=1,M169=1)),T169,0),I169)</f>
        <v>0</v>
      </c>
      <c r="W169" s="26"/>
      <c r="X169" s="26"/>
      <c r="Y169" s="26"/>
      <c r="Z169" s="26"/>
      <c r="AA169" s="26"/>
      <c r="AB169" s="33"/>
    </row>
    <row r="170" spans="1:28" x14ac:dyDescent="0.3">
      <c r="A170" s="32">
        <f>VLOOKUP(YEAR(C170),Flags!$A$13:$B$95,2,FALSE)</f>
        <v>3</v>
      </c>
      <c r="B170" s="24">
        <f t="shared" si="225"/>
        <v>1939</v>
      </c>
      <c r="C170" s="25">
        <v>14457</v>
      </c>
      <c r="D170" s="26">
        <f>VLOOKUP($C170,COS!$B$8:$H$991,3,FALSE)</f>
        <v>16000</v>
      </c>
      <c r="E170" s="24">
        <f>IF(D170&gt;=IF(MONTH($C170)=4,$C$3,IF(MONTH($C170)=5,$C$4,IF(MONTH($C170)=6,$C$5,IF(MONTH($C170)=7,$C$6,"ERROR")))),1,0)</f>
        <v>1</v>
      </c>
      <c r="F170" s="26">
        <f>VLOOKUP($C170,COS!$B$8:$H$991,7,FALSE)</f>
        <v>53.516410827636719</v>
      </c>
      <c r="G170" s="24">
        <f>IF(F170&lt;=IF(MONTH($C170)=4,$F$3,IF(MONTH($C170)=5,$F$4,IF(MONTH($C170)=6,$F$5,IF(MONTH($C170)=7,$F$6,"ERROR")))),1,0)</f>
        <v>0</v>
      </c>
      <c r="H170" s="26">
        <f>IF(J170=1,D170-$C$6,0)</f>
        <v>0</v>
      </c>
      <c r="I170" s="26">
        <f t="shared" si="239"/>
        <v>0</v>
      </c>
      <c r="J170" s="24">
        <f t="shared" si="261"/>
        <v>0</v>
      </c>
      <c r="K170" s="26">
        <f>VLOOKUP($C170,COS!$B$8:$H$991,2,FALSE)</f>
        <v>2319.410888671875</v>
      </c>
      <c r="L170" s="24">
        <f t="shared" si="231"/>
        <v>1</v>
      </c>
      <c r="M170" s="24">
        <f t="shared" si="232"/>
        <v>0</v>
      </c>
      <c r="N170" s="26">
        <f>VLOOKUP($C170,COS!$B$8:$H$991,5,FALSE)</f>
        <v>718.189208984375</v>
      </c>
      <c r="O170" s="26">
        <f t="shared" si="264"/>
        <v>44.159733180526864</v>
      </c>
      <c r="P170" s="26">
        <f>VLOOKUP($C170,COS!$B$8:$H$991,6,FALSE)</f>
        <v>2421.51171875</v>
      </c>
      <c r="Q170" s="26">
        <f t="shared" si="265"/>
        <v>148.89295196280992</v>
      </c>
      <c r="R170" s="26">
        <f>MIN(IF(MONTH($C170)=4,$S$3,IF(MONTH($C170)=5,$S$4,IF(MONTH($C170)=6,$S$5,IF(MONTH($C170)=7,$S$6,"ERROR")))),MAX(VLOOKUP($C170,COS!$B$8:$K$991,10,FALSE)-IF(MONTH($C170)=4,$Y$3,IF(MONTH($C170)=5,$Y$4,IF(MONTH($C170)=6,$Y$5,IF(MONTH($C170)=7,$Y$6,"ERROR")))),0),MAX(VLOOKUP($C170,COS!$B$8:$K$991,9,FALSE)-IF(MONTH($C170)=4,$V$3,IF(MONTH($C170)=5,$V$4,IF(MONTH($C170)=6,$V$5,IF(MONTH($C170)=7,$V$6,"ERROR"))))-VLOOKUP($C170,COS!$B$8:$K$991,6,FALSE)/2,0))</f>
        <v>1500</v>
      </c>
      <c r="S170" s="26">
        <f t="shared" si="266"/>
        <v>92.231404958677686</v>
      </c>
      <c r="T170" s="26">
        <f t="shared" si="267"/>
        <v>188.75774753034608</v>
      </c>
      <c r="U170" s="26" t="str">
        <f>IF(VLOOKUP($C170,COS!$B$8:$I$991,8,FALSE)=1,"UWFE","IBU")</f>
        <v>IBU</v>
      </c>
      <c r="V170" s="26">
        <f t="shared" ref="V170" si="271">MIN(IF(IF($AA$3=2,AND(E170=1,G170=1,L170=1,L172=1,M170=1,U170="IBU"),AND(E170=1,G170=1,L170=1,L172=1,M170=1)),T170,0),I170)</f>
        <v>0</v>
      </c>
      <c r="W170" s="26"/>
      <c r="X170" s="26"/>
      <c r="Y170" s="26"/>
      <c r="Z170" s="26"/>
      <c r="AA170" s="26"/>
      <c r="AB170" s="33"/>
    </row>
    <row r="171" spans="1:28" x14ac:dyDescent="0.3">
      <c r="A171" s="32">
        <f>VLOOKUP(YEAR(C171),Flags!$A$13:$B$95,2,FALSE)</f>
        <v>3</v>
      </c>
      <c r="B171" s="24">
        <f t="shared" si="225"/>
        <v>1939</v>
      </c>
      <c r="C171" s="25">
        <v>14488</v>
      </c>
      <c r="D171" s="26"/>
      <c r="E171" s="24"/>
      <c r="F171" s="26"/>
      <c r="G171" s="24"/>
      <c r="H171" s="24"/>
      <c r="I171" s="26"/>
      <c r="J171" s="24"/>
      <c r="K171" s="26"/>
      <c r="L171" s="24"/>
      <c r="M171" s="24"/>
      <c r="N171" s="26"/>
      <c r="O171" s="26"/>
      <c r="P171" s="26"/>
      <c r="Q171" s="26"/>
      <c r="R171" s="26"/>
      <c r="S171" s="26"/>
      <c r="T171" s="26"/>
      <c r="U171" s="26"/>
      <c r="V171" s="26"/>
      <c r="W171" s="26">
        <f>MAX($C$7-VLOOKUP($C171,COS!$B$8:$H$991,3,FALSE),0)</f>
        <v>85997.9140625</v>
      </c>
      <c r="X171" s="26">
        <f t="shared" si="245"/>
        <v>5287.805625</v>
      </c>
      <c r="Y171" s="26">
        <f>VLOOKUP($C171,COS!$B$8:$H$991,4,FALSE)</f>
        <v>3226.453125</v>
      </c>
      <c r="Z171" s="26">
        <f t="shared" si="246"/>
        <v>198.38686983471075</v>
      </c>
      <c r="AA171" s="26">
        <f t="shared" ref="AA171:AA175" si="272">MIN(W171,Y171)</f>
        <v>3226.453125</v>
      </c>
      <c r="AB171" s="33">
        <f t="shared" ref="AB171" si="273">AA171*DAY($C171)*86400/43560/1000*IF(MONTH($C171)=8,$P$3,IF(MONTH($C171)=9,$P$4,IF(MONTH($C171)=10,$P$5,IF(MONTH($C171)=11,$P$6,IF(MONTH($C171)=12,$P$7,NA())))))</f>
        <v>198.38686983471075</v>
      </c>
    </row>
    <row r="172" spans="1:28" x14ac:dyDescent="0.3">
      <c r="A172" s="32">
        <f>VLOOKUP(YEAR(C172),Flags!$A$13:$B$95,2,FALSE)</f>
        <v>3</v>
      </c>
      <c r="B172" s="24">
        <f t="shared" si="225"/>
        <v>1939</v>
      </c>
      <c r="C172" s="25">
        <v>14518</v>
      </c>
      <c r="D172" s="26"/>
      <c r="E172" s="24"/>
      <c r="F172" s="26"/>
      <c r="G172" s="24"/>
      <c r="H172" s="24"/>
      <c r="I172" s="26"/>
      <c r="J172" s="24"/>
      <c r="K172" s="26">
        <f>VLOOKUP($C172,COS!$B$8:$H$991,2,FALSE)</f>
        <v>1819.920654296875</v>
      </c>
      <c r="L172" s="24">
        <f t="shared" ref="L172" si="274">IF(AND(K172&gt;$I$7,K172&lt;$I$8),1,0)</f>
        <v>1</v>
      </c>
      <c r="M172" s="24"/>
      <c r="N172" s="26"/>
      <c r="O172" s="26"/>
      <c r="P172" s="26"/>
      <c r="Q172" s="26"/>
      <c r="R172" s="26"/>
      <c r="S172" s="26"/>
      <c r="T172" s="26"/>
      <c r="U172" s="26"/>
      <c r="V172" s="26"/>
      <c r="W172" s="26">
        <f>MAX($C$8-VLOOKUP($C172,COS!$B$8:$H$991,3,FALSE),0)</f>
        <v>94525.0498046875</v>
      </c>
      <c r="X172" s="26">
        <f t="shared" si="245"/>
        <v>5624.6310627582643</v>
      </c>
      <c r="Y172" s="26">
        <f>VLOOKUP($C172,COS!$B$8:$H$991,4,FALSE)</f>
        <v>1628.006103515625</v>
      </c>
      <c r="Z172" s="26">
        <f t="shared" si="246"/>
        <v>96.8730904571281</v>
      </c>
      <c r="AA172" s="26">
        <f t="shared" si="272"/>
        <v>1628.006103515625</v>
      </c>
      <c r="AB172" s="33">
        <f t="shared" si="243"/>
        <v>96.8730904571281</v>
      </c>
    </row>
    <row r="173" spans="1:28" x14ac:dyDescent="0.3">
      <c r="A173" s="32">
        <f>VLOOKUP(YEAR(C173),Flags!$A$13:$B$95,2,FALSE)</f>
        <v>3</v>
      </c>
      <c r="B173" s="24">
        <f t="shared" si="225"/>
        <v>1939</v>
      </c>
      <c r="C173" s="25">
        <v>14549</v>
      </c>
      <c r="D173" s="26"/>
      <c r="E173" s="24"/>
      <c r="F173" s="26"/>
      <c r="G173" s="26"/>
      <c r="H173" s="26"/>
      <c r="I173" s="26"/>
      <c r="J173" s="26"/>
      <c r="K173" s="26"/>
      <c r="L173" s="24"/>
      <c r="M173" s="24"/>
      <c r="N173" s="26"/>
      <c r="O173" s="26"/>
      <c r="P173" s="26"/>
      <c r="Q173" s="26"/>
      <c r="R173" s="26"/>
      <c r="S173" s="26"/>
      <c r="T173" s="26"/>
      <c r="U173" s="26"/>
      <c r="V173" s="26"/>
      <c r="W173" s="26">
        <f>MAX($C$9-VLOOKUP($C173,COS!$B$8:$H$991,3,FALSE),0)</f>
        <v>94233.89599609375</v>
      </c>
      <c r="X173" s="26">
        <f t="shared" si="245"/>
        <v>5794.2164149664259</v>
      </c>
      <c r="Y173" s="26">
        <f>VLOOKUP($C173,COS!$B$8:$H$991,4,FALSE)</f>
        <v>1678.0692138671875</v>
      </c>
      <c r="Z173" s="26">
        <f t="shared" si="246"/>
        <v>103.18045414191633</v>
      </c>
      <c r="AA173" s="26">
        <f t="shared" si="272"/>
        <v>1678.0692138671875</v>
      </c>
      <c r="AB173" s="33">
        <f t="shared" si="243"/>
        <v>103.18045414191633</v>
      </c>
    </row>
    <row r="174" spans="1:28" x14ac:dyDescent="0.3">
      <c r="A174" s="32">
        <f>VLOOKUP(YEAR(C174),Flags!$A$13:$B$95,2,FALSE)</f>
        <v>3</v>
      </c>
      <c r="B174" s="24">
        <f t="shared" si="225"/>
        <v>1939</v>
      </c>
      <c r="C174" s="25">
        <v>14579</v>
      </c>
      <c r="D174" s="26"/>
      <c r="E174" s="24"/>
      <c r="F174" s="26"/>
      <c r="G174" s="26"/>
      <c r="H174" s="26"/>
      <c r="I174" s="26"/>
      <c r="J174" s="26"/>
      <c r="K174" s="26"/>
      <c r="L174" s="24"/>
      <c r="M174" s="24"/>
      <c r="N174" s="26"/>
      <c r="O174" s="26"/>
      <c r="P174" s="26"/>
      <c r="Q174" s="26"/>
      <c r="R174" s="26"/>
      <c r="S174" s="26"/>
      <c r="T174" s="26"/>
      <c r="U174" s="26"/>
      <c r="V174" s="26"/>
      <c r="W174" s="26">
        <f>MAX($C$10-VLOOKUP($C174,COS!$B$8:$H$991,3,FALSE),0)</f>
        <v>93849.529296875</v>
      </c>
      <c r="X174" s="26">
        <f t="shared" si="245"/>
        <v>5584.4348011363636</v>
      </c>
      <c r="Y174" s="26">
        <f>VLOOKUP($C174,COS!$B$8:$H$991,4,FALSE)</f>
        <v>2018.930908203125</v>
      </c>
      <c r="Z174" s="26">
        <f t="shared" si="246"/>
        <v>120.13473172778926</v>
      </c>
      <c r="AA174" s="26">
        <f t="shared" si="272"/>
        <v>2018.930908203125</v>
      </c>
      <c r="AB174" s="33">
        <f t="shared" si="243"/>
        <v>120.13473172778926</v>
      </c>
    </row>
    <row r="175" spans="1:28" x14ac:dyDescent="0.3">
      <c r="A175" s="34">
        <f>VLOOKUP(YEAR(C175),Flags!$A$13:$B$95,2,FALSE)</f>
        <v>3</v>
      </c>
      <c r="B175" s="35">
        <f t="shared" si="225"/>
        <v>1939</v>
      </c>
      <c r="C175" s="36">
        <v>14610</v>
      </c>
      <c r="D175" s="37"/>
      <c r="E175" s="35"/>
      <c r="F175" s="37"/>
      <c r="G175" s="37"/>
      <c r="H175" s="37"/>
      <c r="I175" s="37"/>
      <c r="J175" s="37"/>
      <c r="K175" s="37"/>
      <c r="L175" s="35"/>
      <c r="M175" s="35"/>
      <c r="N175" s="37"/>
      <c r="O175" s="37"/>
      <c r="P175" s="37"/>
      <c r="Q175" s="37"/>
      <c r="R175" s="37"/>
      <c r="S175" s="37"/>
      <c r="T175" s="37"/>
      <c r="U175" s="37"/>
      <c r="V175" s="37"/>
      <c r="W175" s="37">
        <f>MAX($C$11-VLOOKUP($C175,COS!$B$8:$H$991,3,FALSE),0)</f>
        <v>96749</v>
      </c>
      <c r="X175" s="37">
        <f t="shared" si="245"/>
        <v>5948.8641322314052</v>
      </c>
      <c r="Y175" s="37">
        <f>VLOOKUP($C175,COS!$B$8:$H$991,4,FALSE)</f>
        <v>1704.9423828125</v>
      </c>
      <c r="Z175" s="37">
        <f t="shared" si="246"/>
        <v>104.83282089359504</v>
      </c>
      <c r="AA175" s="37">
        <f t="shared" si="272"/>
        <v>1704.9423828125</v>
      </c>
      <c r="AB175" s="38">
        <f t="shared" si="243"/>
        <v>104.83282089359504</v>
      </c>
    </row>
    <row r="176" spans="1:28" x14ac:dyDescent="0.3">
      <c r="A176" s="27">
        <f>VLOOKUP(YEAR(C176),Flags!$A$13:$B$95,2,FALSE)</f>
        <v>2</v>
      </c>
      <c r="B176" s="28">
        <f t="shared" si="225"/>
        <v>1940</v>
      </c>
      <c r="C176" s="29">
        <v>14731</v>
      </c>
      <c r="D176" s="30">
        <f>VLOOKUP($C176,COS!$B$8:$H$991,3,FALSE)</f>
        <v>3250</v>
      </c>
      <c r="E176" s="28">
        <f>IF(D176&gt;=IF(MONTH($C176)=4,$C$3,IF(MONTH($C176)=5,$C$4,IF(MONTH($C176)=6,$C$5,IF(MONTH($C176)=7,$C$6,"ERROR")))),1,0)</f>
        <v>0</v>
      </c>
      <c r="F176" s="30">
        <f>VLOOKUP($C176,COS!$B$8:$H$991,7,FALSE)</f>
        <v>50.942607879638672</v>
      </c>
      <c r="G176" s="28">
        <f>IF(F176&lt;=IF(MONTH($C176)=4,$F$3,IF(MONTH($C176)=5,$F$4,IF(MONTH($C176)=6,$F$5,IF(MONTH($C176)=7,$F$6,"ERROR")))),1,0)</f>
        <v>1</v>
      </c>
      <c r="H176" s="30">
        <f>IF(J176=1,D176-$C$3,0)</f>
        <v>0</v>
      </c>
      <c r="I176" s="30">
        <f t="shared" si="239"/>
        <v>0</v>
      </c>
      <c r="J176" s="28">
        <f t="shared" ref="J176:J179" si="275">IF(AND(E176=1,G176=1),1,0)</f>
        <v>0</v>
      </c>
      <c r="K176" s="30">
        <f>VLOOKUP($C176,COS!$B$8:$H$991,2,FALSE)</f>
        <v>4211.595703125</v>
      </c>
      <c r="L176" s="28">
        <f t="shared" ref="L176" si="276">IF(K176&lt;=IF(MONTH($C176)=4,$I$3,IF(MONTH($C176)=5,$I$4,IF(MONTH($C176)=6,$I$5,IF(MONTH($C176)=7,$I$6,"ERROR")))),1,0)</f>
        <v>1</v>
      </c>
      <c r="M176" s="28">
        <f t="shared" ref="M176" si="277">VLOOKUP($A176,$L$3:$M$7,2,FALSE)</f>
        <v>0</v>
      </c>
      <c r="N176" s="30">
        <f>VLOOKUP($C176,COS!$B$8:$H$991,5,FALSE)</f>
        <v>253.27787780761719</v>
      </c>
      <c r="O176" s="30">
        <f t="shared" ref="O176:O179" si="278">N176*DAY($C176)*86400/43560/1000</f>
        <v>15.071080332354081</v>
      </c>
      <c r="P176" s="30">
        <f>VLOOKUP($C176,COS!$B$8:$H$991,6,FALSE)</f>
        <v>410.20220947265625</v>
      </c>
      <c r="Q176" s="30">
        <f t="shared" ref="Q176:Q179" si="279">P176*DAY($C176)*86400/43560/1000</f>
        <v>24.408726514075415</v>
      </c>
      <c r="R176" s="30">
        <f>MIN(IF(MONTH($C176)=4,$S$3,IF(MONTH($C176)=5,$S$4,IF(MONTH($C176)=6,$S$5,IF(MONTH($C176)=7,$S$6,"ERROR")))),MAX(VLOOKUP($C176,COS!$B$8:$K$991,10,FALSE)-IF(MONTH($C176)=4,$Y$3,IF(MONTH($C176)=5,$Y$4,IF(MONTH($C176)=6,$Y$5,IF(MONTH($C176)=7,$Y$6,"ERROR")))),0),MAX(VLOOKUP($C176,COS!$B$8:$K$991,9,FALSE)-IF(MONTH($C176)=4,$V$3,IF(MONTH($C176)=5,$V$4,IF(MONTH($C176)=6,$V$5,IF(MONTH($C176)=7,$V$6,"ERROR"))))-VLOOKUP($C176,COS!$B$8:$K$991,6,FALSE)/2,0))</f>
        <v>1500</v>
      </c>
      <c r="S176" s="30">
        <f t="shared" ref="S176:S179" si="280">R176*DAY($C176)*86400/43560/1000</f>
        <v>89.256198347107429</v>
      </c>
      <c r="T176" s="30">
        <f t="shared" ref="T176:T179" si="281">(O176+Q176)/2+S176</f>
        <v>108.99610177032218</v>
      </c>
      <c r="U176" s="30" t="str">
        <f>IF(VLOOKUP($C176,COS!$B$8:$I$991,8,FALSE)=1,"UWFE","IBU")</f>
        <v>UWFE</v>
      </c>
      <c r="V176" s="30">
        <f t="shared" ref="V176" si="282">MIN(IF(IF($AA$3=2,AND(E176=1,G176=1,L176=1,L181=1,M176=1,U176="IBU"),AND(E176=1,G176=1,L176=1,L181=1,M176=1)),T176,0),I176)</f>
        <v>0</v>
      </c>
      <c r="W176" s="30"/>
      <c r="X176" s="30"/>
      <c r="Y176" s="30"/>
      <c r="Z176" s="30"/>
      <c r="AA176" s="30"/>
      <c r="AB176" s="31"/>
    </row>
    <row r="177" spans="1:28" x14ac:dyDescent="0.3">
      <c r="A177" s="32">
        <f>VLOOKUP(YEAR(C177),Flags!$A$13:$B$95,2,FALSE)</f>
        <v>2</v>
      </c>
      <c r="B177" s="24">
        <f t="shared" si="225"/>
        <v>1940</v>
      </c>
      <c r="C177" s="25">
        <v>14762</v>
      </c>
      <c r="D177" s="26">
        <f>VLOOKUP($C177,COS!$B$8:$H$991,3,FALSE)</f>
        <v>5750.91845703125</v>
      </c>
      <c r="E177" s="24">
        <f>IF(D177&gt;=IF(MONTH($C177)=4,$C$3,IF(MONTH($C177)=5,$C$4,IF(MONTH($C177)=6,$C$5,IF(MONTH($C177)=7,$C$6,"ERROR")))),1,0)</f>
        <v>0</v>
      </c>
      <c r="F177" s="26">
        <f>VLOOKUP($C177,COS!$B$8:$H$991,7,FALSE)</f>
        <v>51.514625549316406</v>
      </c>
      <c r="G177" s="24">
        <f>IF(F177&lt;=IF(MONTH($C177)=4,$F$3,IF(MONTH($C177)=5,$F$4,IF(MONTH($C177)=6,$F$5,IF(MONTH($C177)=7,$F$6,"ERROR")))),1,0)</f>
        <v>1</v>
      </c>
      <c r="H177" s="26">
        <f>IF(J177=1,D177-$C$4,0)</f>
        <v>0</v>
      </c>
      <c r="I177" s="26">
        <f t="shared" si="239"/>
        <v>0</v>
      </c>
      <c r="J177" s="24">
        <f t="shared" si="275"/>
        <v>0</v>
      </c>
      <c r="K177" s="26">
        <f>VLOOKUP($C177,COS!$B$8:$H$991,2,FALSE)</f>
        <v>4218.22314453125</v>
      </c>
      <c r="L177" s="24">
        <f t="shared" si="231"/>
        <v>1</v>
      </c>
      <c r="M177" s="24">
        <f t="shared" si="232"/>
        <v>0</v>
      </c>
      <c r="N177" s="26">
        <f>VLOOKUP($C177,COS!$B$8:$H$991,5,FALSE)</f>
        <v>465.70071411132813</v>
      </c>
      <c r="O177" s="26">
        <f t="shared" si="278"/>
        <v>28.634820768498194</v>
      </c>
      <c r="P177" s="26">
        <f>VLOOKUP($C177,COS!$B$8:$H$991,6,FALSE)</f>
        <v>1936.545654296875</v>
      </c>
      <c r="Q177" s="26">
        <f t="shared" si="279"/>
        <v>119.07355097494835</v>
      </c>
      <c r="R177" s="26">
        <f>MIN(IF(MONTH($C177)=4,$S$3,IF(MONTH($C177)=5,$S$4,IF(MONTH($C177)=6,$S$5,IF(MONTH($C177)=7,$S$6,"ERROR")))),MAX(VLOOKUP($C177,COS!$B$8:$K$991,10,FALSE)-IF(MONTH($C177)=4,$Y$3,IF(MONTH($C177)=5,$Y$4,IF(MONTH($C177)=6,$Y$5,IF(MONTH($C177)=7,$Y$6,"ERROR")))),0),MAX(VLOOKUP($C177,COS!$B$8:$K$991,9,FALSE)-IF(MONTH($C177)=4,$V$3,IF(MONTH($C177)=5,$V$4,IF(MONTH($C177)=6,$V$5,IF(MONTH($C177)=7,$V$6,"ERROR"))))-VLOOKUP($C177,COS!$B$8:$K$991,6,FALSE)/2,0))</f>
        <v>1500</v>
      </c>
      <c r="S177" s="26">
        <f t="shared" si="280"/>
        <v>92.231404958677686</v>
      </c>
      <c r="T177" s="26">
        <f t="shared" si="281"/>
        <v>166.08559083040097</v>
      </c>
      <c r="U177" s="26" t="str">
        <f>IF(VLOOKUP($C177,COS!$B$8:$I$991,8,FALSE)=1,"UWFE","IBU")</f>
        <v>UWFE</v>
      </c>
      <c r="V177" s="26">
        <f t="shared" ref="V177" si="283">MIN(IF(IF($AA$3=2,AND(E177=1,G177=1,L177=1,L181=1,M177=1,U177="IBU"),AND(E177=1,G177=1,L177=1,L181=1,M177=1)),T177,0),I177)</f>
        <v>0</v>
      </c>
      <c r="W177" s="26"/>
      <c r="X177" s="26"/>
      <c r="Y177" s="26"/>
      <c r="Z177" s="26"/>
      <c r="AA177" s="26"/>
      <c r="AB177" s="33"/>
    </row>
    <row r="178" spans="1:28" x14ac:dyDescent="0.3">
      <c r="A178" s="32">
        <f>VLOOKUP(YEAR(C178),Flags!$A$13:$B$95,2,FALSE)</f>
        <v>2</v>
      </c>
      <c r="B178" s="24">
        <f t="shared" si="225"/>
        <v>1940</v>
      </c>
      <c r="C178" s="25">
        <v>14792</v>
      </c>
      <c r="D178" s="26">
        <f>VLOOKUP($C178,COS!$B$8:$H$991,3,FALSE)</f>
        <v>9764.62109375</v>
      </c>
      <c r="E178" s="24">
        <f>IF(D178&gt;=IF(MONTH($C178)=4,$C$3,IF(MONTH($C178)=5,$C$4,IF(MONTH($C178)=6,$C$5,IF(MONTH($C178)=7,$C$6,"ERROR")))),1,0)</f>
        <v>0</v>
      </c>
      <c r="F178" s="26">
        <f>VLOOKUP($C178,COS!$B$8:$H$991,7,FALSE)</f>
        <v>51.442054748535156</v>
      </c>
      <c r="G178" s="24">
        <f>IF(F178&lt;=IF(MONTH($C178)=4,$F$3,IF(MONTH($C178)=5,$F$4,IF(MONTH($C178)=6,$F$5,IF(MONTH($C178)=7,$F$6,"ERROR")))),1,0)</f>
        <v>1</v>
      </c>
      <c r="H178" s="26">
        <f>IF(J178=1,D178-$C$5,0)</f>
        <v>0</v>
      </c>
      <c r="I178" s="26">
        <f t="shared" si="239"/>
        <v>0</v>
      </c>
      <c r="J178" s="24">
        <f t="shared" si="275"/>
        <v>0</v>
      </c>
      <c r="K178" s="26">
        <f>VLOOKUP($C178,COS!$B$8:$H$991,2,FALSE)</f>
        <v>3893.91650390625</v>
      </c>
      <c r="L178" s="24">
        <f t="shared" si="231"/>
        <v>1</v>
      </c>
      <c r="M178" s="24">
        <f t="shared" si="232"/>
        <v>0</v>
      </c>
      <c r="N178" s="26">
        <f>VLOOKUP($C178,COS!$B$8:$H$991,5,FALSE)</f>
        <v>885.69073486328125</v>
      </c>
      <c r="O178" s="26">
        <f t="shared" si="278"/>
        <v>52.702258603434913</v>
      </c>
      <c r="P178" s="26">
        <f>VLOOKUP($C178,COS!$B$8:$H$991,6,FALSE)</f>
        <v>2416.416259765625</v>
      </c>
      <c r="Q178" s="26">
        <f t="shared" si="279"/>
        <v>143.78675264721076</v>
      </c>
      <c r="R178" s="26">
        <f>MIN(IF(MONTH($C178)=4,$S$3,IF(MONTH($C178)=5,$S$4,IF(MONTH($C178)=6,$S$5,IF(MONTH($C178)=7,$S$6,"ERROR")))),MAX(VLOOKUP($C178,COS!$B$8:$K$991,10,FALSE)-IF(MONTH($C178)=4,$Y$3,IF(MONTH($C178)=5,$Y$4,IF(MONTH($C178)=6,$Y$5,IF(MONTH($C178)=7,$Y$6,"ERROR")))),0),MAX(VLOOKUP($C178,COS!$B$8:$K$991,9,FALSE)-IF(MONTH($C178)=4,$V$3,IF(MONTH($C178)=5,$V$4,IF(MONTH($C178)=6,$V$5,IF(MONTH($C178)=7,$V$6,"ERROR"))))-VLOOKUP($C178,COS!$B$8:$K$991,6,FALSE)/2,0))</f>
        <v>1500</v>
      </c>
      <c r="S178" s="26">
        <f t="shared" si="280"/>
        <v>89.256198347107429</v>
      </c>
      <c r="T178" s="26">
        <f t="shared" si="281"/>
        <v>187.50070397243024</v>
      </c>
      <c r="U178" s="26" t="str">
        <f>IF(VLOOKUP($C178,COS!$B$8:$I$991,8,FALSE)=1,"UWFE","IBU")</f>
        <v>IBU</v>
      </c>
      <c r="V178" s="26">
        <f t="shared" ref="V178" si="284">MIN(IF(IF($AA$3=2,AND(E178=1,G178=1,L178=1,L181=1,M178=1,U178="IBU"),AND(E178=1,G178=1,L178=1,L181=1,M178=1)),T178,0),I178)</f>
        <v>0</v>
      </c>
      <c r="W178" s="26"/>
      <c r="X178" s="26"/>
      <c r="Y178" s="26"/>
      <c r="Z178" s="26"/>
      <c r="AA178" s="26"/>
      <c r="AB178" s="33"/>
    </row>
    <row r="179" spans="1:28" x14ac:dyDescent="0.3">
      <c r="A179" s="32">
        <f>VLOOKUP(YEAR(C179),Flags!$A$13:$B$95,2,FALSE)</f>
        <v>2</v>
      </c>
      <c r="B179" s="24">
        <f t="shared" si="225"/>
        <v>1940</v>
      </c>
      <c r="C179" s="25">
        <v>14823</v>
      </c>
      <c r="D179" s="26">
        <f>VLOOKUP($C179,COS!$B$8:$H$991,3,FALSE)</f>
        <v>15730.8037109375</v>
      </c>
      <c r="E179" s="24">
        <f>IF(D179&gt;=IF(MONTH($C179)=4,$C$3,IF(MONTH($C179)=5,$C$4,IF(MONTH($C179)=6,$C$5,IF(MONTH($C179)=7,$C$6,"ERROR")))),1,0)</f>
        <v>1</v>
      </c>
      <c r="F179" s="26">
        <f>VLOOKUP($C179,COS!$B$8:$H$991,7,FALSE)</f>
        <v>51.379985809326172</v>
      </c>
      <c r="G179" s="24">
        <f>IF(F179&lt;=IF(MONTH($C179)=4,$F$3,IF(MONTH($C179)=5,$F$4,IF(MONTH($C179)=6,$F$5,IF(MONTH($C179)=7,$F$6,"ERROR")))),1,0)</f>
        <v>1</v>
      </c>
      <c r="H179" s="26">
        <f>IF(J179=1,D179-$C$6,0)</f>
        <v>3730.8037109375</v>
      </c>
      <c r="I179" s="26">
        <f t="shared" si="239"/>
        <v>229.39817858987604</v>
      </c>
      <c r="J179" s="24">
        <f t="shared" si="275"/>
        <v>1</v>
      </c>
      <c r="K179" s="26">
        <f>VLOOKUP($C179,COS!$B$8:$H$991,2,FALSE)</f>
        <v>3200</v>
      </c>
      <c r="L179" s="24">
        <f t="shared" si="231"/>
        <v>1</v>
      </c>
      <c r="M179" s="24">
        <f t="shared" si="232"/>
        <v>0</v>
      </c>
      <c r="N179" s="26">
        <f>VLOOKUP($C179,COS!$B$8:$H$991,5,FALSE)</f>
        <v>981.25543212890625</v>
      </c>
      <c r="O179" s="26">
        <f t="shared" si="278"/>
        <v>60.335044752388946</v>
      </c>
      <c r="P179" s="26">
        <f>VLOOKUP($C179,COS!$B$8:$H$991,6,FALSE)</f>
        <v>2562.892822265625</v>
      </c>
      <c r="Q179" s="26">
        <f t="shared" si="279"/>
        <v>157.58613717071282</v>
      </c>
      <c r="R179" s="26">
        <f>MIN(IF(MONTH($C179)=4,$S$3,IF(MONTH($C179)=5,$S$4,IF(MONTH($C179)=6,$S$5,IF(MONTH($C179)=7,$S$6,"ERROR")))),MAX(VLOOKUP($C179,COS!$B$8:$K$991,10,FALSE)-IF(MONTH($C179)=4,$Y$3,IF(MONTH($C179)=5,$Y$4,IF(MONTH($C179)=6,$Y$5,IF(MONTH($C179)=7,$Y$6,"ERROR")))),0),MAX(VLOOKUP($C179,COS!$B$8:$K$991,9,FALSE)-IF(MONTH($C179)=4,$V$3,IF(MONTH($C179)=5,$V$4,IF(MONTH($C179)=6,$V$5,IF(MONTH($C179)=7,$V$6,"ERROR"))))-VLOOKUP($C179,COS!$B$8:$K$991,6,FALSE)/2,0))</f>
        <v>1500</v>
      </c>
      <c r="S179" s="26">
        <f t="shared" si="280"/>
        <v>92.231404958677686</v>
      </c>
      <c r="T179" s="26">
        <f t="shared" si="281"/>
        <v>201.19199592022858</v>
      </c>
      <c r="U179" s="26" t="str">
        <f>IF(VLOOKUP($C179,COS!$B$8:$I$991,8,FALSE)=1,"UWFE","IBU")</f>
        <v>IBU</v>
      </c>
      <c r="V179" s="26">
        <f t="shared" ref="V179" si="285">MIN(IF(IF($AA$3=2,AND(E179=1,G179=1,L179=1,L181=1,M179=1,U179="IBU"),AND(E179=1,G179=1,L179=1,L181=1,M179=1)),T179,0),I179)</f>
        <v>0</v>
      </c>
      <c r="W179" s="26"/>
      <c r="X179" s="26"/>
      <c r="Y179" s="26"/>
      <c r="Z179" s="26"/>
      <c r="AA179" s="26"/>
      <c r="AB179" s="33"/>
    </row>
    <row r="180" spans="1:28" x14ac:dyDescent="0.3">
      <c r="A180" s="32">
        <f>VLOOKUP(YEAR(C180),Flags!$A$13:$B$95,2,FALSE)</f>
        <v>2</v>
      </c>
      <c r="B180" s="24">
        <f t="shared" si="225"/>
        <v>1940</v>
      </c>
      <c r="C180" s="25">
        <v>14854</v>
      </c>
      <c r="D180" s="26"/>
      <c r="E180" s="24"/>
      <c r="F180" s="26"/>
      <c r="G180" s="24"/>
      <c r="H180" s="24"/>
      <c r="I180" s="26"/>
      <c r="J180" s="24"/>
      <c r="K180" s="26"/>
      <c r="L180" s="24"/>
      <c r="M180" s="24"/>
      <c r="N180" s="26"/>
      <c r="O180" s="26"/>
      <c r="P180" s="26"/>
      <c r="Q180" s="26"/>
      <c r="R180" s="26"/>
      <c r="S180" s="26"/>
      <c r="T180" s="26"/>
      <c r="U180" s="26"/>
      <c r="V180" s="26"/>
      <c r="W180" s="26">
        <f>MAX($C$7-VLOOKUP($C180,COS!$B$8:$H$991,3,FALSE),0)</f>
        <v>88462.974609375</v>
      </c>
      <c r="X180" s="26">
        <f t="shared" si="245"/>
        <v>5439.3762900309921</v>
      </c>
      <c r="Y180" s="26">
        <f>VLOOKUP($C180,COS!$B$8:$H$991,4,FALSE)</f>
        <v>0</v>
      </c>
      <c r="Z180" s="26">
        <f t="shared" si="246"/>
        <v>0</v>
      </c>
      <c r="AA180" s="26">
        <f t="shared" ref="AA180:AA184" si="286">MIN(W180,Y180)</f>
        <v>0</v>
      </c>
      <c r="AB180" s="33">
        <f t="shared" ref="AB180" si="287">AA180*DAY($C180)*86400/43560/1000*IF(MONTH($C180)=8,$P$3,IF(MONTH($C180)=9,$P$4,IF(MONTH($C180)=10,$P$5,IF(MONTH($C180)=11,$P$6,IF(MONTH($C180)=12,$P$7,NA())))))</f>
        <v>0</v>
      </c>
    </row>
    <row r="181" spans="1:28" x14ac:dyDescent="0.3">
      <c r="A181" s="32">
        <f>VLOOKUP(YEAR(C181),Flags!$A$13:$B$95,2,FALSE)</f>
        <v>2</v>
      </c>
      <c r="B181" s="24">
        <f t="shared" si="225"/>
        <v>1940</v>
      </c>
      <c r="C181" s="25">
        <v>14884</v>
      </c>
      <c r="D181" s="26"/>
      <c r="E181" s="24"/>
      <c r="F181" s="26"/>
      <c r="G181" s="24"/>
      <c r="H181" s="24"/>
      <c r="I181" s="26"/>
      <c r="J181" s="24"/>
      <c r="K181" s="26">
        <f>VLOOKUP($C181,COS!$B$8:$H$991,2,FALSE)</f>
        <v>2472.069580078125</v>
      </c>
      <c r="L181" s="24">
        <f t="shared" ref="L181" si="288">IF(AND(K181&gt;$I$7,K181&lt;$I$8),1,0)</f>
        <v>1</v>
      </c>
      <c r="M181" s="24"/>
      <c r="N181" s="26"/>
      <c r="O181" s="26"/>
      <c r="P181" s="26"/>
      <c r="Q181" s="26"/>
      <c r="R181" s="26"/>
      <c r="S181" s="26"/>
      <c r="T181" s="26"/>
      <c r="U181" s="26"/>
      <c r="V181" s="26"/>
      <c r="W181" s="26">
        <f>MAX($C$8-VLOOKUP($C181,COS!$B$8:$H$991,3,FALSE),0)</f>
        <v>90576.14453125</v>
      </c>
      <c r="X181" s="26">
        <f t="shared" si="245"/>
        <v>5389.6548811983475</v>
      </c>
      <c r="Y181" s="26">
        <f>VLOOKUP($C181,COS!$B$8:$H$991,4,FALSE)</f>
        <v>254.33448791503906</v>
      </c>
      <c r="Z181" s="26">
        <f t="shared" si="246"/>
        <v>15.133952999903151</v>
      </c>
      <c r="AA181" s="26">
        <f t="shared" si="286"/>
        <v>254.33448791503906</v>
      </c>
      <c r="AB181" s="33">
        <f t="shared" si="243"/>
        <v>15.133952999903151</v>
      </c>
    </row>
    <row r="182" spans="1:28" x14ac:dyDescent="0.3">
      <c r="A182" s="32">
        <f>VLOOKUP(YEAR(C182),Flags!$A$13:$B$95,2,FALSE)</f>
        <v>2</v>
      </c>
      <c r="B182" s="24">
        <f t="shared" si="225"/>
        <v>1940</v>
      </c>
      <c r="C182" s="25">
        <v>14915</v>
      </c>
      <c r="D182" s="26"/>
      <c r="E182" s="24"/>
      <c r="F182" s="26"/>
      <c r="G182" s="26"/>
      <c r="H182" s="26"/>
      <c r="I182" s="26"/>
      <c r="J182" s="26"/>
      <c r="K182" s="26"/>
      <c r="L182" s="24"/>
      <c r="M182" s="24"/>
      <c r="N182" s="26"/>
      <c r="O182" s="26"/>
      <c r="P182" s="26"/>
      <c r="Q182" s="26"/>
      <c r="R182" s="26"/>
      <c r="S182" s="26"/>
      <c r="T182" s="26"/>
      <c r="U182" s="26"/>
      <c r="V182" s="26"/>
      <c r="W182" s="26">
        <f>MAX($C$9-VLOOKUP($C182,COS!$B$8:$H$991,3,FALSE),0)</f>
        <v>93346.93359375</v>
      </c>
      <c r="X182" s="26">
        <f t="shared" si="245"/>
        <v>5739.6792226239668</v>
      </c>
      <c r="Y182" s="26">
        <f>VLOOKUP($C182,COS!$B$8:$H$991,4,FALSE)</f>
        <v>785.3338623046875</v>
      </c>
      <c r="Z182" s="26">
        <f t="shared" si="246"/>
        <v>48.288296987990705</v>
      </c>
      <c r="AA182" s="26">
        <f t="shared" si="286"/>
        <v>785.3338623046875</v>
      </c>
      <c r="AB182" s="33">
        <f t="shared" si="243"/>
        <v>48.288296987990705</v>
      </c>
    </row>
    <row r="183" spans="1:28" x14ac:dyDescent="0.3">
      <c r="A183" s="32">
        <f>VLOOKUP(YEAR(C183),Flags!$A$13:$B$95,2,FALSE)</f>
        <v>2</v>
      </c>
      <c r="B183" s="24">
        <f t="shared" si="225"/>
        <v>1940</v>
      </c>
      <c r="C183" s="25">
        <v>14945</v>
      </c>
      <c r="D183" s="26"/>
      <c r="E183" s="24"/>
      <c r="F183" s="26"/>
      <c r="G183" s="26"/>
      <c r="H183" s="26"/>
      <c r="I183" s="26"/>
      <c r="J183" s="26"/>
      <c r="K183" s="26"/>
      <c r="L183" s="24"/>
      <c r="M183" s="24"/>
      <c r="N183" s="26"/>
      <c r="O183" s="26"/>
      <c r="P183" s="26"/>
      <c r="Q183" s="26"/>
      <c r="R183" s="26"/>
      <c r="S183" s="26"/>
      <c r="T183" s="26"/>
      <c r="U183" s="26"/>
      <c r="V183" s="26"/>
      <c r="W183" s="26">
        <f>MAX($C$10-VLOOKUP($C183,COS!$B$8:$H$991,3,FALSE),0)</f>
        <v>92458.0693359375</v>
      </c>
      <c r="X183" s="26">
        <f t="shared" si="245"/>
        <v>5501.6371836260332</v>
      </c>
      <c r="Y183" s="26">
        <f>VLOOKUP($C183,COS!$B$8:$H$991,4,FALSE)</f>
        <v>1105.5103759765625</v>
      </c>
      <c r="Z183" s="26">
        <f t="shared" si="246"/>
        <v>65.782435595299589</v>
      </c>
      <c r="AA183" s="26">
        <f t="shared" si="286"/>
        <v>1105.5103759765625</v>
      </c>
      <c r="AB183" s="33">
        <f t="shared" si="243"/>
        <v>65.782435595299589</v>
      </c>
    </row>
    <row r="184" spans="1:28" x14ac:dyDescent="0.3">
      <c r="A184" s="34">
        <f>VLOOKUP(YEAR(C184),Flags!$A$13:$B$95,2,FALSE)</f>
        <v>2</v>
      </c>
      <c r="B184" s="35">
        <f t="shared" si="225"/>
        <v>1940</v>
      </c>
      <c r="C184" s="36">
        <v>14976</v>
      </c>
      <c r="D184" s="37"/>
      <c r="E184" s="35"/>
      <c r="F184" s="37"/>
      <c r="G184" s="37"/>
      <c r="H184" s="37"/>
      <c r="I184" s="37"/>
      <c r="J184" s="37"/>
      <c r="K184" s="37"/>
      <c r="L184" s="35"/>
      <c r="M184" s="35"/>
      <c r="N184" s="37"/>
      <c r="O184" s="37"/>
      <c r="P184" s="37"/>
      <c r="Q184" s="37"/>
      <c r="R184" s="37"/>
      <c r="S184" s="37"/>
      <c r="T184" s="37"/>
      <c r="U184" s="37"/>
      <c r="V184" s="37"/>
      <c r="W184" s="37">
        <f>MAX($C$11-VLOOKUP($C184,COS!$B$8:$H$991,3,FALSE),0)</f>
        <v>93459.1455078125</v>
      </c>
      <c r="X184" s="37">
        <f t="shared" si="245"/>
        <v>5746.5788642820253</v>
      </c>
      <c r="Y184" s="37">
        <f>VLOOKUP($C184,COS!$B$8:$H$991,4,FALSE)</f>
        <v>0</v>
      </c>
      <c r="Z184" s="37">
        <f t="shared" si="246"/>
        <v>0</v>
      </c>
      <c r="AA184" s="37">
        <f t="shared" si="286"/>
        <v>0</v>
      </c>
      <c r="AB184" s="38">
        <f t="shared" si="243"/>
        <v>0</v>
      </c>
    </row>
    <row r="185" spans="1:28" x14ac:dyDescent="0.3">
      <c r="A185" s="27">
        <f>VLOOKUP(YEAR(C185),Flags!$A$13:$B$95,2,FALSE)</f>
        <v>1</v>
      </c>
      <c r="B185" s="28">
        <f t="shared" si="225"/>
        <v>1941</v>
      </c>
      <c r="C185" s="29">
        <v>15096</v>
      </c>
      <c r="D185" s="30">
        <f>VLOOKUP($C185,COS!$B$8:$H$991,3,FALSE)</f>
        <v>13347.38671875</v>
      </c>
      <c r="E185" s="28">
        <f>IF(D185&gt;=IF(MONTH($C185)=4,$C$3,IF(MONTH($C185)=5,$C$4,IF(MONTH($C185)=6,$C$5,IF(MONTH($C185)=7,$C$6,"ERROR")))),1,0)</f>
        <v>1</v>
      </c>
      <c r="F185" s="30">
        <f>VLOOKUP($C185,COS!$B$8:$H$991,7,FALSE)</f>
        <v>47.10235595703125</v>
      </c>
      <c r="G185" s="28">
        <f>IF(F185&lt;=IF(MONTH($C185)=4,$F$3,IF(MONTH($C185)=5,$F$4,IF(MONTH($C185)=6,$F$5,IF(MONTH($C185)=7,$F$6,"ERROR")))),1,0)</f>
        <v>1</v>
      </c>
      <c r="H185" s="30">
        <f>IF(J185=1,D185-$C$3,0)</f>
        <v>7347.38671875</v>
      </c>
      <c r="I185" s="30">
        <f t="shared" si="239"/>
        <v>437.1998708677686</v>
      </c>
      <c r="J185" s="28">
        <f t="shared" ref="J185:J188" si="289">IF(AND(E185=1,G185=1),1,0)</f>
        <v>1</v>
      </c>
      <c r="K185" s="30">
        <f>VLOOKUP($C185,COS!$B$8:$H$991,2,FALSE)</f>
        <v>4456</v>
      </c>
      <c r="L185" s="28">
        <f t="shared" ref="L185" si="290">IF(K185&lt;=IF(MONTH($C185)=4,$I$3,IF(MONTH($C185)=5,$I$4,IF(MONTH($C185)=6,$I$5,IF(MONTH($C185)=7,$I$6,"ERROR")))),1,0)</f>
        <v>1</v>
      </c>
      <c r="M185" s="28">
        <f t="shared" ref="M185" si="291">VLOOKUP($A185,$L$3:$M$7,2,FALSE)</f>
        <v>0</v>
      </c>
      <c r="N185" s="30">
        <f>VLOOKUP($C185,COS!$B$8:$H$991,5,FALSE)</f>
        <v>23.296117782592773</v>
      </c>
      <c r="O185" s="30">
        <f t="shared" ref="O185:O188" si="292">N185*DAY($C185)*86400/43560/1000</f>
        <v>1.3862152730137849</v>
      </c>
      <c r="P185" s="30">
        <f>VLOOKUP($C185,COS!$B$8:$H$991,6,FALSE)</f>
        <v>258.51828002929688</v>
      </c>
      <c r="Q185" s="30">
        <f t="shared" ref="Q185:Q188" si="293">P185*DAY($C185)*86400/43560/1000</f>
        <v>15.382905919098658</v>
      </c>
      <c r="R185" s="30">
        <f>MIN(IF(MONTH($C185)=4,$S$3,IF(MONTH($C185)=5,$S$4,IF(MONTH($C185)=6,$S$5,IF(MONTH($C185)=7,$S$6,"ERROR")))),MAX(VLOOKUP($C185,COS!$B$8:$K$991,10,FALSE)-IF(MONTH($C185)=4,$Y$3,IF(MONTH($C185)=5,$Y$4,IF(MONTH($C185)=6,$Y$5,IF(MONTH($C185)=7,$Y$6,"ERROR")))),0),MAX(VLOOKUP($C185,COS!$B$8:$K$991,9,FALSE)-IF(MONTH($C185)=4,$V$3,IF(MONTH($C185)=5,$V$4,IF(MONTH($C185)=6,$V$5,IF(MONTH($C185)=7,$V$6,"ERROR"))))-VLOOKUP($C185,COS!$B$8:$K$991,6,FALSE)/2,0))</f>
        <v>1500</v>
      </c>
      <c r="S185" s="30">
        <f t="shared" ref="S185:S188" si="294">R185*DAY($C185)*86400/43560/1000</f>
        <v>89.256198347107429</v>
      </c>
      <c r="T185" s="30">
        <f t="shared" ref="T185:T188" si="295">(O185+Q185)/2+S185</f>
        <v>97.640758943163647</v>
      </c>
      <c r="U185" s="30" t="str">
        <f>IF(VLOOKUP($C185,COS!$B$8:$I$991,8,FALSE)=1,"UWFE","IBU")</f>
        <v>UWFE</v>
      </c>
      <c r="V185" s="30">
        <f t="shared" ref="V185" si="296">MIN(IF(IF($AA$3=2,AND(E185=1,G185=1,L185=1,L190=1,M185=1,U185="IBU"),AND(E185=1,G185=1,L185=1,L190=1,M185=1)),T185,0),I185)</f>
        <v>0</v>
      </c>
      <c r="W185" s="30"/>
      <c r="X185" s="30"/>
      <c r="Y185" s="30"/>
      <c r="Z185" s="30"/>
      <c r="AA185" s="30"/>
      <c r="AB185" s="31"/>
    </row>
    <row r="186" spans="1:28" x14ac:dyDescent="0.3">
      <c r="A186" s="32">
        <f>VLOOKUP(YEAR(C186),Flags!$A$13:$B$95,2,FALSE)</f>
        <v>1</v>
      </c>
      <c r="B186" s="24">
        <f t="shared" si="225"/>
        <v>1941</v>
      </c>
      <c r="C186" s="25">
        <v>15127</v>
      </c>
      <c r="D186" s="26">
        <f>VLOOKUP($C186,COS!$B$8:$H$991,3,FALSE)</f>
        <v>11196.62890625</v>
      </c>
      <c r="E186" s="24">
        <f>IF(D186&gt;=IF(MONTH($C186)=4,$C$3,IF(MONTH($C186)=5,$C$4,IF(MONTH($C186)=6,$C$5,IF(MONTH($C186)=7,$C$6,"ERROR")))),1,0)</f>
        <v>1</v>
      </c>
      <c r="F186" s="26">
        <f>VLOOKUP($C186,COS!$B$8:$H$991,7,FALSE)</f>
        <v>49.271575927734375</v>
      </c>
      <c r="G186" s="24">
        <f>IF(F186&lt;=IF(MONTH($C186)=4,$F$3,IF(MONTH($C186)=5,$F$4,IF(MONTH($C186)=6,$F$5,IF(MONTH($C186)=7,$F$6,"ERROR")))),1,0)</f>
        <v>1</v>
      </c>
      <c r="H186" s="26">
        <f>IF(J186=1,D186-$C$4,0)</f>
        <v>5196.62890625</v>
      </c>
      <c r="I186" s="26">
        <f t="shared" si="239"/>
        <v>319.52825671487602</v>
      </c>
      <c r="J186" s="24">
        <f t="shared" si="289"/>
        <v>1</v>
      </c>
      <c r="K186" s="26">
        <f>VLOOKUP($C186,COS!$B$8:$H$991,2,FALSE)</f>
        <v>4552</v>
      </c>
      <c r="L186" s="24">
        <f t="shared" si="231"/>
        <v>1</v>
      </c>
      <c r="M186" s="24">
        <f t="shared" si="232"/>
        <v>0</v>
      </c>
      <c r="N186" s="26">
        <f>VLOOKUP($C186,COS!$B$8:$H$991,5,FALSE)</f>
        <v>416.04388427734375</v>
      </c>
      <c r="O186" s="26">
        <f t="shared" si="292"/>
        <v>25.581541314243285</v>
      </c>
      <c r="P186" s="26">
        <f>VLOOKUP($C186,COS!$B$8:$H$991,6,FALSE)</f>
        <v>1881.5819091796875</v>
      </c>
      <c r="Q186" s="26">
        <f t="shared" si="293"/>
        <v>115.69396201898243</v>
      </c>
      <c r="R186" s="26">
        <f>MIN(IF(MONTH($C186)=4,$S$3,IF(MONTH($C186)=5,$S$4,IF(MONTH($C186)=6,$S$5,IF(MONTH($C186)=7,$S$6,"ERROR")))),MAX(VLOOKUP($C186,COS!$B$8:$K$991,10,FALSE)-IF(MONTH($C186)=4,$Y$3,IF(MONTH($C186)=5,$Y$4,IF(MONTH($C186)=6,$Y$5,IF(MONTH($C186)=7,$Y$6,"ERROR")))),0),MAX(VLOOKUP($C186,COS!$B$8:$K$991,9,FALSE)-IF(MONTH($C186)=4,$V$3,IF(MONTH($C186)=5,$V$4,IF(MONTH($C186)=6,$V$5,IF(MONTH($C186)=7,$V$6,"ERROR"))))-VLOOKUP($C186,COS!$B$8:$K$991,6,FALSE)/2,0))</f>
        <v>1500</v>
      </c>
      <c r="S186" s="26">
        <f t="shared" si="294"/>
        <v>92.231404958677686</v>
      </c>
      <c r="T186" s="26">
        <f t="shared" si="295"/>
        <v>162.86915662529054</v>
      </c>
      <c r="U186" s="26" t="str">
        <f>IF(VLOOKUP($C186,COS!$B$8:$I$991,8,FALSE)=1,"UWFE","IBU")</f>
        <v>UWFE</v>
      </c>
      <c r="V186" s="26">
        <f t="shared" ref="V186" si="297">MIN(IF(IF($AA$3=2,AND(E186=1,G186=1,L186=1,L190=1,M186=1,U186="IBU"),AND(E186=1,G186=1,L186=1,L190=1,M186=1)),T186,0),I186)</f>
        <v>0</v>
      </c>
      <c r="W186" s="26"/>
      <c r="X186" s="26"/>
      <c r="Y186" s="26"/>
      <c r="Z186" s="26"/>
      <c r="AA186" s="26"/>
      <c r="AB186" s="33"/>
    </row>
    <row r="187" spans="1:28" x14ac:dyDescent="0.3">
      <c r="A187" s="32">
        <f>VLOOKUP(YEAR(C187),Flags!$A$13:$B$95,2,FALSE)</f>
        <v>1</v>
      </c>
      <c r="B187" s="24">
        <f t="shared" si="225"/>
        <v>1941</v>
      </c>
      <c r="C187" s="25">
        <v>15157</v>
      </c>
      <c r="D187" s="26">
        <f>VLOOKUP($C187,COS!$B$8:$H$991,3,FALSE)</f>
        <v>7959.45068359375</v>
      </c>
      <c r="E187" s="24">
        <f>IF(D187&gt;=IF(MONTH($C187)=4,$C$3,IF(MONTH($C187)=5,$C$4,IF(MONTH($C187)=6,$C$5,IF(MONTH($C187)=7,$C$6,"ERROR")))),1,0)</f>
        <v>0</v>
      </c>
      <c r="F187" s="26">
        <f>VLOOKUP($C187,COS!$B$8:$H$991,7,FALSE)</f>
        <v>51.485713958740234</v>
      </c>
      <c r="G187" s="24">
        <f>IF(F187&lt;=IF(MONTH($C187)=4,$F$3,IF(MONTH($C187)=5,$F$4,IF(MONTH($C187)=6,$F$5,IF(MONTH($C187)=7,$F$6,"ERROR")))),1,0)</f>
        <v>1</v>
      </c>
      <c r="H187" s="26">
        <f>IF(J187=1,D187-$C$5,0)</f>
        <v>0</v>
      </c>
      <c r="I187" s="26">
        <f t="shared" si="239"/>
        <v>0</v>
      </c>
      <c r="J187" s="24">
        <f t="shared" si="289"/>
        <v>0</v>
      </c>
      <c r="K187" s="26">
        <f>VLOOKUP($C187,COS!$B$8:$H$991,2,FALSE)</f>
        <v>4473.59912109375</v>
      </c>
      <c r="L187" s="24">
        <f t="shared" si="231"/>
        <v>1</v>
      </c>
      <c r="M187" s="24">
        <f t="shared" si="232"/>
        <v>0</v>
      </c>
      <c r="N187" s="26">
        <f>VLOOKUP($C187,COS!$B$8:$H$991,5,FALSE)</f>
        <v>1200.7138671875</v>
      </c>
      <c r="O187" s="26">
        <f t="shared" si="292"/>
        <v>71.447436725206614</v>
      </c>
      <c r="P187" s="26">
        <f>VLOOKUP($C187,COS!$B$8:$H$991,6,FALSE)</f>
        <v>2235.81640625</v>
      </c>
      <c r="Q187" s="26">
        <f t="shared" si="293"/>
        <v>133.04031508264464</v>
      </c>
      <c r="R187" s="26">
        <f>MIN(IF(MONTH($C187)=4,$S$3,IF(MONTH($C187)=5,$S$4,IF(MONTH($C187)=6,$S$5,IF(MONTH($C187)=7,$S$6,"ERROR")))),MAX(VLOOKUP($C187,COS!$B$8:$K$991,10,FALSE)-IF(MONTH($C187)=4,$Y$3,IF(MONTH($C187)=5,$Y$4,IF(MONTH($C187)=6,$Y$5,IF(MONTH($C187)=7,$Y$6,"ERROR")))),0),MAX(VLOOKUP($C187,COS!$B$8:$K$991,9,FALSE)-IF(MONTH($C187)=4,$V$3,IF(MONTH($C187)=5,$V$4,IF(MONTH($C187)=6,$V$5,IF(MONTH($C187)=7,$V$6,"ERROR"))))-VLOOKUP($C187,COS!$B$8:$K$991,6,FALSE)/2,0))</f>
        <v>1500</v>
      </c>
      <c r="S187" s="26">
        <f t="shared" si="294"/>
        <v>89.256198347107429</v>
      </c>
      <c r="T187" s="26">
        <f t="shared" si="295"/>
        <v>191.50007425103306</v>
      </c>
      <c r="U187" s="26" t="str">
        <f>IF(VLOOKUP($C187,COS!$B$8:$I$991,8,FALSE)=1,"UWFE","IBU")</f>
        <v>UWFE</v>
      </c>
      <c r="V187" s="26">
        <f t="shared" ref="V187" si="298">MIN(IF(IF($AA$3=2,AND(E187=1,G187=1,L187=1,L190=1,M187=1,U187="IBU"),AND(E187=1,G187=1,L187=1,L190=1,M187=1)),T187,0),I187)</f>
        <v>0</v>
      </c>
      <c r="W187" s="26"/>
      <c r="X187" s="26"/>
      <c r="Y187" s="26"/>
      <c r="Z187" s="26"/>
      <c r="AA187" s="26"/>
      <c r="AB187" s="33"/>
    </row>
    <row r="188" spans="1:28" x14ac:dyDescent="0.3">
      <c r="A188" s="32">
        <f>VLOOKUP(YEAR(C188),Flags!$A$13:$B$95,2,FALSE)</f>
        <v>1</v>
      </c>
      <c r="B188" s="24">
        <f t="shared" si="225"/>
        <v>1941</v>
      </c>
      <c r="C188" s="25">
        <v>15188</v>
      </c>
      <c r="D188" s="26">
        <f>VLOOKUP($C188,COS!$B$8:$H$991,3,FALSE)</f>
        <v>13357.740234375</v>
      </c>
      <c r="E188" s="24">
        <f>IF(D188&gt;=IF(MONTH($C188)=4,$C$3,IF(MONTH($C188)=5,$C$4,IF(MONTH($C188)=6,$C$5,IF(MONTH($C188)=7,$C$6,"ERROR")))),1,0)</f>
        <v>1</v>
      </c>
      <c r="F188" s="26">
        <f>VLOOKUP($C188,COS!$B$8:$H$991,7,FALSE)</f>
        <v>52.457145690917969</v>
      </c>
      <c r="G188" s="24">
        <f>IF(F188&lt;=IF(MONTH($C188)=4,$F$3,IF(MONTH($C188)=5,$F$4,IF(MONTH($C188)=6,$F$5,IF(MONTH($C188)=7,$F$6,"ERROR")))),1,0)</f>
        <v>1</v>
      </c>
      <c r="H188" s="26">
        <f>IF(J188=1,D188-$C$6,0)</f>
        <v>1357.740234375</v>
      </c>
      <c r="I188" s="26">
        <f t="shared" si="239"/>
        <v>83.484192923553721</v>
      </c>
      <c r="J188" s="24">
        <f t="shared" si="289"/>
        <v>1</v>
      </c>
      <c r="K188" s="26">
        <f>VLOOKUP($C188,COS!$B$8:$H$991,2,FALSE)</f>
        <v>4107.0615234375</v>
      </c>
      <c r="L188" s="24">
        <f t="shared" si="231"/>
        <v>1</v>
      </c>
      <c r="M188" s="24">
        <f t="shared" si="232"/>
        <v>0</v>
      </c>
      <c r="N188" s="26">
        <f>VLOOKUP($C188,COS!$B$8:$H$991,5,FALSE)</f>
        <v>1380.17529296875</v>
      </c>
      <c r="O188" s="26">
        <f t="shared" si="292"/>
        <v>84.863670906508275</v>
      </c>
      <c r="P188" s="26">
        <f>VLOOKUP($C188,COS!$B$8:$H$991,6,FALSE)</f>
        <v>2616.67822265625</v>
      </c>
      <c r="Q188" s="26">
        <f t="shared" si="293"/>
        <v>160.89327253357436</v>
      </c>
      <c r="R188" s="26">
        <f>MIN(IF(MONTH($C188)=4,$S$3,IF(MONTH($C188)=5,$S$4,IF(MONTH($C188)=6,$S$5,IF(MONTH($C188)=7,$S$6,"ERROR")))),MAX(VLOOKUP($C188,COS!$B$8:$K$991,10,FALSE)-IF(MONTH($C188)=4,$Y$3,IF(MONTH($C188)=5,$Y$4,IF(MONTH($C188)=6,$Y$5,IF(MONTH($C188)=7,$Y$6,"ERROR")))),0),MAX(VLOOKUP($C188,COS!$B$8:$K$991,9,FALSE)-IF(MONTH($C188)=4,$V$3,IF(MONTH($C188)=5,$V$4,IF(MONTH($C188)=6,$V$5,IF(MONTH($C188)=7,$V$6,"ERROR"))))-VLOOKUP($C188,COS!$B$8:$K$991,6,FALSE)/2,0))</f>
        <v>1500</v>
      </c>
      <c r="S188" s="26">
        <f t="shared" si="294"/>
        <v>92.231404958677686</v>
      </c>
      <c r="T188" s="26">
        <f t="shared" si="295"/>
        <v>215.10987667871899</v>
      </c>
      <c r="U188" s="26" t="str">
        <f>IF(VLOOKUP($C188,COS!$B$8:$I$991,8,FALSE)=1,"UWFE","IBU")</f>
        <v>IBU</v>
      </c>
      <c r="V188" s="26">
        <f t="shared" ref="V188" si="299">MIN(IF(IF($AA$3=2,AND(E188=1,G188=1,L188=1,L190=1,M188=1,U188="IBU"),AND(E188=1,G188=1,L188=1,L190=1,M188=1)),T188,0),I188)</f>
        <v>0</v>
      </c>
      <c r="W188" s="26"/>
      <c r="X188" s="26"/>
      <c r="Y188" s="26"/>
      <c r="Z188" s="26"/>
      <c r="AA188" s="26"/>
      <c r="AB188" s="33"/>
    </row>
    <row r="189" spans="1:28" x14ac:dyDescent="0.3">
      <c r="A189" s="32">
        <f>VLOOKUP(YEAR(C189),Flags!$A$13:$B$95,2,FALSE)</f>
        <v>1</v>
      </c>
      <c r="B189" s="24">
        <f t="shared" si="225"/>
        <v>1941</v>
      </c>
      <c r="C189" s="25">
        <v>15219</v>
      </c>
      <c r="D189" s="26"/>
      <c r="E189" s="24"/>
      <c r="F189" s="26"/>
      <c r="G189" s="24"/>
      <c r="H189" s="24"/>
      <c r="I189" s="26"/>
      <c r="J189" s="24"/>
      <c r="K189" s="26"/>
      <c r="L189" s="24"/>
      <c r="M189" s="24"/>
      <c r="N189" s="26"/>
      <c r="O189" s="26"/>
      <c r="P189" s="26"/>
      <c r="Q189" s="26"/>
      <c r="R189" s="26"/>
      <c r="S189" s="26"/>
      <c r="T189" s="26"/>
      <c r="U189" s="26"/>
      <c r="V189" s="26"/>
      <c r="W189" s="26">
        <f>MAX($C$7-VLOOKUP($C189,COS!$B$8:$H$991,3,FALSE),0)</f>
        <v>88126.173828125</v>
      </c>
      <c r="X189" s="26">
        <f t="shared" si="245"/>
        <v>5418.6672172004137</v>
      </c>
      <c r="Y189" s="26">
        <f>VLOOKUP($C189,COS!$B$8:$H$991,4,FALSE)</f>
        <v>41.871162414550781</v>
      </c>
      <c r="Z189" s="26">
        <f t="shared" si="246"/>
        <v>2.5745574244979985</v>
      </c>
      <c r="AA189" s="26">
        <f t="shared" ref="AA189:AA193" si="300">MIN(W189,Y189)</f>
        <v>41.871162414550781</v>
      </c>
      <c r="AB189" s="33">
        <f t="shared" ref="AB189" si="301">AA189*DAY($C189)*86400/43560/1000*IF(MONTH($C189)=8,$P$3,IF(MONTH($C189)=9,$P$4,IF(MONTH($C189)=10,$P$5,IF(MONTH($C189)=11,$P$6,IF(MONTH($C189)=12,$P$7,NA())))))</f>
        <v>2.5745574244979985</v>
      </c>
    </row>
    <row r="190" spans="1:28" x14ac:dyDescent="0.3">
      <c r="A190" s="32">
        <f>VLOOKUP(YEAR(C190),Flags!$A$13:$B$95,2,FALSE)</f>
        <v>1</v>
      </c>
      <c r="B190" s="24">
        <f t="shared" si="225"/>
        <v>1941</v>
      </c>
      <c r="C190" s="25">
        <v>15249</v>
      </c>
      <c r="D190" s="26"/>
      <c r="E190" s="24"/>
      <c r="F190" s="26"/>
      <c r="G190" s="24"/>
      <c r="H190" s="24"/>
      <c r="I190" s="26"/>
      <c r="J190" s="24"/>
      <c r="K190" s="26">
        <f>VLOOKUP($C190,COS!$B$8:$H$991,2,FALSE)</f>
        <v>3115.0087890625</v>
      </c>
      <c r="L190" s="24">
        <f t="shared" ref="L190" si="302">IF(AND(K190&gt;$I$7,K190&lt;$I$8),1,0)</f>
        <v>1</v>
      </c>
      <c r="M190" s="24"/>
      <c r="N190" s="26"/>
      <c r="O190" s="26"/>
      <c r="P190" s="26"/>
      <c r="Q190" s="26"/>
      <c r="R190" s="26"/>
      <c r="S190" s="26"/>
      <c r="T190" s="26"/>
      <c r="U190" s="26"/>
      <c r="V190" s="26"/>
      <c r="W190" s="26">
        <f>MAX($C$8-VLOOKUP($C190,COS!$B$8:$H$991,3,FALSE),0)</f>
        <v>83265.279296875</v>
      </c>
      <c r="X190" s="26">
        <f t="shared" si="245"/>
        <v>4954.6281895661159</v>
      </c>
      <c r="Y190" s="26">
        <f>VLOOKUP($C190,COS!$B$8:$H$991,4,FALSE)</f>
        <v>125.05797576904297</v>
      </c>
      <c r="Z190" s="26">
        <f t="shared" si="246"/>
        <v>7.4414663267529706</v>
      </c>
      <c r="AA190" s="26">
        <f t="shared" si="300"/>
        <v>125.05797576904297</v>
      </c>
      <c r="AB190" s="33">
        <f t="shared" si="243"/>
        <v>7.4414663267529706</v>
      </c>
    </row>
    <row r="191" spans="1:28" x14ac:dyDescent="0.3">
      <c r="A191" s="32">
        <f>VLOOKUP(YEAR(C191),Flags!$A$13:$B$95,2,FALSE)</f>
        <v>1</v>
      </c>
      <c r="B191" s="24">
        <f t="shared" si="225"/>
        <v>1941</v>
      </c>
      <c r="C191" s="25">
        <v>15280</v>
      </c>
      <c r="D191" s="26"/>
      <c r="E191" s="24"/>
      <c r="F191" s="26"/>
      <c r="G191" s="26"/>
      <c r="H191" s="26"/>
      <c r="I191" s="26"/>
      <c r="J191" s="26"/>
      <c r="K191" s="26"/>
      <c r="L191" s="24"/>
      <c r="M191" s="24"/>
      <c r="N191" s="26"/>
      <c r="O191" s="26"/>
      <c r="P191" s="26"/>
      <c r="Q191" s="26"/>
      <c r="R191" s="26"/>
      <c r="S191" s="26"/>
      <c r="T191" s="26"/>
      <c r="U191" s="26"/>
      <c r="V191" s="26"/>
      <c r="W191" s="26">
        <f>MAX($C$9-VLOOKUP($C191,COS!$B$8:$H$991,3,FALSE),0)</f>
        <v>93057.919921875</v>
      </c>
      <c r="X191" s="26">
        <f t="shared" si="245"/>
        <v>5721.908464617768</v>
      </c>
      <c r="Y191" s="26">
        <f>VLOOKUP($C191,COS!$B$8:$H$991,4,FALSE)</f>
        <v>404.5906982421875</v>
      </c>
      <c r="Z191" s="26">
        <f t="shared" si="246"/>
        <v>24.877312354726239</v>
      </c>
      <c r="AA191" s="26">
        <f t="shared" si="300"/>
        <v>404.5906982421875</v>
      </c>
      <c r="AB191" s="33">
        <f t="shared" si="243"/>
        <v>24.877312354726239</v>
      </c>
    </row>
    <row r="192" spans="1:28" x14ac:dyDescent="0.3">
      <c r="A192" s="32">
        <f>VLOOKUP(YEAR(C192),Flags!$A$13:$B$95,2,FALSE)</f>
        <v>1</v>
      </c>
      <c r="B192" s="24">
        <f t="shared" si="225"/>
        <v>1941</v>
      </c>
      <c r="C192" s="25">
        <v>15310</v>
      </c>
      <c r="D192" s="26"/>
      <c r="E192" s="24"/>
      <c r="F192" s="26"/>
      <c r="G192" s="26"/>
      <c r="H192" s="26"/>
      <c r="I192" s="26"/>
      <c r="J192" s="26"/>
      <c r="K192" s="26"/>
      <c r="L192" s="24"/>
      <c r="M192" s="24"/>
      <c r="N192" s="26"/>
      <c r="O192" s="26"/>
      <c r="P192" s="26"/>
      <c r="Q192" s="26"/>
      <c r="R192" s="26"/>
      <c r="S192" s="26"/>
      <c r="T192" s="26"/>
      <c r="U192" s="26"/>
      <c r="V192" s="26"/>
      <c r="W192" s="26">
        <f>MAX($C$10-VLOOKUP($C192,COS!$B$8:$H$991,3,FALSE),0)</f>
        <v>90006.765625</v>
      </c>
      <c r="X192" s="26">
        <f t="shared" si="245"/>
        <v>5355.7744834710738</v>
      </c>
      <c r="Y192" s="26">
        <f>VLOOKUP($C192,COS!$B$8:$H$991,4,FALSE)</f>
        <v>455.62896728515625</v>
      </c>
      <c r="Z192" s="26">
        <f t="shared" si="246"/>
        <v>27.111806317794422</v>
      </c>
      <c r="AA192" s="26">
        <f t="shared" si="300"/>
        <v>455.62896728515625</v>
      </c>
      <c r="AB192" s="33">
        <f t="shared" si="243"/>
        <v>27.111806317794422</v>
      </c>
    </row>
    <row r="193" spans="1:28" x14ac:dyDescent="0.3">
      <c r="A193" s="34">
        <f>VLOOKUP(YEAR(C193),Flags!$A$13:$B$95,2,FALSE)</f>
        <v>1</v>
      </c>
      <c r="B193" s="35">
        <f t="shared" si="225"/>
        <v>1941</v>
      </c>
      <c r="C193" s="36">
        <v>15341</v>
      </c>
      <c r="D193" s="37"/>
      <c r="E193" s="35"/>
      <c r="F193" s="37"/>
      <c r="G193" s="37"/>
      <c r="H193" s="37"/>
      <c r="I193" s="37"/>
      <c r="J193" s="37"/>
      <c r="K193" s="37"/>
      <c r="L193" s="35"/>
      <c r="M193" s="35"/>
      <c r="N193" s="37"/>
      <c r="O193" s="37"/>
      <c r="P193" s="37"/>
      <c r="Q193" s="37"/>
      <c r="R193" s="37"/>
      <c r="S193" s="37"/>
      <c r="T193" s="37"/>
      <c r="U193" s="37"/>
      <c r="V193" s="37"/>
      <c r="W193" s="37">
        <f>MAX($C$11-VLOOKUP($C193,COS!$B$8:$H$991,3,FALSE),0)</f>
        <v>88171.6689453125</v>
      </c>
      <c r="X193" s="37">
        <f t="shared" si="245"/>
        <v>5421.4646029183887</v>
      </c>
      <c r="Y193" s="37">
        <f>VLOOKUP($C193,COS!$B$8:$H$991,4,FALSE)</f>
        <v>0</v>
      </c>
      <c r="Z193" s="37">
        <f t="shared" si="246"/>
        <v>0</v>
      </c>
      <c r="AA193" s="37">
        <f t="shared" si="300"/>
        <v>0</v>
      </c>
      <c r="AB193" s="38">
        <f t="shared" si="243"/>
        <v>0</v>
      </c>
    </row>
    <row r="194" spans="1:28" x14ac:dyDescent="0.3">
      <c r="A194" s="27">
        <f>VLOOKUP(YEAR(C194),Flags!$A$13:$B$95,2,FALSE)</f>
        <v>1</v>
      </c>
      <c r="B194" s="28">
        <f t="shared" si="225"/>
        <v>1942</v>
      </c>
      <c r="C194" s="29">
        <v>15461</v>
      </c>
      <c r="D194" s="30">
        <f>VLOOKUP($C194,COS!$B$8:$H$991,3,FALSE)</f>
        <v>3250</v>
      </c>
      <c r="E194" s="28">
        <f>IF(D194&gt;=IF(MONTH($C194)=4,$C$3,IF(MONTH($C194)=5,$C$4,IF(MONTH($C194)=6,$C$5,IF(MONTH($C194)=7,$C$6,"ERROR")))),1,0)</f>
        <v>0</v>
      </c>
      <c r="F194" s="30">
        <f>VLOOKUP($C194,COS!$B$8:$H$991,7,FALSE)</f>
        <v>49.696609497070313</v>
      </c>
      <c r="G194" s="28">
        <f>IF(F194&lt;=IF(MONTH($C194)=4,$F$3,IF(MONTH($C194)=5,$F$4,IF(MONTH($C194)=6,$F$5,IF(MONTH($C194)=7,$F$6,"ERROR")))),1,0)</f>
        <v>1</v>
      </c>
      <c r="H194" s="30">
        <f>IF(J194=1,D194-$C$3,0)</f>
        <v>0</v>
      </c>
      <c r="I194" s="30">
        <f t="shared" si="239"/>
        <v>0</v>
      </c>
      <c r="J194" s="28">
        <f t="shared" ref="J194:J197" si="303">IF(AND(E194=1,G194=1),1,0)</f>
        <v>0</v>
      </c>
      <c r="K194" s="30">
        <f>VLOOKUP($C194,COS!$B$8:$H$991,2,FALSE)</f>
        <v>4509.97900390625</v>
      </c>
      <c r="L194" s="28">
        <f t="shared" ref="L194" si="304">IF(K194&lt;=IF(MONTH($C194)=4,$I$3,IF(MONTH($C194)=5,$I$4,IF(MONTH($C194)=6,$I$5,IF(MONTH($C194)=7,$I$6,"ERROR")))),1,0)</f>
        <v>1</v>
      </c>
      <c r="M194" s="28">
        <f t="shared" ref="M194" si="305">VLOOKUP($A194,$L$3:$M$7,2,FALSE)</f>
        <v>0</v>
      </c>
      <c r="N194" s="30">
        <f>VLOOKUP($C194,COS!$B$8:$H$991,5,FALSE)</f>
        <v>20.96923828125</v>
      </c>
      <c r="O194" s="30">
        <f t="shared" ref="O194:O197" si="306">N194*DAY($C194)*86400/43560/1000</f>
        <v>1.2477563274793388</v>
      </c>
      <c r="P194" s="30">
        <f>VLOOKUP($C194,COS!$B$8:$H$991,6,FALSE)</f>
        <v>278.10659790039063</v>
      </c>
      <c r="Q194" s="30">
        <f t="shared" ref="Q194:Q197" si="307">P194*DAY($C194)*86400/43560/1000</f>
        <v>16.548491775891012</v>
      </c>
      <c r="R194" s="30">
        <f>MIN(IF(MONTH($C194)=4,$S$3,IF(MONTH($C194)=5,$S$4,IF(MONTH($C194)=6,$S$5,IF(MONTH($C194)=7,$S$6,"ERROR")))),MAX(VLOOKUP($C194,COS!$B$8:$K$991,10,FALSE)-IF(MONTH($C194)=4,$Y$3,IF(MONTH($C194)=5,$Y$4,IF(MONTH($C194)=6,$Y$5,IF(MONTH($C194)=7,$Y$6,"ERROR")))),0),MAX(VLOOKUP($C194,COS!$B$8:$K$991,9,FALSE)-IF(MONTH($C194)=4,$V$3,IF(MONTH($C194)=5,$V$4,IF(MONTH($C194)=6,$V$5,IF(MONTH($C194)=7,$V$6,"ERROR"))))-VLOOKUP($C194,COS!$B$8:$K$991,6,FALSE)/2,0))</f>
        <v>1500</v>
      </c>
      <c r="S194" s="30">
        <f t="shared" ref="S194:S197" si="308">R194*DAY($C194)*86400/43560/1000</f>
        <v>89.256198347107429</v>
      </c>
      <c r="T194" s="30">
        <f t="shared" ref="T194:T197" si="309">(O194+Q194)/2+S194</f>
        <v>98.154322398792601</v>
      </c>
      <c r="U194" s="30" t="str">
        <f>IF(VLOOKUP($C194,COS!$B$8:$I$991,8,FALSE)=1,"UWFE","IBU")</f>
        <v>UWFE</v>
      </c>
      <c r="V194" s="30">
        <f t="shared" ref="V194" si="310">MIN(IF(IF($AA$3=2,AND(E194=1,G194=1,L194=1,L199=1,M194=1,U194="IBU"),AND(E194=1,G194=1,L194=1,L199=1,M194=1)),T194,0),I194)</f>
        <v>0</v>
      </c>
      <c r="W194" s="30"/>
      <c r="X194" s="30"/>
      <c r="Y194" s="30"/>
      <c r="Z194" s="30"/>
      <c r="AA194" s="30"/>
      <c r="AB194" s="31"/>
    </row>
    <row r="195" spans="1:28" x14ac:dyDescent="0.3">
      <c r="A195" s="32">
        <f>VLOOKUP(YEAR(C195),Flags!$A$13:$B$95,2,FALSE)</f>
        <v>1</v>
      </c>
      <c r="B195" s="24">
        <f t="shared" si="225"/>
        <v>1942</v>
      </c>
      <c r="C195" s="25">
        <v>15492</v>
      </c>
      <c r="D195" s="26">
        <f>VLOOKUP($C195,COS!$B$8:$H$991,3,FALSE)</f>
        <v>10224.1552734375</v>
      </c>
      <c r="E195" s="24">
        <f>IF(D195&gt;=IF(MONTH($C195)=4,$C$3,IF(MONTH($C195)=5,$C$4,IF(MONTH($C195)=6,$C$5,IF(MONTH($C195)=7,$C$6,"ERROR")))),1,0)</f>
        <v>1</v>
      </c>
      <c r="F195" s="26">
        <f>VLOOKUP($C195,COS!$B$8:$H$991,7,FALSE)</f>
        <v>48.257987976074219</v>
      </c>
      <c r="G195" s="24">
        <f>IF(F195&lt;=IF(MONTH($C195)=4,$F$3,IF(MONTH($C195)=5,$F$4,IF(MONTH($C195)=6,$F$5,IF(MONTH($C195)=7,$F$6,"ERROR")))),1,0)</f>
        <v>1</v>
      </c>
      <c r="H195" s="26">
        <f>IF(J195=1,D195-$C$4,0)</f>
        <v>4224.1552734375</v>
      </c>
      <c r="I195" s="26">
        <f t="shared" si="239"/>
        <v>259.73318375516527</v>
      </c>
      <c r="J195" s="24">
        <f t="shared" si="303"/>
        <v>1</v>
      </c>
      <c r="K195" s="26">
        <f>VLOOKUP($C195,COS!$B$8:$H$991,2,FALSE)</f>
        <v>4552</v>
      </c>
      <c r="L195" s="24">
        <f t="shared" si="231"/>
        <v>1</v>
      </c>
      <c r="M195" s="24">
        <f t="shared" si="232"/>
        <v>0</v>
      </c>
      <c r="N195" s="26">
        <f>VLOOKUP($C195,COS!$B$8:$H$991,5,FALSE)</f>
        <v>528.735595703125</v>
      </c>
      <c r="O195" s="26">
        <f t="shared" si="306"/>
        <v>32.510684562241735</v>
      </c>
      <c r="P195" s="26">
        <f>VLOOKUP($C195,COS!$B$8:$H$991,6,FALSE)</f>
        <v>2076.0068359375</v>
      </c>
      <c r="Q195" s="26">
        <f t="shared" si="307"/>
        <v>127.64868478822314</v>
      </c>
      <c r="R195" s="26">
        <f>MIN(IF(MONTH($C195)=4,$S$3,IF(MONTH($C195)=5,$S$4,IF(MONTH($C195)=6,$S$5,IF(MONTH($C195)=7,$S$6,"ERROR")))),MAX(VLOOKUP($C195,COS!$B$8:$K$991,10,FALSE)-IF(MONTH($C195)=4,$Y$3,IF(MONTH($C195)=5,$Y$4,IF(MONTH($C195)=6,$Y$5,IF(MONTH($C195)=7,$Y$6,"ERROR")))),0),MAX(VLOOKUP($C195,COS!$B$8:$K$991,9,FALSE)-IF(MONTH($C195)=4,$V$3,IF(MONTH($C195)=5,$V$4,IF(MONTH($C195)=6,$V$5,IF(MONTH($C195)=7,$V$6,"ERROR"))))-VLOOKUP($C195,COS!$B$8:$K$991,6,FALSE)/2,0))</f>
        <v>1500</v>
      </c>
      <c r="S195" s="26">
        <f t="shared" si="308"/>
        <v>92.231404958677686</v>
      </c>
      <c r="T195" s="26">
        <f t="shared" si="309"/>
        <v>172.31108963391011</v>
      </c>
      <c r="U195" s="26" t="str">
        <f>IF(VLOOKUP($C195,COS!$B$8:$I$991,8,FALSE)=1,"UWFE","IBU")</f>
        <v>UWFE</v>
      </c>
      <c r="V195" s="26">
        <f t="shared" ref="V195" si="311">MIN(IF(IF($AA$3=2,AND(E195=1,G195=1,L195=1,L199=1,M195=1,U195="IBU"),AND(E195=1,G195=1,L195=1,L199=1,M195=1)),T195,0),I195)</f>
        <v>0</v>
      </c>
      <c r="W195" s="26"/>
      <c r="X195" s="26"/>
      <c r="Y195" s="26"/>
      <c r="Z195" s="26"/>
      <c r="AA195" s="26"/>
      <c r="AB195" s="33"/>
    </row>
    <row r="196" spans="1:28" x14ac:dyDescent="0.3">
      <c r="A196" s="32">
        <f>VLOOKUP(YEAR(C196),Flags!$A$13:$B$95,2,FALSE)</f>
        <v>1</v>
      </c>
      <c r="B196" s="24">
        <f t="shared" si="225"/>
        <v>1942</v>
      </c>
      <c r="C196" s="25">
        <v>15522</v>
      </c>
      <c r="D196" s="26">
        <f>VLOOKUP($C196,COS!$B$8:$H$991,3,FALSE)</f>
        <v>7711.70703125</v>
      </c>
      <c r="E196" s="24">
        <f>IF(D196&gt;=IF(MONTH($C196)=4,$C$3,IF(MONTH($C196)=5,$C$4,IF(MONTH($C196)=6,$C$5,IF(MONTH($C196)=7,$C$6,"ERROR")))),1,0)</f>
        <v>0</v>
      </c>
      <c r="F196" s="26">
        <f>VLOOKUP($C196,COS!$B$8:$H$991,7,FALSE)</f>
        <v>50.720790863037109</v>
      </c>
      <c r="G196" s="24">
        <f>IF(F196&lt;=IF(MONTH($C196)=4,$F$3,IF(MONTH($C196)=5,$F$4,IF(MONTH($C196)=6,$F$5,IF(MONTH($C196)=7,$F$6,"ERROR")))),1,0)</f>
        <v>1</v>
      </c>
      <c r="H196" s="26">
        <f>IF(J196=1,D196-$C$5,0)</f>
        <v>0</v>
      </c>
      <c r="I196" s="26">
        <f t="shared" si="239"/>
        <v>0</v>
      </c>
      <c r="J196" s="24">
        <f t="shared" si="303"/>
        <v>0</v>
      </c>
      <c r="K196" s="26">
        <f>VLOOKUP($C196,COS!$B$8:$H$991,2,FALSE)</f>
        <v>4500</v>
      </c>
      <c r="L196" s="24">
        <f t="shared" si="231"/>
        <v>1</v>
      </c>
      <c r="M196" s="24">
        <f t="shared" si="232"/>
        <v>0</v>
      </c>
      <c r="N196" s="26">
        <f>VLOOKUP($C196,COS!$B$8:$H$991,5,FALSE)</f>
        <v>1239.5582275390625</v>
      </c>
      <c r="O196" s="26">
        <f t="shared" si="306"/>
        <v>73.758836680010319</v>
      </c>
      <c r="P196" s="26">
        <f>VLOOKUP($C196,COS!$B$8:$H$991,6,FALSE)</f>
        <v>2346.177734375</v>
      </c>
      <c r="Q196" s="26">
        <f t="shared" si="307"/>
        <v>139.6072701446281</v>
      </c>
      <c r="R196" s="26">
        <f>MIN(IF(MONTH($C196)=4,$S$3,IF(MONTH($C196)=5,$S$4,IF(MONTH($C196)=6,$S$5,IF(MONTH($C196)=7,$S$6,"ERROR")))),MAX(VLOOKUP($C196,COS!$B$8:$K$991,10,FALSE)-IF(MONTH($C196)=4,$Y$3,IF(MONTH($C196)=5,$Y$4,IF(MONTH($C196)=6,$Y$5,IF(MONTH($C196)=7,$Y$6,"ERROR")))),0),MAX(VLOOKUP($C196,COS!$B$8:$K$991,9,FALSE)-IF(MONTH($C196)=4,$V$3,IF(MONTH($C196)=5,$V$4,IF(MONTH($C196)=6,$V$5,IF(MONTH($C196)=7,$V$6,"ERROR"))))-VLOOKUP($C196,COS!$B$8:$K$991,6,FALSE)/2,0))</f>
        <v>1500</v>
      </c>
      <c r="S196" s="26">
        <f t="shared" si="308"/>
        <v>89.256198347107429</v>
      </c>
      <c r="T196" s="26">
        <f t="shared" si="309"/>
        <v>195.93925175942664</v>
      </c>
      <c r="U196" s="26" t="str">
        <f>IF(VLOOKUP($C196,COS!$B$8:$I$991,8,FALSE)=1,"UWFE","IBU")</f>
        <v>UWFE</v>
      </c>
      <c r="V196" s="26">
        <f t="shared" ref="V196" si="312">MIN(IF(IF($AA$3=2,AND(E196=1,G196=1,L196=1,L199=1,M196=1,U196="IBU"),AND(E196=1,G196=1,L196=1,L199=1,M196=1)),T196,0),I196)</f>
        <v>0</v>
      </c>
      <c r="W196" s="26"/>
      <c r="X196" s="26"/>
      <c r="Y196" s="26"/>
      <c r="Z196" s="26"/>
      <c r="AA196" s="26"/>
      <c r="AB196" s="33"/>
    </row>
    <row r="197" spans="1:28" x14ac:dyDescent="0.3">
      <c r="A197" s="32">
        <f>VLOOKUP(YEAR(C197),Flags!$A$13:$B$95,2,FALSE)</f>
        <v>1</v>
      </c>
      <c r="B197" s="24">
        <f t="shared" si="225"/>
        <v>1942</v>
      </c>
      <c r="C197" s="25">
        <v>15553</v>
      </c>
      <c r="D197" s="26">
        <f>VLOOKUP($C197,COS!$B$8:$H$991,3,FALSE)</f>
        <v>12291.904296875</v>
      </c>
      <c r="E197" s="24">
        <f>IF(D197&gt;=IF(MONTH($C197)=4,$C$3,IF(MONTH($C197)=5,$C$4,IF(MONTH($C197)=6,$C$5,IF(MONTH($C197)=7,$C$6,"ERROR")))),1,0)</f>
        <v>1</v>
      </c>
      <c r="F197" s="26">
        <f>VLOOKUP($C197,COS!$B$8:$H$991,7,FALSE)</f>
        <v>51.129238128662109</v>
      </c>
      <c r="G197" s="24">
        <f>IF(F197&lt;=IF(MONTH($C197)=4,$F$3,IF(MONTH($C197)=5,$F$4,IF(MONTH($C197)=6,$F$5,IF(MONTH($C197)=7,$F$6,"ERROR")))),1,0)</f>
        <v>1</v>
      </c>
      <c r="H197" s="26">
        <f>IF(J197=1,D197-$C$6,0)</f>
        <v>291.904296875</v>
      </c>
      <c r="I197" s="26">
        <f t="shared" si="239"/>
        <v>17.948495609504132</v>
      </c>
      <c r="J197" s="24">
        <f t="shared" si="303"/>
        <v>1</v>
      </c>
      <c r="K197" s="26">
        <f>VLOOKUP($C197,COS!$B$8:$H$991,2,FALSE)</f>
        <v>3968.421142578125</v>
      </c>
      <c r="L197" s="24">
        <f t="shared" si="231"/>
        <v>1</v>
      </c>
      <c r="M197" s="24">
        <f t="shared" si="232"/>
        <v>0</v>
      </c>
      <c r="N197" s="26">
        <f>VLOOKUP($C197,COS!$B$8:$H$991,5,FALSE)</f>
        <v>1378.510009765625</v>
      </c>
      <c r="O197" s="26">
        <f t="shared" si="306"/>
        <v>84.761276633522726</v>
      </c>
      <c r="P197" s="26">
        <f>VLOOKUP($C197,COS!$B$8:$H$991,6,FALSE)</f>
        <v>2616.67822265625</v>
      </c>
      <c r="Q197" s="26">
        <f t="shared" si="307"/>
        <v>160.89327253357436</v>
      </c>
      <c r="R197" s="26">
        <f>MIN(IF(MONTH($C197)=4,$S$3,IF(MONTH($C197)=5,$S$4,IF(MONTH($C197)=6,$S$5,IF(MONTH($C197)=7,$S$6,"ERROR")))),MAX(VLOOKUP($C197,COS!$B$8:$K$991,10,FALSE)-IF(MONTH($C197)=4,$Y$3,IF(MONTH($C197)=5,$Y$4,IF(MONTH($C197)=6,$Y$5,IF(MONTH($C197)=7,$Y$6,"ERROR")))),0),MAX(VLOOKUP($C197,COS!$B$8:$K$991,9,FALSE)-IF(MONTH($C197)=4,$V$3,IF(MONTH($C197)=5,$V$4,IF(MONTH($C197)=6,$V$5,IF(MONTH($C197)=7,$V$6,"ERROR"))))-VLOOKUP($C197,COS!$B$8:$K$991,6,FALSE)/2,0))</f>
        <v>1500</v>
      </c>
      <c r="S197" s="26">
        <f t="shared" si="308"/>
        <v>92.231404958677686</v>
      </c>
      <c r="T197" s="26">
        <f t="shared" si="309"/>
        <v>215.05867954222623</v>
      </c>
      <c r="U197" s="26" t="str">
        <f>IF(VLOOKUP($C197,COS!$B$8:$I$991,8,FALSE)=1,"UWFE","IBU")</f>
        <v>IBU</v>
      </c>
      <c r="V197" s="26">
        <f t="shared" ref="V197" si="313">MIN(IF(IF($AA$3=2,AND(E197=1,G197=1,L197=1,L199=1,M197=1,U197="IBU"),AND(E197=1,G197=1,L197=1,L199=1,M197=1)),T197,0),I197)</f>
        <v>0</v>
      </c>
      <c r="W197" s="26"/>
      <c r="X197" s="26"/>
      <c r="Y197" s="26"/>
      <c r="Z197" s="26"/>
      <c r="AA197" s="26"/>
      <c r="AB197" s="33"/>
    </row>
    <row r="198" spans="1:28" x14ac:dyDescent="0.3">
      <c r="A198" s="32">
        <f>VLOOKUP(YEAR(C198),Flags!$A$13:$B$95,2,FALSE)</f>
        <v>1</v>
      </c>
      <c r="B198" s="24">
        <f t="shared" si="225"/>
        <v>1942</v>
      </c>
      <c r="C198" s="25">
        <v>15584</v>
      </c>
      <c r="D198" s="26"/>
      <c r="E198" s="24"/>
      <c r="F198" s="26"/>
      <c r="G198" s="24"/>
      <c r="H198" s="24"/>
      <c r="I198" s="26"/>
      <c r="J198" s="24"/>
      <c r="K198" s="26"/>
      <c r="L198" s="24"/>
      <c r="M198" s="24"/>
      <c r="N198" s="26"/>
      <c r="O198" s="26"/>
      <c r="P198" s="26"/>
      <c r="Q198" s="26"/>
      <c r="R198" s="26"/>
      <c r="S198" s="26"/>
      <c r="T198" s="26"/>
      <c r="U198" s="26"/>
      <c r="V198" s="26"/>
      <c r="W198" s="26">
        <f>MAX($C$7-VLOOKUP($C198,COS!$B$8:$H$991,3,FALSE),0)</f>
        <v>89122.767578125</v>
      </c>
      <c r="X198" s="26">
        <f t="shared" si="245"/>
        <v>5479.9453783574381</v>
      </c>
      <c r="Y198" s="26">
        <f>VLOOKUP($C198,COS!$B$8:$H$991,4,FALSE)</f>
        <v>0</v>
      </c>
      <c r="Z198" s="26">
        <f t="shared" si="246"/>
        <v>0</v>
      </c>
      <c r="AA198" s="26">
        <f t="shared" ref="AA198:AA202" si="314">MIN(W198,Y198)</f>
        <v>0</v>
      </c>
      <c r="AB198" s="33">
        <f t="shared" ref="AB198" si="315">AA198*DAY($C198)*86400/43560/1000*IF(MONTH($C198)=8,$P$3,IF(MONTH($C198)=9,$P$4,IF(MONTH($C198)=10,$P$5,IF(MONTH($C198)=11,$P$6,IF(MONTH($C198)=12,$P$7,NA())))))</f>
        <v>0</v>
      </c>
    </row>
    <row r="199" spans="1:28" x14ac:dyDescent="0.3">
      <c r="A199" s="32">
        <f>VLOOKUP(YEAR(C199),Flags!$A$13:$B$95,2,FALSE)</f>
        <v>1</v>
      </c>
      <c r="B199" s="24">
        <f t="shared" si="225"/>
        <v>1942</v>
      </c>
      <c r="C199" s="25">
        <v>15614</v>
      </c>
      <c r="D199" s="26"/>
      <c r="E199" s="24"/>
      <c r="F199" s="26"/>
      <c r="G199" s="24"/>
      <c r="H199" s="24"/>
      <c r="I199" s="26"/>
      <c r="J199" s="24"/>
      <c r="K199" s="26">
        <f>VLOOKUP($C199,COS!$B$8:$H$991,2,FALSE)</f>
        <v>2988.85791015625</v>
      </c>
      <c r="L199" s="24">
        <f t="shared" ref="L199" si="316">IF(AND(K199&gt;$I$7,K199&lt;$I$8),1,0)</f>
        <v>1</v>
      </c>
      <c r="M199" s="24"/>
      <c r="N199" s="26"/>
      <c r="O199" s="26"/>
      <c r="P199" s="26"/>
      <c r="Q199" s="26"/>
      <c r="R199" s="26"/>
      <c r="S199" s="26"/>
      <c r="T199" s="26"/>
      <c r="U199" s="26"/>
      <c r="V199" s="26"/>
      <c r="W199" s="26">
        <f>MAX($C$8-VLOOKUP($C199,COS!$B$8:$H$991,3,FALSE),0)</f>
        <v>83557.9609375</v>
      </c>
      <c r="X199" s="26">
        <f t="shared" si="245"/>
        <v>4972.0439566115701</v>
      </c>
      <c r="Y199" s="26">
        <f>VLOOKUP($C199,COS!$B$8:$H$991,4,FALSE)</f>
        <v>0</v>
      </c>
      <c r="Z199" s="26">
        <f t="shared" si="246"/>
        <v>0</v>
      </c>
      <c r="AA199" s="26">
        <f t="shared" si="314"/>
        <v>0</v>
      </c>
      <c r="AB199" s="33">
        <f t="shared" si="243"/>
        <v>0</v>
      </c>
    </row>
    <row r="200" spans="1:28" x14ac:dyDescent="0.3">
      <c r="A200" s="32">
        <f>VLOOKUP(YEAR(C200),Flags!$A$13:$B$95,2,FALSE)</f>
        <v>1</v>
      </c>
      <c r="B200" s="24">
        <f t="shared" si="225"/>
        <v>1942</v>
      </c>
      <c r="C200" s="25">
        <v>15645</v>
      </c>
      <c r="D200" s="26"/>
      <c r="E200" s="24"/>
      <c r="F200" s="26"/>
      <c r="G200" s="26"/>
      <c r="H200" s="26"/>
      <c r="I200" s="26"/>
      <c r="J200" s="26"/>
      <c r="K200" s="26"/>
      <c r="L200" s="24"/>
      <c r="M200" s="24"/>
      <c r="N200" s="26"/>
      <c r="O200" s="26"/>
      <c r="P200" s="26"/>
      <c r="Q200" s="26"/>
      <c r="R200" s="26"/>
      <c r="S200" s="26"/>
      <c r="T200" s="26"/>
      <c r="U200" s="26"/>
      <c r="V200" s="26"/>
      <c r="W200" s="26">
        <f>MAX($C$9-VLOOKUP($C200,COS!$B$8:$H$991,3,FALSE),0)</f>
        <v>91981.8251953125</v>
      </c>
      <c r="X200" s="26">
        <f t="shared" si="245"/>
        <v>5655.741978951447</v>
      </c>
      <c r="Y200" s="26">
        <f>VLOOKUP($C200,COS!$B$8:$H$991,4,FALSE)</f>
        <v>1127.253662109375</v>
      </c>
      <c r="Z200" s="26">
        <f t="shared" si="246"/>
        <v>69.312126000774796</v>
      </c>
      <c r="AA200" s="26">
        <f t="shared" si="314"/>
        <v>1127.253662109375</v>
      </c>
      <c r="AB200" s="33">
        <f t="shared" si="243"/>
        <v>69.312126000774796</v>
      </c>
    </row>
    <row r="201" spans="1:28" x14ac:dyDescent="0.3">
      <c r="A201" s="32">
        <f>VLOOKUP(YEAR(C201),Flags!$A$13:$B$95,2,FALSE)</f>
        <v>1</v>
      </c>
      <c r="B201" s="24">
        <f t="shared" si="225"/>
        <v>1942</v>
      </c>
      <c r="C201" s="25">
        <v>15675</v>
      </c>
      <c r="D201" s="26"/>
      <c r="E201" s="24"/>
      <c r="F201" s="26"/>
      <c r="G201" s="26"/>
      <c r="H201" s="26"/>
      <c r="I201" s="26"/>
      <c r="J201" s="26"/>
      <c r="K201" s="26"/>
      <c r="L201" s="24"/>
      <c r="M201" s="24"/>
      <c r="N201" s="26"/>
      <c r="O201" s="26"/>
      <c r="P201" s="26"/>
      <c r="Q201" s="26"/>
      <c r="R201" s="26"/>
      <c r="S201" s="26"/>
      <c r="T201" s="26"/>
      <c r="U201" s="26"/>
      <c r="V201" s="26"/>
      <c r="W201" s="26">
        <f>MAX($C$10-VLOOKUP($C201,COS!$B$8:$H$991,3,FALSE),0)</f>
        <v>90870.3603515625</v>
      </c>
      <c r="X201" s="26">
        <f t="shared" si="245"/>
        <v>5407.1619382747931</v>
      </c>
      <c r="Y201" s="26">
        <f>VLOOKUP($C201,COS!$B$8:$H$991,4,FALSE)</f>
        <v>1237.8724365234375</v>
      </c>
      <c r="Z201" s="26">
        <f t="shared" si="246"/>
        <v>73.658525148502065</v>
      </c>
      <c r="AA201" s="26">
        <f t="shared" si="314"/>
        <v>1237.8724365234375</v>
      </c>
      <c r="AB201" s="33">
        <f t="shared" si="243"/>
        <v>73.658525148502065</v>
      </c>
    </row>
    <row r="202" spans="1:28" x14ac:dyDescent="0.3">
      <c r="A202" s="34">
        <f>VLOOKUP(YEAR(C202),Flags!$A$13:$B$95,2,FALSE)</f>
        <v>1</v>
      </c>
      <c r="B202" s="35">
        <f t="shared" si="225"/>
        <v>1942</v>
      </c>
      <c r="C202" s="36">
        <v>15706</v>
      </c>
      <c r="D202" s="37"/>
      <c r="E202" s="35"/>
      <c r="F202" s="37"/>
      <c r="G202" s="37"/>
      <c r="H202" s="37"/>
      <c r="I202" s="37"/>
      <c r="J202" s="37"/>
      <c r="K202" s="37"/>
      <c r="L202" s="35"/>
      <c r="M202" s="35"/>
      <c r="N202" s="37"/>
      <c r="O202" s="37"/>
      <c r="P202" s="37"/>
      <c r="Q202" s="37"/>
      <c r="R202" s="37"/>
      <c r="S202" s="37"/>
      <c r="T202" s="37"/>
      <c r="U202" s="37"/>
      <c r="V202" s="37"/>
      <c r="W202" s="37">
        <f>MAX($C$11-VLOOKUP($C202,COS!$B$8:$H$991,3,FALSE),0)</f>
        <v>96749</v>
      </c>
      <c r="X202" s="37">
        <f t="shared" si="245"/>
        <v>5948.8641322314052</v>
      </c>
      <c r="Y202" s="37">
        <f>VLOOKUP($C202,COS!$B$8:$H$991,4,FALSE)</f>
        <v>0</v>
      </c>
      <c r="Z202" s="37">
        <f t="shared" si="246"/>
        <v>0</v>
      </c>
      <c r="AA202" s="37">
        <f t="shared" si="314"/>
        <v>0</v>
      </c>
      <c r="AB202" s="38">
        <f t="shared" si="243"/>
        <v>0</v>
      </c>
    </row>
    <row r="203" spans="1:28" x14ac:dyDescent="0.3">
      <c r="A203" s="27">
        <f>VLOOKUP(YEAR(C203),Flags!$A$13:$B$95,2,FALSE)</f>
        <v>1</v>
      </c>
      <c r="B203" s="28">
        <f t="shared" si="225"/>
        <v>1943</v>
      </c>
      <c r="C203" s="29">
        <v>15826</v>
      </c>
      <c r="D203" s="30">
        <f>VLOOKUP($C203,COS!$B$8:$H$991,3,FALSE)</f>
        <v>3750.597900390625</v>
      </c>
      <c r="E203" s="28">
        <f>IF(D203&gt;=IF(MONTH($C203)=4,$C$3,IF(MONTH($C203)=5,$C$4,IF(MONTH($C203)=6,$C$5,IF(MONTH($C203)=7,$C$6,"ERROR")))),1,0)</f>
        <v>0</v>
      </c>
      <c r="F203" s="30">
        <f>VLOOKUP($C203,COS!$B$8:$H$991,7,FALSE)</f>
        <v>50.021923065185547</v>
      </c>
      <c r="G203" s="28">
        <f>IF(F203&lt;=IF(MONTH($C203)=4,$F$3,IF(MONTH($C203)=5,$F$4,IF(MONTH($C203)=6,$F$5,IF(MONTH($C203)=7,$F$6,"ERROR")))),1,0)</f>
        <v>1</v>
      </c>
      <c r="H203" s="30">
        <f>IF(J203=1,D203-$C$3,0)</f>
        <v>0</v>
      </c>
      <c r="I203" s="30">
        <f t="shared" si="239"/>
        <v>0</v>
      </c>
      <c r="J203" s="28">
        <f t="shared" ref="J203:J206" si="317">IF(AND(E203=1,G203=1),1,0)</f>
        <v>0</v>
      </c>
      <c r="K203" s="30">
        <f>VLOOKUP($C203,COS!$B$8:$H$991,2,FALSE)</f>
        <v>4552</v>
      </c>
      <c r="L203" s="28">
        <f t="shared" ref="L203" si="318">IF(K203&lt;=IF(MONTH($C203)=4,$I$3,IF(MONTH($C203)=5,$I$4,IF(MONTH($C203)=6,$I$5,IF(MONTH($C203)=7,$I$6,"ERROR")))),1,0)</f>
        <v>1</v>
      </c>
      <c r="M203" s="28">
        <f t="shared" ref="M203" si="319">VLOOKUP($A203,$L$3:$M$7,2,FALSE)</f>
        <v>0</v>
      </c>
      <c r="N203" s="30">
        <f>VLOOKUP($C203,COS!$B$8:$H$991,5,FALSE)</f>
        <v>242.15982055664063</v>
      </c>
      <c r="O203" s="30">
        <f t="shared" ref="O203:O206" si="320">N203*DAY($C203)*86400/43560/1000</f>
        <v>14.409509983535642</v>
      </c>
      <c r="P203" s="30">
        <f>VLOOKUP($C203,COS!$B$8:$H$991,6,FALSE)</f>
        <v>409.699951171875</v>
      </c>
      <c r="Q203" s="30">
        <f t="shared" ref="Q203:Q206" si="321">P203*DAY($C203)*86400/43560/1000</f>
        <v>24.378840069731407</v>
      </c>
      <c r="R203" s="30">
        <f>MIN(IF(MONTH($C203)=4,$S$3,IF(MONTH($C203)=5,$S$4,IF(MONTH($C203)=6,$S$5,IF(MONTH($C203)=7,$S$6,"ERROR")))),MAX(VLOOKUP($C203,COS!$B$8:$K$991,10,FALSE)-IF(MONTH($C203)=4,$Y$3,IF(MONTH($C203)=5,$Y$4,IF(MONTH($C203)=6,$Y$5,IF(MONTH($C203)=7,$Y$6,"ERROR")))),0),MAX(VLOOKUP($C203,COS!$B$8:$K$991,9,FALSE)-IF(MONTH($C203)=4,$V$3,IF(MONTH($C203)=5,$V$4,IF(MONTH($C203)=6,$V$5,IF(MONTH($C203)=7,$V$6,"ERROR"))))-VLOOKUP($C203,COS!$B$8:$K$991,6,FALSE)/2,0))</f>
        <v>1500</v>
      </c>
      <c r="S203" s="30">
        <f t="shared" ref="S203:S206" si="322">R203*DAY($C203)*86400/43560/1000</f>
        <v>89.256198347107429</v>
      </c>
      <c r="T203" s="30">
        <f t="shared" ref="T203:T206" si="323">(O203+Q203)/2+S203</f>
        <v>108.65037337374096</v>
      </c>
      <c r="U203" s="30" t="str">
        <f>IF(VLOOKUP($C203,COS!$B$8:$I$991,8,FALSE)=1,"UWFE","IBU")</f>
        <v>UWFE</v>
      </c>
      <c r="V203" s="30">
        <f t="shared" ref="V203" si="324">MIN(IF(IF($AA$3=2,AND(E203=1,G203=1,L203=1,L208=1,M203=1,U203="IBU"),AND(E203=1,G203=1,L203=1,L208=1,M203=1)),T203,0),I203)</f>
        <v>0</v>
      </c>
      <c r="W203" s="30"/>
      <c r="X203" s="30"/>
      <c r="Y203" s="30"/>
      <c r="Z203" s="30"/>
      <c r="AA203" s="30"/>
      <c r="AB203" s="31"/>
    </row>
    <row r="204" spans="1:28" x14ac:dyDescent="0.3">
      <c r="A204" s="32">
        <f>VLOOKUP(YEAR(C204),Flags!$A$13:$B$95,2,FALSE)</f>
        <v>1</v>
      </c>
      <c r="B204" s="24">
        <f t="shared" si="225"/>
        <v>1943</v>
      </c>
      <c r="C204" s="25">
        <v>15857</v>
      </c>
      <c r="D204" s="26">
        <f>VLOOKUP($C204,COS!$B$8:$H$991,3,FALSE)</f>
        <v>7166.14208984375</v>
      </c>
      <c r="E204" s="24">
        <f>IF(D204&gt;=IF(MONTH($C204)=4,$C$3,IF(MONTH($C204)=5,$C$4,IF(MONTH($C204)=6,$C$5,IF(MONTH($C204)=7,$C$6,"ERROR")))),1,0)</f>
        <v>1</v>
      </c>
      <c r="F204" s="26">
        <f>VLOOKUP($C204,COS!$B$8:$H$991,7,FALSE)</f>
        <v>50.632198333740234</v>
      </c>
      <c r="G204" s="24">
        <f>IF(F204&lt;=IF(MONTH($C204)=4,$F$3,IF(MONTH($C204)=5,$F$4,IF(MONTH($C204)=6,$F$5,IF(MONTH($C204)=7,$F$6,"ERROR")))),1,0)</f>
        <v>1</v>
      </c>
      <c r="H204" s="26">
        <f>IF(J204=1,D204-$C$4,0)</f>
        <v>1166.14208984375</v>
      </c>
      <c r="I204" s="26">
        <f t="shared" si="239"/>
        <v>71.703282218491736</v>
      </c>
      <c r="J204" s="24">
        <f t="shared" si="317"/>
        <v>1</v>
      </c>
      <c r="K204" s="26">
        <f>VLOOKUP($C204,COS!$B$8:$H$991,2,FALSE)</f>
        <v>4552</v>
      </c>
      <c r="L204" s="24">
        <f t="shared" si="231"/>
        <v>1</v>
      </c>
      <c r="M204" s="24">
        <f t="shared" si="232"/>
        <v>0</v>
      </c>
      <c r="N204" s="26">
        <f>VLOOKUP($C204,COS!$B$8:$H$991,5,FALSE)</f>
        <v>758.106201171875</v>
      </c>
      <c r="O204" s="26">
        <f t="shared" si="320"/>
        <v>46.614133361311985</v>
      </c>
      <c r="P204" s="26">
        <f>VLOOKUP($C204,COS!$B$8:$H$991,6,FALSE)</f>
        <v>2288.578369140625</v>
      </c>
      <c r="Q204" s="26">
        <f t="shared" si="321"/>
        <v>140.71919889591942</v>
      </c>
      <c r="R204" s="26">
        <f>MIN(IF(MONTH($C204)=4,$S$3,IF(MONTH($C204)=5,$S$4,IF(MONTH($C204)=6,$S$5,IF(MONTH($C204)=7,$S$6,"ERROR")))),MAX(VLOOKUP($C204,COS!$B$8:$K$991,10,FALSE)-IF(MONTH($C204)=4,$Y$3,IF(MONTH($C204)=5,$Y$4,IF(MONTH($C204)=6,$Y$5,IF(MONTH($C204)=7,$Y$6,"ERROR")))),0),MAX(VLOOKUP($C204,COS!$B$8:$K$991,9,FALSE)-IF(MONTH($C204)=4,$V$3,IF(MONTH($C204)=5,$V$4,IF(MONTH($C204)=6,$V$5,IF(MONTH($C204)=7,$V$6,"ERROR"))))-VLOOKUP($C204,COS!$B$8:$K$991,6,FALSE)/2,0))</f>
        <v>1500</v>
      </c>
      <c r="S204" s="26">
        <f t="shared" si="322"/>
        <v>92.231404958677686</v>
      </c>
      <c r="T204" s="26">
        <f t="shared" si="323"/>
        <v>185.89807108729337</v>
      </c>
      <c r="U204" s="26" t="str">
        <f>IF(VLOOKUP($C204,COS!$B$8:$I$991,8,FALSE)=1,"UWFE","IBU")</f>
        <v>UWFE</v>
      </c>
      <c r="V204" s="26">
        <f t="shared" ref="V204" si="325">MIN(IF(IF($AA$3=2,AND(E204=1,G204=1,L204=1,L208=1,M204=1,U204="IBU"),AND(E204=1,G204=1,L204=1,L208=1,M204=1)),T204,0),I204)</f>
        <v>0</v>
      </c>
      <c r="W204" s="26"/>
      <c r="X204" s="26"/>
      <c r="Y204" s="26"/>
      <c r="Z204" s="26"/>
      <c r="AA204" s="26"/>
      <c r="AB204" s="33"/>
    </row>
    <row r="205" spans="1:28" x14ac:dyDescent="0.3">
      <c r="A205" s="32">
        <f>VLOOKUP(YEAR(C205),Flags!$A$13:$B$95,2,FALSE)</f>
        <v>1</v>
      </c>
      <c r="B205" s="24">
        <f t="shared" si="225"/>
        <v>1943</v>
      </c>
      <c r="C205" s="25">
        <v>15887</v>
      </c>
      <c r="D205" s="26">
        <f>VLOOKUP($C205,COS!$B$8:$H$991,3,FALSE)</f>
        <v>8327.544921875</v>
      </c>
      <c r="E205" s="24">
        <f>IF(D205&gt;=IF(MONTH($C205)=4,$C$3,IF(MONTH($C205)=5,$C$4,IF(MONTH($C205)=6,$C$5,IF(MONTH($C205)=7,$C$6,"ERROR")))),1,0)</f>
        <v>0</v>
      </c>
      <c r="F205" s="26">
        <f>VLOOKUP($C205,COS!$B$8:$H$991,7,FALSE)</f>
        <v>50.935405731201172</v>
      </c>
      <c r="G205" s="24">
        <f>IF(F205&lt;=IF(MONTH($C205)=4,$F$3,IF(MONTH($C205)=5,$F$4,IF(MONTH($C205)=6,$F$5,IF(MONTH($C205)=7,$F$6,"ERROR")))),1,0)</f>
        <v>1</v>
      </c>
      <c r="H205" s="26">
        <f>IF(J205=1,D205-$C$5,0)</f>
        <v>0</v>
      </c>
      <c r="I205" s="26">
        <f t="shared" si="239"/>
        <v>0</v>
      </c>
      <c r="J205" s="24">
        <f t="shared" si="317"/>
        <v>0</v>
      </c>
      <c r="K205" s="26">
        <f>VLOOKUP($C205,COS!$B$8:$H$991,2,FALSE)</f>
        <v>4340.33056640625</v>
      </c>
      <c r="L205" s="24">
        <f t="shared" si="231"/>
        <v>1</v>
      </c>
      <c r="M205" s="24">
        <f t="shared" si="232"/>
        <v>0</v>
      </c>
      <c r="N205" s="26">
        <f>VLOOKUP($C205,COS!$B$8:$H$991,5,FALSE)</f>
        <v>855.91656494140625</v>
      </c>
      <c r="O205" s="26">
        <f t="shared" si="320"/>
        <v>50.930572459323344</v>
      </c>
      <c r="P205" s="26">
        <f>VLOOKUP($C205,COS!$B$8:$H$991,6,FALSE)</f>
        <v>2263.260986328125</v>
      </c>
      <c r="Q205" s="26">
        <f t="shared" si="321"/>
        <v>134.67338100464875</v>
      </c>
      <c r="R205" s="26">
        <f>MIN(IF(MONTH($C205)=4,$S$3,IF(MONTH($C205)=5,$S$4,IF(MONTH($C205)=6,$S$5,IF(MONTH($C205)=7,$S$6,"ERROR")))),MAX(VLOOKUP($C205,COS!$B$8:$K$991,10,FALSE)-IF(MONTH($C205)=4,$Y$3,IF(MONTH($C205)=5,$Y$4,IF(MONTH($C205)=6,$Y$5,IF(MONTH($C205)=7,$Y$6,"ERROR")))),0),MAX(VLOOKUP($C205,COS!$B$8:$K$991,9,FALSE)-IF(MONTH($C205)=4,$V$3,IF(MONTH($C205)=5,$V$4,IF(MONTH($C205)=6,$V$5,IF(MONTH($C205)=7,$V$6,"ERROR"))))-VLOOKUP($C205,COS!$B$8:$K$991,6,FALSE)/2,0))</f>
        <v>1500</v>
      </c>
      <c r="S205" s="26">
        <f t="shared" si="322"/>
        <v>89.256198347107429</v>
      </c>
      <c r="T205" s="26">
        <f t="shared" si="323"/>
        <v>182.05817507909347</v>
      </c>
      <c r="U205" s="26" t="str">
        <f>IF(VLOOKUP($C205,COS!$B$8:$I$991,8,FALSE)=1,"UWFE","IBU")</f>
        <v>UWFE</v>
      </c>
      <c r="V205" s="26">
        <f t="shared" ref="V205" si="326">MIN(IF(IF($AA$3=2,AND(E205=1,G205=1,L205=1,L208=1,M205=1,U205="IBU"),AND(E205=1,G205=1,L205=1,L208=1,M205=1)),T205,0),I205)</f>
        <v>0</v>
      </c>
      <c r="W205" s="26"/>
      <c r="X205" s="26"/>
      <c r="Y205" s="26"/>
      <c r="Z205" s="26"/>
      <c r="AA205" s="26"/>
      <c r="AB205" s="33"/>
    </row>
    <row r="206" spans="1:28" x14ac:dyDescent="0.3">
      <c r="A206" s="32">
        <f>VLOOKUP(YEAR(C206),Flags!$A$13:$B$95,2,FALSE)</f>
        <v>1</v>
      </c>
      <c r="B206" s="24">
        <f t="shared" si="225"/>
        <v>1943</v>
      </c>
      <c r="C206" s="25">
        <v>15918</v>
      </c>
      <c r="D206" s="26">
        <f>VLOOKUP($C206,COS!$B$8:$H$991,3,FALSE)</f>
        <v>16000</v>
      </c>
      <c r="E206" s="24">
        <f>IF(D206&gt;=IF(MONTH($C206)=4,$C$3,IF(MONTH($C206)=5,$C$4,IF(MONTH($C206)=6,$C$5,IF(MONTH($C206)=7,$C$6,"ERROR")))),1,0)</f>
        <v>1</v>
      </c>
      <c r="F206" s="26">
        <f>VLOOKUP($C206,COS!$B$8:$H$991,7,FALSE)</f>
        <v>50.874599456787109</v>
      </c>
      <c r="G206" s="24">
        <f>IF(F206&lt;=IF(MONTH($C206)=4,$F$3,IF(MONTH($C206)=5,$F$4,IF(MONTH($C206)=6,$F$5,IF(MONTH($C206)=7,$F$6,"ERROR")))),1,0)</f>
        <v>1</v>
      </c>
      <c r="H206" s="26">
        <f>IF(J206=1,D206-$C$6,0)</f>
        <v>4000</v>
      </c>
      <c r="I206" s="26">
        <f t="shared" si="239"/>
        <v>245.95041322314049</v>
      </c>
      <c r="J206" s="24">
        <f t="shared" si="317"/>
        <v>1</v>
      </c>
      <c r="K206" s="26">
        <f>VLOOKUP($C206,COS!$B$8:$H$991,2,FALSE)</f>
        <v>3628.526611328125</v>
      </c>
      <c r="L206" s="24">
        <f t="shared" si="231"/>
        <v>1</v>
      </c>
      <c r="M206" s="24">
        <f t="shared" si="232"/>
        <v>0</v>
      </c>
      <c r="N206" s="26">
        <f>VLOOKUP($C206,COS!$B$8:$H$991,5,FALSE)</f>
        <v>941.12457275390625</v>
      </c>
      <c r="O206" s="26">
        <f t="shared" si="320"/>
        <v>57.867494390818699</v>
      </c>
      <c r="P206" s="26">
        <f>VLOOKUP($C206,COS!$B$8:$H$991,6,FALSE)</f>
        <v>2607.468505859375</v>
      </c>
      <c r="Q206" s="26">
        <f t="shared" si="321"/>
        <v>160.32698912060951</v>
      </c>
      <c r="R206" s="26">
        <f>MIN(IF(MONTH($C206)=4,$S$3,IF(MONTH($C206)=5,$S$4,IF(MONTH($C206)=6,$S$5,IF(MONTH($C206)=7,$S$6,"ERROR")))),MAX(VLOOKUP($C206,COS!$B$8:$K$991,10,FALSE)-IF(MONTH($C206)=4,$Y$3,IF(MONTH($C206)=5,$Y$4,IF(MONTH($C206)=6,$Y$5,IF(MONTH($C206)=7,$Y$6,"ERROR")))),0),MAX(VLOOKUP($C206,COS!$B$8:$K$991,9,FALSE)-IF(MONTH($C206)=4,$V$3,IF(MONTH($C206)=5,$V$4,IF(MONTH($C206)=6,$V$5,IF(MONTH($C206)=7,$V$6,"ERROR"))))-VLOOKUP($C206,COS!$B$8:$K$991,6,FALSE)/2,0))</f>
        <v>1500</v>
      </c>
      <c r="S206" s="26">
        <f t="shared" si="322"/>
        <v>92.231404958677686</v>
      </c>
      <c r="T206" s="26">
        <f t="shared" si="323"/>
        <v>201.32864671439179</v>
      </c>
      <c r="U206" s="26" t="str">
        <f>IF(VLOOKUP($C206,COS!$B$8:$I$991,8,FALSE)=1,"UWFE","IBU")</f>
        <v>IBU</v>
      </c>
      <c r="V206" s="26">
        <f t="shared" ref="V206" si="327">MIN(IF(IF($AA$3=2,AND(E206=1,G206=1,L206=1,L208=1,M206=1,U206="IBU"),AND(E206=1,G206=1,L206=1,L208=1,M206=1)),T206,0),I206)</f>
        <v>0</v>
      </c>
      <c r="W206" s="26"/>
      <c r="X206" s="26"/>
      <c r="Y206" s="26"/>
      <c r="Z206" s="26"/>
      <c r="AA206" s="26"/>
      <c r="AB206" s="33"/>
    </row>
    <row r="207" spans="1:28" x14ac:dyDescent="0.3">
      <c r="A207" s="32">
        <f>VLOOKUP(YEAR(C207),Flags!$A$13:$B$95,2,FALSE)</f>
        <v>1</v>
      </c>
      <c r="B207" s="24">
        <f t="shared" ref="B207:B270" si="328">YEAR(C207)</f>
        <v>1943</v>
      </c>
      <c r="C207" s="25">
        <v>15949</v>
      </c>
      <c r="D207" s="26"/>
      <c r="E207" s="24"/>
      <c r="F207" s="26"/>
      <c r="G207" s="24"/>
      <c r="H207" s="24"/>
      <c r="I207" s="26"/>
      <c r="J207" s="24"/>
      <c r="K207" s="26"/>
      <c r="L207" s="24"/>
      <c r="M207" s="24"/>
      <c r="N207" s="26"/>
      <c r="O207" s="26"/>
      <c r="P207" s="26"/>
      <c r="Q207" s="26"/>
      <c r="R207" s="26"/>
      <c r="S207" s="26"/>
      <c r="T207" s="26"/>
      <c r="U207" s="26"/>
      <c r="V207" s="26"/>
      <c r="W207" s="26">
        <f>MAX($C$7-VLOOKUP($C207,COS!$B$8:$H$991,3,FALSE),0)</f>
        <v>88574.7412109375</v>
      </c>
      <c r="X207" s="26">
        <f t="shared" si="245"/>
        <v>5446.2485504907027</v>
      </c>
      <c r="Y207" s="26">
        <f>VLOOKUP($C207,COS!$B$8:$H$991,4,FALSE)</f>
        <v>301.35446166992188</v>
      </c>
      <c r="Z207" s="26">
        <f t="shared" si="246"/>
        <v>18.529563593588584</v>
      </c>
      <c r="AA207" s="26">
        <f t="shared" ref="AA207:AA211" si="329">MIN(W207,Y207)</f>
        <v>301.35446166992188</v>
      </c>
      <c r="AB207" s="33">
        <f t="shared" ref="AB207" si="330">AA207*DAY($C207)*86400/43560/1000*IF(MONTH($C207)=8,$P$3,IF(MONTH($C207)=9,$P$4,IF(MONTH($C207)=10,$P$5,IF(MONTH($C207)=11,$P$6,IF(MONTH($C207)=12,$P$7,NA())))))</f>
        <v>18.529563593588584</v>
      </c>
    </row>
    <row r="208" spans="1:28" x14ac:dyDescent="0.3">
      <c r="A208" s="32">
        <f>VLOOKUP(YEAR(C208),Flags!$A$13:$B$95,2,FALSE)</f>
        <v>1</v>
      </c>
      <c r="B208" s="24">
        <f t="shared" si="328"/>
        <v>1943</v>
      </c>
      <c r="C208" s="25">
        <v>15979</v>
      </c>
      <c r="D208" s="26"/>
      <c r="E208" s="24"/>
      <c r="F208" s="26"/>
      <c r="G208" s="24"/>
      <c r="H208" s="24"/>
      <c r="I208" s="26"/>
      <c r="J208" s="24"/>
      <c r="K208" s="26">
        <f>VLOOKUP($C208,COS!$B$8:$H$991,2,FALSE)</f>
        <v>2551.45654296875</v>
      </c>
      <c r="L208" s="24">
        <f t="shared" ref="L208" si="331">IF(AND(K208&gt;$I$7,K208&lt;$I$8),1,0)</f>
        <v>1</v>
      </c>
      <c r="M208" s="24"/>
      <c r="N208" s="26"/>
      <c r="O208" s="26"/>
      <c r="P208" s="26"/>
      <c r="Q208" s="26"/>
      <c r="R208" s="26"/>
      <c r="S208" s="26"/>
      <c r="T208" s="26"/>
      <c r="U208" s="26"/>
      <c r="V208" s="26"/>
      <c r="W208" s="26">
        <f>MAX($C$8-VLOOKUP($C208,COS!$B$8:$H$991,3,FALSE),0)</f>
        <v>83754.365234375</v>
      </c>
      <c r="X208" s="26">
        <f t="shared" si="245"/>
        <v>4983.7308238636369</v>
      </c>
      <c r="Y208" s="26">
        <f>VLOOKUP($C208,COS!$B$8:$H$991,4,FALSE)</f>
        <v>0</v>
      </c>
      <c r="Z208" s="26">
        <f t="shared" si="246"/>
        <v>0</v>
      </c>
      <c r="AA208" s="26">
        <f t="shared" si="329"/>
        <v>0</v>
      </c>
      <c r="AB208" s="33">
        <f t="shared" si="243"/>
        <v>0</v>
      </c>
    </row>
    <row r="209" spans="1:28" x14ac:dyDescent="0.3">
      <c r="A209" s="32">
        <f>VLOOKUP(YEAR(C209),Flags!$A$13:$B$95,2,FALSE)</f>
        <v>1</v>
      </c>
      <c r="B209" s="24">
        <f t="shared" si="328"/>
        <v>1943</v>
      </c>
      <c r="C209" s="25">
        <v>16010</v>
      </c>
      <c r="D209" s="26"/>
      <c r="E209" s="24"/>
      <c r="F209" s="26"/>
      <c r="G209" s="26"/>
      <c r="H209" s="26"/>
      <c r="I209" s="26"/>
      <c r="J209" s="26"/>
      <c r="K209" s="26"/>
      <c r="L209" s="24"/>
      <c r="M209" s="24"/>
      <c r="N209" s="26"/>
      <c r="O209" s="26"/>
      <c r="P209" s="26"/>
      <c r="Q209" s="26"/>
      <c r="R209" s="26"/>
      <c r="S209" s="26"/>
      <c r="T209" s="26"/>
      <c r="U209" s="26"/>
      <c r="V209" s="26"/>
      <c r="W209" s="26">
        <f>MAX($C$9-VLOOKUP($C209,COS!$B$8:$H$991,3,FALSE),0)</f>
        <v>91470.8173828125</v>
      </c>
      <c r="X209" s="26">
        <f t="shared" si="245"/>
        <v>5624.3213332902887</v>
      </c>
      <c r="Y209" s="26">
        <f>VLOOKUP($C209,COS!$B$8:$H$991,4,FALSE)</f>
        <v>1550.2403564453125</v>
      </c>
      <c r="Z209" s="26">
        <f t="shared" si="246"/>
        <v>95.320564065728306</v>
      </c>
      <c r="AA209" s="26">
        <f t="shared" si="329"/>
        <v>1550.2403564453125</v>
      </c>
      <c r="AB209" s="33">
        <f t="shared" si="243"/>
        <v>95.320564065728306</v>
      </c>
    </row>
    <row r="210" spans="1:28" x14ac:dyDescent="0.3">
      <c r="A210" s="32">
        <f>VLOOKUP(YEAR(C210),Flags!$A$13:$B$95,2,FALSE)</f>
        <v>1</v>
      </c>
      <c r="B210" s="24">
        <f t="shared" si="328"/>
        <v>1943</v>
      </c>
      <c r="C210" s="25">
        <v>16040</v>
      </c>
      <c r="D210" s="26"/>
      <c r="E210" s="24"/>
      <c r="F210" s="26"/>
      <c r="G210" s="26"/>
      <c r="H210" s="26"/>
      <c r="I210" s="26"/>
      <c r="J210" s="26"/>
      <c r="K210" s="26"/>
      <c r="L210" s="24"/>
      <c r="M210" s="24"/>
      <c r="N210" s="26"/>
      <c r="O210" s="26"/>
      <c r="P210" s="26"/>
      <c r="Q210" s="26"/>
      <c r="R210" s="26"/>
      <c r="S210" s="26"/>
      <c r="T210" s="26"/>
      <c r="U210" s="26"/>
      <c r="V210" s="26"/>
      <c r="W210" s="26">
        <f>MAX($C$10-VLOOKUP($C210,COS!$B$8:$H$991,3,FALSE),0)</f>
        <v>89086.3046875</v>
      </c>
      <c r="X210" s="26">
        <f t="shared" si="245"/>
        <v>5301.0032541322316</v>
      </c>
      <c r="Y210" s="26">
        <f>VLOOKUP($C210,COS!$B$8:$H$991,4,FALSE)</f>
        <v>2815.150390625</v>
      </c>
      <c r="Z210" s="26">
        <f t="shared" si="246"/>
        <v>167.51308109504131</v>
      </c>
      <c r="AA210" s="26">
        <f t="shared" si="329"/>
        <v>2815.150390625</v>
      </c>
      <c r="AB210" s="33">
        <f t="shared" si="243"/>
        <v>167.51308109504131</v>
      </c>
    </row>
    <row r="211" spans="1:28" x14ac:dyDescent="0.3">
      <c r="A211" s="34">
        <f>VLOOKUP(YEAR(C211),Flags!$A$13:$B$95,2,FALSE)</f>
        <v>1</v>
      </c>
      <c r="B211" s="35">
        <f t="shared" si="328"/>
        <v>1943</v>
      </c>
      <c r="C211" s="36">
        <v>16071</v>
      </c>
      <c r="D211" s="37"/>
      <c r="E211" s="35"/>
      <c r="F211" s="37"/>
      <c r="G211" s="37"/>
      <c r="H211" s="37"/>
      <c r="I211" s="37"/>
      <c r="J211" s="37"/>
      <c r="K211" s="37"/>
      <c r="L211" s="35"/>
      <c r="M211" s="35"/>
      <c r="N211" s="37"/>
      <c r="O211" s="37"/>
      <c r="P211" s="37"/>
      <c r="Q211" s="37"/>
      <c r="R211" s="37"/>
      <c r="S211" s="37"/>
      <c r="T211" s="37"/>
      <c r="U211" s="37"/>
      <c r="V211" s="37"/>
      <c r="W211" s="37">
        <f>MAX($C$11-VLOOKUP($C211,COS!$B$8:$H$991,3,FALSE),0)</f>
        <v>96708.677978515625</v>
      </c>
      <c r="X211" s="37">
        <f t="shared" si="245"/>
        <v>5946.3848277698871</v>
      </c>
      <c r="Y211" s="37">
        <f>VLOOKUP($C211,COS!$B$8:$H$991,4,FALSE)</f>
        <v>40.252571105957031</v>
      </c>
      <c r="Z211" s="37">
        <f t="shared" si="246"/>
        <v>2.4750341242009943</v>
      </c>
      <c r="AA211" s="37">
        <f t="shared" si="329"/>
        <v>40.252571105957031</v>
      </c>
      <c r="AB211" s="38">
        <f t="shared" si="243"/>
        <v>2.4750341242009943</v>
      </c>
    </row>
    <row r="212" spans="1:28" x14ac:dyDescent="0.3">
      <c r="A212" s="27">
        <f>VLOOKUP(YEAR(C212),Flags!$A$13:$B$95,2,FALSE)</f>
        <v>4</v>
      </c>
      <c r="B212" s="28">
        <f t="shared" si="328"/>
        <v>1944</v>
      </c>
      <c r="C212" s="29">
        <v>16192</v>
      </c>
      <c r="D212" s="30">
        <f>VLOOKUP($C212,COS!$B$8:$H$991,3,FALSE)</f>
        <v>3250</v>
      </c>
      <c r="E212" s="28">
        <f>IF(D212&gt;=IF(MONTH($C212)=4,$C$3,IF(MONTH($C212)=5,$C$4,IF(MONTH($C212)=6,$C$5,IF(MONTH($C212)=7,$C$6,"ERROR")))),1,0)</f>
        <v>0</v>
      </c>
      <c r="F212" s="30">
        <f>VLOOKUP($C212,COS!$B$8:$H$991,7,FALSE)</f>
        <v>50.606151580810547</v>
      </c>
      <c r="G212" s="28">
        <f>IF(F212&lt;=IF(MONTH($C212)=4,$F$3,IF(MONTH($C212)=5,$F$4,IF(MONTH($C212)=6,$F$5,IF(MONTH($C212)=7,$F$6,"ERROR")))),1,0)</f>
        <v>1</v>
      </c>
      <c r="H212" s="30">
        <f>IF(J212=1,D212-$C$3,0)</f>
        <v>0</v>
      </c>
      <c r="I212" s="30">
        <f t="shared" si="239"/>
        <v>0</v>
      </c>
      <c r="J212" s="28">
        <f t="shared" ref="J212:J215" si="332">IF(AND(E212=1,G212=1),1,0)</f>
        <v>0</v>
      </c>
      <c r="K212" s="30">
        <f>VLOOKUP($C212,COS!$B$8:$H$991,2,FALSE)</f>
        <v>3187.75537109375</v>
      </c>
      <c r="L212" s="28">
        <f t="shared" ref="L212:L269" si="333">IF(K212&lt;=IF(MONTH($C212)=4,$I$3,IF(MONTH($C212)=5,$I$4,IF(MONTH($C212)=6,$I$5,IF(MONTH($C212)=7,$I$6,"ERROR")))),1,0)</f>
        <v>1</v>
      </c>
      <c r="M212" s="28">
        <f t="shared" ref="M212:M269" si="334">VLOOKUP($A212,$L$3:$M$7,2,FALSE)</f>
        <v>1</v>
      </c>
      <c r="N212" s="30">
        <f>VLOOKUP($C212,COS!$B$8:$H$991,5,FALSE)</f>
        <v>104.06297302246094</v>
      </c>
      <c r="O212" s="30">
        <f t="shared" ref="O212:O215" si="335">N212*DAY($C212)*86400/43560/1000</f>
        <v>6.1921769071216426</v>
      </c>
      <c r="P212" s="30">
        <f>VLOOKUP($C212,COS!$B$8:$H$991,6,FALSE)</f>
        <v>468.96719360351563</v>
      </c>
      <c r="Q212" s="30">
        <f t="shared" ref="Q212:Q215" si="336">P212*DAY($C212)*86400/43560/1000</f>
        <v>27.905485900374483</v>
      </c>
      <c r="R212" s="30">
        <f>MIN(IF(MONTH($C212)=4,$S$3,IF(MONTH($C212)=5,$S$4,IF(MONTH($C212)=6,$S$5,IF(MONTH($C212)=7,$S$6,"ERROR")))),MAX(VLOOKUP($C212,COS!$B$8:$K$991,10,FALSE)-IF(MONTH($C212)=4,$Y$3,IF(MONTH($C212)=5,$Y$4,IF(MONTH($C212)=6,$Y$5,IF(MONTH($C212)=7,$Y$6,"ERROR")))),0),MAX(VLOOKUP($C212,COS!$B$8:$K$991,9,FALSE)-IF(MONTH($C212)=4,$V$3,IF(MONTH($C212)=5,$V$4,IF(MONTH($C212)=6,$V$5,IF(MONTH($C212)=7,$V$6,"ERROR"))))-VLOOKUP($C212,COS!$B$8:$K$991,6,FALSE)/2,0))</f>
        <v>653.14990234375</v>
      </c>
      <c r="S212" s="30">
        <f t="shared" ref="S212:S215" si="337">R212*DAY($C212)*86400/43560/1000</f>
        <v>38.865118155991738</v>
      </c>
      <c r="T212" s="30">
        <f t="shared" ref="T212:T215" si="338">(O212+Q212)/2+S212</f>
        <v>55.913949559739805</v>
      </c>
      <c r="U212" s="30" t="str">
        <f>IF(VLOOKUP($C212,COS!$B$8:$I$991,8,FALSE)=1,"UWFE","IBU")</f>
        <v>UWFE</v>
      </c>
      <c r="V212" s="30">
        <f t="shared" ref="V212" si="339">MIN(IF(IF($AA$3=2,AND(E212=1,G212=1,L212=1,L217=1,M212=1,U212="IBU"),AND(E212=1,G212=1,L212=1,L217=1,M212=1)),T212,0),I212)</f>
        <v>0</v>
      </c>
      <c r="W212" s="30"/>
      <c r="X212" s="30"/>
      <c r="Y212" s="30"/>
      <c r="Z212" s="30"/>
      <c r="AA212" s="30"/>
      <c r="AB212" s="31"/>
    </row>
    <row r="213" spans="1:28" x14ac:dyDescent="0.3">
      <c r="A213" s="32">
        <f>VLOOKUP(YEAR(C213),Flags!$A$13:$B$95,2,FALSE)</f>
        <v>4</v>
      </c>
      <c r="B213" s="24">
        <f t="shared" si="328"/>
        <v>1944</v>
      </c>
      <c r="C213" s="25">
        <v>16223</v>
      </c>
      <c r="D213" s="26">
        <f>VLOOKUP($C213,COS!$B$8:$H$991,3,FALSE)</f>
        <v>5285.6044921875</v>
      </c>
      <c r="E213" s="24">
        <f>IF(D213&gt;=IF(MONTH($C213)=4,$C$3,IF(MONTH($C213)=5,$C$4,IF(MONTH($C213)=6,$C$5,IF(MONTH($C213)=7,$C$6,"ERROR")))),1,0)</f>
        <v>0</v>
      </c>
      <c r="F213" s="26">
        <f>VLOOKUP($C213,COS!$B$8:$H$991,7,FALSE)</f>
        <v>51.930629730224609</v>
      </c>
      <c r="G213" s="24">
        <f>IF(F213&lt;=IF(MONTH($C213)=4,$F$3,IF(MONTH($C213)=5,$F$4,IF(MONTH($C213)=6,$F$5,IF(MONTH($C213)=7,$F$6,"ERROR")))),1,0)</f>
        <v>1</v>
      </c>
      <c r="H213" s="26">
        <f>IF(J213=1,D213-$C$4,0)</f>
        <v>0</v>
      </c>
      <c r="I213" s="26">
        <f t="shared" si="239"/>
        <v>0</v>
      </c>
      <c r="J213" s="24">
        <f t="shared" si="332"/>
        <v>0</v>
      </c>
      <c r="K213" s="26">
        <f>VLOOKUP($C213,COS!$B$8:$H$991,2,FALSE)</f>
        <v>3183.985107421875</v>
      </c>
      <c r="L213" s="24">
        <f t="shared" si="333"/>
        <v>1</v>
      </c>
      <c r="M213" s="24">
        <f t="shared" si="334"/>
        <v>1</v>
      </c>
      <c r="N213" s="26">
        <f>VLOOKUP($C213,COS!$B$8:$H$991,5,FALSE)</f>
        <v>20.680736541748047</v>
      </c>
      <c r="O213" s="26">
        <f t="shared" si="335"/>
        <v>1.2716089245504583</v>
      </c>
      <c r="P213" s="26">
        <f>VLOOKUP($C213,COS!$B$8:$H$991,6,FALSE)</f>
        <v>2024.68505859375</v>
      </c>
      <c r="Q213" s="26">
        <f t="shared" si="336"/>
        <v>124.49303170196281</v>
      </c>
      <c r="R213" s="26">
        <f>MIN(IF(MONTH($C213)=4,$S$3,IF(MONTH($C213)=5,$S$4,IF(MONTH($C213)=6,$S$5,IF(MONTH($C213)=7,$S$6,"ERROR")))),MAX(VLOOKUP($C213,COS!$B$8:$K$991,10,FALSE)-IF(MONTH($C213)=4,$Y$3,IF(MONTH($C213)=5,$Y$4,IF(MONTH($C213)=6,$Y$5,IF(MONTH($C213)=7,$Y$6,"ERROR")))),0),MAX(VLOOKUP($C213,COS!$B$8:$K$991,9,FALSE)-IF(MONTH($C213)=4,$V$3,IF(MONTH($C213)=5,$V$4,IF(MONTH($C213)=6,$V$5,IF(MONTH($C213)=7,$V$6,"ERROR"))))-VLOOKUP($C213,COS!$B$8:$K$991,6,FALSE)/2,0))</f>
        <v>1042.197265625</v>
      </c>
      <c r="S213" s="26">
        <f t="shared" si="337"/>
        <v>64.082212035123959</v>
      </c>
      <c r="T213" s="26">
        <f t="shared" si="338"/>
        <v>126.9645323483806</v>
      </c>
      <c r="U213" s="26" t="str">
        <f>IF(VLOOKUP($C213,COS!$B$8:$I$991,8,FALSE)=1,"UWFE","IBU")</f>
        <v>UWFE</v>
      </c>
      <c r="V213" s="26">
        <f t="shared" ref="V213" si="340">MIN(IF(IF($AA$3=2,AND(E213=1,G213=1,L213=1,L217=1,M213=1,U213="IBU"),AND(E213=1,G213=1,L213=1,L217=1,M213=1)),T213,0),I213)</f>
        <v>0</v>
      </c>
      <c r="W213" s="26"/>
      <c r="X213" s="26"/>
      <c r="Y213" s="26"/>
      <c r="Z213" s="26"/>
      <c r="AA213" s="26"/>
      <c r="AB213" s="33"/>
    </row>
    <row r="214" spans="1:28" x14ac:dyDescent="0.3">
      <c r="A214" s="32">
        <f>VLOOKUP(YEAR(C214),Flags!$A$13:$B$95,2,FALSE)</f>
        <v>4</v>
      </c>
      <c r="B214" s="24">
        <f t="shared" si="328"/>
        <v>1944</v>
      </c>
      <c r="C214" s="25">
        <v>16253</v>
      </c>
      <c r="D214" s="26">
        <f>VLOOKUP($C214,COS!$B$8:$H$991,3,FALSE)</f>
        <v>9979.68359375</v>
      </c>
      <c r="E214" s="24">
        <f>IF(D214&gt;=IF(MONTH($C214)=4,$C$3,IF(MONTH($C214)=5,$C$4,IF(MONTH($C214)=6,$C$5,IF(MONTH($C214)=7,$C$6,"ERROR")))),1,0)</f>
        <v>0</v>
      </c>
      <c r="F214" s="26">
        <f>VLOOKUP($C214,COS!$B$8:$H$991,7,FALSE)</f>
        <v>51.431163787841797</v>
      </c>
      <c r="G214" s="24">
        <f>IF(F214&lt;=IF(MONTH($C214)=4,$F$3,IF(MONTH($C214)=5,$F$4,IF(MONTH($C214)=6,$F$5,IF(MONTH($C214)=7,$F$6,"ERROR")))),1,0)</f>
        <v>1</v>
      </c>
      <c r="H214" s="26">
        <f>IF(J214=1,D214-$C$5,0)</f>
        <v>0</v>
      </c>
      <c r="I214" s="26">
        <f t="shared" si="239"/>
        <v>0</v>
      </c>
      <c r="J214" s="24">
        <f t="shared" si="332"/>
        <v>0</v>
      </c>
      <c r="K214" s="26">
        <f>VLOOKUP($C214,COS!$B$8:$H$991,2,FALSE)</f>
        <v>2883.628662109375</v>
      </c>
      <c r="L214" s="24">
        <f t="shared" si="333"/>
        <v>1</v>
      </c>
      <c r="M214" s="24">
        <f t="shared" si="334"/>
        <v>1</v>
      </c>
      <c r="N214" s="26">
        <f>VLOOKUP($C214,COS!$B$8:$H$991,5,FALSE)</f>
        <v>231.61277770996094</v>
      </c>
      <c r="O214" s="26">
        <f t="shared" si="335"/>
        <v>13.781917351336519</v>
      </c>
      <c r="P214" s="26">
        <f>VLOOKUP($C214,COS!$B$8:$H$991,6,FALSE)</f>
        <v>2655.6513671875</v>
      </c>
      <c r="Q214" s="26">
        <f t="shared" si="336"/>
        <v>158.02223011363634</v>
      </c>
      <c r="R214" s="26">
        <f>MIN(IF(MONTH($C214)=4,$S$3,IF(MONTH($C214)=5,$S$4,IF(MONTH($C214)=6,$S$5,IF(MONTH($C214)=7,$S$6,"ERROR")))),MAX(VLOOKUP($C214,COS!$B$8:$K$991,10,FALSE)-IF(MONTH($C214)=4,$Y$3,IF(MONTH($C214)=5,$Y$4,IF(MONTH($C214)=6,$Y$5,IF(MONTH($C214)=7,$Y$6,"ERROR")))),0),MAX(VLOOKUP($C214,COS!$B$8:$K$991,9,FALSE)-IF(MONTH($C214)=4,$V$3,IF(MONTH($C214)=5,$V$4,IF(MONTH($C214)=6,$V$5,IF(MONTH($C214)=7,$V$6,"ERROR"))))-VLOOKUP($C214,COS!$B$8:$K$991,6,FALSE)/2,0))</f>
        <v>1500</v>
      </c>
      <c r="S214" s="26">
        <f t="shared" si="337"/>
        <v>89.256198347107429</v>
      </c>
      <c r="T214" s="26">
        <f t="shared" si="338"/>
        <v>175.15827207959387</v>
      </c>
      <c r="U214" s="26" t="str">
        <f>IF(VLOOKUP($C214,COS!$B$8:$I$991,8,FALSE)=1,"UWFE","IBU")</f>
        <v>IBU</v>
      </c>
      <c r="V214" s="26">
        <f t="shared" ref="V214" si="341">MIN(IF(IF($AA$3=2,AND(E214=1,G214=1,L214=1,L217=1,M214=1,U214="IBU"),AND(E214=1,G214=1,L214=1,L217=1,M214=1)),T214,0),I214)</f>
        <v>0</v>
      </c>
      <c r="W214" s="26"/>
      <c r="X214" s="26"/>
      <c r="Y214" s="26"/>
      <c r="Z214" s="26"/>
      <c r="AA214" s="26"/>
      <c r="AB214" s="33"/>
    </row>
    <row r="215" spans="1:28" x14ac:dyDescent="0.3">
      <c r="A215" s="32">
        <f>VLOOKUP(YEAR(C215),Flags!$A$13:$B$95,2,FALSE)</f>
        <v>4</v>
      </c>
      <c r="B215" s="24">
        <f t="shared" si="328"/>
        <v>1944</v>
      </c>
      <c r="C215" s="25">
        <v>16284</v>
      </c>
      <c r="D215" s="26">
        <f>VLOOKUP($C215,COS!$B$8:$H$991,3,FALSE)</f>
        <v>11936.8037109375</v>
      </c>
      <c r="E215" s="24">
        <f>IF(D215&gt;=IF(MONTH($C215)=4,$C$3,IF(MONTH($C215)=5,$C$4,IF(MONTH($C215)=6,$C$5,IF(MONTH($C215)=7,$C$6,"ERROR")))),1,0)</f>
        <v>0</v>
      </c>
      <c r="F215" s="26">
        <f>VLOOKUP($C215,COS!$B$8:$H$991,7,FALSE)</f>
        <v>53.474411010742188</v>
      </c>
      <c r="G215" s="24">
        <f>IF(F215&lt;=IF(MONTH($C215)=4,$F$3,IF(MONTH($C215)=5,$F$4,IF(MONTH($C215)=6,$F$5,IF(MONTH($C215)=7,$F$6,"ERROR")))),1,0)</f>
        <v>1</v>
      </c>
      <c r="H215" s="26">
        <f>IF(J215=1,D215-$C$6,0)</f>
        <v>0</v>
      </c>
      <c r="I215" s="26">
        <f t="shared" ref="I215:I278" si="342">H215*DAY($C215)*86400/43560/1000</f>
        <v>0</v>
      </c>
      <c r="J215" s="24">
        <f t="shared" si="332"/>
        <v>0</v>
      </c>
      <c r="K215" s="26">
        <f>VLOOKUP($C215,COS!$B$8:$H$991,2,FALSE)</f>
        <v>2455.531494140625</v>
      </c>
      <c r="L215" s="24">
        <f t="shared" si="333"/>
        <v>1</v>
      </c>
      <c r="M215" s="24">
        <f t="shared" si="334"/>
        <v>1</v>
      </c>
      <c r="N215" s="26">
        <f>VLOOKUP($C215,COS!$B$8:$H$991,5,FALSE)</f>
        <v>264.6837158203125</v>
      </c>
      <c r="O215" s="26">
        <f t="shared" si="335"/>
        <v>16.274767319860537</v>
      </c>
      <c r="P215" s="26">
        <f>VLOOKUP($C215,COS!$B$8:$H$991,6,FALSE)</f>
        <v>2538.07568359375</v>
      </c>
      <c r="Q215" s="26">
        <f t="shared" si="336"/>
        <v>156.06019079287191</v>
      </c>
      <c r="R215" s="26">
        <f>MIN(IF(MONTH($C215)=4,$S$3,IF(MONTH($C215)=5,$S$4,IF(MONTH($C215)=6,$S$5,IF(MONTH($C215)=7,$S$6,"ERROR")))),MAX(VLOOKUP($C215,COS!$B$8:$K$991,10,FALSE)-IF(MONTH($C215)=4,$Y$3,IF(MONTH($C215)=5,$Y$4,IF(MONTH($C215)=6,$Y$5,IF(MONTH($C215)=7,$Y$6,"ERROR")))),0),MAX(VLOOKUP($C215,COS!$B$8:$K$991,9,FALSE)-IF(MONTH($C215)=4,$V$3,IF(MONTH($C215)=5,$V$4,IF(MONTH($C215)=6,$V$5,IF(MONTH($C215)=7,$V$6,"ERROR"))))-VLOOKUP($C215,COS!$B$8:$K$991,6,FALSE)/2,0))</f>
        <v>1500</v>
      </c>
      <c r="S215" s="26">
        <f t="shared" si="337"/>
        <v>92.231404958677686</v>
      </c>
      <c r="T215" s="26">
        <f t="shared" si="338"/>
        <v>178.3988840150439</v>
      </c>
      <c r="U215" s="26" t="str">
        <f>IF(VLOOKUP($C215,COS!$B$8:$I$991,8,FALSE)=1,"UWFE","IBU")</f>
        <v>IBU</v>
      </c>
      <c r="V215" s="26">
        <f t="shared" ref="V215" si="343">MIN(IF(IF($AA$3=2,AND(E215=1,G215=1,L215=1,L217=1,M215=1,U215="IBU"),AND(E215=1,G215=1,L215=1,L217=1,M215=1)),T215,0),I215)</f>
        <v>0</v>
      </c>
      <c r="W215" s="26"/>
      <c r="X215" s="26"/>
      <c r="Y215" s="26"/>
      <c r="Z215" s="26"/>
      <c r="AA215" s="26"/>
      <c r="AB215" s="33"/>
    </row>
    <row r="216" spans="1:28" x14ac:dyDescent="0.3">
      <c r="A216" s="32">
        <f>VLOOKUP(YEAR(C216),Flags!$A$13:$B$95,2,FALSE)</f>
        <v>4</v>
      </c>
      <c r="B216" s="24">
        <f t="shared" si="328"/>
        <v>1944</v>
      </c>
      <c r="C216" s="25">
        <v>16315</v>
      </c>
      <c r="D216" s="26"/>
      <c r="E216" s="24"/>
      <c r="F216" s="26"/>
      <c r="G216" s="24"/>
      <c r="H216" s="24"/>
      <c r="I216" s="26"/>
      <c r="J216" s="24"/>
      <c r="K216" s="26"/>
      <c r="L216" s="24"/>
      <c r="M216" s="24"/>
      <c r="N216" s="26"/>
      <c r="O216" s="26"/>
      <c r="P216" s="26"/>
      <c r="Q216" s="26"/>
      <c r="R216" s="26"/>
      <c r="S216" s="26"/>
      <c r="T216" s="26"/>
      <c r="U216" s="26"/>
      <c r="V216" s="26"/>
      <c r="W216" s="26">
        <f>MAX($C$7-VLOOKUP($C216,COS!$B$8:$H$991,3,FALSE),0)</f>
        <v>91194.1171875</v>
      </c>
      <c r="X216" s="26">
        <f t="shared" si="245"/>
        <v>5607.3077014462806</v>
      </c>
      <c r="Y216" s="26">
        <f>VLOOKUP($C216,COS!$B$8:$H$991,4,FALSE)</f>
        <v>1479.651123046875</v>
      </c>
      <c r="Z216" s="26">
        <f t="shared" si="246"/>
        <v>90.9802012848657</v>
      </c>
      <c r="AA216" s="26">
        <f t="shared" ref="AA216:AA220" si="344">MIN(W216,Y216)</f>
        <v>1479.651123046875</v>
      </c>
      <c r="AB216" s="33">
        <f t="shared" ref="AB216:AB274" si="345">AA216*DAY($C216)*86400/43560/1000*IF(MONTH($C216)=8,$P$3,IF(MONTH($C216)=9,$P$4,IF(MONTH($C216)=10,$P$5,IF(MONTH($C216)=11,$P$6,IF(MONTH($C216)=12,$P$7,NA())))))</f>
        <v>90.9802012848657</v>
      </c>
    </row>
    <row r="217" spans="1:28" x14ac:dyDescent="0.3">
      <c r="A217" s="32">
        <f>VLOOKUP(YEAR(C217),Flags!$A$13:$B$95,2,FALSE)</f>
        <v>4</v>
      </c>
      <c r="B217" s="24">
        <f t="shared" si="328"/>
        <v>1944</v>
      </c>
      <c r="C217" s="25">
        <v>16345</v>
      </c>
      <c r="D217" s="26"/>
      <c r="E217" s="24"/>
      <c r="F217" s="26"/>
      <c r="G217" s="24"/>
      <c r="H217" s="24"/>
      <c r="I217" s="26"/>
      <c r="J217" s="24"/>
      <c r="K217" s="26">
        <f>VLOOKUP($C217,COS!$B$8:$H$991,2,FALSE)</f>
        <v>2136.83203125</v>
      </c>
      <c r="L217" s="24">
        <f t="shared" ref="L217" si="346">IF(AND(K217&gt;$I$7,K217&lt;$I$8),1,0)</f>
        <v>1</v>
      </c>
      <c r="M217" s="24"/>
      <c r="N217" s="26"/>
      <c r="O217" s="26"/>
      <c r="P217" s="26"/>
      <c r="Q217" s="26"/>
      <c r="R217" s="26"/>
      <c r="S217" s="26"/>
      <c r="T217" s="26"/>
      <c r="U217" s="26"/>
      <c r="V217" s="26"/>
      <c r="W217" s="26">
        <f>MAX($C$8-VLOOKUP($C217,COS!$B$8:$H$991,3,FALSE),0)</f>
        <v>95026.63427734375</v>
      </c>
      <c r="X217" s="26">
        <f t="shared" si="245"/>
        <v>5654.4774115444216</v>
      </c>
      <c r="Y217" s="26">
        <f>VLOOKUP($C217,COS!$B$8:$H$991,4,FALSE)</f>
        <v>1451.7376708984375</v>
      </c>
      <c r="Z217" s="26">
        <f t="shared" si="246"/>
        <v>86.384390334452476</v>
      </c>
      <c r="AA217" s="26">
        <f t="shared" si="344"/>
        <v>1451.7376708984375</v>
      </c>
      <c r="AB217" s="33">
        <f t="shared" si="345"/>
        <v>86.384390334452476</v>
      </c>
    </row>
    <row r="218" spans="1:28" x14ac:dyDescent="0.3">
      <c r="A218" s="32">
        <f>VLOOKUP(YEAR(C218),Flags!$A$13:$B$95,2,FALSE)</f>
        <v>4</v>
      </c>
      <c r="B218" s="24">
        <f t="shared" si="328"/>
        <v>1944</v>
      </c>
      <c r="C218" s="25">
        <v>16376</v>
      </c>
      <c r="D218" s="26"/>
      <c r="E218" s="24"/>
      <c r="F218" s="26"/>
      <c r="G218" s="26"/>
      <c r="H218" s="26"/>
      <c r="I218" s="26"/>
      <c r="J218" s="26"/>
      <c r="K218" s="26"/>
      <c r="L218" s="24"/>
      <c r="M218" s="24"/>
      <c r="N218" s="26"/>
      <c r="O218" s="26"/>
      <c r="P218" s="26"/>
      <c r="Q218" s="26"/>
      <c r="R218" s="26"/>
      <c r="S218" s="26"/>
      <c r="T218" s="26"/>
      <c r="U218" s="26"/>
      <c r="V218" s="26"/>
      <c r="W218" s="26">
        <f>MAX($C$9-VLOOKUP($C218,COS!$B$8:$H$991,3,FALSE),0)</f>
        <v>94521.05810546875</v>
      </c>
      <c r="X218" s="26">
        <f t="shared" si="245"/>
        <v>5811.8733248321287</v>
      </c>
      <c r="Y218" s="26">
        <f>VLOOKUP($C218,COS!$B$8:$H$991,4,FALSE)</f>
        <v>1521.927001953125</v>
      </c>
      <c r="Z218" s="26">
        <f t="shared" si="246"/>
        <v>93.579643756456619</v>
      </c>
      <c r="AA218" s="26">
        <f t="shared" si="344"/>
        <v>1521.927001953125</v>
      </c>
      <c r="AB218" s="33">
        <f t="shared" si="345"/>
        <v>93.579643756456619</v>
      </c>
    </row>
    <row r="219" spans="1:28" x14ac:dyDescent="0.3">
      <c r="A219" s="32">
        <f>VLOOKUP(YEAR(C219),Flags!$A$13:$B$95,2,FALSE)</f>
        <v>4</v>
      </c>
      <c r="B219" s="24">
        <f t="shared" si="328"/>
        <v>1944</v>
      </c>
      <c r="C219" s="25">
        <v>16406</v>
      </c>
      <c r="D219" s="26"/>
      <c r="E219" s="24"/>
      <c r="F219" s="26"/>
      <c r="G219" s="26"/>
      <c r="H219" s="26"/>
      <c r="I219" s="26"/>
      <c r="J219" s="26"/>
      <c r="K219" s="26"/>
      <c r="L219" s="24"/>
      <c r="M219" s="24"/>
      <c r="N219" s="26"/>
      <c r="O219" s="26"/>
      <c r="P219" s="26"/>
      <c r="Q219" s="26"/>
      <c r="R219" s="26"/>
      <c r="S219" s="26"/>
      <c r="T219" s="26"/>
      <c r="U219" s="26"/>
      <c r="V219" s="26"/>
      <c r="W219" s="26">
        <f>MAX($C$10-VLOOKUP($C219,COS!$B$8:$H$991,3,FALSE),0)</f>
        <v>96749</v>
      </c>
      <c r="X219" s="26">
        <f t="shared" ref="X219:X282" si="347">W219*DAY($C219)*86400/43560/1000</f>
        <v>5756.965289256198</v>
      </c>
      <c r="Y219" s="26">
        <f>VLOOKUP($C219,COS!$B$8:$H$991,4,FALSE)</f>
        <v>0</v>
      </c>
      <c r="Z219" s="26">
        <f t="shared" ref="Z219:Z282" si="348">Y219*DAY($C219)*86400/43560/1000</f>
        <v>0</v>
      </c>
      <c r="AA219" s="26">
        <f t="shared" si="344"/>
        <v>0</v>
      </c>
      <c r="AB219" s="33">
        <f t="shared" si="345"/>
        <v>0</v>
      </c>
    </row>
    <row r="220" spans="1:28" x14ac:dyDescent="0.3">
      <c r="A220" s="34">
        <f>VLOOKUP(YEAR(C220),Flags!$A$13:$B$95,2,FALSE)</f>
        <v>4</v>
      </c>
      <c r="B220" s="35">
        <f t="shared" si="328"/>
        <v>1944</v>
      </c>
      <c r="C220" s="36">
        <v>16437</v>
      </c>
      <c r="D220" s="37"/>
      <c r="E220" s="35"/>
      <c r="F220" s="37"/>
      <c r="G220" s="37"/>
      <c r="H220" s="37"/>
      <c r="I220" s="37"/>
      <c r="J220" s="37"/>
      <c r="K220" s="37"/>
      <c r="L220" s="35"/>
      <c r="M220" s="35"/>
      <c r="N220" s="37"/>
      <c r="O220" s="37"/>
      <c r="P220" s="37"/>
      <c r="Q220" s="37"/>
      <c r="R220" s="37"/>
      <c r="S220" s="37"/>
      <c r="T220" s="37"/>
      <c r="U220" s="37"/>
      <c r="V220" s="37"/>
      <c r="W220" s="37">
        <f>MAX($C$11-VLOOKUP($C220,COS!$B$8:$H$991,3,FALSE),0)</f>
        <v>96749</v>
      </c>
      <c r="X220" s="37">
        <f t="shared" si="347"/>
        <v>5948.8641322314052</v>
      </c>
      <c r="Y220" s="37">
        <f>VLOOKUP($C220,COS!$B$8:$H$991,4,FALSE)</f>
        <v>2511.267822265625</v>
      </c>
      <c r="Z220" s="37">
        <f t="shared" si="348"/>
        <v>154.41183965005163</v>
      </c>
      <c r="AA220" s="37">
        <f t="shared" si="344"/>
        <v>2511.267822265625</v>
      </c>
      <c r="AB220" s="38">
        <f t="shared" si="345"/>
        <v>154.41183965005163</v>
      </c>
    </row>
    <row r="221" spans="1:28" x14ac:dyDescent="0.3">
      <c r="A221" s="27">
        <f>VLOOKUP(YEAR(C221),Flags!$A$13:$B$95,2,FALSE)</f>
        <v>3</v>
      </c>
      <c r="B221" s="28">
        <f t="shared" si="328"/>
        <v>1945</v>
      </c>
      <c r="C221" s="29">
        <v>16557</v>
      </c>
      <c r="D221" s="30">
        <f>VLOOKUP($C221,COS!$B$8:$H$991,3,FALSE)</f>
        <v>3250</v>
      </c>
      <c r="E221" s="28">
        <f>IF(D221&gt;=IF(MONTH($C221)=4,$C$3,IF(MONTH($C221)=5,$C$4,IF(MONTH($C221)=6,$C$5,IF(MONTH($C221)=7,$C$6,"ERROR")))),1,0)</f>
        <v>0</v>
      </c>
      <c r="F221" s="30">
        <f>VLOOKUP($C221,COS!$B$8:$H$991,7,FALSE)</f>
        <v>50.669651031494141</v>
      </c>
      <c r="G221" s="28">
        <f>IF(F221&lt;=IF(MONTH($C221)=4,$F$3,IF(MONTH($C221)=5,$F$4,IF(MONTH($C221)=6,$F$5,IF(MONTH($C221)=7,$F$6,"ERROR")))),1,0)</f>
        <v>1</v>
      </c>
      <c r="H221" s="30">
        <f>IF(J221=1,D221-$C$3,0)</f>
        <v>0</v>
      </c>
      <c r="I221" s="30">
        <f t="shared" si="342"/>
        <v>0</v>
      </c>
      <c r="J221" s="28">
        <f t="shared" ref="J221:J224" si="349">IF(AND(E221=1,G221=1),1,0)</f>
        <v>0</v>
      </c>
      <c r="K221" s="30">
        <f>VLOOKUP($C221,COS!$B$8:$H$991,2,FALSE)</f>
        <v>4155.40673828125</v>
      </c>
      <c r="L221" s="28">
        <f t="shared" ref="L221" si="350">IF(K221&lt;=IF(MONTH($C221)=4,$I$3,IF(MONTH($C221)=5,$I$4,IF(MONTH($C221)=6,$I$5,IF(MONTH($C221)=7,$I$6,"ERROR")))),1,0)</f>
        <v>1</v>
      </c>
      <c r="M221" s="28">
        <f t="shared" ref="M221" si="351">VLOOKUP($A221,$L$3:$M$7,2,FALSE)</f>
        <v>0</v>
      </c>
      <c r="N221" s="30">
        <f>VLOOKUP($C221,COS!$B$8:$H$991,5,FALSE)</f>
        <v>245.70526123046875</v>
      </c>
      <c r="O221" s="30">
        <f t="shared" ref="O221:O224" si="352">N221*DAY($C221)*86400/43560/1000</f>
        <v>14.620478354209711</v>
      </c>
      <c r="P221" s="30">
        <f>VLOOKUP($C221,COS!$B$8:$H$991,6,FALSE)</f>
        <v>453.39697265625</v>
      </c>
      <c r="Q221" s="30">
        <f t="shared" ref="Q221:Q224" si="353">P221*DAY($C221)*86400/43560/1000</f>
        <v>26.978993414256198</v>
      </c>
      <c r="R221" s="30">
        <f>MIN(IF(MONTH($C221)=4,$S$3,IF(MONTH($C221)=5,$S$4,IF(MONTH($C221)=6,$S$5,IF(MONTH($C221)=7,$S$6,"ERROR")))),MAX(VLOOKUP($C221,COS!$B$8:$K$991,10,FALSE)-IF(MONTH($C221)=4,$Y$3,IF(MONTH($C221)=5,$Y$4,IF(MONTH($C221)=6,$Y$5,IF(MONTH($C221)=7,$Y$6,"ERROR")))),0),MAX(VLOOKUP($C221,COS!$B$8:$K$991,9,FALSE)-IF(MONTH($C221)=4,$V$3,IF(MONTH($C221)=5,$V$4,IF(MONTH($C221)=6,$V$5,IF(MONTH($C221)=7,$V$6,"ERROR"))))-VLOOKUP($C221,COS!$B$8:$K$991,6,FALSE)/2,0))</f>
        <v>1303.249267578125</v>
      </c>
      <c r="S221" s="30">
        <f t="shared" ref="S221:S224" si="354">R221*DAY($C221)*86400/43560/1000</f>
        <v>77.548716748450417</v>
      </c>
      <c r="T221" s="30">
        <f t="shared" ref="T221:T224" si="355">(O221+Q221)/2+S221</f>
        <v>98.348452632683376</v>
      </c>
      <c r="U221" s="30" t="str">
        <f>IF(VLOOKUP($C221,COS!$B$8:$I$991,8,FALSE)=1,"UWFE","IBU")</f>
        <v>UWFE</v>
      </c>
      <c r="V221" s="30">
        <f t="shared" ref="V221" si="356">MIN(IF(IF($AA$3=2,AND(E221=1,G221=1,L221=1,L226=1,M221=1,U221="IBU"),AND(E221=1,G221=1,L221=1,L226=1,M221=1)),T221,0),I221)</f>
        <v>0</v>
      </c>
      <c r="W221" s="30"/>
      <c r="X221" s="30"/>
      <c r="Y221" s="30"/>
      <c r="Z221" s="30"/>
      <c r="AA221" s="30"/>
      <c r="AB221" s="31"/>
    </row>
    <row r="222" spans="1:28" x14ac:dyDescent="0.3">
      <c r="A222" s="32">
        <f>VLOOKUP(YEAR(C222),Flags!$A$13:$B$95,2,FALSE)</f>
        <v>3</v>
      </c>
      <c r="B222" s="24">
        <f t="shared" si="328"/>
        <v>1945</v>
      </c>
      <c r="C222" s="25">
        <v>16588</v>
      </c>
      <c r="D222" s="26">
        <f>VLOOKUP($C222,COS!$B$8:$H$991,3,FALSE)</f>
        <v>4815.7119140625</v>
      </c>
      <c r="E222" s="24">
        <f>IF(D222&gt;=IF(MONTH($C222)=4,$C$3,IF(MONTH($C222)=5,$C$4,IF(MONTH($C222)=6,$C$5,IF(MONTH($C222)=7,$C$6,"ERROR")))),1,0)</f>
        <v>0</v>
      </c>
      <c r="F222" s="26">
        <f>VLOOKUP($C222,COS!$B$8:$H$991,7,FALSE)</f>
        <v>50.982772827148438</v>
      </c>
      <c r="G222" s="24">
        <f>IF(F222&lt;=IF(MONTH($C222)=4,$F$3,IF(MONTH($C222)=5,$F$4,IF(MONTH($C222)=6,$F$5,IF(MONTH($C222)=7,$F$6,"ERROR")))),1,0)</f>
        <v>1</v>
      </c>
      <c r="H222" s="26">
        <f>IF(J222=1,D222-$C$4,0)</f>
        <v>0</v>
      </c>
      <c r="I222" s="26">
        <f t="shared" si="342"/>
        <v>0</v>
      </c>
      <c r="J222" s="24">
        <f t="shared" si="349"/>
        <v>0</v>
      </c>
      <c r="K222" s="26">
        <f>VLOOKUP($C222,COS!$B$8:$H$991,2,FALSE)</f>
        <v>4312.3994140625</v>
      </c>
      <c r="L222" s="24">
        <f t="shared" si="333"/>
        <v>1</v>
      </c>
      <c r="M222" s="24">
        <f t="shared" si="334"/>
        <v>0</v>
      </c>
      <c r="N222" s="26">
        <f>VLOOKUP($C222,COS!$B$8:$H$991,5,FALSE)</f>
        <v>419.08834838867188</v>
      </c>
      <c r="O222" s="26">
        <f t="shared" si="352"/>
        <v>25.76873811579933</v>
      </c>
      <c r="P222" s="26">
        <f>VLOOKUP($C222,COS!$B$8:$H$991,6,FALSE)</f>
        <v>2006.53857421875</v>
      </c>
      <c r="Q222" s="26">
        <f t="shared" si="353"/>
        <v>123.37724786931818</v>
      </c>
      <c r="R222" s="26">
        <f>MIN(IF(MONTH($C222)=4,$S$3,IF(MONTH($C222)=5,$S$4,IF(MONTH($C222)=6,$S$5,IF(MONTH($C222)=7,$S$6,"ERROR")))),MAX(VLOOKUP($C222,COS!$B$8:$K$991,10,FALSE)-IF(MONTH($C222)=4,$Y$3,IF(MONTH($C222)=5,$Y$4,IF(MONTH($C222)=6,$Y$5,IF(MONTH($C222)=7,$Y$6,"ERROR")))),0),MAX(VLOOKUP($C222,COS!$B$8:$K$991,9,FALSE)-IF(MONTH($C222)=4,$V$3,IF(MONTH($C222)=5,$V$4,IF(MONTH($C222)=6,$V$5,IF(MONTH($C222)=7,$V$6,"ERROR"))))-VLOOKUP($C222,COS!$B$8:$K$991,6,FALSE)/2,0))</f>
        <v>1448.30419921875</v>
      </c>
      <c r="S222" s="26">
        <f t="shared" si="354"/>
        <v>89.05275406766529</v>
      </c>
      <c r="T222" s="26">
        <f t="shared" si="355"/>
        <v>163.62574706022406</v>
      </c>
      <c r="U222" s="26" t="str">
        <f>IF(VLOOKUP($C222,COS!$B$8:$I$991,8,FALSE)=1,"UWFE","IBU")</f>
        <v>UWFE</v>
      </c>
      <c r="V222" s="26">
        <f t="shared" ref="V222" si="357">MIN(IF(IF($AA$3=2,AND(E222=1,G222=1,L222=1,L226=1,M222=1,U222="IBU"),AND(E222=1,G222=1,L222=1,L226=1,M222=1)),T222,0),I222)</f>
        <v>0</v>
      </c>
      <c r="W222" s="26"/>
      <c r="X222" s="26"/>
      <c r="Y222" s="26"/>
      <c r="Z222" s="26"/>
      <c r="AA222" s="26"/>
      <c r="AB222" s="33"/>
    </row>
    <row r="223" spans="1:28" x14ac:dyDescent="0.3">
      <c r="A223" s="32">
        <f>VLOOKUP(YEAR(C223),Flags!$A$13:$B$95,2,FALSE)</f>
        <v>3</v>
      </c>
      <c r="B223" s="24">
        <f t="shared" si="328"/>
        <v>1945</v>
      </c>
      <c r="C223" s="25">
        <v>16618</v>
      </c>
      <c r="D223" s="26">
        <f>VLOOKUP($C223,COS!$B$8:$H$991,3,FALSE)</f>
        <v>8762.8173828125</v>
      </c>
      <c r="E223" s="24">
        <f>IF(D223&gt;=IF(MONTH($C223)=4,$C$3,IF(MONTH($C223)=5,$C$4,IF(MONTH($C223)=6,$C$5,IF(MONTH($C223)=7,$C$6,"ERROR")))),1,0)</f>
        <v>0</v>
      </c>
      <c r="F223" s="26">
        <f>VLOOKUP($C223,COS!$B$8:$H$991,7,FALSE)</f>
        <v>50.982040405273438</v>
      </c>
      <c r="G223" s="24">
        <f>IF(F223&lt;=IF(MONTH($C223)=4,$F$3,IF(MONTH($C223)=5,$F$4,IF(MONTH($C223)=6,$F$5,IF(MONTH($C223)=7,$F$6,"ERROR")))),1,0)</f>
        <v>1</v>
      </c>
      <c r="H223" s="26">
        <f>IF(J223=1,D223-$C$5,0)</f>
        <v>0</v>
      </c>
      <c r="I223" s="26">
        <f t="shared" si="342"/>
        <v>0</v>
      </c>
      <c r="J223" s="24">
        <f t="shared" si="349"/>
        <v>0</v>
      </c>
      <c r="K223" s="26">
        <f>VLOOKUP($C223,COS!$B$8:$H$991,2,FALSE)</f>
        <v>4079.3798828125</v>
      </c>
      <c r="L223" s="24">
        <f t="shared" si="333"/>
        <v>1</v>
      </c>
      <c r="M223" s="24">
        <f t="shared" si="334"/>
        <v>0</v>
      </c>
      <c r="N223" s="26">
        <f>VLOOKUP($C223,COS!$B$8:$H$991,5,FALSE)</f>
        <v>584.35906982421875</v>
      </c>
      <c r="O223" s="26">
        <f t="shared" si="352"/>
        <v>34.771779361441112</v>
      </c>
      <c r="P223" s="26">
        <f>VLOOKUP($C223,COS!$B$8:$H$991,6,FALSE)</f>
        <v>2486.4326171875</v>
      </c>
      <c r="Q223" s="26">
        <f t="shared" si="353"/>
        <v>147.9530152376033</v>
      </c>
      <c r="R223" s="26">
        <f>MIN(IF(MONTH($C223)=4,$S$3,IF(MONTH($C223)=5,$S$4,IF(MONTH($C223)=6,$S$5,IF(MONTH($C223)=7,$S$6,"ERROR")))),MAX(VLOOKUP($C223,COS!$B$8:$K$991,10,FALSE)-IF(MONTH($C223)=4,$Y$3,IF(MONTH($C223)=5,$Y$4,IF(MONTH($C223)=6,$Y$5,IF(MONTH($C223)=7,$Y$6,"ERROR")))),0),MAX(VLOOKUP($C223,COS!$B$8:$K$991,9,FALSE)-IF(MONTH($C223)=4,$V$3,IF(MONTH($C223)=5,$V$4,IF(MONTH($C223)=6,$V$5,IF(MONTH($C223)=7,$V$6,"ERROR"))))-VLOOKUP($C223,COS!$B$8:$K$991,6,FALSE)/2,0))</f>
        <v>1500</v>
      </c>
      <c r="S223" s="26">
        <f t="shared" si="354"/>
        <v>89.256198347107429</v>
      </c>
      <c r="T223" s="26">
        <f t="shared" si="355"/>
        <v>180.61859564662961</v>
      </c>
      <c r="U223" s="26" t="str">
        <f>IF(VLOOKUP($C223,COS!$B$8:$I$991,8,FALSE)=1,"UWFE","IBU")</f>
        <v>IBU</v>
      </c>
      <c r="V223" s="26">
        <f t="shared" ref="V223" si="358">MIN(IF(IF($AA$3=2,AND(E223=1,G223=1,L223=1,L226=1,M223=1,U223="IBU"),AND(E223=1,G223=1,L223=1,L226=1,M223=1)),T223,0),I223)</f>
        <v>0</v>
      </c>
      <c r="W223" s="26"/>
      <c r="X223" s="26"/>
      <c r="Y223" s="26"/>
      <c r="Z223" s="26"/>
      <c r="AA223" s="26"/>
      <c r="AB223" s="33"/>
    </row>
    <row r="224" spans="1:28" x14ac:dyDescent="0.3">
      <c r="A224" s="32">
        <f>VLOOKUP(YEAR(C224),Flags!$A$13:$B$95,2,FALSE)</f>
        <v>3</v>
      </c>
      <c r="B224" s="24">
        <f t="shared" si="328"/>
        <v>1945</v>
      </c>
      <c r="C224" s="25">
        <v>16649</v>
      </c>
      <c r="D224" s="26">
        <f>VLOOKUP($C224,COS!$B$8:$H$991,3,FALSE)</f>
        <v>13865.92578125</v>
      </c>
      <c r="E224" s="24">
        <f>IF(D224&gt;=IF(MONTH($C224)=4,$C$3,IF(MONTH($C224)=5,$C$4,IF(MONTH($C224)=6,$C$5,IF(MONTH($C224)=7,$C$6,"ERROR")))),1,0)</f>
        <v>1</v>
      </c>
      <c r="F224" s="26">
        <f>VLOOKUP($C224,COS!$B$8:$H$991,7,FALSE)</f>
        <v>50.834716796875</v>
      </c>
      <c r="G224" s="24">
        <f>IF(F224&lt;=IF(MONTH($C224)=4,$F$3,IF(MONTH($C224)=5,$F$4,IF(MONTH($C224)=6,$F$5,IF(MONTH($C224)=7,$F$6,"ERROR")))),1,0)</f>
        <v>1</v>
      </c>
      <c r="H224" s="26">
        <f>IF(J224=1,D224-$C$6,0)</f>
        <v>1865.92578125</v>
      </c>
      <c r="I224" s="26">
        <f t="shared" si="342"/>
        <v>114.73130423553718</v>
      </c>
      <c r="J224" s="24">
        <f t="shared" si="349"/>
        <v>1</v>
      </c>
      <c r="K224" s="26">
        <f>VLOOKUP($C224,COS!$B$8:$H$991,2,FALSE)</f>
        <v>3470.729248046875</v>
      </c>
      <c r="L224" s="24">
        <f t="shared" si="333"/>
        <v>1</v>
      </c>
      <c r="M224" s="24">
        <f t="shared" si="334"/>
        <v>0</v>
      </c>
      <c r="N224" s="26">
        <f>VLOOKUP($C224,COS!$B$8:$H$991,5,FALSE)</f>
        <v>726.76727294921875</v>
      </c>
      <c r="O224" s="26">
        <f t="shared" si="352"/>
        <v>44.687177774728823</v>
      </c>
      <c r="P224" s="26">
        <f>VLOOKUP($C224,COS!$B$8:$H$991,6,FALSE)</f>
        <v>2632.5888671875</v>
      </c>
      <c r="Q224" s="26">
        <f t="shared" si="353"/>
        <v>161.87157993285126</v>
      </c>
      <c r="R224" s="26">
        <f>MIN(IF(MONTH($C224)=4,$S$3,IF(MONTH($C224)=5,$S$4,IF(MONTH($C224)=6,$S$5,IF(MONTH($C224)=7,$S$6,"ERROR")))),MAX(VLOOKUP($C224,COS!$B$8:$K$991,10,FALSE)-IF(MONTH($C224)=4,$Y$3,IF(MONTH($C224)=5,$Y$4,IF(MONTH($C224)=6,$Y$5,IF(MONTH($C224)=7,$Y$6,"ERROR")))),0),MAX(VLOOKUP($C224,COS!$B$8:$K$991,9,FALSE)-IF(MONTH($C224)=4,$V$3,IF(MONTH($C224)=5,$V$4,IF(MONTH($C224)=6,$V$5,IF(MONTH($C224)=7,$V$6,"ERROR"))))-VLOOKUP($C224,COS!$B$8:$K$991,6,FALSE)/2,0))</f>
        <v>1500</v>
      </c>
      <c r="S224" s="26">
        <f t="shared" si="354"/>
        <v>92.231404958677686</v>
      </c>
      <c r="T224" s="26">
        <f t="shared" si="355"/>
        <v>195.51078381246771</v>
      </c>
      <c r="U224" s="26" t="str">
        <f>IF(VLOOKUP($C224,COS!$B$8:$I$991,8,FALSE)=1,"UWFE","IBU")</f>
        <v>IBU</v>
      </c>
      <c r="V224" s="26">
        <f t="shared" ref="V224" si="359">MIN(IF(IF($AA$3=2,AND(E224=1,G224=1,L224=1,L226=1,M224=1,U224="IBU"),AND(E224=1,G224=1,L224=1,L226=1,M224=1)),T224,0),I224)</f>
        <v>0</v>
      </c>
      <c r="W224" s="26"/>
      <c r="X224" s="26"/>
      <c r="Y224" s="26"/>
      <c r="Z224" s="26"/>
      <c r="AA224" s="26"/>
      <c r="AB224" s="33"/>
    </row>
    <row r="225" spans="1:28" x14ac:dyDescent="0.3">
      <c r="A225" s="32">
        <f>VLOOKUP(YEAR(C225),Flags!$A$13:$B$95,2,FALSE)</f>
        <v>3</v>
      </c>
      <c r="B225" s="24">
        <f t="shared" si="328"/>
        <v>1945</v>
      </c>
      <c r="C225" s="25">
        <v>16680</v>
      </c>
      <c r="D225" s="26"/>
      <c r="E225" s="24"/>
      <c r="F225" s="26"/>
      <c r="G225" s="24"/>
      <c r="H225" s="24"/>
      <c r="I225" s="26"/>
      <c r="J225" s="24"/>
      <c r="K225" s="26"/>
      <c r="L225" s="24"/>
      <c r="M225" s="24"/>
      <c r="N225" s="26"/>
      <c r="O225" s="26"/>
      <c r="P225" s="26"/>
      <c r="Q225" s="26"/>
      <c r="R225" s="26"/>
      <c r="S225" s="26"/>
      <c r="T225" s="26"/>
      <c r="U225" s="26"/>
      <c r="V225" s="26"/>
      <c r="W225" s="26">
        <f>MAX($C$7-VLOOKUP($C225,COS!$B$8:$H$991,3,FALSE),0)</f>
        <v>90106.1162109375</v>
      </c>
      <c r="X225" s="26">
        <f t="shared" si="347"/>
        <v>5540.4091290030992</v>
      </c>
      <c r="Y225" s="26">
        <f>VLOOKUP($C225,COS!$B$8:$H$991,4,FALSE)</f>
        <v>465.335205078125</v>
      </c>
      <c r="Z225" s="26">
        <f t="shared" si="348"/>
        <v>28.612346494059917</v>
      </c>
      <c r="AA225" s="26">
        <f t="shared" ref="AA225:AA229" si="360">MIN(W225,Y225)</f>
        <v>465.335205078125</v>
      </c>
      <c r="AB225" s="33">
        <f t="shared" ref="AB225" si="361">AA225*DAY($C225)*86400/43560/1000*IF(MONTH($C225)=8,$P$3,IF(MONTH($C225)=9,$P$4,IF(MONTH($C225)=10,$P$5,IF(MONTH($C225)=11,$P$6,IF(MONTH($C225)=12,$P$7,NA())))))</f>
        <v>28.612346494059917</v>
      </c>
    </row>
    <row r="226" spans="1:28" x14ac:dyDescent="0.3">
      <c r="A226" s="32">
        <f>VLOOKUP(YEAR(C226),Flags!$A$13:$B$95,2,FALSE)</f>
        <v>3</v>
      </c>
      <c r="B226" s="24">
        <f t="shared" si="328"/>
        <v>1945</v>
      </c>
      <c r="C226" s="25">
        <v>16710</v>
      </c>
      <c r="D226" s="26"/>
      <c r="E226" s="24"/>
      <c r="F226" s="26"/>
      <c r="G226" s="24"/>
      <c r="H226" s="24"/>
      <c r="I226" s="26"/>
      <c r="J226" s="24"/>
      <c r="K226" s="26">
        <f>VLOOKUP($C226,COS!$B$8:$H$991,2,FALSE)</f>
        <v>2950.834716796875</v>
      </c>
      <c r="L226" s="24">
        <f t="shared" ref="L226" si="362">IF(AND(K226&gt;$I$7,K226&lt;$I$8),1,0)</f>
        <v>1</v>
      </c>
      <c r="M226" s="24"/>
      <c r="N226" s="26"/>
      <c r="O226" s="26"/>
      <c r="P226" s="26"/>
      <c r="Q226" s="26"/>
      <c r="R226" s="26"/>
      <c r="S226" s="26"/>
      <c r="T226" s="26"/>
      <c r="U226" s="26"/>
      <c r="V226" s="26"/>
      <c r="W226" s="26">
        <f>MAX($C$8-VLOOKUP($C226,COS!$B$8:$H$991,3,FALSE),0)</f>
        <v>94362.61474609375</v>
      </c>
      <c r="X226" s="26">
        <f t="shared" si="347"/>
        <v>5614.9655055526855</v>
      </c>
      <c r="Y226" s="26">
        <f>VLOOKUP($C226,COS!$B$8:$H$991,4,FALSE)</f>
        <v>334.24276733398438</v>
      </c>
      <c r="Z226" s="26">
        <f t="shared" si="348"/>
        <v>19.888825824832129</v>
      </c>
      <c r="AA226" s="26">
        <f t="shared" si="360"/>
        <v>334.24276733398438</v>
      </c>
      <c r="AB226" s="33">
        <f t="shared" si="345"/>
        <v>19.888825824832129</v>
      </c>
    </row>
    <row r="227" spans="1:28" x14ac:dyDescent="0.3">
      <c r="A227" s="32">
        <f>VLOOKUP(YEAR(C227),Flags!$A$13:$B$95,2,FALSE)</f>
        <v>3</v>
      </c>
      <c r="B227" s="24">
        <f t="shared" si="328"/>
        <v>1945</v>
      </c>
      <c r="C227" s="25">
        <v>16741</v>
      </c>
      <c r="D227" s="26"/>
      <c r="E227" s="24"/>
      <c r="F227" s="26"/>
      <c r="G227" s="26"/>
      <c r="H227" s="26"/>
      <c r="I227" s="26"/>
      <c r="J227" s="26"/>
      <c r="K227" s="26"/>
      <c r="L227" s="24"/>
      <c r="M227" s="24"/>
      <c r="N227" s="26"/>
      <c r="O227" s="26"/>
      <c r="P227" s="26"/>
      <c r="Q227" s="26"/>
      <c r="R227" s="26"/>
      <c r="S227" s="26"/>
      <c r="T227" s="26"/>
      <c r="U227" s="26"/>
      <c r="V227" s="26"/>
      <c r="W227" s="26">
        <f>MAX($C$9-VLOOKUP($C227,COS!$B$8:$H$991,3,FALSE),0)</f>
        <v>94737.2158203125</v>
      </c>
      <c r="X227" s="26">
        <f t="shared" si="347"/>
        <v>5825.1643446539256</v>
      </c>
      <c r="Y227" s="26">
        <f>VLOOKUP($C227,COS!$B$8:$H$991,4,FALSE)</f>
        <v>526.39361572265625</v>
      </c>
      <c r="Z227" s="26">
        <f t="shared" si="348"/>
        <v>32.366681826252581</v>
      </c>
      <c r="AA227" s="26">
        <f t="shared" si="360"/>
        <v>526.39361572265625</v>
      </c>
      <c r="AB227" s="33">
        <f t="shared" si="345"/>
        <v>32.366681826252581</v>
      </c>
    </row>
    <row r="228" spans="1:28" x14ac:dyDescent="0.3">
      <c r="A228" s="32">
        <f>VLOOKUP(YEAR(C228),Flags!$A$13:$B$95,2,FALSE)</f>
        <v>3</v>
      </c>
      <c r="B228" s="24">
        <f t="shared" si="328"/>
        <v>1945</v>
      </c>
      <c r="C228" s="25">
        <v>16771</v>
      </c>
      <c r="D228" s="26"/>
      <c r="E228" s="24"/>
      <c r="F228" s="26"/>
      <c r="G228" s="26"/>
      <c r="H228" s="26"/>
      <c r="I228" s="26"/>
      <c r="J228" s="26"/>
      <c r="K228" s="26"/>
      <c r="L228" s="24"/>
      <c r="M228" s="24"/>
      <c r="N228" s="26"/>
      <c r="O228" s="26"/>
      <c r="P228" s="26"/>
      <c r="Q228" s="26"/>
      <c r="R228" s="26"/>
      <c r="S228" s="26"/>
      <c r="T228" s="26"/>
      <c r="U228" s="26"/>
      <c r="V228" s="26"/>
      <c r="W228" s="26">
        <f>MAX($C$10-VLOOKUP($C228,COS!$B$8:$H$991,3,FALSE),0)</f>
        <v>93731.17041015625</v>
      </c>
      <c r="X228" s="26">
        <f t="shared" si="347"/>
        <v>5577.391958290289</v>
      </c>
      <c r="Y228" s="26">
        <f>VLOOKUP($C228,COS!$B$8:$H$991,4,FALSE)</f>
        <v>697.87353515625</v>
      </c>
      <c r="Z228" s="26">
        <f t="shared" si="348"/>
        <v>41.526359116735541</v>
      </c>
      <c r="AA228" s="26">
        <f t="shared" si="360"/>
        <v>697.87353515625</v>
      </c>
      <c r="AB228" s="33">
        <f t="shared" si="345"/>
        <v>41.526359116735541</v>
      </c>
    </row>
    <row r="229" spans="1:28" x14ac:dyDescent="0.3">
      <c r="A229" s="34">
        <f>VLOOKUP(YEAR(C229),Flags!$A$13:$B$95,2,FALSE)</f>
        <v>3</v>
      </c>
      <c r="B229" s="35">
        <f t="shared" si="328"/>
        <v>1945</v>
      </c>
      <c r="C229" s="36">
        <v>16802</v>
      </c>
      <c r="D229" s="37"/>
      <c r="E229" s="35"/>
      <c r="F229" s="37"/>
      <c r="G229" s="37"/>
      <c r="H229" s="37"/>
      <c r="I229" s="37"/>
      <c r="J229" s="37"/>
      <c r="K229" s="37"/>
      <c r="L229" s="35"/>
      <c r="M229" s="35"/>
      <c r="N229" s="37"/>
      <c r="O229" s="37"/>
      <c r="P229" s="37"/>
      <c r="Q229" s="37"/>
      <c r="R229" s="37"/>
      <c r="S229" s="37"/>
      <c r="T229" s="37"/>
      <c r="U229" s="37"/>
      <c r="V229" s="37"/>
      <c r="W229" s="37">
        <f>MAX($C$11-VLOOKUP($C229,COS!$B$8:$H$991,3,FALSE),0)</f>
        <v>68459.421875</v>
      </c>
      <c r="X229" s="37">
        <f t="shared" si="347"/>
        <v>4209.4057747933884</v>
      </c>
      <c r="Y229" s="37">
        <f>VLOOKUP($C229,COS!$B$8:$H$991,4,FALSE)</f>
        <v>0</v>
      </c>
      <c r="Z229" s="37">
        <f t="shared" si="348"/>
        <v>0</v>
      </c>
      <c r="AA229" s="37">
        <f t="shared" si="360"/>
        <v>0</v>
      </c>
      <c r="AB229" s="38">
        <f t="shared" si="345"/>
        <v>0</v>
      </c>
    </row>
    <row r="230" spans="1:28" x14ac:dyDescent="0.3">
      <c r="A230" s="27">
        <f>VLOOKUP(YEAR(C230),Flags!$A$13:$B$95,2,FALSE)</f>
        <v>2</v>
      </c>
      <c r="B230" s="28">
        <f t="shared" si="328"/>
        <v>1946</v>
      </c>
      <c r="C230" s="29">
        <v>16922</v>
      </c>
      <c r="D230" s="30">
        <f>VLOOKUP($C230,COS!$B$8:$H$991,3,FALSE)</f>
        <v>4076.084716796875</v>
      </c>
      <c r="E230" s="28">
        <f>IF(D230&gt;=IF(MONTH($C230)=4,$C$3,IF(MONTH($C230)=5,$C$4,IF(MONTH($C230)=6,$C$5,IF(MONTH($C230)=7,$C$6,"ERROR")))),1,0)</f>
        <v>0</v>
      </c>
      <c r="F230" s="30">
        <f>VLOOKUP($C230,COS!$B$8:$H$991,7,FALSE)</f>
        <v>48.838871002197266</v>
      </c>
      <c r="G230" s="28">
        <f>IF(F230&lt;=IF(MONTH($C230)=4,$F$3,IF(MONTH($C230)=5,$F$4,IF(MONTH($C230)=6,$F$5,IF(MONTH($C230)=7,$F$6,"ERROR")))),1,0)</f>
        <v>1</v>
      </c>
      <c r="H230" s="30">
        <f>IF(J230=1,D230-$C$3,0)</f>
        <v>0</v>
      </c>
      <c r="I230" s="30">
        <f t="shared" si="342"/>
        <v>0</v>
      </c>
      <c r="J230" s="28">
        <f t="shared" ref="J230:J233" si="363">IF(AND(E230=1,G230=1),1,0)</f>
        <v>0</v>
      </c>
      <c r="K230" s="30">
        <f>VLOOKUP($C230,COS!$B$8:$H$991,2,FALSE)</f>
        <v>4552</v>
      </c>
      <c r="L230" s="28">
        <f t="shared" ref="L230" si="364">IF(K230&lt;=IF(MONTH($C230)=4,$I$3,IF(MONTH($C230)=5,$I$4,IF(MONTH($C230)=6,$I$5,IF(MONTH($C230)=7,$I$6,"ERROR")))),1,0)</f>
        <v>1</v>
      </c>
      <c r="M230" s="28">
        <f t="shared" ref="M230" si="365">VLOOKUP($A230,$L$3:$M$7,2,FALSE)</f>
        <v>0</v>
      </c>
      <c r="N230" s="30">
        <f>VLOOKUP($C230,COS!$B$8:$H$991,5,FALSE)</f>
        <v>571.77276611328125</v>
      </c>
      <c r="O230" s="30">
        <f t="shared" ref="O230:O233" si="366">N230*DAY($C230)*86400/43560/1000</f>
        <v>34.022842281120866</v>
      </c>
      <c r="P230" s="30">
        <f>VLOOKUP($C230,COS!$B$8:$H$991,6,FALSE)</f>
        <v>546.8182373046875</v>
      </c>
      <c r="Q230" s="30">
        <f t="shared" ref="Q230:Q233" si="367">P230*DAY($C230)*86400/43560/1000</f>
        <v>32.537944699121901</v>
      </c>
      <c r="R230" s="30">
        <f>MIN(IF(MONTH($C230)=4,$S$3,IF(MONTH($C230)=5,$S$4,IF(MONTH($C230)=6,$S$5,IF(MONTH($C230)=7,$S$6,"ERROR")))),MAX(VLOOKUP($C230,COS!$B$8:$K$991,10,FALSE)-IF(MONTH($C230)=4,$Y$3,IF(MONTH($C230)=5,$Y$4,IF(MONTH($C230)=6,$Y$5,IF(MONTH($C230)=7,$Y$6,"ERROR")))),0),MAX(VLOOKUP($C230,COS!$B$8:$K$991,9,FALSE)-IF(MONTH($C230)=4,$V$3,IF(MONTH($C230)=5,$V$4,IF(MONTH($C230)=6,$V$5,IF(MONTH($C230)=7,$V$6,"ERROR"))))-VLOOKUP($C230,COS!$B$8:$K$991,6,FALSE)/2,0))</f>
        <v>1500</v>
      </c>
      <c r="S230" s="30">
        <f t="shared" ref="S230:S233" si="368">R230*DAY($C230)*86400/43560/1000</f>
        <v>89.256198347107429</v>
      </c>
      <c r="T230" s="30">
        <f t="shared" ref="T230:T233" si="369">(O230+Q230)/2+S230</f>
        <v>122.53659183722881</v>
      </c>
      <c r="U230" s="30" t="str">
        <f>IF(VLOOKUP($C230,COS!$B$8:$I$991,8,FALSE)=1,"UWFE","IBU")</f>
        <v>UWFE</v>
      </c>
      <c r="V230" s="30">
        <f t="shared" ref="V230" si="370">MIN(IF(IF($AA$3=2,AND(E230=1,G230=1,L230=1,L235=1,M230=1,U230="IBU"),AND(E230=1,G230=1,L230=1,L235=1,M230=1)),T230,0),I230)</f>
        <v>0</v>
      </c>
      <c r="W230" s="30"/>
      <c r="X230" s="30"/>
      <c r="Y230" s="30"/>
      <c r="Z230" s="30"/>
      <c r="AA230" s="30"/>
      <c r="AB230" s="31"/>
    </row>
    <row r="231" spans="1:28" x14ac:dyDescent="0.3">
      <c r="A231" s="32">
        <f>VLOOKUP(YEAR(C231),Flags!$A$13:$B$95,2,FALSE)</f>
        <v>2</v>
      </c>
      <c r="B231" s="24">
        <f t="shared" si="328"/>
        <v>1946</v>
      </c>
      <c r="C231" s="25">
        <v>16953</v>
      </c>
      <c r="D231" s="26">
        <f>VLOOKUP($C231,COS!$B$8:$H$991,3,FALSE)</f>
        <v>7674.50244140625</v>
      </c>
      <c r="E231" s="24">
        <f>IF(D231&gt;=IF(MONTH($C231)=4,$C$3,IF(MONTH($C231)=5,$C$4,IF(MONTH($C231)=6,$C$5,IF(MONTH($C231)=7,$C$6,"ERROR")))),1,0)</f>
        <v>1</v>
      </c>
      <c r="F231" s="26">
        <f>VLOOKUP($C231,COS!$B$8:$H$991,7,FALSE)</f>
        <v>48.690444946289063</v>
      </c>
      <c r="G231" s="24">
        <f>IF(F231&lt;=IF(MONTH($C231)=4,$F$3,IF(MONTH($C231)=5,$F$4,IF(MONTH($C231)=6,$F$5,IF(MONTH($C231)=7,$F$6,"ERROR")))),1,0)</f>
        <v>1</v>
      </c>
      <c r="H231" s="26">
        <f>IF(J231=1,D231-$C$4,0)</f>
        <v>1674.50244140625</v>
      </c>
      <c r="I231" s="26">
        <f t="shared" si="342"/>
        <v>102.9611418517562</v>
      </c>
      <c r="J231" s="24">
        <f t="shared" si="363"/>
        <v>1</v>
      </c>
      <c r="K231" s="26">
        <f>VLOOKUP($C231,COS!$B$8:$H$991,2,FALSE)</f>
        <v>4470.89013671875</v>
      </c>
      <c r="L231" s="24">
        <f t="shared" si="333"/>
        <v>1</v>
      </c>
      <c r="M231" s="24">
        <f t="shared" si="334"/>
        <v>0</v>
      </c>
      <c r="N231" s="26">
        <f>VLOOKUP($C231,COS!$B$8:$H$991,5,FALSE)</f>
        <v>870.65301513671875</v>
      </c>
      <c r="O231" s="26">
        <f t="shared" si="366"/>
        <v>53.534367211712294</v>
      </c>
      <c r="P231" s="26">
        <f>VLOOKUP($C231,COS!$B$8:$H$991,6,FALSE)</f>
        <v>2245.033447265625</v>
      </c>
      <c r="Q231" s="26">
        <f t="shared" si="367"/>
        <v>138.04172601368802</v>
      </c>
      <c r="R231" s="26">
        <f>MIN(IF(MONTH($C231)=4,$S$3,IF(MONTH($C231)=5,$S$4,IF(MONTH($C231)=6,$S$5,IF(MONTH($C231)=7,$S$6,"ERROR")))),MAX(VLOOKUP($C231,COS!$B$8:$K$991,10,FALSE)-IF(MONTH($C231)=4,$Y$3,IF(MONTH($C231)=5,$Y$4,IF(MONTH($C231)=6,$Y$5,IF(MONTH($C231)=7,$Y$6,"ERROR")))),0),MAX(VLOOKUP($C231,COS!$B$8:$K$991,9,FALSE)-IF(MONTH($C231)=4,$V$3,IF(MONTH($C231)=5,$V$4,IF(MONTH($C231)=6,$V$5,IF(MONTH($C231)=7,$V$6,"ERROR"))))-VLOOKUP($C231,COS!$B$8:$K$991,6,FALSE)/2,0))</f>
        <v>1500</v>
      </c>
      <c r="S231" s="26">
        <f t="shared" si="368"/>
        <v>92.231404958677686</v>
      </c>
      <c r="T231" s="26">
        <f t="shared" si="369"/>
        <v>188.01945157137783</v>
      </c>
      <c r="U231" s="26" t="str">
        <f>IF(VLOOKUP($C231,COS!$B$8:$I$991,8,FALSE)=1,"UWFE","IBU")</f>
        <v>UWFE</v>
      </c>
      <c r="V231" s="26">
        <f t="shared" ref="V231" si="371">MIN(IF(IF($AA$3=2,AND(E231=1,G231=1,L231=1,L235=1,M231=1,U231="IBU"),AND(E231=1,G231=1,L231=1,L235=1,M231=1)),T231,0),I231)</f>
        <v>0</v>
      </c>
      <c r="W231" s="26"/>
      <c r="X231" s="26"/>
      <c r="Y231" s="26"/>
      <c r="Z231" s="26"/>
      <c r="AA231" s="26"/>
      <c r="AB231" s="33"/>
    </row>
    <row r="232" spans="1:28" x14ac:dyDescent="0.3">
      <c r="A232" s="32">
        <f>VLOOKUP(YEAR(C232),Flags!$A$13:$B$95,2,FALSE)</f>
        <v>2</v>
      </c>
      <c r="B232" s="24">
        <f t="shared" si="328"/>
        <v>1946</v>
      </c>
      <c r="C232" s="25">
        <v>16983</v>
      </c>
      <c r="D232" s="26">
        <f>VLOOKUP($C232,COS!$B$8:$H$991,3,FALSE)</f>
        <v>10991.0703125</v>
      </c>
      <c r="E232" s="24">
        <f>IF(D232&gt;=IF(MONTH($C232)=4,$C$3,IF(MONTH($C232)=5,$C$4,IF(MONTH($C232)=6,$C$5,IF(MONTH($C232)=7,$C$6,"ERROR")))),1,0)</f>
        <v>1</v>
      </c>
      <c r="F232" s="26">
        <f>VLOOKUP($C232,COS!$B$8:$H$991,7,FALSE)</f>
        <v>49.001594543457031</v>
      </c>
      <c r="G232" s="24">
        <f>IF(F232&lt;=IF(MONTH($C232)=4,$F$3,IF(MONTH($C232)=5,$F$4,IF(MONTH($C232)=6,$F$5,IF(MONTH($C232)=7,$F$6,"ERROR")))),1,0)</f>
        <v>1</v>
      </c>
      <c r="H232" s="26">
        <f>IF(J232=1,D232-$C$5,0)</f>
        <v>991.0703125</v>
      </c>
      <c r="I232" s="26">
        <f t="shared" si="342"/>
        <v>58.972778925619835</v>
      </c>
      <c r="J232" s="24">
        <f t="shared" si="363"/>
        <v>1</v>
      </c>
      <c r="K232" s="26">
        <f>VLOOKUP($C232,COS!$B$8:$H$991,2,FALSE)</f>
        <v>4054.78515625</v>
      </c>
      <c r="L232" s="24">
        <f t="shared" si="333"/>
        <v>1</v>
      </c>
      <c r="M232" s="24">
        <f t="shared" si="334"/>
        <v>0</v>
      </c>
      <c r="N232" s="26">
        <f>VLOOKUP($C232,COS!$B$8:$H$991,5,FALSE)</f>
        <v>864.298095703125</v>
      </c>
      <c r="O232" s="26">
        <f t="shared" si="366"/>
        <v>51.42930817407025</v>
      </c>
      <c r="P232" s="26">
        <f>VLOOKUP($C232,COS!$B$8:$H$991,6,FALSE)</f>
        <v>2675.089599609375</v>
      </c>
      <c r="Q232" s="26">
        <f t="shared" si="367"/>
        <v>159.1788852660124</v>
      </c>
      <c r="R232" s="26">
        <f>MIN(IF(MONTH($C232)=4,$S$3,IF(MONTH($C232)=5,$S$4,IF(MONTH($C232)=6,$S$5,IF(MONTH($C232)=7,$S$6,"ERROR")))),MAX(VLOOKUP($C232,COS!$B$8:$K$991,10,FALSE)-IF(MONTH($C232)=4,$Y$3,IF(MONTH($C232)=5,$Y$4,IF(MONTH($C232)=6,$Y$5,IF(MONTH($C232)=7,$Y$6,"ERROR")))),0),MAX(VLOOKUP($C232,COS!$B$8:$K$991,9,FALSE)-IF(MONTH($C232)=4,$V$3,IF(MONTH($C232)=5,$V$4,IF(MONTH($C232)=6,$V$5,IF(MONTH($C232)=7,$V$6,"ERROR"))))-VLOOKUP($C232,COS!$B$8:$K$991,6,FALSE)/2,0))</f>
        <v>1500</v>
      </c>
      <c r="S232" s="26">
        <f t="shared" si="368"/>
        <v>89.256198347107429</v>
      </c>
      <c r="T232" s="26">
        <f t="shared" si="369"/>
        <v>194.56029506714876</v>
      </c>
      <c r="U232" s="26" t="str">
        <f>IF(VLOOKUP($C232,COS!$B$8:$I$991,8,FALSE)=1,"UWFE","IBU")</f>
        <v>IBU</v>
      </c>
      <c r="V232" s="26">
        <f t="shared" ref="V232" si="372">MIN(IF(IF($AA$3=2,AND(E232=1,G232=1,L232=1,L235=1,M232=1,U232="IBU"),AND(E232=1,G232=1,L232=1,L235=1,M232=1)),T232,0),I232)</f>
        <v>0</v>
      </c>
      <c r="W232" s="26"/>
      <c r="X232" s="26"/>
      <c r="Y232" s="26"/>
      <c r="Z232" s="26"/>
      <c r="AA232" s="26"/>
      <c r="AB232" s="33"/>
    </row>
    <row r="233" spans="1:28" x14ac:dyDescent="0.3">
      <c r="A233" s="32">
        <f>VLOOKUP(YEAR(C233),Flags!$A$13:$B$95,2,FALSE)</f>
        <v>2</v>
      </c>
      <c r="B233" s="24">
        <f t="shared" si="328"/>
        <v>1946</v>
      </c>
      <c r="C233" s="25">
        <v>17014</v>
      </c>
      <c r="D233" s="26">
        <f>VLOOKUP($C233,COS!$B$8:$H$991,3,FALSE)</f>
        <v>16000</v>
      </c>
      <c r="E233" s="24">
        <f>IF(D233&gt;=IF(MONTH($C233)=4,$C$3,IF(MONTH($C233)=5,$C$4,IF(MONTH($C233)=6,$C$5,IF(MONTH($C233)=7,$C$6,"ERROR")))),1,0)</f>
        <v>1</v>
      </c>
      <c r="F233" s="26">
        <f>VLOOKUP($C233,COS!$B$8:$H$991,7,FALSE)</f>
        <v>49.493640899658203</v>
      </c>
      <c r="G233" s="24">
        <f>IF(F233&lt;=IF(MONTH($C233)=4,$F$3,IF(MONTH($C233)=5,$F$4,IF(MONTH($C233)=6,$F$5,IF(MONTH($C233)=7,$F$6,"ERROR")))),1,0)</f>
        <v>1</v>
      </c>
      <c r="H233" s="26">
        <f>IF(J233=1,D233-$C$6,0)</f>
        <v>4000</v>
      </c>
      <c r="I233" s="26">
        <f t="shared" si="342"/>
        <v>245.95041322314049</v>
      </c>
      <c r="J233" s="24">
        <f t="shared" si="363"/>
        <v>1</v>
      </c>
      <c r="K233" s="26">
        <f>VLOOKUP($C233,COS!$B$8:$H$991,2,FALSE)</f>
        <v>3315.635498046875</v>
      </c>
      <c r="L233" s="24">
        <f t="shared" si="333"/>
        <v>1</v>
      </c>
      <c r="M233" s="24">
        <f t="shared" si="334"/>
        <v>0</v>
      </c>
      <c r="N233" s="26">
        <f>VLOOKUP($C233,COS!$B$8:$H$991,5,FALSE)</f>
        <v>929.87835693359375</v>
      </c>
      <c r="O233" s="26">
        <f t="shared" si="366"/>
        <v>57.175991533768077</v>
      </c>
      <c r="P233" s="26">
        <f>VLOOKUP($C233,COS!$B$8:$H$991,6,FALSE)</f>
        <v>2527.75390625</v>
      </c>
      <c r="Q233" s="26">
        <f t="shared" si="367"/>
        <v>155.42552944214876</v>
      </c>
      <c r="R233" s="26">
        <f>MIN(IF(MONTH($C233)=4,$S$3,IF(MONTH($C233)=5,$S$4,IF(MONTH($C233)=6,$S$5,IF(MONTH($C233)=7,$S$6,"ERROR")))),MAX(VLOOKUP($C233,COS!$B$8:$K$991,10,FALSE)-IF(MONTH($C233)=4,$Y$3,IF(MONTH($C233)=5,$Y$4,IF(MONTH($C233)=6,$Y$5,IF(MONTH($C233)=7,$Y$6,"ERROR")))),0),MAX(VLOOKUP($C233,COS!$B$8:$K$991,9,FALSE)-IF(MONTH($C233)=4,$V$3,IF(MONTH($C233)=5,$V$4,IF(MONTH($C233)=6,$V$5,IF(MONTH($C233)=7,$V$6,"ERROR"))))-VLOOKUP($C233,COS!$B$8:$K$991,6,FALSE)/2,0))</f>
        <v>1500</v>
      </c>
      <c r="S233" s="26">
        <f t="shared" si="368"/>
        <v>92.231404958677686</v>
      </c>
      <c r="T233" s="26">
        <f t="shared" si="369"/>
        <v>198.5321654466361</v>
      </c>
      <c r="U233" s="26" t="str">
        <f>IF(VLOOKUP($C233,COS!$B$8:$I$991,8,FALSE)=1,"UWFE","IBU")</f>
        <v>IBU</v>
      </c>
      <c r="V233" s="26">
        <f t="shared" ref="V233" si="373">MIN(IF(IF($AA$3=2,AND(E233=1,G233=1,L233=1,L235=1,M233=1,U233="IBU"),AND(E233=1,G233=1,L233=1,L235=1,M233=1)),T233,0),I233)</f>
        <v>0</v>
      </c>
      <c r="W233" s="26"/>
      <c r="X233" s="26"/>
      <c r="Y233" s="26"/>
      <c r="Z233" s="26"/>
      <c r="AA233" s="26"/>
      <c r="AB233" s="33"/>
    </row>
    <row r="234" spans="1:28" x14ac:dyDescent="0.3">
      <c r="A234" s="32">
        <f>VLOOKUP(YEAR(C234),Flags!$A$13:$B$95,2,FALSE)</f>
        <v>2</v>
      </c>
      <c r="B234" s="24">
        <f t="shared" si="328"/>
        <v>1946</v>
      </c>
      <c r="C234" s="25">
        <v>17045</v>
      </c>
      <c r="D234" s="26"/>
      <c r="E234" s="24"/>
      <c r="F234" s="26"/>
      <c r="G234" s="24"/>
      <c r="H234" s="24"/>
      <c r="I234" s="26"/>
      <c r="J234" s="24"/>
      <c r="K234" s="26"/>
      <c r="L234" s="24"/>
      <c r="M234" s="24"/>
      <c r="N234" s="26"/>
      <c r="O234" s="26"/>
      <c r="P234" s="26"/>
      <c r="Q234" s="26"/>
      <c r="R234" s="26"/>
      <c r="S234" s="26"/>
      <c r="T234" s="26"/>
      <c r="U234" s="26"/>
      <c r="V234" s="26"/>
      <c r="W234" s="26">
        <f>MAX($C$7-VLOOKUP($C234,COS!$B$8:$H$991,3,FALSE),0)</f>
        <v>88284.59765625</v>
      </c>
      <c r="X234" s="26">
        <f t="shared" si="347"/>
        <v>5428.4083186983471</v>
      </c>
      <c r="Y234" s="26">
        <f>VLOOKUP($C234,COS!$B$8:$H$991,4,FALSE)</f>
        <v>0</v>
      </c>
      <c r="Z234" s="26">
        <f t="shared" si="348"/>
        <v>0</v>
      </c>
      <c r="AA234" s="26">
        <f t="shared" ref="AA234:AA238" si="374">MIN(W234,Y234)</f>
        <v>0</v>
      </c>
      <c r="AB234" s="33">
        <f t="shared" ref="AB234" si="375">AA234*DAY($C234)*86400/43560/1000*IF(MONTH($C234)=8,$P$3,IF(MONTH($C234)=9,$P$4,IF(MONTH($C234)=10,$P$5,IF(MONTH($C234)=11,$P$6,IF(MONTH($C234)=12,$P$7,NA())))))</f>
        <v>0</v>
      </c>
    </row>
    <row r="235" spans="1:28" x14ac:dyDescent="0.3">
      <c r="A235" s="32">
        <f>VLOOKUP(YEAR(C235),Flags!$A$13:$B$95,2,FALSE)</f>
        <v>2</v>
      </c>
      <c r="B235" s="24">
        <f t="shared" si="328"/>
        <v>1946</v>
      </c>
      <c r="C235" s="25">
        <v>17075</v>
      </c>
      <c r="D235" s="26"/>
      <c r="E235" s="24"/>
      <c r="F235" s="26"/>
      <c r="G235" s="24"/>
      <c r="H235" s="24"/>
      <c r="I235" s="26"/>
      <c r="J235" s="24"/>
      <c r="K235" s="26">
        <f>VLOOKUP($C235,COS!$B$8:$H$991,2,FALSE)</f>
        <v>2524.6171875</v>
      </c>
      <c r="L235" s="24">
        <f t="shared" ref="L235" si="376">IF(AND(K235&gt;$I$7,K235&lt;$I$8),1,0)</f>
        <v>1</v>
      </c>
      <c r="M235" s="24"/>
      <c r="N235" s="26"/>
      <c r="O235" s="26"/>
      <c r="P235" s="26"/>
      <c r="Q235" s="26"/>
      <c r="R235" s="26"/>
      <c r="S235" s="26"/>
      <c r="T235" s="26"/>
      <c r="U235" s="26"/>
      <c r="V235" s="26"/>
      <c r="W235" s="26">
        <f>MAX($C$8-VLOOKUP($C235,COS!$B$8:$H$991,3,FALSE),0)</f>
        <v>88618.8271484375</v>
      </c>
      <c r="X235" s="26">
        <f t="shared" si="347"/>
        <v>5273.1864088326447</v>
      </c>
      <c r="Y235" s="26">
        <f>VLOOKUP($C235,COS!$B$8:$H$991,4,FALSE)</f>
        <v>0</v>
      </c>
      <c r="Z235" s="26">
        <f t="shared" si="348"/>
        <v>0</v>
      </c>
      <c r="AA235" s="26">
        <f t="shared" si="374"/>
        <v>0</v>
      </c>
      <c r="AB235" s="33">
        <f t="shared" si="345"/>
        <v>0</v>
      </c>
    </row>
    <row r="236" spans="1:28" x14ac:dyDescent="0.3">
      <c r="A236" s="32">
        <f>VLOOKUP(YEAR(C236),Flags!$A$13:$B$95,2,FALSE)</f>
        <v>2</v>
      </c>
      <c r="B236" s="24">
        <f t="shared" si="328"/>
        <v>1946</v>
      </c>
      <c r="C236" s="25">
        <v>17106</v>
      </c>
      <c r="D236" s="26"/>
      <c r="E236" s="24"/>
      <c r="F236" s="26"/>
      <c r="G236" s="26"/>
      <c r="H236" s="26"/>
      <c r="I236" s="26"/>
      <c r="J236" s="26"/>
      <c r="K236" s="26"/>
      <c r="L236" s="24"/>
      <c r="M236" s="24"/>
      <c r="N236" s="26"/>
      <c r="O236" s="26"/>
      <c r="P236" s="26"/>
      <c r="Q236" s="26"/>
      <c r="R236" s="26"/>
      <c r="S236" s="26"/>
      <c r="T236" s="26"/>
      <c r="U236" s="26"/>
      <c r="V236" s="26"/>
      <c r="W236" s="26">
        <f>MAX($C$9-VLOOKUP($C236,COS!$B$8:$H$991,3,FALSE),0)</f>
        <v>91926.40234375</v>
      </c>
      <c r="X236" s="26">
        <f t="shared" si="347"/>
        <v>5652.3341606404956</v>
      </c>
      <c r="Y236" s="26">
        <f>VLOOKUP($C236,COS!$B$8:$H$991,4,FALSE)</f>
        <v>1148.6480712890625</v>
      </c>
      <c r="Z236" s="26">
        <f t="shared" si="348"/>
        <v>70.627616945377071</v>
      </c>
      <c r="AA236" s="26">
        <f t="shared" si="374"/>
        <v>1148.6480712890625</v>
      </c>
      <c r="AB236" s="33">
        <f t="shared" si="345"/>
        <v>70.627616945377071</v>
      </c>
    </row>
    <row r="237" spans="1:28" x14ac:dyDescent="0.3">
      <c r="A237" s="32">
        <f>VLOOKUP(YEAR(C237),Flags!$A$13:$B$95,2,FALSE)</f>
        <v>2</v>
      </c>
      <c r="B237" s="24">
        <f t="shared" si="328"/>
        <v>1946</v>
      </c>
      <c r="C237" s="25">
        <v>17136</v>
      </c>
      <c r="D237" s="26"/>
      <c r="E237" s="24"/>
      <c r="F237" s="26"/>
      <c r="G237" s="26"/>
      <c r="H237" s="26"/>
      <c r="I237" s="26"/>
      <c r="J237" s="26"/>
      <c r="K237" s="26"/>
      <c r="L237" s="24"/>
      <c r="M237" s="24"/>
      <c r="N237" s="26"/>
      <c r="O237" s="26"/>
      <c r="P237" s="26"/>
      <c r="Q237" s="26"/>
      <c r="R237" s="26"/>
      <c r="S237" s="26"/>
      <c r="T237" s="26"/>
      <c r="U237" s="26"/>
      <c r="V237" s="26"/>
      <c r="W237" s="26">
        <f>MAX($C$10-VLOOKUP($C237,COS!$B$8:$H$991,3,FALSE),0)</f>
        <v>91705.3271484375</v>
      </c>
      <c r="X237" s="26">
        <f t="shared" si="347"/>
        <v>5456.8459129648754</v>
      </c>
      <c r="Y237" s="26">
        <f>VLOOKUP($C237,COS!$B$8:$H$991,4,FALSE)</f>
        <v>1644.781982421875</v>
      </c>
      <c r="Z237" s="26">
        <f t="shared" si="348"/>
        <v>97.871324573863632</v>
      </c>
      <c r="AA237" s="26">
        <f t="shared" si="374"/>
        <v>1644.781982421875</v>
      </c>
      <c r="AB237" s="33">
        <f t="shared" si="345"/>
        <v>97.871324573863632</v>
      </c>
    </row>
    <row r="238" spans="1:28" x14ac:dyDescent="0.3">
      <c r="A238" s="34">
        <f>VLOOKUP(YEAR(C238),Flags!$A$13:$B$95,2,FALSE)</f>
        <v>2</v>
      </c>
      <c r="B238" s="35">
        <f t="shared" si="328"/>
        <v>1946</v>
      </c>
      <c r="C238" s="36">
        <v>17167</v>
      </c>
      <c r="D238" s="37"/>
      <c r="E238" s="35"/>
      <c r="F238" s="37"/>
      <c r="G238" s="37"/>
      <c r="H238" s="37"/>
      <c r="I238" s="37"/>
      <c r="J238" s="37"/>
      <c r="K238" s="37"/>
      <c r="L238" s="35"/>
      <c r="M238" s="35"/>
      <c r="N238" s="37"/>
      <c r="O238" s="37"/>
      <c r="P238" s="37"/>
      <c r="Q238" s="37"/>
      <c r="R238" s="37"/>
      <c r="S238" s="37"/>
      <c r="T238" s="37"/>
      <c r="U238" s="37"/>
      <c r="V238" s="37"/>
      <c r="W238" s="37">
        <f>MAX($C$11-VLOOKUP($C238,COS!$B$8:$H$991,3,FALSE),0)</f>
        <v>96749</v>
      </c>
      <c r="X238" s="37">
        <f t="shared" si="347"/>
        <v>5948.8641322314052</v>
      </c>
      <c r="Y238" s="37">
        <f>VLOOKUP($C238,COS!$B$8:$H$991,4,FALSE)</f>
        <v>0</v>
      </c>
      <c r="Z238" s="37">
        <f t="shared" si="348"/>
        <v>0</v>
      </c>
      <c r="AA238" s="37">
        <f t="shared" si="374"/>
        <v>0</v>
      </c>
      <c r="AB238" s="38">
        <f t="shared" si="345"/>
        <v>0</v>
      </c>
    </row>
    <row r="239" spans="1:28" x14ac:dyDescent="0.3">
      <c r="A239" s="27">
        <f>VLOOKUP(YEAR(C239),Flags!$A$13:$B$95,2,FALSE)</f>
        <v>4</v>
      </c>
      <c r="B239" s="28">
        <f t="shared" si="328"/>
        <v>1947</v>
      </c>
      <c r="C239" s="29">
        <v>17287</v>
      </c>
      <c r="D239" s="30">
        <f>VLOOKUP($C239,COS!$B$8:$H$991,3,FALSE)</f>
        <v>3250</v>
      </c>
      <c r="E239" s="28">
        <f>IF(D239&gt;=IF(MONTH($C239)=4,$C$3,IF(MONTH($C239)=5,$C$4,IF(MONTH($C239)=6,$C$5,IF(MONTH($C239)=7,$C$6,"ERROR")))),1,0)</f>
        <v>0</v>
      </c>
      <c r="F239" s="30">
        <f>VLOOKUP($C239,COS!$B$8:$H$991,7,FALSE)</f>
        <v>51.992382049560547</v>
      </c>
      <c r="G239" s="28">
        <f>IF(F239&lt;=IF(MONTH($C239)=4,$F$3,IF(MONTH($C239)=5,$F$4,IF(MONTH($C239)=6,$F$5,IF(MONTH($C239)=7,$F$6,"ERROR")))),1,0)</f>
        <v>1</v>
      </c>
      <c r="H239" s="30">
        <f>IF(J239=1,D239-$C$3,0)</f>
        <v>0</v>
      </c>
      <c r="I239" s="30">
        <f t="shared" si="342"/>
        <v>0</v>
      </c>
      <c r="J239" s="28">
        <f t="shared" ref="J239:J242" si="377">IF(AND(E239=1,G239=1),1,0)</f>
        <v>0</v>
      </c>
      <c r="K239" s="30">
        <f>VLOOKUP($C239,COS!$B$8:$H$991,2,FALSE)</f>
        <v>3389.9931640625</v>
      </c>
      <c r="L239" s="28">
        <f t="shared" ref="L239" si="378">IF(K239&lt;=IF(MONTH($C239)=4,$I$3,IF(MONTH($C239)=5,$I$4,IF(MONTH($C239)=6,$I$5,IF(MONTH($C239)=7,$I$6,"ERROR")))),1,0)</f>
        <v>1</v>
      </c>
      <c r="M239" s="28">
        <f t="shared" ref="M239" si="379">VLOOKUP($A239,$L$3:$M$7,2,FALSE)</f>
        <v>1</v>
      </c>
      <c r="N239" s="30">
        <f>VLOOKUP($C239,COS!$B$8:$H$991,5,FALSE)</f>
        <v>210.8018798828125</v>
      </c>
      <c r="O239" s="30">
        <f t="shared" ref="O239:O242" si="380">N239*DAY($C239)*86400/43560/1000</f>
        <v>12.543582935175619</v>
      </c>
      <c r="P239" s="30">
        <f>VLOOKUP($C239,COS!$B$8:$H$991,6,FALSE)</f>
        <v>467.46041870117188</v>
      </c>
      <c r="Q239" s="30">
        <f t="shared" ref="Q239:Q242" si="381">P239*DAY($C239)*86400/43560/1000</f>
        <v>27.815826567342459</v>
      </c>
      <c r="R239" s="30">
        <f>MIN(IF(MONTH($C239)=4,$S$3,IF(MONTH($C239)=5,$S$4,IF(MONTH($C239)=6,$S$5,IF(MONTH($C239)=7,$S$6,"ERROR")))),MAX(VLOOKUP($C239,COS!$B$8:$K$991,10,FALSE)-IF(MONTH($C239)=4,$Y$3,IF(MONTH($C239)=5,$Y$4,IF(MONTH($C239)=6,$Y$5,IF(MONTH($C239)=7,$Y$6,"ERROR")))),0),MAX(VLOOKUP($C239,COS!$B$8:$K$991,9,FALSE)-IF(MONTH($C239)=4,$V$3,IF(MONTH($C239)=5,$V$4,IF(MONTH($C239)=6,$V$5,IF(MONTH($C239)=7,$V$6,"ERROR"))))-VLOOKUP($C239,COS!$B$8:$K$991,6,FALSE)/2,0))</f>
        <v>1500</v>
      </c>
      <c r="S239" s="30">
        <f t="shared" ref="S239:S242" si="382">R239*DAY($C239)*86400/43560/1000</f>
        <v>89.256198347107429</v>
      </c>
      <c r="T239" s="30">
        <f t="shared" ref="T239:T242" si="383">(O239+Q239)/2+S239</f>
        <v>109.43590309836647</v>
      </c>
      <c r="U239" s="30" t="str">
        <f>IF(VLOOKUP($C239,COS!$B$8:$I$991,8,FALSE)=1,"UWFE","IBU")</f>
        <v>UWFE</v>
      </c>
      <c r="V239" s="30">
        <f t="shared" ref="V239" si="384">MIN(IF(IF($AA$3=2,AND(E239=1,G239=1,L239=1,L244=1,M239=1,U239="IBU"),AND(E239=1,G239=1,L239=1,L244=1,M239=1)),T239,0),I239)</f>
        <v>0</v>
      </c>
      <c r="W239" s="30"/>
      <c r="X239" s="30"/>
      <c r="Y239" s="30"/>
      <c r="Z239" s="30"/>
      <c r="AA239" s="30"/>
      <c r="AB239" s="31"/>
    </row>
    <row r="240" spans="1:28" x14ac:dyDescent="0.3">
      <c r="A240" s="32">
        <f>VLOOKUP(YEAR(C240),Flags!$A$13:$B$95,2,FALSE)</f>
        <v>4</v>
      </c>
      <c r="B240" s="24">
        <f t="shared" si="328"/>
        <v>1947</v>
      </c>
      <c r="C240" s="25">
        <v>17318</v>
      </c>
      <c r="D240" s="26">
        <f>VLOOKUP($C240,COS!$B$8:$H$991,3,FALSE)</f>
        <v>8656.3466796875</v>
      </c>
      <c r="E240" s="24">
        <f>IF(D240&gt;=IF(MONTH($C240)=4,$C$3,IF(MONTH($C240)=5,$C$4,IF(MONTH($C240)=6,$C$5,IF(MONTH($C240)=7,$C$6,"ERROR")))),1,0)</f>
        <v>1</v>
      </c>
      <c r="F240" s="26">
        <f>VLOOKUP($C240,COS!$B$8:$H$991,7,FALSE)</f>
        <v>50.687347412109375</v>
      </c>
      <c r="G240" s="24">
        <f>IF(F240&lt;=IF(MONTH($C240)=4,$F$3,IF(MONTH($C240)=5,$F$4,IF(MONTH($C240)=6,$F$5,IF(MONTH($C240)=7,$F$6,"ERROR")))),1,0)</f>
        <v>1</v>
      </c>
      <c r="H240" s="26">
        <f>IF(J240=1,D240-$C$4,0)</f>
        <v>2656.3466796875</v>
      </c>
      <c r="I240" s="26">
        <f t="shared" si="342"/>
        <v>163.33239088326445</v>
      </c>
      <c r="J240" s="24">
        <f t="shared" si="377"/>
        <v>1</v>
      </c>
      <c r="K240" s="26">
        <f>VLOOKUP($C240,COS!$B$8:$H$991,2,FALSE)</f>
        <v>3099.48974609375</v>
      </c>
      <c r="L240" s="24">
        <f t="shared" si="333"/>
        <v>1</v>
      </c>
      <c r="M240" s="24">
        <f t="shared" si="334"/>
        <v>1</v>
      </c>
      <c r="N240" s="26">
        <f>VLOOKUP($C240,COS!$B$8:$H$991,5,FALSE)</f>
        <v>304.60684204101563</v>
      </c>
      <c r="O240" s="26">
        <f t="shared" si="380"/>
        <v>18.729544667645918</v>
      </c>
      <c r="P240" s="26">
        <f>VLOOKUP($C240,COS!$B$8:$H$991,6,FALSE)</f>
        <v>2205.62353515625</v>
      </c>
      <c r="Q240" s="26">
        <f t="shared" si="381"/>
        <v>135.61850497159091</v>
      </c>
      <c r="R240" s="26">
        <f>MIN(IF(MONTH($C240)=4,$S$3,IF(MONTH($C240)=5,$S$4,IF(MONTH($C240)=6,$S$5,IF(MONTH($C240)=7,$S$6,"ERROR")))),MAX(VLOOKUP($C240,COS!$B$8:$K$991,10,FALSE)-IF(MONTH($C240)=4,$Y$3,IF(MONTH($C240)=5,$Y$4,IF(MONTH($C240)=6,$Y$5,IF(MONTH($C240)=7,$Y$6,"ERROR")))),0),MAX(VLOOKUP($C240,COS!$B$8:$K$991,9,FALSE)-IF(MONTH($C240)=4,$V$3,IF(MONTH($C240)=5,$V$4,IF(MONTH($C240)=6,$V$5,IF(MONTH($C240)=7,$V$6,"ERROR"))))-VLOOKUP($C240,COS!$B$8:$K$991,6,FALSE)/2,0))</f>
        <v>1500</v>
      </c>
      <c r="S240" s="26">
        <f t="shared" si="382"/>
        <v>92.231404958677686</v>
      </c>
      <c r="T240" s="26">
        <f t="shared" si="383"/>
        <v>169.40542977829608</v>
      </c>
      <c r="U240" s="26" t="str">
        <f>IF(VLOOKUP($C240,COS!$B$8:$I$991,8,FALSE)=1,"UWFE","IBU")</f>
        <v>IBU</v>
      </c>
      <c r="V240" s="26">
        <f t="shared" ref="V240" si="385">MIN(IF(IF($AA$3=2,AND(E240=1,G240=1,L240=1,L244=1,M240=1,U240="IBU"),AND(E240=1,G240=1,L240=1,L244=1,M240=1)),T240,0),I240)</f>
        <v>163.33239088326445</v>
      </c>
      <c r="W240" s="26"/>
      <c r="X240" s="26"/>
      <c r="Y240" s="26"/>
      <c r="Z240" s="26"/>
      <c r="AA240" s="26"/>
      <c r="AB240" s="33"/>
    </row>
    <row r="241" spans="1:28" x14ac:dyDescent="0.3">
      <c r="A241" s="32">
        <f>VLOOKUP(YEAR(C241),Flags!$A$13:$B$95,2,FALSE)</f>
        <v>4</v>
      </c>
      <c r="B241" s="24">
        <f t="shared" si="328"/>
        <v>1947</v>
      </c>
      <c r="C241" s="25">
        <v>17348</v>
      </c>
      <c r="D241" s="26">
        <f>VLOOKUP($C241,COS!$B$8:$H$991,3,FALSE)</f>
        <v>10092.3349609375</v>
      </c>
      <c r="E241" s="24">
        <f>IF(D241&gt;=IF(MONTH($C241)=4,$C$3,IF(MONTH($C241)=5,$C$4,IF(MONTH($C241)=6,$C$5,IF(MONTH($C241)=7,$C$6,"ERROR")))),1,0)</f>
        <v>1</v>
      </c>
      <c r="F241" s="26">
        <f>VLOOKUP($C241,COS!$B$8:$H$991,7,FALSE)</f>
        <v>51.895301818847656</v>
      </c>
      <c r="G241" s="24">
        <f>IF(F241&lt;=IF(MONTH($C241)=4,$F$3,IF(MONTH($C241)=5,$F$4,IF(MONTH($C241)=6,$F$5,IF(MONTH($C241)=7,$F$6,"ERROR")))),1,0)</f>
        <v>1</v>
      </c>
      <c r="H241" s="26">
        <f>IF(J241=1,D241-$C$5,0)</f>
        <v>92.3349609375</v>
      </c>
      <c r="I241" s="26">
        <f t="shared" si="342"/>
        <v>5.4943117252066109</v>
      </c>
      <c r="J241" s="24">
        <f t="shared" si="377"/>
        <v>1</v>
      </c>
      <c r="K241" s="26">
        <f>VLOOKUP($C241,COS!$B$8:$H$991,2,FALSE)</f>
        <v>2880.829833984375</v>
      </c>
      <c r="L241" s="24">
        <f t="shared" si="333"/>
        <v>1</v>
      </c>
      <c r="M241" s="24">
        <f t="shared" si="334"/>
        <v>1</v>
      </c>
      <c r="N241" s="26">
        <f>VLOOKUP($C241,COS!$B$8:$H$991,5,FALSE)</f>
        <v>355.63311767578125</v>
      </c>
      <c r="O241" s="26">
        <f t="shared" si="380"/>
        <v>21.161640060046487</v>
      </c>
      <c r="P241" s="26">
        <f>VLOOKUP($C241,COS!$B$8:$H$991,6,FALSE)</f>
        <v>2534.749267578125</v>
      </c>
      <c r="Q241" s="26">
        <f t="shared" si="381"/>
        <v>150.82805559142562</v>
      </c>
      <c r="R241" s="26">
        <f>MIN(IF(MONTH($C241)=4,$S$3,IF(MONTH($C241)=5,$S$4,IF(MONTH($C241)=6,$S$5,IF(MONTH($C241)=7,$S$6,"ERROR")))),MAX(VLOOKUP($C241,COS!$B$8:$K$991,10,FALSE)-IF(MONTH($C241)=4,$Y$3,IF(MONTH($C241)=5,$Y$4,IF(MONTH($C241)=6,$Y$5,IF(MONTH($C241)=7,$Y$6,"ERROR")))),0),MAX(VLOOKUP($C241,COS!$B$8:$K$991,9,FALSE)-IF(MONTH($C241)=4,$V$3,IF(MONTH($C241)=5,$V$4,IF(MONTH($C241)=6,$V$5,IF(MONTH($C241)=7,$V$6,"ERROR"))))-VLOOKUP($C241,COS!$B$8:$K$991,6,FALSE)/2,0))</f>
        <v>1500</v>
      </c>
      <c r="S241" s="26">
        <f t="shared" si="382"/>
        <v>89.256198347107429</v>
      </c>
      <c r="T241" s="26">
        <f t="shared" si="383"/>
        <v>175.25104617284347</v>
      </c>
      <c r="U241" s="26" t="str">
        <f>IF(VLOOKUP($C241,COS!$B$8:$I$991,8,FALSE)=1,"UWFE","IBU")</f>
        <v>IBU</v>
      </c>
      <c r="V241" s="26">
        <f t="shared" ref="V241" si="386">MIN(IF(IF($AA$3=2,AND(E241=1,G241=1,L241=1,L244=1,M241=1,U241="IBU"),AND(E241=1,G241=1,L241=1,L244=1,M241=1)),T241,0),I241)</f>
        <v>5.4943117252066109</v>
      </c>
      <c r="W241" s="26"/>
      <c r="X241" s="26"/>
      <c r="Y241" s="26"/>
      <c r="Z241" s="26"/>
      <c r="AA241" s="26"/>
      <c r="AB241" s="33"/>
    </row>
    <row r="242" spans="1:28" x14ac:dyDescent="0.3">
      <c r="A242" s="32">
        <f>VLOOKUP(YEAR(C242),Flags!$A$13:$B$95,2,FALSE)</f>
        <v>4</v>
      </c>
      <c r="B242" s="24">
        <f t="shared" si="328"/>
        <v>1947</v>
      </c>
      <c r="C242" s="25">
        <v>17379</v>
      </c>
      <c r="D242" s="26">
        <f>VLOOKUP($C242,COS!$B$8:$H$991,3,FALSE)</f>
        <v>13768.3623046875</v>
      </c>
      <c r="E242" s="24">
        <f>IF(D242&gt;=IF(MONTH($C242)=4,$C$3,IF(MONTH($C242)=5,$C$4,IF(MONTH($C242)=6,$C$5,IF(MONTH($C242)=7,$C$6,"ERROR")))),1,0)</f>
        <v>1</v>
      </c>
      <c r="F242" s="26">
        <f>VLOOKUP($C242,COS!$B$8:$H$991,7,FALSE)</f>
        <v>53.452518463134766</v>
      </c>
      <c r="G242" s="24">
        <f>IF(F242&lt;=IF(MONTH($C242)=4,$F$3,IF(MONTH($C242)=5,$F$4,IF(MONTH($C242)=6,$F$5,IF(MONTH($C242)=7,$F$6,"ERROR")))),1,0)</f>
        <v>1</v>
      </c>
      <c r="H242" s="26">
        <f>IF(J242=1,D242-$C$6,0)</f>
        <v>1768.3623046875</v>
      </c>
      <c r="I242" s="26">
        <f t="shared" si="342"/>
        <v>108.73235989152892</v>
      </c>
      <c r="J242" s="24">
        <f t="shared" si="377"/>
        <v>1</v>
      </c>
      <c r="K242" s="26">
        <f>VLOOKUP($C242,COS!$B$8:$H$991,2,FALSE)</f>
        <v>2415.119140625</v>
      </c>
      <c r="L242" s="24">
        <f t="shared" si="333"/>
        <v>1</v>
      </c>
      <c r="M242" s="24">
        <f t="shared" si="334"/>
        <v>1</v>
      </c>
      <c r="N242" s="26">
        <f>VLOOKUP($C242,COS!$B$8:$H$991,5,FALSE)</f>
        <v>438.732666015625</v>
      </c>
      <c r="O242" s="26">
        <f t="shared" si="380"/>
        <v>26.976620125258265</v>
      </c>
      <c r="P242" s="26">
        <f>VLOOKUP($C242,COS!$B$8:$H$991,6,FALSE)</f>
        <v>2538.07568359375</v>
      </c>
      <c r="Q242" s="26">
        <f t="shared" si="381"/>
        <v>156.06019079287191</v>
      </c>
      <c r="R242" s="26">
        <f>MIN(IF(MONTH($C242)=4,$S$3,IF(MONTH($C242)=5,$S$4,IF(MONTH($C242)=6,$S$5,IF(MONTH($C242)=7,$S$6,"ERROR")))),MAX(VLOOKUP($C242,COS!$B$8:$K$991,10,FALSE)-IF(MONTH($C242)=4,$Y$3,IF(MONTH($C242)=5,$Y$4,IF(MONTH($C242)=6,$Y$5,IF(MONTH($C242)=7,$Y$6,"ERROR")))),0),MAX(VLOOKUP($C242,COS!$B$8:$K$991,9,FALSE)-IF(MONTH($C242)=4,$V$3,IF(MONTH($C242)=5,$V$4,IF(MONTH($C242)=6,$V$5,IF(MONTH($C242)=7,$V$6,"ERROR"))))-VLOOKUP($C242,COS!$B$8:$K$991,6,FALSE)/2,0))</f>
        <v>1500</v>
      </c>
      <c r="S242" s="26">
        <f t="shared" si="382"/>
        <v>92.231404958677686</v>
      </c>
      <c r="T242" s="26">
        <f t="shared" si="383"/>
        <v>183.74981041774276</v>
      </c>
      <c r="U242" s="26" t="str">
        <f>IF(VLOOKUP($C242,COS!$B$8:$I$991,8,FALSE)=1,"UWFE","IBU")</f>
        <v>IBU</v>
      </c>
      <c r="V242" s="26">
        <f t="shared" ref="V242" si="387">MIN(IF(IF($AA$3=2,AND(E242=1,G242=1,L242=1,L244=1,M242=1,U242="IBU"),AND(E242=1,G242=1,L242=1,L244=1,M242=1)),T242,0),I242)</f>
        <v>108.73235989152892</v>
      </c>
      <c r="W242" s="26"/>
      <c r="X242" s="26"/>
      <c r="Y242" s="26"/>
      <c r="Z242" s="26"/>
      <c r="AA242" s="26"/>
      <c r="AB242" s="33"/>
    </row>
    <row r="243" spans="1:28" x14ac:dyDescent="0.3">
      <c r="A243" s="32">
        <f>VLOOKUP(YEAR(C243),Flags!$A$13:$B$95,2,FALSE)</f>
        <v>4</v>
      </c>
      <c r="B243" s="24">
        <f t="shared" si="328"/>
        <v>1947</v>
      </c>
      <c r="C243" s="25">
        <v>17410</v>
      </c>
      <c r="D243" s="26"/>
      <c r="E243" s="24"/>
      <c r="F243" s="26"/>
      <c r="G243" s="24"/>
      <c r="H243" s="24"/>
      <c r="I243" s="26"/>
      <c r="J243" s="24"/>
      <c r="K243" s="26"/>
      <c r="L243" s="24"/>
      <c r="M243" s="24"/>
      <c r="N243" s="26"/>
      <c r="O243" s="26"/>
      <c r="P243" s="26"/>
      <c r="Q243" s="26"/>
      <c r="R243" s="26"/>
      <c r="S243" s="26"/>
      <c r="T243" s="26"/>
      <c r="U243" s="26"/>
      <c r="V243" s="26"/>
      <c r="W243" s="26">
        <f>MAX($C$7-VLOOKUP($C243,COS!$B$8:$H$991,3,FALSE),0)</f>
        <v>90847.5517578125</v>
      </c>
      <c r="X243" s="26">
        <f t="shared" si="347"/>
        <v>5585.9982237861568</v>
      </c>
      <c r="Y243" s="26">
        <f>VLOOKUP($C243,COS!$B$8:$H$991,4,FALSE)</f>
        <v>1509.713623046875</v>
      </c>
      <c r="Z243" s="26">
        <f t="shared" si="348"/>
        <v>92.828672359245871</v>
      </c>
      <c r="AA243" s="26">
        <f t="shared" ref="AA243:AA247" si="388">MIN(W243,Y243)</f>
        <v>1509.713623046875</v>
      </c>
      <c r="AB243" s="33">
        <f t="shared" ref="AB243" si="389">AA243*DAY($C243)*86400/43560/1000*IF(MONTH($C243)=8,$P$3,IF(MONTH($C243)=9,$P$4,IF(MONTH($C243)=10,$P$5,IF(MONTH($C243)=11,$P$6,IF(MONTH($C243)=12,$P$7,NA())))))</f>
        <v>92.828672359245871</v>
      </c>
    </row>
    <row r="244" spans="1:28" x14ac:dyDescent="0.3">
      <c r="A244" s="32">
        <f>VLOOKUP(YEAR(C244),Flags!$A$13:$B$95,2,FALSE)</f>
        <v>4</v>
      </c>
      <c r="B244" s="24">
        <f t="shared" si="328"/>
        <v>1947</v>
      </c>
      <c r="C244" s="25">
        <v>17440</v>
      </c>
      <c r="D244" s="26"/>
      <c r="E244" s="24"/>
      <c r="F244" s="26"/>
      <c r="G244" s="24"/>
      <c r="H244" s="24"/>
      <c r="I244" s="26"/>
      <c r="J244" s="24"/>
      <c r="K244" s="26">
        <f>VLOOKUP($C244,COS!$B$8:$H$991,2,FALSE)</f>
        <v>1968.9127197265625</v>
      </c>
      <c r="L244" s="24">
        <f t="shared" ref="L244" si="390">IF(AND(K244&gt;$I$7,K244&lt;$I$8),1,0)</f>
        <v>1</v>
      </c>
      <c r="M244" s="24"/>
      <c r="N244" s="26"/>
      <c r="O244" s="26"/>
      <c r="P244" s="26"/>
      <c r="Q244" s="26"/>
      <c r="R244" s="26"/>
      <c r="S244" s="26"/>
      <c r="T244" s="26"/>
      <c r="U244" s="26"/>
      <c r="V244" s="26"/>
      <c r="W244" s="26">
        <f>MAX($C$8-VLOOKUP($C244,COS!$B$8:$H$991,3,FALSE),0)</f>
        <v>94272.12744140625</v>
      </c>
      <c r="X244" s="26">
        <f t="shared" si="347"/>
        <v>5609.5811370092979</v>
      </c>
      <c r="Y244" s="26">
        <f>VLOOKUP($C244,COS!$B$8:$H$991,4,FALSE)</f>
        <v>1350.30224609375</v>
      </c>
      <c r="Z244" s="26">
        <f t="shared" si="348"/>
        <v>80.348563403925624</v>
      </c>
      <c r="AA244" s="26">
        <f t="shared" si="388"/>
        <v>1350.30224609375</v>
      </c>
      <c r="AB244" s="33">
        <f t="shared" si="345"/>
        <v>80.348563403925624</v>
      </c>
    </row>
    <row r="245" spans="1:28" x14ac:dyDescent="0.3">
      <c r="A245" s="32">
        <f>VLOOKUP(YEAR(C245),Flags!$A$13:$B$95,2,FALSE)</f>
        <v>4</v>
      </c>
      <c r="B245" s="24">
        <f t="shared" si="328"/>
        <v>1947</v>
      </c>
      <c r="C245" s="25">
        <v>17471</v>
      </c>
      <c r="D245" s="26"/>
      <c r="E245" s="24"/>
      <c r="F245" s="26"/>
      <c r="G245" s="26"/>
      <c r="H245" s="26"/>
      <c r="I245" s="26"/>
      <c r="J245" s="26"/>
      <c r="K245" s="26"/>
      <c r="L245" s="24"/>
      <c r="M245" s="24"/>
      <c r="N245" s="26"/>
      <c r="O245" s="26"/>
      <c r="P245" s="26"/>
      <c r="Q245" s="26"/>
      <c r="R245" s="26"/>
      <c r="S245" s="26"/>
      <c r="T245" s="26"/>
      <c r="U245" s="26"/>
      <c r="V245" s="26"/>
      <c r="W245" s="26">
        <f>MAX($C$9-VLOOKUP($C245,COS!$B$8:$H$991,3,FALSE),0)</f>
        <v>96632.93359375</v>
      </c>
      <c r="X245" s="26">
        <f t="shared" si="347"/>
        <v>5941.7274870867768</v>
      </c>
      <c r="Y245" s="26">
        <f>VLOOKUP($C245,COS!$B$8:$H$991,4,FALSE)</f>
        <v>1046.6112060546875</v>
      </c>
      <c r="Z245" s="26">
        <f t="shared" si="348"/>
        <v>64.353614653279962</v>
      </c>
      <c r="AA245" s="26">
        <f t="shared" si="388"/>
        <v>1046.6112060546875</v>
      </c>
      <c r="AB245" s="33">
        <f t="shared" si="345"/>
        <v>64.353614653279962</v>
      </c>
    </row>
    <row r="246" spans="1:28" x14ac:dyDescent="0.3">
      <c r="A246" s="32">
        <f>VLOOKUP(YEAR(C246),Flags!$A$13:$B$95,2,FALSE)</f>
        <v>4</v>
      </c>
      <c r="B246" s="24">
        <f t="shared" si="328"/>
        <v>1947</v>
      </c>
      <c r="C246" s="25">
        <v>17501</v>
      </c>
      <c r="D246" s="26"/>
      <c r="E246" s="24"/>
      <c r="F246" s="26"/>
      <c r="G246" s="26"/>
      <c r="H246" s="26"/>
      <c r="I246" s="26"/>
      <c r="J246" s="26"/>
      <c r="K246" s="26"/>
      <c r="L246" s="24"/>
      <c r="M246" s="24"/>
      <c r="N246" s="26"/>
      <c r="O246" s="26"/>
      <c r="P246" s="26"/>
      <c r="Q246" s="26"/>
      <c r="R246" s="26"/>
      <c r="S246" s="26"/>
      <c r="T246" s="26"/>
      <c r="U246" s="26"/>
      <c r="V246" s="26"/>
      <c r="W246" s="26">
        <f>MAX($C$10-VLOOKUP($C246,COS!$B$8:$H$991,3,FALSE),0)</f>
        <v>96749</v>
      </c>
      <c r="X246" s="26">
        <f t="shared" si="347"/>
        <v>5756.965289256198</v>
      </c>
      <c r="Y246" s="26">
        <f>VLOOKUP($C246,COS!$B$8:$H$991,4,FALSE)</f>
        <v>1013.9700927734375</v>
      </c>
      <c r="Z246" s="26">
        <f t="shared" si="348"/>
        <v>60.335410479080579</v>
      </c>
      <c r="AA246" s="26">
        <f t="shared" si="388"/>
        <v>1013.9700927734375</v>
      </c>
      <c r="AB246" s="33">
        <f t="shared" si="345"/>
        <v>60.335410479080579</v>
      </c>
    </row>
    <row r="247" spans="1:28" x14ac:dyDescent="0.3">
      <c r="A247" s="34">
        <f>VLOOKUP(YEAR(C247),Flags!$A$13:$B$95,2,FALSE)</f>
        <v>4</v>
      </c>
      <c r="B247" s="35">
        <f t="shared" si="328"/>
        <v>1947</v>
      </c>
      <c r="C247" s="36">
        <v>17532</v>
      </c>
      <c r="D247" s="37"/>
      <c r="E247" s="35"/>
      <c r="F247" s="37"/>
      <c r="G247" s="37"/>
      <c r="H247" s="37"/>
      <c r="I247" s="37"/>
      <c r="J247" s="37"/>
      <c r="K247" s="37"/>
      <c r="L247" s="35"/>
      <c r="M247" s="35"/>
      <c r="N247" s="37"/>
      <c r="O247" s="37"/>
      <c r="P247" s="37"/>
      <c r="Q247" s="37"/>
      <c r="R247" s="37"/>
      <c r="S247" s="37"/>
      <c r="T247" s="37"/>
      <c r="U247" s="37"/>
      <c r="V247" s="37"/>
      <c r="W247" s="37">
        <f>MAX($C$11-VLOOKUP($C247,COS!$B$8:$H$991,3,FALSE),0)</f>
        <v>96749</v>
      </c>
      <c r="X247" s="37">
        <f t="shared" si="347"/>
        <v>5948.8641322314052</v>
      </c>
      <c r="Y247" s="37">
        <f>VLOOKUP($C247,COS!$B$8:$H$991,4,FALSE)</f>
        <v>1615.037353515625</v>
      </c>
      <c r="Z247" s="37">
        <f t="shared" si="348"/>
        <v>99.304776116993807</v>
      </c>
      <c r="AA247" s="37">
        <f t="shared" si="388"/>
        <v>1615.037353515625</v>
      </c>
      <c r="AB247" s="38">
        <f t="shared" si="345"/>
        <v>99.304776116993807</v>
      </c>
    </row>
    <row r="248" spans="1:28" x14ac:dyDescent="0.3">
      <c r="A248" s="27">
        <f>VLOOKUP(YEAR(C248),Flags!$A$13:$B$95,2,FALSE)</f>
        <v>3</v>
      </c>
      <c r="B248" s="28">
        <f t="shared" si="328"/>
        <v>1948</v>
      </c>
      <c r="C248" s="29">
        <v>17653</v>
      </c>
      <c r="D248" s="30">
        <f>VLOOKUP($C248,COS!$B$8:$H$991,3,FALSE)</f>
        <v>3250</v>
      </c>
      <c r="E248" s="28">
        <f>IF(D248&gt;=IF(MONTH($C248)=4,$C$3,IF(MONTH($C248)=5,$C$4,IF(MONTH($C248)=6,$C$5,IF(MONTH($C248)=7,$C$6,"ERROR")))),1,0)</f>
        <v>0</v>
      </c>
      <c r="F248" s="30">
        <f>VLOOKUP($C248,COS!$B$8:$H$991,7,FALSE)</f>
        <v>49.87957763671875</v>
      </c>
      <c r="G248" s="28">
        <f>IF(F248&lt;=IF(MONTH($C248)=4,$F$3,IF(MONTH($C248)=5,$F$4,IF(MONTH($C248)=6,$F$5,IF(MONTH($C248)=7,$F$6,"ERROR")))),1,0)</f>
        <v>1</v>
      </c>
      <c r="H248" s="30">
        <f>IF(J248=1,D248-$C$3,0)</f>
        <v>0</v>
      </c>
      <c r="I248" s="30">
        <f t="shared" si="342"/>
        <v>0</v>
      </c>
      <c r="J248" s="28">
        <f t="shared" ref="J248:J251" si="391">IF(AND(E248=1,G248=1),1,0)</f>
        <v>0</v>
      </c>
      <c r="K248" s="30">
        <f>VLOOKUP($C248,COS!$B$8:$H$991,2,FALSE)</f>
        <v>4304.84423828125</v>
      </c>
      <c r="L248" s="28">
        <f t="shared" ref="L248" si="392">IF(K248&lt;=IF(MONTH($C248)=4,$I$3,IF(MONTH($C248)=5,$I$4,IF(MONTH($C248)=6,$I$5,IF(MONTH($C248)=7,$I$6,"ERROR")))),1,0)</f>
        <v>1</v>
      </c>
      <c r="M248" s="28">
        <f t="shared" ref="M248" si="393">VLOOKUP($A248,$L$3:$M$7,2,FALSE)</f>
        <v>0</v>
      </c>
      <c r="N248" s="30">
        <f>VLOOKUP($C248,COS!$B$8:$H$991,5,FALSE)</f>
        <v>46.918926239013672</v>
      </c>
      <c r="O248" s="30">
        <f t="shared" ref="O248:O251" si="394">N248*DAY($C248)*86400/43560/1000</f>
        <v>2.7918699910818052</v>
      </c>
      <c r="P248" s="30">
        <f>VLOOKUP($C248,COS!$B$8:$H$991,6,FALSE)</f>
        <v>211.80764770507813</v>
      </c>
      <c r="Q248" s="30">
        <f t="shared" ref="Q248:Q251" si="395">P248*DAY($C248)*86400/43560/1000</f>
        <v>12.603430276665806</v>
      </c>
      <c r="R248" s="30">
        <f>MIN(IF(MONTH($C248)=4,$S$3,IF(MONTH($C248)=5,$S$4,IF(MONTH($C248)=6,$S$5,IF(MONTH($C248)=7,$S$6,"ERROR")))),MAX(VLOOKUP($C248,COS!$B$8:$K$991,10,FALSE)-IF(MONTH($C248)=4,$Y$3,IF(MONTH($C248)=5,$Y$4,IF(MONTH($C248)=6,$Y$5,IF(MONTH($C248)=7,$Y$6,"ERROR")))),0),MAX(VLOOKUP($C248,COS!$B$8:$K$991,9,FALSE)-IF(MONTH($C248)=4,$V$3,IF(MONTH($C248)=5,$V$4,IF(MONTH($C248)=6,$V$5,IF(MONTH($C248)=7,$V$6,"ERROR"))))-VLOOKUP($C248,COS!$B$8:$K$991,6,FALSE)/2,0))</f>
        <v>1500</v>
      </c>
      <c r="S248" s="30">
        <f t="shared" ref="S248:S251" si="396">R248*DAY($C248)*86400/43560/1000</f>
        <v>89.256198347107429</v>
      </c>
      <c r="T248" s="30">
        <f t="shared" ref="T248:T251" si="397">(O248+Q248)/2+S248</f>
        <v>96.953848480981236</v>
      </c>
      <c r="U248" s="30" t="str">
        <f>IF(VLOOKUP($C248,COS!$B$8:$I$991,8,FALSE)=1,"UWFE","IBU")</f>
        <v>UWFE</v>
      </c>
      <c r="V248" s="30">
        <f t="shared" ref="V248" si="398">MIN(IF(IF($AA$3=2,AND(E248=1,G248=1,L248=1,L253=1,M248=1,U248="IBU"),AND(E248=1,G248=1,L248=1,L253=1,M248=1)),T248,0),I248)</f>
        <v>0</v>
      </c>
      <c r="W248" s="30"/>
      <c r="X248" s="30"/>
      <c r="Y248" s="30"/>
      <c r="Z248" s="30"/>
      <c r="AA248" s="30"/>
      <c r="AB248" s="31"/>
    </row>
    <row r="249" spans="1:28" x14ac:dyDescent="0.3">
      <c r="A249" s="32">
        <f>VLOOKUP(YEAR(C249),Flags!$A$13:$B$95,2,FALSE)</f>
        <v>3</v>
      </c>
      <c r="B249" s="24">
        <f t="shared" si="328"/>
        <v>1948</v>
      </c>
      <c r="C249" s="25">
        <v>17684</v>
      </c>
      <c r="D249" s="26">
        <f>VLOOKUP($C249,COS!$B$8:$H$991,3,FALSE)</f>
        <v>9188.48046875</v>
      </c>
      <c r="E249" s="24">
        <f>IF(D249&gt;=IF(MONTH($C249)=4,$C$3,IF(MONTH($C249)=5,$C$4,IF(MONTH($C249)=6,$C$5,IF(MONTH($C249)=7,$C$6,"ERROR")))),1,0)</f>
        <v>1</v>
      </c>
      <c r="F249" s="26">
        <f>VLOOKUP($C249,COS!$B$8:$H$991,7,FALSE)</f>
        <v>49.27020263671875</v>
      </c>
      <c r="G249" s="24">
        <f>IF(F249&lt;=IF(MONTH($C249)=4,$F$3,IF(MONTH($C249)=5,$F$4,IF(MONTH($C249)=6,$F$5,IF(MONTH($C249)=7,$F$6,"ERROR")))),1,0)</f>
        <v>1</v>
      </c>
      <c r="H249" s="26">
        <f>IF(J249=1,D249-$C$4,0)</f>
        <v>3188.48046875</v>
      </c>
      <c r="I249" s="26">
        <f t="shared" si="342"/>
        <v>196.05202221074381</v>
      </c>
      <c r="J249" s="24">
        <f t="shared" si="391"/>
        <v>1</v>
      </c>
      <c r="K249" s="26">
        <f>VLOOKUP($C249,COS!$B$8:$H$991,2,FALSE)</f>
        <v>4552</v>
      </c>
      <c r="L249" s="24">
        <f t="shared" si="333"/>
        <v>1</v>
      </c>
      <c r="M249" s="24">
        <f t="shared" si="334"/>
        <v>0</v>
      </c>
      <c r="N249" s="26">
        <f>VLOOKUP($C249,COS!$B$8:$H$991,5,FALSE)</f>
        <v>414.791748046875</v>
      </c>
      <c r="O249" s="26">
        <f t="shared" si="394"/>
        <v>25.50455045841942</v>
      </c>
      <c r="P249" s="26">
        <f>VLOOKUP($C249,COS!$B$8:$H$991,6,FALSE)</f>
        <v>1547.1707763671875</v>
      </c>
      <c r="Q249" s="26">
        <f t="shared" si="395"/>
        <v>95.131822943569219</v>
      </c>
      <c r="R249" s="26">
        <f>MIN(IF(MONTH($C249)=4,$S$3,IF(MONTH($C249)=5,$S$4,IF(MONTH($C249)=6,$S$5,IF(MONTH($C249)=7,$S$6,"ERROR")))),MAX(VLOOKUP($C249,COS!$B$8:$K$991,10,FALSE)-IF(MONTH($C249)=4,$Y$3,IF(MONTH($C249)=5,$Y$4,IF(MONTH($C249)=6,$Y$5,IF(MONTH($C249)=7,$Y$6,"ERROR")))),0),MAX(VLOOKUP($C249,COS!$B$8:$K$991,9,FALSE)-IF(MONTH($C249)=4,$V$3,IF(MONTH($C249)=5,$V$4,IF(MONTH($C249)=6,$V$5,IF(MONTH($C249)=7,$V$6,"ERROR"))))-VLOOKUP($C249,COS!$B$8:$K$991,6,FALSE)/2,0))</f>
        <v>1500</v>
      </c>
      <c r="S249" s="26">
        <f t="shared" si="396"/>
        <v>92.231404958677686</v>
      </c>
      <c r="T249" s="26">
        <f t="shared" si="397"/>
        <v>152.54959165967199</v>
      </c>
      <c r="U249" s="26" t="str">
        <f>IF(VLOOKUP($C249,COS!$B$8:$I$991,8,FALSE)=1,"UWFE","IBU")</f>
        <v>UWFE</v>
      </c>
      <c r="V249" s="26">
        <f t="shared" ref="V249" si="399">MIN(IF(IF($AA$3=2,AND(E249=1,G249=1,L249=1,L253=1,M249=1,U249="IBU"),AND(E249=1,G249=1,L249=1,L253=1,M249=1)),T249,0),I249)</f>
        <v>0</v>
      </c>
      <c r="W249" s="26"/>
      <c r="X249" s="26"/>
      <c r="Y249" s="26"/>
      <c r="Z249" s="26"/>
      <c r="AA249" s="26"/>
      <c r="AB249" s="33"/>
    </row>
    <row r="250" spans="1:28" x14ac:dyDescent="0.3">
      <c r="A250" s="32">
        <f>VLOOKUP(YEAR(C250),Flags!$A$13:$B$95,2,FALSE)</f>
        <v>3</v>
      </c>
      <c r="B250" s="24">
        <f t="shared" si="328"/>
        <v>1948</v>
      </c>
      <c r="C250" s="25">
        <v>17714</v>
      </c>
      <c r="D250" s="26">
        <f>VLOOKUP($C250,COS!$B$8:$H$991,3,FALSE)</f>
        <v>8322.865234375</v>
      </c>
      <c r="E250" s="24">
        <f>IF(D250&gt;=IF(MONTH($C250)=4,$C$3,IF(MONTH($C250)=5,$C$4,IF(MONTH($C250)=6,$C$5,IF(MONTH($C250)=7,$C$6,"ERROR")))),1,0)</f>
        <v>0</v>
      </c>
      <c r="F250" s="26">
        <f>VLOOKUP($C250,COS!$B$8:$H$991,7,FALSE)</f>
        <v>51.372959136962891</v>
      </c>
      <c r="G250" s="24">
        <f>IF(F250&lt;=IF(MONTH($C250)=4,$F$3,IF(MONTH($C250)=5,$F$4,IF(MONTH($C250)=6,$F$5,IF(MONTH($C250)=7,$F$6,"ERROR")))),1,0)</f>
        <v>1</v>
      </c>
      <c r="H250" s="26">
        <f>IF(J250=1,D250-$C$5,0)</f>
        <v>0</v>
      </c>
      <c r="I250" s="26">
        <f t="shared" si="342"/>
        <v>0</v>
      </c>
      <c r="J250" s="24">
        <f t="shared" si="391"/>
        <v>0</v>
      </c>
      <c r="K250" s="26">
        <f>VLOOKUP($C250,COS!$B$8:$H$991,2,FALSE)</f>
        <v>4500</v>
      </c>
      <c r="L250" s="24">
        <f t="shared" si="333"/>
        <v>1</v>
      </c>
      <c r="M250" s="24">
        <f t="shared" si="334"/>
        <v>0</v>
      </c>
      <c r="N250" s="26">
        <f>VLOOKUP($C250,COS!$B$8:$H$991,5,FALSE)</f>
        <v>739.47967529296875</v>
      </c>
      <c r="O250" s="26">
        <f t="shared" si="394"/>
        <v>44.002096381069215</v>
      </c>
      <c r="P250" s="26">
        <f>VLOOKUP($C250,COS!$B$8:$H$991,6,FALSE)</f>
        <v>2358.41552734375</v>
      </c>
      <c r="Q250" s="26">
        <f t="shared" si="395"/>
        <v>140.33546939566114</v>
      </c>
      <c r="R250" s="26">
        <f>MIN(IF(MONTH($C250)=4,$S$3,IF(MONTH($C250)=5,$S$4,IF(MONTH($C250)=6,$S$5,IF(MONTH($C250)=7,$S$6,"ERROR")))),MAX(VLOOKUP($C250,COS!$B$8:$K$991,10,FALSE)-IF(MONTH($C250)=4,$Y$3,IF(MONTH($C250)=5,$Y$4,IF(MONTH($C250)=6,$Y$5,IF(MONTH($C250)=7,$Y$6,"ERROR")))),0),MAX(VLOOKUP($C250,COS!$B$8:$K$991,9,FALSE)-IF(MONTH($C250)=4,$V$3,IF(MONTH($C250)=5,$V$4,IF(MONTH($C250)=6,$V$5,IF(MONTH($C250)=7,$V$6,"ERROR"))))-VLOOKUP($C250,COS!$B$8:$K$991,6,FALSE)/2,0))</f>
        <v>1500</v>
      </c>
      <c r="S250" s="26">
        <f t="shared" si="396"/>
        <v>89.256198347107429</v>
      </c>
      <c r="T250" s="26">
        <f t="shared" si="397"/>
        <v>181.42498123547261</v>
      </c>
      <c r="U250" s="26" t="str">
        <f>IF(VLOOKUP($C250,COS!$B$8:$I$991,8,FALSE)=1,"UWFE","IBU")</f>
        <v>UWFE</v>
      </c>
      <c r="V250" s="26">
        <f t="shared" ref="V250" si="400">MIN(IF(IF($AA$3=2,AND(E250=1,G250=1,L250=1,L253=1,M250=1,U250="IBU"),AND(E250=1,G250=1,L250=1,L253=1,M250=1)),T250,0),I250)</f>
        <v>0</v>
      </c>
      <c r="W250" s="26"/>
      <c r="X250" s="26"/>
      <c r="Y250" s="26"/>
      <c r="Z250" s="26"/>
      <c r="AA250" s="26"/>
      <c r="AB250" s="33"/>
    </row>
    <row r="251" spans="1:28" x14ac:dyDescent="0.3">
      <c r="A251" s="32">
        <f>VLOOKUP(YEAR(C251),Flags!$A$13:$B$95,2,FALSE)</f>
        <v>3</v>
      </c>
      <c r="B251" s="24">
        <f t="shared" si="328"/>
        <v>1948</v>
      </c>
      <c r="C251" s="25">
        <v>17745</v>
      </c>
      <c r="D251" s="26">
        <f>VLOOKUP($C251,COS!$B$8:$H$991,3,FALSE)</f>
        <v>12203.6953125</v>
      </c>
      <c r="E251" s="24">
        <f>IF(D251&gt;=IF(MONTH($C251)=4,$C$3,IF(MONTH($C251)=5,$C$4,IF(MONTH($C251)=6,$C$5,IF(MONTH($C251)=7,$C$6,"ERROR")))),1,0)</f>
        <v>1</v>
      </c>
      <c r="F251" s="26">
        <f>VLOOKUP($C251,COS!$B$8:$H$991,7,FALSE)</f>
        <v>51.679328918457031</v>
      </c>
      <c r="G251" s="24">
        <f>IF(F251&lt;=IF(MONTH($C251)=4,$F$3,IF(MONTH($C251)=5,$F$4,IF(MONTH($C251)=6,$F$5,IF(MONTH($C251)=7,$F$6,"ERROR")))),1,0)</f>
        <v>1</v>
      </c>
      <c r="H251" s="26">
        <f>IF(J251=1,D251-$C$6,0)</f>
        <v>203.6953125</v>
      </c>
      <c r="I251" s="26">
        <f t="shared" si="342"/>
        <v>12.524736570247935</v>
      </c>
      <c r="J251" s="24">
        <f t="shared" si="391"/>
        <v>1</v>
      </c>
      <c r="K251" s="26">
        <f>VLOOKUP($C251,COS!$B$8:$H$991,2,FALSE)</f>
        <v>3932.43017578125</v>
      </c>
      <c r="L251" s="24">
        <f t="shared" si="333"/>
        <v>1</v>
      </c>
      <c r="M251" s="24">
        <f t="shared" si="334"/>
        <v>0</v>
      </c>
      <c r="N251" s="26">
        <f>VLOOKUP($C251,COS!$B$8:$H$991,5,FALSE)</f>
        <v>1057.1549072265625</v>
      </c>
      <c r="O251" s="26">
        <f t="shared" si="394"/>
        <v>65.001921568310948</v>
      </c>
      <c r="P251" s="26">
        <f>VLOOKUP($C251,COS!$B$8:$H$991,6,FALSE)</f>
        <v>2632.5888671875</v>
      </c>
      <c r="Q251" s="26">
        <f t="shared" si="395"/>
        <v>161.87157993285126</v>
      </c>
      <c r="R251" s="26">
        <f>MIN(IF(MONTH($C251)=4,$S$3,IF(MONTH($C251)=5,$S$4,IF(MONTH($C251)=6,$S$5,IF(MONTH($C251)=7,$S$6,"ERROR")))),MAX(VLOOKUP($C251,COS!$B$8:$K$991,10,FALSE)-IF(MONTH($C251)=4,$Y$3,IF(MONTH($C251)=5,$Y$4,IF(MONTH($C251)=6,$Y$5,IF(MONTH($C251)=7,$Y$6,"ERROR")))),0),MAX(VLOOKUP($C251,COS!$B$8:$K$991,9,FALSE)-IF(MONTH($C251)=4,$V$3,IF(MONTH($C251)=5,$V$4,IF(MONTH($C251)=6,$V$5,IF(MONTH($C251)=7,$V$6,"ERROR"))))-VLOOKUP($C251,COS!$B$8:$K$991,6,FALSE)/2,0))</f>
        <v>1500</v>
      </c>
      <c r="S251" s="26">
        <f t="shared" si="396"/>
        <v>92.231404958677686</v>
      </c>
      <c r="T251" s="26">
        <f t="shared" si="397"/>
        <v>205.66815570925877</v>
      </c>
      <c r="U251" s="26" t="str">
        <f>IF(VLOOKUP($C251,COS!$B$8:$I$991,8,FALSE)=1,"UWFE","IBU")</f>
        <v>IBU</v>
      </c>
      <c r="V251" s="26">
        <f t="shared" ref="V251" si="401">MIN(IF(IF($AA$3=2,AND(E251=1,G251=1,L251=1,L253=1,M251=1,U251="IBU"),AND(E251=1,G251=1,L251=1,L253=1,M251=1)),T251,0),I251)</f>
        <v>0</v>
      </c>
      <c r="W251" s="26"/>
      <c r="X251" s="26"/>
      <c r="Y251" s="26"/>
      <c r="Z251" s="26"/>
      <c r="AA251" s="26"/>
      <c r="AB251" s="33"/>
    </row>
    <row r="252" spans="1:28" x14ac:dyDescent="0.3">
      <c r="A252" s="32">
        <f>VLOOKUP(YEAR(C252),Flags!$A$13:$B$95,2,FALSE)</f>
        <v>3</v>
      </c>
      <c r="B252" s="24">
        <f t="shared" si="328"/>
        <v>1948</v>
      </c>
      <c r="C252" s="25">
        <v>17776</v>
      </c>
      <c r="D252" s="26"/>
      <c r="E252" s="24"/>
      <c r="F252" s="26"/>
      <c r="G252" s="24"/>
      <c r="H252" s="24"/>
      <c r="I252" s="26"/>
      <c r="J252" s="24"/>
      <c r="K252" s="26"/>
      <c r="L252" s="24"/>
      <c r="M252" s="24"/>
      <c r="N252" s="26"/>
      <c r="O252" s="26"/>
      <c r="P252" s="26"/>
      <c r="Q252" s="26"/>
      <c r="R252" s="26"/>
      <c r="S252" s="26"/>
      <c r="T252" s="26"/>
      <c r="U252" s="26"/>
      <c r="V252" s="26"/>
      <c r="W252" s="26">
        <f>MAX($C$7-VLOOKUP($C252,COS!$B$8:$H$991,3,FALSE),0)</f>
        <v>90274.7529296875</v>
      </c>
      <c r="X252" s="26">
        <f t="shared" si="347"/>
        <v>5550.7781966683888</v>
      </c>
      <c r="Y252" s="26">
        <f>VLOOKUP($C252,COS!$B$8:$H$991,4,FALSE)</f>
        <v>181.02853393554688</v>
      </c>
      <c r="Z252" s="26">
        <f t="shared" si="348"/>
        <v>11.131010681656766</v>
      </c>
      <c r="AA252" s="26">
        <f t="shared" ref="AA252:AA256" si="402">MIN(W252,Y252)</f>
        <v>181.02853393554688</v>
      </c>
      <c r="AB252" s="33">
        <f t="shared" ref="AB252" si="403">AA252*DAY($C252)*86400/43560/1000*IF(MONTH($C252)=8,$P$3,IF(MONTH($C252)=9,$P$4,IF(MONTH($C252)=10,$P$5,IF(MONTH($C252)=11,$P$6,IF(MONTH($C252)=12,$P$7,NA())))))</f>
        <v>11.131010681656766</v>
      </c>
    </row>
    <row r="253" spans="1:28" x14ac:dyDescent="0.3">
      <c r="A253" s="32">
        <f>VLOOKUP(YEAR(C253),Flags!$A$13:$B$95,2,FALSE)</f>
        <v>3</v>
      </c>
      <c r="B253" s="24">
        <f t="shared" si="328"/>
        <v>1948</v>
      </c>
      <c r="C253" s="25">
        <v>17806</v>
      </c>
      <c r="D253" s="26"/>
      <c r="E253" s="24"/>
      <c r="F253" s="26"/>
      <c r="G253" s="24"/>
      <c r="H253" s="24"/>
      <c r="I253" s="26"/>
      <c r="J253" s="24"/>
      <c r="K253" s="26">
        <f>VLOOKUP($C253,COS!$B$8:$H$991,2,FALSE)</f>
        <v>3400</v>
      </c>
      <c r="L253" s="24">
        <f t="shared" ref="L253" si="404">IF(AND(K253&gt;$I$7,K253&lt;$I$8),1,0)</f>
        <v>1</v>
      </c>
      <c r="M253" s="24"/>
      <c r="N253" s="26"/>
      <c r="O253" s="26"/>
      <c r="P253" s="26"/>
      <c r="Q253" s="26"/>
      <c r="R253" s="26"/>
      <c r="S253" s="26"/>
      <c r="T253" s="26"/>
      <c r="U253" s="26"/>
      <c r="V253" s="26"/>
      <c r="W253" s="26">
        <f>MAX($C$8-VLOOKUP($C253,COS!$B$8:$H$991,3,FALSE),0)</f>
        <v>94375.82568359375</v>
      </c>
      <c r="X253" s="26">
        <f t="shared" si="347"/>
        <v>5615.7516109245862</v>
      </c>
      <c r="Y253" s="26">
        <f>VLOOKUP($C253,COS!$B$8:$H$991,4,FALSE)</f>
        <v>0</v>
      </c>
      <c r="Z253" s="26">
        <f t="shared" si="348"/>
        <v>0</v>
      </c>
      <c r="AA253" s="26">
        <f t="shared" si="402"/>
        <v>0</v>
      </c>
      <c r="AB253" s="33">
        <f t="shared" si="345"/>
        <v>0</v>
      </c>
    </row>
    <row r="254" spans="1:28" x14ac:dyDescent="0.3">
      <c r="A254" s="32">
        <f>VLOOKUP(YEAR(C254),Flags!$A$13:$B$95,2,FALSE)</f>
        <v>3</v>
      </c>
      <c r="B254" s="24">
        <f t="shared" si="328"/>
        <v>1948</v>
      </c>
      <c r="C254" s="25">
        <v>17837</v>
      </c>
      <c r="D254" s="26"/>
      <c r="E254" s="24"/>
      <c r="F254" s="26"/>
      <c r="G254" s="26"/>
      <c r="H254" s="26"/>
      <c r="I254" s="26"/>
      <c r="J254" s="26"/>
      <c r="K254" s="26"/>
      <c r="L254" s="24"/>
      <c r="M254" s="24"/>
      <c r="N254" s="26"/>
      <c r="O254" s="26"/>
      <c r="P254" s="26"/>
      <c r="Q254" s="26"/>
      <c r="R254" s="26"/>
      <c r="S254" s="26"/>
      <c r="T254" s="26"/>
      <c r="U254" s="26"/>
      <c r="V254" s="26"/>
      <c r="W254" s="26">
        <f>MAX($C$9-VLOOKUP($C254,COS!$B$8:$H$991,3,FALSE),0)</f>
        <v>93532.60888671875</v>
      </c>
      <c r="X254" s="26">
        <f t="shared" si="347"/>
        <v>5751.0959513817152</v>
      </c>
      <c r="Y254" s="26">
        <f>VLOOKUP($C254,COS!$B$8:$H$991,4,FALSE)</f>
        <v>756.62615966796875</v>
      </c>
      <c r="Z254" s="26">
        <f t="shared" si="348"/>
        <v>46.523129156443694</v>
      </c>
      <c r="AA254" s="26">
        <f t="shared" si="402"/>
        <v>756.62615966796875</v>
      </c>
      <c r="AB254" s="33">
        <f t="shared" si="345"/>
        <v>46.523129156443694</v>
      </c>
    </row>
    <row r="255" spans="1:28" x14ac:dyDescent="0.3">
      <c r="A255" s="32">
        <f>VLOOKUP(YEAR(C255),Flags!$A$13:$B$95,2,FALSE)</f>
        <v>3</v>
      </c>
      <c r="B255" s="24">
        <f t="shared" si="328"/>
        <v>1948</v>
      </c>
      <c r="C255" s="25">
        <v>17867</v>
      </c>
      <c r="D255" s="26"/>
      <c r="E255" s="24"/>
      <c r="F255" s="26"/>
      <c r="G255" s="26"/>
      <c r="H255" s="26"/>
      <c r="I255" s="26"/>
      <c r="J255" s="26"/>
      <c r="K255" s="26"/>
      <c r="L255" s="24"/>
      <c r="M255" s="24"/>
      <c r="N255" s="26"/>
      <c r="O255" s="26"/>
      <c r="P255" s="26"/>
      <c r="Q255" s="26"/>
      <c r="R255" s="26"/>
      <c r="S255" s="26"/>
      <c r="T255" s="26"/>
      <c r="U255" s="26"/>
      <c r="V255" s="26"/>
      <c r="W255" s="26">
        <f>MAX($C$10-VLOOKUP($C255,COS!$B$8:$H$991,3,FALSE),0)</f>
        <v>95683.03125</v>
      </c>
      <c r="X255" s="26">
        <f t="shared" si="347"/>
        <v>5693.5357438016526</v>
      </c>
      <c r="Y255" s="26">
        <f>VLOOKUP($C255,COS!$B$8:$H$991,4,FALSE)</f>
        <v>1042.5562744140625</v>
      </c>
      <c r="Z255" s="26">
        <f t="shared" si="348"/>
        <v>62.036406411415285</v>
      </c>
      <c r="AA255" s="26">
        <f t="shared" si="402"/>
        <v>1042.5562744140625</v>
      </c>
      <c r="AB255" s="33">
        <f t="shared" si="345"/>
        <v>62.036406411415285</v>
      </c>
    </row>
    <row r="256" spans="1:28" x14ac:dyDescent="0.3">
      <c r="A256" s="34">
        <f>VLOOKUP(YEAR(C256),Flags!$A$13:$B$95,2,FALSE)</f>
        <v>3</v>
      </c>
      <c r="B256" s="35">
        <f t="shared" si="328"/>
        <v>1948</v>
      </c>
      <c r="C256" s="36">
        <v>17898</v>
      </c>
      <c r="D256" s="37"/>
      <c r="E256" s="35"/>
      <c r="F256" s="37"/>
      <c r="G256" s="37"/>
      <c r="H256" s="37"/>
      <c r="I256" s="37"/>
      <c r="J256" s="37"/>
      <c r="K256" s="37"/>
      <c r="L256" s="35"/>
      <c r="M256" s="35"/>
      <c r="N256" s="37"/>
      <c r="O256" s="37"/>
      <c r="P256" s="37"/>
      <c r="Q256" s="37"/>
      <c r="R256" s="37"/>
      <c r="S256" s="37"/>
      <c r="T256" s="37"/>
      <c r="U256" s="37"/>
      <c r="V256" s="37"/>
      <c r="W256" s="37">
        <f>MAX($C$11-VLOOKUP($C256,COS!$B$8:$H$991,3,FALSE),0)</f>
        <v>96749</v>
      </c>
      <c r="X256" s="37">
        <f t="shared" si="347"/>
        <v>5948.8641322314052</v>
      </c>
      <c r="Y256" s="37">
        <f>VLOOKUP($C256,COS!$B$8:$H$991,4,FALSE)</f>
        <v>1411.7911376953125</v>
      </c>
      <c r="Z256" s="37">
        <f t="shared" si="348"/>
        <v>86.807653425232431</v>
      </c>
      <c r="AA256" s="37">
        <f t="shared" si="402"/>
        <v>1411.7911376953125</v>
      </c>
      <c r="AB256" s="38">
        <f t="shared" si="345"/>
        <v>86.807653425232431</v>
      </c>
    </row>
    <row r="257" spans="1:28" x14ac:dyDescent="0.3">
      <c r="A257" s="27">
        <f>VLOOKUP(YEAR(C257),Flags!$A$13:$B$95,2,FALSE)</f>
        <v>4</v>
      </c>
      <c r="B257" s="28">
        <f t="shared" si="328"/>
        <v>1949</v>
      </c>
      <c r="C257" s="29">
        <v>18018</v>
      </c>
      <c r="D257" s="30">
        <f>VLOOKUP($C257,COS!$B$8:$H$991,3,FALSE)</f>
        <v>3250</v>
      </c>
      <c r="E257" s="28">
        <f>IF(D257&gt;=IF(MONTH($C257)=4,$C$3,IF(MONTH($C257)=5,$C$4,IF(MONTH($C257)=6,$C$5,IF(MONTH($C257)=7,$C$6,"ERROR")))),1,0)</f>
        <v>0</v>
      </c>
      <c r="F257" s="30">
        <f>VLOOKUP($C257,COS!$B$8:$H$991,7,FALSE)</f>
        <v>51.698932647705078</v>
      </c>
      <c r="G257" s="28">
        <f>IF(F257&lt;=IF(MONTH($C257)=4,$F$3,IF(MONTH($C257)=5,$F$4,IF(MONTH($C257)=6,$F$5,IF(MONTH($C257)=7,$F$6,"ERROR")))),1,0)</f>
        <v>1</v>
      </c>
      <c r="H257" s="30">
        <f>IF(J257=1,D257-$C$3,0)</f>
        <v>0</v>
      </c>
      <c r="I257" s="30">
        <f t="shared" si="342"/>
        <v>0</v>
      </c>
      <c r="J257" s="28">
        <f t="shared" ref="J257:J260" si="405">IF(AND(E257=1,G257=1),1,0)</f>
        <v>0</v>
      </c>
      <c r="K257" s="30">
        <f>VLOOKUP($C257,COS!$B$8:$H$991,2,FALSE)</f>
        <v>4435.89990234375</v>
      </c>
      <c r="L257" s="28">
        <f t="shared" ref="L257" si="406">IF(K257&lt;=IF(MONTH($C257)=4,$I$3,IF(MONTH($C257)=5,$I$4,IF(MONTH($C257)=6,$I$5,IF(MONTH($C257)=7,$I$6,"ERROR")))),1,0)</f>
        <v>1</v>
      </c>
      <c r="M257" s="28">
        <f t="shared" ref="M257" si="407">VLOOKUP($A257,$L$3:$M$7,2,FALSE)</f>
        <v>1</v>
      </c>
      <c r="N257" s="30">
        <f>VLOOKUP($C257,COS!$B$8:$H$991,5,FALSE)</f>
        <v>261.805908203125</v>
      </c>
      <c r="O257" s="30">
        <f t="shared" ref="O257:O260" si="408">N257*DAY($C257)*86400/43560/1000</f>
        <v>15.578533380681819</v>
      </c>
      <c r="P257" s="30">
        <f>VLOOKUP($C257,COS!$B$8:$H$991,6,FALSE)</f>
        <v>454.90377807617188</v>
      </c>
      <c r="Q257" s="30">
        <f t="shared" ref="Q257:Q260" si="409">P257*DAY($C257)*86400/43560/1000</f>
        <v>27.068654563210227</v>
      </c>
      <c r="R257" s="30">
        <f>MIN(IF(MONTH($C257)=4,$S$3,IF(MONTH($C257)=5,$S$4,IF(MONTH($C257)=6,$S$5,IF(MONTH($C257)=7,$S$6,"ERROR")))),MAX(VLOOKUP($C257,COS!$B$8:$K$991,10,FALSE)-IF(MONTH($C257)=4,$Y$3,IF(MONTH($C257)=5,$Y$4,IF(MONTH($C257)=6,$Y$5,IF(MONTH($C257)=7,$Y$6,"ERROR")))),0),MAX(VLOOKUP($C257,COS!$B$8:$K$991,9,FALSE)-IF(MONTH($C257)=4,$V$3,IF(MONTH($C257)=5,$V$4,IF(MONTH($C257)=6,$V$5,IF(MONTH($C257)=7,$V$6,"ERROR"))))-VLOOKUP($C257,COS!$B$8:$K$991,6,FALSE)/2,0))</f>
        <v>1500</v>
      </c>
      <c r="S257" s="30">
        <f t="shared" ref="S257:S260" si="410">R257*DAY($C257)*86400/43560/1000</f>
        <v>89.256198347107429</v>
      </c>
      <c r="T257" s="30">
        <f t="shared" ref="T257:T260" si="411">(O257+Q257)/2+S257</f>
        <v>110.57979231905345</v>
      </c>
      <c r="U257" s="30" t="str">
        <f>IF(VLOOKUP($C257,COS!$B$8:$I$991,8,FALSE)=1,"UWFE","IBU")</f>
        <v>UWFE</v>
      </c>
      <c r="V257" s="30">
        <f t="shared" ref="V257" si="412">MIN(IF(IF($AA$3=2,AND(E257=1,G257=1,L257=1,L262=1,M257=1,U257="IBU"),AND(E257=1,G257=1,L257=1,L262=1,M257=1)),T257,0),I257)</f>
        <v>0</v>
      </c>
      <c r="W257" s="30"/>
      <c r="X257" s="30"/>
      <c r="Y257" s="30"/>
      <c r="Z257" s="30"/>
      <c r="AA257" s="30"/>
      <c r="AB257" s="31"/>
    </row>
    <row r="258" spans="1:28" x14ac:dyDescent="0.3">
      <c r="A258" s="32">
        <f>VLOOKUP(YEAR(C258),Flags!$A$13:$B$95,2,FALSE)</f>
        <v>4</v>
      </c>
      <c r="B258" s="24">
        <f t="shared" si="328"/>
        <v>1949</v>
      </c>
      <c r="C258" s="25">
        <v>18049</v>
      </c>
      <c r="D258" s="26">
        <f>VLOOKUP($C258,COS!$B$8:$H$991,3,FALSE)</f>
        <v>6600.49267578125</v>
      </c>
      <c r="E258" s="24">
        <f>IF(D258&gt;=IF(MONTH($C258)=4,$C$3,IF(MONTH($C258)=5,$C$4,IF(MONTH($C258)=6,$C$5,IF(MONTH($C258)=7,$C$6,"ERROR")))),1,0)</f>
        <v>1</v>
      </c>
      <c r="F258" s="26">
        <f>VLOOKUP($C258,COS!$B$8:$H$991,7,FALSE)</f>
        <v>50.530754089355469</v>
      </c>
      <c r="G258" s="24">
        <f>IF(F258&lt;=IF(MONTH($C258)=4,$F$3,IF(MONTH($C258)=5,$F$4,IF(MONTH($C258)=6,$F$5,IF(MONTH($C258)=7,$F$6,"ERROR")))),1,0)</f>
        <v>1</v>
      </c>
      <c r="H258" s="26">
        <f>IF(J258=1,D258-$C$4,0)</f>
        <v>600.49267578125</v>
      </c>
      <c r="I258" s="26">
        <f t="shared" si="342"/>
        <v>36.922855436466939</v>
      </c>
      <c r="J258" s="24">
        <f t="shared" si="405"/>
        <v>1</v>
      </c>
      <c r="K258" s="26">
        <f>VLOOKUP($C258,COS!$B$8:$H$991,2,FALSE)</f>
        <v>4429.88037109375</v>
      </c>
      <c r="L258" s="24">
        <f t="shared" si="333"/>
        <v>1</v>
      </c>
      <c r="M258" s="24">
        <f t="shared" si="334"/>
        <v>1</v>
      </c>
      <c r="N258" s="26">
        <f>VLOOKUP($C258,COS!$B$8:$H$991,5,FALSE)</f>
        <v>565.04315185546875</v>
      </c>
      <c r="O258" s="26">
        <f t="shared" si="408"/>
        <v>34.743149171939564</v>
      </c>
      <c r="P258" s="26">
        <f>VLOOKUP($C258,COS!$B$8:$H$991,6,FALSE)</f>
        <v>2066.162353515625</v>
      </c>
      <c r="Q258" s="26">
        <f t="shared" si="409"/>
        <v>127.04337115831612</v>
      </c>
      <c r="R258" s="26">
        <f>MIN(IF(MONTH($C258)=4,$S$3,IF(MONTH($C258)=5,$S$4,IF(MONTH($C258)=6,$S$5,IF(MONTH($C258)=7,$S$6,"ERROR")))),MAX(VLOOKUP($C258,COS!$B$8:$K$991,10,FALSE)-IF(MONTH($C258)=4,$Y$3,IF(MONTH($C258)=5,$Y$4,IF(MONTH($C258)=6,$Y$5,IF(MONTH($C258)=7,$Y$6,"ERROR")))),0),MAX(VLOOKUP($C258,COS!$B$8:$K$991,9,FALSE)-IF(MONTH($C258)=4,$V$3,IF(MONTH($C258)=5,$V$4,IF(MONTH($C258)=6,$V$5,IF(MONTH($C258)=7,$V$6,"ERROR"))))-VLOOKUP($C258,COS!$B$8:$K$991,6,FALSE)/2,0))</f>
        <v>1500</v>
      </c>
      <c r="S258" s="26">
        <f t="shared" si="410"/>
        <v>92.231404958677686</v>
      </c>
      <c r="T258" s="26">
        <f t="shared" si="411"/>
        <v>173.12466512380553</v>
      </c>
      <c r="U258" s="26" t="str">
        <f>IF(VLOOKUP($C258,COS!$B$8:$I$991,8,FALSE)=1,"UWFE","IBU")</f>
        <v>UWFE</v>
      </c>
      <c r="V258" s="26">
        <f t="shared" ref="V258" si="413">MIN(IF(IF($AA$3=2,AND(E258=1,G258=1,L258=1,L262=1,M258=1,U258="IBU"),AND(E258=1,G258=1,L258=1,L262=1,M258=1)),T258,0),I258)</f>
        <v>0</v>
      </c>
      <c r="W258" s="26"/>
      <c r="X258" s="26"/>
      <c r="Y258" s="26"/>
      <c r="Z258" s="26"/>
      <c r="AA258" s="26"/>
      <c r="AB258" s="33"/>
    </row>
    <row r="259" spans="1:28" x14ac:dyDescent="0.3">
      <c r="A259" s="32">
        <f>VLOOKUP(YEAR(C259),Flags!$A$13:$B$95,2,FALSE)</f>
        <v>4</v>
      </c>
      <c r="B259" s="24">
        <f t="shared" si="328"/>
        <v>1949</v>
      </c>
      <c r="C259" s="25">
        <v>18079</v>
      </c>
      <c r="D259" s="26">
        <f>VLOOKUP($C259,COS!$B$8:$H$991,3,FALSE)</f>
        <v>9891.2216796875</v>
      </c>
      <c r="E259" s="24">
        <f>IF(D259&gt;=IF(MONTH($C259)=4,$C$3,IF(MONTH($C259)=5,$C$4,IF(MONTH($C259)=6,$C$5,IF(MONTH($C259)=7,$C$6,"ERROR")))),1,0)</f>
        <v>0</v>
      </c>
      <c r="F259" s="26">
        <f>VLOOKUP($C259,COS!$B$8:$H$991,7,FALSE)</f>
        <v>51.359127044677734</v>
      </c>
      <c r="G259" s="24">
        <f>IF(F259&lt;=IF(MONTH($C259)=4,$F$3,IF(MONTH($C259)=5,$F$4,IF(MONTH($C259)=6,$F$5,IF(MONTH($C259)=7,$F$6,"ERROR")))),1,0)</f>
        <v>1</v>
      </c>
      <c r="H259" s="26">
        <f>IF(J259=1,D259-$C$5,0)</f>
        <v>0</v>
      </c>
      <c r="I259" s="26">
        <f t="shared" si="342"/>
        <v>0</v>
      </c>
      <c r="J259" s="24">
        <f t="shared" si="405"/>
        <v>0</v>
      </c>
      <c r="K259" s="26">
        <f>VLOOKUP($C259,COS!$B$8:$H$991,2,FALSE)</f>
        <v>4039.34130859375</v>
      </c>
      <c r="L259" s="24">
        <f t="shared" si="333"/>
        <v>1</v>
      </c>
      <c r="M259" s="24">
        <f t="shared" si="334"/>
        <v>1</v>
      </c>
      <c r="N259" s="26">
        <f>VLOOKUP($C259,COS!$B$8:$H$991,5,FALSE)</f>
        <v>696.944580078125</v>
      </c>
      <c r="O259" s="26">
        <f t="shared" si="408"/>
        <v>41.47108245092975</v>
      </c>
      <c r="P259" s="26">
        <f>VLOOKUP($C259,COS!$B$8:$H$991,6,FALSE)</f>
        <v>2712.6806640625</v>
      </c>
      <c r="Q259" s="26">
        <f t="shared" si="409"/>
        <v>161.41570893595042</v>
      </c>
      <c r="R259" s="26">
        <f>MIN(IF(MONTH($C259)=4,$S$3,IF(MONTH($C259)=5,$S$4,IF(MONTH($C259)=6,$S$5,IF(MONTH($C259)=7,$S$6,"ERROR")))),MAX(VLOOKUP($C259,COS!$B$8:$K$991,10,FALSE)-IF(MONTH($C259)=4,$Y$3,IF(MONTH($C259)=5,$Y$4,IF(MONTH($C259)=6,$Y$5,IF(MONTH($C259)=7,$Y$6,"ERROR")))),0),MAX(VLOOKUP($C259,COS!$B$8:$K$991,9,FALSE)-IF(MONTH($C259)=4,$V$3,IF(MONTH($C259)=5,$V$4,IF(MONTH($C259)=6,$V$5,IF(MONTH($C259)=7,$V$6,"ERROR"))))-VLOOKUP($C259,COS!$B$8:$K$991,6,FALSE)/2,0))</f>
        <v>1500</v>
      </c>
      <c r="S259" s="26">
        <f t="shared" si="410"/>
        <v>89.256198347107429</v>
      </c>
      <c r="T259" s="26">
        <f t="shared" si="411"/>
        <v>190.69959404054751</v>
      </c>
      <c r="U259" s="26" t="str">
        <f>IF(VLOOKUP($C259,COS!$B$8:$I$991,8,FALSE)=1,"UWFE","IBU")</f>
        <v>IBU</v>
      </c>
      <c r="V259" s="26">
        <f t="shared" ref="V259" si="414">MIN(IF(IF($AA$3=2,AND(E259=1,G259=1,L259=1,L262=1,M259=1,U259="IBU"),AND(E259=1,G259=1,L259=1,L262=1,M259=1)),T259,0),I259)</f>
        <v>0</v>
      </c>
      <c r="W259" s="26"/>
      <c r="X259" s="26"/>
      <c r="Y259" s="26"/>
      <c r="Z259" s="26"/>
      <c r="AA259" s="26"/>
      <c r="AB259" s="33"/>
    </row>
    <row r="260" spans="1:28" x14ac:dyDescent="0.3">
      <c r="A260" s="32">
        <f>VLOOKUP(YEAR(C260),Flags!$A$13:$B$95,2,FALSE)</f>
        <v>4</v>
      </c>
      <c r="B260" s="24">
        <f t="shared" si="328"/>
        <v>1949</v>
      </c>
      <c r="C260" s="25">
        <v>18110</v>
      </c>
      <c r="D260" s="26">
        <f>VLOOKUP($C260,COS!$B$8:$H$991,3,FALSE)</f>
        <v>14543.4052734375</v>
      </c>
      <c r="E260" s="24">
        <f>IF(D260&gt;=IF(MONTH($C260)=4,$C$3,IF(MONTH($C260)=5,$C$4,IF(MONTH($C260)=6,$C$5,IF(MONTH($C260)=7,$C$6,"ERROR")))),1,0)</f>
        <v>1</v>
      </c>
      <c r="F260" s="26">
        <f>VLOOKUP($C260,COS!$B$8:$H$991,7,FALSE)</f>
        <v>50.889629364013672</v>
      </c>
      <c r="G260" s="24">
        <f>IF(F260&lt;=IF(MONTH($C260)=4,$F$3,IF(MONTH($C260)=5,$F$4,IF(MONTH($C260)=6,$F$5,IF(MONTH($C260)=7,$F$6,"ERROR")))),1,0)</f>
        <v>1</v>
      </c>
      <c r="H260" s="26">
        <f>IF(J260=1,D260-$C$6,0)</f>
        <v>2543.4052734375</v>
      </c>
      <c r="I260" s="26">
        <f t="shared" si="342"/>
        <v>156.38789449896694</v>
      </c>
      <c r="J260" s="24">
        <f t="shared" si="405"/>
        <v>1</v>
      </c>
      <c r="K260" s="26">
        <f>VLOOKUP($C260,COS!$B$8:$H$991,2,FALSE)</f>
        <v>3385.65673828125</v>
      </c>
      <c r="L260" s="24">
        <f t="shared" si="333"/>
        <v>1</v>
      </c>
      <c r="M260" s="24">
        <f t="shared" si="334"/>
        <v>1</v>
      </c>
      <c r="N260" s="26">
        <f>VLOOKUP($C260,COS!$B$8:$H$991,5,FALSE)</f>
        <v>761.88348388671875</v>
      </c>
      <c r="O260" s="26">
        <f t="shared" si="408"/>
        <v>46.846389422456092</v>
      </c>
      <c r="P260" s="26">
        <f>VLOOKUP($C260,COS!$B$8:$H$991,6,FALSE)</f>
        <v>2538.07568359375</v>
      </c>
      <c r="Q260" s="26">
        <f t="shared" si="409"/>
        <v>156.06019079287191</v>
      </c>
      <c r="R260" s="26">
        <f>MIN(IF(MONTH($C260)=4,$S$3,IF(MONTH($C260)=5,$S$4,IF(MONTH($C260)=6,$S$5,IF(MONTH($C260)=7,$S$6,"ERROR")))),MAX(VLOOKUP($C260,COS!$B$8:$K$991,10,FALSE)-IF(MONTH($C260)=4,$Y$3,IF(MONTH($C260)=5,$Y$4,IF(MONTH($C260)=6,$Y$5,IF(MONTH($C260)=7,$Y$6,"ERROR")))),0),MAX(VLOOKUP($C260,COS!$B$8:$K$991,9,FALSE)-IF(MONTH($C260)=4,$V$3,IF(MONTH($C260)=5,$V$4,IF(MONTH($C260)=6,$V$5,IF(MONTH($C260)=7,$V$6,"ERROR"))))-VLOOKUP($C260,COS!$B$8:$K$991,6,FALSE)/2,0))</f>
        <v>1500</v>
      </c>
      <c r="S260" s="26">
        <f t="shared" si="410"/>
        <v>92.231404958677686</v>
      </c>
      <c r="T260" s="26">
        <f t="shared" si="411"/>
        <v>193.6846950663417</v>
      </c>
      <c r="U260" s="26" t="str">
        <f>IF(VLOOKUP($C260,COS!$B$8:$I$991,8,FALSE)=1,"UWFE","IBU")</f>
        <v>IBU</v>
      </c>
      <c r="V260" s="26">
        <f t="shared" ref="V260" si="415">MIN(IF(IF($AA$3=2,AND(E260=1,G260=1,L260=1,L262=1,M260=1,U260="IBU"),AND(E260=1,G260=1,L260=1,L262=1,M260=1)),T260,0),I260)</f>
        <v>156.38789449896694</v>
      </c>
      <c r="W260" s="26"/>
      <c r="X260" s="26"/>
      <c r="Y260" s="26"/>
      <c r="Z260" s="26"/>
      <c r="AA260" s="26"/>
      <c r="AB260" s="33"/>
    </row>
    <row r="261" spans="1:28" x14ac:dyDescent="0.3">
      <c r="A261" s="32">
        <f>VLOOKUP(YEAR(C261),Flags!$A$13:$B$95,2,FALSE)</f>
        <v>4</v>
      </c>
      <c r="B261" s="24">
        <f t="shared" si="328"/>
        <v>1949</v>
      </c>
      <c r="C261" s="25">
        <v>18141</v>
      </c>
      <c r="D261" s="26"/>
      <c r="E261" s="24"/>
      <c r="F261" s="26"/>
      <c r="G261" s="24"/>
      <c r="H261" s="24"/>
      <c r="I261" s="26"/>
      <c r="J261" s="24"/>
      <c r="K261" s="26"/>
      <c r="L261" s="24"/>
      <c r="M261" s="24"/>
      <c r="N261" s="26"/>
      <c r="O261" s="26"/>
      <c r="P261" s="26"/>
      <c r="Q261" s="26"/>
      <c r="R261" s="26"/>
      <c r="S261" s="26"/>
      <c r="T261" s="26"/>
      <c r="U261" s="26"/>
      <c r="V261" s="26"/>
      <c r="W261" s="26">
        <f>MAX($C$7-VLOOKUP($C261,COS!$B$8:$H$991,3,FALSE),0)</f>
        <v>90977.3701171875</v>
      </c>
      <c r="X261" s="26">
        <f t="shared" si="347"/>
        <v>5593.9804435692149</v>
      </c>
      <c r="Y261" s="26">
        <f>VLOOKUP($C261,COS!$B$8:$H$991,4,FALSE)</f>
        <v>2030.735107421875</v>
      </c>
      <c r="Z261" s="26">
        <f t="shared" si="348"/>
        <v>124.86503470428718</v>
      </c>
      <c r="AA261" s="26">
        <f t="shared" ref="AA261:AA265" si="416">MIN(W261,Y261)</f>
        <v>2030.735107421875</v>
      </c>
      <c r="AB261" s="33">
        <f t="shared" ref="AB261" si="417">AA261*DAY($C261)*86400/43560/1000*IF(MONTH($C261)=8,$P$3,IF(MONTH($C261)=9,$P$4,IF(MONTH($C261)=10,$P$5,IF(MONTH($C261)=11,$P$6,IF(MONTH($C261)=12,$P$7,NA())))))</f>
        <v>124.86503470428718</v>
      </c>
    </row>
    <row r="262" spans="1:28" x14ac:dyDescent="0.3">
      <c r="A262" s="32">
        <f>VLOOKUP(YEAR(C262),Flags!$A$13:$B$95,2,FALSE)</f>
        <v>4</v>
      </c>
      <c r="B262" s="24">
        <f t="shared" si="328"/>
        <v>1949</v>
      </c>
      <c r="C262" s="25">
        <v>18171</v>
      </c>
      <c r="D262" s="26"/>
      <c r="E262" s="24"/>
      <c r="F262" s="26"/>
      <c r="G262" s="24"/>
      <c r="H262" s="24"/>
      <c r="I262" s="26"/>
      <c r="J262" s="24"/>
      <c r="K262" s="26">
        <f>VLOOKUP($C262,COS!$B$8:$H$991,2,FALSE)</f>
        <v>3001.73291015625</v>
      </c>
      <c r="L262" s="24">
        <f t="shared" ref="L262" si="418">IF(AND(K262&gt;$I$7,K262&lt;$I$8),1,0)</f>
        <v>1</v>
      </c>
      <c r="M262" s="24"/>
      <c r="N262" s="26"/>
      <c r="O262" s="26"/>
      <c r="P262" s="26"/>
      <c r="Q262" s="26"/>
      <c r="R262" s="26"/>
      <c r="S262" s="26"/>
      <c r="T262" s="26"/>
      <c r="U262" s="26"/>
      <c r="V262" s="26"/>
      <c r="W262" s="26">
        <f>MAX($C$8-VLOOKUP($C262,COS!$B$8:$H$991,3,FALSE),0)</f>
        <v>94939.001953125</v>
      </c>
      <c r="X262" s="26">
        <f t="shared" si="347"/>
        <v>5649.2629261363636</v>
      </c>
      <c r="Y262" s="26">
        <f>VLOOKUP($C262,COS!$B$8:$H$991,4,FALSE)</f>
        <v>1015.7754516601563</v>
      </c>
      <c r="Z262" s="26">
        <f t="shared" si="348"/>
        <v>60.442836793001035</v>
      </c>
      <c r="AA262" s="26">
        <f t="shared" si="416"/>
        <v>1015.7754516601563</v>
      </c>
      <c r="AB262" s="33">
        <f t="shared" si="345"/>
        <v>60.442836793001035</v>
      </c>
    </row>
    <row r="263" spans="1:28" x14ac:dyDescent="0.3">
      <c r="A263" s="32">
        <f>VLOOKUP(YEAR(C263),Flags!$A$13:$B$95,2,FALSE)</f>
        <v>4</v>
      </c>
      <c r="B263" s="24">
        <f t="shared" si="328"/>
        <v>1949</v>
      </c>
      <c r="C263" s="25">
        <v>18202</v>
      </c>
      <c r="D263" s="26"/>
      <c r="E263" s="24"/>
      <c r="F263" s="26"/>
      <c r="G263" s="26"/>
      <c r="H263" s="26"/>
      <c r="I263" s="26"/>
      <c r="J263" s="26"/>
      <c r="K263" s="26"/>
      <c r="L263" s="24"/>
      <c r="M263" s="24"/>
      <c r="N263" s="26"/>
      <c r="O263" s="26"/>
      <c r="P263" s="26"/>
      <c r="Q263" s="26"/>
      <c r="R263" s="26"/>
      <c r="S263" s="26"/>
      <c r="T263" s="26"/>
      <c r="U263" s="26"/>
      <c r="V263" s="26"/>
      <c r="W263" s="26">
        <f>MAX($C$9-VLOOKUP($C263,COS!$B$8:$H$991,3,FALSE),0)</f>
        <v>93926.57080078125</v>
      </c>
      <c r="X263" s="26">
        <f t="shared" si="347"/>
        <v>5775.319725271177</v>
      </c>
      <c r="Y263" s="26">
        <f>VLOOKUP($C263,COS!$B$8:$H$991,4,FALSE)</f>
        <v>1726.75830078125</v>
      </c>
      <c r="Z263" s="26">
        <f t="shared" si="348"/>
        <v>106.17422940340909</v>
      </c>
      <c r="AA263" s="26">
        <f t="shared" si="416"/>
        <v>1726.75830078125</v>
      </c>
      <c r="AB263" s="33">
        <f t="shared" si="345"/>
        <v>106.17422940340909</v>
      </c>
    </row>
    <row r="264" spans="1:28" x14ac:dyDescent="0.3">
      <c r="A264" s="32">
        <f>VLOOKUP(YEAR(C264),Flags!$A$13:$B$95,2,FALSE)</f>
        <v>4</v>
      </c>
      <c r="B264" s="24">
        <f t="shared" si="328"/>
        <v>1949</v>
      </c>
      <c r="C264" s="25">
        <v>18232</v>
      </c>
      <c r="D264" s="26"/>
      <c r="E264" s="24"/>
      <c r="F264" s="26"/>
      <c r="G264" s="26"/>
      <c r="H264" s="26"/>
      <c r="I264" s="26"/>
      <c r="J264" s="26"/>
      <c r="K264" s="26"/>
      <c r="L264" s="24"/>
      <c r="M264" s="24"/>
      <c r="N264" s="26"/>
      <c r="O264" s="26"/>
      <c r="P264" s="26"/>
      <c r="Q264" s="26"/>
      <c r="R264" s="26"/>
      <c r="S264" s="26"/>
      <c r="T264" s="26"/>
      <c r="U264" s="26"/>
      <c r="V264" s="26"/>
      <c r="W264" s="26">
        <f>MAX($C$10-VLOOKUP($C264,COS!$B$8:$H$991,3,FALSE),0)</f>
        <v>93878.3037109375</v>
      </c>
      <c r="X264" s="26">
        <f t="shared" si="347"/>
        <v>5586.1469976756198</v>
      </c>
      <c r="Y264" s="26">
        <f>VLOOKUP($C264,COS!$B$8:$H$991,4,FALSE)</f>
        <v>814.205810546875</v>
      </c>
      <c r="Z264" s="26">
        <f t="shared" si="348"/>
        <v>48.448610214359505</v>
      </c>
      <c r="AA264" s="26">
        <f t="shared" si="416"/>
        <v>814.205810546875</v>
      </c>
      <c r="AB264" s="33">
        <f t="shared" si="345"/>
        <v>48.448610214359505</v>
      </c>
    </row>
    <row r="265" spans="1:28" x14ac:dyDescent="0.3">
      <c r="A265" s="34">
        <f>VLOOKUP(YEAR(C265),Flags!$A$13:$B$95,2,FALSE)</f>
        <v>4</v>
      </c>
      <c r="B265" s="35">
        <f t="shared" si="328"/>
        <v>1949</v>
      </c>
      <c r="C265" s="36">
        <v>18263</v>
      </c>
      <c r="D265" s="37"/>
      <c r="E265" s="35"/>
      <c r="F265" s="37"/>
      <c r="G265" s="37"/>
      <c r="H265" s="37"/>
      <c r="I265" s="37"/>
      <c r="J265" s="37"/>
      <c r="K265" s="37"/>
      <c r="L265" s="35"/>
      <c r="M265" s="35"/>
      <c r="N265" s="37"/>
      <c r="O265" s="37"/>
      <c r="P265" s="37"/>
      <c r="Q265" s="37"/>
      <c r="R265" s="37"/>
      <c r="S265" s="37"/>
      <c r="T265" s="37"/>
      <c r="U265" s="37"/>
      <c r="V265" s="37"/>
      <c r="W265" s="37">
        <f>MAX($C$11-VLOOKUP($C265,COS!$B$8:$H$991,3,FALSE),0)</f>
        <v>96189.83203125</v>
      </c>
      <c r="X265" s="37">
        <f t="shared" si="347"/>
        <v>5914.4822339876036</v>
      </c>
      <c r="Y265" s="37">
        <f>VLOOKUP($C265,COS!$B$8:$H$991,4,FALSE)</f>
        <v>1528.547607421875</v>
      </c>
      <c r="Z265" s="37">
        <f t="shared" si="348"/>
        <v>93.986728919163227</v>
      </c>
      <c r="AA265" s="37">
        <f t="shared" si="416"/>
        <v>1528.547607421875</v>
      </c>
      <c r="AB265" s="38">
        <f t="shared" si="345"/>
        <v>93.986728919163227</v>
      </c>
    </row>
    <row r="266" spans="1:28" x14ac:dyDescent="0.3">
      <c r="A266" s="27">
        <f>VLOOKUP(YEAR(C266),Flags!$A$13:$B$95,2,FALSE)</f>
        <v>4</v>
      </c>
      <c r="B266" s="28">
        <f t="shared" si="328"/>
        <v>1950</v>
      </c>
      <c r="C266" s="29">
        <v>18383</v>
      </c>
      <c r="D266" s="30">
        <f>VLOOKUP($C266,COS!$B$8:$H$991,3,FALSE)</f>
        <v>3250</v>
      </c>
      <c r="E266" s="28">
        <f>IF(D266&gt;=IF(MONTH($C266)=4,$C$3,IF(MONTH($C266)=5,$C$4,IF(MONTH($C266)=6,$C$5,IF(MONTH($C266)=7,$C$6,"ERROR")))),1,0)</f>
        <v>0</v>
      </c>
      <c r="F266" s="30">
        <f>VLOOKUP($C266,COS!$B$8:$H$991,7,FALSE)</f>
        <v>51.198993682861328</v>
      </c>
      <c r="G266" s="28">
        <f>IF(F266&lt;=IF(MONTH($C266)=4,$F$3,IF(MONTH($C266)=5,$F$4,IF(MONTH($C266)=6,$F$5,IF(MONTH($C266)=7,$F$6,"ERROR")))),1,0)</f>
        <v>1</v>
      </c>
      <c r="H266" s="30">
        <f>IF(J266=1,D266-$C$3,0)</f>
        <v>0</v>
      </c>
      <c r="I266" s="30">
        <f t="shared" si="342"/>
        <v>0</v>
      </c>
      <c r="J266" s="28">
        <f t="shared" ref="J266:J269" si="419">IF(AND(E266=1,G266=1),1,0)</f>
        <v>0</v>
      </c>
      <c r="K266" s="30">
        <f>VLOOKUP($C266,COS!$B$8:$H$991,2,FALSE)</f>
        <v>4233.70751953125</v>
      </c>
      <c r="L266" s="28">
        <f t="shared" ref="L266" si="420">IF(K266&lt;=IF(MONTH($C266)=4,$I$3,IF(MONTH($C266)=5,$I$4,IF(MONTH($C266)=6,$I$5,IF(MONTH($C266)=7,$I$6,"ERROR")))),1,0)</f>
        <v>1</v>
      </c>
      <c r="M266" s="28">
        <f t="shared" ref="M266" si="421">VLOOKUP($A266,$L$3:$M$7,2,FALSE)</f>
        <v>1</v>
      </c>
      <c r="N266" s="30">
        <f>VLOOKUP($C266,COS!$B$8:$H$991,5,FALSE)</f>
        <v>269.705322265625</v>
      </c>
      <c r="O266" s="30">
        <f t="shared" ref="O266:O269" si="422">N266*DAY($C266)*86400/43560/1000</f>
        <v>16.048581159607437</v>
      </c>
      <c r="P266" s="30">
        <f>VLOOKUP($C266,COS!$B$8:$H$991,6,FALSE)</f>
        <v>500.60986328125</v>
      </c>
      <c r="Q266" s="30">
        <f t="shared" ref="Q266:Q269" si="423">P266*DAY($C266)*86400/43560/1000</f>
        <v>29.788355501033056</v>
      </c>
      <c r="R266" s="30">
        <f>MIN(IF(MONTH($C266)=4,$S$3,IF(MONTH($C266)=5,$S$4,IF(MONTH($C266)=6,$S$5,IF(MONTH($C266)=7,$S$6,"ERROR")))),MAX(VLOOKUP($C266,COS!$B$8:$K$991,10,FALSE)-IF(MONTH($C266)=4,$Y$3,IF(MONTH($C266)=5,$Y$4,IF(MONTH($C266)=6,$Y$5,IF(MONTH($C266)=7,$Y$6,"ERROR")))),0),MAX(VLOOKUP($C266,COS!$B$8:$K$991,9,FALSE)-IF(MONTH($C266)=4,$V$3,IF(MONTH($C266)=5,$V$4,IF(MONTH($C266)=6,$V$5,IF(MONTH($C266)=7,$V$6,"ERROR"))))-VLOOKUP($C266,COS!$B$8:$K$991,6,FALSE)/2,0))</f>
        <v>1500</v>
      </c>
      <c r="S266" s="30">
        <f t="shared" ref="S266:S269" si="424">R266*DAY($C266)*86400/43560/1000</f>
        <v>89.256198347107429</v>
      </c>
      <c r="T266" s="30">
        <f t="shared" ref="T266:T269" si="425">(O266+Q266)/2+S266</f>
        <v>112.17466667742767</v>
      </c>
      <c r="U266" s="30" t="str">
        <f>IF(VLOOKUP($C266,COS!$B$8:$I$991,8,FALSE)=1,"UWFE","IBU")</f>
        <v>UWFE</v>
      </c>
      <c r="V266" s="30">
        <f t="shared" ref="V266" si="426">MIN(IF(IF($AA$3=2,AND(E266=1,G266=1,L266=1,L271=1,M266=1,U266="IBU"),AND(E266=1,G266=1,L266=1,L271=1,M266=1)),T266,0),I266)</f>
        <v>0</v>
      </c>
      <c r="W266" s="30"/>
      <c r="X266" s="30"/>
      <c r="Y266" s="30"/>
      <c r="Z266" s="30"/>
      <c r="AA266" s="30"/>
      <c r="AB266" s="31"/>
    </row>
    <row r="267" spans="1:28" x14ac:dyDescent="0.3">
      <c r="A267" s="32">
        <f>VLOOKUP(YEAR(C267),Flags!$A$13:$B$95,2,FALSE)</f>
        <v>4</v>
      </c>
      <c r="B267" s="24">
        <f t="shared" si="328"/>
        <v>1950</v>
      </c>
      <c r="C267" s="25">
        <v>18414</v>
      </c>
      <c r="D267" s="26">
        <f>VLOOKUP($C267,COS!$B$8:$H$991,3,FALSE)</f>
        <v>6396.69482421875</v>
      </c>
      <c r="E267" s="24">
        <f>IF(D267&gt;=IF(MONTH($C267)=4,$C$3,IF(MONTH($C267)=5,$C$4,IF(MONTH($C267)=6,$C$5,IF(MONTH($C267)=7,$C$6,"ERROR")))),1,0)</f>
        <v>1</v>
      </c>
      <c r="F267" s="26">
        <f>VLOOKUP($C267,COS!$B$8:$H$991,7,FALSE)</f>
        <v>50.986736297607422</v>
      </c>
      <c r="G267" s="24">
        <f>IF(F267&lt;=IF(MONTH($C267)=4,$F$3,IF(MONTH($C267)=5,$F$4,IF(MONTH($C267)=6,$F$5,IF(MONTH($C267)=7,$F$6,"ERROR")))),1,0)</f>
        <v>1</v>
      </c>
      <c r="H267" s="26">
        <f>IF(J267=1,D267-$C$4,0)</f>
        <v>396.69482421875</v>
      </c>
      <c r="I267" s="26">
        <f t="shared" si="342"/>
        <v>24.391813985020661</v>
      </c>
      <c r="J267" s="24">
        <f t="shared" si="419"/>
        <v>1</v>
      </c>
      <c r="K267" s="26">
        <f>VLOOKUP($C267,COS!$B$8:$H$991,2,FALSE)</f>
        <v>4172.81884765625</v>
      </c>
      <c r="L267" s="24">
        <f t="shared" si="333"/>
        <v>1</v>
      </c>
      <c r="M267" s="24">
        <f t="shared" si="334"/>
        <v>1</v>
      </c>
      <c r="N267" s="26">
        <f>VLOOKUP($C267,COS!$B$8:$H$991,5,FALSE)</f>
        <v>221.03926086425781</v>
      </c>
      <c r="O267" s="26">
        <f t="shared" si="422"/>
        <v>13.59117438702544</v>
      </c>
      <c r="P267" s="26">
        <f>VLOOKUP($C267,COS!$B$8:$H$991,6,FALSE)</f>
        <v>2273.549072265625</v>
      </c>
      <c r="Q267" s="26">
        <f t="shared" si="423"/>
        <v>139.79508345170456</v>
      </c>
      <c r="R267" s="26">
        <f>MIN(IF(MONTH($C267)=4,$S$3,IF(MONTH($C267)=5,$S$4,IF(MONTH($C267)=6,$S$5,IF(MONTH($C267)=7,$S$6,"ERROR")))),MAX(VLOOKUP($C267,COS!$B$8:$K$991,10,FALSE)-IF(MONTH($C267)=4,$Y$3,IF(MONTH($C267)=5,$Y$4,IF(MONTH($C267)=6,$Y$5,IF(MONTH($C267)=7,$Y$6,"ERROR")))),0),MAX(VLOOKUP($C267,COS!$B$8:$K$991,9,FALSE)-IF(MONTH($C267)=4,$V$3,IF(MONTH($C267)=5,$V$4,IF(MONTH($C267)=6,$V$5,IF(MONTH($C267)=7,$V$6,"ERROR"))))-VLOOKUP($C267,COS!$B$8:$K$991,6,FALSE)/2,0))</f>
        <v>1500</v>
      </c>
      <c r="S267" s="26">
        <f t="shared" si="424"/>
        <v>92.231404958677686</v>
      </c>
      <c r="T267" s="26">
        <f t="shared" si="425"/>
        <v>168.92453387804267</v>
      </c>
      <c r="U267" s="26" t="str">
        <f>IF(VLOOKUP($C267,COS!$B$8:$I$991,8,FALSE)=1,"UWFE","IBU")</f>
        <v>UWFE</v>
      </c>
      <c r="V267" s="26">
        <f t="shared" ref="V267" si="427">MIN(IF(IF($AA$3=2,AND(E267=1,G267=1,L267=1,L271=1,M267=1,U267="IBU"),AND(E267=1,G267=1,L267=1,L271=1,M267=1)),T267,0),I267)</f>
        <v>0</v>
      </c>
      <c r="W267" s="26"/>
      <c r="X267" s="26"/>
      <c r="Y267" s="26"/>
      <c r="Z267" s="26"/>
      <c r="AA267" s="26"/>
      <c r="AB267" s="33"/>
    </row>
    <row r="268" spans="1:28" x14ac:dyDescent="0.3">
      <c r="A268" s="32">
        <f>VLOOKUP(YEAR(C268),Flags!$A$13:$B$95,2,FALSE)</f>
        <v>4</v>
      </c>
      <c r="B268" s="24">
        <f t="shared" si="328"/>
        <v>1950</v>
      </c>
      <c r="C268" s="25">
        <v>18444</v>
      </c>
      <c r="D268" s="26">
        <f>VLOOKUP($C268,COS!$B$8:$H$991,3,FALSE)</f>
        <v>8106.11865234375</v>
      </c>
      <c r="E268" s="24">
        <f>IF(D268&gt;=IF(MONTH($C268)=4,$C$3,IF(MONTH($C268)=5,$C$4,IF(MONTH($C268)=6,$C$5,IF(MONTH($C268)=7,$C$6,"ERROR")))),1,0)</f>
        <v>0</v>
      </c>
      <c r="F268" s="26">
        <f>VLOOKUP($C268,COS!$B$8:$H$991,7,FALSE)</f>
        <v>51.396080017089844</v>
      </c>
      <c r="G268" s="24">
        <f>IF(F268&lt;=IF(MONTH($C268)=4,$F$3,IF(MONTH($C268)=5,$F$4,IF(MONTH($C268)=6,$F$5,IF(MONTH($C268)=7,$F$6,"ERROR")))),1,0)</f>
        <v>1</v>
      </c>
      <c r="H268" s="26">
        <f>IF(J268=1,D268-$C$5,0)</f>
        <v>0</v>
      </c>
      <c r="I268" s="26">
        <f t="shared" si="342"/>
        <v>0</v>
      </c>
      <c r="J268" s="24">
        <f t="shared" si="419"/>
        <v>0</v>
      </c>
      <c r="K268" s="26">
        <f>VLOOKUP($C268,COS!$B$8:$H$991,2,FALSE)</f>
        <v>3898.8837890625</v>
      </c>
      <c r="L268" s="24">
        <f t="shared" si="333"/>
        <v>1</v>
      </c>
      <c r="M268" s="24">
        <f t="shared" si="334"/>
        <v>1</v>
      </c>
      <c r="N268" s="26">
        <f>VLOOKUP($C268,COS!$B$8:$H$991,5,FALSE)</f>
        <v>433.48184204101563</v>
      </c>
      <c r="O268" s="26">
        <f t="shared" si="422"/>
        <v>25.793960848721593</v>
      </c>
      <c r="P268" s="26">
        <f>VLOOKUP($C268,COS!$B$8:$H$991,6,FALSE)</f>
        <v>2603.512451171875</v>
      </c>
      <c r="Q268" s="26">
        <f t="shared" si="423"/>
        <v>154.91974916064049</v>
      </c>
      <c r="R268" s="26">
        <f>MIN(IF(MONTH($C268)=4,$S$3,IF(MONTH($C268)=5,$S$4,IF(MONTH($C268)=6,$S$5,IF(MONTH($C268)=7,$S$6,"ERROR")))),MAX(VLOOKUP($C268,COS!$B$8:$K$991,10,FALSE)-IF(MONTH($C268)=4,$Y$3,IF(MONTH($C268)=5,$Y$4,IF(MONTH($C268)=6,$Y$5,IF(MONTH($C268)=7,$Y$6,"ERROR")))),0),MAX(VLOOKUP($C268,COS!$B$8:$K$991,9,FALSE)-IF(MONTH($C268)=4,$V$3,IF(MONTH($C268)=5,$V$4,IF(MONTH($C268)=6,$V$5,IF(MONTH($C268)=7,$V$6,"ERROR"))))-VLOOKUP($C268,COS!$B$8:$K$991,6,FALSE)/2,0))</f>
        <v>1500</v>
      </c>
      <c r="S268" s="26">
        <f t="shared" si="424"/>
        <v>89.256198347107429</v>
      </c>
      <c r="T268" s="26">
        <f t="shared" si="425"/>
        <v>179.61305335178847</v>
      </c>
      <c r="U268" s="26" t="str">
        <f>IF(VLOOKUP($C268,COS!$B$8:$I$991,8,FALSE)=1,"UWFE","IBU")</f>
        <v>IBU</v>
      </c>
      <c r="V268" s="26">
        <f t="shared" ref="V268" si="428">MIN(IF(IF($AA$3=2,AND(E268=1,G268=1,L268=1,L271=1,M268=1,U268="IBU"),AND(E268=1,G268=1,L268=1,L271=1,M268=1)),T268,0),I268)</f>
        <v>0</v>
      </c>
      <c r="W268" s="26"/>
      <c r="X268" s="26"/>
      <c r="Y268" s="26"/>
      <c r="Z268" s="26"/>
      <c r="AA268" s="26"/>
      <c r="AB268" s="33"/>
    </row>
    <row r="269" spans="1:28" x14ac:dyDescent="0.3">
      <c r="A269" s="32">
        <f>VLOOKUP(YEAR(C269),Flags!$A$13:$B$95,2,FALSE)</f>
        <v>4</v>
      </c>
      <c r="B269" s="24">
        <f t="shared" si="328"/>
        <v>1950</v>
      </c>
      <c r="C269" s="25">
        <v>18475</v>
      </c>
      <c r="D269" s="26">
        <f>VLOOKUP($C269,COS!$B$8:$H$991,3,FALSE)</f>
        <v>9670.4365234375</v>
      </c>
      <c r="E269" s="24">
        <f>IF(D269&gt;=IF(MONTH($C269)=4,$C$3,IF(MONTH($C269)=5,$C$4,IF(MONTH($C269)=6,$C$5,IF(MONTH($C269)=7,$C$6,"ERROR")))),1,0)</f>
        <v>0</v>
      </c>
      <c r="F269" s="26">
        <f>VLOOKUP($C269,COS!$B$8:$H$991,7,FALSE)</f>
        <v>52.254299163818359</v>
      </c>
      <c r="G269" s="24">
        <f>IF(F269&lt;=IF(MONTH($C269)=4,$F$3,IF(MONTH($C269)=5,$F$4,IF(MONTH($C269)=6,$F$5,IF(MONTH($C269)=7,$F$6,"ERROR")))),1,0)</f>
        <v>1</v>
      </c>
      <c r="H269" s="26">
        <f>IF(J269=1,D269-$C$6,0)</f>
        <v>0</v>
      </c>
      <c r="I269" s="26">
        <f t="shared" si="342"/>
        <v>0</v>
      </c>
      <c r="J269" s="24">
        <f t="shared" si="419"/>
        <v>0</v>
      </c>
      <c r="K269" s="26">
        <f>VLOOKUP($C269,COS!$B$8:$H$991,2,FALSE)</f>
        <v>3515.872314453125</v>
      </c>
      <c r="L269" s="24">
        <f t="shared" si="333"/>
        <v>1</v>
      </c>
      <c r="M269" s="24">
        <f t="shared" si="334"/>
        <v>1</v>
      </c>
      <c r="N269" s="26">
        <f>VLOOKUP($C269,COS!$B$8:$H$991,5,FALSE)</f>
        <v>482.3499755859375</v>
      </c>
      <c r="O269" s="26">
        <f t="shared" si="422"/>
        <v>29.658543953383266</v>
      </c>
      <c r="P269" s="26">
        <f>VLOOKUP($C269,COS!$B$8:$H$991,6,FALSE)</f>
        <v>2632.5888671875</v>
      </c>
      <c r="Q269" s="26">
        <f t="shared" si="423"/>
        <v>161.87157993285126</v>
      </c>
      <c r="R269" s="26">
        <f>MIN(IF(MONTH($C269)=4,$S$3,IF(MONTH($C269)=5,$S$4,IF(MONTH($C269)=6,$S$5,IF(MONTH($C269)=7,$S$6,"ERROR")))),MAX(VLOOKUP($C269,COS!$B$8:$K$991,10,FALSE)-IF(MONTH($C269)=4,$Y$3,IF(MONTH($C269)=5,$Y$4,IF(MONTH($C269)=6,$Y$5,IF(MONTH($C269)=7,$Y$6,"ERROR")))),0),MAX(VLOOKUP($C269,COS!$B$8:$K$991,9,FALSE)-IF(MONTH($C269)=4,$V$3,IF(MONTH($C269)=5,$V$4,IF(MONTH($C269)=6,$V$5,IF(MONTH($C269)=7,$V$6,"ERROR"))))-VLOOKUP($C269,COS!$B$8:$K$991,6,FALSE)/2,0))</f>
        <v>1500</v>
      </c>
      <c r="S269" s="26">
        <f t="shared" si="424"/>
        <v>92.231404958677686</v>
      </c>
      <c r="T269" s="26">
        <f t="shared" si="425"/>
        <v>187.99646690179495</v>
      </c>
      <c r="U269" s="26" t="str">
        <f>IF(VLOOKUP($C269,COS!$B$8:$I$991,8,FALSE)=1,"UWFE","IBU")</f>
        <v>IBU</v>
      </c>
      <c r="V269" s="26">
        <f t="shared" ref="V269" si="429">MIN(IF(IF($AA$3=2,AND(E269=1,G269=1,L269=1,L271=1,M269=1,U269="IBU"),AND(E269=1,G269=1,L269=1,L271=1,M269=1)),T269,0),I269)</f>
        <v>0</v>
      </c>
      <c r="W269" s="26"/>
      <c r="X269" s="26"/>
      <c r="Y269" s="26"/>
      <c r="Z269" s="26"/>
      <c r="AA269" s="26"/>
      <c r="AB269" s="33"/>
    </row>
    <row r="270" spans="1:28" x14ac:dyDescent="0.3">
      <c r="A270" s="32">
        <f>VLOOKUP(YEAR(C270),Flags!$A$13:$B$95,2,FALSE)</f>
        <v>4</v>
      </c>
      <c r="B270" s="24">
        <f t="shared" si="328"/>
        <v>1950</v>
      </c>
      <c r="C270" s="25">
        <v>18506</v>
      </c>
      <c r="D270" s="26"/>
      <c r="E270" s="24"/>
      <c r="F270" s="26"/>
      <c r="G270" s="24"/>
      <c r="H270" s="24"/>
      <c r="I270" s="26"/>
      <c r="J270" s="24"/>
      <c r="K270" s="26"/>
      <c r="L270" s="24"/>
      <c r="M270" s="24"/>
      <c r="N270" s="26"/>
      <c r="O270" s="26"/>
      <c r="P270" s="26"/>
      <c r="Q270" s="26"/>
      <c r="R270" s="26"/>
      <c r="S270" s="26"/>
      <c r="T270" s="26"/>
      <c r="U270" s="26"/>
      <c r="V270" s="26"/>
      <c r="W270" s="26">
        <f>MAX($C$7-VLOOKUP($C270,COS!$B$8:$H$991,3,FALSE),0)</f>
        <v>90741.2333984375</v>
      </c>
      <c r="X270" s="26">
        <f t="shared" si="347"/>
        <v>5579.4609626807851</v>
      </c>
      <c r="Y270" s="26">
        <f>VLOOKUP($C270,COS!$B$8:$H$991,4,FALSE)</f>
        <v>437.07077026367188</v>
      </c>
      <c r="Z270" s="26">
        <f t="shared" si="348"/>
        <v>26.874434138526603</v>
      </c>
      <c r="AA270" s="26">
        <f t="shared" ref="AA270:AA274" si="430">MIN(W270,Y270)</f>
        <v>437.07077026367188</v>
      </c>
      <c r="AB270" s="33">
        <f t="shared" ref="AB270" si="431">AA270*DAY($C270)*86400/43560/1000*IF(MONTH($C270)=8,$P$3,IF(MONTH($C270)=9,$P$4,IF(MONTH($C270)=10,$P$5,IF(MONTH($C270)=11,$P$6,IF(MONTH($C270)=12,$P$7,NA())))))</f>
        <v>26.874434138526603</v>
      </c>
    </row>
    <row r="271" spans="1:28" x14ac:dyDescent="0.3">
      <c r="A271" s="32">
        <f>VLOOKUP(YEAR(C271),Flags!$A$13:$B$95,2,FALSE)</f>
        <v>4</v>
      </c>
      <c r="B271" s="24">
        <f t="shared" ref="B271:B334" si="432">YEAR(C271)</f>
        <v>1950</v>
      </c>
      <c r="C271" s="25">
        <v>18536</v>
      </c>
      <c r="D271" s="26"/>
      <c r="E271" s="24"/>
      <c r="F271" s="26"/>
      <c r="G271" s="24"/>
      <c r="H271" s="24"/>
      <c r="I271" s="26"/>
      <c r="J271" s="24"/>
      <c r="K271" s="26">
        <f>VLOOKUP($C271,COS!$B$8:$H$991,2,FALSE)</f>
        <v>3133.93603515625</v>
      </c>
      <c r="L271" s="24">
        <f t="shared" ref="L271" si="433">IF(AND(K271&gt;$I$7,K271&lt;$I$8),1,0)</f>
        <v>1</v>
      </c>
      <c r="M271" s="24"/>
      <c r="N271" s="26"/>
      <c r="O271" s="26"/>
      <c r="P271" s="26"/>
      <c r="Q271" s="26"/>
      <c r="R271" s="26"/>
      <c r="S271" s="26"/>
      <c r="T271" s="26"/>
      <c r="U271" s="26"/>
      <c r="V271" s="26"/>
      <c r="W271" s="26">
        <f>MAX($C$8-VLOOKUP($C271,COS!$B$8:$H$991,3,FALSE),0)</f>
        <v>95235.51904296875</v>
      </c>
      <c r="X271" s="26">
        <f t="shared" si="347"/>
        <v>5666.9069182592975</v>
      </c>
      <c r="Y271" s="26">
        <f>VLOOKUP($C271,COS!$B$8:$H$991,4,FALSE)</f>
        <v>0</v>
      </c>
      <c r="Z271" s="26">
        <f t="shared" si="348"/>
        <v>0</v>
      </c>
      <c r="AA271" s="26">
        <f t="shared" si="430"/>
        <v>0</v>
      </c>
      <c r="AB271" s="33">
        <f t="shared" si="345"/>
        <v>0</v>
      </c>
    </row>
    <row r="272" spans="1:28" x14ac:dyDescent="0.3">
      <c r="A272" s="32">
        <f>VLOOKUP(YEAR(C272),Flags!$A$13:$B$95,2,FALSE)</f>
        <v>4</v>
      </c>
      <c r="B272" s="24">
        <f t="shared" si="432"/>
        <v>1950</v>
      </c>
      <c r="C272" s="25">
        <v>18567</v>
      </c>
      <c r="D272" s="26"/>
      <c r="E272" s="24"/>
      <c r="F272" s="26"/>
      <c r="G272" s="26"/>
      <c r="H272" s="26"/>
      <c r="I272" s="26"/>
      <c r="J272" s="26"/>
      <c r="K272" s="26"/>
      <c r="L272" s="24"/>
      <c r="M272" s="24"/>
      <c r="N272" s="26"/>
      <c r="O272" s="26"/>
      <c r="P272" s="26"/>
      <c r="Q272" s="26"/>
      <c r="R272" s="26"/>
      <c r="S272" s="26"/>
      <c r="T272" s="26"/>
      <c r="U272" s="26"/>
      <c r="V272" s="26"/>
      <c r="W272" s="26">
        <f>MAX($C$9-VLOOKUP($C272,COS!$B$8:$H$991,3,FALSE),0)</f>
        <v>91664.693359375</v>
      </c>
      <c r="X272" s="26">
        <f t="shared" si="347"/>
        <v>5636.2423024276859</v>
      </c>
      <c r="Y272" s="26">
        <f>VLOOKUP($C272,COS!$B$8:$H$991,4,FALSE)</f>
        <v>1385.623291015625</v>
      </c>
      <c r="Z272" s="26">
        <f t="shared" si="348"/>
        <v>85.198655249225212</v>
      </c>
      <c r="AA272" s="26">
        <f t="shared" si="430"/>
        <v>1385.623291015625</v>
      </c>
      <c r="AB272" s="33">
        <f t="shared" si="345"/>
        <v>85.198655249225212</v>
      </c>
    </row>
    <row r="273" spans="1:28" x14ac:dyDescent="0.3">
      <c r="A273" s="32">
        <f>VLOOKUP(YEAR(C273),Flags!$A$13:$B$95,2,FALSE)</f>
        <v>4</v>
      </c>
      <c r="B273" s="24">
        <f t="shared" si="432"/>
        <v>1950</v>
      </c>
      <c r="C273" s="25">
        <v>18597</v>
      </c>
      <c r="D273" s="26"/>
      <c r="E273" s="24"/>
      <c r="F273" s="26"/>
      <c r="G273" s="26"/>
      <c r="H273" s="26"/>
      <c r="I273" s="26"/>
      <c r="J273" s="26"/>
      <c r="K273" s="26"/>
      <c r="L273" s="24"/>
      <c r="M273" s="24"/>
      <c r="N273" s="26"/>
      <c r="O273" s="26"/>
      <c r="P273" s="26"/>
      <c r="Q273" s="26"/>
      <c r="R273" s="26"/>
      <c r="S273" s="26"/>
      <c r="T273" s="26"/>
      <c r="U273" s="26"/>
      <c r="V273" s="26"/>
      <c r="W273" s="26">
        <f>MAX($C$10-VLOOKUP($C273,COS!$B$8:$H$991,3,FALSE),0)</f>
        <v>88639.322265625</v>
      </c>
      <c r="X273" s="26">
        <f t="shared" si="347"/>
        <v>5274.4059529958677</v>
      </c>
      <c r="Y273" s="26">
        <f>VLOOKUP($C273,COS!$B$8:$H$991,4,FALSE)</f>
        <v>0</v>
      </c>
      <c r="Z273" s="26">
        <f t="shared" si="348"/>
        <v>0</v>
      </c>
      <c r="AA273" s="26">
        <f t="shared" si="430"/>
        <v>0</v>
      </c>
      <c r="AB273" s="33">
        <f t="shared" si="345"/>
        <v>0</v>
      </c>
    </row>
    <row r="274" spans="1:28" x14ac:dyDescent="0.3">
      <c r="A274" s="34">
        <f>VLOOKUP(YEAR(C274),Flags!$A$13:$B$95,2,FALSE)</f>
        <v>4</v>
      </c>
      <c r="B274" s="35">
        <f t="shared" si="432"/>
        <v>1950</v>
      </c>
      <c r="C274" s="36">
        <v>18628</v>
      </c>
      <c r="D274" s="37"/>
      <c r="E274" s="35"/>
      <c r="F274" s="37"/>
      <c r="G274" s="37"/>
      <c r="H274" s="37"/>
      <c r="I274" s="37"/>
      <c r="J274" s="37"/>
      <c r="K274" s="37"/>
      <c r="L274" s="35"/>
      <c r="M274" s="35"/>
      <c r="N274" s="37"/>
      <c r="O274" s="37"/>
      <c r="P274" s="37"/>
      <c r="Q274" s="37"/>
      <c r="R274" s="37"/>
      <c r="S274" s="37"/>
      <c r="T274" s="37"/>
      <c r="U274" s="37"/>
      <c r="V274" s="37"/>
      <c r="W274" s="37">
        <f>MAX($C$11-VLOOKUP($C274,COS!$B$8:$H$991,3,FALSE),0)</f>
        <v>84175.51171875</v>
      </c>
      <c r="X274" s="37">
        <f t="shared" si="347"/>
        <v>5175.7504726239667</v>
      </c>
      <c r="Y274" s="37">
        <f>VLOOKUP($C274,COS!$B$8:$H$991,4,FALSE)</f>
        <v>0</v>
      </c>
      <c r="Z274" s="37">
        <f t="shared" si="348"/>
        <v>0</v>
      </c>
      <c r="AA274" s="37">
        <f t="shared" si="430"/>
        <v>0</v>
      </c>
      <c r="AB274" s="38">
        <f t="shared" si="345"/>
        <v>0</v>
      </c>
    </row>
    <row r="275" spans="1:28" x14ac:dyDescent="0.3">
      <c r="A275" s="27">
        <f>VLOOKUP(YEAR(C275),Flags!$A$13:$B$95,2,FALSE)</f>
        <v>2</v>
      </c>
      <c r="B275" s="28">
        <f t="shared" si="432"/>
        <v>1951</v>
      </c>
      <c r="C275" s="29">
        <v>18748</v>
      </c>
      <c r="D275" s="30">
        <f>VLOOKUP($C275,COS!$B$8:$H$991,3,FALSE)</f>
        <v>3250</v>
      </c>
      <c r="E275" s="28">
        <f>IF(D275&gt;=IF(MONTH($C275)=4,$C$3,IF(MONTH($C275)=5,$C$4,IF(MONTH($C275)=6,$C$5,IF(MONTH($C275)=7,$C$6,"ERROR")))),1,0)</f>
        <v>0</v>
      </c>
      <c r="F275" s="30">
        <f>VLOOKUP($C275,COS!$B$8:$H$991,7,FALSE)</f>
        <v>50.026283264160156</v>
      </c>
      <c r="G275" s="28">
        <f>IF(F275&lt;=IF(MONTH($C275)=4,$F$3,IF(MONTH($C275)=5,$F$4,IF(MONTH($C275)=6,$F$5,IF(MONTH($C275)=7,$F$6,"ERROR")))),1,0)</f>
        <v>1</v>
      </c>
      <c r="H275" s="30">
        <f>IF(J275=1,D275-$C$3,0)</f>
        <v>0</v>
      </c>
      <c r="I275" s="30">
        <f t="shared" si="342"/>
        <v>0</v>
      </c>
      <c r="J275" s="28">
        <f t="shared" ref="J275:J278" si="434">IF(AND(E275=1,G275=1),1,0)</f>
        <v>0</v>
      </c>
      <c r="K275" s="30">
        <f>VLOOKUP($C275,COS!$B$8:$H$991,2,FALSE)</f>
        <v>4516.4619140625</v>
      </c>
      <c r="L275" s="28">
        <f t="shared" ref="L275:L332" si="435">IF(K275&lt;=IF(MONTH($C275)=4,$I$3,IF(MONTH($C275)=5,$I$4,IF(MONTH($C275)=6,$I$5,IF(MONTH($C275)=7,$I$6,"ERROR")))),1,0)</f>
        <v>1</v>
      </c>
      <c r="M275" s="28">
        <f t="shared" ref="M275:M332" si="436">VLOOKUP($A275,$L$3:$M$7,2,FALSE)</f>
        <v>0</v>
      </c>
      <c r="N275" s="30">
        <f>VLOOKUP($C275,COS!$B$8:$H$991,5,FALSE)</f>
        <v>285.89596557617188</v>
      </c>
      <c r="O275" s="30">
        <f t="shared" ref="O275:O278" si="437">N275*DAY($C275)*86400/43560/1000</f>
        <v>17.011991340069731</v>
      </c>
      <c r="P275" s="30">
        <f>VLOOKUP($C275,COS!$B$8:$H$991,6,FALSE)</f>
        <v>523.71405029296875</v>
      </c>
      <c r="Q275" s="30">
        <f t="shared" ref="Q275:Q278" si="438">P275*DAY($C275)*86400/43560/1000</f>
        <v>31.16315010007748</v>
      </c>
      <c r="R275" s="30">
        <f>MIN(IF(MONTH($C275)=4,$S$3,IF(MONTH($C275)=5,$S$4,IF(MONTH($C275)=6,$S$5,IF(MONTH($C275)=7,$S$6,"ERROR")))),MAX(VLOOKUP($C275,COS!$B$8:$K$991,10,FALSE)-IF(MONTH($C275)=4,$Y$3,IF(MONTH($C275)=5,$Y$4,IF(MONTH($C275)=6,$Y$5,IF(MONTH($C275)=7,$Y$6,"ERROR")))),0),MAX(VLOOKUP($C275,COS!$B$8:$K$991,9,FALSE)-IF(MONTH($C275)=4,$V$3,IF(MONTH($C275)=5,$V$4,IF(MONTH($C275)=6,$V$5,IF(MONTH($C275)=7,$V$6,"ERROR"))))-VLOOKUP($C275,COS!$B$8:$K$991,6,FALSE)/2,0))</f>
        <v>870.47891235351563</v>
      </c>
      <c r="S275" s="30">
        <f t="shared" ref="S275:S278" si="439">R275*DAY($C275)*86400/43560/1000</f>
        <v>51.797092305333166</v>
      </c>
      <c r="T275" s="30">
        <f t="shared" ref="T275:T278" si="440">(O275+Q275)/2+S275</f>
        <v>75.88466302540678</v>
      </c>
      <c r="U275" s="30" t="str">
        <f>IF(VLOOKUP($C275,COS!$B$8:$I$991,8,FALSE)=1,"UWFE","IBU")</f>
        <v>UWFE</v>
      </c>
      <c r="V275" s="30">
        <f t="shared" ref="V275" si="441">MIN(IF(IF($AA$3=2,AND(E275=1,G275=1,L275=1,L280=1,M275=1,U275="IBU"),AND(E275=1,G275=1,L275=1,L280=1,M275=1)),T275,0),I275)</f>
        <v>0</v>
      </c>
      <c r="W275" s="30"/>
      <c r="X275" s="30"/>
      <c r="Y275" s="30"/>
      <c r="Z275" s="30"/>
      <c r="AA275" s="30"/>
      <c r="AB275" s="31"/>
    </row>
    <row r="276" spans="1:28" x14ac:dyDescent="0.3">
      <c r="A276" s="32">
        <f>VLOOKUP(YEAR(C276),Flags!$A$13:$B$95,2,FALSE)</f>
        <v>2</v>
      </c>
      <c r="B276" s="24">
        <f t="shared" si="432"/>
        <v>1951</v>
      </c>
      <c r="C276" s="25">
        <v>18779</v>
      </c>
      <c r="D276" s="26">
        <f>VLOOKUP($C276,COS!$B$8:$H$991,3,FALSE)</f>
        <v>6537.244140625</v>
      </c>
      <c r="E276" s="24">
        <f>IF(D276&gt;=IF(MONTH($C276)=4,$C$3,IF(MONTH($C276)=5,$C$4,IF(MONTH($C276)=6,$C$5,IF(MONTH($C276)=7,$C$6,"ERROR")))),1,0)</f>
        <v>1</v>
      </c>
      <c r="F276" s="26">
        <f>VLOOKUP($C276,COS!$B$8:$H$991,7,FALSE)</f>
        <v>50.078166961669922</v>
      </c>
      <c r="G276" s="24">
        <f>IF(F276&lt;=IF(MONTH($C276)=4,$F$3,IF(MONTH($C276)=5,$F$4,IF(MONTH($C276)=6,$F$5,IF(MONTH($C276)=7,$F$6,"ERROR")))),1,0)</f>
        <v>1</v>
      </c>
      <c r="H276" s="26">
        <f>IF(J276=1,D276-$C$4,0)</f>
        <v>537.244140625</v>
      </c>
      <c r="I276" s="26">
        <f t="shared" si="342"/>
        <v>33.033854597107435</v>
      </c>
      <c r="J276" s="24">
        <f t="shared" si="434"/>
        <v>1</v>
      </c>
      <c r="K276" s="26">
        <f>VLOOKUP($C276,COS!$B$8:$H$991,2,FALSE)</f>
        <v>4552</v>
      </c>
      <c r="L276" s="24">
        <f t="shared" si="435"/>
        <v>1</v>
      </c>
      <c r="M276" s="24">
        <f t="shared" si="436"/>
        <v>0</v>
      </c>
      <c r="N276" s="26">
        <f>VLOOKUP($C276,COS!$B$8:$H$991,5,FALSE)</f>
        <v>725.94110107421875</v>
      </c>
      <c r="O276" s="26">
        <f t="shared" si="437"/>
        <v>44.636378446216426</v>
      </c>
      <c r="P276" s="26">
        <f>VLOOKUP($C276,COS!$B$8:$H$991,6,FALSE)</f>
        <v>1961.9442138671875</v>
      </c>
      <c r="Q276" s="26">
        <f t="shared" si="438"/>
        <v>120.63524753034608</v>
      </c>
      <c r="R276" s="26">
        <f>MIN(IF(MONTH($C276)=4,$S$3,IF(MONTH($C276)=5,$S$4,IF(MONTH($C276)=6,$S$5,IF(MONTH($C276)=7,$S$6,"ERROR")))),MAX(VLOOKUP($C276,COS!$B$8:$K$991,10,FALSE)-IF(MONTH($C276)=4,$Y$3,IF(MONTH($C276)=5,$Y$4,IF(MONTH($C276)=6,$Y$5,IF(MONTH($C276)=7,$Y$6,"ERROR")))),0),MAX(VLOOKUP($C276,COS!$B$8:$K$991,9,FALSE)-IF(MONTH($C276)=4,$V$3,IF(MONTH($C276)=5,$V$4,IF(MONTH($C276)=6,$V$5,IF(MONTH($C276)=7,$V$6,"ERROR"))))-VLOOKUP($C276,COS!$B$8:$K$991,6,FALSE)/2,0))</f>
        <v>1500</v>
      </c>
      <c r="S276" s="26">
        <f t="shared" si="439"/>
        <v>92.231404958677686</v>
      </c>
      <c r="T276" s="26">
        <f t="shared" si="440"/>
        <v>174.86721794695893</v>
      </c>
      <c r="U276" s="26" t="str">
        <f>IF(VLOOKUP($C276,COS!$B$8:$I$991,8,FALSE)=1,"UWFE","IBU")</f>
        <v>UWFE</v>
      </c>
      <c r="V276" s="26">
        <f t="shared" ref="V276" si="442">MIN(IF(IF($AA$3=2,AND(E276=1,G276=1,L276=1,L280=1,M276=1,U276="IBU"),AND(E276=1,G276=1,L276=1,L280=1,M276=1)),T276,0),I276)</f>
        <v>0</v>
      </c>
      <c r="W276" s="26"/>
      <c r="X276" s="26"/>
      <c r="Y276" s="26"/>
      <c r="Z276" s="26"/>
      <c r="AA276" s="26"/>
      <c r="AB276" s="33"/>
    </row>
    <row r="277" spans="1:28" x14ac:dyDescent="0.3">
      <c r="A277" s="32">
        <f>VLOOKUP(YEAR(C277),Flags!$A$13:$B$95,2,FALSE)</f>
        <v>2</v>
      </c>
      <c r="B277" s="24">
        <f t="shared" si="432"/>
        <v>1951</v>
      </c>
      <c r="C277" s="25">
        <v>18809</v>
      </c>
      <c r="D277" s="26">
        <f>VLOOKUP($C277,COS!$B$8:$H$991,3,FALSE)</f>
        <v>10659.24609375</v>
      </c>
      <c r="E277" s="24">
        <f>IF(D277&gt;=IF(MONTH($C277)=4,$C$3,IF(MONTH($C277)=5,$C$4,IF(MONTH($C277)=6,$C$5,IF(MONTH($C277)=7,$C$6,"ERROR")))),1,0)</f>
        <v>1</v>
      </c>
      <c r="F277" s="26">
        <f>VLOOKUP($C277,COS!$B$8:$H$991,7,FALSE)</f>
        <v>49.92681884765625</v>
      </c>
      <c r="G277" s="24">
        <f>IF(F277&lt;=IF(MONTH($C277)=4,$F$3,IF(MONTH($C277)=5,$F$4,IF(MONTH($C277)=6,$F$5,IF(MONTH($C277)=7,$F$6,"ERROR")))),1,0)</f>
        <v>1</v>
      </c>
      <c r="H277" s="26">
        <f>IF(J277=1,D277-$C$5,0)</f>
        <v>659.24609375</v>
      </c>
      <c r="I277" s="26">
        <f t="shared" si="342"/>
        <v>39.227866735537184</v>
      </c>
      <c r="J277" s="24">
        <f t="shared" si="434"/>
        <v>1</v>
      </c>
      <c r="K277" s="26">
        <f>VLOOKUP($C277,COS!$B$8:$H$991,2,FALSE)</f>
        <v>4123.96142578125</v>
      </c>
      <c r="L277" s="24">
        <f t="shared" si="435"/>
        <v>1</v>
      </c>
      <c r="M277" s="24">
        <f t="shared" si="436"/>
        <v>0</v>
      </c>
      <c r="N277" s="26">
        <f>VLOOKUP($C277,COS!$B$8:$H$991,5,FALSE)</f>
        <v>977.7628173828125</v>
      </c>
      <c r="O277" s="26">
        <f t="shared" si="437"/>
        <v>58.180927976497934</v>
      </c>
      <c r="P277" s="26">
        <f>VLOOKUP($C277,COS!$B$8:$H$991,6,FALSE)</f>
        <v>2422.49462890625</v>
      </c>
      <c r="Q277" s="26">
        <f t="shared" si="438"/>
        <v>144.14844072830579</v>
      </c>
      <c r="R277" s="26">
        <f>MIN(IF(MONTH($C277)=4,$S$3,IF(MONTH($C277)=5,$S$4,IF(MONTH($C277)=6,$S$5,IF(MONTH($C277)=7,$S$6,"ERROR")))),MAX(VLOOKUP($C277,COS!$B$8:$K$991,10,FALSE)-IF(MONTH($C277)=4,$Y$3,IF(MONTH($C277)=5,$Y$4,IF(MONTH($C277)=6,$Y$5,IF(MONTH($C277)=7,$Y$6,"ERROR")))),0),MAX(VLOOKUP($C277,COS!$B$8:$K$991,9,FALSE)-IF(MONTH($C277)=4,$V$3,IF(MONTH($C277)=5,$V$4,IF(MONTH($C277)=6,$V$5,IF(MONTH($C277)=7,$V$6,"ERROR"))))-VLOOKUP($C277,COS!$B$8:$K$991,6,FALSE)/2,0))</f>
        <v>1500</v>
      </c>
      <c r="S277" s="26">
        <f t="shared" si="439"/>
        <v>89.256198347107429</v>
      </c>
      <c r="T277" s="26">
        <f t="shared" si="440"/>
        <v>190.42088269950929</v>
      </c>
      <c r="U277" s="26" t="str">
        <f>IF(VLOOKUP($C277,COS!$B$8:$I$991,8,FALSE)=1,"UWFE","IBU")</f>
        <v>IBU</v>
      </c>
      <c r="V277" s="26">
        <f t="shared" ref="V277" si="443">MIN(IF(IF($AA$3=2,AND(E277=1,G277=1,L277=1,L280=1,M277=1,U277="IBU"),AND(E277=1,G277=1,L277=1,L280=1,M277=1)),T277,0),I277)</f>
        <v>0</v>
      </c>
      <c r="W277" s="26"/>
      <c r="X277" s="26"/>
      <c r="Y277" s="26"/>
      <c r="Z277" s="26"/>
      <c r="AA277" s="26"/>
      <c r="AB277" s="33"/>
    </row>
    <row r="278" spans="1:28" x14ac:dyDescent="0.3">
      <c r="A278" s="32">
        <f>VLOOKUP(YEAR(C278),Flags!$A$13:$B$95,2,FALSE)</f>
        <v>2</v>
      </c>
      <c r="B278" s="24">
        <f t="shared" si="432"/>
        <v>1951</v>
      </c>
      <c r="C278" s="25">
        <v>18840</v>
      </c>
      <c r="D278" s="26">
        <f>VLOOKUP($C278,COS!$B$8:$H$991,3,FALSE)</f>
        <v>16000</v>
      </c>
      <c r="E278" s="24">
        <f>IF(D278&gt;=IF(MONTH($C278)=4,$C$3,IF(MONTH($C278)=5,$C$4,IF(MONTH($C278)=6,$C$5,IF(MONTH($C278)=7,$C$6,"ERROR")))),1,0)</f>
        <v>1</v>
      </c>
      <c r="F278" s="26">
        <f>VLOOKUP($C278,COS!$B$8:$H$991,7,FALSE)</f>
        <v>50.000553131103516</v>
      </c>
      <c r="G278" s="24">
        <f>IF(F278&lt;=IF(MONTH($C278)=4,$F$3,IF(MONTH($C278)=5,$F$4,IF(MONTH($C278)=6,$F$5,IF(MONTH($C278)=7,$F$6,"ERROR")))),1,0)</f>
        <v>1</v>
      </c>
      <c r="H278" s="26">
        <f>IF(J278=1,D278-$C$6,0)</f>
        <v>4000</v>
      </c>
      <c r="I278" s="26">
        <f t="shared" si="342"/>
        <v>245.95041322314049</v>
      </c>
      <c r="J278" s="24">
        <f t="shared" si="434"/>
        <v>1</v>
      </c>
      <c r="K278" s="26">
        <f>VLOOKUP($C278,COS!$B$8:$H$991,2,FALSE)</f>
        <v>3378.982666015625</v>
      </c>
      <c r="L278" s="24">
        <f t="shared" si="435"/>
        <v>1</v>
      </c>
      <c r="M278" s="24">
        <f t="shared" si="436"/>
        <v>0</v>
      </c>
      <c r="N278" s="26">
        <f>VLOOKUP($C278,COS!$B$8:$H$991,5,FALSE)</f>
        <v>1073.9122314453125</v>
      </c>
      <c r="O278" s="26">
        <f t="shared" si="437"/>
        <v>66.032289272339867</v>
      </c>
      <c r="P278" s="26">
        <f>VLOOKUP($C278,COS!$B$8:$H$991,6,FALSE)</f>
        <v>2562.892822265625</v>
      </c>
      <c r="Q278" s="26">
        <f t="shared" si="438"/>
        <v>157.58613717071282</v>
      </c>
      <c r="R278" s="26">
        <f>MIN(IF(MONTH($C278)=4,$S$3,IF(MONTH($C278)=5,$S$4,IF(MONTH($C278)=6,$S$5,IF(MONTH($C278)=7,$S$6,"ERROR")))),MAX(VLOOKUP($C278,COS!$B$8:$K$991,10,FALSE)-IF(MONTH($C278)=4,$Y$3,IF(MONTH($C278)=5,$Y$4,IF(MONTH($C278)=6,$Y$5,IF(MONTH($C278)=7,$Y$6,"ERROR")))),0),MAX(VLOOKUP($C278,COS!$B$8:$K$991,9,FALSE)-IF(MONTH($C278)=4,$V$3,IF(MONTH($C278)=5,$V$4,IF(MONTH($C278)=6,$V$5,IF(MONTH($C278)=7,$V$6,"ERROR"))))-VLOOKUP($C278,COS!$B$8:$K$991,6,FALSE)/2,0))</f>
        <v>1500</v>
      </c>
      <c r="S278" s="26">
        <f t="shared" si="439"/>
        <v>92.231404958677686</v>
      </c>
      <c r="T278" s="26">
        <f t="shared" si="440"/>
        <v>204.04061818020404</v>
      </c>
      <c r="U278" s="26" t="str">
        <f>IF(VLOOKUP($C278,COS!$B$8:$I$991,8,FALSE)=1,"UWFE","IBU")</f>
        <v>IBU</v>
      </c>
      <c r="V278" s="26">
        <f t="shared" ref="V278" si="444">MIN(IF(IF($AA$3=2,AND(E278=1,G278=1,L278=1,L280=1,M278=1,U278="IBU"),AND(E278=1,G278=1,L278=1,L280=1,M278=1)),T278,0),I278)</f>
        <v>0</v>
      </c>
      <c r="W278" s="26"/>
      <c r="X278" s="26"/>
      <c r="Y278" s="26"/>
      <c r="Z278" s="26"/>
      <c r="AA278" s="26"/>
      <c r="AB278" s="33"/>
    </row>
    <row r="279" spans="1:28" x14ac:dyDescent="0.3">
      <c r="A279" s="32">
        <f>VLOOKUP(YEAR(C279),Flags!$A$13:$B$95,2,FALSE)</f>
        <v>2</v>
      </c>
      <c r="B279" s="24">
        <f t="shared" si="432"/>
        <v>1951</v>
      </c>
      <c r="C279" s="25">
        <v>18871</v>
      </c>
      <c r="D279" s="26"/>
      <c r="E279" s="24"/>
      <c r="F279" s="26"/>
      <c r="G279" s="24"/>
      <c r="H279" s="24"/>
      <c r="I279" s="26"/>
      <c r="J279" s="24"/>
      <c r="K279" s="26"/>
      <c r="L279" s="24"/>
      <c r="M279" s="24"/>
      <c r="N279" s="26"/>
      <c r="O279" s="26"/>
      <c r="P279" s="26"/>
      <c r="Q279" s="26"/>
      <c r="R279" s="26"/>
      <c r="S279" s="26"/>
      <c r="T279" s="26"/>
      <c r="U279" s="26"/>
      <c r="V279" s="26"/>
      <c r="W279" s="26">
        <f>MAX($C$7-VLOOKUP($C279,COS!$B$8:$H$991,3,FALSE),0)</f>
        <v>88694.990234375</v>
      </c>
      <c r="X279" s="26">
        <f t="shared" si="347"/>
        <v>5453.6423747417357</v>
      </c>
      <c r="Y279" s="26">
        <f>VLOOKUP($C279,COS!$B$8:$H$991,4,FALSE)</f>
        <v>0</v>
      </c>
      <c r="Z279" s="26">
        <f t="shared" si="348"/>
        <v>0</v>
      </c>
      <c r="AA279" s="26">
        <f t="shared" ref="AA279:AA283" si="445">MIN(W279,Y279)</f>
        <v>0</v>
      </c>
      <c r="AB279" s="33">
        <f t="shared" ref="AB279:AB337" si="446">AA279*DAY($C279)*86400/43560/1000*IF(MONTH($C279)=8,$P$3,IF(MONTH($C279)=9,$P$4,IF(MONTH($C279)=10,$P$5,IF(MONTH($C279)=11,$P$6,IF(MONTH($C279)=12,$P$7,NA())))))</f>
        <v>0</v>
      </c>
    </row>
    <row r="280" spans="1:28" x14ac:dyDescent="0.3">
      <c r="A280" s="32">
        <f>VLOOKUP(YEAR(C280),Flags!$A$13:$B$95,2,FALSE)</f>
        <v>2</v>
      </c>
      <c r="B280" s="24">
        <f t="shared" si="432"/>
        <v>1951</v>
      </c>
      <c r="C280" s="25">
        <v>18901</v>
      </c>
      <c r="D280" s="26"/>
      <c r="E280" s="24"/>
      <c r="F280" s="26"/>
      <c r="G280" s="24"/>
      <c r="H280" s="24"/>
      <c r="I280" s="26"/>
      <c r="J280" s="24"/>
      <c r="K280" s="26">
        <f>VLOOKUP($C280,COS!$B$8:$H$991,2,FALSE)</f>
        <v>2661.90625</v>
      </c>
      <c r="L280" s="24">
        <f t="shared" ref="L280" si="447">IF(AND(K280&gt;$I$7,K280&lt;$I$8),1,0)</f>
        <v>1</v>
      </c>
      <c r="M280" s="24"/>
      <c r="N280" s="26"/>
      <c r="O280" s="26"/>
      <c r="P280" s="26"/>
      <c r="Q280" s="26"/>
      <c r="R280" s="26"/>
      <c r="S280" s="26"/>
      <c r="T280" s="26"/>
      <c r="U280" s="26"/>
      <c r="V280" s="26"/>
      <c r="W280" s="26">
        <f>MAX($C$8-VLOOKUP($C280,COS!$B$8:$H$991,3,FALSE),0)</f>
        <v>90025.66796875</v>
      </c>
      <c r="X280" s="26">
        <f t="shared" si="347"/>
        <v>5356.8992510330572</v>
      </c>
      <c r="Y280" s="26">
        <f>VLOOKUP($C280,COS!$B$8:$H$991,4,FALSE)</f>
        <v>0</v>
      </c>
      <c r="Z280" s="26">
        <f t="shared" si="348"/>
        <v>0</v>
      </c>
      <c r="AA280" s="26">
        <f t="shared" si="445"/>
        <v>0</v>
      </c>
      <c r="AB280" s="33">
        <f t="shared" si="446"/>
        <v>0</v>
      </c>
    </row>
    <row r="281" spans="1:28" x14ac:dyDescent="0.3">
      <c r="A281" s="32">
        <f>VLOOKUP(YEAR(C281),Flags!$A$13:$B$95,2,FALSE)</f>
        <v>2</v>
      </c>
      <c r="B281" s="24">
        <f t="shared" si="432"/>
        <v>1951</v>
      </c>
      <c r="C281" s="25">
        <v>18932</v>
      </c>
      <c r="D281" s="26"/>
      <c r="E281" s="24"/>
      <c r="F281" s="26"/>
      <c r="G281" s="26"/>
      <c r="H281" s="26"/>
      <c r="I281" s="26"/>
      <c r="J281" s="26"/>
      <c r="K281" s="26"/>
      <c r="L281" s="24"/>
      <c r="M281" s="24"/>
      <c r="N281" s="26"/>
      <c r="O281" s="26"/>
      <c r="P281" s="26"/>
      <c r="Q281" s="26"/>
      <c r="R281" s="26"/>
      <c r="S281" s="26"/>
      <c r="T281" s="26"/>
      <c r="U281" s="26"/>
      <c r="V281" s="26"/>
      <c r="W281" s="26">
        <f>MAX($C$9-VLOOKUP($C281,COS!$B$8:$H$991,3,FALSE),0)</f>
        <v>92899.10302734375</v>
      </c>
      <c r="X281" s="26">
        <f t="shared" si="347"/>
        <v>5712.1431944085743</v>
      </c>
      <c r="Y281" s="26">
        <f>VLOOKUP($C281,COS!$B$8:$H$991,4,FALSE)</f>
        <v>951.9967041015625</v>
      </c>
      <c r="Z281" s="26">
        <f t="shared" si="348"/>
        <v>58.535995690211777</v>
      </c>
      <c r="AA281" s="26">
        <f t="shared" si="445"/>
        <v>951.9967041015625</v>
      </c>
      <c r="AB281" s="33">
        <f t="shared" si="446"/>
        <v>58.535995690211777</v>
      </c>
    </row>
    <row r="282" spans="1:28" x14ac:dyDescent="0.3">
      <c r="A282" s="32">
        <f>VLOOKUP(YEAR(C282),Flags!$A$13:$B$95,2,FALSE)</f>
        <v>2</v>
      </c>
      <c r="B282" s="24">
        <f t="shared" si="432"/>
        <v>1951</v>
      </c>
      <c r="C282" s="25">
        <v>18962</v>
      </c>
      <c r="D282" s="26"/>
      <c r="E282" s="24"/>
      <c r="F282" s="26"/>
      <c r="G282" s="26"/>
      <c r="H282" s="26"/>
      <c r="I282" s="26"/>
      <c r="J282" s="26"/>
      <c r="K282" s="26"/>
      <c r="L282" s="24"/>
      <c r="M282" s="24"/>
      <c r="N282" s="26"/>
      <c r="O282" s="26"/>
      <c r="P282" s="26"/>
      <c r="Q282" s="26"/>
      <c r="R282" s="26"/>
      <c r="S282" s="26"/>
      <c r="T282" s="26"/>
      <c r="U282" s="26"/>
      <c r="V282" s="26"/>
      <c r="W282" s="26">
        <f>MAX($C$10-VLOOKUP($C282,COS!$B$8:$H$991,3,FALSE),0)</f>
        <v>91653.669921875</v>
      </c>
      <c r="X282" s="26">
        <f t="shared" si="347"/>
        <v>5453.7720945247929</v>
      </c>
      <c r="Y282" s="26">
        <f>VLOOKUP($C282,COS!$B$8:$H$991,4,FALSE)</f>
        <v>1099.94921875</v>
      </c>
      <c r="Z282" s="26">
        <f t="shared" si="348"/>
        <v>65.451523760330574</v>
      </c>
      <c r="AA282" s="26">
        <f t="shared" si="445"/>
        <v>1099.94921875</v>
      </c>
      <c r="AB282" s="33">
        <f t="shared" si="446"/>
        <v>65.451523760330574</v>
      </c>
    </row>
    <row r="283" spans="1:28" x14ac:dyDescent="0.3">
      <c r="A283" s="34">
        <f>VLOOKUP(YEAR(C283),Flags!$A$13:$B$95,2,FALSE)</f>
        <v>2</v>
      </c>
      <c r="B283" s="35">
        <f t="shared" si="432"/>
        <v>1951</v>
      </c>
      <c r="C283" s="36">
        <v>18993</v>
      </c>
      <c r="D283" s="37"/>
      <c r="E283" s="35"/>
      <c r="F283" s="37"/>
      <c r="G283" s="37"/>
      <c r="H283" s="37"/>
      <c r="I283" s="37"/>
      <c r="J283" s="37"/>
      <c r="K283" s="37"/>
      <c r="L283" s="35"/>
      <c r="M283" s="35"/>
      <c r="N283" s="37"/>
      <c r="O283" s="37"/>
      <c r="P283" s="37"/>
      <c r="Q283" s="37"/>
      <c r="R283" s="37"/>
      <c r="S283" s="37"/>
      <c r="T283" s="37"/>
      <c r="U283" s="37"/>
      <c r="V283" s="37"/>
      <c r="W283" s="37">
        <f>MAX($C$11-VLOOKUP($C283,COS!$B$8:$H$991,3,FALSE),0)</f>
        <v>90461.541015625</v>
      </c>
      <c r="X283" s="37">
        <f t="shared" ref="X283:X346" si="448">W283*DAY($C283)*86400/43560/1000</f>
        <v>5562.2633483987602</v>
      </c>
      <c r="Y283" s="37">
        <f>VLOOKUP($C283,COS!$B$8:$H$991,4,FALSE)</f>
        <v>0</v>
      </c>
      <c r="Z283" s="37">
        <f t="shared" ref="Z283:Z346" si="449">Y283*DAY($C283)*86400/43560/1000</f>
        <v>0</v>
      </c>
      <c r="AA283" s="37">
        <f t="shared" si="445"/>
        <v>0</v>
      </c>
      <c r="AB283" s="38">
        <f t="shared" si="446"/>
        <v>0</v>
      </c>
    </row>
    <row r="284" spans="1:28" x14ac:dyDescent="0.3">
      <c r="A284" s="27">
        <f>VLOOKUP(YEAR(C284),Flags!$A$13:$B$95,2,FALSE)</f>
        <v>1</v>
      </c>
      <c r="B284" s="28">
        <f t="shared" si="432"/>
        <v>1952</v>
      </c>
      <c r="C284" s="29">
        <v>19114</v>
      </c>
      <c r="D284" s="30">
        <f>VLOOKUP($C284,COS!$B$8:$H$991,3,FALSE)</f>
        <v>16481.419921875</v>
      </c>
      <c r="E284" s="28">
        <f>IF(D284&gt;=IF(MONTH($C284)=4,$C$3,IF(MONTH($C284)=5,$C$4,IF(MONTH($C284)=6,$C$5,IF(MONTH($C284)=7,$C$6,"ERROR")))),1,0)</f>
        <v>1</v>
      </c>
      <c r="F284" s="30">
        <f>VLOOKUP($C284,COS!$B$8:$H$991,7,FALSE)</f>
        <v>46.811973571777344</v>
      </c>
      <c r="G284" s="28">
        <f>IF(F284&lt;=IF(MONTH($C284)=4,$F$3,IF(MONTH($C284)=5,$F$4,IF(MONTH($C284)=6,$F$5,IF(MONTH($C284)=7,$F$6,"ERROR")))),1,0)</f>
        <v>1</v>
      </c>
      <c r="H284" s="30">
        <f>IF(J284=1,D284-$C$3,0)</f>
        <v>10481.419921875</v>
      </c>
      <c r="I284" s="30">
        <f t="shared" ref="I284:I347" si="450">H284*DAY($C284)*86400/43560/1000</f>
        <v>623.68779700413222</v>
      </c>
      <c r="J284" s="28">
        <f t="shared" ref="J284:J287" si="451">IF(AND(E284=1,G284=1),1,0)</f>
        <v>1</v>
      </c>
      <c r="K284" s="30">
        <f>VLOOKUP($C284,COS!$B$8:$H$991,2,FALSE)</f>
        <v>4290</v>
      </c>
      <c r="L284" s="28">
        <f t="shared" ref="L284" si="452">IF(K284&lt;=IF(MONTH($C284)=4,$I$3,IF(MONTH($C284)=5,$I$4,IF(MONTH($C284)=6,$I$5,IF(MONTH($C284)=7,$I$6,"ERROR")))),1,0)</f>
        <v>1</v>
      </c>
      <c r="M284" s="28">
        <f t="shared" ref="M284" si="453">VLOOKUP($A284,$L$3:$M$7,2,FALSE)</f>
        <v>0</v>
      </c>
      <c r="N284" s="30">
        <f>VLOOKUP($C284,COS!$B$8:$H$991,5,FALSE)</f>
        <v>93.1021728515625</v>
      </c>
      <c r="O284" s="30">
        <f t="shared" ref="O284:O287" si="454">N284*DAY($C284)*86400/43560/1000</f>
        <v>5.5399640043904954</v>
      </c>
      <c r="P284" s="30">
        <f>VLOOKUP($C284,COS!$B$8:$H$991,6,FALSE)</f>
        <v>430.79507446289063</v>
      </c>
      <c r="Q284" s="30">
        <f t="shared" ref="Q284:Q287" si="455">P284*DAY($C284)*86400/43560/1000</f>
        <v>25.63408707547779</v>
      </c>
      <c r="R284" s="30">
        <f>MIN(IF(MONTH($C284)=4,$S$3,IF(MONTH($C284)=5,$S$4,IF(MONTH($C284)=6,$S$5,IF(MONTH($C284)=7,$S$6,"ERROR")))),MAX(VLOOKUP($C284,COS!$B$8:$K$991,10,FALSE)-IF(MONTH($C284)=4,$Y$3,IF(MONTH($C284)=5,$Y$4,IF(MONTH($C284)=6,$Y$5,IF(MONTH($C284)=7,$Y$6,"ERROR")))),0),MAX(VLOOKUP($C284,COS!$B$8:$K$991,9,FALSE)-IF(MONTH($C284)=4,$V$3,IF(MONTH($C284)=5,$V$4,IF(MONTH($C284)=6,$V$5,IF(MONTH($C284)=7,$V$6,"ERROR"))))-VLOOKUP($C284,COS!$B$8:$K$991,6,FALSE)/2,0))</f>
        <v>1500</v>
      </c>
      <c r="S284" s="30">
        <f t="shared" ref="S284:S287" si="456">R284*DAY($C284)*86400/43560/1000</f>
        <v>89.256198347107429</v>
      </c>
      <c r="T284" s="30">
        <f t="shared" ref="T284:T287" si="457">(O284+Q284)/2+S284</f>
        <v>104.84322388704157</v>
      </c>
      <c r="U284" s="30" t="str">
        <f>IF(VLOOKUP($C284,COS!$B$8:$I$991,8,FALSE)=1,"UWFE","IBU")</f>
        <v>UWFE</v>
      </c>
      <c r="V284" s="30">
        <f t="shared" ref="V284" si="458">MIN(IF(IF($AA$3=2,AND(E284=1,G284=1,L284=1,L289=1,M284=1,U284="IBU"),AND(E284=1,G284=1,L284=1,L289=1,M284=1)),T284,0),I284)</f>
        <v>0</v>
      </c>
      <c r="W284" s="30"/>
      <c r="X284" s="30"/>
      <c r="Y284" s="30"/>
      <c r="Z284" s="30"/>
      <c r="AA284" s="30"/>
      <c r="AB284" s="31"/>
    </row>
    <row r="285" spans="1:28" x14ac:dyDescent="0.3">
      <c r="A285" s="32">
        <f>VLOOKUP(YEAR(C285),Flags!$A$13:$B$95,2,FALSE)</f>
        <v>1</v>
      </c>
      <c r="B285" s="24">
        <f t="shared" si="432"/>
        <v>1952</v>
      </c>
      <c r="C285" s="25">
        <v>19145</v>
      </c>
      <c r="D285" s="26">
        <f>VLOOKUP($C285,COS!$B$8:$H$991,3,FALSE)</f>
        <v>7205.154296875</v>
      </c>
      <c r="E285" s="24">
        <f>IF(D285&gt;=IF(MONTH($C285)=4,$C$3,IF(MONTH($C285)=5,$C$4,IF(MONTH($C285)=6,$C$5,IF(MONTH($C285)=7,$C$6,"ERROR")))),1,0)</f>
        <v>1</v>
      </c>
      <c r="F285" s="26">
        <f>VLOOKUP($C285,COS!$B$8:$H$991,7,FALSE)</f>
        <v>49.908802032470703</v>
      </c>
      <c r="G285" s="24">
        <f>IF(F285&lt;=IF(MONTH($C285)=4,$F$3,IF(MONTH($C285)=5,$F$4,IF(MONTH($C285)=6,$F$5,IF(MONTH($C285)=7,$F$6,"ERROR")))),1,0)</f>
        <v>1</v>
      </c>
      <c r="H285" s="26">
        <f>IF(J285=1,D285-$C$4,0)</f>
        <v>1205.154296875</v>
      </c>
      <c r="I285" s="26">
        <f t="shared" si="450"/>
        <v>74.102049328512393</v>
      </c>
      <c r="J285" s="24">
        <f t="shared" si="451"/>
        <v>1</v>
      </c>
      <c r="K285" s="26">
        <f>VLOOKUP($C285,COS!$B$8:$H$991,2,FALSE)</f>
        <v>4552</v>
      </c>
      <c r="L285" s="24">
        <f t="shared" si="435"/>
        <v>1</v>
      </c>
      <c r="M285" s="24">
        <f t="shared" si="436"/>
        <v>0</v>
      </c>
      <c r="N285" s="26">
        <f>VLOOKUP($C285,COS!$B$8:$H$991,5,FALSE)</f>
        <v>740.753662109375</v>
      </c>
      <c r="O285" s="26">
        <f t="shared" si="454"/>
        <v>45.547167323088843</v>
      </c>
      <c r="P285" s="26">
        <f>VLOOKUP($C285,COS!$B$8:$H$991,6,FALSE)</f>
        <v>2298.94775390625</v>
      </c>
      <c r="Q285" s="26">
        <f t="shared" si="455"/>
        <v>141.35678751291323</v>
      </c>
      <c r="R285" s="26">
        <f>MIN(IF(MONTH($C285)=4,$S$3,IF(MONTH($C285)=5,$S$4,IF(MONTH($C285)=6,$S$5,IF(MONTH($C285)=7,$S$6,"ERROR")))),MAX(VLOOKUP($C285,COS!$B$8:$K$991,10,FALSE)-IF(MONTH($C285)=4,$Y$3,IF(MONTH($C285)=5,$Y$4,IF(MONTH($C285)=6,$Y$5,IF(MONTH($C285)=7,$Y$6,"ERROR")))),0),MAX(VLOOKUP($C285,COS!$B$8:$K$991,9,FALSE)-IF(MONTH($C285)=4,$V$3,IF(MONTH($C285)=5,$V$4,IF(MONTH($C285)=6,$V$5,IF(MONTH($C285)=7,$V$6,"ERROR"))))-VLOOKUP($C285,COS!$B$8:$K$991,6,FALSE)/2,0))</f>
        <v>1500</v>
      </c>
      <c r="S285" s="26">
        <f t="shared" si="456"/>
        <v>92.231404958677686</v>
      </c>
      <c r="T285" s="26">
        <f t="shared" si="457"/>
        <v>185.68338237667871</v>
      </c>
      <c r="U285" s="26" t="str">
        <f>IF(VLOOKUP($C285,COS!$B$8:$I$991,8,FALSE)=1,"UWFE","IBU")</f>
        <v>UWFE</v>
      </c>
      <c r="V285" s="26">
        <f t="shared" ref="V285" si="459">MIN(IF(IF($AA$3=2,AND(E285=1,G285=1,L285=1,L289=1,M285=1,U285="IBU"),AND(E285=1,G285=1,L285=1,L289=1,M285=1)),T285,0),I285)</f>
        <v>0</v>
      </c>
      <c r="W285" s="26"/>
      <c r="X285" s="26"/>
      <c r="Y285" s="26"/>
      <c r="Z285" s="26"/>
      <c r="AA285" s="26"/>
      <c r="AB285" s="33"/>
    </row>
    <row r="286" spans="1:28" x14ac:dyDescent="0.3">
      <c r="A286" s="32">
        <f>VLOOKUP(YEAR(C286),Flags!$A$13:$B$95,2,FALSE)</f>
        <v>1</v>
      </c>
      <c r="B286" s="24">
        <f t="shared" si="432"/>
        <v>1952</v>
      </c>
      <c r="C286" s="25">
        <v>19175</v>
      </c>
      <c r="D286" s="26">
        <f>VLOOKUP($C286,COS!$B$8:$H$991,3,FALSE)</f>
        <v>6688.24560546875</v>
      </c>
      <c r="E286" s="24">
        <f>IF(D286&gt;=IF(MONTH($C286)=4,$C$3,IF(MONTH($C286)=5,$C$4,IF(MONTH($C286)=6,$C$5,IF(MONTH($C286)=7,$C$6,"ERROR")))),1,0)</f>
        <v>0</v>
      </c>
      <c r="F286" s="26">
        <f>VLOOKUP($C286,COS!$B$8:$H$991,7,FALSE)</f>
        <v>51.496559143066406</v>
      </c>
      <c r="G286" s="24">
        <f>IF(F286&lt;=IF(MONTH($C286)=4,$F$3,IF(MONTH($C286)=5,$F$4,IF(MONTH($C286)=6,$F$5,IF(MONTH($C286)=7,$F$6,"ERROR")))),1,0)</f>
        <v>1</v>
      </c>
      <c r="H286" s="26">
        <f>IF(J286=1,D286-$C$5,0)</f>
        <v>0</v>
      </c>
      <c r="I286" s="26">
        <f t="shared" si="450"/>
        <v>0</v>
      </c>
      <c r="J286" s="24">
        <f t="shared" si="451"/>
        <v>0</v>
      </c>
      <c r="K286" s="26">
        <f>VLOOKUP($C286,COS!$B$8:$H$991,2,FALSE)</f>
        <v>4500</v>
      </c>
      <c r="L286" s="24">
        <f t="shared" si="435"/>
        <v>1</v>
      </c>
      <c r="M286" s="24">
        <f t="shared" si="436"/>
        <v>0</v>
      </c>
      <c r="N286" s="26">
        <f>VLOOKUP($C286,COS!$B$8:$H$991,5,FALSE)</f>
        <v>1056.9393310546875</v>
      </c>
      <c r="O286" s="26">
        <f t="shared" si="454"/>
        <v>62.892257715650828</v>
      </c>
      <c r="P286" s="26">
        <f>VLOOKUP($C286,COS!$B$8:$H$991,6,FALSE)</f>
        <v>2224.63916015625</v>
      </c>
      <c r="Q286" s="26">
        <f t="shared" si="455"/>
        <v>132.37522275309917</v>
      </c>
      <c r="R286" s="26">
        <f>MIN(IF(MONTH($C286)=4,$S$3,IF(MONTH($C286)=5,$S$4,IF(MONTH($C286)=6,$S$5,IF(MONTH($C286)=7,$S$6,"ERROR")))),MAX(VLOOKUP($C286,COS!$B$8:$K$991,10,FALSE)-IF(MONTH($C286)=4,$Y$3,IF(MONTH($C286)=5,$Y$4,IF(MONTH($C286)=6,$Y$5,IF(MONTH($C286)=7,$Y$6,"ERROR")))),0),MAX(VLOOKUP($C286,COS!$B$8:$K$991,9,FALSE)-IF(MONTH($C286)=4,$V$3,IF(MONTH($C286)=5,$V$4,IF(MONTH($C286)=6,$V$5,IF(MONTH($C286)=7,$V$6,"ERROR"))))-VLOOKUP($C286,COS!$B$8:$K$991,6,FALSE)/2,0))</f>
        <v>1500</v>
      </c>
      <c r="S286" s="26">
        <f t="shared" si="456"/>
        <v>89.256198347107429</v>
      </c>
      <c r="T286" s="26">
        <f t="shared" si="457"/>
        <v>186.88993858148243</v>
      </c>
      <c r="U286" s="26" t="str">
        <f>IF(VLOOKUP($C286,COS!$B$8:$I$991,8,FALSE)=1,"UWFE","IBU")</f>
        <v>UWFE</v>
      </c>
      <c r="V286" s="26">
        <f t="shared" ref="V286" si="460">MIN(IF(IF($AA$3=2,AND(E286=1,G286=1,L286=1,L289=1,M286=1,U286="IBU"),AND(E286=1,G286=1,L286=1,L289=1,M286=1)),T286,0),I286)</f>
        <v>0</v>
      </c>
      <c r="W286" s="26"/>
      <c r="X286" s="26"/>
      <c r="Y286" s="26"/>
      <c r="Z286" s="26"/>
      <c r="AA286" s="26"/>
      <c r="AB286" s="33"/>
    </row>
    <row r="287" spans="1:28" x14ac:dyDescent="0.3">
      <c r="A287" s="32">
        <f>VLOOKUP(YEAR(C287),Flags!$A$13:$B$95,2,FALSE)</f>
        <v>1</v>
      </c>
      <c r="B287" s="24">
        <f t="shared" si="432"/>
        <v>1952</v>
      </c>
      <c r="C287" s="25">
        <v>19206</v>
      </c>
      <c r="D287" s="26">
        <f>VLOOKUP($C287,COS!$B$8:$H$991,3,FALSE)</f>
        <v>9808.591796875</v>
      </c>
      <c r="E287" s="24">
        <f>IF(D287&gt;=IF(MONTH($C287)=4,$C$3,IF(MONTH($C287)=5,$C$4,IF(MONTH($C287)=6,$C$5,IF(MONTH($C287)=7,$C$6,"ERROR")))),1,0)</f>
        <v>0</v>
      </c>
      <c r="F287" s="26">
        <f>VLOOKUP($C287,COS!$B$8:$H$991,7,FALSE)</f>
        <v>52.452281951904297</v>
      </c>
      <c r="G287" s="24">
        <f>IF(F287&lt;=IF(MONTH($C287)=4,$F$3,IF(MONTH($C287)=5,$F$4,IF(MONTH($C287)=6,$F$5,IF(MONTH($C287)=7,$F$6,"ERROR")))),1,0)</f>
        <v>1</v>
      </c>
      <c r="H287" s="26">
        <f>IF(J287=1,D287-$C$6,0)</f>
        <v>0</v>
      </c>
      <c r="I287" s="26">
        <f t="shared" si="450"/>
        <v>0</v>
      </c>
      <c r="J287" s="24">
        <f t="shared" si="451"/>
        <v>0</v>
      </c>
      <c r="K287" s="26">
        <f>VLOOKUP($C287,COS!$B$8:$H$991,2,FALSE)</f>
        <v>4145.533203125</v>
      </c>
      <c r="L287" s="24">
        <f t="shared" si="435"/>
        <v>1</v>
      </c>
      <c r="M287" s="24">
        <f t="shared" si="436"/>
        <v>0</v>
      </c>
      <c r="N287" s="26">
        <f>VLOOKUP($C287,COS!$B$8:$H$991,5,FALSE)</f>
        <v>1272.6998291015625</v>
      </c>
      <c r="O287" s="26">
        <f t="shared" si="454"/>
        <v>78.255262219137393</v>
      </c>
      <c r="P287" s="26">
        <f>VLOOKUP($C287,COS!$B$8:$H$991,6,FALSE)</f>
        <v>2503.0556640625</v>
      </c>
      <c r="Q287" s="26">
        <f t="shared" si="455"/>
        <v>153.90689372417353</v>
      </c>
      <c r="R287" s="26">
        <f>MIN(IF(MONTH($C287)=4,$S$3,IF(MONTH($C287)=5,$S$4,IF(MONTH($C287)=6,$S$5,IF(MONTH($C287)=7,$S$6,"ERROR")))),MAX(VLOOKUP($C287,COS!$B$8:$K$991,10,FALSE)-IF(MONTH($C287)=4,$Y$3,IF(MONTH($C287)=5,$Y$4,IF(MONTH($C287)=6,$Y$5,IF(MONTH($C287)=7,$Y$6,"ERROR")))),0),MAX(VLOOKUP($C287,COS!$B$8:$K$991,9,FALSE)-IF(MONTH($C287)=4,$V$3,IF(MONTH($C287)=5,$V$4,IF(MONTH($C287)=6,$V$5,IF(MONTH($C287)=7,$V$6,"ERROR"))))-VLOOKUP($C287,COS!$B$8:$K$991,6,FALSE)/2,0))</f>
        <v>1500</v>
      </c>
      <c r="S287" s="26">
        <f t="shared" si="456"/>
        <v>92.231404958677686</v>
      </c>
      <c r="T287" s="26">
        <f t="shared" si="457"/>
        <v>208.31248293033315</v>
      </c>
      <c r="U287" s="26" t="str">
        <f>IF(VLOOKUP($C287,COS!$B$8:$I$991,8,FALSE)=1,"UWFE","IBU")</f>
        <v>UWFE</v>
      </c>
      <c r="V287" s="26">
        <f t="shared" ref="V287" si="461">MIN(IF(IF($AA$3=2,AND(E287=1,G287=1,L287=1,L289=1,M287=1,U287="IBU"),AND(E287=1,G287=1,L287=1,L289=1,M287=1)),T287,0),I287)</f>
        <v>0</v>
      </c>
      <c r="W287" s="26"/>
      <c r="X287" s="26"/>
      <c r="Y287" s="26"/>
      <c r="Z287" s="26"/>
      <c r="AA287" s="26"/>
      <c r="AB287" s="33"/>
    </row>
    <row r="288" spans="1:28" x14ac:dyDescent="0.3">
      <c r="A288" s="32">
        <f>VLOOKUP(YEAR(C288),Flags!$A$13:$B$95,2,FALSE)</f>
        <v>1</v>
      </c>
      <c r="B288" s="24">
        <f t="shared" si="432"/>
        <v>1952</v>
      </c>
      <c r="C288" s="25">
        <v>19237</v>
      </c>
      <c r="D288" s="26"/>
      <c r="E288" s="24"/>
      <c r="F288" s="26"/>
      <c r="G288" s="24"/>
      <c r="H288" s="24"/>
      <c r="I288" s="26"/>
      <c r="J288" s="24"/>
      <c r="K288" s="26"/>
      <c r="L288" s="24"/>
      <c r="M288" s="24"/>
      <c r="N288" s="26"/>
      <c r="O288" s="26"/>
      <c r="P288" s="26"/>
      <c r="Q288" s="26"/>
      <c r="R288" s="26"/>
      <c r="S288" s="26"/>
      <c r="T288" s="26"/>
      <c r="U288" s="26"/>
      <c r="V288" s="26"/>
      <c r="W288" s="26">
        <f>MAX($C$7-VLOOKUP($C288,COS!$B$8:$H$991,3,FALSE),0)</f>
        <v>88187.6650390625</v>
      </c>
      <c r="X288" s="26">
        <f t="shared" si="448"/>
        <v>5422.4481643853305</v>
      </c>
      <c r="Y288" s="26">
        <f>VLOOKUP($C288,COS!$B$8:$H$991,4,FALSE)</f>
        <v>0</v>
      </c>
      <c r="Z288" s="26">
        <f t="shared" si="449"/>
        <v>0</v>
      </c>
      <c r="AA288" s="26">
        <f t="shared" ref="AA288:AA292" si="462">MIN(W288,Y288)</f>
        <v>0</v>
      </c>
      <c r="AB288" s="33">
        <f t="shared" ref="AB288" si="463">AA288*DAY($C288)*86400/43560/1000*IF(MONTH($C288)=8,$P$3,IF(MONTH($C288)=9,$P$4,IF(MONTH($C288)=10,$P$5,IF(MONTH($C288)=11,$P$6,IF(MONTH($C288)=12,$P$7,NA())))))</f>
        <v>0</v>
      </c>
    </row>
    <row r="289" spans="1:28" x14ac:dyDescent="0.3">
      <c r="A289" s="32">
        <f>VLOOKUP(YEAR(C289),Flags!$A$13:$B$95,2,FALSE)</f>
        <v>1</v>
      </c>
      <c r="B289" s="24">
        <f t="shared" si="432"/>
        <v>1952</v>
      </c>
      <c r="C289" s="25">
        <v>19267</v>
      </c>
      <c r="D289" s="26"/>
      <c r="E289" s="24"/>
      <c r="F289" s="26"/>
      <c r="G289" s="24"/>
      <c r="H289" s="24"/>
      <c r="I289" s="26"/>
      <c r="J289" s="24"/>
      <c r="K289" s="26">
        <f>VLOOKUP($C289,COS!$B$8:$H$991,2,FALSE)</f>
        <v>3316.7529296875</v>
      </c>
      <c r="L289" s="24">
        <f t="shared" ref="L289" si="464">IF(AND(K289&gt;$I$7,K289&lt;$I$8),1,0)</f>
        <v>1</v>
      </c>
      <c r="M289" s="24"/>
      <c r="N289" s="26"/>
      <c r="O289" s="26"/>
      <c r="P289" s="26"/>
      <c r="Q289" s="26"/>
      <c r="R289" s="26"/>
      <c r="S289" s="26"/>
      <c r="T289" s="26"/>
      <c r="U289" s="26"/>
      <c r="V289" s="26"/>
      <c r="W289" s="26">
        <f>MAX($C$8-VLOOKUP($C289,COS!$B$8:$H$991,3,FALSE),0)</f>
        <v>87814.3583984375</v>
      </c>
      <c r="X289" s="26">
        <f t="shared" si="448"/>
        <v>5225.3171939566118</v>
      </c>
      <c r="Y289" s="26">
        <f>VLOOKUP($C289,COS!$B$8:$H$991,4,FALSE)</f>
        <v>38.310874938964844</v>
      </c>
      <c r="Z289" s="26">
        <f t="shared" si="449"/>
        <v>2.2796553682689824</v>
      </c>
      <c r="AA289" s="26">
        <f t="shared" si="462"/>
        <v>38.310874938964844</v>
      </c>
      <c r="AB289" s="33">
        <f t="shared" si="446"/>
        <v>2.2796553682689824</v>
      </c>
    </row>
    <row r="290" spans="1:28" x14ac:dyDescent="0.3">
      <c r="A290" s="32">
        <f>VLOOKUP(YEAR(C290),Flags!$A$13:$B$95,2,FALSE)</f>
        <v>1</v>
      </c>
      <c r="B290" s="24">
        <f t="shared" si="432"/>
        <v>1952</v>
      </c>
      <c r="C290" s="25">
        <v>19298</v>
      </c>
      <c r="D290" s="26"/>
      <c r="E290" s="24"/>
      <c r="F290" s="26"/>
      <c r="G290" s="26"/>
      <c r="H290" s="26"/>
      <c r="I290" s="26"/>
      <c r="J290" s="26"/>
      <c r="K290" s="26"/>
      <c r="L290" s="24"/>
      <c r="M290" s="24"/>
      <c r="N290" s="26"/>
      <c r="O290" s="26"/>
      <c r="P290" s="26"/>
      <c r="Q290" s="26"/>
      <c r="R290" s="26"/>
      <c r="S290" s="26"/>
      <c r="T290" s="26"/>
      <c r="U290" s="26"/>
      <c r="V290" s="26"/>
      <c r="W290" s="26">
        <f>MAX($C$9-VLOOKUP($C290,COS!$B$8:$H$991,3,FALSE),0)</f>
        <v>92103.11669921875</v>
      </c>
      <c r="X290" s="26">
        <f t="shared" si="448"/>
        <v>5663.1999028279961</v>
      </c>
      <c r="Y290" s="26">
        <f>VLOOKUP($C290,COS!$B$8:$H$991,4,FALSE)</f>
        <v>203.00856018066406</v>
      </c>
      <c r="Z290" s="26">
        <f t="shared" si="449"/>
        <v>12.482509816067278</v>
      </c>
      <c r="AA290" s="26">
        <f t="shared" si="462"/>
        <v>203.00856018066406</v>
      </c>
      <c r="AB290" s="33">
        <f t="shared" si="446"/>
        <v>12.482509816067278</v>
      </c>
    </row>
    <row r="291" spans="1:28" x14ac:dyDescent="0.3">
      <c r="A291" s="32">
        <f>VLOOKUP(YEAR(C291),Flags!$A$13:$B$95,2,FALSE)</f>
        <v>1</v>
      </c>
      <c r="B291" s="24">
        <f t="shared" si="432"/>
        <v>1952</v>
      </c>
      <c r="C291" s="25">
        <v>19328</v>
      </c>
      <c r="D291" s="26"/>
      <c r="E291" s="24"/>
      <c r="F291" s="26"/>
      <c r="G291" s="26"/>
      <c r="H291" s="26"/>
      <c r="I291" s="26"/>
      <c r="J291" s="26"/>
      <c r="K291" s="26"/>
      <c r="L291" s="24"/>
      <c r="M291" s="24"/>
      <c r="N291" s="26"/>
      <c r="O291" s="26"/>
      <c r="P291" s="26"/>
      <c r="Q291" s="26"/>
      <c r="R291" s="26"/>
      <c r="S291" s="26"/>
      <c r="T291" s="26"/>
      <c r="U291" s="26"/>
      <c r="V291" s="26"/>
      <c r="W291" s="26">
        <f>MAX($C$10-VLOOKUP($C291,COS!$B$8:$H$991,3,FALSE),0)</f>
        <v>89899.2255859375</v>
      </c>
      <c r="X291" s="26">
        <f t="shared" si="448"/>
        <v>5349.3754067665295</v>
      </c>
      <c r="Y291" s="26">
        <f>VLOOKUP($C291,COS!$B$8:$H$991,4,FALSE)</f>
        <v>736.8885498046875</v>
      </c>
      <c r="Z291" s="26">
        <f t="shared" si="449"/>
        <v>43.847913707386361</v>
      </c>
      <c r="AA291" s="26">
        <f t="shared" si="462"/>
        <v>736.8885498046875</v>
      </c>
      <c r="AB291" s="33">
        <f t="shared" si="446"/>
        <v>43.847913707386361</v>
      </c>
    </row>
    <row r="292" spans="1:28" x14ac:dyDescent="0.3">
      <c r="A292" s="34">
        <f>VLOOKUP(YEAR(C292),Flags!$A$13:$B$95,2,FALSE)</f>
        <v>1</v>
      </c>
      <c r="B292" s="35">
        <f t="shared" si="432"/>
        <v>1952</v>
      </c>
      <c r="C292" s="36">
        <v>19359</v>
      </c>
      <c r="D292" s="37"/>
      <c r="E292" s="35"/>
      <c r="F292" s="37"/>
      <c r="G292" s="37"/>
      <c r="H292" s="37"/>
      <c r="I292" s="37"/>
      <c r="J292" s="37"/>
      <c r="K292" s="37"/>
      <c r="L292" s="35"/>
      <c r="M292" s="35"/>
      <c r="N292" s="37"/>
      <c r="O292" s="37"/>
      <c r="P292" s="37"/>
      <c r="Q292" s="37"/>
      <c r="R292" s="37"/>
      <c r="S292" s="37"/>
      <c r="T292" s="37"/>
      <c r="U292" s="37"/>
      <c r="V292" s="37"/>
      <c r="W292" s="37">
        <f>MAX($C$11-VLOOKUP($C292,COS!$B$8:$H$991,3,FALSE),0)</f>
        <v>92605.8154296875</v>
      </c>
      <c r="X292" s="37">
        <f t="shared" si="448"/>
        <v>5694.10964294938</v>
      </c>
      <c r="Y292" s="37">
        <f>VLOOKUP($C292,COS!$B$8:$H$991,4,FALSE)</f>
        <v>0</v>
      </c>
      <c r="Z292" s="37">
        <f t="shared" si="449"/>
        <v>0</v>
      </c>
      <c r="AA292" s="37">
        <f t="shared" si="462"/>
        <v>0</v>
      </c>
      <c r="AB292" s="38">
        <f t="shared" si="446"/>
        <v>0</v>
      </c>
    </row>
    <row r="293" spans="1:28" x14ac:dyDescent="0.3">
      <c r="A293" s="27">
        <f>VLOOKUP(YEAR(C293),Flags!$A$13:$B$95,2,FALSE)</f>
        <v>1</v>
      </c>
      <c r="B293" s="28">
        <f t="shared" si="432"/>
        <v>1953</v>
      </c>
      <c r="C293" s="29">
        <v>19479</v>
      </c>
      <c r="D293" s="30">
        <f>VLOOKUP($C293,COS!$B$8:$H$991,3,FALSE)</f>
        <v>5435.791015625</v>
      </c>
      <c r="E293" s="28">
        <f>IF(D293&gt;=IF(MONTH($C293)=4,$C$3,IF(MONTH($C293)=5,$C$4,IF(MONTH($C293)=6,$C$5,IF(MONTH($C293)=7,$C$6,"ERROR")))),1,0)</f>
        <v>0</v>
      </c>
      <c r="F293" s="30">
        <f>VLOOKUP($C293,COS!$B$8:$H$991,7,FALSE)</f>
        <v>48.983604431152344</v>
      </c>
      <c r="G293" s="28">
        <f>IF(F293&lt;=IF(MONTH($C293)=4,$F$3,IF(MONTH($C293)=5,$F$4,IF(MONTH($C293)=6,$F$5,IF(MONTH($C293)=7,$F$6,"ERROR")))),1,0)</f>
        <v>1</v>
      </c>
      <c r="H293" s="30">
        <f>IF(J293=1,D293-$C$3,0)</f>
        <v>0</v>
      </c>
      <c r="I293" s="30">
        <f t="shared" si="450"/>
        <v>0</v>
      </c>
      <c r="J293" s="28">
        <f t="shared" ref="J293:J296" si="465">IF(AND(E293=1,G293=1),1,0)</f>
        <v>0</v>
      </c>
      <c r="K293" s="30">
        <f>VLOOKUP($C293,COS!$B$8:$H$991,2,FALSE)</f>
        <v>4552</v>
      </c>
      <c r="L293" s="28">
        <f t="shared" ref="L293" si="466">IF(K293&lt;=IF(MONTH($C293)=4,$I$3,IF(MONTH($C293)=5,$I$4,IF(MONTH($C293)=6,$I$5,IF(MONTH($C293)=7,$I$6,"ERROR")))),1,0)</f>
        <v>1</v>
      </c>
      <c r="M293" s="28">
        <f t="shared" ref="M293" si="467">VLOOKUP($A293,$L$3:$M$7,2,FALSE)</f>
        <v>0</v>
      </c>
      <c r="N293" s="30">
        <f>VLOOKUP($C293,COS!$B$8:$H$991,5,FALSE)</f>
        <v>445.47723388671875</v>
      </c>
      <c r="O293" s="30">
        <f t="shared" ref="O293:O296" si="468">N293*DAY($C293)*86400/43560/1000</f>
        <v>26.507736231275828</v>
      </c>
      <c r="P293" s="30">
        <f>VLOOKUP($C293,COS!$B$8:$H$991,6,FALSE)</f>
        <v>432.80410766601563</v>
      </c>
      <c r="Q293" s="30">
        <f t="shared" ref="Q293:Q296" si="469">P293*DAY($C293)*86400/43560/1000</f>
        <v>25.753632852853823</v>
      </c>
      <c r="R293" s="30">
        <f>MIN(IF(MONTH($C293)=4,$S$3,IF(MONTH($C293)=5,$S$4,IF(MONTH($C293)=6,$S$5,IF(MONTH($C293)=7,$S$6,"ERROR")))),MAX(VLOOKUP($C293,COS!$B$8:$K$991,10,FALSE)-IF(MONTH($C293)=4,$Y$3,IF(MONTH($C293)=5,$Y$4,IF(MONTH($C293)=6,$Y$5,IF(MONTH($C293)=7,$Y$6,"ERROR")))),0),MAX(VLOOKUP($C293,COS!$B$8:$K$991,9,FALSE)-IF(MONTH($C293)=4,$V$3,IF(MONTH($C293)=5,$V$4,IF(MONTH($C293)=6,$V$5,IF(MONTH($C293)=7,$V$6,"ERROR"))))-VLOOKUP($C293,COS!$B$8:$K$991,6,FALSE)/2,0))</f>
        <v>1500</v>
      </c>
      <c r="S293" s="30">
        <f t="shared" ref="S293:S296" si="470">R293*DAY($C293)*86400/43560/1000</f>
        <v>89.256198347107429</v>
      </c>
      <c r="T293" s="30">
        <f t="shared" ref="T293:T296" si="471">(O293+Q293)/2+S293</f>
        <v>115.38688288917226</v>
      </c>
      <c r="U293" s="30" t="str">
        <f>IF(VLOOKUP($C293,COS!$B$8:$I$991,8,FALSE)=1,"UWFE","IBU")</f>
        <v>UWFE</v>
      </c>
      <c r="V293" s="30">
        <f t="shared" ref="V293" si="472">MIN(IF(IF($AA$3=2,AND(E293=1,G293=1,L293=1,L298=1,M293=1,U293="IBU"),AND(E293=1,G293=1,L293=1,L298=1,M293=1)),T293,0),I293)</f>
        <v>0</v>
      </c>
      <c r="W293" s="30"/>
      <c r="X293" s="30"/>
      <c r="Y293" s="30"/>
      <c r="Z293" s="30"/>
      <c r="AA293" s="30"/>
      <c r="AB293" s="31"/>
    </row>
    <row r="294" spans="1:28" x14ac:dyDescent="0.3">
      <c r="A294" s="32">
        <f>VLOOKUP(YEAR(C294),Flags!$A$13:$B$95,2,FALSE)</f>
        <v>1</v>
      </c>
      <c r="B294" s="24">
        <f t="shared" si="432"/>
        <v>1953</v>
      </c>
      <c r="C294" s="25">
        <v>19510</v>
      </c>
      <c r="D294" s="26">
        <f>VLOOKUP($C294,COS!$B$8:$H$991,3,FALSE)</f>
        <v>9500.9638671875</v>
      </c>
      <c r="E294" s="24">
        <f>IF(D294&gt;=IF(MONTH($C294)=4,$C$3,IF(MONTH($C294)=5,$C$4,IF(MONTH($C294)=6,$C$5,IF(MONTH($C294)=7,$C$6,"ERROR")))),1,0)</f>
        <v>1</v>
      </c>
      <c r="F294" s="26">
        <f>VLOOKUP($C294,COS!$B$8:$H$991,7,FALSE)</f>
        <v>48.526103973388672</v>
      </c>
      <c r="G294" s="24">
        <f>IF(F294&lt;=IF(MONTH($C294)=4,$F$3,IF(MONTH($C294)=5,$F$4,IF(MONTH($C294)=6,$F$5,IF(MONTH($C294)=7,$F$6,"ERROR")))),1,0)</f>
        <v>1</v>
      </c>
      <c r="H294" s="26">
        <f>IF(J294=1,D294-$C$4,0)</f>
        <v>3500.9638671875</v>
      </c>
      <c r="I294" s="26">
        <f t="shared" si="450"/>
        <v>215.26587745351239</v>
      </c>
      <c r="J294" s="24">
        <f t="shared" si="465"/>
        <v>1</v>
      </c>
      <c r="K294" s="26">
        <f>VLOOKUP($C294,COS!$B$8:$H$991,2,FALSE)</f>
        <v>4552</v>
      </c>
      <c r="L294" s="24">
        <f t="shared" si="435"/>
        <v>1</v>
      </c>
      <c r="M294" s="24">
        <f t="shared" si="436"/>
        <v>0</v>
      </c>
      <c r="N294" s="26">
        <f>VLOOKUP($C294,COS!$B$8:$H$991,5,FALSE)</f>
        <v>730.5885009765625</v>
      </c>
      <c r="O294" s="26">
        <f t="shared" si="468"/>
        <v>44.922135927815084</v>
      </c>
      <c r="P294" s="26">
        <f>VLOOKUP($C294,COS!$B$8:$H$991,6,FALSE)</f>
        <v>2213.400634765625</v>
      </c>
      <c r="Q294" s="26">
        <f t="shared" si="469"/>
        <v>136.09670018724174</v>
      </c>
      <c r="R294" s="26">
        <f>MIN(IF(MONTH($C294)=4,$S$3,IF(MONTH($C294)=5,$S$4,IF(MONTH($C294)=6,$S$5,IF(MONTH($C294)=7,$S$6,"ERROR")))),MAX(VLOOKUP($C294,COS!$B$8:$K$991,10,FALSE)-IF(MONTH($C294)=4,$Y$3,IF(MONTH($C294)=5,$Y$4,IF(MONTH($C294)=6,$Y$5,IF(MONTH($C294)=7,$Y$6,"ERROR")))),0),MAX(VLOOKUP($C294,COS!$B$8:$K$991,9,FALSE)-IF(MONTH($C294)=4,$V$3,IF(MONTH($C294)=5,$V$4,IF(MONTH($C294)=6,$V$5,IF(MONTH($C294)=7,$V$6,"ERROR"))))-VLOOKUP($C294,COS!$B$8:$K$991,6,FALSE)/2,0))</f>
        <v>1500</v>
      </c>
      <c r="S294" s="26">
        <f t="shared" si="470"/>
        <v>92.231404958677686</v>
      </c>
      <c r="T294" s="26">
        <f t="shared" si="471"/>
        <v>182.74082301620609</v>
      </c>
      <c r="U294" s="26" t="str">
        <f>IF(VLOOKUP($C294,COS!$B$8:$I$991,8,FALSE)=1,"UWFE","IBU")</f>
        <v>UWFE</v>
      </c>
      <c r="V294" s="26">
        <f t="shared" ref="V294" si="473">MIN(IF(IF($AA$3=2,AND(E294=1,G294=1,L294=1,L298=1,M294=1,U294="IBU"),AND(E294=1,G294=1,L294=1,L298=1,M294=1)),T294,0),I294)</f>
        <v>0</v>
      </c>
      <c r="W294" s="26"/>
      <c r="X294" s="26"/>
      <c r="Y294" s="26"/>
      <c r="Z294" s="26"/>
      <c r="AA294" s="26"/>
      <c r="AB294" s="33"/>
    </row>
    <row r="295" spans="1:28" x14ac:dyDescent="0.3">
      <c r="A295" s="32">
        <f>VLOOKUP(YEAR(C295),Flags!$A$13:$B$95,2,FALSE)</f>
        <v>1</v>
      </c>
      <c r="B295" s="24">
        <f t="shared" si="432"/>
        <v>1953</v>
      </c>
      <c r="C295" s="25">
        <v>19540</v>
      </c>
      <c r="D295" s="26">
        <f>VLOOKUP($C295,COS!$B$8:$H$991,3,FALSE)</f>
        <v>8763.9052734375</v>
      </c>
      <c r="E295" s="24">
        <f>IF(D295&gt;=IF(MONTH($C295)=4,$C$3,IF(MONTH($C295)=5,$C$4,IF(MONTH($C295)=6,$C$5,IF(MONTH($C295)=7,$C$6,"ERROR")))),1,0)</f>
        <v>0</v>
      </c>
      <c r="F295" s="26">
        <f>VLOOKUP($C295,COS!$B$8:$H$991,7,FALSE)</f>
        <v>50.420295715332031</v>
      </c>
      <c r="G295" s="24">
        <f>IF(F295&lt;=IF(MONTH($C295)=4,$F$3,IF(MONTH($C295)=5,$F$4,IF(MONTH($C295)=6,$F$5,IF(MONTH($C295)=7,$F$6,"ERROR")))),1,0)</f>
        <v>1</v>
      </c>
      <c r="H295" s="26">
        <f>IF(J295=1,D295-$C$5,0)</f>
        <v>0</v>
      </c>
      <c r="I295" s="26">
        <f t="shared" si="450"/>
        <v>0</v>
      </c>
      <c r="J295" s="24">
        <f t="shared" si="465"/>
        <v>0</v>
      </c>
      <c r="K295" s="26">
        <f>VLOOKUP($C295,COS!$B$8:$H$991,2,FALSE)</f>
        <v>4500</v>
      </c>
      <c r="L295" s="24">
        <f t="shared" si="435"/>
        <v>1</v>
      </c>
      <c r="M295" s="24">
        <f t="shared" si="436"/>
        <v>0</v>
      </c>
      <c r="N295" s="26">
        <f>VLOOKUP($C295,COS!$B$8:$H$991,5,FALSE)</f>
        <v>1097.9736328125</v>
      </c>
      <c r="O295" s="26">
        <f t="shared" si="468"/>
        <v>65.333968233471069</v>
      </c>
      <c r="P295" s="26">
        <f>VLOOKUP($C295,COS!$B$8:$H$991,6,FALSE)</f>
        <v>2273.646484375</v>
      </c>
      <c r="Q295" s="26">
        <f t="shared" si="469"/>
        <v>135.29136105371902</v>
      </c>
      <c r="R295" s="26">
        <f>MIN(IF(MONTH($C295)=4,$S$3,IF(MONTH($C295)=5,$S$4,IF(MONTH($C295)=6,$S$5,IF(MONTH($C295)=7,$S$6,"ERROR")))),MAX(VLOOKUP($C295,COS!$B$8:$K$991,10,FALSE)-IF(MONTH($C295)=4,$Y$3,IF(MONTH($C295)=5,$Y$4,IF(MONTH($C295)=6,$Y$5,IF(MONTH($C295)=7,$Y$6,"ERROR")))),0),MAX(VLOOKUP($C295,COS!$B$8:$K$991,9,FALSE)-IF(MONTH($C295)=4,$V$3,IF(MONTH($C295)=5,$V$4,IF(MONTH($C295)=6,$V$5,IF(MONTH($C295)=7,$V$6,"ERROR"))))-VLOOKUP($C295,COS!$B$8:$K$991,6,FALSE)/2,0))</f>
        <v>1500</v>
      </c>
      <c r="S295" s="26">
        <f t="shared" si="470"/>
        <v>89.256198347107429</v>
      </c>
      <c r="T295" s="26">
        <f t="shared" si="471"/>
        <v>189.56886299070248</v>
      </c>
      <c r="U295" s="26" t="str">
        <f>IF(VLOOKUP($C295,COS!$B$8:$I$991,8,FALSE)=1,"UWFE","IBU")</f>
        <v>UWFE</v>
      </c>
      <c r="V295" s="26">
        <f t="shared" ref="V295" si="474">MIN(IF(IF($AA$3=2,AND(E295=1,G295=1,L295=1,L298=1,M295=1,U295="IBU"),AND(E295=1,G295=1,L295=1,L298=1,M295=1)),T295,0),I295)</f>
        <v>0</v>
      </c>
      <c r="W295" s="26"/>
      <c r="X295" s="26"/>
      <c r="Y295" s="26"/>
      <c r="Z295" s="26"/>
      <c r="AA295" s="26"/>
      <c r="AB295" s="33"/>
    </row>
    <row r="296" spans="1:28" x14ac:dyDescent="0.3">
      <c r="A296" s="32">
        <f>VLOOKUP(YEAR(C296),Flags!$A$13:$B$95,2,FALSE)</f>
        <v>1</v>
      </c>
      <c r="B296" s="24">
        <f t="shared" si="432"/>
        <v>1953</v>
      </c>
      <c r="C296" s="25">
        <v>19571</v>
      </c>
      <c r="D296" s="26">
        <f>VLOOKUP($C296,COS!$B$8:$H$991,3,FALSE)</f>
        <v>14905.9033203125</v>
      </c>
      <c r="E296" s="24">
        <f>IF(D296&gt;=IF(MONTH($C296)=4,$C$3,IF(MONTH($C296)=5,$C$4,IF(MONTH($C296)=6,$C$5,IF(MONTH($C296)=7,$C$6,"ERROR")))),1,0)</f>
        <v>1</v>
      </c>
      <c r="F296" s="26">
        <f>VLOOKUP($C296,COS!$B$8:$H$991,7,FALSE)</f>
        <v>51.294979095458984</v>
      </c>
      <c r="G296" s="24">
        <f>IF(F296&lt;=IF(MONTH($C296)=4,$F$3,IF(MONTH($C296)=5,$F$4,IF(MONTH($C296)=6,$F$5,IF(MONTH($C296)=7,$F$6,"ERROR")))),1,0)</f>
        <v>1</v>
      </c>
      <c r="H296" s="26">
        <f>IF(J296=1,D296-$C$6,0)</f>
        <v>2905.9033203125</v>
      </c>
      <c r="I296" s="26">
        <f t="shared" si="450"/>
        <v>178.67703060433885</v>
      </c>
      <c r="J296" s="24">
        <f t="shared" si="465"/>
        <v>1</v>
      </c>
      <c r="K296" s="26">
        <f>VLOOKUP($C296,COS!$B$8:$H$991,2,FALSE)</f>
        <v>3867.513427734375</v>
      </c>
      <c r="L296" s="24">
        <f t="shared" si="435"/>
        <v>1</v>
      </c>
      <c r="M296" s="24">
        <f t="shared" si="436"/>
        <v>0</v>
      </c>
      <c r="N296" s="26">
        <f>VLOOKUP($C296,COS!$B$8:$H$991,5,FALSE)</f>
        <v>1282.49609375</v>
      </c>
      <c r="O296" s="26">
        <f t="shared" si="468"/>
        <v>78.857611053719012</v>
      </c>
      <c r="P296" s="26">
        <f>VLOOKUP($C296,COS!$B$8:$H$991,6,FALSE)</f>
        <v>2616.67822265625</v>
      </c>
      <c r="Q296" s="26">
        <f t="shared" si="469"/>
        <v>160.89327253357436</v>
      </c>
      <c r="R296" s="26">
        <f>MIN(IF(MONTH($C296)=4,$S$3,IF(MONTH($C296)=5,$S$4,IF(MONTH($C296)=6,$S$5,IF(MONTH($C296)=7,$S$6,"ERROR")))),MAX(VLOOKUP($C296,COS!$B$8:$K$991,10,FALSE)-IF(MONTH($C296)=4,$Y$3,IF(MONTH($C296)=5,$Y$4,IF(MONTH($C296)=6,$Y$5,IF(MONTH($C296)=7,$Y$6,"ERROR")))),0),MAX(VLOOKUP($C296,COS!$B$8:$K$991,9,FALSE)-IF(MONTH($C296)=4,$V$3,IF(MONTH($C296)=5,$V$4,IF(MONTH($C296)=6,$V$5,IF(MONTH($C296)=7,$V$6,"ERROR"))))-VLOOKUP($C296,COS!$B$8:$K$991,6,FALSE)/2,0))</f>
        <v>1500</v>
      </c>
      <c r="S296" s="26">
        <f t="shared" si="470"/>
        <v>92.231404958677686</v>
      </c>
      <c r="T296" s="26">
        <f t="shared" si="471"/>
        <v>212.10684675232437</v>
      </c>
      <c r="U296" s="26" t="str">
        <f>IF(VLOOKUP($C296,COS!$B$8:$I$991,8,FALSE)=1,"UWFE","IBU")</f>
        <v>IBU</v>
      </c>
      <c r="V296" s="26">
        <f t="shared" ref="V296" si="475">MIN(IF(IF($AA$3=2,AND(E296=1,G296=1,L296=1,L298=1,M296=1,U296="IBU"),AND(E296=1,G296=1,L296=1,L298=1,M296=1)),T296,0),I296)</f>
        <v>0</v>
      </c>
      <c r="W296" s="26"/>
      <c r="X296" s="26"/>
      <c r="Y296" s="26"/>
      <c r="Z296" s="26"/>
      <c r="AA296" s="26"/>
      <c r="AB296" s="33"/>
    </row>
    <row r="297" spans="1:28" x14ac:dyDescent="0.3">
      <c r="A297" s="32">
        <f>VLOOKUP(YEAR(C297),Flags!$A$13:$B$95,2,FALSE)</f>
        <v>1</v>
      </c>
      <c r="B297" s="24">
        <f t="shared" si="432"/>
        <v>1953</v>
      </c>
      <c r="C297" s="25">
        <v>19602</v>
      </c>
      <c r="D297" s="26"/>
      <c r="E297" s="24"/>
      <c r="F297" s="26"/>
      <c r="G297" s="24"/>
      <c r="H297" s="24"/>
      <c r="I297" s="26"/>
      <c r="J297" s="24"/>
      <c r="K297" s="26"/>
      <c r="L297" s="24"/>
      <c r="M297" s="24"/>
      <c r="N297" s="26"/>
      <c r="O297" s="26"/>
      <c r="P297" s="26"/>
      <c r="Q297" s="26"/>
      <c r="R297" s="26"/>
      <c r="S297" s="26"/>
      <c r="T297" s="26"/>
      <c r="U297" s="26"/>
      <c r="V297" s="26"/>
      <c r="W297" s="26">
        <f>MAX($C$7-VLOOKUP($C297,COS!$B$8:$H$991,3,FALSE),0)</f>
        <v>89655.0712890625</v>
      </c>
      <c r="X297" s="26">
        <f t="shared" si="448"/>
        <v>5512.6754577737602</v>
      </c>
      <c r="Y297" s="26">
        <f>VLOOKUP($C297,COS!$B$8:$H$991,4,FALSE)</f>
        <v>19.638147354125977</v>
      </c>
      <c r="Z297" s="26">
        <f t="shared" si="449"/>
        <v>1.2075026141710519</v>
      </c>
      <c r="AA297" s="26">
        <f t="shared" ref="AA297:AA301" si="476">MIN(W297,Y297)</f>
        <v>19.638147354125977</v>
      </c>
      <c r="AB297" s="33">
        <f t="shared" ref="AB297" si="477">AA297*DAY($C297)*86400/43560/1000*IF(MONTH($C297)=8,$P$3,IF(MONTH($C297)=9,$P$4,IF(MONTH($C297)=10,$P$5,IF(MONTH($C297)=11,$P$6,IF(MONTH($C297)=12,$P$7,NA())))))</f>
        <v>1.2075026141710519</v>
      </c>
    </row>
    <row r="298" spans="1:28" x14ac:dyDescent="0.3">
      <c r="A298" s="32">
        <f>VLOOKUP(YEAR(C298),Flags!$A$13:$B$95,2,FALSE)</f>
        <v>1</v>
      </c>
      <c r="B298" s="24">
        <f t="shared" si="432"/>
        <v>1953</v>
      </c>
      <c r="C298" s="25">
        <v>19632</v>
      </c>
      <c r="D298" s="26"/>
      <c r="E298" s="24"/>
      <c r="F298" s="26"/>
      <c r="G298" s="24"/>
      <c r="H298" s="24"/>
      <c r="I298" s="26"/>
      <c r="J298" s="24"/>
      <c r="K298" s="26">
        <f>VLOOKUP($C298,COS!$B$8:$H$991,2,FALSE)</f>
        <v>3007.05029296875</v>
      </c>
      <c r="L298" s="24">
        <f t="shared" ref="L298" si="478">IF(AND(K298&gt;$I$7,K298&lt;$I$8),1,0)</f>
        <v>1</v>
      </c>
      <c r="M298" s="24"/>
      <c r="N298" s="26"/>
      <c r="O298" s="26"/>
      <c r="P298" s="26"/>
      <c r="Q298" s="26"/>
      <c r="R298" s="26"/>
      <c r="S298" s="26"/>
      <c r="T298" s="26"/>
      <c r="U298" s="26"/>
      <c r="V298" s="26"/>
      <c r="W298" s="26">
        <f>MAX($C$8-VLOOKUP($C298,COS!$B$8:$H$991,3,FALSE),0)</f>
        <v>85167.98828125</v>
      </c>
      <c r="X298" s="26">
        <f t="shared" si="448"/>
        <v>5067.8472365702482</v>
      </c>
      <c r="Y298" s="26">
        <f>VLOOKUP($C298,COS!$B$8:$H$991,4,FALSE)</f>
        <v>0</v>
      </c>
      <c r="Z298" s="26">
        <f t="shared" si="449"/>
        <v>0</v>
      </c>
      <c r="AA298" s="26">
        <f t="shared" si="476"/>
        <v>0</v>
      </c>
      <c r="AB298" s="33">
        <f t="shared" si="446"/>
        <v>0</v>
      </c>
    </row>
    <row r="299" spans="1:28" x14ac:dyDescent="0.3">
      <c r="A299" s="32">
        <f>VLOOKUP(YEAR(C299),Flags!$A$13:$B$95,2,FALSE)</f>
        <v>1</v>
      </c>
      <c r="B299" s="24">
        <f t="shared" si="432"/>
        <v>1953</v>
      </c>
      <c r="C299" s="25">
        <v>19663</v>
      </c>
      <c r="D299" s="26"/>
      <c r="E299" s="24"/>
      <c r="F299" s="26"/>
      <c r="G299" s="26"/>
      <c r="H299" s="26"/>
      <c r="I299" s="26"/>
      <c r="J299" s="26"/>
      <c r="K299" s="26"/>
      <c r="L299" s="24"/>
      <c r="M299" s="24"/>
      <c r="N299" s="26"/>
      <c r="O299" s="26"/>
      <c r="P299" s="26"/>
      <c r="Q299" s="26"/>
      <c r="R299" s="26"/>
      <c r="S299" s="26"/>
      <c r="T299" s="26"/>
      <c r="U299" s="26"/>
      <c r="V299" s="26"/>
      <c r="W299" s="26">
        <f>MAX($C$9-VLOOKUP($C299,COS!$B$8:$H$991,3,FALSE),0)</f>
        <v>90385.5849609375</v>
      </c>
      <c r="X299" s="26">
        <f t="shared" si="448"/>
        <v>5557.5929926394629</v>
      </c>
      <c r="Y299" s="26">
        <f>VLOOKUP($C299,COS!$B$8:$H$991,4,FALSE)</f>
        <v>1224.5797119140625</v>
      </c>
      <c r="Z299" s="26">
        <f t="shared" si="449"/>
        <v>75.296471542484511</v>
      </c>
      <c r="AA299" s="26">
        <f t="shared" si="476"/>
        <v>1224.5797119140625</v>
      </c>
      <c r="AB299" s="33">
        <f t="shared" si="446"/>
        <v>75.296471542484511</v>
      </c>
    </row>
    <row r="300" spans="1:28" x14ac:dyDescent="0.3">
      <c r="A300" s="32">
        <f>VLOOKUP(YEAR(C300),Flags!$A$13:$B$95,2,FALSE)</f>
        <v>1</v>
      </c>
      <c r="B300" s="24">
        <f t="shared" si="432"/>
        <v>1953</v>
      </c>
      <c r="C300" s="25">
        <v>19693</v>
      </c>
      <c r="D300" s="26"/>
      <c r="E300" s="24"/>
      <c r="F300" s="26"/>
      <c r="G300" s="26"/>
      <c r="H300" s="26"/>
      <c r="I300" s="26"/>
      <c r="J300" s="26"/>
      <c r="K300" s="26"/>
      <c r="L300" s="24"/>
      <c r="M300" s="24"/>
      <c r="N300" s="26"/>
      <c r="O300" s="26"/>
      <c r="P300" s="26"/>
      <c r="Q300" s="26"/>
      <c r="R300" s="26"/>
      <c r="S300" s="26"/>
      <c r="T300" s="26"/>
      <c r="U300" s="26"/>
      <c r="V300" s="26"/>
      <c r="W300" s="26">
        <f>MAX($C$10-VLOOKUP($C300,COS!$B$8:$H$991,3,FALSE),0)</f>
        <v>88062.6611328125</v>
      </c>
      <c r="X300" s="26">
        <f t="shared" si="448"/>
        <v>5240.0922326962809</v>
      </c>
      <c r="Y300" s="26">
        <f>VLOOKUP($C300,COS!$B$8:$H$991,4,FALSE)</f>
        <v>1707.279296875</v>
      </c>
      <c r="Z300" s="26">
        <f t="shared" si="449"/>
        <v>101.59017303719008</v>
      </c>
      <c r="AA300" s="26">
        <f t="shared" si="476"/>
        <v>1707.279296875</v>
      </c>
      <c r="AB300" s="33">
        <f t="shared" si="446"/>
        <v>101.59017303719008</v>
      </c>
    </row>
    <row r="301" spans="1:28" x14ac:dyDescent="0.3">
      <c r="A301" s="34">
        <f>VLOOKUP(YEAR(C301),Flags!$A$13:$B$95,2,FALSE)</f>
        <v>1</v>
      </c>
      <c r="B301" s="35">
        <f t="shared" si="432"/>
        <v>1953</v>
      </c>
      <c r="C301" s="36">
        <v>19724</v>
      </c>
      <c r="D301" s="37"/>
      <c r="E301" s="35"/>
      <c r="F301" s="37"/>
      <c r="G301" s="37"/>
      <c r="H301" s="37"/>
      <c r="I301" s="37"/>
      <c r="J301" s="37"/>
      <c r="K301" s="37"/>
      <c r="L301" s="35"/>
      <c r="M301" s="35"/>
      <c r="N301" s="37"/>
      <c r="O301" s="37"/>
      <c r="P301" s="37"/>
      <c r="Q301" s="37"/>
      <c r="R301" s="37"/>
      <c r="S301" s="37"/>
      <c r="T301" s="37"/>
      <c r="U301" s="37"/>
      <c r="V301" s="37"/>
      <c r="W301" s="37">
        <f>MAX($C$11-VLOOKUP($C301,COS!$B$8:$H$991,3,FALSE),0)</f>
        <v>95444.16845703125</v>
      </c>
      <c r="X301" s="37">
        <f t="shared" si="448"/>
        <v>5868.6331679364666</v>
      </c>
      <c r="Y301" s="37">
        <f>VLOOKUP($C301,COS!$B$8:$H$991,4,FALSE)</f>
        <v>98.75079345703125</v>
      </c>
      <c r="Z301" s="37">
        <f t="shared" si="449"/>
        <v>6.0719496142174583</v>
      </c>
      <c r="AA301" s="37">
        <f t="shared" si="476"/>
        <v>98.75079345703125</v>
      </c>
      <c r="AB301" s="38">
        <f t="shared" si="446"/>
        <v>6.0719496142174583</v>
      </c>
    </row>
    <row r="302" spans="1:28" x14ac:dyDescent="0.3">
      <c r="A302" s="27">
        <f>VLOOKUP(YEAR(C302),Flags!$A$13:$B$95,2,FALSE)</f>
        <v>2</v>
      </c>
      <c r="B302" s="28">
        <f t="shared" si="432"/>
        <v>1954</v>
      </c>
      <c r="C302" s="29">
        <v>19844</v>
      </c>
      <c r="D302" s="30">
        <f>VLOOKUP($C302,COS!$B$8:$H$991,3,FALSE)</f>
        <v>10966.724609375</v>
      </c>
      <c r="E302" s="28">
        <f>IF(D302&gt;=IF(MONTH($C302)=4,$C$3,IF(MONTH($C302)=5,$C$4,IF(MONTH($C302)=6,$C$5,IF(MONTH($C302)=7,$C$6,"ERROR")))),1,0)</f>
        <v>1</v>
      </c>
      <c r="F302" s="30">
        <f>VLOOKUP($C302,COS!$B$8:$H$991,7,FALSE)</f>
        <v>48.739151000976563</v>
      </c>
      <c r="G302" s="28">
        <f>IF(F302&lt;=IF(MONTH($C302)=4,$F$3,IF(MONTH($C302)=5,$F$4,IF(MONTH($C302)=6,$F$5,IF(MONTH($C302)=7,$F$6,"ERROR")))),1,0)</f>
        <v>1</v>
      </c>
      <c r="H302" s="30">
        <f>IF(J302=1,D302-$C$3,0)</f>
        <v>4966.724609375</v>
      </c>
      <c r="I302" s="30">
        <f t="shared" si="450"/>
        <v>295.54063791322312</v>
      </c>
      <c r="J302" s="28">
        <f t="shared" ref="J302:J305" si="479">IF(AND(E302=1,G302=1),1,0)</f>
        <v>1</v>
      </c>
      <c r="K302" s="30">
        <f>VLOOKUP($C302,COS!$B$8:$H$991,2,FALSE)</f>
        <v>4546</v>
      </c>
      <c r="L302" s="28">
        <f t="shared" ref="L302" si="480">IF(K302&lt;=IF(MONTH($C302)=4,$I$3,IF(MONTH($C302)=5,$I$4,IF(MONTH($C302)=6,$I$5,IF(MONTH($C302)=7,$I$6,"ERROR")))),1,0)</f>
        <v>1</v>
      </c>
      <c r="M302" s="28">
        <f t="shared" ref="M302" si="481">VLOOKUP($A302,$L$3:$M$7,2,FALSE)</f>
        <v>0</v>
      </c>
      <c r="N302" s="30">
        <f>VLOOKUP($C302,COS!$B$8:$H$991,5,FALSE)</f>
        <v>33.86962890625</v>
      </c>
      <c r="O302" s="30">
        <f t="shared" ref="O302:O305" si="482">N302*DAY($C302)*86400/43560/1000</f>
        <v>2.0153828770661155</v>
      </c>
      <c r="P302" s="30">
        <f>VLOOKUP($C302,COS!$B$8:$H$991,6,FALSE)</f>
        <v>347.92138671875</v>
      </c>
      <c r="Q302" s="30">
        <f t="shared" ref="Q302:Q305" si="483">P302*DAY($C302)*86400/43560/1000</f>
        <v>20.702760201446281</v>
      </c>
      <c r="R302" s="30">
        <f>MIN(IF(MONTH($C302)=4,$S$3,IF(MONTH($C302)=5,$S$4,IF(MONTH($C302)=6,$S$5,IF(MONTH($C302)=7,$S$6,"ERROR")))),MAX(VLOOKUP($C302,COS!$B$8:$K$991,10,FALSE)-IF(MONTH($C302)=4,$Y$3,IF(MONTH($C302)=5,$Y$4,IF(MONTH($C302)=6,$Y$5,IF(MONTH($C302)=7,$Y$6,"ERROR")))),0),MAX(VLOOKUP($C302,COS!$B$8:$K$991,9,FALSE)-IF(MONTH($C302)=4,$V$3,IF(MONTH($C302)=5,$V$4,IF(MONTH($C302)=6,$V$5,IF(MONTH($C302)=7,$V$6,"ERROR"))))-VLOOKUP($C302,COS!$B$8:$K$991,6,FALSE)/2,0))</f>
        <v>1500</v>
      </c>
      <c r="S302" s="30">
        <f t="shared" ref="S302:S305" si="484">R302*DAY($C302)*86400/43560/1000</f>
        <v>89.256198347107429</v>
      </c>
      <c r="T302" s="30">
        <f t="shared" ref="T302:T305" si="485">(O302+Q302)/2+S302</f>
        <v>100.61526988636362</v>
      </c>
      <c r="U302" s="30" t="str">
        <f>IF(VLOOKUP($C302,COS!$B$8:$I$991,8,FALSE)=1,"UWFE","IBU")</f>
        <v>UWFE</v>
      </c>
      <c r="V302" s="30">
        <f t="shared" ref="V302" si="486">MIN(IF(IF($AA$3=2,AND(E302=1,G302=1,L302=1,L307=1,M302=1,U302="IBU"),AND(E302=1,G302=1,L302=1,L307=1,M302=1)),T302,0),I302)</f>
        <v>0</v>
      </c>
      <c r="W302" s="30"/>
      <c r="X302" s="30"/>
      <c r="Y302" s="30"/>
      <c r="Z302" s="30"/>
      <c r="AA302" s="30"/>
      <c r="AB302" s="31"/>
    </row>
    <row r="303" spans="1:28" x14ac:dyDescent="0.3">
      <c r="A303" s="32">
        <f>VLOOKUP(YEAR(C303),Flags!$A$13:$B$95,2,FALSE)</f>
        <v>2</v>
      </c>
      <c r="B303" s="24">
        <f t="shared" si="432"/>
        <v>1954</v>
      </c>
      <c r="C303" s="25">
        <v>19875</v>
      </c>
      <c r="D303" s="26">
        <f>VLOOKUP($C303,COS!$B$8:$H$991,3,FALSE)</f>
        <v>7140.4267578125</v>
      </c>
      <c r="E303" s="24">
        <f>IF(D303&gt;=IF(MONTH($C303)=4,$C$3,IF(MONTH($C303)=5,$C$4,IF(MONTH($C303)=6,$C$5,IF(MONTH($C303)=7,$C$6,"ERROR")))),1,0)</f>
        <v>1</v>
      </c>
      <c r="F303" s="26">
        <f>VLOOKUP($C303,COS!$B$8:$H$991,7,FALSE)</f>
        <v>50.82733154296875</v>
      </c>
      <c r="G303" s="24">
        <f>IF(F303&lt;=IF(MONTH($C303)=4,$F$3,IF(MONTH($C303)=5,$F$4,IF(MONTH($C303)=6,$F$5,IF(MONTH($C303)=7,$F$6,"ERROR")))),1,0)</f>
        <v>1</v>
      </c>
      <c r="H303" s="26">
        <f>IF(J303=1,D303-$C$4,0)</f>
        <v>1140.4267578125</v>
      </c>
      <c r="I303" s="26">
        <f t="shared" si="450"/>
        <v>70.122108083677688</v>
      </c>
      <c r="J303" s="24">
        <f t="shared" si="479"/>
        <v>1</v>
      </c>
      <c r="K303" s="26">
        <f>VLOOKUP($C303,COS!$B$8:$H$991,2,FALSE)</f>
        <v>4520.74951171875</v>
      </c>
      <c r="L303" s="24">
        <f t="shared" si="435"/>
        <v>1</v>
      </c>
      <c r="M303" s="24">
        <f t="shared" si="436"/>
        <v>0</v>
      </c>
      <c r="N303" s="26">
        <f>VLOOKUP($C303,COS!$B$8:$H$991,5,FALSE)</f>
        <v>705.2218017578125</v>
      </c>
      <c r="O303" s="26">
        <f t="shared" si="482"/>
        <v>43.362398389075409</v>
      </c>
      <c r="P303" s="26">
        <f>VLOOKUP($C303,COS!$B$8:$H$991,6,FALSE)</f>
        <v>2247.10107421875</v>
      </c>
      <c r="Q303" s="26">
        <f t="shared" si="483"/>
        <v>138.16885943956612</v>
      </c>
      <c r="R303" s="26">
        <f>MIN(IF(MONTH($C303)=4,$S$3,IF(MONTH($C303)=5,$S$4,IF(MONTH($C303)=6,$S$5,IF(MONTH($C303)=7,$S$6,"ERROR")))),MAX(VLOOKUP($C303,COS!$B$8:$K$991,10,FALSE)-IF(MONTH($C303)=4,$Y$3,IF(MONTH($C303)=5,$Y$4,IF(MONTH($C303)=6,$Y$5,IF(MONTH($C303)=7,$Y$6,"ERROR")))),0),MAX(VLOOKUP($C303,COS!$B$8:$K$991,9,FALSE)-IF(MONTH($C303)=4,$V$3,IF(MONTH($C303)=5,$V$4,IF(MONTH($C303)=6,$V$5,IF(MONTH($C303)=7,$V$6,"ERROR"))))-VLOOKUP($C303,COS!$B$8:$K$991,6,FALSE)/2,0))</f>
        <v>1500</v>
      </c>
      <c r="S303" s="26">
        <f t="shared" si="484"/>
        <v>92.231404958677686</v>
      </c>
      <c r="T303" s="26">
        <f t="shared" si="485"/>
        <v>182.99703387299843</v>
      </c>
      <c r="U303" s="26" t="str">
        <f>IF(VLOOKUP($C303,COS!$B$8:$I$991,8,FALSE)=1,"UWFE","IBU")</f>
        <v>UWFE</v>
      </c>
      <c r="V303" s="26">
        <f t="shared" ref="V303" si="487">MIN(IF(IF($AA$3=2,AND(E303=1,G303=1,L303=1,L307=1,M303=1,U303="IBU"),AND(E303=1,G303=1,L303=1,L307=1,M303=1)),T303,0),I303)</f>
        <v>0</v>
      </c>
      <c r="W303" s="26"/>
      <c r="X303" s="26"/>
      <c r="Y303" s="26"/>
      <c r="Z303" s="26"/>
      <c r="AA303" s="26"/>
      <c r="AB303" s="33"/>
    </row>
    <row r="304" spans="1:28" x14ac:dyDescent="0.3">
      <c r="A304" s="32">
        <f>VLOOKUP(YEAR(C304),Flags!$A$13:$B$95,2,FALSE)</f>
        <v>2</v>
      </c>
      <c r="B304" s="24">
        <f t="shared" si="432"/>
        <v>1954</v>
      </c>
      <c r="C304" s="25">
        <v>19905</v>
      </c>
      <c r="D304" s="26">
        <f>VLOOKUP($C304,COS!$B$8:$H$991,3,FALSE)</f>
        <v>10288.154296875</v>
      </c>
      <c r="E304" s="24">
        <f>IF(D304&gt;=IF(MONTH($C304)=4,$C$3,IF(MONTH($C304)=5,$C$4,IF(MONTH($C304)=6,$C$5,IF(MONTH($C304)=7,$C$6,"ERROR")))),1,0)</f>
        <v>1</v>
      </c>
      <c r="F304" s="26">
        <f>VLOOKUP($C304,COS!$B$8:$H$991,7,FALSE)</f>
        <v>50.714031219482422</v>
      </c>
      <c r="G304" s="24">
        <f>IF(F304&lt;=IF(MONTH($C304)=4,$F$3,IF(MONTH($C304)=5,$F$4,IF(MONTH($C304)=6,$F$5,IF(MONTH($C304)=7,$F$6,"ERROR")))),1,0)</f>
        <v>1</v>
      </c>
      <c r="H304" s="26">
        <f>IF(J304=1,D304-$C$5,0)</f>
        <v>288.154296875</v>
      </c>
      <c r="I304" s="26">
        <f t="shared" si="450"/>
        <v>17.14637138429752</v>
      </c>
      <c r="J304" s="24">
        <f t="shared" si="479"/>
        <v>1</v>
      </c>
      <c r="K304" s="26">
        <f>VLOOKUP($C304,COS!$B$8:$H$991,2,FALSE)</f>
        <v>4172.916015625</v>
      </c>
      <c r="L304" s="24">
        <f t="shared" si="435"/>
        <v>1</v>
      </c>
      <c r="M304" s="24">
        <f t="shared" si="436"/>
        <v>0</v>
      </c>
      <c r="N304" s="26">
        <f>VLOOKUP($C304,COS!$B$8:$H$991,5,FALSE)</f>
        <v>1051.88525390625</v>
      </c>
      <c r="O304" s="26">
        <f t="shared" si="482"/>
        <v>62.591519240702482</v>
      </c>
      <c r="P304" s="26">
        <f>VLOOKUP($C304,COS!$B$8:$H$991,6,FALSE)</f>
        <v>2396.154541015625</v>
      </c>
      <c r="Q304" s="26">
        <f t="shared" si="483"/>
        <v>142.58109665547522</v>
      </c>
      <c r="R304" s="26">
        <f>MIN(IF(MONTH($C304)=4,$S$3,IF(MONTH($C304)=5,$S$4,IF(MONTH($C304)=6,$S$5,IF(MONTH($C304)=7,$S$6,"ERROR")))),MAX(VLOOKUP($C304,COS!$B$8:$K$991,10,FALSE)-IF(MONTH($C304)=4,$Y$3,IF(MONTH($C304)=5,$Y$4,IF(MONTH($C304)=6,$Y$5,IF(MONTH($C304)=7,$Y$6,"ERROR")))),0),MAX(VLOOKUP($C304,COS!$B$8:$K$991,9,FALSE)-IF(MONTH($C304)=4,$V$3,IF(MONTH($C304)=5,$V$4,IF(MONTH($C304)=6,$V$5,IF(MONTH($C304)=7,$V$6,"ERROR"))))-VLOOKUP($C304,COS!$B$8:$K$991,6,FALSE)/2,0))</f>
        <v>1500</v>
      </c>
      <c r="S304" s="26">
        <f t="shared" si="484"/>
        <v>89.256198347107429</v>
      </c>
      <c r="T304" s="26">
        <f t="shared" si="485"/>
        <v>191.8425062951963</v>
      </c>
      <c r="U304" s="26" t="str">
        <f>IF(VLOOKUP($C304,COS!$B$8:$I$991,8,FALSE)=1,"UWFE","IBU")</f>
        <v>IBU</v>
      </c>
      <c r="V304" s="26">
        <f t="shared" ref="V304" si="488">MIN(IF(IF($AA$3=2,AND(E304=1,G304=1,L304=1,L307=1,M304=1,U304="IBU"),AND(E304=1,G304=1,L304=1,L307=1,M304=1)),T304,0),I304)</f>
        <v>0</v>
      </c>
      <c r="W304" s="26"/>
      <c r="X304" s="26"/>
      <c r="Y304" s="26"/>
      <c r="Z304" s="26"/>
      <c r="AA304" s="26"/>
      <c r="AB304" s="33"/>
    </row>
    <row r="305" spans="1:28" x14ac:dyDescent="0.3">
      <c r="A305" s="32">
        <f>VLOOKUP(YEAR(C305),Flags!$A$13:$B$95,2,FALSE)</f>
        <v>2</v>
      </c>
      <c r="B305" s="24">
        <f t="shared" si="432"/>
        <v>1954</v>
      </c>
      <c r="C305" s="25">
        <v>19936</v>
      </c>
      <c r="D305" s="26">
        <f>VLOOKUP($C305,COS!$B$8:$H$991,3,FALSE)</f>
        <v>16000</v>
      </c>
      <c r="E305" s="24">
        <f>IF(D305&gt;=IF(MONTH($C305)=4,$C$3,IF(MONTH($C305)=5,$C$4,IF(MONTH($C305)=6,$C$5,IF(MONTH($C305)=7,$C$6,"ERROR")))),1,0)</f>
        <v>1</v>
      </c>
      <c r="F305" s="26">
        <f>VLOOKUP($C305,COS!$B$8:$H$991,7,FALSE)</f>
        <v>51.326705932617188</v>
      </c>
      <c r="G305" s="24">
        <f>IF(F305&lt;=IF(MONTH($C305)=4,$F$3,IF(MONTH($C305)=5,$F$4,IF(MONTH($C305)=6,$F$5,IF(MONTH($C305)=7,$F$6,"ERROR")))),1,0)</f>
        <v>1</v>
      </c>
      <c r="H305" s="26">
        <f>IF(J305=1,D305-$C$6,0)</f>
        <v>4000</v>
      </c>
      <c r="I305" s="26">
        <f t="shared" si="450"/>
        <v>245.95041322314049</v>
      </c>
      <c r="J305" s="24">
        <f t="shared" si="479"/>
        <v>1</v>
      </c>
      <c r="K305" s="26">
        <f>VLOOKUP($C305,COS!$B$8:$H$991,2,FALSE)</f>
        <v>3484.43505859375</v>
      </c>
      <c r="L305" s="24">
        <f t="shared" si="435"/>
        <v>1</v>
      </c>
      <c r="M305" s="24">
        <f t="shared" si="436"/>
        <v>0</v>
      </c>
      <c r="N305" s="26">
        <f>VLOOKUP($C305,COS!$B$8:$H$991,5,FALSE)</f>
        <v>1187.869384765625</v>
      </c>
      <c r="O305" s="26">
        <f t="shared" si="482"/>
        <v>73.039241509555779</v>
      </c>
      <c r="P305" s="26">
        <f>VLOOKUP($C305,COS!$B$8:$H$991,6,FALSE)</f>
        <v>2562.892822265625</v>
      </c>
      <c r="Q305" s="26">
        <f t="shared" si="483"/>
        <v>157.58613717071282</v>
      </c>
      <c r="R305" s="26">
        <f>MIN(IF(MONTH($C305)=4,$S$3,IF(MONTH($C305)=5,$S$4,IF(MONTH($C305)=6,$S$5,IF(MONTH($C305)=7,$S$6,"ERROR")))),MAX(VLOOKUP($C305,COS!$B$8:$K$991,10,FALSE)-IF(MONTH($C305)=4,$Y$3,IF(MONTH($C305)=5,$Y$4,IF(MONTH($C305)=6,$Y$5,IF(MONTH($C305)=7,$Y$6,"ERROR")))),0),MAX(VLOOKUP($C305,COS!$B$8:$K$991,9,FALSE)-IF(MONTH($C305)=4,$V$3,IF(MONTH($C305)=5,$V$4,IF(MONTH($C305)=6,$V$5,IF(MONTH($C305)=7,$V$6,"ERROR"))))-VLOOKUP($C305,COS!$B$8:$K$991,6,FALSE)/2,0))</f>
        <v>1500</v>
      </c>
      <c r="S305" s="26">
        <f t="shared" si="484"/>
        <v>92.231404958677686</v>
      </c>
      <c r="T305" s="26">
        <f t="shared" si="485"/>
        <v>207.54409429881198</v>
      </c>
      <c r="U305" s="26" t="str">
        <f>IF(VLOOKUP($C305,COS!$B$8:$I$991,8,FALSE)=1,"UWFE","IBU")</f>
        <v>IBU</v>
      </c>
      <c r="V305" s="26">
        <f t="shared" ref="V305" si="489">MIN(IF(IF($AA$3=2,AND(E305=1,G305=1,L305=1,L307=1,M305=1,U305="IBU"),AND(E305=1,G305=1,L305=1,L307=1,M305=1)),T305,0),I305)</f>
        <v>0</v>
      </c>
      <c r="W305" s="26"/>
      <c r="X305" s="26"/>
      <c r="Y305" s="26"/>
      <c r="Z305" s="26"/>
      <c r="AA305" s="26"/>
      <c r="AB305" s="33"/>
    </row>
    <row r="306" spans="1:28" x14ac:dyDescent="0.3">
      <c r="A306" s="32">
        <f>VLOOKUP(YEAR(C306),Flags!$A$13:$B$95,2,FALSE)</f>
        <v>2</v>
      </c>
      <c r="B306" s="24">
        <f t="shared" si="432"/>
        <v>1954</v>
      </c>
      <c r="C306" s="25">
        <v>19967</v>
      </c>
      <c r="D306" s="26"/>
      <c r="E306" s="24"/>
      <c r="F306" s="26"/>
      <c r="G306" s="24"/>
      <c r="H306" s="24"/>
      <c r="I306" s="26"/>
      <c r="J306" s="24"/>
      <c r="K306" s="26"/>
      <c r="L306" s="24"/>
      <c r="M306" s="24"/>
      <c r="N306" s="26"/>
      <c r="O306" s="26"/>
      <c r="P306" s="26"/>
      <c r="Q306" s="26"/>
      <c r="R306" s="26"/>
      <c r="S306" s="26"/>
      <c r="T306" s="26"/>
      <c r="U306" s="26"/>
      <c r="V306" s="26"/>
      <c r="W306" s="26">
        <f>MAX($C$7-VLOOKUP($C306,COS!$B$8:$H$991,3,FALSE),0)</f>
        <v>89107.3271484375</v>
      </c>
      <c r="X306" s="26">
        <f t="shared" si="448"/>
        <v>5478.9959833419425</v>
      </c>
      <c r="Y306" s="26">
        <f>VLOOKUP($C306,COS!$B$8:$H$991,4,FALSE)</f>
        <v>0</v>
      </c>
      <c r="Z306" s="26">
        <f t="shared" si="449"/>
        <v>0</v>
      </c>
      <c r="AA306" s="26">
        <f t="shared" ref="AA306:AA310" si="490">MIN(W306,Y306)</f>
        <v>0</v>
      </c>
      <c r="AB306" s="33">
        <f t="shared" ref="AB306" si="491">AA306*DAY($C306)*86400/43560/1000*IF(MONTH($C306)=8,$P$3,IF(MONTH($C306)=9,$P$4,IF(MONTH($C306)=10,$P$5,IF(MONTH($C306)=11,$P$6,IF(MONTH($C306)=12,$P$7,NA())))))</f>
        <v>0</v>
      </c>
    </row>
    <row r="307" spans="1:28" x14ac:dyDescent="0.3">
      <c r="A307" s="32">
        <f>VLOOKUP(YEAR(C307),Flags!$A$13:$B$95,2,FALSE)</f>
        <v>2</v>
      </c>
      <c r="B307" s="24">
        <f t="shared" si="432"/>
        <v>1954</v>
      </c>
      <c r="C307" s="25">
        <v>19997</v>
      </c>
      <c r="D307" s="26"/>
      <c r="E307" s="24"/>
      <c r="F307" s="26"/>
      <c r="G307" s="24"/>
      <c r="H307" s="24"/>
      <c r="I307" s="26"/>
      <c r="J307" s="24"/>
      <c r="K307" s="26">
        <f>VLOOKUP($C307,COS!$B$8:$H$991,2,FALSE)</f>
        <v>2910.68115234375</v>
      </c>
      <c r="L307" s="24">
        <f t="shared" ref="L307" si="492">IF(AND(K307&gt;$I$7,K307&lt;$I$8),1,0)</f>
        <v>1</v>
      </c>
      <c r="M307" s="24"/>
      <c r="N307" s="26"/>
      <c r="O307" s="26"/>
      <c r="P307" s="26"/>
      <c r="Q307" s="26"/>
      <c r="R307" s="26"/>
      <c r="S307" s="26"/>
      <c r="T307" s="26"/>
      <c r="U307" s="26"/>
      <c r="V307" s="26"/>
      <c r="W307" s="26">
        <f>MAX($C$8-VLOOKUP($C307,COS!$B$8:$H$991,3,FALSE),0)</f>
        <v>89705.0009765625</v>
      </c>
      <c r="X307" s="26">
        <f t="shared" si="448"/>
        <v>5337.8182399276857</v>
      </c>
      <c r="Y307" s="26">
        <f>VLOOKUP($C307,COS!$B$8:$H$991,4,FALSE)</f>
        <v>0</v>
      </c>
      <c r="Z307" s="26">
        <f t="shared" si="449"/>
        <v>0</v>
      </c>
      <c r="AA307" s="26">
        <f t="shared" si="490"/>
        <v>0</v>
      </c>
      <c r="AB307" s="33">
        <f t="shared" si="446"/>
        <v>0</v>
      </c>
    </row>
    <row r="308" spans="1:28" x14ac:dyDescent="0.3">
      <c r="A308" s="32">
        <f>VLOOKUP(YEAR(C308),Flags!$A$13:$B$95,2,FALSE)</f>
        <v>2</v>
      </c>
      <c r="B308" s="24">
        <f t="shared" si="432"/>
        <v>1954</v>
      </c>
      <c r="C308" s="25">
        <v>20028</v>
      </c>
      <c r="D308" s="26"/>
      <c r="E308" s="24"/>
      <c r="F308" s="26"/>
      <c r="G308" s="26"/>
      <c r="H308" s="26"/>
      <c r="I308" s="26"/>
      <c r="J308" s="26"/>
      <c r="K308" s="26"/>
      <c r="L308" s="24"/>
      <c r="M308" s="24"/>
      <c r="N308" s="26"/>
      <c r="O308" s="26"/>
      <c r="P308" s="26"/>
      <c r="Q308" s="26"/>
      <c r="R308" s="26"/>
      <c r="S308" s="26"/>
      <c r="T308" s="26"/>
      <c r="U308" s="26"/>
      <c r="V308" s="26"/>
      <c r="W308" s="26">
        <f>MAX($C$9-VLOOKUP($C308,COS!$B$8:$H$991,3,FALSE),0)</f>
        <v>92851.60400390625</v>
      </c>
      <c r="X308" s="26">
        <f t="shared" si="448"/>
        <v>5709.2225932980373</v>
      </c>
      <c r="Y308" s="26">
        <f>VLOOKUP($C308,COS!$B$8:$H$991,4,FALSE)</f>
        <v>798.4456787109375</v>
      </c>
      <c r="Z308" s="26">
        <f t="shared" si="449"/>
        <v>49.094511153796482</v>
      </c>
      <c r="AA308" s="26">
        <f t="shared" si="490"/>
        <v>798.4456787109375</v>
      </c>
      <c r="AB308" s="33">
        <f t="shared" si="446"/>
        <v>49.094511153796482</v>
      </c>
    </row>
    <row r="309" spans="1:28" x14ac:dyDescent="0.3">
      <c r="A309" s="32">
        <f>VLOOKUP(YEAR(C309),Flags!$A$13:$B$95,2,FALSE)</f>
        <v>2</v>
      </c>
      <c r="B309" s="24">
        <f t="shared" si="432"/>
        <v>1954</v>
      </c>
      <c r="C309" s="25">
        <v>20058</v>
      </c>
      <c r="D309" s="26"/>
      <c r="E309" s="24"/>
      <c r="F309" s="26"/>
      <c r="G309" s="26"/>
      <c r="H309" s="26"/>
      <c r="I309" s="26"/>
      <c r="J309" s="26"/>
      <c r="K309" s="26"/>
      <c r="L309" s="24"/>
      <c r="M309" s="24"/>
      <c r="N309" s="26"/>
      <c r="O309" s="26"/>
      <c r="P309" s="26"/>
      <c r="Q309" s="26"/>
      <c r="R309" s="26"/>
      <c r="S309" s="26"/>
      <c r="T309" s="26"/>
      <c r="U309" s="26"/>
      <c r="V309" s="26"/>
      <c r="W309" s="26">
        <f>MAX($C$10-VLOOKUP($C309,COS!$B$8:$H$991,3,FALSE),0)</f>
        <v>92153.25146484375</v>
      </c>
      <c r="X309" s="26">
        <f t="shared" si="448"/>
        <v>5483.4992607179747</v>
      </c>
      <c r="Y309" s="26">
        <f>VLOOKUP($C309,COS!$B$8:$H$991,4,FALSE)</f>
        <v>832.2525634765625</v>
      </c>
      <c r="Z309" s="26">
        <f t="shared" si="449"/>
        <v>49.522466587035126</v>
      </c>
      <c r="AA309" s="26">
        <f t="shared" si="490"/>
        <v>832.2525634765625</v>
      </c>
      <c r="AB309" s="33">
        <f t="shared" si="446"/>
        <v>49.522466587035126</v>
      </c>
    </row>
    <row r="310" spans="1:28" x14ac:dyDescent="0.3">
      <c r="A310" s="34">
        <f>VLOOKUP(YEAR(C310),Flags!$A$13:$B$95,2,FALSE)</f>
        <v>2</v>
      </c>
      <c r="B310" s="35">
        <f t="shared" si="432"/>
        <v>1954</v>
      </c>
      <c r="C310" s="36">
        <v>20089</v>
      </c>
      <c r="D310" s="37"/>
      <c r="E310" s="35"/>
      <c r="F310" s="37"/>
      <c r="G310" s="37"/>
      <c r="H310" s="37"/>
      <c r="I310" s="37"/>
      <c r="J310" s="37"/>
      <c r="K310" s="37"/>
      <c r="L310" s="35"/>
      <c r="M310" s="35"/>
      <c r="N310" s="37"/>
      <c r="O310" s="37"/>
      <c r="P310" s="37"/>
      <c r="Q310" s="37"/>
      <c r="R310" s="37"/>
      <c r="S310" s="37"/>
      <c r="T310" s="37"/>
      <c r="U310" s="37"/>
      <c r="V310" s="37"/>
      <c r="W310" s="37">
        <f>MAX($C$11-VLOOKUP($C310,COS!$B$8:$H$991,3,FALSE),0)</f>
        <v>96749</v>
      </c>
      <c r="X310" s="37">
        <f t="shared" si="448"/>
        <v>5948.8641322314052</v>
      </c>
      <c r="Y310" s="37">
        <f>VLOOKUP($C310,COS!$B$8:$H$991,4,FALSE)</f>
        <v>0</v>
      </c>
      <c r="Z310" s="37">
        <f t="shared" si="449"/>
        <v>0</v>
      </c>
      <c r="AA310" s="37">
        <f t="shared" si="490"/>
        <v>0</v>
      </c>
      <c r="AB310" s="38">
        <f t="shared" si="446"/>
        <v>0</v>
      </c>
    </row>
    <row r="311" spans="1:28" x14ac:dyDescent="0.3">
      <c r="A311" s="27">
        <f>VLOOKUP(YEAR(C311),Flags!$A$13:$B$95,2,FALSE)</f>
        <v>4</v>
      </c>
      <c r="B311" s="28">
        <f t="shared" si="432"/>
        <v>1955</v>
      </c>
      <c r="C311" s="29">
        <v>20209</v>
      </c>
      <c r="D311" s="30">
        <f>VLOOKUP($C311,COS!$B$8:$H$991,3,FALSE)</f>
        <v>3250</v>
      </c>
      <c r="E311" s="28">
        <f>IF(D311&gt;=IF(MONTH($C311)=4,$C$3,IF(MONTH($C311)=5,$C$4,IF(MONTH($C311)=6,$C$5,IF(MONTH($C311)=7,$C$6,"ERROR")))),1,0)</f>
        <v>0</v>
      </c>
      <c r="F311" s="30">
        <f>VLOOKUP($C311,COS!$B$8:$H$991,7,FALSE)</f>
        <v>50.451328277587891</v>
      </c>
      <c r="G311" s="28">
        <f>IF(F311&lt;=IF(MONTH($C311)=4,$F$3,IF(MONTH($C311)=5,$F$4,IF(MONTH($C311)=6,$F$5,IF(MONTH($C311)=7,$F$6,"ERROR")))),1,0)</f>
        <v>1</v>
      </c>
      <c r="H311" s="30">
        <f>IF(J311=1,D311-$C$3,0)</f>
        <v>0</v>
      </c>
      <c r="I311" s="30">
        <f t="shared" si="450"/>
        <v>0</v>
      </c>
      <c r="J311" s="28">
        <f t="shared" ref="J311:J314" si="493">IF(AND(E311=1,G311=1),1,0)</f>
        <v>0</v>
      </c>
      <c r="K311" s="30">
        <f>VLOOKUP($C311,COS!$B$8:$H$991,2,FALSE)</f>
        <v>3900.966552734375</v>
      </c>
      <c r="L311" s="28">
        <f t="shared" ref="L311" si="494">IF(K311&lt;=IF(MONTH($C311)=4,$I$3,IF(MONTH($C311)=5,$I$4,IF(MONTH($C311)=6,$I$5,IF(MONTH($C311)=7,$I$6,"ERROR")))),1,0)</f>
        <v>1</v>
      </c>
      <c r="M311" s="28">
        <f t="shared" ref="M311" si="495">VLOOKUP($A311,$L$3:$M$7,2,FALSE)</f>
        <v>1</v>
      </c>
      <c r="N311" s="30">
        <f>VLOOKUP($C311,COS!$B$8:$H$991,5,FALSE)</f>
        <v>222.8968505859375</v>
      </c>
      <c r="O311" s="30">
        <f t="shared" ref="O311:O314" si="496">N311*DAY($C311)*86400/43560/1000</f>
        <v>13.26328367122934</v>
      </c>
      <c r="P311" s="30">
        <f>VLOOKUP($C311,COS!$B$8:$H$991,6,FALSE)</f>
        <v>466.9581298828125</v>
      </c>
      <c r="Q311" s="30">
        <f t="shared" ref="Q311:Q314" si="497">P311*DAY($C311)*86400/43560/1000</f>
        <v>27.785938307076446</v>
      </c>
      <c r="R311" s="30">
        <f>MIN(IF(MONTH($C311)=4,$S$3,IF(MONTH($C311)=5,$S$4,IF(MONTH($C311)=6,$S$5,IF(MONTH($C311)=7,$S$6,"ERROR")))),MAX(VLOOKUP($C311,COS!$B$8:$K$991,10,FALSE)-IF(MONTH($C311)=4,$Y$3,IF(MONTH($C311)=5,$Y$4,IF(MONTH($C311)=6,$Y$5,IF(MONTH($C311)=7,$Y$6,"ERROR")))),0),MAX(VLOOKUP($C311,COS!$B$8:$K$991,9,FALSE)-IF(MONTH($C311)=4,$V$3,IF(MONTH($C311)=5,$V$4,IF(MONTH($C311)=6,$V$5,IF(MONTH($C311)=7,$V$6,"ERROR"))))-VLOOKUP($C311,COS!$B$8:$K$991,6,FALSE)/2,0))</f>
        <v>1500</v>
      </c>
      <c r="S311" s="30">
        <f t="shared" ref="S311:S314" si="498">R311*DAY($C311)*86400/43560/1000</f>
        <v>89.256198347107429</v>
      </c>
      <c r="T311" s="30">
        <f t="shared" ref="T311:T314" si="499">(O311+Q311)/2+S311</f>
        <v>109.78080933626032</v>
      </c>
      <c r="U311" s="30" t="str">
        <f>IF(VLOOKUP($C311,COS!$B$8:$I$991,8,FALSE)=1,"UWFE","IBU")</f>
        <v>UWFE</v>
      </c>
      <c r="V311" s="30">
        <f t="shared" ref="V311" si="500">MIN(IF(IF($AA$3=2,AND(E311=1,G311=1,L311=1,L316=1,M311=1,U311="IBU"),AND(E311=1,G311=1,L311=1,L316=1,M311=1)),T311,0),I311)</f>
        <v>0</v>
      </c>
      <c r="W311" s="30"/>
      <c r="X311" s="30"/>
      <c r="Y311" s="30"/>
      <c r="Z311" s="30"/>
      <c r="AA311" s="30"/>
      <c r="AB311" s="31"/>
    </row>
    <row r="312" spans="1:28" x14ac:dyDescent="0.3">
      <c r="A312" s="32">
        <f>VLOOKUP(YEAR(C312),Flags!$A$13:$B$95,2,FALSE)</f>
        <v>4</v>
      </c>
      <c r="B312" s="24">
        <f t="shared" si="432"/>
        <v>1955</v>
      </c>
      <c r="C312" s="25">
        <v>20240</v>
      </c>
      <c r="D312" s="26">
        <f>VLOOKUP($C312,COS!$B$8:$H$991,3,FALSE)</f>
        <v>5268.8193359375</v>
      </c>
      <c r="E312" s="24">
        <f>IF(D312&gt;=IF(MONTH($C312)=4,$C$3,IF(MONTH($C312)=5,$C$4,IF(MONTH($C312)=6,$C$5,IF(MONTH($C312)=7,$C$6,"ERROR")))),1,0)</f>
        <v>0</v>
      </c>
      <c r="F312" s="26">
        <f>VLOOKUP($C312,COS!$B$8:$H$991,7,FALSE)</f>
        <v>51.616672515869141</v>
      </c>
      <c r="G312" s="24">
        <f>IF(F312&lt;=IF(MONTH($C312)=4,$F$3,IF(MONTH($C312)=5,$F$4,IF(MONTH($C312)=6,$F$5,IF(MONTH($C312)=7,$F$6,"ERROR")))),1,0)</f>
        <v>1</v>
      </c>
      <c r="H312" s="26">
        <f>IF(J312=1,D312-$C$4,0)</f>
        <v>0</v>
      </c>
      <c r="I312" s="26">
        <f t="shared" si="450"/>
        <v>0</v>
      </c>
      <c r="J312" s="24">
        <f t="shared" si="493"/>
        <v>0</v>
      </c>
      <c r="K312" s="26">
        <f>VLOOKUP($C312,COS!$B$8:$H$991,2,FALSE)</f>
        <v>4019.9189453125</v>
      </c>
      <c r="L312" s="24">
        <f t="shared" si="435"/>
        <v>1</v>
      </c>
      <c r="M312" s="24">
        <f t="shared" si="436"/>
        <v>1</v>
      </c>
      <c r="N312" s="26">
        <f>VLOOKUP($C312,COS!$B$8:$H$991,5,FALSE)</f>
        <v>365.389892578125</v>
      </c>
      <c r="O312" s="26">
        <f t="shared" si="496"/>
        <v>22.466948766787191</v>
      </c>
      <c r="P312" s="26">
        <f>VLOOKUP($C312,COS!$B$8:$H$991,6,FALSE)</f>
        <v>2265.77197265625</v>
      </c>
      <c r="Q312" s="26">
        <f t="shared" si="497"/>
        <v>139.31688823605373</v>
      </c>
      <c r="R312" s="26">
        <f>MIN(IF(MONTH($C312)=4,$S$3,IF(MONTH($C312)=5,$S$4,IF(MONTH($C312)=6,$S$5,IF(MONTH($C312)=7,$S$6,"ERROR")))),MAX(VLOOKUP($C312,COS!$B$8:$K$991,10,FALSE)-IF(MONTH($C312)=4,$Y$3,IF(MONTH($C312)=5,$Y$4,IF(MONTH($C312)=6,$Y$5,IF(MONTH($C312)=7,$Y$6,"ERROR")))),0),MAX(VLOOKUP($C312,COS!$B$8:$K$991,9,FALSE)-IF(MONTH($C312)=4,$V$3,IF(MONTH($C312)=5,$V$4,IF(MONTH($C312)=6,$V$5,IF(MONTH($C312)=7,$V$6,"ERROR"))))-VLOOKUP($C312,COS!$B$8:$K$991,6,FALSE)/2,0))</f>
        <v>1486.18310546875</v>
      </c>
      <c r="S312" s="26">
        <f t="shared" si="498"/>
        <v>91.38183722882232</v>
      </c>
      <c r="T312" s="26">
        <f t="shared" si="499"/>
        <v>172.27375573024278</v>
      </c>
      <c r="U312" s="26" t="str">
        <f>IF(VLOOKUP($C312,COS!$B$8:$I$991,8,FALSE)=1,"UWFE","IBU")</f>
        <v>UWFE</v>
      </c>
      <c r="V312" s="26">
        <f t="shared" ref="V312" si="501">MIN(IF(IF($AA$3=2,AND(E312=1,G312=1,L312=1,L316=1,M312=1,U312="IBU"),AND(E312=1,G312=1,L312=1,L316=1,M312=1)),T312,0),I312)</f>
        <v>0</v>
      </c>
      <c r="W312" s="26"/>
      <c r="X312" s="26"/>
      <c r="Y312" s="26"/>
      <c r="Z312" s="26"/>
      <c r="AA312" s="26"/>
      <c r="AB312" s="33"/>
    </row>
    <row r="313" spans="1:28" x14ac:dyDescent="0.3">
      <c r="A313" s="32">
        <f>VLOOKUP(YEAR(C313),Flags!$A$13:$B$95,2,FALSE)</f>
        <v>4</v>
      </c>
      <c r="B313" s="24">
        <f t="shared" si="432"/>
        <v>1955</v>
      </c>
      <c r="C313" s="25">
        <v>20270</v>
      </c>
      <c r="D313" s="26">
        <f>VLOOKUP($C313,COS!$B$8:$H$991,3,FALSE)</f>
        <v>9586.744140625</v>
      </c>
      <c r="E313" s="24">
        <f>IF(D313&gt;=IF(MONTH($C313)=4,$C$3,IF(MONTH($C313)=5,$C$4,IF(MONTH($C313)=6,$C$5,IF(MONTH($C313)=7,$C$6,"ERROR")))),1,0)</f>
        <v>0</v>
      </c>
      <c r="F313" s="26">
        <f>VLOOKUP($C313,COS!$B$8:$H$991,7,FALSE)</f>
        <v>51.253532409667969</v>
      </c>
      <c r="G313" s="24">
        <f>IF(F313&lt;=IF(MONTH($C313)=4,$F$3,IF(MONTH($C313)=5,$F$4,IF(MONTH($C313)=6,$F$5,IF(MONTH($C313)=7,$F$6,"ERROR")))),1,0)</f>
        <v>1</v>
      </c>
      <c r="H313" s="26">
        <f>IF(J313=1,D313-$C$5,0)</f>
        <v>0</v>
      </c>
      <c r="I313" s="26">
        <f t="shared" si="450"/>
        <v>0</v>
      </c>
      <c r="J313" s="24">
        <f t="shared" si="493"/>
        <v>0</v>
      </c>
      <c r="K313" s="26">
        <f>VLOOKUP($C313,COS!$B$8:$H$991,2,FALSE)</f>
        <v>3710.103271484375</v>
      </c>
      <c r="L313" s="24">
        <f t="shared" si="435"/>
        <v>1</v>
      </c>
      <c r="M313" s="24">
        <f t="shared" si="436"/>
        <v>1</v>
      </c>
      <c r="N313" s="26">
        <f>VLOOKUP($C313,COS!$B$8:$H$991,5,FALSE)</f>
        <v>444.3331298828125</v>
      </c>
      <c r="O313" s="26">
        <f t="shared" si="496"/>
        <v>26.439657315340909</v>
      </c>
      <c r="P313" s="26">
        <f>VLOOKUP($C313,COS!$B$8:$H$991,6,FALSE)</f>
        <v>2712.6806640625</v>
      </c>
      <c r="Q313" s="26">
        <f t="shared" si="497"/>
        <v>161.41570893595042</v>
      </c>
      <c r="R313" s="26">
        <f>MIN(IF(MONTH($C313)=4,$S$3,IF(MONTH($C313)=5,$S$4,IF(MONTH($C313)=6,$S$5,IF(MONTH($C313)=7,$S$6,"ERROR")))),MAX(VLOOKUP($C313,COS!$B$8:$K$991,10,FALSE)-IF(MONTH($C313)=4,$Y$3,IF(MONTH($C313)=5,$Y$4,IF(MONTH($C313)=6,$Y$5,IF(MONTH($C313)=7,$Y$6,"ERROR")))),0),MAX(VLOOKUP($C313,COS!$B$8:$K$991,9,FALSE)-IF(MONTH($C313)=4,$V$3,IF(MONTH($C313)=5,$V$4,IF(MONTH($C313)=6,$V$5,IF(MONTH($C313)=7,$V$6,"ERROR"))))-VLOOKUP($C313,COS!$B$8:$K$991,6,FALSE)/2,0))</f>
        <v>1500</v>
      </c>
      <c r="S313" s="26">
        <f t="shared" si="498"/>
        <v>89.256198347107429</v>
      </c>
      <c r="T313" s="26">
        <f t="shared" si="499"/>
        <v>183.18388147275311</v>
      </c>
      <c r="U313" s="26" t="str">
        <f>IF(VLOOKUP($C313,COS!$B$8:$I$991,8,FALSE)=1,"UWFE","IBU")</f>
        <v>IBU</v>
      </c>
      <c r="V313" s="26">
        <f t="shared" ref="V313" si="502">MIN(IF(IF($AA$3=2,AND(E313=1,G313=1,L313=1,L316=1,M313=1,U313="IBU"),AND(E313=1,G313=1,L313=1,L316=1,M313=1)),T313,0),I313)</f>
        <v>0</v>
      </c>
      <c r="W313" s="26"/>
      <c r="X313" s="26"/>
      <c r="Y313" s="26"/>
      <c r="Z313" s="26"/>
      <c r="AA313" s="26"/>
      <c r="AB313" s="33"/>
    </row>
    <row r="314" spans="1:28" x14ac:dyDescent="0.3">
      <c r="A314" s="32">
        <f>VLOOKUP(YEAR(C314),Flags!$A$13:$B$95,2,FALSE)</f>
        <v>4</v>
      </c>
      <c r="B314" s="24">
        <f t="shared" si="432"/>
        <v>1955</v>
      </c>
      <c r="C314" s="25">
        <v>20301</v>
      </c>
      <c r="D314" s="26">
        <f>VLOOKUP($C314,COS!$B$8:$H$991,3,FALSE)</f>
        <v>14380.9560546875</v>
      </c>
      <c r="E314" s="24">
        <f>IF(D314&gt;=IF(MONTH($C314)=4,$C$3,IF(MONTH($C314)=5,$C$4,IF(MONTH($C314)=6,$C$5,IF(MONTH($C314)=7,$C$6,"ERROR")))),1,0)</f>
        <v>1</v>
      </c>
      <c r="F314" s="26">
        <f>VLOOKUP($C314,COS!$B$8:$H$991,7,FALSE)</f>
        <v>51.871387481689453</v>
      </c>
      <c r="G314" s="24">
        <f>IF(F314&lt;=IF(MONTH($C314)=4,$F$3,IF(MONTH($C314)=5,$F$4,IF(MONTH($C314)=6,$F$5,IF(MONTH($C314)=7,$F$6,"ERROR")))),1,0)</f>
        <v>1</v>
      </c>
      <c r="H314" s="26">
        <f>IF(J314=1,D314-$C$6,0)</f>
        <v>2380.9560546875</v>
      </c>
      <c r="I314" s="26">
        <f t="shared" si="450"/>
        <v>146.39928137913225</v>
      </c>
      <c r="J314" s="24">
        <f t="shared" si="493"/>
        <v>1</v>
      </c>
      <c r="K314" s="26">
        <f>VLOOKUP($C314,COS!$B$8:$H$991,2,FALSE)</f>
        <v>3124.154052734375</v>
      </c>
      <c r="L314" s="24">
        <f t="shared" si="435"/>
        <v>1</v>
      </c>
      <c r="M314" s="24">
        <f t="shared" si="436"/>
        <v>1</v>
      </c>
      <c r="N314" s="26">
        <f>VLOOKUP($C314,COS!$B$8:$H$991,5,FALSE)</f>
        <v>487.44525146484375</v>
      </c>
      <c r="O314" s="26">
        <f t="shared" si="496"/>
        <v>29.971840255358988</v>
      </c>
      <c r="P314" s="26">
        <f>VLOOKUP($C314,COS!$B$8:$H$991,6,FALSE)</f>
        <v>2538.07568359375</v>
      </c>
      <c r="Q314" s="26">
        <f t="shared" si="497"/>
        <v>156.06019079287191</v>
      </c>
      <c r="R314" s="26">
        <f>MIN(IF(MONTH($C314)=4,$S$3,IF(MONTH($C314)=5,$S$4,IF(MONTH($C314)=6,$S$5,IF(MONTH($C314)=7,$S$6,"ERROR")))),MAX(VLOOKUP($C314,COS!$B$8:$K$991,10,FALSE)-IF(MONTH($C314)=4,$Y$3,IF(MONTH($C314)=5,$Y$4,IF(MONTH($C314)=6,$Y$5,IF(MONTH($C314)=7,$Y$6,"ERROR")))),0),MAX(VLOOKUP($C314,COS!$B$8:$K$991,9,FALSE)-IF(MONTH($C314)=4,$V$3,IF(MONTH($C314)=5,$V$4,IF(MONTH($C314)=6,$V$5,IF(MONTH($C314)=7,$V$6,"ERROR"))))-VLOOKUP($C314,COS!$B$8:$K$991,6,FALSE)/2,0))</f>
        <v>1500</v>
      </c>
      <c r="S314" s="26">
        <f t="shared" si="498"/>
        <v>92.231404958677686</v>
      </c>
      <c r="T314" s="26">
        <f t="shared" si="499"/>
        <v>185.24742048279313</v>
      </c>
      <c r="U314" s="26" t="str">
        <f>IF(VLOOKUP($C314,COS!$B$8:$I$991,8,FALSE)=1,"UWFE","IBU")</f>
        <v>IBU</v>
      </c>
      <c r="V314" s="26">
        <f t="shared" ref="V314" si="503">MIN(IF(IF($AA$3=2,AND(E314=1,G314=1,L314=1,L316=1,M314=1,U314="IBU"),AND(E314=1,G314=1,L314=1,L316=1,M314=1)),T314,0),I314)</f>
        <v>146.39928137913225</v>
      </c>
      <c r="W314" s="26"/>
      <c r="X314" s="26"/>
      <c r="Y314" s="26"/>
      <c r="Z314" s="26"/>
      <c r="AA314" s="26"/>
      <c r="AB314" s="33"/>
    </row>
    <row r="315" spans="1:28" x14ac:dyDescent="0.3">
      <c r="A315" s="32">
        <f>VLOOKUP(YEAR(C315),Flags!$A$13:$B$95,2,FALSE)</f>
        <v>4</v>
      </c>
      <c r="B315" s="24">
        <f t="shared" si="432"/>
        <v>1955</v>
      </c>
      <c r="C315" s="25">
        <v>20332</v>
      </c>
      <c r="D315" s="26"/>
      <c r="E315" s="24"/>
      <c r="F315" s="26"/>
      <c r="G315" s="24"/>
      <c r="H315" s="24"/>
      <c r="I315" s="26"/>
      <c r="J315" s="24"/>
      <c r="K315" s="26"/>
      <c r="L315" s="24"/>
      <c r="M315" s="24"/>
      <c r="N315" s="26"/>
      <c r="O315" s="26"/>
      <c r="P315" s="26"/>
      <c r="Q315" s="26"/>
      <c r="R315" s="26"/>
      <c r="S315" s="26"/>
      <c r="T315" s="26"/>
      <c r="U315" s="26"/>
      <c r="V315" s="26"/>
      <c r="W315" s="26">
        <f>MAX($C$7-VLOOKUP($C315,COS!$B$8:$H$991,3,FALSE),0)</f>
        <v>91467.5400390625</v>
      </c>
      <c r="X315" s="26">
        <f t="shared" si="448"/>
        <v>5624.1198172778923</v>
      </c>
      <c r="Y315" s="26">
        <f>VLOOKUP($C315,COS!$B$8:$H$991,4,FALSE)</f>
        <v>1565.8887939453125</v>
      </c>
      <c r="Z315" s="26">
        <f t="shared" si="449"/>
        <v>96.282748983083678</v>
      </c>
      <c r="AA315" s="26">
        <f t="shared" ref="AA315:AA319" si="504">MIN(W315,Y315)</f>
        <v>1565.8887939453125</v>
      </c>
      <c r="AB315" s="33">
        <f t="shared" ref="AB315" si="505">AA315*DAY($C315)*86400/43560/1000*IF(MONTH($C315)=8,$P$3,IF(MONTH($C315)=9,$P$4,IF(MONTH($C315)=10,$P$5,IF(MONTH($C315)=11,$P$6,IF(MONTH($C315)=12,$P$7,NA())))))</f>
        <v>96.282748983083678</v>
      </c>
    </row>
    <row r="316" spans="1:28" x14ac:dyDescent="0.3">
      <c r="A316" s="32">
        <f>VLOOKUP(YEAR(C316),Flags!$A$13:$B$95,2,FALSE)</f>
        <v>4</v>
      </c>
      <c r="B316" s="24">
        <f t="shared" si="432"/>
        <v>1955</v>
      </c>
      <c r="C316" s="25">
        <v>20362</v>
      </c>
      <c r="D316" s="26"/>
      <c r="E316" s="24"/>
      <c r="F316" s="26"/>
      <c r="G316" s="24"/>
      <c r="H316" s="24"/>
      <c r="I316" s="26"/>
      <c r="J316" s="24"/>
      <c r="K316" s="26">
        <f>VLOOKUP($C316,COS!$B$8:$H$991,2,FALSE)</f>
        <v>2864.943603515625</v>
      </c>
      <c r="L316" s="24">
        <f t="shared" ref="L316" si="506">IF(AND(K316&gt;$I$7,K316&lt;$I$8),1,0)</f>
        <v>1</v>
      </c>
      <c r="M316" s="24"/>
      <c r="N316" s="26"/>
      <c r="O316" s="26"/>
      <c r="P316" s="26"/>
      <c r="Q316" s="26"/>
      <c r="R316" s="26"/>
      <c r="S316" s="26"/>
      <c r="T316" s="26"/>
      <c r="U316" s="26"/>
      <c r="V316" s="26"/>
      <c r="W316" s="26">
        <f>MAX($C$8-VLOOKUP($C316,COS!$B$8:$H$991,3,FALSE),0)</f>
        <v>95723.19287109375</v>
      </c>
      <c r="X316" s="26">
        <f t="shared" si="448"/>
        <v>5695.9255262138431</v>
      </c>
      <c r="Y316" s="26">
        <f>VLOOKUP($C316,COS!$B$8:$H$991,4,FALSE)</f>
        <v>813.69903564453125</v>
      </c>
      <c r="Z316" s="26">
        <f t="shared" si="449"/>
        <v>48.418455013558884</v>
      </c>
      <c r="AA316" s="26">
        <f t="shared" si="504"/>
        <v>813.69903564453125</v>
      </c>
      <c r="AB316" s="33">
        <f t="shared" si="446"/>
        <v>48.418455013558884</v>
      </c>
    </row>
    <row r="317" spans="1:28" x14ac:dyDescent="0.3">
      <c r="A317" s="32">
        <f>VLOOKUP(YEAR(C317),Flags!$A$13:$B$95,2,FALSE)</f>
        <v>4</v>
      </c>
      <c r="B317" s="24">
        <f t="shared" si="432"/>
        <v>1955</v>
      </c>
      <c r="C317" s="25">
        <v>20393</v>
      </c>
      <c r="D317" s="26"/>
      <c r="E317" s="24"/>
      <c r="F317" s="26"/>
      <c r="G317" s="26"/>
      <c r="H317" s="26"/>
      <c r="I317" s="26"/>
      <c r="J317" s="26"/>
      <c r="K317" s="26"/>
      <c r="L317" s="24"/>
      <c r="M317" s="24"/>
      <c r="N317" s="26"/>
      <c r="O317" s="26"/>
      <c r="P317" s="26"/>
      <c r="Q317" s="26"/>
      <c r="R317" s="26"/>
      <c r="S317" s="26"/>
      <c r="T317" s="26"/>
      <c r="U317" s="26"/>
      <c r="V317" s="26"/>
      <c r="W317" s="26">
        <f>MAX($C$9-VLOOKUP($C317,COS!$B$8:$H$991,3,FALSE),0)</f>
        <v>94019.69970703125</v>
      </c>
      <c r="X317" s="26">
        <f t="shared" si="448"/>
        <v>5781.0459985149791</v>
      </c>
      <c r="Y317" s="26">
        <f>VLOOKUP($C317,COS!$B$8:$H$991,4,FALSE)</f>
        <v>1413.0872802734375</v>
      </c>
      <c r="Z317" s="26">
        <f t="shared" si="449"/>
        <v>86.887350125903922</v>
      </c>
      <c r="AA317" s="26">
        <f t="shared" si="504"/>
        <v>1413.0872802734375</v>
      </c>
      <c r="AB317" s="33">
        <f t="shared" si="446"/>
        <v>86.887350125903922</v>
      </c>
    </row>
    <row r="318" spans="1:28" x14ac:dyDescent="0.3">
      <c r="A318" s="32">
        <f>VLOOKUP(YEAR(C318),Flags!$A$13:$B$95,2,FALSE)</f>
        <v>4</v>
      </c>
      <c r="B318" s="24">
        <f t="shared" si="432"/>
        <v>1955</v>
      </c>
      <c r="C318" s="25">
        <v>20423</v>
      </c>
      <c r="D318" s="26"/>
      <c r="E318" s="24"/>
      <c r="F318" s="26"/>
      <c r="G318" s="26"/>
      <c r="H318" s="26"/>
      <c r="I318" s="26"/>
      <c r="J318" s="26"/>
      <c r="K318" s="26"/>
      <c r="L318" s="24"/>
      <c r="M318" s="24"/>
      <c r="N318" s="26"/>
      <c r="O318" s="26"/>
      <c r="P318" s="26"/>
      <c r="Q318" s="26"/>
      <c r="R318" s="26"/>
      <c r="S318" s="26"/>
      <c r="T318" s="26"/>
      <c r="U318" s="26"/>
      <c r="V318" s="26"/>
      <c r="W318" s="26">
        <f>MAX($C$10-VLOOKUP($C318,COS!$B$8:$H$991,3,FALSE),0)</f>
        <v>96749</v>
      </c>
      <c r="X318" s="26">
        <f t="shared" si="448"/>
        <v>5756.965289256198</v>
      </c>
      <c r="Y318" s="26">
        <f>VLOOKUP($C318,COS!$B$8:$H$991,4,FALSE)</f>
        <v>1431.478759765625</v>
      </c>
      <c r="Z318" s="26">
        <f t="shared" si="449"/>
        <v>85.178901407541332</v>
      </c>
      <c r="AA318" s="26">
        <f t="shared" si="504"/>
        <v>1431.478759765625</v>
      </c>
      <c r="AB318" s="33">
        <f t="shared" si="446"/>
        <v>85.178901407541332</v>
      </c>
    </row>
    <row r="319" spans="1:28" x14ac:dyDescent="0.3">
      <c r="A319" s="34">
        <f>VLOOKUP(YEAR(C319),Flags!$A$13:$B$95,2,FALSE)</f>
        <v>4</v>
      </c>
      <c r="B319" s="35">
        <f t="shared" si="432"/>
        <v>1955</v>
      </c>
      <c r="C319" s="36">
        <v>20454</v>
      </c>
      <c r="D319" s="37"/>
      <c r="E319" s="35"/>
      <c r="F319" s="37"/>
      <c r="G319" s="37"/>
      <c r="H319" s="37"/>
      <c r="I319" s="37"/>
      <c r="J319" s="37"/>
      <c r="K319" s="37"/>
      <c r="L319" s="35"/>
      <c r="M319" s="35"/>
      <c r="N319" s="37"/>
      <c r="O319" s="37"/>
      <c r="P319" s="37"/>
      <c r="Q319" s="37"/>
      <c r="R319" s="37"/>
      <c r="S319" s="37"/>
      <c r="T319" s="37"/>
      <c r="U319" s="37"/>
      <c r="V319" s="37"/>
      <c r="W319" s="37">
        <f>MAX($C$11-VLOOKUP($C319,COS!$B$8:$H$991,3,FALSE),0)</f>
        <v>70952.3671875</v>
      </c>
      <c r="X319" s="37">
        <f t="shared" si="448"/>
        <v>4362.6910072314049</v>
      </c>
      <c r="Y319" s="37">
        <f>VLOOKUP($C319,COS!$B$8:$H$991,4,FALSE)</f>
        <v>0</v>
      </c>
      <c r="Z319" s="37">
        <f t="shared" si="449"/>
        <v>0</v>
      </c>
      <c r="AA319" s="37">
        <f t="shared" si="504"/>
        <v>0</v>
      </c>
      <c r="AB319" s="38">
        <f t="shared" si="446"/>
        <v>0</v>
      </c>
    </row>
    <row r="320" spans="1:28" x14ac:dyDescent="0.3">
      <c r="A320" s="27">
        <f>VLOOKUP(YEAR(C320),Flags!$A$13:$B$95,2,FALSE)</f>
        <v>1</v>
      </c>
      <c r="B320" s="28">
        <f t="shared" si="432"/>
        <v>1956</v>
      </c>
      <c r="C320" s="29">
        <v>20575</v>
      </c>
      <c r="D320" s="30">
        <f>VLOOKUP($C320,COS!$B$8:$H$991,3,FALSE)</f>
        <v>3250</v>
      </c>
      <c r="E320" s="28">
        <f>IF(D320&gt;=IF(MONTH($C320)=4,$C$3,IF(MONTH($C320)=5,$C$4,IF(MONTH($C320)=6,$C$5,IF(MONTH($C320)=7,$C$6,"ERROR")))),1,0)</f>
        <v>0</v>
      </c>
      <c r="F320" s="30">
        <f>VLOOKUP($C320,COS!$B$8:$H$991,7,FALSE)</f>
        <v>49.895095825195313</v>
      </c>
      <c r="G320" s="28">
        <f>IF(F320&lt;=IF(MONTH($C320)=4,$F$3,IF(MONTH($C320)=5,$F$4,IF(MONTH($C320)=6,$F$5,IF(MONTH($C320)=7,$F$6,"ERROR")))),1,0)</f>
        <v>1</v>
      </c>
      <c r="H320" s="30">
        <f>IF(J320=1,D320-$C$3,0)</f>
        <v>0</v>
      </c>
      <c r="I320" s="30">
        <f t="shared" si="450"/>
        <v>0</v>
      </c>
      <c r="J320" s="28">
        <f t="shared" ref="J320:J323" si="507">IF(AND(E320=1,G320=1),1,0)</f>
        <v>0</v>
      </c>
      <c r="K320" s="30">
        <f>VLOOKUP($C320,COS!$B$8:$H$991,2,FALSE)</f>
        <v>4525.97607421875</v>
      </c>
      <c r="L320" s="28">
        <f t="shared" ref="L320" si="508">IF(K320&lt;=IF(MONTH($C320)=4,$I$3,IF(MONTH($C320)=5,$I$4,IF(MONTH($C320)=6,$I$5,IF(MONTH($C320)=7,$I$6,"ERROR")))),1,0)</f>
        <v>1</v>
      </c>
      <c r="M320" s="28">
        <f t="shared" ref="M320" si="509">VLOOKUP($A320,$L$3:$M$7,2,FALSE)</f>
        <v>0</v>
      </c>
      <c r="N320" s="30">
        <f>VLOOKUP($C320,COS!$B$8:$H$991,5,FALSE)</f>
        <v>274.44708251953125</v>
      </c>
      <c r="O320" s="30">
        <f t="shared" ref="O320:O323" si="510">N320*DAY($C320)*86400/43560/1000</f>
        <v>16.330735488765498</v>
      </c>
      <c r="P320" s="30">
        <f>VLOOKUP($C320,COS!$B$8:$H$991,6,FALSE)</f>
        <v>472.98532104492188</v>
      </c>
      <c r="Q320" s="30">
        <f t="shared" ref="Q320:Q323" si="511">P320*DAY($C320)*86400/43560/1000</f>
        <v>28.144581086970557</v>
      </c>
      <c r="R320" s="30">
        <f>MIN(IF(MONTH($C320)=4,$S$3,IF(MONTH($C320)=5,$S$4,IF(MONTH($C320)=6,$S$5,IF(MONTH($C320)=7,$S$6,"ERROR")))),MAX(VLOOKUP($C320,COS!$B$8:$K$991,10,FALSE)-IF(MONTH($C320)=4,$Y$3,IF(MONTH($C320)=5,$Y$4,IF(MONTH($C320)=6,$Y$5,IF(MONTH($C320)=7,$Y$6,"ERROR")))),0),MAX(VLOOKUP($C320,COS!$B$8:$K$991,9,FALSE)-IF(MONTH($C320)=4,$V$3,IF(MONTH($C320)=5,$V$4,IF(MONTH($C320)=6,$V$5,IF(MONTH($C320)=7,$V$6,"ERROR"))))-VLOOKUP($C320,COS!$B$8:$K$991,6,FALSE)/2,0))</f>
        <v>1500</v>
      </c>
      <c r="S320" s="30">
        <f t="shared" ref="S320:S323" si="512">R320*DAY($C320)*86400/43560/1000</f>
        <v>89.256198347107429</v>
      </c>
      <c r="T320" s="30">
        <f t="shared" ref="T320:T323" si="513">(O320+Q320)/2+S320</f>
        <v>111.49385663497546</v>
      </c>
      <c r="U320" s="30" t="str">
        <f>IF(VLOOKUP($C320,COS!$B$8:$I$991,8,FALSE)=1,"UWFE","IBU")</f>
        <v>UWFE</v>
      </c>
      <c r="V320" s="30">
        <f t="shared" ref="V320" si="514">MIN(IF(IF($AA$3=2,AND(E320=1,G320=1,L320=1,L325=1,M320=1,U320="IBU"),AND(E320=1,G320=1,L320=1,L325=1,M320=1)),T320,0),I320)</f>
        <v>0</v>
      </c>
      <c r="W320" s="30"/>
      <c r="X320" s="30"/>
      <c r="Y320" s="30"/>
      <c r="Z320" s="30"/>
      <c r="AA320" s="30"/>
      <c r="AB320" s="31"/>
    </row>
    <row r="321" spans="1:28" x14ac:dyDescent="0.3">
      <c r="A321" s="32">
        <f>VLOOKUP(YEAR(C321),Flags!$A$13:$B$95,2,FALSE)</f>
        <v>1</v>
      </c>
      <c r="B321" s="24">
        <f t="shared" si="432"/>
        <v>1956</v>
      </c>
      <c r="C321" s="25">
        <v>20606</v>
      </c>
      <c r="D321" s="26">
        <f>VLOOKUP($C321,COS!$B$8:$H$991,3,FALSE)</f>
        <v>9877.4130859375</v>
      </c>
      <c r="E321" s="24">
        <f>IF(D321&gt;=IF(MONTH($C321)=4,$C$3,IF(MONTH($C321)=5,$C$4,IF(MONTH($C321)=6,$C$5,IF(MONTH($C321)=7,$C$6,"ERROR")))),1,0)</f>
        <v>1</v>
      </c>
      <c r="F321" s="26">
        <f>VLOOKUP($C321,COS!$B$8:$H$991,7,FALSE)</f>
        <v>47.875160217285156</v>
      </c>
      <c r="G321" s="24">
        <f>IF(F321&lt;=IF(MONTH($C321)=4,$F$3,IF(MONTH($C321)=5,$F$4,IF(MONTH($C321)=6,$F$5,IF(MONTH($C321)=7,$F$6,"ERROR")))),1,0)</f>
        <v>1</v>
      </c>
      <c r="H321" s="26">
        <f>IF(J321=1,D321-$C$4,0)</f>
        <v>3877.4130859375</v>
      </c>
      <c r="I321" s="26">
        <f t="shared" si="450"/>
        <v>238.41283768078512</v>
      </c>
      <c r="J321" s="24">
        <f t="shared" si="507"/>
        <v>1</v>
      </c>
      <c r="K321" s="26">
        <f>VLOOKUP($C321,COS!$B$8:$H$991,2,FALSE)</f>
        <v>4552</v>
      </c>
      <c r="L321" s="24">
        <f t="shared" si="435"/>
        <v>1</v>
      </c>
      <c r="M321" s="24">
        <f t="shared" si="436"/>
        <v>0</v>
      </c>
      <c r="N321" s="26">
        <f>VLOOKUP($C321,COS!$B$8:$H$991,5,FALSE)</f>
        <v>735.657470703125</v>
      </c>
      <c r="O321" s="26">
        <f t="shared" si="510"/>
        <v>45.233814727530991</v>
      </c>
      <c r="P321" s="26">
        <f>VLOOKUP($C321,COS!$B$8:$H$991,6,FALSE)</f>
        <v>2024.16015625</v>
      </c>
      <c r="Q321" s="26">
        <f t="shared" si="511"/>
        <v>124.46075671487603</v>
      </c>
      <c r="R321" s="26">
        <f>MIN(IF(MONTH($C321)=4,$S$3,IF(MONTH($C321)=5,$S$4,IF(MONTH($C321)=6,$S$5,IF(MONTH($C321)=7,$S$6,"ERROR")))),MAX(VLOOKUP($C321,COS!$B$8:$K$991,10,FALSE)-IF(MONTH($C321)=4,$Y$3,IF(MONTH($C321)=5,$Y$4,IF(MONTH($C321)=6,$Y$5,IF(MONTH($C321)=7,$Y$6,"ERROR")))),0),MAX(VLOOKUP($C321,COS!$B$8:$K$991,9,FALSE)-IF(MONTH($C321)=4,$V$3,IF(MONTH($C321)=5,$V$4,IF(MONTH($C321)=6,$V$5,IF(MONTH($C321)=7,$V$6,"ERROR"))))-VLOOKUP($C321,COS!$B$8:$K$991,6,FALSE)/2,0))</f>
        <v>1500</v>
      </c>
      <c r="S321" s="26">
        <f t="shared" si="512"/>
        <v>92.231404958677686</v>
      </c>
      <c r="T321" s="26">
        <f t="shared" si="513"/>
        <v>177.07869067988119</v>
      </c>
      <c r="U321" s="26" t="str">
        <f>IF(VLOOKUP($C321,COS!$B$8:$I$991,8,FALSE)=1,"UWFE","IBU")</f>
        <v>UWFE</v>
      </c>
      <c r="V321" s="26">
        <f t="shared" ref="V321" si="515">MIN(IF(IF($AA$3=2,AND(E321=1,G321=1,L321=1,L325=1,M321=1,U321="IBU"),AND(E321=1,G321=1,L321=1,L325=1,M321=1)),T321,0),I321)</f>
        <v>0</v>
      </c>
      <c r="W321" s="26"/>
      <c r="X321" s="26"/>
      <c r="Y321" s="26"/>
      <c r="Z321" s="26"/>
      <c r="AA321" s="26"/>
      <c r="AB321" s="33"/>
    </row>
    <row r="322" spans="1:28" x14ac:dyDescent="0.3">
      <c r="A322" s="32">
        <f>VLOOKUP(YEAR(C322),Flags!$A$13:$B$95,2,FALSE)</f>
        <v>1</v>
      </c>
      <c r="B322" s="24">
        <f t="shared" si="432"/>
        <v>1956</v>
      </c>
      <c r="C322" s="25">
        <v>20636</v>
      </c>
      <c r="D322" s="26">
        <f>VLOOKUP($C322,COS!$B$8:$H$991,3,FALSE)</f>
        <v>7543.416015625</v>
      </c>
      <c r="E322" s="24">
        <f>IF(D322&gt;=IF(MONTH($C322)=4,$C$3,IF(MONTH($C322)=5,$C$4,IF(MONTH($C322)=6,$C$5,IF(MONTH($C322)=7,$C$6,"ERROR")))),1,0)</f>
        <v>0</v>
      </c>
      <c r="F322" s="26">
        <f>VLOOKUP($C322,COS!$B$8:$H$991,7,FALSE)</f>
        <v>50.089691162109375</v>
      </c>
      <c r="G322" s="24">
        <f>IF(F322&lt;=IF(MONTH($C322)=4,$F$3,IF(MONTH($C322)=5,$F$4,IF(MONTH($C322)=6,$F$5,IF(MONTH($C322)=7,$F$6,"ERROR")))),1,0)</f>
        <v>1</v>
      </c>
      <c r="H322" s="26">
        <f>IF(J322=1,D322-$C$5,0)</f>
        <v>0</v>
      </c>
      <c r="I322" s="26">
        <f t="shared" si="450"/>
        <v>0</v>
      </c>
      <c r="J322" s="24">
        <f t="shared" si="507"/>
        <v>0</v>
      </c>
      <c r="K322" s="26">
        <f>VLOOKUP($C322,COS!$B$8:$H$991,2,FALSE)</f>
        <v>4426.123046875</v>
      </c>
      <c r="L322" s="24">
        <f t="shared" si="435"/>
        <v>1</v>
      </c>
      <c r="M322" s="24">
        <f t="shared" si="436"/>
        <v>0</v>
      </c>
      <c r="N322" s="26">
        <f>VLOOKUP($C322,COS!$B$8:$H$991,5,FALSE)</f>
        <v>1099.9310302734375</v>
      </c>
      <c r="O322" s="26">
        <f t="shared" si="510"/>
        <v>65.450441470816116</v>
      </c>
      <c r="P322" s="26">
        <f>VLOOKUP($C322,COS!$B$8:$H$991,6,FALSE)</f>
        <v>2200.53125</v>
      </c>
      <c r="Q322" s="26">
        <f t="shared" si="511"/>
        <v>130.94070247933885</v>
      </c>
      <c r="R322" s="26">
        <f>MIN(IF(MONTH($C322)=4,$S$3,IF(MONTH($C322)=5,$S$4,IF(MONTH($C322)=6,$S$5,IF(MONTH($C322)=7,$S$6,"ERROR")))),MAX(VLOOKUP($C322,COS!$B$8:$K$991,10,FALSE)-IF(MONTH($C322)=4,$Y$3,IF(MONTH($C322)=5,$Y$4,IF(MONTH($C322)=6,$Y$5,IF(MONTH($C322)=7,$Y$6,"ERROR")))),0),MAX(VLOOKUP($C322,COS!$B$8:$K$991,9,FALSE)-IF(MONTH($C322)=4,$V$3,IF(MONTH($C322)=5,$V$4,IF(MONTH($C322)=6,$V$5,IF(MONTH($C322)=7,$V$6,"ERROR"))))-VLOOKUP($C322,COS!$B$8:$K$991,6,FALSE)/2,0))</f>
        <v>1500</v>
      </c>
      <c r="S322" s="26">
        <f t="shared" si="512"/>
        <v>89.256198347107429</v>
      </c>
      <c r="T322" s="26">
        <f t="shared" si="513"/>
        <v>187.45177032218493</v>
      </c>
      <c r="U322" s="26" t="str">
        <f>IF(VLOOKUP($C322,COS!$B$8:$I$991,8,FALSE)=1,"UWFE","IBU")</f>
        <v>UWFE</v>
      </c>
      <c r="V322" s="26">
        <f t="shared" ref="V322" si="516">MIN(IF(IF($AA$3=2,AND(E322=1,G322=1,L322=1,L325=1,M322=1,U322="IBU"),AND(E322=1,G322=1,L322=1,L325=1,M322=1)),T322,0),I322)</f>
        <v>0</v>
      </c>
      <c r="W322" s="26"/>
      <c r="X322" s="26"/>
      <c r="Y322" s="26"/>
      <c r="Z322" s="26"/>
      <c r="AA322" s="26"/>
      <c r="AB322" s="33"/>
    </row>
    <row r="323" spans="1:28" x14ac:dyDescent="0.3">
      <c r="A323" s="32">
        <f>VLOOKUP(YEAR(C323),Flags!$A$13:$B$95,2,FALSE)</f>
        <v>1</v>
      </c>
      <c r="B323" s="24">
        <f t="shared" si="432"/>
        <v>1956</v>
      </c>
      <c r="C323" s="25">
        <v>20667</v>
      </c>
      <c r="D323" s="26">
        <f>VLOOKUP($C323,COS!$B$8:$H$991,3,FALSE)</f>
        <v>11823.966796875</v>
      </c>
      <c r="E323" s="24">
        <f>IF(D323&gt;=IF(MONTH($C323)=4,$C$3,IF(MONTH($C323)=5,$C$4,IF(MONTH($C323)=6,$C$5,IF(MONTH($C323)=7,$C$6,"ERROR")))),1,0)</f>
        <v>0</v>
      </c>
      <c r="F323" s="26">
        <f>VLOOKUP($C323,COS!$B$8:$H$991,7,FALSE)</f>
        <v>50.282562255859375</v>
      </c>
      <c r="G323" s="24">
        <f>IF(F323&lt;=IF(MONTH($C323)=4,$F$3,IF(MONTH($C323)=5,$F$4,IF(MONTH($C323)=6,$F$5,IF(MONTH($C323)=7,$F$6,"ERROR")))),1,0)</f>
        <v>1</v>
      </c>
      <c r="H323" s="26">
        <f>IF(J323=1,D323-$C$6,0)</f>
        <v>0</v>
      </c>
      <c r="I323" s="26">
        <f t="shared" si="450"/>
        <v>0</v>
      </c>
      <c r="J323" s="24">
        <f t="shared" si="507"/>
        <v>0</v>
      </c>
      <c r="K323" s="26">
        <f>VLOOKUP($C323,COS!$B$8:$H$991,2,FALSE)</f>
        <v>3905.54736328125</v>
      </c>
      <c r="L323" s="24">
        <f t="shared" si="435"/>
        <v>1</v>
      </c>
      <c r="M323" s="24">
        <f t="shared" si="436"/>
        <v>0</v>
      </c>
      <c r="N323" s="26">
        <f>VLOOKUP($C323,COS!$B$8:$H$991,5,FALSE)</f>
        <v>1282.6153564453125</v>
      </c>
      <c r="O323" s="26">
        <f t="shared" si="510"/>
        <v>78.86494423101756</v>
      </c>
      <c r="P323" s="26">
        <f>VLOOKUP($C323,COS!$B$8:$H$991,6,FALSE)</f>
        <v>2616.67822265625</v>
      </c>
      <c r="Q323" s="26">
        <f t="shared" si="511"/>
        <v>160.89327253357436</v>
      </c>
      <c r="R323" s="26">
        <f>MIN(IF(MONTH($C323)=4,$S$3,IF(MONTH($C323)=5,$S$4,IF(MONTH($C323)=6,$S$5,IF(MONTH($C323)=7,$S$6,"ERROR")))),MAX(VLOOKUP($C323,COS!$B$8:$K$991,10,FALSE)-IF(MONTH($C323)=4,$Y$3,IF(MONTH($C323)=5,$Y$4,IF(MONTH($C323)=6,$Y$5,IF(MONTH($C323)=7,$Y$6,"ERROR")))),0),MAX(VLOOKUP($C323,COS!$B$8:$K$991,9,FALSE)-IF(MONTH($C323)=4,$V$3,IF(MONTH($C323)=5,$V$4,IF(MONTH($C323)=6,$V$5,IF(MONTH($C323)=7,$V$6,"ERROR"))))-VLOOKUP($C323,COS!$B$8:$K$991,6,FALSE)/2,0))</f>
        <v>1500</v>
      </c>
      <c r="S323" s="26">
        <f t="shared" si="512"/>
        <v>92.231404958677686</v>
      </c>
      <c r="T323" s="26">
        <f t="shared" si="513"/>
        <v>212.11051334097363</v>
      </c>
      <c r="U323" s="26" t="str">
        <f>IF(VLOOKUP($C323,COS!$B$8:$I$991,8,FALSE)=1,"UWFE","IBU")</f>
        <v>IBU</v>
      </c>
      <c r="V323" s="26">
        <f t="shared" ref="V323" si="517">MIN(IF(IF($AA$3=2,AND(E323=1,G323=1,L323=1,L325=1,M323=1,U323="IBU"),AND(E323=1,G323=1,L323=1,L325=1,M323=1)),T323,0),I323)</f>
        <v>0</v>
      </c>
      <c r="W323" s="26"/>
      <c r="X323" s="26"/>
      <c r="Y323" s="26"/>
      <c r="Z323" s="26"/>
      <c r="AA323" s="26"/>
      <c r="AB323" s="33"/>
    </row>
    <row r="324" spans="1:28" x14ac:dyDescent="0.3">
      <c r="A324" s="32">
        <f>VLOOKUP(YEAR(C324),Flags!$A$13:$B$95,2,FALSE)</f>
        <v>1</v>
      </c>
      <c r="B324" s="24">
        <f t="shared" si="432"/>
        <v>1956</v>
      </c>
      <c r="C324" s="25">
        <v>20698</v>
      </c>
      <c r="D324" s="26"/>
      <c r="E324" s="24"/>
      <c r="F324" s="26"/>
      <c r="G324" s="24"/>
      <c r="H324" s="24"/>
      <c r="I324" s="26"/>
      <c r="J324" s="24"/>
      <c r="K324" s="26"/>
      <c r="L324" s="24"/>
      <c r="M324" s="24"/>
      <c r="N324" s="26"/>
      <c r="O324" s="26"/>
      <c r="P324" s="26"/>
      <c r="Q324" s="26"/>
      <c r="R324" s="26"/>
      <c r="S324" s="26"/>
      <c r="T324" s="26"/>
      <c r="U324" s="26"/>
      <c r="V324" s="26"/>
      <c r="W324" s="26">
        <f>MAX($C$7-VLOOKUP($C324,COS!$B$8:$H$991,3,FALSE),0)</f>
        <v>90474.158203125</v>
      </c>
      <c r="X324" s="26">
        <f t="shared" si="448"/>
        <v>5563.0391490185948</v>
      </c>
      <c r="Y324" s="26">
        <f>VLOOKUP($C324,COS!$B$8:$H$991,4,FALSE)</f>
        <v>0</v>
      </c>
      <c r="Z324" s="26">
        <f t="shared" si="449"/>
        <v>0</v>
      </c>
      <c r="AA324" s="26">
        <f t="shared" ref="AA324:AA328" si="518">MIN(W324,Y324)</f>
        <v>0</v>
      </c>
      <c r="AB324" s="33">
        <f t="shared" ref="AB324" si="519">AA324*DAY($C324)*86400/43560/1000*IF(MONTH($C324)=8,$P$3,IF(MONTH($C324)=9,$P$4,IF(MONTH($C324)=10,$P$5,IF(MONTH($C324)=11,$P$6,IF(MONTH($C324)=12,$P$7,NA())))))</f>
        <v>0</v>
      </c>
    </row>
    <row r="325" spans="1:28" x14ac:dyDescent="0.3">
      <c r="A325" s="32">
        <f>VLOOKUP(YEAR(C325),Flags!$A$13:$B$95,2,FALSE)</f>
        <v>1</v>
      </c>
      <c r="B325" s="24">
        <f t="shared" si="432"/>
        <v>1956</v>
      </c>
      <c r="C325" s="25">
        <v>20728</v>
      </c>
      <c r="D325" s="26"/>
      <c r="E325" s="24"/>
      <c r="F325" s="26"/>
      <c r="G325" s="24"/>
      <c r="H325" s="24"/>
      <c r="I325" s="26"/>
      <c r="J325" s="24"/>
      <c r="K325" s="26">
        <f>VLOOKUP($C325,COS!$B$8:$H$991,2,FALSE)</f>
        <v>3055.82763671875</v>
      </c>
      <c r="L325" s="24">
        <f t="shared" ref="L325" si="520">IF(AND(K325&gt;$I$7,K325&lt;$I$8),1,0)</f>
        <v>1</v>
      </c>
      <c r="M325" s="24"/>
      <c r="N325" s="26"/>
      <c r="O325" s="26"/>
      <c r="P325" s="26"/>
      <c r="Q325" s="26"/>
      <c r="R325" s="26"/>
      <c r="S325" s="26"/>
      <c r="T325" s="26"/>
      <c r="U325" s="26"/>
      <c r="V325" s="26"/>
      <c r="W325" s="26">
        <f>MAX($C$8-VLOOKUP($C325,COS!$B$8:$H$991,3,FALSE),0)</f>
        <v>84431.8017578125</v>
      </c>
      <c r="X325" s="26">
        <f t="shared" si="448"/>
        <v>5024.0410963326449</v>
      </c>
      <c r="Y325" s="26">
        <f>VLOOKUP($C325,COS!$B$8:$H$991,4,FALSE)</f>
        <v>0</v>
      </c>
      <c r="Z325" s="26">
        <f t="shared" si="449"/>
        <v>0</v>
      </c>
      <c r="AA325" s="26">
        <f t="shared" si="518"/>
        <v>0</v>
      </c>
      <c r="AB325" s="33">
        <f t="shared" si="446"/>
        <v>0</v>
      </c>
    </row>
    <row r="326" spans="1:28" x14ac:dyDescent="0.3">
      <c r="A326" s="32">
        <f>VLOOKUP(YEAR(C326),Flags!$A$13:$B$95,2,FALSE)</f>
        <v>1</v>
      </c>
      <c r="B326" s="24">
        <f t="shared" si="432"/>
        <v>1956</v>
      </c>
      <c r="C326" s="25">
        <v>20759</v>
      </c>
      <c r="D326" s="26"/>
      <c r="E326" s="24"/>
      <c r="F326" s="26"/>
      <c r="G326" s="26"/>
      <c r="H326" s="26"/>
      <c r="I326" s="26"/>
      <c r="J326" s="26"/>
      <c r="K326" s="26"/>
      <c r="L326" s="24"/>
      <c r="M326" s="24"/>
      <c r="N326" s="26"/>
      <c r="O326" s="26"/>
      <c r="P326" s="26"/>
      <c r="Q326" s="26"/>
      <c r="R326" s="26"/>
      <c r="S326" s="26"/>
      <c r="T326" s="26"/>
      <c r="U326" s="26"/>
      <c r="V326" s="26"/>
      <c r="W326" s="26">
        <f>MAX($C$9-VLOOKUP($C326,COS!$B$8:$H$991,3,FALSE),0)</f>
        <v>92823.07568359375</v>
      </c>
      <c r="X326" s="26">
        <f t="shared" si="448"/>
        <v>5707.4684552556819</v>
      </c>
      <c r="Y326" s="26">
        <f>VLOOKUP($C326,COS!$B$8:$H$991,4,FALSE)</f>
        <v>524.9937744140625</v>
      </c>
      <c r="Z326" s="26">
        <f t="shared" si="449"/>
        <v>32.28060893917872</v>
      </c>
      <c r="AA326" s="26">
        <f t="shared" si="518"/>
        <v>524.9937744140625</v>
      </c>
      <c r="AB326" s="33">
        <f t="shared" si="446"/>
        <v>32.28060893917872</v>
      </c>
    </row>
    <row r="327" spans="1:28" x14ac:dyDescent="0.3">
      <c r="A327" s="32">
        <f>VLOOKUP(YEAR(C327),Flags!$A$13:$B$95,2,FALSE)</f>
        <v>1</v>
      </c>
      <c r="B327" s="24">
        <f t="shared" si="432"/>
        <v>1956</v>
      </c>
      <c r="C327" s="25">
        <v>20789</v>
      </c>
      <c r="D327" s="26"/>
      <c r="E327" s="24"/>
      <c r="F327" s="26"/>
      <c r="G327" s="26"/>
      <c r="H327" s="26"/>
      <c r="I327" s="26"/>
      <c r="J327" s="26"/>
      <c r="K327" s="26"/>
      <c r="L327" s="24"/>
      <c r="M327" s="24"/>
      <c r="N327" s="26"/>
      <c r="O327" s="26"/>
      <c r="P327" s="26"/>
      <c r="Q327" s="26"/>
      <c r="R327" s="26"/>
      <c r="S327" s="26"/>
      <c r="T327" s="26"/>
      <c r="U327" s="26"/>
      <c r="V327" s="26"/>
      <c r="W327" s="26">
        <f>MAX($C$10-VLOOKUP($C327,COS!$B$8:$H$991,3,FALSE),0)</f>
        <v>87816.908203125</v>
      </c>
      <c r="X327" s="26">
        <f t="shared" si="448"/>
        <v>5225.4689178719009</v>
      </c>
      <c r="Y327" s="26">
        <f>VLOOKUP($C327,COS!$B$8:$H$991,4,FALSE)</f>
        <v>630.58831787109375</v>
      </c>
      <c r="Z327" s="26">
        <f t="shared" si="449"/>
        <v>37.522610650180788</v>
      </c>
      <c r="AA327" s="26">
        <f t="shared" si="518"/>
        <v>630.58831787109375</v>
      </c>
      <c r="AB327" s="33">
        <f t="shared" si="446"/>
        <v>37.522610650180788</v>
      </c>
    </row>
    <row r="328" spans="1:28" x14ac:dyDescent="0.3">
      <c r="A328" s="34">
        <f>VLOOKUP(YEAR(C328),Flags!$A$13:$B$95,2,FALSE)</f>
        <v>1</v>
      </c>
      <c r="B328" s="35">
        <f t="shared" si="432"/>
        <v>1956</v>
      </c>
      <c r="C328" s="36">
        <v>20820</v>
      </c>
      <c r="D328" s="37"/>
      <c r="E328" s="35"/>
      <c r="F328" s="37"/>
      <c r="G328" s="37"/>
      <c r="H328" s="37"/>
      <c r="I328" s="37"/>
      <c r="J328" s="37"/>
      <c r="K328" s="37"/>
      <c r="L328" s="35"/>
      <c r="M328" s="35"/>
      <c r="N328" s="37"/>
      <c r="O328" s="37"/>
      <c r="P328" s="37"/>
      <c r="Q328" s="37"/>
      <c r="R328" s="37"/>
      <c r="S328" s="37"/>
      <c r="T328" s="37"/>
      <c r="U328" s="37"/>
      <c r="V328" s="37"/>
      <c r="W328" s="37">
        <f>MAX($C$11-VLOOKUP($C328,COS!$B$8:$H$991,3,FALSE),0)</f>
        <v>94646.02783203125</v>
      </c>
      <c r="X328" s="37">
        <f t="shared" si="448"/>
        <v>5819.5574138042357</v>
      </c>
      <c r="Y328" s="37">
        <f>VLOOKUP($C328,COS!$B$8:$H$991,4,FALSE)</f>
        <v>0</v>
      </c>
      <c r="Z328" s="37">
        <f t="shared" si="449"/>
        <v>0</v>
      </c>
      <c r="AA328" s="37">
        <f t="shared" si="518"/>
        <v>0</v>
      </c>
      <c r="AB328" s="38">
        <f t="shared" si="446"/>
        <v>0</v>
      </c>
    </row>
    <row r="329" spans="1:28" x14ac:dyDescent="0.3">
      <c r="A329" s="27">
        <f>VLOOKUP(YEAR(C329),Flags!$A$13:$B$95,2,FALSE)</f>
        <v>2</v>
      </c>
      <c r="B329" s="28">
        <f t="shared" si="432"/>
        <v>1957</v>
      </c>
      <c r="C329" s="29">
        <v>20940</v>
      </c>
      <c r="D329" s="30">
        <f>VLOOKUP($C329,COS!$B$8:$H$991,3,FALSE)</f>
        <v>3250</v>
      </c>
      <c r="E329" s="28">
        <f>IF(D329&gt;=IF(MONTH($C329)=4,$C$3,IF(MONTH($C329)=5,$C$4,IF(MONTH($C329)=6,$C$5,IF(MONTH($C329)=7,$C$6,"ERROR")))),1,0)</f>
        <v>0</v>
      </c>
      <c r="F329" s="30">
        <f>VLOOKUP($C329,COS!$B$8:$H$991,7,FALSE)</f>
        <v>51.217433929443359</v>
      </c>
      <c r="G329" s="28">
        <f>IF(F329&lt;=IF(MONTH($C329)=4,$F$3,IF(MONTH($C329)=5,$F$4,IF(MONTH($C329)=6,$F$5,IF(MONTH($C329)=7,$F$6,"ERROR")))),1,0)</f>
        <v>1</v>
      </c>
      <c r="H329" s="30">
        <f>IF(J329=1,D329-$C$3,0)</f>
        <v>0</v>
      </c>
      <c r="I329" s="30">
        <f t="shared" si="450"/>
        <v>0</v>
      </c>
      <c r="J329" s="28">
        <f t="shared" ref="J329:J332" si="521">IF(AND(E329=1,G329=1),1,0)</f>
        <v>0</v>
      </c>
      <c r="K329" s="30">
        <f>VLOOKUP($C329,COS!$B$8:$H$991,2,FALSE)</f>
        <v>4535.75439453125</v>
      </c>
      <c r="L329" s="28">
        <f t="shared" ref="L329" si="522">IF(K329&lt;=IF(MONTH($C329)=4,$I$3,IF(MONTH($C329)=5,$I$4,IF(MONTH($C329)=6,$I$5,IF(MONTH($C329)=7,$I$6,"ERROR")))),1,0)</f>
        <v>1</v>
      </c>
      <c r="M329" s="28">
        <f t="shared" ref="M329" si="523">VLOOKUP($A329,$L$3:$M$7,2,FALSE)</f>
        <v>0</v>
      </c>
      <c r="N329" s="30">
        <f>VLOOKUP($C329,COS!$B$8:$H$991,5,FALSE)</f>
        <v>473.61004638671875</v>
      </c>
      <c r="O329" s="30">
        <f t="shared" ref="O329:O332" si="524">N329*DAY($C329)*86400/43560/1000</f>
        <v>28.18175482631715</v>
      </c>
      <c r="P329" s="30">
        <f>VLOOKUP($C329,COS!$B$8:$H$991,6,FALSE)</f>
        <v>459.42416381835938</v>
      </c>
      <c r="Q329" s="30">
        <f t="shared" ref="Q329:Q332" si="525">P329*DAY($C329)*86400/43560/1000</f>
        <v>27.33763619415031</v>
      </c>
      <c r="R329" s="30">
        <f>MIN(IF(MONTH($C329)=4,$S$3,IF(MONTH($C329)=5,$S$4,IF(MONTH($C329)=6,$S$5,IF(MONTH($C329)=7,$S$6,"ERROR")))),MAX(VLOOKUP($C329,COS!$B$8:$K$991,10,FALSE)-IF(MONTH($C329)=4,$Y$3,IF(MONTH($C329)=5,$Y$4,IF(MONTH($C329)=6,$Y$5,IF(MONTH($C329)=7,$Y$6,"ERROR")))),0),MAX(VLOOKUP($C329,COS!$B$8:$K$991,9,FALSE)-IF(MONTH($C329)=4,$V$3,IF(MONTH($C329)=5,$V$4,IF(MONTH($C329)=6,$V$5,IF(MONTH($C329)=7,$V$6,"ERROR"))))-VLOOKUP($C329,COS!$B$8:$K$991,6,FALSE)/2,0))</f>
        <v>1500</v>
      </c>
      <c r="S329" s="30">
        <f t="shared" ref="S329:S332" si="526">R329*DAY($C329)*86400/43560/1000</f>
        <v>89.256198347107429</v>
      </c>
      <c r="T329" s="30">
        <f t="shared" ref="T329:T332" si="527">(O329+Q329)/2+S329</f>
        <v>117.01589385734115</v>
      </c>
      <c r="U329" s="30" t="str">
        <f>IF(VLOOKUP($C329,COS!$B$8:$I$991,8,FALSE)=1,"UWFE","IBU")</f>
        <v>UWFE</v>
      </c>
      <c r="V329" s="30">
        <f t="shared" ref="V329" si="528">MIN(IF(IF($AA$3=2,AND(E329=1,G329=1,L329=1,L334=1,M329=1,U329="IBU"),AND(E329=1,G329=1,L329=1,L334=1,M329=1)),T329,0),I329)</f>
        <v>0</v>
      </c>
      <c r="W329" s="30"/>
      <c r="X329" s="30"/>
      <c r="Y329" s="30"/>
      <c r="Z329" s="30"/>
      <c r="AA329" s="30"/>
      <c r="AB329" s="31"/>
    </row>
    <row r="330" spans="1:28" x14ac:dyDescent="0.3">
      <c r="A330" s="32">
        <f>VLOOKUP(YEAR(C330),Flags!$A$13:$B$95,2,FALSE)</f>
        <v>2</v>
      </c>
      <c r="B330" s="24">
        <f t="shared" si="432"/>
        <v>1957</v>
      </c>
      <c r="C330" s="25">
        <v>20971</v>
      </c>
      <c r="D330" s="26">
        <f>VLOOKUP($C330,COS!$B$8:$H$991,3,FALSE)</f>
        <v>10383.798828125</v>
      </c>
      <c r="E330" s="24">
        <f>IF(D330&gt;=IF(MONTH($C330)=4,$C$3,IF(MONTH($C330)=5,$C$4,IF(MONTH($C330)=6,$C$5,IF(MONTH($C330)=7,$C$6,"ERROR")))),1,0)</f>
        <v>1</v>
      </c>
      <c r="F330" s="26">
        <f>VLOOKUP($C330,COS!$B$8:$H$991,7,FALSE)</f>
        <v>50.116058349609375</v>
      </c>
      <c r="G330" s="24">
        <f>IF(F330&lt;=IF(MONTH($C330)=4,$F$3,IF(MONTH($C330)=5,$F$4,IF(MONTH($C330)=6,$F$5,IF(MONTH($C330)=7,$F$6,"ERROR")))),1,0)</f>
        <v>1</v>
      </c>
      <c r="H330" s="26">
        <f>IF(J330=1,D330-$C$4,0)</f>
        <v>4383.798828125</v>
      </c>
      <c r="I330" s="26">
        <f t="shared" si="450"/>
        <v>269.54928331611569</v>
      </c>
      <c r="J330" s="24">
        <f t="shared" si="521"/>
        <v>1</v>
      </c>
      <c r="K330" s="26">
        <f>VLOOKUP($C330,COS!$B$8:$H$991,2,FALSE)</f>
        <v>4552</v>
      </c>
      <c r="L330" s="24">
        <f t="shared" si="435"/>
        <v>1</v>
      </c>
      <c r="M330" s="24">
        <f t="shared" si="436"/>
        <v>0</v>
      </c>
      <c r="N330" s="26">
        <f>VLOOKUP($C330,COS!$B$8:$H$991,5,FALSE)</f>
        <v>717.7584228515625</v>
      </c>
      <c r="O330" s="26">
        <f t="shared" si="524"/>
        <v>44.133245173682852</v>
      </c>
      <c r="P330" s="26">
        <f>VLOOKUP($C330,COS!$B$8:$H$991,6,FALSE)</f>
        <v>2044.89892578125</v>
      </c>
      <c r="Q330" s="26">
        <f t="shared" si="525"/>
        <v>125.73593394886363</v>
      </c>
      <c r="R330" s="26">
        <f>MIN(IF(MONTH($C330)=4,$S$3,IF(MONTH($C330)=5,$S$4,IF(MONTH($C330)=6,$S$5,IF(MONTH($C330)=7,$S$6,"ERROR")))),MAX(VLOOKUP($C330,COS!$B$8:$K$991,10,FALSE)-IF(MONTH($C330)=4,$Y$3,IF(MONTH($C330)=5,$Y$4,IF(MONTH($C330)=6,$Y$5,IF(MONTH($C330)=7,$Y$6,"ERROR")))),0),MAX(VLOOKUP($C330,COS!$B$8:$K$991,9,FALSE)-IF(MONTH($C330)=4,$V$3,IF(MONTH($C330)=5,$V$4,IF(MONTH($C330)=6,$V$5,IF(MONTH($C330)=7,$V$6,"ERROR"))))-VLOOKUP($C330,COS!$B$8:$K$991,6,FALSE)/2,0))</f>
        <v>1500</v>
      </c>
      <c r="S330" s="26">
        <f t="shared" si="526"/>
        <v>92.231404958677686</v>
      </c>
      <c r="T330" s="26">
        <f t="shared" si="527"/>
        <v>177.16599451995091</v>
      </c>
      <c r="U330" s="26" t="str">
        <f>IF(VLOOKUP($C330,COS!$B$8:$I$991,8,FALSE)=1,"UWFE","IBU")</f>
        <v>UWFE</v>
      </c>
      <c r="V330" s="26">
        <f t="shared" ref="V330" si="529">MIN(IF(IF($AA$3=2,AND(E330=1,G330=1,L330=1,L334=1,M330=1,U330="IBU"),AND(E330=1,G330=1,L330=1,L334=1,M330=1)),T330,0),I330)</f>
        <v>0</v>
      </c>
      <c r="W330" s="26"/>
      <c r="X330" s="26"/>
      <c r="Y330" s="26"/>
      <c r="Z330" s="26"/>
      <c r="AA330" s="26"/>
      <c r="AB330" s="33"/>
    </row>
    <row r="331" spans="1:28" x14ac:dyDescent="0.3">
      <c r="A331" s="32">
        <f>VLOOKUP(YEAR(C331),Flags!$A$13:$B$95,2,FALSE)</f>
        <v>2</v>
      </c>
      <c r="B331" s="24">
        <f t="shared" si="432"/>
        <v>1957</v>
      </c>
      <c r="C331" s="25">
        <v>21001</v>
      </c>
      <c r="D331" s="26">
        <f>VLOOKUP($C331,COS!$B$8:$H$991,3,FALSE)</f>
        <v>9041.25390625</v>
      </c>
      <c r="E331" s="24">
        <f>IF(D331&gt;=IF(MONTH($C331)=4,$C$3,IF(MONTH($C331)=5,$C$4,IF(MONTH($C331)=6,$C$5,IF(MONTH($C331)=7,$C$6,"ERROR")))),1,0)</f>
        <v>0</v>
      </c>
      <c r="F331" s="26">
        <f>VLOOKUP($C331,COS!$B$8:$H$991,7,FALSE)</f>
        <v>52.248523712158203</v>
      </c>
      <c r="G331" s="24">
        <f>IF(F331&lt;=IF(MONTH($C331)=4,$F$3,IF(MONTH($C331)=5,$F$4,IF(MONTH($C331)=6,$F$5,IF(MONTH($C331)=7,$F$6,"ERROR")))),1,0)</f>
        <v>1</v>
      </c>
      <c r="H331" s="26">
        <f>IF(J331=1,D331-$C$5,0)</f>
        <v>0</v>
      </c>
      <c r="I331" s="26">
        <f t="shared" si="450"/>
        <v>0</v>
      </c>
      <c r="J331" s="24">
        <f t="shared" si="521"/>
        <v>0</v>
      </c>
      <c r="K331" s="26">
        <f>VLOOKUP($C331,COS!$B$8:$H$991,2,FALSE)</f>
        <v>4290.39404296875</v>
      </c>
      <c r="L331" s="24">
        <f t="shared" si="435"/>
        <v>1</v>
      </c>
      <c r="M331" s="24">
        <f t="shared" si="436"/>
        <v>0</v>
      </c>
      <c r="N331" s="26">
        <f>VLOOKUP($C331,COS!$B$8:$H$991,5,FALSE)</f>
        <v>866.60247802734375</v>
      </c>
      <c r="O331" s="26">
        <f t="shared" si="524"/>
        <v>51.566428444602273</v>
      </c>
      <c r="P331" s="26">
        <f>VLOOKUP($C331,COS!$B$8:$H$991,6,FALSE)</f>
        <v>2422.49462890625</v>
      </c>
      <c r="Q331" s="26">
        <f t="shared" si="525"/>
        <v>144.14844072830579</v>
      </c>
      <c r="R331" s="26">
        <f>MIN(IF(MONTH($C331)=4,$S$3,IF(MONTH($C331)=5,$S$4,IF(MONTH($C331)=6,$S$5,IF(MONTH($C331)=7,$S$6,"ERROR")))),MAX(VLOOKUP($C331,COS!$B$8:$K$991,10,FALSE)-IF(MONTH($C331)=4,$Y$3,IF(MONTH($C331)=5,$Y$4,IF(MONTH($C331)=6,$Y$5,IF(MONTH($C331)=7,$Y$6,"ERROR")))),0),MAX(VLOOKUP($C331,COS!$B$8:$K$991,9,FALSE)-IF(MONTH($C331)=4,$V$3,IF(MONTH($C331)=5,$V$4,IF(MONTH($C331)=6,$V$5,IF(MONTH($C331)=7,$V$6,"ERROR"))))-VLOOKUP($C331,COS!$B$8:$K$991,6,FALSE)/2,0))</f>
        <v>1500</v>
      </c>
      <c r="S331" s="26">
        <f t="shared" si="526"/>
        <v>89.256198347107429</v>
      </c>
      <c r="T331" s="26">
        <f t="shared" si="527"/>
        <v>187.11363293356146</v>
      </c>
      <c r="U331" s="26" t="str">
        <f>IF(VLOOKUP($C331,COS!$B$8:$I$991,8,FALSE)=1,"UWFE","IBU")</f>
        <v>IBU</v>
      </c>
      <c r="V331" s="26">
        <f t="shared" ref="V331" si="530">MIN(IF(IF($AA$3=2,AND(E331=1,G331=1,L331=1,L334=1,M331=1,U331="IBU"),AND(E331=1,G331=1,L331=1,L334=1,M331=1)),T331,0),I331)</f>
        <v>0</v>
      </c>
      <c r="W331" s="26"/>
      <c r="X331" s="26"/>
      <c r="Y331" s="26"/>
      <c r="Z331" s="26"/>
      <c r="AA331" s="26"/>
      <c r="AB331" s="33"/>
    </row>
    <row r="332" spans="1:28" x14ac:dyDescent="0.3">
      <c r="A332" s="32">
        <f>VLOOKUP(YEAR(C332),Flags!$A$13:$B$95,2,FALSE)</f>
        <v>2</v>
      </c>
      <c r="B332" s="24">
        <f t="shared" si="432"/>
        <v>1957</v>
      </c>
      <c r="C332" s="25">
        <v>21032</v>
      </c>
      <c r="D332" s="26">
        <f>VLOOKUP($C332,COS!$B$8:$H$991,3,FALSE)</f>
        <v>16000</v>
      </c>
      <c r="E332" s="24">
        <f>IF(D332&gt;=IF(MONTH($C332)=4,$C$3,IF(MONTH($C332)=5,$C$4,IF(MONTH($C332)=6,$C$5,IF(MONTH($C332)=7,$C$6,"ERROR")))),1,0)</f>
        <v>1</v>
      </c>
      <c r="F332" s="26">
        <f>VLOOKUP($C332,COS!$B$8:$H$991,7,FALSE)</f>
        <v>51.816173553466797</v>
      </c>
      <c r="G332" s="24">
        <f>IF(F332&lt;=IF(MONTH($C332)=4,$F$3,IF(MONTH($C332)=5,$F$4,IF(MONTH($C332)=6,$F$5,IF(MONTH($C332)=7,$F$6,"ERROR")))),1,0)</f>
        <v>1</v>
      </c>
      <c r="H332" s="26">
        <f>IF(J332=1,D332-$C$6,0)</f>
        <v>4000</v>
      </c>
      <c r="I332" s="26">
        <f t="shared" si="450"/>
        <v>245.95041322314049</v>
      </c>
      <c r="J332" s="24">
        <f t="shared" si="521"/>
        <v>1</v>
      </c>
      <c r="K332" s="26">
        <f>VLOOKUP($C332,COS!$B$8:$H$991,2,FALSE)</f>
        <v>3601.666259765625</v>
      </c>
      <c r="L332" s="24">
        <f t="shared" si="435"/>
        <v>1</v>
      </c>
      <c r="M332" s="24">
        <f t="shared" si="436"/>
        <v>0</v>
      </c>
      <c r="N332" s="26">
        <f>VLOOKUP($C332,COS!$B$8:$H$991,5,FALSE)</f>
        <v>947.87957763671875</v>
      </c>
      <c r="O332" s="26">
        <f t="shared" si="524"/>
        <v>58.282843451381709</v>
      </c>
      <c r="P332" s="26">
        <f>VLOOKUP($C332,COS!$B$8:$H$991,6,FALSE)</f>
        <v>2467.689453125</v>
      </c>
      <c r="Q332" s="26">
        <f t="shared" si="525"/>
        <v>151.73231017561986</v>
      </c>
      <c r="R332" s="26">
        <f>MIN(IF(MONTH($C332)=4,$S$3,IF(MONTH($C332)=5,$S$4,IF(MONTH($C332)=6,$S$5,IF(MONTH($C332)=7,$S$6,"ERROR")))),MAX(VLOOKUP($C332,COS!$B$8:$K$991,10,FALSE)-IF(MONTH($C332)=4,$Y$3,IF(MONTH($C332)=5,$Y$4,IF(MONTH($C332)=6,$Y$5,IF(MONTH($C332)=7,$Y$6,"ERROR")))),0),MAX(VLOOKUP($C332,COS!$B$8:$K$991,9,FALSE)-IF(MONTH($C332)=4,$V$3,IF(MONTH($C332)=5,$V$4,IF(MONTH($C332)=6,$V$5,IF(MONTH($C332)=7,$V$6,"ERROR"))))-VLOOKUP($C332,COS!$B$8:$K$991,6,FALSE)/2,0))</f>
        <v>1500</v>
      </c>
      <c r="S332" s="26">
        <f t="shared" si="526"/>
        <v>92.231404958677686</v>
      </c>
      <c r="T332" s="26">
        <f t="shared" si="527"/>
        <v>197.23898177217848</v>
      </c>
      <c r="U332" s="26" t="str">
        <f>IF(VLOOKUP($C332,COS!$B$8:$I$991,8,FALSE)=1,"UWFE","IBU")</f>
        <v>IBU</v>
      </c>
      <c r="V332" s="26">
        <f t="shared" ref="V332" si="531">MIN(IF(IF($AA$3=2,AND(E332=1,G332=1,L332=1,L334=1,M332=1,U332="IBU"),AND(E332=1,G332=1,L332=1,L334=1,M332=1)),T332,0),I332)</f>
        <v>0</v>
      </c>
      <c r="W332" s="26"/>
      <c r="X332" s="26"/>
      <c r="Y332" s="26"/>
      <c r="Z332" s="26"/>
      <c r="AA332" s="26"/>
      <c r="AB332" s="33"/>
    </row>
    <row r="333" spans="1:28" x14ac:dyDescent="0.3">
      <c r="A333" s="32">
        <f>VLOOKUP(YEAR(C333),Flags!$A$13:$B$95,2,FALSE)</f>
        <v>2</v>
      </c>
      <c r="B333" s="24">
        <f t="shared" si="432"/>
        <v>1957</v>
      </c>
      <c r="C333" s="25">
        <v>21063</v>
      </c>
      <c r="D333" s="26"/>
      <c r="E333" s="24"/>
      <c r="F333" s="26"/>
      <c r="G333" s="24"/>
      <c r="H333" s="24"/>
      <c r="I333" s="26"/>
      <c r="J333" s="24"/>
      <c r="K333" s="26"/>
      <c r="L333" s="24"/>
      <c r="M333" s="24"/>
      <c r="N333" s="26"/>
      <c r="O333" s="26"/>
      <c r="P333" s="26"/>
      <c r="Q333" s="26"/>
      <c r="R333" s="26"/>
      <c r="S333" s="26"/>
      <c r="T333" s="26"/>
      <c r="U333" s="26"/>
      <c r="V333" s="26"/>
      <c r="W333" s="26">
        <f>MAX($C$7-VLOOKUP($C333,COS!$B$8:$H$991,3,FALSE),0)</f>
        <v>89621.1240234375</v>
      </c>
      <c r="X333" s="26">
        <f t="shared" si="448"/>
        <v>5510.5881217716942</v>
      </c>
      <c r="Y333" s="26">
        <f>VLOOKUP($C333,COS!$B$8:$H$991,4,FALSE)</f>
        <v>972.99468994140625</v>
      </c>
      <c r="Z333" s="26">
        <f t="shared" si="449"/>
        <v>59.827111513752584</v>
      </c>
      <c r="AA333" s="26">
        <f t="shared" ref="AA333:AA337" si="532">MIN(W333,Y333)</f>
        <v>972.99468994140625</v>
      </c>
      <c r="AB333" s="33">
        <f t="shared" ref="AB333" si="533">AA333*DAY($C333)*86400/43560/1000*IF(MONTH($C333)=8,$P$3,IF(MONTH($C333)=9,$P$4,IF(MONTH($C333)=10,$P$5,IF(MONTH($C333)=11,$P$6,IF(MONTH($C333)=12,$P$7,NA())))))</f>
        <v>59.827111513752584</v>
      </c>
    </row>
    <row r="334" spans="1:28" x14ac:dyDescent="0.3">
      <c r="A334" s="32">
        <f>VLOOKUP(YEAR(C334),Flags!$A$13:$B$95,2,FALSE)</f>
        <v>2</v>
      </c>
      <c r="B334" s="24">
        <f t="shared" si="432"/>
        <v>1957</v>
      </c>
      <c r="C334" s="25">
        <v>21093</v>
      </c>
      <c r="D334" s="26"/>
      <c r="E334" s="24"/>
      <c r="F334" s="26"/>
      <c r="G334" s="24"/>
      <c r="H334" s="24"/>
      <c r="I334" s="26"/>
      <c r="J334" s="24"/>
      <c r="K334" s="26">
        <f>VLOOKUP($C334,COS!$B$8:$H$991,2,FALSE)</f>
        <v>3041.052978515625</v>
      </c>
      <c r="L334" s="24">
        <f t="shared" ref="L334" si="534">IF(AND(K334&gt;$I$7,K334&lt;$I$8),1,0)</f>
        <v>1</v>
      </c>
      <c r="M334" s="24"/>
      <c r="N334" s="26"/>
      <c r="O334" s="26"/>
      <c r="P334" s="26"/>
      <c r="Q334" s="26"/>
      <c r="R334" s="26"/>
      <c r="S334" s="26"/>
      <c r="T334" s="26"/>
      <c r="U334" s="26"/>
      <c r="V334" s="26"/>
      <c r="W334" s="26">
        <f>MAX($C$8-VLOOKUP($C334,COS!$B$8:$H$991,3,FALSE),0)</f>
        <v>90649.27734375</v>
      </c>
      <c r="X334" s="26">
        <f t="shared" si="448"/>
        <v>5394.0065857438012</v>
      </c>
      <c r="Y334" s="26">
        <f>VLOOKUP($C334,COS!$B$8:$H$991,4,FALSE)</f>
        <v>579.7745361328125</v>
      </c>
      <c r="Z334" s="26">
        <f t="shared" si="449"/>
        <v>34.498980662448346</v>
      </c>
      <c r="AA334" s="26">
        <f t="shared" si="532"/>
        <v>579.7745361328125</v>
      </c>
      <c r="AB334" s="33">
        <f t="shared" si="446"/>
        <v>34.498980662448346</v>
      </c>
    </row>
    <row r="335" spans="1:28" x14ac:dyDescent="0.3">
      <c r="A335" s="32">
        <f>VLOOKUP(YEAR(C335),Flags!$A$13:$B$95,2,FALSE)</f>
        <v>2</v>
      </c>
      <c r="B335" s="24">
        <f t="shared" ref="B335:B398" si="535">YEAR(C335)</f>
        <v>1957</v>
      </c>
      <c r="C335" s="25">
        <v>21124</v>
      </c>
      <c r="D335" s="26"/>
      <c r="E335" s="24"/>
      <c r="F335" s="26"/>
      <c r="G335" s="26"/>
      <c r="H335" s="26"/>
      <c r="I335" s="26"/>
      <c r="J335" s="26"/>
      <c r="K335" s="26"/>
      <c r="L335" s="24"/>
      <c r="M335" s="24"/>
      <c r="N335" s="26"/>
      <c r="O335" s="26"/>
      <c r="P335" s="26"/>
      <c r="Q335" s="26"/>
      <c r="R335" s="26"/>
      <c r="S335" s="26"/>
      <c r="T335" s="26"/>
      <c r="U335" s="26"/>
      <c r="V335" s="26"/>
      <c r="W335" s="26">
        <f>MAX($C$9-VLOOKUP($C335,COS!$B$8:$H$991,3,FALSE),0)</f>
        <v>94373.61279296875</v>
      </c>
      <c r="X335" s="26">
        <f t="shared" si="448"/>
        <v>5802.8072659478312</v>
      </c>
      <c r="Y335" s="26">
        <f>VLOOKUP($C335,COS!$B$8:$H$991,4,FALSE)</f>
        <v>1307.7252197265625</v>
      </c>
      <c r="Z335" s="26">
        <f t="shared" si="449"/>
        <v>80.40888954351756</v>
      </c>
      <c r="AA335" s="26">
        <f t="shared" si="532"/>
        <v>1307.7252197265625</v>
      </c>
      <c r="AB335" s="33">
        <f t="shared" si="446"/>
        <v>80.40888954351756</v>
      </c>
    </row>
    <row r="336" spans="1:28" x14ac:dyDescent="0.3">
      <c r="A336" s="32">
        <f>VLOOKUP(YEAR(C336),Flags!$A$13:$B$95,2,FALSE)</f>
        <v>2</v>
      </c>
      <c r="B336" s="24">
        <f t="shared" si="535"/>
        <v>1957</v>
      </c>
      <c r="C336" s="25">
        <v>21154</v>
      </c>
      <c r="D336" s="26"/>
      <c r="E336" s="24"/>
      <c r="F336" s="26"/>
      <c r="G336" s="26"/>
      <c r="H336" s="26"/>
      <c r="I336" s="26"/>
      <c r="J336" s="26"/>
      <c r="K336" s="26"/>
      <c r="L336" s="24"/>
      <c r="M336" s="24"/>
      <c r="N336" s="26"/>
      <c r="O336" s="26"/>
      <c r="P336" s="26"/>
      <c r="Q336" s="26"/>
      <c r="R336" s="26"/>
      <c r="S336" s="26"/>
      <c r="T336" s="26"/>
      <c r="U336" s="26"/>
      <c r="V336" s="26"/>
      <c r="W336" s="26">
        <f>MAX($C$10-VLOOKUP($C336,COS!$B$8:$H$991,3,FALSE),0)</f>
        <v>91059.4033203125</v>
      </c>
      <c r="X336" s="26">
        <f t="shared" si="448"/>
        <v>5418.410776084711</v>
      </c>
      <c r="Y336" s="26">
        <f>VLOOKUP($C336,COS!$B$8:$H$991,4,FALSE)</f>
        <v>2291.82421875</v>
      </c>
      <c r="Z336" s="26">
        <f t="shared" si="449"/>
        <v>136.37301136363635</v>
      </c>
      <c r="AA336" s="26">
        <f t="shared" si="532"/>
        <v>2291.82421875</v>
      </c>
      <c r="AB336" s="33">
        <f t="shared" si="446"/>
        <v>136.37301136363635</v>
      </c>
    </row>
    <row r="337" spans="1:28" x14ac:dyDescent="0.3">
      <c r="A337" s="34">
        <f>VLOOKUP(YEAR(C337),Flags!$A$13:$B$95,2,FALSE)</f>
        <v>2</v>
      </c>
      <c r="B337" s="35">
        <f t="shared" si="535"/>
        <v>1957</v>
      </c>
      <c r="C337" s="36">
        <v>21185</v>
      </c>
      <c r="D337" s="37"/>
      <c r="E337" s="35"/>
      <c r="F337" s="37"/>
      <c r="G337" s="37"/>
      <c r="H337" s="37"/>
      <c r="I337" s="37"/>
      <c r="J337" s="37"/>
      <c r="K337" s="37"/>
      <c r="L337" s="35"/>
      <c r="M337" s="35"/>
      <c r="N337" s="37"/>
      <c r="O337" s="37"/>
      <c r="P337" s="37"/>
      <c r="Q337" s="37"/>
      <c r="R337" s="37"/>
      <c r="S337" s="37"/>
      <c r="T337" s="37"/>
      <c r="U337" s="37"/>
      <c r="V337" s="37"/>
      <c r="W337" s="37">
        <f>MAX($C$11-VLOOKUP($C337,COS!$B$8:$H$991,3,FALSE),0)</f>
        <v>89987.5791015625</v>
      </c>
      <c r="X337" s="37">
        <f t="shared" si="448"/>
        <v>5533.1205662448347</v>
      </c>
      <c r="Y337" s="37">
        <f>VLOOKUP($C337,COS!$B$8:$H$991,4,FALSE)</f>
        <v>0</v>
      </c>
      <c r="Z337" s="37">
        <f t="shared" si="449"/>
        <v>0</v>
      </c>
      <c r="AA337" s="37">
        <f t="shared" si="532"/>
        <v>0</v>
      </c>
      <c r="AB337" s="38">
        <f t="shared" si="446"/>
        <v>0</v>
      </c>
    </row>
    <row r="338" spans="1:28" x14ac:dyDescent="0.3">
      <c r="A338" s="27">
        <f>VLOOKUP(YEAR(C338),Flags!$A$13:$B$95,2,FALSE)</f>
        <v>1</v>
      </c>
      <c r="B338" s="28">
        <f t="shared" si="535"/>
        <v>1958</v>
      </c>
      <c r="C338" s="29">
        <v>21305</v>
      </c>
      <c r="D338" s="30">
        <f>VLOOKUP($C338,COS!$B$8:$H$991,3,FALSE)</f>
        <v>11542.2392578125</v>
      </c>
      <c r="E338" s="28">
        <f>IF(D338&gt;=IF(MONTH($C338)=4,$C$3,IF(MONTH($C338)=5,$C$4,IF(MONTH($C338)=6,$C$5,IF(MONTH($C338)=7,$C$6,"ERROR")))),1,0)</f>
        <v>1</v>
      </c>
      <c r="F338" s="30">
        <f>VLOOKUP($C338,COS!$B$8:$H$991,7,FALSE)</f>
        <v>47.772865295410156</v>
      </c>
      <c r="G338" s="28">
        <f>IF(F338&lt;=IF(MONTH($C338)=4,$F$3,IF(MONTH($C338)=5,$F$4,IF(MONTH($C338)=6,$F$5,IF(MONTH($C338)=7,$F$6,"ERROR")))),1,0)</f>
        <v>1</v>
      </c>
      <c r="H338" s="30">
        <f>IF(J338=1,D338-$C$3,0)</f>
        <v>5542.2392578125</v>
      </c>
      <c r="I338" s="30">
        <f t="shared" si="450"/>
        <v>329.78613765495868</v>
      </c>
      <c r="J338" s="28">
        <f t="shared" ref="J338:J341" si="536">IF(AND(E338=1,G338=1),1,0)</f>
        <v>1</v>
      </c>
      <c r="K338" s="30">
        <f>VLOOKUP($C338,COS!$B$8:$H$991,2,FALSE)</f>
        <v>4173</v>
      </c>
      <c r="L338" s="28">
        <f t="shared" ref="L338:L395" si="537">IF(K338&lt;=IF(MONTH($C338)=4,$I$3,IF(MONTH($C338)=5,$I$4,IF(MONTH($C338)=6,$I$5,IF(MONTH($C338)=7,$I$6,"ERROR")))),1,0)</f>
        <v>1</v>
      </c>
      <c r="M338" s="28">
        <f t="shared" ref="M338:M395" si="538">VLOOKUP($A338,$L$3:$M$7,2,FALSE)</f>
        <v>0</v>
      </c>
      <c r="N338" s="30">
        <f>VLOOKUP($C338,COS!$B$8:$H$991,5,FALSE)</f>
        <v>28.527523040771484</v>
      </c>
      <c r="O338" s="30">
        <f t="shared" ref="O338:O341" si="539">N338*DAY($C338)*86400/43560/1000</f>
        <v>1.6975055032525181</v>
      </c>
      <c r="P338" s="30">
        <f>VLOOKUP($C338,COS!$B$8:$H$991,6,FALSE)</f>
        <v>286.142822265625</v>
      </c>
      <c r="Q338" s="30">
        <f t="shared" ref="Q338:Q341" si="540">P338*DAY($C338)*86400/43560/1000</f>
        <v>17.026680333161156</v>
      </c>
      <c r="R338" s="30">
        <f>MIN(IF(MONTH($C338)=4,$S$3,IF(MONTH($C338)=5,$S$4,IF(MONTH($C338)=6,$S$5,IF(MONTH($C338)=7,$S$6,"ERROR")))),MAX(VLOOKUP($C338,COS!$B$8:$K$991,10,FALSE)-IF(MONTH($C338)=4,$Y$3,IF(MONTH($C338)=5,$Y$4,IF(MONTH($C338)=6,$Y$5,IF(MONTH($C338)=7,$Y$6,"ERROR")))),0),MAX(VLOOKUP($C338,COS!$B$8:$K$991,9,FALSE)-IF(MONTH($C338)=4,$V$3,IF(MONTH($C338)=5,$V$4,IF(MONTH($C338)=6,$V$5,IF(MONTH($C338)=7,$V$6,"ERROR"))))-VLOOKUP($C338,COS!$B$8:$K$991,6,FALSE)/2,0))</f>
        <v>1500</v>
      </c>
      <c r="S338" s="30">
        <f t="shared" ref="S338:S341" si="541">R338*DAY($C338)*86400/43560/1000</f>
        <v>89.256198347107429</v>
      </c>
      <c r="T338" s="30">
        <f t="shared" ref="T338:T341" si="542">(O338+Q338)/2+S338</f>
        <v>98.618291265314269</v>
      </c>
      <c r="U338" s="30" t="str">
        <f>IF(VLOOKUP($C338,COS!$B$8:$I$991,8,FALSE)=1,"UWFE","IBU")</f>
        <v>UWFE</v>
      </c>
      <c r="V338" s="30">
        <f t="shared" ref="V338" si="543">MIN(IF(IF($AA$3=2,AND(E338=1,G338=1,L338=1,L343=1,M338=1,U338="IBU"),AND(E338=1,G338=1,L338=1,L343=1,M338=1)),T338,0),I338)</f>
        <v>0</v>
      </c>
      <c r="W338" s="30"/>
      <c r="X338" s="30"/>
      <c r="Y338" s="30"/>
      <c r="Z338" s="30"/>
      <c r="AA338" s="30"/>
      <c r="AB338" s="31"/>
    </row>
    <row r="339" spans="1:28" x14ac:dyDescent="0.3">
      <c r="A339" s="32">
        <f>VLOOKUP(YEAR(C339),Flags!$A$13:$B$95,2,FALSE)</f>
        <v>1</v>
      </c>
      <c r="B339" s="24">
        <f t="shared" si="535"/>
        <v>1958</v>
      </c>
      <c r="C339" s="25">
        <v>21336</v>
      </c>
      <c r="D339" s="26">
        <f>VLOOKUP($C339,COS!$B$8:$H$991,3,FALSE)</f>
        <v>6985.326171875</v>
      </c>
      <c r="E339" s="24">
        <f>IF(D339&gt;=IF(MONTH($C339)=4,$C$3,IF(MONTH($C339)=5,$C$4,IF(MONTH($C339)=6,$C$5,IF(MONTH($C339)=7,$C$6,"ERROR")))),1,0)</f>
        <v>1</v>
      </c>
      <c r="F339" s="26">
        <f>VLOOKUP($C339,COS!$B$8:$H$991,7,FALSE)</f>
        <v>51.385059356689453</v>
      </c>
      <c r="G339" s="24">
        <f>IF(F339&lt;=IF(MONTH($C339)=4,$F$3,IF(MONTH($C339)=5,$F$4,IF(MONTH($C339)=6,$F$5,IF(MONTH($C339)=7,$F$6,"ERROR")))),1,0)</f>
        <v>1</v>
      </c>
      <c r="H339" s="26">
        <f>IF(J339=1,D339-$C$4,0)</f>
        <v>985.326171875</v>
      </c>
      <c r="I339" s="26">
        <f t="shared" si="450"/>
        <v>60.585344783057849</v>
      </c>
      <c r="J339" s="24">
        <f t="shared" si="536"/>
        <v>1</v>
      </c>
      <c r="K339" s="26">
        <f>VLOOKUP($C339,COS!$B$8:$H$991,2,FALSE)</f>
        <v>4552</v>
      </c>
      <c r="L339" s="24">
        <f t="shared" si="537"/>
        <v>1</v>
      </c>
      <c r="M339" s="24">
        <f t="shared" si="538"/>
        <v>0</v>
      </c>
      <c r="N339" s="26">
        <f>VLOOKUP($C339,COS!$B$8:$H$991,5,FALSE)</f>
        <v>454.28439331054688</v>
      </c>
      <c r="O339" s="26">
        <f t="shared" si="539"/>
        <v>27.932858563888171</v>
      </c>
      <c r="P339" s="26">
        <f>VLOOKUP($C339,COS!$B$8:$H$991,6,FALSE)</f>
        <v>1943.7978515625</v>
      </c>
      <c r="Q339" s="26">
        <f t="shared" si="540"/>
        <v>119.5194712035124</v>
      </c>
      <c r="R339" s="26">
        <f>MIN(IF(MONTH($C339)=4,$S$3,IF(MONTH($C339)=5,$S$4,IF(MONTH($C339)=6,$S$5,IF(MONTH($C339)=7,$S$6,"ERROR")))),MAX(VLOOKUP($C339,COS!$B$8:$K$991,10,FALSE)-IF(MONTH($C339)=4,$Y$3,IF(MONTH($C339)=5,$Y$4,IF(MONTH($C339)=6,$Y$5,IF(MONTH($C339)=7,$Y$6,"ERROR")))),0),MAX(VLOOKUP($C339,COS!$B$8:$K$991,9,FALSE)-IF(MONTH($C339)=4,$V$3,IF(MONTH($C339)=5,$V$4,IF(MONTH($C339)=6,$V$5,IF(MONTH($C339)=7,$V$6,"ERROR"))))-VLOOKUP($C339,COS!$B$8:$K$991,6,FALSE)/2,0))</f>
        <v>1500</v>
      </c>
      <c r="S339" s="26">
        <f t="shared" si="541"/>
        <v>92.231404958677686</v>
      </c>
      <c r="T339" s="26">
        <f t="shared" si="542"/>
        <v>165.95756984237795</v>
      </c>
      <c r="U339" s="26" t="str">
        <f>IF(VLOOKUP($C339,COS!$B$8:$I$991,8,FALSE)=1,"UWFE","IBU")</f>
        <v>UWFE</v>
      </c>
      <c r="V339" s="26">
        <f t="shared" ref="V339" si="544">MIN(IF(IF($AA$3=2,AND(E339=1,G339=1,L339=1,L343=1,M339=1,U339="IBU"),AND(E339=1,G339=1,L339=1,L343=1,M339=1)),T339,0),I339)</f>
        <v>0</v>
      </c>
      <c r="W339" s="26"/>
      <c r="X339" s="26"/>
      <c r="Y339" s="26"/>
      <c r="Z339" s="26"/>
      <c r="AA339" s="26"/>
      <c r="AB339" s="33"/>
    </row>
    <row r="340" spans="1:28" x14ac:dyDescent="0.3">
      <c r="A340" s="32">
        <f>VLOOKUP(YEAR(C340),Flags!$A$13:$B$95,2,FALSE)</f>
        <v>1</v>
      </c>
      <c r="B340" s="24">
        <f t="shared" si="535"/>
        <v>1958</v>
      </c>
      <c r="C340" s="25">
        <v>21366</v>
      </c>
      <c r="D340" s="26">
        <f>VLOOKUP($C340,COS!$B$8:$H$991,3,FALSE)</f>
        <v>8232.15234375</v>
      </c>
      <c r="E340" s="24">
        <f>IF(D340&gt;=IF(MONTH($C340)=4,$C$3,IF(MONTH($C340)=5,$C$4,IF(MONTH($C340)=6,$C$5,IF(MONTH($C340)=7,$C$6,"ERROR")))),1,0)</f>
        <v>0</v>
      </c>
      <c r="F340" s="26">
        <f>VLOOKUP($C340,COS!$B$8:$H$991,7,FALSE)</f>
        <v>51.681552886962891</v>
      </c>
      <c r="G340" s="24">
        <f>IF(F340&lt;=IF(MONTH($C340)=4,$F$3,IF(MONTH($C340)=5,$F$4,IF(MONTH($C340)=6,$F$5,IF(MONTH($C340)=7,$F$6,"ERROR")))),1,0)</f>
        <v>1</v>
      </c>
      <c r="H340" s="26">
        <f>IF(J340=1,D340-$C$5,0)</f>
        <v>0</v>
      </c>
      <c r="I340" s="26">
        <f t="shared" si="450"/>
        <v>0</v>
      </c>
      <c r="J340" s="24">
        <f t="shared" si="536"/>
        <v>0</v>
      </c>
      <c r="K340" s="26">
        <f>VLOOKUP($C340,COS!$B$8:$H$991,2,FALSE)</f>
        <v>4500</v>
      </c>
      <c r="L340" s="24">
        <f t="shared" si="537"/>
        <v>1</v>
      </c>
      <c r="M340" s="24">
        <f t="shared" si="538"/>
        <v>0</v>
      </c>
      <c r="N340" s="26">
        <f>VLOOKUP($C340,COS!$B$8:$H$991,5,FALSE)</f>
        <v>1154.1927490234375</v>
      </c>
      <c r="O340" s="26">
        <f t="shared" si="539"/>
        <v>68.679237958419421</v>
      </c>
      <c r="P340" s="26">
        <f>VLOOKUP($C340,COS!$B$8:$H$991,6,FALSE)</f>
        <v>2269.72607421875</v>
      </c>
      <c r="Q340" s="26">
        <f t="shared" si="540"/>
        <v>135.05808044938016</v>
      </c>
      <c r="R340" s="26">
        <f>MIN(IF(MONTH($C340)=4,$S$3,IF(MONTH($C340)=5,$S$4,IF(MONTH($C340)=6,$S$5,IF(MONTH($C340)=7,$S$6,"ERROR")))),MAX(VLOOKUP($C340,COS!$B$8:$K$991,10,FALSE)-IF(MONTH($C340)=4,$Y$3,IF(MONTH($C340)=5,$Y$4,IF(MONTH($C340)=6,$Y$5,IF(MONTH($C340)=7,$Y$6,"ERROR")))),0),MAX(VLOOKUP($C340,COS!$B$8:$K$991,9,FALSE)-IF(MONTH($C340)=4,$V$3,IF(MONTH($C340)=5,$V$4,IF(MONTH($C340)=6,$V$5,IF(MONTH($C340)=7,$V$6,"ERROR"))))-VLOOKUP($C340,COS!$B$8:$K$991,6,FALSE)/2,0))</f>
        <v>1500</v>
      </c>
      <c r="S340" s="26">
        <f t="shared" si="541"/>
        <v>89.256198347107429</v>
      </c>
      <c r="T340" s="26">
        <f t="shared" si="542"/>
        <v>191.12485755100721</v>
      </c>
      <c r="U340" s="26" t="str">
        <f>IF(VLOOKUP($C340,COS!$B$8:$I$991,8,FALSE)=1,"UWFE","IBU")</f>
        <v>UWFE</v>
      </c>
      <c r="V340" s="26">
        <f t="shared" ref="V340" si="545">MIN(IF(IF($AA$3=2,AND(E340=1,G340=1,L340=1,L343=1,M340=1,U340="IBU"),AND(E340=1,G340=1,L340=1,L343=1,M340=1)),T340,0),I340)</f>
        <v>0</v>
      </c>
      <c r="W340" s="26"/>
      <c r="X340" s="26"/>
      <c r="Y340" s="26"/>
      <c r="Z340" s="26"/>
      <c r="AA340" s="26"/>
      <c r="AB340" s="33"/>
    </row>
    <row r="341" spans="1:28" x14ac:dyDescent="0.3">
      <c r="A341" s="32">
        <f>VLOOKUP(YEAR(C341),Flags!$A$13:$B$95,2,FALSE)</f>
        <v>1</v>
      </c>
      <c r="B341" s="24">
        <f t="shared" si="535"/>
        <v>1958</v>
      </c>
      <c r="C341" s="25">
        <v>21397</v>
      </c>
      <c r="D341" s="26">
        <f>VLOOKUP($C341,COS!$B$8:$H$991,3,FALSE)</f>
        <v>12357.0048828125</v>
      </c>
      <c r="E341" s="24">
        <f>IF(D341&gt;=IF(MONTH($C341)=4,$C$3,IF(MONTH($C341)=5,$C$4,IF(MONTH($C341)=6,$C$5,IF(MONTH($C341)=7,$C$6,"ERROR")))),1,0)</f>
        <v>1</v>
      </c>
      <c r="F341" s="26">
        <f>VLOOKUP($C341,COS!$B$8:$H$991,7,FALSE)</f>
        <v>52.224693298339844</v>
      </c>
      <c r="G341" s="24">
        <f>IF(F341&lt;=IF(MONTH($C341)=4,$F$3,IF(MONTH($C341)=5,$F$4,IF(MONTH($C341)=6,$F$5,IF(MONTH($C341)=7,$F$6,"ERROR")))),1,0)</f>
        <v>1</v>
      </c>
      <c r="H341" s="26">
        <f>IF(J341=1,D341-$C$6,0)</f>
        <v>357.0048828125</v>
      </c>
      <c r="I341" s="26">
        <f t="shared" si="450"/>
        <v>21.951374612603306</v>
      </c>
      <c r="J341" s="24">
        <f t="shared" si="536"/>
        <v>1</v>
      </c>
      <c r="K341" s="26">
        <f>VLOOKUP($C341,COS!$B$8:$H$991,2,FALSE)</f>
        <v>4105.73681640625</v>
      </c>
      <c r="L341" s="24">
        <f t="shared" si="537"/>
        <v>1</v>
      </c>
      <c r="M341" s="24">
        <f t="shared" si="538"/>
        <v>0</v>
      </c>
      <c r="N341" s="26">
        <f>VLOOKUP($C341,COS!$B$8:$H$991,5,FALSE)</f>
        <v>1329.9095458984375</v>
      </c>
      <c r="O341" s="26">
        <f t="shared" si="539"/>
        <v>81.772950590779956</v>
      </c>
      <c r="P341" s="26">
        <f>VLOOKUP($C341,COS!$B$8:$H$991,6,FALSE)</f>
        <v>2552.21142578125</v>
      </c>
      <c r="Q341" s="26">
        <f t="shared" si="540"/>
        <v>156.92936370092974</v>
      </c>
      <c r="R341" s="26">
        <f>MIN(IF(MONTH($C341)=4,$S$3,IF(MONTH($C341)=5,$S$4,IF(MONTH($C341)=6,$S$5,IF(MONTH($C341)=7,$S$6,"ERROR")))),MAX(VLOOKUP($C341,COS!$B$8:$K$991,10,FALSE)-IF(MONTH($C341)=4,$Y$3,IF(MONTH($C341)=5,$Y$4,IF(MONTH($C341)=6,$Y$5,IF(MONTH($C341)=7,$Y$6,"ERROR")))),0),MAX(VLOOKUP($C341,COS!$B$8:$K$991,9,FALSE)-IF(MONTH($C341)=4,$V$3,IF(MONTH($C341)=5,$V$4,IF(MONTH($C341)=6,$V$5,IF(MONTH($C341)=7,$V$6,"ERROR"))))-VLOOKUP($C341,COS!$B$8:$K$991,6,FALSE)/2,0))</f>
        <v>1500</v>
      </c>
      <c r="S341" s="26">
        <f t="shared" si="541"/>
        <v>92.231404958677686</v>
      </c>
      <c r="T341" s="26">
        <f t="shared" si="542"/>
        <v>211.58256210453254</v>
      </c>
      <c r="U341" s="26" t="str">
        <f>IF(VLOOKUP($C341,COS!$B$8:$I$991,8,FALSE)=1,"UWFE","IBU")</f>
        <v>IBU</v>
      </c>
      <c r="V341" s="26">
        <f t="shared" ref="V341" si="546">MIN(IF(IF($AA$3=2,AND(E341=1,G341=1,L341=1,L343=1,M341=1,U341="IBU"),AND(E341=1,G341=1,L341=1,L343=1,M341=1)),T341,0),I341)</f>
        <v>0</v>
      </c>
      <c r="W341" s="26"/>
      <c r="X341" s="26"/>
      <c r="Y341" s="26"/>
      <c r="Z341" s="26"/>
      <c r="AA341" s="26"/>
      <c r="AB341" s="33"/>
    </row>
    <row r="342" spans="1:28" x14ac:dyDescent="0.3">
      <c r="A342" s="32">
        <f>VLOOKUP(YEAR(C342),Flags!$A$13:$B$95,2,FALSE)</f>
        <v>1</v>
      </c>
      <c r="B342" s="24">
        <f t="shared" si="535"/>
        <v>1958</v>
      </c>
      <c r="C342" s="25">
        <v>21428</v>
      </c>
      <c r="D342" s="26"/>
      <c r="E342" s="24"/>
      <c r="F342" s="26"/>
      <c r="G342" s="24"/>
      <c r="H342" s="24"/>
      <c r="I342" s="26"/>
      <c r="J342" s="24"/>
      <c r="K342" s="26"/>
      <c r="L342" s="24"/>
      <c r="M342" s="24"/>
      <c r="N342" s="26"/>
      <c r="O342" s="26"/>
      <c r="P342" s="26"/>
      <c r="Q342" s="26"/>
      <c r="R342" s="26"/>
      <c r="S342" s="26"/>
      <c r="T342" s="26"/>
      <c r="U342" s="26"/>
      <c r="V342" s="26"/>
      <c r="W342" s="26">
        <f>MAX($C$7-VLOOKUP($C342,COS!$B$8:$H$991,3,FALSE),0)</f>
        <v>87940.8720703125</v>
      </c>
      <c r="X342" s="26">
        <f t="shared" si="448"/>
        <v>5407.2734562241731</v>
      </c>
      <c r="Y342" s="26">
        <f>VLOOKUP($C342,COS!$B$8:$H$991,4,FALSE)</f>
        <v>0</v>
      </c>
      <c r="Z342" s="26">
        <f t="shared" si="449"/>
        <v>0</v>
      </c>
      <c r="AA342" s="26">
        <f t="shared" ref="AA342:AA346" si="547">MIN(W342,Y342)</f>
        <v>0</v>
      </c>
      <c r="AB342" s="33">
        <f t="shared" ref="AB342:AB400" si="548">AA342*DAY($C342)*86400/43560/1000*IF(MONTH($C342)=8,$P$3,IF(MONTH($C342)=9,$P$4,IF(MONTH($C342)=10,$P$5,IF(MONTH($C342)=11,$P$6,IF(MONTH($C342)=12,$P$7,NA())))))</f>
        <v>0</v>
      </c>
    </row>
    <row r="343" spans="1:28" x14ac:dyDescent="0.3">
      <c r="A343" s="32">
        <f>VLOOKUP(YEAR(C343),Flags!$A$13:$B$95,2,FALSE)</f>
        <v>1</v>
      </c>
      <c r="B343" s="24">
        <f t="shared" si="535"/>
        <v>1958</v>
      </c>
      <c r="C343" s="25">
        <v>21458</v>
      </c>
      <c r="D343" s="26"/>
      <c r="E343" s="24"/>
      <c r="F343" s="26"/>
      <c r="G343" s="24"/>
      <c r="H343" s="24"/>
      <c r="I343" s="26"/>
      <c r="J343" s="24"/>
      <c r="K343" s="26">
        <f>VLOOKUP($C343,COS!$B$8:$H$991,2,FALSE)</f>
        <v>3174.58203125</v>
      </c>
      <c r="L343" s="24">
        <f t="shared" ref="L343" si="549">IF(AND(K343&gt;$I$7,K343&lt;$I$8),1,0)</f>
        <v>1</v>
      </c>
      <c r="M343" s="24"/>
      <c r="N343" s="26"/>
      <c r="O343" s="26"/>
      <c r="P343" s="26"/>
      <c r="Q343" s="26"/>
      <c r="R343" s="26"/>
      <c r="S343" s="26"/>
      <c r="T343" s="26"/>
      <c r="U343" s="26"/>
      <c r="V343" s="26"/>
      <c r="W343" s="26">
        <f>MAX($C$8-VLOOKUP($C343,COS!$B$8:$H$991,3,FALSE),0)</f>
        <v>84527.9521484375</v>
      </c>
      <c r="X343" s="26">
        <f t="shared" si="448"/>
        <v>5029.7624418904961</v>
      </c>
      <c r="Y343" s="26">
        <f>VLOOKUP($C343,COS!$B$8:$H$991,4,FALSE)</f>
        <v>0</v>
      </c>
      <c r="Z343" s="26">
        <f t="shared" si="449"/>
        <v>0</v>
      </c>
      <c r="AA343" s="26">
        <f t="shared" si="547"/>
        <v>0</v>
      </c>
      <c r="AB343" s="33">
        <f t="shared" si="548"/>
        <v>0</v>
      </c>
    </row>
    <row r="344" spans="1:28" x14ac:dyDescent="0.3">
      <c r="A344" s="32">
        <f>VLOOKUP(YEAR(C344),Flags!$A$13:$B$95,2,FALSE)</f>
        <v>1</v>
      </c>
      <c r="B344" s="24">
        <f t="shared" si="535"/>
        <v>1958</v>
      </c>
      <c r="C344" s="25">
        <v>21489</v>
      </c>
      <c r="D344" s="26"/>
      <c r="E344" s="24"/>
      <c r="F344" s="26"/>
      <c r="G344" s="26"/>
      <c r="H344" s="26"/>
      <c r="I344" s="26"/>
      <c r="J344" s="26"/>
      <c r="K344" s="26"/>
      <c r="L344" s="24"/>
      <c r="M344" s="24"/>
      <c r="N344" s="26"/>
      <c r="O344" s="26"/>
      <c r="P344" s="26"/>
      <c r="Q344" s="26"/>
      <c r="R344" s="26"/>
      <c r="S344" s="26"/>
      <c r="T344" s="26"/>
      <c r="U344" s="26"/>
      <c r="V344" s="26"/>
      <c r="W344" s="26">
        <f>MAX($C$9-VLOOKUP($C344,COS!$B$8:$H$991,3,FALSE),0)</f>
        <v>92967.86865234375</v>
      </c>
      <c r="X344" s="26">
        <f t="shared" si="448"/>
        <v>5716.3714278796488</v>
      </c>
      <c r="Y344" s="26">
        <f>VLOOKUP($C344,COS!$B$8:$H$991,4,FALSE)</f>
        <v>50.698928833007813</v>
      </c>
      <c r="Z344" s="26">
        <f t="shared" si="449"/>
        <v>3.117355624112216</v>
      </c>
      <c r="AA344" s="26">
        <f t="shared" si="547"/>
        <v>50.698928833007813</v>
      </c>
      <c r="AB344" s="33">
        <f t="shared" si="548"/>
        <v>3.117355624112216</v>
      </c>
    </row>
    <row r="345" spans="1:28" x14ac:dyDescent="0.3">
      <c r="A345" s="32">
        <f>VLOOKUP(YEAR(C345),Flags!$A$13:$B$95,2,FALSE)</f>
        <v>1</v>
      </c>
      <c r="B345" s="24">
        <f t="shared" si="535"/>
        <v>1958</v>
      </c>
      <c r="C345" s="25">
        <v>21519</v>
      </c>
      <c r="D345" s="26"/>
      <c r="E345" s="24"/>
      <c r="F345" s="26"/>
      <c r="G345" s="26"/>
      <c r="H345" s="26"/>
      <c r="I345" s="26"/>
      <c r="J345" s="26"/>
      <c r="K345" s="26"/>
      <c r="L345" s="24"/>
      <c r="M345" s="24"/>
      <c r="N345" s="26"/>
      <c r="O345" s="26"/>
      <c r="P345" s="26"/>
      <c r="Q345" s="26"/>
      <c r="R345" s="26"/>
      <c r="S345" s="26"/>
      <c r="T345" s="26"/>
      <c r="U345" s="26"/>
      <c r="V345" s="26"/>
      <c r="W345" s="26">
        <f>MAX($C$10-VLOOKUP($C345,COS!$B$8:$H$991,3,FALSE),0)</f>
        <v>88886.1259765625</v>
      </c>
      <c r="X345" s="26">
        <f t="shared" si="448"/>
        <v>5289.091793646694</v>
      </c>
      <c r="Y345" s="26">
        <f>VLOOKUP($C345,COS!$B$8:$H$991,4,FALSE)</f>
        <v>1516.7578125</v>
      </c>
      <c r="Z345" s="26">
        <f t="shared" si="449"/>
        <v>90.253357438016522</v>
      </c>
      <c r="AA345" s="26">
        <f t="shared" si="547"/>
        <v>1516.7578125</v>
      </c>
      <c r="AB345" s="33">
        <f t="shared" si="548"/>
        <v>90.253357438016522</v>
      </c>
    </row>
    <row r="346" spans="1:28" x14ac:dyDescent="0.3">
      <c r="A346" s="34">
        <f>VLOOKUP(YEAR(C346),Flags!$A$13:$B$95,2,FALSE)</f>
        <v>1</v>
      </c>
      <c r="B346" s="35">
        <f t="shared" si="535"/>
        <v>1958</v>
      </c>
      <c r="C346" s="36">
        <v>21550</v>
      </c>
      <c r="D346" s="37"/>
      <c r="E346" s="35"/>
      <c r="F346" s="37"/>
      <c r="G346" s="37"/>
      <c r="H346" s="37"/>
      <c r="I346" s="37"/>
      <c r="J346" s="37"/>
      <c r="K346" s="37"/>
      <c r="L346" s="35"/>
      <c r="M346" s="35"/>
      <c r="N346" s="37"/>
      <c r="O346" s="37"/>
      <c r="P346" s="37"/>
      <c r="Q346" s="37"/>
      <c r="R346" s="37"/>
      <c r="S346" s="37"/>
      <c r="T346" s="37"/>
      <c r="U346" s="37"/>
      <c r="V346" s="37"/>
      <c r="W346" s="37">
        <f>MAX($C$11-VLOOKUP($C346,COS!$B$8:$H$991,3,FALSE),0)</f>
        <v>95040.46142578125</v>
      </c>
      <c r="X346" s="37">
        <f t="shared" si="448"/>
        <v>5843.810190147211</v>
      </c>
      <c r="Y346" s="37">
        <f>VLOOKUP($C346,COS!$B$8:$H$991,4,FALSE)</f>
        <v>0</v>
      </c>
      <c r="Z346" s="37">
        <f t="shared" si="449"/>
        <v>0</v>
      </c>
      <c r="AA346" s="37">
        <f t="shared" si="547"/>
        <v>0</v>
      </c>
      <c r="AB346" s="38">
        <f t="shared" si="548"/>
        <v>0</v>
      </c>
    </row>
    <row r="347" spans="1:28" x14ac:dyDescent="0.3">
      <c r="A347" s="27">
        <f>VLOOKUP(YEAR(C347),Flags!$A$13:$B$95,2,FALSE)</f>
        <v>3</v>
      </c>
      <c r="B347" s="28">
        <f t="shared" si="535"/>
        <v>1959</v>
      </c>
      <c r="C347" s="29">
        <v>21670</v>
      </c>
      <c r="D347" s="30">
        <f>VLOOKUP($C347,COS!$B$8:$H$991,3,FALSE)</f>
        <v>4176.9140625</v>
      </c>
      <c r="E347" s="28">
        <f>IF(D347&gt;=IF(MONTH($C347)=4,$C$3,IF(MONTH($C347)=5,$C$4,IF(MONTH($C347)=6,$C$5,IF(MONTH($C347)=7,$C$6,"ERROR")))),1,0)</f>
        <v>0</v>
      </c>
      <c r="F347" s="30">
        <f>VLOOKUP($C347,COS!$B$8:$H$991,7,FALSE)</f>
        <v>52.521034240722656</v>
      </c>
      <c r="G347" s="28">
        <f>IF(F347&lt;=IF(MONTH($C347)=4,$F$3,IF(MONTH($C347)=5,$F$4,IF(MONTH($C347)=6,$F$5,IF(MONTH($C347)=7,$F$6,"ERROR")))),1,0)</f>
        <v>1</v>
      </c>
      <c r="H347" s="30">
        <f>IF(J347=1,D347-$C$3,0)</f>
        <v>0</v>
      </c>
      <c r="I347" s="30">
        <f t="shared" si="450"/>
        <v>0</v>
      </c>
      <c r="J347" s="28">
        <f t="shared" ref="J347:J350" si="550">IF(AND(E347=1,G347=1),1,0)</f>
        <v>0</v>
      </c>
      <c r="K347" s="30">
        <f>VLOOKUP($C347,COS!$B$8:$H$991,2,FALSE)</f>
        <v>4402.98779296875</v>
      </c>
      <c r="L347" s="28">
        <f t="shared" ref="L347" si="551">IF(K347&lt;=IF(MONTH($C347)=4,$I$3,IF(MONTH($C347)=5,$I$4,IF(MONTH($C347)=6,$I$5,IF(MONTH($C347)=7,$I$6,"ERROR")))),1,0)</f>
        <v>1</v>
      </c>
      <c r="M347" s="28">
        <f t="shared" ref="M347" si="552">VLOOKUP($A347,$L$3:$M$7,2,FALSE)</f>
        <v>0</v>
      </c>
      <c r="N347" s="30">
        <f>VLOOKUP($C347,COS!$B$8:$H$991,5,FALSE)</f>
        <v>220.10430908203125</v>
      </c>
      <c r="O347" s="30">
        <f t="shared" ref="O347:O350" si="553">N347*DAY($C347)*86400/43560/1000</f>
        <v>13.097115912319216</v>
      </c>
      <c r="P347" s="30">
        <f>VLOOKUP($C347,COS!$B$8:$H$991,6,FALSE)</f>
        <v>554.8544921875</v>
      </c>
      <c r="Q347" s="30">
        <f t="shared" ref="Q347:Q350" si="554">P347*DAY($C347)*86400/43560/1000</f>
        <v>33.01613507231405</v>
      </c>
      <c r="R347" s="30">
        <f>MIN(IF(MONTH($C347)=4,$S$3,IF(MONTH($C347)=5,$S$4,IF(MONTH($C347)=6,$S$5,IF(MONTH($C347)=7,$S$6,"ERROR")))),MAX(VLOOKUP($C347,COS!$B$8:$K$991,10,FALSE)-IF(MONTH($C347)=4,$Y$3,IF(MONTH($C347)=5,$Y$4,IF(MONTH($C347)=6,$Y$5,IF(MONTH($C347)=7,$Y$6,"ERROR")))),0),MAX(VLOOKUP($C347,COS!$B$8:$K$991,9,FALSE)-IF(MONTH($C347)=4,$V$3,IF(MONTH($C347)=5,$V$4,IF(MONTH($C347)=6,$V$5,IF(MONTH($C347)=7,$V$6,"ERROR"))))-VLOOKUP($C347,COS!$B$8:$K$991,6,FALSE)/2,0))</f>
        <v>1474.0966796875</v>
      </c>
      <c r="S347" s="30">
        <f t="shared" ref="S347:S350" si="555">R347*DAY($C347)*86400/43560/1000</f>
        <v>87.71484375</v>
      </c>
      <c r="T347" s="30">
        <f t="shared" ref="T347:T350" si="556">(O347+Q347)/2+S347</f>
        <v>110.77146924231664</v>
      </c>
      <c r="U347" s="30" t="str">
        <f>IF(VLOOKUP($C347,COS!$B$8:$I$991,8,FALSE)=1,"UWFE","IBU")</f>
        <v>UWFE</v>
      </c>
      <c r="V347" s="30">
        <f t="shared" ref="V347" si="557">MIN(IF(IF($AA$3=2,AND(E347=1,G347=1,L347=1,L352=1,M347=1,U347="IBU"),AND(E347=1,G347=1,L347=1,L352=1,M347=1)),T347,0),I347)</f>
        <v>0</v>
      </c>
      <c r="W347" s="30"/>
      <c r="X347" s="30"/>
      <c r="Y347" s="30"/>
      <c r="Z347" s="30"/>
      <c r="AA347" s="30"/>
      <c r="AB347" s="31"/>
    </row>
    <row r="348" spans="1:28" x14ac:dyDescent="0.3">
      <c r="A348" s="32">
        <f>VLOOKUP(YEAR(C348),Flags!$A$13:$B$95,2,FALSE)</f>
        <v>3</v>
      </c>
      <c r="B348" s="24">
        <f t="shared" si="535"/>
        <v>1959</v>
      </c>
      <c r="C348" s="25">
        <v>21701</v>
      </c>
      <c r="D348" s="26">
        <f>VLOOKUP($C348,COS!$B$8:$H$991,3,FALSE)</f>
        <v>8032.080078125</v>
      </c>
      <c r="E348" s="24">
        <f>IF(D348&gt;=IF(MONTH($C348)=4,$C$3,IF(MONTH($C348)=5,$C$4,IF(MONTH($C348)=6,$C$5,IF(MONTH($C348)=7,$C$6,"ERROR")))),1,0)</f>
        <v>1</v>
      </c>
      <c r="F348" s="26">
        <f>VLOOKUP($C348,COS!$B$8:$H$991,7,FALSE)</f>
        <v>51.603923797607422</v>
      </c>
      <c r="G348" s="24">
        <f>IF(F348&lt;=IF(MONTH($C348)=4,$F$3,IF(MONTH($C348)=5,$F$4,IF(MONTH($C348)=6,$F$5,IF(MONTH($C348)=7,$F$6,"ERROR")))),1,0)</f>
        <v>1</v>
      </c>
      <c r="H348" s="26">
        <f>IF(J348=1,D348-$C$4,0)</f>
        <v>2032.080078125</v>
      </c>
      <c r="I348" s="26">
        <f t="shared" ref="I348:I411" si="558">H348*DAY($C348)*86400/43560/1000</f>
        <v>124.94773372933884</v>
      </c>
      <c r="J348" s="24">
        <f t="shared" si="550"/>
        <v>1</v>
      </c>
      <c r="K348" s="26">
        <f>VLOOKUP($C348,COS!$B$8:$H$991,2,FALSE)</f>
        <v>4231.4052734375</v>
      </c>
      <c r="L348" s="24">
        <f t="shared" si="537"/>
        <v>1</v>
      </c>
      <c r="M348" s="24">
        <f t="shared" si="538"/>
        <v>0</v>
      </c>
      <c r="N348" s="26">
        <f>VLOOKUP($C348,COS!$B$8:$H$991,5,FALSE)</f>
        <v>634.8975830078125</v>
      </c>
      <c r="O348" s="26">
        <f t="shared" si="553"/>
        <v>39.03833072378616</v>
      </c>
      <c r="P348" s="26">
        <f>VLOOKUP($C348,COS!$B$8:$H$991,6,FALSE)</f>
        <v>2338.357666015625</v>
      </c>
      <c r="Q348" s="26">
        <f t="shared" si="554"/>
        <v>143.78000855501034</v>
      </c>
      <c r="R348" s="26">
        <f>MIN(IF(MONTH($C348)=4,$S$3,IF(MONTH($C348)=5,$S$4,IF(MONTH($C348)=6,$S$5,IF(MONTH($C348)=7,$S$6,"ERROR")))),MAX(VLOOKUP($C348,COS!$B$8:$K$991,10,FALSE)-IF(MONTH($C348)=4,$Y$3,IF(MONTH($C348)=5,$Y$4,IF(MONTH($C348)=6,$Y$5,IF(MONTH($C348)=7,$Y$6,"ERROR")))),0),MAX(VLOOKUP($C348,COS!$B$8:$K$991,9,FALSE)-IF(MONTH($C348)=4,$V$3,IF(MONTH($C348)=5,$V$4,IF(MONTH($C348)=6,$V$5,IF(MONTH($C348)=7,$V$6,"ERROR"))))-VLOOKUP($C348,COS!$B$8:$K$991,6,FALSE)/2,0))</f>
        <v>1500</v>
      </c>
      <c r="S348" s="26">
        <f t="shared" si="555"/>
        <v>92.231404958677686</v>
      </c>
      <c r="T348" s="26">
        <f t="shared" si="556"/>
        <v>183.64057459807594</v>
      </c>
      <c r="U348" s="26" t="str">
        <f>IF(VLOOKUP($C348,COS!$B$8:$I$991,8,FALSE)=1,"UWFE","IBU")</f>
        <v>UWFE</v>
      </c>
      <c r="V348" s="26">
        <f t="shared" ref="V348" si="559">MIN(IF(IF($AA$3=2,AND(E348=1,G348=1,L348=1,L352=1,M348=1,U348="IBU"),AND(E348=1,G348=1,L348=1,L352=1,M348=1)),T348,0),I348)</f>
        <v>0</v>
      </c>
      <c r="W348" s="26"/>
      <c r="X348" s="26"/>
      <c r="Y348" s="26"/>
      <c r="Z348" s="26"/>
      <c r="AA348" s="26"/>
      <c r="AB348" s="33"/>
    </row>
    <row r="349" spans="1:28" x14ac:dyDescent="0.3">
      <c r="A349" s="32">
        <f>VLOOKUP(YEAR(C349),Flags!$A$13:$B$95,2,FALSE)</f>
        <v>3</v>
      </c>
      <c r="B349" s="24">
        <f t="shared" si="535"/>
        <v>1959</v>
      </c>
      <c r="C349" s="25">
        <v>21731</v>
      </c>
      <c r="D349" s="26">
        <f>VLOOKUP($C349,COS!$B$8:$H$991,3,FALSE)</f>
        <v>12238.9375</v>
      </c>
      <c r="E349" s="24">
        <f>IF(D349&gt;=IF(MONTH($C349)=4,$C$3,IF(MONTH($C349)=5,$C$4,IF(MONTH($C349)=6,$C$5,IF(MONTH($C349)=7,$C$6,"ERROR")))),1,0)</f>
        <v>1</v>
      </c>
      <c r="F349" s="26">
        <f>VLOOKUP($C349,COS!$B$8:$H$991,7,FALSE)</f>
        <v>51.942916870117188</v>
      </c>
      <c r="G349" s="24">
        <f>IF(F349&lt;=IF(MONTH($C349)=4,$F$3,IF(MONTH($C349)=5,$F$4,IF(MONTH($C349)=6,$F$5,IF(MONTH($C349)=7,$F$6,"ERROR")))),1,0)</f>
        <v>1</v>
      </c>
      <c r="H349" s="26">
        <f>IF(J349=1,D349-$C$5,0)</f>
        <v>2238.9375</v>
      </c>
      <c r="I349" s="26">
        <f t="shared" si="558"/>
        <v>133.22603305785125</v>
      </c>
      <c r="J349" s="24">
        <f t="shared" si="550"/>
        <v>1</v>
      </c>
      <c r="K349" s="26">
        <f>VLOOKUP($C349,COS!$B$8:$H$991,2,FALSE)</f>
        <v>3758.05615234375</v>
      </c>
      <c r="L349" s="24">
        <f t="shared" si="537"/>
        <v>1</v>
      </c>
      <c r="M349" s="24">
        <f t="shared" si="538"/>
        <v>0</v>
      </c>
      <c r="N349" s="26">
        <f>VLOOKUP($C349,COS!$B$8:$H$991,5,FALSE)</f>
        <v>756.1251220703125</v>
      </c>
      <c r="O349" s="26">
        <f t="shared" si="553"/>
        <v>44.992569247159089</v>
      </c>
      <c r="P349" s="26">
        <f>VLOOKUP($C349,COS!$B$8:$H$991,6,FALSE)</f>
        <v>2677.335693359375</v>
      </c>
      <c r="Q349" s="26">
        <f t="shared" si="554"/>
        <v>159.31253712551654</v>
      </c>
      <c r="R349" s="26">
        <f>MIN(IF(MONTH($C349)=4,$S$3,IF(MONTH($C349)=5,$S$4,IF(MONTH($C349)=6,$S$5,IF(MONTH($C349)=7,$S$6,"ERROR")))),MAX(VLOOKUP($C349,COS!$B$8:$K$991,10,FALSE)-IF(MONTH($C349)=4,$Y$3,IF(MONTH($C349)=5,$Y$4,IF(MONTH($C349)=6,$Y$5,IF(MONTH($C349)=7,$Y$6,"ERROR")))),0),MAX(VLOOKUP($C349,COS!$B$8:$K$991,9,FALSE)-IF(MONTH($C349)=4,$V$3,IF(MONTH($C349)=5,$V$4,IF(MONTH($C349)=6,$V$5,IF(MONTH($C349)=7,$V$6,"ERROR"))))-VLOOKUP($C349,COS!$B$8:$K$991,6,FALSE)/2,0))</f>
        <v>1500</v>
      </c>
      <c r="S349" s="26">
        <f t="shared" si="555"/>
        <v>89.256198347107429</v>
      </c>
      <c r="T349" s="26">
        <f t="shared" si="556"/>
        <v>191.40875153344524</v>
      </c>
      <c r="U349" s="26" t="str">
        <f>IF(VLOOKUP($C349,COS!$B$8:$I$991,8,FALSE)=1,"UWFE","IBU")</f>
        <v>IBU</v>
      </c>
      <c r="V349" s="26">
        <f t="shared" ref="V349" si="560">MIN(IF(IF($AA$3=2,AND(E349=1,G349=1,L349=1,L352=1,M349=1,U349="IBU"),AND(E349=1,G349=1,L349=1,L352=1,M349=1)),T349,0),I349)</f>
        <v>0</v>
      </c>
      <c r="W349" s="26"/>
      <c r="X349" s="26"/>
      <c r="Y349" s="26"/>
      <c r="Z349" s="26"/>
      <c r="AA349" s="26"/>
      <c r="AB349" s="33"/>
    </row>
    <row r="350" spans="1:28" x14ac:dyDescent="0.3">
      <c r="A350" s="32">
        <f>VLOOKUP(YEAR(C350),Flags!$A$13:$B$95,2,FALSE)</f>
        <v>3</v>
      </c>
      <c r="B350" s="24">
        <f t="shared" si="535"/>
        <v>1959</v>
      </c>
      <c r="C350" s="25">
        <v>21762</v>
      </c>
      <c r="D350" s="26">
        <f>VLOOKUP($C350,COS!$B$8:$H$991,3,FALSE)</f>
        <v>16000</v>
      </c>
      <c r="E350" s="24">
        <f>IF(D350&gt;=IF(MONTH($C350)=4,$C$3,IF(MONTH($C350)=5,$C$4,IF(MONTH($C350)=6,$C$5,IF(MONTH($C350)=7,$C$6,"ERROR")))),1,0)</f>
        <v>1</v>
      </c>
      <c r="F350" s="26">
        <f>VLOOKUP($C350,COS!$B$8:$H$991,7,FALSE)</f>
        <v>52.936290740966797</v>
      </c>
      <c r="G350" s="24">
        <f>IF(F350&lt;=IF(MONTH($C350)=4,$F$3,IF(MONTH($C350)=5,$F$4,IF(MONTH($C350)=6,$F$5,IF(MONTH($C350)=7,$F$6,"ERROR")))),1,0)</f>
        <v>1</v>
      </c>
      <c r="H350" s="26">
        <f>IF(J350=1,D350-$C$6,0)</f>
        <v>4000</v>
      </c>
      <c r="I350" s="26">
        <f t="shared" si="558"/>
        <v>245.95041322314049</v>
      </c>
      <c r="J350" s="24">
        <f t="shared" si="550"/>
        <v>1</v>
      </c>
      <c r="K350" s="26">
        <f>VLOOKUP($C350,COS!$B$8:$H$991,2,FALSE)</f>
        <v>3122.560546875</v>
      </c>
      <c r="L350" s="24">
        <f t="shared" si="537"/>
        <v>1</v>
      </c>
      <c r="M350" s="24">
        <f t="shared" si="538"/>
        <v>0</v>
      </c>
      <c r="N350" s="26">
        <f>VLOOKUP($C350,COS!$B$8:$H$991,5,FALSE)</f>
        <v>824.85052490234375</v>
      </c>
      <c r="O350" s="26">
        <f t="shared" si="553"/>
        <v>50.718081861763942</v>
      </c>
      <c r="P350" s="26">
        <f>VLOOKUP($C350,COS!$B$8:$H$991,6,FALSE)</f>
        <v>2537.385498046875</v>
      </c>
      <c r="Q350" s="26">
        <f t="shared" si="554"/>
        <v>156.01775293775825</v>
      </c>
      <c r="R350" s="26">
        <f>MIN(IF(MONTH($C350)=4,$S$3,IF(MONTH($C350)=5,$S$4,IF(MONTH($C350)=6,$S$5,IF(MONTH($C350)=7,$S$6,"ERROR")))),MAX(VLOOKUP($C350,COS!$B$8:$K$991,10,FALSE)-IF(MONTH($C350)=4,$Y$3,IF(MONTH($C350)=5,$Y$4,IF(MONTH($C350)=6,$Y$5,IF(MONTH($C350)=7,$Y$6,"ERROR")))),0),MAX(VLOOKUP($C350,COS!$B$8:$K$991,9,FALSE)-IF(MONTH($C350)=4,$V$3,IF(MONTH($C350)=5,$V$4,IF(MONTH($C350)=6,$V$5,IF(MONTH($C350)=7,$V$6,"ERROR"))))-VLOOKUP($C350,COS!$B$8:$K$991,6,FALSE)/2,0))</f>
        <v>1500</v>
      </c>
      <c r="S350" s="26">
        <f t="shared" si="555"/>
        <v>92.231404958677686</v>
      </c>
      <c r="T350" s="26">
        <f t="shared" si="556"/>
        <v>195.59932235843877</v>
      </c>
      <c r="U350" s="26" t="str">
        <f>IF(VLOOKUP($C350,COS!$B$8:$I$991,8,FALSE)=1,"UWFE","IBU")</f>
        <v>IBU</v>
      </c>
      <c r="V350" s="26">
        <f t="shared" ref="V350" si="561">MIN(IF(IF($AA$3=2,AND(E350=1,G350=1,L350=1,L352=1,M350=1,U350="IBU"),AND(E350=1,G350=1,L350=1,L352=1,M350=1)),T350,0),I350)</f>
        <v>0</v>
      </c>
      <c r="W350" s="26"/>
      <c r="X350" s="26"/>
      <c r="Y350" s="26"/>
      <c r="Z350" s="26"/>
      <c r="AA350" s="26"/>
      <c r="AB350" s="33"/>
    </row>
    <row r="351" spans="1:28" x14ac:dyDescent="0.3">
      <c r="A351" s="32">
        <f>VLOOKUP(YEAR(C351),Flags!$A$13:$B$95,2,FALSE)</f>
        <v>3</v>
      </c>
      <c r="B351" s="24">
        <f t="shared" si="535"/>
        <v>1959</v>
      </c>
      <c r="C351" s="25">
        <v>21793</v>
      </c>
      <c r="D351" s="26"/>
      <c r="E351" s="24"/>
      <c r="F351" s="26"/>
      <c r="G351" s="24"/>
      <c r="H351" s="24"/>
      <c r="I351" s="26"/>
      <c r="J351" s="24"/>
      <c r="K351" s="26"/>
      <c r="L351" s="24"/>
      <c r="M351" s="24"/>
      <c r="N351" s="26"/>
      <c r="O351" s="26"/>
      <c r="P351" s="26"/>
      <c r="Q351" s="26"/>
      <c r="R351" s="26"/>
      <c r="S351" s="26"/>
      <c r="T351" s="26"/>
      <c r="U351" s="26"/>
      <c r="V351" s="26"/>
      <c r="W351" s="26">
        <f>MAX($C$7-VLOOKUP($C351,COS!$B$8:$H$991,3,FALSE),0)</f>
        <v>87769.9443359375</v>
      </c>
      <c r="X351" s="26">
        <f t="shared" ref="X351:X414" si="562">W351*DAY($C351)*86400/43560/1000</f>
        <v>5396.7635194989671</v>
      </c>
      <c r="Y351" s="26">
        <f>VLOOKUP($C351,COS!$B$8:$H$991,4,FALSE)</f>
        <v>580.99884033203125</v>
      </c>
      <c r="Z351" s="26">
        <f t="shared" ref="Z351:Z414" si="563">Y351*DAY($C351)*86400/43560/1000</f>
        <v>35.724226215457129</v>
      </c>
      <c r="AA351" s="26">
        <f t="shared" ref="AA351:AA355" si="564">MIN(W351,Y351)</f>
        <v>580.99884033203125</v>
      </c>
      <c r="AB351" s="33">
        <f t="shared" ref="AB351" si="565">AA351*DAY($C351)*86400/43560/1000*IF(MONTH($C351)=8,$P$3,IF(MONTH($C351)=9,$P$4,IF(MONTH($C351)=10,$P$5,IF(MONTH($C351)=11,$P$6,IF(MONTH($C351)=12,$P$7,NA())))))</f>
        <v>35.724226215457129</v>
      </c>
    </row>
    <row r="352" spans="1:28" x14ac:dyDescent="0.3">
      <c r="A352" s="32">
        <f>VLOOKUP(YEAR(C352),Flags!$A$13:$B$95,2,FALSE)</f>
        <v>3</v>
      </c>
      <c r="B352" s="24">
        <f t="shared" si="535"/>
        <v>1959</v>
      </c>
      <c r="C352" s="25">
        <v>21823</v>
      </c>
      <c r="D352" s="26"/>
      <c r="E352" s="24"/>
      <c r="F352" s="26"/>
      <c r="G352" s="24"/>
      <c r="H352" s="24"/>
      <c r="I352" s="26"/>
      <c r="J352" s="24"/>
      <c r="K352" s="26">
        <f>VLOOKUP($C352,COS!$B$8:$H$991,2,FALSE)</f>
        <v>2777.299560546875</v>
      </c>
      <c r="L352" s="24">
        <f t="shared" ref="L352" si="566">IF(AND(K352&gt;$I$7,K352&lt;$I$8),1,0)</f>
        <v>1</v>
      </c>
      <c r="M352" s="24"/>
      <c r="N352" s="26"/>
      <c r="O352" s="26"/>
      <c r="P352" s="26"/>
      <c r="Q352" s="26"/>
      <c r="R352" s="26"/>
      <c r="S352" s="26"/>
      <c r="T352" s="26"/>
      <c r="U352" s="26"/>
      <c r="V352" s="26"/>
      <c r="W352" s="26">
        <f>MAX($C$8-VLOOKUP($C352,COS!$B$8:$H$991,3,FALSE),0)</f>
        <v>94751.353515625</v>
      </c>
      <c r="X352" s="26">
        <f t="shared" si="562"/>
        <v>5638.0970686983474</v>
      </c>
      <c r="Y352" s="26">
        <f>VLOOKUP($C352,COS!$B$8:$H$991,4,FALSE)</f>
        <v>162.466064453125</v>
      </c>
      <c r="Z352" s="26">
        <f t="shared" si="563"/>
        <v>9.66740218233471</v>
      </c>
      <c r="AA352" s="26">
        <f t="shared" si="564"/>
        <v>162.466064453125</v>
      </c>
      <c r="AB352" s="33">
        <f t="shared" si="548"/>
        <v>9.66740218233471</v>
      </c>
    </row>
    <row r="353" spans="1:28" x14ac:dyDescent="0.3">
      <c r="A353" s="32">
        <f>VLOOKUP(YEAR(C353),Flags!$A$13:$B$95,2,FALSE)</f>
        <v>3</v>
      </c>
      <c r="B353" s="24">
        <f t="shared" si="535"/>
        <v>1959</v>
      </c>
      <c r="C353" s="25">
        <v>21854</v>
      </c>
      <c r="D353" s="26"/>
      <c r="E353" s="24"/>
      <c r="F353" s="26"/>
      <c r="G353" s="26"/>
      <c r="H353" s="26"/>
      <c r="I353" s="26"/>
      <c r="J353" s="26"/>
      <c r="K353" s="26"/>
      <c r="L353" s="24"/>
      <c r="M353" s="24"/>
      <c r="N353" s="26"/>
      <c r="O353" s="26"/>
      <c r="P353" s="26"/>
      <c r="Q353" s="26"/>
      <c r="R353" s="26"/>
      <c r="S353" s="26"/>
      <c r="T353" s="26"/>
      <c r="U353" s="26"/>
      <c r="V353" s="26"/>
      <c r="W353" s="26">
        <f>MAX($C$9-VLOOKUP($C353,COS!$B$8:$H$991,3,FALSE),0)</f>
        <v>93413.3603515625</v>
      </c>
      <c r="X353" s="26">
        <f t="shared" si="562"/>
        <v>5743.7636447572313</v>
      </c>
      <c r="Y353" s="26">
        <f>VLOOKUP($C353,COS!$B$8:$H$991,4,FALSE)</f>
        <v>1540.0111083984375</v>
      </c>
      <c r="Z353" s="26">
        <f t="shared" si="563"/>
        <v>94.691592119705575</v>
      </c>
      <c r="AA353" s="26">
        <f t="shared" si="564"/>
        <v>1540.0111083984375</v>
      </c>
      <c r="AB353" s="33">
        <f t="shared" si="548"/>
        <v>94.691592119705575</v>
      </c>
    </row>
    <row r="354" spans="1:28" x14ac:dyDescent="0.3">
      <c r="A354" s="32">
        <f>VLOOKUP(YEAR(C354),Flags!$A$13:$B$95,2,FALSE)</f>
        <v>3</v>
      </c>
      <c r="B354" s="24">
        <f t="shared" si="535"/>
        <v>1959</v>
      </c>
      <c r="C354" s="25">
        <v>21884</v>
      </c>
      <c r="D354" s="26"/>
      <c r="E354" s="24"/>
      <c r="F354" s="26"/>
      <c r="G354" s="26"/>
      <c r="H354" s="26"/>
      <c r="I354" s="26"/>
      <c r="J354" s="26"/>
      <c r="K354" s="26"/>
      <c r="L354" s="24"/>
      <c r="M354" s="24"/>
      <c r="N354" s="26"/>
      <c r="O354" s="26"/>
      <c r="P354" s="26"/>
      <c r="Q354" s="26"/>
      <c r="R354" s="26"/>
      <c r="S354" s="26"/>
      <c r="T354" s="26"/>
      <c r="U354" s="26"/>
      <c r="V354" s="26"/>
      <c r="W354" s="26">
        <f>MAX($C$10-VLOOKUP($C354,COS!$B$8:$H$991,3,FALSE),0)</f>
        <v>92727.755859375</v>
      </c>
      <c r="X354" s="26">
        <f t="shared" si="562"/>
        <v>5517.6846461776859</v>
      </c>
      <c r="Y354" s="26">
        <f>VLOOKUP($C354,COS!$B$8:$H$991,4,FALSE)</f>
        <v>1347.0540771484375</v>
      </c>
      <c r="Z354" s="26">
        <f t="shared" si="563"/>
        <v>80.155283929493805</v>
      </c>
      <c r="AA354" s="26">
        <f t="shared" si="564"/>
        <v>1347.0540771484375</v>
      </c>
      <c r="AB354" s="33">
        <f t="shared" si="548"/>
        <v>80.155283929493805</v>
      </c>
    </row>
    <row r="355" spans="1:28" x14ac:dyDescent="0.3">
      <c r="A355" s="34">
        <f>VLOOKUP(YEAR(C355),Flags!$A$13:$B$95,2,FALSE)</f>
        <v>3</v>
      </c>
      <c r="B355" s="35">
        <f t="shared" si="535"/>
        <v>1959</v>
      </c>
      <c r="C355" s="36">
        <v>21915</v>
      </c>
      <c r="D355" s="37"/>
      <c r="E355" s="35"/>
      <c r="F355" s="37"/>
      <c r="G355" s="37"/>
      <c r="H355" s="37"/>
      <c r="I355" s="37"/>
      <c r="J355" s="37"/>
      <c r="K355" s="37"/>
      <c r="L355" s="35"/>
      <c r="M355" s="35"/>
      <c r="N355" s="37"/>
      <c r="O355" s="37"/>
      <c r="P355" s="37"/>
      <c r="Q355" s="37"/>
      <c r="R355" s="37"/>
      <c r="S355" s="37"/>
      <c r="T355" s="37"/>
      <c r="U355" s="37"/>
      <c r="V355" s="37"/>
      <c r="W355" s="37">
        <f>MAX($C$11-VLOOKUP($C355,COS!$B$8:$H$991,3,FALSE),0)</f>
        <v>95594.83935546875</v>
      </c>
      <c r="X355" s="37">
        <f t="shared" si="562"/>
        <v>5877.8975603693179</v>
      </c>
      <c r="Y355" s="37">
        <f>VLOOKUP($C355,COS!$B$8:$H$991,4,FALSE)</f>
        <v>2025.1993408203125</v>
      </c>
      <c r="Z355" s="37">
        <f t="shared" si="563"/>
        <v>124.52465368349691</v>
      </c>
      <c r="AA355" s="37">
        <f t="shared" si="564"/>
        <v>2025.1993408203125</v>
      </c>
      <c r="AB355" s="38">
        <f t="shared" si="548"/>
        <v>124.52465368349691</v>
      </c>
    </row>
    <row r="356" spans="1:28" x14ac:dyDescent="0.3">
      <c r="A356" s="27">
        <f>VLOOKUP(YEAR(C356),Flags!$A$13:$B$95,2,FALSE)</f>
        <v>4</v>
      </c>
      <c r="B356" s="28">
        <f t="shared" si="535"/>
        <v>1960</v>
      </c>
      <c r="C356" s="29">
        <v>22036</v>
      </c>
      <c r="D356" s="30">
        <f>VLOOKUP($C356,COS!$B$8:$H$991,3,FALSE)</f>
        <v>7127.0625</v>
      </c>
      <c r="E356" s="28">
        <f>IF(D356&gt;=IF(MONTH($C356)=4,$C$3,IF(MONTH($C356)=5,$C$4,IF(MONTH($C356)=6,$C$5,IF(MONTH($C356)=7,$C$6,"ERROR")))),1,0)</f>
        <v>1</v>
      </c>
      <c r="F356" s="30">
        <f>VLOOKUP($C356,COS!$B$8:$H$991,7,FALSE)</f>
        <v>49.91119384765625</v>
      </c>
      <c r="G356" s="28">
        <f>IF(F356&lt;=IF(MONTH($C356)=4,$F$3,IF(MONTH($C356)=5,$F$4,IF(MONTH($C356)=6,$F$5,IF(MONTH($C356)=7,$F$6,"ERROR")))),1,0)</f>
        <v>1</v>
      </c>
      <c r="H356" s="30">
        <f>IF(J356=1,D356-$C$3,0)</f>
        <v>1127.0625</v>
      </c>
      <c r="I356" s="30">
        <f t="shared" si="558"/>
        <v>67.064876033057857</v>
      </c>
      <c r="J356" s="28">
        <f t="shared" ref="J356:J359" si="567">IF(AND(E356=1,G356=1),1,0)</f>
        <v>1</v>
      </c>
      <c r="K356" s="30">
        <f>VLOOKUP($C356,COS!$B$8:$H$991,2,FALSE)</f>
        <v>4172.98876953125</v>
      </c>
      <c r="L356" s="28">
        <f t="shared" ref="L356" si="568">IF(K356&lt;=IF(MONTH($C356)=4,$I$3,IF(MONTH($C356)=5,$I$4,IF(MONTH($C356)=6,$I$5,IF(MONTH($C356)=7,$I$6,"ERROR")))),1,0)</f>
        <v>1</v>
      </c>
      <c r="M356" s="28">
        <f t="shared" ref="M356" si="569">VLOOKUP($A356,$L$3:$M$7,2,FALSE)</f>
        <v>1</v>
      </c>
      <c r="N356" s="30">
        <f>VLOOKUP($C356,COS!$B$8:$H$991,5,FALSE)</f>
        <v>16.487361907958984</v>
      </c>
      <c r="O356" s="30">
        <f t="shared" ref="O356:O359" si="570">N356*DAY($C356)*86400/43560/1000</f>
        <v>0.98106616311822048</v>
      </c>
      <c r="P356" s="30">
        <f>VLOOKUP($C356,COS!$B$8:$H$991,6,FALSE)</f>
        <v>466.45590209960938</v>
      </c>
      <c r="Q356" s="30">
        <f t="shared" ref="Q356:Q359" si="571">P356*DAY($C356)*86400/43560/1000</f>
        <v>27.756053678654443</v>
      </c>
      <c r="R356" s="30">
        <f>MIN(IF(MONTH($C356)=4,$S$3,IF(MONTH($C356)=5,$S$4,IF(MONTH($C356)=6,$S$5,IF(MONTH($C356)=7,$S$6,"ERROR")))),MAX(VLOOKUP($C356,COS!$B$8:$K$991,10,FALSE)-IF(MONTH($C356)=4,$Y$3,IF(MONTH($C356)=5,$Y$4,IF(MONTH($C356)=6,$Y$5,IF(MONTH($C356)=7,$Y$6,"ERROR")))),0),MAX(VLOOKUP($C356,COS!$B$8:$K$991,9,FALSE)-IF(MONTH($C356)=4,$V$3,IF(MONTH($C356)=5,$V$4,IF(MONTH($C356)=6,$V$5,IF(MONTH($C356)=7,$V$6,"ERROR"))))-VLOOKUP($C356,COS!$B$8:$K$991,6,FALSE)/2,0))</f>
        <v>1500</v>
      </c>
      <c r="S356" s="30">
        <f t="shared" ref="S356:S359" si="572">R356*DAY($C356)*86400/43560/1000</f>
        <v>89.256198347107429</v>
      </c>
      <c r="T356" s="30">
        <f t="shared" ref="T356:T359" si="573">(O356+Q356)/2+S356</f>
        <v>103.62475826799376</v>
      </c>
      <c r="U356" s="30" t="str">
        <f>IF(VLOOKUP($C356,COS!$B$8:$I$991,8,FALSE)=1,"UWFE","IBU")</f>
        <v>UWFE</v>
      </c>
      <c r="V356" s="30">
        <f t="shared" ref="V356" si="574">MIN(IF(IF($AA$3=2,AND(E356=1,G356=1,L356=1,L361=1,M356=1,U356="IBU"),AND(E356=1,G356=1,L356=1,L361=1,M356=1)),T356,0),I356)</f>
        <v>0</v>
      </c>
      <c r="W356" s="30"/>
      <c r="X356" s="30"/>
      <c r="Y356" s="30"/>
      <c r="Z356" s="30"/>
      <c r="AA356" s="30"/>
      <c r="AB356" s="31"/>
    </row>
    <row r="357" spans="1:28" x14ac:dyDescent="0.3">
      <c r="A357" s="32">
        <f>VLOOKUP(YEAR(C357),Flags!$A$13:$B$95,2,FALSE)</f>
        <v>4</v>
      </c>
      <c r="B357" s="24">
        <f t="shared" si="535"/>
        <v>1960</v>
      </c>
      <c r="C357" s="25">
        <v>22067</v>
      </c>
      <c r="D357" s="26">
        <f>VLOOKUP($C357,COS!$B$8:$H$991,3,FALSE)</f>
        <v>4957.14453125</v>
      </c>
      <c r="E357" s="24">
        <f>IF(D357&gt;=IF(MONTH($C357)=4,$C$3,IF(MONTH($C357)=5,$C$4,IF(MONTH($C357)=6,$C$5,IF(MONTH($C357)=7,$C$6,"ERROR")))),1,0)</f>
        <v>0</v>
      </c>
      <c r="F357" s="26">
        <f>VLOOKUP($C357,COS!$B$8:$H$991,7,FALSE)</f>
        <v>52.527271270751953</v>
      </c>
      <c r="G357" s="24">
        <f>IF(F357&lt;=IF(MONTH($C357)=4,$F$3,IF(MONTH($C357)=5,$F$4,IF(MONTH($C357)=6,$F$5,IF(MONTH($C357)=7,$F$6,"ERROR")))),1,0)</f>
        <v>1</v>
      </c>
      <c r="H357" s="26">
        <f>IF(J357=1,D357-$C$4,0)</f>
        <v>0</v>
      </c>
      <c r="I357" s="26">
        <f t="shared" si="558"/>
        <v>0</v>
      </c>
      <c r="J357" s="24">
        <f t="shared" si="567"/>
        <v>0</v>
      </c>
      <c r="K357" s="26">
        <f>VLOOKUP($C357,COS!$B$8:$H$991,2,FALSE)</f>
        <v>4264.8515625</v>
      </c>
      <c r="L357" s="24">
        <f t="shared" si="537"/>
        <v>1</v>
      </c>
      <c r="M357" s="24">
        <f t="shared" si="538"/>
        <v>1</v>
      </c>
      <c r="N357" s="26">
        <f>VLOOKUP($C357,COS!$B$8:$H$991,5,FALSE)</f>
        <v>320.07254028320313</v>
      </c>
      <c r="O357" s="26">
        <f t="shared" si="570"/>
        <v>19.680493386008521</v>
      </c>
      <c r="P357" s="26">
        <f>VLOOKUP($C357,COS!$B$8:$H$991,6,FALSE)</f>
        <v>2099.86279296875</v>
      </c>
      <c r="Q357" s="26">
        <f t="shared" si="571"/>
        <v>129.1155304106405</v>
      </c>
      <c r="R357" s="26">
        <f>MIN(IF(MONTH($C357)=4,$S$3,IF(MONTH($C357)=5,$S$4,IF(MONTH($C357)=6,$S$5,IF(MONTH($C357)=7,$S$6,"ERROR")))),MAX(VLOOKUP($C357,COS!$B$8:$K$991,10,FALSE)-IF(MONTH($C357)=4,$Y$3,IF(MONTH($C357)=5,$Y$4,IF(MONTH($C357)=6,$Y$5,IF(MONTH($C357)=7,$Y$6,"ERROR")))),0),MAX(VLOOKUP($C357,COS!$B$8:$K$991,9,FALSE)-IF(MONTH($C357)=4,$V$3,IF(MONTH($C357)=5,$V$4,IF(MONTH($C357)=6,$V$5,IF(MONTH($C357)=7,$V$6,"ERROR"))))-VLOOKUP($C357,COS!$B$8:$K$991,6,FALSE)/2,0))</f>
        <v>998.0751953125</v>
      </c>
      <c r="S357" s="26">
        <f t="shared" si="572"/>
        <v>61.36925167871901</v>
      </c>
      <c r="T357" s="26">
        <f t="shared" si="573"/>
        <v>135.76726357704354</v>
      </c>
      <c r="U357" s="26" t="str">
        <f>IF(VLOOKUP($C357,COS!$B$8:$I$991,8,FALSE)=1,"UWFE","IBU")</f>
        <v>UWFE</v>
      </c>
      <c r="V357" s="26">
        <f t="shared" ref="V357" si="575">MIN(IF(IF($AA$3=2,AND(E357=1,G357=1,L357=1,L361=1,M357=1,U357="IBU"),AND(E357=1,G357=1,L357=1,L361=1,M357=1)),T357,0),I357)</f>
        <v>0</v>
      </c>
      <c r="W357" s="26"/>
      <c r="X357" s="26"/>
      <c r="Y357" s="26"/>
      <c r="Z357" s="26"/>
      <c r="AA357" s="26"/>
      <c r="AB357" s="33"/>
    </row>
    <row r="358" spans="1:28" x14ac:dyDescent="0.3">
      <c r="A358" s="32">
        <f>VLOOKUP(YEAR(C358),Flags!$A$13:$B$95,2,FALSE)</f>
        <v>4</v>
      </c>
      <c r="B358" s="24">
        <f t="shared" si="535"/>
        <v>1960</v>
      </c>
      <c r="C358" s="25">
        <v>22097</v>
      </c>
      <c r="D358" s="26">
        <f>VLOOKUP($C358,COS!$B$8:$H$991,3,FALSE)</f>
        <v>13233.97265625</v>
      </c>
      <c r="E358" s="24">
        <f>IF(D358&gt;=IF(MONTH($C358)=4,$C$3,IF(MONTH($C358)=5,$C$4,IF(MONTH($C358)=6,$C$5,IF(MONTH($C358)=7,$C$6,"ERROR")))),1,0)</f>
        <v>1</v>
      </c>
      <c r="F358" s="26">
        <f>VLOOKUP($C358,COS!$B$8:$H$991,7,FALSE)</f>
        <v>51.440536499023438</v>
      </c>
      <c r="G358" s="24">
        <f>IF(F358&lt;=IF(MONTH($C358)=4,$F$3,IF(MONTH($C358)=5,$F$4,IF(MONTH($C358)=6,$F$5,IF(MONTH($C358)=7,$F$6,"ERROR")))),1,0)</f>
        <v>1</v>
      </c>
      <c r="H358" s="26">
        <f>IF(J358=1,D358-$C$5,0)</f>
        <v>3233.97265625</v>
      </c>
      <c r="I358" s="26">
        <f t="shared" si="558"/>
        <v>192.43473657024794</v>
      </c>
      <c r="J358" s="24">
        <f t="shared" si="567"/>
        <v>1</v>
      </c>
      <c r="K358" s="26">
        <f>VLOOKUP($C358,COS!$B$8:$H$991,2,FALSE)</f>
        <v>3735.558837890625</v>
      </c>
      <c r="L358" s="24">
        <f t="shared" si="537"/>
        <v>1</v>
      </c>
      <c r="M358" s="24">
        <f t="shared" si="538"/>
        <v>1</v>
      </c>
      <c r="N358" s="26">
        <f>VLOOKUP($C358,COS!$B$8:$H$991,5,FALSE)</f>
        <v>457.70184326171875</v>
      </c>
      <c r="O358" s="26">
        <f t="shared" si="570"/>
        <v>27.2351510040031</v>
      </c>
      <c r="P358" s="26">
        <f>VLOOKUP($C358,COS!$B$8:$H$991,6,FALSE)</f>
        <v>2712.6806640625</v>
      </c>
      <c r="Q358" s="26">
        <f t="shared" si="571"/>
        <v>161.41570893595042</v>
      </c>
      <c r="R358" s="26">
        <f>MIN(IF(MONTH($C358)=4,$S$3,IF(MONTH($C358)=5,$S$4,IF(MONTH($C358)=6,$S$5,IF(MONTH($C358)=7,$S$6,"ERROR")))),MAX(VLOOKUP($C358,COS!$B$8:$K$991,10,FALSE)-IF(MONTH($C358)=4,$Y$3,IF(MONTH($C358)=5,$Y$4,IF(MONTH($C358)=6,$Y$5,IF(MONTH($C358)=7,$Y$6,"ERROR")))),0),MAX(VLOOKUP($C358,COS!$B$8:$K$991,9,FALSE)-IF(MONTH($C358)=4,$V$3,IF(MONTH($C358)=5,$V$4,IF(MONTH($C358)=6,$V$5,IF(MONTH($C358)=7,$V$6,"ERROR"))))-VLOOKUP($C358,COS!$B$8:$K$991,6,FALSE)/2,0))</f>
        <v>1500</v>
      </c>
      <c r="S358" s="26">
        <f t="shared" si="572"/>
        <v>89.256198347107429</v>
      </c>
      <c r="T358" s="26">
        <f t="shared" si="573"/>
        <v>183.58162831708421</v>
      </c>
      <c r="U358" s="26" t="str">
        <f>IF(VLOOKUP($C358,COS!$B$8:$I$991,8,FALSE)=1,"UWFE","IBU")</f>
        <v>IBU</v>
      </c>
      <c r="V358" s="26">
        <f t="shared" ref="V358" si="576">MIN(IF(IF($AA$3=2,AND(E358=1,G358=1,L358=1,L361=1,M358=1,U358="IBU"),AND(E358=1,G358=1,L358=1,L361=1,M358=1)),T358,0),I358)</f>
        <v>183.58162831708421</v>
      </c>
      <c r="W358" s="26"/>
      <c r="X358" s="26"/>
      <c r="Y358" s="26"/>
      <c r="Z358" s="26"/>
      <c r="AA358" s="26"/>
      <c r="AB358" s="33"/>
    </row>
    <row r="359" spans="1:28" x14ac:dyDescent="0.3">
      <c r="A359" s="32">
        <f>VLOOKUP(YEAR(C359),Flags!$A$13:$B$95,2,FALSE)</f>
        <v>4</v>
      </c>
      <c r="B359" s="24">
        <f t="shared" si="535"/>
        <v>1960</v>
      </c>
      <c r="C359" s="25">
        <v>22128</v>
      </c>
      <c r="D359" s="26">
        <f>VLOOKUP($C359,COS!$B$8:$H$991,3,FALSE)</f>
        <v>13995.5498046875</v>
      </c>
      <c r="E359" s="24">
        <f>IF(D359&gt;=IF(MONTH($C359)=4,$C$3,IF(MONTH($C359)=5,$C$4,IF(MONTH($C359)=6,$C$5,IF(MONTH($C359)=7,$C$6,"ERROR")))),1,0)</f>
        <v>1</v>
      </c>
      <c r="F359" s="26">
        <f>VLOOKUP($C359,COS!$B$8:$H$991,7,FALSE)</f>
        <v>52.7860107421875</v>
      </c>
      <c r="G359" s="24">
        <f>IF(F359&lt;=IF(MONTH($C359)=4,$F$3,IF(MONTH($C359)=5,$F$4,IF(MONTH($C359)=6,$F$5,IF(MONTH($C359)=7,$F$6,"ERROR")))),1,0)</f>
        <v>1</v>
      </c>
      <c r="H359" s="26">
        <f>IF(J359=1,D359-$C$6,0)</f>
        <v>1995.5498046875</v>
      </c>
      <c r="I359" s="26">
        <f t="shared" si="558"/>
        <v>122.70157476756198</v>
      </c>
      <c r="J359" s="24">
        <f t="shared" si="567"/>
        <v>1</v>
      </c>
      <c r="K359" s="26">
        <f>VLOOKUP($C359,COS!$B$8:$H$991,2,FALSE)</f>
        <v>3174.995361328125</v>
      </c>
      <c r="L359" s="24">
        <f t="shared" si="537"/>
        <v>1</v>
      </c>
      <c r="M359" s="24">
        <f t="shared" si="538"/>
        <v>1</v>
      </c>
      <c r="N359" s="26">
        <f>VLOOKUP($C359,COS!$B$8:$H$991,5,FALSE)</f>
        <v>499.1810302734375</v>
      </c>
      <c r="O359" s="26">
        <f t="shared" si="570"/>
        <v>30.69344516722624</v>
      </c>
      <c r="P359" s="26">
        <f>VLOOKUP($C359,COS!$B$8:$H$991,6,FALSE)</f>
        <v>2441.261474609375</v>
      </c>
      <c r="Q359" s="26">
        <f t="shared" si="571"/>
        <v>150.10731711647728</v>
      </c>
      <c r="R359" s="26">
        <f>MIN(IF(MONTH($C359)=4,$S$3,IF(MONTH($C359)=5,$S$4,IF(MONTH($C359)=6,$S$5,IF(MONTH($C359)=7,$S$6,"ERROR")))),MAX(VLOOKUP($C359,COS!$B$8:$K$991,10,FALSE)-IF(MONTH($C359)=4,$Y$3,IF(MONTH($C359)=5,$Y$4,IF(MONTH($C359)=6,$Y$5,IF(MONTH($C359)=7,$Y$6,"ERROR")))),0),MAX(VLOOKUP($C359,COS!$B$8:$K$991,9,FALSE)-IF(MONTH($C359)=4,$V$3,IF(MONTH($C359)=5,$V$4,IF(MONTH($C359)=6,$V$5,IF(MONTH($C359)=7,$V$6,"ERROR"))))-VLOOKUP($C359,COS!$B$8:$K$991,6,FALSE)/2,0))</f>
        <v>1500</v>
      </c>
      <c r="S359" s="26">
        <f t="shared" si="572"/>
        <v>92.231404958677686</v>
      </c>
      <c r="T359" s="26">
        <f t="shared" si="573"/>
        <v>182.63178610052944</v>
      </c>
      <c r="U359" s="26" t="str">
        <f>IF(VLOOKUP($C359,COS!$B$8:$I$991,8,FALSE)=1,"UWFE","IBU")</f>
        <v>IBU</v>
      </c>
      <c r="V359" s="26">
        <f t="shared" ref="V359" si="577">MIN(IF(IF($AA$3=2,AND(E359=1,G359=1,L359=1,L361=1,M359=1,U359="IBU"),AND(E359=1,G359=1,L359=1,L361=1,M359=1)),T359,0),I359)</f>
        <v>122.70157476756198</v>
      </c>
      <c r="W359" s="26"/>
      <c r="X359" s="26"/>
      <c r="Y359" s="26"/>
      <c r="Z359" s="26"/>
      <c r="AA359" s="26"/>
      <c r="AB359" s="33"/>
    </row>
    <row r="360" spans="1:28" x14ac:dyDescent="0.3">
      <c r="A360" s="32">
        <f>VLOOKUP(YEAR(C360),Flags!$A$13:$B$95,2,FALSE)</f>
        <v>4</v>
      </c>
      <c r="B360" s="24">
        <f t="shared" si="535"/>
        <v>1960</v>
      </c>
      <c r="C360" s="25">
        <v>22159</v>
      </c>
      <c r="D360" s="26"/>
      <c r="E360" s="24"/>
      <c r="F360" s="26"/>
      <c r="G360" s="24"/>
      <c r="H360" s="24"/>
      <c r="I360" s="26"/>
      <c r="J360" s="24"/>
      <c r="K360" s="26"/>
      <c r="L360" s="24"/>
      <c r="M360" s="24"/>
      <c r="N360" s="26"/>
      <c r="O360" s="26"/>
      <c r="P360" s="26"/>
      <c r="Q360" s="26"/>
      <c r="R360" s="26"/>
      <c r="S360" s="26"/>
      <c r="T360" s="26"/>
      <c r="U360" s="26"/>
      <c r="V360" s="26"/>
      <c r="W360" s="26">
        <f>MAX($C$7-VLOOKUP($C360,COS!$B$8:$H$991,3,FALSE),0)</f>
        <v>90376.2197265625</v>
      </c>
      <c r="X360" s="26">
        <f t="shared" si="562"/>
        <v>5557.0171468233475</v>
      </c>
      <c r="Y360" s="26">
        <f>VLOOKUP($C360,COS!$B$8:$H$991,4,FALSE)</f>
        <v>1283.5350341796875</v>
      </c>
      <c r="Z360" s="26">
        <f t="shared" si="563"/>
        <v>78.921493010717967</v>
      </c>
      <c r="AA360" s="26">
        <f t="shared" ref="AA360:AA364" si="578">MIN(W360,Y360)</f>
        <v>1283.5350341796875</v>
      </c>
      <c r="AB360" s="33">
        <f t="shared" ref="AB360" si="579">AA360*DAY($C360)*86400/43560/1000*IF(MONTH($C360)=8,$P$3,IF(MONTH($C360)=9,$P$4,IF(MONTH($C360)=10,$P$5,IF(MONTH($C360)=11,$P$6,IF(MONTH($C360)=12,$P$7,NA())))))</f>
        <v>78.921493010717967</v>
      </c>
    </row>
    <row r="361" spans="1:28" x14ac:dyDescent="0.3">
      <c r="A361" s="32">
        <f>VLOOKUP(YEAR(C361),Flags!$A$13:$B$95,2,FALSE)</f>
        <v>4</v>
      </c>
      <c r="B361" s="24">
        <f t="shared" si="535"/>
        <v>1960</v>
      </c>
      <c r="C361" s="25">
        <v>22189</v>
      </c>
      <c r="D361" s="26"/>
      <c r="E361" s="24"/>
      <c r="F361" s="26"/>
      <c r="G361" s="24"/>
      <c r="H361" s="24"/>
      <c r="I361" s="26"/>
      <c r="J361" s="24"/>
      <c r="K361" s="26">
        <f>VLOOKUP($C361,COS!$B$8:$H$991,2,FALSE)</f>
        <v>2747.35986328125</v>
      </c>
      <c r="L361" s="24">
        <f t="shared" ref="L361" si="580">IF(AND(K361&gt;$I$7,K361&lt;$I$8),1,0)</f>
        <v>1</v>
      </c>
      <c r="M361" s="24"/>
      <c r="N361" s="26"/>
      <c r="O361" s="26"/>
      <c r="P361" s="26"/>
      <c r="Q361" s="26"/>
      <c r="R361" s="26"/>
      <c r="S361" s="26"/>
      <c r="T361" s="26"/>
      <c r="U361" s="26"/>
      <c r="V361" s="26"/>
      <c r="W361" s="26">
        <f>MAX($C$8-VLOOKUP($C361,COS!$B$8:$H$991,3,FALSE),0)</f>
        <v>93859.93212890625</v>
      </c>
      <c r="X361" s="26">
        <f t="shared" si="562"/>
        <v>5585.0538126291322</v>
      </c>
      <c r="Y361" s="26">
        <f>VLOOKUP($C361,COS!$B$8:$H$991,4,FALSE)</f>
        <v>1185.9482421875</v>
      </c>
      <c r="Z361" s="26">
        <f t="shared" si="563"/>
        <v>70.568821022727278</v>
      </c>
      <c r="AA361" s="26">
        <f t="shared" si="578"/>
        <v>1185.9482421875</v>
      </c>
      <c r="AB361" s="33">
        <f t="shared" si="548"/>
        <v>70.568821022727278</v>
      </c>
    </row>
    <row r="362" spans="1:28" x14ac:dyDescent="0.3">
      <c r="A362" s="32">
        <f>VLOOKUP(YEAR(C362),Flags!$A$13:$B$95,2,FALSE)</f>
        <v>4</v>
      </c>
      <c r="B362" s="24">
        <f t="shared" si="535"/>
        <v>1960</v>
      </c>
      <c r="C362" s="25">
        <v>22220</v>
      </c>
      <c r="D362" s="26"/>
      <c r="E362" s="24"/>
      <c r="F362" s="26"/>
      <c r="G362" s="26"/>
      <c r="H362" s="26"/>
      <c r="I362" s="26"/>
      <c r="J362" s="26"/>
      <c r="K362" s="26"/>
      <c r="L362" s="24"/>
      <c r="M362" s="24"/>
      <c r="N362" s="26"/>
      <c r="O362" s="26"/>
      <c r="P362" s="26"/>
      <c r="Q362" s="26"/>
      <c r="R362" s="26"/>
      <c r="S362" s="26"/>
      <c r="T362" s="26"/>
      <c r="U362" s="26"/>
      <c r="V362" s="26"/>
      <c r="W362" s="26">
        <f>MAX($C$9-VLOOKUP($C362,COS!$B$8:$H$991,3,FALSE),0)</f>
        <v>93911.3974609375</v>
      </c>
      <c r="X362" s="26">
        <f t="shared" si="562"/>
        <v>5774.3867529700419</v>
      </c>
      <c r="Y362" s="26">
        <f>VLOOKUP($C362,COS!$B$8:$H$991,4,FALSE)</f>
        <v>1660.7847900390625</v>
      </c>
      <c r="Z362" s="26">
        <f t="shared" si="563"/>
        <v>102.11767634620351</v>
      </c>
      <c r="AA362" s="26">
        <f t="shared" si="578"/>
        <v>1660.7847900390625</v>
      </c>
      <c r="AB362" s="33">
        <f t="shared" si="548"/>
        <v>102.11767634620351</v>
      </c>
    </row>
    <row r="363" spans="1:28" x14ac:dyDescent="0.3">
      <c r="A363" s="32">
        <f>VLOOKUP(YEAR(C363),Flags!$A$13:$B$95,2,FALSE)</f>
        <v>4</v>
      </c>
      <c r="B363" s="24">
        <f t="shared" si="535"/>
        <v>1960</v>
      </c>
      <c r="C363" s="25">
        <v>22250</v>
      </c>
      <c r="D363" s="26"/>
      <c r="E363" s="24"/>
      <c r="F363" s="26"/>
      <c r="G363" s="26"/>
      <c r="H363" s="26"/>
      <c r="I363" s="26"/>
      <c r="J363" s="26"/>
      <c r="K363" s="26"/>
      <c r="L363" s="24"/>
      <c r="M363" s="24"/>
      <c r="N363" s="26"/>
      <c r="O363" s="26"/>
      <c r="P363" s="26"/>
      <c r="Q363" s="26"/>
      <c r="R363" s="26"/>
      <c r="S363" s="26"/>
      <c r="T363" s="26"/>
      <c r="U363" s="26"/>
      <c r="V363" s="26"/>
      <c r="W363" s="26">
        <f>MAX($C$10-VLOOKUP($C363,COS!$B$8:$H$991,3,FALSE),0)</f>
        <v>96749</v>
      </c>
      <c r="X363" s="26">
        <f t="shared" si="562"/>
        <v>5756.965289256198</v>
      </c>
      <c r="Y363" s="26">
        <f>VLOOKUP($C363,COS!$B$8:$H$991,4,FALSE)</f>
        <v>409.7125244140625</v>
      </c>
      <c r="Z363" s="26">
        <f t="shared" si="563"/>
        <v>24.379588229597108</v>
      </c>
      <c r="AA363" s="26">
        <f t="shared" si="578"/>
        <v>409.7125244140625</v>
      </c>
      <c r="AB363" s="33">
        <f t="shared" si="548"/>
        <v>24.379588229597108</v>
      </c>
    </row>
    <row r="364" spans="1:28" x14ac:dyDescent="0.3">
      <c r="A364" s="34">
        <f>VLOOKUP(YEAR(C364),Flags!$A$13:$B$95,2,FALSE)</f>
        <v>4</v>
      </c>
      <c r="B364" s="35">
        <f t="shared" si="535"/>
        <v>1960</v>
      </c>
      <c r="C364" s="36">
        <v>22281</v>
      </c>
      <c r="D364" s="37"/>
      <c r="E364" s="35"/>
      <c r="F364" s="37"/>
      <c r="G364" s="37"/>
      <c r="H364" s="37"/>
      <c r="I364" s="37"/>
      <c r="J364" s="37"/>
      <c r="K364" s="37"/>
      <c r="L364" s="35"/>
      <c r="M364" s="35"/>
      <c r="N364" s="37"/>
      <c r="O364" s="37"/>
      <c r="P364" s="37"/>
      <c r="Q364" s="37"/>
      <c r="R364" s="37"/>
      <c r="S364" s="37"/>
      <c r="T364" s="37"/>
      <c r="U364" s="37"/>
      <c r="V364" s="37"/>
      <c r="W364" s="37">
        <f>MAX($C$11-VLOOKUP($C364,COS!$B$8:$H$991,3,FALSE),0)</f>
        <v>96749</v>
      </c>
      <c r="X364" s="37">
        <f t="shared" si="562"/>
        <v>5948.8641322314052</v>
      </c>
      <c r="Y364" s="37">
        <f>VLOOKUP($C364,COS!$B$8:$H$991,4,FALSE)</f>
        <v>2387.1279296875</v>
      </c>
      <c r="Z364" s="37">
        <f t="shared" si="563"/>
        <v>146.77877518078512</v>
      </c>
      <c r="AA364" s="37">
        <f t="shared" si="578"/>
        <v>2387.1279296875</v>
      </c>
      <c r="AB364" s="38">
        <f t="shared" si="548"/>
        <v>146.77877518078512</v>
      </c>
    </row>
    <row r="365" spans="1:28" x14ac:dyDescent="0.3">
      <c r="A365" s="27">
        <f>VLOOKUP(YEAR(C365),Flags!$A$13:$B$95,2,FALSE)</f>
        <v>4</v>
      </c>
      <c r="B365" s="28">
        <f t="shared" si="535"/>
        <v>1961</v>
      </c>
      <c r="C365" s="29">
        <v>22401</v>
      </c>
      <c r="D365" s="30">
        <f>VLOOKUP($C365,COS!$B$8:$H$991,3,FALSE)</f>
        <v>3330.927978515625</v>
      </c>
      <c r="E365" s="28">
        <f>IF(D365&gt;=IF(MONTH($C365)=4,$C$3,IF(MONTH($C365)=5,$C$4,IF(MONTH($C365)=6,$C$5,IF(MONTH($C365)=7,$C$6,"ERROR")))),1,0)</f>
        <v>0</v>
      </c>
      <c r="F365" s="30">
        <f>VLOOKUP($C365,COS!$B$8:$H$991,7,FALSE)</f>
        <v>51.26251220703125</v>
      </c>
      <c r="G365" s="28">
        <f>IF(F365&lt;=IF(MONTH($C365)=4,$F$3,IF(MONTH($C365)=5,$F$4,IF(MONTH($C365)=6,$F$5,IF(MONTH($C365)=7,$F$6,"ERROR")))),1,0)</f>
        <v>1</v>
      </c>
      <c r="H365" s="30">
        <f>IF(J365=1,D365-$C$3,0)</f>
        <v>0</v>
      </c>
      <c r="I365" s="30">
        <f t="shared" si="558"/>
        <v>0</v>
      </c>
      <c r="J365" s="28">
        <f t="shared" ref="J365:J368" si="581">IF(AND(E365=1,G365=1),1,0)</f>
        <v>0</v>
      </c>
      <c r="K365" s="30">
        <f>VLOOKUP($C365,COS!$B$8:$H$991,2,FALSE)</f>
        <v>4552</v>
      </c>
      <c r="L365" s="28">
        <f t="shared" ref="L365" si="582">IF(K365&lt;=IF(MONTH($C365)=4,$I$3,IF(MONTH($C365)=5,$I$4,IF(MONTH($C365)=6,$I$5,IF(MONTH($C365)=7,$I$6,"ERROR")))),1,0)</f>
        <v>1</v>
      </c>
      <c r="M365" s="28">
        <f t="shared" ref="M365" si="583">VLOOKUP($A365,$L$3:$M$7,2,FALSE)</f>
        <v>1</v>
      </c>
      <c r="N365" s="30">
        <f>VLOOKUP($C365,COS!$B$8:$H$991,5,FALSE)</f>
        <v>224.14614868164063</v>
      </c>
      <c r="O365" s="30">
        <f t="shared" ref="O365:O368" si="584">N365*DAY($C365)*86400/43560/1000</f>
        <v>13.3376220703125</v>
      </c>
      <c r="P365" s="30">
        <f>VLOOKUP($C365,COS!$B$8:$H$991,6,FALSE)</f>
        <v>461.4332275390625</v>
      </c>
      <c r="Q365" s="30">
        <f t="shared" ref="Q365:Q368" si="585">P365*DAY($C365)*86400/43560/1000</f>
        <v>27.457183787448347</v>
      </c>
      <c r="R365" s="30">
        <f>MIN(IF(MONTH($C365)=4,$S$3,IF(MONTH($C365)=5,$S$4,IF(MONTH($C365)=6,$S$5,IF(MONTH($C365)=7,$S$6,"ERROR")))),MAX(VLOOKUP($C365,COS!$B$8:$K$991,10,FALSE)-IF(MONTH($C365)=4,$Y$3,IF(MONTH($C365)=5,$Y$4,IF(MONTH($C365)=6,$Y$5,IF(MONTH($C365)=7,$Y$6,"ERROR")))),0),MAX(VLOOKUP($C365,COS!$B$8:$K$991,9,FALSE)-IF(MONTH($C365)=4,$V$3,IF(MONTH($C365)=5,$V$4,IF(MONTH($C365)=6,$V$5,IF(MONTH($C365)=7,$V$6,"ERROR"))))-VLOOKUP($C365,COS!$B$8:$K$991,6,FALSE)/2,0))</f>
        <v>1500</v>
      </c>
      <c r="S365" s="30">
        <f t="shared" ref="S365:S368" si="586">R365*DAY($C365)*86400/43560/1000</f>
        <v>89.256198347107429</v>
      </c>
      <c r="T365" s="30">
        <f t="shared" ref="T365:T368" si="587">(O365+Q365)/2+S365</f>
        <v>109.65360127598785</v>
      </c>
      <c r="U365" s="30" t="str">
        <f>IF(VLOOKUP($C365,COS!$B$8:$I$991,8,FALSE)=1,"UWFE","IBU")</f>
        <v>UWFE</v>
      </c>
      <c r="V365" s="30">
        <f t="shared" ref="V365" si="588">MIN(IF(IF($AA$3=2,AND(E365=1,G365=1,L365=1,L370=1,M365=1,U365="IBU"),AND(E365=1,G365=1,L365=1,L370=1,M365=1)),T365,0),I365)</f>
        <v>0</v>
      </c>
      <c r="W365" s="30"/>
      <c r="X365" s="30"/>
      <c r="Y365" s="30"/>
      <c r="Z365" s="30"/>
      <c r="AA365" s="30"/>
      <c r="AB365" s="31"/>
    </row>
    <row r="366" spans="1:28" x14ac:dyDescent="0.3">
      <c r="A366" s="32">
        <f>VLOOKUP(YEAR(C366),Flags!$A$13:$B$95,2,FALSE)</f>
        <v>4</v>
      </c>
      <c r="B366" s="24">
        <f t="shared" si="535"/>
        <v>1961</v>
      </c>
      <c r="C366" s="25">
        <v>22432</v>
      </c>
      <c r="D366" s="26">
        <f>VLOOKUP($C366,COS!$B$8:$H$991,3,FALSE)</f>
        <v>7787.1884765625</v>
      </c>
      <c r="E366" s="24">
        <f>IF(D366&gt;=IF(MONTH($C366)=4,$C$3,IF(MONTH($C366)=5,$C$4,IF(MONTH($C366)=6,$C$5,IF(MONTH($C366)=7,$C$6,"ERROR")))),1,0)</f>
        <v>1</v>
      </c>
      <c r="F366" s="26">
        <f>VLOOKUP($C366,COS!$B$8:$H$991,7,FALSE)</f>
        <v>50.240604400634766</v>
      </c>
      <c r="G366" s="24">
        <f>IF(F366&lt;=IF(MONTH($C366)=4,$F$3,IF(MONTH($C366)=5,$F$4,IF(MONTH($C366)=6,$F$5,IF(MONTH($C366)=7,$F$6,"ERROR")))),1,0)</f>
        <v>1</v>
      </c>
      <c r="H366" s="26">
        <f>IF(J366=1,D366-$C$4,0)</f>
        <v>1787.1884765625</v>
      </c>
      <c r="I366" s="26">
        <f t="shared" si="558"/>
        <v>109.88993607954545</v>
      </c>
      <c r="J366" s="24">
        <f t="shared" si="581"/>
        <v>1</v>
      </c>
      <c r="K366" s="26">
        <f>VLOOKUP($C366,COS!$B$8:$H$991,2,FALSE)</f>
        <v>4502.27978515625</v>
      </c>
      <c r="L366" s="24">
        <f t="shared" si="537"/>
        <v>1</v>
      </c>
      <c r="M366" s="24">
        <f t="shared" si="538"/>
        <v>1</v>
      </c>
      <c r="N366" s="26">
        <f>VLOOKUP($C366,COS!$B$8:$H$991,5,FALSE)</f>
        <v>270.762451171875</v>
      </c>
      <c r="O366" s="26">
        <f t="shared" si="584"/>
        <v>16.648534187758266</v>
      </c>
      <c r="P366" s="26">
        <f>VLOOKUP($C366,COS!$B$8:$H$991,6,FALSE)</f>
        <v>2241.916259765625</v>
      </c>
      <c r="Q366" s="26">
        <f t="shared" si="585"/>
        <v>137.85005762525824</v>
      </c>
      <c r="R366" s="26">
        <f>MIN(IF(MONTH($C366)=4,$S$3,IF(MONTH($C366)=5,$S$4,IF(MONTH($C366)=6,$S$5,IF(MONTH($C366)=7,$S$6,"ERROR")))),MAX(VLOOKUP($C366,COS!$B$8:$K$991,10,FALSE)-IF(MONTH($C366)=4,$Y$3,IF(MONTH($C366)=5,$Y$4,IF(MONTH($C366)=6,$Y$5,IF(MONTH($C366)=7,$Y$6,"ERROR")))),0),MAX(VLOOKUP($C366,COS!$B$8:$K$991,9,FALSE)-IF(MONTH($C366)=4,$V$3,IF(MONTH($C366)=5,$V$4,IF(MONTH($C366)=6,$V$5,IF(MONTH($C366)=7,$V$6,"ERROR"))))-VLOOKUP($C366,COS!$B$8:$K$991,6,FALSE)/2,0))</f>
        <v>1500</v>
      </c>
      <c r="S366" s="26">
        <f t="shared" si="586"/>
        <v>92.231404958677686</v>
      </c>
      <c r="T366" s="26">
        <f t="shared" si="587"/>
        <v>169.48070086518595</v>
      </c>
      <c r="U366" s="26" t="str">
        <f>IF(VLOOKUP($C366,COS!$B$8:$I$991,8,FALSE)=1,"UWFE","IBU")</f>
        <v>UWFE</v>
      </c>
      <c r="V366" s="26">
        <f t="shared" ref="V366" si="589">MIN(IF(IF($AA$3=2,AND(E366=1,G366=1,L366=1,L370=1,M366=1,U366="IBU"),AND(E366=1,G366=1,L366=1,L370=1,M366=1)),T366,0),I366)</f>
        <v>0</v>
      </c>
      <c r="W366" s="26"/>
      <c r="X366" s="26"/>
      <c r="Y366" s="26"/>
      <c r="Z366" s="26"/>
      <c r="AA366" s="26"/>
      <c r="AB366" s="33"/>
    </row>
    <row r="367" spans="1:28" x14ac:dyDescent="0.3">
      <c r="A367" s="32">
        <f>VLOOKUP(YEAR(C367),Flags!$A$13:$B$95,2,FALSE)</f>
        <v>4</v>
      </c>
      <c r="B367" s="24">
        <f t="shared" si="535"/>
        <v>1961</v>
      </c>
      <c r="C367" s="25">
        <v>22462</v>
      </c>
      <c r="D367" s="26">
        <f>VLOOKUP($C367,COS!$B$8:$H$991,3,FALSE)</f>
        <v>10063.0751953125</v>
      </c>
      <c r="E367" s="24">
        <f>IF(D367&gt;=IF(MONTH($C367)=4,$C$3,IF(MONTH($C367)=5,$C$4,IF(MONTH($C367)=6,$C$5,IF(MONTH($C367)=7,$C$6,"ERROR")))),1,0)</f>
        <v>1</v>
      </c>
      <c r="F367" s="26">
        <f>VLOOKUP($C367,COS!$B$8:$H$991,7,FALSE)</f>
        <v>51.530010223388672</v>
      </c>
      <c r="G367" s="24">
        <f>IF(F367&lt;=IF(MONTH($C367)=4,$F$3,IF(MONTH($C367)=5,$F$4,IF(MONTH($C367)=6,$F$5,IF(MONTH($C367)=7,$F$6,"ERROR")))),1,0)</f>
        <v>1</v>
      </c>
      <c r="H367" s="26">
        <f>IF(J367=1,D367-$C$5,0)</f>
        <v>63.0751953125</v>
      </c>
      <c r="I367" s="26">
        <f t="shared" si="558"/>
        <v>3.7532347623966942</v>
      </c>
      <c r="J367" s="24">
        <f t="shared" si="581"/>
        <v>1</v>
      </c>
      <c r="K367" s="26">
        <f>VLOOKUP($C367,COS!$B$8:$H$991,2,FALSE)</f>
        <v>4143.28564453125</v>
      </c>
      <c r="L367" s="24">
        <f t="shared" si="537"/>
        <v>1</v>
      </c>
      <c r="M367" s="24">
        <f t="shared" si="538"/>
        <v>1</v>
      </c>
      <c r="N367" s="26">
        <f>VLOOKUP($C367,COS!$B$8:$H$991,5,FALSE)</f>
        <v>520.3306884765625</v>
      </c>
      <c r="O367" s="26">
        <f t="shared" si="584"/>
        <v>30.961826091167357</v>
      </c>
      <c r="P367" s="26">
        <f>VLOOKUP($C367,COS!$B$8:$H$991,6,FALSE)</f>
        <v>2605.465576171875</v>
      </c>
      <c r="Q367" s="26">
        <f t="shared" si="585"/>
        <v>155.03596816890496</v>
      </c>
      <c r="R367" s="26">
        <f>MIN(IF(MONTH($C367)=4,$S$3,IF(MONTH($C367)=5,$S$4,IF(MONTH($C367)=6,$S$5,IF(MONTH($C367)=7,$S$6,"ERROR")))),MAX(VLOOKUP($C367,COS!$B$8:$K$991,10,FALSE)-IF(MONTH($C367)=4,$Y$3,IF(MONTH($C367)=5,$Y$4,IF(MONTH($C367)=6,$Y$5,IF(MONTH($C367)=7,$Y$6,"ERROR")))),0),MAX(VLOOKUP($C367,COS!$B$8:$K$991,9,FALSE)-IF(MONTH($C367)=4,$V$3,IF(MONTH($C367)=5,$V$4,IF(MONTH($C367)=6,$V$5,IF(MONTH($C367)=7,$V$6,"ERROR"))))-VLOOKUP($C367,COS!$B$8:$K$991,6,FALSE)/2,0))</f>
        <v>1500</v>
      </c>
      <c r="S367" s="26">
        <f t="shared" si="586"/>
        <v>89.256198347107429</v>
      </c>
      <c r="T367" s="26">
        <f t="shared" si="587"/>
        <v>182.25509547714358</v>
      </c>
      <c r="U367" s="26" t="str">
        <f>IF(VLOOKUP($C367,COS!$B$8:$I$991,8,FALSE)=1,"UWFE","IBU")</f>
        <v>IBU</v>
      </c>
      <c r="V367" s="26">
        <f t="shared" ref="V367" si="590">MIN(IF(IF($AA$3=2,AND(E367=1,G367=1,L367=1,L370=1,M367=1,U367="IBU"),AND(E367=1,G367=1,L367=1,L370=1,M367=1)),T367,0),I367)</f>
        <v>3.7532347623966942</v>
      </c>
      <c r="W367" s="26"/>
      <c r="X367" s="26"/>
      <c r="Y367" s="26"/>
      <c r="Z367" s="26"/>
      <c r="AA367" s="26"/>
      <c r="AB367" s="33"/>
    </row>
    <row r="368" spans="1:28" x14ac:dyDescent="0.3">
      <c r="A368" s="32">
        <f>VLOOKUP(YEAR(C368),Flags!$A$13:$B$95,2,FALSE)</f>
        <v>4</v>
      </c>
      <c r="B368" s="24">
        <f t="shared" si="535"/>
        <v>1961</v>
      </c>
      <c r="C368" s="25">
        <v>22493</v>
      </c>
      <c r="D368" s="26">
        <f>VLOOKUP($C368,COS!$B$8:$H$991,3,FALSE)</f>
        <v>16000</v>
      </c>
      <c r="E368" s="24">
        <f>IF(D368&gt;=IF(MONTH($C368)=4,$C$3,IF(MONTH($C368)=5,$C$4,IF(MONTH($C368)=6,$C$5,IF(MONTH($C368)=7,$C$6,"ERROR")))),1,0)</f>
        <v>1</v>
      </c>
      <c r="F368" s="26">
        <f>VLOOKUP($C368,COS!$B$8:$H$991,7,FALSE)</f>
        <v>51.374370574951172</v>
      </c>
      <c r="G368" s="24">
        <f>IF(F368&lt;=IF(MONTH($C368)=4,$F$3,IF(MONTH($C368)=5,$F$4,IF(MONTH($C368)=6,$F$5,IF(MONTH($C368)=7,$F$6,"ERROR")))),1,0)</f>
        <v>1</v>
      </c>
      <c r="H368" s="26">
        <f>IF(J368=1,D368-$C$6,0)</f>
        <v>4000</v>
      </c>
      <c r="I368" s="26">
        <f t="shared" si="558"/>
        <v>245.95041322314049</v>
      </c>
      <c r="J368" s="24">
        <f t="shared" si="581"/>
        <v>1</v>
      </c>
      <c r="K368" s="26">
        <f>VLOOKUP($C368,COS!$B$8:$H$991,2,FALSE)</f>
        <v>3417.93798828125</v>
      </c>
      <c r="L368" s="24">
        <f t="shared" si="537"/>
        <v>1</v>
      </c>
      <c r="M368" s="24">
        <f t="shared" si="538"/>
        <v>1</v>
      </c>
      <c r="N368" s="26">
        <f>VLOOKUP($C368,COS!$B$8:$H$991,5,FALSE)</f>
        <v>610.17608642578125</v>
      </c>
      <c r="O368" s="26">
        <f t="shared" si="584"/>
        <v>37.518265148824895</v>
      </c>
      <c r="P368" s="26">
        <f>VLOOKUP($C368,COS!$B$8:$H$991,6,FALSE)</f>
        <v>2538.07568359375</v>
      </c>
      <c r="Q368" s="26">
        <f t="shared" si="585"/>
        <v>156.06019079287191</v>
      </c>
      <c r="R368" s="26">
        <f>MIN(IF(MONTH($C368)=4,$S$3,IF(MONTH($C368)=5,$S$4,IF(MONTH($C368)=6,$S$5,IF(MONTH($C368)=7,$S$6,"ERROR")))),MAX(VLOOKUP($C368,COS!$B$8:$K$991,10,FALSE)-IF(MONTH($C368)=4,$Y$3,IF(MONTH($C368)=5,$Y$4,IF(MONTH($C368)=6,$Y$5,IF(MONTH($C368)=7,$Y$6,"ERROR")))),0),MAX(VLOOKUP($C368,COS!$B$8:$K$991,9,FALSE)-IF(MONTH($C368)=4,$V$3,IF(MONTH($C368)=5,$V$4,IF(MONTH($C368)=6,$V$5,IF(MONTH($C368)=7,$V$6,"ERROR"))))-VLOOKUP($C368,COS!$B$8:$K$991,6,FALSE)/2,0))</f>
        <v>1500</v>
      </c>
      <c r="S368" s="26">
        <f t="shared" si="586"/>
        <v>92.231404958677686</v>
      </c>
      <c r="T368" s="26">
        <f t="shared" si="587"/>
        <v>189.02063292952607</v>
      </c>
      <c r="U368" s="26" t="str">
        <f>IF(VLOOKUP($C368,COS!$B$8:$I$991,8,FALSE)=1,"UWFE","IBU")</f>
        <v>IBU</v>
      </c>
      <c r="V368" s="26">
        <f t="shared" ref="V368" si="591">MIN(IF(IF($AA$3=2,AND(E368=1,G368=1,L368=1,L370=1,M368=1,U368="IBU"),AND(E368=1,G368=1,L368=1,L370=1,M368=1)),T368,0),I368)</f>
        <v>189.02063292952607</v>
      </c>
      <c r="W368" s="26"/>
      <c r="X368" s="26"/>
      <c r="Y368" s="26"/>
      <c r="Z368" s="26"/>
      <c r="AA368" s="26"/>
      <c r="AB368" s="33"/>
    </row>
    <row r="369" spans="1:28" x14ac:dyDescent="0.3">
      <c r="A369" s="32">
        <f>VLOOKUP(YEAR(C369),Flags!$A$13:$B$95,2,FALSE)</f>
        <v>4</v>
      </c>
      <c r="B369" s="24">
        <f t="shared" si="535"/>
        <v>1961</v>
      </c>
      <c r="C369" s="25">
        <v>22524</v>
      </c>
      <c r="D369" s="26"/>
      <c r="E369" s="24"/>
      <c r="F369" s="26"/>
      <c r="G369" s="24"/>
      <c r="H369" s="24"/>
      <c r="I369" s="26"/>
      <c r="J369" s="24"/>
      <c r="K369" s="26"/>
      <c r="L369" s="24"/>
      <c r="M369" s="24"/>
      <c r="N369" s="26"/>
      <c r="O369" s="26"/>
      <c r="P369" s="26"/>
      <c r="Q369" s="26"/>
      <c r="R369" s="26"/>
      <c r="S369" s="26"/>
      <c r="T369" s="26"/>
      <c r="U369" s="26"/>
      <c r="V369" s="26"/>
      <c r="W369" s="26">
        <f>MAX($C$7-VLOOKUP($C369,COS!$B$8:$H$991,3,FALSE),0)</f>
        <v>90140.421875</v>
      </c>
      <c r="X369" s="26">
        <f t="shared" si="562"/>
        <v>5542.5185020661156</v>
      </c>
      <c r="Y369" s="26">
        <f>VLOOKUP($C369,COS!$B$8:$H$991,4,FALSE)</f>
        <v>3366.373779296875</v>
      </c>
      <c r="Z369" s="26">
        <f t="shared" si="563"/>
        <v>206.99025552040288</v>
      </c>
      <c r="AA369" s="26">
        <f t="shared" ref="AA369:AA373" si="592">MIN(W369,Y369)</f>
        <v>3366.373779296875</v>
      </c>
      <c r="AB369" s="33">
        <f t="shared" ref="AB369" si="593">AA369*DAY($C369)*86400/43560/1000*IF(MONTH($C369)=8,$P$3,IF(MONTH($C369)=9,$P$4,IF(MONTH($C369)=10,$P$5,IF(MONTH($C369)=11,$P$6,IF(MONTH($C369)=12,$P$7,NA())))))</f>
        <v>206.99025552040288</v>
      </c>
    </row>
    <row r="370" spans="1:28" x14ac:dyDescent="0.3">
      <c r="A370" s="32">
        <f>VLOOKUP(YEAR(C370),Flags!$A$13:$B$95,2,FALSE)</f>
        <v>4</v>
      </c>
      <c r="B370" s="24">
        <f t="shared" si="535"/>
        <v>1961</v>
      </c>
      <c r="C370" s="25">
        <v>22554</v>
      </c>
      <c r="D370" s="26"/>
      <c r="E370" s="24"/>
      <c r="F370" s="26"/>
      <c r="G370" s="24"/>
      <c r="H370" s="24"/>
      <c r="I370" s="26"/>
      <c r="J370" s="24"/>
      <c r="K370" s="26">
        <f>VLOOKUP($C370,COS!$B$8:$H$991,2,FALSE)</f>
        <v>3030.294189453125</v>
      </c>
      <c r="L370" s="24">
        <f t="shared" ref="L370" si="594">IF(AND(K370&gt;$I$7,K370&lt;$I$8),1,0)</f>
        <v>1</v>
      </c>
      <c r="M370" s="24"/>
      <c r="N370" s="26"/>
      <c r="O370" s="26"/>
      <c r="P370" s="26"/>
      <c r="Q370" s="26"/>
      <c r="R370" s="26"/>
      <c r="S370" s="26"/>
      <c r="T370" s="26"/>
      <c r="U370" s="26"/>
      <c r="V370" s="26"/>
      <c r="W370" s="26">
        <f>MAX($C$8-VLOOKUP($C370,COS!$B$8:$H$991,3,FALSE),0)</f>
        <v>94542.38232421875</v>
      </c>
      <c r="X370" s="26">
        <f t="shared" si="562"/>
        <v>5625.6624192923546</v>
      </c>
      <c r="Y370" s="26">
        <f>VLOOKUP($C370,COS!$B$8:$H$991,4,FALSE)</f>
        <v>1068.3673095703125</v>
      </c>
      <c r="Z370" s="26">
        <f t="shared" si="563"/>
        <v>63.572269660382233</v>
      </c>
      <c r="AA370" s="26">
        <f t="shared" si="592"/>
        <v>1068.3673095703125</v>
      </c>
      <c r="AB370" s="33">
        <f t="shared" si="548"/>
        <v>63.572269660382233</v>
      </c>
    </row>
    <row r="371" spans="1:28" x14ac:dyDescent="0.3">
      <c r="A371" s="32">
        <f>VLOOKUP(YEAR(C371),Flags!$A$13:$B$95,2,FALSE)</f>
        <v>4</v>
      </c>
      <c r="B371" s="24">
        <f t="shared" si="535"/>
        <v>1961</v>
      </c>
      <c r="C371" s="25">
        <v>22585</v>
      </c>
      <c r="D371" s="26"/>
      <c r="E371" s="24"/>
      <c r="F371" s="26"/>
      <c r="G371" s="26"/>
      <c r="H371" s="26"/>
      <c r="I371" s="26"/>
      <c r="J371" s="26"/>
      <c r="K371" s="26"/>
      <c r="L371" s="24"/>
      <c r="M371" s="24"/>
      <c r="N371" s="26"/>
      <c r="O371" s="26"/>
      <c r="P371" s="26"/>
      <c r="Q371" s="26"/>
      <c r="R371" s="26"/>
      <c r="S371" s="26"/>
      <c r="T371" s="26"/>
      <c r="U371" s="26"/>
      <c r="V371" s="26"/>
      <c r="W371" s="26">
        <f>MAX($C$9-VLOOKUP($C371,COS!$B$8:$H$991,3,FALSE),0)</f>
        <v>92871.4130859375</v>
      </c>
      <c r="X371" s="26">
        <f t="shared" si="562"/>
        <v>5710.4406062758271</v>
      </c>
      <c r="Y371" s="26">
        <f>VLOOKUP($C371,COS!$B$8:$H$991,4,FALSE)</f>
        <v>2354.580322265625</v>
      </c>
      <c r="Z371" s="26">
        <f t="shared" si="563"/>
        <v>144.77750080707645</v>
      </c>
      <c r="AA371" s="26">
        <f t="shared" si="592"/>
        <v>2354.580322265625</v>
      </c>
      <c r="AB371" s="33">
        <f t="shared" si="548"/>
        <v>144.77750080707645</v>
      </c>
    </row>
    <row r="372" spans="1:28" x14ac:dyDescent="0.3">
      <c r="A372" s="32">
        <f>VLOOKUP(YEAR(C372),Flags!$A$13:$B$95,2,FALSE)</f>
        <v>4</v>
      </c>
      <c r="B372" s="24">
        <f t="shared" si="535"/>
        <v>1961</v>
      </c>
      <c r="C372" s="25">
        <v>22615</v>
      </c>
      <c r="D372" s="26"/>
      <c r="E372" s="24"/>
      <c r="F372" s="26"/>
      <c r="G372" s="26"/>
      <c r="H372" s="26"/>
      <c r="I372" s="26"/>
      <c r="J372" s="26"/>
      <c r="K372" s="26"/>
      <c r="L372" s="24"/>
      <c r="M372" s="24"/>
      <c r="N372" s="26"/>
      <c r="O372" s="26"/>
      <c r="P372" s="26"/>
      <c r="Q372" s="26"/>
      <c r="R372" s="26"/>
      <c r="S372" s="26"/>
      <c r="T372" s="26"/>
      <c r="U372" s="26"/>
      <c r="V372" s="26"/>
      <c r="W372" s="26">
        <f>MAX($C$10-VLOOKUP($C372,COS!$B$8:$H$991,3,FALSE),0)</f>
        <v>95558.98876953125</v>
      </c>
      <c r="X372" s="26">
        <f t="shared" si="562"/>
        <v>5686.1547036415295</v>
      </c>
      <c r="Y372" s="26">
        <f>VLOOKUP($C372,COS!$B$8:$H$991,4,FALSE)</f>
        <v>1388.96728515625</v>
      </c>
      <c r="Z372" s="26">
        <f t="shared" si="563"/>
        <v>82.649293001033058</v>
      </c>
      <c r="AA372" s="26">
        <f t="shared" si="592"/>
        <v>1388.96728515625</v>
      </c>
      <c r="AB372" s="33">
        <f t="shared" si="548"/>
        <v>82.649293001033058</v>
      </c>
    </row>
    <row r="373" spans="1:28" x14ac:dyDescent="0.3">
      <c r="A373" s="34">
        <f>VLOOKUP(YEAR(C373),Flags!$A$13:$B$95,2,FALSE)</f>
        <v>4</v>
      </c>
      <c r="B373" s="35">
        <f t="shared" si="535"/>
        <v>1961</v>
      </c>
      <c r="C373" s="36">
        <v>22646</v>
      </c>
      <c r="D373" s="37"/>
      <c r="E373" s="35"/>
      <c r="F373" s="37"/>
      <c r="G373" s="37"/>
      <c r="H373" s="37"/>
      <c r="I373" s="37"/>
      <c r="J373" s="37"/>
      <c r="K373" s="37"/>
      <c r="L373" s="35"/>
      <c r="M373" s="35"/>
      <c r="N373" s="37"/>
      <c r="O373" s="37"/>
      <c r="P373" s="37"/>
      <c r="Q373" s="37"/>
      <c r="R373" s="37"/>
      <c r="S373" s="37"/>
      <c r="T373" s="37"/>
      <c r="U373" s="37"/>
      <c r="V373" s="37"/>
      <c r="W373" s="37">
        <f>MAX($C$11-VLOOKUP($C373,COS!$B$8:$H$991,3,FALSE),0)</f>
        <v>96630.4296875</v>
      </c>
      <c r="X373" s="37">
        <f t="shared" si="562"/>
        <v>5941.5735278925613</v>
      </c>
      <c r="Y373" s="37">
        <f>VLOOKUP($C373,COS!$B$8:$H$991,4,FALSE)</f>
        <v>1553.054443359375</v>
      </c>
      <c r="Z373" s="37">
        <f t="shared" si="563"/>
        <v>95.493595525568182</v>
      </c>
      <c r="AA373" s="37">
        <f t="shared" si="592"/>
        <v>1553.054443359375</v>
      </c>
      <c r="AB373" s="38">
        <f t="shared" si="548"/>
        <v>95.493595525568182</v>
      </c>
    </row>
    <row r="374" spans="1:28" x14ac:dyDescent="0.3">
      <c r="A374" s="27">
        <f>VLOOKUP(YEAR(C374),Flags!$A$13:$B$95,2,FALSE)</f>
        <v>3</v>
      </c>
      <c r="B374" s="28">
        <f t="shared" si="535"/>
        <v>1962</v>
      </c>
      <c r="C374" s="29">
        <v>22766</v>
      </c>
      <c r="D374" s="30">
        <f>VLOOKUP($C374,COS!$B$8:$H$991,3,FALSE)</f>
        <v>3754.135009765625</v>
      </c>
      <c r="E374" s="28">
        <f>IF(D374&gt;=IF(MONTH($C374)=4,$C$3,IF(MONTH($C374)=5,$C$4,IF(MONTH($C374)=6,$C$5,IF(MONTH($C374)=7,$C$6,"ERROR")))),1,0)</f>
        <v>0</v>
      </c>
      <c r="F374" s="30">
        <f>VLOOKUP($C374,COS!$B$8:$H$991,7,FALSE)</f>
        <v>51.116634368896484</v>
      </c>
      <c r="G374" s="28">
        <f>IF(F374&lt;=IF(MONTH($C374)=4,$F$3,IF(MONTH($C374)=5,$F$4,IF(MONTH($C374)=6,$F$5,IF(MONTH($C374)=7,$F$6,"ERROR")))),1,0)</f>
        <v>1</v>
      </c>
      <c r="H374" s="30">
        <f>IF(J374=1,D374-$C$3,0)</f>
        <v>0</v>
      </c>
      <c r="I374" s="30">
        <f t="shared" si="558"/>
        <v>0</v>
      </c>
      <c r="J374" s="28">
        <f t="shared" ref="J374:J377" si="595">IF(AND(E374=1,G374=1),1,0)</f>
        <v>0</v>
      </c>
      <c r="K374" s="30">
        <f>VLOOKUP($C374,COS!$B$8:$H$991,2,FALSE)</f>
        <v>4552</v>
      </c>
      <c r="L374" s="28">
        <f t="shared" ref="L374" si="596">IF(K374&lt;=IF(MONTH($C374)=4,$I$3,IF(MONTH($C374)=5,$I$4,IF(MONTH($C374)=6,$I$5,IF(MONTH($C374)=7,$I$6,"ERROR")))),1,0)</f>
        <v>1</v>
      </c>
      <c r="M374" s="28">
        <f t="shared" ref="M374" si="597">VLOOKUP($A374,$L$3:$M$7,2,FALSE)</f>
        <v>0</v>
      </c>
      <c r="N374" s="30">
        <f>VLOOKUP($C374,COS!$B$8:$H$991,5,FALSE)</f>
        <v>412.55120849609375</v>
      </c>
      <c r="O374" s="30">
        <f t="shared" ref="O374:O377" si="598">N374*DAY($C374)*86400/43560/1000</f>
        <v>24.548501662577479</v>
      </c>
      <c r="P374" s="30">
        <f>VLOOKUP($C374,COS!$B$8:$H$991,6,FALSE)</f>
        <v>496.0894775390625</v>
      </c>
      <c r="Q374" s="30">
        <f t="shared" ref="Q374:Q377" si="599">P374*DAY($C374)*86400/43560/1000</f>
        <v>29.519373870092974</v>
      </c>
      <c r="R374" s="30">
        <f>MIN(IF(MONTH($C374)=4,$S$3,IF(MONTH($C374)=5,$S$4,IF(MONTH($C374)=6,$S$5,IF(MONTH($C374)=7,$S$6,"ERROR")))),MAX(VLOOKUP($C374,COS!$B$8:$K$991,10,FALSE)-IF(MONTH($C374)=4,$Y$3,IF(MONTH($C374)=5,$Y$4,IF(MONTH($C374)=6,$Y$5,IF(MONTH($C374)=7,$Y$6,"ERROR")))),0),MAX(VLOOKUP($C374,COS!$B$8:$K$991,9,FALSE)-IF(MONTH($C374)=4,$V$3,IF(MONTH($C374)=5,$V$4,IF(MONTH($C374)=6,$V$5,IF(MONTH($C374)=7,$V$6,"ERROR"))))-VLOOKUP($C374,COS!$B$8:$K$991,6,FALSE)/2,0))</f>
        <v>1500</v>
      </c>
      <c r="S374" s="30">
        <f t="shared" ref="S374:S377" si="600">R374*DAY($C374)*86400/43560/1000</f>
        <v>89.256198347107429</v>
      </c>
      <c r="T374" s="30">
        <f t="shared" ref="T374:T377" si="601">(O374+Q374)/2+S374</f>
        <v>116.29013611344266</v>
      </c>
      <c r="U374" s="30" t="str">
        <f>IF(VLOOKUP($C374,COS!$B$8:$I$991,8,FALSE)=1,"UWFE","IBU")</f>
        <v>UWFE</v>
      </c>
      <c r="V374" s="30">
        <f t="shared" ref="V374" si="602">MIN(IF(IF($AA$3=2,AND(E374=1,G374=1,L374=1,L379=1,M374=1,U374="IBU"),AND(E374=1,G374=1,L374=1,L379=1,M374=1)),T374,0),I374)</f>
        <v>0</v>
      </c>
      <c r="W374" s="30"/>
      <c r="X374" s="30"/>
      <c r="Y374" s="30"/>
      <c r="Z374" s="30"/>
      <c r="AA374" s="30"/>
      <c r="AB374" s="31"/>
    </row>
    <row r="375" spans="1:28" x14ac:dyDescent="0.3">
      <c r="A375" s="32">
        <f>VLOOKUP(YEAR(C375),Flags!$A$13:$B$95,2,FALSE)</f>
        <v>3</v>
      </c>
      <c r="B375" s="24">
        <f t="shared" si="535"/>
        <v>1962</v>
      </c>
      <c r="C375" s="25">
        <v>22797</v>
      </c>
      <c r="D375" s="26">
        <f>VLOOKUP($C375,COS!$B$8:$H$991,3,FALSE)</f>
        <v>8163.22021484375</v>
      </c>
      <c r="E375" s="24">
        <f>IF(D375&gt;=IF(MONTH($C375)=4,$C$3,IF(MONTH($C375)=5,$C$4,IF(MONTH($C375)=6,$C$5,IF(MONTH($C375)=7,$C$6,"ERROR")))),1,0)</f>
        <v>1</v>
      </c>
      <c r="F375" s="26">
        <f>VLOOKUP($C375,COS!$B$8:$H$991,7,FALSE)</f>
        <v>49.783451080322266</v>
      </c>
      <c r="G375" s="24">
        <f>IF(F375&lt;=IF(MONTH($C375)=4,$F$3,IF(MONTH($C375)=5,$F$4,IF(MONTH($C375)=6,$F$5,IF(MONTH($C375)=7,$F$6,"ERROR")))),1,0)</f>
        <v>1</v>
      </c>
      <c r="H375" s="26">
        <f>IF(J375=1,D375-$C$4,0)</f>
        <v>2163.22021484375</v>
      </c>
      <c r="I375" s="26">
        <f t="shared" si="558"/>
        <v>133.01122643336777</v>
      </c>
      <c r="J375" s="24">
        <f t="shared" si="595"/>
        <v>1</v>
      </c>
      <c r="K375" s="26">
        <f>VLOOKUP($C375,COS!$B$8:$H$991,2,FALSE)</f>
        <v>4418.89453125</v>
      </c>
      <c r="L375" s="24">
        <f t="shared" si="537"/>
        <v>1</v>
      </c>
      <c r="M375" s="24">
        <f t="shared" si="538"/>
        <v>0</v>
      </c>
      <c r="N375" s="26">
        <f>VLOOKUP($C375,COS!$B$8:$H$991,5,FALSE)</f>
        <v>657.1561279296875</v>
      </c>
      <c r="O375" s="26">
        <f t="shared" si="598"/>
        <v>40.406955304106404</v>
      </c>
      <c r="P375" s="26">
        <f>VLOOKUP($C375,COS!$B$8:$H$991,6,FALSE)</f>
        <v>2288.578369140625</v>
      </c>
      <c r="Q375" s="26">
        <f t="shared" si="599"/>
        <v>140.71919889591942</v>
      </c>
      <c r="R375" s="26">
        <f>MIN(IF(MONTH($C375)=4,$S$3,IF(MONTH($C375)=5,$S$4,IF(MONTH($C375)=6,$S$5,IF(MONTH($C375)=7,$S$6,"ERROR")))),MAX(VLOOKUP($C375,COS!$B$8:$K$991,10,FALSE)-IF(MONTH($C375)=4,$Y$3,IF(MONTH($C375)=5,$Y$4,IF(MONTH($C375)=6,$Y$5,IF(MONTH($C375)=7,$Y$6,"ERROR")))),0),MAX(VLOOKUP($C375,COS!$B$8:$K$991,9,FALSE)-IF(MONTH($C375)=4,$V$3,IF(MONTH($C375)=5,$V$4,IF(MONTH($C375)=6,$V$5,IF(MONTH($C375)=7,$V$6,"ERROR"))))-VLOOKUP($C375,COS!$B$8:$K$991,6,FALSE)/2,0))</f>
        <v>1500</v>
      </c>
      <c r="S375" s="26">
        <f t="shared" si="600"/>
        <v>92.231404958677686</v>
      </c>
      <c r="T375" s="26">
        <f t="shared" si="601"/>
        <v>182.79448205869062</v>
      </c>
      <c r="U375" s="26" t="str">
        <f>IF(VLOOKUP($C375,COS!$B$8:$I$991,8,FALSE)=1,"UWFE","IBU")</f>
        <v>UWFE</v>
      </c>
      <c r="V375" s="26">
        <f t="shared" ref="V375" si="603">MIN(IF(IF($AA$3=2,AND(E375=1,G375=1,L375=1,L379=1,M375=1,U375="IBU"),AND(E375=1,G375=1,L375=1,L379=1,M375=1)),T375,0),I375)</f>
        <v>0</v>
      </c>
      <c r="W375" s="26"/>
      <c r="X375" s="26"/>
      <c r="Y375" s="26"/>
      <c r="Z375" s="26"/>
      <c r="AA375" s="26"/>
      <c r="AB375" s="33"/>
    </row>
    <row r="376" spans="1:28" x14ac:dyDescent="0.3">
      <c r="A376" s="32">
        <f>VLOOKUP(YEAR(C376),Flags!$A$13:$B$95,2,FALSE)</f>
        <v>3</v>
      </c>
      <c r="B376" s="24">
        <f t="shared" si="535"/>
        <v>1962</v>
      </c>
      <c r="C376" s="25">
        <v>22827</v>
      </c>
      <c r="D376" s="26">
        <f>VLOOKUP($C376,COS!$B$8:$H$991,3,FALSE)</f>
        <v>9541.0107421875</v>
      </c>
      <c r="E376" s="24">
        <f>IF(D376&gt;=IF(MONTH($C376)=4,$C$3,IF(MONTH($C376)=5,$C$4,IF(MONTH($C376)=6,$C$5,IF(MONTH($C376)=7,$C$6,"ERROR")))),1,0)</f>
        <v>0</v>
      </c>
      <c r="F376" s="26">
        <f>VLOOKUP($C376,COS!$B$8:$H$991,7,FALSE)</f>
        <v>50.677501678466797</v>
      </c>
      <c r="G376" s="24">
        <f>IF(F376&lt;=IF(MONTH($C376)=4,$F$3,IF(MONTH($C376)=5,$F$4,IF(MONTH($C376)=6,$F$5,IF(MONTH($C376)=7,$F$6,"ERROR")))),1,0)</f>
        <v>1</v>
      </c>
      <c r="H376" s="26">
        <f>IF(J376=1,D376-$C$5,0)</f>
        <v>0</v>
      </c>
      <c r="I376" s="26">
        <f t="shared" si="558"/>
        <v>0</v>
      </c>
      <c r="J376" s="24">
        <f t="shared" si="595"/>
        <v>0</v>
      </c>
      <c r="K376" s="26">
        <f>VLOOKUP($C376,COS!$B$8:$H$991,2,FALSE)</f>
        <v>4081.933837890625</v>
      </c>
      <c r="L376" s="24">
        <f t="shared" si="537"/>
        <v>1</v>
      </c>
      <c r="M376" s="24">
        <f t="shared" si="538"/>
        <v>0</v>
      </c>
      <c r="N376" s="26">
        <f>VLOOKUP($C376,COS!$B$8:$H$991,5,FALSE)</f>
        <v>805.975830078125</v>
      </c>
      <c r="O376" s="26">
        <f t="shared" si="598"/>
        <v>47.95889236828512</v>
      </c>
      <c r="P376" s="26">
        <f>VLOOKUP($C376,COS!$B$8:$H$991,6,FALSE)</f>
        <v>2523.65283203125</v>
      </c>
      <c r="Q376" s="26">
        <f t="shared" si="599"/>
        <v>150.1677718233471</v>
      </c>
      <c r="R376" s="26">
        <f>MIN(IF(MONTH($C376)=4,$S$3,IF(MONTH($C376)=5,$S$4,IF(MONTH($C376)=6,$S$5,IF(MONTH($C376)=7,$S$6,"ERROR")))),MAX(VLOOKUP($C376,COS!$B$8:$K$991,10,FALSE)-IF(MONTH($C376)=4,$Y$3,IF(MONTH($C376)=5,$Y$4,IF(MONTH($C376)=6,$Y$5,IF(MONTH($C376)=7,$Y$6,"ERROR")))),0),MAX(VLOOKUP($C376,COS!$B$8:$K$991,9,FALSE)-IF(MONTH($C376)=4,$V$3,IF(MONTH($C376)=5,$V$4,IF(MONTH($C376)=6,$V$5,IF(MONTH($C376)=7,$V$6,"ERROR"))))-VLOOKUP($C376,COS!$B$8:$K$991,6,FALSE)/2,0))</f>
        <v>1500</v>
      </c>
      <c r="S376" s="26">
        <f t="shared" si="600"/>
        <v>89.256198347107429</v>
      </c>
      <c r="T376" s="26">
        <f t="shared" si="601"/>
        <v>188.31953044292354</v>
      </c>
      <c r="U376" s="26" t="str">
        <f>IF(VLOOKUP($C376,COS!$B$8:$I$991,8,FALSE)=1,"UWFE","IBU")</f>
        <v>IBU</v>
      </c>
      <c r="V376" s="26">
        <f t="shared" ref="V376" si="604">MIN(IF(IF($AA$3=2,AND(E376=1,G376=1,L376=1,L379=1,M376=1,U376="IBU"),AND(E376=1,G376=1,L376=1,L379=1,M376=1)),T376,0),I376)</f>
        <v>0</v>
      </c>
      <c r="W376" s="26"/>
      <c r="X376" s="26"/>
      <c r="Y376" s="26"/>
      <c r="Z376" s="26"/>
      <c r="AA376" s="26"/>
      <c r="AB376" s="33"/>
    </row>
    <row r="377" spans="1:28" x14ac:dyDescent="0.3">
      <c r="A377" s="32">
        <f>VLOOKUP(YEAR(C377),Flags!$A$13:$B$95,2,FALSE)</f>
        <v>3</v>
      </c>
      <c r="B377" s="24">
        <f t="shared" si="535"/>
        <v>1962</v>
      </c>
      <c r="C377" s="25">
        <v>22858</v>
      </c>
      <c r="D377" s="26">
        <f>VLOOKUP($C377,COS!$B$8:$H$991,3,FALSE)</f>
        <v>15542.783203125</v>
      </c>
      <c r="E377" s="24">
        <f>IF(D377&gt;=IF(MONTH($C377)=4,$C$3,IF(MONTH($C377)=5,$C$4,IF(MONTH($C377)=6,$C$5,IF(MONTH($C377)=7,$C$6,"ERROR")))),1,0)</f>
        <v>1</v>
      </c>
      <c r="F377" s="26">
        <f>VLOOKUP($C377,COS!$B$8:$H$991,7,FALSE)</f>
        <v>50.507843017578125</v>
      </c>
      <c r="G377" s="24">
        <f>IF(F377&lt;=IF(MONTH($C377)=4,$F$3,IF(MONTH($C377)=5,$F$4,IF(MONTH($C377)=6,$F$5,IF(MONTH($C377)=7,$F$6,"ERROR")))),1,0)</f>
        <v>1</v>
      </c>
      <c r="H377" s="26">
        <f>IF(J377=1,D377-$C$6,0)</f>
        <v>3542.783203125</v>
      </c>
      <c r="I377" s="26">
        <f t="shared" si="558"/>
        <v>217.83724819214873</v>
      </c>
      <c r="J377" s="24">
        <f t="shared" si="595"/>
        <v>1</v>
      </c>
      <c r="K377" s="26">
        <f>VLOOKUP($C377,COS!$B$8:$H$991,2,FALSE)</f>
        <v>3381.171142578125</v>
      </c>
      <c r="L377" s="24">
        <f t="shared" si="537"/>
        <v>1</v>
      </c>
      <c r="M377" s="24">
        <f t="shared" si="538"/>
        <v>0</v>
      </c>
      <c r="N377" s="26">
        <f>VLOOKUP($C377,COS!$B$8:$H$991,5,FALSE)</f>
        <v>930.34075927734375</v>
      </c>
      <c r="O377" s="26">
        <f t="shared" si="598"/>
        <v>57.20442354564824</v>
      </c>
      <c r="P377" s="26">
        <f>VLOOKUP($C377,COS!$B$8:$H$991,6,FALSE)</f>
        <v>2537.385498046875</v>
      </c>
      <c r="Q377" s="26">
        <f t="shared" si="599"/>
        <v>156.01775293775825</v>
      </c>
      <c r="R377" s="26">
        <f>MIN(IF(MONTH($C377)=4,$S$3,IF(MONTH($C377)=5,$S$4,IF(MONTH($C377)=6,$S$5,IF(MONTH($C377)=7,$S$6,"ERROR")))),MAX(VLOOKUP($C377,COS!$B$8:$K$991,10,FALSE)-IF(MONTH($C377)=4,$Y$3,IF(MONTH($C377)=5,$Y$4,IF(MONTH($C377)=6,$Y$5,IF(MONTH($C377)=7,$Y$6,"ERROR")))),0),MAX(VLOOKUP($C377,COS!$B$8:$K$991,9,FALSE)-IF(MONTH($C377)=4,$V$3,IF(MONTH($C377)=5,$V$4,IF(MONTH($C377)=6,$V$5,IF(MONTH($C377)=7,$V$6,"ERROR"))))-VLOOKUP($C377,COS!$B$8:$K$991,6,FALSE)/2,0))</f>
        <v>1500</v>
      </c>
      <c r="S377" s="26">
        <f t="shared" si="600"/>
        <v>92.231404958677686</v>
      </c>
      <c r="T377" s="26">
        <f t="shared" si="601"/>
        <v>198.84249320038094</v>
      </c>
      <c r="U377" s="26" t="str">
        <f>IF(VLOOKUP($C377,COS!$B$8:$I$991,8,FALSE)=1,"UWFE","IBU")</f>
        <v>IBU</v>
      </c>
      <c r="V377" s="26">
        <f t="shared" ref="V377" si="605">MIN(IF(IF($AA$3=2,AND(E377=1,G377=1,L377=1,L379=1,M377=1,U377="IBU"),AND(E377=1,G377=1,L377=1,L379=1,M377=1)),T377,0),I377)</f>
        <v>0</v>
      </c>
      <c r="W377" s="26"/>
      <c r="X377" s="26"/>
      <c r="Y377" s="26"/>
      <c r="Z377" s="26"/>
      <c r="AA377" s="26"/>
      <c r="AB377" s="33"/>
    </row>
    <row r="378" spans="1:28" x14ac:dyDescent="0.3">
      <c r="A378" s="32">
        <f>VLOOKUP(YEAR(C378),Flags!$A$13:$B$95,2,FALSE)</f>
        <v>3</v>
      </c>
      <c r="B378" s="24">
        <f t="shared" si="535"/>
        <v>1962</v>
      </c>
      <c r="C378" s="25">
        <v>22889</v>
      </c>
      <c r="D378" s="26"/>
      <c r="E378" s="24"/>
      <c r="F378" s="26"/>
      <c r="G378" s="24"/>
      <c r="H378" s="24"/>
      <c r="I378" s="26"/>
      <c r="J378" s="24"/>
      <c r="K378" s="26"/>
      <c r="L378" s="24"/>
      <c r="M378" s="24"/>
      <c r="N378" s="26"/>
      <c r="O378" s="26"/>
      <c r="P378" s="26"/>
      <c r="Q378" s="26"/>
      <c r="R378" s="26"/>
      <c r="S378" s="26"/>
      <c r="T378" s="26"/>
      <c r="U378" s="26"/>
      <c r="V378" s="26"/>
      <c r="W378" s="26">
        <f>MAX($C$7-VLOOKUP($C378,COS!$B$8:$H$991,3,FALSE),0)</f>
        <v>90501.505859375</v>
      </c>
      <c r="X378" s="26">
        <f t="shared" si="562"/>
        <v>5564.7206908574381</v>
      </c>
      <c r="Y378" s="26">
        <f>VLOOKUP($C378,COS!$B$8:$H$991,4,FALSE)</f>
        <v>326.0140380859375</v>
      </c>
      <c r="Z378" s="26">
        <f t="shared" si="563"/>
        <v>20.045821845945248</v>
      </c>
      <c r="AA378" s="26">
        <f t="shared" ref="AA378:AA382" si="606">MIN(W378,Y378)</f>
        <v>326.0140380859375</v>
      </c>
      <c r="AB378" s="33">
        <f t="shared" ref="AB378" si="607">AA378*DAY($C378)*86400/43560/1000*IF(MONTH($C378)=8,$P$3,IF(MONTH($C378)=9,$P$4,IF(MONTH($C378)=10,$P$5,IF(MONTH($C378)=11,$P$6,IF(MONTH($C378)=12,$P$7,NA())))))</f>
        <v>20.045821845945248</v>
      </c>
    </row>
    <row r="379" spans="1:28" x14ac:dyDescent="0.3">
      <c r="A379" s="32">
        <f>VLOOKUP(YEAR(C379),Flags!$A$13:$B$95,2,FALSE)</f>
        <v>3</v>
      </c>
      <c r="B379" s="24">
        <f t="shared" si="535"/>
        <v>1962</v>
      </c>
      <c r="C379" s="25">
        <v>22919</v>
      </c>
      <c r="D379" s="26"/>
      <c r="E379" s="24"/>
      <c r="F379" s="26"/>
      <c r="G379" s="24"/>
      <c r="H379" s="24"/>
      <c r="I379" s="26"/>
      <c r="J379" s="24"/>
      <c r="K379" s="26">
        <f>VLOOKUP($C379,COS!$B$8:$H$991,2,FALSE)</f>
        <v>3012.717529296875</v>
      </c>
      <c r="L379" s="24">
        <f t="shared" ref="L379" si="608">IF(AND(K379&gt;$I$7,K379&lt;$I$8),1,0)</f>
        <v>1</v>
      </c>
      <c r="M379" s="24"/>
      <c r="N379" s="26"/>
      <c r="O379" s="26"/>
      <c r="P379" s="26"/>
      <c r="Q379" s="26"/>
      <c r="R379" s="26"/>
      <c r="S379" s="26"/>
      <c r="T379" s="26"/>
      <c r="U379" s="26"/>
      <c r="V379" s="26"/>
      <c r="W379" s="26">
        <f>MAX($C$8-VLOOKUP($C379,COS!$B$8:$H$991,3,FALSE),0)</f>
        <v>94563.63525390625</v>
      </c>
      <c r="X379" s="26">
        <f t="shared" si="562"/>
        <v>5626.9270564307853</v>
      </c>
      <c r="Y379" s="26">
        <f>VLOOKUP($C379,COS!$B$8:$H$991,4,FALSE)</f>
        <v>0</v>
      </c>
      <c r="Z379" s="26">
        <f t="shared" si="563"/>
        <v>0</v>
      </c>
      <c r="AA379" s="26">
        <f t="shared" si="606"/>
        <v>0</v>
      </c>
      <c r="AB379" s="33">
        <f t="shared" si="548"/>
        <v>0</v>
      </c>
    </row>
    <row r="380" spans="1:28" x14ac:dyDescent="0.3">
      <c r="A380" s="32">
        <f>VLOOKUP(YEAR(C380),Flags!$A$13:$B$95,2,FALSE)</f>
        <v>3</v>
      </c>
      <c r="B380" s="24">
        <f t="shared" si="535"/>
        <v>1962</v>
      </c>
      <c r="C380" s="25">
        <v>22950</v>
      </c>
      <c r="D380" s="26"/>
      <c r="E380" s="24"/>
      <c r="F380" s="26"/>
      <c r="G380" s="26"/>
      <c r="H380" s="26"/>
      <c r="I380" s="26"/>
      <c r="J380" s="26"/>
      <c r="K380" s="26"/>
      <c r="L380" s="24"/>
      <c r="M380" s="24"/>
      <c r="N380" s="26"/>
      <c r="O380" s="26"/>
      <c r="P380" s="26"/>
      <c r="Q380" s="26"/>
      <c r="R380" s="26"/>
      <c r="S380" s="26"/>
      <c r="T380" s="26"/>
      <c r="U380" s="26"/>
      <c r="V380" s="26"/>
      <c r="W380" s="26">
        <f>MAX($C$9-VLOOKUP($C380,COS!$B$8:$H$991,3,FALSE),0)</f>
        <v>91099.30859375</v>
      </c>
      <c r="X380" s="26">
        <f t="shared" si="562"/>
        <v>5601.478148243802</v>
      </c>
      <c r="Y380" s="26">
        <f>VLOOKUP($C380,COS!$B$8:$H$991,4,FALSE)</f>
        <v>0</v>
      </c>
      <c r="Z380" s="26">
        <f t="shared" si="563"/>
        <v>0</v>
      </c>
      <c r="AA380" s="26">
        <f t="shared" si="606"/>
        <v>0</v>
      </c>
      <c r="AB380" s="33">
        <f t="shared" si="548"/>
        <v>0</v>
      </c>
    </row>
    <row r="381" spans="1:28" x14ac:dyDescent="0.3">
      <c r="A381" s="32">
        <f>VLOOKUP(YEAR(C381),Flags!$A$13:$B$95,2,FALSE)</f>
        <v>3</v>
      </c>
      <c r="B381" s="24">
        <f t="shared" si="535"/>
        <v>1962</v>
      </c>
      <c r="C381" s="25">
        <v>22980</v>
      </c>
      <c r="D381" s="26"/>
      <c r="E381" s="24"/>
      <c r="F381" s="26"/>
      <c r="G381" s="26"/>
      <c r="H381" s="26"/>
      <c r="I381" s="26"/>
      <c r="J381" s="26"/>
      <c r="K381" s="26"/>
      <c r="L381" s="24"/>
      <c r="M381" s="24"/>
      <c r="N381" s="26"/>
      <c r="O381" s="26"/>
      <c r="P381" s="26"/>
      <c r="Q381" s="26"/>
      <c r="R381" s="26"/>
      <c r="S381" s="26"/>
      <c r="T381" s="26"/>
      <c r="U381" s="26"/>
      <c r="V381" s="26"/>
      <c r="W381" s="26">
        <f>MAX($C$10-VLOOKUP($C381,COS!$B$8:$H$991,3,FALSE),0)</f>
        <v>94435.6953125</v>
      </c>
      <c r="X381" s="26">
        <f t="shared" si="562"/>
        <v>5619.3141012396691</v>
      </c>
      <c r="Y381" s="26">
        <f>VLOOKUP($C381,COS!$B$8:$H$991,4,FALSE)</f>
        <v>0</v>
      </c>
      <c r="Z381" s="26">
        <f t="shared" si="563"/>
        <v>0</v>
      </c>
      <c r="AA381" s="26">
        <f t="shared" si="606"/>
        <v>0</v>
      </c>
      <c r="AB381" s="33">
        <f t="shared" si="548"/>
        <v>0</v>
      </c>
    </row>
    <row r="382" spans="1:28" x14ac:dyDescent="0.3">
      <c r="A382" s="34">
        <f>VLOOKUP(YEAR(C382),Flags!$A$13:$B$95,2,FALSE)</f>
        <v>3</v>
      </c>
      <c r="B382" s="35">
        <f t="shared" si="535"/>
        <v>1962</v>
      </c>
      <c r="C382" s="36">
        <v>23011</v>
      </c>
      <c r="D382" s="37"/>
      <c r="E382" s="35"/>
      <c r="F382" s="37"/>
      <c r="G382" s="37"/>
      <c r="H382" s="37"/>
      <c r="I382" s="37"/>
      <c r="J382" s="37"/>
      <c r="K382" s="37"/>
      <c r="L382" s="35"/>
      <c r="M382" s="35"/>
      <c r="N382" s="37"/>
      <c r="O382" s="37"/>
      <c r="P382" s="37"/>
      <c r="Q382" s="37"/>
      <c r="R382" s="37"/>
      <c r="S382" s="37"/>
      <c r="T382" s="37"/>
      <c r="U382" s="37"/>
      <c r="V382" s="37"/>
      <c r="W382" s="37">
        <f>MAX($C$11-VLOOKUP($C382,COS!$B$8:$H$991,3,FALSE),0)</f>
        <v>90906.0537109375</v>
      </c>
      <c r="X382" s="37">
        <f t="shared" si="562"/>
        <v>5589.5953686725206</v>
      </c>
      <c r="Y382" s="37">
        <f>VLOOKUP($C382,COS!$B$8:$H$991,4,FALSE)</f>
        <v>0</v>
      </c>
      <c r="Z382" s="37">
        <f t="shared" si="563"/>
        <v>0</v>
      </c>
      <c r="AA382" s="37">
        <f t="shared" si="606"/>
        <v>0</v>
      </c>
      <c r="AB382" s="38">
        <f t="shared" si="548"/>
        <v>0</v>
      </c>
    </row>
    <row r="383" spans="1:28" x14ac:dyDescent="0.3">
      <c r="A383" s="27">
        <f>VLOOKUP(YEAR(C383),Flags!$A$13:$B$95,2,FALSE)</f>
        <v>1</v>
      </c>
      <c r="B383" s="28">
        <f t="shared" si="535"/>
        <v>1963</v>
      </c>
      <c r="C383" s="29">
        <v>23131</v>
      </c>
      <c r="D383" s="30">
        <f>VLOOKUP($C383,COS!$B$8:$H$991,3,FALSE)</f>
        <v>30893.44921875</v>
      </c>
      <c r="E383" s="28">
        <f>IF(D383&gt;=IF(MONTH($C383)=4,$C$3,IF(MONTH($C383)=5,$C$4,IF(MONTH($C383)=6,$C$5,IF(MONTH($C383)=7,$C$6,"ERROR")))),1,0)</f>
        <v>1</v>
      </c>
      <c r="F383" s="30">
        <f>VLOOKUP($C383,COS!$B$8:$H$991,7,FALSE)</f>
        <v>48.021064758300781</v>
      </c>
      <c r="G383" s="28">
        <f>IF(F383&lt;=IF(MONTH($C383)=4,$F$3,IF(MONTH($C383)=5,$F$4,IF(MONTH($C383)=6,$F$5,IF(MONTH($C383)=7,$F$6,"ERROR")))),1,0)</f>
        <v>1</v>
      </c>
      <c r="H383" s="30">
        <f>IF(J383=1,D383-$C$3,0)</f>
        <v>24893.44921875</v>
      </c>
      <c r="I383" s="30">
        <f t="shared" si="558"/>
        <v>1481.2630940082643</v>
      </c>
      <c r="J383" s="28">
        <f t="shared" ref="J383:J386" si="609">IF(AND(E383=1,G383=1),1,0)</f>
        <v>1</v>
      </c>
      <c r="K383" s="30">
        <f>VLOOKUP($C383,COS!$B$8:$H$991,2,FALSE)</f>
        <v>4137</v>
      </c>
      <c r="L383" s="28">
        <f t="shared" ref="L383" si="610">IF(K383&lt;=IF(MONTH($C383)=4,$I$3,IF(MONTH($C383)=5,$I$4,IF(MONTH($C383)=6,$I$5,IF(MONTH($C383)=7,$I$6,"ERROR")))),1,0)</f>
        <v>1</v>
      </c>
      <c r="M383" s="28">
        <f t="shared" ref="M383" si="611">VLOOKUP($A383,$L$3:$M$7,2,FALSE)</f>
        <v>0</v>
      </c>
      <c r="N383" s="30">
        <f>VLOOKUP($C383,COS!$B$8:$H$991,5,FALSE)</f>
        <v>15.700532913208008</v>
      </c>
      <c r="O383" s="30">
        <f t="shared" ref="O383:O386" si="612">N383*DAY($C383)*86400/43560/1000</f>
        <v>0.93424658657105497</v>
      </c>
      <c r="P383" s="30">
        <f>VLOOKUP($C383,COS!$B$8:$H$991,6,FALSE)</f>
        <v>254.50013732910156</v>
      </c>
      <c r="Q383" s="30">
        <f t="shared" ref="Q383:Q386" si="613">P383*DAY($C383)*86400/43560/1000</f>
        <v>15.143809824541581</v>
      </c>
      <c r="R383" s="30">
        <f>MIN(IF(MONTH($C383)=4,$S$3,IF(MONTH($C383)=5,$S$4,IF(MONTH($C383)=6,$S$5,IF(MONTH($C383)=7,$S$6,"ERROR")))),MAX(VLOOKUP($C383,COS!$B$8:$K$991,10,FALSE)-IF(MONTH($C383)=4,$Y$3,IF(MONTH($C383)=5,$Y$4,IF(MONTH($C383)=6,$Y$5,IF(MONTH($C383)=7,$Y$6,"ERROR")))),0),MAX(VLOOKUP($C383,COS!$B$8:$K$991,9,FALSE)-IF(MONTH($C383)=4,$V$3,IF(MONTH($C383)=5,$V$4,IF(MONTH($C383)=6,$V$5,IF(MONTH($C383)=7,$V$6,"ERROR"))))-VLOOKUP($C383,COS!$B$8:$K$991,6,FALSE)/2,0))</f>
        <v>1500</v>
      </c>
      <c r="S383" s="30">
        <f t="shared" ref="S383:S386" si="614">R383*DAY($C383)*86400/43560/1000</f>
        <v>89.256198347107429</v>
      </c>
      <c r="T383" s="30">
        <f t="shared" ref="T383:T386" si="615">(O383+Q383)/2+S383</f>
        <v>97.295226552663749</v>
      </c>
      <c r="U383" s="30" t="str">
        <f>IF(VLOOKUP($C383,COS!$B$8:$I$991,8,FALSE)=1,"UWFE","IBU")</f>
        <v>UWFE</v>
      </c>
      <c r="V383" s="30">
        <f t="shared" ref="V383" si="616">MIN(IF(IF($AA$3=2,AND(E383=1,G383=1,L383=1,L388=1,M383=1,U383="IBU"),AND(E383=1,G383=1,L383=1,L388=1,M383=1)),T383,0),I383)</f>
        <v>0</v>
      </c>
      <c r="W383" s="30"/>
      <c r="X383" s="30"/>
      <c r="Y383" s="30"/>
      <c r="Z383" s="30"/>
      <c r="AA383" s="30"/>
      <c r="AB383" s="31"/>
    </row>
    <row r="384" spans="1:28" x14ac:dyDescent="0.3">
      <c r="A384" s="32">
        <f>VLOOKUP(YEAR(C384),Flags!$A$13:$B$95,2,FALSE)</f>
        <v>1</v>
      </c>
      <c r="B384" s="24">
        <f t="shared" si="535"/>
        <v>1963</v>
      </c>
      <c r="C384" s="25">
        <v>23162</v>
      </c>
      <c r="D384" s="26">
        <f>VLOOKUP($C384,COS!$B$8:$H$991,3,FALSE)</f>
        <v>4724.07177734375</v>
      </c>
      <c r="E384" s="24">
        <f>IF(D384&gt;=IF(MONTH($C384)=4,$C$3,IF(MONTH($C384)=5,$C$4,IF(MONTH($C384)=6,$C$5,IF(MONTH($C384)=7,$C$6,"ERROR")))),1,0)</f>
        <v>0</v>
      </c>
      <c r="F384" s="26">
        <f>VLOOKUP($C384,COS!$B$8:$H$991,7,FALSE)</f>
        <v>52.657608032226563</v>
      </c>
      <c r="G384" s="24">
        <f>IF(F384&lt;=IF(MONTH($C384)=4,$F$3,IF(MONTH($C384)=5,$F$4,IF(MONTH($C384)=6,$F$5,IF(MONTH($C384)=7,$F$6,"ERROR")))),1,0)</f>
        <v>1</v>
      </c>
      <c r="H384" s="26">
        <f>IF(J384=1,D384-$C$4,0)</f>
        <v>0</v>
      </c>
      <c r="I384" s="26">
        <f t="shared" si="558"/>
        <v>0</v>
      </c>
      <c r="J384" s="24">
        <f t="shared" si="609"/>
        <v>0</v>
      </c>
      <c r="K384" s="26">
        <f>VLOOKUP($C384,COS!$B$8:$H$991,2,FALSE)</f>
        <v>4552</v>
      </c>
      <c r="L384" s="24">
        <f t="shared" si="537"/>
        <v>1</v>
      </c>
      <c r="M384" s="24">
        <f t="shared" si="538"/>
        <v>0</v>
      </c>
      <c r="N384" s="26">
        <f>VLOOKUP($C384,COS!$B$8:$H$991,5,FALSE)</f>
        <v>528.83221435546875</v>
      </c>
      <c r="O384" s="26">
        <f t="shared" si="612"/>
        <v>32.516625411608985</v>
      </c>
      <c r="P384" s="26">
        <f>VLOOKUP($C384,COS!$B$8:$H$991,6,FALSE)</f>
        <v>2086.376220703125</v>
      </c>
      <c r="Q384" s="26">
        <f t="shared" si="613"/>
        <v>128.28627340521695</v>
      </c>
      <c r="R384" s="26">
        <f>MIN(IF(MONTH($C384)=4,$S$3,IF(MONTH($C384)=5,$S$4,IF(MONTH($C384)=6,$S$5,IF(MONTH($C384)=7,$S$6,"ERROR")))),MAX(VLOOKUP($C384,COS!$B$8:$K$991,10,FALSE)-IF(MONTH($C384)=4,$Y$3,IF(MONTH($C384)=5,$Y$4,IF(MONTH($C384)=6,$Y$5,IF(MONTH($C384)=7,$Y$6,"ERROR")))),0),MAX(VLOOKUP($C384,COS!$B$8:$K$991,9,FALSE)-IF(MONTH($C384)=4,$V$3,IF(MONTH($C384)=5,$V$4,IF(MONTH($C384)=6,$V$5,IF(MONTH($C384)=7,$V$6,"ERROR"))))-VLOOKUP($C384,COS!$B$8:$K$991,6,FALSE)/2,0))</f>
        <v>1500</v>
      </c>
      <c r="S384" s="26">
        <f t="shared" si="614"/>
        <v>92.231404958677686</v>
      </c>
      <c r="T384" s="26">
        <f t="shared" si="615"/>
        <v>172.63285436709066</v>
      </c>
      <c r="U384" s="26" t="str">
        <f>IF(VLOOKUP($C384,COS!$B$8:$I$991,8,FALSE)=1,"UWFE","IBU")</f>
        <v>UWFE</v>
      </c>
      <c r="V384" s="26">
        <f t="shared" ref="V384" si="617">MIN(IF(IF($AA$3=2,AND(E384=1,G384=1,L384=1,L388=1,M384=1,U384="IBU"),AND(E384=1,G384=1,L384=1,L388=1,M384=1)),T384,0),I384)</f>
        <v>0</v>
      </c>
      <c r="W384" s="26"/>
      <c r="X384" s="26"/>
      <c r="Y384" s="26"/>
      <c r="Z384" s="26"/>
      <c r="AA384" s="26"/>
      <c r="AB384" s="33"/>
    </row>
    <row r="385" spans="1:28" x14ac:dyDescent="0.3">
      <c r="A385" s="32">
        <f>VLOOKUP(YEAR(C385),Flags!$A$13:$B$95,2,FALSE)</f>
        <v>1</v>
      </c>
      <c r="B385" s="24">
        <f t="shared" si="535"/>
        <v>1963</v>
      </c>
      <c r="C385" s="25">
        <v>23192</v>
      </c>
      <c r="D385" s="26">
        <f>VLOOKUP($C385,COS!$B$8:$H$991,3,FALSE)</f>
        <v>8594.71875</v>
      </c>
      <c r="E385" s="24">
        <f>IF(D385&gt;=IF(MONTH($C385)=4,$C$3,IF(MONTH($C385)=5,$C$4,IF(MONTH($C385)=6,$C$5,IF(MONTH($C385)=7,$C$6,"ERROR")))),1,0)</f>
        <v>0</v>
      </c>
      <c r="F385" s="26">
        <f>VLOOKUP($C385,COS!$B$8:$H$991,7,FALSE)</f>
        <v>52.543663024902344</v>
      </c>
      <c r="G385" s="24">
        <f>IF(F385&lt;=IF(MONTH($C385)=4,$F$3,IF(MONTH($C385)=5,$F$4,IF(MONTH($C385)=6,$F$5,IF(MONTH($C385)=7,$F$6,"ERROR")))),1,0)</f>
        <v>1</v>
      </c>
      <c r="H385" s="26">
        <f>IF(J385=1,D385-$C$5,0)</f>
        <v>0</v>
      </c>
      <c r="I385" s="26">
        <f t="shared" si="558"/>
        <v>0</v>
      </c>
      <c r="J385" s="24">
        <f t="shared" si="609"/>
        <v>0</v>
      </c>
      <c r="K385" s="26">
        <f>VLOOKUP($C385,COS!$B$8:$H$991,2,FALSE)</f>
        <v>4318.48828125</v>
      </c>
      <c r="L385" s="24">
        <f t="shared" si="537"/>
        <v>1</v>
      </c>
      <c r="M385" s="24">
        <f t="shared" si="538"/>
        <v>0</v>
      </c>
      <c r="N385" s="26">
        <f>VLOOKUP($C385,COS!$B$8:$H$991,5,FALSE)</f>
        <v>1228.4559326171875</v>
      </c>
      <c r="O385" s="26">
        <f t="shared" si="612"/>
        <v>73.098204254907031</v>
      </c>
      <c r="P385" s="26">
        <f>VLOOKUP($C385,COS!$B$8:$H$991,6,FALSE)</f>
        <v>2324.6142578125</v>
      </c>
      <c r="Q385" s="26">
        <f t="shared" si="613"/>
        <v>138.3241541838843</v>
      </c>
      <c r="R385" s="26">
        <f>MIN(IF(MONTH($C385)=4,$S$3,IF(MONTH($C385)=5,$S$4,IF(MONTH($C385)=6,$S$5,IF(MONTH($C385)=7,$S$6,"ERROR")))),MAX(VLOOKUP($C385,COS!$B$8:$K$991,10,FALSE)-IF(MONTH($C385)=4,$Y$3,IF(MONTH($C385)=5,$Y$4,IF(MONTH($C385)=6,$Y$5,IF(MONTH($C385)=7,$Y$6,"ERROR")))),0),MAX(VLOOKUP($C385,COS!$B$8:$K$991,9,FALSE)-IF(MONTH($C385)=4,$V$3,IF(MONTH($C385)=5,$V$4,IF(MONTH($C385)=6,$V$5,IF(MONTH($C385)=7,$V$6,"ERROR"))))-VLOOKUP($C385,COS!$B$8:$K$991,6,FALSE)/2,0))</f>
        <v>1500</v>
      </c>
      <c r="S385" s="26">
        <f t="shared" si="614"/>
        <v>89.256198347107429</v>
      </c>
      <c r="T385" s="26">
        <f t="shared" si="615"/>
        <v>194.9673775665031</v>
      </c>
      <c r="U385" s="26" t="str">
        <f>IF(VLOOKUP($C385,COS!$B$8:$I$991,8,FALSE)=1,"UWFE","IBU")</f>
        <v>IBU</v>
      </c>
      <c r="V385" s="26">
        <f t="shared" ref="V385" si="618">MIN(IF(IF($AA$3=2,AND(E385=1,G385=1,L385=1,L388=1,M385=1,U385="IBU"),AND(E385=1,G385=1,L385=1,L388=1,M385=1)),T385,0),I385)</f>
        <v>0</v>
      </c>
      <c r="W385" s="26"/>
      <c r="X385" s="26"/>
      <c r="Y385" s="26"/>
      <c r="Z385" s="26"/>
      <c r="AA385" s="26"/>
      <c r="AB385" s="33"/>
    </row>
    <row r="386" spans="1:28" x14ac:dyDescent="0.3">
      <c r="A386" s="32">
        <f>VLOOKUP(YEAR(C386),Flags!$A$13:$B$95,2,FALSE)</f>
        <v>1</v>
      </c>
      <c r="B386" s="24">
        <f t="shared" si="535"/>
        <v>1963</v>
      </c>
      <c r="C386" s="25">
        <v>23223</v>
      </c>
      <c r="D386" s="26">
        <f>VLOOKUP($C386,COS!$B$8:$H$991,3,FALSE)</f>
        <v>16000</v>
      </c>
      <c r="E386" s="24">
        <f>IF(D386&gt;=IF(MONTH($C386)=4,$C$3,IF(MONTH($C386)=5,$C$4,IF(MONTH($C386)=6,$C$5,IF(MONTH($C386)=7,$C$6,"ERROR")))),1,0)</f>
        <v>1</v>
      </c>
      <c r="F386" s="26">
        <f>VLOOKUP($C386,COS!$B$8:$H$991,7,FALSE)</f>
        <v>52.109561920166016</v>
      </c>
      <c r="G386" s="24">
        <f>IF(F386&lt;=IF(MONTH($C386)=4,$F$3,IF(MONTH($C386)=5,$F$4,IF(MONTH($C386)=6,$F$5,IF(MONTH($C386)=7,$F$6,"ERROR")))),1,0)</f>
        <v>1</v>
      </c>
      <c r="H386" s="26">
        <f>IF(J386=1,D386-$C$6,0)</f>
        <v>4000</v>
      </c>
      <c r="I386" s="26">
        <f t="shared" si="558"/>
        <v>245.95041322314049</v>
      </c>
      <c r="J386" s="24">
        <f t="shared" si="609"/>
        <v>1</v>
      </c>
      <c r="K386" s="26">
        <f>VLOOKUP($C386,COS!$B$8:$H$991,2,FALSE)</f>
        <v>3649.526611328125</v>
      </c>
      <c r="L386" s="24">
        <f t="shared" si="537"/>
        <v>1</v>
      </c>
      <c r="M386" s="24">
        <f t="shared" si="538"/>
        <v>0</v>
      </c>
      <c r="N386" s="26">
        <f>VLOOKUP($C386,COS!$B$8:$H$991,5,FALSE)</f>
        <v>1381.7017822265625</v>
      </c>
      <c r="O386" s="26">
        <f t="shared" si="612"/>
        <v>84.957531072443174</v>
      </c>
      <c r="P386" s="26">
        <f>VLOOKUP($C386,COS!$B$8:$H$991,6,FALSE)</f>
        <v>2521.474853515625</v>
      </c>
      <c r="Q386" s="26">
        <f t="shared" si="613"/>
        <v>155.0394455384814</v>
      </c>
      <c r="R386" s="26">
        <f>MIN(IF(MONTH($C386)=4,$S$3,IF(MONTH($C386)=5,$S$4,IF(MONTH($C386)=6,$S$5,IF(MONTH($C386)=7,$S$6,"ERROR")))),MAX(VLOOKUP($C386,COS!$B$8:$K$991,10,FALSE)-IF(MONTH($C386)=4,$Y$3,IF(MONTH($C386)=5,$Y$4,IF(MONTH($C386)=6,$Y$5,IF(MONTH($C386)=7,$Y$6,"ERROR")))),0),MAX(VLOOKUP($C386,COS!$B$8:$K$991,9,FALSE)-IF(MONTH($C386)=4,$V$3,IF(MONTH($C386)=5,$V$4,IF(MONTH($C386)=6,$V$5,IF(MONTH($C386)=7,$V$6,"ERROR"))))-VLOOKUP($C386,COS!$B$8:$K$991,6,FALSE)/2,0))</f>
        <v>1500</v>
      </c>
      <c r="S386" s="26">
        <f t="shared" si="614"/>
        <v>92.231404958677686</v>
      </c>
      <c r="T386" s="26">
        <f t="shared" si="615"/>
        <v>212.22989326413997</v>
      </c>
      <c r="U386" s="26" t="str">
        <f>IF(VLOOKUP($C386,COS!$B$8:$I$991,8,FALSE)=1,"UWFE","IBU")</f>
        <v>IBU</v>
      </c>
      <c r="V386" s="26">
        <f t="shared" ref="V386" si="619">MIN(IF(IF($AA$3=2,AND(E386=1,G386=1,L386=1,L388=1,M386=1,U386="IBU"),AND(E386=1,G386=1,L386=1,L388=1,M386=1)),T386,0),I386)</f>
        <v>0</v>
      </c>
      <c r="W386" s="26"/>
      <c r="X386" s="26"/>
      <c r="Y386" s="26"/>
      <c r="Z386" s="26"/>
      <c r="AA386" s="26"/>
      <c r="AB386" s="33"/>
    </row>
    <row r="387" spans="1:28" x14ac:dyDescent="0.3">
      <c r="A387" s="32">
        <f>VLOOKUP(YEAR(C387),Flags!$A$13:$B$95,2,FALSE)</f>
        <v>1</v>
      </c>
      <c r="B387" s="24">
        <f t="shared" si="535"/>
        <v>1963</v>
      </c>
      <c r="C387" s="25">
        <v>23254</v>
      </c>
      <c r="D387" s="26"/>
      <c r="E387" s="24"/>
      <c r="F387" s="26"/>
      <c r="G387" s="24"/>
      <c r="H387" s="24"/>
      <c r="I387" s="26"/>
      <c r="J387" s="24"/>
      <c r="K387" s="26"/>
      <c r="L387" s="24"/>
      <c r="M387" s="24"/>
      <c r="N387" s="26"/>
      <c r="O387" s="26"/>
      <c r="P387" s="26"/>
      <c r="Q387" s="26"/>
      <c r="R387" s="26"/>
      <c r="S387" s="26"/>
      <c r="T387" s="26"/>
      <c r="U387" s="26"/>
      <c r="V387" s="26"/>
      <c r="W387" s="26">
        <f>MAX($C$7-VLOOKUP($C387,COS!$B$8:$H$991,3,FALSE),0)</f>
        <v>89286.853515625</v>
      </c>
      <c r="X387" s="26">
        <f t="shared" si="562"/>
        <v>5490.0346293904959</v>
      </c>
      <c r="Y387" s="26">
        <f>VLOOKUP($C387,COS!$B$8:$H$991,4,FALSE)</f>
        <v>0</v>
      </c>
      <c r="Z387" s="26">
        <f t="shared" si="563"/>
        <v>0</v>
      </c>
      <c r="AA387" s="26">
        <f t="shared" ref="AA387:AA391" si="620">MIN(W387,Y387)</f>
        <v>0</v>
      </c>
      <c r="AB387" s="33">
        <f t="shared" ref="AB387" si="621">AA387*DAY($C387)*86400/43560/1000*IF(MONTH($C387)=8,$P$3,IF(MONTH($C387)=9,$P$4,IF(MONTH($C387)=10,$P$5,IF(MONTH($C387)=11,$P$6,IF(MONTH($C387)=12,$P$7,NA())))))</f>
        <v>0</v>
      </c>
    </row>
    <row r="388" spans="1:28" x14ac:dyDescent="0.3">
      <c r="A388" s="32">
        <f>VLOOKUP(YEAR(C388),Flags!$A$13:$B$95,2,FALSE)</f>
        <v>1</v>
      </c>
      <c r="B388" s="24">
        <f t="shared" si="535"/>
        <v>1963</v>
      </c>
      <c r="C388" s="25">
        <v>23284</v>
      </c>
      <c r="D388" s="26"/>
      <c r="E388" s="24"/>
      <c r="F388" s="26"/>
      <c r="G388" s="24"/>
      <c r="H388" s="24"/>
      <c r="I388" s="26"/>
      <c r="J388" s="24"/>
      <c r="K388" s="26">
        <f>VLOOKUP($C388,COS!$B$8:$H$991,2,FALSE)</f>
        <v>2718.105712890625</v>
      </c>
      <c r="L388" s="24">
        <f t="shared" ref="L388" si="622">IF(AND(K388&gt;$I$7,K388&lt;$I$8),1,0)</f>
        <v>1</v>
      </c>
      <c r="M388" s="24"/>
      <c r="N388" s="26"/>
      <c r="O388" s="26"/>
      <c r="P388" s="26"/>
      <c r="Q388" s="26"/>
      <c r="R388" s="26"/>
      <c r="S388" s="26"/>
      <c r="T388" s="26"/>
      <c r="U388" s="26"/>
      <c r="V388" s="26"/>
      <c r="W388" s="26">
        <f>MAX($C$8-VLOOKUP($C388,COS!$B$8:$H$991,3,FALSE),0)</f>
        <v>84976.9580078125</v>
      </c>
      <c r="X388" s="26">
        <f t="shared" si="562"/>
        <v>5056.4801459194214</v>
      </c>
      <c r="Y388" s="26">
        <f>VLOOKUP($C388,COS!$B$8:$H$991,4,FALSE)</f>
        <v>0</v>
      </c>
      <c r="Z388" s="26">
        <f t="shared" si="563"/>
        <v>0</v>
      </c>
      <c r="AA388" s="26">
        <f t="shared" si="620"/>
        <v>0</v>
      </c>
      <c r="AB388" s="33">
        <f t="shared" si="548"/>
        <v>0</v>
      </c>
    </row>
    <row r="389" spans="1:28" x14ac:dyDescent="0.3">
      <c r="A389" s="32">
        <f>VLOOKUP(YEAR(C389),Flags!$A$13:$B$95,2,FALSE)</f>
        <v>1</v>
      </c>
      <c r="B389" s="24">
        <f t="shared" si="535"/>
        <v>1963</v>
      </c>
      <c r="C389" s="25">
        <v>23315</v>
      </c>
      <c r="D389" s="26"/>
      <c r="E389" s="24"/>
      <c r="F389" s="26"/>
      <c r="G389" s="26"/>
      <c r="H389" s="26"/>
      <c r="I389" s="26"/>
      <c r="J389" s="26"/>
      <c r="K389" s="26"/>
      <c r="L389" s="24"/>
      <c r="M389" s="24"/>
      <c r="N389" s="26"/>
      <c r="O389" s="26"/>
      <c r="P389" s="26"/>
      <c r="Q389" s="26"/>
      <c r="R389" s="26"/>
      <c r="S389" s="26"/>
      <c r="T389" s="26"/>
      <c r="U389" s="26"/>
      <c r="V389" s="26"/>
      <c r="W389" s="26">
        <f>MAX($C$9-VLOOKUP($C389,COS!$B$8:$H$991,3,FALSE),0)</f>
        <v>92588.90966796875</v>
      </c>
      <c r="X389" s="26">
        <f t="shared" si="562"/>
        <v>5693.0701481792357</v>
      </c>
      <c r="Y389" s="26">
        <f>VLOOKUP($C389,COS!$B$8:$H$991,4,FALSE)</f>
        <v>1189.5572509765625</v>
      </c>
      <c r="Z389" s="26">
        <f t="shared" si="563"/>
        <v>73.143024357567143</v>
      </c>
      <c r="AA389" s="26">
        <f t="shared" si="620"/>
        <v>1189.5572509765625</v>
      </c>
      <c r="AB389" s="33">
        <f t="shared" si="548"/>
        <v>73.143024357567143</v>
      </c>
    </row>
    <row r="390" spans="1:28" x14ac:dyDescent="0.3">
      <c r="A390" s="32">
        <f>VLOOKUP(YEAR(C390),Flags!$A$13:$B$95,2,FALSE)</f>
        <v>1</v>
      </c>
      <c r="B390" s="24">
        <f t="shared" si="535"/>
        <v>1963</v>
      </c>
      <c r="C390" s="25">
        <v>23345</v>
      </c>
      <c r="D390" s="26"/>
      <c r="E390" s="24"/>
      <c r="F390" s="26"/>
      <c r="G390" s="26"/>
      <c r="H390" s="26"/>
      <c r="I390" s="26"/>
      <c r="J390" s="26"/>
      <c r="K390" s="26"/>
      <c r="L390" s="24"/>
      <c r="M390" s="24"/>
      <c r="N390" s="26"/>
      <c r="O390" s="26"/>
      <c r="P390" s="26"/>
      <c r="Q390" s="26"/>
      <c r="R390" s="26"/>
      <c r="S390" s="26"/>
      <c r="T390" s="26"/>
      <c r="U390" s="26"/>
      <c r="V390" s="26"/>
      <c r="W390" s="26">
        <f>MAX($C$10-VLOOKUP($C390,COS!$B$8:$H$991,3,FALSE),0)</f>
        <v>93790.83056640625</v>
      </c>
      <c r="X390" s="26">
        <f t="shared" si="562"/>
        <v>5580.9419841167355</v>
      </c>
      <c r="Y390" s="26">
        <f>VLOOKUP($C390,COS!$B$8:$H$991,4,FALSE)</f>
        <v>1109.0794677734375</v>
      </c>
      <c r="Z390" s="26">
        <f t="shared" si="563"/>
        <v>65.994811305526866</v>
      </c>
      <c r="AA390" s="26">
        <f t="shared" si="620"/>
        <v>1109.0794677734375</v>
      </c>
      <c r="AB390" s="33">
        <f t="shared" si="548"/>
        <v>65.994811305526866</v>
      </c>
    </row>
    <row r="391" spans="1:28" x14ac:dyDescent="0.3">
      <c r="A391" s="34">
        <f>VLOOKUP(YEAR(C391),Flags!$A$13:$B$95,2,FALSE)</f>
        <v>1</v>
      </c>
      <c r="B391" s="35">
        <f t="shared" si="535"/>
        <v>1963</v>
      </c>
      <c r="C391" s="36">
        <v>23376</v>
      </c>
      <c r="D391" s="37"/>
      <c r="E391" s="35"/>
      <c r="F391" s="37"/>
      <c r="G391" s="37"/>
      <c r="H391" s="37"/>
      <c r="I391" s="37"/>
      <c r="J391" s="37"/>
      <c r="K391" s="37"/>
      <c r="L391" s="35"/>
      <c r="M391" s="35"/>
      <c r="N391" s="37"/>
      <c r="O391" s="37"/>
      <c r="P391" s="37"/>
      <c r="Q391" s="37"/>
      <c r="R391" s="37"/>
      <c r="S391" s="37"/>
      <c r="T391" s="37"/>
      <c r="U391" s="37"/>
      <c r="V391" s="37"/>
      <c r="W391" s="37">
        <f>MAX($C$11-VLOOKUP($C391,COS!$B$8:$H$991,3,FALSE),0)</f>
        <v>96749</v>
      </c>
      <c r="X391" s="37">
        <f t="shared" si="562"/>
        <v>5948.8641322314052</v>
      </c>
      <c r="Y391" s="37">
        <f>VLOOKUP($C391,COS!$B$8:$H$991,4,FALSE)</f>
        <v>347.96035766601563</v>
      </c>
      <c r="Z391" s="37">
        <f t="shared" si="563"/>
        <v>21.395248438307078</v>
      </c>
      <c r="AA391" s="37">
        <f t="shared" si="620"/>
        <v>347.96035766601563</v>
      </c>
      <c r="AB391" s="38">
        <f t="shared" si="548"/>
        <v>21.395248438307078</v>
      </c>
    </row>
    <row r="392" spans="1:28" x14ac:dyDescent="0.3">
      <c r="A392" s="27">
        <f>VLOOKUP(YEAR(C392),Flags!$A$13:$B$95,2,FALSE)</f>
        <v>4</v>
      </c>
      <c r="B392" s="28">
        <f t="shared" si="535"/>
        <v>1964</v>
      </c>
      <c r="C392" s="29">
        <v>23497</v>
      </c>
      <c r="D392" s="30">
        <f>VLOOKUP($C392,COS!$B$8:$H$991,3,FALSE)</f>
        <v>6091.94580078125</v>
      </c>
      <c r="E392" s="28">
        <f>IF(D392&gt;=IF(MONTH($C392)=4,$C$3,IF(MONTH($C392)=5,$C$4,IF(MONTH($C392)=6,$C$5,IF(MONTH($C392)=7,$C$6,"ERROR")))),1,0)</f>
        <v>1</v>
      </c>
      <c r="F392" s="30">
        <f>VLOOKUP($C392,COS!$B$8:$H$991,7,FALSE)</f>
        <v>49.550472259521484</v>
      </c>
      <c r="G392" s="28">
        <f>IF(F392&lt;=IF(MONTH($C392)=4,$F$3,IF(MONTH($C392)=5,$F$4,IF(MONTH($C392)=6,$F$5,IF(MONTH($C392)=7,$F$6,"ERROR")))),1,0)</f>
        <v>1</v>
      </c>
      <c r="H392" s="30">
        <f>IF(J392=1,D392-$C$3,0)</f>
        <v>91.94580078125</v>
      </c>
      <c r="I392" s="30">
        <f t="shared" si="558"/>
        <v>5.4711550878099171</v>
      </c>
      <c r="J392" s="28">
        <f t="shared" ref="J392:J395" si="623">IF(AND(E392=1,G392=1),1,0)</f>
        <v>1</v>
      </c>
      <c r="K392" s="30">
        <f>VLOOKUP($C392,COS!$B$8:$H$991,2,FALSE)</f>
        <v>3746.64306640625</v>
      </c>
      <c r="L392" s="28">
        <f t="shared" ref="L392" si="624">IF(K392&lt;=IF(MONTH($C392)=4,$I$3,IF(MONTH($C392)=5,$I$4,IF(MONTH($C392)=6,$I$5,IF(MONTH($C392)=7,$I$6,"ERROR")))),1,0)</f>
        <v>1</v>
      </c>
      <c r="M392" s="28">
        <f t="shared" ref="M392" si="625">VLOOKUP($A392,$L$3:$M$7,2,FALSE)</f>
        <v>1</v>
      </c>
      <c r="N392" s="30">
        <f>VLOOKUP($C392,COS!$B$8:$H$991,5,FALSE)</f>
        <v>316.77880859375</v>
      </c>
      <c r="O392" s="30">
        <f t="shared" ref="O392:O395" si="626">N392*DAY($C392)*86400/43560/1000</f>
        <v>18.849648114669421</v>
      </c>
      <c r="P392" s="30">
        <f>VLOOKUP($C392,COS!$B$8:$H$991,6,FALSE)</f>
        <v>564.8997802734375</v>
      </c>
      <c r="Q392" s="30">
        <f t="shared" ref="Q392:Q395" si="627">P392*DAY($C392)*86400/43560/1000</f>
        <v>33.613871222882231</v>
      </c>
      <c r="R392" s="30">
        <f>MIN(IF(MONTH($C392)=4,$S$3,IF(MONTH($C392)=5,$S$4,IF(MONTH($C392)=6,$S$5,IF(MONTH($C392)=7,$S$6,"ERROR")))),MAX(VLOOKUP($C392,COS!$B$8:$K$991,10,FALSE)-IF(MONTH($C392)=4,$Y$3,IF(MONTH($C392)=5,$Y$4,IF(MONTH($C392)=6,$Y$5,IF(MONTH($C392)=7,$Y$6,"ERROR")))),0),MAX(VLOOKUP($C392,COS!$B$8:$K$991,9,FALSE)-IF(MONTH($C392)=4,$V$3,IF(MONTH($C392)=5,$V$4,IF(MONTH($C392)=6,$V$5,IF(MONTH($C392)=7,$V$6,"ERROR"))))-VLOOKUP($C392,COS!$B$8:$K$991,6,FALSE)/2,0))</f>
        <v>1500</v>
      </c>
      <c r="S392" s="30">
        <f t="shared" ref="S392:S395" si="628">R392*DAY($C392)*86400/43560/1000</f>
        <v>89.256198347107429</v>
      </c>
      <c r="T392" s="30">
        <f t="shared" ref="T392:T395" si="629">(O392+Q392)/2+S392</f>
        <v>115.48795801588325</v>
      </c>
      <c r="U392" s="30" t="str">
        <f>IF(VLOOKUP($C392,COS!$B$8:$I$991,8,FALSE)=1,"UWFE","IBU")</f>
        <v>UWFE</v>
      </c>
      <c r="V392" s="30">
        <f t="shared" ref="V392" si="630">MIN(IF(IF($AA$3=2,AND(E392=1,G392=1,L392=1,L397=1,M392=1,U392="IBU"),AND(E392=1,G392=1,L392=1,L397=1,M392=1)),T392,0),I392)</f>
        <v>0</v>
      </c>
      <c r="W392" s="30"/>
      <c r="X392" s="30"/>
      <c r="Y392" s="30"/>
      <c r="Z392" s="30"/>
      <c r="AA392" s="30"/>
      <c r="AB392" s="31"/>
    </row>
    <row r="393" spans="1:28" x14ac:dyDescent="0.3">
      <c r="A393" s="32">
        <f>VLOOKUP(YEAR(C393),Flags!$A$13:$B$95,2,FALSE)</f>
        <v>4</v>
      </c>
      <c r="B393" s="24">
        <f t="shared" si="535"/>
        <v>1964</v>
      </c>
      <c r="C393" s="25">
        <v>23528</v>
      </c>
      <c r="D393" s="26">
        <f>VLOOKUP($C393,COS!$B$8:$H$991,3,FALSE)</f>
        <v>6700.63427734375</v>
      </c>
      <c r="E393" s="24">
        <f>IF(D393&gt;=IF(MONTH($C393)=4,$C$3,IF(MONTH($C393)=5,$C$4,IF(MONTH($C393)=6,$C$5,IF(MONTH($C393)=7,$C$6,"ERROR")))),1,0)</f>
        <v>1</v>
      </c>
      <c r="F393" s="26">
        <f>VLOOKUP($C393,COS!$B$8:$H$991,7,FALSE)</f>
        <v>50.719039916992188</v>
      </c>
      <c r="G393" s="24">
        <f>IF(F393&lt;=IF(MONTH($C393)=4,$F$3,IF(MONTH($C393)=5,$F$4,IF(MONTH($C393)=6,$F$5,IF(MONTH($C393)=7,$F$6,"ERROR")))),1,0)</f>
        <v>1</v>
      </c>
      <c r="H393" s="26">
        <f>IF(J393=1,D393-$C$4,0)</f>
        <v>700.63427734375</v>
      </c>
      <c r="I393" s="26">
        <f t="shared" si="558"/>
        <v>43.080322507747937</v>
      </c>
      <c r="J393" s="24">
        <f t="shared" si="623"/>
        <v>1</v>
      </c>
      <c r="K393" s="26">
        <f>VLOOKUP($C393,COS!$B$8:$H$991,2,FALSE)</f>
        <v>3609.5830078125</v>
      </c>
      <c r="L393" s="24">
        <f t="shared" si="537"/>
        <v>1</v>
      </c>
      <c r="M393" s="24">
        <f t="shared" si="538"/>
        <v>1</v>
      </c>
      <c r="N393" s="26">
        <f>VLOOKUP($C393,COS!$B$8:$H$991,5,FALSE)</f>
        <v>332.74734497070313</v>
      </c>
      <c r="O393" s="26">
        <f t="shared" si="626"/>
        <v>20.459836748611828</v>
      </c>
      <c r="P393" s="26">
        <f>VLOOKUP($C393,COS!$B$8:$H$991,6,FALSE)</f>
        <v>2309.841796875</v>
      </c>
      <c r="Q393" s="26">
        <f t="shared" si="627"/>
        <v>142.02663610537189</v>
      </c>
      <c r="R393" s="26">
        <f>MIN(IF(MONTH($C393)=4,$S$3,IF(MONTH($C393)=5,$S$4,IF(MONTH($C393)=6,$S$5,IF(MONTH($C393)=7,$S$6,"ERROR")))),MAX(VLOOKUP($C393,COS!$B$8:$K$991,10,FALSE)-IF(MONTH($C393)=4,$Y$3,IF(MONTH($C393)=5,$Y$4,IF(MONTH($C393)=6,$Y$5,IF(MONTH($C393)=7,$Y$6,"ERROR")))),0),MAX(VLOOKUP($C393,COS!$B$8:$K$991,9,FALSE)-IF(MONTH($C393)=4,$V$3,IF(MONTH($C393)=5,$V$4,IF(MONTH($C393)=6,$V$5,IF(MONTH($C393)=7,$V$6,"ERROR"))))-VLOOKUP($C393,COS!$B$8:$K$991,6,FALSE)/2,0))</f>
        <v>1500</v>
      </c>
      <c r="S393" s="26">
        <f t="shared" si="628"/>
        <v>92.231404958677686</v>
      </c>
      <c r="T393" s="26">
        <f t="shared" si="629"/>
        <v>173.47464138566954</v>
      </c>
      <c r="U393" s="26" t="str">
        <f>IF(VLOOKUP($C393,COS!$B$8:$I$991,8,FALSE)=1,"UWFE","IBU")</f>
        <v>UWFE</v>
      </c>
      <c r="V393" s="26">
        <f t="shared" ref="V393" si="631">MIN(IF(IF($AA$3=2,AND(E393=1,G393=1,L393=1,L397=1,M393=1,U393="IBU"),AND(E393=1,G393=1,L393=1,L397=1,M393=1)),T393,0),I393)</f>
        <v>0</v>
      </c>
      <c r="W393" s="26"/>
      <c r="X393" s="26"/>
      <c r="Y393" s="26"/>
      <c r="Z393" s="26"/>
      <c r="AA393" s="26"/>
      <c r="AB393" s="33"/>
    </row>
    <row r="394" spans="1:28" x14ac:dyDescent="0.3">
      <c r="A394" s="32">
        <f>VLOOKUP(YEAR(C394),Flags!$A$13:$B$95,2,FALSE)</f>
        <v>4</v>
      </c>
      <c r="B394" s="24">
        <f t="shared" si="535"/>
        <v>1964</v>
      </c>
      <c r="C394" s="25">
        <v>23558</v>
      </c>
      <c r="D394" s="26">
        <f>VLOOKUP($C394,COS!$B$8:$H$991,3,FALSE)</f>
        <v>8947.9150390625</v>
      </c>
      <c r="E394" s="24">
        <f>IF(D394&gt;=IF(MONTH($C394)=4,$C$3,IF(MONTH($C394)=5,$C$4,IF(MONTH($C394)=6,$C$5,IF(MONTH($C394)=7,$C$6,"ERROR")))),1,0)</f>
        <v>0</v>
      </c>
      <c r="F394" s="26">
        <f>VLOOKUP($C394,COS!$B$8:$H$991,7,FALSE)</f>
        <v>51.899105072021484</v>
      </c>
      <c r="G394" s="24">
        <f>IF(F394&lt;=IF(MONTH($C394)=4,$F$3,IF(MONTH($C394)=5,$F$4,IF(MONTH($C394)=6,$F$5,IF(MONTH($C394)=7,$F$6,"ERROR")))),1,0)</f>
        <v>1</v>
      </c>
      <c r="H394" s="26">
        <f>IF(J394=1,D394-$C$5,0)</f>
        <v>0</v>
      </c>
      <c r="I394" s="26">
        <f t="shared" si="558"/>
        <v>0</v>
      </c>
      <c r="J394" s="24">
        <f t="shared" si="623"/>
        <v>0</v>
      </c>
      <c r="K394" s="26">
        <f>VLOOKUP($C394,COS!$B$8:$H$991,2,FALSE)</f>
        <v>3402.844970703125</v>
      </c>
      <c r="L394" s="24">
        <f t="shared" si="537"/>
        <v>1</v>
      </c>
      <c r="M394" s="24">
        <f t="shared" si="538"/>
        <v>1</v>
      </c>
      <c r="N394" s="26">
        <f>VLOOKUP($C394,COS!$B$8:$H$991,5,FALSE)</f>
        <v>359.117431640625</v>
      </c>
      <c r="O394" s="26">
        <f t="shared" si="626"/>
        <v>21.368971138946282</v>
      </c>
      <c r="P394" s="26">
        <f>VLOOKUP($C394,COS!$B$8:$H$991,6,FALSE)</f>
        <v>2607.746826171875</v>
      </c>
      <c r="Q394" s="26">
        <f t="shared" si="627"/>
        <v>155.17171197055785</v>
      </c>
      <c r="R394" s="26">
        <f>MIN(IF(MONTH($C394)=4,$S$3,IF(MONTH($C394)=5,$S$4,IF(MONTH($C394)=6,$S$5,IF(MONTH($C394)=7,$S$6,"ERROR")))),MAX(VLOOKUP($C394,COS!$B$8:$K$991,10,FALSE)-IF(MONTH($C394)=4,$Y$3,IF(MONTH($C394)=5,$Y$4,IF(MONTH($C394)=6,$Y$5,IF(MONTH($C394)=7,$Y$6,"ERROR")))),0),MAX(VLOOKUP($C394,COS!$B$8:$K$991,9,FALSE)-IF(MONTH($C394)=4,$V$3,IF(MONTH($C394)=5,$V$4,IF(MONTH($C394)=6,$V$5,IF(MONTH($C394)=7,$V$6,"ERROR"))))-VLOOKUP($C394,COS!$B$8:$K$991,6,FALSE)/2,0))</f>
        <v>1500</v>
      </c>
      <c r="S394" s="26">
        <f t="shared" si="628"/>
        <v>89.256198347107429</v>
      </c>
      <c r="T394" s="26">
        <f t="shared" si="629"/>
        <v>177.52653990185951</v>
      </c>
      <c r="U394" s="26" t="str">
        <f>IF(VLOOKUP($C394,COS!$B$8:$I$991,8,FALSE)=1,"UWFE","IBU")</f>
        <v>IBU</v>
      </c>
      <c r="V394" s="26">
        <f t="shared" ref="V394" si="632">MIN(IF(IF($AA$3=2,AND(E394=1,G394=1,L394=1,L397=1,M394=1,U394="IBU"),AND(E394=1,G394=1,L394=1,L397=1,M394=1)),T394,0),I394)</f>
        <v>0</v>
      </c>
      <c r="W394" s="26"/>
      <c r="X394" s="26"/>
      <c r="Y394" s="26"/>
      <c r="Z394" s="26"/>
      <c r="AA394" s="26"/>
      <c r="AB394" s="33"/>
    </row>
    <row r="395" spans="1:28" x14ac:dyDescent="0.3">
      <c r="A395" s="32">
        <f>VLOOKUP(YEAR(C395),Flags!$A$13:$B$95,2,FALSE)</f>
        <v>4</v>
      </c>
      <c r="B395" s="24">
        <f t="shared" si="535"/>
        <v>1964</v>
      </c>
      <c r="C395" s="25">
        <v>23589</v>
      </c>
      <c r="D395" s="26">
        <f>VLOOKUP($C395,COS!$B$8:$H$991,3,FALSE)</f>
        <v>14511.1044921875</v>
      </c>
      <c r="E395" s="24">
        <f>IF(D395&gt;=IF(MONTH($C395)=4,$C$3,IF(MONTH($C395)=5,$C$4,IF(MONTH($C395)=6,$C$5,IF(MONTH($C395)=7,$C$6,"ERROR")))),1,0)</f>
        <v>1</v>
      </c>
      <c r="F395" s="26">
        <f>VLOOKUP($C395,COS!$B$8:$H$991,7,FALSE)</f>
        <v>52.263500213623047</v>
      </c>
      <c r="G395" s="24">
        <f>IF(F395&lt;=IF(MONTH($C395)=4,$F$3,IF(MONTH($C395)=5,$F$4,IF(MONTH($C395)=6,$F$5,IF(MONTH($C395)=7,$F$6,"ERROR")))),1,0)</f>
        <v>1</v>
      </c>
      <c r="H395" s="26">
        <f>IF(J395=1,D395-$C$6,0)</f>
        <v>2511.1044921875</v>
      </c>
      <c r="I395" s="26">
        <f t="shared" si="558"/>
        <v>154.401796875</v>
      </c>
      <c r="J395" s="24">
        <f t="shared" si="623"/>
        <v>1</v>
      </c>
      <c r="K395" s="26">
        <f>VLOOKUP($C395,COS!$B$8:$H$991,2,FALSE)</f>
        <v>2786.120361328125</v>
      </c>
      <c r="L395" s="24">
        <f t="shared" si="537"/>
        <v>1</v>
      </c>
      <c r="M395" s="24">
        <f t="shared" si="538"/>
        <v>1</v>
      </c>
      <c r="N395" s="26">
        <f>VLOOKUP($C395,COS!$B$8:$H$991,5,FALSE)</f>
        <v>422.46829223632813</v>
      </c>
      <c r="O395" s="26">
        <f t="shared" si="626"/>
        <v>25.976562762299842</v>
      </c>
      <c r="P395" s="26">
        <f>VLOOKUP($C395,COS!$B$8:$H$991,6,FALSE)</f>
        <v>2533.61962890625</v>
      </c>
      <c r="Q395" s="26">
        <f t="shared" si="627"/>
        <v>155.78619866993802</v>
      </c>
      <c r="R395" s="26">
        <f>MIN(IF(MONTH($C395)=4,$S$3,IF(MONTH($C395)=5,$S$4,IF(MONTH($C395)=6,$S$5,IF(MONTH($C395)=7,$S$6,"ERROR")))),MAX(VLOOKUP($C395,COS!$B$8:$K$991,10,FALSE)-IF(MONTH($C395)=4,$Y$3,IF(MONTH($C395)=5,$Y$4,IF(MONTH($C395)=6,$Y$5,IF(MONTH($C395)=7,$Y$6,"ERROR")))),0),MAX(VLOOKUP($C395,COS!$B$8:$K$991,9,FALSE)-IF(MONTH($C395)=4,$V$3,IF(MONTH($C395)=5,$V$4,IF(MONTH($C395)=6,$V$5,IF(MONTH($C395)=7,$V$6,"ERROR"))))-VLOOKUP($C395,COS!$B$8:$K$991,6,FALSE)/2,0))</f>
        <v>1500</v>
      </c>
      <c r="S395" s="26">
        <f t="shared" si="628"/>
        <v>92.231404958677686</v>
      </c>
      <c r="T395" s="26">
        <f t="shared" si="629"/>
        <v>183.11278567479661</v>
      </c>
      <c r="U395" s="26" t="str">
        <f>IF(VLOOKUP($C395,COS!$B$8:$I$991,8,FALSE)=1,"UWFE","IBU")</f>
        <v>IBU</v>
      </c>
      <c r="V395" s="26">
        <f t="shared" ref="V395" si="633">MIN(IF(IF($AA$3=2,AND(E395=1,G395=1,L395=1,L397=1,M395=1,U395="IBU"),AND(E395=1,G395=1,L395=1,L397=1,M395=1)),T395,0),I395)</f>
        <v>154.401796875</v>
      </c>
      <c r="W395" s="26"/>
      <c r="X395" s="26"/>
      <c r="Y395" s="26"/>
      <c r="Z395" s="26"/>
      <c r="AA395" s="26"/>
      <c r="AB395" s="33"/>
    </row>
    <row r="396" spans="1:28" x14ac:dyDescent="0.3">
      <c r="A396" s="32">
        <f>VLOOKUP(YEAR(C396),Flags!$A$13:$B$95,2,FALSE)</f>
        <v>4</v>
      </c>
      <c r="B396" s="24">
        <f t="shared" si="535"/>
        <v>1964</v>
      </c>
      <c r="C396" s="25">
        <v>23620</v>
      </c>
      <c r="D396" s="26"/>
      <c r="E396" s="24"/>
      <c r="F396" s="26"/>
      <c r="G396" s="24"/>
      <c r="H396" s="24"/>
      <c r="I396" s="26"/>
      <c r="J396" s="24"/>
      <c r="K396" s="26"/>
      <c r="L396" s="24"/>
      <c r="M396" s="24"/>
      <c r="N396" s="26"/>
      <c r="O396" s="26"/>
      <c r="P396" s="26"/>
      <c r="Q396" s="26"/>
      <c r="R396" s="26"/>
      <c r="S396" s="26"/>
      <c r="T396" s="26"/>
      <c r="U396" s="26"/>
      <c r="V396" s="26"/>
      <c r="W396" s="26">
        <f>MAX($C$7-VLOOKUP($C396,COS!$B$8:$H$991,3,FALSE),0)</f>
        <v>91194.7255859375</v>
      </c>
      <c r="X396" s="26">
        <f t="shared" si="562"/>
        <v>5607.3451104080577</v>
      </c>
      <c r="Y396" s="26">
        <f>VLOOKUP($C396,COS!$B$8:$H$991,4,FALSE)</f>
        <v>771.8970947265625</v>
      </c>
      <c r="Z396" s="26">
        <f t="shared" si="563"/>
        <v>47.462102353434915</v>
      </c>
      <c r="AA396" s="26">
        <f t="shared" ref="AA396:AA400" si="634">MIN(W396,Y396)</f>
        <v>771.8970947265625</v>
      </c>
      <c r="AB396" s="33">
        <f t="shared" ref="AB396" si="635">AA396*DAY($C396)*86400/43560/1000*IF(MONTH($C396)=8,$P$3,IF(MONTH($C396)=9,$P$4,IF(MONTH($C396)=10,$P$5,IF(MONTH($C396)=11,$P$6,IF(MONTH($C396)=12,$P$7,NA())))))</f>
        <v>47.462102353434915</v>
      </c>
    </row>
    <row r="397" spans="1:28" x14ac:dyDescent="0.3">
      <c r="A397" s="32">
        <f>VLOOKUP(YEAR(C397),Flags!$A$13:$B$95,2,FALSE)</f>
        <v>4</v>
      </c>
      <c r="B397" s="24">
        <f t="shared" si="535"/>
        <v>1964</v>
      </c>
      <c r="C397" s="25">
        <v>23650</v>
      </c>
      <c r="D397" s="26"/>
      <c r="E397" s="24"/>
      <c r="F397" s="26"/>
      <c r="G397" s="24"/>
      <c r="H397" s="24"/>
      <c r="I397" s="26"/>
      <c r="J397" s="24"/>
      <c r="K397" s="26">
        <f>VLOOKUP($C397,COS!$B$8:$H$991,2,FALSE)</f>
        <v>2475.959716796875</v>
      </c>
      <c r="L397" s="24">
        <f t="shared" ref="L397" si="636">IF(AND(K397&gt;$I$7,K397&lt;$I$8),1,0)</f>
        <v>1</v>
      </c>
      <c r="M397" s="24"/>
      <c r="N397" s="26"/>
      <c r="O397" s="26"/>
      <c r="P397" s="26"/>
      <c r="Q397" s="26"/>
      <c r="R397" s="26"/>
      <c r="S397" s="26"/>
      <c r="T397" s="26"/>
      <c r="U397" s="26"/>
      <c r="V397" s="26"/>
      <c r="W397" s="26">
        <f>MAX($C$8-VLOOKUP($C397,COS!$B$8:$H$991,3,FALSE),0)</f>
        <v>95000.587890625</v>
      </c>
      <c r="X397" s="26">
        <f t="shared" si="562"/>
        <v>5652.9275439049579</v>
      </c>
      <c r="Y397" s="26">
        <f>VLOOKUP($C397,COS!$B$8:$H$991,4,FALSE)</f>
        <v>1010.355224609375</v>
      </c>
      <c r="Z397" s="26">
        <f t="shared" si="563"/>
        <v>60.120310885847111</v>
      </c>
      <c r="AA397" s="26">
        <f t="shared" si="634"/>
        <v>1010.355224609375</v>
      </c>
      <c r="AB397" s="33">
        <f t="shared" si="548"/>
        <v>60.120310885847111</v>
      </c>
    </row>
    <row r="398" spans="1:28" x14ac:dyDescent="0.3">
      <c r="A398" s="32">
        <f>VLOOKUP(YEAR(C398),Flags!$A$13:$B$95,2,FALSE)</f>
        <v>4</v>
      </c>
      <c r="B398" s="24">
        <f t="shared" si="535"/>
        <v>1964</v>
      </c>
      <c r="C398" s="25">
        <v>23681</v>
      </c>
      <c r="D398" s="26"/>
      <c r="E398" s="24"/>
      <c r="F398" s="26"/>
      <c r="G398" s="26"/>
      <c r="H398" s="26"/>
      <c r="I398" s="26"/>
      <c r="J398" s="26"/>
      <c r="K398" s="26"/>
      <c r="L398" s="24"/>
      <c r="M398" s="24"/>
      <c r="N398" s="26"/>
      <c r="O398" s="26"/>
      <c r="P398" s="26"/>
      <c r="Q398" s="26"/>
      <c r="R398" s="26"/>
      <c r="S398" s="26"/>
      <c r="T398" s="26"/>
      <c r="U398" s="26"/>
      <c r="V398" s="26"/>
      <c r="W398" s="26">
        <f>MAX($C$9-VLOOKUP($C398,COS!$B$8:$H$991,3,FALSE),0)</f>
        <v>94941.07861328125</v>
      </c>
      <c r="X398" s="26">
        <f t="shared" si="562"/>
        <v>5837.6993791967971</v>
      </c>
      <c r="Y398" s="26">
        <f>VLOOKUP($C398,COS!$B$8:$H$991,4,FALSE)</f>
        <v>1503.157470703125</v>
      </c>
      <c r="Z398" s="26">
        <f t="shared" si="563"/>
        <v>92.425550264721082</v>
      </c>
      <c r="AA398" s="26">
        <f t="shared" si="634"/>
        <v>1503.157470703125</v>
      </c>
      <c r="AB398" s="33">
        <f t="shared" si="548"/>
        <v>92.425550264721082</v>
      </c>
    </row>
    <row r="399" spans="1:28" x14ac:dyDescent="0.3">
      <c r="A399" s="32">
        <f>VLOOKUP(YEAR(C399),Flags!$A$13:$B$95,2,FALSE)</f>
        <v>4</v>
      </c>
      <c r="B399" s="24">
        <f t="shared" ref="B399:B462" si="637">YEAR(C399)</f>
        <v>1964</v>
      </c>
      <c r="C399" s="25">
        <v>23711</v>
      </c>
      <c r="D399" s="26"/>
      <c r="E399" s="24"/>
      <c r="F399" s="26"/>
      <c r="G399" s="26"/>
      <c r="H399" s="26"/>
      <c r="I399" s="26"/>
      <c r="J399" s="26"/>
      <c r="K399" s="26"/>
      <c r="L399" s="24"/>
      <c r="M399" s="24"/>
      <c r="N399" s="26"/>
      <c r="O399" s="26"/>
      <c r="P399" s="26"/>
      <c r="Q399" s="26"/>
      <c r="R399" s="26"/>
      <c r="S399" s="26"/>
      <c r="T399" s="26"/>
      <c r="U399" s="26"/>
      <c r="V399" s="26"/>
      <c r="W399" s="26">
        <f>MAX($C$10-VLOOKUP($C399,COS!$B$8:$H$991,3,FALSE),0)</f>
        <v>96749</v>
      </c>
      <c r="X399" s="26">
        <f t="shared" si="562"/>
        <v>5756.965289256198</v>
      </c>
      <c r="Y399" s="26">
        <f>VLOOKUP($C399,COS!$B$8:$H$991,4,FALSE)</f>
        <v>1991.6624755859375</v>
      </c>
      <c r="Z399" s="26">
        <f t="shared" si="563"/>
        <v>118.51214730759297</v>
      </c>
      <c r="AA399" s="26">
        <f t="shared" si="634"/>
        <v>1991.6624755859375</v>
      </c>
      <c r="AB399" s="33">
        <f t="shared" si="548"/>
        <v>118.51214730759297</v>
      </c>
    </row>
    <row r="400" spans="1:28" x14ac:dyDescent="0.3">
      <c r="A400" s="34">
        <f>VLOOKUP(YEAR(C400),Flags!$A$13:$B$95,2,FALSE)</f>
        <v>4</v>
      </c>
      <c r="B400" s="35">
        <f t="shared" si="637"/>
        <v>1964</v>
      </c>
      <c r="C400" s="36">
        <v>23742</v>
      </c>
      <c r="D400" s="37"/>
      <c r="E400" s="35"/>
      <c r="F400" s="37"/>
      <c r="G400" s="37"/>
      <c r="H400" s="37"/>
      <c r="I400" s="37"/>
      <c r="J400" s="37"/>
      <c r="K400" s="37"/>
      <c r="L400" s="35"/>
      <c r="M400" s="35"/>
      <c r="N400" s="37"/>
      <c r="O400" s="37"/>
      <c r="P400" s="37"/>
      <c r="Q400" s="37"/>
      <c r="R400" s="37"/>
      <c r="S400" s="37"/>
      <c r="T400" s="37"/>
      <c r="U400" s="37"/>
      <c r="V400" s="37"/>
      <c r="W400" s="37">
        <f>MAX($C$11-VLOOKUP($C400,COS!$B$8:$H$991,3,FALSE),0)</f>
        <v>80336.048828125</v>
      </c>
      <c r="X400" s="37">
        <f t="shared" si="562"/>
        <v>4939.6711014979346</v>
      </c>
      <c r="Y400" s="37">
        <f>VLOOKUP($C400,COS!$B$8:$H$991,4,FALSE)</f>
        <v>0</v>
      </c>
      <c r="Z400" s="37">
        <f t="shared" si="563"/>
        <v>0</v>
      </c>
      <c r="AA400" s="37">
        <f t="shared" si="634"/>
        <v>0</v>
      </c>
      <c r="AB400" s="38">
        <f t="shared" si="548"/>
        <v>0</v>
      </c>
    </row>
    <row r="401" spans="1:28" x14ac:dyDescent="0.3">
      <c r="A401" s="27">
        <f>VLOOKUP(YEAR(C401),Flags!$A$13:$B$95,2,FALSE)</f>
        <v>1</v>
      </c>
      <c r="B401" s="28">
        <f t="shared" si="637"/>
        <v>1965</v>
      </c>
      <c r="C401" s="29">
        <v>23862</v>
      </c>
      <c r="D401" s="30">
        <f>VLOOKUP($C401,COS!$B$8:$H$991,3,FALSE)</f>
        <v>6748.35888671875</v>
      </c>
      <c r="E401" s="28">
        <f>IF(D401&gt;=IF(MONTH($C401)=4,$C$3,IF(MONTH($C401)=5,$C$4,IF(MONTH($C401)=6,$C$5,IF(MONTH($C401)=7,$C$6,"ERROR")))),1,0)</f>
        <v>1</v>
      </c>
      <c r="F401" s="30">
        <f>VLOOKUP($C401,COS!$B$8:$H$991,7,FALSE)</f>
        <v>46.947509765625</v>
      </c>
      <c r="G401" s="28">
        <f>IF(F401&lt;=IF(MONTH($C401)=4,$F$3,IF(MONTH($C401)=5,$F$4,IF(MONTH($C401)=6,$F$5,IF(MONTH($C401)=7,$F$6,"ERROR")))),1,0)</f>
        <v>1</v>
      </c>
      <c r="H401" s="30">
        <f>IF(J401=1,D401-$C$3,0)</f>
        <v>748.35888671875</v>
      </c>
      <c r="I401" s="30">
        <f t="shared" si="558"/>
        <v>44.530446151859508</v>
      </c>
      <c r="J401" s="28">
        <f t="shared" ref="J401:J404" si="638">IF(AND(E401=1,G401=1),1,0)</f>
        <v>1</v>
      </c>
      <c r="K401" s="30">
        <f>VLOOKUP($C401,COS!$B$8:$H$991,2,FALSE)</f>
        <v>4500</v>
      </c>
      <c r="L401" s="28">
        <f t="shared" ref="L401:L458" si="639">IF(K401&lt;=IF(MONTH($C401)=4,$I$3,IF(MONTH($C401)=5,$I$4,IF(MONTH($C401)=6,$I$5,IF(MONTH($C401)=7,$I$6,"ERROR")))),1,0)</f>
        <v>1</v>
      </c>
      <c r="M401" s="28">
        <f t="shared" ref="M401:M458" si="640">VLOOKUP($A401,$L$3:$M$7,2,FALSE)</f>
        <v>0</v>
      </c>
      <c r="N401" s="30">
        <f>VLOOKUP($C401,COS!$B$8:$H$991,5,FALSE)</f>
        <v>15.99506664276123</v>
      </c>
      <c r="O401" s="30">
        <f t="shared" ref="O401:O404" si="641">N401*DAY($C401)*86400/43560/1000</f>
        <v>0.95177256056099879</v>
      </c>
      <c r="P401" s="30">
        <f>VLOOKUP($C401,COS!$B$8:$H$991,6,FALSE)</f>
        <v>409.699951171875</v>
      </c>
      <c r="Q401" s="30">
        <f t="shared" ref="Q401:Q404" si="642">P401*DAY($C401)*86400/43560/1000</f>
        <v>24.378840069731407</v>
      </c>
      <c r="R401" s="30">
        <f>MIN(IF(MONTH($C401)=4,$S$3,IF(MONTH($C401)=5,$S$4,IF(MONTH($C401)=6,$S$5,IF(MONTH($C401)=7,$S$6,"ERROR")))),MAX(VLOOKUP($C401,COS!$B$8:$K$991,10,FALSE)-IF(MONTH($C401)=4,$Y$3,IF(MONTH($C401)=5,$Y$4,IF(MONTH($C401)=6,$Y$5,IF(MONTH($C401)=7,$Y$6,"ERROR")))),0),MAX(VLOOKUP($C401,COS!$B$8:$K$991,9,FALSE)-IF(MONTH($C401)=4,$V$3,IF(MONTH($C401)=5,$V$4,IF(MONTH($C401)=6,$V$5,IF(MONTH($C401)=7,$V$6,"ERROR"))))-VLOOKUP($C401,COS!$B$8:$K$991,6,FALSE)/2,0))</f>
        <v>1500</v>
      </c>
      <c r="S401" s="30">
        <f t="shared" ref="S401:S404" si="643">R401*DAY($C401)*86400/43560/1000</f>
        <v>89.256198347107429</v>
      </c>
      <c r="T401" s="30">
        <f t="shared" ref="T401:T404" si="644">(O401+Q401)/2+S401</f>
        <v>101.92150466225362</v>
      </c>
      <c r="U401" s="30" t="str">
        <f>IF(VLOOKUP($C401,COS!$B$8:$I$991,8,FALSE)=1,"UWFE","IBU")</f>
        <v>UWFE</v>
      </c>
      <c r="V401" s="30">
        <f t="shared" ref="V401" si="645">MIN(IF(IF($AA$3=2,AND(E401=1,G401=1,L401=1,L406=1,M401=1,U401="IBU"),AND(E401=1,G401=1,L401=1,L406=1,M401=1)),T401,0),I401)</f>
        <v>0</v>
      </c>
      <c r="W401" s="30"/>
      <c r="X401" s="30"/>
      <c r="Y401" s="30"/>
      <c r="Z401" s="30"/>
      <c r="AA401" s="30"/>
      <c r="AB401" s="31"/>
    </row>
    <row r="402" spans="1:28" x14ac:dyDescent="0.3">
      <c r="A402" s="32">
        <f>VLOOKUP(YEAR(C402),Flags!$A$13:$B$95,2,FALSE)</f>
        <v>1</v>
      </c>
      <c r="B402" s="24">
        <f t="shared" si="637"/>
        <v>1965</v>
      </c>
      <c r="C402" s="25">
        <v>23893</v>
      </c>
      <c r="D402" s="26">
        <f>VLOOKUP($C402,COS!$B$8:$H$991,3,FALSE)</f>
        <v>6685.54638671875</v>
      </c>
      <c r="E402" s="24">
        <f>IF(D402&gt;=IF(MONTH($C402)=4,$C$3,IF(MONTH($C402)=5,$C$4,IF(MONTH($C402)=6,$C$5,IF(MONTH($C402)=7,$C$6,"ERROR")))),1,0)</f>
        <v>1</v>
      </c>
      <c r="F402" s="26">
        <f>VLOOKUP($C402,COS!$B$8:$H$991,7,FALSE)</f>
        <v>49.095413208007813</v>
      </c>
      <c r="G402" s="24">
        <f>IF(F402&lt;=IF(MONTH($C402)=4,$F$3,IF(MONTH($C402)=5,$F$4,IF(MONTH($C402)=6,$F$5,IF(MONTH($C402)=7,$F$6,"ERROR")))),1,0)</f>
        <v>1</v>
      </c>
      <c r="H402" s="26">
        <f>IF(J402=1,D402-$C$4,0)</f>
        <v>685.54638671875</v>
      </c>
      <c r="I402" s="26">
        <f t="shared" si="558"/>
        <v>42.152604274276861</v>
      </c>
      <c r="J402" s="24">
        <f t="shared" si="638"/>
        <v>1</v>
      </c>
      <c r="K402" s="26">
        <f>VLOOKUP($C402,COS!$B$8:$H$991,2,FALSE)</f>
        <v>4530.5419921875</v>
      </c>
      <c r="L402" s="24">
        <f t="shared" si="639"/>
        <v>1</v>
      </c>
      <c r="M402" s="24">
        <f t="shared" si="640"/>
        <v>0</v>
      </c>
      <c r="N402" s="26">
        <f>VLOOKUP($C402,COS!$B$8:$H$991,5,FALSE)</f>
        <v>633.97503662109375</v>
      </c>
      <c r="O402" s="26">
        <f t="shared" si="641"/>
        <v>38.981605557528411</v>
      </c>
      <c r="P402" s="26">
        <f>VLOOKUP($C402,COS!$B$8:$H$991,6,FALSE)</f>
        <v>2257.9951171875</v>
      </c>
      <c r="Q402" s="26">
        <f t="shared" si="642"/>
        <v>138.83870803202478</v>
      </c>
      <c r="R402" s="26">
        <f>MIN(IF(MONTH($C402)=4,$S$3,IF(MONTH($C402)=5,$S$4,IF(MONTH($C402)=6,$S$5,IF(MONTH($C402)=7,$S$6,"ERROR")))),MAX(VLOOKUP($C402,COS!$B$8:$K$991,10,FALSE)-IF(MONTH($C402)=4,$Y$3,IF(MONTH($C402)=5,$Y$4,IF(MONTH($C402)=6,$Y$5,IF(MONTH($C402)=7,$Y$6,"ERROR")))),0),MAX(VLOOKUP($C402,COS!$B$8:$K$991,9,FALSE)-IF(MONTH($C402)=4,$V$3,IF(MONTH($C402)=5,$V$4,IF(MONTH($C402)=6,$V$5,IF(MONTH($C402)=7,$V$6,"ERROR"))))-VLOOKUP($C402,COS!$B$8:$K$991,6,FALSE)/2,0))</f>
        <v>1500</v>
      </c>
      <c r="S402" s="26">
        <f t="shared" si="643"/>
        <v>92.231404958677686</v>
      </c>
      <c r="T402" s="26">
        <f t="shared" si="644"/>
        <v>181.14156175345428</v>
      </c>
      <c r="U402" s="26" t="str">
        <f>IF(VLOOKUP($C402,COS!$B$8:$I$991,8,FALSE)=1,"UWFE","IBU")</f>
        <v>UWFE</v>
      </c>
      <c r="V402" s="26">
        <f t="shared" ref="V402" si="646">MIN(IF(IF($AA$3=2,AND(E402=1,G402=1,L402=1,L406=1,M402=1,U402="IBU"),AND(E402=1,G402=1,L402=1,L406=1,M402=1)),T402,0),I402)</f>
        <v>0</v>
      </c>
      <c r="W402" s="26"/>
      <c r="X402" s="26"/>
      <c r="Y402" s="26"/>
      <c r="Z402" s="26"/>
      <c r="AA402" s="26"/>
      <c r="AB402" s="33"/>
    </row>
    <row r="403" spans="1:28" x14ac:dyDescent="0.3">
      <c r="A403" s="32">
        <f>VLOOKUP(YEAR(C403),Flags!$A$13:$B$95,2,FALSE)</f>
        <v>1</v>
      </c>
      <c r="B403" s="24">
        <f t="shared" si="637"/>
        <v>1965</v>
      </c>
      <c r="C403" s="25">
        <v>23923</v>
      </c>
      <c r="D403" s="26">
        <f>VLOOKUP($C403,COS!$B$8:$H$991,3,FALSE)</f>
        <v>8087.30908203125</v>
      </c>
      <c r="E403" s="24">
        <f>IF(D403&gt;=IF(MONTH($C403)=4,$C$3,IF(MONTH($C403)=5,$C$4,IF(MONTH($C403)=6,$C$5,IF(MONTH($C403)=7,$C$6,"ERROR")))),1,0)</f>
        <v>0</v>
      </c>
      <c r="F403" s="26">
        <f>VLOOKUP($C403,COS!$B$8:$H$991,7,FALSE)</f>
        <v>49.536151885986328</v>
      </c>
      <c r="G403" s="24">
        <f>IF(F403&lt;=IF(MONTH($C403)=4,$F$3,IF(MONTH($C403)=5,$F$4,IF(MONTH($C403)=6,$F$5,IF(MONTH($C403)=7,$F$6,"ERROR")))),1,0)</f>
        <v>1</v>
      </c>
      <c r="H403" s="26">
        <f>IF(J403=1,D403-$C$5,0)</f>
        <v>0</v>
      </c>
      <c r="I403" s="26">
        <f t="shared" si="558"/>
        <v>0</v>
      </c>
      <c r="J403" s="24">
        <f t="shared" si="638"/>
        <v>0</v>
      </c>
      <c r="K403" s="26">
        <f>VLOOKUP($C403,COS!$B$8:$H$991,2,FALSE)</f>
        <v>4283.341796875</v>
      </c>
      <c r="L403" s="24">
        <f t="shared" si="639"/>
        <v>1</v>
      </c>
      <c r="M403" s="24">
        <f t="shared" si="640"/>
        <v>0</v>
      </c>
      <c r="N403" s="26">
        <f>VLOOKUP($C403,COS!$B$8:$H$991,5,FALSE)</f>
        <v>838.3341064453125</v>
      </c>
      <c r="O403" s="26">
        <f t="shared" si="641"/>
        <v>49.884343524018597</v>
      </c>
      <c r="P403" s="26">
        <f>VLOOKUP($C403,COS!$B$8:$H$991,6,FALSE)</f>
        <v>2334.416015625</v>
      </c>
      <c r="Q403" s="26">
        <f t="shared" si="642"/>
        <v>138.90739927685951</v>
      </c>
      <c r="R403" s="26">
        <f>MIN(IF(MONTH($C403)=4,$S$3,IF(MONTH($C403)=5,$S$4,IF(MONTH($C403)=6,$S$5,IF(MONTH($C403)=7,$S$6,"ERROR")))),MAX(VLOOKUP($C403,COS!$B$8:$K$991,10,FALSE)-IF(MONTH($C403)=4,$Y$3,IF(MONTH($C403)=5,$Y$4,IF(MONTH($C403)=6,$Y$5,IF(MONTH($C403)=7,$Y$6,"ERROR")))),0),MAX(VLOOKUP($C403,COS!$B$8:$K$991,9,FALSE)-IF(MONTH($C403)=4,$V$3,IF(MONTH($C403)=5,$V$4,IF(MONTH($C403)=6,$V$5,IF(MONTH($C403)=7,$V$6,"ERROR"))))-VLOOKUP($C403,COS!$B$8:$K$991,6,FALSE)/2,0))</f>
        <v>1500</v>
      </c>
      <c r="S403" s="26">
        <f t="shared" si="643"/>
        <v>89.256198347107429</v>
      </c>
      <c r="T403" s="26">
        <f t="shared" si="644"/>
        <v>183.65206974754648</v>
      </c>
      <c r="U403" s="26" t="str">
        <f>IF(VLOOKUP($C403,COS!$B$8:$I$991,8,FALSE)=1,"UWFE","IBU")</f>
        <v>UWFE</v>
      </c>
      <c r="V403" s="26">
        <f t="shared" ref="V403" si="647">MIN(IF(IF($AA$3=2,AND(E403=1,G403=1,L403=1,L406=1,M403=1,U403="IBU"),AND(E403=1,G403=1,L403=1,L406=1,M403=1)),T403,0),I403)</f>
        <v>0</v>
      </c>
      <c r="W403" s="26"/>
      <c r="X403" s="26"/>
      <c r="Y403" s="26"/>
      <c r="Z403" s="26"/>
      <c r="AA403" s="26"/>
      <c r="AB403" s="33"/>
    </row>
    <row r="404" spans="1:28" x14ac:dyDescent="0.3">
      <c r="A404" s="32">
        <f>VLOOKUP(YEAR(C404),Flags!$A$13:$B$95,2,FALSE)</f>
        <v>1</v>
      </c>
      <c r="B404" s="24">
        <f t="shared" si="637"/>
        <v>1965</v>
      </c>
      <c r="C404" s="25">
        <v>23954</v>
      </c>
      <c r="D404" s="26">
        <f>VLOOKUP($C404,COS!$B$8:$H$991,3,FALSE)</f>
        <v>16000</v>
      </c>
      <c r="E404" s="24">
        <f>IF(D404&gt;=IF(MONTH($C404)=4,$C$3,IF(MONTH($C404)=5,$C$4,IF(MONTH($C404)=6,$C$5,IF(MONTH($C404)=7,$C$6,"ERROR")))),1,0)</f>
        <v>1</v>
      </c>
      <c r="F404" s="26">
        <f>VLOOKUP($C404,COS!$B$8:$H$991,7,FALSE)</f>
        <v>49.443107604980469</v>
      </c>
      <c r="G404" s="24">
        <f>IF(F404&lt;=IF(MONTH($C404)=4,$F$3,IF(MONTH($C404)=5,$F$4,IF(MONTH($C404)=6,$F$5,IF(MONTH($C404)=7,$F$6,"ERROR")))),1,0)</f>
        <v>1</v>
      </c>
      <c r="H404" s="26">
        <f>IF(J404=1,D404-$C$6,0)</f>
        <v>4000</v>
      </c>
      <c r="I404" s="26">
        <f t="shared" si="558"/>
        <v>245.95041322314049</v>
      </c>
      <c r="J404" s="24">
        <f t="shared" si="638"/>
        <v>1</v>
      </c>
      <c r="K404" s="26">
        <f>VLOOKUP($C404,COS!$B$8:$H$991,2,FALSE)</f>
        <v>3588.650146484375</v>
      </c>
      <c r="L404" s="24">
        <f t="shared" si="639"/>
        <v>1</v>
      </c>
      <c r="M404" s="24">
        <f t="shared" si="640"/>
        <v>0</v>
      </c>
      <c r="N404" s="26">
        <f>VLOOKUP($C404,COS!$B$8:$H$991,5,FALSE)</f>
        <v>922.08319091796875</v>
      </c>
      <c r="O404" s="26">
        <f t="shared" si="641"/>
        <v>56.696685458096589</v>
      </c>
      <c r="P404" s="26">
        <f>VLOOKUP($C404,COS!$B$8:$H$991,6,FALSE)</f>
        <v>2612.073486328125</v>
      </c>
      <c r="Q404" s="26">
        <f t="shared" si="642"/>
        <v>160.61013833290289</v>
      </c>
      <c r="R404" s="26">
        <f>MIN(IF(MONTH($C404)=4,$S$3,IF(MONTH($C404)=5,$S$4,IF(MONTH($C404)=6,$S$5,IF(MONTH($C404)=7,$S$6,"ERROR")))),MAX(VLOOKUP($C404,COS!$B$8:$K$991,10,FALSE)-IF(MONTH($C404)=4,$Y$3,IF(MONTH($C404)=5,$Y$4,IF(MONTH($C404)=6,$Y$5,IF(MONTH($C404)=7,$Y$6,"ERROR")))),0),MAX(VLOOKUP($C404,COS!$B$8:$K$991,9,FALSE)-IF(MONTH($C404)=4,$V$3,IF(MONTH($C404)=5,$V$4,IF(MONTH($C404)=6,$V$5,IF(MONTH($C404)=7,$V$6,"ERROR"))))-VLOOKUP($C404,COS!$B$8:$K$991,6,FALSE)/2,0))</f>
        <v>1500</v>
      </c>
      <c r="S404" s="26">
        <f t="shared" si="643"/>
        <v>92.231404958677686</v>
      </c>
      <c r="T404" s="26">
        <f t="shared" si="644"/>
        <v>200.88481685417742</v>
      </c>
      <c r="U404" s="26" t="str">
        <f>IF(VLOOKUP($C404,COS!$B$8:$I$991,8,FALSE)=1,"UWFE","IBU")</f>
        <v>IBU</v>
      </c>
      <c r="V404" s="26">
        <f t="shared" ref="V404" si="648">MIN(IF(IF($AA$3=2,AND(E404=1,G404=1,L404=1,L406=1,M404=1,U404="IBU"),AND(E404=1,G404=1,L404=1,L406=1,M404=1)),T404,0),I404)</f>
        <v>0</v>
      </c>
      <c r="W404" s="26"/>
      <c r="X404" s="26"/>
      <c r="Y404" s="26"/>
      <c r="Z404" s="26"/>
      <c r="AA404" s="26"/>
      <c r="AB404" s="33"/>
    </row>
    <row r="405" spans="1:28" x14ac:dyDescent="0.3">
      <c r="A405" s="32">
        <f>VLOOKUP(YEAR(C405),Flags!$A$13:$B$95,2,FALSE)</f>
        <v>1</v>
      </c>
      <c r="B405" s="24">
        <f t="shared" si="637"/>
        <v>1965</v>
      </c>
      <c r="C405" s="25">
        <v>23985</v>
      </c>
      <c r="D405" s="26"/>
      <c r="E405" s="24"/>
      <c r="F405" s="26"/>
      <c r="G405" s="24"/>
      <c r="H405" s="24"/>
      <c r="I405" s="26"/>
      <c r="J405" s="24"/>
      <c r="K405" s="26"/>
      <c r="L405" s="24"/>
      <c r="M405" s="24"/>
      <c r="N405" s="26"/>
      <c r="O405" s="26"/>
      <c r="P405" s="26"/>
      <c r="Q405" s="26"/>
      <c r="R405" s="26"/>
      <c r="S405" s="26"/>
      <c r="T405" s="26"/>
      <c r="U405" s="26"/>
      <c r="V405" s="26"/>
      <c r="W405" s="26">
        <f>MAX($C$7-VLOOKUP($C405,COS!$B$8:$H$991,3,FALSE),0)</f>
        <v>91045.6005859375</v>
      </c>
      <c r="X405" s="26">
        <f t="shared" si="562"/>
        <v>5598.1757715650829</v>
      </c>
      <c r="Y405" s="26">
        <f>VLOOKUP($C405,COS!$B$8:$H$991,4,FALSE)</f>
        <v>0</v>
      </c>
      <c r="Z405" s="26">
        <f t="shared" si="563"/>
        <v>0</v>
      </c>
      <c r="AA405" s="26">
        <f t="shared" ref="AA405:AA409" si="649">MIN(W405,Y405)</f>
        <v>0</v>
      </c>
      <c r="AB405" s="33">
        <f t="shared" ref="AB405:AB463" si="650">AA405*DAY($C405)*86400/43560/1000*IF(MONTH($C405)=8,$P$3,IF(MONTH($C405)=9,$P$4,IF(MONTH($C405)=10,$P$5,IF(MONTH($C405)=11,$P$6,IF(MONTH($C405)=12,$P$7,NA())))))</f>
        <v>0</v>
      </c>
    </row>
    <row r="406" spans="1:28" x14ac:dyDescent="0.3">
      <c r="A406" s="32">
        <f>VLOOKUP(YEAR(C406),Flags!$A$13:$B$95,2,FALSE)</f>
        <v>1</v>
      </c>
      <c r="B406" s="24">
        <f t="shared" si="637"/>
        <v>1965</v>
      </c>
      <c r="C406" s="25">
        <v>24015</v>
      </c>
      <c r="D406" s="26"/>
      <c r="E406" s="24"/>
      <c r="F406" s="26"/>
      <c r="G406" s="24"/>
      <c r="H406" s="24"/>
      <c r="I406" s="26"/>
      <c r="J406" s="24"/>
      <c r="K406" s="26">
        <f>VLOOKUP($C406,COS!$B$8:$H$991,2,FALSE)</f>
        <v>2849.32861328125</v>
      </c>
      <c r="L406" s="24">
        <f t="shared" ref="L406" si="651">IF(AND(K406&gt;$I$7,K406&lt;$I$8),1,0)</f>
        <v>1</v>
      </c>
      <c r="M406" s="24"/>
      <c r="N406" s="26"/>
      <c r="O406" s="26"/>
      <c r="P406" s="26"/>
      <c r="Q406" s="26"/>
      <c r="R406" s="26"/>
      <c r="S406" s="26"/>
      <c r="T406" s="26"/>
      <c r="U406" s="26"/>
      <c r="V406" s="26"/>
      <c r="W406" s="26">
        <f>MAX($C$8-VLOOKUP($C406,COS!$B$8:$H$991,3,FALSE),0)</f>
        <v>86410.6357421875</v>
      </c>
      <c r="X406" s="26">
        <f t="shared" si="562"/>
        <v>5141.7898954028924</v>
      </c>
      <c r="Y406" s="26">
        <f>VLOOKUP($C406,COS!$B$8:$H$991,4,FALSE)</f>
        <v>0</v>
      </c>
      <c r="Z406" s="26">
        <f t="shared" si="563"/>
        <v>0</v>
      </c>
      <c r="AA406" s="26">
        <f t="shared" si="649"/>
        <v>0</v>
      </c>
      <c r="AB406" s="33">
        <f t="shared" si="650"/>
        <v>0</v>
      </c>
    </row>
    <row r="407" spans="1:28" x14ac:dyDescent="0.3">
      <c r="A407" s="32">
        <f>VLOOKUP(YEAR(C407),Flags!$A$13:$B$95,2,FALSE)</f>
        <v>1</v>
      </c>
      <c r="B407" s="24">
        <f t="shared" si="637"/>
        <v>1965</v>
      </c>
      <c r="C407" s="25">
        <v>24046</v>
      </c>
      <c r="D407" s="26"/>
      <c r="E407" s="24"/>
      <c r="F407" s="26"/>
      <c r="G407" s="26"/>
      <c r="H407" s="26"/>
      <c r="I407" s="26"/>
      <c r="J407" s="26"/>
      <c r="K407" s="26"/>
      <c r="L407" s="24"/>
      <c r="M407" s="24"/>
      <c r="N407" s="26"/>
      <c r="O407" s="26"/>
      <c r="P407" s="26"/>
      <c r="Q407" s="26"/>
      <c r="R407" s="26"/>
      <c r="S407" s="26"/>
      <c r="T407" s="26"/>
      <c r="U407" s="26"/>
      <c r="V407" s="26"/>
      <c r="W407" s="26">
        <f>MAX($C$9-VLOOKUP($C407,COS!$B$8:$H$991,3,FALSE),0)</f>
        <v>91501.974609375</v>
      </c>
      <c r="X407" s="26">
        <f t="shared" si="562"/>
        <v>5626.2371164772721</v>
      </c>
      <c r="Y407" s="26">
        <f>VLOOKUP($C407,COS!$B$8:$H$991,4,FALSE)</f>
        <v>958.20550537109375</v>
      </c>
      <c r="Z407" s="26">
        <f t="shared" si="563"/>
        <v>58.917759999677166</v>
      </c>
      <c r="AA407" s="26">
        <f t="shared" si="649"/>
        <v>958.20550537109375</v>
      </c>
      <c r="AB407" s="33">
        <f t="shared" si="650"/>
        <v>58.917759999677166</v>
      </c>
    </row>
    <row r="408" spans="1:28" x14ac:dyDescent="0.3">
      <c r="A408" s="32">
        <f>VLOOKUP(YEAR(C408),Flags!$A$13:$B$95,2,FALSE)</f>
        <v>1</v>
      </c>
      <c r="B408" s="24">
        <f t="shared" si="637"/>
        <v>1965</v>
      </c>
      <c r="C408" s="25">
        <v>24076</v>
      </c>
      <c r="D408" s="26"/>
      <c r="E408" s="24"/>
      <c r="F408" s="26"/>
      <c r="G408" s="26"/>
      <c r="H408" s="26"/>
      <c r="I408" s="26"/>
      <c r="J408" s="26"/>
      <c r="K408" s="26"/>
      <c r="L408" s="24"/>
      <c r="M408" s="24"/>
      <c r="N408" s="26"/>
      <c r="O408" s="26"/>
      <c r="P408" s="26"/>
      <c r="Q408" s="26"/>
      <c r="R408" s="26"/>
      <c r="S408" s="26"/>
      <c r="T408" s="26"/>
      <c r="U408" s="26"/>
      <c r="V408" s="26"/>
      <c r="W408" s="26">
        <f>MAX($C$10-VLOOKUP($C408,COS!$B$8:$H$991,3,FALSE),0)</f>
        <v>92705.76025390625</v>
      </c>
      <c r="X408" s="26">
        <f t="shared" si="562"/>
        <v>5516.3758167613632</v>
      </c>
      <c r="Y408" s="26">
        <f>VLOOKUP($C408,COS!$B$8:$H$991,4,FALSE)</f>
        <v>425.12249755859375</v>
      </c>
      <c r="Z408" s="26">
        <f t="shared" si="563"/>
        <v>25.296545309271693</v>
      </c>
      <c r="AA408" s="26">
        <f t="shared" si="649"/>
        <v>425.12249755859375</v>
      </c>
      <c r="AB408" s="33">
        <f t="shared" si="650"/>
        <v>25.296545309271693</v>
      </c>
    </row>
    <row r="409" spans="1:28" x14ac:dyDescent="0.3">
      <c r="A409" s="34">
        <f>VLOOKUP(YEAR(C409),Flags!$A$13:$B$95,2,FALSE)</f>
        <v>1</v>
      </c>
      <c r="B409" s="35">
        <f t="shared" si="637"/>
        <v>1965</v>
      </c>
      <c r="C409" s="36">
        <v>24107</v>
      </c>
      <c r="D409" s="37"/>
      <c r="E409" s="35"/>
      <c r="F409" s="37"/>
      <c r="G409" s="37"/>
      <c r="H409" s="37"/>
      <c r="I409" s="37"/>
      <c r="J409" s="37"/>
      <c r="K409" s="37"/>
      <c r="L409" s="35"/>
      <c r="M409" s="35"/>
      <c r="N409" s="37"/>
      <c r="O409" s="37"/>
      <c r="P409" s="37"/>
      <c r="Q409" s="37"/>
      <c r="R409" s="37"/>
      <c r="S409" s="37"/>
      <c r="T409" s="37"/>
      <c r="U409" s="37"/>
      <c r="V409" s="37"/>
      <c r="W409" s="37">
        <f>MAX($C$11-VLOOKUP($C409,COS!$B$8:$H$991,3,FALSE),0)</f>
        <v>96260.330078125</v>
      </c>
      <c r="X409" s="37">
        <f t="shared" si="562"/>
        <v>5918.8169899276854</v>
      </c>
      <c r="Y409" s="37">
        <f>VLOOKUP($C409,COS!$B$8:$H$991,4,FALSE)</f>
        <v>0</v>
      </c>
      <c r="Z409" s="37">
        <f t="shared" si="563"/>
        <v>0</v>
      </c>
      <c r="AA409" s="37">
        <f t="shared" si="649"/>
        <v>0</v>
      </c>
      <c r="AB409" s="38">
        <f t="shared" si="650"/>
        <v>0</v>
      </c>
    </row>
    <row r="410" spans="1:28" x14ac:dyDescent="0.3">
      <c r="A410" s="27">
        <f>VLOOKUP(YEAR(C410),Flags!$A$13:$B$95,2,FALSE)</f>
        <v>3</v>
      </c>
      <c r="B410" s="28">
        <f t="shared" si="637"/>
        <v>1966</v>
      </c>
      <c r="C410" s="29">
        <v>24227</v>
      </c>
      <c r="D410" s="30">
        <f>VLOOKUP($C410,COS!$B$8:$H$991,3,FALSE)</f>
        <v>4292.888671875</v>
      </c>
      <c r="E410" s="28">
        <f>IF(D410&gt;=IF(MONTH($C410)=4,$C$3,IF(MONTH($C410)=5,$C$4,IF(MONTH($C410)=6,$C$5,IF(MONTH($C410)=7,$C$6,"ERROR")))),1,0)</f>
        <v>0</v>
      </c>
      <c r="F410" s="30">
        <f>VLOOKUP($C410,COS!$B$8:$H$991,7,FALSE)</f>
        <v>49.869205474853516</v>
      </c>
      <c r="G410" s="28">
        <f>IF(F410&lt;=IF(MONTH($C410)=4,$F$3,IF(MONTH($C410)=5,$F$4,IF(MONTH($C410)=6,$F$5,IF(MONTH($C410)=7,$F$6,"ERROR")))),1,0)</f>
        <v>1</v>
      </c>
      <c r="H410" s="30">
        <f>IF(J410=1,D410-$C$3,0)</f>
        <v>0</v>
      </c>
      <c r="I410" s="30">
        <f t="shared" si="558"/>
        <v>0</v>
      </c>
      <c r="J410" s="28">
        <f t="shared" ref="J410:J413" si="652">IF(AND(E410=1,G410=1),1,0)</f>
        <v>0</v>
      </c>
      <c r="K410" s="30">
        <f>VLOOKUP($C410,COS!$B$8:$H$991,2,FALSE)</f>
        <v>4552</v>
      </c>
      <c r="L410" s="28">
        <f t="shared" ref="L410" si="653">IF(K410&lt;=IF(MONTH($C410)=4,$I$3,IF(MONTH($C410)=5,$I$4,IF(MONTH($C410)=6,$I$5,IF(MONTH($C410)=7,$I$6,"ERROR")))),1,0)</f>
        <v>1</v>
      </c>
      <c r="M410" s="28">
        <f t="shared" ref="M410" si="654">VLOOKUP($A410,$L$3:$M$7,2,FALSE)</f>
        <v>0</v>
      </c>
      <c r="N410" s="30">
        <f>VLOOKUP($C410,COS!$B$8:$H$991,5,FALSE)</f>
        <v>529.82769775390625</v>
      </c>
      <c r="O410" s="30">
        <f t="shared" ref="O410:O413" si="655">N410*DAY($C410)*86400/43560/1000</f>
        <v>31.526937387009298</v>
      </c>
      <c r="P410" s="30">
        <f>VLOOKUP($C410,COS!$B$8:$H$991,6,FALSE)</f>
        <v>552.3431396484375</v>
      </c>
      <c r="Q410" s="30">
        <f t="shared" ref="Q410:Q413" si="656">P410*DAY($C410)*86400/43560/1000</f>
        <v>32.86669921875</v>
      </c>
      <c r="R410" s="30">
        <f>MIN(IF(MONTH($C410)=4,$S$3,IF(MONTH($C410)=5,$S$4,IF(MONTH($C410)=6,$S$5,IF(MONTH($C410)=7,$S$6,"ERROR")))),MAX(VLOOKUP($C410,COS!$B$8:$K$991,10,FALSE)-IF(MONTH($C410)=4,$Y$3,IF(MONTH($C410)=5,$Y$4,IF(MONTH($C410)=6,$Y$5,IF(MONTH($C410)=7,$Y$6,"ERROR")))),0),MAX(VLOOKUP($C410,COS!$B$8:$K$991,9,FALSE)-IF(MONTH($C410)=4,$V$3,IF(MONTH($C410)=5,$V$4,IF(MONTH($C410)=6,$V$5,IF(MONTH($C410)=7,$V$6,"ERROR"))))-VLOOKUP($C410,COS!$B$8:$K$991,6,FALSE)/2,0))</f>
        <v>1500</v>
      </c>
      <c r="S410" s="30">
        <f t="shared" ref="S410:S413" si="657">R410*DAY($C410)*86400/43560/1000</f>
        <v>89.256198347107429</v>
      </c>
      <c r="T410" s="30">
        <f t="shared" ref="T410:T413" si="658">(O410+Q410)/2+S410</f>
        <v>121.45301664998708</v>
      </c>
      <c r="U410" s="30" t="str">
        <f>IF(VLOOKUP($C410,COS!$B$8:$I$991,8,FALSE)=1,"UWFE","IBU")</f>
        <v>UWFE</v>
      </c>
      <c r="V410" s="30">
        <f t="shared" ref="V410" si="659">MIN(IF(IF($AA$3=2,AND(E410=1,G410=1,L410=1,L415=1,M410=1,U410="IBU"),AND(E410=1,G410=1,L410=1,L415=1,M410=1)),T410,0),I410)</f>
        <v>0</v>
      </c>
      <c r="W410" s="30"/>
      <c r="X410" s="30"/>
      <c r="Y410" s="30"/>
      <c r="Z410" s="30"/>
      <c r="AA410" s="30"/>
      <c r="AB410" s="31"/>
    </row>
    <row r="411" spans="1:28" x14ac:dyDescent="0.3">
      <c r="A411" s="32">
        <f>VLOOKUP(YEAR(C411),Flags!$A$13:$B$95,2,FALSE)</f>
        <v>3</v>
      </c>
      <c r="B411" s="24">
        <f t="shared" si="637"/>
        <v>1966</v>
      </c>
      <c r="C411" s="25">
        <v>24258</v>
      </c>
      <c r="D411" s="26">
        <f>VLOOKUP($C411,COS!$B$8:$H$991,3,FALSE)</f>
        <v>8730.6591796875</v>
      </c>
      <c r="E411" s="24">
        <f>IF(D411&gt;=IF(MONTH($C411)=4,$C$3,IF(MONTH($C411)=5,$C$4,IF(MONTH($C411)=6,$C$5,IF(MONTH($C411)=7,$C$6,"ERROR")))),1,0)</f>
        <v>1</v>
      </c>
      <c r="F411" s="26">
        <f>VLOOKUP($C411,COS!$B$8:$H$991,7,FALSE)</f>
        <v>49.472553253173828</v>
      </c>
      <c r="G411" s="24">
        <f>IF(F411&lt;=IF(MONTH($C411)=4,$F$3,IF(MONTH($C411)=5,$F$4,IF(MONTH($C411)=6,$F$5,IF(MONTH($C411)=7,$F$6,"ERROR")))),1,0)</f>
        <v>1</v>
      </c>
      <c r="H411" s="26">
        <f>IF(J411=1,D411-$C$4,0)</f>
        <v>2730.6591796875</v>
      </c>
      <c r="I411" s="26">
        <f t="shared" si="558"/>
        <v>167.90168840392562</v>
      </c>
      <c r="J411" s="24">
        <f t="shared" si="652"/>
        <v>1</v>
      </c>
      <c r="K411" s="26">
        <f>VLOOKUP($C411,COS!$B$8:$H$991,2,FALSE)</f>
        <v>4347.7724609375</v>
      </c>
      <c r="L411" s="24">
        <f t="shared" si="639"/>
        <v>1</v>
      </c>
      <c r="M411" s="24">
        <f t="shared" si="640"/>
        <v>0</v>
      </c>
      <c r="N411" s="26">
        <f>VLOOKUP($C411,COS!$B$8:$H$991,5,FALSE)</f>
        <v>640.74652099609375</v>
      </c>
      <c r="O411" s="26">
        <f t="shared" si="655"/>
        <v>39.397967902569732</v>
      </c>
      <c r="P411" s="26">
        <f>VLOOKUP($C411,COS!$B$8:$H$991,6,FALSE)</f>
        <v>2340.425048828125</v>
      </c>
      <c r="Q411" s="26">
        <f t="shared" si="656"/>
        <v>143.90712696926653</v>
      </c>
      <c r="R411" s="26">
        <f>MIN(IF(MONTH($C411)=4,$S$3,IF(MONTH($C411)=5,$S$4,IF(MONTH($C411)=6,$S$5,IF(MONTH($C411)=7,$S$6,"ERROR")))),MAX(VLOOKUP($C411,COS!$B$8:$K$991,10,FALSE)-IF(MONTH($C411)=4,$Y$3,IF(MONTH($C411)=5,$Y$4,IF(MONTH($C411)=6,$Y$5,IF(MONTH($C411)=7,$Y$6,"ERROR")))),0),MAX(VLOOKUP($C411,COS!$B$8:$K$991,9,FALSE)-IF(MONTH($C411)=4,$V$3,IF(MONTH($C411)=5,$V$4,IF(MONTH($C411)=6,$V$5,IF(MONTH($C411)=7,$V$6,"ERROR"))))-VLOOKUP($C411,COS!$B$8:$K$991,6,FALSE)/2,0))</f>
        <v>1500</v>
      </c>
      <c r="S411" s="26">
        <f t="shared" si="657"/>
        <v>92.231404958677686</v>
      </c>
      <c r="T411" s="26">
        <f t="shared" si="658"/>
        <v>183.88395239459584</v>
      </c>
      <c r="U411" s="26" t="str">
        <f>IF(VLOOKUP($C411,COS!$B$8:$I$991,8,FALSE)=1,"UWFE","IBU")</f>
        <v>IBU</v>
      </c>
      <c r="V411" s="26">
        <f t="shared" ref="V411" si="660">MIN(IF(IF($AA$3=2,AND(E411=1,G411=1,L411=1,L415=1,M411=1,U411="IBU"),AND(E411=1,G411=1,L411=1,L415=1,M411=1)),T411,0),I411)</f>
        <v>0</v>
      </c>
      <c r="W411" s="26"/>
      <c r="X411" s="26"/>
      <c r="Y411" s="26"/>
      <c r="Z411" s="26"/>
      <c r="AA411" s="26"/>
      <c r="AB411" s="33"/>
    </row>
    <row r="412" spans="1:28" x14ac:dyDescent="0.3">
      <c r="A412" s="32">
        <f>VLOOKUP(YEAR(C412),Flags!$A$13:$B$95,2,FALSE)</f>
        <v>3</v>
      </c>
      <c r="B412" s="24">
        <f t="shared" si="637"/>
        <v>1966</v>
      </c>
      <c r="C412" s="25">
        <v>24288</v>
      </c>
      <c r="D412" s="26">
        <f>VLOOKUP($C412,COS!$B$8:$H$991,3,FALSE)</f>
        <v>13508.86328125</v>
      </c>
      <c r="E412" s="24">
        <f>IF(D412&gt;=IF(MONTH($C412)=4,$C$3,IF(MONTH($C412)=5,$C$4,IF(MONTH($C412)=6,$C$5,IF(MONTH($C412)=7,$C$6,"ERROR")))),1,0)</f>
        <v>1</v>
      </c>
      <c r="F412" s="26">
        <f>VLOOKUP($C412,COS!$B$8:$H$991,7,FALSE)</f>
        <v>49.86444091796875</v>
      </c>
      <c r="G412" s="24">
        <f>IF(F412&lt;=IF(MONTH($C412)=4,$F$3,IF(MONTH($C412)=5,$F$4,IF(MONTH($C412)=6,$F$5,IF(MONTH($C412)=7,$F$6,"ERROR")))),1,0)</f>
        <v>1</v>
      </c>
      <c r="H412" s="26">
        <f>IF(J412=1,D412-$C$5,0)</f>
        <v>3508.86328125</v>
      </c>
      <c r="I412" s="26">
        <f t="shared" ref="I412:I475" si="661">H412*DAY($C412)*86400/43560/1000</f>
        <v>208.79186466942147</v>
      </c>
      <c r="J412" s="24">
        <f t="shared" si="652"/>
        <v>1</v>
      </c>
      <c r="K412" s="26">
        <f>VLOOKUP($C412,COS!$B$8:$H$991,2,FALSE)</f>
        <v>3800.234375</v>
      </c>
      <c r="L412" s="24">
        <f t="shared" si="639"/>
        <v>1</v>
      </c>
      <c r="M412" s="24">
        <f t="shared" si="640"/>
        <v>0</v>
      </c>
      <c r="N412" s="26">
        <f>VLOOKUP($C412,COS!$B$8:$H$991,5,FALSE)</f>
        <v>770.628173828125</v>
      </c>
      <c r="O412" s="26">
        <f t="shared" si="655"/>
        <v>45.85556075671488</v>
      </c>
      <c r="P412" s="26">
        <f>VLOOKUP($C412,COS!$B$8:$H$991,6,FALSE)</f>
        <v>2661.6142578125</v>
      </c>
      <c r="Q412" s="26">
        <f t="shared" si="656"/>
        <v>158.37704674586777</v>
      </c>
      <c r="R412" s="26">
        <f>MIN(IF(MONTH($C412)=4,$S$3,IF(MONTH($C412)=5,$S$4,IF(MONTH($C412)=6,$S$5,IF(MONTH($C412)=7,$S$6,"ERROR")))),MAX(VLOOKUP($C412,COS!$B$8:$K$991,10,FALSE)-IF(MONTH($C412)=4,$Y$3,IF(MONTH($C412)=5,$Y$4,IF(MONTH($C412)=6,$Y$5,IF(MONTH($C412)=7,$Y$6,"ERROR")))),0),MAX(VLOOKUP($C412,COS!$B$8:$K$991,9,FALSE)-IF(MONTH($C412)=4,$V$3,IF(MONTH($C412)=5,$V$4,IF(MONTH($C412)=6,$V$5,IF(MONTH($C412)=7,$V$6,"ERROR"))))-VLOOKUP($C412,COS!$B$8:$K$991,6,FALSE)/2,0))</f>
        <v>1500</v>
      </c>
      <c r="S412" s="26">
        <f t="shared" si="657"/>
        <v>89.256198347107429</v>
      </c>
      <c r="T412" s="26">
        <f t="shared" si="658"/>
        <v>191.37250209839874</v>
      </c>
      <c r="U412" s="26" t="str">
        <f>IF(VLOOKUP($C412,COS!$B$8:$I$991,8,FALSE)=1,"UWFE","IBU")</f>
        <v>IBU</v>
      </c>
      <c r="V412" s="26">
        <f t="shared" ref="V412" si="662">MIN(IF(IF($AA$3=2,AND(E412=1,G412=1,L412=1,L415=1,M412=1,U412="IBU"),AND(E412=1,G412=1,L412=1,L415=1,M412=1)),T412,0),I412)</f>
        <v>0</v>
      </c>
      <c r="W412" s="26"/>
      <c r="X412" s="26"/>
      <c r="Y412" s="26"/>
      <c r="Z412" s="26"/>
      <c r="AA412" s="26"/>
      <c r="AB412" s="33"/>
    </row>
    <row r="413" spans="1:28" x14ac:dyDescent="0.3">
      <c r="A413" s="32">
        <f>VLOOKUP(YEAR(C413),Flags!$A$13:$B$95,2,FALSE)</f>
        <v>3</v>
      </c>
      <c r="B413" s="24">
        <f t="shared" si="637"/>
        <v>1966</v>
      </c>
      <c r="C413" s="25">
        <v>24319</v>
      </c>
      <c r="D413" s="26">
        <f>VLOOKUP($C413,COS!$B$8:$H$991,3,FALSE)</f>
        <v>16000</v>
      </c>
      <c r="E413" s="24">
        <f>IF(D413&gt;=IF(MONTH($C413)=4,$C$3,IF(MONTH($C413)=5,$C$4,IF(MONTH($C413)=6,$C$5,IF(MONTH($C413)=7,$C$6,"ERROR")))),1,0)</f>
        <v>1</v>
      </c>
      <c r="F413" s="26">
        <f>VLOOKUP($C413,COS!$B$8:$H$991,7,FALSE)</f>
        <v>50.834873199462891</v>
      </c>
      <c r="G413" s="24">
        <f>IF(F413&lt;=IF(MONTH($C413)=4,$F$3,IF(MONTH($C413)=5,$F$4,IF(MONTH($C413)=6,$F$5,IF(MONTH($C413)=7,$F$6,"ERROR")))),1,0)</f>
        <v>1</v>
      </c>
      <c r="H413" s="26">
        <f>IF(J413=1,D413-$C$6,0)</f>
        <v>4000</v>
      </c>
      <c r="I413" s="26">
        <f t="shared" si="661"/>
        <v>245.95041322314049</v>
      </c>
      <c r="J413" s="24">
        <f t="shared" si="652"/>
        <v>1</v>
      </c>
      <c r="K413" s="26">
        <f>VLOOKUP($C413,COS!$B$8:$H$991,2,FALSE)</f>
        <v>3119.609375</v>
      </c>
      <c r="L413" s="24">
        <f t="shared" si="639"/>
        <v>1</v>
      </c>
      <c r="M413" s="24">
        <f t="shared" si="640"/>
        <v>0</v>
      </c>
      <c r="N413" s="26">
        <f>VLOOKUP($C413,COS!$B$8:$H$991,5,FALSE)</f>
        <v>838.9403076171875</v>
      </c>
      <c r="O413" s="26">
        <f t="shared" si="655"/>
        <v>51.584428831998963</v>
      </c>
      <c r="P413" s="26">
        <f>VLOOKUP($C413,COS!$B$8:$H$991,6,FALSE)</f>
        <v>2521.163330078125</v>
      </c>
      <c r="Q413" s="26">
        <f t="shared" si="656"/>
        <v>155.02029070893593</v>
      </c>
      <c r="R413" s="26">
        <f>MIN(IF(MONTH($C413)=4,$S$3,IF(MONTH($C413)=5,$S$4,IF(MONTH($C413)=6,$S$5,IF(MONTH($C413)=7,$S$6,"ERROR")))),MAX(VLOOKUP($C413,COS!$B$8:$K$991,10,FALSE)-IF(MONTH($C413)=4,$Y$3,IF(MONTH($C413)=5,$Y$4,IF(MONTH($C413)=6,$Y$5,IF(MONTH($C413)=7,$Y$6,"ERROR")))),0),MAX(VLOOKUP($C413,COS!$B$8:$K$991,9,FALSE)-IF(MONTH($C413)=4,$V$3,IF(MONTH($C413)=5,$V$4,IF(MONTH($C413)=6,$V$5,IF(MONTH($C413)=7,$V$6,"ERROR"))))-VLOOKUP($C413,COS!$B$8:$K$991,6,FALSE)/2,0))</f>
        <v>1500</v>
      </c>
      <c r="S413" s="26">
        <f t="shared" si="657"/>
        <v>92.231404958677686</v>
      </c>
      <c r="T413" s="26">
        <f t="shared" si="658"/>
        <v>195.53376472914513</v>
      </c>
      <c r="U413" s="26" t="str">
        <f>IF(VLOOKUP($C413,COS!$B$8:$I$991,8,FALSE)=1,"UWFE","IBU")</f>
        <v>IBU</v>
      </c>
      <c r="V413" s="26">
        <f t="shared" ref="V413" si="663">MIN(IF(IF($AA$3=2,AND(E413=1,G413=1,L413=1,L415=1,M413=1,U413="IBU"),AND(E413=1,G413=1,L413=1,L415=1,M413=1)),T413,0),I413)</f>
        <v>0</v>
      </c>
      <c r="W413" s="26"/>
      <c r="X413" s="26"/>
      <c r="Y413" s="26"/>
      <c r="Z413" s="26"/>
      <c r="AA413" s="26"/>
      <c r="AB413" s="33"/>
    </row>
    <row r="414" spans="1:28" x14ac:dyDescent="0.3">
      <c r="A414" s="32">
        <f>VLOOKUP(YEAR(C414),Flags!$A$13:$B$95,2,FALSE)</f>
        <v>3</v>
      </c>
      <c r="B414" s="24">
        <f t="shared" si="637"/>
        <v>1966</v>
      </c>
      <c r="C414" s="25">
        <v>24350</v>
      </c>
      <c r="D414" s="26"/>
      <c r="E414" s="24"/>
      <c r="F414" s="26"/>
      <c r="G414" s="24"/>
      <c r="H414" s="24"/>
      <c r="I414" s="26"/>
      <c r="J414" s="24"/>
      <c r="K414" s="26"/>
      <c r="L414" s="24"/>
      <c r="M414" s="24"/>
      <c r="N414" s="26"/>
      <c r="O414" s="26"/>
      <c r="P414" s="26"/>
      <c r="Q414" s="26"/>
      <c r="R414" s="26"/>
      <c r="S414" s="26"/>
      <c r="T414" s="26"/>
      <c r="U414" s="26"/>
      <c r="V414" s="26"/>
      <c r="W414" s="26">
        <f>MAX($C$7-VLOOKUP($C414,COS!$B$8:$H$991,3,FALSE),0)</f>
        <v>87234.4794921875</v>
      </c>
      <c r="X414" s="26">
        <f t="shared" si="562"/>
        <v>5363.8390696022725</v>
      </c>
      <c r="Y414" s="26">
        <f>VLOOKUP($C414,COS!$B$8:$H$991,4,FALSE)</f>
        <v>442.35452270507813</v>
      </c>
      <c r="Z414" s="26">
        <f t="shared" si="563"/>
        <v>27.199319412609761</v>
      </c>
      <c r="AA414" s="26">
        <f t="shared" ref="AA414:AA418" si="664">MIN(W414,Y414)</f>
        <v>442.35452270507813</v>
      </c>
      <c r="AB414" s="33">
        <f t="shared" ref="AB414" si="665">AA414*DAY($C414)*86400/43560/1000*IF(MONTH($C414)=8,$P$3,IF(MONTH($C414)=9,$P$4,IF(MONTH($C414)=10,$P$5,IF(MONTH($C414)=11,$P$6,IF(MONTH($C414)=12,$P$7,NA())))))</f>
        <v>27.199319412609761</v>
      </c>
    </row>
    <row r="415" spans="1:28" x14ac:dyDescent="0.3">
      <c r="A415" s="32">
        <f>VLOOKUP(YEAR(C415),Flags!$A$13:$B$95,2,FALSE)</f>
        <v>3</v>
      </c>
      <c r="B415" s="24">
        <f t="shared" si="637"/>
        <v>1966</v>
      </c>
      <c r="C415" s="25">
        <v>24380</v>
      </c>
      <c r="D415" s="26"/>
      <c r="E415" s="24"/>
      <c r="F415" s="26"/>
      <c r="G415" s="24"/>
      <c r="H415" s="24"/>
      <c r="I415" s="26"/>
      <c r="J415" s="24"/>
      <c r="K415" s="26">
        <f>VLOOKUP($C415,COS!$B$8:$H$991,2,FALSE)</f>
        <v>2583.3671875</v>
      </c>
      <c r="L415" s="24">
        <f t="shared" ref="L415" si="666">IF(AND(K415&gt;$I$7,K415&lt;$I$8),1,0)</f>
        <v>1</v>
      </c>
      <c r="M415" s="24"/>
      <c r="N415" s="26"/>
      <c r="O415" s="26"/>
      <c r="P415" s="26"/>
      <c r="Q415" s="26"/>
      <c r="R415" s="26"/>
      <c r="S415" s="26"/>
      <c r="T415" s="26"/>
      <c r="U415" s="26"/>
      <c r="V415" s="26"/>
      <c r="W415" s="26">
        <f>MAX($C$8-VLOOKUP($C415,COS!$B$8:$H$991,3,FALSE),0)</f>
        <v>92546.88525390625</v>
      </c>
      <c r="X415" s="26">
        <f t="shared" ref="X415:X478" si="667">W415*DAY($C415)*86400/43560/1000</f>
        <v>5506.9220977530995</v>
      </c>
      <c r="Y415" s="26">
        <f>VLOOKUP($C415,COS!$B$8:$H$991,4,FALSE)</f>
        <v>418.4725341796875</v>
      </c>
      <c r="Z415" s="26">
        <f t="shared" ref="Z415:Z478" si="668">Y415*DAY($C415)*86400/43560/1000</f>
        <v>24.900845009039259</v>
      </c>
      <c r="AA415" s="26">
        <f t="shared" si="664"/>
        <v>418.4725341796875</v>
      </c>
      <c r="AB415" s="33">
        <f t="shared" si="650"/>
        <v>24.900845009039259</v>
      </c>
    </row>
    <row r="416" spans="1:28" x14ac:dyDescent="0.3">
      <c r="A416" s="32">
        <f>VLOOKUP(YEAR(C416),Flags!$A$13:$B$95,2,FALSE)</f>
        <v>3</v>
      </c>
      <c r="B416" s="24">
        <f t="shared" si="637"/>
        <v>1966</v>
      </c>
      <c r="C416" s="25">
        <v>24411</v>
      </c>
      <c r="D416" s="26"/>
      <c r="E416" s="24"/>
      <c r="F416" s="26"/>
      <c r="G416" s="26"/>
      <c r="H416" s="26"/>
      <c r="I416" s="26"/>
      <c r="J416" s="26"/>
      <c r="K416" s="26"/>
      <c r="L416" s="24"/>
      <c r="M416" s="24"/>
      <c r="N416" s="26"/>
      <c r="O416" s="26"/>
      <c r="P416" s="26"/>
      <c r="Q416" s="26"/>
      <c r="R416" s="26"/>
      <c r="S416" s="26"/>
      <c r="T416" s="26"/>
      <c r="U416" s="26"/>
      <c r="V416" s="26"/>
      <c r="W416" s="26">
        <f>MAX($C$9-VLOOKUP($C416,COS!$B$8:$H$991,3,FALSE),0)</f>
        <v>93829.6923828125</v>
      </c>
      <c r="X416" s="26">
        <f t="shared" si="667"/>
        <v>5769.3629035382237</v>
      </c>
      <c r="Y416" s="26">
        <f>VLOOKUP($C416,COS!$B$8:$H$991,4,FALSE)</f>
        <v>1319.8214111328125</v>
      </c>
      <c r="Z416" s="26">
        <f t="shared" si="668"/>
        <v>81.15265536221591</v>
      </c>
      <c r="AA416" s="26">
        <f t="shared" si="664"/>
        <v>1319.8214111328125</v>
      </c>
      <c r="AB416" s="33">
        <f t="shared" si="650"/>
        <v>81.15265536221591</v>
      </c>
    </row>
    <row r="417" spans="1:28" x14ac:dyDescent="0.3">
      <c r="A417" s="32">
        <f>VLOOKUP(YEAR(C417),Flags!$A$13:$B$95,2,FALSE)</f>
        <v>3</v>
      </c>
      <c r="B417" s="24">
        <f t="shared" si="637"/>
        <v>1966</v>
      </c>
      <c r="C417" s="25">
        <v>24441</v>
      </c>
      <c r="D417" s="26"/>
      <c r="E417" s="24"/>
      <c r="F417" s="26"/>
      <c r="G417" s="26"/>
      <c r="H417" s="26"/>
      <c r="I417" s="26"/>
      <c r="J417" s="26"/>
      <c r="K417" s="26"/>
      <c r="L417" s="24"/>
      <c r="M417" s="24"/>
      <c r="N417" s="26"/>
      <c r="O417" s="26"/>
      <c r="P417" s="26"/>
      <c r="Q417" s="26"/>
      <c r="R417" s="26"/>
      <c r="S417" s="26"/>
      <c r="T417" s="26"/>
      <c r="U417" s="26"/>
      <c r="V417" s="26"/>
      <c r="W417" s="26">
        <f>MAX($C$10-VLOOKUP($C417,COS!$B$8:$H$991,3,FALSE),0)</f>
        <v>96749</v>
      </c>
      <c r="X417" s="26">
        <f t="shared" si="667"/>
        <v>5756.965289256198</v>
      </c>
      <c r="Y417" s="26">
        <f>VLOOKUP($C417,COS!$B$8:$H$991,4,FALSE)</f>
        <v>1161.37109375</v>
      </c>
      <c r="Z417" s="26">
        <f t="shared" si="668"/>
        <v>69.10637913223141</v>
      </c>
      <c r="AA417" s="26">
        <f t="shared" si="664"/>
        <v>1161.37109375</v>
      </c>
      <c r="AB417" s="33">
        <f t="shared" si="650"/>
        <v>69.10637913223141</v>
      </c>
    </row>
    <row r="418" spans="1:28" x14ac:dyDescent="0.3">
      <c r="A418" s="34">
        <f>VLOOKUP(YEAR(C418),Flags!$A$13:$B$95,2,FALSE)</f>
        <v>3</v>
      </c>
      <c r="B418" s="35">
        <f t="shared" si="637"/>
        <v>1966</v>
      </c>
      <c r="C418" s="36">
        <v>24472</v>
      </c>
      <c r="D418" s="37"/>
      <c r="E418" s="35"/>
      <c r="F418" s="37"/>
      <c r="G418" s="37"/>
      <c r="H418" s="37"/>
      <c r="I418" s="37"/>
      <c r="J418" s="37"/>
      <c r="K418" s="37"/>
      <c r="L418" s="35"/>
      <c r="M418" s="35"/>
      <c r="N418" s="37"/>
      <c r="O418" s="37"/>
      <c r="P418" s="37"/>
      <c r="Q418" s="37"/>
      <c r="R418" s="37"/>
      <c r="S418" s="37"/>
      <c r="T418" s="37"/>
      <c r="U418" s="37"/>
      <c r="V418" s="37"/>
      <c r="W418" s="37">
        <f>MAX($C$11-VLOOKUP($C418,COS!$B$8:$H$991,3,FALSE),0)</f>
        <v>90080.859375</v>
      </c>
      <c r="X418" s="37">
        <f t="shared" si="667"/>
        <v>5538.8561466942147</v>
      </c>
      <c r="Y418" s="37">
        <f>VLOOKUP($C418,COS!$B$8:$H$991,4,FALSE)</f>
        <v>0</v>
      </c>
      <c r="Z418" s="37">
        <f t="shared" si="668"/>
        <v>0</v>
      </c>
      <c r="AA418" s="37">
        <f t="shared" si="664"/>
        <v>0</v>
      </c>
      <c r="AB418" s="38">
        <f t="shared" si="650"/>
        <v>0</v>
      </c>
    </row>
    <row r="419" spans="1:28" x14ac:dyDescent="0.3">
      <c r="A419" s="27">
        <f>VLOOKUP(YEAR(C419),Flags!$A$13:$B$95,2,FALSE)</f>
        <v>1</v>
      </c>
      <c r="B419" s="28">
        <f t="shared" si="637"/>
        <v>1967</v>
      </c>
      <c r="C419" s="29">
        <v>24592</v>
      </c>
      <c r="D419" s="30">
        <f>VLOOKUP($C419,COS!$B$8:$H$991,3,FALSE)</f>
        <v>10209.6708984375</v>
      </c>
      <c r="E419" s="28">
        <f>IF(D419&gt;=IF(MONTH($C419)=4,$C$3,IF(MONTH($C419)=5,$C$4,IF(MONTH($C419)=6,$C$5,IF(MONTH($C419)=7,$C$6,"ERROR")))),1,0)</f>
        <v>1</v>
      </c>
      <c r="F419" s="30">
        <f>VLOOKUP($C419,COS!$B$8:$H$991,7,FALSE)</f>
        <v>47.143501281738281</v>
      </c>
      <c r="G419" s="28">
        <f>IF(F419&lt;=IF(MONTH($C419)=4,$F$3,IF(MONTH($C419)=5,$F$4,IF(MONTH($C419)=6,$F$5,IF(MONTH($C419)=7,$F$6,"ERROR")))),1,0)</f>
        <v>1</v>
      </c>
      <c r="H419" s="30">
        <f>IF(J419=1,D419-$C$3,0)</f>
        <v>4209.6708984375</v>
      </c>
      <c r="I419" s="30">
        <f t="shared" si="661"/>
        <v>250.49281379132231</v>
      </c>
      <c r="J419" s="28">
        <f t="shared" ref="J419:J422" si="669">IF(AND(E419=1,G419=1),1,0)</f>
        <v>1</v>
      </c>
      <c r="K419" s="30">
        <f>VLOOKUP($C419,COS!$B$8:$H$991,2,FALSE)</f>
        <v>4479</v>
      </c>
      <c r="L419" s="28">
        <f t="shared" ref="L419" si="670">IF(K419&lt;=IF(MONTH($C419)=4,$I$3,IF(MONTH($C419)=5,$I$4,IF(MONTH($C419)=6,$I$5,IF(MONTH($C419)=7,$I$6,"ERROR")))),1,0)</f>
        <v>1</v>
      </c>
      <c r="M419" s="28">
        <f t="shared" ref="M419" si="671">VLOOKUP($A419,$L$3:$M$7,2,FALSE)</f>
        <v>0</v>
      </c>
      <c r="N419" s="30">
        <f>VLOOKUP($C419,COS!$B$8:$H$991,5,FALSE)</f>
        <v>39.870414733886719</v>
      </c>
      <c r="O419" s="30">
        <f t="shared" ref="O419:O422" si="672">N419*DAY($C419)*86400/43560/1000</f>
        <v>2.3724544304461519</v>
      </c>
      <c r="P419" s="30">
        <f>VLOOKUP($C419,COS!$B$8:$H$991,6,FALSE)</f>
        <v>237.42314147949219</v>
      </c>
      <c r="Q419" s="30">
        <f t="shared" ref="Q419:Q422" si="673">P419*DAY($C419)*86400/43560/1000</f>
        <v>14.127658005391272</v>
      </c>
      <c r="R419" s="30">
        <f>MIN(IF(MONTH($C419)=4,$S$3,IF(MONTH($C419)=5,$S$4,IF(MONTH($C419)=6,$S$5,IF(MONTH($C419)=7,$S$6,"ERROR")))),MAX(VLOOKUP($C419,COS!$B$8:$K$991,10,FALSE)-IF(MONTH($C419)=4,$Y$3,IF(MONTH($C419)=5,$Y$4,IF(MONTH($C419)=6,$Y$5,IF(MONTH($C419)=7,$Y$6,"ERROR")))),0),MAX(VLOOKUP($C419,COS!$B$8:$K$991,9,FALSE)-IF(MONTH($C419)=4,$V$3,IF(MONTH($C419)=5,$V$4,IF(MONTH($C419)=6,$V$5,IF(MONTH($C419)=7,$V$6,"ERROR"))))-VLOOKUP($C419,COS!$B$8:$K$991,6,FALSE)/2,0))</f>
        <v>1500</v>
      </c>
      <c r="S419" s="30">
        <f t="shared" ref="S419:S422" si="674">R419*DAY($C419)*86400/43560/1000</f>
        <v>89.256198347107429</v>
      </c>
      <c r="T419" s="30">
        <f t="shared" ref="T419:T422" si="675">(O419+Q419)/2+S419</f>
        <v>97.50625456502614</v>
      </c>
      <c r="U419" s="30" t="str">
        <f>IF(VLOOKUP($C419,COS!$B$8:$I$991,8,FALSE)=1,"UWFE","IBU")</f>
        <v>UWFE</v>
      </c>
      <c r="V419" s="30">
        <f t="shared" ref="V419" si="676">MIN(IF(IF($AA$3=2,AND(E419=1,G419=1,L419=1,L424=1,M419=1,U419="IBU"),AND(E419=1,G419=1,L419=1,L424=1,M419=1)),T419,0),I419)</f>
        <v>0</v>
      </c>
      <c r="W419" s="30"/>
      <c r="X419" s="30"/>
      <c r="Y419" s="30"/>
      <c r="Z419" s="30"/>
      <c r="AA419" s="30"/>
      <c r="AB419" s="31"/>
    </row>
    <row r="420" spans="1:28" x14ac:dyDescent="0.3">
      <c r="A420" s="32">
        <f>VLOOKUP(YEAR(C420),Flags!$A$13:$B$95,2,FALSE)</f>
        <v>1</v>
      </c>
      <c r="B420" s="24">
        <f t="shared" si="637"/>
        <v>1967</v>
      </c>
      <c r="C420" s="25">
        <v>24623</v>
      </c>
      <c r="D420" s="26">
        <f>VLOOKUP($C420,COS!$B$8:$H$991,3,FALSE)</f>
        <v>12507.45703125</v>
      </c>
      <c r="E420" s="24">
        <f>IF(D420&gt;=IF(MONTH($C420)=4,$C$3,IF(MONTH($C420)=5,$C$4,IF(MONTH($C420)=6,$C$5,IF(MONTH($C420)=7,$C$6,"ERROR")))),1,0)</f>
        <v>1</v>
      </c>
      <c r="F420" s="26">
        <f>VLOOKUP($C420,COS!$B$8:$H$991,7,FALSE)</f>
        <v>48.993885040283203</v>
      </c>
      <c r="G420" s="24">
        <f>IF(F420&lt;=IF(MONTH($C420)=4,$F$3,IF(MONTH($C420)=5,$F$4,IF(MONTH($C420)=6,$F$5,IF(MONTH($C420)=7,$F$6,"ERROR")))),1,0)</f>
        <v>1</v>
      </c>
      <c r="H420" s="26">
        <f>IF(J420=1,D420-$C$4,0)</f>
        <v>6507.45703125</v>
      </c>
      <c r="I420" s="26">
        <f t="shared" si="661"/>
        <v>400.12793646694212</v>
      </c>
      <c r="J420" s="24">
        <f t="shared" si="669"/>
        <v>1</v>
      </c>
      <c r="K420" s="26">
        <f>VLOOKUP($C420,COS!$B$8:$H$991,2,FALSE)</f>
        <v>4552</v>
      </c>
      <c r="L420" s="24">
        <f t="shared" si="639"/>
        <v>1</v>
      </c>
      <c r="M420" s="24">
        <f t="shared" si="640"/>
        <v>0</v>
      </c>
      <c r="N420" s="26">
        <f>VLOOKUP($C420,COS!$B$8:$H$991,5,FALSE)</f>
        <v>634.8349609375</v>
      </c>
      <c r="O420" s="26">
        <f t="shared" si="672"/>
        <v>39.034480242768595</v>
      </c>
      <c r="P420" s="26">
        <f>VLOOKUP($C420,COS!$B$8:$H$991,6,FALSE)</f>
        <v>2252.28564453125</v>
      </c>
      <c r="Q420" s="26">
        <f t="shared" si="673"/>
        <v>138.48764624225205</v>
      </c>
      <c r="R420" s="26">
        <f>MIN(IF(MONTH($C420)=4,$S$3,IF(MONTH($C420)=5,$S$4,IF(MONTH($C420)=6,$S$5,IF(MONTH($C420)=7,$S$6,"ERROR")))),MAX(VLOOKUP($C420,COS!$B$8:$K$991,10,FALSE)-IF(MONTH($C420)=4,$Y$3,IF(MONTH($C420)=5,$Y$4,IF(MONTH($C420)=6,$Y$5,IF(MONTH($C420)=7,$Y$6,"ERROR")))),0),MAX(VLOOKUP($C420,COS!$B$8:$K$991,9,FALSE)-IF(MONTH($C420)=4,$V$3,IF(MONTH($C420)=5,$V$4,IF(MONTH($C420)=6,$V$5,IF(MONTH($C420)=7,$V$6,"ERROR"))))-VLOOKUP($C420,COS!$B$8:$K$991,6,FALSE)/2,0))</f>
        <v>1500</v>
      </c>
      <c r="S420" s="26">
        <f t="shared" si="674"/>
        <v>92.231404958677686</v>
      </c>
      <c r="T420" s="26">
        <f t="shared" si="675"/>
        <v>180.99246820118799</v>
      </c>
      <c r="U420" s="26" t="str">
        <f>IF(VLOOKUP($C420,COS!$B$8:$I$991,8,FALSE)=1,"UWFE","IBU")</f>
        <v>UWFE</v>
      </c>
      <c r="V420" s="26">
        <f t="shared" ref="V420" si="677">MIN(IF(IF($AA$3=2,AND(E420=1,G420=1,L420=1,L424=1,M420=1,U420="IBU"),AND(E420=1,G420=1,L420=1,L424=1,M420=1)),T420,0),I420)</f>
        <v>0</v>
      </c>
      <c r="W420" s="26"/>
      <c r="X420" s="26"/>
      <c r="Y420" s="26"/>
      <c r="Z420" s="26"/>
      <c r="AA420" s="26"/>
      <c r="AB420" s="33"/>
    </row>
    <row r="421" spans="1:28" x14ac:dyDescent="0.3">
      <c r="A421" s="32">
        <f>VLOOKUP(YEAR(C421),Flags!$A$13:$B$95,2,FALSE)</f>
        <v>1</v>
      </c>
      <c r="B421" s="24">
        <f t="shared" si="637"/>
        <v>1967</v>
      </c>
      <c r="C421" s="25">
        <v>24653</v>
      </c>
      <c r="D421" s="26">
        <f>VLOOKUP($C421,COS!$B$8:$H$991,3,FALSE)</f>
        <v>8491.80078125</v>
      </c>
      <c r="E421" s="24">
        <f>IF(D421&gt;=IF(MONTH($C421)=4,$C$3,IF(MONTH($C421)=5,$C$4,IF(MONTH($C421)=6,$C$5,IF(MONTH($C421)=7,$C$6,"ERROR")))),1,0)</f>
        <v>0</v>
      </c>
      <c r="F421" s="26">
        <f>VLOOKUP($C421,COS!$B$8:$H$991,7,FALSE)</f>
        <v>51.173347473144531</v>
      </c>
      <c r="G421" s="24">
        <f>IF(F421&lt;=IF(MONTH($C421)=4,$F$3,IF(MONTH($C421)=5,$F$4,IF(MONTH($C421)=6,$F$5,IF(MONTH($C421)=7,$F$6,"ERROR")))),1,0)</f>
        <v>1</v>
      </c>
      <c r="H421" s="26">
        <f>IF(J421=1,D421-$C$5,0)</f>
        <v>0</v>
      </c>
      <c r="I421" s="26">
        <f t="shared" si="661"/>
        <v>0</v>
      </c>
      <c r="J421" s="24">
        <f t="shared" si="669"/>
        <v>0</v>
      </c>
      <c r="K421" s="26">
        <f>VLOOKUP($C421,COS!$B$8:$H$991,2,FALSE)</f>
        <v>4500</v>
      </c>
      <c r="L421" s="24">
        <f t="shared" si="639"/>
        <v>1</v>
      </c>
      <c r="M421" s="24">
        <f t="shared" si="640"/>
        <v>0</v>
      </c>
      <c r="N421" s="26">
        <f>VLOOKUP($C421,COS!$B$8:$H$991,5,FALSE)</f>
        <v>937.7822265625</v>
      </c>
      <c r="O421" s="26">
        <f t="shared" si="672"/>
        <v>55.801917613636363</v>
      </c>
      <c r="P421" s="26">
        <f>VLOOKUP($C421,COS!$B$8:$H$991,6,FALSE)</f>
        <v>2001.16455078125</v>
      </c>
      <c r="Q421" s="26">
        <f t="shared" si="673"/>
        <v>119.0775600464876</v>
      </c>
      <c r="R421" s="26">
        <f>MIN(IF(MONTH($C421)=4,$S$3,IF(MONTH($C421)=5,$S$4,IF(MONTH($C421)=6,$S$5,IF(MONTH($C421)=7,$S$6,"ERROR")))),MAX(VLOOKUP($C421,COS!$B$8:$K$991,10,FALSE)-IF(MONTH($C421)=4,$Y$3,IF(MONTH($C421)=5,$Y$4,IF(MONTH($C421)=6,$Y$5,IF(MONTH($C421)=7,$Y$6,"ERROR")))),0),MAX(VLOOKUP($C421,COS!$B$8:$K$991,9,FALSE)-IF(MONTH($C421)=4,$V$3,IF(MONTH($C421)=5,$V$4,IF(MONTH($C421)=6,$V$5,IF(MONTH($C421)=7,$V$6,"ERROR"))))-VLOOKUP($C421,COS!$B$8:$K$991,6,FALSE)/2,0))</f>
        <v>1500</v>
      </c>
      <c r="S421" s="26">
        <f t="shared" si="674"/>
        <v>89.256198347107429</v>
      </c>
      <c r="T421" s="26">
        <f t="shared" si="675"/>
        <v>176.69593717716941</v>
      </c>
      <c r="U421" s="26" t="str">
        <f>IF(VLOOKUP($C421,COS!$B$8:$I$991,8,FALSE)=1,"UWFE","IBU")</f>
        <v>UWFE</v>
      </c>
      <c r="V421" s="26">
        <f t="shared" ref="V421" si="678">MIN(IF(IF($AA$3=2,AND(E421=1,G421=1,L421=1,L424=1,M421=1,U421="IBU"),AND(E421=1,G421=1,L421=1,L424=1,M421=1)),T421,0),I421)</f>
        <v>0</v>
      </c>
      <c r="W421" s="26"/>
      <c r="X421" s="26"/>
      <c r="Y421" s="26"/>
      <c r="Z421" s="26"/>
      <c r="AA421" s="26"/>
      <c r="AB421" s="33"/>
    </row>
    <row r="422" spans="1:28" x14ac:dyDescent="0.3">
      <c r="A422" s="32">
        <f>VLOOKUP(YEAR(C422),Flags!$A$13:$B$95,2,FALSE)</f>
        <v>1</v>
      </c>
      <c r="B422" s="24">
        <f t="shared" si="637"/>
        <v>1967</v>
      </c>
      <c r="C422" s="25">
        <v>24684</v>
      </c>
      <c r="D422" s="26">
        <f>VLOOKUP($C422,COS!$B$8:$H$991,3,FALSE)</f>
        <v>11558.0478515625</v>
      </c>
      <c r="E422" s="24">
        <f>IF(D422&gt;=IF(MONTH($C422)=4,$C$3,IF(MONTH($C422)=5,$C$4,IF(MONTH($C422)=6,$C$5,IF(MONTH($C422)=7,$C$6,"ERROR")))),1,0)</f>
        <v>0</v>
      </c>
      <c r="F422" s="26">
        <f>VLOOKUP($C422,COS!$B$8:$H$991,7,FALSE)</f>
        <v>52.531658172607422</v>
      </c>
      <c r="G422" s="24">
        <f>IF(F422&lt;=IF(MONTH($C422)=4,$F$3,IF(MONTH($C422)=5,$F$4,IF(MONTH($C422)=6,$F$5,IF(MONTH($C422)=7,$F$6,"ERROR")))),1,0)</f>
        <v>1</v>
      </c>
      <c r="H422" s="26">
        <f>IF(J422=1,D422-$C$6,0)</f>
        <v>0</v>
      </c>
      <c r="I422" s="26">
        <f t="shared" si="661"/>
        <v>0</v>
      </c>
      <c r="J422" s="24">
        <f t="shared" si="669"/>
        <v>0</v>
      </c>
      <c r="K422" s="26">
        <f>VLOOKUP($C422,COS!$B$8:$H$991,2,FALSE)</f>
        <v>4019.93115234375</v>
      </c>
      <c r="L422" s="24">
        <f t="shared" si="639"/>
        <v>1</v>
      </c>
      <c r="M422" s="24">
        <f t="shared" si="640"/>
        <v>0</v>
      </c>
      <c r="N422" s="26">
        <f>VLOOKUP($C422,COS!$B$8:$H$991,5,FALSE)</f>
        <v>1366.88818359375</v>
      </c>
      <c r="O422" s="26">
        <f t="shared" si="672"/>
        <v>84.046678396177683</v>
      </c>
      <c r="P422" s="26">
        <f>VLOOKUP($C422,COS!$B$8:$H$991,6,FALSE)</f>
        <v>2516.8701171875</v>
      </c>
      <c r="Q422" s="26">
        <f t="shared" si="673"/>
        <v>154.75631133780993</v>
      </c>
      <c r="R422" s="26">
        <f>MIN(IF(MONTH($C422)=4,$S$3,IF(MONTH($C422)=5,$S$4,IF(MONTH($C422)=6,$S$5,IF(MONTH($C422)=7,$S$6,"ERROR")))),MAX(VLOOKUP($C422,COS!$B$8:$K$991,10,FALSE)-IF(MONTH($C422)=4,$Y$3,IF(MONTH($C422)=5,$Y$4,IF(MONTH($C422)=6,$Y$5,IF(MONTH($C422)=7,$Y$6,"ERROR")))),0),MAX(VLOOKUP($C422,COS!$B$8:$K$991,9,FALSE)-IF(MONTH($C422)=4,$V$3,IF(MONTH($C422)=5,$V$4,IF(MONTH($C422)=6,$V$5,IF(MONTH($C422)=7,$V$6,"ERROR"))))-VLOOKUP($C422,COS!$B$8:$K$991,6,FALSE)/2,0))</f>
        <v>1500</v>
      </c>
      <c r="S422" s="26">
        <f t="shared" si="674"/>
        <v>92.231404958677686</v>
      </c>
      <c r="T422" s="26">
        <f t="shared" si="675"/>
        <v>211.63289982567147</v>
      </c>
      <c r="U422" s="26" t="str">
        <f>IF(VLOOKUP($C422,COS!$B$8:$I$991,8,FALSE)=1,"UWFE","IBU")</f>
        <v>UWFE</v>
      </c>
      <c r="V422" s="26">
        <f t="shared" ref="V422" si="679">MIN(IF(IF($AA$3=2,AND(E422=1,G422=1,L422=1,L424=1,M422=1,U422="IBU"),AND(E422=1,G422=1,L422=1,L424=1,M422=1)),T422,0),I422)</f>
        <v>0</v>
      </c>
      <c r="W422" s="26"/>
      <c r="X422" s="26"/>
      <c r="Y422" s="26"/>
      <c r="Z422" s="26"/>
      <c r="AA422" s="26"/>
      <c r="AB422" s="33"/>
    </row>
    <row r="423" spans="1:28" x14ac:dyDescent="0.3">
      <c r="A423" s="32">
        <f>VLOOKUP(YEAR(C423),Flags!$A$13:$B$95,2,FALSE)</f>
        <v>1</v>
      </c>
      <c r="B423" s="24">
        <f t="shared" si="637"/>
        <v>1967</v>
      </c>
      <c r="C423" s="25">
        <v>24715</v>
      </c>
      <c r="D423" s="26"/>
      <c r="E423" s="24"/>
      <c r="F423" s="26"/>
      <c r="G423" s="24"/>
      <c r="H423" s="24"/>
      <c r="I423" s="26"/>
      <c r="J423" s="24"/>
      <c r="K423" s="26"/>
      <c r="L423" s="24"/>
      <c r="M423" s="24"/>
      <c r="N423" s="26"/>
      <c r="O423" s="26"/>
      <c r="P423" s="26"/>
      <c r="Q423" s="26"/>
      <c r="R423" s="26"/>
      <c r="S423" s="26"/>
      <c r="T423" s="26"/>
      <c r="U423" s="26"/>
      <c r="V423" s="26"/>
      <c r="W423" s="26">
        <f>MAX($C$7-VLOOKUP($C423,COS!$B$8:$H$991,3,FALSE),0)</f>
        <v>89940.6201171875</v>
      </c>
      <c r="X423" s="26">
        <f t="shared" si="667"/>
        <v>5530.2331708419424</v>
      </c>
      <c r="Y423" s="26">
        <f>VLOOKUP($C423,COS!$B$8:$H$991,4,FALSE)</f>
        <v>0</v>
      </c>
      <c r="Z423" s="26">
        <f t="shared" si="668"/>
        <v>0</v>
      </c>
      <c r="AA423" s="26">
        <f t="shared" ref="AA423:AA427" si="680">MIN(W423,Y423)</f>
        <v>0</v>
      </c>
      <c r="AB423" s="33">
        <f t="shared" ref="AB423" si="681">AA423*DAY($C423)*86400/43560/1000*IF(MONTH($C423)=8,$P$3,IF(MONTH($C423)=9,$P$4,IF(MONTH($C423)=10,$P$5,IF(MONTH($C423)=11,$P$6,IF(MONTH($C423)=12,$P$7,NA())))))</f>
        <v>0</v>
      </c>
    </row>
    <row r="424" spans="1:28" x14ac:dyDescent="0.3">
      <c r="A424" s="32">
        <f>VLOOKUP(YEAR(C424),Flags!$A$13:$B$95,2,FALSE)</f>
        <v>1</v>
      </c>
      <c r="B424" s="24">
        <f t="shared" si="637"/>
        <v>1967</v>
      </c>
      <c r="C424" s="25">
        <v>24745</v>
      </c>
      <c r="D424" s="26"/>
      <c r="E424" s="24"/>
      <c r="F424" s="26"/>
      <c r="G424" s="24"/>
      <c r="H424" s="24"/>
      <c r="I424" s="26"/>
      <c r="J424" s="24"/>
      <c r="K424" s="26">
        <f>VLOOKUP($C424,COS!$B$8:$H$991,2,FALSE)</f>
        <v>3126.86767578125</v>
      </c>
      <c r="L424" s="24">
        <f t="shared" ref="L424" si="682">IF(AND(K424&gt;$I$7,K424&lt;$I$8),1,0)</f>
        <v>1</v>
      </c>
      <c r="M424" s="24"/>
      <c r="N424" s="26"/>
      <c r="O424" s="26"/>
      <c r="P424" s="26"/>
      <c r="Q424" s="26"/>
      <c r="R424" s="26"/>
      <c r="S424" s="26"/>
      <c r="T424" s="26"/>
      <c r="U424" s="26"/>
      <c r="V424" s="26"/>
      <c r="W424" s="26">
        <f>MAX($C$8-VLOOKUP($C424,COS!$B$8:$H$991,3,FALSE),0)</f>
        <v>84275.95703125</v>
      </c>
      <c r="X424" s="26">
        <f t="shared" si="667"/>
        <v>5014.7676911157023</v>
      </c>
      <c r="Y424" s="26">
        <f>VLOOKUP($C424,COS!$B$8:$H$991,4,FALSE)</f>
        <v>0</v>
      </c>
      <c r="Z424" s="26">
        <f t="shared" si="668"/>
        <v>0</v>
      </c>
      <c r="AA424" s="26">
        <f t="shared" si="680"/>
        <v>0</v>
      </c>
      <c r="AB424" s="33">
        <f t="shared" si="650"/>
        <v>0</v>
      </c>
    </row>
    <row r="425" spans="1:28" x14ac:dyDescent="0.3">
      <c r="A425" s="32">
        <f>VLOOKUP(YEAR(C425),Flags!$A$13:$B$95,2,FALSE)</f>
        <v>1</v>
      </c>
      <c r="B425" s="24">
        <f t="shared" si="637"/>
        <v>1967</v>
      </c>
      <c r="C425" s="25">
        <v>24776</v>
      </c>
      <c r="D425" s="26"/>
      <c r="E425" s="24"/>
      <c r="F425" s="26"/>
      <c r="G425" s="26"/>
      <c r="H425" s="26"/>
      <c r="I425" s="26"/>
      <c r="J425" s="26"/>
      <c r="K425" s="26"/>
      <c r="L425" s="24"/>
      <c r="M425" s="24"/>
      <c r="N425" s="26"/>
      <c r="O425" s="26"/>
      <c r="P425" s="26"/>
      <c r="Q425" s="26"/>
      <c r="R425" s="26"/>
      <c r="S425" s="26"/>
      <c r="T425" s="26"/>
      <c r="U425" s="26"/>
      <c r="V425" s="26"/>
      <c r="W425" s="26">
        <f>MAX($C$9-VLOOKUP($C425,COS!$B$8:$H$991,3,FALSE),0)</f>
        <v>94715.58154296875</v>
      </c>
      <c r="X425" s="26">
        <f t="shared" si="667"/>
        <v>5823.8341047908061</v>
      </c>
      <c r="Y425" s="26">
        <f>VLOOKUP($C425,COS!$B$8:$H$991,4,FALSE)</f>
        <v>302.17996215820313</v>
      </c>
      <c r="Z425" s="26">
        <f t="shared" si="668"/>
        <v>18.580321640140756</v>
      </c>
      <c r="AA425" s="26">
        <f t="shared" si="680"/>
        <v>302.17996215820313</v>
      </c>
      <c r="AB425" s="33">
        <f t="shared" si="650"/>
        <v>18.580321640140756</v>
      </c>
    </row>
    <row r="426" spans="1:28" x14ac:dyDescent="0.3">
      <c r="A426" s="32">
        <f>VLOOKUP(YEAR(C426),Flags!$A$13:$B$95,2,FALSE)</f>
        <v>1</v>
      </c>
      <c r="B426" s="24">
        <f t="shared" si="637"/>
        <v>1967</v>
      </c>
      <c r="C426" s="25">
        <v>24806</v>
      </c>
      <c r="D426" s="26"/>
      <c r="E426" s="24"/>
      <c r="F426" s="26"/>
      <c r="G426" s="26"/>
      <c r="H426" s="26"/>
      <c r="I426" s="26"/>
      <c r="J426" s="26"/>
      <c r="K426" s="26"/>
      <c r="L426" s="24"/>
      <c r="M426" s="24"/>
      <c r="N426" s="26"/>
      <c r="O426" s="26"/>
      <c r="P426" s="26"/>
      <c r="Q426" s="26"/>
      <c r="R426" s="26"/>
      <c r="S426" s="26"/>
      <c r="T426" s="26"/>
      <c r="U426" s="26"/>
      <c r="V426" s="26"/>
      <c r="W426" s="26">
        <f>MAX($C$10-VLOOKUP($C426,COS!$B$8:$H$991,3,FALSE),0)</f>
        <v>91235.603515625</v>
      </c>
      <c r="X426" s="26">
        <f t="shared" si="667"/>
        <v>5428.895415805785</v>
      </c>
      <c r="Y426" s="26">
        <f>VLOOKUP($C426,COS!$B$8:$H$991,4,FALSE)</f>
        <v>1725.1964111328125</v>
      </c>
      <c r="Z426" s="26">
        <f t="shared" si="668"/>
        <v>102.65631537319214</v>
      </c>
      <c r="AA426" s="26">
        <f t="shared" si="680"/>
        <v>1725.1964111328125</v>
      </c>
      <c r="AB426" s="33">
        <f t="shared" si="650"/>
        <v>102.65631537319214</v>
      </c>
    </row>
    <row r="427" spans="1:28" x14ac:dyDescent="0.3">
      <c r="A427" s="34">
        <f>VLOOKUP(YEAR(C427),Flags!$A$13:$B$95,2,FALSE)</f>
        <v>1</v>
      </c>
      <c r="B427" s="35">
        <f t="shared" si="637"/>
        <v>1967</v>
      </c>
      <c r="C427" s="36">
        <v>24837</v>
      </c>
      <c r="D427" s="37"/>
      <c r="E427" s="35"/>
      <c r="F427" s="37"/>
      <c r="G427" s="37"/>
      <c r="H427" s="37"/>
      <c r="I427" s="37"/>
      <c r="J427" s="37"/>
      <c r="K427" s="37"/>
      <c r="L427" s="35"/>
      <c r="M427" s="35"/>
      <c r="N427" s="37"/>
      <c r="O427" s="37"/>
      <c r="P427" s="37"/>
      <c r="Q427" s="37"/>
      <c r="R427" s="37"/>
      <c r="S427" s="37"/>
      <c r="T427" s="37"/>
      <c r="U427" s="37"/>
      <c r="V427" s="37"/>
      <c r="W427" s="37">
        <f>MAX($C$11-VLOOKUP($C427,COS!$B$8:$H$991,3,FALSE),0)</f>
        <v>95723.88818359375</v>
      </c>
      <c r="X427" s="37">
        <f t="shared" si="667"/>
        <v>5885.8324635201452</v>
      </c>
      <c r="Y427" s="37">
        <f>VLOOKUP($C427,COS!$B$8:$H$991,4,FALSE)</f>
        <v>0</v>
      </c>
      <c r="Z427" s="37">
        <f t="shared" si="668"/>
        <v>0</v>
      </c>
      <c r="AA427" s="37">
        <f t="shared" si="680"/>
        <v>0</v>
      </c>
      <c r="AB427" s="38">
        <f t="shared" si="650"/>
        <v>0</v>
      </c>
    </row>
    <row r="428" spans="1:28" x14ac:dyDescent="0.3">
      <c r="A428" s="27">
        <f>VLOOKUP(YEAR(C428),Flags!$A$13:$B$95,2,FALSE)</f>
        <v>3</v>
      </c>
      <c r="B428" s="28">
        <f t="shared" si="637"/>
        <v>1968</v>
      </c>
      <c r="C428" s="29">
        <v>24958</v>
      </c>
      <c r="D428" s="30">
        <f>VLOOKUP($C428,COS!$B$8:$H$991,3,FALSE)</f>
        <v>3250</v>
      </c>
      <c r="E428" s="28">
        <f>IF(D428&gt;=IF(MONTH($C428)=4,$C$3,IF(MONTH($C428)=5,$C$4,IF(MONTH($C428)=6,$C$5,IF(MONTH($C428)=7,$C$6,"ERROR")))),1,0)</f>
        <v>0</v>
      </c>
      <c r="F428" s="30">
        <f>VLOOKUP($C428,COS!$B$8:$H$991,7,FALSE)</f>
        <v>51.910366058349609</v>
      </c>
      <c r="G428" s="28">
        <f>IF(F428&lt;=IF(MONTH($C428)=4,$F$3,IF(MONTH($C428)=5,$F$4,IF(MONTH($C428)=6,$F$5,IF(MONTH($C428)=7,$F$6,"ERROR")))),1,0)</f>
        <v>1</v>
      </c>
      <c r="H428" s="30">
        <f>IF(J428=1,D428-$C$3,0)</f>
        <v>0</v>
      </c>
      <c r="I428" s="30">
        <f t="shared" si="661"/>
        <v>0</v>
      </c>
      <c r="J428" s="28">
        <f t="shared" ref="J428:J431" si="683">IF(AND(E428=1,G428=1),1,0)</f>
        <v>0</v>
      </c>
      <c r="K428" s="30">
        <f>VLOOKUP($C428,COS!$B$8:$H$991,2,FALSE)</f>
        <v>4387.3369140625</v>
      </c>
      <c r="L428" s="28">
        <f t="shared" ref="L428" si="684">IF(K428&lt;=IF(MONTH($C428)=4,$I$3,IF(MONTH($C428)=5,$I$4,IF(MONTH($C428)=6,$I$5,IF(MONTH($C428)=7,$I$6,"ERROR")))),1,0)</f>
        <v>1</v>
      </c>
      <c r="M428" s="28">
        <f t="shared" ref="M428" si="685">VLOOKUP($A428,$L$3:$M$7,2,FALSE)</f>
        <v>0</v>
      </c>
      <c r="N428" s="30">
        <f>VLOOKUP($C428,COS!$B$8:$H$991,5,FALSE)</f>
        <v>372.8587646484375</v>
      </c>
      <c r="O428" s="30">
        <f t="shared" ref="O428:O431" si="686">N428*DAY($C428)*86400/43560/1000</f>
        <v>22.186637235278926</v>
      </c>
      <c r="P428" s="30">
        <f>VLOOKUP($C428,COS!$B$8:$H$991,6,FALSE)</f>
        <v>480.01702880859375</v>
      </c>
      <c r="Q428" s="30">
        <f t="shared" ref="Q428:Q431" si="687">P428*DAY($C428)*86400/43560/1000</f>
        <v>28.562996755552685</v>
      </c>
      <c r="R428" s="30">
        <f>MIN(IF(MONTH($C428)=4,$S$3,IF(MONTH($C428)=5,$S$4,IF(MONTH($C428)=6,$S$5,IF(MONTH($C428)=7,$S$6,"ERROR")))),MAX(VLOOKUP($C428,COS!$B$8:$K$991,10,FALSE)-IF(MONTH($C428)=4,$Y$3,IF(MONTH($C428)=5,$Y$4,IF(MONTH($C428)=6,$Y$5,IF(MONTH($C428)=7,$Y$6,"ERROR")))),0),MAX(VLOOKUP($C428,COS!$B$8:$K$991,9,FALSE)-IF(MONTH($C428)=4,$V$3,IF(MONTH($C428)=5,$V$4,IF(MONTH($C428)=6,$V$5,IF(MONTH($C428)=7,$V$6,"ERROR"))))-VLOOKUP($C428,COS!$B$8:$K$991,6,FALSE)/2,0))</f>
        <v>1012.0751953125</v>
      </c>
      <c r="S428" s="30">
        <f t="shared" ref="S428:S431" si="688">R428*DAY($C428)*86400/43560/1000</f>
        <v>60.22265625</v>
      </c>
      <c r="T428" s="30">
        <f t="shared" ref="T428:T431" si="689">(O428+Q428)/2+S428</f>
        <v>85.597473245415813</v>
      </c>
      <c r="U428" s="30" t="str">
        <f>IF(VLOOKUP($C428,COS!$B$8:$I$991,8,FALSE)=1,"UWFE","IBU")</f>
        <v>UWFE</v>
      </c>
      <c r="V428" s="30">
        <f t="shared" ref="V428" si="690">MIN(IF(IF($AA$3=2,AND(E428=1,G428=1,L428=1,L433=1,M428=1,U428="IBU"),AND(E428=1,G428=1,L428=1,L433=1,M428=1)),T428,0),I428)</f>
        <v>0</v>
      </c>
      <c r="W428" s="30"/>
      <c r="X428" s="30"/>
      <c r="Y428" s="30"/>
      <c r="Z428" s="30"/>
      <c r="AA428" s="30"/>
      <c r="AB428" s="31"/>
    </row>
    <row r="429" spans="1:28" x14ac:dyDescent="0.3">
      <c r="A429" s="32">
        <f>VLOOKUP(YEAR(C429),Flags!$A$13:$B$95,2,FALSE)</f>
        <v>3</v>
      </c>
      <c r="B429" s="24">
        <f t="shared" si="637"/>
        <v>1968</v>
      </c>
      <c r="C429" s="25">
        <v>24989</v>
      </c>
      <c r="D429" s="26">
        <f>VLOOKUP($C429,COS!$B$8:$H$991,3,FALSE)</f>
        <v>7092.59228515625</v>
      </c>
      <c r="E429" s="24">
        <f>IF(D429&gt;=IF(MONTH($C429)=4,$C$3,IF(MONTH($C429)=5,$C$4,IF(MONTH($C429)=6,$C$5,IF(MONTH($C429)=7,$C$6,"ERROR")))),1,0)</f>
        <v>1</v>
      </c>
      <c r="F429" s="26">
        <f>VLOOKUP($C429,COS!$B$8:$H$991,7,FALSE)</f>
        <v>51.028709411621094</v>
      </c>
      <c r="G429" s="24">
        <f>IF(F429&lt;=IF(MONTH($C429)=4,$F$3,IF(MONTH($C429)=5,$F$4,IF(MONTH($C429)=6,$F$5,IF(MONTH($C429)=7,$F$6,"ERROR")))),1,0)</f>
        <v>1</v>
      </c>
      <c r="H429" s="26">
        <f>IF(J429=1,D429-$C$4,0)</f>
        <v>1092.59228515625</v>
      </c>
      <c r="I429" s="26">
        <f t="shared" si="661"/>
        <v>67.180881004648768</v>
      </c>
      <c r="J429" s="24">
        <f t="shared" si="683"/>
        <v>1</v>
      </c>
      <c r="K429" s="26">
        <f>VLOOKUP($C429,COS!$B$8:$H$991,2,FALSE)</f>
        <v>4254.63671875</v>
      </c>
      <c r="L429" s="24">
        <f t="shared" si="639"/>
        <v>1</v>
      </c>
      <c r="M429" s="24">
        <f t="shared" si="640"/>
        <v>0</v>
      </c>
      <c r="N429" s="26">
        <f>VLOOKUP($C429,COS!$B$8:$H$991,5,FALSE)</f>
        <v>578.8367919921875</v>
      </c>
      <c r="O429" s="26">
        <f t="shared" si="686"/>
        <v>35.591287044808887</v>
      </c>
      <c r="P429" s="26">
        <f>VLOOKUP($C429,COS!$B$8:$H$991,6,FALSE)</f>
        <v>2198.37158203125</v>
      </c>
      <c r="Q429" s="26">
        <f t="shared" si="687"/>
        <v>135.17259975464876</v>
      </c>
      <c r="R429" s="26">
        <f>MIN(IF(MONTH($C429)=4,$S$3,IF(MONTH($C429)=5,$S$4,IF(MONTH($C429)=6,$S$5,IF(MONTH($C429)=7,$S$6,"ERROR")))),MAX(VLOOKUP($C429,COS!$B$8:$K$991,10,FALSE)-IF(MONTH($C429)=4,$Y$3,IF(MONTH($C429)=5,$Y$4,IF(MONTH($C429)=6,$Y$5,IF(MONTH($C429)=7,$Y$6,"ERROR")))),0),MAX(VLOOKUP($C429,COS!$B$8:$K$991,9,FALSE)-IF(MONTH($C429)=4,$V$3,IF(MONTH($C429)=5,$V$4,IF(MONTH($C429)=6,$V$5,IF(MONTH($C429)=7,$V$6,"ERROR"))))-VLOOKUP($C429,COS!$B$8:$K$991,6,FALSE)/2,0))</f>
        <v>1500</v>
      </c>
      <c r="S429" s="26">
        <f t="shared" si="688"/>
        <v>92.231404958677686</v>
      </c>
      <c r="T429" s="26">
        <f t="shared" si="689"/>
        <v>177.61334835840651</v>
      </c>
      <c r="U429" s="26" t="str">
        <f>IF(VLOOKUP($C429,COS!$B$8:$I$991,8,FALSE)=1,"UWFE","IBU")</f>
        <v>UWFE</v>
      </c>
      <c r="V429" s="26">
        <f t="shared" ref="V429" si="691">MIN(IF(IF($AA$3=2,AND(E429=1,G429=1,L429=1,L433=1,M429=1,U429="IBU"),AND(E429=1,G429=1,L429=1,L433=1,M429=1)),T429,0),I429)</f>
        <v>0</v>
      </c>
      <c r="W429" s="26"/>
      <c r="X429" s="26"/>
      <c r="Y429" s="26"/>
      <c r="Z429" s="26"/>
      <c r="AA429" s="26"/>
      <c r="AB429" s="33"/>
    </row>
    <row r="430" spans="1:28" x14ac:dyDescent="0.3">
      <c r="A430" s="32">
        <f>VLOOKUP(YEAR(C430),Flags!$A$13:$B$95,2,FALSE)</f>
        <v>3</v>
      </c>
      <c r="B430" s="24">
        <f t="shared" si="637"/>
        <v>1968</v>
      </c>
      <c r="C430" s="25">
        <v>25019</v>
      </c>
      <c r="D430" s="26">
        <f>VLOOKUP($C430,COS!$B$8:$H$991,3,FALSE)</f>
        <v>13090.2783203125</v>
      </c>
      <c r="E430" s="24">
        <f>IF(D430&gt;=IF(MONTH($C430)=4,$C$3,IF(MONTH($C430)=5,$C$4,IF(MONTH($C430)=6,$C$5,IF(MONTH($C430)=7,$C$6,"ERROR")))),1,0)</f>
        <v>1</v>
      </c>
      <c r="F430" s="26">
        <f>VLOOKUP($C430,COS!$B$8:$H$991,7,FALSE)</f>
        <v>50.739017486572266</v>
      </c>
      <c r="G430" s="24">
        <f>IF(F430&lt;=IF(MONTH($C430)=4,$F$3,IF(MONTH($C430)=5,$F$4,IF(MONTH($C430)=6,$F$5,IF(MONTH($C430)=7,$F$6,"ERROR")))),1,0)</f>
        <v>1</v>
      </c>
      <c r="H430" s="26">
        <f>IF(J430=1,D430-$C$5,0)</f>
        <v>3090.2783203125</v>
      </c>
      <c r="I430" s="26">
        <f t="shared" si="661"/>
        <v>183.884329803719</v>
      </c>
      <c r="J430" s="24">
        <f t="shared" si="683"/>
        <v>1</v>
      </c>
      <c r="K430" s="26">
        <f>VLOOKUP($C430,COS!$B$8:$H$991,2,FALSE)</f>
        <v>3698.470458984375</v>
      </c>
      <c r="L430" s="24">
        <f t="shared" si="639"/>
        <v>1</v>
      </c>
      <c r="M430" s="24">
        <f t="shared" si="640"/>
        <v>0</v>
      </c>
      <c r="N430" s="26">
        <f>VLOOKUP($C430,COS!$B$8:$H$991,5,FALSE)</f>
        <v>708.03900146484375</v>
      </c>
      <c r="O430" s="26">
        <f t="shared" si="686"/>
        <v>42.131246368155992</v>
      </c>
      <c r="P430" s="26">
        <f>VLOOKUP($C430,COS!$B$8:$H$991,6,FALSE)</f>
        <v>2497.662353515625</v>
      </c>
      <c r="Q430" s="26">
        <f t="shared" si="687"/>
        <v>148.62123095299586</v>
      </c>
      <c r="R430" s="26">
        <f>MIN(IF(MONTH($C430)=4,$S$3,IF(MONTH($C430)=5,$S$4,IF(MONTH($C430)=6,$S$5,IF(MONTH($C430)=7,$S$6,"ERROR")))),MAX(VLOOKUP($C430,COS!$B$8:$K$991,10,FALSE)-IF(MONTH($C430)=4,$Y$3,IF(MONTH($C430)=5,$Y$4,IF(MONTH($C430)=6,$Y$5,IF(MONTH($C430)=7,$Y$6,"ERROR")))),0),MAX(VLOOKUP($C430,COS!$B$8:$K$991,9,FALSE)-IF(MONTH($C430)=4,$V$3,IF(MONTH($C430)=5,$V$4,IF(MONTH($C430)=6,$V$5,IF(MONTH($C430)=7,$V$6,"ERROR"))))-VLOOKUP($C430,COS!$B$8:$K$991,6,FALSE)/2,0))</f>
        <v>1500</v>
      </c>
      <c r="S430" s="26">
        <f t="shared" si="688"/>
        <v>89.256198347107429</v>
      </c>
      <c r="T430" s="26">
        <f t="shared" si="689"/>
        <v>184.63243700768334</v>
      </c>
      <c r="U430" s="26" t="str">
        <f>IF(VLOOKUP($C430,COS!$B$8:$I$991,8,FALSE)=1,"UWFE","IBU")</f>
        <v>IBU</v>
      </c>
      <c r="V430" s="26">
        <f t="shared" ref="V430" si="692">MIN(IF(IF($AA$3=2,AND(E430=1,G430=1,L430=1,L433=1,M430=1,U430="IBU"),AND(E430=1,G430=1,L430=1,L433=1,M430=1)),T430,0),I430)</f>
        <v>0</v>
      </c>
      <c r="W430" s="26"/>
      <c r="X430" s="26"/>
      <c r="Y430" s="26"/>
      <c r="Z430" s="26"/>
      <c r="AA430" s="26"/>
      <c r="AB430" s="33"/>
    </row>
    <row r="431" spans="1:28" x14ac:dyDescent="0.3">
      <c r="A431" s="32">
        <f>VLOOKUP(YEAR(C431),Flags!$A$13:$B$95,2,FALSE)</f>
        <v>3</v>
      </c>
      <c r="B431" s="24">
        <f t="shared" si="637"/>
        <v>1968</v>
      </c>
      <c r="C431" s="25">
        <v>25050</v>
      </c>
      <c r="D431" s="26">
        <f>VLOOKUP($C431,COS!$B$8:$H$991,3,FALSE)</f>
        <v>16000</v>
      </c>
      <c r="E431" s="24">
        <f>IF(D431&gt;=IF(MONTH($C431)=4,$C$3,IF(MONTH($C431)=5,$C$4,IF(MONTH($C431)=6,$C$5,IF(MONTH($C431)=7,$C$6,"ERROR")))),1,0)</f>
        <v>1</v>
      </c>
      <c r="F431" s="26">
        <f>VLOOKUP($C431,COS!$B$8:$H$991,7,FALSE)</f>
        <v>51.892650604248047</v>
      </c>
      <c r="G431" s="24">
        <f>IF(F431&lt;=IF(MONTH($C431)=4,$F$3,IF(MONTH($C431)=5,$F$4,IF(MONTH($C431)=6,$F$5,IF(MONTH($C431)=7,$F$6,"ERROR")))),1,0)</f>
        <v>1</v>
      </c>
      <c r="H431" s="26">
        <f>IF(J431=1,D431-$C$6,0)</f>
        <v>4000</v>
      </c>
      <c r="I431" s="26">
        <f t="shared" si="661"/>
        <v>245.95041322314049</v>
      </c>
      <c r="J431" s="24">
        <f t="shared" si="683"/>
        <v>1</v>
      </c>
      <c r="K431" s="26">
        <f>VLOOKUP($C431,COS!$B$8:$H$991,2,FALSE)</f>
        <v>3020.87158203125</v>
      </c>
      <c r="L431" s="24">
        <f t="shared" si="639"/>
        <v>1</v>
      </c>
      <c r="M431" s="24">
        <f t="shared" si="640"/>
        <v>0</v>
      </c>
      <c r="N431" s="26">
        <f>VLOOKUP($C431,COS!$B$8:$H$991,5,FALSE)</f>
        <v>869.43463134765625</v>
      </c>
      <c r="O431" s="26">
        <f t="shared" si="686"/>
        <v>53.459451712616215</v>
      </c>
      <c r="P431" s="26">
        <f>VLOOKUP($C431,COS!$B$8:$H$991,6,FALSE)</f>
        <v>2537.385498046875</v>
      </c>
      <c r="Q431" s="26">
        <f t="shared" si="687"/>
        <v>156.01775293775825</v>
      </c>
      <c r="R431" s="26">
        <f>MIN(IF(MONTH($C431)=4,$S$3,IF(MONTH($C431)=5,$S$4,IF(MONTH($C431)=6,$S$5,IF(MONTH($C431)=7,$S$6,"ERROR")))),MAX(VLOOKUP($C431,COS!$B$8:$K$991,10,FALSE)-IF(MONTH($C431)=4,$Y$3,IF(MONTH($C431)=5,$Y$4,IF(MONTH($C431)=6,$Y$5,IF(MONTH($C431)=7,$Y$6,"ERROR")))),0),MAX(VLOOKUP($C431,COS!$B$8:$K$991,9,FALSE)-IF(MONTH($C431)=4,$V$3,IF(MONTH($C431)=5,$V$4,IF(MONTH($C431)=6,$V$5,IF(MONTH($C431)=7,$V$6,"ERROR"))))-VLOOKUP($C431,COS!$B$8:$K$991,6,FALSE)/2,0))</f>
        <v>1500</v>
      </c>
      <c r="S431" s="26">
        <f t="shared" si="688"/>
        <v>92.231404958677686</v>
      </c>
      <c r="T431" s="26">
        <f t="shared" si="689"/>
        <v>196.9700072838649</v>
      </c>
      <c r="U431" s="26" t="str">
        <f>IF(VLOOKUP($C431,COS!$B$8:$I$991,8,FALSE)=1,"UWFE","IBU")</f>
        <v>IBU</v>
      </c>
      <c r="V431" s="26">
        <f t="shared" ref="V431" si="693">MIN(IF(IF($AA$3=2,AND(E431=1,G431=1,L431=1,L433=1,M431=1,U431="IBU"),AND(E431=1,G431=1,L431=1,L433=1,M431=1)),T431,0),I431)</f>
        <v>0</v>
      </c>
      <c r="W431" s="26"/>
      <c r="X431" s="26"/>
      <c r="Y431" s="26"/>
      <c r="Z431" s="26"/>
      <c r="AA431" s="26"/>
      <c r="AB431" s="33"/>
    </row>
    <row r="432" spans="1:28" x14ac:dyDescent="0.3">
      <c r="A432" s="32">
        <f>VLOOKUP(YEAR(C432),Flags!$A$13:$B$95,2,FALSE)</f>
        <v>3</v>
      </c>
      <c r="B432" s="24">
        <f t="shared" si="637"/>
        <v>1968</v>
      </c>
      <c r="C432" s="25">
        <v>25081</v>
      </c>
      <c r="D432" s="26"/>
      <c r="E432" s="24"/>
      <c r="F432" s="26"/>
      <c r="G432" s="24"/>
      <c r="H432" s="24"/>
      <c r="I432" s="26"/>
      <c r="J432" s="24"/>
      <c r="K432" s="26"/>
      <c r="L432" s="24"/>
      <c r="M432" s="24"/>
      <c r="N432" s="26"/>
      <c r="O432" s="26"/>
      <c r="P432" s="26"/>
      <c r="Q432" s="26"/>
      <c r="R432" s="26"/>
      <c r="S432" s="26"/>
      <c r="T432" s="26"/>
      <c r="U432" s="26"/>
      <c r="V432" s="26"/>
      <c r="W432" s="26">
        <f>MAX($C$7-VLOOKUP($C432,COS!$B$8:$H$991,3,FALSE),0)</f>
        <v>91885.423828125</v>
      </c>
      <c r="X432" s="26">
        <f t="shared" si="667"/>
        <v>5649.8144899276858</v>
      </c>
      <c r="Y432" s="26">
        <f>VLOOKUP($C432,COS!$B$8:$H$991,4,FALSE)</f>
        <v>520.4456787109375</v>
      </c>
      <c r="Z432" s="26">
        <f t="shared" si="668"/>
        <v>32.000957434788219</v>
      </c>
      <c r="AA432" s="26">
        <f t="shared" ref="AA432:AA436" si="694">MIN(W432,Y432)</f>
        <v>520.4456787109375</v>
      </c>
      <c r="AB432" s="33">
        <f t="shared" ref="AB432" si="695">AA432*DAY($C432)*86400/43560/1000*IF(MONTH($C432)=8,$P$3,IF(MONTH($C432)=9,$P$4,IF(MONTH($C432)=10,$P$5,IF(MONTH($C432)=11,$P$6,IF(MONTH($C432)=12,$P$7,NA())))))</f>
        <v>32.000957434788219</v>
      </c>
    </row>
    <row r="433" spans="1:28" x14ac:dyDescent="0.3">
      <c r="A433" s="32">
        <f>VLOOKUP(YEAR(C433),Flags!$A$13:$B$95,2,FALSE)</f>
        <v>3</v>
      </c>
      <c r="B433" s="24">
        <f t="shared" si="637"/>
        <v>1968</v>
      </c>
      <c r="C433" s="25">
        <v>25111</v>
      </c>
      <c r="D433" s="26"/>
      <c r="E433" s="24"/>
      <c r="F433" s="26"/>
      <c r="G433" s="24"/>
      <c r="H433" s="24"/>
      <c r="I433" s="26"/>
      <c r="J433" s="24"/>
      <c r="K433" s="26">
        <f>VLOOKUP($C433,COS!$B$8:$H$991,2,FALSE)</f>
        <v>2794.065185546875</v>
      </c>
      <c r="L433" s="24">
        <f t="shared" ref="L433" si="696">IF(AND(K433&gt;$I$7,K433&lt;$I$8),1,0)</f>
        <v>1</v>
      </c>
      <c r="M433" s="24"/>
      <c r="N433" s="26"/>
      <c r="O433" s="26"/>
      <c r="P433" s="26"/>
      <c r="Q433" s="26"/>
      <c r="R433" s="26"/>
      <c r="S433" s="26"/>
      <c r="T433" s="26"/>
      <c r="U433" s="26"/>
      <c r="V433" s="26"/>
      <c r="W433" s="26">
        <f>MAX($C$8-VLOOKUP($C433,COS!$B$8:$H$991,3,FALSE),0)</f>
        <v>93395.6298828125</v>
      </c>
      <c r="X433" s="26">
        <f t="shared" si="667"/>
        <v>5557.4259103822315</v>
      </c>
      <c r="Y433" s="26">
        <f>VLOOKUP($C433,COS!$B$8:$H$991,4,FALSE)</f>
        <v>164.13697814941406</v>
      </c>
      <c r="Z433" s="26">
        <f t="shared" si="668"/>
        <v>9.76682845186596</v>
      </c>
      <c r="AA433" s="26">
        <f t="shared" si="694"/>
        <v>164.13697814941406</v>
      </c>
      <c r="AB433" s="33">
        <f t="shared" si="650"/>
        <v>9.76682845186596</v>
      </c>
    </row>
    <row r="434" spans="1:28" x14ac:dyDescent="0.3">
      <c r="A434" s="32">
        <f>VLOOKUP(YEAR(C434),Flags!$A$13:$B$95,2,FALSE)</f>
        <v>3</v>
      </c>
      <c r="B434" s="24">
        <f t="shared" si="637"/>
        <v>1968</v>
      </c>
      <c r="C434" s="25">
        <v>25142</v>
      </c>
      <c r="D434" s="26"/>
      <c r="E434" s="24"/>
      <c r="F434" s="26"/>
      <c r="G434" s="26"/>
      <c r="H434" s="26"/>
      <c r="I434" s="26"/>
      <c r="J434" s="26"/>
      <c r="K434" s="26"/>
      <c r="L434" s="24"/>
      <c r="M434" s="24"/>
      <c r="N434" s="26"/>
      <c r="O434" s="26"/>
      <c r="P434" s="26"/>
      <c r="Q434" s="26"/>
      <c r="R434" s="26"/>
      <c r="S434" s="26"/>
      <c r="T434" s="26"/>
      <c r="U434" s="26"/>
      <c r="V434" s="26"/>
      <c r="W434" s="26">
        <f>MAX($C$9-VLOOKUP($C434,COS!$B$8:$H$991,3,FALSE),0)</f>
        <v>94950.54296875</v>
      </c>
      <c r="X434" s="26">
        <f t="shared" si="667"/>
        <v>5838.2813197314053</v>
      </c>
      <c r="Y434" s="26">
        <f>VLOOKUP($C434,COS!$B$8:$H$991,4,FALSE)</f>
        <v>1019.0936889648438</v>
      </c>
      <c r="Z434" s="26">
        <f t="shared" si="668"/>
        <v>62.661628478499487</v>
      </c>
      <c r="AA434" s="26">
        <f t="shared" si="694"/>
        <v>1019.0936889648438</v>
      </c>
      <c r="AB434" s="33">
        <f t="shared" si="650"/>
        <v>62.661628478499487</v>
      </c>
    </row>
    <row r="435" spans="1:28" x14ac:dyDescent="0.3">
      <c r="A435" s="32">
        <f>VLOOKUP(YEAR(C435),Flags!$A$13:$B$95,2,FALSE)</f>
        <v>3</v>
      </c>
      <c r="B435" s="24">
        <f t="shared" si="637"/>
        <v>1968</v>
      </c>
      <c r="C435" s="25">
        <v>25172</v>
      </c>
      <c r="D435" s="26"/>
      <c r="E435" s="24"/>
      <c r="F435" s="26"/>
      <c r="G435" s="26"/>
      <c r="H435" s="26"/>
      <c r="I435" s="26"/>
      <c r="J435" s="26"/>
      <c r="K435" s="26"/>
      <c r="L435" s="24"/>
      <c r="M435" s="24"/>
      <c r="N435" s="26"/>
      <c r="O435" s="26"/>
      <c r="P435" s="26"/>
      <c r="Q435" s="26"/>
      <c r="R435" s="26"/>
      <c r="S435" s="26"/>
      <c r="T435" s="26"/>
      <c r="U435" s="26"/>
      <c r="V435" s="26"/>
      <c r="W435" s="26">
        <f>MAX($C$10-VLOOKUP($C435,COS!$B$8:$H$991,3,FALSE),0)</f>
        <v>96749</v>
      </c>
      <c r="X435" s="26">
        <f t="shared" si="667"/>
        <v>5756.965289256198</v>
      </c>
      <c r="Y435" s="26">
        <f>VLOOKUP($C435,COS!$B$8:$H$991,4,FALSE)</f>
        <v>448.95883178710938</v>
      </c>
      <c r="Z435" s="26">
        <f t="shared" si="668"/>
        <v>26.714905693117252</v>
      </c>
      <c r="AA435" s="26">
        <f t="shared" si="694"/>
        <v>448.95883178710938</v>
      </c>
      <c r="AB435" s="33">
        <f t="shared" si="650"/>
        <v>26.714905693117252</v>
      </c>
    </row>
    <row r="436" spans="1:28" x14ac:dyDescent="0.3">
      <c r="A436" s="34">
        <f>VLOOKUP(YEAR(C436),Flags!$A$13:$B$95,2,FALSE)</f>
        <v>3</v>
      </c>
      <c r="B436" s="35">
        <f t="shared" si="637"/>
        <v>1968</v>
      </c>
      <c r="C436" s="36">
        <v>25203</v>
      </c>
      <c r="D436" s="37"/>
      <c r="E436" s="35"/>
      <c r="F436" s="37"/>
      <c r="G436" s="37"/>
      <c r="H436" s="37"/>
      <c r="I436" s="37"/>
      <c r="J436" s="37"/>
      <c r="K436" s="37"/>
      <c r="L436" s="35"/>
      <c r="M436" s="35"/>
      <c r="N436" s="37"/>
      <c r="O436" s="37"/>
      <c r="P436" s="37"/>
      <c r="Q436" s="37"/>
      <c r="R436" s="37"/>
      <c r="S436" s="37"/>
      <c r="T436" s="37"/>
      <c r="U436" s="37"/>
      <c r="V436" s="37"/>
      <c r="W436" s="37">
        <f>MAX($C$11-VLOOKUP($C436,COS!$B$8:$H$991,3,FALSE),0)</f>
        <v>96749</v>
      </c>
      <c r="X436" s="37">
        <f t="shared" si="667"/>
        <v>5948.8641322314052</v>
      </c>
      <c r="Y436" s="37">
        <f>VLOOKUP($C436,COS!$B$8:$H$991,4,FALSE)</f>
        <v>0</v>
      </c>
      <c r="Z436" s="37">
        <f t="shared" si="668"/>
        <v>0</v>
      </c>
      <c r="AA436" s="37">
        <f t="shared" si="694"/>
        <v>0</v>
      </c>
      <c r="AB436" s="38">
        <f t="shared" si="650"/>
        <v>0</v>
      </c>
    </row>
    <row r="437" spans="1:28" x14ac:dyDescent="0.3">
      <c r="A437" s="27">
        <f>VLOOKUP(YEAR(C437),Flags!$A$13:$B$95,2,FALSE)</f>
        <v>1</v>
      </c>
      <c r="B437" s="28">
        <f t="shared" si="637"/>
        <v>1969</v>
      </c>
      <c r="C437" s="29">
        <v>25323</v>
      </c>
      <c r="D437" s="30">
        <f>VLOOKUP($C437,COS!$B$8:$H$991,3,FALSE)</f>
        <v>9669.7626953125</v>
      </c>
      <c r="E437" s="28">
        <f>IF(D437&gt;=IF(MONTH($C437)=4,$C$3,IF(MONTH($C437)=5,$C$4,IF(MONTH($C437)=6,$C$5,IF(MONTH($C437)=7,$C$6,"ERROR")))),1,0)</f>
        <v>1</v>
      </c>
      <c r="F437" s="30">
        <f>VLOOKUP($C437,COS!$B$8:$H$991,7,FALSE)</f>
        <v>46.990718841552734</v>
      </c>
      <c r="G437" s="28">
        <f>IF(F437&lt;=IF(MONTH($C437)=4,$F$3,IF(MONTH($C437)=5,$F$4,IF(MONTH($C437)=6,$F$5,IF(MONTH($C437)=7,$F$6,"ERROR")))),1,0)</f>
        <v>1</v>
      </c>
      <c r="H437" s="30">
        <f>IF(J437=1,D437-$C$3,0)</f>
        <v>3669.7626953125</v>
      </c>
      <c r="I437" s="30">
        <f t="shared" si="661"/>
        <v>218.36604467975206</v>
      </c>
      <c r="J437" s="28">
        <f t="shared" ref="J437:J440" si="697">IF(AND(E437=1,G437=1),1,0)</f>
        <v>1</v>
      </c>
      <c r="K437" s="30">
        <f>VLOOKUP($C437,COS!$B$8:$H$991,2,FALSE)</f>
        <v>4434</v>
      </c>
      <c r="L437" s="28">
        <f t="shared" ref="L437" si="698">IF(K437&lt;=IF(MONTH($C437)=4,$I$3,IF(MONTH($C437)=5,$I$4,IF(MONTH($C437)=6,$I$5,IF(MONTH($C437)=7,$I$6,"ERROR")))),1,0)</f>
        <v>1</v>
      </c>
      <c r="M437" s="28">
        <f t="shared" ref="M437" si="699">VLOOKUP($A437,$L$3:$M$7,2,FALSE)</f>
        <v>0</v>
      </c>
      <c r="N437" s="30">
        <f>VLOOKUP($C437,COS!$B$8:$H$991,5,FALSE)</f>
        <v>171.73318481445313</v>
      </c>
      <c r="O437" s="30">
        <f t="shared" ref="O437:O440" si="700">N437*DAY($C437)*86400/43560/1000</f>
        <v>10.218834137719524</v>
      </c>
      <c r="P437" s="30">
        <f>VLOOKUP($C437,COS!$B$8:$H$991,6,FALSE)</f>
        <v>463.4422607421875</v>
      </c>
      <c r="Q437" s="30">
        <f t="shared" ref="Q437:Q440" si="701">P437*DAY($C437)*86400/43560/1000</f>
        <v>27.576729564824383</v>
      </c>
      <c r="R437" s="30">
        <f>MIN(IF(MONTH($C437)=4,$S$3,IF(MONTH($C437)=5,$S$4,IF(MONTH($C437)=6,$S$5,IF(MONTH($C437)=7,$S$6,"ERROR")))),MAX(VLOOKUP($C437,COS!$B$8:$K$991,10,FALSE)-IF(MONTH($C437)=4,$Y$3,IF(MONTH($C437)=5,$Y$4,IF(MONTH($C437)=6,$Y$5,IF(MONTH($C437)=7,$Y$6,"ERROR")))),0),MAX(VLOOKUP($C437,COS!$B$8:$K$991,9,FALSE)-IF(MONTH($C437)=4,$V$3,IF(MONTH($C437)=5,$V$4,IF(MONTH($C437)=6,$V$5,IF(MONTH($C437)=7,$V$6,"ERROR"))))-VLOOKUP($C437,COS!$B$8:$K$991,6,FALSE)/2,0))</f>
        <v>1500</v>
      </c>
      <c r="S437" s="30">
        <f t="shared" ref="S437:S440" si="702">R437*DAY($C437)*86400/43560/1000</f>
        <v>89.256198347107429</v>
      </c>
      <c r="T437" s="30">
        <f t="shared" ref="T437:T440" si="703">(O437+Q437)/2+S437</f>
        <v>108.15398019837939</v>
      </c>
      <c r="U437" s="30" t="str">
        <f>IF(VLOOKUP($C437,COS!$B$8:$I$991,8,FALSE)=1,"UWFE","IBU")</f>
        <v>UWFE</v>
      </c>
      <c r="V437" s="30">
        <f t="shared" ref="V437" si="704">MIN(IF(IF($AA$3=2,AND(E437=1,G437=1,L437=1,L442=1,M437=1,U437="IBU"),AND(E437=1,G437=1,L437=1,L442=1,M437=1)),T437,0),I437)</f>
        <v>0</v>
      </c>
      <c r="W437" s="30"/>
      <c r="X437" s="30"/>
      <c r="Y437" s="30"/>
      <c r="Z437" s="30"/>
      <c r="AA437" s="30"/>
      <c r="AB437" s="31"/>
    </row>
    <row r="438" spans="1:28" x14ac:dyDescent="0.3">
      <c r="A438" s="32">
        <f>VLOOKUP(YEAR(C438),Flags!$A$13:$B$95,2,FALSE)</f>
        <v>1</v>
      </c>
      <c r="B438" s="24">
        <f t="shared" si="637"/>
        <v>1969</v>
      </c>
      <c r="C438" s="25">
        <v>25354</v>
      </c>
      <c r="D438" s="26">
        <f>VLOOKUP($C438,COS!$B$8:$H$991,3,FALSE)</f>
        <v>9579.4580078125</v>
      </c>
      <c r="E438" s="24">
        <f>IF(D438&gt;=IF(MONTH($C438)=4,$C$3,IF(MONTH($C438)=5,$C$4,IF(MONTH($C438)=6,$C$5,IF(MONTH($C438)=7,$C$6,"ERROR")))),1,0)</f>
        <v>1</v>
      </c>
      <c r="F438" s="26">
        <f>VLOOKUP($C438,COS!$B$8:$H$991,7,FALSE)</f>
        <v>48.872310638427734</v>
      </c>
      <c r="G438" s="24">
        <f>IF(F438&lt;=IF(MONTH($C438)=4,$F$3,IF(MONTH($C438)=5,$F$4,IF(MONTH($C438)=6,$F$5,IF(MONTH($C438)=7,$F$6,"ERROR")))),1,0)</f>
        <v>1</v>
      </c>
      <c r="H438" s="26">
        <f>IF(J438=1,D438-$C$4,0)</f>
        <v>3579.4580078125</v>
      </c>
      <c r="I438" s="26">
        <f t="shared" si="661"/>
        <v>220.09229403409091</v>
      </c>
      <c r="J438" s="24">
        <f t="shared" si="697"/>
        <v>1</v>
      </c>
      <c r="K438" s="26">
        <f>VLOOKUP($C438,COS!$B$8:$H$991,2,FALSE)</f>
        <v>4552</v>
      </c>
      <c r="L438" s="24">
        <f t="shared" si="639"/>
        <v>1</v>
      </c>
      <c r="M438" s="24">
        <f t="shared" si="640"/>
        <v>0</v>
      </c>
      <c r="N438" s="26">
        <f>VLOOKUP($C438,COS!$B$8:$H$991,5,FALSE)</f>
        <v>779.53582763671875</v>
      </c>
      <c r="O438" s="26">
        <f t="shared" si="700"/>
        <v>47.931789732373453</v>
      </c>
      <c r="P438" s="26">
        <f>VLOOKUP($C438,COS!$B$8:$H$991,6,FALSE)</f>
        <v>2345.609619140625</v>
      </c>
      <c r="Q438" s="26">
        <f t="shared" si="701"/>
        <v>144.22591377195246</v>
      </c>
      <c r="R438" s="26">
        <f>MIN(IF(MONTH($C438)=4,$S$3,IF(MONTH($C438)=5,$S$4,IF(MONTH($C438)=6,$S$5,IF(MONTH($C438)=7,$S$6,"ERROR")))),MAX(VLOOKUP($C438,COS!$B$8:$K$991,10,FALSE)-IF(MONTH($C438)=4,$Y$3,IF(MONTH($C438)=5,$Y$4,IF(MONTH($C438)=6,$Y$5,IF(MONTH($C438)=7,$Y$6,"ERROR")))),0),MAX(VLOOKUP($C438,COS!$B$8:$K$991,9,FALSE)-IF(MONTH($C438)=4,$V$3,IF(MONTH($C438)=5,$V$4,IF(MONTH($C438)=6,$V$5,IF(MONTH($C438)=7,$V$6,"ERROR"))))-VLOOKUP($C438,COS!$B$8:$K$991,6,FALSE)/2,0))</f>
        <v>1500</v>
      </c>
      <c r="S438" s="26">
        <f t="shared" si="702"/>
        <v>92.231404958677686</v>
      </c>
      <c r="T438" s="26">
        <f t="shared" si="703"/>
        <v>188.31025671084063</v>
      </c>
      <c r="U438" s="26" t="str">
        <f>IF(VLOOKUP($C438,COS!$B$8:$I$991,8,FALSE)=1,"UWFE","IBU")</f>
        <v>UWFE</v>
      </c>
      <c r="V438" s="26">
        <f t="shared" ref="V438" si="705">MIN(IF(IF($AA$3=2,AND(E438=1,G438=1,L438=1,L442=1,M438=1,U438="IBU"),AND(E438=1,G438=1,L438=1,L442=1,M438=1)),T438,0),I438)</f>
        <v>0</v>
      </c>
      <c r="W438" s="26"/>
      <c r="X438" s="26"/>
      <c r="Y438" s="26"/>
      <c r="Z438" s="26"/>
      <c r="AA438" s="26"/>
      <c r="AB438" s="33"/>
    </row>
    <row r="439" spans="1:28" x14ac:dyDescent="0.3">
      <c r="A439" s="32">
        <f>VLOOKUP(YEAR(C439),Flags!$A$13:$B$95,2,FALSE)</f>
        <v>1</v>
      </c>
      <c r="B439" s="24">
        <f t="shared" si="637"/>
        <v>1969</v>
      </c>
      <c r="C439" s="25">
        <v>25384</v>
      </c>
      <c r="D439" s="26">
        <f>VLOOKUP($C439,COS!$B$8:$H$991,3,FALSE)</f>
        <v>8011.47998046875</v>
      </c>
      <c r="E439" s="24">
        <f>IF(D439&gt;=IF(MONTH($C439)=4,$C$3,IF(MONTH($C439)=5,$C$4,IF(MONTH($C439)=6,$C$5,IF(MONTH($C439)=7,$C$6,"ERROR")))),1,0)</f>
        <v>0</v>
      </c>
      <c r="F439" s="26">
        <f>VLOOKUP($C439,COS!$B$8:$H$991,7,FALSE)</f>
        <v>50.501800537109375</v>
      </c>
      <c r="G439" s="24">
        <f>IF(F439&lt;=IF(MONTH($C439)=4,$F$3,IF(MONTH($C439)=5,$F$4,IF(MONTH($C439)=6,$F$5,IF(MONTH($C439)=7,$F$6,"ERROR")))),1,0)</f>
        <v>1</v>
      </c>
      <c r="H439" s="26">
        <f>IF(J439=1,D439-$C$5,0)</f>
        <v>0</v>
      </c>
      <c r="I439" s="26">
        <f t="shared" si="661"/>
        <v>0</v>
      </c>
      <c r="J439" s="24">
        <f t="shared" si="697"/>
        <v>0</v>
      </c>
      <c r="K439" s="26">
        <f>VLOOKUP($C439,COS!$B$8:$H$991,2,FALSE)</f>
        <v>4403.0791015625</v>
      </c>
      <c r="L439" s="24">
        <f t="shared" si="639"/>
        <v>1</v>
      </c>
      <c r="M439" s="24">
        <f t="shared" si="640"/>
        <v>0</v>
      </c>
      <c r="N439" s="26">
        <f>VLOOKUP($C439,COS!$B$8:$H$991,5,FALSE)</f>
        <v>1103.256591796875</v>
      </c>
      <c r="O439" s="26">
        <f t="shared" si="700"/>
        <v>65.648326123450417</v>
      </c>
      <c r="P439" s="26">
        <f>VLOOKUP($C439,COS!$B$8:$H$991,6,FALSE)</f>
        <v>2226.01513671875</v>
      </c>
      <c r="Q439" s="26">
        <f t="shared" si="701"/>
        <v>132.45709904442148</v>
      </c>
      <c r="R439" s="26">
        <f>MIN(IF(MONTH($C439)=4,$S$3,IF(MONTH($C439)=5,$S$4,IF(MONTH($C439)=6,$S$5,IF(MONTH($C439)=7,$S$6,"ERROR")))),MAX(VLOOKUP($C439,COS!$B$8:$K$991,10,FALSE)-IF(MONTH($C439)=4,$Y$3,IF(MONTH($C439)=5,$Y$4,IF(MONTH($C439)=6,$Y$5,IF(MONTH($C439)=7,$Y$6,"ERROR")))),0),MAX(VLOOKUP($C439,COS!$B$8:$K$991,9,FALSE)-IF(MONTH($C439)=4,$V$3,IF(MONTH($C439)=5,$V$4,IF(MONTH($C439)=6,$V$5,IF(MONTH($C439)=7,$V$6,"ERROR"))))-VLOOKUP($C439,COS!$B$8:$K$991,6,FALSE)/2,0))</f>
        <v>1500</v>
      </c>
      <c r="S439" s="26">
        <f t="shared" si="702"/>
        <v>89.256198347107429</v>
      </c>
      <c r="T439" s="26">
        <f t="shared" si="703"/>
        <v>188.30891093104339</v>
      </c>
      <c r="U439" s="26" t="str">
        <f>IF(VLOOKUP($C439,COS!$B$8:$I$991,8,FALSE)=1,"UWFE","IBU")</f>
        <v>UWFE</v>
      </c>
      <c r="V439" s="26">
        <f t="shared" ref="V439" si="706">MIN(IF(IF($AA$3=2,AND(E439=1,G439=1,L439=1,L442=1,M439=1,U439="IBU"),AND(E439=1,G439=1,L439=1,L442=1,M439=1)),T439,0),I439)</f>
        <v>0</v>
      </c>
      <c r="W439" s="26"/>
      <c r="X439" s="26"/>
      <c r="Y439" s="26"/>
      <c r="Z439" s="26"/>
      <c r="AA439" s="26"/>
      <c r="AB439" s="33"/>
    </row>
    <row r="440" spans="1:28" x14ac:dyDescent="0.3">
      <c r="A440" s="32">
        <f>VLOOKUP(YEAR(C440),Flags!$A$13:$B$95,2,FALSE)</f>
        <v>1</v>
      </c>
      <c r="B440" s="24">
        <f t="shared" si="637"/>
        <v>1969</v>
      </c>
      <c r="C440" s="25">
        <v>25415</v>
      </c>
      <c r="D440" s="26">
        <f>VLOOKUP($C440,COS!$B$8:$H$991,3,FALSE)</f>
        <v>11045.078125</v>
      </c>
      <c r="E440" s="24">
        <f>IF(D440&gt;=IF(MONTH($C440)=4,$C$3,IF(MONTH($C440)=5,$C$4,IF(MONTH($C440)=6,$C$5,IF(MONTH($C440)=7,$C$6,"ERROR")))),1,0)</f>
        <v>0</v>
      </c>
      <c r="F440" s="26">
        <f>VLOOKUP($C440,COS!$B$8:$H$991,7,FALSE)</f>
        <v>51.50872802734375</v>
      </c>
      <c r="G440" s="24">
        <f>IF(F440&lt;=IF(MONTH($C440)=4,$F$3,IF(MONTH($C440)=5,$F$4,IF(MONTH($C440)=6,$F$5,IF(MONTH($C440)=7,$F$6,"ERROR")))),1,0)</f>
        <v>1</v>
      </c>
      <c r="H440" s="26">
        <f>IF(J440=1,D440-$C$6,0)</f>
        <v>0</v>
      </c>
      <c r="I440" s="26">
        <f t="shared" si="661"/>
        <v>0</v>
      </c>
      <c r="J440" s="24">
        <f t="shared" si="697"/>
        <v>0</v>
      </c>
      <c r="K440" s="26">
        <f>VLOOKUP($C440,COS!$B$8:$H$991,2,FALSE)</f>
        <v>3947.457763671875</v>
      </c>
      <c r="L440" s="24">
        <f t="shared" si="639"/>
        <v>1</v>
      </c>
      <c r="M440" s="24">
        <f t="shared" si="640"/>
        <v>0</v>
      </c>
      <c r="N440" s="26">
        <f>VLOOKUP($C440,COS!$B$8:$H$991,5,FALSE)</f>
        <v>1249.15625</v>
      </c>
      <c r="O440" s="26">
        <f t="shared" si="700"/>
        <v>76.807623966942145</v>
      </c>
      <c r="P440" s="26">
        <f>VLOOKUP($C440,COS!$B$8:$H$991,6,FALSE)</f>
        <v>2516.8701171875</v>
      </c>
      <c r="Q440" s="26">
        <f t="shared" si="701"/>
        <v>154.75631133780993</v>
      </c>
      <c r="R440" s="26">
        <f>MIN(IF(MONTH($C440)=4,$S$3,IF(MONTH($C440)=5,$S$4,IF(MONTH($C440)=6,$S$5,IF(MONTH($C440)=7,$S$6,"ERROR")))),MAX(VLOOKUP($C440,COS!$B$8:$K$991,10,FALSE)-IF(MONTH($C440)=4,$Y$3,IF(MONTH($C440)=5,$Y$4,IF(MONTH($C440)=6,$Y$5,IF(MONTH($C440)=7,$Y$6,"ERROR")))),0),MAX(VLOOKUP($C440,COS!$B$8:$K$991,9,FALSE)-IF(MONTH($C440)=4,$V$3,IF(MONTH($C440)=5,$V$4,IF(MONTH($C440)=6,$V$5,IF(MONTH($C440)=7,$V$6,"ERROR"))))-VLOOKUP($C440,COS!$B$8:$K$991,6,FALSE)/2,0))</f>
        <v>1500</v>
      </c>
      <c r="S440" s="26">
        <f t="shared" si="702"/>
        <v>92.231404958677686</v>
      </c>
      <c r="T440" s="26">
        <f t="shared" si="703"/>
        <v>208.01337261105374</v>
      </c>
      <c r="U440" s="26" t="str">
        <f>IF(VLOOKUP($C440,COS!$B$8:$I$991,8,FALSE)=1,"UWFE","IBU")</f>
        <v>IBU</v>
      </c>
      <c r="V440" s="26">
        <f t="shared" ref="V440" si="707">MIN(IF(IF($AA$3=2,AND(E440=1,G440=1,L440=1,L442=1,M440=1,U440="IBU"),AND(E440=1,G440=1,L440=1,L442=1,M440=1)),T440,0),I440)</f>
        <v>0</v>
      </c>
      <c r="W440" s="26"/>
      <c r="X440" s="26"/>
      <c r="Y440" s="26"/>
      <c r="Z440" s="26"/>
      <c r="AA440" s="26"/>
      <c r="AB440" s="33"/>
    </row>
    <row r="441" spans="1:28" x14ac:dyDescent="0.3">
      <c r="A441" s="32">
        <f>VLOOKUP(YEAR(C441),Flags!$A$13:$B$95,2,FALSE)</f>
        <v>1</v>
      </c>
      <c r="B441" s="24">
        <f t="shared" si="637"/>
        <v>1969</v>
      </c>
      <c r="C441" s="25">
        <v>25446</v>
      </c>
      <c r="D441" s="26"/>
      <c r="E441" s="24"/>
      <c r="F441" s="26"/>
      <c r="G441" s="24"/>
      <c r="H441" s="24"/>
      <c r="I441" s="26"/>
      <c r="J441" s="24"/>
      <c r="K441" s="26"/>
      <c r="L441" s="24"/>
      <c r="M441" s="24"/>
      <c r="N441" s="26"/>
      <c r="O441" s="26"/>
      <c r="P441" s="26"/>
      <c r="Q441" s="26"/>
      <c r="R441" s="26"/>
      <c r="S441" s="26"/>
      <c r="T441" s="26"/>
      <c r="U441" s="26"/>
      <c r="V441" s="26"/>
      <c r="W441" s="26">
        <f>MAX($C$7-VLOOKUP($C441,COS!$B$8:$H$991,3,FALSE),0)</f>
        <v>89532.791015625</v>
      </c>
      <c r="X441" s="26">
        <f t="shared" si="667"/>
        <v>5505.1567368285123</v>
      </c>
      <c r="Y441" s="26">
        <f>VLOOKUP($C441,COS!$B$8:$H$991,4,FALSE)</f>
        <v>0</v>
      </c>
      <c r="Z441" s="26">
        <f t="shared" si="668"/>
        <v>0</v>
      </c>
      <c r="AA441" s="26">
        <f t="shared" ref="AA441:AA445" si="708">MIN(W441,Y441)</f>
        <v>0</v>
      </c>
      <c r="AB441" s="33">
        <f t="shared" ref="AB441" si="709">AA441*DAY($C441)*86400/43560/1000*IF(MONTH($C441)=8,$P$3,IF(MONTH($C441)=9,$P$4,IF(MONTH($C441)=10,$P$5,IF(MONTH($C441)=11,$P$6,IF(MONTH($C441)=12,$P$7,NA())))))</f>
        <v>0</v>
      </c>
    </row>
    <row r="442" spans="1:28" x14ac:dyDescent="0.3">
      <c r="A442" s="32">
        <f>VLOOKUP(YEAR(C442),Flags!$A$13:$B$95,2,FALSE)</f>
        <v>1</v>
      </c>
      <c r="B442" s="24">
        <f t="shared" si="637"/>
        <v>1969</v>
      </c>
      <c r="C442" s="25">
        <v>25476</v>
      </c>
      <c r="D442" s="26"/>
      <c r="E442" s="24"/>
      <c r="F442" s="26"/>
      <c r="G442" s="24"/>
      <c r="H442" s="24"/>
      <c r="I442" s="26"/>
      <c r="J442" s="24"/>
      <c r="K442" s="26">
        <f>VLOOKUP($C442,COS!$B$8:$H$991,2,FALSE)</f>
        <v>3239.390869140625</v>
      </c>
      <c r="L442" s="24">
        <f t="shared" ref="L442" si="710">IF(AND(K442&gt;$I$7,K442&lt;$I$8),1,0)</f>
        <v>1</v>
      </c>
      <c r="M442" s="24"/>
      <c r="N442" s="26"/>
      <c r="O442" s="26"/>
      <c r="P442" s="26"/>
      <c r="Q442" s="26"/>
      <c r="R442" s="26"/>
      <c r="S442" s="26"/>
      <c r="T442" s="26"/>
      <c r="U442" s="26"/>
      <c r="V442" s="26"/>
      <c r="W442" s="26">
        <f>MAX($C$8-VLOOKUP($C442,COS!$B$8:$H$991,3,FALSE),0)</f>
        <v>88147.01953125</v>
      </c>
      <c r="X442" s="26">
        <f t="shared" si="667"/>
        <v>5245.1119059917355</v>
      </c>
      <c r="Y442" s="26">
        <f>VLOOKUP($C442,COS!$B$8:$H$991,4,FALSE)</f>
        <v>42.857669830322266</v>
      </c>
      <c r="Z442" s="26">
        <f t="shared" si="668"/>
        <v>2.5502084527133912</v>
      </c>
      <c r="AA442" s="26">
        <f t="shared" si="708"/>
        <v>42.857669830322266</v>
      </c>
      <c r="AB442" s="33">
        <f t="shared" si="650"/>
        <v>2.5502084527133912</v>
      </c>
    </row>
    <row r="443" spans="1:28" x14ac:dyDescent="0.3">
      <c r="A443" s="32">
        <f>VLOOKUP(YEAR(C443),Flags!$A$13:$B$95,2,FALSE)</f>
        <v>1</v>
      </c>
      <c r="B443" s="24">
        <f t="shared" si="637"/>
        <v>1969</v>
      </c>
      <c r="C443" s="25">
        <v>25507</v>
      </c>
      <c r="D443" s="26"/>
      <c r="E443" s="24"/>
      <c r="F443" s="26"/>
      <c r="G443" s="26"/>
      <c r="H443" s="26"/>
      <c r="I443" s="26"/>
      <c r="J443" s="26"/>
      <c r="K443" s="26"/>
      <c r="L443" s="24"/>
      <c r="M443" s="24"/>
      <c r="N443" s="26"/>
      <c r="O443" s="26"/>
      <c r="P443" s="26"/>
      <c r="Q443" s="26"/>
      <c r="R443" s="26"/>
      <c r="S443" s="26"/>
      <c r="T443" s="26"/>
      <c r="U443" s="26"/>
      <c r="V443" s="26"/>
      <c r="W443" s="26">
        <f>MAX($C$9-VLOOKUP($C443,COS!$B$8:$H$991,3,FALSE),0)</f>
        <v>93281.42724609375</v>
      </c>
      <c r="X443" s="26">
        <f t="shared" si="667"/>
        <v>5735.6513943052687</v>
      </c>
      <c r="Y443" s="26">
        <f>VLOOKUP($C443,COS!$B$8:$H$991,4,FALSE)</f>
        <v>245.98057556152344</v>
      </c>
      <c r="Z443" s="26">
        <f t="shared" si="668"/>
        <v>15.124756051055655</v>
      </c>
      <c r="AA443" s="26">
        <f t="shared" si="708"/>
        <v>245.98057556152344</v>
      </c>
      <c r="AB443" s="33">
        <f t="shared" si="650"/>
        <v>15.124756051055655</v>
      </c>
    </row>
    <row r="444" spans="1:28" x14ac:dyDescent="0.3">
      <c r="A444" s="32">
        <f>VLOOKUP(YEAR(C444),Flags!$A$13:$B$95,2,FALSE)</f>
        <v>1</v>
      </c>
      <c r="B444" s="24">
        <f t="shared" si="637"/>
        <v>1969</v>
      </c>
      <c r="C444" s="25">
        <v>25537</v>
      </c>
      <c r="D444" s="26"/>
      <c r="E444" s="24"/>
      <c r="F444" s="26"/>
      <c r="G444" s="26"/>
      <c r="H444" s="26"/>
      <c r="I444" s="26"/>
      <c r="J444" s="26"/>
      <c r="K444" s="26"/>
      <c r="L444" s="24"/>
      <c r="M444" s="24"/>
      <c r="N444" s="26"/>
      <c r="O444" s="26"/>
      <c r="P444" s="26"/>
      <c r="Q444" s="26"/>
      <c r="R444" s="26"/>
      <c r="S444" s="26"/>
      <c r="T444" s="26"/>
      <c r="U444" s="26"/>
      <c r="V444" s="26"/>
      <c r="W444" s="26">
        <f>MAX($C$10-VLOOKUP($C444,COS!$B$8:$H$991,3,FALSE),0)</f>
        <v>92833.80517578125</v>
      </c>
      <c r="X444" s="26">
        <f t="shared" si="667"/>
        <v>5523.995018724173</v>
      </c>
      <c r="Y444" s="26">
        <f>VLOOKUP($C444,COS!$B$8:$H$991,4,FALSE)</f>
        <v>0</v>
      </c>
      <c r="Z444" s="26">
        <f t="shared" si="668"/>
        <v>0</v>
      </c>
      <c r="AA444" s="26">
        <f t="shared" si="708"/>
        <v>0</v>
      </c>
      <c r="AB444" s="33">
        <f t="shared" si="650"/>
        <v>0</v>
      </c>
    </row>
    <row r="445" spans="1:28" x14ac:dyDescent="0.3">
      <c r="A445" s="34">
        <f>VLOOKUP(YEAR(C445),Flags!$A$13:$B$95,2,FALSE)</f>
        <v>1</v>
      </c>
      <c r="B445" s="35">
        <f t="shared" si="637"/>
        <v>1969</v>
      </c>
      <c r="C445" s="36">
        <v>25568</v>
      </c>
      <c r="D445" s="37"/>
      <c r="E445" s="35"/>
      <c r="F445" s="37"/>
      <c r="G445" s="37"/>
      <c r="H445" s="37"/>
      <c r="I445" s="37"/>
      <c r="J445" s="37"/>
      <c r="K445" s="37"/>
      <c r="L445" s="35"/>
      <c r="M445" s="35"/>
      <c r="N445" s="37"/>
      <c r="O445" s="37"/>
      <c r="P445" s="37"/>
      <c r="Q445" s="37"/>
      <c r="R445" s="37"/>
      <c r="S445" s="37"/>
      <c r="T445" s="37"/>
      <c r="U445" s="37"/>
      <c r="V445" s="37"/>
      <c r="W445" s="37">
        <f>MAX($C$11-VLOOKUP($C445,COS!$B$8:$H$991,3,FALSE),0)</f>
        <v>83122.869140625</v>
      </c>
      <c r="X445" s="37">
        <f t="shared" si="667"/>
        <v>5111.0260033574386</v>
      </c>
      <c r="Y445" s="37">
        <f>VLOOKUP($C445,COS!$B$8:$H$991,4,FALSE)</f>
        <v>0</v>
      </c>
      <c r="Z445" s="37">
        <f t="shared" si="668"/>
        <v>0</v>
      </c>
      <c r="AA445" s="37">
        <f t="shared" si="708"/>
        <v>0</v>
      </c>
      <c r="AB445" s="38">
        <f t="shared" si="650"/>
        <v>0</v>
      </c>
    </row>
    <row r="446" spans="1:28" x14ac:dyDescent="0.3">
      <c r="A446" s="27">
        <f>VLOOKUP(YEAR(C446),Flags!$A$13:$B$95,2,FALSE)</f>
        <v>1</v>
      </c>
      <c r="B446" s="28">
        <f t="shared" si="637"/>
        <v>1970</v>
      </c>
      <c r="C446" s="29">
        <v>25688</v>
      </c>
      <c r="D446" s="30">
        <f>VLOOKUP($C446,COS!$B$8:$H$991,3,FALSE)</f>
        <v>3250</v>
      </c>
      <c r="E446" s="28">
        <f>IF(D446&gt;=IF(MONTH($C446)=4,$C$3,IF(MONTH($C446)=5,$C$4,IF(MONTH($C446)=6,$C$5,IF(MONTH($C446)=7,$C$6,"ERROR")))),1,0)</f>
        <v>0</v>
      </c>
      <c r="F446" s="30">
        <f>VLOOKUP($C446,COS!$B$8:$H$991,7,FALSE)</f>
        <v>49.804428100585938</v>
      </c>
      <c r="G446" s="28">
        <f>IF(F446&lt;=IF(MONTH($C446)=4,$F$3,IF(MONTH($C446)=5,$F$4,IF(MONTH($C446)=6,$F$5,IF(MONTH($C446)=7,$F$6,"ERROR")))),1,0)</f>
        <v>1</v>
      </c>
      <c r="H446" s="30">
        <f>IF(J446=1,D446-$C$3,0)</f>
        <v>0</v>
      </c>
      <c r="I446" s="30">
        <f t="shared" si="661"/>
        <v>0</v>
      </c>
      <c r="J446" s="28">
        <f t="shared" ref="J446:J449" si="711">IF(AND(E446=1,G446=1),1,0)</f>
        <v>0</v>
      </c>
      <c r="K446" s="30">
        <f>VLOOKUP($C446,COS!$B$8:$H$991,2,FALSE)</f>
        <v>4291.064453125</v>
      </c>
      <c r="L446" s="28">
        <f t="shared" ref="L446" si="712">IF(K446&lt;=IF(MONTH($C446)=4,$I$3,IF(MONTH($C446)=5,$I$4,IF(MONTH($C446)=6,$I$5,IF(MONTH($C446)=7,$I$6,"ERROR")))),1,0)</f>
        <v>1</v>
      </c>
      <c r="M446" s="28">
        <f t="shared" ref="M446" si="713">VLOOKUP($A446,$L$3:$M$7,2,FALSE)</f>
        <v>0</v>
      </c>
      <c r="N446" s="30">
        <f>VLOOKUP($C446,COS!$B$8:$H$991,5,FALSE)</f>
        <v>73.196624755859375</v>
      </c>
      <c r="O446" s="30">
        <f t="shared" ref="O446:O449" si="714">N446*DAY($C446)*86400/43560/1000</f>
        <v>4.3555016383651859</v>
      </c>
      <c r="P446" s="30">
        <f>VLOOKUP($C446,COS!$B$8:$H$991,6,FALSE)</f>
        <v>508.6461181640625</v>
      </c>
      <c r="Q446" s="30">
        <f t="shared" ref="Q446:Q449" si="715">P446*DAY($C446)*86400/43560/1000</f>
        <v>30.266545874225205</v>
      </c>
      <c r="R446" s="30">
        <f>MIN(IF(MONTH($C446)=4,$S$3,IF(MONTH($C446)=5,$S$4,IF(MONTH($C446)=6,$S$5,IF(MONTH($C446)=7,$S$6,"ERROR")))),MAX(VLOOKUP($C446,COS!$B$8:$K$991,10,FALSE)-IF(MONTH($C446)=4,$Y$3,IF(MONTH($C446)=5,$Y$4,IF(MONTH($C446)=6,$Y$5,IF(MONTH($C446)=7,$Y$6,"ERROR")))),0),MAX(VLOOKUP($C446,COS!$B$8:$K$991,9,FALSE)-IF(MONTH($C446)=4,$V$3,IF(MONTH($C446)=5,$V$4,IF(MONTH($C446)=6,$V$5,IF(MONTH($C446)=7,$V$6,"ERROR"))))-VLOOKUP($C446,COS!$B$8:$K$991,6,FALSE)/2,0))</f>
        <v>713.98388671875</v>
      </c>
      <c r="S446" s="30">
        <f t="shared" ref="S446:S449" si="716">R446*DAY($C446)*86400/43560/1000</f>
        <v>42.484991606404961</v>
      </c>
      <c r="T446" s="30">
        <f t="shared" ref="T446:T449" si="717">(O446+Q446)/2+S446</f>
        <v>59.79601536270016</v>
      </c>
      <c r="U446" s="30" t="str">
        <f>IF(VLOOKUP($C446,COS!$B$8:$I$991,8,FALSE)=1,"UWFE","IBU")</f>
        <v>UWFE</v>
      </c>
      <c r="V446" s="30">
        <f t="shared" ref="V446" si="718">MIN(IF(IF($AA$3=2,AND(E446=1,G446=1,L446=1,L451=1,M446=1,U446="IBU"),AND(E446=1,G446=1,L446=1,L451=1,M446=1)),T446,0),I446)</f>
        <v>0</v>
      </c>
      <c r="W446" s="30"/>
      <c r="X446" s="30"/>
      <c r="Y446" s="30"/>
      <c r="Z446" s="30"/>
      <c r="AA446" s="30"/>
      <c r="AB446" s="31"/>
    </row>
    <row r="447" spans="1:28" x14ac:dyDescent="0.3">
      <c r="A447" s="32">
        <f>VLOOKUP(YEAR(C447),Flags!$A$13:$B$95,2,FALSE)</f>
        <v>1</v>
      </c>
      <c r="B447" s="24">
        <f t="shared" si="637"/>
        <v>1970</v>
      </c>
      <c r="C447" s="25">
        <v>25719</v>
      </c>
      <c r="D447" s="26">
        <f>VLOOKUP($C447,COS!$B$8:$H$991,3,FALSE)</f>
        <v>6423.0224609375</v>
      </c>
      <c r="E447" s="24">
        <f>IF(D447&gt;=IF(MONTH($C447)=4,$C$3,IF(MONTH($C447)=5,$C$4,IF(MONTH($C447)=6,$C$5,IF(MONTH($C447)=7,$C$6,"ERROR")))),1,0)</f>
        <v>1</v>
      </c>
      <c r="F447" s="26">
        <f>VLOOKUP($C447,COS!$B$8:$H$991,7,FALSE)</f>
        <v>49.899898529052734</v>
      </c>
      <c r="G447" s="24">
        <f>IF(F447&lt;=IF(MONTH($C447)=4,$F$3,IF(MONTH($C447)=5,$F$4,IF(MONTH($C447)=6,$F$5,IF(MONTH($C447)=7,$F$6,"ERROR")))),1,0)</f>
        <v>1</v>
      </c>
      <c r="H447" s="26">
        <f>IF(J447=1,D447-$C$4,0)</f>
        <v>423.0224609375</v>
      </c>
      <c r="I447" s="26">
        <f t="shared" si="661"/>
        <v>26.010637267561982</v>
      </c>
      <c r="J447" s="24">
        <f t="shared" si="711"/>
        <v>1</v>
      </c>
      <c r="K447" s="26">
        <f>VLOOKUP($C447,COS!$B$8:$H$991,2,FALSE)</f>
        <v>4231.88427734375</v>
      </c>
      <c r="L447" s="24">
        <f t="shared" si="639"/>
        <v>1</v>
      </c>
      <c r="M447" s="24">
        <f t="shared" si="640"/>
        <v>0</v>
      </c>
      <c r="N447" s="26">
        <f>VLOOKUP($C447,COS!$B$8:$H$991,5,FALSE)</f>
        <v>572.192626953125</v>
      </c>
      <c r="O447" s="26">
        <f t="shared" si="714"/>
        <v>35.182753260588839</v>
      </c>
      <c r="P447" s="26">
        <f>VLOOKUP($C447,COS!$B$8:$H$991,6,FALSE)</f>
        <v>2315.026611328125</v>
      </c>
      <c r="Q447" s="26">
        <f t="shared" si="715"/>
        <v>142.34543791967974</v>
      </c>
      <c r="R447" s="26">
        <f>MIN(IF(MONTH($C447)=4,$S$3,IF(MONTH($C447)=5,$S$4,IF(MONTH($C447)=6,$S$5,IF(MONTH($C447)=7,$S$6,"ERROR")))),MAX(VLOOKUP($C447,COS!$B$8:$K$991,10,FALSE)-IF(MONTH($C447)=4,$Y$3,IF(MONTH($C447)=5,$Y$4,IF(MONTH($C447)=6,$Y$5,IF(MONTH($C447)=7,$Y$6,"ERROR")))),0),MAX(VLOOKUP($C447,COS!$B$8:$K$991,9,FALSE)-IF(MONTH($C447)=4,$V$3,IF(MONTH($C447)=5,$V$4,IF(MONTH($C447)=6,$V$5,IF(MONTH($C447)=7,$V$6,"ERROR"))))-VLOOKUP($C447,COS!$B$8:$K$991,6,FALSE)/2,0))</f>
        <v>1500</v>
      </c>
      <c r="S447" s="26">
        <f t="shared" si="716"/>
        <v>92.231404958677686</v>
      </c>
      <c r="T447" s="26">
        <f t="shared" si="717"/>
        <v>180.99550054881198</v>
      </c>
      <c r="U447" s="26" t="str">
        <f>IF(VLOOKUP($C447,COS!$B$8:$I$991,8,FALSE)=1,"UWFE","IBU")</f>
        <v>UWFE</v>
      </c>
      <c r="V447" s="26">
        <f t="shared" ref="V447" si="719">MIN(IF(IF($AA$3=2,AND(E447=1,G447=1,L447=1,L451=1,M447=1,U447="IBU"),AND(E447=1,G447=1,L447=1,L451=1,M447=1)),T447,0),I447)</f>
        <v>0</v>
      </c>
      <c r="W447" s="26"/>
      <c r="X447" s="26"/>
      <c r="Y447" s="26"/>
      <c r="Z447" s="26"/>
      <c r="AA447" s="26"/>
      <c r="AB447" s="33"/>
    </row>
    <row r="448" spans="1:28" x14ac:dyDescent="0.3">
      <c r="A448" s="32">
        <f>VLOOKUP(YEAR(C448),Flags!$A$13:$B$95,2,FALSE)</f>
        <v>1</v>
      </c>
      <c r="B448" s="24">
        <f t="shared" si="637"/>
        <v>1970</v>
      </c>
      <c r="C448" s="25">
        <v>25749</v>
      </c>
      <c r="D448" s="26">
        <f>VLOOKUP($C448,COS!$B$8:$H$991,3,FALSE)</f>
        <v>11296.083984375</v>
      </c>
      <c r="E448" s="24">
        <f>IF(D448&gt;=IF(MONTH($C448)=4,$C$3,IF(MONTH($C448)=5,$C$4,IF(MONTH($C448)=6,$C$5,IF(MONTH($C448)=7,$C$6,"ERROR")))),1,0)</f>
        <v>1</v>
      </c>
      <c r="F448" s="26">
        <f>VLOOKUP($C448,COS!$B$8:$H$991,7,FALSE)</f>
        <v>49.374355316162109</v>
      </c>
      <c r="G448" s="24">
        <f>IF(F448&lt;=IF(MONTH($C448)=4,$F$3,IF(MONTH($C448)=5,$F$4,IF(MONTH($C448)=6,$F$5,IF(MONTH($C448)=7,$F$6,"ERROR")))),1,0)</f>
        <v>1</v>
      </c>
      <c r="H448" s="26">
        <f>IF(J448=1,D448-$C$5,0)</f>
        <v>1296.083984375</v>
      </c>
      <c r="I448" s="26">
        <f t="shared" si="661"/>
        <v>77.122352789256198</v>
      </c>
      <c r="J448" s="24">
        <f t="shared" si="711"/>
        <v>1</v>
      </c>
      <c r="K448" s="26">
        <f>VLOOKUP($C448,COS!$B$8:$H$991,2,FALSE)</f>
        <v>3804.720947265625</v>
      </c>
      <c r="L448" s="24">
        <f t="shared" si="639"/>
        <v>1</v>
      </c>
      <c r="M448" s="24">
        <f t="shared" si="640"/>
        <v>0</v>
      </c>
      <c r="N448" s="26">
        <f>VLOOKUP($C448,COS!$B$8:$H$991,5,FALSE)</f>
        <v>657.61016845703125</v>
      </c>
      <c r="O448" s="26">
        <f t="shared" si="714"/>
        <v>39.130522420583681</v>
      </c>
      <c r="P448" s="26">
        <f>VLOOKUP($C448,COS!$B$8:$H$991,6,FALSE)</f>
        <v>2256.00390625</v>
      </c>
      <c r="Q448" s="26">
        <f t="shared" si="715"/>
        <v>134.24155475206612</v>
      </c>
      <c r="R448" s="26">
        <f>MIN(IF(MONTH($C448)=4,$S$3,IF(MONTH($C448)=5,$S$4,IF(MONTH($C448)=6,$S$5,IF(MONTH($C448)=7,$S$6,"ERROR")))),MAX(VLOOKUP($C448,COS!$B$8:$K$991,10,FALSE)-IF(MONTH($C448)=4,$Y$3,IF(MONTH($C448)=5,$Y$4,IF(MONTH($C448)=6,$Y$5,IF(MONTH($C448)=7,$Y$6,"ERROR")))),0),MAX(VLOOKUP($C448,COS!$B$8:$K$991,9,FALSE)-IF(MONTH($C448)=4,$V$3,IF(MONTH($C448)=5,$V$4,IF(MONTH($C448)=6,$V$5,IF(MONTH($C448)=7,$V$6,"ERROR"))))-VLOOKUP($C448,COS!$B$8:$K$991,6,FALSE)/2,0))</f>
        <v>1500</v>
      </c>
      <c r="S448" s="26">
        <f t="shared" si="716"/>
        <v>89.256198347107429</v>
      </c>
      <c r="T448" s="26">
        <f t="shared" si="717"/>
        <v>175.94223693343233</v>
      </c>
      <c r="U448" s="26" t="str">
        <f>IF(VLOOKUP($C448,COS!$B$8:$I$991,8,FALSE)=1,"UWFE","IBU")</f>
        <v>IBU</v>
      </c>
      <c r="V448" s="26">
        <f t="shared" ref="V448" si="720">MIN(IF(IF($AA$3=2,AND(E448=1,G448=1,L448=1,L451=1,M448=1,U448="IBU"),AND(E448=1,G448=1,L448=1,L451=1,M448=1)),T448,0),I448)</f>
        <v>0</v>
      </c>
      <c r="W448" s="26"/>
      <c r="X448" s="26"/>
      <c r="Y448" s="26"/>
      <c r="Z448" s="26"/>
      <c r="AA448" s="26"/>
      <c r="AB448" s="33"/>
    </row>
    <row r="449" spans="1:28" x14ac:dyDescent="0.3">
      <c r="A449" s="32">
        <f>VLOOKUP(YEAR(C449),Flags!$A$13:$B$95,2,FALSE)</f>
        <v>1</v>
      </c>
      <c r="B449" s="24">
        <f t="shared" si="637"/>
        <v>1970</v>
      </c>
      <c r="C449" s="25">
        <v>25780</v>
      </c>
      <c r="D449" s="26">
        <f>VLOOKUP($C449,COS!$B$8:$H$991,3,FALSE)</f>
        <v>15933.296875</v>
      </c>
      <c r="E449" s="24">
        <f>IF(D449&gt;=IF(MONTH($C449)=4,$C$3,IF(MONTH($C449)=5,$C$4,IF(MONTH($C449)=6,$C$5,IF(MONTH($C449)=7,$C$6,"ERROR")))),1,0)</f>
        <v>1</v>
      </c>
      <c r="F449" s="26">
        <f>VLOOKUP($C449,COS!$B$8:$H$991,7,FALSE)</f>
        <v>50.264232635498047</v>
      </c>
      <c r="G449" s="24">
        <f>IF(F449&lt;=IF(MONTH($C449)=4,$F$3,IF(MONTH($C449)=5,$F$4,IF(MONTH($C449)=6,$F$5,IF(MONTH($C449)=7,$F$6,"ERROR")))),1,0)</f>
        <v>1</v>
      </c>
      <c r="H449" s="26">
        <f>IF(J449=1,D449-$C$6,0)</f>
        <v>3933.296875</v>
      </c>
      <c r="I449" s="26">
        <f t="shared" si="661"/>
        <v>241.84899793388431</v>
      </c>
      <c r="J449" s="24">
        <f t="shared" si="711"/>
        <v>1</v>
      </c>
      <c r="K449" s="26">
        <f>VLOOKUP($C449,COS!$B$8:$H$991,2,FALSE)</f>
        <v>3122.0966796875</v>
      </c>
      <c r="L449" s="24">
        <f t="shared" si="639"/>
        <v>1</v>
      </c>
      <c r="M449" s="24">
        <f t="shared" si="640"/>
        <v>0</v>
      </c>
      <c r="N449" s="26">
        <f>VLOOKUP($C449,COS!$B$8:$H$991,5,FALSE)</f>
        <v>784.4171142578125</v>
      </c>
      <c r="O449" s="26">
        <f t="shared" si="714"/>
        <v>48.231928347753097</v>
      </c>
      <c r="P449" s="26">
        <f>VLOOKUP($C449,COS!$B$8:$H$991,6,FALSE)</f>
        <v>2616.67822265625</v>
      </c>
      <c r="Q449" s="26">
        <f t="shared" si="715"/>
        <v>160.89327253357436</v>
      </c>
      <c r="R449" s="26">
        <f>MIN(IF(MONTH($C449)=4,$S$3,IF(MONTH($C449)=5,$S$4,IF(MONTH($C449)=6,$S$5,IF(MONTH($C449)=7,$S$6,"ERROR")))),MAX(VLOOKUP($C449,COS!$B$8:$K$991,10,FALSE)-IF(MONTH($C449)=4,$Y$3,IF(MONTH($C449)=5,$Y$4,IF(MONTH($C449)=6,$Y$5,IF(MONTH($C449)=7,$Y$6,"ERROR")))),0),MAX(VLOOKUP($C449,COS!$B$8:$K$991,9,FALSE)-IF(MONTH($C449)=4,$V$3,IF(MONTH($C449)=5,$V$4,IF(MONTH($C449)=6,$V$5,IF(MONTH($C449)=7,$V$6,"ERROR"))))-VLOOKUP($C449,COS!$B$8:$K$991,6,FALSE)/2,0))</f>
        <v>1500</v>
      </c>
      <c r="S449" s="26">
        <f t="shared" si="716"/>
        <v>92.231404958677686</v>
      </c>
      <c r="T449" s="26">
        <f t="shared" si="717"/>
        <v>196.79400539934142</v>
      </c>
      <c r="U449" s="26" t="str">
        <f>IF(VLOOKUP($C449,COS!$B$8:$I$991,8,FALSE)=1,"UWFE","IBU")</f>
        <v>IBU</v>
      </c>
      <c r="V449" s="26">
        <f t="shared" ref="V449" si="721">MIN(IF(IF($AA$3=2,AND(E449=1,G449=1,L449=1,L451=1,M449=1,U449="IBU"),AND(E449=1,G449=1,L449=1,L451=1,M449=1)),T449,0),I449)</f>
        <v>0</v>
      </c>
      <c r="W449" s="26"/>
      <c r="X449" s="26"/>
      <c r="Y449" s="26"/>
      <c r="Z449" s="26"/>
      <c r="AA449" s="26"/>
      <c r="AB449" s="33"/>
    </row>
    <row r="450" spans="1:28" x14ac:dyDescent="0.3">
      <c r="A450" s="32">
        <f>VLOOKUP(YEAR(C450),Flags!$A$13:$B$95,2,FALSE)</f>
        <v>1</v>
      </c>
      <c r="B450" s="24">
        <f t="shared" si="637"/>
        <v>1970</v>
      </c>
      <c r="C450" s="25">
        <v>25811</v>
      </c>
      <c r="D450" s="26"/>
      <c r="E450" s="24"/>
      <c r="F450" s="26"/>
      <c r="G450" s="24"/>
      <c r="H450" s="24"/>
      <c r="I450" s="26"/>
      <c r="J450" s="24"/>
      <c r="K450" s="26"/>
      <c r="L450" s="24"/>
      <c r="M450" s="24"/>
      <c r="N450" s="26"/>
      <c r="O450" s="26"/>
      <c r="P450" s="26"/>
      <c r="Q450" s="26"/>
      <c r="R450" s="26"/>
      <c r="S450" s="26"/>
      <c r="T450" s="26"/>
      <c r="U450" s="26"/>
      <c r="V450" s="26"/>
      <c r="W450" s="26">
        <f>MAX($C$7-VLOOKUP($C450,COS!$B$8:$H$991,3,FALSE),0)</f>
        <v>89359.1201171875</v>
      </c>
      <c r="X450" s="26">
        <f t="shared" si="667"/>
        <v>5494.4781295196281</v>
      </c>
      <c r="Y450" s="26">
        <f>VLOOKUP($C450,COS!$B$8:$H$991,4,FALSE)</f>
        <v>0</v>
      </c>
      <c r="Z450" s="26">
        <f t="shared" si="668"/>
        <v>0</v>
      </c>
      <c r="AA450" s="26">
        <f t="shared" ref="AA450:AA454" si="722">MIN(W450,Y450)</f>
        <v>0</v>
      </c>
      <c r="AB450" s="33">
        <f t="shared" ref="AB450" si="723">AA450*DAY($C450)*86400/43560/1000*IF(MONTH($C450)=8,$P$3,IF(MONTH($C450)=9,$P$4,IF(MONTH($C450)=10,$P$5,IF(MONTH($C450)=11,$P$6,IF(MONTH($C450)=12,$P$7,NA())))))</f>
        <v>0</v>
      </c>
    </row>
    <row r="451" spans="1:28" x14ac:dyDescent="0.3">
      <c r="A451" s="32">
        <f>VLOOKUP(YEAR(C451),Flags!$A$13:$B$95,2,FALSE)</f>
        <v>1</v>
      </c>
      <c r="B451" s="24">
        <f t="shared" si="637"/>
        <v>1970</v>
      </c>
      <c r="C451" s="25">
        <v>25841</v>
      </c>
      <c r="D451" s="26"/>
      <c r="E451" s="24"/>
      <c r="F451" s="26"/>
      <c r="G451" s="24"/>
      <c r="H451" s="24"/>
      <c r="I451" s="26"/>
      <c r="J451" s="24"/>
      <c r="K451" s="26">
        <f>VLOOKUP($C451,COS!$B$8:$H$991,2,FALSE)</f>
        <v>2249.6484375</v>
      </c>
      <c r="L451" s="24">
        <f t="shared" ref="L451" si="724">IF(AND(K451&gt;$I$7,K451&lt;$I$8),1,0)</f>
        <v>1</v>
      </c>
      <c r="M451" s="24"/>
      <c r="N451" s="26"/>
      <c r="O451" s="26"/>
      <c r="P451" s="26"/>
      <c r="Q451" s="26"/>
      <c r="R451" s="26"/>
      <c r="S451" s="26"/>
      <c r="T451" s="26"/>
      <c r="U451" s="26"/>
      <c r="V451" s="26"/>
      <c r="W451" s="26">
        <f>MAX($C$8-VLOOKUP($C451,COS!$B$8:$H$991,3,FALSE),0)</f>
        <v>84248.9375</v>
      </c>
      <c r="X451" s="26">
        <f t="shared" si="667"/>
        <v>5013.1599173553714</v>
      </c>
      <c r="Y451" s="26">
        <f>VLOOKUP($C451,COS!$B$8:$H$991,4,FALSE)</f>
        <v>762.34381103515625</v>
      </c>
      <c r="Z451" s="26">
        <f t="shared" si="668"/>
        <v>45.362606937629131</v>
      </c>
      <c r="AA451" s="26">
        <f t="shared" si="722"/>
        <v>762.34381103515625</v>
      </c>
      <c r="AB451" s="33">
        <f t="shared" si="650"/>
        <v>45.362606937629131</v>
      </c>
    </row>
    <row r="452" spans="1:28" x14ac:dyDescent="0.3">
      <c r="A452" s="32">
        <f>VLOOKUP(YEAR(C452),Flags!$A$13:$B$95,2,FALSE)</f>
        <v>1</v>
      </c>
      <c r="B452" s="24">
        <f t="shared" si="637"/>
        <v>1970</v>
      </c>
      <c r="C452" s="25">
        <v>25872</v>
      </c>
      <c r="D452" s="26"/>
      <c r="E452" s="24"/>
      <c r="F452" s="26"/>
      <c r="G452" s="26"/>
      <c r="H452" s="26"/>
      <c r="I452" s="26"/>
      <c r="J452" s="26"/>
      <c r="K452" s="26"/>
      <c r="L452" s="24"/>
      <c r="M452" s="24"/>
      <c r="N452" s="26"/>
      <c r="O452" s="26"/>
      <c r="P452" s="26"/>
      <c r="Q452" s="26"/>
      <c r="R452" s="26"/>
      <c r="S452" s="26"/>
      <c r="T452" s="26"/>
      <c r="U452" s="26"/>
      <c r="V452" s="26"/>
      <c r="W452" s="26">
        <f>MAX($C$9-VLOOKUP($C452,COS!$B$8:$H$991,3,FALSE),0)</f>
        <v>90155.1904296875</v>
      </c>
      <c r="X452" s="26">
        <f t="shared" si="667"/>
        <v>5543.426585098141</v>
      </c>
      <c r="Y452" s="26">
        <f>VLOOKUP($C452,COS!$B$8:$H$991,4,FALSE)</f>
        <v>958.85076904296875</v>
      </c>
      <c r="Z452" s="26">
        <f t="shared" si="668"/>
        <v>58.957435716361054</v>
      </c>
      <c r="AA452" s="26">
        <f t="shared" si="722"/>
        <v>958.85076904296875</v>
      </c>
      <c r="AB452" s="33">
        <f t="shared" si="650"/>
        <v>58.957435716361054</v>
      </c>
    </row>
    <row r="453" spans="1:28" x14ac:dyDescent="0.3">
      <c r="A453" s="32">
        <f>VLOOKUP(YEAR(C453),Flags!$A$13:$B$95,2,FALSE)</f>
        <v>1</v>
      </c>
      <c r="B453" s="24">
        <f t="shared" si="637"/>
        <v>1970</v>
      </c>
      <c r="C453" s="25">
        <v>25902</v>
      </c>
      <c r="D453" s="26"/>
      <c r="E453" s="24"/>
      <c r="F453" s="26"/>
      <c r="G453" s="26"/>
      <c r="H453" s="26"/>
      <c r="I453" s="26"/>
      <c r="J453" s="26"/>
      <c r="K453" s="26"/>
      <c r="L453" s="24"/>
      <c r="M453" s="24"/>
      <c r="N453" s="26"/>
      <c r="O453" s="26"/>
      <c r="P453" s="26"/>
      <c r="Q453" s="26"/>
      <c r="R453" s="26"/>
      <c r="S453" s="26"/>
      <c r="T453" s="26"/>
      <c r="U453" s="26"/>
      <c r="V453" s="26"/>
      <c r="W453" s="26">
        <f>MAX($C$10-VLOOKUP($C453,COS!$B$8:$H$991,3,FALSE),0)</f>
        <v>94202.6669921875</v>
      </c>
      <c r="X453" s="26">
        <f t="shared" si="667"/>
        <v>5605.4479532541327</v>
      </c>
      <c r="Y453" s="26">
        <f>VLOOKUP($C453,COS!$B$8:$H$991,4,FALSE)</f>
        <v>1112.5506591796875</v>
      </c>
      <c r="Z453" s="26">
        <f t="shared" si="668"/>
        <v>66.201361537964871</v>
      </c>
      <c r="AA453" s="26">
        <f t="shared" si="722"/>
        <v>1112.5506591796875</v>
      </c>
      <c r="AB453" s="33">
        <f t="shared" si="650"/>
        <v>66.201361537964871</v>
      </c>
    </row>
    <row r="454" spans="1:28" x14ac:dyDescent="0.3">
      <c r="A454" s="34">
        <f>VLOOKUP(YEAR(C454),Flags!$A$13:$B$95,2,FALSE)</f>
        <v>1</v>
      </c>
      <c r="B454" s="35">
        <f t="shared" si="637"/>
        <v>1970</v>
      </c>
      <c r="C454" s="36">
        <v>25933</v>
      </c>
      <c r="D454" s="37"/>
      <c r="E454" s="35"/>
      <c r="F454" s="37"/>
      <c r="G454" s="37"/>
      <c r="H454" s="37"/>
      <c r="I454" s="37"/>
      <c r="J454" s="37"/>
      <c r="K454" s="37"/>
      <c r="L454" s="35"/>
      <c r="M454" s="35"/>
      <c r="N454" s="37"/>
      <c r="O454" s="37"/>
      <c r="P454" s="37"/>
      <c r="Q454" s="37"/>
      <c r="R454" s="37"/>
      <c r="S454" s="37"/>
      <c r="T454" s="37"/>
      <c r="U454" s="37"/>
      <c r="V454" s="37"/>
      <c r="W454" s="37">
        <f>MAX($C$11-VLOOKUP($C454,COS!$B$8:$H$991,3,FALSE),0)</f>
        <v>94356.16943359375</v>
      </c>
      <c r="X454" s="37">
        <f t="shared" si="667"/>
        <v>5801.7347155862599</v>
      </c>
      <c r="Y454" s="37">
        <f>VLOOKUP($C454,COS!$B$8:$H$991,4,FALSE)</f>
        <v>0</v>
      </c>
      <c r="Z454" s="37">
        <f t="shared" si="668"/>
        <v>0</v>
      </c>
      <c r="AA454" s="37">
        <f t="shared" si="722"/>
        <v>0</v>
      </c>
      <c r="AB454" s="38">
        <f t="shared" si="650"/>
        <v>0</v>
      </c>
    </row>
    <row r="455" spans="1:28" x14ac:dyDescent="0.3">
      <c r="A455" s="27">
        <f>VLOOKUP(YEAR(C455),Flags!$A$13:$B$95,2,FALSE)</f>
        <v>1</v>
      </c>
      <c r="B455" s="28">
        <f t="shared" si="637"/>
        <v>1971</v>
      </c>
      <c r="C455" s="29">
        <v>26053</v>
      </c>
      <c r="D455" s="30">
        <f>VLOOKUP($C455,COS!$B$8:$H$991,3,FALSE)</f>
        <v>3250</v>
      </c>
      <c r="E455" s="28">
        <f>IF(D455&gt;=IF(MONTH($C455)=4,$C$3,IF(MONTH($C455)=5,$C$4,IF(MONTH($C455)=6,$C$5,IF(MONTH($C455)=7,$C$6,"ERROR")))),1,0)</f>
        <v>0</v>
      </c>
      <c r="F455" s="30">
        <f>VLOOKUP($C455,COS!$B$8:$H$991,7,FALSE)</f>
        <v>50.101123809814453</v>
      </c>
      <c r="G455" s="28">
        <f>IF(F455&lt;=IF(MONTH($C455)=4,$F$3,IF(MONTH($C455)=5,$F$4,IF(MONTH($C455)=6,$F$5,IF(MONTH($C455)=7,$F$6,"ERROR")))),1,0)</f>
        <v>1</v>
      </c>
      <c r="H455" s="30">
        <f>IF(J455=1,D455-$C$3,0)</f>
        <v>0</v>
      </c>
      <c r="I455" s="30">
        <f t="shared" si="661"/>
        <v>0</v>
      </c>
      <c r="J455" s="28">
        <f t="shared" ref="J455:J458" si="725">IF(AND(E455=1,G455=1),1,0)</f>
        <v>0</v>
      </c>
      <c r="K455" s="30">
        <f>VLOOKUP($C455,COS!$B$8:$H$991,2,FALSE)</f>
        <v>4470.4140625</v>
      </c>
      <c r="L455" s="28">
        <f t="shared" ref="L455" si="726">IF(K455&lt;=IF(MONTH($C455)=4,$I$3,IF(MONTH($C455)=5,$I$4,IF(MONTH($C455)=6,$I$5,IF(MONTH($C455)=7,$I$6,"ERROR")))),1,0)</f>
        <v>1</v>
      </c>
      <c r="M455" s="28">
        <f t="shared" ref="M455" si="727">VLOOKUP($A455,$L$3:$M$7,2,FALSE)</f>
        <v>0</v>
      </c>
      <c r="N455" s="30">
        <f>VLOOKUP($C455,COS!$B$8:$H$991,5,FALSE)</f>
        <v>663.01629638671875</v>
      </c>
      <c r="O455" s="30">
        <f t="shared" ref="O455:O458" si="728">N455*DAY($C455)*86400/43560/1000</f>
        <v>39.452209371771694</v>
      </c>
      <c r="P455" s="30">
        <f>VLOOKUP($C455,COS!$B$8:$H$991,6,FALSE)</f>
        <v>563.3929443359375</v>
      </c>
      <c r="Q455" s="30">
        <f t="shared" ref="Q455:Q458" si="729">P455*DAY($C455)*86400/43560/1000</f>
        <v>33.524208258006198</v>
      </c>
      <c r="R455" s="30">
        <f>MIN(IF(MONTH($C455)=4,$S$3,IF(MONTH($C455)=5,$S$4,IF(MONTH($C455)=6,$S$5,IF(MONTH($C455)=7,$S$6,"ERROR")))),MAX(VLOOKUP($C455,COS!$B$8:$K$991,10,FALSE)-IF(MONTH($C455)=4,$Y$3,IF(MONTH($C455)=5,$Y$4,IF(MONTH($C455)=6,$Y$5,IF(MONTH($C455)=7,$Y$6,"ERROR")))),0),MAX(VLOOKUP($C455,COS!$B$8:$K$991,9,FALSE)-IF(MONTH($C455)=4,$V$3,IF(MONTH($C455)=5,$V$4,IF(MONTH($C455)=6,$V$5,IF(MONTH($C455)=7,$V$6,"ERROR"))))-VLOOKUP($C455,COS!$B$8:$K$991,6,FALSE)/2,0))</f>
        <v>1500</v>
      </c>
      <c r="S455" s="30">
        <f t="shared" ref="S455:S458" si="730">R455*DAY($C455)*86400/43560/1000</f>
        <v>89.256198347107429</v>
      </c>
      <c r="T455" s="30">
        <f t="shared" ref="T455:T458" si="731">(O455+Q455)/2+S455</f>
        <v>125.74440716199638</v>
      </c>
      <c r="U455" s="30" t="str">
        <f>IF(VLOOKUP($C455,COS!$B$8:$I$991,8,FALSE)=1,"UWFE","IBU")</f>
        <v>UWFE</v>
      </c>
      <c r="V455" s="30">
        <f t="shared" ref="V455" si="732">MIN(IF(IF($AA$3=2,AND(E455=1,G455=1,L455=1,L460=1,M455=1,U455="IBU"),AND(E455=1,G455=1,L455=1,L460=1,M455=1)),T455,0),I455)</f>
        <v>0</v>
      </c>
      <c r="W455" s="30"/>
      <c r="X455" s="30"/>
      <c r="Y455" s="30"/>
      <c r="Z455" s="30"/>
      <c r="AA455" s="30"/>
      <c r="AB455" s="31"/>
    </row>
    <row r="456" spans="1:28" x14ac:dyDescent="0.3">
      <c r="A456" s="32">
        <f>VLOOKUP(YEAR(C456),Flags!$A$13:$B$95,2,FALSE)</f>
        <v>1</v>
      </c>
      <c r="B456" s="24">
        <f t="shared" si="637"/>
        <v>1971</v>
      </c>
      <c r="C456" s="25">
        <v>26084</v>
      </c>
      <c r="D456" s="26">
        <f>VLOOKUP($C456,COS!$B$8:$H$991,3,FALSE)</f>
        <v>8956.8486328125</v>
      </c>
      <c r="E456" s="24">
        <f>IF(D456&gt;=IF(MONTH($C456)=4,$C$3,IF(MONTH($C456)=5,$C$4,IF(MONTH($C456)=6,$C$5,IF(MONTH($C456)=7,$C$6,"ERROR")))),1,0)</f>
        <v>1</v>
      </c>
      <c r="F456" s="26">
        <f>VLOOKUP($C456,COS!$B$8:$H$991,7,FALSE)</f>
        <v>49.074142456054688</v>
      </c>
      <c r="G456" s="24">
        <f>IF(F456&lt;=IF(MONTH($C456)=4,$F$3,IF(MONTH($C456)=5,$F$4,IF(MONTH($C456)=6,$F$5,IF(MONTH($C456)=7,$F$6,"ERROR")))),1,0)</f>
        <v>1</v>
      </c>
      <c r="H456" s="26">
        <f>IF(J456=1,D456-$C$4,0)</f>
        <v>2956.8486328125</v>
      </c>
      <c r="I456" s="26">
        <f t="shared" si="661"/>
        <v>181.8095357696281</v>
      </c>
      <c r="J456" s="24">
        <f t="shared" si="725"/>
        <v>1</v>
      </c>
      <c r="K456" s="26">
        <f>VLOOKUP($C456,COS!$B$8:$H$991,2,FALSE)</f>
        <v>4552</v>
      </c>
      <c r="L456" s="24">
        <f t="shared" si="639"/>
        <v>1</v>
      </c>
      <c r="M456" s="24">
        <f t="shared" si="640"/>
        <v>0</v>
      </c>
      <c r="N456" s="26">
        <f>VLOOKUP($C456,COS!$B$8:$H$991,5,FALSE)</f>
        <v>722.55084228515625</v>
      </c>
      <c r="O456" s="26">
        <f t="shared" si="728"/>
        <v>44.427919558690597</v>
      </c>
      <c r="P456" s="26">
        <f>VLOOKUP($C456,COS!$B$8:$H$991,6,FALSE)</f>
        <v>1990.4598388671875</v>
      </c>
      <c r="Q456" s="26">
        <f t="shared" si="729"/>
        <v>122.3886049683626</v>
      </c>
      <c r="R456" s="26">
        <f>MIN(IF(MONTH($C456)=4,$S$3,IF(MONTH($C456)=5,$S$4,IF(MONTH($C456)=6,$S$5,IF(MONTH($C456)=7,$S$6,"ERROR")))),MAX(VLOOKUP($C456,COS!$B$8:$K$991,10,FALSE)-IF(MONTH($C456)=4,$Y$3,IF(MONTH($C456)=5,$Y$4,IF(MONTH($C456)=6,$Y$5,IF(MONTH($C456)=7,$Y$6,"ERROR")))),0),MAX(VLOOKUP($C456,COS!$B$8:$K$991,9,FALSE)-IF(MONTH($C456)=4,$V$3,IF(MONTH($C456)=5,$V$4,IF(MONTH($C456)=6,$V$5,IF(MONTH($C456)=7,$V$6,"ERROR"))))-VLOOKUP($C456,COS!$B$8:$K$991,6,FALSE)/2,0))</f>
        <v>1500</v>
      </c>
      <c r="S456" s="26">
        <f t="shared" si="730"/>
        <v>92.231404958677686</v>
      </c>
      <c r="T456" s="26">
        <f t="shared" si="731"/>
        <v>175.63966722220428</v>
      </c>
      <c r="U456" s="26" t="str">
        <f>IF(VLOOKUP($C456,COS!$B$8:$I$991,8,FALSE)=1,"UWFE","IBU")</f>
        <v>UWFE</v>
      </c>
      <c r="V456" s="26">
        <f t="shared" ref="V456" si="733">MIN(IF(IF($AA$3=2,AND(E456=1,G456=1,L456=1,L460=1,M456=1,U456="IBU"),AND(E456=1,G456=1,L456=1,L460=1,M456=1)),T456,0),I456)</f>
        <v>0</v>
      </c>
      <c r="W456" s="26"/>
      <c r="X456" s="26"/>
      <c r="Y456" s="26"/>
      <c r="Z456" s="26"/>
      <c r="AA456" s="26"/>
      <c r="AB456" s="33"/>
    </row>
    <row r="457" spans="1:28" x14ac:dyDescent="0.3">
      <c r="A457" s="32">
        <f>VLOOKUP(YEAR(C457),Flags!$A$13:$B$95,2,FALSE)</f>
        <v>1</v>
      </c>
      <c r="B457" s="24">
        <f t="shared" si="637"/>
        <v>1971</v>
      </c>
      <c r="C457" s="25">
        <v>26114</v>
      </c>
      <c r="D457" s="26">
        <f>VLOOKUP($C457,COS!$B$8:$H$991,3,FALSE)</f>
        <v>7962.24658203125</v>
      </c>
      <c r="E457" s="24">
        <f>IF(D457&gt;=IF(MONTH($C457)=4,$C$3,IF(MONTH($C457)=5,$C$4,IF(MONTH($C457)=6,$C$5,IF(MONTH($C457)=7,$C$6,"ERROR")))),1,0)</f>
        <v>0</v>
      </c>
      <c r="F457" s="26">
        <f>VLOOKUP($C457,COS!$B$8:$H$991,7,FALSE)</f>
        <v>51.377964019775391</v>
      </c>
      <c r="G457" s="24">
        <f>IF(F457&lt;=IF(MONTH($C457)=4,$F$3,IF(MONTH($C457)=5,$F$4,IF(MONTH($C457)=6,$F$5,IF(MONTH($C457)=7,$F$6,"ERROR")))),1,0)</f>
        <v>1</v>
      </c>
      <c r="H457" s="26">
        <f>IF(J457=1,D457-$C$5,0)</f>
        <v>0</v>
      </c>
      <c r="I457" s="26">
        <f t="shared" si="661"/>
        <v>0</v>
      </c>
      <c r="J457" s="24">
        <f t="shared" si="725"/>
        <v>0</v>
      </c>
      <c r="K457" s="26">
        <f>VLOOKUP($C457,COS!$B$8:$H$991,2,FALSE)</f>
        <v>4500</v>
      </c>
      <c r="L457" s="24">
        <f t="shared" si="639"/>
        <v>1</v>
      </c>
      <c r="M457" s="24">
        <f t="shared" si="640"/>
        <v>0</v>
      </c>
      <c r="N457" s="26">
        <f>VLOOKUP($C457,COS!$B$8:$H$991,5,FALSE)</f>
        <v>865.0386962890625</v>
      </c>
      <c r="O457" s="26">
        <f t="shared" si="728"/>
        <v>51.473376969266532</v>
      </c>
      <c r="P457" s="26">
        <f>VLOOKUP($C457,COS!$B$8:$H$991,6,FALSE)</f>
        <v>2342.25732421875</v>
      </c>
      <c r="Q457" s="26">
        <f t="shared" si="729"/>
        <v>139.37398954028924</v>
      </c>
      <c r="R457" s="26">
        <f>MIN(IF(MONTH($C457)=4,$S$3,IF(MONTH($C457)=5,$S$4,IF(MONTH($C457)=6,$S$5,IF(MONTH($C457)=7,$S$6,"ERROR")))),MAX(VLOOKUP($C457,COS!$B$8:$K$991,10,FALSE)-IF(MONTH($C457)=4,$Y$3,IF(MONTH($C457)=5,$Y$4,IF(MONTH($C457)=6,$Y$5,IF(MONTH($C457)=7,$Y$6,"ERROR")))),0),MAX(VLOOKUP($C457,COS!$B$8:$K$991,9,FALSE)-IF(MONTH($C457)=4,$V$3,IF(MONTH($C457)=5,$V$4,IF(MONTH($C457)=6,$V$5,IF(MONTH($C457)=7,$V$6,"ERROR"))))-VLOOKUP($C457,COS!$B$8:$K$991,6,FALSE)/2,0))</f>
        <v>1500</v>
      </c>
      <c r="S457" s="26">
        <f t="shared" si="730"/>
        <v>89.256198347107429</v>
      </c>
      <c r="T457" s="26">
        <f t="shared" si="731"/>
        <v>184.67988160188531</v>
      </c>
      <c r="U457" s="26" t="str">
        <f>IF(VLOOKUP($C457,COS!$B$8:$I$991,8,FALSE)=1,"UWFE","IBU")</f>
        <v>UWFE</v>
      </c>
      <c r="V457" s="26">
        <f t="shared" ref="V457" si="734">MIN(IF(IF($AA$3=2,AND(E457=1,G457=1,L457=1,L460=1,M457=1,U457="IBU"),AND(E457=1,G457=1,L457=1,L460=1,M457=1)),T457,0),I457)</f>
        <v>0</v>
      </c>
      <c r="W457" s="26"/>
      <c r="X457" s="26"/>
      <c r="Y457" s="26"/>
      <c r="Z457" s="26"/>
      <c r="AA457" s="26"/>
      <c r="AB457" s="33"/>
    </row>
    <row r="458" spans="1:28" x14ac:dyDescent="0.3">
      <c r="A458" s="32">
        <f>VLOOKUP(YEAR(C458),Flags!$A$13:$B$95,2,FALSE)</f>
        <v>1</v>
      </c>
      <c r="B458" s="24">
        <f t="shared" si="637"/>
        <v>1971</v>
      </c>
      <c r="C458" s="25">
        <v>26145</v>
      </c>
      <c r="D458" s="26">
        <f>VLOOKUP($C458,COS!$B$8:$H$991,3,FALSE)</f>
        <v>15771.30859375</v>
      </c>
      <c r="E458" s="24">
        <f>IF(D458&gt;=IF(MONTH($C458)=4,$C$3,IF(MONTH($C458)=5,$C$4,IF(MONTH($C458)=6,$C$5,IF(MONTH($C458)=7,$C$6,"ERROR")))),1,0)</f>
        <v>1</v>
      </c>
      <c r="F458" s="26">
        <f>VLOOKUP($C458,COS!$B$8:$H$991,7,FALSE)</f>
        <v>51.168178558349609</v>
      </c>
      <c r="G458" s="24">
        <f>IF(F458&lt;=IF(MONTH($C458)=4,$F$3,IF(MONTH($C458)=5,$F$4,IF(MONTH($C458)=6,$F$5,IF(MONTH($C458)=7,$F$6,"ERROR")))),1,0)</f>
        <v>1</v>
      </c>
      <c r="H458" s="26">
        <f>IF(J458=1,D458-$C$6,0)</f>
        <v>3771.30859375</v>
      </c>
      <c r="I458" s="26">
        <f t="shared" si="661"/>
        <v>231.88872675619837</v>
      </c>
      <c r="J458" s="24">
        <f t="shared" si="725"/>
        <v>1</v>
      </c>
      <c r="K458" s="26">
        <f>VLOOKUP($C458,COS!$B$8:$H$991,2,FALSE)</f>
        <v>3763.6337890625</v>
      </c>
      <c r="L458" s="24">
        <f t="shared" si="639"/>
        <v>1</v>
      </c>
      <c r="M458" s="24">
        <f t="shared" si="640"/>
        <v>0</v>
      </c>
      <c r="N458" s="26">
        <f>VLOOKUP($C458,COS!$B$8:$H$991,5,FALSE)</f>
        <v>964.21917724609375</v>
      </c>
      <c r="O458" s="26">
        <f t="shared" si="728"/>
        <v>59.287526270338326</v>
      </c>
      <c r="P458" s="26">
        <f>VLOOKUP($C458,COS!$B$8:$H$991,6,FALSE)</f>
        <v>2521.474853515625</v>
      </c>
      <c r="Q458" s="26">
        <f t="shared" si="729"/>
        <v>155.0394455384814</v>
      </c>
      <c r="R458" s="26">
        <f>MIN(IF(MONTH($C458)=4,$S$3,IF(MONTH($C458)=5,$S$4,IF(MONTH($C458)=6,$S$5,IF(MONTH($C458)=7,$S$6,"ERROR")))),MAX(VLOOKUP($C458,COS!$B$8:$K$991,10,FALSE)-IF(MONTH($C458)=4,$Y$3,IF(MONTH($C458)=5,$Y$4,IF(MONTH($C458)=6,$Y$5,IF(MONTH($C458)=7,$Y$6,"ERROR")))),0),MAX(VLOOKUP($C458,COS!$B$8:$K$991,9,FALSE)-IF(MONTH($C458)=4,$V$3,IF(MONTH($C458)=5,$V$4,IF(MONTH($C458)=6,$V$5,IF(MONTH($C458)=7,$V$6,"ERROR"))))-VLOOKUP($C458,COS!$B$8:$K$991,6,FALSE)/2,0))</f>
        <v>1500</v>
      </c>
      <c r="S458" s="26">
        <f t="shared" si="730"/>
        <v>92.231404958677686</v>
      </c>
      <c r="T458" s="26">
        <f t="shared" si="731"/>
        <v>199.39489086308754</v>
      </c>
      <c r="U458" s="26" t="str">
        <f>IF(VLOOKUP($C458,COS!$B$8:$I$991,8,FALSE)=1,"UWFE","IBU")</f>
        <v>IBU</v>
      </c>
      <c r="V458" s="26">
        <f t="shared" ref="V458" si="735">MIN(IF(IF($AA$3=2,AND(E458=1,G458=1,L458=1,L460=1,M458=1,U458="IBU"),AND(E458=1,G458=1,L458=1,L460=1,M458=1)),T458,0),I458)</f>
        <v>0</v>
      </c>
      <c r="W458" s="26"/>
      <c r="X458" s="26"/>
      <c r="Y458" s="26"/>
      <c r="Z458" s="26"/>
      <c r="AA458" s="26"/>
      <c r="AB458" s="33"/>
    </row>
    <row r="459" spans="1:28" x14ac:dyDescent="0.3">
      <c r="A459" s="32">
        <f>VLOOKUP(YEAR(C459),Flags!$A$13:$B$95,2,FALSE)</f>
        <v>1</v>
      </c>
      <c r="B459" s="24">
        <f t="shared" si="637"/>
        <v>1971</v>
      </c>
      <c r="C459" s="25">
        <v>26176</v>
      </c>
      <c r="D459" s="26"/>
      <c r="E459" s="24"/>
      <c r="F459" s="26"/>
      <c r="G459" s="24"/>
      <c r="H459" s="24"/>
      <c r="I459" s="26"/>
      <c r="J459" s="24"/>
      <c r="K459" s="26"/>
      <c r="L459" s="24"/>
      <c r="M459" s="24"/>
      <c r="N459" s="26"/>
      <c r="O459" s="26"/>
      <c r="P459" s="26"/>
      <c r="Q459" s="26"/>
      <c r="R459" s="26"/>
      <c r="S459" s="26"/>
      <c r="T459" s="26"/>
      <c r="U459" s="26"/>
      <c r="V459" s="26"/>
      <c r="W459" s="26">
        <f>MAX($C$7-VLOOKUP($C459,COS!$B$8:$H$991,3,FALSE),0)</f>
        <v>90534.529296875</v>
      </c>
      <c r="X459" s="26">
        <f t="shared" si="667"/>
        <v>5566.7512228822316</v>
      </c>
      <c r="Y459" s="26">
        <f>VLOOKUP($C459,COS!$B$8:$H$991,4,FALSE)</f>
        <v>367.70223999023438</v>
      </c>
      <c r="Z459" s="26">
        <f t="shared" si="668"/>
        <v>22.609129467168131</v>
      </c>
      <c r="AA459" s="26">
        <f t="shared" ref="AA459:AA463" si="736">MIN(W459,Y459)</f>
        <v>367.70223999023438</v>
      </c>
      <c r="AB459" s="33">
        <f t="shared" ref="AB459" si="737">AA459*DAY($C459)*86400/43560/1000*IF(MONTH($C459)=8,$P$3,IF(MONTH($C459)=9,$P$4,IF(MONTH($C459)=10,$P$5,IF(MONTH($C459)=11,$P$6,IF(MONTH($C459)=12,$P$7,NA())))))</f>
        <v>22.609129467168131</v>
      </c>
    </row>
    <row r="460" spans="1:28" x14ac:dyDescent="0.3">
      <c r="A460" s="32">
        <f>VLOOKUP(YEAR(C460),Flags!$A$13:$B$95,2,FALSE)</f>
        <v>1</v>
      </c>
      <c r="B460" s="24">
        <f t="shared" si="637"/>
        <v>1971</v>
      </c>
      <c r="C460" s="25">
        <v>26206</v>
      </c>
      <c r="D460" s="26"/>
      <c r="E460" s="24"/>
      <c r="F460" s="26"/>
      <c r="G460" s="24"/>
      <c r="H460" s="24"/>
      <c r="I460" s="26"/>
      <c r="J460" s="24"/>
      <c r="K460" s="26">
        <f>VLOOKUP($C460,COS!$B$8:$H$991,2,FALSE)</f>
        <v>2942.9580078125</v>
      </c>
      <c r="L460" s="24">
        <f t="shared" ref="L460" si="738">IF(AND(K460&gt;$I$7,K460&lt;$I$8),1,0)</f>
        <v>1</v>
      </c>
      <c r="M460" s="24"/>
      <c r="N460" s="26"/>
      <c r="O460" s="26"/>
      <c r="P460" s="26"/>
      <c r="Q460" s="26"/>
      <c r="R460" s="26"/>
      <c r="S460" s="26"/>
      <c r="T460" s="26"/>
      <c r="U460" s="26"/>
      <c r="V460" s="26"/>
      <c r="W460" s="26">
        <f>MAX($C$8-VLOOKUP($C460,COS!$B$8:$H$991,3,FALSE),0)</f>
        <v>86539.259765625</v>
      </c>
      <c r="X460" s="26">
        <f t="shared" si="667"/>
        <v>5149.4435563016523</v>
      </c>
      <c r="Y460" s="26">
        <f>VLOOKUP($C460,COS!$B$8:$H$991,4,FALSE)</f>
        <v>0</v>
      </c>
      <c r="Z460" s="26">
        <f t="shared" si="668"/>
        <v>0</v>
      </c>
      <c r="AA460" s="26">
        <f t="shared" si="736"/>
        <v>0</v>
      </c>
      <c r="AB460" s="33">
        <f t="shared" si="650"/>
        <v>0</v>
      </c>
    </row>
    <row r="461" spans="1:28" x14ac:dyDescent="0.3">
      <c r="A461" s="32">
        <f>VLOOKUP(YEAR(C461),Flags!$A$13:$B$95,2,FALSE)</f>
        <v>1</v>
      </c>
      <c r="B461" s="24">
        <f t="shared" si="637"/>
        <v>1971</v>
      </c>
      <c r="C461" s="25">
        <v>26237</v>
      </c>
      <c r="D461" s="26"/>
      <c r="E461" s="24"/>
      <c r="F461" s="26"/>
      <c r="G461" s="26"/>
      <c r="H461" s="26"/>
      <c r="I461" s="26"/>
      <c r="J461" s="26"/>
      <c r="K461" s="26"/>
      <c r="L461" s="24"/>
      <c r="M461" s="24"/>
      <c r="N461" s="26"/>
      <c r="O461" s="26"/>
      <c r="P461" s="26"/>
      <c r="Q461" s="26"/>
      <c r="R461" s="26"/>
      <c r="S461" s="26"/>
      <c r="T461" s="26"/>
      <c r="U461" s="26"/>
      <c r="V461" s="26"/>
      <c r="W461" s="26">
        <f>MAX($C$9-VLOOKUP($C461,COS!$B$8:$H$991,3,FALSE),0)</f>
        <v>91401.7578125</v>
      </c>
      <c r="X461" s="26">
        <f t="shared" si="667"/>
        <v>5620.075025826447</v>
      </c>
      <c r="Y461" s="26">
        <f>VLOOKUP($C461,COS!$B$8:$H$991,4,FALSE)</f>
        <v>1216.479248046875</v>
      </c>
      <c r="Z461" s="26">
        <f t="shared" si="668"/>
        <v>74.798393433626032</v>
      </c>
      <c r="AA461" s="26">
        <f t="shared" si="736"/>
        <v>1216.479248046875</v>
      </c>
      <c r="AB461" s="33">
        <f t="shared" si="650"/>
        <v>74.798393433626032</v>
      </c>
    </row>
    <row r="462" spans="1:28" x14ac:dyDescent="0.3">
      <c r="A462" s="32">
        <f>VLOOKUP(YEAR(C462),Flags!$A$13:$B$95,2,FALSE)</f>
        <v>1</v>
      </c>
      <c r="B462" s="24">
        <f t="shared" si="637"/>
        <v>1971</v>
      </c>
      <c r="C462" s="25">
        <v>26267</v>
      </c>
      <c r="D462" s="26"/>
      <c r="E462" s="24"/>
      <c r="F462" s="26"/>
      <c r="G462" s="26"/>
      <c r="H462" s="26"/>
      <c r="I462" s="26"/>
      <c r="J462" s="26"/>
      <c r="K462" s="26"/>
      <c r="L462" s="24"/>
      <c r="M462" s="24"/>
      <c r="N462" s="26"/>
      <c r="O462" s="26"/>
      <c r="P462" s="26"/>
      <c r="Q462" s="26"/>
      <c r="R462" s="26"/>
      <c r="S462" s="26"/>
      <c r="T462" s="26"/>
      <c r="U462" s="26"/>
      <c r="V462" s="26"/>
      <c r="W462" s="26">
        <f>MAX($C$10-VLOOKUP($C462,COS!$B$8:$H$991,3,FALSE),0)</f>
        <v>87564.6484375</v>
      </c>
      <c r="X462" s="26">
        <f t="shared" si="667"/>
        <v>5210.4584194214876</v>
      </c>
      <c r="Y462" s="26">
        <f>VLOOKUP($C462,COS!$B$8:$H$991,4,FALSE)</f>
        <v>1703.5538330078125</v>
      </c>
      <c r="Z462" s="26">
        <f t="shared" si="668"/>
        <v>101.36849254261364</v>
      </c>
      <c r="AA462" s="26">
        <f t="shared" si="736"/>
        <v>1703.5538330078125</v>
      </c>
      <c r="AB462" s="33">
        <f t="shared" si="650"/>
        <v>101.36849254261364</v>
      </c>
    </row>
    <row r="463" spans="1:28" x14ac:dyDescent="0.3">
      <c r="A463" s="34">
        <f>VLOOKUP(YEAR(C463),Flags!$A$13:$B$95,2,FALSE)</f>
        <v>1</v>
      </c>
      <c r="B463" s="35">
        <f t="shared" ref="B463:B526" si="739">YEAR(C463)</f>
        <v>1971</v>
      </c>
      <c r="C463" s="36">
        <v>26298</v>
      </c>
      <c r="D463" s="37"/>
      <c r="E463" s="35"/>
      <c r="F463" s="37"/>
      <c r="G463" s="37"/>
      <c r="H463" s="37"/>
      <c r="I463" s="37"/>
      <c r="J463" s="37"/>
      <c r="K463" s="37"/>
      <c r="L463" s="35"/>
      <c r="M463" s="35"/>
      <c r="N463" s="37"/>
      <c r="O463" s="37"/>
      <c r="P463" s="37"/>
      <c r="Q463" s="37"/>
      <c r="R463" s="37"/>
      <c r="S463" s="37"/>
      <c r="T463" s="37"/>
      <c r="U463" s="37"/>
      <c r="V463" s="37"/>
      <c r="W463" s="37">
        <f>MAX($C$11-VLOOKUP($C463,COS!$B$8:$H$991,3,FALSE),0)</f>
        <v>96749</v>
      </c>
      <c r="X463" s="37">
        <f t="shared" si="667"/>
        <v>5948.8641322314052</v>
      </c>
      <c r="Y463" s="37">
        <f>VLOOKUP($C463,COS!$B$8:$H$991,4,FALSE)</f>
        <v>0</v>
      </c>
      <c r="Z463" s="37">
        <f t="shared" si="668"/>
        <v>0</v>
      </c>
      <c r="AA463" s="37">
        <f t="shared" si="736"/>
        <v>0</v>
      </c>
      <c r="AB463" s="38">
        <f t="shared" si="650"/>
        <v>0</v>
      </c>
    </row>
    <row r="464" spans="1:28" x14ac:dyDescent="0.3">
      <c r="A464" s="27">
        <f>VLOOKUP(YEAR(C464),Flags!$A$13:$B$95,2,FALSE)</f>
        <v>3</v>
      </c>
      <c r="B464" s="28">
        <f t="shared" si="739"/>
        <v>1972</v>
      </c>
      <c r="C464" s="29">
        <v>26419</v>
      </c>
      <c r="D464" s="30">
        <f>VLOOKUP($C464,COS!$B$8:$H$991,3,FALSE)</f>
        <v>4466.64501953125</v>
      </c>
      <c r="E464" s="28">
        <f>IF(D464&gt;=IF(MONTH($C464)=4,$C$3,IF(MONTH($C464)=5,$C$4,IF(MONTH($C464)=6,$C$5,IF(MONTH($C464)=7,$C$6,"ERROR")))),1,0)</f>
        <v>0</v>
      </c>
      <c r="F464" s="30">
        <f>VLOOKUP($C464,COS!$B$8:$H$991,7,FALSE)</f>
        <v>50.082248687744141</v>
      </c>
      <c r="G464" s="28">
        <f>IF(F464&lt;=IF(MONTH($C464)=4,$F$3,IF(MONTH($C464)=5,$F$4,IF(MONTH($C464)=6,$F$5,IF(MONTH($C464)=7,$F$6,"ERROR")))),1,0)</f>
        <v>1</v>
      </c>
      <c r="H464" s="30">
        <f>IF(J464=1,D464-$C$3,0)</f>
        <v>0</v>
      </c>
      <c r="I464" s="30">
        <f t="shared" si="661"/>
        <v>0</v>
      </c>
      <c r="J464" s="28">
        <f t="shared" ref="J464:J467" si="740">IF(AND(E464=1,G464=1),1,0)</f>
        <v>0</v>
      </c>
      <c r="K464" s="30">
        <f>VLOOKUP($C464,COS!$B$8:$H$991,2,FALSE)</f>
        <v>4552</v>
      </c>
      <c r="L464" s="28">
        <f t="shared" ref="L464:L521" si="741">IF(K464&lt;=IF(MONTH($C464)=4,$I$3,IF(MONTH($C464)=5,$I$4,IF(MONTH($C464)=6,$I$5,IF(MONTH($C464)=7,$I$6,"ERROR")))),1,0)</f>
        <v>1</v>
      </c>
      <c r="M464" s="28">
        <f t="shared" ref="M464:M521" si="742">VLOOKUP($A464,$L$3:$M$7,2,FALSE)</f>
        <v>0</v>
      </c>
      <c r="N464" s="30">
        <f>VLOOKUP($C464,COS!$B$8:$H$991,5,FALSE)</f>
        <v>323.25350952148438</v>
      </c>
      <c r="O464" s="30">
        <f t="shared" ref="O464:O467" si="743">N464*DAY($C464)*86400/43560/1000</f>
        <v>19.23491957483213</v>
      </c>
      <c r="P464" s="30">
        <f>VLOOKUP($C464,COS!$B$8:$H$991,6,FALSE)</f>
        <v>539.28424072265625</v>
      </c>
      <c r="Q464" s="30">
        <f t="shared" ref="Q464:Q467" si="744">P464*DAY($C464)*86400/43560/1000</f>
        <v>32.08964077027376</v>
      </c>
      <c r="R464" s="30">
        <f>MIN(IF(MONTH($C464)=4,$S$3,IF(MONTH($C464)=5,$S$4,IF(MONTH($C464)=6,$S$5,IF(MONTH($C464)=7,$S$6,"ERROR")))),MAX(VLOOKUP($C464,COS!$B$8:$K$991,10,FALSE)-IF(MONTH($C464)=4,$Y$3,IF(MONTH($C464)=5,$Y$4,IF(MONTH($C464)=6,$Y$5,IF(MONTH($C464)=7,$Y$6,"ERROR")))),0),MAX(VLOOKUP($C464,COS!$B$8:$K$991,9,FALSE)-IF(MONTH($C464)=4,$V$3,IF(MONTH($C464)=5,$V$4,IF(MONTH($C464)=6,$V$5,IF(MONTH($C464)=7,$V$6,"ERROR"))))-VLOOKUP($C464,COS!$B$8:$K$991,6,FALSE)/2,0))</f>
        <v>1500</v>
      </c>
      <c r="S464" s="30">
        <f t="shared" ref="S464:S467" si="745">R464*DAY($C464)*86400/43560/1000</f>
        <v>89.256198347107429</v>
      </c>
      <c r="T464" s="30">
        <f t="shared" ref="T464:T467" si="746">(O464+Q464)/2+S464</f>
        <v>114.91847851966037</v>
      </c>
      <c r="U464" s="30" t="str">
        <f>IF(VLOOKUP($C464,COS!$B$8:$I$991,8,FALSE)=1,"UWFE","IBU")</f>
        <v>UWFE</v>
      </c>
      <c r="V464" s="30">
        <f t="shared" ref="V464" si="747">MIN(IF(IF($AA$3=2,AND(E464=1,G464=1,L464=1,L469=1,M464=1,U464="IBU"),AND(E464=1,G464=1,L464=1,L469=1,M464=1)),T464,0),I464)</f>
        <v>0</v>
      </c>
      <c r="W464" s="30"/>
      <c r="X464" s="30"/>
      <c r="Y464" s="30"/>
      <c r="Z464" s="30"/>
      <c r="AA464" s="30"/>
      <c r="AB464" s="31"/>
    </row>
    <row r="465" spans="1:28" x14ac:dyDescent="0.3">
      <c r="A465" s="32">
        <f>VLOOKUP(YEAR(C465),Flags!$A$13:$B$95,2,FALSE)</f>
        <v>3</v>
      </c>
      <c r="B465" s="24">
        <f t="shared" si="739"/>
        <v>1972</v>
      </c>
      <c r="C465" s="25">
        <v>26450</v>
      </c>
      <c r="D465" s="26">
        <f>VLOOKUP($C465,COS!$B$8:$H$991,3,FALSE)</f>
        <v>7295.134765625</v>
      </c>
      <c r="E465" s="24">
        <f>IF(D465&gt;=IF(MONTH($C465)=4,$C$3,IF(MONTH($C465)=5,$C$4,IF(MONTH($C465)=6,$C$5,IF(MONTH($C465)=7,$C$6,"ERROR")))),1,0)</f>
        <v>1</v>
      </c>
      <c r="F465" s="26">
        <f>VLOOKUP($C465,COS!$B$8:$H$991,7,FALSE)</f>
        <v>50.610748291015625</v>
      </c>
      <c r="G465" s="24">
        <f>IF(F465&lt;=IF(MONTH($C465)=4,$F$3,IF(MONTH($C465)=5,$F$4,IF(MONTH($C465)=6,$F$5,IF(MONTH($C465)=7,$F$6,"ERROR")))),1,0)</f>
        <v>1</v>
      </c>
      <c r="H465" s="26">
        <f>IF(J465=1,D465-$C$4,0)</f>
        <v>1295.134765625</v>
      </c>
      <c r="I465" s="26">
        <f t="shared" si="661"/>
        <v>79.634732696280992</v>
      </c>
      <c r="J465" s="24">
        <f t="shared" si="740"/>
        <v>1</v>
      </c>
      <c r="K465" s="26">
        <f>VLOOKUP($C465,COS!$B$8:$H$991,2,FALSE)</f>
        <v>4444.4248046875</v>
      </c>
      <c r="L465" s="24">
        <f t="shared" si="741"/>
        <v>1</v>
      </c>
      <c r="M465" s="24">
        <f t="shared" si="742"/>
        <v>0</v>
      </c>
      <c r="N465" s="26">
        <f>VLOOKUP($C465,COS!$B$8:$H$991,5,FALSE)</f>
        <v>214.1783447265625</v>
      </c>
      <c r="O465" s="26">
        <f t="shared" si="743"/>
        <v>13.169313097236572</v>
      </c>
      <c r="P465" s="26">
        <f>VLOOKUP($C465,COS!$B$8:$H$991,6,FALSE)</f>
        <v>2237.25634765625</v>
      </c>
      <c r="Q465" s="26">
        <f t="shared" si="744"/>
        <v>137.56353079803719</v>
      </c>
      <c r="R465" s="26">
        <f>MIN(IF(MONTH($C465)=4,$S$3,IF(MONTH($C465)=5,$S$4,IF(MONTH($C465)=6,$S$5,IF(MONTH($C465)=7,$S$6,"ERROR")))),MAX(VLOOKUP($C465,COS!$B$8:$K$991,10,FALSE)-IF(MONTH($C465)=4,$Y$3,IF(MONTH($C465)=5,$Y$4,IF(MONTH($C465)=6,$Y$5,IF(MONTH($C465)=7,$Y$6,"ERROR")))),0),MAX(VLOOKUP($C465,COS!$B$8:$K$991,9,FALSE)-IF(MONTH($C465)=4,$V$3,IF(MONTH($C465)=5,$V$4,IF(MONTH($C465)=6,$V$5,IF(MONTH($C465)=7,$V$6,"ERROR"))))-VLOOKUP($C465,COS!$B$8:$K$991,6,FALSE)/2,0))</f>
        <v>1500</v>
      </c>
      <c r="S465" s="26">
        <f t="shared" si="745"/>
        <v>92.231404958677686</v>
      </c>
      <c r="T465" s="26">
        <f t="shared" si="746"/>
        <v>167.59782690631457</v>
      </c>
      <c r="U465" s="26" t="str">
        <f>IF(VLOOKUP($C465,COS!$B$8:$I$991,8,FALSE)=1,"UWFE","IBU")</f>
        <v>UWFE</v>
      </c>
      <c r="V465" s="26">
        <f t="shared" ref="V465" si="748">MIN(IF(IF($AA$3=2,AND(E465=1,G465=1,L465=1,L469=1,M465=1,U465="IBU"),AND(E465=1,G465=1,L465=1,L469=1,M465=1)),T465,0),I465)</f>
        <v>0</v>
      </c>
      <c r="W465" s="26"/>
      <c r="X465" s="26"/>
      <c r="Y465" s="26"/>
      <c r="Z465" s="26"/>
      <c r="AA465" s="26"/>
      <c r="AB465" s="33"/>
    </row>
    <row r="466" spans="1:28" x14ac:dyDescent="0.3">
      <c r="A466" s="32">
        <f>VLOOKUP(YEAR(C466),Flags!$A$13:$B$95,2,FALSE)</f>
        <v>3</v>
      </c>
      <c r="B466" s="24">
        <f t="shared" si="739"/>
        <v>1972</v>
      </c>
      <c r="C466" s="25">
        <v>26480</v>
      </c>
      <c r="D466" s="26">
        <f>VLOOKUP($C466,COS!$B$8:$H$991,3,FALSE)</f>
        <v>13446.5849609375</v>
      </c>
      <c r="E466" s="24">
        <f>IF(D466&gt;=IF(MONTH($C466)=4,$C$3,IF(MONTH($C466)=5,$C$4,IF(MONTH($C466)=6,$C$5,IF(MONTH($C466)=7,$C$6,"ERROR")))),1,0)</f>
        <v>1</v>
      </c>
      <c r="F466" s="26">
        <f>VLOOKUP($C466,COS!$B$8:$H$991,7,FALSE)</f>
        <v>50.5291748046875</v>
      </c>
      <c r="G466" s="24">
        <f>IF(F466&lt;=IF(MONTH($C466)=4,$F$3,IF(MONTH($C466)=5,$F$4,IF(MONTH($C466)=6,$F$5,IF(MONTH($C466)=7,$F$6,"ERROR")))),1,0)</f>
        <v>1</v>
      </c>
      <c r="H466" s="26">
        <f>IF(J466=1,D466-$C$5,0)</f>
        <v>3446.5849609375</v>
      </c>
      <c r="I466" s="26">
        <f t="shared" si="661"/>
        <v>205.0860472623967</v>
      </c>
      <c r="J466" s="24">
        <f t="shared" si="740"/>
        <v>1</v>
      </c>
      <c r="K466" s="26">
        <f>VLOOKUP($C466,COS!$B$8:$H$991,2,FALSE)</f>
        <v>3879.44091796875</v>
      </c>
      <c r="L466" s="24">
        <f t="shared" si="741"/>
        <v>1</v>
      </c>
      <c r="M466" s="24">
        <f t="shared" si="742"/>
        <v>0</v>
      </c>
      <c r="N466" s="26">
        <f>VLOOKUP($C466,COS!$B$8:$H$991,5,FALSE)</f>
        <v>428.46661376953125</v>
      </c>
      <c r="O466" s="26">
        <f t="shared" si="743"/>
        <v>25.495534042484504</v>
      </c>
      <c r="P466" s="26">
        <f>VLOOKUP($C466,COS!$B$8:$H$991,6,FALSE)</f>
        <v>2616.696044921875</v>
      </c>
      <c r="Q466" s="26">
        <f t="shared" si="744"/>
        <v>155.70422746642564</v>
      </c>
      <c r="R466" s="26">
        <f>MIN(IF(MONTH($C466)=4,$S$3,IF(MONTH($C466)=5,$S$4,IF(MONTH($C466)=6,$S$5,IF(MONTH($C466)=7,$S$6,"ERROR")))),MAX(VLOOKUP($C466,COS!$B$8:$K$991,10,FALSE)-IF(MONTH($C466)=4,$Y$3,IF(MONTH($C466)=5,$Y$4,IF(MONTH($C466)=6,$Y$5,IF(MONTH($C466)=7,$Y$6,"ERROR")))),0),MAX(VLOOKUP($C466,COS!$B$8:$K$991,9,FALSE)-IF(MONTH($C466)=4,$V$3,IF(MONTH($C466)=5,$V$4,IF(MONTH($C466)=6,$V$5,IF(MONTH($C466)=7,$V$6,"ERROR"))))-VLOOKUP($C466,COS!$B$8:$K$991,6,FALSE)/2,0))</f>
        <v>1500</v>
      </c>
      <c r="S466" s="26">
        <f t="shared" si="745"/>
        <v>89.256198347107429</v>
      </c>
      <c r="T466" s="26">
        <f t="shared" si="746"/>
        <v>179.8560791015625</v>
      </c>
      <c r="U466" s="26" t="str">
        <f>IF(VLOOKUP($C466,COS!$B$8:$I$991,8,FALSE)=1,"UWFE","IBU")</f>
        <v>IBU</v>
      </c>
      <c r="V466" s="26">
        <f t="shared" ref="V466" si="749">MIN(IF(IF($AA$3=2,AND(E466=1,G466=1,L466=1,L469=1,M466=1,U466="IBU"),AND(E466=1,G466=1,L466=1,L469=1,M466=1)),T466,0),I466)</f>
        <v>0</v>
      </c>
      <c r="W466" s="26"/>
      <c r="X466" s="26"/>
      <c r="Y466" s="26"/>
      <c r="Z466" s="26"/>
      <c r="AA466" s="26"/>
      <c r="AB466" s="33"/>
    </row>
    <row r="467" spans="1:28" x14ac:dyDescent="0.3">
      <c r="A467" s="32">
        <f>VLOOKUP(YEAR(C467),Flags!$A$13:$B$95,2,FALSE)</f>
        <v>3</v>
      </c>
      <c r="B467" s="24">
        <f t="shared" si="739"/>
        <v>1972</v>
      </c>
      <c r="C467" s="25">
        <v>26511</v>
      </c>
      <c r="D467" s="26">
        <f>VLOOKUP($C467,COS!$B$8:$H$991,3,FALSE)</f>
        <v>15975.8271484375</v>
      </c>
      <c r="E467" s="24">
        <f>IF(D467&gt;=IF(MONTH($C467)=4,$C$3,IF(MONTH($C467)=5,$C$4,IF(MONTH($C467)=6,$C$5,IF(MONTH($C467)=7,$C$6,"ERROR")))),1,0)</f>
        <v>1</v>
      </c>
      <c r="F467" s="26">
        <f>VLOOKUP($C467,COS!$B$8:$H$991,7,FALSE)</f>
        <v>51.616970062255859</v>
      </c>
      <c r="G467" s="24">
        <f>IF(F467&lt;=IF(MONTH($C467)=4,$F$3,IF(MONTH($C467)=5,$F$4,IF(MONTH($C467)=6,$F$5,IF(MONTH($C467)=7,$F$6,"ERROR")))),1,0)</f>
        <v>1</v>
      </c>
      <c r="H467" s="26">
        <f>IF(J467=1,D467-$C$6,0)</f>
        <v>3975.8271484375</v>
      </c>
      <c r="I467" s="26">
        <f t="shared" si="661"/>
        <v>244.46408251549585</v>
      </c>
      <c r="J467" s="24">
        <f t="shared" si="740"/>
        <v>1</v>
      </c>
      <c r="K467" s="26">
        <f>VLOOKUP($C467,COS!$B$8:$H$991,2,FALSE)</f>
        <v>3200</v>
      </c>
      <c r="L467" s="24">
        <f t="shared" si="741"/>
        <v>1</v>
      </c>
      <c r="M467" s="24">
        <f t="shared" si="742"/>
        <v>0</v>
      </c>
      <c r="N467" s="26">
        <f>VLOOKUP($C467,COS!$B$8:$H$991,5,FALSE)</f>
        <v>484.07479858398438</v>
      </c>
      <c r="O467" s="26">
        <f t="shared" si="743"/>
        <v>29.764599185659868</v>
      </c>
      <c r="P467" s="26">
        <f>VLOOKUP($C467,COS!$B$8:$H$991,6,FALSE)</f>
        <v>2537.385498046875</v>
      </c>
      <c r="Q467" s="26">
        <f t="shared" si="744"/>
        <v>156.01775293775825</v>
      </c>
      <c r="R467" s="26">
        <f>MIN(IF(MONTH($C467)=4,$S$3,IF(MONTH($C467)=5,$S$4,IF(MONTH($C467)=6,$S$5,IF(MONTH($C467)=7,$S$6,"ERROR")))),MAX(VLOOKUP($C467,COS!$B$8:$K$991,10,FALSE)-IF(MONTH($C467)=4,$Y$3,IF(MONTH($C467)=5,$Y$4,IF(MONTH($C467)=6,$Y$5,IF(MONTH($C467)=7,$Y$6,"ERROR")))),0),MAX(VLOOKUP($C467,COS!$B$8:$K$991,9,FALSE)-IF(MONTH($C467)=4,$V$3,IF(MONTH($C467)=5,$V$4,IF(MONTH($C467)=6,$V$5,IF(MONTH($C467)=7,$V$6,"ERROR"))))-VLOOKUP($C467,COS!$B$8:$K$991,6,FALSE)/2,0))</f>
        <v>1500</v>
      </c>
      <c r="S467" s="26">
        <f t="shared" si="745"/>
        <v>92.231404958677686</v>
      </c>
      <c r="T467" s="26">
        <f t="shared" si="746"/>
        <v>185.12258102038675</v>
      </c>
      <c r="U467" s="26" t="str">
        <f>IF(VLOOKUP($C467,COS!$B$8:$I$991,8,FALSE)=1,"UWFE","IBU")</f>
        <v>IBU</v>
      </c>
      <c r="V467" s="26">
        <f t="shared" ref="V467" si="750">MIN(IF(IF($AA$3=2,AND(E467=1,G467=1,L467=1,L469=1,M467=1,U467="IBU"),AND(E467=1,G467=1,L467=1,L469=1,M467=1)),T467,0),I467)</f>
        <v>0</v>
      </c>
      <c r="W467" s="26"/>
      <c r="X467" s="26"/>
      <c r="Y467" s="26"/>
      <c r="Z467" s="26"/>
      <c r="AA467" s="26"/>
      <c r="AB467" s="33"/>
    </row>
    <row r="468" spans="1:28" x14ac:dyDescent="0.3">
      <c r="A468" s="32">
        <f>VLOOKUP(YEAR(C468),Flags!$A$13:$B$95,2,FALSE)</f>
        <v>3</v>
      </c>
      <c r="B468" s="24">
        <f t="shared" si="739"/>
        <v>1972</v>
      </c>
      <c r="C468" s="25">
        <v>26542</v>
      </c>
      <c r="D468" s="26"/>
      <c r="E468" s="24"/>
      <c r="F468" s="26"/>
      <c r="G468" s="24"/>
      <c r="H468" s="24"/>
      <c r="I468" s="26"/>
      <c r="J468" s="24"/>
      <c r="K468" s="26"/>
      <c r="L468" s="24"/>
      <c r="M468" s="24"/>
      <c r="N468" s="26"/>
      <c r="O468" s="26"/>
      <c r="P468" s="26"/>
      <c r="Q468" s="26"/>
      <c r="R468" s="26"/>
      <c r="S468" s="26"/>
      <c r="T468" s="26"/>
      <c r="U468" s="26"/>
      <c r="V468" s="26"/>
      <c r="W468" s="26">
        <f>MAX($C$7-VLOOKUP($C468,COS!$B$8:$H$991,3,FALSE),0)</f>
        <v>89878.541015625</v>
      </c>
      <c r="X468" s="26">
        <f t="shared" si="667"/>
        <v>5526.4160756714873</v>
      </c>
      <c r="Y468" s="26">
        <f>VLOOKUP($C468,COS!$B$8:$H$991,4,FALSE)</f>
        <v>1250.875732421875</v>
      </c>
      <c r="Z468" s="26">
        <f t="shared" si="668"/>
        <v>76.913350819989674</v>
      </c>
      <c r="AA468" s="26">
        <f t="shared" ref="AA468:AA472" si="751">MIN(W468,Y468)</f>
        <v>1250.875732421875</v>
      </c>
      <c r="AB468" s="33">
        <f t="shared" ref="AB468:AB526" si="752">AA468*DAY($C468)*86400/43560/1000*IF(MONTH($C468)=8,$P$3,IF(MONTH($C468)=9,$P$4,IF(MONTH($C468)=10,$P$5,IF(MONTH($C468)=11,$P$6,IF(MONTH($C468)=12,$P$7,NA())))))</f>
        <v>76.913350819989674</v>
      </c>
    </row>
    <row r="469" spans="1:28" x14ac:dyDescent="0.3">
      <c r="A469" s="32">
        <f>VLOOKUP(YEAR(C469),Flags!$A$13:$B$95,2,FALSE)</f>
        <v>3</v>
      </c>
      <c r="B469" s="24">
        <f t="shared" si="739"/>
        <v>1972</v>
      </c>
      <c r="C469" s="25">
        <v>26572</v>
      </c>
      <c r="D469" s="26"/>
      <c r="E469" s="24"/>
      <c r="F469" s="26"/>
      <c r="G469" s="24"/>
      <c r="H469" s="24"/>
      <c r="I469" s="26"/>
      <c r="J469" s="24"/>
      <c r="K469" s="26">
        <f>VLOOKUP($C469,COS!$B$8:$H$991,2,FALSE)</f>
        <v>2958.29638671875</v>
      </c>
      <c r="L469" s="24">
        <f t="shared" ref="L469" si="753">IF(AND(K469&gt;$I$7,K469&lt;$I$8),1,0)</f>
        <v>1</v>
      </c>
      <c r="M469" s="24"/>
      <c r="N469" s="26"/>
      <c r="O469" s="26"/>
      <c r="P469" s="26"/>
      <c r="Q469" s="26"/>
      <c r="R469" s="26"/>
      <c r="S469" s="26"/>
      <c r="T469" s="26"/>
      <c r="U469" s="26"/>
      <c r="V469" s="26"/>
      <c r="W469" s="26">
        <f>MAX($C$8-VLOOKUP($C469,COS!$B$8:$H$991,3,FALSE),0)</f>
        <v>95242.72265625</v>
      </c>
      <c r="X469" s="26">
        <f t="shared" si="667"/>
        <v>5667.3355630165288</v>
      </c>
      <c r="Y469" s="26">
        <f>VLOOKUP($C469,COS!$B$8:$H$991,4,FALSE)</f>
        <v>954.7808837890625</v>
      </c>
      <c r="Z469" s="26">
        <f t="shared" si="668"/>
        <v>56.813407961002063</v>
      </c>
      <c r="AA469" s="26">
        <f t="shared" si="751"/>
        <v>954.7808837890625</v>
      </c>
      <c r="AB469" s="33">
        <f t="shared" si="752"/>
        <v>56.813407961002063</v>
      </c>
    </row>
    <row r="470" spans="1:28" x14ac:dyDescent="0.3">
      <c r="A470" s="32">
        <f>VLOOKUP(YEAR(C470),Flags!$A$13:$B$95,2,FALSE)</f>
        <v>3</v>
      </c>
      <c r="B470" s="24">
        <f t="shared" si="739"/>
        <v>1972</v>
      </c>
      <c r="C470" s="25">
        <v>26603</v>
      </c>
      <c r="D470" s="26"/>
      <c r="E470" s="24"/>
      <c r="F470" s="26"/>
      <c r="G470" s="26"/>
      <c r="H470" s="26"/>
      <c r="I470" s="26"/>
      <c r="J470" s="26"/>
      <c r="K470" s="26"/>
      <c r="L470" s="24"/>
      <c r="M470" s="24"/>
      <c r="N470" s="26"/>
      <c r="O470" s="26"/>
      <c r="P470" s="26"/>
      <c r="Q470" s="26"/>
      <c r="R470" s="26"/>
      <c r="S470" s="26"/>
      <c r="T470" s="26"/>
      <c r="U470" s="26"/>
      <c r="V470" s="26"/>
      <c r="W470" s="26">
        <f>MAX($C$9-VLOOKUP($C470,COS!$B$8:$H$991,3,FALSE),0)</f>
        <v>95128.9990234375</v>
      </c>
      <c r="X470" s="26">
        <f t="shared" si="667"/>
        <v>5849.2541548295458</v>
      </c>
      <c r="Y470" s="26">
        <f>VLOOKUP($C470,COS!$B$8:$H$991,4,FALSE)</f>
        <v>439.72247314453125</v>
      </c>
      <c r="Z470" s="26">
        <f t="shared" si="668"/>
        <v>27.037480993349689</v>
      </c>
      <c r="AA470" s="26">
        <f t="shared" si="751"/>
        <v>439.72247314453125</v>
      </c>
      <c r="AB470" s="33">
        <f t="shared" si="752"/>
        <v>27.037480993349689</v>
      </c>
    </row>
    <row r="471" spans="1:28" x14ac:dyDescent="0.3">
      <c r="A471" s="32">
        <f>VLOOKUP(YEAR(C471),Flags!$A$13:$B$95,2,FALSE)</f>
        <v>3</v>
      </c>
      <c r="B471" s="24">
        <f t="shared" si="739"/>
        <v>1972</v>
      </c>
      <c r="C471" s="25">
        <v>26633</v>
      </c>
      <c r="D471" s="26"/>
      <c r="E471" s="24"/>
      <c r="F471" s="26"/>
      <c r="G471" s="26"/>
      <c r="H471" s="26"/>
      <c r="I471" s="26"/>
      <c r="J471" s="26"/>
      <c r="K471" s="26"/>
      <c r="L471" s="24"/>
      <c r="M471" s="24"/>
      <c r="N471" s="26"/>
      <c r="O471" s="26"/>
      <c r="P471" s="26"/>
      <c r="Q471" s="26"/>
      <c r="R471" s="26"/>
      <c r="S471" s="26"/>
      <c r="T471" s="26"/>
      <c r="U471" s="26"/>
      <c r="V471" s="26"/>
      <c r="W471" s="26">
        <f>MAX($C$10-VLOOKUP($C471,COS!$B$8:$H$991,3,FALSE),0)</f>
        <v>96243.074462890625</v>
      </c>
      <c r="X471" s="26">
        <f t="shared" si="667"/>
        <v>5726.8606291967972</v>
      </c>
      <c r="Y471" s="26">
        <f>VLOOKUP($C471,COS!$B$8:$H$991,4,FALSE)</f>
        <v>2301.576171875</v>
      </c>
      <c r="Z471" s="26">
        <f t="shared" si="668"/>
        <v>136.95329287190083</v>
      </c>
      <c r="AA471" s="26">
        <f t="shared" si="751"/>
        <v>2301.576171875</v>
      </c>
      <c r="AB471" s="33">
        <f t="shared" si="752"/>
        <v>136.95329287190083</v>
      </c>
    </row>
    <row r="472" spans="1:28" x14ac:dyDescent="0.3">
      <c r="A472" s="34">
        <f>VLOOKUP(YEAR(C472),Flags!$A$13:$B$95,2,FALSE)</f>
        <v>3</v>
      </c>
      <c r="B472" s="35">
        <f t="shared" si="739"/>
        <v>1972</v>
      </c>
      <c r="C472" s="36">
        <v>26664</v>
      </c>
      <c r="D472" s="37"/>
      <c r="E472" s="35"/>
      <c r="F472" s="37"/>
      <c r="G472" s="37"/>
      <c r="H472" s="37"/>
      <c r="I472" s="37"/>
      <c r="J472" s="37"/>
      <c r="K472" s="37"/>
      <c r="L472" s="35"/>
      <c r="M472" s="35"/>
      <c r="N472" s="37"/>
      <c r="O472" s="37"/>
      <c r="P472" s="37"/>
      <c r="Q472" s="37"/>
      <c r="R472" s="37"/>
      <c r="S472" s="37"/>
      <c r="T472" s="37"/>
      <c r="U472" s="37"/>
      <c r="V472" s="37"/>
      <c r="W472" s="37">
        <f>MAX($C$11-VLOOKUP($C472,COS!$B$8:$H$991,3,FALSE),0)</f>
        <v>93067.09423828125</v>
      </c>
      <c r="X472" s="37">
        <f t="shared" si="667"/>
        <v>5722.4725713455573</v>
      </c>
      <c r="Y472" s="37">
        <f>VLOOKUP($C472,COS!$B$8:$H$991,4,FALSE)</f>
        <v>0</v>
      </c>
      <c r="Z472" s="37">
        <f t="shared" si="668"/>
        <v>0</v>
      </c>
      <c r="AA472" s="37">
        <f t="shared" si="751"/>
        <v>0</v>
      </c>
      <c r="AB472" s="38">
        <f t="shared" si="752"/>
        <v>0</v>
      </c>
    </row>
    <row r="473" spans="1:28" x14ac:dyDescent="0.3">
      <c r="A473" s="27">
        <f>VLOOKUP(YEAR(C473),Flags!$A$13:$B$95,2,FALSE)</f>
        <v>2</v>
      </c>
      <c r="B473" s="28">
        <f t="shared" si="739"/>
        <v>1973</v>
      </c>
      <c r="C473" s="29">
        <v>26784</v>
      </c>
      <c r="D473" s="30">
        <f>VLOOKUP($C473,COS!$B$8:$H$991,3,FALSE)</f>
        <v>3250</v>
      </c>
      <c r="E473" s="28">
        <f>IF(D473&gt;=IF(MONTH($C473)=4,$C$3,IF(MONTH($C473)=5,$C$4,IF(MONTH($C473)=6,$C$5,IF(MONTH($C473)=7,$C$6,"ERROR")))),1,0)</f>
        <v>0</v>
      </c>
      <c r="F473" s="30">
        <f>VLOOKUP($C473,COS!$B$8:$H$991,7,FALSE)</f>
        <v>50.581394195556641</v>
      </c>
      <c r="G473" s="28">
        <f>IF(F473&lt;=IF(MONTH($C473)=4,$F$3,IF(MONTH($C473)=5,$F$4,IF(MONTH($C473)=6,$F$5,IF(MONTH($C473)=7,$F$6,"ERROR")))),1,0)</f>
        <v>1</v>
      </c>
      <c r="H473" s="30">
        <f>IF(J473=1,D473-$C$3,0)</f>
        <v>0</v>
      </c>
      <c r="I473" s="30">
        <f t="shared" si="661"/>
        <v>0</v>
      </c>
      <c r="J473" s="28">
        <f t="shared" ref="J473:J476" si="754">IF(AND(E473=1,G473=1),1,0)</f>
        <v>0</v>
      </c>
      <c r="K473" s="30">
        <f>VLOOKUP($C473,COS!$B$8:$H$991,2,FALSE)</f>
        <v>4464.4716796875</v>
      </c>
      <c r="L473" s="28">
        <f t="shared" ref="L473" si="755">IF(K473&lt;=IF(MONTH($C473)=4,$I$3,IF(MONTH($C473)=5,$I$4,IF(MONTH($C473)=6,$I$5,IF(MONTH($C473)=7,$I$6,"ERROR")))),1,0)</f>
        <v>1</v>
      </c>
      <c r="M473" s="28">
        <f t="shared" ref="M473" si="756">VLOOKUP($A473,$L$3:$M$7,2,FALSE)</f>
        <v>0</v>
      </c>
      <c r="N473" s="30">
        <f>VLOOKUP($C473,COS!$B$8:$H$991,5,FALSE)</f>
        <v>411.989013671875</v>
      </c>
      <c r="O473" s="30">
        <f t="shared" ref="O473:O476" si="757">N473*DAY($C473)*86400/43560/1000</f>
        <v>24.515048747417357</v>
      </c>
      <c r="P473" s="30">
        <f>VLOOKUP($C473,COS!$B$8:$H$991,6,FALSE)</f>
        <v>453.39697265625</v>
      </c>
      <c r="Q473" s="30">
        <f t="shared" ref="Q473:Q476" si="758">P473*DAY($C473)*86400/43560/1000</f>
        <v>26.978993414256198</v>
      </c>
      <c r="R473" s="30">
        <f>MIN(IF(MONTH($C473)=4,$S$3,IF(MONTH($C473)=5,$S$4,IF(MONTH($C473)=6,$S$5,IF(MONTH($C473)=7,$S$6,"ERROR")))),MAX(VLOOKUP($C473,COS!$B$8:$K$991,10,FALSE)-IF(MONTH($C473)=4,$Y$3,IF(MONTH($C473)=5,$Y$4,IF(MONTH($C473)=6,$Y$5,IF(MONTH($C473)=7,$Y$6,"ERROR")))),0),MAX(VLOOKUP($C473,COS!$B$8:$K$991,9,FALSE)-IF(MONTH($C473)=4,$V$3,IF(MONTH($C473)=5,$V$4,IF(MONTH($C473)=6,$V$5,IF(MONTH($C473)=7,$V$6,"ERROR"))))-VLOOKUP($C473,COS!$B$8:$K$991,6,FALSE)/2,0))</f>
        <v>1500</v>
      </c>
      <c r="S473" s="30">
        <f t="shared" ref="S473:S476" si="759">R473*DAY($C473)*86400/43560/1000</f>
        <v>89.256198347107429</v>
      </c>
      <c r="T473" s="30">
        <f t="shared" ref="T473:T476" si="760">(O473+Q473)/2+S473</f>
        <v>115.0032194279442</v>
      </c>
      <c r="U473" s="30" t="str">
        <f>IF(VLOOKUP($C473,COS!$B$8:$I$991,8,FALSE)=1,"UWFE","IBU")</f>
        <v>UWFE</v>
      </c>
      <c r="V473" s="30">
        <f t="shared" ref="V473" si="761">MIN(IF(IF($AA$3=2,AND(E473=1,G473=1,L473=1,L478=1,M473=1,U473="IBU"),AND(E473=1,G473=1,L473=1,L478=1,M473=1)),T473,0),I473)</f>
        <v>0</v>
      </c>
      <c r="W473" s="30"/>
      <c r="X473" s="30"/>
      <c r="Y473" s="30"/>
      <c r="Z473" s="30"/>
      <c r="AA473" s="30"/>
      <c r="AB473" s="31"/>
    </row>
    <row r="474" spans="1:28" x14ac:dyDescent="0.3">
      <c r="A474" s="32">
        <f>VLOOKUP(YEAR(C474),Flags!$A$13:$B$95,2,FALSE)</f>
        <v>2</v>
      </c>
      <c r="B474" s="24">
        <f t="shared" si="739"/>
        <v>1973</v>
      </c>
      <c r="C474" s="25">
        <v>26815</v>
      </c>
      <c r="D474" s="26">
        <f>VLOOKUP($C474,COS!$B$8:$H$991,3,FALSE)</f>
        <v>6365.75537109375</v>
      </c>
      <c r="E474" s="24">
        <f>IF(D474&gt;=IF(MONTH($C474)=4,$C$3,IF(MONTH($C474)=5,$C$4,IF(MONTH($C474)=6,$C$5,IF(MONTH($C474)=7,$C$6,"ERROR")))),1,0)</f>
        <v>1</v>
      </c>
      <c r="F474" s="26">
        <f>VLOOKUP($C474,COS!$B$8:$H$991,7,FALSE)</f>
        <v>51.265758514404297</v>
      </c>
      <c r="G474" s="24">
        <f>IF(F474&lt;=IF(MONTH($C474)=4,$F$3,IF(MONTH($C474)=5,$F$4,IF(MONTH($C474)=6,$F$5,IF(MONTH($C474)=7,$F$6,"ERROR")))),1,0)</f>
        <v>1</v>
      </c>
      <c r="H474" s="26">
        <f>IF(J474=1,D474-$C$4,0)</f>
        <v>365.75537109375</v>
      </c>
      <c r="I474" s="26">
        <f t="shared" si="661"/>
        <v>22.489421164772729</v>
      </c>
      <c r="J474" s="24">
        <f t="shared" si="754"/>
        <v>1</v>
      </c>
      <c r="K474" s="26">
        <f>VLOOKUP($C474,COS!$B$8:$H$991,2,FALSE)</f>
        <v>4489.771484375</v>
      </c>
      <c r="L474" s="24">
        <f t="shared" si="741"/>
        <v>1</v>
      </c>
      <c r="M474" s="24">
        <f t="shared" si="742"/>
        <v>0</v>
      </c>
      <c r="N474" s="26">
        <f>VLOOKUP($C474,COS!$B$8:$H$991,5,FALSE)</f>
        <v>753.90789794921875</v>
      </c>
      <c r="O474" s="26">
        <f t="shared" si="757"/>
        <v>46.355989758199897</v>
      </c>
      <c r="P474" s="26">
        <f>VLOOKUP($C474,COS!$B$8:$H$991,6,FALSE)</f>
        <v>2250.21826171875</v>
      </c>
      <c r="Q474" s="26">
        <f t="shared" si="758"/>
        <v>138.36052782799587</v>
      </c>
      <c r="R474" s="26">
        <f>MIN(IF(MONTH($C474)=4,$S$3,IF(MONTH($C474)=5,$S$4,IF(MONTH($C474)=6,$S$5,IF(MONTH($C474)=7,$S$6,"ERROR")))),MAX(VLOOKUP($C474,COS!$B$8:$K$991,10,FALSE)-IF(MONTH($C474)=4,$Y$3,IF(MONTH($C474)=5,$Y$4,IF(MONTH($C474)=6,$Y$5,IF(MONTH($C474)=7,$Y$6,"ERROR")))),0),MAX(VLOOKUP($C474,COS!$B$8:$K$991,9,FALSE)-IF(MONTH($C474)=4,$V$3,IF(MONTH($C474)=5,$V$4,IF(MONTH($C474)=6,$V$5,IF(MONTH($C474)=7,$V$6,"ERROR"))))-VLOOKUP($C474,COS!$B$8:$K$991,6,FALSE)/2,0))</f>
        <v>1500</v>
      </c>
      <c r="S474" s="26">
        <f t="shared" si="759"/>
        <v>92.231404958677686</v>
      </c>
      <c r="T474" s="26">
        <f t="shared" si="760"/>
        <v>184.58966375177556</v>
      </c>
      <c r="U474" s="26" t="str">
        <f>IF(VLOOKUP($C474,COS!$B$8:$I$991,8,FALSE)=1,"UWFE","IBU")</f>
        <v>UWFE</v>
      </c>
      <c r="V474" s="26">
        <f t="shared" ref="V474" si="762">MIN(IF(IF($AA$3=2,AND(E474=1,G474=1,L474=1,L478=1,M474=1,U474="IBU"),AND(E474=1,G474=1,L474=1,L478=1,M474=1)),T474,0),I474)</f>
        <v>0</v>
      </c>
      <c r="W474" s="26"/>
      <c r="X474" s="26"/>
      <c r="Y474" s="26"/>
      <c r="Z474" s="26"/>
      <c r="AA474" s="26"/>
      <c r="AB474" s="33"/>
    </row>
    <row r="475" spans="1:28" x14ac:dyDescent="0.3">
      <c r="A475" s="32">
        <f>VLOOKUP(YEAR(C475),Flags!$A$13:$B$95,2,FALSE)</f>
        <v>2</v>
      </c>
      <c r="B475" s="24">
        <f t="shared" si="739"/>
        <v>1973</v>
      </c>
      <c r="C475" s="25">
        <v>26845</v>
      </c>
      <c r="D475" s="26">
        <f>VLOOKUP($C475,COS!$B$8:$H$991,3,FALSE)</f>
        <v>13158.140625</v>
      </c>
      <c r="E475" s="24">
        <f>IF(D475&gt;=IF(MONTH($C475)=4,$C$3,IF(MONTH($C475)=5,$C$4,IF(MONTH($C475)=6,$C$5,IF(MONTH($C475)=7,$C$6,"ERROR")))),1,0)</f>
        <v>1</v>
      </c>
      <c r="F475" s="26">
        <f>VLOOKUP($C475,COS!$B$8:$H$991,7,FALSE)</f>
        <v>49.900630950927734</v>
      </c>
      <c r="G475" s="24">
        <f>IF(F475&lt;=IF(MONTH($C475)=4,$F$3,IF(MONTH($C475)=5,$F$4,IF(MONTH($C475)=6,$F$5,IF(MONTH($C475)=7,$F$6,"ERROR")))),1,0)</f>
        <v>1</v>
      </c>
      <c r="H475" s="26">
        <f>IF(J475=1,D475-$C$5,0)</f>
        <v>3158.140625</v>
      </c>
      <c r="I475" s="26">
        <f t="shared" si="661"/>
        <v>187.92241735537189</v>
      </c>
      <c r="J475" s="24">
        <f t="shared" si="754"/>
        <v>1</v>
      </c>
      <c r="K475" s="26">
        <f>VLOOKUP($C475,COS!$B$8:$H$991,2,FALSE)</f>
        <v>3919.55078125</v>
      </c>
      <c r="L475" s="24">
        <f t="shared" si="741"/>
        <v>1</v>
      </c>
      <c r="M475" s="24">
        <f t="shared" si="742"/>
        <v>0</v>
      </c>
      <c r="N475" s="26">
        <f>VLOOKUP($C475,COS!$B$8:$H$991,5,FALSE)</f>
        <v>1050.899658203125</v>
      </c>
      <c r="O475" s="26">
        <f t="shared" si="757"/>
        <v>62.532872223657023</v>
      </c>
      <c r="P475" s="26">
        <f>VLOOKUP($C475,COS!$B$8:$H$991,6,FALSE)</f>
        <v>2424.520751953125</v>
      </c>
      <c r="Q475" s="26">
        <f t="shared" si="758"/>
        <v>144.26900342200415</v>
      </c>
      <c r="R475" s="26">
        <f>MIN(IF(MONTH($C475)=4,$S$3,IF(MONTH($C475)=5,$S$4,IF(MONTH($C475)=6,$S$5,IF(MONTH($C475)=7,$S$6,"ERROR")))),MAX(VLOOKUP($C475,COS!$B$8:$K$991,10,FALSE)-IF(MONTH($C475)=4,$Y$3,IF(MONTH($C475)=5,$Y$4,IF(MONTH($C475)=6,$Y$5,IF(MONTH($C475)=7,$Y$6,"ERROR")))),0),MAX(VLOOKUP($C475,COS!$B$8:$K$991,9,FALSE)-IF(MONTH($C475)=4,$V$3,IF(MONTH($C475)=5,$V$4,IF(MONTH($C475)=6,$V$5,IF(MONTH($C475)=7,$V$6,"ERROR"))))-VLOOKUP($C475,COS!$B$8:$K$991,6,FALSE)/2,0))</f>
        <v>1500</v>
      </c>
      <c r="S475" s="26">
        <f t="shared" si="759"/>
        <v>89.256198347107429</v>
      </c>
      <c r="T475" s="26">
        <f t="shared" si="760"/>
        <v>192.65713616993801</v>
      </c>
      <c r="U475" s="26" t="str">
        <f>IF(VLOOKUP($C475,COS!$B$8:$I$991,8,FALSE)=1,"UWFE","IBU")</f>
        <v>IBU</v>
      </c>
      <c r="V475" s="26">
        <f t="shared" ref="V475" si="763">MIN(IF(IF($AA$3=2,AND(E475=1,G475=1,L475=1,L478=1,M475=1,U475="IBU"),AND(E475=1,G475=1,L475=1,L478=1,M475=1)),T475,0),I475)</f>
        <v>0</v>
      </c>
      <c r="W475" s="26"/>
      <c r="X475" s="26"/>
      <c r="Y475" s="26"/>
      <c r="Z475" s="26"/>
      <c r="AA475" s="26"/>
      <c r="AB475" s="33"/>
    </row>
    <row r="476" spans="1:28" x14ac:dyDescent="0.3">
      <c r="A476" s="32">
        <f>VLOOKUP(YEAR(C476),Flags!$A$13:$B$95,2,FALSE)</f>
        <v>2</v>
      </c>
      <c r="B476" s="24">
        <f t="shared" si="739"/>
        <v>1973</v>
      </c>
      <c r="C476" s="25">
        <v>26876</v>
      </c>
      <c r="D476" s="26">
        <f>VLOOKUP($C476,COS!$B$8:$H$991,3,FALSE)</f>
        <v>16000</v>
      </c>
      <c r="E476" s="24">
        <f>IF(D476&gt;=IF(MONTH($C476)=4,$C$3,IF(MONTH($C476)=5,$C$4,IF(MONTH($C476)=6,$C$5,IF(MONTH($C476)=7,$C$6,"ERROR")))),1,0)</f>
        <v>1</v>
      </c>
      <c r="F476" s="26">
        <f>VLOOKUP($C476,COS!$B$8:$H$991,7,FALSE)</f>
        <v>50.579265594482422</v>
      </c>
      <c r="G476" s="24">
        <f>IF(F476&lt;=IF(MONTH($C476)=4,$F$3,IF(MONTH($C476)=5,$F$4,IF(MONTH($C476)=6,$F$5,IF(MONTH($C476)=7,$F$6,"ERROR")))),1,0)</f>
        <v>1</v>
      </c>
      <c r="H476" s="26">
        <f>IF(J476=1,D476-$C$6,0)</f>
        <v>4000</v>
      </c>
      <c r="I476" s="26">
        <f t="shared" ref="I476:I539" si="764">H476*DAY($C476)*86400/43560/1000</f>
        <v>245.95041322314049</v>
      </c>
      <c r="J476" s="24">
        <f t="shared" si="754"/>
        <v>1</v>
      </c>
      <c r="K476" s="26">
        <f>VLOOKUP($C476,COS!$B$8:$H$991,2,FALSE)</f>
        <v>3219.93359375</v>
      </c>
      <c r="L476" s="24">
        <f t="shared" si="741"/>
        <v>1</v>
      </c>
      <c r="M476" s="24">
        <f t="shared" si="742"/>
        <v>0</v>
      </c>
      <c r="N476" s="26">
        <f>VLOOKUP($C476,COS!$B$8:$H$991,5,FALSE)</f>
        <v>1148.61376953125</v>
      </c>
      <c r="O476" s="26">
        <f t="shared" si="757"/>
        <v>70.625507812500004</v>
      </c>
      <c r="P476" s="26">
        <f>VLOOKUP($C476,COS!$B$8:$H$991,6,FALSE)</f>
        <v>2522.65771484375</v>
      </c>
      <c r="Q476" s="26">
        <f t="shared" si="758"/>
        <v>155.1121768465909</v>
      </c>
      <c r="R476" s="26">
        <f>MIN(IF(MONTH($C476)=4,$S$3,IF(MONTH($C476)=5,$S$4,IF(MONTH($C476)=6,$S$5,IF(MONTH($C476)=7,$S$6,"ERROR")))),MAX(VLOOKUP($C476,COS!$B$8:$K$991,10,FALSE)-IF(MONTH($C476)=4,$Y$3,IF(MONTH($C476)=5,$Y$4,IF(MONTH($C476)=6,$Y$5,IF(MONTH($C476)=7,$Y$6,"ERROR")))),0),MAX(VLOOKUP($C476,COS!$B$8:$K$991,9,FALSE)-IF(MONTH($C476)=4,$V$3,IF(MONTH($C476)=5,$V$4,IF(MONTH($C476)=6,$V$5,IF(MONTH($C476)=7,$V$6,"ERROR"))))-VLOOKUP($C476,COS!$B$8:$K$991,6,FALSE)/2,0))</f>
        <v>1500</v>
      </c>
      <c r="S476" s="26">
        <f t="shared" si="759"/>
        <v>92.231404958677686</v>
      </c>
      <c r="T476" s="26">
        <f t="shared" si="760"/>
        <v>205.10024728822316</v>
      </c>
      <c r="U476" s="26" t="str">
        <f>IF(VLOOKUP($C476,COS!$B$8:$I$991,8,FALSE)=1,"UWFE","IBU")</f>
        <v>IBU</v>
      </c>
      <c r="V476" s="26">
        <f t="shared" ref="V476" si="765">MIN(IF(IF($AA$3=2,AND(E476=1,G476=1,L476=1,L478=1,M476=1,U476="IBU"),AND(E476=1,G476=1,L476=1,L478=1,M476=1)),T476,0),I476)</f>
        <v>0</v>
      </c>
      <c r="W476" s="26"/>
      <c r="X476" s="26"/>
      <c r="Y476" s="26"/>
      <c r="Z476" s="26"/>
      <c r="AA476" s="26"/>
      <c r="AB476" s="33"/>
    </row>
    <row r="477" spans="1:28" x14ac:dyDescent="0.3">
      <c r="A477" s="32">
        <f>VLOOKUP(YEAR(C477),Flags!$A$13:$B$95,2,FALSE)</f>
        <v>2</v>
      </c>
      <c r="B477" s="24">
        <f t="shared" si="739"/>
        <v>1973</v>
      </c>
      <c r="C477" s="25">
        <v>26907</v>
      </c>
      <c r="D477" s="26"/>
      <c r="E477" s="24"/>
      <c r="F477" s="26"/>
      <c r="G477" s="24"/>
      <c r="H477" s="24"/>
      <c r="I477" s="26"/>
      <c r="J477" s="24"/>
      <c r="K477" s="26"/>
      <c r="L477" s="24"/>
      <c r="M477" s="24"/>
      <c r="N477" s="26"/>
      <c r="O477" s="26"/>
      <c r="P477" s="26"/>
      <c r="Q477" s="26"/>
      <c r="R477" s="26"/>
      <c r="S477" s="26"/>
      <c r="T477" s="26"/>
      <c r="U477" s="26"/>
      <c r="V477" s="26"/>
      <c r="W477" s="26">
        <f>MAX($C$7-VLOOKUP($C477,COS!$B$8:$H$991,3,FALSE),0)</f>
        <v>91231.0947265625</v>
      </c>
      <c r="X477" s="26">
        <f t="shared" si="667"/>
        <v>5609.5813616993801</v>
      </c>
      <c r="Y477" s="26">
        <f>VLOOKUP($C477,COS!$B$8:$H$991,4,FALSE)</f>
        <v>266.08578491210938</v>
      </c>
      <c r="Z477" s="26">
        <f t="shared" si="668"/>
        <v>16.360977187984247</v>
      </c>
      <c r="AA477" s="26">
        <f t="shared" ref="AA477:AA481" si="766">MIN(W477,Y477)</f>
        <v>266.08578491210938</v>
      </c>
      <c r="AB477" s="33">
        <f t="shared" ref="AB477" si="767">AA477*DAY($C477)*86400/43560/1000*IF(MONTH($C477)=8,$P$3,IF(MONTH($C477)=9,$P$4,IF(MONTH($C477)=10,$P$5,IF(MONTH($C477)=11,$P$6,IF(MONTH($C477)=12,$P$7,NA())))))</f>
        <v>16.360977187984247</v>
      </c>
    </row>
    <row r="478" spans="1:28" x14ac:dyDescent="0.3">
      <c r="A478" s="32">
        <f>VLOOKUP(YEAR(C478),Flags!$A$13:$B$95,2,FALSE)</f>
        <v>2</v>
      </c>
      <c r="B478" s="24">
        <f t="shared" si="739"/>
        <v>1973</v>
      </c>
      <c r="C478" s="25">
        <v>26937</v>
      </c>
      <c r="D478" s="26"/>
      <c r="E478" s="24"/>
      <c r="F478" s="26"/>
      <c r="G478" s="24"/>
      <c r="H478" s="24"/>
      <c r="I478" s="26"/>
      <c r="J478" s="24"/>
      <c r="K478" s="26">
        <f>VLOOKUP($C478,COS!$B$8:$H$991,2,FALSE)</f>
        <v>2805.609619140625</v>
      </c>
      <c r="L478" s="24">
        <f t="shared" ref="L478" si="768">IF(AND(K478&gt;$I$7,K478&lt;$I$8),1,0)</f>
        <v>1</v>
      </c>
      <c r="M478" s="24"/>
      <c r="N478" s="26"/>
      <c r="O478" s="26"/>
      <c r="P478" s="26"/>
      <c r="Q478" s="26"/>
      <c r="R478" s="26"/>
      <c r="S478" s="26"/>
      <c r="T478" s="26"/>
      <c r="U478" s="26"/>
      <c r="V478" s="26"/>
      <c r="W478" s="26">
        <f>MAX($C$8-VLOOKUP($C478,COS!$B$8:$H$991,3,FALSE),0)</f>
        <v>90741.9873046875</v>
      </c>
      <c r="X478" s="26">
        <f t="shared" si="667"/>
        <v>5399.5232115185954</v>
      </c>
      <c r="Y478" s="26">
        <f>VLOOKUP($C478,COS!$B$8:$H$991,4,FALSE)</f>
        <v>632.89453125</v>
      </c>
      <c r="Z478" s="26">
        <f t="shared" si="668"/>
        <v>37.659839876033061</v>
      </c>
      <c r="AA478" s="26">
        <f t="shared" si="766"/>
        <v>632.89453125</v>
      </c>
      <c r="AB478" s="33">
        <f t="shared" si="752"/>
        <v>37.659839876033061</v>
      </c>
    </row>
    <row r="479" spans="1:28" x14ac:dyDescent="0.3">
      <c r="A479" s="32">
        <f>VLOOKUP(YEAR(C479),Flags!$A$13:$B$95,2,FALSE)</f>
        <v>2</v>
      </c>
      <c r="B479" s="24">
        <f t="shared" si="739"/>
        <v>1973</v>
      </c>
      <c r="C479" s="25">
        <v>26968</v>
      </c>
      <c r="D479" s="26"/>
      <c r="E479" s="24"/>
      <c r="F479" s="26"/>
      <c r="G479" s="26"/>
      <c r="H479" s="26"/>
      <c r="I479" s="26"/>
      <c r="J479" s="26"/>
      <c r="K479" s="26"/>
      <c r="L479" s="24"/>
      <c r="M479" s="24"/>
      <c r="N479" s="26"/>
      <c r="O479" s="26"/>
      <c r="P479" s="26"/>
      <c r="Q479" s="26"/>
      <c r="R479" s="26"/>
      <c r="S479" s="26"/>
      <c r="T479" s="26"/>
      <c r="U479" s="26"/>
      <c r="V479" s="26"/>
      <c r="W479" s="26">
        <f>MAX($C$9-VLOOKUP($C479,COS!$B$8:$H$991,3,FALSE),0)</f>
        <v>94903.3291015625</v>
      </c>
      <c r="X479" s="26">
        <f t="shared" ref="X479:X542" si="769">W479*DAY($C479)*86400/43560/1000</f>
        <v>5835.378252195248</v>
      </c>
      <c r="Y479" s="26">
        <f>VLOOKUP($C479,COS!$B$8:$H$991,4,FALSE)</f>
        <v>827.64825439453125</v>
      </c>
      <c r="Z479" s="26">
        <f t="shared" ref="Z479:Z542" si="770">Y479*DAY($C479)*86400/43560/1000</f>
        <v>50.890107542936462</v>
      </c>
      <c r="AA479" s="26">
        <f t="shared" si="766"/>
        <v>827.64825439453125</v>
      </c>
      <c r="AB479" s="33">
        <f t="shared" si="752"/>
        <v>50.890107542936462</v>
      </c>
    </row>
    <row r="480" spans="1:28" x14ac:dyDescent="0.3">
      <c r="A480" s="32">
        <f>VLOOKUP(YEAR(C480),Flags!$A$13:$B$95,2,FALSE)</f>
        <v>2</v>
      </c>
      <c r="B480" s="24">
        <f t="shared" si="739"/>
        <v>1973</v>
      </c>
      <c r="C480" s="25">
        <v>26998</v>
      </c>
      <c r="D480" s="26"/>
      <c r="E480" s="24"/>
      <c r="F480" s="26"/>
      <c r="G480" s="26"/>
      <c r="H480" s="26"/>
      <c r="I480" s="26"/>
      <c r="J480" s="26"/>
      <c r="K480" s="26"/>
      <c r="L480" s="24"/>
      <c r="M480" s="24"/>
      <c r="N480" s="26"/>
      <c r="O480" s="26"/>
      <c r="P480" s="26"/>
      <c r="Q480" s="26"/>
      <c r="R480" s="26"/>
      <c r="S480" s="26"/>
      <c r="T480" s="26"/>
      <c r="U480" s="26"/>
      <c r="V480" s="26"/>
      <c r="W480" s="26">
        <f>MAX($C$10-VLOOKUP($C480,COS!$B$8:$H$991,3,FALSE),0)</f>
        <v>71353.306640625</v>
      </c>
      <c r="X480" s="26">
        <f t="shared" si="769"/>
        <v>4245.8165934917361</v>
      </c>
      <c r="Y480" s="26">
        <f>VLOOKUP($C480,COS!$B$8:$H$991,4,FALSE)</f>
        <v>0</v>
      </c>
      <c r="Z480" s="26">
        <f t="shared" si="770"/>
        <v>0</v>
      </c>
      <c r="AA480" s="26">
        <f t="shared" si="766"/>
        <v>0</v>
      </c>
      <c r="AB480" s="33">
        <f t="shared" si="752"/>
        <v>0</v>
      </c>
    </row>
    <row r="481" spans="1:28" x14ac:dyDescent="0.3">
      <c r="A481" s="34">
        <f>VLOOKUP(YEAR(C481),Flags!$A$13:$B$95,2,FALSE)</f>
        <v>2</v>
      </c>
      <c r="B481" s="35">
        <f t="shared" si="739"/>
        <v>1973</v>
      </c>
      <c r="C481" s="36">
        <v>27029</v>
      </c>
      <c r="D481" s="37"/>
      <c r="E481" s="35"/>
      <c r="F481" s="37"/>
      <c r="G481" s="37"/>
      <c r="H481" s="37"/>
      <c r="I481" s="37"/>
      <c r="J481" s="37"/>
      <c r="K481" s="37"/>
      <c r="L481" s="35"/>
      <c r="M481" s="35"/>
      <c r="N481" s="37"/>
      <c r="O481" s="37"/>
      <c r="P481" s="37"/>
      <c r="Q481" s="37"/>
      <c r="R481" s="37"/>
      <c r="S481" s="37"/>
      <c r="T481" s="37"/>
      <c r="U481" s="37"/>
      <c r="V481" s="37"/>
      <c r="W481" s="37">
        <f>MAX($C$11-VLOOKUP($C481,COS!$B$8:$H$991,3,FALSE),0)</f>
        <v>76051.279296875</v>
      </c>
      <c r="X481" s="37">
        <f t="shared" si="769"/>
        <v>4676.2108923037194</v>
      </c>
      <c r="Y481" s="37">
        <f>VLOOKUP($C481,COS!$B$8:$H$991,4,FALSE)</f>
        <v>0</v>
      </c>
      <c r="Z481" s="37">
        <f t="shared" si="770"/>
        <v>0</v>
      </c>
      <c r="AA481" s="37">
        <f t="shared" si="766"/>
        <v>0</v>
      </c>
      <c r="AB481" s="38">
        <f t="shared" si="752"/>
        <v>0</v>
      </c>
    </row>
    <row r="482" spans="1:28" x14ac:dyDescent="0.3">
      <c r="A482" s="27">
        <f>VLOOKUP(YEAR(C482),Flags!$A$13:$B$95,2,FALSE)</f>
        <v>1</v>
      </c>
      <c r="B482" s="28">
        <f t="shared" si="739"/>
        <v>1974</v>
      </c>
      <c r="C482" s="29">
        <v>27149</v>
      </c>
      <c r="D482" s="30">
        <f>VLOOKUP($C482,COS!$B$8:$H$991,3,FALSE)</f>
        <v>5857.21484375</v>
      </c>
      <c r="E482" s="28">
        <f>IF(D482&gt;=IF(MONTH($C482)=4,$C$3,IF(MONTH($C482)=5,$C$4,IF(MONTH($C482)=6,$C$5,IF(MONTH($C482)=7,$C$6,"ERROR")))),1,0)</f>
        <v>0</v>
      </c>
      <c r="F482" s="30">
        <f>VLOOKUP($C482,COS!$B$8:$H$991,7,FALSE)</f>
        <v>48.415458679199219</v>
      </c>
      <c r="G482" s="28">
        <f>IF(F482&lt;=IF(MONTH($C482)=4,$F$3,IF(MONTH($C482)=5,$F$4,IF(MONTH($C482)=6,$F$5,IF(MONTH($C482)=7,$F$6,"ERROR")))),1,0)</f>
        <v>1</v>
      </c>
      <c r="H482" s="30">
        <f>IF(J482=1,D482-$C$3,0)</f>
        <v>0</v>
      </c>
      <c r="I482" s="30">
        <f t="shared" si="764"/>
        <v>0</v>
      </c>
      <c r="J482" s="28">
        <f t="shared" ref="J482:J485" si="771">IF(AND(E482=1,G482=1),1,0)</f>
        <v>0</v>
      </c>
      <c r="K482" s="30">
        <f>VLOOKUP($C482,COS!$B$8:$H$991,2,FALSE)</f>
        <v>4289</v>
      </c>
      <c r="L482" s="28">
        <f t="shared" ref="L482" si="772">IF(K482&lt;=IF(MONTH($C482)=4,$I$3,IF(MONTH($C482)=5,$I$4,IF(MONTH($C482)=6,$I$5,IF(MONTH($C482)=7,$I$6,"ERROR")))),1,0)</f>
        <v>1</v>
      </c>
      <c r="M482" s="28">
        <f t="shared" ref="M482" si="773">VLOOKUP($A482,$L$3:$M$7,2,FALSE)</f>
        <v>0</v>
      </c>
      <c r="N482" s="30">
        <f>VLOOKUP($C482,COS!$B$8:$H$991,5,FALSE)</f>
        <v>44.716442108154297</v>
      </c>
      <c r="O482" s="30">
        <f t="shared" ref="O482:O485" si="774">N482*DAY($C482)*86400/43560/1000</f>
        <v>2.6608130841215778</v>
      </c>
      <c r="P482" s="30">
        <f>VLOOKUP($C482,COS!$B$8:$H$991,6,FALSE)</f>
        <v>403.17050170898438</v>
      </c>
      <c r="Q482" s="30">
        <f t="shared" ref="Q482:Q485" si="775">P482*DAY($C482)*86400/43560/1000</f>
        <v>23.990310845493283</v>
      </c>
      <c r="R482" s="30">
        <f>MIN(IF(MONTH($C482)=4,$S$3,IF(MONTH($C482)=5,$S$4,IF(MONTH($C482)=6,$S$5,IF(MONTH($C482)=7,$S$6,"ERROR")))),MAX(VLOOKUP($C482,COS!$B$8:$K$991,10,FALSE)-IF(MONTH($C482)=4,$Y$3,IF(MONTH($C482)=5,$Y$4,IF(MONTH($C482)=6,$Y$5,IF(MONTH($C482)=7,$Y$6,"ERROR")))),0),MAX(VLOOKUP($C482,COS!$B$8:$K$991,9,FALSE)-IF(MONTH($C482)=4,$V$3,IF(MONTH($C482)=5,$V$4,IF(MONTH($C482)=6,$V$5,IF(MONTH($C482)=7,$V$6,"ERROR"))))-VLOOKUP($C482,COS!$B$8:$K$991,6,FALSE)/2,0))</f>
        <v>1500</v>
      </c>
      <c r="S482" s="30">
        <f t="shared" ref="S482:S485" si="776">R482*DAY($C482)*86400/43560/1000</f>
        <v>89.256198347107429</v>
      </c>
      <c r="T482" s="30">
        <f t="shared" ref="T482:T485" si="777">(O482+Q482)/2+S482</f>
        <v>102.58176031191486</v>
      </c>
      <c r="U482" s="30" t="str">
        <f>IF(VLOOKUP($C482,COS!$B$8:$I$991,8,FALSE)=1,"UWFE","IBU")</f>
        <v>UWFE</v>
      </c>
      <c r="V482" s="30">
        <f t="shared" ref="V482" si="778">MIN(IF(IF($AA$3=2,AND(E482=1,G482=1,L482=1,L487=1,M482=1,U482="IBU"),AND(E482=1,G482=1,L482=1,L487=1,M482=1)),T482,0),I482)</f>
        <v>0</v>
      </c>
      <c r="W482" s="30"/>
      <c r="X482" s="30"/>
      <c r="Y482" s="30"/>
      <c r="Z482" s="30"/>
      <c r="AA482" s="30"/>
      <c r="AB482" s="31"/>
    </row>
    <row r="483" spans="1:28" x14ac:dyDescent="0.3">
      <c r="A483" s="32">
        <f>VLOOKUP(YEAR(C483),Flags!$A$13:$B$95,2,FALSE)</f>
        <v>1</v>
      </c>
      <c r="B483" s="24">
        <f t="shared" si="739"/>
        <v>1974</v>
      </c>
      <c r="C483" s="25">
        <v>27180</v>
      </c>
      <c r="D483" s="26">
        <f>VLOOKUP($C483,COS!$B$8:$H$991,3,FALSE)</f>
        <v>5594.63427734375</v>
      </c>
      <c r="E483" s="24">
        <f>IF(D483&gt;=IF(MONTH($C483)=4,$C$3,IF(MONTH($C483)=5,$C$4,IF(MONTH($C483)=6,$C$5,IF(MONTH($C483)=7,$C$6,"ERROR")))),1,0)</f>
        <v>0</v>
      </c>
      <c r="F483" s="26">
        <f>VLOOKUP($C483,COS!$B$8:$H$991,7,FALSE)</f>
        <v>50.93426513671875</v>
      </c>
      <c r="G483" s="24">
        <f>IF(F483&lt;=IF(MONTH($C483)=4,$F$3,IF(MONTH($C483)=5,$F$4,IF(MONTH($C483)=6,$F$5,IF(MONTH($C483)=7,$F$6,"ERROR")))),1,0)</f>
        <v>1</v>
      </c>
      <c r="H483" s="26">
        <f>IF(J483=1,D483-$C$4,0)</f>
        <v>0</v>
      </c>
      <c r="I483" s="26">
        <f t="shared" si="764"/>
        <v>0</v>
      </c>
      <c r="J483" s="24">
        <f t="shared" si="771"/>
        <v>0</v>
      </c>
      <c r="K483" s="26">
        <f>VLOOKUP($C483,COS!$B$8:$H$991,2,FALSE)</f>
        <v>4515.02880859375</v>
      </c>
      <c r="L483" s="24">
        <f t="shared" si="741"/>
        <v>1</v>
      </c>
      <c r="M483" s="24">
        <f t="shared" si="742"/>
        <v>0</v>
      </c>
      <c r="N483" s="26">
        <f>VLOOKUP($C483,COS!$B$8:$H$991,5,FALSE)</f>
        <v>762.792724609375</v>
      </c>
      <c r="O483" s="26">
        <f t="shared" si="774"/>
        <v>46.902296455320247</v>
      </c>
      <c r="P483" s="26">
        <f>VLOOKUP($C483,COS!$B$8:$H$991,6,FALSE)</f>
        <v>2255.40283203125</v>
      </c>
      <c r="Q483" s="26">
        <f t="shared" si="775"/>
        <v>138.67931463068183</v>
      </c>
      <c r="R483" s="26">
        <f>MIN(IF(MONTH($C483)=4,$S$3,IF(MONTH($C483)=5,$S$4,IF(MONTH($C483)=6,$S$5,IF(MONTH($C483)=7,$S$6,"ERROR")))),MAX(VLOOKUP($C483,COS!$B$8:$K$991,10,FALSE)-IF(MONTH($C483)=4,$Y$3,IF(MONTH($C483)=5,$Y$4,IF(MONTH($C483)=6,$Y$5,IF(MONTH($C483)=7,$Y$6,"ERROR")))),0),MAX(VLOOKUP($C483,COS!$B$8:$K$991,9,FALSE)-IF(MONTH($C483)=4,$V$3,IF(MONTH($C483)=5,$V$4,IF(MONTH($C483)=6,$V$5,IF(MONTH($C483)=7,$V$6,"ERROR"))))-VLOOKUP($C483,COS!$B$8:$K$991,6,FALSE)/2,0))</f>
        <v>1500</v>
      </c>
      <c r="S483" s="26">
        <f t="shared" si="776"/>
        <v>92.231404958677686</v>
      </c>
      <c r="T483" s="26">
        <f t="shared" si="777"/>
        <v>185.02221050167873</v>
      </c>
      <c r="U483" s="26" t="str">
        <f>IF(VLOOKUP($C483,COS!$B$8:$I$991,8,FALSE)=1,"UWFE","IBU")</f>
        <v>UWFE</v>
      </c>
      <c r="V483" s="26">
        <f t="shared" ref="V483" si="779">MIN(IF(IF($AA$3=2,AND(E483=1,G483=1,L483=1,L487=1,M483=1,U483="IBU"),AND(E483=1,G483=1,L483=1,L487=1,M483=1)),T483,0),I483)</f>
        <v>0</v>
      </c>
      <c r="W483" s="26"/>
      <c r="X483" s="26"/>
      <c r="Y483" s="26"/>
      <c r="Z483" s="26"/>
      <c r="AA483" s="26"/>
      <c r="AB483" s="33"/>
    </row>
    <row r="484" spans="1:28" x14ac:dyDescent="0.3">
      <c r="A484" s="32">
        <f>VLOOKUP(YEAR(C484),Flags!$A$13:$B$95,2,FALSE)</f>
        <v>1</v>
      </c>
      <c r="B484" s="24">
        <f t="shared" si="739"/>
        <v>1974</v>
      </c>
      <c r="C484" s="25">
        <v>27210</v>
      </c>
      <c r="D484" s="26">
        <f>VLOOKUP($C484,COS!$B$8:$H$991,3,FALSE)</f>
        <v>8124.50732421875</v>
      </c>
      <c r="E484" s="24">
        <f>IF(D484&gt;=IF(MONTH($C484)=4,$C$3,IF(MONTH($C484)=5,$C$4,IF(MONTH($C484)=6,$C$5,IF(MONTH($C484)=7,$C$6,"ERROR")))),1,0)</f>
        <v>0</v>
      </c>
      <c r="F484" s="26">
        <f>VLOOKUP($C484,COS!$B$8:$H$991,7,FALSE)</f>
        <v>51.255088806152344</v>
      </c>
      <c r="G484" s="24">
        <f>IF(F484&lt;=IF(MONTH($C484)=4,$F$3,IF(MONTH($C484)=5,$F$4,IF(MONTH($C484)=6,$F$5,IF(MONTH($C484)=7,$F$6,"ERROR")))),1,0)</f>
        <v>1</v>
      </c>
      <c r="H484" s="26">
        <f>IF(J484=1,D484-$C$5,0)</f>
        <v>0</v>
      </c>
      <c r="I484" s="26">
        <f t="shared" si="764"/>
        <v>0</v>
      </c>
      <c r="J484" s="24">
        <f t="shared" si="771"/>
        <v>0</v>
      </c>
      <c r="K484" s="26">
        <f>VLOOKUP($C484,COS!$B$8:$H$991,2,FALSE)</f>
        <v>4359.88232421875</v>
      </c>
      <c r="L484" s="24">
        <f t="shared" si="741"/>
        <v>1</v>
      </c>
      <c r="M484" s="24">
        <f t="shared" si="742"/>
        <v>0</v>
      </c>
      <c r="N484" s="26">
        <f>VLOOKUP($C484,COS!$B$8:$H$991,5,FALSE)</f>
        <v>1221.2120361328125</v>
      </c>
      <c r="O484" s="26">
        <f t="shared" si="774"/>
        <v>72.667162480630168</v>
      </c>
      <c r="P484" s="26">
        <f>VLOOKUP($C484,COS!$B$8:$H$991,6,FALSE)</f>
        <v>2328.534912109375</v>
      </c>
      <c r="Q484" s="26">
        <f t="shared" si="775"/>
        <v>138.55744931559917</v>
      </c>
      <c r="R484" s="26">
        <f>MIN(IF(MONTH($C484)=4,$S$3,IF(MONTH($C484)=5,$S$4,IF(MONTH($C484)=6,$S$5,IF(MONTH($C484)=7,$S$6,"ERROR")))),MAX(VLOOKUP($C484,COS!$B$8:$K$991,10,FALSE)-IF(MONTH($C484)=4,$Y$3,IF(MONTH($C484)=5,$Y$4,IF(MONTH($C484)=6,$Y$5,IF(MONTH($C484)=7,$Y$6,"ERROR")))),0),MAX(VLOOKUP($C484,COS!$B$8:$K$991,9,FALSE)-IF(MONTH($C484)=4,$V$3,IF(MONTH($C484)=5,$V$4,IF(MONTH($C484)=6,$V$5,IF(MONTH($C484)=7,$V$6,"ERROR"))))-VLOOKUP($C484,COS!$B$8:$K$991,6,FALSE)/2,0))</f>
        <v>1500</v>
      </c>
      <c r="S484" s="26">
        <f t="shared" si="776"/>
        <v>89.256198347107429</v>
      </c>
      <c r="T484" s="26">
        <f t="shared" si="777"/>
        <v>194.86850424522208</v>
      </c>
      <c r="U484" s="26" t="str">
        <f>IF(VLOOKUP($C484,COS!$B$8:$I$991,8,FALSE)=1,"UWFE","IBU")</f>
        <v>UWFE</v>
      </c>
      <c r="V484" s="26">
        <f t="shared" ref="V484" si="780">MIN(IF(IF($AA$3=2,AND(E484=1,G484=1,L484=1,L487=1,M484=1,U484="IBU"),AND(E484=1,G484=1,L484=1,L487=1,M484=1)),T484,0),I484)</f>
        <v>0</v>
      </c>
      <c r="W484" s="26"/>
      <c r="X484" s="26"/>
      <c r="Y484" s="26"/>
      <c r="Z484" s="26"/>
      <c r="AA484" s="26"/>
      <c r="AB484" s="33"/>
    </row>
    <row r="485" spans="1:28" x14ac:dyDescent="0.3">
      <c r="A485" s="32">
        <f>VLOOKUP(YEAR(C485),Flags!$A$13:$B$95,2,FALSE)</f>
        <v>1</v>
      </c>
      <c r="B485" s="24">
        <f t="shared" si="739"/>
        <v>1974</v>
      </c>
      <c r="C485" s="25">
        <v>27241</v>
      </c>
      <c r="D485" s="26">
        <f>VLOOKUP($C485,COS!$B$8:$H$991,3,FALSE)</f>
        <v>12602.3798828125</v>
      </c>
      <c r="E485" s="24">
        <f>IF(D485&gt;=IF(MONTH($C485)=4,$C$3,IF(MONTH($C485)=5,$C$4,IF(MONTH($C485)=6,$C$5,IF(MONTH($C485)=7,$C$6,"ERROR")))),1,0)</f>
        <v>1</v>
      </c>
      <c r="F485" s="26">
        <f>VLOOKUP($C485,COS!$B$8:$H$991,7,FALSE)</f>
        <v>51.680782318115234</v>
      </c>
      <c r="G485" s="24">
        <f>IF(F485&lt;=IF(MONTH($C485)=4,$F$3,IF(MONTH($C485)=5,$F$4,IF(MONTH($C485)=6,$F$5,IF(MONTH($C485)=7,$F$6,"ERROR")))),1,0)</f>
        <v>1</v>
      </c>
      <c r="H485" s="26">
        <f>IF(J485=1,D485-$C$6,0)</f>
        <v>602.3798828125</v>
      </c>
      <c r="I485" s="26">
        <f t="shared" si="764"/>
        <v>37.038895273760332</v>
      </c>
      <c r="J485" s="24">
        <f t="shared" si="771"/>
        <v>1</v>
      </c>
      <c r="K485" s="26">
        <f>VLOOKUP($C485,COS!$B$8:$H$991,2,FALSE)</f>
        <v>3927.6494140625</v>
      </c>
      <c r="L485" s="24">
        <f t="shared" si="741"/>
        <v>1</v>
      </c>
      <c r="M485" s="24">
        <f t="shared" si="742"/>
        <v>0</v>
      </c>
      <c r="N485" s="26">
        <f>VLOOKUP($C485,COS!$B$8:$H$991,5,FALSE)</f>
        <v>1157.809326171875</v>
      </c>
      <c r="O485" s="26">
        <f t="shared" si="774"/>
        <v>71.190920551394626</v>
      </c>
      <c r="P485" s="26">
        <f>VLOOKUP($C485,COS!$B$8:$H$991,6,FALSE)</f>
        <v>2265.91064453125</v>
      </c>
      <c r="Q485" s="26">
        <f t="shared" si="775"/>
        <v>139.32541483729338</v>
      </c>
      <c r="R485" s="26">
        <f>MIN(IF(MONTH($C485)=4,$S$3,IF(MONTH($C485)=5,$S$4,IF(MONTH($C485)=6,$S$5,IF(MONTH($C485)=7,$S$6,"ERROR")))),MAX(VLOOKUP($C485,COS!$B$8:$K$991,10,FALSE)-IF(MONTH($C485)=4,$Y$3,IF(MONTH($C485)=5,$Y$4,IF(MONTH($C485)=6,$Y$5,IF(MONTH($C485)=7,$Y$6,"ERROR")))),0),MAX(VLOOKUP($C485,COS!$B$8:$K$991,9,FALSE)-IF(MONTH($C485)=4,$V$3,IF(MONTH($C485)=5,$V$4,IF(MONTH($C485)=6,$V$5,IF(MONTH($C485)=7,$V$6,"ERROR"))))-VLOOKUP($C485,COS!$B$8:$K$991,6,FALSE)/2,0))</f>
        <v>1500</v>
      </c>
      <c r="S485" s="26">
        <f t="shared" si="776"/>
        <v>92.231404958677686</v>
      </c>
      <c r="T485" s="26">
        <f t="shared" si="777"/>
        <v>197.4895726530217</v>
      </c>
      <c r="U485" s="26" t="str">
        <f>IF(VLOOKUP($C485,COS!$B$8:$I$991,8,FALSE)=1,"UWFE","IBU")</f>
        <v>IBU</v>
      </c>
      <c r="V485" s="26">
        <f t="shared" ref="V485" si="781">MIN(IF(IF($AA$3=2,AND(E485=1,G485=1,L485=1,L487=1,M485=1,U485="IBU"),AND(E485=1,G485=1,L485=1,L487=1,M485=1)),T485,0),I485)</f>
        <v>0</v>
      </c>
      <c r="W485" s="26"/>
      <c r="X485" s="26"/>
      <c r="Y485" s="26"/>
      <c r="Z485" s="26"/>
      <c r="AA485" s="26"/>
      <c r="AB485" s="33"/>
    </row>
    <row r="486" spans="1:28" x14ac:dyDescent="0.3">
      <c r="A486" s="32">
        <f>VLOOKUP(YEAR(C486),Flags!$A$13:$B$95,2,FALSE)</f>
        <v>1</v>
      </c>
      <c r="B486" s="24">
        <f t="shared" si="739"/>
        <v>1974</v>
      </c>
      <c r="C486" s="25">
        <v>27272</v>
      </c>
      <c r="D486" s="26"/>
      <c r="E486" s="24"/>
      <c r="F486" s="26"/>
      <c r="G486" s="24"/>
      <c r="H486" s="24"/>
      <c r="I486" s="26"/>
      <c r="J486" s="24"/>
      <c r="K486" s="26"/>
      <c r="L486" s="24"/>
      <c r="M486" s="24"/>
      <c r="N486" s="26"/>
      <c r="O486" s="26"/>
      <c r="P486" s="26"/>
      <c r="Q486" s="26"/>
      <c r="R486" s="26"/>
      <c r="S486" s="26"/>
      <c r="T486" s="26"/>
      <c r="U486" s="26"/>
      <c r="V486" s="26"/>
      <c r="W486" s="26">
        <f>MAX($C$7-VLOOKUP($C486,COS!$B$8:$H$991,3,FALSE),0)</f>
        <v>90403.6591796875</v>
      </c>
      <c r="X486" s="26">
        <f t="shared" si="769"/>
        <v>5558.7043330320248</v>
      </c>
      <c r="Y486" s="26">
        <f>VLOOKUP($C486,COS!$B$8:$H$991,4,FALSE)</f>
        <v>0</v>
      </c>
      <c r="Z486" s="26">
        <f t="shared" si="770"/>
        <v>0</v>
      </c>
      <c r="AA486" s="26">
        <f t="shared" ref="AA486:AA490" si="782">MIN(W486,Y486)</f>
        <v>0</v>
      </c>
      <c r="AB486" s="33">
        <f t="shared" ref="AB486" si="783">AA486*DAY($C486)*86400/43560/1000*IF(MONTH($C486)=8,$P$3,IF(MONTH($C486)=9,$P$4,IF(MONTH($C486)=10,$P$5,IF(MONTH($C486)=11,$P$6,IF(MONTH($C486)=12,$P$7,NA())))))</f>
        <v>0</v>
      </c>
    </row>
    <row r="487" spans="1:28" x14ac:dyDescent="0.3">
      <c r="A487" s="32">
        <f>VLOOKUP(YEAR(C487),Flags!$A$13:$B$95,2,FALSE)</f>
        <v>1</v>
      </c>
      <c r="B487" s="24">
        <f t="shared" si="739"/>
        <v>1974</v>
      </c>
      <c r="C487" s="25">
        <v>27302</v>
      </c>
      <c r="D487" s="26"/>
      <c r="E487" s="24"/>
      <c r="F487" s="26"/>
      <c r="G487" s="24"/>
      <c r="H487" s="24"/>
      <c r="I487" s="26"/>
      <c r="J487" s="24"/>
      <c r="K487" s="26">
        <f>VLOOKUP($C487,COS!$B$8:$H$991,2,FALSE)</f>
        <v>3201.753173828125</v>
      </c>
      <c r="L487" s="24">
        <f t="shared" ref="L487" si="784">IF(AND(K487&gt;$I$7,K487&lt;$I$8),1,0)</f>
        <v>1</v>
      </c>
      <c r="M487" s="24"/>
      <c r="N487" s="26"/>
      <c r="O487" s="26"/>
      <c r="P487" s="26"/>
      <c r="Q487" s="26"/>
      <c r="R487" s="26"/>
      <c r="S487" s="26"/>
      <c r="T487" s="26"/>
      <c r="U487" s="26"/>
      <c r="V487" s="26"/>
      <c r="W487" s="26">
        <f>MAX($C$8-VLOOKUP($C487,COS!$B$8:$H$991,3,FALSE),0)</f>
        <v>86925.96875</v>
      </c>
      <c r="X487" s="26">
        <f t="shared" si="769"/>
        <v>5172.4543388429747</v>
      </c>
      <c r="Y487" s="26">
        <f>VLOOKUP($C487,COS!$B$8:$H$991,4,FALSE)</f>
        <v>0</v>
      </c>
      <c r="Z487" s="26">
        <f t="shared" si="770"/>
        <v>0</v>
      </c>
      <c r="AA487" s="26">
        <f t="shared" si="782"/>
        <v>0</v>
      </c>
      <c r="AB487" s="33">
        <f t="shared" si="752"/>
        <v>0</v>
      </c>
    </row>
    <row r="488" spans="1:28" x14ac:dyDescent="0.3">
      <c r="A488" s="32">
        <f>VLOOKUP(YEAR(C488),Flags!$A$13:$B$95,2,FALSE)</f>
        <v>1</v>
      </c>
      <c r="B488" s="24">
        <f t="shared" si="739"/>
        <v>1974</v>
      </c>
      <c r="C488" s="25">
        <v>27333</v>
      </c>
      <c r="D488" s="26"/>
      <c r="E488" s="24"/>
      <c r="F488" s="26"/>
      <c r="G488" s="26"/>
      <c r="H488" s="26"/>
      <c r="I488" s="26"/>
      <c r="J488" s="26"/>
      <c r="K488" s="26"/>
      <c r="L488" s="24"/>
      <c r="M488" s="24"/>
      <c r="N488" s="26"/>
      <c r="O488" s="26"/>
      <c r="P488" s="26"/>
      <c r="Q488" s="26"/>
      <c r="R488" s="26"/>
      <c r="S488" s="26"/>
      <c r="T488" s="26"/>
      <c r="U488" s="26"/>
      <c r="V488" s="26"/>
      <c r="W488" s="26">
        <f>MAX($C$9-VLOOKUP($C488,COS!$B$8:$H$991,3,FALSE),0)</f>
        <v>91203.32421875</v>
      </c>
      <c r="X488" s="26">
        <f t="shared" si="769"/>
        <v>5607.8738197314051</v>
      </c>
      <c r="Y488" s="26">
        <f>VLOOKUP($C488,COS!$B$8:$H$991,4,FALSE)</f>
        <v>1233.3179931640625</v>
      </c>
      <c r="Z488" s="26">
        <f t="shared" si="770"/>
        <v>75.833767513558882</v>
      </c>
      <c r="AA488" s="26">
        <f t="shared" si="782"/>
        <v>1233.3179931640625</v>
      </c>
      <c r="AB488" s="33">
        <f t="shared" si="752"/>
        <v>75.833767513558882</v>
      </c>
    </row>
    <row r="489" spans="1:28" x14ac:dyDescent="0.3">
      <c r="A489" s="32">
        <f>VLOOKUP(YEAR(C489),Flags!$A$13:$B$95,2,FALSE)</f>
        <v>1</v>
      </c>
      <c r="B489" s="24">
        <f t="shared" si="739"/>
        <v>1974</v>
      </c>
      <c r="C489" s="25">
        <v>27363</v>
      </c>
      <c r="D489" s="26"/>
      <c r="E489" s="24"/>
      <c r="F489" s="26"/>
      <c r="G489" s="26"/>
      <c r="H489" s="26"/>
      <c r="I489" s="26"/>
      <c r="J489" s="26"/>
      <c r="K489" s="26"/>
      <c r="L489" s="24"/>
      <c r="M489" s="24"/>
      <c r="N489" s="26"/>
      <c r="O489" s="26"/>
      <c r="P489" s="26"/>
      <c r="Q489" s="26"/>
      <c r="R489" s="26"/>
      <c r="S489" s="26"/>
      <c r="T489" s="26"/>
      <c r="U489" s="26"/>
      <c r="V489" s="26"/>
      <c r="W489" s="26">
        <f>MAX($C$10-VLOOKUP($C489,COS!$B$8:$H$991,3,FALSE),0)</f>
        <v>87555.9794921875</v>
      </c>
      <c r="X489" s="26">
        <f t="shared" si="769"/>
        <v>5209.9425813533062</v>
      </c>
      <c r="Y489" s="26">
        <f>VLOOKUP($C489,COS!$B$8:$H$991,4,FALSE)</f>
        <v>1391.8277587890625</v>
      </c>
      <c r="Z489" s="26">
        <f t="shared" si="770"/>
        <v>82.819503002324367</v>
      </c>
      <c r="AA489" s="26">
        <f t="shared" si="782"/>
        <v>1391.8277587890625</v>
      </c>
      <c r="AB489" s="33">
        <f t="shared" si="752"/>
        <v>82.819503002324367</v>
      </c>
    </row>
    <row r="490" spans="1:28" x14ac:dyDescent="0.3">
      <c r="A490" s="34">
        <f>VLOOKUP(YEAR(C490),Flags!$A$13:$B$95,2,FALSE)</f>
        <v>1</v>
      </c>
      <c r="B490" s="35">
        <f t="shared" si="739"/>
        <v>1974</v>
      </c>
      <c r="C490" s="36">
        <v>27394</v>
      </c>
      <c r="D490" s="37"/>
      <c r="E490" s="35"/>
      <c r="F490" s="37"/>
      <c r="G490" s="37"/>
      <c r="H490" s="37"/>
      <c r="I490" s="37"/>
      <c r="J490" s="37"/>
      <c r="K490" s="37"/>
      <c r="L490" s="35"/>
      <c r="M490" s="35"/>
      <c r="N490" s="37"/>
      <c r="O490" s="37"/>
      <c r="P490" s="37"/>
      <c r="Q490" s="37"/>
      <c r="R490" s="37"/>
      <c r="S490" s="37"/>
      <c r="T490" s="37"/>
      <c r="U490" s="37"/>
      <c r="V490" s="37"/>
      <c r="W490" s="37">
        <f>MAX($C$11-VLOOKUP($C490,COS!$B$8:$H$991,3,FALSE),0)</f>
        <v>96749</v>
      </c>
      <c r="X490" s="37">
        <f t="shared" si="769"/>
        <v>5948.8641322314052</v>
      </c>
      <c r="Y490" s="37">
        <f>VLOOKUP($C490,COS!$B$8:$H$991,4,FALSE)</f>
        <v>0</v>
      </c>
      <c r="Z490" s="37">
        <f t="shared" si="770"/>
        <v>0</v>
      </c>
      <c r="AA490" s="37">
        <f t="shared" si="782"/>
        <v>0</v>
      </c>
      <c r="AB490" s="38">
        <f t="shared" si="752"/>
        <v>0</v>
      </c>
    </row>
    <row r="491" spans="1:28" x14ac:dyDescent="0.3">
      <c r="A491" s="27">
        <f>VLOOKUP(YEAR(C491),Flags!$A$13:$B$95,2,FALSE)</f>
        <v>1</v>
      </c>
      <c r="B491" s="28">
        <f t="shared" si="739"/>
        <v>1975</v>
      </c>
      <c r="C491" s="29">
        <v>27514</v>
      </c>
      <c r="D491" s="30">
        <f>VLOOKUP($C491,COS!$B$8:$H$991,3,FALSE)</f>
        <v>3250</v>
      </c>
      <c r="E491" s="28">
        <f>IF(D491&gt;=IF(MONTH($C491)=4,$C$3,IF(MONTH($C491)=5,$C$4,IF(MONTH($C491)=6,$C$5,IF(MONTH($C491)=7,$C$6,"ERROR")))),1,0)</f>
        <v>0</v>
      </c>
      <c r="F491" s="30">
        <f>VLOOKUP($C491,COS!$B$8:$H$991,7,FALSE)</f>
        <v>50.470378875732422</v>
      </c>
      <c r="G491" s="28">
        <f>IF(F491&lt;=IF(MONTH($C491)=4,$F$3,IF(MONTH($C491)=5,$F$4,IF(MONTH($C491)=6,$F$5,IF(MONTH($C491)=7,$F$6,"ERROR")))),1,0)</f>
        <v>1</v>
      </c>
      <c r="H491" s="30">
        <f>IF(J491=1,D491-$C$3,0)</f>
        <v>0</v>
      </c>
      <c r="I491" s="30">
        <f t="shared" si="764"/>
        <v>0</v>
      </c>
      <c r="J491" s="28">
        <f t="shared" ref="J491:J494" si="785">IF(AND(E491=1,G491=1),1,0)</f>
        <v>0</v>
      </c>
      <c r="K491" s="30">
        <f>VLOOKUP($C491,COS!$B$8:$H$991,2,FALSE)</f>
        <v>4449.69873046875</v>
      </c>
      <c r="L491" s="28">
        <f t="shared" ref="L491" si="786">IF(K491&lt;=IF(MONTH($C491)=4,$I$3,IF(MONTH($C491)=5,$I$4,IF(MONTH($C491)=6,$I$5,IF(MONTH($C491)=7,$I$6,"ERROR")))),1,0)</f>
        <v>1</v>
      </c>
      <c r="M491" s="28">
        <f t="shared" ref="M491" si="787">VLOOKUP($A491,$L$3:$M$7,2,FALSE)</f>
        <v>0</v>
      </c>
      <c r="N491" s="30">
        <f>VLOOKUP($C491,COS!$B$8:$H$991,5,FALSE)</f>
        <v>348.71612548828125</v>
      </c>
      <c r="O491" s="30">
        <f t="shared" ref="O491:O494" si="788">N491*DAY($C491)*86400/43560/1000</f>
        <v>20.750050442277892</v>
      </c>
      <c r="P491" s="30">
        <f>VLOOKUP($C491,COS!$B$8:$H$991,6,FALSE)</f>
        <v>422.25656127929688</v>
      </c>
      <c r="Q491" s="30">
        <f t="shared" ref="Q491:Q494" si="789">P491*DAY($C491)*86400/43560/1000</f>
        <v>25.12601025794163</v>
      </c>
      <c r="R491" s="30">
        <f>MIN(IF(MONTH($C491)=4,$S$3,IF(MONTH($C491)=5,$S$4,IF(MONTH($C491)=6,$S$5,IF(MONTH($C491)=7,$S$6,"ERROR")))),MAX(VLOOKUP($C491,COS!$B$8:$K$991,10,FALSE)-IF(MONTH($C491)=4,$Y$3,IF(MONTH($C491)=5,$Y$4,IF(MONTH($C491)=6,$Y$5,IF(MONTH($C491)=7,$Y$6,"ERROR")))),0),MAX(VLOOKUP($C491,COS!$B$8:$K$991,9,FALSE)-IF(MONTH($C491)=4,$V$3,IF(MONTH($C491)=5,$V$4,IF(MONTH($C491)=6,$V$5,IF(MONTH($C491)=7,$V$6,"ERROR"))))-VLOOKUP($C491,COS!$B$8:$K$991,6,FALSE)/2,0))</f>
        <v>1500</v>
      </c>
      <c r="S491" s="30">
        <f t="shared" ref="S491:S494" si="790">R491*DAY($C491)*86400/43560/1000</f>
        <v>89.256198347107429</v>
      </c>
      <c r="T491" s="30">
        <f t="shared" ref="T491:T494" si="791">(O491+Q491)/2+S491</f>
        <v>112.1942286972172</v>
      </c>
      <c r="U491" s="30" t="str">
        <f>IF(VLOOKUP($C491,COS!$B$8:$I$991,8,FALSE)=1,"UWFE","IBU")</f>
        <v>UWFE</v>
      </c>
      <c r="V491" s="30">
        <f t="shared" ref="V491" si="792">MIN(IF(IF($AA$3=2,AND(E491=1,G491=1,L491=1,L496=1,M491=1,U491="IBU"),AND(E491=1,G491=1,L491=1,L496=1,M491=1)),T491,0),I491)</f>
        <v>0</v>
      </c>
      <c r="W491" s="30"/>
      <c r="X491" s="30"/>
      <c r="Y491" s="30"/>
      <c r="Z491" s="30"/>
      <c r="AA491" s="30"/>
      <c r="AB491" s="31"/>
    </row>
    <row r="492" spans="1:28" x14ac:dyDescent="0.3">
      <c r="A492" s="32">
        <f>VLOOKUP(YEAR(C492),Flags!$A$13:$B$95,2,FALSE)</f>
        <v>1</v>
      </c>
      <c r="B492" s="24">
        <f t="shared" si="739"/>
        <v>1975</v>
      </c>
      <c r="C492" s="25">
        <v>27545</v>
      </c>
      <c r="D492" s="26">
        <f>VLOOKUP($C492,COS!$B$8:$H$991,3,FALSE)</f>
        <v>9954.1455078125</v>
      </c>
      <c r="E492" s="24">
        <f>IF(D492&gt;=IF(MONTH($C492)=4,$C$3,IF(MONTH($C492)=5,$C$4,IF(MONTH($C492)=6,$C$5,IF(MONTH($C492)=7,$C$6,"ERROR")))),1,0)</f>
        <v>1</v>
      </c>
      <c r="F492" s="26">
        <f>VLOOKUP($C492,COS!$B$8:$H$991,7,FALSE)</f>
        <v>50.279342651367188</v>
      </c>
      <c r="G492" s="24">
        <f>IF(F492&lt;=IF(MONTH($C492)=4,$F$3,IF(MONTH($C492)=5,$F$4,IF(MONTH($C492)=6,$F$5,IF(MONTH($C492)=7,$F$6,"ERROR")))),1,0)</f>
        <v>1</v>
      </c>
      <c r="H492" s="26">
        <f>IF(J492=1,D492-$C$4,0)</f>
        <v>3954.1455078125</v>
      </c>
      <c r="I492" s="26">
        <f t="shared" si="764"/>
        <v>243.13093039772727</v>
      </c>
      <c r="J492" s="24">
        <f t="shared" si="785"/>
        <v>1</v>
      </c>
      <c r="K492" s="26">
        <f>VLOOKUP($C492,COS!$B$8:$H$991,2,FALSE)</f>
        <v>4552</v>
      </c>
      <c r="L492" s="24">
        <f t="shared" si="741"/>
        <v>1</v>
      </c>
      <c r="M492" s="24">
        <f t="shared" si="742"/>
        <v>0</v>
      </c>
      <c r="N492" s="26">
        <f>VLOOKUP($C492,COS!$B$8:$H$991,5,FALSE)</f>
        <v>880.44073486328125</v>
      </c>
      <c r="O492" s="26">
        <f t="shared" si="788"/>
        <v>54.136190639527378</v>
      </c>
      <c r="P492" s="26">
        <f>VLOOKUP($C492,COS!$B$8:$H$991,6,FALSE)</f>
        <v>2314.501708984375</v>
      </c>
      <c r="Q492" s="26">
        <f t="shared" si="789"/>
        <v>142.31316293259297</v>
      </c>
      <c r="R492" s="26">
        <f>MIN(IF(MONTH($C492)=4,$S$3,IF(MONTH($C492)=5,$S$4,IF(MONTH($C492)=6,$S$5,IF(MONTH($C492)=7,$S$6,"ERROR")))),MAX(VLOOKUP($C492,COS!$B$8:$K$991,10,FALSE)-IF(MONTH($C492)=4,$Y$3,IF(MONTH($C492)=5,$Y$4,IF(MONTH($C492)=6,$Y$5,IF(MONTH($C492)=7,$Y$6,"ERROR")))),0),MAX(VLOOKUP($C492,COS!$B$8:$K$991,9,FALSE)-IF(MONTH($C492)=4,$V$3,IF(MONTH($C492)=5,$V$4,IF(MONTH($C492)=6,$V$5,IF(MONTH($C492)=7,$V$6,"ERROR"))))-VLOOKUP($C492,COS!$B$8:$K$991,6,FALSE)/2,0))</f>
        <v>1500</v>
      </c>
      <c r="S492" s="26">
        <f t="shared" si="790"/>
        <v>92.231404958677686</v>
      </c>
      <c r="T492" s="26">
        <f t="shared" si="791"/>
        <v>190.45608174473784</v>
      </c>
      <c r="U492" s="26" t="str">
        <f>IF(VLOOKUP($C492,COS!$B$8:$I$991,8,FALSE)=1,"UWFE","IBU")</f>
        <v>UWFE</v>
      </c>
      <c r="V492" s="26">
        <f t="shared" ref="V492" si="793">MIN(IF(IF($AA$3=2,AND(E492=1,G492=1,L492=1,L496=1,M492=1,U492="IBU"),AND(E492=1,G492=1,L492=1,L496=1,M492=1)),T492,0),I492)</f>
        <v>0</v>
      </c>
      <c r="W492" s="26"/>
      <c r="X492" s="26"/>
      <c r="Y492" s="26"/>
      <c r="Z492" s="26"/>
      <c r="AA492" s="26"/>
      <c r="AB492" s="33"/>
    </row>
    <row r="493" spans="1:28" x14ac:dyDescent="0.3">
      <c r="A493" s="32">
        <f>VLOOKUP(YEAR(C493),Flags!$A$13:$B$95,2,FALSE)</f>
        <v>1</v>
      </c>
      <c r="B493" s="24">
        <f t="shared" si="739"/>
        <v>1975</v>
      </c>
      <c r="C493" s="25">
        <v>27575</v>
      </c>
      <c r="D493" s="26">
        <f>VLOOKUP($C493,COS!$B$8:$H$991,3,FALSE)</f>
        <v>8908.6064453125</v>
      </c>
      <c r="E493" s="24">
        <f>IF(D493&gt;=IF(MONTH($C493)=4,$C$3,IF(MONTH($C493)=5,$C$4,IF(MONTH($C493)=6,$C$5,IF(MONTH($C493)=7,$C$6,"ERROR")))),1,0)</f>
        <v>0</v>
      </c>
      <c r="F493" s="26">
        <f>VLOOKUP($C493,COS!$B$8:$H$991,7,FALSE)</f>
        <v>51.962612152099609</v>
      </c>
      <c r="G493" s="24">
        <f>IF(F493&lt;=IF(MONTH($C493)=4,$F$3,IF(MONTH($C493)=5,$F$4,IF(MONTH($C493)=6,$F$5,IF(MONTH($C493)=7,$F$6,"ERROR")))),1,0)</f>
        <v>1</v>
      </c>
      <c r="H493" s="26">
        <f>IF(J493=1,D493-$C$5,0)</f>
        <v>0</v>
      </c>
      <c r="I493" s="26">
        <f t="shared" si="764"/>
        <v>0</v>
      </c>
      <c r="J493" s="24">
        <f t="shared" si="785"/>
        <v>0</v>
      </c>
      <c r="K493" s="26">
        <f>VLOOKUP($C493,COS!$B$8:$H$991,2,FALSE)</f>
        <v>4422.015625</v>
      </c>
      <c r="L493" s="24">
        <f t="shared" si="741"/>
        <v>1</v>
      </c>
      <c r="M493" s="24">
        <f t="shared" si="742"/>
        <v>0</v>
      </c>
      <c r="N493" s="26">
        <f>VLOOKUP($C493,COS!$B$8:$H$991,5,FALSE)</f>
        <v>1191.22607421875</v>
      </c>
      <c r="O493" s="26">
        <f t="shared" si="788"/>
        <v>70.882873837809925</v>
      </c>
      <c r="P493" s="26">
        <f>VLOOKUP($C493,COS!$B$8:$H$991,6,FALSE)</f>
        <v>2278.943359375</v>
      </c>
      <c r="Q493" s="26">
        <f t="shared" si="789"/>
        <v>135.60654700413224</v>
      </c>
      <c r="R493" s="26">
        <f>MIN(IF(MONTH($C493)=4,$S$3,IF(MONTH($C493)=5,$S$4,IF(MONTH($C493)=6,$S$5,IF(MONTH($C493)=7,$S$6,"ERROR")))),MAX(VLOOKUP($C493,COS!$B$8:$K$991,10,FALSE)-IF(MONTH($C493)=4,$Y$3,IF(MONTH($C493)=5,$Y$4,IF(MONTH($C493)=6,$Y$5,IF(MONTH($C493)=7,$Y$6,"ERROR")))),0),MAX(VLOOKUP($C493,COS!$B$8:$K$991,9,FALSE)-IF(MONTH($C493)=4,$V$3,IF(MONTH($C493)=5,$V$4,IF(MONTH($C493)=6,$V$5,IF(MONTH($C493)=7,$V$6,"ERROR"))))-VLOOKUP($C493,COS!$B$8:$K$991,6,FALSE)/2,0))</f>
        <v>1500</v>
      </c>
      <c r="S493" s="26">
        <f t="shared" si="790"/>
        <v>89.256198347107429</v>
      </c>
      <c r="T493" s="26">
        <f t="shared" si="791"/>
        <v>192.50090876807849</v>
      </c>
      <c r="U493" s="26" t="str">
        <f>IF(VLOOKUP($C493,COS!$B$8:$I$991,8,FALSE)=1,"UWFE","IBU")</f>
        <v>UWFE</v>
      </c>
      <c r="V493" s="26">
        <f t="shared" ref="V493" si="794">MIN(IF(IF($AA$3=2,AND(E493=1,G493=1,L493=1,L496=1,M493=1,U493="IBU"),AND(E493=1,G493=1,L493=1,L496=1,M493=1)),T493,0),I493)</f>
        <v>0</v>
      </c>
      <c r="W493" s="26"/>
      <c r="X493" s="26"/>
      <c r="Y493" s="26"/>
      <c r="Z493" s="26"/>
      <c r="AA493" s="26"/>
      <c r="AB493" s="33"/>
    </row>
    <row r="494" spans="1:28" x14ac:dyDescent="0.3">
      <c r="A494" s="32">
        <f>VLOOKUP(YEAR(C494),Flags!$A$13:$B$95,2,FALSE)</f>
        <v>1</v>
      </c>
      <c r="B494" s="24">
        <f t="shared" si="739"/>
        <v>1975</v>
      </c>
      <c r="C494" s="25">
        <v>27606</v>
      </c>
      <c r="D494" s="26">
        <f>VLOOKUP($C494,COS!$B$8:$H$991,3,FALSE)</f>
        <v>13871.7421875</v>
      </c>
      <c r="E494" s="24">
        <f>IF(D494&gt;=IF(MONTH($C494)=4,$C$3,IF(MONTH($C494)=5,$C$4,IF(MONTH($C494)=6,$C$5,IF(MONTH($C494)=7,$C$6,"ERROR")))),1,0)</f>
        <v>1</v>
      </c>
      <c r="F494" s="26">
        <f>VLOOKUP($C494,COS!$B$8:$H$991,7,FALSE)</f>
        <v>52.175071716308594</v>
      </c>
      <c r="G494" s="24">
        <f>IF(F494&lt;=IF(MONTH($C494)=4,$F$3,IF(MONTH($C494)=5,$F$4,IF(MONTH($C494)=6,$F$5,IF(MONTH($C494)=7,$F$6,"ERROR")))),1,0)</f>
        <v>1</v>
      </c>
      <c r="H494" s="26">
        <f>IF(J494=1,D494-$C$6,0)</f>
        <v>1871.7421875</v>
      </c>
      <c r="I494" s="26">
        <f t="shared" si="764"/>
        <v>115.08894111570247</v>
      </c>
      <c r="J494" s="24">
        <f t="shared" si="785"/>
        <v>1</v>
      </c>
      <c r="K494" s="26">
        <f>VLOOKUP($C494,COS!$B$8:$H$991,2,FALSE)</f>
        <v>3940.190673828125</v>
      </c>
      <c r="L494" s="24">
        <f t="shared" si="741"/>
        <v>1</v>
      </c>
      <c r="M494" s="24">
        <f t="shared" si="742"/>
        <v>0</v>
      </c>
      <c r="N494" s="26">
        <f>VLOOKUP($C494,COS!$B$8:$H$991,5,FALSE)</f>
        <v>1259.2373046875</v>
      </c>
      <c r="O494" s="26">
        <f t="shared" si="788"/>
        <v>77.427483858471078</v>
      </c>
      <c r="P494" s="26">
        <f>VLOOKUP($C494,COS!$B$8:$H$991,6,FALSE)</f>
        <v>2566.025634765625</v>
      </c>
      <c r="Q494" s="26">
        <f t="shared" si="789"/>
        <v>157.77876630294421</v>
      </c>
      <c r="R494" s="26">
        <f>MIN(IF(MONTH($C494)=4,$S$3,IF(MONTH($C494)=5,$S$4,IF(MONTH($C494)=6,$S$5,IF(MONTH($C494)=7,$S$6,"ERROR")))),MAX(VLOOKUP($C494,COS!$B$8:$K$991,10,FALSE)-IF(MONTH($C494)=4,$Y$3,IF(MONTH($C494)=5,$Y$4,IF(MONTH($C494)=6,$Y$5,IF(MONTH($C494)=7,$Y$6,"ERROR")))),0),MAX(VLOOKUP($C494,COS!$B$8:$K$991,9,FALSE)-IF(MONTH($C494)=4,$V$3,IF(MONTH($C494)=5,$V$4,IF(MONTH($C494)=6,$V$5,IF(MONTH($C494)=7,$V$6,"ERROR"))))-VLOOKUP($C494,COS!$B$8:$K$991,6,FALSE)/2,0))</f>
        <v>1500</v>
      </c>
      <c r="S494" s="26">
        <f t="shared" si="790"/>
        <v>92.231404958677686</v>
      </c>
      <c r="T494" s="26">
        <f t="shared" si="791"/>
        <v>209.83453003938533</v>
      </c>
      <c r="U494" s="26" t="str">
        <f>IF(VLOOKUP($C494,COS!$B$8:$I$991,8,FALSE)=1,"UWFE","IBU")</f>
        <v>IBU</v>
      </c>
      <c r="V494" s="26">
        <f t="shared" ref="V494" si="795">MIN(IF(IF($AA$3=2,AND(E494=1,G494=1,L494=1,L496=1,M494=1,U494="IBU"),AND(E494=1,G494=1,L494=1,L496=1,M494=1)),T494,0),I494)</f>
        <v>0</v>
      </c>
      <c r="W494" s="26"/>
      <c r="X494" s="26"/>
      <c r="Y494" s="26"/>
      <c r="Z494" s="26"/>
      <c r="AA494" s="26"/>
      <c r="AB494" s="33"/>
    </row>
    <row r="495" spans="1:28" x14ac:dyDescent="0.3">
      <c r="A495" s="32">
        <f>VLOOKUP(YEAR(C495),Flags!$A$13:$B$95,2,FALSE)</f>
        <v>1</v>
      </c>
      <c r="B495" s="24">
        <f t="shared" si="739"/>
        <v>1975</v>
      </c>
      <c r="C495" s="25">
        <v>27637</v>
      </c>
      <c r="D495" s="26"/>
      <c r="E495" s="24"/>
      <c r="F495" s="26"/>
      <c r="G495" s="24"/>
      <c r="H495" s="24"/>
      <c r="I495" s="26"/>
      <c r="J495" s="24"/>
      <c r="K495" s="26"/>
      <c r="L495" s="24"/>
      <c r="M495" s="24"/>
      <c r="N495" s="26"/>
      <c r="O495" s="26"/>
      <c r="P495" s="26"/>
      <c r="Q495" s="26"/>
      <c r="R495" s="26"/>
      <c r="S495" s="26"/>
      <c r="T495" s="26"/>
      <c r="U495" s="26"/>
      <c r="V495" s="26"/>
      <c r="W495" s="26">
        <f>MAX($C$7-VLOOKUP($C495,COS!$B$8:$H$991,3,FALSE),0)</f>
        <v>90235.9765625</v>
      </c>
      <c r="X495" s="26">
        <f t="shared" si="769"/>
        <v>5548.3939307851242</v>
      </c>
      <c r="Y495" s="26">
        <f>VLOOKUP($C495,COS!$B$8:$H$991,4,FALSE)</f>
        <v>0</v>
      </c>
      <c r="Z495" s="26">
        <f t="shared" si="770"/>
        <v>0</v>
      </c>
      <c r="AA495" s="26">
        <f t="shared" ref="AA495:AA499" si="796">MIN(W495,Y495)</f>
        <v>0</v>
      </c>
      <c r="AB495" s="33">
        <f t="shared" ref="AB495" si="797">AA495*DAY($C495)*86400/43560/1000*IF(MONTH($C495)=8,$P$3,IF(MONTH($C495)=9,$P$4,IF(MONTH($C495)=10,$P$5,IF(MONTH($C495)=11,$P$6,IF(MONTH($C495)=12,$P$7,NA())))))</f>
        <v>0</v>
      </c>
    </row>
    <row r="496" spans="1:28" x14ac:dyDescent="0.3">
      <c r="A496" s="32">
        <f>VLOOKUP(YEAR(C496),Flags!$A$13:$B$95,2,FALSE)</f>
        <v>1</v>
      </c>
      <c r="B496" s="24">
        <f t="shared" si="739"/>
        <v>1975</v>
      </c>
      <c r="C496" s="25">
        <v>27667</v>
      </c>
      <c r="D496" s="26"/>
      <c r="E496" s="24"/>
      <c r="F496" s="26"/>
      <c r="G496" s="24"/>
      <c r="H496" s="24"/>
      <c r="I496" s="26"/>
      <c r="J496" s="24"/>
      <c r="K496" s="26">
        <f>VLOOKUP($C496,COS!$B$8:$H$991,2,FALSE)</f>
        <v>3139.902587890625</v>
      </c>
      <c r="L496" s="24">
        <f t="shared" ref="L496" si="798">IF(AND(K496&gt;$I$7,K496&lt;$I$8),1,0)</f>
        <v>1</v>
      </c>
      <c r="M496" s="24"/>
      <c r="N496" s="26"/>
      <c r="O496" s="26"/>
      <c r="P496" s="26"/>
      <c r="Q496" s="26"/>
      <c r="R496" s="26"/>
      <c r="S496" s="26"/>
      <c r="T496" s="26"/>
      <c r="U496" s="26"/>
      <c r="V496" s="26"/>
      <c r="W496" s="26">
        <f>MAX($C$8-VLOOKUP($C496,COS!$B$8:$H$991,3,FALSE),0)</f>
        <v>84908.5556640625</v>
      </c>
      <c r="X496" s="26">
        <f t="shared" si="769"/>
        <v>5052.4099238119834</v>
      </c>
      <c r="Y496" s="26">
        <f>VLOOKUP($C496,COS!$B$8:$H$991,4,FALSE)</f>
        <v>0</v>
      </c>
      <c r="Z496" s="26">
        <f t="shared" si="770"/>
        <v>0</v>
      </c>
      <c r="AA496" s="26">
        <f t="shared" si="796"/>
        <v>0</v>
      </c>
      <c r="AB496" s="33">
        <f t="shared" si="752"/>
        <v>0</v>
      </c>
    </row>
    <row r="497" spans="1:28" x14ac:dyDescent="0.3">
      <c r="A497" s="32">
        <f>VLOOKUP(YEAR(C497),Flags!$A$13:$B$95,2,FALSE)</f>
        <v>1</v>
      </c>
      <c r="B497" s="24">
        <f t="shared" si="739"/>
        <v>1975</v>
      </c>
      <c r="C497" s="25">
        <v>27698</v>
      </c>
      <c r="D497" s="26"/>
      <c r="E497" s="24"/>
      <c r="F497" s="26"/>
      <c r="G497" s="26"/>
      <c r="H497" s="26"/>
      <c r="I497" s="26"/>
      <c r="J497" s="26"/>
      <c r="K497" s="26"/>
      <c r="L497" s="24"/>
      <c r="M497" s="24"/>
      <c r="N497" s="26"/>
      <c r="O497" s="26"/>
      <c r="P497" s="26"/>
      <c r="Q497" s="26"/>
      <c r="R497" s="26"/>
      <c r="S497" s="26"/>
      <c r="T497" s="26"/>
      <c r="U497" s="26"/>
      <c r="V497" s="26"/>
      <c r="W497" s="26">
        <f>MAX($C$9-VLOOKUP($C497,COS!$B$8:$H$991,3,FALSE),0)</f>
        <v>93899.6826171875</v>
      </c>
      <c r="X497" s="26">
        <f t="shared" si="769"/>
        <v>5773.6664353047518</v>
      </c>
      <c r="Y497" s="26">
        <f>VLOOKUP($C497,COS!$B$8:$H$991,4,FALSE)</f>
        <v>935.7257080078125</v>
      </c>
      <c r="Z497" s="26">
        <f t="shared" si="770"/>
        <v>57.535531137009293</v>
      </c>
      <c r="AA497" s="26">
        <f t="shared" si="796"/>
        <v>935.7257080078125</v>
      </c>
      <c r="AB497" s="33">
        <f t="shared" si="752"/>
        <v>57.535531137009293</v>
      </c>
    </row>
    <row r="498" spans="1:28" x14ac:dyDescent="0.3">
      <c r="A498" s="32">
        <f>VLOOKUP(YEAR(C498),Flags!$A$13:$B$95,2,FALSE)</f>
        <v>1</v>
      </c>
      <c r="B498" s="24">
        <f t="shared" si="739"/>
        <v>1975</v>
      </c>
      <c r="C498" s="25">
        <v>27728</v>
      </c>
      <c r="D498" s="26"/>
      <c r="E498" s="24"/>
      <c r="F498" s="26"/>
      <c r="G498" s="26"/>
      <c r="H498" s="26"/>
      <c r="I498" s="26"/>
      <c r="J498" s="26"/>
      <c r="K498" s="26"/>
      <c r="L498" s="24"/>
      <c r="M498" s="24"/>
      <c r="N498" s="26"/>
      <c r="O498" s="26"/>
      <c r="P498" s="26"/>
      <c r="Q498" s="26"/>
      <c r="R498" s="26"/>
      <c r="S498" s="26"/>
      <c r="T498" s="26"/>
      <c r="U498" s="26"/>
      <c r="V498" s="26"/>
      <c r="W498" s="26">
        <f>MAX($C$10-VLOOKUP($C498,COS!$B$8:$H$991,3,FALSE),0)</f>
        <v>90029.630859375</v>
      </c>
      <c r="X498" s="26">
        <f t="shared" si="769"/>
        <v>5357.1350594008263</v>
      </c>
      <c r="Y498" s="26">
        <f>VLOOKUP($C498,COS!$B$8:$H$991,4,FALSE)</f>
        <v>1105.79541015625</v>
      </c>
      <c r="Z498" s="26">
        <f t="shared" si="770"/>
        <v>65.799396306818181</v>
      </c>
      <c r="AA498" s="26">
        <f t="shared" si="796"/>
        <v>1105.79541015625</v>
      </c>
      <c r="AB498" s="33">
        <f t="shared" si="752"/>
        <v>65.799396306818181</v>
      </c>
    </row>
    <row r="499" spans="1:28" x14ac:dyDescent="0.3">
      <c r="A499" s="34">
        <f>VLOOKUP(YEAR(C499),Flags!$A$13:$B$95,2,FALSE)</f>
        <v>1</v>
      </c>
      <c r="B499" s="35">
        <f t="shared" si="739"/>
        <v>1975</v>
      </c>
      <c r="C499" s="36">
        <v>27759</v>
      </c>
      <c r="D499" s="37"/>
      <c r="E499" s="35"/>
      <c r="F499" s="37"/>
      <c r="G499" s="37"/>
      <c r="H499" s="37"/>
      <c r="I499" s="37"/>
      <c r="J499" s="37"/>
      <c r="K499" s="37"/>
      <c r="L499" s="35"/>
      <c r="M499" s="35"/>
      <c r="N499" s="37"/>
      <c r="O499" s="37"/>
      <c r="P499" s="37"/>
      <c r="Q499" s="37"/>
      <c r="R499" s="37"/>
      <c r="S499" s="37"/>
      <c r="T499" s="37"/>
      <c r="U499" s="37"/>
      <c r="V499" s="37"/>
      <c r="W499" s="37">
        <f>MAX($C$11-VLOOKUP($C499,COS!$B$8:$H$991,3,FALSE),0)</f>
        <v>96749</v>
      </c>
      <c r="X499" s="37">
        <f t="shared" si="769"/>
        <v>5948.8641322314052</v>
      </c>
      <c r="Y499" s="37">
        <f>VLOOKUP($C499,COS!$B$8:$H$991,4,FALSE)</f>
        <v>0</v>
      </c>
      <c r="Z499" s="37">
        <f t="shared" si="770"/>
        <v>0</v>
      </c>
      <c r="AA499" s="37">
        <f t="shared" si="796"/>
        <v>0</v>
      </c>
      <c r="AB499" s="38">
        <f t="shared" si="752"/>
        <v>0</v>
      </c>
    </row>
    <row r="500" spans="1:28" x14ac:dyDescent="0.3">
      <c r="A500" s="27">
        <f>VLOOKUP(YEAR(C500),Flags!$A$13:$B$95,2,FALSE)</f>
        <v>4</v>
      </c>
      <c r="B500" s="28">
        <f t="shared" si="739"/>
        <v>1976</v>
      </c>
      <c r="C500" s="29">
        <v>27880</v>
      </c>
      <c r="D500" s="30">
        <f>VLOOKUP($C500,COS!$B$8:$H$991,3,FALSE)</f>
        <v>3250</v>
      </c>
      <c r="E500" s="28">
        <f>IF(D500&gt;=IF(MONTH($C500)=4,$C$3,IF(MONTH($C500)=5,$C$4,IF(MONTH($C500)=6,$C$5,IF(MONTH($C500)=7,$C$6,"ERROR")))),1,0)</f>
        <v>0</v>
      </c>
      <c r="F500" s="30">
        <f>VLOOKUP($C500,COS!$B$8:$H$991,7,FALSE)</f>
        <v>51.587924957275391</v>
      </c>
      <c r="G500" s="28">
        <f>IF(F500&lt;=IF(MONTH($C500)=4,$F$3,IF(MONTH($C500)=5,$F$4,IF(MONTH($C500)=6,$F$5,IF(MONTH($C500)=7,$F$6,"ERROR")))),1,0)</f>
        <v>1</v>
      </c>
      <c r="H500" s="30">
        <f>IF(J500=1,D500-$C$3,0)</f>
        <v>0</v>
      </c>
      <c r="I500" s="30">
        <f t="shared" si="764"/>
        <v>0</v>
      </c>
      <c r="J500" s="28">
        <f t="shared" ref="J500:J503" si="799">IF(AND(E500=1,G500=1),1,0)</f>
        <v>0</v>
      </c>
      <c r="K500" s="30">
        <f>VLOOKUP($C500,COS!$B$8:$H$991,2,FALSE)</f>
        <v>3878.489990234375</v>
      </c>
      <c r="L500" s="28">
        <f t="shared" ref="L500" si="800">IF(K500&lt;=IF(MONTH($C500)=4,$I$3,IF(MONTH($C500)=5,$I$4,IF(MONTH($C500)=6,$I$5,IF(MONTH($C500)=7,$I$6,"ERROR")))),1,0)</f>
        <v>1</v>
      </c>
      <c r="M500" s="28">
        <f t="shared" ref="M500" si="801">VLOOKUP($A500,$L$3:$M$7,2,FALSE)</f>
        <v>1</v>
      </c>
      <c r="N500" s="30">
        <f>VLOOKUP($C500,COS!$B$8:$H$991,5,FALSE)</f>
        <v>162.41636657714844</v>
      </c>
      <c r="O500" s="30">
        <f t="shared" ref="O500:O503" si="802">N500*DAY($C500)*86400/43560/1000</f>
        <v>9.6644449533509817</v>
      </c>
      <c r="P500" s="30">
        <f>VLOOKUP($C500,COS!$B$8:$H$991,6,FALSE)</f>
        <v>525.2208251953125</v>
      </c>
      <c r="Q500" s="30">
        <f t="shared" ref="Q500:Q503" si="803">P500*DAY($C500)*86400/43560/1000</f>
        <v>31.252809433109505</v>
      </c>
      <c r="R500" s="30">
        <f>MIN(IF(MONTH($C500)=4,$S$3,IF(MONTH($C500)=5,$S$4,IF(MONTH($C500)=6,$S$5,IF(MONTH($C500)=7,$S$6,"ERROR")))),MAX(VLOOKUP($C500,COS!$B$8:$K$991,10,FALSE)-IF(MONTH($C500)=4,$Y$3,IF(MONTH($C500)=5,$Y$4,IF(MONTH($C500)=6,$Y$5,IF(MONTH($C500)=7,$Y$6,"ERROR")))),0),MAX(VLOOKUP($C500,COS!$B$8:$K$991,9,FALSE)-IF(MONTH($C500)=4,$V$3,IF(MONTH($C500)=5,$V$4,IF(MONTH($C500)=6,$V$5,IF(MONTH($C500)=7,$V$6,"ERROR"))))-VLOOKUP($C500,COS!$B$8:$K$991,6,FALSE)/2,0))</f>
        <v>1238.28173828125</v>
      </c>
      <c r="S500" s="30">
        <f t="shared" ref="S500:S503" si="804">R500*DAY($C500)*86400/43560/1000</f>
        <v>73.68288029442148</v>
      </c>
      <c r="T500" s="30">
        <f t="shared" ref="T500:T503" si="805">(O500+Q500)/2+S500</f>
        <v>94.141507487651722</v>
      </c>
      <c r="U500" s="30" t="str">
        <f>IF(VLOOKUP($C500,COS!$B$8:$I$991,8,FALSE)=1,"UWFE","IBU")</f>
        <v>UWFE</v>
      </c>
      <c r="V500" s="30">
        <f t="shared" ref="V500" si="806">MIN(IF(IF($AA$3=2,AND(E500=1,G500=1,L500=1,L505=1,M500=1,U500="IBU"),AND(E500=1,G500=1,L500=1,L505=1,M500=1)),T500,0),I500)</f>
        <v>0</v>
      </c>
      <c r="W500" s="30"/>
      <c r="X500" s="30"/>
      <c r="Y500" s="30"/>
      <c r="Z500" s="30"/>
      <c r="AA500" s="30"/>
      <c r="AB500" s="31"/>
    </row>
    <row r="501" spans="1:28" x14ac:dyDescent="0.3">
      <c r="A501" s="32">
        <f>VLOOKUP(YEAR(C501),Flags!$A$13:$B$95,2,FALSE)</f>
        <v>4</v>
      </c>
      <c r="B501" s="24">
        <f t="shared" si="739"/>
        <v>1976</v>
      </c>
      <c r="C501" s="25">
        <v>27911</v>
      </c>
      <c r="D501" s="26">
        <f>VLOOKUP($C501,COS!$B$8:$H$991,3,FALSE)</f>
        <v>10081.5947265625</v>
      </c>
      <c r="E501" s="24">
        <f>IF(D501&gt;=IF(MONTH($C501)=4,$C$3,IF(MONTH($C501)=5,$C$4,IF(MONTH($C501)=6,$C$5,IF(MONTH($C501)=7,$C$6,"ERROR")))),1,0)</f>
        <v>1</v>
      </c>
      <c r="F501" s="26">
        <f>VLOOKUP($C501,COS!$B$8:$H$991,7,FALSE)</f>
        <v>51.443138122558594</v>
      </c>
      <c r="G501" s="24">
        <f>IF(F501&lt;=IF(MONTH($C501)=4,$F$3,IF(MONTH($C501)=5,$F$4,IF(MONTH($C501)=6,$F$5,IF(MONTH($C501)=7,$F$6,"ERROR")))),1,0)</f>
        <v>1</v>
      </c>
      <c r="H501" s="26">
        <f>IF(J501=1,D501-$C$4,0)</f>
        <v>4081.5947265625</v>
      </c>
      <c r="I501" s="26">
        <f t="shared" si="764"/>
        <v>250.9674774018595</v>
      </c>
      <c r="J501" s="24">
        <f t="shared" si="799"/>
        <v>1</v>
      </c>
      <c r="K501" s="26">
        <f>VLOOKUP($C501,COS!$B$8:$H$991,2,FALSE)</f>
        <v>3615.4599609375</v>
      </c>
      <c r="L501" s="24">
        <f t="shared" si="741"/>
        <v>1</v>
      </c>
      <c r="M501" s="24">
        <f t="shared" si="742"/>
        <v>1</v>
      </c>
      <c r="N501" s="26">
        <f>VLOOKUP($C501,COS!$B$8:$H$991,5,FALSE)</f>
        <v>197.63545227050781</v>
      </c>
      <c r="O501" s="26">
        <f t="shared" si="802"/>
        <v>12.152130288368415</v>
      </c>
      <c r="P501" s="26">
        <f>VLOOKUP($C501,COS!$B$8:$H$991,6,FALSE)</f>
        <v>2397.456298828125</v>
      </c>
      <c r="Q501" s="26">
        <f t="shared" si="803"/>
        <v>147.41384184529957</v>
      </c>
      <c r="R501" s="26">
        <f>MIN(IF(MONTH($C501)=4,$S$3,IF(MONTH($C501)=5,$S$4,IF(MONTH($C501)=6,$S$5,IF(MONTH($C501)=7,$S$6,"ERROR")))),MAX(VLOOKUP($C501,COS!$B$8:$K$991,10,FALSE)-IF(MONTH($C501)=4,$Y$3,IF(MONTH($C501)=5,$Y$4,IF(MONTH($C501)=6,$Y$5,IF(MONTH($C501)=7,$Y$6,"ERROR")))),0),MAX(VLOOKUP($C501,COS!$B$8:$K$991,9,FALSE)-IF(MONTH($C501)=4,$V$3,IF(MONTH($C501)=5,$V$4,IF(MONTH($C501)=6,$V$5,IF(MONTH($C501)=7,$V$6,"ERROR"))))-VLOOKUP($C501,COS!$B$8:$K$991,6,FALSE)/2,0))</f>
        <v>1500</v>
      </c>
      <c r="S501" s="26">
        <f t="shared" si="804"/>
        <v>92.231404958677686</v>
      </c>
      <c r="T501" s="26">
        <f t="shared" si="805"/>
        <v>172.01439102551169</v>
      </c>
      <c r="U501" s="26" t="str">
        <f>IF(VLOOKUP($C501,COS!$B$8:$I$991,8,FALSE)=1,"UWFE","IBU")</f>
        <v>IBU</v>
      </c>
      <c r="V501" s="26">
        <f t="shared" ref="V501" si="807">MIN(IF(IF($AA$3=2,AND(E501=1,G501=1,L501=1,L505=1,M501=1,U501="IBU"),AND(E501=1,G501=1,L501=1,L505=1,M501=1)),T501,0),I501)</f>
        <v>172.01439102551169</v>
      </c>
      <c r="W501" s="26"/>
      <c r="X501" s="26"/>
      <c r="Y501" s="26"/>
      <c r="Z501" s="26"/>
      <c r="AA501" s="26"/>
      <c r="AB501" s="33"/>
    </row>
    <row r="502" spans="1:28" x14ac:dyDescent="0.3">
      <c r="A502" s="32">
        <f>VLOOKUP(YEAR(C502),Flags!$A$13:$B$95,2,FALSE)</f>
        <v>4</v>
      </c>
      <c r="B502" s="24">
        <f t="shared" si="739"/>
        <v>1976</v>
      </c>
      <c r="C502" s="25">
        <v>27941</v>
      </c>
      <c r="D502" s="26">
        <f>VLOOKUP($C502,COS!$B$8:$H$991,3,FALSE)</f>
        <v>9693.1298828125</v>
      </c>
      <c r="E502" s="24">
        <f>IF(D502&gt;=IF(MONTH($C502)=4,$C$3,IF(MONTH($C502)=5,$C$4,IF(MONTH($C502)=6,$C$5,IF(MONTH($C502)=7,$C$6,"ERROR")))),1,0)</f>
        <v>0</v>
      </c>
      <c r="F502" s="26">
        <f>VLOOKUP($C502,COS!$B$8:$H$991,7,FALSE)</f>
        <v>52.964691162109375</v>
      </c>
      <c r="G502" s="24">
        <f>IF(F502&lt;=IF(MONTH($C502)=4,$F$3,IF(MONTH($C502)=5,$F$4,IF(MONTH($C502)=6,$F$5,IF(MONTH($C502)=7,$F$6,"ERROR")))),1,0)</f>
        <v>1</v>
      </c>
      <c r="H502" s="26">
        <f>IF(J502=1,D502-$C$5,0)</f>
        <v>0</v>
      </c>
      <c r="I502" s="26">
        <f t="shared" si="764"/>
        <v>0</v>
      </c>
      <c r="J502" s="24">
        <f t="shared" si="799"/>
        <v>0</v>
      </c>
      <c r="K502" s="26">
        <f>VLOOKUP($C502,COS!$B$8:$H$991,2,FALSE)</f>
        <v>3290.374755859375</v>
      </c>
      <c r="L502" s="24">
        <f t="shared" si="741"/>
        <v>1</v>
      </c>
      <c r="M502" s="24">
        <f t="shared" si="742"/>
        <v>1</v>
      </c>
      <c r="N502" s="26">
        <f>VLOOKUP($C502,COS!$B$8:$H$991,5,FALSE)</f>
        <v>220.81330871582031</v>
      </c>
      <c r="O502" s="26">
        <f t="shared" si="802"/>
        <v>13.139304320280216</v>
      </c>
      <c r="P502" s="26">
        <f>VLOOKUP($C502,COS!$B$8:$H$991,6,FALSE)</f>
        <v>2496.31787109375</v>
      </c>
      <c r="Q502" s="26">
        <f t="shared" si="803"/>
        <v>148.54122869318184</v>
      </c>
      <c r="R502" s="26">
        <f>MIN(IF(MONTH($C502)=4,$S$3,IF(MONTH($C502)=5,$S$4,IF(MONTH($C502)=6,$S$5,IF(MONTH($C502)=7,$S$6,"ERROR")))),MAX(VLOOKUP($C502,COS!$B$8:$K$991,10,FALSE)-IF(MONTH($C502)=4,$Y$3,IF(MONTH($C502)=5,$Y$4,IF(MONTH($C502)=6,$Y$5,IF(MONTH($C502)=7,$Y$6,"ERROR")))),0),MAX(VLOOKUP($C502,COS!$B$8:$K$991,9,FALSE)-IF(MONTH($C502)=4,$V$3,IF(MONTH($C502)=5,$V$4,IF(MONTH($C502)=6,$V$5,IF(MONTH($C502)=7,$V$6,"ERROR"))))-VLOOKUP($C502,COS!$B$8:$K$991,6,FALSE)/2,0))</f>
        <v>1500</v>
      </c>
      <c r="S502" s="26">
        <f t="shared" si="804"/>
        <v>89.256198347107429</v>
      </c>
      <c r="T502" s="26">
        <f t="shared" si="805"/>
        <v>170.09646485383846</v>
      </c>
      <c r="U502" s="26" t="str">
        <f>IF(VLOOKUP($C502,COS!$B$8:$I$991,8,FALSE)=1,"UWFE","IBU")</f>
        <v>IBU</v>
      </c>
      <c r="V502" s="26">
        <f t="shared" ref="V502" si="808">MIN(IF(IF($AA$3=2,AND(E502=1,G502=1,L502=1,L505=1,M502=1,U502="IBU"),AND(E502=1,G502=1,L502=1,L505=1,M502=1)),T502,0),I502)</f>
        <v>0</v>
      </c>
      <c r="W502" s="26"/>
      <c r="X502" s="26"/>
      <c r="Y502" s="26"/>
      <c r="Z502" s="26"/>
      <c r="AA502" s="26"/>
      <c r="AB502" s="33"/>
    </row>
    <row r="503" spans="1:28" x14ac:dyDescent="0.3">
      <c r="A503" s="32">
        <f>VLOOKUP(YEAR(C503),Flags!$A$13:$B$95,2,FALSE)</f>
        <v>4</v>
      </c>
      <c r="B503" s="24">
        <f t="shared" si="739"/>
        <v>1976</v>
      </c>
      <c r="C503" s="25">
        <v>27972</v>
      </c>
      <c r="D503" s="26">
        <f>VLOOKUP($C503,COS!$B$8:$H$991,3,FALSE)</f>
        <v>13307.634765625</v>
      </c>
      <c r="E503" s="24">
        <f>IF(D503&gt;=IF(MONTH($C503)=4,$C$3,IF(MONTH($C503)=5,$C$4,IF(MONTH($C503)=6,$C$5,IF(MONTH($C503)=7,$C$6,"ERROR")))),1,0)</f>
        <v>1</v>
      </c>
      <c r="F503" s="26">
        <f>VLOOKUP($C503,COS!$B$8:$H$991,7,FALSE)</f>
        <v>54.076438903808594</v>
      </c>
      <c r="G503" s="24">
        <f>IF(F503&lt;=IF(MONTH($C503)=4,$F$3,IF(MONTH($C503)=5,$F$4,IF(MONTH($C503)=6,$F$5,IF(MONTH($C503)=7,$F$6,"ERROR")))),1,0)</f>
        <v>0</v>
      </c>
      <c r="H503" s="26">
        <f>IF(J503=1,D503-$C$6,0)</f>
        <v>0</v>
      </c>
      <c r="I503" s="26">
        <f t="shared" si="764"/>
        <v>0</v>
      </c>
      <c r="J503" s="24">
        <f t="shared" si="799"/>
        <v>0</v>
      </c>
      <c r="K503" s="26">
        <f>VLOOKUP($C503,COS!$B$8:$H$991,2,FALSE)</f>
        <v>2839.34033203125</v>
      </c>
      <c r="L503" s="24">
        <f t="shared" si="741"/>
        <v>1</v>
      </c>
      <c r="M503" s="24">
        <f t="shared" si="742"/>
        <v>1</v>
      </c>
      <c r="N503" s="26">
        <f>VLOOKUP($C503,COS!$B$8:$H$991,5,FALSE)</f>
        <v>243.29853820800781</v>
      </c>
      <c r="O503" s="26">
        <f t="shared" si="802"/>
        <v>14.959844002211391</v>
      </c>
      <c r="P503" s="26">
        <f>VLOOKUP($C503,COS!$B$8:$H$991,6,FALSE)</f>
        <v>2326.644775390625</v>
      </c>
      <c r="Q503" s="26">
        <f t="shared" si="803"/>
        <v>143.05981098269626</v>
      </c>
      <c r="R503" s="26">
        <f>MIN(IF(MONTH($C503)=4,$S$3,IF(MONTH($C503)=5,$S$4,IF(MONTH($C503)=6,$S$5,IF(MONTH($C503)=7,$S$6,"ERROR")))),MAX(VLOOKUP($C503,COS!$B$8:$K$991,10,FALSE)-IF(MONTH($C503)=4,$Y$3,IF(MONTH($C503)=5,$Y$4,IF(MONTH($C503)=6,$Y$5,IF(MONTH($C503)=7,$Y$6,"ERROR")))),0),MAX(VLOOKUP($C503,COS!$B$8:$K$991,9,FALSE)-IF(MONTH($C503)=4,$V$3,IF(MONTH($C503)=5,$V$4,IF(MONTH($C503)=6,$V$5,IF(MONTH($C503)=7,$V$6,"ERROR"))))-VLOOKUP($C503,COS!$B$8:$K$991,6,FALSE)/2,0))</f>
        <v>1500</v>
      </c>
      <c r="S503" s="26">
        <f t="shared" si="804"/>
        <v>92.231404958677686</v>
      </c>
      <c r="T503" s="26">
        <f t="shared" si="805"/>
        <v>171.24123245113151</v>
      </c>
      <c r="U503" s="26" t="str">
        <f>IF(VLOOKUP($C503,COS!$B$8:$I$991,8,FALSE)=1,"UWFE","IBU")</f>
        <v>IBU</v>
      </c>
      <c r="V503" s="26">
        <f t="shared" ref="V503" si="809">MIN(IF(IF($AA$3=2,AND(E503=1,G503=1,L503=1,L505=1,M503=1,U503="IBU"),AND(E503=1,G503=1,L503=1,L505=1,M503=1)),T503,0),I503)</f>
        <v>0</v>
      </c>
      <c r="W503" s="26"/>
      <c r="X503" s="26"/>
      <c r="Y503" s="26"/>
      <c r="Z503" s="26"/>
      <c r="AA503" s="26"/>
      <c r="AB503" s="33"/>
    </row>
    <row r="504" spans="1:28" x14ac:dyDescent="0.3">
      <c r="A504" s="32">
        <f>VLOOKUP(YEAR(C504),Flags!$A$13:$B$95,2,FALSE)</f>
        <v>4</v>
      </c>
      <c r="B504" s="24">
        <f t="shared" si="739"/>
        <v>1976</v>
      </c>
      <c r="C504" s="25">
        <v>28003</v>
      </c>
      <c r="D504" s="26"/>
      <c r="E504" s="24"/>
      <c r="F504" s="26"/>
      <c r="G504" s="24"/>
      <c r="H504" s="24"/>
      <c r="I504" s="26"/>
      <c r="J504" s="24"/>
      <c r="K504" s="26"/>
      <c r="L504" s="24"/>
      <c r="M504" s="24"/>
      <c r="N504" s="26"/>
      <c r="O504" s="26"/>
      <c r="P504" s="26"/>
      <c r="Q504" s="26"/>
      <c r="R504" s="26"/>
      <c r="S504" s="26"/>
      <c r="T504" s="26"/>
      <c r="U504" s="26"/>
      <c r="V504" s="26"/>
      <c r="W504" s="26">
        <f>MAX($C$7-VLOOKUP($C504,COS!$B$8:$H$991,3,FALSE),0)</f>
        <v>93360.21484375</v>
      </c>
      <c r="X504" s="26">
        <f t="shared" si="769"/>
        <v>5740.4958548553714</v>
      </c>
      <c r="Y504" s="26">
        <f>VLOOKUP($C504,COS!$B$8:$H$991,4,FALSE)</f>
        <v>1948.8914794921875</v>
      </c>
      <c r="Z504" s="26">
        <f t="shared" si="770"/>
        <v>119.83266617704028</v>
      </c>
      <c r="AA504" s="26">
        <f t="shared" ref="AA504:AA508" si="810">MIN(W504,Y504)</f>
        <v>1948.8914794921875</v>
      </c>
      <c r="AB504" s="33">
        <f t="shared" ref="AB504" si="811">AA504*DAY($C504)*86400/43560/1000*IF(MONTH($C504)=8,$P$3,IF(MONTH($C504)=9,$P$4,IF(MONTH($C504)=10,$P$5,IF(MONTH($C504)=11,$P$6,IF(MONTH($C504)=12,$P$7,NA())))))</f>
        <v>119.83266617704028</v>
      </c>
    </row>
    <row r="505" spans="1:28" x14ac:dyDescent="0.3">
      <c r="A505" s="32">
        <f>VLOOKUP(YEAR(C505),Flags!$A$13:$B$95,2,FALSE)</f>
        <v>4</v>
      </c>
      <c r="B505" s="24">
        <f t="shared" si="739"/>
        <v>1976</v>
      </c>
      <c r="C505" s="25">
        <v>28033</v>
      </c>
      <c r="D505" s="26"/>
      <c r="E505" s="24"/>
      <c r="F505" s="26"/>
      <c r="G505" s="24"/>
      <c r="H505" s="24"/>
      <c r="I505" s="26"/>
      <c r="J505" s="24"/>
      <c r="K505" s="26">
        <f>VLOOKUP($C505,COS!$B$8:$H$991,2,FALSE)</f>
        <v>2776.3486328125</v>
      </c>
      <c r="L505" s="24">
        <f t="shared" ref="L505" si="812">IF(AND(K505&gt;$I$7,K505&lt;$I$8),1,0)</f>
        <v>1</v>
      </c>
      <c r="M505" s="24"/>
      <c r="N505" s="26"/>
      <c r="O505" s="26"/>
      <c r="P505" s="26"/>
      <c r="Q505" s="26"/>
      <c r="R505" s="26"/>
      <c r="S505" s="26"/>
      <c r="T505" s="26"/>
      <c r="U505" s="26"/>
      <c r="V505" s="26"/>
      <c r="W505" s="26">
        <f>MAX($C$8-VLOOKUP($C505,COS!$B$8:$H$991,3,FALSE),0)</f>
        <v>95118.068359375</v>
      </c>
      <c r="X505" s="26">
        <f t="shared" si="769"/>
        <v>5659.9181172520657</v>
      </c>
      <c r="Y505" s="26">
        <f>VLOOKUP($C505,COS!$B$8:$H$991,4,FALSE)</f>
        <v>1649.7568359375</v>
      </c>
      <c r="Z505" s="26">
        <f t="shared" si="770"/>
        <v>98.167348915289253</v>
      </c>
      <c r="AA505" s="26">
        <f t="shared" si="810"/>
        <v>1649.7568359375</v>
      </c>
      <c r="AB505" s="33">
        <f t="shared" si="752"/>
        <v>98.167348915289253</v>
      </c>
    </row>
    <row r="506" spans="1:28" x14ac:dyDescent="0.3">
      <c r="A506" s="32">
        <f>VLOOKUP(YEAR(C506),Flags!$A$13:$B$95,2,FALSE)</f>
        <v>4</v>
      </c>
      <c r="B506" s="24">
        <f t="shared" si="739"/>
        <v>1976</v>
      </c>
      <c r="C506" s="25">
        <v>28064</v>
      </c>
      <c r="D506" s="26"/>
      <c r="E506" s="24"/>
      <c r="F506" s="26"/>
      <c r="G506" s="26"/>
      <c r="H506" s="26"/>
      <c r="I506" s="26"/>
      <c r="J506" s="26"/>
      <c r="K506" s="26"/>
      <c r="L506" s="24"/>
      <c r="M506" s="24"/>
      <c r="N506" s="26"/>
      <c r="O506" s="26"/>
      <c r="P506" s="26"/>
      <c r="Q506" s="26"/>
      <c r="R506" s="26"/>
      <c r="S506" s="26"/>
      <c r="T506" s="26"/>
      <c r="U506" s="26"/>
      <c r="V506" s="26"/>
      <c r="W506" s="26">
        <f>MAX($C$9-VLOOKUP($C506,COS!$B$8:$H$991,3,FALSE),0)</f>
        <v>92269.14697265625</v>
      </c>
      <c r="X506" s="26">
        <f t="shared" si="769"/>
        <v>5673.4087064178721</v>
      </c>
      <c r="Y506" s="26">
        <f>VLOOKUP($C506,COS!$B$8:$H$991,4,FALSE)</f>
        <v>1735.9190673828125</v>
      </c>
      <c r="Z506" s="26">
        <f t="shared" si="770"/>
        <v>106.73750298618285</v>
      </c>
      <c r="AA506" s="26">
        <f t="shared" si="810"/>
        <v>1735.9190673828125</v>
      </c>
      <c r="AB506" s="33">
        <f t="shared" si="752"/>
        <v>106.73750298618285</v>
      </c>
    </row>
    <row r="507" spans="1:28" x14ac:dyDescent="0.3">
      <c r="A507" s="32">
        <f>VLOOKUP(YEAR(C507),Flags!$A$13:$B$95,2,FALSE)</f>
        <v>4</v>
      </c>
      <c r="B507" s="24">
        <f t="shared" si="739"/>
        <v>1976</v>
      </c>
      <c r="C507" s="25">
        <v>28094</v>
      </c>
      <c r="D507" s="26"/>
      <c r="E507" s="24"/>
      <c r="F507" s="26"/>
      <c r="G507" s="26"/>
      <c r="H507" s="26"/>
      <c r="I507" s="26"/>
      <c r="J507" s="26"/>
      <c r="K507" s="26"/>
      <c r="L507" s="24"/>
      <c r="M507" s="24"/>
      <c r="N507" s="26"/>
      <c r="O507" s="26"/>
      <c r="P507" s="26"/>
      <c r="Q507" s="26"/>
      <c r="R507" s="26"/>
      <c r="S507" s="26"/>
      <c r="T507" s="26"/>
      <c r="U507" s="26"/>
      <c r="V507" s="26"/>
      <c r="W507" s="26">
        <f>MAX($C$10-VLOOKUP($C507,COS!$B$8:$H$991,3,FALSE),0)</f>
        <v>92605.25439453125</v>
      </c>
      <c r="X507" s="26">
        <f t="shared" si="769"/>
        <v>5510.3953028150827</v>
      </c>
      <c r="Y507" s="26">
        <f>VLOOKUP($C507,COS!$B$8:$H$991,4,FALSE)</f>
        <v>1444.778564453125</v>
      </c>
      <c r="Z507" s="26">
        <f t="shared" si="770"/>
        <v>85.970294744318181</v>
      </c>
      <c r="AA507" s="26">
        <f t="shared" si="810"/>
        <v>1444.778564453125</v>
      </c>
      <c r="AB507" s="33">
        <f t="shared" si="752"/>
        <v>85.970294744318181</v>
      </c>
    </row>
    <row r="508" spans="1:28" x14ac:dyDescent="0.3">
      <c r="A508" s="34">
        <f>VLOOKUP(YEAR(C508),Flags!$A$13:$B$95,2,FALSE)</f>
        <v>4</v>
      </c>
      <c r="B508" s="35">
        <f t="shared" si="739"/>
        <v>1976</v>
      </c>
      <c r="C508" s="36">
        <v>28125</v>
      </c>
      <c r="D508" s="37"/>
      <c r="E508" s="35"/>
      <c r="F508" s="37"/>
      <c r="G508" s="37"/>
      <c r="H508" s="37"/>
      <c r="I508" s="37"/>
      <c r="J508" s="37"/>
      <c r="K508" s="37"/>
      <c r="L508" s="35"/>
      <c r="M508" s="35"/>
      <c r="N508" s="37"/>
      <c r="O508" s="37"/>
      <c r="P508" s="37"/>
      <c r="Q508" s="37"/>
      <c r="R508" s="37"/>
      <c r="S508" s="37"/>
      <c r="T508" s="37"/>
      <c r="U508" s="37"/>
      <c r="V508" s="37"/>
      <c r="W508" s="37">
        <f>MAX($C$11-VLOOKUP($C508,COS!$B$8:$H$991,3,FALSE),0)</f>
        <v>94396.86181640625</v>
      </c>
      <c r="X508" s="37">
        <f t="shared" si="769"/>
        <v>5804.2367926782026</v>
      </c>
      <c r="Y508" s="37">
        <f>VLOOKUP($C508,COS!$B$8:$H$991,4,FALSE)</f>
        <v>2446.426025390625</v>
      </c>
      <c r="Z508" s="37">
        <f t="shared" si="770"/>
        <v>150.42487296616736</v>
      </c>
      <c r="AA508" s="37">
        <f t="shared" si="810"/>
        <v>2446.426025390625</v>
      </c>
      <c r="AB508" s="38">
        <f t="shared" si="752"/>
        <v>150.42487296616736</v>
      </c>
    </row>
    <row r="509" spans="1:28" x14ac:dyDescent="0.3">
      <c r="A509" s="27">
        <f>VLOOKUP(YEAR(C509),Flags!$A$13:$B$95,2,FALSE)</f>
        <v>5</v>
      </c>
      <c r="B509" s="28">
        <f t="shared" si="739"/>
        <v>1977</v>
      </c>
      <c r="C509" s="29">
        <v>28245</v>
      </c>
      <c r="D509" s="30">
        <f>VLOOKUP($C509,COS!$B$8:$H$991,3,FALSE)</f>
        <v>7071.7509765625</v>
      </c>
      <c r="E509" s="28">
        <f>IF(D509&gt;=IF(MONTH($C509)=4,$C$3,IF(MONTH($C509)=5,$C$4,IF(MONTH($C509)=6,$C$5,IF(MONTH($C509)=7,$C$6,"ERROR")))),1,0)</f>
        <v>1</v>
      </c>
      <c r="F509" s="30">
        <f>VLOOKUP($C509,COS!$B$8:$H$991,7,FALSE)</f>
        <v>50.791873931884766</v>
      </c>
      <c r="G509" s="28">
        <f>IF(F509&lt;=IF(MONTH($C509)=4,$F$3,IF(MONTH($C509)=5,$F$4,IF(MONTH($C509)=6,$F$5,IF(MONTH($C509)=7,$F$6,"ERROR")))),1,0)</f>
        <v>1</v>
      </c>
      <c r="H509" s="30">
        <f>IF(J509=1,D509-$C$3,0)</f>
        <v>1071.7509765625</v>
      </c>
      <c r="I509" s="30">
        <f t="shared" si="764"/>
        <v>63.773611828512394</v>
      </c>
      <c r="J509" s="28">
        <f t="shared" ref="J509:J512" si="813">IF(AND(E509=1,G509=1),1,0)</f>
        <v>1</v>
      </c>
      <c r="K509" s="30">
        <f>VLOOKUP($C509,COS!$B$8:$H$991,2,FALSE)</f>
        <v>1944.6558837890625</v>
      </c>
      <c r="L509" s="28">
        <f t="shared" ref="L509" si="814">IF(K509&lt;=IF(MONTH($C509)=4,$I$3,IF(MONTH($C509)=5,$I$4,IF(MONTH($C509)=6,$I$5,IF(MONTH($C509)=7,$I$6,"ERROR")))),1,0)</f>
        <v>1</v>
      </c>
      <c r="M509" s="28">
        <f t="shared" ref="M509" si="815">VLOOKUP($A509,$L$3:$M$7,2,FALSE)</f>
        <v>1</v>
      </c>
      <c r="N509" s="30">
        <f>VLOOKUP($C509,COS!$B$8:$H$991,5,FALSE)</f>
        <v>201.60958862304688</v>
      </c>
      <c r="O509" s="30">
        <f t="shared" ref="O509:O512" si="816">N509*DAY($C509)*86400/43560/1000</f>
        <v>11.996603620544938</v>
      </c>
      <c r="P509" s="30">
        <f>VLOOKUP($C509,COS!$B$8:$H$991,6,FALSE)</f>
        <v>581.802490234375</v>
      </c>
      <c r="Q509" s="30">
        <f t="shared" ref="Q509:Q512" si="817">P509*DAY($C509)*86400/43560/1000</f>
        <v>34.619652311466943</v>
      </c>
      <c r="R509" s="30">
        <f>MIN(IF(MONTH($C509)=4,$S$3,IF(MONTH($C509)=5,$S$4,IF(MONTH($C509)=6,$S$5,IF(MONTH($C509)=7,$S$6,"ERROR")))),MAX(VLOOKUP($C509,COS!$B$8:$K$991,10,FALSE)-IF(MONTH($C509)=4,$Y$3,IF(MONTH($C509)=5,$Y$4,IF(MONTH($C509)=6,$Y$5,IF(MONTH($C509)=7,$Y$6,"ERROR")))),0),MAX(VLOOKUP($C509,COS!$B$8:$K$991,9,FALSE)-IF(MONTH($C509)=4,$V$3,IF(MONTH($C509)=5,$V$4,IF(MONTH($C509)=6,$V$5,IF(MONTH($C509)=7,$V$6,"ERROR"))))-VLOOKUP($C509,COS!$B$8:$K$991,6,FALSE)/2,0))</f>
        <v>1500</v>
      </c>
      <c r="S509" s="30">
        <f t="shared" ref="S509:S512" si="818">R509*DAY($C509)*86400/43560/1000</f>
        <v>89.256198347107429</v>
      </c>
      <c r="T509" s="30">
        <f t="shared" ref="T509:T512" si="819">(O509+Q509)/2+S509</f>
        <v>112.56432631311337</v>
      </c>
      <c r="U509" s="30" t="str">
        <f>IF(VLOOKUP($C509,COS!$B$8:$I$991,8,FALSE)=1,"UWFE","IBU")</f>
        <v>IBU</v>
      </c>
      <c r="V509" s="30">
        <f t="shared" ref="V509" si="820">MIN(IF(IF($AA$3=2,AND(E509=1,G509=1,L509=1,L514=1,M509=1,U509="IBU"),AND(E509=1,G509=1,L509=1,L514=1,M509=1)),T509,0),I509)</f>
        <v>63.773611828512394</v>
      </c>
      <c r="W509" s="30"/>
      <c r="X509" s="30"/>
      <c r="Y509" s="30"/>
      <c r="Z509" s="30"/>
      <c r="AA509" s="30"/>
      <c r="AB509" s="31"/>
    </row>
    <row r="510" spans="1:28" x14ac:dyDescent="0.3">
      <c r="A510" s="32">
        <f>VLOOKUP(YEAR(C510),Flags!$A$13:$B$95,2,FALSE)</f>
        <v>5</v>
      </c>
      <c r="B510" s="24">
        <f t="shared" si="739"/>
        <v>1977</v>
      </c>
      <c r="C510" s="25">
        <v>28276</v>
      </c>
      <c r="D510" s="26">
        <f>VLOOKUP($C510,COS!$B$8:$H$991,3,FALSE)</f>
        <v>5902.6396484375</v>
      </c>
      <c r="E510" s="24">
        <f>IF(D510&gt;=IF(MONTH($C510)=4,$C$3,IF(MONTH($C510)=5,$C$4,IF(MONTH($C510)=6,$C$5,IF(MONTH($C510)=7,$C$6,"ERROR")))),1,0)</f>
        <v>0</v>
      </c>
      <c r="F510" s="26">
        <f>VLOOKUP($C510,COS!$B$8:$H$991,7,FALSE)</f>
        <v>52.327152252197266</v>
      </c>
      <c r="G510" s="24">
        <f>IF(F510&lt;=IF(MONTH($C510)=4,$F$3,IF(MONTH($C510)=5,$F$4,IF(MONTH($C510)=6,$F$5,IF(MONTH($C510)=7,$F$6,"ERROR")))),1,0)</f>
        <v>1</v>
      </c>
      <c r="H510" s="26">
        <f>IF(J510=1,D510-$C$4,0)</f>
        <v>0</v>
      </c>
      <c r="I510" s="26">
        <f t="shared" si="764"/>
        <v>0</v>
      </c>
      <c r="J510" s="24">
        <f t="shared" si="813"/>
        <v>0</v>
      </c>
      <c r="K510" s="26">
        <f>VLOOKUP($C510,COS!$B$8:$H$991,2,FALSE)</f>
        <v>1775.2607421875</v>
      </c>
      <c r="L510" s="24">
        <f t="shared" si="741"/>
        <v>1</v>
      </c>
      <c r="M510" s="24">
        <f t="shared" si="742"/>
        <v>1</v>
      </c>
      <c r="N510" s="26">
        <f>VLOOKUP($C510,COS!$B$8:$H$991,5,FALSE)</f>
        <v>129.15513610839844</v>
      </c>
      <c r="O510" s="26">
        <f t="shared" si="816"/>
        <v>7.941439773937887</v>
      </c>
      <c r="P510" s="26">
        <f>VLOOKUP($C510,COS!$B$8:$H$991,6,FALSE)</f>
        <v>1768.8984375</v>
      </c>
      <c r="Q510" s="26">
        <f t="shared" si="817"/>
        <v>108.76532541322314</v>
      </c>
      <c r="R510" s="26">
        <f>MIN(IF(MONTH($C510)=4,$S$3,IF(MONTH($C510)=5,$S$4,IF(MONTH($C510)=6,$S$5,IF(MONTH($C510)=7,$S$6,"ERROR")))),MAX(VLOOKUP($C510,COS!$B$8:$K$991,10,FALSE)-IF(MONTH($C510)=4,$Y$3,IF(MONTH($C510)=5,$Y$4,IF(MONTH($C510)=6,$Y$5,IF(MONTH($C510)=7,$Y$6,"ERROR")))),0),MAX(VLOOKUP($C510,COS!$B$8:$K$991,9,FALSE)-IF(MONTH($C510)=4,$V$3,IF(MONTH($C510)=5,$V$4,IF(MONTH($C510)=6,$V$5,IF(MONTH($C510)=7,$V$6,"ERROR"))))-VLOOKUP($C510,COS!$B$8:$K$991,6,FALSE)/2,0))</f>
        <v>1500</v>
      </c>
      <c r="S510" s="26">
        <f t="shared" si="818"/>
        <v>92.231404958677686</v>
      </c>
      <c r="T510" s="26">
        <f t="shared" si="819"/>
        <v>150.58478755225821</v>
      </c>
      <c r="U510" s="26" t="str">
        <f>IF(VLOOKUP($C510,COS!$B$8:$I$991,8,FALSE)=1,"UWFE","IBU")</f>
        <v>IBU</v>
      </c>
      <c r="V510" s="26">
        <f t="shared" ref="V510" si="821">MIN(IF(IF($AA$3=2,AND(E510=1,G510=1,L510=1,L514=1,M510=1,U510="IBU"),AND(E510=1,G510=1,L510=1,L514=1,M510=1)),T510,0),I510)</f>
        <v>0</v>
      </c>
      <c r="W510" s="26"/>
      <c r="X510" s="26"/>
      <c r="Y510" s="26"/>
      <c r="Z510" s="26"/>
      <c r="AA510" s="26"/>
      <c r="AB510" s="33"/>
    </row>
    <row r="511" spans="1:28" x14ac:dyDescent="0.3">
      <c r="A511" s="32">
        <f>VLOOKUP(YEAR(C511),Flags!$A$13:$B$95,2,FALSE)</f>
        <v>5</v>
      </c>
      <c r="B511" s="24">
        <f t="shared" si="739"/>
        <v>1977</v>
      </c>
      <c r="C511" s="25">
        <v>28306</v>
      </c>
      <c r="D511" s="26">
        <f>VLOOKUP($C511,COS!$B$8:$H$991,3,FALSE)</f>
        <v>12227.62890625</v>
      </c>
      <c r="E511" s="24">
        <f>IF(D511&gt;=IF(MONTH($C511)=4,$C$3,IF(MONTH($C511)=5,$C$4,IF(MONTH($C511)=6,$C$5,IF(MONTH($C511)=7,$C$6,"ERROR")))),1,0)</f>
        <v>1</v>
      </c>
      <c r="F511" s="26">
        <f>VLOOKUP($C511,COS!$B$8:$H$991,7,FALSE)</f>
        <v>54.287090301513672</v>
      </c>
      <c r="G511" s="24">
        <f>IF(F511&lt;=IF(MONTH($C511)=4,$F$3,IF(MONTH($C511)=5,$F$4,IF(MONTH($C511)=6,$F$5,IF(MONTH($C511)=7,$F$6,"ERROR")))),1,0)</f>
        <v>1</v>
      </c>
      <c r="H511" s="26">
        <f>IF(J511=1,D511-$C$5,0)</f>
        <v>2227.62890625</v>
      </c>
      <c r="I511" s="26">
        <f t="shared" si="764"/>
        <v>132.55312499999999</v>
      </c>
      <c r="J511" s="24">
        <f t="shared" si="813"/>
        <v>1</v>
      </c>
      <c r="K511" s="26">
        <f>VLOOKUP($C511,COS!$B$8:$H$991,2,FALSE)</f>
        <v>1227.3997802734375</v>
      </c>
      <c r="L511" s="24">
        <f t="shared" si="741"/>
        <v>1</v>
      </c>
      <c r="M511" s="24">
        <f t="shared" si="742"/>
        <v>1</v>
      </c>
      <c r="N511" s="26">
        <f>VLOOKUP($C511,COS!$B$8:$H$991,5,FALSE)</f>
        <v>215.26878356933594</v>
      </c>
      <c r="O511" s="26">
        <f t="shared" si="816"/>
        <v>12.809382162803461</v>
      </c>
      <c r="P511" s="26">
        <f>VLOOKUP($C511,COS!$B$8:$H$991,6,FALSE)</f>
        <v>2477.72265625</v>
      </c>
      <c r="Q511" s="26">
        <f t="shared" si="817"/>
        <v>147.43473657024794</v>
      </c>
      <c r="R511" s="26">
        <f>MIN(IF(MONTH($C511)=4,$S$3,IF(MONTH($C511)=5,$S$4,IF(MONTH($C511)=6,$S$5,IF(MONTH($C511)=7,$S$6,"ERROR")))),MAX(VLOOKUP($C511,COS!$B$8:$K$991,10,FALSE)-IF(MONTH($C511)=4,$Y$3,IF(MONTH($C511)=5,$Y$4,IF(MONTH($C511)=6,$Y$5,IF(MONTH($C511)=7,$Y$6,"ERROR")))),0),MAX(VLOOKUP($C511,COS!$B$8:$K$991,9,FALSE)-IF(MONTH($C511)=4,$V$3,IF(MONTH($C511)=5,$V$4,IF(MONTH($C511)=6,$V$5,IF(MONTH($C511)=7,$V$6,"ERROR"))))-VLOOKUP($C511,COS!$B$8:$K$991,6,FALSE)/2,0))</f>
        <v>1500</v>
      </c>
      <c r="S511" s="26">
        <f t="shared" si="818"/>
        <v>89.256198347107429</v>
      </c>
      <c r="T511" s="26">
        <f t="shared" si="819"/>
        <v>169.37825771363313</v>
      </c>
      <c r="U511" s="26" t="str">
        <f>IF(VLOOKUP($C511,COS!$B$8:$I$991,8,FALSE)=1,"UWFE","IBU")</f>
        <v>IBU</v>
      </c>
      <c r="V511" s="26">
        <f t="shared" ref="V511" si="822">MIN(IF(IF($AA$3=2,AND(E511=1,G511=1,L511=1,L514=1,M511=1,U511="IBU"),AND(E511=1,G511=1,L511=1,L514=1,M511=1)),T511,0),I511)</f>
        <v>132.55312499999999</v>
      </c>
      <c r="W511" s="26"/>
      <c r="X511" s="26"/>
      <c r="Y511" s="26"/>
      <c r="Z511" s="26"/>
      <c r="AA511" s="26"/>
      <c r="AB511" s="33"/>
    </row>
    <row r="512" spans="1:28" x14ac:dyDescent="0.3">
      <c r="A512" s="32">
        <f>VLOOKUP(YEAR(C512),Flags!$A$13:$B$95,2,FALSE)</f>
        <v>5</v>
      </c>
      <c r="B512" s="24">
        <f t="shared" si="739"/>
        <v>1977</v>
      </c>
      <c r="C512" s="25">
        <v>28337</v>
      </c>
      <c r="D512" s="26">
        <f>VLOOKUP($C512,COS!$B$8:$H$991,3,FALSE)</f>
        <v>12847.9814453125</v>
      </c>
      <c r="E512" s="24">
        <f>IF(D512&gt;=IF(MONTH($C512)=4,$C$3,IF(MONTH($C512)=5,$C$4,IF(MONTH($C512)=6,$C$5,IF(MONTH($C512)=7,$C$6,"ERROR")))),1,0)</f>
        <v>1</v>
      </c>
      <c r="F512" s="26">
        <f>VLOOKUP($C512,COS!$B$8:$H$991,7,FALSE)</f>
        <v>56.79901123046875</v>
      </c>
      <c r="G512" s="24">
        <f>IF(F512&lt;=IF(MONTH($C512)=4,$F$3,IF(MONTH($C512)=5,$F$4,IF(MONTH($C512)=6,$F$5,IF(MONTH($C512)=7,$F$6,"ERROR")))),1,0)</f>
        <v>0</v>
      </c>
      <c r="H512" s="26">
        <f>IF(J512=1,D512-$C$6,0)</f>
        <v>0</v>
      </c>
      <c r="I512" s="26">
        <f t="shared" si="764"/>
        <v>0</v>
      </c>
      <c r="J512" s="24">
        <f t="shared" si="813"/>
        <v>0</v>
      </c>
      <c r="K512" s="26">
        <f>VLOOKUP($C512,COS!$B$8:$H$991,2,FALSE)</f>
        <v>674.0113525390625</v>
      </c>
      <c r="L512" s="24">
        <f t="shared" si="741"/>
        <v>1</v>
      </c>
      <c r="M512" s="24">
        <f t="shared" si="742"/>
        <v>1</v>
      </c>
      <c r="N512" s="26">
        <f>VLOOKUP($C512,COS!$B$8:$H$991,5,FALSE)</f>
        <v>236.5211181640625</v>
      </c>
      <c r="O512" s="26">
        <f t="shared" si="816"/>
        <v>14.543116687112603</v>
      </c>
      <c r="P512" s="26">
        <f>VLOOKUP($C512,COS!$B$8:$H$991,6,FALSE)</f>
        <v>2273.37158203125</v>
      </c>
      <c r="Q512" s="26">
        <f t="shared" si="817"/>
        <v>139.78417000258267</v>
      </c>
      <c r="R512" s="26">
        <f>MIN(IF(MONTH($C512)=4,$S$3,IF(MONTH($C512)=5,$S$4,IF(MONTH($C512)=6,$S$5,IF(MONTH($C512)=7,$S$6,"ERROR")))),MAX(VLOOKUP($C512,COS!$B$8:$K$991,10,FALSE)-IF(MONTH($C512)=4,$Y$3,IF(MONTH($C512)=5,$Y$4,IF(MONTH($C512)=6,$Y$5,IF(MONTH($C512)=7,$Y$6,"ERROR")))),0),MAX(VLOOKUP($C512,COS!$B$8:$K$991,9,FALSE)-IF(MONTH($C512)=4,$V$3,IF(MONTH($C512)=5,$V$4,IF(MONTH($C512)=6,$V$5,IF(MONTH($C512)=7,$V$6,"ERROR"))))-VLOOKUP($C512,COS!$B$8:$K$991,6,FALSE)/2,0))</f>
        <v>1500</v>
      </c>
      <c r="S512" s="26">
        <f t="shared" si="818"/>
        <v>92.231404958677686</v>
      </c>
      <c r="T512" s="26">
        <f t="shared" si="819"/>
        <v>169.39504830352533</v>
      </c>
      <c r="U512" s="26" t="str">
        <f>IF(VLOOKUP($C512,COS!$B$8:$I$991,8,FALSE)=1,"UWFE","IBU")</f>
        <v>IBU</v>
      </c>
      <c r="V512" s="26">
        <f t="shared" ref="V512" si="823">MIN(IF(IF($AA$3=2,AND(E512=1,G512=1,L512=1,L514=1,M512=1,U512="IBU"),AND(E512=1,G512=1,L512=1,L514=1,M512=1)),T512,0),I512)</f>
        <v>0</v>
      </c>
      <c r="W512" s="26"/>
      <c r="X512" s="26"/>
      <c r="Y512" s="26"/>
      <c r="Z512" s="26"/>
      <c r="AA512" s="26"/>
      <c r="AB512" s="33"/>
    </row>
    <row r="513" spans="1:28" x14ac:dyDescent="0.3">
      <c r="A513" s="32">
        <f>VLOOKUP(YEAR(C513),Flags!$A$13:$B$95,2,FALSE)</f>
        <v>5</v>
      </c>
      <c r="B513" s="24">
        <f t="shared" si="739"/>
        <v>1977</v>
      </c>
      <c r="C513" s="25">
        <v>28368</v>
      </c>
      <c r="D513" s="26"/>
      <c r="E513" s="24"/>
      <c r="F513" s="26"/>
      <c r="G513" s="24"/>
      <c r="H513" s="24"/>
      <c r="I513" s="26"/>
      <c r="J513" s="24"/>
      <c r="K513" s="26"/>
      <c r="L513" s="24"/>
      <c r="M513" s="24"/>
      <c r="N513" s="26"/>
      <c r="O513" s="26"/>
      <c r="P513" s="26"/>
      <c r="Q513" s="26"/>
      <c r="R513" s="26"/>
      <c r="S513" s="26"/>
      <c r="T513" s="26"/>
      <c r="U513" s="26"/>
      <c r="V513" s="26"/>
      <c r="W513" s="26">
        <f>MAX($C$7-VLOOKUP($C513,COS!$B$8:$H$991,3,FALSE),0)</f>
        <v>90811.39453125</v>
      </c>
      <c r="X513" s="26">
        <f t="shared" si="769"/>
        <v>5583.7750025826454</v>
      </c>
      <c r="Y513" s="26">
        <f>VLOOKUP($C513,COS!$B$8:$H$991,4,FALSE)</f>
        <v>3103.3232421875</v>
      </c>
      <c r="Z513" s="26">
        <f t="shared" si="770"/>
        <v>190.81590844524794</v>
      </c>
      <c r="AA513" s="26">
        <f t="shared" ref="AA513:AA517" si="824">MIN(W513,Y513)</f>
        <v>3103.3232421875</v>
      </c>
      <c r="AB513" s="33">
        <f t="shared" ref="AB513" si="825">AA513*DAY($C513)*86400/43560/1000*IF(MONTH($C513)=8,$P$3,IF(MONTH($C513)=9,$P$4,IF(MONTH($C513)=10,$P$5,IF(MONTH($C513)=11,$P$6,IF(MONTH($C513)=12,$P$7,NA())))))</f>
        <v>190.81590844524794</v>
      </c>
    </row>
    <row r="514" spans="1:28" x14ac:dyDescent="0.3">
      <c r="A514" s="32">
        <f>VLOOKUP(YEAR(C514),Flags!$A$13:$B$95,2,FALSE)</f>
        <v>5</v>
      </c>
      <c r="B514" s="24">
        <f t="shared" si="739"/>
        <v>1977</v>
      </c>
      <c r="C514" s="25">
        <v>28398</v>
      </c>
      <c r="D514" s="26"/>
      <c r="E514" s="24"/>
      <c r="F514" s="26"/>
      <c r="G514" s="24"/>
      <c r="H514" s="24"/>
      <c r="I514" s="26"/>
      <c r="J514" s="24"/>
      <c r="K514" s="26">
        <f>VLOOKUP($C514,COS!$B$8:$H$991,2,FALSE)</f>
        <v>550</v>
      </c>
      <c r="L514" s="24">
        <f t="shared" ref="L514" si="826">IF(AND(K514&gt;$I$7,K514&lt;$I$8),1,0)</f>
        <v>1</v>
      </c>
      <c r="M514" s="24"/>
      <c r="N514" s="26"/>
      <c r="O514" s="26"/>
      <c r="P514" s="26"/>
      <c r="Q514" s="26"/>
      <c r="R514" s="26"/>
      <c r="S514" s="26"/>
      <c r="T514" s="26"/>
      <c r="U514" s="26"/>
      <c r="V514" s="26"/>
      <c r="W514" s="26">
        <f>MAX($C$8-VLOOKUP($C514,COS!$B$8:$H$991,3,FALSE),0)</f>
        <v>96010.7861328125</v>
      </c>
      <c r="X514" s="26">
        <f t="shared" si="769"/>
        <v>5713.0385136880168</v>
      </c>
      <c r="Y514" s="26">
        <f>VLOOKUP($C514,COS!$B$8:$H$991,4,FALSE)</f>
        <v>2002.165283203125</v>
      </c>
      <c r="Z514" s="26">
        <f t="shared" si="770"/>
        <v>119.13710776084712</v>
      </c>
      <c r="AA514" s="26">
        <f t="shared" si="824"/>
        <v>2002.165283203125</v>
      </c>
      <c r="AB514" s="33">
        <f t="shared" si="752"/>
        <v>119.13710776084712</v>
      </c>
    </row>
    <row r="515" spans="1:28" x14ac:dyDescent="0.3">
      <c r="A515" s="32">
        <f>VLOOKUP(YEAR(C515),Flags!$A$13:$B$95,2,FALSE)</f>
        <v>5</v>
      </c>
      <c r="B515" s="24">
        <f t="shared" si="739"/>
        <v>1977</v>
      </c>
      <c r="C515" s="25">
        <v>28429</v>
      </c>
      <c r="D515" s="26"/>
      <c r="E515" s="24"/>
      <c r="F515" s="26"/>
      <c r="G515" s="26"/>
      <c r="H515" s="26"/>
      <c r="I515" s="26"/>
      <c r="J515" s="26"/>
      <c r="K515" s="26"/>
      <c r="L515" s="24"/>
      <c r="M515" s="24"/>
      <c r="N515" s="26"/>
      <c r="O515" s="26"/>
      <c r="P515" s="26"/>
      <c r="Q515" s="26"/>
      <c r="R515" s="26"/>
      <c r="S515" s="26"/>
      <c r="T515" s="26"/>
      <c r="U515" s="26"/>
      <c r="V515" s="26"/>
      <c r="W515" s="26">
        <f>MAX($C$9-VLOOKUP($C515,COS!$B$8:$H$991,3,FALSE),0)</f>
        <v>93437.82080078125</v>
      </c>
      <c r="X515" s="26">
        <f t="shared" si="769"/>
        <v>5745.2676591554746</v>
      </c>
      <c r="Y515" s="26">
        <f>VLOOKUP($C515,COS!$B$8:$H$991,4,FALSE)</f>
        <v>1799.302734375</v>
      </c>
      <c r="Z515" s="26">
        <f t="shared" si="770"/>
        <v>110.63481275826447</v>
      </c>
      <c r="AA515" s="26">
        <f t="shared" si="824"/>
        <v>1799.302734375</v>
      </c>
      <c r="AB515" s="33">
        <f t="shared" si="752"/>
        <v>110.63481275826447</v>
      </c>
    </row>
    <row r="516" spans="1:28" x14ac:dyDescent="0.3">
      <c r="A516" s="32">
        <f>VLOOKUP(YEAR(C516),Flags!$A$13:$B$95,2,FALSE)</f>
        <v>5</v>
      </c>
      <c r="B516" s="24">
        <f t="shared" si="739"/>
        <v>1977</v>
      </c>
      <c r="C516" s="25">
        <v>28459</v>
      </c>
      <c r="D516" s="26"/>
      <c r="E516" s="24"/>
      <c r="F516" s="26"/>
      <c r="G516" s="26"/>
      <c r="H516" s="26"/>
      <c r="I516" s="26"/>
      <c r="J516" s="26"/>
      <c r="K516" s="26"/>
      <c r="L516" s="24"/>
      <c r="M516" s="24"/>
      <c r="N516" s="26"/>
      <c r="O516" s="26"/>
      <c r="P516" s="26"/>
      <c r="Q516" s="26"/>
      <c r="R516" s="26"/>
      <c r="S516" s="26"/>
      <c r="T516" s="26"/>
      <c r="U516" s="26"/>
      <c r="V516" s="26"/>
      <c r="W516" s="26">
        <f>MAX($C$10-VLOOKUP($C516,COS!$B$8:$H$991,3,FALSE),0)</f>
        <v>96634.680419921875</v>
      </c>
      <c r="X516" s="26">
        <f t="shared" si="769"/>
        <v>5750.1628018465908</v>
      </c>
      <c r="Y516" s="26">
        <f>VLOOKUP($C516,COS!$B$8:$H$991,4,FALSE)</f>
        <v>1647.787109375</v>
      </c>
      <c r="Z516" s="26">
        <f t="shared" si="770"/>
        <v>98.05014204545455</v>
      </c>
      <c r="AA516" s="26">
        <f t="shared" si="824"/>
        <v>1647.787109375</v>
      </c>
      <c r="AB516" s="33">
        <f t="shared" si="752"/>
        <v>98.05014204545455</v>
      </c>
    </row>
    <row r="517" spans="1:28" x14ac:dyDescent="0.3">
      <c r="A517" s="34">
        <f>VLOOKUP(YEAR(C517),Flags!$A$13:$B$95,2,FALSE)</f>
        <v>5</v>
      </c>
      <c r="B517" s="35">
        <f t="shared" si="739"/>
        <v>1977</v>
      </c>
      <c r="C517" s="36">
        <v>28490</v>
      </c>
      <c r="D517" s="37"/>
      <c r="E517" s="35"/>
      <c r="F517" s="37"/>
      <c r="G517" s="37"/>
      <c r="H517" s="37"/>
      <c r="I517" s="37"/>
      <c r="J517" s="37"/>
      <c r="K517" s="37"/>
      <c r="L517" s="35"/>
      <c r="M517" s="35"/>
      <c r="N517" s="37"/>
      <c r="O517" s="37"/>
      <c r="P517" s="37"/>
      <c r="Q517" s="37"/>
      <c r="R517" s="37"/>
      <c r="S517" s="37"/>
      <c r="T517" s="37"/>
      <c r="U517" s="37"/>
      <c r="V517" s="37"/>
      <c r="W517" s="37">
        <f>MAX($C$11-VLOOKUP($C517,COS!$B$8:$H$991,3,FALSE),0)</f>
        <v>96749</v>
      </c>
      <c r="X517" s="37">
        <f t="shared" si="769"/>
        <v>5948.8641322314052</v>
      </c>
      <c r="Y517" s="37">
        <f>VLOOKUP($C517,COS!$B$8:$H$991,4,FALSE)</f>
        <v>1898.17529296875</v>
      </c>
      <c r="Z517" s="37">
        <f t="shared" si="770"/>
        <v>116.71424941890496</v>
      </c>
      <c r="AA517" s="37">
        <f t="shared" si="824"/>
        <v>1898.17529296875</v>
      </c>
      <c r="AB517" s="38">
        <f t="shared" si="752"/>
        <v>116.71424941890496</v>
      </c>
    </row>
    <row r="518" spans="1:28" x14ac:dyDescent="0.3">
      <c r="A518" s="27">
        <f>VLOOKUP(YEAR(C518),Flags!$A$13:$B$95,2,FALSE)</f>
        <v>2</v>
      </c>
      <c r="B518" s="28">
        <f t="shared" si="739"/>
        <v>1978</v>
      </c>
      <c r="C518" s="29">
        <v>28610</v>
      </c>
      <c r="D518" s="30">
        <f>VLOOKUP($C518,COS!$B$8:$H$991,3,FALSE)</f>
        <v>5366.947265625</v>
      </c>
      <c r="E518" s="28">
        <f>IF(D518&gt;=IF(MONTH($C518)=4,$C$3,IF(MONTH($C518)=5,$C$4,IF(MONTH($C518)=6,$C$5,IF(MONTH($C518)=7,$C$6,"ERROR")))),1,0)</f>
        <v>0</v>
      </c>
      <c r="F518" s="30">
        <f>VLOOKUP($C518,COS!$B$8:$H$991,7,FALSE)</f>
        <v>47.174221038818359</v>
      </c>
      <c r="G518" s="28">
        <f>IF(F518&lt;=IF(MONTH($C518)=4,$F$3,IF(MONTH($C518)=5,$F$4,IF(MONTH($C518)=6,$F$5,IF(MONTH($C518)=7,$F$6,"ERROR")))),1,0)</f>
        <v>1</v>
      </c>
      <c r="H518" s="30">
        <f>IF(J518=1,D518-$C$3,0)</f>
        <v>0</v>
      </c>
      <c r="I518" s="30">
        <f t="shared" si="764"/>
        <v>0</v>
      </c>
      <c r="J518" s="28">
        <f t="shared" ref="J518:J521" si="827">IF(AND(E518=1,G518=1),1,0)</f>
        <v>0</v>
      </c>
      <c r="K518" s="30">
        <f>VLOOKUP($C518,COS!$B$8:$H$991,2,FALSE)</f>
        <v>4552</v>
      </c>
      <c r="L518" s="28">
        <f t="shared" ref="L518" si="828">IF(K518&lt;=IF(MONTH($C518)=4,$I$3,IF(MONTH($C518)=5,$I$4,IF(MONTH($C518)=6,$I$5,IF(MONTH($C518)=7,$I$6,"ERROR")))),1,0)</f>
        <v>1</v>
      </c>
      <c r="M518" s="28">
        <f t="shared" ref="M518" si="829">VLOOKUP($A518,$L$3:$M$7,2,FALSE)</f>
        <v>0</v>
      </c>
      <c r="N518" s="30">
        <f>VLOOKUP($C518,COS!$B$8:$H$991,5,FALSE)</f>
        <v>14.349928855895996</v>
      </c>
      <c r="O518" s="30">
        <f t="shared" ref="O518:O521" si="830">N518*DAY($C518)*86400/43560/1000</f>
        <v>0.85388006415248896</v>
      </c>
      <c r="P518" s="30">
        <f>VLOOKUP($C518,COS!$B$8:$H$991,6,FALSE)</f>
        <v>353.44631958007813</v>
      </c>
      <c r="Q518" s="30">
        <f t="shared" ref="Q518:Q521" si="831">P518*DAY($C518)*86400/43560/1000</f>
        <v>21.031516536996385</v>
      </c>
      <c r="R518" s="30">
        <f>MIN(IF(MONTH($C518)=4,$S$3,IF(MONTH($C518)=5,$S$4,IF(MONTH($C518)=6,$S$5,IF(MONTH($C518)=7,$S$6,"ERROR")))),MAX(VLOOKUP($C518,COS!$B$8:$K$991,10,FALSE)-IF(MONTH($C518)=4,$Y$3,IF(MONTH($C518)=5,$Y$4,IF(MONTH($C518)=6,$Y$5,IF(MONTH($C518)=7,$Y$6,"ERROR")))),0),MAX(VLOOKUP($C518,COS!$B$8:$K$991,9,FALSE)-IF(MONTH($C518)=4,$V$3,IF(MONTH($C518)=5,$V$4,IF(MONTH($C518)=6,$V$5,IF(MONTH($C518)=7,$V$6,"ERROR"))))-VLOOKUP($C518,COS!$B$8:$K$991,6,FALSE)/2,0))</f>
        <v>1500</v>
      </c>
      <c r="S518" s="30">
        <f t="shared" ref="S518:S521" si="832">R518*DAY($C518)*86400/43560/1000</f>
        <v>89.256198347107429</v>
      </c>
      <c r="T518" s="30">
        <f t="shared" ref="T518:T521" si="833">(O518+Q518)/2+S518</f>
        <v>100.19889664768186</v>
      </c>
      <c r="U518" s="30" t="str">
        <f>IF(VLOOKUP($C518,COS!$B$8:$I$991,8,FALSE)=1,"UWFE","IBU")</f>
        <v>UWFE</v>
      </c>
      <c r="V518" s="30">
        <f t="shared" ref="V518" si="834">MIN(IF(IF($AA$3=2,AND(E518=1,G518=1,L518=1,L523=1,M518=1,U518="IBU"),AND(E518=1,G518=1,L518=1,L523=1,M518=1)),T518,0),I518)</f>
        <v>0</v>
      </c>
      <c r="W518" s="30"/>
      <c r="X518" s="30"/>
      <c r="Y518" s="30"/>
      <c r="Z518" s="30"/>
      <c r="AA518" s="30"/>
      <c r="AB518" s="31"/>
    </row>
    <row r="519" spans="1:28" x14ac:dyDescent="0.3">
      <c r="A519" s="32">
        <f>VLOOKUP(YEAR(C519),Flags!$A$13:$B$95,2,FALSE)</f>
        <v>2</v>
      </c>
      <c r="B519" s="24">
        <f t="shared" si="739"/>
        <v>1978</v>
      </c>
      <c r="C519" s="25">
        <v>28641</v>
      </c>
      <c r="D519" s="26">
        <f>VLOOKUP($C519,COS!$B$8:$H$991,3,FALSE)</f>
        <v>8295.84765625</v>
      </c>
      <c r="E519" s="24">
        <f>IF(D519&gt;=IF(MONTH($C519)=4,$C$3,IF(MONTH($C519)=5,$C$4,IF(MONTH($C519)=6,$C$5,IF(MONTH($C519)=7,$C$6,"ERROR")))),1,0)</f>
        <v>1</v>
      </c>
      <c r="F519" s="26">
        <f>VLOOKUP($C519,COS!$B$8:$H$991,7,FALSE)</f>
        <v>48.754131317138672</v>
      </c>
      <c r="G519" s="24">
        <f>IF(F519&lt;=IF(MONTH($C519)=4,$F$3,IF(MONTH($C519)=5,$F$4,IF(MONTH($C519)=6,$F$5,IF(MONTH($C519)=7,$F$6,"ERROR")))),1,0)</f>
        <v>1</v>
      </c>
      <c r="H519" s="26">
        <f>IF(J519=1,D519-$C$4,0)</f>
        <v>2295.84765625</v>
      </c>
      <c r="I519" s="26">
        <f t="shared" si="764"/>
        <v>141.16616993801654</v>
      </c>
      <c r="J519" s="24">
        <f t="shared" si="827"/>
        <v>1</v>
      </c>
      <c r="K519" s="26">
        <f>VLOOKUP($C519,COS!$B$8:$H$991,2,FALSE)</f>
        <v>4552</v>
      </c>
      <c r="L519" s="24">
        <f t="shared" si="741"/>
        <v>1</v>
      </c>
      <c r="M519" s="24">
        <f t="shared" si="742"/>
        <v>0</v>
      </c>
      <c r="N519" s="26">
        <f>VLOOKUP($C519,COS!$B$8:$H$991,5,FALSE)</f>
        <v>802.34027099609375</v>
      </c>
      <c r="O519" s="26">
        <f t="shared" si="830"/>
        <v>49.333980299263942</v>
      </c>
      <c r="P519" s="26">
        <f>VLOOKUP($C519,COS!$B$8:$H$991,6,FALSE)</f>
        <v>2254.8779296875</v>
      </c>
      <c r="Q519" s="26">
        <f t="shared" si="831"/>
        <v>138.64703964359506</v>
      </c>
      <c r="R519" s="26">
        <f>MIN(IF(MONTH($C519)=4,$S$3,IF(MONTH($C519)=5,$S$4,IF(MONTH($C519)=6,$S$5,IF(MONTH($C519)=7,$S$6,"ERROR")))),MAX(VLOOKUP($C519,COS!$B$8:$K$991,10,FALSE)-IF(MONTH($C519)=4,$Y$3,IF(MONTH($C519)=5,$Y$4,IF(MONTH($C519)=6,$Y$5,IF(MONTH($C519)=7,$Y$6,"ERROR")))),0),MAX(VLOOKUP($C519,COS!$B$8:$K$991,9,FALSE)-IF(MONTH($C519)=4,$V$3,IF(MONTH($C519)=5,$V$4,IF(MONTH($C519)=6,$V$5,IF(MONTH($C519)=7,$V$6,"ERROR"))))-VLOOKUP($C519,COS!$B$8:$K$991,6,FALSE)/2,0))</f>
        <v>1500</v>
      </c>
      <c r="S519" s="26">
        <f t="shared" si="832"/>
        <v>92.231404958677686</v>
      </c>
      <c r="T519" s="26">
        <f t="shared" si="833"/>
        <v>186.22191493010718</v>
      </c>
      <c r="U519" s="26" t="str">
        <f>IF(VLOOKUP($C519,COS!$B$8:$I$991,8,FALSE)=1,"UWFE","IBU")</f>
        <v>UWFE</v>
      </c>
      <c r="V519" s="26">
        <f t="shared" ref="V519" si="835">MIN(IF(IF($AA$3=2,AND(E519=1,G519=1,L519=1,L523=1,M519=1,U519="IBU"),AND(E519=1,G519=1,L519=1,L523=1,M519=1)),T519,0),I519)</f>
        <v>0</v>
      </c>
      <c r="W519" s="26"/>
      <c r="X519" s="26"/>
      <c r="Y519" s="26"/>
      <c r="Z519" s="26"/>
      <c r="AA519" s="26"/>
      <c r="AB519" s="33"/>
    </row>
    <row r="520" spans="1:28" x14ac:dyDescent="0.3">
      <c r="A520" s="32">
        <f>VLOOKUP(YEAR(C520),Flags!$A$13:$B$95,2,FALSE)</f>
        <v>2</v>
      </c>
      <c r="B520" s="24">
        <f t="shared" si="739"/>
        <v>1978</v>
      </c>
      <c r="C520" s="25">
        <v>28671</v>
      </c>
      <c r="D520" s="26">
        <f>VLOOKUP($C520,COS!$B$8:$H$991,3,FALSE)</f>
        <v>9561.716796875</v>
      </c>
      <c r="E520" s="24">
        <f>IF(D520&gt;=IF(MONTH($C520)=4,$C$3,IF(MONTH($C520)=5,$C$4,IF(MONTH($C520)=6,$C$5,IF(MONTH($C520)=7,$C$6,"ERROR")))),1,0)</f>
        <v>0</v>
      </c>
      <c r="F520" s="26">
        <f>VLOOKUP($C520,COS!$B$8:$H$991,7,FALSE)</f>
        <v>49.9637451171875</v>
      </c>
      <c r="G520" s="24">
        <f>IF(F520&lt;=IF(MONTH($C520)=4,$F$3,IF(MONTH($C520)=5,$F$4,IF(MONTH($C520)=6,$F$5,IF(MONTH($C520)=7,$F$6,"ERROR")))),1,0)</f>
        <v>1</v>
      </c>
      <c r="H520" s="26">
        <f>IF(J520=1,D520-$C$5,0)</f>
        <v>0</v>
      </c>
      <c r="I520" s="26">
        <f t="shared" si="764"/>
        <v>0</v>
      </c>
      <c r="J520" s="24">
        <f t="shared" si="827"/>
        <v>0</v>
      </c>
      <c r="K520" s="26">
        <f>VLOOKUP($C520,COS!$B$8:$H$991,2,FALSE)</f>
        <v>4231.4814453125</v>
      </c>
      <c r="L520" s="24">
        <f t="shared" si="741"/>
        <v>1</v>
      </c>
      <c r="M520" s="24">
        <f t="shared" si="742"/>
        <v>0</v>
      </c>
      <c r="N520" s="26">
        <f>VLOOKUP($C520,COS!$B$8:$H$991,5,FALSE)</f>
        <v>1242.423828125</v>
      </c>
      <c r="O520" s="26">
        <f t="shared" si="830"/>
        <v>73.929351756198344</v>
      </c>
      <c r="P520" s="26">
        <f>VLOOKUP($C520,COS!$B$8:$H$991,6,FALSE)</f>
        <v>2349.44482421875</v>
      </c>
      <c r="Q520" s="26">
        <f t="shared" si="831"/>
        <v>139.80167549070248</v>
      </c>
      <c r="R520" s="26">
        <f>MIN(IF(MONTH($C520)=4,$S$3,IF(MONTH($C520)=5,$S$4,IF(MONTH($C520)=6,$S$5,IF(MONTH($C520)=7,$S$6,"ERROR")))),MAX(VLOOKUP($C520,COS!$B$8:$K$991,10,FALSE)-IF(MONTH($C520)=4,$Y$3,IF(MONTH($C520)=5,$Y$4,IF(MONTH($C520)=6,$Y$5,IF(MONTH($C520)=7,$Y$6,"ERROR")))),0),MAX(VLOOKUP($C520,COS!$B$8:$K$991,9,FALSE)-IF(MONTH($C520)=4,$V$3,IF(MONTH($C520)=5,$V$4,IF(MONTH($C520)=6,$V$5,IF(MONTH($C520)=7,$V$6,"ERROR"))))-VLOOKUP($C520,COS!$B$8:$K$991,6,FALSE)/2,0))</f>
        <v>1500</v>
      </c>
      <c r="S520" s="26">
        <f t="shared" si="832"/>
        <v>89.256198347107429</v>
      </c>
      <c r="T520" s="26">
        <f t="shared" si="833"/>
        <v>196.12171197055784</v>
      </c>
      <c r="U520" s="26" t="str">
        <f>IF(VLOOKUP($C520,COS!$B$8:$I$991,8,FALSE)=1,"UWFE","IBU")</f>
        <v>UWFE</v>
      </c>
      <c r="V520" s="26">
        <f t="shared" ref="V520" si="836">MIN(IF(IF($AA$3=2,AND(E520=1,G520=1,L520=1,L523=1,M520=1,U520="IBU"),AND(E520=1,G520=1,L520=1,L523=1,M520=1)),T520,0),I520)</f>
        <v>0</v>
      </c>
      <c r="W520" s="26"/>
      <c r="X520" s="26"/>
      <c r="Y520" s="26"/>
      <c r="Z520" s="26"/>
      <c r="AA520" s="26"/>
      <c r="AB520" s="33"/>
    </row>
    <row r="521" spans="1:28" x14ac:dyDescent="0.3">
      <c r="A521" s="32">
        <f>VLOOKUP(YEAR(C521),Flags!$A$13:$B$95,2,FALSE)</f>
        <v>2</v>
      </c>
      <c r="B521" s="24">
        <f t="shared" si="739"/>
        <v>1978</v>
      </c>
      <c r="C521" s="25">
        <v>28702</v>
      </c>
      <c r="D521" s="26">
        <f>VLOOKUP($C521,COS!$B$8:$H$991,3,FALSE)</f>
        <v>13248.9892578125</v>
      </c>
      <c r="E521" s="24">
        <f>IF(D521&gt;=IF(MONTH($C521)=4,$C$3,IF(MONTH($C521)=5,$C$4,IF(MONTH($C521)=6,$C$5,IF(MONTH($C521)=7,$C$6,"ERROR")))),1,0)</f>
        <v>1</v>
      </c>
      <c r="F521" s="26">
        <f>VLOOKUP($C521,COS!$B$8:$H$991,7,FALSE)</f>
        <v>50.877964019775391</v>
      </c>
      <c r="G521" s="24">
        <f>IF(F521&lt;=IF(MONTH($C521)=4,$F$3,IF(MONTH($C521)=5,$F$4,IF(MONTH($C521)=6,$F$5,IF(MONTH($C521)=7,$F$6,"ERROR")))),1,0)</f>
        <v>1</v>
      </c>
      <c r="H521" s="26">
        <f>IF(J521=1,D521-$C$6,0)</f>
        <v>1248.9892578125</v>
      </c>
      <c r="I521" s="26">
        <f t="shared" si="764"/>
        <v>76.797356017561981</v>
      </c>
      <c r="J521" s="24">
        <f t="shared" si="827"/>
        <v>1</v>
      </c>
      <c r="K521" s="26">
        <f>VLOOKUP($C521,COS!$B$8:$H$991,2,FALSE)</f>
        <v>3678.985107421875</v>
      </c>
      <c r="L521" s="24">
        <f t="shared" si="741"/>
        <v>1</v>
      </c>
      <c r="M521" s="24">
        <f t="shared" si="742"/>
        <v>0</v>
      </c>
      <c r="N521" s="26">
        <f>VLOOKUP($C521,COS!$B$8:$H$991,5,FALSE)</f>
        <v>1355.9876708984375</v>
      </c>
      <c r="O521" s="26">
        <f t="shared" si="830"/>
        <v>83.376431995738628</v>
      </c>
      <c r="P521" s="26">
        <f>VLOOKUP($C521,COS!$B$8:$H$991,6,FALSE)</f>
        <v>2562.892822265625</v>
      </c>
      <c r="Q521" s="26">
        <f t="shared" si="831"/>
        <v>157.58613717071282</v>
      </c>
      <c r="R521" s="26">
        <f>MIN(IF(MONTH($C521)=4,$S$3,IF(MONTH($C521)=5,$S$4,IF(MONTH($C521)=6,$S$5,IF(MONTH($C521)=7,$S$6,"ERROR")))),MAX(VLOOKUP($C521,COS!$B$8:$K$991,10,FALSE)-IF(MONTH($C521)=4,$Y$3,IF(MONTH($C521)=5,$Y$4,IF(MONTH($C521)=6,$Y$5,IF(MONTH($C521)=7,$Y$6,"ERROR")))),0),MAX(VLOOKUP($C521,COS!$B$8:$K$991,9,FALSE)-IF(MONTH($C521)=4,$V$3,IF(MONTH($C521)=5,$V$4,IF(MONTH($C521)=6,$V$5,IF(MONTH($C521)=7,$V$6,"ERROR"))))-VLOOKUP($C521,COS!$B$8:$K$991,6,FALSE)/2,0))</f>
        <v>1500</v>
      </c>
      <c r="S521" s="26">
        <f t="shared" si="832"/>
        <v>92.231404958677686</v>
      </c>
      <c r="T521" s="26">
        <f t="shared" si="833"/>
        <v>212.71268954190339</v>
      </c>
      <c r="U521" s="26" t="str">
        <f>IF(VLOOKUP($C521,COS!$B$8:$I$991,8,FALSE)=1,"UWFE","IBU")</f>
        <v>IBU</v>
      </c>
      <c r="V521" s="26">
        <f t="shared" ref="V521" si="837">MIN(IF(IF($AA$3=2,AND(E521=1,G521=1,L521=1,L523=1,M521=1,U521="IBU"),AND(E521=1,G521=1,L521=1,L523=1,M521=1)),T521,0),I521)</f>
        <v>0</v>
      </c>
      <c r="W521" s="26"/>
      <c r="X521" s="26"/>
      <c r="Y521" s="26"/>
      <c r="Z521" s="26"/>
      <c r="AA521" s="26"/>
      <c r="AB521" s="33"/>
    </row>
    <row r="522" spans="1:28" x14ac:dyDescent="0.3">
      <c r="A522" s="32">
        <f>VLOOKUP(YEAR(C522),Flags!$A$13:$B$95,2,FALSE)</f>
        <v>2</v>
      </c>
      <c r="B522" s="24">
        <f t="shared" si="739"/>
        <v>1978</v>
      </c>
      <c r="C522" s="25">
        <v>28733</v>
      </c>
      <c r="D522" s="26"/>
      <c r="E522" s="24"/>
      <c r="F522" s="26"/>
      <c r="G522" s="24"/>
      <c r="H522" s="24"/>
      <c r="I522" s="26"/>
      <c r="J522" s="24"/>
      <c r="K522" s="26"/>
      <c r="L522" s="24"/>
      <c r="M522" s="24"/>
      <c r="N522" s="26"/>
      <c r="O522" s="26"/>
      <c r="P522" s="26"/>
      <c r="Q522" s="26"/>
      <c r="R522" s="26"/>
      <c r="S522" s="26"/>
      <c r="T522" s="26"/>
      <c r="U522" s="26"/>
      <c r="V522" s="26"/>
      <c r="W522" s="26">
        <f>MAX($C$7-VLOOKUP($C522,COS!$B$8:$H$991,3,FALSE),0)</f>
        <v>90311.0869140625</v>
      </c>
      <c r="X522" s="26">
        <f t="shared" si="769"/>
        <v>5553.0122862861563</v>
      </c>
      <c r="Y522" s="26">
        <f>VLOOKUP($C522,COS!$B$8:$H$991,4,FALSE)</f>
        <v>138.08555603027344</v>
      </c>
      <c r="Z522" s="26">
        <f t="shared" si="770"/>
        <v>8.490549891448218</v>
      </c>
      <c r="AA522" s="26">
        <f t="shared" ref="AA522:AA526" si="838">MIN(W522,Y522)</f>
        <v>138.08555603027344</v>
      </c>
      <c r="AB522" s="33">
        <f t="shared" ref="AB522" si="839">AA522*DAY($C522)*86400/43560/1000*IF(MONTH($C522)=8,$P$3,IF(MONTH($C522)=9,$P$4,IF(MONTH($C522)=10,$P$5,IF(MONTH($C522)=11,$P$6,IF(MONTH($C522)=12,$P$7,NA())))))</f>
        <v>8.490549891448218</v>
      </c>
    </row>
    <row r="523" spans="1:28" x14ac:dyDescent="0.3">
      <c r="A523" s="32">
        <f>VLOOKUP(YEAR(C523),Flags!$A$13:$B$95,2,FALSE)</f>
        <v>2</v>
      </c>
      <c r="B523" s="24">
        <f t="shared" si="739"/>
        <v>1978</v>
      </c>
      <c r="C523" s="25">
        <v>28763</v>
      </c>
      <c r="D523" s="26"/>
      <c r="E523" s="24"/>
      <c r="F523" s="26"/>
      <c r="G523" s="24"/>
      <c r="H523" s="24"/>
      <c r="I523" s="26"/>
      <c r="J523" s="24"/>
      <c r="K523" s="26">
        <f>VLOOKUP($C523,COS!$B$8:$H$991,2,FALSE)</f>
        <v>3233.942626953125</v>
      </c>
      <c r="L523" s="24">
        <f t="shared" ref="L523" si="840">IF(AND(K523&gt;$I$7,K523&lt;$I$8),1,0)</f>
        <v>1</v>
      </c>
      <c r="M523" s="24"/>
      <c r="N523" s="26"/>
      <c r="O523" s="26"/>
      <c r="P523" s="26"/>
      <c r="Q523" s="26"/>
      <c r="R523" s="26"/>
      <c r="S523" s="26"/>
      <c r="T523" s="26"/>
      <c r="U523" s="26"/>
      <c r="V523" s="26"/>
      <c r="W523" s="26">
        <f>MAX($C$8-VLOOKUP($C523,COS!$B$8:$H$991,3,FALSE),0)</f>
        <v>93316.7197265625</v>
      </c>
      <c r="X523" s="26">
        <f t="shared" si="769"/>
        <v>5552.7304300103306</v>
      </c>
      <c r="Y523" s="26">
        <f>VLOOKUP($C523,COS!$B$8:$H$991,4,FALSE)</f>
        <v>124.30649566650391</v>
      </c>
      <c r="Z523" s="26">
        <f t="shared" si="770"/>
        <v>7.3967501553622164</v>
      </c>
      <c r="AA523" s="26">
        <f t="shared" si="838"/>
        <v>124.30649566650391</v>
      </c>
      <c r="AB523" s="33">
        <f t="shared" si="752"/>
        <v>7.3967501553622164</v>
      </c>
    </row>
    <row r="524" spans="1:28" x14ac:dyDescent="0.3">
      <c r="A524" s="32">
        <f>VLOOKUP(YEAR(C524),Flags!$A$13:$B$95,2,FALSE)</f>
        <v>2</v>
      </c>
      <c r="B524" s="24">
        <f t="shared" si="739"/>
        <v>1978</v>
      </c>
      <c r="C524" s="25">
        <v>28794</v>
      </c>
      <c r="D524" s="26"/>
      <c r="E524" s="24"/>
      <c r="F524" s="26"/>
      <c r="G524" s="26"/>
      <c r="H524" s="26"/>
      <c r="I524" s="26"/>
      <c r="J524" s="26"/>
      <c r="K524" s="26"/>
      <c r="L524" s="24"/>
      <c r="M524" s="24"/>
      <c r="N524" s="26"/>
      <c r="O524" s="26"/>
      <c r="P524" s="26"/>
      <c r="Q524" s="26"/>
      <c r="R524" s="26"/>
      <c r="S524" s="26"/>
      <c r="T524" s="26"/>
      <c r="U524" s="26"/>
      <c r="V524" s="26"/>
      <c r="W524" s="26">
        <f>MAX($C$9-VLOOKUP($C524,COS!$B$8:$H$991,3,FALSE),0)</f>
        <v>94237.51806640625</v>
      </c>
      <c r="X524" s="26">
        <f t="shared" si="769"/>
        <v>5794.4391273889469</v>
      </c>
      <c r="Y524" s="26">
        <f>VLOOKUP($C524,COS!$B$8:$H$991,4,FALSE)</f>
        <v>308.338623046875</v>
      </c>
      <c r="Z524" s="26">
        <f t="shared" si="770"/>
        <v>18.959002937758264</v>
      </c>
      <c r="AA524" s="26">
        <f t="shared" si="838"/>
        <v>308.338623046875</v>
      </c>
      <c r="AB524" s="33">
        <f t="shared" si="752"/>
        <v>18.959002937758264</v>
      </c>
    </row>
    <row r="525" spans="1:28" x14ac:dyDescent="0.3">
      <c r="A525" s="32">
        <f>VLOOKUP(YEAR(C525),Flags!$A$13:$B$95,2,FALSE)</f>
        <v>2</v>
      </c>
      <c r="B525" s="24">
        <f t="shared" si="739"/>
        <v>1978</v>
      </c>
      <c r="C525" s="25">
        <v>28824</v>
      </c>
      <c r="D525" s="26"/>
      <c r="E525" s="24"/>
      <c r="F525" s="26"/>
      <c r="G525" s="26"/>
      <c r="H525" s="26"/>
      <c r="I525" s="26"/>
      <c r="J525" s="26"/>
      <c r="K525" s="26"/>
      <c r="L525" s="24"/>
      <c r="M525" s="24"/>
      <c r="N525" s="26"/>
      <c r="O525" s="26"/>
      <c r="P525" s="26"/>
      <c r="Q525" s="26"/>
      <c r="R525" s="26"/>
      <c r="S525" s="26"/>
      <c r="T525" s="26"/>
      <c r="U525" s="26"/>
      <c r="V525" s="26"/>
      <c r="W525" s="26">
        <f>MAX($C$10-VLOOKUP($C525,COS!$B$8:$H$991,3,FALSE),0)</f>
        <v>90817.384765625</v>
      </c>
      <c r="X525" s="26">
        <f t="shared" si="769"/>
        <v>5404.0096720041329</v>
      </c>
      <c r="Y525" s="26">
        <f>VLOOKUP($C525,COS!$B$8:$H$991,4,FALSE)</f>
        <v>283.46884155273438</v>
      </c>
      <c r="Z525" s="26">
        <f t="shared" si="770"/>
        <v>16.867567431237088</v>
      </c>
      <c r="AA525" s="26">
        <f t="shared" si="838"/>
        <v>283.46884155273438</v>
      </c>
      <c r="AB525" s="33">
        <f t="shared" si="752"/>
        <v>16.867567431237088</v>
      </c>
    </row>
    <row r="526" spans="1:28" x14ac:dyDescent="0.3">
      <c r="A526" s="34">
        <f>VLOOKUP(YEAR(C526),Flags!$A$13:$B$95,2,FALSE)</f>
        <v>2</v>
      </c>
      <c r="B526" s="35">
        <f t="shared" si="739"/>
        <v>1978</v>
      </c>
      <c r="C526" s="36">
        <v>28855</v>
      </c>
      <c r="D526" s="37"/>
      <c r="E526" s="35"/>
      <c r="F526" s="37"/>
      <c r="G526" s="37"/>
      <c r="H526" s="37"/>
      <c r="I526" s="37"/>
      <c r="J526" s="37"/>
      <c r="K526" s="37"/>
      <c r="L526" s="35"/>
      <c r="M526" s="35"/>
      <c r="N526" s="37"/>
      <c r="O526" s="37"/>
      <c r="P526" s="37"/>
      <c r="Q526" s="37"/>
      <c r="R526" s="37"/>
      <c r="S526" s="37"/>
      <c r="T526" s="37"/>
      <c r="U526" s="37"/>
      <c r="V526" s="37"/>
      <c r="W526" s="37">
        <f>MAX($C$11-VLOOKUP($C526,COS!$B$8:$H$991,3,FALSE),0)</f>
        <v>95083.77880859375</v>
      </c>
      <c r="X526" s="37">
        <f t="shared" si="769"/>
        <v>5846.4736721978306</v>
      </c>
      <c r="Y526" s="37">
        <f>VLOOKUP($C526,COS!$B$8:$H$991,4,FALSE)</f>
        <v>569.04254150390625</v>
      </c>
      <c r="Z526" s="37">
        <f t="shared" si="770"/>
        <v>34.989062056107954</v>
      </c>
      <c r="AA526" s="37">
        <f t="shared" si="838"/>
        <v>569.04254150390625</v>
      </c>
      <c r="AB526" s="38">
        <f t="shared" si="752"/>
        <v>34.989062056107954</v>
      </c>
    </row>
    <row r="527" spans="1:28" x14ac:dyDescent="0.3">
      <c r="A527" s="27">
        <f>VLOOKUP(YEAR(C527),Flags!$A$13:$B$95,2,FALSE)</f>
        <v>4</v>
      </c>
      <c r="B527" s="28">
        <f t="shared" ref="B527:B590" si="841">YEAR(C527)</f>
        <v>1979</v>
      </c>
      <c r="C527" s="29">
        <v>28975</v>
      </c>
      <c r="D527" s="30">
        <f>VLOOKUP($C527,COS!$B$8:$H$991,3,FALSE)</f>
        <v>3250</v>
      </c>
      <c r="E527" s="28">
        <f>IF(D527&gt;=IF(MONTH($C527)=4,$C$3,IF(MONTH($C527)=5,$C$4,IF(MONTH($C527)=6,$C$5,IF(MONTH($C527)=7,$C$6,"ERROR")))),1,0)</f>
        <v>0</v>
      </c>
      <c r="F527" s="30">
        <f>VLOOKUP($C527,COS!$B$8:$H$991,7,FALSE)</f>
        <v>51.270172119140625</v>
      </c>
      <c r="G527" s="28">
        <f>IF(F527&lt;=IF(MONTH($C527)=4,$F$3,IF(MONTH($C527)=5,$F$4,IF(MONTH($C527)=6,$F$5,IF(MONTH($C527)=7,$F$6,"ERROR")))),1,0)</f>
        <v>1</v>
      </c>
      <c r="H527" s="30">
        <f>IF(J527=1,D527-$C$3,0)</f>
        <v>0</v>
      </c>
      <c r="I527" s="30">
        <f t="shared" si="764"/>
        <v>0</v>
      </c>
      <c r="J527" s="28">
        <f t="shared" ref="J527:J530" si="842">IF(AND(E527=1,G527=1),1,0)</f>
        <v>0</v>
      </c>
      <c r="K527" s="30">
        <f>VLOOKUP($C527,COS!$B$8:$H$991,2,FALSE)</f>
        <v>4053.44189453125</v>
      </c>
      <c r="L527" s="28">
        <f t="shared" ref="L527:L584" si="843">IF(K527&lt;=IF(MONTH($C527)=4,$I$3,IF(MONTH($C527)=5,$I$4,IF(MONTH($C527)=6,$I$5,IF(MONTH($C527)=7,$I$6,"ERROR")))),1,0)</f>
        <v>1</v>
      </c>
      <c r="M527" s="28">
        <f t="shared" ref="M527:M584" si="844">VLOOKUP($A527,$L$3:$M$7,2,FALSE)</f>
        <v>1</v>
      </c>
      <c r="N527" s="30">
        <f>VLOOKUP($C527,COS!$B$8:$H$991,5,FALSE)</f>
        <v>214.24491882324219</v>
      </c>
      <c r="O527" s="30">
        <f t="shared" ref="O527:O530" si="845">N527*DAY($C527)*86400/43560/1000</f>
        <v>12.748457979564824</v>
      </c>
      <c r="P527" s="30">
        <f>VLOOKUP($C527,COS!$B$8:$H$991,6,FALSE)</f>
        <v>439.33358764648438</v>
      </c>
      <c r="Q527" s="30">
        <f t="shared" ref="Q527:Q530" si="846">P527*DAY($C527)*86400/43560/1000</f>
        <v>26.142163893013944</v>
      </c>
      <c r="R527" s="30">
        <f>MIN(IF(MONTH($C527)=4,$S$3,IF(MONTH($C527)=5,$S$4,IF(MONTH($C527)=6,$S$5,IF(MONTH($C527)=7,$S$6,"ERROR")))),MAX(VLOOKUP($C527,COS!$B$8:$K$991,10,FALSE)-IF(MONTH($C527)=4,$Y$3,IF(MONTH($C527)=5,$Y$4,IF(MONTH($C527)=6,$Y$5,IF(MONTH($C527)=7,$Y$6,"ERROR")))),0),MAX(VLOOKUP($C527,COS!$B$8:$K$991,9,FALSE)-IF(MONTH($C527)=4,$V$3,IF(MONTH($C527)=5,$V$4,IF(MONTH($C527)=6,$V$5,IF(MONTH($C527)=7,$V$6,"ERROR"))))-VLOOKUP($C527,COS!$B$8:$K$991,6,FALSE)/2,0))</f>
        <v>1500</v>
      </c>
      <c r="S527" s="30">
        <f t="shared" ref="S527:S530" si="847">R527*DAY($C527)*86400/43560/1000</f>
        <v>89.256198347107429</v>
      </c>
      <c r="T527" s="30">
        <f t="shared" ref="T527:T530" si="848">(O527+Q527)/2+S527</f>
        <v>108.70150928339682</v>
      </c>
      <c r="U527" s="30" t="str">
        <f>IF(VLOOKUP($C527,COS!$B$8:$I$991,8,FALSE)=1,"UWFE","IBU")</f>
        <v>UWFE</v>
      </c>
      <c r="V527" s="30">
        <f t="shared" ref="V527" si="849">MIN(IF(IF($AA$3=2,AND(E527=1,G527=1,L527=1,L532=1,M527=1,U527="IBU"),AND(E527=1,G527=1,L527=1,L532=1,M527=1)),T527,0),I527)</f>
        <v>0</v>
      </c>
      <c r="W527" s="30"/>
      <c r="X527" s="30"/>
      <c r="Y527" s="30"/>
      <c r="Z527" s="30"/>
      <c r="AA527" s="30"/>
      <c r="AB527" s="31"/>
    </row>
    <row r="528" spans="1:28" x14ac:dyDescent="0.3">
      <c r="A528" s="32">
        <f>VLOOKUP(YEAR(C528),Flags!$A$13:$B$95,2,FALSE)</f>
        <v>4</v>
      </c>
      <c r="B528" s="24">
        <f t="shared" si="841"/>
        <v>1979</v>
      </c>
      <c r="C528" s="25">
        <v>29006</v>
      </c>
      <c r="D528" s="26">
        <f>VLOOKUP($C528,COS!$B$8:$H$991,3,FALSE)</f>
        <v>4739.0380859375</v>
      </c>
      <c r="E528" s="24">
        <f>IF(D528&gt;=IF(MONTH($C528)=4,$C$3,IF(MONTH($C528)=5,$C$4,IF(MONTH($C528)=6,$C$5,IF(MONTH($C528)=7,$C$6,"ERROR")))),1,0)</f>
        <v>0</v>
      </c>
      <c r="F528" s="26">
        <f>VLOOKUP($C528,COS!$B$8:$H$991,7,FALSE)</f>
        <v>53.222888946533203</v>
      </c>
      <c r="G528" s="24">
        <f>IF(F528&lt;=IF(MONTH($C528)=4,$F$3,IF(MONTH($C528)=5,$F$4,IF(MONTH($C528)=6,$F$5,IF(MONTH($C528)=7,$F$6,"ERROR")))),1,0)</f>
        <v>1</v>
      </c>
      <c r="H528" s="26">
        <f>IF(J528=1,D528-$C$4,0)</f>
        <v>0</v>
      </c>
      <c r="I528" s="26">
        <f t="shared" si="764"/>
        <v>0</v>
      </c>
      <c r="J528" s="24">
        <f t="shared" si="842"/>
        <v>0</v>
      </c>
      <c r="K528" s="26">
        <f>VLOOKUP($C528,COS!$B$8:$H$991,2,FALSE)</f>
        <v>4220.81298828125</v>
      </c>
      <c r="L528" s="24">
        <f t="shared" si="843"/>
        <v>1</v>
      </c>
      <c r="M528" s="24">
        <f t="shared" si="844"/>
        <v>1</v>
      </c>
      <c r="N528" s="26">
        <f>VLOOKUP($C528,COS!$B$8:$H$991,5,FALSE)</f>
        <v>321.92453002929688</v>
      </c>
      <c r="O528" s="26">
        <f t="shared" si="845"/>
        <v>19.794367796842717</v>
      </c>
      <c r="P528" s="26">
        <f>VLOOKUP($C528,COS!$B$8:$H$991,6,FALSE)</f>
        <v>2260.58740234375</v>
      </c>
      <c r="Q528" s="26">
        <f t="shared" si="846"/>
        <v>138.99810143336776</v>
      </c>
      <c r="R528" s="26">
        <f>MIN(IF(MONTH($C528)=4,$S$3,IF(MONTH($C528)=5,$S$4,IF(MONTH($C528)=6,$S$5,IF(MONTH($C528)=7,$S$6,"ERROR")))),MAX(VLOOKUP($C528,COS!$B$8:$K$991,10,FALSE)-IF(MONTH($C528)=4,$Y$3,IF(MONTH($C528)=5,$Y$4,IF(MONTH($C528)=6,$Y$5,IF(MONTH($C528)=7,$Y$6,"ERROR")))),0),MAX(VLOOKUP($C528,COS!$B$8:$K$991,9,FALSE)-IF(MONTH($C528)=4,$V$3,IF(MONTH($C528)=5,$V$4,IF(MONTH($C528)=6,$V$5,IF(MONTH($C528)=7,$V$6,"ERROR"))))-VLOOKUP($C528,COS!$B$8:$K$991,6,FALSE)/2,0))</f>
        <v>1374.939453125</v>
      </c>
      <c r="S528" s="26">
        <f t="shared" si="847"/>
        <v>84.541731663223132</v>
      </c>
      <c r="T528" s="26">
        <f t="shared" si="848"/>
        <v>163.93796627832836</v>
      </c>
      <c r="U528" s="26" t="str">
        <f>IF(VLOOKUP($C528,COS!$B$8:$I$991,8,FALSE)=1,"UWFE","IBU")</f>
        <v>UWFE</v>
      </c>
      <c r="V528" s="26">
        <f t="shared" ref="V528" si="850">MIN(IF(IF($AA$3=2,AND(E528=1,G528=1,L528=1,L532=1,M528=1,U528="IBU"),AND(E528=1,G528=1,L528=1,L532=1,M528=1)),T528,0),I528)</f>
        <v>0</v>
      </c>
      <c r="W528" s="26"/>
      <c r="X528" s="26"/>
      <c r="Y528" s="26"/>
      <c r="Z528" s="26"/>
      <c r="AA528" s="26"/>
      <c r="AB528" s="33"/>
    </row>
    <row r="529" spans="1:28" x14ac:dyDescent="0.3">
      <c r="A529" s="32">
        <f>VLOOKUP(YEAR(C529),Flags!$A$13:$B$95,2,FALSE)</f>
        <v>4</v>
      </c>
      <c r="B529" s="24">
        <f t="shared" si="841"/>
        <v>1979</v>
      </c>
      <c r="C529" s="25">
        <v>29036</v>
      </c>
      <c r="D529" s="26">
        <f>VLOOKUP($C529,COS!$B$8:$H$991,3,FALSE)</f>
        <v>10586.1376953125</v>
      </c>
      <c r="E529" s="24">
        <f>IF(D529&gt;=IF(MONTH($C529)=4,$C$3,IF(MONTH($C529)=5,$C$4,IF(MONTH($C529)=6,$C$5,IF(MONTH($C529)=7,$C$6,"ERROR")))),1,0)</f>
        <v>1</v>
      </c>
      <c r="F529" s="26">
        <f>VLOOKUP($C529,COS!$B$8:$H$991,7,FALSE)</f>
        <v>51.544940948486328</v>
      </c>
      <c r="G529" s="24">
        <f>IF(F529&lt;=IF(MONTH($C529)=4,$F$3,IF(MONTH($C529)=5,$F$4,IF(MONTH($C529)=6,$F$5,IF(MONTH($C529)=7,$F$6,"ERROR")))),1,0)</f>
        <v>1</v>
      </c>
      <c r="H529" s="26">
        <f>IF(J529=1,D529-$C$5,0)</f>
        <v>586.1376953125</v>
      </c>
      <c r="I529" s="26">
        <f t="shared" si="764"/>
        <v>34.877614927685947</v>
      </c>
      <c r="J529" s="24">
        <f t="shared" si="842"/>
        <v>1</v>
      </c>
      <c r="K529" s="26">
        <f>VLOOKUP($C529,COS!$B$8:$H$991,2,FALSE)</f>
        <v>3800.5693359375</v>
      </c>
      <c r="L529" s="24">
        <f t="shared" si="843"/>
        <v>1</v>
      </c>
      <c r="M529" s="24">
        <f t="shared" si="844"/>
        <v>1</v>
      </c>
      <c r="N529" s="26">
        <f>VLOOKUP($C529,COS!$B$8:$H$991,5,FALSE)</f>
        <v>618.16412353515625</v>
      </c>
      <c r="O529" s="26">
        <f t="shared" si="845"/>
        <v>36.783319747546486</v>
      </c>
      <c r="P529" s="26">
        <f>VLOOKUP($C529,COS!$B$8:$H$991,6,FALSE)</f>
        <v>2677.335693359375</v>
      </c>
      <c r="Q529" s="26">
        <f t="shared" si="846"/>
        <v>159.31253712551654</v>
      </c>
      <c r="R529" s="26">
        <f>MIN(IF(MONTH($C529)=4,$S$3,IF(MONTH($C529)=5,$S$4,IF(MONTH($C529)=6,$S$5,IF(MONTH($C529)=7,$S$6,"ERROR")))),MAX(VLOOKUP($C529,COS!$B$8:$K$991,10,FALSE)-IF(MONTH($C529)=4,$Y$3,IF(MONTH($C529)=5,$Y$4,IF(MONTH($C529)=6,$Y$5,IF(MONTH($C529)=7,$Y$6,"ERROR")))),0),MAX(VLOOKUP($C529,COS!$B$8:$K$991,9,FALSE)-IF(MONTH($C529)=4,$V$3,IF(MONTH($C529)=5,$V$4,IF(MONTH($C529)=6,$V$5,IF(MONTH($C529)=7,$V$6,"ERROR"))))-VLOOKUP($C529,COS!$B$8:$K$991,6,FALSE)/2,0))</f>
        <v>1500</v>
      </c>
      <c r="S529" s="26">
        <f t="shared" si="847"/>
        <v>89.256198347107429</v>
      </c>
      <c r="T529" s="26">
        <f t="shared" si="848"/>
        <v>187.30412678363894</v>
      </c>
      <c r="U529" s="26" t="str">
        <f>IF(VLOOKUP($C529,COS!$B$8:$I$991,8,FALSE)=1,"UWFE","IBU")</f>
        <v>IBU</v>
      </c>
      <c r="V529" s="26">
        <f t="shared" ref="V529" si="851">MIN(IF(IF($AA$3=2,AND(E529=1,G529=1,L529=1,L532=1,M529=1,U529="IBU"),AND(E529=1,G529=1,L529=1,L532=1,M529=1)),T529,0),I529)</f>
        <v>34.877614927685947</v>
      </c>
      <c r="W529" s="26"/>
      <c r="X529" s="26"/>
      <c r="Y529" s="26"/>
      <c r="Z529" s="26"/>
      <c r="AA529" s="26"/>
      <c r="AB529" s="33"/>
    </row>
    <row r="530" spans="1:28" x14ac:dyDescent="0.3">
      <c r="A530" s="32">
        <f>VLOOKUP(YEAR(C530),Flags!$A$13:$B$95,2,FALSE)</f>
        <v>4</v>
      </c>
      <c r="B530" s="24">
        <f t="shared" si="841"/>
        <v>1979</v>
      </c>
      <c r="C530" s="25">
        <v>29067</v>
      </c>
      <c r="D530" s="26">
        <f>VLOOKUP($C530,COS!$B$8:$H$991,3,FALSE)</f>
        <v>10198.0205078125</v>
      </c>
      <c r="E530" s="24">
        <f>IF(D530&gt;=IF(MONTH($C530)=4,$C$3,IF(MONTH($C530)=5,$C$4,IF(MONTH($C530)=6,$C$5,IF(MONTH($C530)=7,$C$6,"ERROR")))),1,0)</f>
        <v>0</v>
      </c>
      <c r="F530" s="26">
        <f>VLOOKUP($C530,COS!$B$8:$H$991,7,FALSE)</f>
        <v>52.837936401367188</v>
      </c>
      <c r="G530" s="24">
        <f>IF(F530&lt;=IF(MONTH($C530)=4,$F$3,IF(MONTH($C530)=5,$F$4,IF(MONTH($C530)=6,$F$5,IF(MONTH($C530)=7,$F$6,"ERROR")))),1,0)</f>
        <v>1</v>
      </c>
      <c r="H530" s="26">
        <f>IF(J530=1,D530-$C$6,0)</f>
        <v>0</v>
      </c>
      <c r="I530" s="26">
        <f t="shared" si="764"/>
        <v>0</v>
      </c>
      <c r="J530" s="24">
        <f t="shared" si="842"/>
        <v>0</v>
      </c>
      <c r="K530" s="26">
        <f>VLOOKUP($C530,COS!$B$8:$H$991,2,FALSE)</f>
        <v>3407.86474609375</v>
      </c>
      <c r="L530" s="24">
        <f t="shared" si="843"/>
        <v>1</v>
      </c>
      <c r="M530" s="24">
        <f t="shared" si="844"/>
        <v>1</v>
      </c>
      <c r="N530" s="26">
        <f>VLOOKUP($C530,COS!$B$8:$H$991,5,FALSE)</f>
        <v>673.1793212890625</v>
      </c>
      <c r="O530" s="26">
        <f t="shared" si="845"/>
        <v>41.392183061079542</v>
      </c>
      <c r="P530" s="26">
        <f>VLOOKUP($C530,COS!$B$8:$H$991,6,FALSE)</f>
        <v>2632.5888671875</v>
      </c>
      <c r="Q530" s="26">
        <f t="shared" si="846"/>
        <v>161.87157993285126</v>
      </c>
      <c r="R530" s="26">
        <f>MIN(IF(MONTH($C530)=4,$S$3,IF(MONTH($C530)=5,$S$4,IF(MONTH($C530)=6,$S$5,IF(MONTH($C530)=7,$S$6,"ERROR")))),MAX(VLOOKUP($C530,COS!$B$8:$K$991,10,FALSE)-IF(MONTH($C530)=4,$Y$3,IF(MONTH($C530)=5,$Y$4,IF(MONTH($C530)=6,$Y$5,IF(MONTH($C530)=7,$Y$6,"ERROR")))),0),MAX(VLOOKUP($C530,COS!$B$8:$K$991,9,FALSE)-IF(MONTH($C530)=4,$V$3,IF(MONTH($C530)=5,$V$4,IF(MONTH($C530)=6,$V$5,IF(MONTH($C530)=7,$V$6,"ERROR"))))-VLOOKUP($C530,COS!$B$8:$K$991,6,FALSE)/2,0))</f>
        <v>1500</v>
      </c>
      <c r="S530" s="26">
        <f t="shared" si="847"/>
        <v>92.231404958677686</v>
      </c>
      <c r="T530" s="26">
        <f t="shared" si="848"/>
        <v>193.86328645564311</v>
      </c>
      <c r="U530" s="26" t="str">
        <f>IF(VLOOKUP($C530,COS!$B$8:$I$991,8,FALSE)=1,"UWFE","IBU")</f>
        <v>IBU</v>
      </c>
      <c r="V530" s="26">
        <f t="shared" ref="V530" si="852">MIN(IF(IF($AA$3=2,AND(E530=1,G530=1,L530=1,L532=1,M530=1,U530="IBU"),AND(E530=1,G530=1,L530=1,L532=1,M530=1)),T530,0),I530)</f>
        <v>0</v>
      </c>
      <c r="W530" s="26"/>
      <c r="X530" s="26"/>
      <c r="Y530" s="26"/>
      <c r="Z530" s="26"/>
      <c r="AA530" s="26"/>
      <c r="AB530" s="33"/>
    </row>
    <row r="531" spans="1:28" x14ac:dyDescent="0.3">
      <c r="A531" s="32">
        <f>VLOOKUP(YEAR(C531),Flags!$A$13:$B$95,2,FALSE)</f>
        <v>4</v>
      </c>
      <c r="B531" s="24">
        <f t="shared" si="841"/>
        <v>1979</v>
      </c>
      <c r="C531" s="25">
        <v>29098</v>
      </c>
      <c r="D531" s="26"/>
      <c r="E531" s="24"/>
      <c r="F531" s="26"/>
      <c r="G531" s="24"/>
      <c r="H531" s="24"/>
      <c r="I531" s="26"/>
      <c r="J531" s="24"/>
      <c r="K531" s="26"/>
      <c r="L531" s="24"/>
      <c r="M531" s="24"/>
      <c r="N531" s="26"/>
      <c r="O531" s="26"/>
      <c r="P531" s="26"/>
      <c r="Q531" s="26"/>
      <c r="R531" s="26"/>
      <c r="S531" s="26"/>
      <c r="T531" s="26"/>
      <c r="U531" s="26"/>
      <c r="V531" s="26"/>
      <c r="W531" s="26">
        <f>MAX($C$7-VLOOKUP($C531,COS!$B$8:$H$991,3,FALSE),0)</f>
        <v>91695.837890625</v>
      </c>
      <c r="X531" s="26">
        <f t="shared" si="769"/>
        <v>5638.1573050103307</v>
      </c>
      <c r="Y531" s="26">
        <f>VLOOKUP($C531,COS!$B$8:$H$991,4,FALSE)</f>
        <v>53.124755859375</v>
      </c>
      <c r="Z531" s="26">
        <f t="shared" si="770"/>
        <v>3.2665139139979336</v>
      </c>
      <c r="AA531" s="26">
        <f t="shared" ref="AA531:AA535" si="853">MIN(W531,Y531)</f>
        <v>53.124755859375</v>
      </c>
      <c r="AB531" s="33">
        <f t="shared" ref="AB531:AB589" si="854">AA531*DAY($C531)*86400/43560/1000*IF(MONTH($C531)=8,$P$3,IF(MONTH($C531)=9,$P$4,IF(MONTH($C531)=10,$P$5,IF(MONTH($C531)=11,$P$6,IF(MONTH($C531)=12,$P$7,NA())))))</f>
        <v>3.2665139139979336</v>
      </c>
    </row>
    <row r="532" spans="1:28" x14ac:dyDescent="0.3">
      <c r="A532" s="32">
        <f>VLOOKUP(YEAR(C532),Flags!$A$13:$B$95,2,FALSE)</f>
        <v>4</v>
      </c>
      <c r="B532" s="24">
        <f t="shared" si="841"/>
        <v>1979</v>
      </c>
      <c r="C532" s="25">
        <v>29128</v>
      </c>
      <c r="D532" s="26"/>
      <c r="E532" s="24"/>
      <c r="F532" s="26"/>
      <c r="G532" s="24"/>
      <c r="H532" s="24"/>
      <c r="I532" s="26"/>
      <c r="J532" s="24"/>
      <c r="K532" s="26">
        <f>VLOOKUP($C532,COS!$B$8:$H$991,2,FALSE)</f>
        <v>3119.8076171875</v>
      </c>
      <c r="L532" s="24">
        <f t="shared" ref="L532" si="855">IF(AND(K532&gt;$I$7,K532&lt;$I$8),1,0)</f>
        <v>1</v>
      </c>
      <c r="M532" s="24"/>
      <c r="N532" s="26"/>
      <c r="O532" s="26"/>
      <c r="P532" s="26"/>
      <c r="Q532" s="26"/>
      <c r="R532" s="26"/>
      <c r="S532" s="26"/>
      <c r="T532" s="26"/>
      <c r="U532" s="26"/>
      <c r="V532" s="26"/>
      <c r="W532" s="26">
        <f>MAX($C$8-VLOOKUP($C532,COS!$B$8:$H$991,3,FALSE),0)</f>
        <v>95203.8974609375</v>
      </c>
      <c r="X532" s="26">
        <f t="shared" si="769"/>
        <v>5665.025303460744</v>
      </c>
      <c r="Y532" s="26">
        <f>VLOOKUP($C532,COS!$B$8:$H$991,4,FALSE)</f>
        <v>0</v>
      </c>
      <c r="Z532" s="26">
        <f t="shared" si="770"/>
        <v>0</v>
      </c>
      <c r="AA532" s="26">
        <f t="shared" si="853"/>
        <v>0</v>
      </c>
      <c r="AB532" s="33">
        <f t="shared" si="854"/>
        <v>0</v>
      </c>
    </row>
    <row r="533" spans="1:28" x14ac:dyDescent="0.3">
      <c r="A533" s="32">
        <f>VLOOKUP(YEAR(C533),Flags!$A$13:$B$95,2,FALSE)</f>
        <v>4</v>
      </c>
      <c r="B533" s="24">
        <f t="shared" si="841"/>
        <v>1979</v>
      </c>
      <c r="C533" s="25">
        <v>29159</v>
      </c>
      <c r="D533" s="26"/>
      <c r="E533" s="24"/>
      <c r="F533" s="26"/>
      <c r="G533" s="26"/>
      <c r="H533" s="26"/>
      <c r="I533" s="26"/>
      <c r="J533" s="26"/>
      <c r="K533" s="26"/>
      <c r="L533" s="24"/>
      <c r="M533" s="24"/>
      <c r="N533" s="26"/>
      <c r="O533" s="26"/>
      <c r="P533" s="26"/>
      <c r="Q533" s="26"/>
      <c r="R533" s="26"/>
      <c r="S533" s="26"/>
      <c r="T533" s="26"/>
      <c r="U533" s="26"/>
      <c r="V533" s="26"/>
      <c r="W533" s="26">
        <f>MAX($C$9-VLOOKUP($C533,COS!$B$8:$H$991,3,FALSE),0)</f>
        <v>95850.04736328125</v>
      </c>
      <c r="X533" s="26">
        <f t="shared" si="769"/>
        <v>5893.5896891141529</v>
      </c>
      <c r="Y533" s="26">
        <f>VLOOKUP($C533,COS!$B$8:$H$991,4,FALSE)</f>
        <v>801.079833984375</v>
      </c>
      <c r="Z533" s="26">
        <f t="shared" si="770"/>
        <v>49.256479048295454</v>
      </c>
      <c r="AA533" s="26">
        <f t="shared" si="853"/>
        <v>801.079833984375</v>
      </c>
      <c r="AB533" s="33">
        <f t="shared" si="854"/>
        <v>49.256479048295454</v>
      </c>
    </row>
    <row r="534" spans="1:28" x14ac:dyDescent="0.3">
      <c r="A534" s="32">
        <f>VLOOKUP(YEAR(C534),Flags!$A$13:$B$95,2,FALSE)</f>
        <v>4</v>
      </c>
      <c r="B534" s="24">
        <f t="shared" si="841"/>
        <v>1979</v>
      </c>
      <c r="C534" s="25">
        <v>29189</v>
      </c>
      <c r="D534" s="26"/>
      <c r="E534" s="24"/>
      <c r="F534" s="26"/>
      <c r="G534" s="26"/>
      <c r="H534" s="26"/>
      <c r="I534" s="26"/>
      <c r="J534" s="26"/>
      <c r="K534" s="26"/>
      <c r="L534" s="24"/>
      <c r="M534" s="24"/>
      <c r="N534" s="26"/>
      <c r="O534" s="26"/>
      <c r="P534" s="26"/>
      <c r="Q534" s="26"/>
      <c r="R534" s="26"/>
      <c r="S534" s="26"/>
      <c r="T534" s="26"/>
      <c r="U534" s="26"/>
      <c r="V534" s="26"/>
      <c r="W534" s="26">
        <f>MAX($C$10-VLOOKUP($C534,COS!$B$8:$H$991,3,FALSE),0)</f>
        <v>94181.76708984375</v>
      </c>
      <c r="X534" s="26">
        <f t="shared" si="769"/>
        <v>5604.2043227014465</v>
      </c>
      <c r="Y534" s="26">
        <f>VLOOKUP($C534,COS!$B$8:$H$991,4,FALSE)</f>
        <v>1226.431884765625</v>
      </c>
      <c r="Z534" s="26">
        <f t="shared" si="770"/>
        <v>72.977765043904967</v>
      </c>
      <c r="AA534" s="26">
        <f t="shared" si="853"/>
        <v>1226.431884765625</v>
      </c>
      <c r="AB534" s="33">
        <f t="shared" si="854"/>
        <v>72.977765043904967</v>
      </c>
    </row>
    <row r="535" spans="1:28" x14ac:dyDescent="0.3">
      <c r="A535" s="34">
        <f>VLOOKUP(YEAR(C535),Flags!$A$13:$B$95,2,FALSE)</f>
        <v>4</v>
      </c>
      <c r="B535" s="35">
        <f t="shared" si="841"/>
        <v>1979</v>
      </c>
      <c r="C535" s="36">
        <v>29220</v>
      </c>
      <c r="D535" s="37"/>
      <c r="E535" s="35"/>
      <c r="F535" s="37"/>
      <c r="G535" s="37"/>
      <c r="H535" s="37"/>
      <c r="I535" s="37"/>
      <c r="J535" s="37"/>
      <c r="K535" s="37"/>
      <c r="L535" s="35"/>
      <c r="M535" s="35"/>
      <c r="N535" s="37"/>
      <c r="O535" s="37"/>
      <c r="P535" s="37"/>
      <c r="Q535" s="37"/>
      <c r="R535" s="37"/>
      <c r="S535" s="37"/>
      <c r="T535" s="37"/>
      <c r="U535" s="37"/>
      <c r="V535" s="37"/>
      <c r="W535" s="37">
        <f>MAX($C$11-VLOOKUP($C535,COS!$B$8:$H$991,3,FALSE),0)</f>
        <v>95724.72412109375</v>
      </c>
      <c r="X535" s="37">
        <f t="shared" si="769"/>
        <v>5885.8838633135338</v>
      </c>
      <c r="Y535" s="37">
        <f>VLOOKUP($C535,COS!$B$8:$H$991,4,FALSE)</f>
        <v>0</v>
      </c>
      <c r="Z535" s="37">
        <f t="shared" si="770"/>
        <v>0</v>
      </c>
      <c r="AA535" s="37">
        <f t="shared" si="853"/>
        <v>0</v>
      </c>
      <c r="AB535" s="38">
        <f t="shared" si="854"/>
        <v>0</v>
      </c>
    </row>
    <row r="536" spans="1:28" x14ac:dyDescent="0.3">
      <c r="A536" s="27">
        <f>VLOOKUP(YEAR(C536),Flags!$A$13:$B$95,2,FALSE)</f>
        <v>2</v>
      </c>
      <c r="B536" s="28">
        <f t="shared" si="841"/>
        <v>1980</v>
      </c>
      <c r="C536" s="29">
        <v>29341</v>
      </c>
      <c r="D536" s="30">
        <f>VLOOKUP($C536,COS!$B$8:$H$991,3,FALSE)</f>
        <v>3250</v>
      </c>
      <c r="E536" s="28">
        <f>IF(D536&gt;=IF(MONTH($C536)=4,$C$3,IF(MONTH($C536)=5,$C$4,IF(MONTH($C536)=6,$C$5,IF(MONTH($C536)=7,$C$6,"ERROR")))),1,0)</f>
        <v>0</v>
      </c>
      <c r="F536" s="30">
        <f>VLOOKUP($C536,COS!$B$8:$H$991,7,FALSE)</f>
        <v>50.949337005615234</v>
      </c>
      <c r="G536" s="28">
        <f>IF(F536&lt;=IF(MONTH($C536)=4,$F$3,IF(MONTH($C536)=5,$F$4,IF(MONTH($C536)=6,$F$5,IF(MONTH($C536)=7,$F$6,"ERROR")))),1,0)</f>
        <v>1</v>
      </c>
      <c r="H536" s="30">
        <f>IF(J536=1,D536-$C$3,0)</f>
        <v>0</v>
      </c>
      <c r="I536" s="30">
        <f t="shared" si="764"/>
        <v>0</v>
      </c>
      <c r="J536" s="28">
        <f t="shared" ref="J536:J539" si="856">IF(AND(E536=1,G536=1),1,0)</f>
        <v>0</v>
      </c>
      <c r="K536" s="30">
        <f>VLOOKUP($C536,COS!$B$8:$H$991,2,FALSE)</f>
        <v>4390.5458984375</v>
      </c>
      <c r="L536" s="28">
        <f t="shared" ref="L536" si="857">IF(K536&lt;=IF(MONTH($C536)=4,$I$3,IF(MONTH($C536)=5,$I$4,IF(MONTH($C536)=6,$I$5,IF(MONTH($C536)=7,$I$6,"ERROR")))),1,0)</f>
        <v>1</v>
      </c>
      <c r="M536" s="28">
        <f t="shared" ref="M536" si="858">VLOOKUP($A536,$L$3:$M$7,2,FALSE)</f>
        <v>0</v>
      </c>
      <c r="N536" s="30">
        <f>VLOOKUP($C536,COS!$B$8:$H$991,5,FALSE)</f>
        <v>343.85354614257813</v>
      </c>
      <c r="O536" s="30">
        <f t="shared" ref="O536:O539" si="859">N536*DAY($C536)*86400/43560/1000</f>
        <v>20.460706877905476</v>
      </c>
      <c r="P536" s="30">
        <f>VLOOKUP($C536,COS!$B$8:$H$991,6,FALSE)</f>
        <v>435.81771850585938</v>
      </c>
      <c r="Q536" s="30">
        <f t="shared" ref="Q536:Q539" si="860">P536*DAY($C536)*86400/43560/1000</f>
        <v>25.932955150761881</v>
      </c>
      <c r="R536" s="30">
        <f>MIN(IF(MONTH($C536)=4,$S$3,IF(MONTH($C536)=5,$S$4,IF(MONTH($C536)=6,$S$5,IF(MONTH($C536)=7,$S$6,"ERROR")))),MAX(VLOOKUP($C536,COS!$B$8:$K$991,10,FALSE)-IF(MONTH($C536)=4,$Y$3,IF(MONTH($C536)=5,$Y$4,IF(MONTH($C536)=6,$Y$5,IF(MONTH($C536)=7,$Y$6,"ERROR")))),0),MAX(VLOOKUP($C536,COS!$B$8:$K$991,9,FALSE)-IF(MONTH($C536)=4,$V$3,IF(MONTH($C536)=5,$V$4,IF(MONTH($C536)=6,$V$5,IF(MONTH($C536)=7,$V$6,"ERROR"))))-VLOOKUP($C536,COS!$B$8:$K$991,6,FALSE)/2,0))</f>
        <v>1500</v>
      </c>
      <c r="S536" s="30">
        <f t="shared" ref="S536:S539" si="861">R536*DAY($C536)*86400/43560/1000</f>
        <v>89.256198347107429</v>
      </c>
      <c r="T536" s="30">
        <f t="shared" ref="T536:T539" si="862">(O536+Q536)/2+S536</f>
        <v>112.45302936144111</v>
      </c>
      <c r="U536" s="30" t="str">
        <f>IF(VLOOKUP($C536,COS!$B$8:$I$991,8,FALSE)=1,"UWFE","IBU")</f>
        <v>UWFE</v>
      </c>
      <c r="V536" s="30">
        <f t="shared" ref="V536" si="863">MIN(IF(IF($AA$3=2,AND(E536=1,G536=1,L536=1,L541=1,M536=1,U536="IBU"),AND(E536=1,G536=1,L536=1,L541=1,M536=1)),T536,0),I536)</f>
        <v>0</v>
      </c>
      <c r="W536" s="30"/>
      <c r="X536" s="30"/>
      <c r="Y536" s="30"/>
      <c r="Z536" s="30"/>
      <c r="AA536" s="30"/>
      <c r="AB536" s="31"/>
    </row>
    <row r="537" spans="1:28" x14ac:dyDescent="0.3">
      <c r="A537" s="32">
        <f>VLOOKUP(YEAR(C537),Flags!$A$13:$B$95,2,FALSE)</f>
        <v>2</v>
      </c>
      <c r="B537" s="24">
        <f t="shared" si="841"/>
        <v>1980</v>
      </c>
      <c r="C537" s="25">
        <v>29372</v>
      </c>
      <c r="D537" s="26">
        <f>VLOOKUP($C537,COS!$B$8:$H$991,3,FALSE)</f>
        <v>6651.8935546875</v>
      </c>
      <c r="E537" s="24">
        <f>IF(D537&gt;=IF(MONTH($C537)=4,$C$3,IF(MONTH($C537)=5,$C$4,IF(MONTH($C537)=6,$C$5,IF(MONTH($C537)=7,$C$6,"ERROR")))),1,0)</f>
        <v>1</v>
      </c>
      <c r="F537" s="26">
        <f>VLOOKUP($C537,COS!$B$8:$H$991,7,FALSE)</f>
        <v>50.088848114013672</v>
      </c>
      <c r="G537" s="24">
        <f>IF(F537&lt;=IF(MONTH($C537)=4,$F$3,IF(MONTH($C537)=5,$F$4,IF(MONTH($C537)=6,$F$5,IF(MONTH($C537)=7,$F$6,"ERROR")))),1,0)</f>
        <v>1</v>
      </c>
      <c r="H537" s="26">
        <f>IF(J537=1,D537-$C$4,0)</f>
        <v>651.8935546875</v>
      </c>
      <c r="I537" s="26">
        <f t="shared" si="764"/>
        <v>40.083372288223138</v>
      </c>
      <c r="J537" s="24">
        <f t="shared" si="856"/>
        <v>1</v>
      </c>
      <c r="K537" s="26">
        <f>VLOOKUP($C537,COS!$B$8:$H$991,2,FALSE)</f>
        <v>4360.00341796875</v>
      </c>
      <c r="L537" s="24">
        <f t="shared" si="843"/>
        <v>1</v>
      </c>
      <c r="M537" s="24">
        <f t="shared" si="844"/>
        <v>0</v>
      </c>
      <c r="N537" s="26">
        <f>VLOOKUP($C537,COS!$B$8:$H$991,5,FALSE)</f>
        <v>671.396728515625</v>
      </c>
      <c r="O537" s="26">
        <f t="shared" si="859"/>
        <v>41.282575703770661</v>
      </c>
      <c r="P537" s="26">
        <f>VLOOKUP($C537,COS!$B$8:$H$991,6,FALSE)</f>
        <v>2141.340087890625</v>
      </c>
      <c r="Q537" s="26">
        <f t="shared" si="860"/>
        <v>131.6658698669938</v>
      </c>
      <c r="R537" s="26">
        <f>MIN(IF(MONTH($C537)=4,$S$3,IF(MONTH($C537)=5,$S$4,IF(MONTH($C537)=6,$S$5,IF(MONTH($C537)=7,$S$6,"ERROR")))),MAX(VLOOKUP($C537,COS!$B$8:$K$991,10,FALSE)-IF(MONTH($C537)=4,$Y$3,IF(MONTH($C537)=5,$Y$4,IF(MONTH($C537)=6,$Y$5,IF(MONTH($C537)=7,$Y$6,"ERROR")))),0),MAX(VLOOKUP($C537,COS!$B$8:$K$991,9,FALSE)-IF(MONTH($C537)=4,$V$3,IF(MONTH($C537)=5,$V$4,IF(MONTH($C537)=6,$V$5,IF(MONTH($C537)=7,$V$6,"ERROR"))))-VLOOKUP($C537,COS!$B$8:$K$991,6,FALSE)/2,0))</f>
        <v>1500</v>
      </c>
      <c r="S537" s="26">
        <f t="shared" si="861"/>
        <v>92.231404958677686</v>
      </c>
      <c r="T537" s="26">
        <f t="shared" si="862"/>
        <v>178.70562774405994</v>
      </c>
      <c r="U537" s="26" t="str">
        <f>IF(VLOOKUP($C537,COS!$B$8:$I$991,8,FALSE)=1,"UWFE","IBU")</f>
        <v>UWFE</v>
      </c>
      <c r="V537" s="26">
        <f t="shared" ref="V537" si="864">MIN(IF(IF($AA$3=2,AND(E537=1,G537=1,L537=1,L541=1,M537=1,U537="IBU"),AND(E537=1,G537=1,L537=1,L541=1,M537=1)),T537,0),I537)</f>
        <v>0</v>
      </c>
      <c r="W537" s="26"/>
      <c r="X537" s="26"/>
      <c r="Y537" s="26"/>
      <c r="Z537" s="26"/>
      <c r="AA537" s="26"/>
      <c r="AB537" s="33"/>
    </row>
    <row r="538" spans="1:28" x14ac:dyDescent="0.3">
      <c r="A538" s="32">
        <f>VLOOKUP(YEAR(C538),Flags!$A$13:$B$95,2,FALSE)</f>
        <v>2</v>
      </c>
      <c r="B538" s="24">
        <f t="shared" si="841"/>
        <v>1980</v>
      </c>
      <c r="C538" s="25">
        <v>29402</v>
      </c>
      <c r="D538" s="26">
        <f>VLOOKUP($C538,COS!$B$8:$H$991,3,FALSE)</f>
        <v>9056.001953125</v>
      </c>
      <c r="E538" s="24">
        <f>IF(D538&gt;=IF(MONTH($C538)=4,$C$3,IF(MONTH($C538)=5,$C$4,IF(MONTH($C538)=6,$C$5,IF(MONTH($C538)=7,$C$6,"ERROR")))),1,0)</f>
        <v>0</v>
      </c>
      <c r="F538" s="26">
        <f>VLOOKUP($C538,COS!$B$8:$H$991,7,FALSE)</f>
        <v>51.123935699462891</v>
      </c>
      <c r="G538" s="24">
        <f>IF(F538&lt;=IF(MONTH($C538)=4,$F$3,IF(MONTH($C538)=5,$F$4,IF(MONTH($C538)=6,$F$5,IF(MONTH($C538)=7,$F$6,"ERROR")))),1,0)</f>
        <v>1</v>
      </c>
      <c r="H538" s="26">
        <f>IF(J538=1,D538-$C$5,0)</f>
        <v>0</v>
      </c>
      <c r="I538" s="26">
        <f t="shared" si="764"/>
        <v>0</v>
      </c>
      <c r="J538" s="24">
        <f t="shared" si="856"/>
        <v>0</v>
      </c>
      <c r="K538" s="26">
        <f>VLOOKUP($C538,COS!$B$8:$H$991,2,FALSE)</f>
        <v>4114.19091796875</v>
      </c>
      <c r="L538" s="24">
        <f t="shared" si="843"/>
        <v>1</v>
      </c>
      <c r="M538" s="24">
        <f t="shared" si="844"/>
        <v>0</v>
      </c>
      <c r="N538" s="26">
        <f>VLOOKUP($C538,COS!$B$8:$H$991,5,FALSE)</f>
        <v>914.7728271484375</v>
      </c>
      <c r="O538" s="26">
        <f t="shared" si="859"/>
        <v>54.432763268336778</v>
      </c>
      <c r="P538" s="26">
        <f>VLOOKUP($C538,COS!$B$8:$H$991,6,FALSE)</f>
        <v>2280.555419921875</v>
      </c>
      <c r="Q538" s="26">
        <f t="shared" si="860"/>
        <v>135.70247126807851</v>
      </c>
      <c r="R538" s="26">
        <f>MIN(IF(MONTH($C538)=4,$S$3,IF(MONTH($C538)=5,$S$4,IF(MONTH($C538)=6,$S$5,IF(MONTH($C538)=7,$S$6,"ERROR")))),MAX(VLOOKUP($C538,COS!$B$8:$K$991,10,FALSE)-IF(MONTH($C538)=4,$Y$3,IF(MONTH($C538)=5,$Y$4,IF(MONTH($C538)=6,$Y$5,IF(MONTH($C538)=7,$Y$6,"ERROR")))),0),MAX(VLOOKUP($C538,COS!$B$8:$K$991,9,FALSE)-IF(MONTH($C538)=4,$V$3,IF(MONTH($C538)=5,$V$4,IF(MONTH($C538)=6,$V$5,IF(MONTH($C538)=7,$V$6,"ERROR"))))-VLOOKUP($C538,COS!$B$8:$K$991,6,FALSE)/2,0))</f>
        <v>1500</v>
      </c>
      <c r="S538" s="26">
        <f t="shared" si="861"/>
        <v>89.256198347107429</v>
      </c>
      <c r="T538" s="26">
        <f t="shared" si="862"/>
        <v>184.32381561531508</v>
      </c>
      <c r="U538" s="26" t="str">
        <f>IF(VLOOKUP($C538,COS!$B$8:$I$991,8,FALSE)=1,"UWFE","IBU")</f>
        <v>UWFE</v>
      </c>
      <c r="V538" s="26">
        <f t="shared" ref="V538" si="865">MIN(IF(IF($AA$3=2,AND(E538=1,G538=1,L538=1,L541=1,M538=1,U538="IBU"),AND(E538=1,G538=1,L538=1,L541=1,M538=1)),T538,0),I538)</f>
        <v>0</v>
      </c>
      <c r="W538" s="26"/>
      <c r="X538" s="26"/>
      <c r="Y538" s="26"/>
      <c r="Z538" s="26"/>
      <c r="AA538" s="26"/>
      <c r="AB538" s="33"/>
    </row>
    <row r="539" spans="1:28" x14ac:dyDescent="0.3">
      <c r="A539" s="32">
        <f>VLOOKUP(YEAR(C539),Flags!$A$13:$B$95,2,FALSE)</f>
        <v>2</v>
      </c>
      <c r="B539" s="24">
        <f t="shared" si="841"/>
        <v>1980</v>
      </c>
      <c r="C539" s="25">
        <v>29433</v>
      </c>
      <c r="D539" s="26">
        <f>VLOOKUP($C539,COS!$B$8:$H$991,3,FALSE)</f>
        <v>11086.111328125</v>
      </c>
      <c r="E539" s="24">
        <f>IF(D539&gt;=IF(MONTH($C539)=4,$C$3,IF(MONTH($C539)=5,$C$4,IF(MONTH($C539)=6,$C$5,IF(MONTH($C539)=7,$C$6,"ERROR")))),1,0)</f>
        <v>0</v>
      </c>
      <c r="F539" s="26">
        <f>VLOOKUP($C539,COS!$B$8:$H$991,7,FALSE)</f>
        <v>51.426025390625</v>
      </c>
      <c r="G539" s="24">
        <f>IF(F539&lt;=IF(MONTH($C539)=4,$F$3,IF(MONTH($C539)=5,$F$4,IF(MONTH($C539)=6,$F$5,IF(MONTH($C539)=7,$F$6,"ERROR")))),1,0)</f>
        <v>1</v>
      </c>
      <c r="H539" s="26">
        <f>IF(J539=1,D539-$C$6,0)</f>
        <v>0</v>
      </c>
      <c r="I539" s="26">
        <f t="shared" si="764"/>
        <v>0</v>
      </c>
      <c r="J539" s="24">
        <f t="shared" si="856"/>
        <v>0</v>
      </c>
      <c r="K539" s="26">
        <f>VLOOKUP($C539,COS!$B$8:$H$991,2,FALSE)</f>
        <v>3708.154052734375</v>
      </c>
      <c r="L539" s="24">
        <f t="shared" si="843"/>
        <v>1</v>
      </c>
      <c r="M539" s="24">
        <f t="shared" si="844"/>
        <v>0</v>
      </c>
      <c r="N539" s="26">
        <f>VLOOKUP($C539,COS!$B$8:$H$991,5,FALSE)</f>
        <v>1062.265380859375</v>
      </c>
      <c r="O539" s="26">
        <f t="shared" si="859"/>
        <v>65.316152343750005</v>
      </c>
      <c r="P539" s="26">
        <f>VLOOKUP($C539,COS!$B$8:$H$991,6,FALSE)</f>
        <v>2538.12646484375</v>
      </c>
      <c r="Q539" s="26">
        <f t="shared" si="860"/>
        <v>156.06331321022728</v>
      </c>
      <c r="R539" s="26">
        <f>MIN(IF(MONTH($C539)=4,$S$3,IF(MONTH($C539)=5,$S$4,IF(MONTH($C539)=6,$S$5,IF(MONTH($C539)=7,$S$6,"ERROR")))),MAX(VLOOKUP($C539,COS!$B$8:$K$991,10,FALSE)-IF(MONTH($C539)=4,$Y$3,IF(MONTH($C539)=5,$Y$4,IF(MONTH($C539)=6,$Y$5,IF(MONTH($C539)=7,$Y$6,"ERROR")))),0),MAX(VLOOKUP($C539,COS!$B$8:$K$991,9,FALSE)-IF(MONTH($C539)=4,$V$3,IF(MONTH($C539)=5,$V$4,IF(MONTH($C539)=6,$V$5,IF(MONTH($C539)=7,$V$6,"ERROR"))))-VLOOKUP($C539,COS!$B$8:$K$991,6,FALSE)/2,0))</f>
        <v>1500</v>
      </c>
      <c r="S539" s="26">
        <f t="shared" si="861"/>
        <v>92.231404958677686</v>
      </c>
      <c r="T539" s="26">
        <f t="shared" si="862"/>
        <v>202.92113773566632</v>
      </c>
      <c r="U539" s="26" t="str">
        <f>IF(VLOOKUP($C539,COS!$B$8:$I$991,8,FALSE)=1,"UWFE","IBU")</f>
        <v>IBU</v>
      </c>
      <c r="V539" s="26">
        <f t="shared" ref="V539" si="866">MIN(IF(IF($AA$3=2,AND(E539=1,G539=1,L539=1,L541=1,M539=1,U539="IBU"),AND(E539=1,G539=1,L539=1,L541=1,M539=1)),T539,0),I539)</f>
        <v>0</v>
      </c>
      <c r="W539" s="26"/>
      <c r="X539" s="26"/>
      <c r="Y539" s="26"/>
      <c r="Z539" s="26"/>
      <c r="AA539" s="26"/>
      <c r="AB539" s="33"/>
    </row>
    <row r="540" spans="1:28" x14ac:dyDescent="0.3">
      <c r="A540" s="32">
        <f>VLOOKUP(YEAR(C540),Flags!$A$13:$B$95,2,FALSE)</f>
        <v>2</v>
      </c>
      <c r="B540" s="24">
        <f t="shared" si="841"/>
        <v>1980</v>
      </c>
      <c r="C540" s="25">
        <v>29464</v>
      </c>
      <c r="D540" s="26"/>
      <c r="E540" s="24"/>
      <c r="F540" s="26"/>
      <c r="G540" s="24"/>
      <c r="H540" s="24"/>
      <c r="I540" s="26"/>
      <c r="J540" s="24"/>
      <c r="K540" s="26"/>
      <c r="L540" s="24"/>
      <c r="M540" s="24"/>
      <c r="N540" s="26"/>
      <c r="O540" s="26"/>
      <c r="P540" s="26"/>
      <c r="Q540" s="26"/>
      <c r="R540" s="26"/>
      <c r="S540" s="26"/>
      <c r="T540" s="26"/>
      <c r="U540" s="26"/>
      <c r="V540" s="26"/>
      <c r="W540" s="26">
        <f>MAX($C$7-VLOOKUP($C540,COS!$B$8:$H$991,3,FALSE),0)</f>
        <v>90859.5693359375</v>
      </c>
      <c r="X540" s="26">
        <f t="shared" si="769"/>
        <v>5586.7371558626037</v>
      </c>
      <c r="Y540" s="26">
        <f>VLOOKUP($C540,COS!$B$8:$H$991,4,FALSE)</f>
        <v>0</v>
      </c>
      <c r="Z540" s="26">
        <f t="shared" si="770"/>
        <v>0</v>
      </c>
      <c r="AA540" s="26">
        <f t="shared" ref="AA540:AA544" si="867">MIN(W540,Y540)</f>
        <v>0</v>
      </c>
      <c r="AB540" s="33">
        <f t="shared" ref="AB540" si="868">AA540*DAY($C540)*86400/43560/1000*IF(MONTH($C540)=8,$P$3,IF(MONTH($C540)=9,$P$4,IF(MONTH($C540)=10,$P$5,IF(MONTH($C540)=11,$P$6,IF(MONTH($C540)=12,$P$7,NA())))))</f>
        <v>0</v>
      </c>
    </row>
    <row r="541" spans="1:28" x14ac:dyDescent="0.3">
      <c r="A541" s="32">
        <f>VLOOKUP(YEAR(C541),Flags!$A$13:$B$95,2,FALSE)</f>
        <v>2</v>
      </c>
      <c r="B541" s="24">
        <f t="shared" si="841"/>
        <v>1980</v>
      </c>
      <c r="C541" s="25">
        <v>29494</v>
      </c>
      <c r="D541" s="26"/>
      <c r="E541" s="24"/>
      <c r="F541" s="26"/>
      <c r="G541" s="24"/>
      <c r="H541" s="24"/>
      <c r="I541" s="26"/>
      <c r="J541" s="24"/>
      <c r="K541" s="26">
        <f>VLOOKUP($C541,COS!$B$8:$H$991,2,FALSE)</f>
        <v>3161.38623046875</v>
      </c>
      <c r="L541" s="24">
        <f t="shared" ref="L541" si="869">IF(AND(K541&gt;$I$7,K541&lt;$I$8),1,0)</f>
        <v>1</v>
      </c>
      <c r="M541" s="24"/>
      <c r="N541" s="26"/>
      <c r="O541" s="26"/>
      <c r="P541" s="26"/>
      <c r="Q541" s="26"/>
      <c r="R541" s="26"/>
      <c r="S541" s="26"/>
      <c r="T541" s="26"/>
      <c r="U541" s="26"/>
      <c r="V541" s="26"/>
      <c r="W541" s="26">
        <f>MAX($C$8-VLOOKUP($C541,COS!$B$8:$H$991,3,FALSE),0)</f>
        <v>91065.9287109375</v>
      </c>
      <c r="X541" s="26">
        <f t="shared" si="769"/>
        <v>5418.7990637913226</v>
      </c>
      <c r="Y541" s="26">
        <f>VLOOKUP($C541,COS!$B$8:$H$991,4,FALSE)</f>
        <v>103.58695983886719</v>
      </c>
      <c r="Z541" s="26">
        <f t="shared" si="770"/>
        <v>6.1638521557011883</v>
      </c>
      <c r="AA541" s="26">
        <f t="shared" si="867"/>
        <v>103.58695983886719</v>
      </c>
      <c r="AB541" s="33">
        <f t="shared" si="854"/>
        <v>6.1638521557011883</v>
      </c>
    </row>
    <row r="542" spans="1:28" x14ac:dyDescent="0.3">
      <c r="A542" s="32">
        <f>VLOOKUP(YEAR(C542),Flags!$A$13:$B$95,2,FALSE)</f>
        <v>2</v>
      </c>
      <c r="B542" s="24">
        <f t="shared" si="841"/>
        <v>1980</v>
      </c>
      <c r="C542" s="25">
        <v>29525</v>
      </c>
      <c r="D542" s="26"/>
      <c r="E542" s="24"/>
      <c r="F542" s="26"/>
      <c r="G542" s="26"/>
      <c r="H542" s="26"/>
      <c r="I542" s="26"/>
      <c r="J542" s="26"/>
      <c r="K542" s="26"/>
      <c r="L542" s="24"/>
      <c r="M542" s="24"/>
      <c r="N542" s="26"/>
      <c r="O542" s="26"/>
      <c r="P542" s="26"/>
      <c r="Q542" s="26"/>
      <c r="R542" s="26"/>
      <c r="S542" s="26"/>
      <c r="T542" s="26"/>
      <c r="U542" s="26"/>
      <c r="V542" s="26"/>
      <c r="W542" s="26">
        <f>MAX($C$9-VLOOKUP($C542,COS!$B$8:$H$991,3,FALSE),0)</f>
        <v>93740.7666015625</v>
      </c>
      <c r="X542" s="26">
        <f t="shared" si="769"/>
        <v>5763.8950703770661</v>
      </c>
      <c r="Y542" s="26">
        <f>VLOOKUP($C542,COS!$B$8:$H$991,4,FALSE)</f>
        <v>295.8243408203125</v>
      </c>
      <c r="Z542" s="26">
        <f t="shared" si="770"/>
        <v>18.189529716554752</v>
      </c>
      <c r="AA542" s="26">
        <f t="shared" si="867"/>
        <v>295.8243408203125</v>
      </c>
      <c r="AB542" s="33">
        <f t="shared" si="854"/>
        <v>18.189529716554752</v>
      </c>
    </row>
    <row r="543" spans="1:28" x14ac:dyDescent="0.3">
      <c r="A543" s="32">
        <f>VLOOKUP(YEAR(C543),Flags!$A$13:$B$95,2,FALSE)</f>
        <v>2</v>
      </c>
      <c r="B543" s="24">
        <f t="shared" si="841"/>
        <v>1980</v>
      </c>
      <c r="C543" s="25">
        <v>29555</v>
      </c>
      <c r="D543" s="26"/>
      <c r="E543" s="24"/>
      <c r="F543" s="26"/>
      <c r="G543" s="26"/>
      <c r="H543" s="26"/>
      <c r="I543" s="26"/>
      <c r="J543" s="26"/>
      <c r="K543" s="26"/>
      <c r="L543" s="24"/>
      <c r="M543" s="24"/>
      <c r="N543" s="26"/>
      <c r="O543" s="26"/>
      <c r="P543" s="26"/>
      <c r="Q543" s="26"/>
      <c r="R543" s="26"/>
      <c r="S543" s="26"/>
      <c r="T543" s="26"/>
      <c r="U543" s="26"/>
      <c r="V543" s="26"/>
      <c r="W543" s="26">
        <f>MAX($C$10-VLOOKUP($C543,COS!$B$8:$H$991,3,FALSE),0)</f>
        <v>89348.224609375</v>
      </c>
      <c r="X543" s="26">
        <f t="shared" ref="X543:X606" si="870">W543*DAY($C543)*86400/43560/1000</f>
        <v>5316.5885717975207</v>
      </c>
      <c r="Y543" s="26">
        <f>VLOOKUP($C543,COS!$B$8:$H$991,4,FALSE)</f>
        <v>250.89311218261719</v>
      </c>
      <c r="Z543" s="26">
        <f t="shared" ref="Z543:Z606" si="871">Y543*DAY($C543)*86400/43560/1000</f>
        <v>14.929176923263173</v>
      </c>
      <c r="AA543" s="26">
        <f t="shared" si="867"/>
        <v>250.89311218261719</v>
      </c>
      <c r="AB543" s="33">
        <f t="shared" si="854"/>
        <v>14.929176923263173</v>
      </c>
    </row>
    <row r="544" spans="1:28" x14ac:dyDescent="0.3">
      <c r="A544" s="34">
        <f>VLOOKUP(YEAR(C544),Flags!$A$13:$B$95,2,FALSE)</f>
        <v>2</v>
      </c>
      <c r="B544" s="35">
        <f t="shared" si="841"/>
        <v>1980</v>
      </c>
      <c r="C544" s="36">
        <v>29586</v>
      </c>
      <c r="D544" s="37"/>
      <c r="E544" s="35"/>
      <c r="F544" s="37"/>
      <c r="G544" s="37"/>
      <c r="H544" s="37"/>
      <c r="I544" s="37"/>
      <c r="J544" s="37"/>
      <c r="K544" s="37"/>
      <c r="L544" s="35"/>
      <c r="M544" s="35"/>
      <c r="N544" s="37"/>
      <c r="O544" s="37"/>
      <c r="P544" s="37"/>
      <c r="Q544" s="37"/>
      <c r="R544" s="37"/>
      <c r="S544" s="37"/>
      <c r="T544" s="37"/>
      <c r="U544" s="37"/>
      <c r="V544" s="37"/>
      <c r="W544" s="37">
        <f>MAX($C$11-VLOOKUP($C544,COS!$B$8:$H$991,3,FALSE),0)</f>
        <v>96749</v>
      </c>
      <c r="X544" s="37">
        <f t="shared" si="870"/>
        <v>5948.8641322314052</v>
      </c>
      <c r="Y544" s="37">
        <f>VLOOKUP($C544,COS!$B$8:$H$991,4,FALSE)</f>
        <v>0</v>
      </c>
      <c r="Z544" s="37">
        <f t="shared" si="871"/>
        <v>0</v>
      </c>
      <c r="AA544" s="37">
        <f t="shared" si="867"/>
        <v>0</v>
      </c>
      <c r="AB544" s="38">
        <f t="shared" si="854"/>
        <v>0</v>
      </c>
    </row>
    <row r="545" spans="1:28" x14ac:dyDescent="0.3">
      <c r="A545" s="27">
        <f>VLOOKUP(YEAR(C545),Flags!$A$13:$B$95,2,FALSE)</f>
        <v>4</v>
      </c>
      <c r="B545" s="28">
        <f t="shared" si="841"/>
        <v>1981</v>
      </c>
      <c r="C545" s="29">
        <v>29706</v>
      </c>
      <c r="D545" s="30">
        <f>VLOOKUP($C545,COS!$B$8:$H$991,3,FALSE)</f>
        <v>3250</v>
      </c>
      <c r="E545" s="28">
        <f>IF(D545&gt;=IF(MONTH($C545)=4,$C$3,IF(MONTH($C545)=5,$C$4,IF(MONTH($C545)=6,$C$5,IF(MONTH($C545)=7,$C$6,"ERROR")))),1,0)</f>
        <v>0</v>
      </c>
      <c r="F545" s="30">
        <f>VLOOKUP($C545,COS!$B$8:$H$991,7,FALSE)</f>
        <v>51.835830688476563</v>
      </c>
      <c r="G545" s="28">
        <f>IF(F545&lt;=IF(MONTH($C545)=4,$F$3,IF(MONTH($C545)=5,$F$4,IF(MONTH($C545)=6,$F$5,IF(MONTH($C545)=7,$F$6,"ERROR")))),1,0)</f>
        <v>1</v>
      </c>
      <c r="H545" s="30">
        <f>IF(J545=1,D545-$C$3,0)</f>
        <v>0</v>
      </c>
      <c r="I545" s="30">
        <f t="shared" ref="I545:I608" si="872">H545*DAY($C545)*86400/43560/1000</f>
        <v>0</v>
      </c>
      <c r="J545" s="28">
        <f t="shared" ref="J545:J548" si="873">IF(AND(E545=1,G545=1),1,0)</f>
        <v>0</v>
      </c>
      <c r="K545" s="30">
        <f>VLOOKUP($C545,COS!$B$8:$H$991,2,FALSE)</f>
        <v>4273.45361328125</v>
      </c>
      <c r="L545" s="28">
        <f t="shared" ref="L545" si="874">IF(K545&lt;=IF(MONTH($C545)=4,$I$3,IF(MONTH($C545)=5,$I$4,IF(MONTH($C545)=6,$I$5,IF(MONTH($C545)=7,$I$6,"ERROR")))),1,0)</f>
        <v>1</v>
      </c>
      <c r="M545" s="28">
        <f t="shared" ref="M545" si="875">VLOOKUP($A545,$L$3:$M$7,2,FALSE)</f>
        <v>1</v>
      </c>
      <c r="N545" s="30">
        <f>VLOOKUP($C545,COS!$B$8:$H$991,5,FALSE)</f>
        <v>216.92788696289063</v>
      </c>
      <c r="O545" s="30">
        <f t="shared" ref="O545:O548" si="876">N545*DAY($C545)*86400/43560/1000</f>
        <v>12.908105670519111</v>
      </c>
      <c r="P545" s="30">
        <f>VLOOKUP($C545,COS!$B$8:$H$991,6,FALSE)</f>
        <v>405.1795654296875</v>
      </c>
      <c r="Q545" s="30">
        <f t="shared" ref="Q545:Q548" si="877">P545*DAY($C545)*86400/43560/1000</f>
        <v>24.109858438791321</v>
      </c>
      <c r="R545" s="30">
        <f>MIN(IF(MONTH($C545)=4,$S$3,IF(MONTH($C545)=5,$S$4,IF(MONTH($C545)=6,$S$5,IF(MONTH($C545)=7,$S$6,"ERROR")))),MAX(VLOOKUP($C545,COS!$B$8:$K$991,10,FALSE)-IF(MONTH($C545)=4,$Y$3,IF(MONTH($C545)=5,$Y$4,IF(MONTH($C545)=6,$Y$5,IF(MONTH($C545)=7,$Y$6,"ERROR")))),0),MAX(VLOOKUP($C545,COS!$B$8:$K$991,9,FALSE)-IF(MONTH($C545)=4,$V$3,IF(MONTH($C545)=5,$V$4,IF(MONTH($C545)=6,$V$5,IF(MONTH($C545)=7,$V$6,"ERROR"))))-VLOOKUP($C545,COS!$B$8:$K$991,6,FALSE)/2,0))</f>
        <v>1500</v>
      </c>
      <c r="S545" s="30">
        <f t="shared" ref="S545:S548" si="878">R545*DAY($C545)*86400/43560/1000</f>
        <v>89.256198347107429</v>
      </c>
      <c r="T545" s="30">
        <f t="shared" ref="T545:T548" si="879">(O545+Q545)/2+S545</f>
        <v>107.76518040176265</v>
      </c>
      <c r="U545" s="30" t="str">
        <f>IF(VLOOKUP($C545,COS!$B$8:$I$991,8,FALSE)=1,"UWFE","IBU")</f>
        <v>UWFE</v>
      </c>
      <c r="V545" s="30">
        <f t="shared" ref="V545" si="880">MIN(IF(IF($AA$3=2,AND(E545=1,G545=1,L545=1,L550=1,M545=1,U545="IBU"),AND(E545=1,G545=1,L545=1,L550=1,M545=1)),T545,0),I545)</f>
        <v>0</v>
      </c>
      <c r="W545" s="30"/>
      <c r="X545" s="30"/>
      <c r="Y545" s="30"/>
      <c r="Z545" s="30"/>
      <c r="AA545" s="30"/>
      <c r="AB545" s="31"/>
    </row>
    <row r="546" spans="1:28" x14ac:dyDescent="0.3">
      <c r="A546" s="32">
        <f>VLOOKUP(YEAR(C546),Flags!$A$13:$B$95,2,FALSE)</f>
        <v>4</v>
      </c>
      <c r="B546" s="24">
        <f t="shared" si="841"/>
        <v>1981</v>
      </c>
      <c r="C546" s="25">
        <v>29737</v>
      </c>
      <c r="D546" s="26">
        <f>VLOOKUP($C546,COS!$B$8:$H$991,3,FALSE)</f>
        <v>7636.04248046875</v>
      </c>
      <c r="E546" s="24">
        <f>IF(D546&gt;=IF(MONTH($C546)=4,$C$3,IF(MONTH($C546)=5,$C$4,IF(MONTH($C546)=6,$C$5,IF(MONTH($C546)=7,$C$6,"ERROR")))),1,0)</f>
        <v>1</v>
      </c>
      <c r="F546" s="26">
        <f>VLOOKUP($C546,COS!$B$8:$H$991,7,FALSE)</f>
        <v>50.98291015625</v>
      </c>
      <c r="G546" s="24">
        <f>IF(F546&lt;=IF(MONTH($C546)=4,$F$3,IF(MONTH($C546)=5,$F$4,IF(MONTH($C546)=6,$F$5,IF(MONTH($C546)=7,$F$6,"ERROR")))),1,0)</f>
        <v>1</v>
      </c>
      <c r="H546" s="26">
        <f>IF(J546=1,D546-$C$4,0)</f>
        <v>1636.04248046875</v>
      </c>
      <c r="I546" s="26">
        <f t="shared" si="872"/>
        <v>100.59633103047521</v>
      </c>
      <c r="J546" s="24">
        <f t="shared" si="873"/>
        <v>1</v>
      </c>
      <c r="K546" s="26">
        <f>VLOOKUP($C546,COS!$B$8:$H$991,2,FALSE)</f>
        <v>4072.649658203125</v>
      </c>
      <c r="L546" s="24">
        <f t="shared" si="843"/>
        <v>1</v>
      </c>
      <c r="M546" s="24">
        <f t="shared" si="844"/>
        <v>1</v>
      </c>
      <c r="N546" s="26">
        <f>VLOOKUP($C546,COS!$B$8:$H$991,5,FALSE)</f>
        <v>512.199951171875</v>
      </c>
      <c r="O546" s="26">
        <f t="shared" si="876"/>
        <v>31.493947410898759</v>
      </c>
      <c r="P546" s="26">
        <f>VLOOKUP($C546,COS!$B$8:$H$991,6,FALSE)</f>
        <v>2162.07861328125</v>
      </c>
      <c r="Q546" s="26">
        <f t="shared" si="877"/>
        <v>132.94103208935951</v>
      </c>
      <c r="R546" s="26">
        <f>MIN(IF(MONTH($C546)=4,$S$3,IF(MONTH($C546)=5,$S$4,IF(MONTH($C546)=6,$S$5,IF(MONTH($C546)=7,$S$6,"ERROR")))),MAX(VLOOKUP($C546,COS!$B$8:$K$991,10,FALSE)-IF(MONTH($C546)=4,$Y$3,IF(MONTH($C546)=5,$Y$4,IF(MONTH($C546)=6,$Y$5,IF(MONTH($C546)=7,$Y$6,"ERROR")))),0),MAX(VLOOKUP($C546,COS!$B$8:$K$991,9,FALSE)-IF(MONTH($C546)=4,$V$3,IF(MONTH($C546)=5,$V$4,IF(MONTH($C546)=6,$V$5,IF(MONTH($C546)=7,$V$6,"ERROR"))))-VLOOKUP($C546,COS!$B$8:$K$991,6,FALSE)/2,0))</f>
        <v>1500</v>
      </c>
      <c r="S546" s="26">
        <f t="shared" si="878"/>
        <v>92.231404958677686</v>
      </c>
      <c r="T546" s="26">
        <f t="shared" si="879"/>
        <v>174.44889470880682</v>
      </c>
      <c r="U546" s="26" t="str">
        <f>IF(VLOOKUP($C546,COS!$B$8:$I$991,8,FALSE)=1,"UWFE","IBU")</f>
        <v>IBU</v>
      </c>
      <c r="V546" s="26">
        <f t="shared" ref="V546" si="881">MIN(IF(IF($AA$3=2,AND(E546=1,G546=1,L546=1,L550=1,M546=1,U546="IBU"),AND(E546=1,G546=1,L546=1,L550=1,M546=1)),T546,0),I546)</f>
        <v>100.59633103047521</v>
      </c>
      <c r="W546" s="26"/>
      <c r="X546" s="26"/>
      <c r="Y546" s="26"/>
      <c r="Z546" s="26"/>
      <c r="AA546" s="26"/>
      <c r="AB546" s="33"/>
    </row>
    <row r="547" spans="1:28" x14ac:dyDescent="0.3">
      <c r="A547" s="32">
        <f>VLOOKUP(YEAR(C547),Flags!$A$13:$B$95,2,FALSE)</f>
        <v>4</v>
      </c>
      <c r="B547" s="24">
        <f t="shared" si="841"/>
        <v>1981</v>
      </c>
      <c r="C547" s="25">
        <v>29767</v>
      </c>
      <c r="D547" s="26">
        <f>VLOOKUP($C547,COS!$B$8:$H$991,3,FALSE)</f>
        <v>14118.259765625</v>
      </c>
      <c r="E547" s="24">
        <f>IF(D547&gt;=IF(MONTH($C547)=4,$C$3,IF(MONTH($C547)=5,$C$4,IF(MONTH($C547)=6,$C$5,IF(MONTH($C547)=7,$C$6,"ERROR")))),1,0)</f>
        <v>1</v>
      </c>
      <c r="F547" s="26">
        <f>VLOOKUP($C547,COS!$B$8:$H$991,7,FALSE)</f>
        <v>50.939315795898438</v>
      </c>
      <c r="G547" s="24">
        <f>IF(F547&lt;=IF(MONTH($C547)=4,$F$3,IF(MONTH($C547)=5,$F$4,IF(MONTH($C547)=6,$F$5,IF(MONTH($C547)=7,$F$6,"ERROR")))),1,0)</f>
        <v>1</v>
      </c>
      <c r="H547" s="26">
        <f>IF(J547=1,D547-$C$5,0)</f>
        <v>4118.259765625</v>
      </c>
      <c r="I547" s="26">
        <f t="shared" si="872"/>
        <v>245.0534736570248</v>
      </c>
      <c r="J547" s="24">
        <f t="shared" si="873"/>
        <v>1</v>
      </c>
      <c r="K547" s="26">
        <f>VLOOKUP($C547,COS!$B$8:$H$991,2,FALSE)</f>
        <v>3447.17138671875</v>
      </c>
      <c r="L547" s="24">
        <f t="shared" si="843"/>
        <v>1</v>
      </c>
      <c r="M547" s="24">
        <f t="shared" si="844"/>
        <v>1</v>
      </c>
      <c r="N547" s="26">
        <f>VLOOKUP($C547,COS!$B$8:$H$991,5,FALSE)</f>
        <v>824.02752685546875</v>
      </c>
      <c r="O547" s="26">
        <f t="shared" si="876"/>
        <v>49.033042920325407</v>
      </c>
      <c r="P547" s="26">
        <f>VLOOKUP($C547,COS!$B$8:$H$991,6,FALSE)</f>
        <v>2714.961669921875</v>
      </c>
      <c r="Q547" s="26">
        <f t="shared" si="877"/>
        <v>161.55143821022727</v>
      </c>
      <c r="R547" s="26">
        <f>MIN(IF(MONTH($C547)=4,$S$3,IF(MONTH($C547)=5,$S$4,IF(MONTH($C547)=6,$S$5,IF(MONTH($C547)=7,$S$6,"ERROR")))),MAX(VLOOKUP($C547,COS!$B$8:$K$991,10,FALSE)-IF(MONTH($C547)=4,$Y$3,IF(MONTH($C547)=5,$Y$4,IF(MONTH($C547)=6,$Y$5,IF(MONTH($C547)=7,$Y$6,"ERROR")))),0),MAX(VLOOKUP($C547,COS!$B$8:$K$991,9,FALSE)-IF(MONTH($C547)=4,$V$3,IF(MONTH($C547)=5,$V$4,IF(MONTH($C547)=6,$V$5,IF(MONTH($C547)=7,$V$6,"ERROR"))))-VLOOKUP($C547,COS!$B$8:$K$991,6,FALSE)/2,0))</f>
        <v>1500</v>
      </c>
      <c r="S547" s="26">
        <f t="shared" si="878"/>
        <v>89.256198347107429</v>
      </c>
      <c r="T547" s="26">
        <f t="shared" si="879"/>
        <v>194.54843891238377</v>
      </c>
      <c r="U547" s="26" t="str">
        <f>IF(VLOOKUP($C547,COS!$B$8:$I$991,8,FALSE)=1,"UWFE","IBU")</f>
        <v>IBU</v>
      </c>
      <c r="V547" s="26">
        <f t="shared" ref="V547" si="882">MIN(IF(IF($AA$3=2,AND(E547=1,G547=1,L547=1,L550=1,M547=1,U547="IBU"),AND(E547=1,G547=1,L547=1,L550=1,M547=1)),T547,0),I547)</f>
        <v>194.54843891238377</v>
      </c>
      <c r="W547" s="26"/>
      <c r="X547" s="26"/>
      <c r="Y547" s="26"/>
      <c r="Z547" s="26"/>
      <c r="AA547" s="26"/>
      <c r="AB547" s="33"/>
    </row>
    <row r="548" spans="1:28" x14ac:dyDescent="0.3">
      <c r="A548" s="32">
        <f>VLOOKUP(YEAR(C548),Flags!$A$13:$B$95,2,FALSE)</f>
        <v>4</v>
      </c>
      <c r="B548" s="24">
        <f t="shared" si="841"/>
        <v>1981</v>
      </c>
      <c r="C548" s="25">
        <v>29798</v>
      </c>
      <c r="D548" s="26">
        <f>VLOOKUP($C548,COS!$B$8:$H$991,3,FALSE)</f>
        <v>16000</v>
      </c>
      <c r="E548" s="24">
        <f>IF(D548&gt;=IF(MONTH($C548)=4,$C$3,IF(MONTH($C548)=5,$C$4,IF(MONTH($C548)=6,$C$5,IF(MONTH($C548)=7,$C$6,"ERROR")))),1,0)</f>
        <v>1</v>
      </c>
      <c r="F548" s="26">
        <f>VLOOKUP($C548,COS!$B$8:$H$991,7,FALSE)</f>
        <v>52.245452880859375</v>
      </c>
      <c r="G548" s="24">
        <f>IF(F548&lt;=IF(MONTH($C548)=4,$F$3,IF(MONTH($C548)=5,$F$4,IF(MONTH($C548)=6,$F$5,IF(MONTH($C548)=7,$F$6,"ERROR")))),1,0)</f>
        <v>1</v>
      </c>
      <c r="H548" s="26">
        <f>IF(J548=1,D548-$C$6,0)</f>
        <v>4000</v>
      </c>
      <c r="I548" s="26">
        <f t="shared" si="872"/>
        <v>245.95041322314049</v>
      </c>
      <c r="J548" s="24">
        <f t="shared" si="873"/>
        <v>1</v>
      </c>
      <c r="K548" s="26">
        <f>VLOOKUP($C548,COS!$B$8:$H$991,2,FALSE)</f>
        <v>2809.813720703125</v>
      </c>
      <c r="L548" s="24">
        <f t="shared" si="843"/>
        <v>1</v>
      </c>
      <c r="M548" s="24">
        <f t="shared" si="844"/>
        <v>1</v>
      </c>
      <c r="N548" s="26">
        <f>VLOOKUP($C548,COS!$B$8:$H$991,5,FALSE)</f>
        <v>902.334716796875</v>
      </c>
      <c r="O548" s="26">
        <f t="shared" si="876"/>
        <v>55.48239911544421</v>
      </c>
      <c r="P548" s="26">
        <f>VLOOKUP($C548,COS!$B$8:$H$991,6,FALSE)</f>
        <v>2538.07568359375</v>
      </c>
      <c r="Q548" s="26">
        <f t="shared" si="877"/>
        <v>156.06019079287191</v>
      </c>
      <c r="R548" s="26">
        <f>MIN(IF(MONTH($C548)=4,$S$3,IF(MONTH($C548)=5,$S$4,IF(MONTH($C548)=6,$S$5,IF(MONTH($C548)=7,$S$6,"ERROR")))),MAX(VLOOKUP($C548,COS!$B$8:$K$991,10,FALSE)-IF(MONTH($C548)=4,$Y$3,IF(MONTH($C548)=5,$Y$4,IF(MONTH($C548)=6,$Y$5,IF(MONTH($C548)=7,$Y$6,"ERROR")))),0),MAX(VLOOKUP($C548,COS!$B$8:$K$991,9,FALSE)-IF(MONTH($C548)=4,$V$3,IF(MONTH($C548)=5,$V$4,IF(MONTH($C548)=6,$V$5,IF(MONTH($C548)=7,$V$6,"ERROR"))))-VLOOKUP($C548,COS!$B$8:$K$991,6,FALSE)/2,0))</f>
        <v>1500</v>
      </c>
      <c r="S548" s="26">
        <f t="shared" si="878"/>
        <v>92.231404958677686</v>
      </c>
      <c r="T548" s="26">
        <f t="shared" si="879"/>
        <v>198.00269991283574</v>
      </c>
      <c r="U548" s="26" t="str">
        <f>IF(VLOOKUP($C548,COS!$B$8:$I$991,8,FALSE)=1,"UWFE","IBU")</f>
        <v>IBU</v>
      </c>
      <c r="V548" s="26">
        <f t="shared" ref="V548" si="883">MIN(IF(IF($AA$3=2,AND(E548=1,G548=1,L548=1,L550=1,M548=1,U548="IBU"),AND(E548=1,G548=1,L548=1,L550=1,M548=1)),T548,0),I548)</f>
        <v>198.00269991283574</v>
      </c>
      <c r="W548" s="26"/>
      <c r="X548" s="26"/>
      <c r="Y548" s="26"/>
      <c r="Z548" s="26"/>
      <c r="AA548" s="26"/>
      <c r="AB548" s="33"/>
    </row>
    <row r="549" spans="1:28" x14ac:dyDescent="0.3">
      <c r="A549" s="32">
        <f>VLOOKUP(YEAR(C549),Flags!$A$13:$B$95,2,FALSE)</f>
        <v>4</v>
      </c>
      <c r="B549" s="24">
        <f t="shared" si="841"/>
        <v>1981</v>
      </c>
      <c r="C549" s="25">
        <v>29829</v>
      </c>
      <c r="D549" s="26"/>
      <c r="E549" s="24"/>
      <c r="F549" s="26"/>
      <c r="G549" s="24"/>
      <c r="H549" s="24"/>
      <c r="I549" s="26"/>
      <c r="J549" s="24"/>
      <c r="K549" s="26"/>
      <c r="L549" s="24"/>
      <c r="M549" s="24"/>
      <c r="N549" s="26"/>
      <c r="O549" s="26"/>
      <c r="P549" s="26"/>
      <c r="Q549" s="26"/>
      <c r="R549" s="26"/>
      <c r="S549" s="26"/>
      <c r="T549" s="26"/>
      <c r="U549" s="26"/>
      <c r="V549" s="26"/>
      <c r="W549" s="26">
        <f>MAX($C$7-VLOOKUP($C549,COS!$B$8:$H$991,3,FALSE),0)</f>
        <v>91031.4130859375</v>
      </c>
      <c r="X549" s="26">
        <f t="shared" si="870"/>
        <v>5597.3034161931819</v>
      </c>
      <c r="Y549" s="26">
        <f>VLOOKUP($C549,COS!$B$8:$H$991,4,FALSE)</f>
        <v>3055.62109375</v>
      </c>
      <c r="Z549" s="26">
        <f t="shared" si="871"/>
        <v>187.88281766528925</v>
      </c>
      <c r="AA549" s="26">
        <f t="shared" ref="AA549:AA553" si="884">MIN(W549,Y549)</f>
        <v>3055.62109375</v>
      </c>
      <c r="AB549" s="33">
        <f t="shared" ref="AB549" si="885">AA549*DAY($C549)*86400/43560/1000*IF(MONTH($C549)=8,$P$3,IF(MONTH($C549)=9,$P$4,IF(MONTH($C549)=10,$P$5,IF(MONTH($C549)=11,$P$6,IF(MONTH($C549)=12,$P$7,NA())))))</f>
        <v>187.88281766528925</v>
      </c>
    </row>
    <row r="550" spans="1:28" x14ac:dyDescent="0.3">
      <c r="A550" s="32">
        <f>VLOOKUP(YEAR(C550),Flags!$A$13:$B$95,2,FALSE)</f>
        <v>4</v>
      </c>
      <c r="B550" s="24">
        <f t="shared" si="841"/>
        <v>1981</v>
      </c>
      <c r="C550" s="25">
        <v>29859</v>
      </c>
      <c r="D550" s="26"/>
      <c r="E550" s="24"/>
      <c r="F550" s="26"/>
      <c r="G550" s="24"/>
      <c r="H550" s="24"/>
      <c r="I550" s="26"/>
      <c r="J550" s="24"/>
      <c r="K550" s="26">
        <f>VLOOKUP($C550,COS!$B$8:$H$991,2,FALSE)</f>
        <v>2475.966796875</v>
      </c>
      <c r="L550" s="24">
        <f t="shared" ref="L550" si="886">IF(AND(K550&gt;$I$7,K550&lt;$I$8),1,0)</f>
        <v>1</v>
      </c>
      <c r="M550" s="24"/>
      <c r="N550" s="26"/>
      <c r="O550" s="26"/>
      <c r="P550" s="26"/>
      <c r="Q550" s="26"/>
      <c r="R550" s="26"/>
      <c r="S550" s="26"/>
      <c r="T550" s="26"/>
      <c r="U550" s="26"/>
      <c r="V550" s="26"/>
      <c r="W550" s="26">
        <f>MAX($C$8-VLOOKUP($C550,COS!$B$8:$H$991,3,FALSE),0)</f>
        <v>94645.4052734375</v>
      </c>
      <c r="X550" s="26">
        <f t="shared" si="870"/>
        <v>5631.7927104855371</v>
      </c>
      <c r="Y550" s="26">
        <f>VLOOKUP($C550,COS!$B$8:$H$991,4,FALSE)</f>
        <v>917.53326416015625</v>
      </c>
      <c r="Z550" s="26">
        <f t="shared" si="871"/>
        <v>54.597020677298552</v>
      </c>
      <c r="AA550" s="26">
        <f t="shared" si="884"/>
        <v>917.53326416015625</v>
      </c>
      <c r="AB550" s="33">
        <f t="shared" si="854"/>
        <v>54.597020677298552</v>
      </c>
    </row>
    <row r="551" spans="1:28" x14ac:dyDescent="0.3">
      <c r="A551" s="32">
        <f>VLOOKUP(YEAR(C551),Flags!$A$13:$B$95,2,FALSE)</f>
        <v>4</v>
      </c>
      <c r="B551" s="24">
        <f t="shared" si="841"/>
        <v>1981</v>
      </c>
      <c r="C551" s="25">
        <v>29890</v>
      </c>
      <c r="D551" s="26"/>
      <c r="E551" s="24"/>
      <c r="F551" s="26"/>
      <c r="G551" s="26"/>
      <c r="H551" s="26"/>
      <c r="I551" s="26"/>
      <c r="J551" s="26"/>
      <c r="K551" s="26"/>
      <c r="L551" s="24"/>
      <c r="M551" s="24"/>
      <c r="N551" s="26"/>
      <c r="O551" s="26"/>
      <c r="P551" s="26"/>
      <c r="Q551" s="26"/>
      <c r="R551" s="26"/>
      <c r="S551" s="26"/>
      <c r="T551" s="26"/>
      <c r="U551" s="26"/>
      <c r="V551" s="26"/>
      <c r="W551" s="26">
        <f>MAX($C$9-VLOOKUP($C551,COS!$B$8:$H$991,3,FALSE),0)</f>
        <v>96679.089599609375</v>
      </c>
      <c r="X551" s="26">
        <f t="shared" si="870"/>
        <v>5944.5655092652378</v>
      </c>
      <c r="Y551" s="26">
        <f>VLOOKUP($C551,COS!$B$8:$H$991,4,FALSE)</f>
        <v>1399.4996337890625</v>
      </c>
      <c r="Z551" s="26">
        <f t="shared" si="871"/>
        <v>86.051878309013418</v>
      </c>
      <c r="AA551" s="26">
        <f t="shared" si="884"/>
        <v>1399.4996337890625</v>
      </c>
      <c r="AB551" s="33">
        <f t="shared" si="854"/>
        <v>86.051878309013418</v>
      </c>
    </row>
    <row r="552" spans="1:28" x14ac:dyDescent="0.3">
      <c r="A552" s="32">
        <f>VLOOKUP(YEAR(C552),Flags!$A$13:$B$95,2,FALSE)</f>
        <v>4</v>
      </c>
      <c r="B552" s="24">
        <f t="shared" si="841"/>
        <v>1981</v>
      </c>
      <c r="C552" s="25">
        <v>29920</v>
      </c>
      <c r="D552" s="26"/>
      <c r="E552" s="24"/>
      <c r="F552" s="26"/>
      <c r="G552" s="26"/>
      <c r="H552" s="26"/>
      <c r="I552" s="26"/>
      <c r="J552" s="26"/>
      <c r="K552" s="26"/>
      <c r="L552" s="24"/>
      <c r="M552" s="24"/>
      <c r="N552" s="26"/>
      <c r="O552" s="26"/>
      <c r="P552" s="26"/>
      <c r="Q552" s="26"/>
      <c r="R552" s="26"/>
      <c r="S552" s="26"/>
      <c r="T552" s="26"/>
      <c r="U552" s="26"/>
      <c r="V552" s="26"/>
      <c r="W552" s="26">
        <f>MAX($C$10-VLOOKUP($C552,COS!$B$8:$H$991,3,FALSE),0)</f>
        <v>91684.076171875</v>
      </c>
      <c r="X552" s="26">
        <f t="shared" si="870"/>
        <v>5455.5813920454539</v>
      </c>
      <c r="Y552" s="26">
        <f>VLOOKUP($C552,COS!$B$8:$H$991,4,FALSE)</f>
        <v>0</v>
      </c>
      <c r="Z552" s="26">
        <f t="shared" si="871"/>
        <v>0</v>
      </c>
      <c r="AA552" s="26">
        <f t="shared" si="884"/>
        <v>0</v>
      </c>
      <c r="AB552" s="33">
        <f t="shared" si="854"/>
        <v>0</v>
      </c>
    </row>
    <row r="553" spans="1:28" x14ac:dyDescent="0.3">
      <c r="A553" s="34">
        <f>VLOOKUP(YEAR(C553),Flags!$A$13:$B$95,2,FALSE)</f>
        <v>4</v>
      </c>
      <c r="B553" s="35">
        <f t="shared" si="841"/>
        <v>1981</v>
      </c>
      <c r="C553" s="36">
        <v>29951</v>
      </c>
      <c r="D553" s="37"/>
      <c r="E553" s="35"/>
      <c r="F553" s="37"/>
      <c r="G553" s="37"/>
      <c r="H553" s="37"/>
      <c r="I553" s="37"/>
      <c r="J553" s="37"/>
      <c r="K553" s="37"/>
      <c r="L553" s="35"/>
      <c r="M553" s="35"/>
      <c r="N553" s="37"/>
      <c r="O553" s="37"/>
      <c r="P553" s="37"/>
      <c r="Q553" s="37"/>
      <c r="R553" s="37"/>
      <c r="S553" s="37"/>
      <c r="T553" s="37"/>
      <c r="U553" s="37"/>
      <c r="V553" s="37"/>
      <c r="W553" s="37">
        <f>MAX($C$11-VLOOKUP($C553,COS!$B$8:$H$991,3,FALSE),0)</f>
        <v>74910.2109375</v>
      </c>
      <c r="X553" s="37">
        <f t="shared" si="870"/>
        <v>4606.0493336776863</v>
      </c>
      <c r="Y553" s="37">
        <f>VLOOKUP($C553,COS!$B$8:$H$991,4,FALSE)</f>
        <v>0</v>
      </c>
      <c r="Z553" s="37">
        <f t="shared" si="871"/>
        <v>0</v>
      </c>
      <c r="AA553" s="37">
        <f t="shared" si="884"/>
        <v>0</v>
      </c>
      <c r="AB553" s="38">
        <f t="shared" si="854"/>
        <v>0</v>
      </c>
    </row>
    <row r="554" spans="1:28" x14ac:dyDescent="0.3">
      <c r="A554" s="27">
        <f>VLOOKUP(YEAR(C554),Flags!$A$13:$B$95,2,FALSE)</f>
        <v>1</v>
      </c>
      <c r="B554" s="28">
        <f t="shared" si="841"/>
        <v>1982</v>
      </c>
      <c r="C554" s="29">
        <v>30071</v>
      </c>
      <c r="D554" s="30">
        <f>VLOOKUP($C554,COS!$B$8:$H$991,3,FALSE)</f>
        <v>24913.6875</v>
      </c>
      <c r="E554" s="28">
        <f>IF(D554&gt;=IF(MONTH($C554)=4,$C$3,IF(MONTH($C554)=5,$C$4,IF(MONTH($C554)=6,$C$5,IF(MONTH($C554)=7,$C$6,"ERROR")))),1,0)</f>
        <v>1</v>
      </c>
      <c r="F554" s="30">
        <f>VLOOKUP($C554,COS!$B$8:$H$991,7,FALSE)</f>
        <v>46.657176971435547</v>
      </c>
      <c r="G554" s="28">
        <f>IF(F554&lt;=IF(MONTH($C554)=4,$F$3,IF(MONTH($C554)=5,$F$4,IF(MONTH($C554)=6,$F$5,IF(MONTH($C554)=7,$F$6,"ERROR")))),1,0)</f>
        <v>1</v>
      </c>
      <c r="H554" s="30">
        <f>IF(J554=1,D554-$C$3,0)</f>
        <v>18913.6875</v>
      </c>
      <c r="I554" s="30">
        <f t="shared" si="872"/>
        <v>1125.442561983471</v>
      </c>
      <c r="J554" s="28">
        <f t="shared" ref="J554:J557" si="887">IF(AND(E554=1,G554=1),1,0)</f>
        <v>1</v>
      </c>
      <c r="K554" s="30">
        <f>VLOOKUP($C554,COS!$B$8:$H$991,2,FALSE)</f>
        <v>4094</v>
      </c>
      <c r="L554" s="28">
        <f t="shared" ref="L554" si="888">IF(K554&lt;=IF(MONTH($C554)=4,$I$3,IF(MONTH($C554)=5,$I$4,IF(MONTH($C554)=6,$I$5,IF(MONTH($C554)=7,$I$6,"ERROR")))),1,0)</f>
        <v>1</v>
      </c>
      <c r="M554" s="28">
        <f t="shared" ref="M554" si="889">VLOOKUP($A554,$L$3:$M$7,2,FALSE)</f>
        <v>0</v>
      </c>
      <c r="N554" s="30">
        <f>VLOOKUP($C554,COS!$B$8:$H$991,5,FALSE)</f>
        <v>47.432540893554688</v>
      </c>
      <c r="O554" s="30">
        <f t="shared" ref="O554:O557" si="890">N554*DAY($C554)*86400/43560/1000</f>
        <v>2.8224321854016012</v>
      </c>
      <c r="P554" s="30">
        <f>VLOOKUP($C554,COS!$B$8:$H$991,6,FALSE)</f>
        <v>305.73114013671875</v>
      </c>
      <c r="Q554" s="30">
        <f t="shared" ref="Q554:Q557" si="891">P554*DAY($C554)*86400/43560/1000</f>
        <v>18.192266189953511</v>
      </c>
      <c r="R554" s="30">
        <f>MIN(IF(MONTH($C554)=4,$S$3,IF(MONTH($C554)=5,$S$4,IF(MONTH($C554)=6,$S$5,IF(MONTH($C554)=7,$S$6,"ERROR")))),MAX(VLOOKUP($C554,COS!$B$8:$K$991,10,FALSE)-IF(MONTH($C554)=4,$Y$3,IF(MONTH($C554)=5,$Y$4,IF(MONTH($C554)=6,$Y$5,IF(MONTH($C554)=7,$Y$6,"ERROR")))),0),MAX(VLOOKUP($C554,COS!$B$8:$K$991,9,FALSE)-IF(MONTH($C554)=4,$V$3,IF(MONTH($C554)=5,$V$4,IF(MONTH($C554)=6,$V$5,IF(MONTH($C554)=7,$V$6,"ERROR"))))-VLOOKUP($C554,COS!$B$8:$K$991,6,FALSE)/2,0))</f>
        <v>1500</v>
      </c>
      <c r="S554" s="30">
        <f t="shared" ref="S554:S557" si="892">R554*DAY($C554)*86400/43560/1000</f>
        <v>89.256198347107429</v>
      </c>
      <c r="T554" s="30">
        <f t="shared" ref="T554:T557" si="893">(O554+Q554)/2+S554</f>
        <v>99.76354753478499</v>
      </c>
      <c r="U554" s="30" t="str">
        <f>IF(VLOOKUP($C554,COS!$B$8:$I$991,8,FALSE)=1,"UWFE","IBU")</f>
        <v>UWFE</v>
      </c>
      <c r="V554" s="30">
        <f t="shared" ref="V554" si="894">MIN(IF(IF($AA$3=2,AND(E554=1,G554=1,L554=1,L559=1,M554=1,U554="IBU"),AND(E554=1,G554=1,L554=1,L559=1,M554=1)),T554,0),I554)</f>
        <v>0</v>
      </c>
      <c r="W554" s="30"/>
      <c r="X554" s="30"/>
      <c r="Y554" s="30"/>
      <c r="Z554" s="30"/>
      <c r="AA554" s="30"/>
      <c r="AB554" s="31"/>
    </row>
    <row r="555" spans="1:28" x14ac:dyDescent="0.3">
      <c r="A555" s="32">
        <f>VLOOKUP(YEAR(C555),Flags!$A$13:$B$95,2,FALSE)</f>
        <v>1</v>
      </c>
      <c r="B555" s="24">
        <f t="shared" si="841"/>
        <v>1982</v>
      </c>
      <c r="C555" s="25">
        <v>30102</v>
      </c>
      <c r="D555" s="26">
        <f>VLOOKUP($C555,COS!$B$8:$H$991,3,FALSE)</f>
        <v>3472.723876953125</v>
      </c>
      <c r="E555" s="24">
        <f>IF(D555&gt;=IF(MONTH($C555)=4,$C$3,IF(MONTH($C555)=5,$C$4,IF(MONTH($C555)=6,$C$5,IF(MONTH($C555)=7,$C$6,"ERROR")))),1,0)</f>
        <v>0</v>
      </c>
      <c r="F555" s="26">
        <f>VLOOKUP($C555,COS!$B$8:$H$991,7,FALSE)</f>
        <v>53.570789337158203</v>
      </c>
      <c r="G555" s="24">
        <f>IF(F555&lt;=IF(MONTH($C555)=4,$F$3,IF(MONTH($C555)=5,$F$4,IF(MONTH($C555)=6,$F$5,IF(MONTH($C555)=7,$F$6,"ERROR")))),1,0)</f>
        <v>1</v>
      </c>
      <c r="H555" s="26">
        <f>IF(J555=1,D555-$C$4,0)</f>
        <v>0</v>
      </c>
      <c r="I555" s="26">
        <f t="shared" si="872"/>
        <v>0</v>
      </c>
      <c r="J555" s="24">
        <f t="shared" si="887"/>
        <v>0</v>
      </c>
      <c r="K555" s="26">
        <f>VLOOKUP($C555,COS!$B$8:$H$991,2,FALSE)</f>
        <v>4481.19091796875</v>
      </c>
      <c r="L555" s="24">
        <f t="shared" si="843"/>
        <v>1</v>
      </c>
      <c r="M555" s="24">
        <f t="shared" si="844"/>
        <v>0</v>
      </c>
      <c r="N555" s="26">
        <f>VLOOKUP($C555,COS!$B$8:$H$991,5,FALSE)</f>
        <v>674.9888916015625</v>
      </c>
      <c r="O555" s="26">
        <f t="shared" si="890"/>
        <v>41.503449202608472</v>
      </c>
      <c r="P555" s="26">
        <f>VLOOKUP($C555,COS!$B$8:$H$991,6,FALSE)</f>
        <v>2221.702392578125</v>
      </c>
      <c r="Q555" s="26">
        <f t="shared" si="891"/>
        <v>136.60715537835745</v>
      </c>
      <c r="R555" s="26">
        <f>MIN(IF(MONTH($C555)=4,$S$3,IF(MONTH($C555)=5,$S$4,IF(MONTH($C555)=6,$S$5,IF(MONTH($C555)=7,$S$6,"ERROR")))),MAX(VLOOKUP($C555,COS!$B$8:$K$991,10,FALSE)-IF(MONTH($C555)=4,$Y$3,IF(MONTH($C555)=5,$Y$4,IF(MONTH($C555)=6,$Y$5,IF(MONTH($C555)=7,$Y$6,"ERROR")))),0),MAX(VLOOKUP($C555,COS!$B$8:$K$991,9,FALSE)-IF(MONTH($C555)=4,$V$3,IF(MONTH($C555)=5,$V$4,IF(MONTH($C555)=6,$V$5,IF(MONTH($C555)=7,$V$6,"ERROR"))))-VLOOKUP($C555,COS!$B$8:$K$991,6,FALSE)/2,0))</f>
        <v>858.08984375</v>
      </c>
      <c r="S555" s="26">
        <f t="shared" si="892"/>
        <v>52.761887913223134</v>
      </c>
      <c r="T555" s="26">
        <f t="shared" si="893"/>
        <v>141.8171902037061</v>
      </c>
      <c r="U555" s="26" t="str">
        <f>IF(VLOOKUP($C555,COS!$B$8:$I$991,8,FALSE)=1,"UWFE","IBU")</f>
        <v>UWFE</v>
      </c>
      <c r="V555" s="26">
        <f t="shared" ref="V555" si="895">MIN(IF(IF($AA$3=2,AND(E555=1,G555=1,L555=1,L559=1,M555=1,U555="IBU"),AND(E555=1,G555=1,L555=1,L559=1,M555=1)),T555,0),I555)</f>
        <v>0</v>
      </c>
      <c r="W555" s="26"/>
      <c r="X555" s="26"/>
      <c r="Y555" s="26"/>
      <c r="Z555" s="26"/>
      <c r="AA555" s="26"/>
      <c r="AB555" s="33"/>
    </row>
    <row r="556" spans="1:28" x14ac:dyDescent="0.3">
      <c r="A556" s="32">
        <f>VLOOKUP(YEAR(C556),Flags!$A$13:$B$95,2,FALSE)</f>
        <v>1</v>
      </c>
      <c r="B556" s="24">
        <f t="shared" si="841"/>
        <v>1982</v>
      </c>
      <c r="C556" s="25">
        <v>30132</v>
      </c>
      <c r="D556" s="26">
        <f>VLOOKUP($C556,COS!$B$8:$H$991,3,FALSE)</f>
        <v>6372.11962890625</v>
      </c>
      <c r="E556" s="24">
        <f>IF(D556&gt;=IF(MONTH($C556)=4,$C$3,IF(MONTH($C556)=5,$C$4,IF(MONTH($C556)=6,$C$5,IF(MONTH($C556)=7,$C$6,"ERROR")))),1,0)</f>
        <v>0</v>
      </c>
      <c r="F556" s="26">
        <f>VLOOKUP($C556,COS!$B$8:$H$991,7,FALSE)</f>
        <v>52.376934051513672</v>
      </c>
      <c r="G556" s="24">
        <f>IF(F556&lt;=IF(MONTH($C556)=4,$F$3,IF(MONTH($C556)=5,$F$4,IF(MONTH($C556)=6,$F$5,IF(MONTH($C556)=7,$F$6,"ERROR")))),1,0)</f>
        <v>1</v>
      </c>
      <c r="H556" s="26">
        <f>IF(J556=1,D556-$C$5,0)</f>
        <v>0</v>
      </c>
      <c r="I556" s="26">
        <f t="shared" si="872"/>
        <v>0</v>
      </c>
      <c r="J556" s="24">
        <f t="shared" si="887"/>
        <v>0</v>
      </c>
      <c r="K556" s="26">
        <f>VLOOKUP($C556,COS!$B$8:$H$991,2,FALSE)</f>
        <v>4397.3564453125</v>
      </c>
      <c r="L556" s="24">
        <f t="shared" si="843"/>
        <v>1</v>
      </c>
      <c r="M556" s="24">
        <f t="shared" si="844"/>
        <v>0</v>
      </c>
      <c r="N556" s="26">
        <f>VLOOKUP($C556,COS!$B$8:$H$991,5,FALSE)</f>
        <v>1084.0577392578125</v>
      </c>
      <c r="O556" s="26">
        <f t="shared" si="890"/>
        <v>64.505915063274784</v>
      </c>
      <c r="P556" s="26">
        <f>VLOOKUP($C556,COS!$B$8:$H$991,6,FALSE)</f>
        <v>2094.6748046875</v>
      </c>
      <c r="Q556" s="26">
        <f t="shared" si="891"/>
        <v>124.64180655991736</v>
      </c>
      <c r="R556" s="26">
        <f>MIN(IF(MONTH($C556)=4,$S$3,IF(MONTH($C556)=5,$S$4,IF(MONTH($C556)=6,$S$5,IF(MONTH($C556)=7,$S$6,"ERROR")))),MAX(VLOOKUP($C556,COS!$B$8:$K$991,10,FALSE)-IF(MONTH($C556)=4,$Y$3,IF(MONTH($C556)=5,$Y$4,IF(MONTH($C556)=6,$Y$5,IF(MONTH($C556)=7,$Y$6,"ERROR")))),0),MAX(VLOOKUP($C556,COS!$B$8:$K$991,9,FALSE)-IF(MONTH($C556)=4,$V$3,IF(MONTH($C556)=5,$V$4,IF(MONTH($C556)=6,$V$5,IF(MONTH($C556)=7,$V$6,"ERROR"))))-VLOOKUP($C556,COS!$B$8:$K$991,6,FALSE)/2,0))</f>
        <v>1500</v>
      </c>
      <c r="S556" s="26">
        <f t="shared" si="892"/>
        <v>89.256198347107429</v>
      </c>
      <c r="T556" s="26">
        <f t="shared" si="893"/>
        <v>183.83005915870348</v>
      </c>
      <c r="U556" s="26" t="str">
        <f>IF(VLOOKUP($C556,COS!$B$8:$I$991,8,FALSE)=1,"UWFE","IBU")</f>
        <v>UWFE</v>
      </c>
      <c r="V556" s="26">
        <f t="shared" ref="V556" si="896">MIN(IF(IF($AA$3=2,AND(E556=1,G556=1,L556=1,L559=1,M556=1,U556="IBU"),AND(E556=1,G556=1,L556=1,L559=1,M556=1)),T556,0),I556)</f>
        <v>0</v>
      </c>
      <c r="W556" s="26"/>
      <c r="X556" s="26"/>
      <c r="Y556" s="26"/>
      <c r="Z556" s="26"/>
      <c r="AA556" s="26"/>
      <c r="AB556" s="33"/>
    </row>
    <row r="557" spans="1:28" x14ac:dyDescent="0.3">
      <c r="A557" s="32">
        <f>VLOOKUP(YEAR(C557),Flags!$A$13:$B$95,2,FALSE)</f>
        <v>1</v>
      </c>
      <c r="B557" s="24">
        <f t="shared" si="841"/>
        <v>1982</v>
      </c>
      <c r="C557" s="25">
        <v>30163</v>
      </c>
      <c r="D557" s="26">
        <f>VLOOKUP($C557,COS!$B$8:$H$991,3,FALSE)</f>
        <v>10502.37890625</v>
      </c>
      <c r="E557" s="24">
        <f>IF(D557&gt;=IF(MONTH($C557)=4,$C$3,IF(MONTH($C557)=5,$C$4,IF(MONTH($C557)=6,$C$5,IF(MONTH($C557)=7,$C$6,"ERROR")))),1,0)</f>
        <v>0</v>
      </c>
      <c r="F557" s="26">
        <f>VLOOKUP($C557,COS!$B$8:$H$991,7,FALSE)</f>
        <v>52.655227661132813</v>
      </c>
      <c r="G557" s="24">
        <f>IF(F557&lt;=IF(MONTH($C557)=4,$F$3,IF(MONTH($C557)=5,$F$4,IF(MONTH($C557)=6,$F$5,IF(MONTH($C557)=7,$F$6,"ERROR")))),1,0)</f>
        <v>1</v>
      </c>
      <c r="H557" s="26">
        <f>IF(J557=1,D557-$C$6,0)</f>
        <v>0</v>
      </c>
      <c r="I557" s="26">
        <f t="shared" si="872"/>
        <v>0</v>
      </c>
      <c r="J557" s="24">
        <f t="shared" si="887"/>
        <v>0</v>
      </c>
      <c r="K557" s="26">
        <f>VLOOKUP($C557,COS!$B$8:$H$991,2,FALSE)</f>
        <v>4071.590576171875</v>
      </c>
      <c r="L557" s="24">
        <f t="shared" si="843"/>
        <v>1</v>
      </c>
      <c r="M557" s="24">
        <f t="shared" si="844"/>
        <v>0</v>
      </c>
      <c r="N557" s="26">
        <f>VLOOKUP($C557,COS!$B$8:$H$991,5,FALSE)</f>
        <v>1375.2449951171875</v>
      </c>
      <c r="O557" s="26">
        <f t="shared" si="890"/>
        <v>84.560518708032035</v>
      </c>
      <c r="P557" s="26">
        <f>VLOOKUP($C557,COS!$B$8:$H$991,6,FALSE)</f>
        <v>2616.67822265625</v>
      </c>
      <c r="Q557" s="26">
        <f t="shared" si="891"/>
        <v>160.89327253357436</v>
      </c>
      <c r="R557" s="26">
        <f>MIN(IF(MONTH($C557)=4,$S$3,IF(MONTH($C557)=5,$S$4,IF(MONTH($C557)=6,$S$5,IF(MONTH($C557)=7,$S$6,"ERROR")))),MAX(VLOOKUP($C557,COS!$B$8:$K$991,10,FALSE)-IF(MONTH($C557)=4,$Y$3,IF(MONTH($C557)=5,$Y$4,IF(MONTH($C557)=6,$Y$5,IF(MONTH($C557)=7,$Y$6,"ERROR")))),0),MAX(VLOOKUP($C557,COS!$B$8:$K$991,9,FALSE)-IF(MONTH($C557)=4,$V$3,IF(MONTH($C557)=5,$V$4,IF(MONTH($C557)=6,$V$5,IF(MONTH($C557)=7,$V$6,"ERROR"))))-VLOOKUP($C557,COS!$B$8:$K$991,6,FALSE)/2,0))</f>
        <v>1500</v>
      </c>
      <c r="S557" s="26">
        <f t="shared" si="892"/>
        <v>92.231404958677686</v>
      </c>
      <c r="T557" s="26">
        <f t="shared" si="893"/>
        <v>214.95830057948086</v>
      </c>
      <c r="U557" s="26" t="str">
        <f>IF(VLOOKUP($C557,COS!$B$8:$I$991,8,FALSE)=1,"UWFE","IBU")</f>
        <v>IBU</v>
      </c>
      <c r="V557" s="26">
        <f t="shared" ref="V557" si="897">MIN(IF(IF($AA$3=2,AND(E557=1,G557=1,L557=1,L559=1,M557=1,U557="IBU"),AND(E557=1,G557=1,L557=1,L559=1,M557=1)),T557,0),I557)</f>
        <v>0</v>
      </c>
      <c r="W557" s="26"/>
      <c r="X557" s="26"/>
      <c r="Y557" s="26"/>
      <c r="Z557" s="26"/>
      <c r="AA557" s="26"/>
      <c r="AB557" s="33"/>
    </row>
    <row r="558" spans="1:28" x14ac:dyDescent="0.3">
      <c r="A558" s="32">
        <f>VLOOKUP(YEAR(C558),Flags!$A$13:$B$95,2,FALSE)</f>
        <v>1</v>
      </c>
      <c r="B558" s="24">
        <f t="shared" si="841"/>
        <v>1982</v>
      </c>
      <c r="C558" s="25">
        <v>30194</v>
      </c>
      <c r="D558" s="26"/>
      <c r="E558" s="24"/>
      <c r="F558" s="26"/>
      <c r="G558" s="24"/>
      <c r="H558" s="24"/>
      <c r="I558" s="26"/>
      <c r="J558" s="24"/>
      <c r="K558" s="26"/>
      <c r="L558" s="24"/>
      <c r="M558" s="24"/>
      <c r="N558" s="26"/>
      <c r="O558" s="26"/>
      <c r="P558" s="26"/>
      <c r="Q558" s="26"/>
      <c r="R558" s="26"/>
      <c r="S558" s="26"/>
      <c r="T558" s="26"/>
      <c r="U558" s="26"/>
      <c r="V558" s="26"/>
      <c r="W558" s="26">
        <f>MAX($C$7-VLOOKUP($C558,COS!$B$8:$H$991,3,FALSE),0)</f>
        <v>90771.0556640625</v>
      </c>
      <c r="X558" s="26">
        <f t="shared" si="870"/>
        <v>5581.2946623192147</v>
      </c>
      <c r="Y558" s="26">
        <f>VLOOKUP($C558,COS!$B$8:$H$991,4,FALSE)</f>
        <v>0</v>
      </c>
      <c r="Z558" s="26">
        <f t="shared" si="871"/>
        <v>0</v>
      </c>
      <c r="AA558" s="26">
        <f t="shared" ref="AA558:AA562" si="898">MIN(W558,Y558)</f>
        <v>0</v>
      </c>
      <c r="AB558" s="33">
        <f t="shared" ref="AB558" si="899">AA558*DAY($C558)*86400/43560/1000*IF(MONTH($C558)=8,$P$3,IF(MONTH($C558)=9,$P$4,IF(MONTH($C558)=10,$P$5,IF(MONTH($C558)=11,$P$6,IF(MONTH($C558)=12,$P$7,NA())))))</f>
        <v>0</v>
      </c>
    </row>
    <row r="559" spans="1:28" x14ac:dyDescent="0.3">
      <c r="A559" s="32">
        <f>VLOOKUP(YEAR(C559),Flags!$A$13:$B$95,2,FALSE)</f>
        <v>1</v>
      </c>
      <c r="B559" s="24">
        <f t="shared" si="841"/>
        <v>1982</v>
      </c>
      <c r="C559" s="25">
        <v>30224</v>
      </c>
      <c r="D559" s="26"/>
      <c r="E559" s="24"/>
      <c r="F559" s="26"/>
      <c r="G559" s="24"/>
      <c r="H559" s="24"/>
      <c r="I559" s="26"/>
      <c r="J559" s="24"/>
      <c r="K559" s="26">
        <f>VLOOKUP($C559,COS!$B$8:$H$991,2,FALSE)</f>
        <v>3400</v>
      </c>
      <c r="L559" s="24">
        <f t="shared" ref="L559" si="900">IF(AND(K559&gt;$I$7,K559&lt;$I$8),1,0)</f>
        <v>1</v>
      </c>
      <c r="M559" s="24"/>
      <c r="N559" s="26"/>
      <c r="O559" s="26"/>
      <c r="P559" s="26"/>
      <c r="Q559" s="26"/>
      <c r="R559" s="26"/>
      <c r="S559" s="26"/>
      <c r="T559" s="26"/>
      <c r="U559" s="26"/>
      <c r="V559" s="26"/>
      <c r="W559" s="26">
        <f>MAX($C$8-VLOOKUP($C559,COS!$B$8:$H$991,3,FALSE),0)</f>
        <v>90620.83984375</v>
      </c>
      <c r="X559" s="26">
        <f t="shared" si="870"/>
        <v>5392.3144369834708</v>
      </c>
      <c r="Y559" s="26">
        <f>VLOOKUP($C559,COS!$B$8:$H$991,4,FALSE)</f>
        <v>0</v>
      </c>
      <c r="Z559" s="26">
        <f t="shared" si="871"/>
        <v>0</v>
      </c>
      <c r="AA559" s="26">
        <f t="shared" si="898"/>
        <v>0</v>
      </c>
      <c r="AB559" s="33">
        <f t="shared" si="854"/>
        <v>0</v>
      </c>
    </row>
    <row r="560" spans="1:28" x14ac:dyDescent="0.3">
      <c r="A560" s="32">
        <f>VLOOKUP(YEAR(C560),Flags!$A$13:$B$95,2,FALSE)</f>
        <v>1</v>
      </c>
      <c r="B560" s="24">
        <f t="shared" si="841"/>
        <v>1982</v>
      </c>
      <c r="C560" s="25">
        <v>30255</v>
      </c>
      <c r="D560" s="26"/>
      <c r="E560" s="24"/>
      <c r="F560" s="26"/>
      <c r="G560" s="26"/>
      <c r="H560" s="26"/>
      <c r="I560" s="26"/>
      <c r="J560" s="26"/>
      <c r="K560" s="26"/>
      <c r="L560" s="24"/>
      <c r="M560" s="24"/>
      <c r="N560" s="26"/>
      <c r="O560" s="26"/>
      <c r="P560" s="26"/>
      <c r="Q560" s="26"/>
      <c r="R560" s="26"/>
      <c r="S560" s="26"/>
      <c r="T560" s="26"/>
      <c r="U560" s="26"/>
      <c r="V560" s="26"/>
      <c r="W560" s="26">
        <f>MAX($C$9-VLOOKUP($C560,COS!$B$8:$H$991,3,FALSE),0)</f>
        <v>92108.1201171875</v>
      </c>
      <c r="X560" s="26">
        <f t="shared" si="870"/>
        <v>5663.507551007232</v>
      </c>
      <c r="Y560" s="26">
        <f>VLOOKUP($C560,COS!$B$8:$H$991,4,FALSE)</f>
        <v>0</v>
      </c>
      <c r="Z560" s="26">
        <f t="shared" si="871"/>
        <v>0</v>
      </c>
      <c r="AA560" s="26">
        <f t="shared" si="898"/>
        <v>0</v>
      </c>
      <c r="AB560" s="33">
        <f t="shared" si="854"/>
        <v>0</v>
      </c>
    </row>
    <row r="561" spans="1:28" x14ac:dyDescent="0.3">
      <c r="A561" s="32">
        <f>VLOOKUP(YEAR(C561),Flags!$A$13:$B$95,2,FALSE)</f>
        <v>1</v>
      </c>
      <c r="B561" s="24">
        <f t="shared" si="841"/>
        <v>1982</v>
      </c>
      <c r="C561" s="25">
        <v>30285</v>
      </c>
      <c r="D561" s="26"/>
      <c r="E561" s="24"/>
      <c r="F561" s="26"/>
      <c r="G561" s="26"/>
      <c r="H561" s="26"/>
      <c r="I561" s="26"/>
      <c r="J561" s="26"/>
      <c r="K561" s="26"/>
      <c r="L561" s="24"/>
      <c r="M561" s="24"/>
      <c r="N561" s="26"/>
      <c r="O561" s="26"/>
      <c r="P561" s="26"/>
      <c r="Q561" s="26"/>
      <c r="R561" s="26"/>
      <c r="S561" s="26"/>
      <c r="T561" s="26"/>
      <c r="U561" s="26"/>
      <c r="V561" s="26"/>
      <c r="W561" s="26">
        <f>MAX($C$10-VLOOKUP($C561,COS!$B$8:$H$991,3,FALSE),0)</f>
        <v>93024.1962890625</v>
      </c>
      <c r="X561" s="26">
        <f t="shared" si="870"/>
        <v>5535.3240767045463</v>
      </c>
      <c r="Y561" s="26">
        <f>VLOOKUP($C561,COS!$B$8:$H$991,4,FALSE)</f>
        <v>0</v>
      </c>
      <c r="Z561" s="26">
        <f t="shared" si="871"/>
        <v>0</v>
      </c>
      <c r="AA561" s="26">
        <f t="shared" si="898"/>
        <v>0</v>
      </c>
      <c r="AB561" s="33">
        <f t="shared" si="854"/>
        <v>0</v>
      </c>
    </row>
    <row r="562" spans="1:28" x14ac:dyDescent="0.3">
      <c r="A562" s="34">
        <f>VLOOKUP(YEAR(C562),Flags!$A$13:$B$95,2,FALSE)</f>
        <v>1</v>
      </c>
      <c r="B562" s="35">
        <f t="shared" si="841"/>
        <v>1982</v>
      </c>
      <c r="C562" s="36">
        <v>30316</v>
      </c>
      <c r="D562" s="37"/>
      <c r="E562" s="35"/>
      <c r="F562" s="37"/>
      <c r="G562" s="37"/>
      <c r="H562" s="37"/>
      <c r="I562" s="37"/>
      <c r="J562" s="37"/>
      <c r="K562" s="37"/>
      <c r="L562" s="35"/>
      <c r="M562" s="35"/>
      <c r="N562" s="37"/>
      <c r="O562" s="37"/>
      <c r="P562" s="37"/>
      <c r="Q562" s="37"/>
      <c r="R562" s="37"/>
      <c r="S562" s="37"/>
      <c r="T562" s="37"/>
      <c r="U562" s="37"/>
      <c r="V562" s="37"/>
      <c r="W562" s="37">
        <f>MAX($C$11-VLOOKUP($C562,COS!$B$8:$H$991,3,FALSE),0)</f>
        <v>84766.388671875</v>
      </c>
      <c r="X562" s="37">
        <f t="shared" si="870"/>
        <v>5212.0820803202487</v>
      </c>
      <c r="Y562" s="37">
        <f>VLOOKUP($C562,COS!$B$8:$H$991,4,FALSE)</f>
        <v>0</v>
      </c>
      <c r="Z562" s="37">
        <f t="shared" si="871"/>
        <v>0</v>
      </c>
      <c r="AA562" s="37">
        <f t="shared" si="898"/>
        <v>0</v>
      </c>
      <c r="AB562" s="38">
        <f t="shared" si="854"/>
        <v>0</v>
      </c>
    </row>
    <row r="563" spans="1:28" x14ac:dyDescent="0.3">
      <c r="A563" s="27">
        <f>VLOOKUP(YEAR(C563),Flags!$A$13:$B$95,2,FALSE)</f>
        <v>1</v>
      </c>
      <c r="B563" s="28">
        <f t="shared" si="841"/>
        <v>1983</v>
      </c>
      <c r="C563" s="29">
        <v>30436</v>
      </c>
      <c r="D563" s="30">
        <f>VLOOKUP($C563,COS!$B$8:$H$991,3,FALSE)</f>
        <v>21283.287109375</v>
      </c>
      <c r="E563" s="28">
        <f>IF(D563&gt;=IF(MONTH($C563)=4,$C$3,IF(MONTH($C563)=5,$C$4,IF(MONTH($C563)=6,$C$5,IF(MONTH($C563)=7,$C$6,"ERROR")))),1,0)</f>
        <v>1</v>
      </c>
      <c r="F563" s="30">
        <f>VLOOKUP($C563,COS!$B$8:$H$991,7,FALSE)</f>
        <v>47.246109008789063</v>
      </c>
      <c r="G563" s="28">
        <f>IF(F563&lt;=IF(MONTH($C563)=4,$F$3,IF(MONTH($C563)=5,$F$4,IF(MONTH($C563)=6,$F$5,IF(MONTH($C563)=7,$F$6,"ERROR")))),1,0)</f>
        <v>1</v>
      </c>
      <c r="H563" s="30">
        <f>IF(J563=1,D563-$C$3,0)</f>
        <v>15283.287109375</v>
      </c>
      <c r="I563" s="30">
        <f t="shared" si="872"/>
        <v>909.4187370867769</v>
      </c>
      <c r="J563" s="28">
        <f t="shared" ref="J563:J566" si="901">IF(AND(E563=1,G563=1),1,0)</f>
        <v>1</v>
      </c>
      <c r="K563" s="30">
        <f>VLOOKUP($C563,COS!$B$8:$H$991,2,FALSE)</f>
        <v>4074</v>
      </c>
      <c r="L563" s="28">
        <f t="shared" ref="L563" si="902">IF(K563&lt;=IF(MONTH($C563)=4,$I$3,IF(MONTH($C563)=5,$I$4,IF(MONTH($C563)=6,$I$5,IF(MONTH($C563)=7,$I$6,"ERROR")))),1,0)</f>
        <v>1</v>
      </c>
      <c r="M563" s="28">
        <f t="shared" ref="M563" si="903">VLOOKUP($A563,$L$3:$M$7,2,FALSE)</f>
        <v>0</v>
      </c>
      <c r="N563" s="30">
        <f>VLOOKUP($C563,COS!$B$8:$H$991,5,FALSE)</f>
        <v>21.902835845947266</v>
      </c>
      <c r="O563" s="30">
        <f t="shared" ref="O563:O566" si="904">N563*DAY($C563)*86400/43560/1000</f>
        <v>1.3033092404200026</v>
      </c>
      <c r="P563" s="30">
        <f>VLOOKUP($C563,COS!$B$8:$H$991,6,FALSE)</f>
        <v>283.12924194335938</v>
      </c>
      <c r="Q563" s="30">
        <f t="shared" ref="Q563:Q566" si="905">P563*DAY($C563)*86400/43560/1000</f>
        <v>16.847359851175103</v>
      </c>
      <c r="R563" s="30">
        <f>MIN(IF(MONTH($C563)=4,$S$3,IF(MONTH($C563)=5,$S$4,IF(MONTH($C563)=6,$S$5,IF(MONTH($C563)=7,$S$6,"ERROR")))),MAX(VLOOKUP($C563,COS!$B$8:$K$991,10,FALSE)-IF(MONTH($C563)=4,$Y$3,IF(MONTH($C563)=5,$Y$4,IF(MONTH($C563)=6,$Y$5,IF(MONTH($C563)=7,$Y$6,"ERROR")))),0),MAX(VLOOKUP($C563,COS!$B$8:$K$991,9,FALSE)-IF(MONTH($C563)=4,$V$3,IF(MONTH($C563)=5,$V$4,IF(MONTH($C563)=6,$V$5,IF(MONTH($C563)=7,$V$6,"ERROR"))))-VLOOKUP($C563,COS!$B$8:$K$991,6,FALSE)/2,0))</f>
        <v>1500</v>
      </c>
      <c r="S563" s="30">
        <f t="shared" ref="S563:S566" si="906">R563*DAY($C563)*86400/43560/1000</f>
        <v>89.256198347107429</v>
      </c>
      <c r="T563" s="30">
        <f t="shared" ref="T563:T566" si="907">(O563+Q563)/2+S563</f>
        <v>98.331532892904988</v>
      </c>
      <c r="U563" s="30" t="str">
        <f>IF(VLOOKUP($C563,COS!$B$8:$I$991,8,FALSE)=1,"UWFE","IBU")</f>
        <v>UWFE</v>
      </c>
      <c r="V563" s="30">
        <f t="shared" ref="V563" si="908">MIN(IF(IF($AA$3=2,AND(E563=1,G563=1,L563=1,L568=1,M563=1,U563="IBU"),AND(E563=1,G563=1,L563=1,L568=1,M563=1)),T563,0),I563)</f>
        <v>0</v>
      </c>
      <c r="W563" s="30"/>
      <c r="X563" s="30"/>
      <c r="Y563" s="30"/>
      <c r="Z563" s="30"/>
      <c r="AA563" s="30"/>
      <c r="AB563" s="31"/>
    </row>
    <row r="564" spans="1:28" x14ac:dyDescent="0.3">
      <c r="A564" s="32">
        <f>VLOOKUP(YEAR(C564),Flags!$A$13:$B$95,2,FALSE)</f>
        <v>1</v>
      </c>
      <c r="B564" s="24">
        <f t="shared" si="841"/>
        <v>1983</v>
      </c>
      <c r="C564" s="25">
        <v>30467</v>
      </c>
      <c r="D564" s="26">
        <f>VLOOKUP($C564,COS!$B$8:$H$991,3,FALSE)</f>
        <v>9426.208984375</v>
      </c>
      <c r="E564" s="24">
        <f>IF(D564&gt;=IF(MONTH($C564)=4,$C$3,IF(MONTH($C564)=5,$C$4,IF(MONTH($C564)=6,$C$5,IF(MONTH($C564)=7,$C$6,"ERROR")))),1,0)</f>
        <v>1</v>
      </c>
      <c r="F564" s="26">
        <f>VLOOKUP($C564,COS!$B$8:$H$991,7,FALSE)</f>
        <v>51.257026672363281</v>
      </c>
      <c r="G564" s="24">
        <f>IF(F564&lt;=IF(MONTH($C564)=4,$F$3,IF(MONTH($C564)=5,$F$4,IF(MONTH($C564)=6,$F$5,IF(MONTH($C564)=7,$F$6,"ERROR")))),1,0)</f>
        <v>1</v>
      </c>
      <c r="H564" s="26">
        <f>IF(J564=1,D564-$C$4,0)</f>
        <v>3426.208984375</v>
      </c>
      <c r="I564" s="26">
        <f t="shared" si="872"/>
        <v>210.66937887396696</v>
      </c>
      <c r="J564" s="24">
        <f t="shared" si="901"/>
        <v>1</v>
      </c>
      <c r="K564" s="26">
        <f>VLOOKUP($C564,COS!$B$8:$H$991,2,FALSE)</f>
        <v>4552</v>
      </c>
      <c r="L564" s="24">
        <f t="shared" si="843"/>
        <v>1</v>
      </c>
      <c r="M564" s="24">
        <f t="shared" si="844"/>
        <v>0</v>
      </c>
      <c r="N564" s="26">
        <f>VLOOKUP($C564,COS!$B$8:$H$991,5,FALSE)</f>
        <v>574.8585205078125</v>
      </c>
      <c r="O564" s="26">
        <f t="shared" si="904"/>
        <v>35.346672665934918</v>
      </c>
      <c r="P564" s="26">
        <f>VLOOKUP($C564,COS!$B$8:$H$991,6,FALSE)</f>
        <v>2133.038330078125</v>
      </c>
      <c r="Q564" s="26">
        <f t="shared" si="905"/>
        <v>131.15541467587809</v>
      </c>
      <c r="R564" s="26">
        <f>MIN(IF(MONTH($C564)=4,$S$3,IF(MONTH($C564)=5,$S$4,IF(MONTH($C564)=6,$S$5,IF(MONTH($C564)=7,$S$6,"ERROR")))),MAX(VLOOKUP($C564,COS!$B$8:$K$991,10,FALSE)-IF(MONTH($C564)=4,$Y$3,IF(MONTH($C564)=5,$Y$4,IF(MONTH($C564)=6,$Y$5,IF(MONTH($C564)=7,$Y$6,"ERROR")))),0),MAX(VLOOKUP($C564,COS!$B$8:$K$991,9,FALSE)-IF(MONTH($C564)=4,$V$3,IF(MONTH($C564)=5,$V$4,IF(MONTH($C564)=6,$V$5,IF(MONTH($C564)=7,$V$6,"ERROR"))))-VLOOKUP($C564,COS!$B$8:$K$991,6,FALSE)/2,0))</f>
        <v>1500</v>
      </c>
      <c r="S564" s="26">
        <f t="shared" si="906"/>
        <v>92.231404958677686</v>
      </c>
      <c r="T564" s="26">
        <f t="shared" si="907"/>
        <v>175.48244862958421</v>
      </c>
      <c r="U564" s="26" t="str">
        <f>IF(VLOOKUP($C564,COS!$B$8:$I$991,8,FALSE)=1,"UWFE","IBU")</f>
        <v>UWFE</v>
      </c>
      <c r="V564" s="26">
        <f t="shared" ref="V564" si="909">MIN(IF(IF($AA$3=2,AND(E564=1,G564=1,L564=1,L568=1,M564=1,U564="IBU"),AND(E564=1,G564=1,L564=1,L568=1,M564=1)),T564,0),I564)</f>
        <v>0</v>
      </c>
      <c r="W564" s="26"/>
      <c r="X564" s="26"/>
      <c r="Y564" s="26"/>
      <c r="Z564" s="26"/>
      <c r="AA564" s="26"/>
      <c r="AB564" s="33"/>
    </row>
    <row r="565" spans="1:28" x14ac:dyDescent="0.3">
      <c r="A565" s="32">
        <f>VLOOKUP(YEAR(C565),Flags!$A$13:$B$95,2,FALSE)</f>
        <v>1</v>
      </c>
      <c r="B565" s="24">
        <f t="shared" si="841"/>
        <v>1983</v>
      </c>
      <c r="C565" s="25">
        <v>30497</v>
      </c>
      <c r="D565" s="26">
        <f>VLOOKUP($C565,COS!$B$8:$H$991,3,FALSE)</f>
        <v>12851.6533203125</v>
      </c>
      <c r="E565" s="24">
        <f>IF(D565&gt;=IF(MONTH($C565)=4,$C$3,IF(MONTH($C565)=5,$C$4,IF(MONTH($C565)=6,$C$5,IF(MONTH($C565)=7,$C$6,"ERROR")))),1,0)</f>
        <v>1</v>
      </c>
      <c r="F565" s="26">
        <f>VLOOKUP($C565,COS!$B$8:$H$991,7,FALSE)</f>
        <v>52.077590942382813</v>
      </c>
      <c r="G565" s="24">
        <f>IF(F565&lt;=IF(MONTH($C565)=4,$F$3,IF(MONTH($C565)=5,$F$4,IF(MONTH($C565)=6,$F$5,IF(MONTH($C565)=7,$F$6,"ERROR")))),1,0)</f>
        <v>1</v>
      </c>
      <c r="H565" s="26">
        <f>IF(J565=1,D565-$C$5,0)</f>
        <v>2851.6533203125</v>
      </c>
      <c r="I565" s="26">
        <f t="shared" si="872"/>
        <v>169.68515625000001</v>
      </c>
      <c r="J565" s="24">
        <f t="shared" si="901"/>
        <v>1</v>
      </c>
      <c r="K565" s="26">
        <f>VLOOKUP($C565,COS!$B$8:$H$991,2,FALSE)</f>
        <v>4500</v>
      </c>
      <c r="L565" s="24">
        <f t="shared" si="843"/>
        <v>1</v>
      </c>
      <c r="M565" s="24">
        <f t="shared" si="844"/>
        <v>0</v>
      </c>
      <c r="N565" s="26">
        <f>VLOOKUP($C565,COS!$B$8:$H$991,5,FALSE)</f>
        <v>1170.465087890625</v>
      </c>
      <c r="O565" s="26">
        <f t="shared" si="904"/>
        <v>69.647509362086765</v>
      </c>
      <c r="P565" s="26">
        <f>VLOOKUP($C565,COS!$B$8:$H$991,6,FALSE)</f>
        <v>2257.964111328125</v>
      </c>
      <c r="Q565" s="26">
        <f t="shared" si="905"/>
        <v>134.35819505423555</v>
      </c>
      <c r="R565" s="26">
        <f>MIN(IF(MONTH($C565)=4,$S$3,IF(MONTH($C565)=5,$S$4,IF(MONTH($C565)=6,$S$5,IF(MONTH($C565)=7,$S$6,"ERROR")))),MAX(VLOOKUP($C565,COS!$B$8:$K$991,10,FALSE)-IF(MONTH($C565)=4,$Y$3,IF(MONTH($C565)=5,$Y$4,IF(MONTH($C565)=6,$Y$5,IF(MONTH($C565)=7,$Y$6,"ERROR")))),0),MAX(VLOOKUP($C565,COS!$B$8:$K$991,9,FALSE)-IF(MONTH($C565)=4,$V$3,IF(MONTH($C565)=5,$V$4,IF(MONTH($C565)=6,$V$5,IF(MONTH($C565)=7,$V$6,"ERROR"))))-VLOOKUP($C565,COS!$B$8:$K$991,6,FALSE)/2,0))</f>
        <v>1500</v>
      </c>
      <c r="S565" s="26">
        <f t="shared" si="906"/>
        <v>89.256198347107429</v>
      </c>
      <c r="T565" s="26">
        <f t="shared" si="907"/>
        <v>191.25905055526857</v>
      </c>
      <c r="U565" s="26" t="str">
        <f>IF(VLOOKUP($C565,COS!$B$8:$I$991,8,FALSE)=1,"UWFE","IBU")</f>
        <v>UWFE</v>
      </c>
      <c r="V565" s="26">
        <f t="shared" ref="V565" si="910">MIN(IF(IF($AA$3=2,AND(E565=1,G565=1,L565=1,L568=1,M565=1,U565="IBU"),AND(E565=1,G565=1,L565=1,L568=1,M565=1)),T565,0),I565)</f>
        <v>0</v>
      </c>
      <c r="W565" s="26"/>
      <c r="X565" s="26"/>
      <c r="Y565" s="26"/>
      <c r="Z565" s="26"/>
      <c r="AA565" s="26"/>
      <c r="AB565" s="33"/>
    </row>
    <row r="566" spans="1:28" x14ac:dyDescent="0.3">
      <c r="A566" s="32">
        <f>VLOOKUP(YEAR(C566),Flags!$A$13:$B$95,2,FALSE)</f>
        <v>1</v>
      </c>
      <c r="B566" s="24">
        <f t="shared" si="841"/>
        <v>1983</v>
      </c>
      <c r="C566" s="25">
        <v>30528</v>
      </c>
      <c r="D566" s="26">
        <f>VLOOKUP($C566,COS!$B$8:$H$991,3,FALSE)</f>
        <v>13464.8525390625</v>
      </c>
      <c r="E566" s="24">
        <f>IF(D566&gt;=IF(MONTH($C566)=4,$C$3,IF(MONTH($C566)=5,$C$4,IF(MONTH($C566)=6,$C$5,IF(MONTH($C566)=7,$C$6,"ERROR")))),1,0)</f>
        <v>1</v>
      </c>
      <c r="F566" s="26">
        <f>VLOOKUP($C566,COS!$B$8:$H$991,7,FALSE)</f>
        <v>52.801334381103516</v>
      </c>
      <c r="G566" s="24">
        <f>IF(F566&lt;=IF(MONTH($C566)=4,$F$3,IF(MONTH($C566)=5,$F$4,IF(MONTH($C566)=6,$F$5,IF(MONTH($C566)=7,$F$6,"ERROR")))),1,0)</f>
        <v>1</v>
      </c>
      <c r="H566" s="26">
        <f>IF(J566=1,D566-$C$6,0)</f>
        <v>1464.8525390625</v>
      </c>
      <c r="I566" s="26">
        <f t="shared" si="872"/>
        <v>90.070271823347113</v>
      </c>
      <c r="J566" s="24">
        <f t="shared" si="901"/>
        <v>1</v>
      </c>
      <c r="K566" s="26">
        <f>VLOOKUP($C566,COS!$B$8:$H$991,2,FALSE)</f>
        <v>4150</v>
      </c>
      <c r="L566" s="24">
        <f t="shared" si="843"/>
        <v>1</v>
      </c>
      <c r="M566" s="24">
        <f t="shared" si="844"/>
        <v>0</v>
      </c>
      <c r="N566" s="26">
        <f>VLOOKUP($C566,COS!$B$8:$H$991,5,FALSE)</f>
        <v>1382.7108154296875</v>
      </c>
      <c r="O566" s="26">
        <f t="shared" si="904"/>
        <v>85.01957410575929</v>
      </c>
      <c r="P566" s="26">
        <f>VLOOKUP($C566,COS!$B$8:$H$991,6,FALSE)</f>
        <v>2616.67822265625</v>
      </c>
      <c r="Q566" s="26">
        <f t="shared" si="905"/>
        <v>160.89327253357436</v>
      </c>
      <c r="R566" s="26">
        <f>MIN(IF(MONTH($C566)=4,$S$3,IF(MONTH($C566)=5,$S$4,IF(MONTH($C566)=6,$S$5,IF(MONTH($C566)=7,$S$6,"ERROR")))),MAX(VLOOKUP($C566,COS!$B$8:$K$991,10,FALSE)-IF(MONTH($C566)=4,$Y$3,IF(MONTH($C566)=5,$Y$4,IF(MONTH($C566)=6,$Y$5,IF(MONTH($C566)=7,$Y$6,"ERROR")))),0),MAX(VLOOKUP($C566,COS!$B$8:$K$991,9,FALSE)-IF(MONTH($C566)=4,$V$3,IF(MONTH($C566)=5,$V$4,IF(MONTH($C566)=6,$V$5,IF(MONTH($C566)=7,$V$6,"ERROR"))))-VLOOKUP($C566,COS!$B$8:$K$991,6,FALSE)/2,0))</f>
        <v>1500</v>
      </c>
      <c r="S566" s="26">
        <f t="shared" si="906"/>
        <v>92.231404958677686</v>
      </c>
      <c r="T566" s="26">
        <f t="shared" si="907"/>
        <v>215.18782827834451</v>
      </c>
      <c r="U566" s="26" t="str">
        <f>IF(VLOOKUP($C566,COS!$B$8:$I$991,8,FALSE)=1,"UWFE","IBU")</f>
        <v>UWFE</v>
      </c>
      <c r="V566" s="26">
        <f t="shared" ref="V566" si="911">MIN(IF(IF($AA$3=2,AND(E566=1,G566=1,L566=1,L568=1,M566=1,U566="IBU"),AND(E566=1,G566=1,L566=1,L568=1,M566=1)),T566,0),I566)</f>
        <v>0</v>
      </c>
      <c r="W566" s="26"/>
      <c r="X566" s="26"/>
      <c r="Y566" s="26"/>
      <c r="Z566" s="26"/>
      <c r="AA566" s="26"/>
      <c r="AB566" s="33"/>
    </row>
    <row r="567" spans="1:28" x14ac:dyDescent="0.3">
      <c r="A567" s="32">
        <f>VLOOKUP(YEAR(C567),Flags!$A$13:$B$95,2,FALSE)</f>
        <v>1</v>
      </c>
      <c r="B567" s="24">
        <f t="shared" si="841"/>
        <v>1983</v>
      </c>
      <c r="C567" s="25">
        <v>30559</v>
      </c>
      <c r="D567" s="26"/>
      <c r="E567" s="24"/>
      <c r="F567" s="26"/>
      <c r="G567" s="24"/>
      <c r="H567" s="24"/>
      <c r="I567" s="26"/>
      <c r="J567" s="24"/>
      <c r="K567" s="26"/>
      <c r="L567" s="24"/>
      <c r="M567" s="24"/>
      <c r="N567" s="26"/>
      <c r="O567" s="26"/>
      <c r="P567" s="26"/>
      <c r="Q567" s="26"/>
      <c r="R567" s="26"/>
      <c r="S567" s="26"/>
      <c r="T567" s="26"/>
      <c r="U567" s="26"/>
      <c r="V567" s="26"/>
      <c r="W567" s="26">
        <f>MAX($C$7-VLOOKUP($C567,COS!$B$8:$H$991,3,FALSE),0)</f>
        <v>86628.7666015625</v>
      </c>
      <c r="X567" s="26">
        <f t="shared" si="870"/>
        <v>5326.5952356663229</v>
      </c>
      <c r="Y567" s="26">
        <f>VLOOKUP($C567,COS!$B$8:$H$991,4,FALSE)</f>
        <v>0</v>
      </c>
      <c r="Z567" s="26">
        <f t="shared" si="871"/>
        <v>0</v>
      </c>
      <c r="AA567" s="26">
        <f t="shared" ref="AA567:AA571" si="912">MIN(W567,Y567)</f>
        <v>0</v>
      </c>
      <c r="AB567" s="33">
        <f t="shared" ref="AB567" si="913">AA567*DAY($C567)*86400/43560/1000*IF(MONTH($C567)=8,$P$3,IF(MONTH($C567)=9,$P$4,IF(MONTH($C567)=10,$P$5,IF(MONTH($C567)=11,$P$6,IF(MONTH($C567)=12,$P$7,NA())))))</f>
        <v>0</v>
      </c>
    </row>
    <row r="568" spans="1:28" x14ac:dyDescent="0.3">
      <c r="A568" s="32">
        <f>VLOOKUP(YEAR(C568),Flags!$A$13:$B$95,2,FALSE)</f>
        <v>1</v>
      </c>
      <c r="B568" s="24">
        <f t="shared" si="841"/>
        <v>1983</v>
      </c>
      <c r="C568" s="25">
        <v>30589</v>
      </c>
      <c r="D568" s="26"/>
      <c r="E568" s="24"/>
      <c r="F568" s="26"/>
      <c r="G568" s="24"/>
      <c r="H568" s="24"/>
      <c r="I568" s="26"/>
      <c r="J568" s="24"/>
      <c r="K568" s="26">
        <f>VLOOKUP($C568,COS!$B$8:$H$991,2,FALSE)</f>
        <v>3400</v>
      </c>
      <c r="L568" s="24">
        <f t="shared" ref="L568" si="914">IF(AND(K568&gt;$I$7,K568&lt;$I$8),1,0)</f>
        <v>1</v>
      </c>
      <c r="M568" s="24"/>
      <c r="N568" s="26"/>
      <c r="O568" s="26"/>
      <c r="P568" s="26"/>
      <c r="Q568" s="26"/>
      <c r="R568" s="26"/>
      <c r="S568" s="26"/>
      <c r="T568" s="26"/>
      <c r="U568" s="26"/>
      <c r="V568" s="26"/>
      <c r="W568" s="26">
        <f>MAX($C$8-VLOOKUP($C568,COS!$B$8:$H$991,3,FALSE),0)</f>
        <v>87804.103515625</v>
      </c>
      <c r="X568" s="26">
        <f t="shared" si="870"/>
        <v>5224.7069860537194</v>
      </c>
      <c r="Y568" s="26">
        <f>VLOOKUP($C568,COS!$B$8:$H$991,4,FALSE)</f>
        <v>0</v>
      </c>
      <c r="Z568" s="26">
        <f t="shared" si="871"/>
        <v>0</v>
      </c>
      <c r="AA568" s="26">
        <f t="shared" si="912"/>
        <v>0</v>
      </c>
      <c r="AB568" s="33">
        <f t="shared" si="854"/>
        <v>0</v>
      </c>
    </row>
    <row r="569" spans="1:28" x14ac:dyDescent="0.3">
      <c r="A569" s="32">
        <f>VLOOKUP(YEAR(C569),Flags!$A$13:$B$95,2,FALSE)</f>
        <v>1</v>
      </c>
      <c r="B569" s="24">
        <f t="shared" si="841"/>
        <v>1983</v>
      </c>
      <c r="C569" s="25">
        <v>30620</v>
      </c>
      <c r="D569" s="26"/>
      <c r="E569" s="24"/>
      <c r="F569" s="26"/>
      <c r="G569" s="26"/>
      <c r="H569" s="26"/>
      <c r="I569" s="26"/>
      <c r="J569" s="26"/>
      <c r="K569" s="26"/>
      <c r="L569" s="24"/>
      <c r="M569" s="24"/>
      <c r="N569" s="26"/>
      <c r="O569" s="26"/>
      <c r="P569" s="26"/>
      <c r="Q569" s="26"/>
      <c r="R569" s="26"/>
      <c r="S569" s="26"/>
      <c r="T569" s="26"/>
      <c r="U569" s="26"/>
      <c r="V569" s="26"/>
      <c r="W569" s="26">
        <f>MAX($C$9-VLOOKUP($C569,COS!$B$8:$H$991,3,FALSE),0)</f>
        <v>90957.4501953125</v>
      </c>
      <c r="X569" s="26">
        <f t="shared" si="870"/>
        <v>5592.7556153150827</v>
      </c>
      <c r="Y569" s="26">
        <f>VLOOKUP($C569,COS!$B$8:$H$991,4,FALSE)</f>
        <v>322.68313598632813</v>
      </c>
      <c r="Z569" s="26">
        <f t="shared" si="871"/>
        <v>19.84101265899406</v>
      </c>
      <c r="AA569" s="26">
        <f t="shared" si="912"/>
        <v>322.68313598632813</v>
      </c>
      <c r="AB569" s="33">
        <f t="shared" si="854"/>
        <v>19.84101265899406</v>
      </c>
    </row>
    <row r="570" spans="1:28" x14ac:dyDescent="0.3">
      <c r="A570" s="32">
        <f>VLOOKUP(YEAR(C570),Flags!$A$13:$B$95,2,FALSE)</f>
        <v>1</v>
      </c>
      <c r="B570" s="24">
        <f t="shared" si="841"/>
        <v>1983</v>
      </c>
      <c r="C570" s="25">
        <v>30650</v>
      </c>
      <c r="D570" s="26"/>
      <c r="E570" s="24"/>
      <c r="F570" s="26"/>
      <c r="G570" s="26"/>
      <c r="H570" s="26"/>
      <c r="I570" s="26"/>
      <c r="J570" s="26"/>
      <c r="K570" s="26"/>
      <c r="L570" s="24"/>
      <c r="M570" s="24"/>
      <c r="N570" s="26"/>
      <c r="O570" s="26"/>
      <c r="P570" s="26"/>
      <c r="Q570" s="26"/>
      <c r="R570" s="26"/>
      <c r="S570" s="26"/>
      <c r="T570" s="26"/>
      <c r="U570" s="26"/>
      <c r="V570" s="26"/>
      <c r="W570" s="26">
        <f>MAX($C$10-VLOOKUP($C570,COS!$B$8:$H$991,3,FALSE),0)</f>
        <v>86177.234375</v>
      </c>
      <c r="X570" s="26">
        <f t="shared" si="870"/>
        <v>5127.901549586777</v>
      </c>
      <c r="Y570" s="26">
        <f>VLOOKUP($C570,COS!$B$8:$H$991,4,FALSE)</f>
        <v>0</v>
      </c>
      <c r="Z570" s="26">
        <f t="shared" si="871"/>
        <v>0</v>
      </c>
      <c r="AA570" s="26">
        <f t="shared" si="912"/>
        <v>0</v>
      </c>
      <c r="AB570" s="33">
        <f t="shared" si="854"/>
        <v>0</v>
      </c>
    </row>
    <row r="571" spans="1:28" x14ac:dyDescent="0.3">
      <c r="A571" s="34">
        <f>VLOOKUP(YEAR(C571),Flags!$A$13:$B$95,2,FALSE)</f>
        <v>1</v>
      </c>
      <c r="B571" s="35">
        <f t="shared" si="841"/>
        <v>1983</v>
      </c>
      <c r="C571" s="36">
        <v>30681</v>
      </c>
      <c r="D571" s="37"/>
      <c r="E571" s="35"/>
      <c r="F571" s="37"/>
      <c r="G571" s="37"/>
      <c r="H571" s="37"/>
      <c r="I571" s="37"/>
      <c r="J571" s="37"/>
      <c r="K571" s="37"/>
      <c r="L571" s="35"/>
      <c r="M571" s="35"/>
      <c r="N571" s="37"/>
      <c r="O571" s="37"/>
      <c r="P571" s="37"/>
      <c r="Q571" s="37"/>
      <c r="R571" s="37"/>
      <c r="S571" s="37"/>
      <c r="T571" s="37"/>
      <c r="U571" s="37"/>
      <c r="V571" s="37"/>
      <c r="W571" s="37">
        <f>MAX($C$11-VLOOKUP($C571,COS!$B$8:$H$991,3,FALSE),0)</f>
        <v>66798.37109375</v>
      </c>
      <c r="X571" s="37">
        <f t="shared" si="870"/>
        <v>4107.2717432851241</v>
      </c>
      <c r="Y571" s="37">
        <f>VLOOKUP($C571,COS!$B$8:$H$991,4,FALSE)</f>
        <v>0</v>
      </c>
      <c r="Z571" s="37">
        <f t="shared" si="871"/>
        <v>0</v>
      </c>
      <c r="AA571" s="37">
        <f t="shared" si="912"/>
        <v>0</v>
      </c>
      <c r="AB571" s="38">
        <f t="shared" si="854"/>
        <v>0</v>
      </c>
    </row>
    <row r="572" spans="1:28" x14ac:dyDescent="0.3">
      <c r="A572" s="27">
        <f>VLOOKUP(YEAR(C572),Flags!$A$13:$B$95,2,FALSE)</f>
        <v>1</v>
      </c>
      <c r="B572" s="28">
        <f t="shared" si="841"/>
        <v>1984</v>
      </c>
      <c r="C572" s="29">
        <v>30802</v>
      </c>
      <c r="D572" s="30">
        <f>VLOOKUP($C572,COS!$B$8:$H$991,3,FALSE)</f>
        <v>3741.849609375</v>
      </c>
      <c r="E572" s="28">
        <f>IF(D572&gt;=IF(MONTH($C572)=4,$C$3,IF(MONTH($C572)=5,$C$4,IF(MONTH($C572)=6,$C$5,IF(MONTH($C572)=7,$C$6,"ERROR")))),1,0)</f>
        <v>0</v>
      </c>
      <c r="F572" s="30">
        <f>VLOOKUP($C572,COS!$B$8:$H$991,7,FALSE)</f>
        <v>49.945255279541016</v>
      </c>
      <c r="G572" s="28">
        <f>IF(F572&lt;=IF(MONTH($C572)=4,$F$3,IF(MONTH($C572)=5,$F$4,IF(MONTH($C572)=6,$F$5,IF(MONTH($C572)=7,$F$6,"ERROR")))),1,0)</f>
        <v>1</v>
      </c>
      <c r="H572" s="30">
        <f>IF(J572=1,D572-$C$3,0)</f>
        <v>0</v>
      </c>
      <c r="I572" s="30">
        <f t="shared" si="872"/>
        <v>0</v>
      </c>
      <c r="J572" s="28">
        <f t="shared" ref="J572:J575" si="915">IF(AND(E572=1,G572=1),1,0)</f>
        <v>0</v>
      </c>
      <c r="K572" s="30">
        <f>VLOOKUP($C572,COS!$B$8:$H$991,2,FALSE)</f>
        <v>4552</v>
      </c>
      <c r="L572" s="28">
        <f t="shared" ref="L572" si="916">IF(K572&lt;=IF(MONTH($C572)=4,$I$3,IF(MONTH($C572)=5,$I$4,IF(MONTH($C572)=6,$I$5,IF(MONTH($C572)=7,$I$6,"ERROR")))),1,0)</f>
        <v>1</v>
      </c>
      <c r="M572" s="28">
        <f t="shared" ref="M572" si="917">VLOOKUP($A572,$L$3:$M$7,2,FALSE)</f>
        <v>0</v>
      </c>
      <c r="N572" s="30">
        <f>VLOOKUP($C572,COS!$B$8:$H$991,5,FALSE)</f>
        <v>325.60305786132813</v>
      </c>
      <c r="O572" s="30">
        <f t="shared" ref="O572:O575" si="918">N572*DAY($C572)*86400/43560/1000</f>
        <v>19.374727409930269</v>
      </c>
      <c r="P572" s="30">
        <f>VLOOKUP($C572,COS!$B$8:$H$991,6,FALSE)</f>
        <v>551.338623046875</v>
      </c>
      <c r="Q572" s="30">
        <f t="shared" ref="Q572:Q575" si="919">P572*DAY($C572)*86400/43560/1000</f>
        <v>32.806926330061984</v>
      </c>
      <c r="R572" s="30">
        <f>MIN(IF(MONTH($C572)=4,$S$3,IF(MONTH($C572)=5,$S$4,IF(MONTH($C572)=6,$S$5,IF(MONTH($C572)=7,$S$6,"ERROR")))),MAX(VLOOKUP($C572,COS!$B$8:$K$991,10,FALSE)-IF(MONTH($C572)=4,$Y$3,IF(MONTH($C572)=5,$Y$4,IF(MONTH($C572)=6,$Y$5,IF(MONTH($C572)=7,$Y$6,"ERROR")))),0),MAX(VLOOKUP($C572,COS!$B$8:$K$991,9,FALSE)-IF(MONTH($C572)=4,$V$3,IF(MONTH($C572)=5,$V$4,IF(MONTH($C572)=6,$V$5,IF(MONTH($C572)=7,$V$6,"ERROR"))))-VLOOKUP($C572,COS!$B$8:$K$991,6,FALSE)/2,0))</f>
        <v>1500</v>
      </c>
      <c r="S572" s="30">
        <f t="shared" ref="S572:S575" si="920">R572*DAY($C572)*86400/43560/1000</f>
        <v>89.256198347107429</v>
      </c>
      <c r="T572" s="30">
        <f t="shared" ref="T572:T575" si="921">(O572+Q572)/2+S572</f>
        <v>115.34702521710355</v>
      </c>
      <c r="U572" s="30" t="str">
        <f>IF(VLOOKUP($C572,COS!$B$8:$I$991,8,FALSE)=1,"UWFE","IBU")</f>
        <v>UWFE</v>
      </c>
      <c r="V572" s="30">
        <f t="shared" ref="V572" si="922">MIN(IF(IF($AA$3=2,AND(E572=1,G572=1,L572=1,L577=1,M572=1,U572="IBU"),AND(E572=1,G572=1,L572=1,L577=1,M572=1)),T572,0),I572)</f>
        <v>0</v>
      </c>
      <c r="W572" s="30"/>
      <c r="X572" s="30"/>
      <c r="Y572" s="30"/>
      <c r="Z572" s="30"/>
      <c r="AA572" s="30"/>
      <c r="AB572" s="31"/>
    </row>
    <row r="573" spans="1:28" x14ac:dyDescent="0.3">
      <c r="A573" s="32">
        <f>VLOOKUP(YEAR(C573),Flags!$A$13:$B$95,2,FALSE)</f>
        <v>1</v>
      </c>
      <c r="B573" s="24">
        <f t="shared" si="841"/>
        <v>1984</v>
      </c>
      <c r="C573" s="25">
        <v>30833</v>
      </c>
      <c r="D573" s="26">
        <f>VLOOKUP($C573,COS!$B$8:$H$991,3,FALSE)</f>
        <v>7339.09130859375</v>
      </c>
      <c r="E573" s="24">
        <f>IF(D573&gt;=IF(MONTH($C573)=4,$C$3,IF(MONTH($C573)=5,$C$4,IF(MONTH($C573)=6,$C$5,IF(MONTH($C573)=7,$C$6,"ERROR")))),1,0)</f>
        <v>1</v>
      </c>
      <c r="F573" s="26">
        <f>VLOOKUP($C573,COS!$B$8:$H$991,7,FALSE)</f>
        <v>50.413700103759766</v>
      </c>
      <c r="G573" s="24">
        <f>IF(F573&lt;=IF(MONTH($C573)=4,$F$3,IF(MONTH($C573)=5,$F$4,IF(MONTH($C573)=6,$F$5,IF(MONTH($C573)=7,$F$6,"ERROR")))),1,0)</f>
        <v>1</v>
      </c>
      <c r="H573" s="26">
        <f>IF(J573=1,D573-$C$4,0)</f>
        <v>1339.09130859375</v>
      </c>
      <c r="I573" s="26">
        <f t="shared" si="872"/>
        <v>82.33751517303719</v>
      </c>
      <c r="J573" s="24">
        <f t="shared" si="915"/>
        <v>1</v>
      </c>
      <c r="K573" s="26">
        <f>VLOOKUP($C573,COS!$B$8:$H$991,2,FALSE)</f>
        <v>4539.20361328125</v>
      </c>
      <c r="L573" s="24">
        <f t="shared" si="843"/>
        <v>1</v>
      </c>
      <c r="M573" s="24">
        <f t="shared" si="844"/>
        <v>0</v>
      </c>
      <c r="N573" s="26">
        <f>VLOOKUP($C573,COS!$B$8:$H$991,5,FALSE)</f>
        <v>787.246337890625</v>
      </c>
      <c r="O573" s="26">
        <f t="shared" si="918"/>
        <v>48.405890528150827</v>
      </c>
      <c r="P573" s="26">
        <f>VLOOKUP($C573,COS!$B$8:$H$991,6,FALSE)</f>
        <v>2330.58056640625</v>
      </c>
      <c r="Q573" s="26">
        <f t="shared" si="919"/>
        <v>143.30181333935951</v>
      </c>
      <c r="R573" s="26">
        <f>MIN(IF(MONTH($C573)=4,$S$3,IF(MONTH($C573)=5,$S$4,IF(MONTH($C573)=6,$S$5,IF(MONTH($C573)=7,$S$6,"ERROR")))),MAX(VLOOKUP($C573,COS!$B$8:$K$991,10,FALSE)-IF(MONTH($C573)=4,$Y$3,IF(MONTH($C573)=5,$Y$4,IF(MONTH($C573)=6,$Y$5,IF(MONTH($C573)=7,$Y$6,"ERROR")))),0),MAX(VLOOKUP($C573,COS!$B$8:$K$991,9,FALSE)-IF(MONTH($C573)=4,$V$3,IF(MONTH($C573)=5,$V$4,IF(MONTH($C573)=6,$V$5,IF(MONTH($C573)=7,$V$6,"ERROR"))))-VLOOKUP($C573,COS!$B$8:$K$991,6,FALSE)/2,0))</f>
        <v>1500</v>
      </c>
      <c r="S573" s="26">
        <f t="shared" si="920"/>
        <v>92.231404958677686</v>
      </c>
      <c r="T573" s="26">
        <f t="shared" si="921"/>
        <v>188.08525689243285</v>
      </c>
      <c r="U573" s="26" t="str">
        <f>IF(VLOOKUP($C573,COS!$B$8:$I$991,8,FALSE)=1,"UWFE","IBU")</f>
        <v>UWFE</v>
      </c>
      <c r="V573" s="26">
        <f t="shared" ref="V573" si="923">MIN(IF(IF($AA$3=2,AND(E573=1,G573=1,L573=1,L577=1,M573=1,U573="IBU"),AND(E573=1,G573=1,L573=1,L577=1,M573=1)),T573,0),I573)</f>
        <v>0</v>
      </c>
      <c r="W573" s="26"/>
      <c r="X573" s="26"/>
      <c r="Y573" s="26"/>
      <c r="Z573" s="26"/>
      <c r="AA573" s="26"/>
      <c r="AB573" s="33"/>
    </row>
    <row r="574" spans="1:28" x14ac:dyDescent="0.3">
      <c r="A574" s="32">
        <f>VLOOKUP(YEAR(C574),Flags!$A$13:$B$95,2,FALSE)</f>
        <v>1</v>
      </c>
      <c r="B574" s="24">
        <f t="shared" si="841"/>
        <v>1984</v>
      </c>
      <c r="C574" s="25">
        <v>30863</v>
      </c>
      <c r="D574" s="26">
        <f>VLOOKUP($C574,COS!$B$8:$H$991,3,FALSE)</f>
        <v>11324.5849609375</v>
      </c>
      <c r="E574" s="24">
        <f>IF(D574&gt;=IF(MONTH($C574)=4,$C$3,IF(MONTH($C574)=5,$C$4,IF(MONTH($C574)=6,$C$5,IF(MONTH($C574)=7,$C$6,"ERROR")))),1,0)</f>
        <v>1</v>
      </c>
      <c r="F574" s="26">
        <f>VLOOKUP($C574,COS!$B$8:$H$991,7,FALSE)</f>
        <v>50.518535614013672</v>
      </c>
      <c r="G574" s="24">
        <f>IF(F574&lt;=IF(MONTH($C574)=4,$F$3,IF(MONTH($C574)=5,$F$4,IF(MONTH($C574)=6,$F$5,IF(MONTH($C574)=7,$F$6,"ERROR")))),1,0)</f>
        <v>1</v>
      </c>
      <c r="H574" s="26">
        <f>IF(J574=1,D574-$C$5,0)</f>
        <v>1324.5849609375</v>
      </c>
      <c r="I574" s="26">
        <f t="shared" si="872"/>
        <v>78.818278667355372</v>
      </c>
      <c r="J574" s="24">
        <f t="shared" si="915"/>
        <v>1</v>
      </c>
      <c r="K574" s="26">
        <f>VLOOKUP($C574,COS!$B$8:$H$991,2,FALSE)</f>
        <v>4156.24755859375</v>
      </c>
      <c r="L574" s="24">
        <f t="shared" si="843"/>
        <v>1</v>
      </c>
      <c r="M574" s="24">
        <f t="shared" si="844"/>
        <v>0</v>
      </c>
      <c r="N574" s="26">
        <f>VLOOKUP($C574,COS!$B$8:$H$991,5,FALSE)</f>
        <v>904.4803466796875</v>
      </c>
      <c r="O574" s="26">
        <f t="shared" si="918"/>
        <v>53.820318149535126</v>
      </c>
      <c r="P574" s="26">
        <f>VLOOKUP($C574,COS!$B$8:$H$991,6,FALSE)</f>
        <v>2326.57470703125</v>
      </c>
      <c r="Q574" s="26">
        <f t="shared" si="919"/>
        <v>138.44080901342974</v>
      </c>
      <c r="R574" s="26">
        <f>MIN(IF(MONTH($C574)=4,$S$3,IF(MONTH($C574)=5,$S$4,IF(MONTH($C574)=6,$S$5,IF(MONTH($C574)=7,$S$6,"ERROR")))),MAX(VLOOKUP($C574,COS!$B$8:$K$991,10,FALSE)-IF(MONTH($C574)=4,$Y$3,IF(MONTH($C574)=5,$Y$4,IF(MONTH($C574)=6,$Y$5,IF(MONTH($C574)=7,$Y$6,"ERROR")))),0),MAX(VLOOKUP($C574,COS!$B$8:$K$991,9,FALSE)-IF(MONTH($C574)=4,$V$3,IF(MONTH($C574)=5,$V$4,IF(MONTH($C574)=6,$V$5,IF(MONTH($C574)=7,$V$6,"ERROR"))))-VLOOKUP($C574,COS!$B$8:$K$991,6,FALSE)/2,0))</f>
        <v>1500</v>
      </c>
      <c r="S574" s="26">
        <f t="shared" si="920"/>
        <v>89.256198347107429</v>
      </c>
      <c r="T574" s="26">
        <f t="shared" si="921"/>
        <v>185.38676192858986</v>
      </c>
      <c r="U574" s="26" t="str">
        <f>IF(VLOOKUP($C574,COS!$B$8:$I$991,8,FALSE)=1,"UWFE","IBU")</f>
        <v>IBU</v>
      </c>
      <c r="V574" s="26">
        <f t="shared" ref="V574" si="924">MIN(IF(IF($AA$3=2,AND(E574=1,G574=1,L574=1,L577=1,M574=1,U574="IBU"),AND(E574=1,G574=1,L574=1,L577=1,M574=1)),T574,0),I574)</f>
        <v>0</v>
      </c>
      <c r="W574" s="26"/>
      <c r="X574" s="26"/>
      <c r="Y574" s="26"/>
      <c r="Z574" s="26"/>
      <c r="AA574" s="26"/>
      <c r="AB574" s="33"/>
    </row>
    <row r="575" spans="1:28" x14ac:dyDescent="0.3">
      <c r="A575" s="32">
        <f>VLOOKUP(YEAR(C575),Flags!$A$13:$B$95,2,FALSE)</f>
        <v>1</v>
      </c>
      <c r="B575" s="24">
        <f t="shared" si="841"/>
        <v>1984</v>
      </c>
      <c r="C575" s="25">
        <v>30894</v>
      </c>
      <c r="D575" s="26">
        <f>VLOOKUP($C575,COS!$B$8:$H$991,3,FALSE)</f>
        <v>16000</v>
      </c>
      <c r="E575" s="24">
        <f>IF(D575&gt;=IF(MONTH($C575)=4,$C$3,IF(MONTH($C575)=5,$C$4,IF(MONTH($C575)=6,$C$5,IF(MONTH($C575)=7,$C$6,"ERROR")))),1,0)</f>
        <v>1</v>
      </c>
      <c r="F575" s="26">
        <f>VLOOKUP($C575,COS!$B$8:$H$991,7,FALSE)</f>
        <v>51.311916351318359</v>
      </c>
      <c r="G575" s="24">
        <f>IF(F575&lt;=IF(MONTH($C575)=4,$F$3,IF(MONTH($C575)=5,$F$4,IF(MONTH($C575)=6,$F$5,IF(MONTH($C575)=7,$F$6,"ERROR")))),1,0)</f>
        <v>1</v>
      </c>
      <c r="H575" s="26">
        <f>IF(J575=1,D575-$C$6,0)</f>
        <v>4000</v>
      </c>
      <c r="I575" s="26">
        <f t="shared" si="872"/>
        <v>245.95041322314049</v>
      </c>
      <c r="J575" s="24">
        <f t="shared" si="915"/>
        <v>1</v>
      </c>
      <c r="K575" s="26">
        <f>VLOOKUP($C575,COS!$B$8:$H$991,2,FALSE)</f>
        <v>3457.78173828125</v>
      </c>
      <c r="L575" s="24">
        <f t="shared" si="843"/>
        <v>1</v>
      </c>
      <c r="M575" s="24">
        <f t="shared" si="844"/>
        <v>0</v>
      </c>
      <c r="N575" s="26">
        <f>VLOOKUP($C575,COS!$B$8:$H$991,5,FALSE)</f>
        <v>1002.6513061523438</v>
      </c>
      <c r="O575" s="26">
        <f t="shared" si="918"/>
        <v>61.650625766722627</v>
      </c>
      <c r="P575" s="26">
        <f>VLOOKUP($C575,COS!$B$8:$H$991,6,FALSE)</f>
        <v>2616.67822265625</v>
      </c>
      <c r="Q575" s="26">
        <f t="shared" si="919"/>
        <v>160.89327253357436</v>
      </c>
      <c r="R575" s="26">
        <f>MIN(IF(MONTH($C575)=4,$S$3,IF(MONTH($C575)=5,$S$4,IF(MONTH($C575)=6,$S$5,IF(MONTH($C575)=7,$S$6,"ERROR")))),MAX(VLOOKUP($C575,COS!$B$8:$K$991,10,FALSE)-IF(MONTH($C575)=4,$Y$3,IF(MONTH($C575)=5,$Y$4,IF(MONTH($C575)=6,$Y$5,IF(MONTH($C575)=7,$Y$6,"ERROR")))),0),MAX(VLOOKUP($C575,COS!$B$8:$K$991,9,FALSE)-IF(MONTH($C575)=4,$V$3,IF(MONTH($C575)=5,$V$4,IF(MONTH($C575)=6,$V$5,IF(MONTH($C575)=7,$V$6,"ERROR"))))-VLOOKUP($C575,COS!$B$8:$K$991,6,FALSE)/2,0))</f>
        <v>1500</v>
      </c>
      <c r="S575" s="26">
        <f t="shared" si="920"/>
        <v>92.231404958677686</v>
      </c>
      <c r="T575" s="26">
        <f t="shared" si="921"/>
        <v>203.50335410882616</v>
      </c>
      <c r="U575" s="26" t="str">
        <f>IF(VLOOKUP($C575,COS!$B$8:$I$991,8,FALSE)=1,"UWFE","IBU")</f>
        <v>IBU</v>
      </c>
      <c r="V575" s="26">
        <f t="shared" ref="V575" si="925">MIN(IF(IF($AA$3=2,AND(E575=1,G575=1,L575=1,L577=1,M575=1,U575="IBU"),AND(E575=1,G575=1,L575=1,L577=1,M575=1)),T575,0),I575)</f>
        <v>0</v>
      </c>
      <c r="W575" s="26"/>
      <c r="X575" s="26"/>
      <c r="Y575" s="26"/>
      <c r="Z575" s="26"/>
      <c r="AA575" s="26"/>
      <c r="AB575" s="33"/>
    </row>
    <row r="576" spans="1:28" x14ac:dyDescent="0.3">
      <c r="A576" s="32">
        <f>VLOOKUP(YEAR(C576),Flags!$A$13:$B$95,2,FALSE)</f>
        <v>1</v>
      </c>
      <c r="B576" s="24">
        <f t="shared" si="841"/>
        <v>1984</v>
      </c>
      <c r="C576" s="25">
        <v>30925</v>
      </c>
      <c r="D576" s="26"/>
      <c r="E576" s="24"/>
      <c r="F576" s="26"/>
      <c r="G576" s="24"/>
      <c r="H576" s="24"/>
      <c r="I576" s="26"/>
      <c r="J576" s="24"/>
      <c r="K576" s="26"/>
      <c r="L576" s="24"/>
      <c r="M576" s="24"/>
      <c r="N576" s="26"/>
      <c r="O576" s="26"/>
      <c r="P576" s="26"/>
      <c r="Q576" s="26"/>
      <c r="R576" s="26"/>
      <c r="S576" s="26"/>
      <c r="T576" s="26"/>
      <c r="U576" s="26"/>
      <c r="V576" s="26"/>
      <c r="W576" s="26">
        <f>MAX($C$7-VLOOKUP($C576,COS!$B$8:$H$991,3,FALSE),0)</f>
        <v>91391.3505859375</v>
      </c>
      <c r="X576" s="26">
        <f t="shared" si="870"/>
        <v>5619.4351104080579</v>
      </c>
      <c r="Y576" s="26">
        <f>VLOOKUP($C576,COS!$B$8:$H$991,4,FALSE)</f>
        <v>0</v>
      </c>
      <c r="Z576" s="26">
        <f t="shared" si="871"/>
        <v>0</v>
      </c>
      <c r="AA576" s="26">
        <f t="shared" ref="AA576:AA580" si="926">MIN(W576,Y576)</f>
        <v>0</v>
      </c>
      <c r="AB576" s="33">
        <f t="shared" ref="AB576" si="927">AA576*DAY($C576)*86400/43560/1000*IF(MONTH($C576)=8,$P$3,IF(MONTH($C576)=9,$P$4,IF(MONTH($C576)=10,$P$5,IF(MONTH($C576)=11,$P$6,IF(MONTH($C576)=12,$P$7,NA())))))</f>
        <v>0</v>
      </c>
    </row>
    <row r="577" spans="1:28" x14ac:dyDescent="0.3">
      <c r="A577" s="32">
        <f>VLOOKUP(YEAR(C577),Flags!$A$13:$B$95,2,FALSE)</f>
        <v>1</v>
      </c>
      <c r="B577" s="24">
        <f t="shared" si="841"/>
        <v>1984</v>
      </c>
      <c r="C577" s="25">
        <v>30955</v>
      </c>
      <c r="D577" s="26"/>
      <c r="E577" s="24"/>
      <c r="F577" s="26"/>
      <c r="G577" s="24"/>
      <c r="H577" s="24"/>
      <c r="I577" s="26"/>
      <c r="J577" s="24"/>
      <c r="K577" s="26">
        <f>VLOOKUP($C577,COS!$B$8:$H$991,2,FALSE)</f>
        <v>2599.457763671875</v>
      </c>
      <c r="L577" s="24">
        <f t="shared" ref="L577" si="928">IF(AND(K577&gt;$I$7,K577&lt;$I$8),1,0)</f>
        <v>1</v>
      </c>
      <c r="M577" s="24"/>
      <c r="N577" s="26"/>
      <c r="O577" s="26"/>
      <c r="P577" s="26"/>
      <c r="Q577" s="26"/>
      <c r="R577" s="26"/>
      <c r="S577" s="26"/>
      <c r="T577" s="26"/>
      <c r="U577" s="26"/>
      <c r="V577" s="26"/>
      <c r="W577" s="26">
        <f>MAX($C$8-VLOOKUP($C577,COS!$B$8:$H$991,3,FALSE),0)</f>
        <v>83999</v>
      </c>
      <c r="X577" s="26">
        <f t="shared" si="870"/>
        <v>4998.2876033057846</v>
      </c>
      <c r="Y577" s="26">
        <f>VLOOKUP($C577,COS!$B$8:$H$991,4,FALSE)</f>
        <v>489.46258544921875</v>
      </c>
      <c r="Z577" s="26">
        <f t="shared" si="871"/>
        <v>29.12504640689566</v>
      </c>
      <c r="AA577" s="26">
        <f t="shared" si="926"/>
        <v>489.46258544921875</v>
      </c>
      <c r="AB577" s="33">
        <f t="shared" si="854"/>
        <v>29.12504640689566</v>
      </c>
    </row>
    <row r="578" spans="1:28" x14ac:dyDescent="0.3">
      <c r="A578" s="32">
        <f>VLOOKUP(YEAR(C578),Flags!$A$13:$B$95,2,FALSE)</f>
        <v>1</v>
      </c>
      <c r="B578" s="24">
        <f t="shared" si="841"/>
        <v>1984</v>
      </c>
      <c r="C578" s="25">
        <v>30986</v>
      </c>
      <c r="D578" s="26"/>
      <c r="E578" s="24"/>
      <c r="F578" s="26"/>
      <c r="G578" s="26"/>
      <c r="H578" s="26"/>
      <c r="I578" s="26"/>
      <c r="J578" s="26"/>
      <c r="K578" s="26"/>
      <c r="L578" s="24"/>
      <c r="M578" s="24"/>
      <c r="N578" s="26"/>
      <c r="O578" s="26"/>
      <c r="P578" s="26"/>
      <c r="Q578" s="26"/>
      <c r="R578" s="26"/>
      <c r="S578" s="26"/>
      <c r="T578" s="26"/>
      <c r="U578" s="26"/>
      <c r="V578" s="26"/>
      <c r="W578" s="26">
        <f>MAX($C$9-VLOOKUP($C578,COS!$B$8:$H$991,3,FALSE),0)</f>
        <v>92538.021484375</v>
      </c>
      <c r="X578" s="26">
        <f t="shared" si="870"/>
        <v>5689.9411557334706</v>
      </c>
      <c r="Y578" s="26">
        <f>VLOOKUP($C578,COS!$B$8:$H$991,4,FALSE)</f>
        <v>692.67999267578125</v>
      </c>
      <c r="Z578" s="26">
        <f t="shared" si="871"/>
        <v>42.591232607502583</v>
      </c>
      <c r="AA578" s="26">
        <f t="shared" si="926"/>
        <v>692.67999267578125</v>
      </c>
      <c r="AB578" s="33">
        <f t="shared" si="854"/>
        <v>42.591232607502583</v>
      </c>
    </row>
    <row r="579" spans="1:28" x14ac:dyDescent="0.3">
      <c r="A579" s="32">
        <f>VLOOKUP(YEAR(C579),Flags!$A$13:$B$95,2,FALSE)</f>
        <v>1</v>
      </c>
      <c r="B579" s="24">
        <f t="shared" si="841"/>
        <v>1984</v>
      </c>
      <c r="C579" s="25">
        <v>31016</v>
      </c>
      <c r="D579" s="26"/>
      <c r="E579" s="24"/>
      <c r="F579" s="26"/>
      <c r="G579" s="26"/>
      <c r="H579" s="26"/>
      <c r="I579" s="26"/>
      <c r="J579" s="26"/>
      <c r="K579" s="26"/>
      <c r="L579" s="24"/>
      <c r="M579" s="24"/>
      <c r="N579" s="26"/>
      <c r="O579" s="26"/>
      <c r="P579" s="26"/>
      <c r="Q579" s="26"/>
      <c r="R579" s="26"/>
      <c r="S579" s="26"/>
      <c r="T579" s="26"/>
      <c r="U579" s="26"/>
      <c r="V579" s="26"/>
      <c r="W579" s="26">
        <f>MAX($C$10-VLOOKUP($C579,COS!$B$8:$H$991,3,FALSE),0)</f>
        <v>96749</v>
      </c>
      <c r="X579" s="26">
        <f t="shared" si="870"/>
        <v>5756.965289256198</v>
      </c>
      <c r="Y579" s="26">
        <f>VLOOKUP($C579,COS!$B$8:$H$991,4,FALSE)</f>
        <v>0</v>
      </c>
      <c r="Z579" s="26">
        <f t="shared" si="871"/>
        <v>0</v>
      </c>
      <c r="AA579" s="26">
        <f t="shared" si="926"/>
        <v>0</v>
      </c>
      <c r="AB579" s="33">
        <f t="shared" si="854"/>
        <v>0</v>
      </c>
    </row>
    <row r="580" spans="1:28" x14ac:dyDescent="0.3">
      <c r="A580" s="34">
        <f>VLOOKUP(YEAR(C580),Flags!$A$13:$B$95,2,FALSE)</f>
        <v>1</v>
      </c>
      <c r="B580" s="35">
        <f t="shared" si="841"/>
        <v>1984</v>
      </c>
      <c r="C580" s="36">
        <v>31047</v>
      </c>
      <c r="D580" s="37"/>
      <c r="E580" s="35"/>
      <c r="F580" s="37"/>
      <c r="G580" s="37"/>
      <c r="H580" s="37"/>
      <c r="I580" s="37"/>
      <c r="J580" s="37"/>
      <c r="K580" s="37"/>
      <c r="L580" s="35"/>
      <c r="M580" s="35"/>
      <c r="N580" s="37"/>
      <c r="O580" s="37"/>
      <c r="P580" s="37"/>
      <c r="Q580" s="37"/>
      <c r="R580" s="37"/>
      <c r="S580" s="37"/>
      <c r="T580" s="37"/>
      <c r="U580" s="37"/>
      <c r="V580" s="37"/>
      <c r="W580" s="37">
        <f>MAX($C$11-VLOOKUP($C580,COS!$B$8:$H$991,3,FALSE),0)</f>
        <v>96749</v>
      </c>
      <c r="X580" s="37">
        <f t="shared" si="870"/>
        <v>5948.8641322314052</v>
      </c>
      <c r="Y580" s="37">
        <f>VLOOKUP($C580,COS!$B$8:$H$991,4,FALSE)</f>
        <v>0</v>
      </c>
      <c r="Z580" s="37">
        <f t="shared" si="871"/>
        <v>0</v>
      </c>
      <c r="AA580" s="37">
        <f t="shared" si="926"/>
        <v>0</v>
      </c>
      <c r="AB580" s="38">
        <f t="shared" si="854"/>
        <v>0</v>
      </c>
    </row>
    <row r="581" spans="1:28" x14ac:dyDescent="0.3">
      <c r="A581" s="27">
        <f>VLOOKUP(YEAR(C581),Flags!$A$13:$B$95,2,FALSE)</f>
        <v>3</v>
      </c>
      <c r="B581" s="28">
        <f t="shared" si="841"/>
        <v>1985</v>
      </c>
      <c r="C581" s="29">
        <v>31167</v>
      </c>
      <c r="D581" s="30">
        <f>VLOOKUP($C581,COS!$B$8:$H$991,3,FALSE)</f>
        <v>3250</v>
      </c>
      <c r="E581" s="28">
        <f>IF(D581&gt;=IF(MONTH($C581)=4,$C$3,IF(MONTH($C581)=5,$C$4,IF(MONTH($C581)=6,$C$5,IF(MONTH($C581)=7,$C$6,"ERROR")))),1,0)</f>
        <v>0</v>
      </c>
      <c r="F581" s="30">
        <f>VLOOKUP($C581,COS!$B$8:$H$991,7,FALSE)</f>
        <v>52.461292266845703</v>
      </c>
      <c r="G581" s="28">
        <f>IF(F581&lt;=IF(MONTH($C581)=4,$F$3,IF(MONTH($C581)=5,$F$4,IF(MONTH($C581)=6,$F$5,IF(MONTH($C581)=7,$F$6,"ERROR")))),1,0)</f>
        <v>1</v>
      </c>
      <c r="H581" s="30">
        <f>IF(J581=1,D581-$C$3,0)</f>
        <v>0</v>
      </c>
      <c r="I581" s="30">
        <f t="shared" si="872"/>
        <v>0</v>
      </c>
      <c r="J581" s="28">
        <f t="shared" ref="J581:J584" si="929">IF(AND(E581=1,G581=1),1,0)</f>
        <v>0</v>
      </c>
      <c r="K581" s="30">
        <f>VLOOKUP($C581,COS!$B$8:$H$991,2,FALSE)</f>
        <v>3952.674072265625</v>
      </c>
      <c r="L581" s="28">
        <f t="shared" ref="L581" si="930">IF(K581&lt;=IF(MONTH($C581)=4,$I$3,IF(MONTH($C581)=5,$I$4,IF(MONTH($C581)=6,$I$5,IF(MONTH($C581)=7,$I$6,"ERROR")))),1,0)</f>
        <v>1</v>
      </c>
      <c r="M581" s="28">
        <f t="shared" ref="M581" si="931">VLOOKUP($A581,$L$3:$M$7,2,FALSE)</f>
        <v>0</v>
      </c>
      <c r="N581" s="30">
        <f>VLOOKUP($C581,COS!$B$8:$H$991,5,FALSE)</f>
        <v>325.05386352539063</v>
      </c>
      <c r="O581" s="30">
        <f t="shared" ref="O581:O584" si="932">N581*DAY($C581)*86400/43560/1000</f>
        <v>19.342048077543907</v>
      </c>
      <c r="P581" s="30">
        <f>VLOOKUP($C581,COS!$B$8:$H$991,6,FALSE)</f>
        <v>469.97174072265625</v>
      </c>
      <c r="Q581" s="30">
        <f t="shared" ref="Q581:Q584" si="933">P581*DAY($C581)*86400/43560/1000</f>
        <v>27.965260604984504</v>
      </c>
      <c r="R581" s="30">
        <f>MIN(IF(MONTH($C581)=4,$S$3,IF(MONTH($C581)=5,$S$4,IF(MONTH($C581)=6,$S$5,IF(MONTH($C581)=7,$S$6,"ERROR")))),MAX(VLOOKUP($C581,COS!$B$8:$K$991,10,FALSE)-IF(MONTH($C581)=4,$Y$3,IF(MONTH($C581)=5,$Y$4,IF(MONTH($C581)=6,$Y$5,IF(MONTH($C581)=7,$Y$6,"ERROR")))),0),MAX(VLOOKUP($C581,COS!$B$8:$K$991,9,FALSE)-IF(MONTH($C581)=4,$V$3,IF(MONTH($C581)=5,$V$4,IF(MONTH($C581)=6,$V$5,IF(MONTH($C581)=7,$V$6,"ERROR"))))-VLOOKUP($C581,COS!$B$8:$K$991,6,FALSE)/2,0))</f>
        <v>1164.9433288574219</v>
      </c>
      <c r="S581" s="30">
        <f t="shared" ref="S581:S584" si="934">R581*DAY($C581)*86400/43560/1000</f>
        <v>69.318941882425108</v>
      </c>
      <c r="T581" s="30">
        <f t="shared" ref="T581:T584" si="935">(O581+Q581)/2+S581</f>
        <v>92.972596223689322</v>
      </c>
      <c r="U581" s="30" t="str">
        <f>IF(VLOOKUP($C581,COS!$B$8:$I$991,8,FALSE)=1,"UWFE","IBU")</f>
        <v>UWFE</v>
      </c>
      <c r="V581" s="30">
        <f t="shared" ref="V581" si="936">MIN(IF(IF($AA$3=2,AND(E581=1,G581=1,L581=1,L586=1,M581=1,U581="IBU"),AND(E581=1,G581=1,L581=1,L586=1,M581=1)),T581,0),I581)</f>
        <v>0</v>
      </c>
      <c r="W581" s="30"/>
      <c r="X581" s="30"/>
      <c r="Y581" s="30"/>
      <c r="Z581" s="30"/>
      <c r="AA581" s="30"/>
      <c r="AB581" s="31"/>
    </row>
    <row r="582" spans="1:28" x14ac:dyDescent="0.3">
      <c r="A582" s="32">
        <f>VLOOKUP(YEAR(C582),Flags!$A$13:$B$95,2,FALSE)</f>
        <v>3</v>
      </c>
      <c r="B582" s="24">
        <f t="shared" si="841"/>
        <v>1985</v>
      </c>
      <c r="C582" s="25">
        <v>31198</v>
      </c>
      <c r="D582" s="26">
        <f>VLOOKUP($C582,COS!$B$8:$H$991,3,FALSE)</f>
        <v>8077.96923828125</v>
      </c>
      <c r="E582" s="24">
        <f>IF(D582&gt;=IF(MONTH($C582)=4,$C$3,IF(MONTH($C582)=5,$C$4,IF(MONTH($C582)=6,$C$5,IF(MONTH($C582)=7,$C$6,"ERROR")))),1,0)</f>
        <v>1</v>
      </c>
      <c r="F582" s="26">
        <f>VLOOKUP($C582,COS!$B$8:$H$991,7,FALSE)</f>
        <v>50.861595153808594</v>
      </c>
      <c r="G582" s="24">
        <f>IF(F582&lt;=IF(MONTH($C582)=4,$F$3,IF(MONTH($C582)=5,$F$4,IF(MONTH($C582)=6,$F$5,IF(MONTH($C582)=7,$F$6,"ERROR")))),1,0)</f>
        <v>1</v>
      </c>
      <c r="H582" s="26">
        <f>IF(J582=1,D582-$C$4,0)</f>
        <v>2077.96923828125</v>
      </c>
      <c r="I582" s="26">
        <f t="shared" si="872"/>
        <v>127.76934820506197</v>
      </c>
      <c r="J582" s="24">
        <f t="shared" si="929"/>
        <v>1</v>
      </c>
      <c r="K582" s="26">
        <f>VLOOKUP($C582,COS!$B$8:$H$991,2,FALSE)</f>
        <v>3694.770751953125</v>
      </c>
      <c r="L582" s="24">
        <f t="shared" si="843"/>
        <v>1</v>
      </c>
      <c r="M582" s="24">
        <f t="shared" si="844"/>
        <v>0</v>
      </c>
      <c r="N582" s="26">
        <f>VLOOKUP($C582,COS!$B$8:$H$991,5,FALSE)</f>
        <v>497.94390869140625</v>
      </c>
      <c r="O582" s="26">
        <f t="shared" si="932"/>
        <v>30.617377526149276</v>
      </c>
      <c r="P582" s="26">
        <f>VLOOKUP($C582,COS!$B$8:$H$991,6,FALSE)</f>
        <v>2340.425048828125</v>
      </c>
      <c r="Q582" s="26">
        <f t="shared" si="933"/>
        <v>143.90712696926653</v>
      </c>
      <c r="R582" s="26">
        <f>MIN(IF(MONTH($C582)=4,$S$3,IF(MONTH($C582)=5,$S$4,IF(MONTH($C582)=6,$S$5,IF(MONTH($C582)=7,$S$6,"ERROR")))),MAX(VLOOKUP($C582,COS!$B$8:$K$991,10,FALSE)-IF(MONTH($C582)=4,$Y$3,IF(MONTH($C582)=5,$Y$4,IF(MONTH($C582)=6,$Y$5,IF(MONTH($C582)=7,$Y$6,"ERROR")))),0),MAX(VLOOKUP($C582,COS!$B$8:$K$991,9,FALSE)-IF(MONTH($C582)=4,$V$3,IF(MONTH($C582)=5,$V$4,IF(MONTH($C582)=6,$V$5,IF(MONTH($C582)=7,$V$6,"ERROR"))))-VLOOKUP($C582,COS!$B$8:$K$991,6,FALSE)/2,0))</f>
        <v>1500</v>
      </c>
      <c r="S582" s="26">
        <f t="shared" si="934"/>
        <v>92.231404958677686</v>
      </c>
      <c r="T582" s="26">
        <f t="shared" si="935"/>
        <v>179.49365720638559</v>
      </c>
      <c r="U582" s="26" t="str">
        <f>IF(VLOOKUP($C582,COS!$B$8:$I$991,8,FALSE)=1,"UWFE","IBU")</f>
        <v>IBU</v>
      </c>
      <c r="V582" s="26">
        <f t="shared" ref="V582" si="937">MIN(IF(IF($AA$3=2,AND(E582=1,G582=1,L582=1,L586=1,M582=1,U582="IBU"),AND(E582=1,G582=1,L582=1,L586=1,M582=1)),T582,0),I582)</f>
        <v>0</v>
      </c>
      <c r="W582" s="26"/>
      <c r="X582" s="26"/>
      <c r="Y582" s="26"/>
      <c r="Z582" s="26"/>
      <c r="AA582" s="26"/>
      <c r="AB582" s="33"/>
    </row>
    <row r="583" spans="1:28" x14ac:dyDescent="0.3">
      <c r="A583" s="32">
        <f>VLOOKUP(YEAR(C583),Flags!$A$13:$B$95,2,FALSE)</f>
        <v>3</v>
      </c>
      <c r="B583" s="24">
        <f t="shared" si="841"/>
        <v>1985</v>
      </c>
      <c r="C583" s="25">
        <v>31228</v>
      </c>
      <c r="D583" s="26">
        <f>VLOOKUP($C583,COS!$B$8:$H$991,3,FALSE)</f>
        <v>12637.884765625</v>
      </c>
      <c r="E583" s="24">
        <f>IF(D583&gt;=IF(MONTH($C583)=4,$C$3,IF(MONTH($C583)=5,$C$4,IF(MONTH($C583)=6,$C$5,IF(MONTH($C583)=7,$C$6,"ERROR")))),1,0)</f>
        <v>1</v>
      </c>
      <c r="F583" s="26">
        <f>VLOOKUP($C583,COS!$B$8:$H$991,7,FALSE)</f>
        <v>51.714122772216797</v>
      </c>
      <c r="G583" s="24">
        <f>IF(F583&lt;=IF(MONTH($C583)=4,$F$3,IF(MONTH($C583)=5,$F$4,IF(MONTH($C583)=6,$F$5,IF(MONTH($C583)=7,$F$6,"ERROR")))),1,0)</f>
        <v>1</v>
      </c>
      <c r="H583" s="26">
        <f>IF(J583=1,D583-$C$5,0)</f>
        <v>2637.884765625</v>
      </c>
      <c r="I583" s="26">
        <f t="shared" si="872"/>
        <v>156.96504390495866</v>
      </c>
      <c r="J583" s="24">
        <f t="shared" si="929"/>
        <v>1</v>
      </c>
      <c r="K583" s="26">
        <f>VLOOKUP($C583,COS!$B$8:$H$991,2,FALSE)</f>
        <v>3196.5283203125</v>
      </c>
      <c r="L583" s="24">
        <f t="shared" si="843"/>
        <v>1</v>
      </c>
      <c r="M583" s="24">
        <f t="shared" si="844"/>
        <v>0</v>
      </c>
      <c r="N583" s="26">
        <f>VLOOKUP($C583,COS!$B$8:$H$991,5,FALSE)</f>
        <v>737.8311767578125</v>
      </c>
      <c r="O583" s="26">
        <f t="shared" si="932"/>
        <v>43.904003906249997</v>
      </c>
      <c r="P583" s="26">
        <f>VLOOKUP($C583,COS!$B$8:$H$991,6,FALSE)</f>
        <v>2708.118408203125</v>
      </c>
      <c r="Q583" s="26">
        <f t="shared" si="933"/>
        <v>161.14423586002064</v>
      </c>
      <c r="R583" s="26">
        <f>MIN(IF(MONTH($C583)=4,$S$3,IF(MONTH($C583)=5,$S$4,IF(MONTH($C583)=6,$S$5,IF(MONTH($C583)=7,$S$6,"ERROR")))),MAX(VLOOKUP($C583,COS!$B$8:$K$991,10,FALSE)-IF(MONTH($C583)=4,$Y$3,IF(MONTH($C583)=5,$Y$4,IF(MONTH($C583)=6,$Y$5,IF(MONTH($C583)=7,$Y$6,"ERROR")))),0),MAX(VLOOKUP($C583,COS!$B$8:$K$991,9,FALSE)-IF(MONTH($C583)=4,$V$3,IF(MONTH($C583)=5,$V$4,IF(MONTH($C583)=6,$V$5,IF(MONTH($C583)=7,$V$6,"ERROR"))))-VLOOKUP($C583,COS!$B$8:$K$991,6,FALSE)/2,0))</f>
        <v>1500</v>
      </c>
      <c r="S583" s="26">
        <f t="shared" si="934"/>
        <v>89.256198347107429</v>
      </c>
      <c r="T583" s="26">
        <f t="shared" si="935"/>
        <v>191.78031823024276</v>
      </c>
      <c r="U583" s="26" t="str">
        <f>IF(VLOOKUP($C583,COS!$B$8:$I$991,8,FALSE)=1,"UWFE","IBU")</f>
        <v>IBU</v>
      </c>
      <c r="V583" s="26">
        <f t="shared" ref="V583" si="938">MIN(IF(IF($AA$3=2,AND(E583=1,G583=1,L583=1,L586=1,M583=1,U583="IBU"),AND(E583=1,G583=1,L583=1,L586=1,M583=1)),T583,0),I583)</f>
        <v>0</v>
      </c>
      <c r="W583" s="26"/>
      <c r="X583" s="26"/>
      <c r="Y583" s="26"/>
      <c r="Z583" s="26"/>
      <c r="AA583" s="26"/>
      <c r="AB583" s="33"/>
    </row>
    <row r="584" spans="1:28" x14ac:dyDescent="0.3">
      <c r="A584" s="32">
        <f>VLOOKUP(YEAR(C584),Flags!$A$13:$B$95,2,FALSE)</f>
        <v>3</v>
      </c>
      <c r="B584" s="24">
        <f t="shared" si="841"/>
        <v>1985</v>
      </c>
      <c r="C584" s="25">
        <v>31259</v>
      </c>
      <c r="D584" s="26">
        <f>VLOOKUP($C584,COS!$B$8:$H$991,3,FALSE)</f>
        <v>15330.47265625</v>
      </c>
      <c r="E584" s="24">
        <f>IF(D584&gt;=IF(MONTH($C584)=4,$C$3,IF(MONTH($C584)=5,$C$4,IF(MONTH($C584)=6,$C$5,IF(MONTH($C584)=7,$C$6,"ERROR")))),1,0)</f>
        <v>1</v>
      </c>
      <c r="F584" s="26">
        <f>VLOOKUP($C584,COS!$B$8:$H$991,7,FALSE)</f>
        <v>53.327499389648438</v>
      </c>
      <c r="G584" s="24">
        <f>IF(F584&lt;=IF(MONTH($C584)=4,$F$3,IF(MONTH($C584)=5,$F$4,IF(MONTH($C584)=6,$F$5,IF(MONTH($C584)=7,$F$6,"ERROR")))),1,0)</f>
        <v>1</v>
      </c>
      <c r="H584" s="26">
        <f>IF(J584=1,D584-$C$6,0)</f>
        <v>3330.47265625</v>
      </c>
      <c r="I584" s="26">
        <f t="shared" si="872"/>
        <v>204.78278150826446</v>
      </c>
      <c r="J584" s="24">
        <f t="shared" si="929"/>
        <v>1</v>
      </c>
      <c r="K584" s="26">
        <f>VLOOKUP($C584,COS!$B$8:$H$991,2,FALSE)</f>
        <v>2582.746337890625</v>
      </c>
      <c r="L584" s="24">
        <f t="shared" si="843"/>
        <v>1</v>
      </c>
      <c r="M584" s="24">
        <f t="shared" si="844"/>
        <v>0</v>
      </c>
      <c r="N584" s="26">
        <f>VLOOKUP($C584,COS!$B$8:$H$991,5,FALSE)</f>
        <v>805.3907470703125</v>
      </c>
      <c r="O584" s="26">
        <f t="shared" si="932"/>
        <v>49.521546762009294</v>
      </c>
      <c r="P584" s="26">
        <f>VLOOKUP($C584,COS!$B$8:$H$991,6,FALSE)</f>
        <v>2442.872314453125</v>
      </c>
      <c r="Q584" s="26">
        <f t="shared" si="933"/>
        <v>150.20636379777892</v>
      </c>
      <c r="R584" s="26">
        <f>MIN(IF(MONTH($C584)=4,$S$3,IF(MONTH($C584)=5,$S$4,IF(MONTH($C584)=6,$S$5,IF(MONTH($C584)=7,$S$6,"ERROR")))),MAX(VLOOKUP($C584,COS!$B$8:$K$991,10,FALSE)-IF(MONTH($C584)=4,$Y$3,IF(MONTH($C584)=5,$Y$4,IF(MONTH($C584)=6,$Y$5,IF(MONTH($C584)=7,$Y$6,"ERROR")))),0),MAX(VLOOKUP($C584,COS!$B$8:$K$991,9,FALSE)-IF(MONTH($C584)=4,$V$3,IF(MONTH($C584)=5,$V$4,IF(MONTH($C584)=6,$V$5,IF(MONTH($C584)=7,$V$6,"ERROR"))))-VLOOKUP($C584,COS!$B$8:$K$991,6,FALSE)/2,0))</f>
        <v>1500</v>
      </c>
      <c r="S584" s="26">
        <f t="shared" si="934"/>
        <v>92.231404958677686</v>
      </c>
      <c r="T584" s="26">
        <f t="shared" si="935"/>
        <v>192.0953602385718</v>
      </c>
      <c r="U584" s="26" t="str">
        <f>IF(VLOOKUP($C584,COS!$B$8:$I$991,8,FALSE)=1,"UWFE","IBU")</f>
        <v>IBU</v>
      </c>
      <c r="V584" s="26">
        <f t="shared" ref="V584" si="939">MIN(IF(IF($AA$3=2,AND(E584=1,G584=1,L584=1,L586=1,M584=1,U584="IBU"),AND(E584=1,G584=1,L584=1,L586=1,M584=1)),T584,0),I584)</f>
        <v>0</v>
      </c>
      <c r="W584" s="26"/>
      <c r="X584" s="26"/>
      <c r="Y584" s="26"/>
      <c r="Z584" s="26"/>
      <c r="AA584" s="26"/>
      <c r="AB584" s="33"/>
    </row>
    <row r="585" spans="1:28" x14ac:dyDescent="0.3">
      <c r="A585" s="32">
        <f>VLOOKUP(YEAR(C585),Flags!$A$13:$B$95,2,FALSE)</f>
        <v>3</v>
      </c>
      <c r="B585" s="24">
        <f t="shared" si="841"/>
        <v>1985</v>
      </c>
      <c r="C585" s="25">
        <v>31290</v>
      </c>
      <c r="D585" s="26"/>
      <c r="E585" s="24"/>
      <c r="F585" s="26"/>
      <c r="G585" s="24"/>
      <c r="H585" s="24"/>
      <c r="I585" s="26"/>
      <c r="J585" s="24"/>
      <c r="K585" s="26"/>
      <c r="L585" s="24"/>
      <c r="M585" s="24"/>
      <c r="N585" s="26"/>
      <c r="O585" s="26"/>
      <c r="P585" s="26"/>
      <c r="Q585" s="26"/>
      <c r="R585" s="26"/>
      <c r="S585" s="26"/>
      <c r="T585" s="26"/>
      <c r="U585" s="26"/>
      <c r="V585" s="26"/>
      <c r="W585" s="26">
        <f>MAX($C$7-VLOOKUP($C585,COS!$B$8:$H$991,3,FALSE),0)</f>
        <v>88180.107421875</v>
      </c>
      <c r="X585" s="26">
        <f t="shared" si="870"/>
        <v>5421.9834646177687</v>
      </c>
      <c r="Y585" s="26">
        <f>VLOOKUP($C585,COS!$B$8:$H$991,4,FALSE)</f>
        <v>2388.483154296875</v>
      </c>
      <c r="Z585" s="26">
        <f t="shared" si="871"/>
        <v>146.86210469395661</v>
      </c>
      <c r="AA585" s="26">
        <f t="shared" ref="AA585:AA589" si="940">MIN(W585,Y585)</f>
        <v>2388.483154296875</v>
      </c>
      <c r="AB585" s="33">
        <f t="shared" ref="AB585" si="941">AA585*DAY($C585)*86400/43560/1000*IF(MONTH($C585)=8,$P$3,IF(MONTH($C585)=9,$P$4,IF(MONTH($C585)=10,$P$5,IF(MONTH($C585)=11,$P$6,IF(MONTH($C585)=12,$P$7,NA())))))</f>
        <v>146.86210469395661</v>
      </c>
    </row>
    <row r="586" spans="1:28" x14ac:dyDescent="0.3">
      <c r="A586" s="32">
        <f>VLOOKUP(YEAR(C586),Flags!$A$13:$B$95,2,FALSE)</f>
        <v>3</v>
      </c>
      <c r="B586" s="24">
        <f t="shared" si="841"/>
        <v>1985</v>
      </c>
      <c r="C586" s="25">
        <v>31320</v>
      </c>
      <c r="D586" s="26"/>
      <c r="E586" s="24"/>
      <c r="F586" s="26"/>
      <c r="G586" s="24"/>
      <c r="H586" s="24"/>
      <c r="I586" s="26"/>
      <c r="J586" s="24"/>
      <c r="K586" s="26">
        <f>VLOOKUP($C586,COS!$B$8:$H$991,2,FALSE)</f>
        <v>2217.799560546875</v>
      </c>
      <c r="L586" s="24">
        <f t="shared" ref="L586" si="942">IF(AND(K586&gt;$I$7,K586&lt;$I$8),1,0)</f>
        <v>1</v>
      </c>
      <c r="M586" s="24"/>
      <c r="N586" s="26"/>
      <c r="O586" s="26"/>
      <c r="P586" s="26"/>
      <c r="Q586" s="26"/>
      <c r="R586" s="26"/>
      <c r="S586" s="26"/>
      <c r="T586" s="26"/>
      <c r="U586" s="26"/>
      <c r="V586" s="26"/>
      <c r="W586" s="26">
        <f>MAX($C$8-VLOOKUP($C586,COS!$B$8:$H$991,3,FALSE),0)</f>
        <v>94424.607421875</v>
      </c>
      <c r="X586" s="26">
        <f t="shared" si="870"/>
        <v>5618.6543259297514</v>
      </c>
      <c r="Y586" s="26">
        <f>VLOOKUP($C586,COS!$B$8:$H$991,4,FALSE)</f>
        <v>202.43043518066406</v>
      </c>
      <c r="Z586" s="26">
        <f t="shared" si="871"/>
        <v>12.045447382651084</v>
      </c>
      <c r="AA586" s="26">
        <f t="shared" si="940"/>
        <v>202.43043518066406</v>
      </c>
      <c r="AB586" s="33">
        <f t="shared" si="854"/>
        <v>12.045447382651084</v>
      </c>
    </row>
    <row r="587" spans="1:28" x14ac:dyDescent="0.3">
      <c r="A587" s="32">
        <f>VLOOKUP(YEAR(C587),Flags!$A$13:$B$95,2,FALSE)</f>
        <v>3</v>
      </c>
      <c r="B587" s="24">
        <f t="shared" si="841"/>
        <v>1985</v>
      </c>
      <c r="C587" s="25">
        <v>31351</v>
      </c>
      <c r="D587" s="26"/>
      <c r="E587" s="24"/>
      <c r="F587" s="26"/>
      <c r="G587" s="26"/>
      <c r="H587" s="26"/>
      <c r="I587" s="26"/>
      <c r="J587" s="26"/>
      <c r="K587" s="26"/>
      <c r="L587" s="24"/>
      <c r="M587" s="24"/>
      <c r="N587" s="26"/>
      <c r="O587" s="26"/>
      <c r="P587" s="26"/>
      <c r="Q587" s="26"/>
      <c r="R587" s="26"/>
      <c r="S587" s="26"/>
      <c r="T587" s="26"/>
      <c r="U587" s="26"/>
      <c r="V587" s="26"/>
      <c r="W587" s="26">
        <f>MAX($C$9-VLOOKUP($C587,COS!$B$8:$H$991,3,FALSE),0)</f>
        <v>95205.248046875</v>
      </c>
      <c r="X587" s="26">
        <f t="shared" si="870"/>
        <v>5853.942524535124</v>
      </c>
      <c r="Y587" s="26">
        <f>VLOOKUP($C587,COS!$B$8:$H$991,4,FALSE)</f>
        <v>1064.7911376953125</v>
      </c>
      <c r="Z587" s="26">
        <f t="shared" si="871"/>
        <v>65.471455078125004</v>
      </c>
      <c r="AA587" s="26">
        <f t="shared" si="940"/>
        <v>1064.7911376953125</v>
      </c>
      <c r="AB587" s="33">
        <f t="shared" si="854"/>
        <v>65.471455078125004</v>
      </c>
    </row>
    <row r="588" spans="1:28" x14ac:dyDescent="0.3">
      <c r="A588" s="32">
        <f>VLOOKUP(YEAR(C588),Flags!$A$13:$B$95,2,FALSE)</f>
        <v>3</v>
      </c>
      <c r="B588" s="24">
        <f t="shared" si="841"/>
        <v>1985</v>
      </c>
      <c r="C588" s="25">
        <v>31381</v>
      </c>
      <c r="D588" s="26"/>
      <c r="E588" s="24"/>
      <c r="F588" s="26"/>
      <c r="G588" s="26"/>
      <c r="H588" s="26"/>
      <c r="I588" s="26"/>
      <c r="J588" s="26"/>
      <c r="K588" s="26"/>
      <c r="L588" s="24"/>
      <c r="M588" s="24"/>
      <c r="N588" s="26"/>
      <c r="O588" s="26"/>
      <c r="P588" s="26"/>
      <c r="Q588" s="26"/>
      <c r="R588" s="26"/>
      <c r="S588" s="26"/>
      <c r="T588" s="26"/>
      <c r="U588" s="26"/>
      <c r="V588" s="26"/>
      <c r="W588" s="26">
        <f>MAX($C$10-VLOOKUP($C588,COS!$B$8:$H$991,3,FALSE),0)</f>
        <v>96373.38037109375</v>
      </c>
      <c r="X588" s="26">
        <f t="shared" si="870"/>
        <v>5734.6143691890502</v>
      </c>
      <c r="Y588" s="26">
        <f>VLOOKUP($C588,COS!$B$8:$H$991,4,FALSE)</f>
        <v>110.72906494140625</v>
      </c>
      <c r="Z588" s="26">
        <f t="shared" si="871"/>
        <v>6.5888369221332646</v>
      </c>
      <c r="AA588" s="26">
        <f t="shared" si="940"/>
        <v>110.72906494140625</v>
      </c>
      <c r="AB588" s="33">
        <f t="shared" si="854"/>
        <v>6.5888369221332646</v>
      </c>
    </row>
    <row r="589" spans="1:28" x14ac:dyDescent="0.3">
      <c r="A589" s="34">
        <f>VLOOKUP(YEAR(C589),Flags!$A$13:$B$95,2,FALSE)</f>
        <v>3</v>
      </c>
      <c r="B589" s="35">
        <f t="shared" si="841"/>
        <v>1985</v>
      </c>
      <c r="C589" s="36">
        <v>31412</v>
      </c>
      <c r="D589" s="37"/>
      <c r="E589" s="35"/>
      <c r="F589" s="37"/>
      <c r="G589" s="37"/>
      <c r="H589" s="37"/>
      <c r="I589" s="37"/>
      <c r="J589" s="37"/>
      <c r="K589" s="37"/>
      <c r="L589" s="35"/>
      <c r="M589" s="35"/>
      <c r="N589" s="37"/>
      <c r="O589" s="37"/>
      <c r="P589" s="37"/>
      <c r="Q589" s="37"/>
      <c r="R589" s="37"/>
      <c r="S589" s="37"/>
      <c r="T589" s="37"/>
      <c r="U589" s="37"/>
      <c r="V589" s="37"/>
      <c r="W589" s="37">
        <f>MAX($C$11-VLOOKUP($C589,COS!$B$8:$H$991,3,FALSE),0)</f>
        <v>96749</v>
      </c>
      <c r="X589" s="37">
        <f t="shared" si="870"/>
        <v>5948.8641322314052</v>
      </c>
      <c r="Y589" s="37">
        <f>VLOOKUP($C589,COS!$B$8:$H$991,4,FALSE)</f>
        <v>364.45733642578125</v>
      </c>
      <c r="Z589" s="37">
        <f t="shared" si="871"/>
        <v>22.409608124031507</v>
      </c>
      <c r="AA589" s="37">
        <f t="shared" si="940"/>
        <v>364.45733642578125</v>
      </c>
      <c r="AB589" s="38">
        <f t="shared" si="854"/>
        <v>22.409608124031507</v>
      </c>
    </row>
    <row r="590" spans="1:28" x14ac:dyDescent="0.3">
      <c r="A590" s="27">
        <f>VLOOKUP(YEAR(C590),Flags!$A$13:$B$95,2,FALSE)</f>
        <v>1</v>
      </c>
      <c r="B590" s="28">
        <f t="shared" si="841"/>
        <v>1986</v>
      </c>
      <c r="C590" s="29">
        <v>31532</v>
      </c>
      <c r="D590" s="30">
        <f>VLOOKUP($C590,COS!$B$8:$H$991,3,FALSE)</f>
        <v>3250</v>
      </c>
      <c r="E590" s="28">
        <f>IF(D590&gt;=IF(MONTH($C590)=4,$C$3,IF(MONTH($C590)=5,$C$4,IF(MONTH($C590)=6,$C$5,IF(MONTH($C590)=7,$C$6,"ERROR")))),1,0)</f>
        <v>0</v>
      </c>
      <c r="F590" s="30">
        <f>VLOOKUP($C590,COS!$B$8:$H$991,7,FALSE)</f>
        <v>51.891460418701172</v>
      </c>
      <c r="G590" s="28">
        <f>IF(F590&lt;=IF(MONTH($C590)=4,$F$3,IF(MONTH($C590)=5,$F$4,IF(MONTH($C590)=6,$F$5,IF(MONTH($C590)=7,$F$6,"ERROR")))),1,0)</f>
        <v>1</v>
      </c>
      <c r="H590" s="30">
        <f>IF(J590=1,D590-$C$3,0)</f>
        <v>0</v>
      </c>
      <c r="I590" s="30">
        <f t="shared" si="872"/>
        <v>0</v>
      </c>
      <c r="J590" s="28">
        <f t="shared" ref="J590:J593" si="943">IF(AND(E590=1,G590=1),1,0)</f>
        <v>0</v>
      </c>
      <c r="K590" s="30">
        <f>VLOOKUP($C590,COS!$B$8:$H$991,2,FALSE)</f>
        <v>4012.635986328125</v>
      </c>
      <c r="L590" s="28">
        <f t="shared" ref="L590:L647" si="944">IF(K590&lt;=IF(MONTH($C590)=4,$I$3,IF(MONTH($C590)=5,$I$4,IF(MONTH($C590)=6,$I$5,IF(MONTH($C590)=7,$I$6,"ERROR")))),1,0)</f>
        <v>1</v>
      </c>
      <c r="M590" s="28">
        <f t="shared" ref="M590:M647" si="945">VLOOKUP($A590,$L$3:$M$7,2,FALSE)</f>
        <v>0</v>
      </c>
      <c r="N590" s="30">
        <f>VLOOKUP($C590,COS!$B$8:$H$991,5,FALSE)</f>
        <v>174.09121704101563</v>
      </c>
      <c r="O590" s="30">
        <f t="shared" ref="O590:O593" si="946">N590*DAY($C590)*86400/43560/1000</f>
        <v>10.359146799134814</v>
      </c>
      <c r="P590" s="30">
        <f>VLOOKUP($C590,COS!$B$8:$H$991,6,FALSE)</f>
        <v>419.7452392578125</v>
      </c>
      <c r="Q590" s="30">
        <f t="shared" ref="Q590:Q593" si="947">P590*DAY($C590)*86400/43560/1000</f>
        <v>24.976576220299588</v>
      </c>
      <c r="R590" s="30">
        <f>MIN(IF(MONTH($C590)=4,$S$3,IF(MONTH($C590)=5,$S$4,IF(MONTH($C590)=6,$S$5,IF(MONTH($C590)=7,$S$6,"ERROR")))),MAX(VLOOKUP($C590,COS!$B$8:$K$991,10,FALSE)-IF(MONTH($C590)=4,$Y$3,IF(MONTH($C590)=5,$Y$4,IF(MONTH($C590)=6,$Y$5,IF(MONTH($C590)=7,$Y$6,"ERROR")))),0),MAX(VLOOKUP($C590,COS!$B$8:$K$991,9,FALSE)-IF(MONTH($C590)=4,$V$3,IF(MONTH($C590)=5,$V$4,IF(MONTH($C590)=6,$V$5,IF(MONTH($C590)=7,$V$6,"ERROR"))))-VLOOKUP($C590,COS!$B$8:$K$991,6,FALSE)/2,0))</f>
        <v>1500</v>
      </c>
      <c r="S590" s="30">
        <f t="shared" ref="S590:S593" si="948">R590*DAY($C590)*86400/43560/1000</f>
        <v>89.256198347107429</v>
      </c>
      <c r="T590" s="30">
        <f t="shared" ref="T590:T593" si="949">(O590+Q590)/2+S590</f>
        <v>106.92405985682463</v>
      </c>
      <c r="U590" s="30" t="str">
        <f>IF(VLOOKUP($C590,COS!$B$8:$I$991,8,FALSE)=1,"UWFE","IBU")</f>
        <v>UWFE</v>
      </c>
      <c r="V590" s="30">
        <f t="shared" ref="V590" si="950">MIN(IF(IF($AA$3=2,AND(E590=1,G590=1,L590=1,L595=1,M590=1,U590="IBU"),AND(E590=1,G590=1,L590=1,L595=1,M590=1)),T590,0),I590)</f>
        <v>0</v>
      </c>
      <c r="W590" s="30"/>
      <c r="X590" s="30"/>
      <c r="Y590" s="30"/>
      <c r="Z590" s="30"/>
      <c r="AA590" s="30"/>
      <c r="AB590" s="31"/>
    </row>
    <row r="591" spans="1:28" x14ac:dyDescent="0.3">
      <c r="A591" s="32">
        <f>VLOOKUP(YEAR(C591),Flags!$A$13:$B$95,2,FALSE)</f>
        <v>1</v>
      </c>
      <c r="B591" s="24">
        <f t="shared" ref="B591:B654" si="951">YEAR(C591)</f>
        <v>1986</v>
      </c>
      <c r="C591" s="25">
        <v>31563</v>
      </c>
      <c r="D591" s="26">
        <f>VLOOKUP($C591,COS!$B$8:$H$991,3,FALSE)</f>
        <v>6404.04443359375</v>
      </c>
      <c r="E591" s="24">
        <f>IF(D591&gt;=IF(MONTH($C591)=4,$C$3,IF(MONTH($C591)=5,$C$4,IF(MONTH($C591)=6,$C$5,IF(MONTH($C591)=7,$C$6,"ERROR")))),1,0)</f>
        <v>1</v>
      </c>
      <c r="F591" s="26">
        <f>VLOOKUP($C591,COS!$B$8:$H$991,7,FALSE)</f>
        <v>50.922679901123047</v>
      </c>
      <c r="G591" s="24">
        <f>IF(F591&lt;=IF(MONTH($C591)=4,$F$3,IF(MONTH($C591)=5,$F$4,IF(MONTH($C591)=6,$F$5,IF(MONTH($C591)=7,$F$6,"ERROR")))),1,0)</f>
        <v>1</v>
      </c>
      <c r="H591" s="26">
        <f>IF(J591=1,D591-$C$4,0)</f>
        <v>404.04443359375</v>
      </c>
      <c r="I591" s="26">
        <f t="shared" si="872"/>
        <v>24.843723850723141</v>
      </c>
      <c r="J591" s="24">
        <f t="shared" si="943"/>
        <v>1</v>
      </c>
      <c r="K591" s="26">
        <f>VLOOKUP($C591,COS!$B$8:$H$991,2,FALSE)</f>
        <v>4026.975341796875</v>
      </c>
      <c r="L591" s="24">
        <f t="shared" si="944"/>
        <v>1</v>
      </c>
      <c r="M591" s="24">
        <f t="shared" si="945"/>
        <v>0</v>
      </c>
      <c r="N591" s="26">
        <f>VLOOKUP($C591,COS!$B$8:$H$991,5,FALSE)</f>
        <v>294.54061889648438</v>
      </c>
      <c r="O591" s="26">
        <f t="shared" si="946"/>
        <v>18.110596732147467</v>
      </c>
      <c r="P591" s="26">
        <f>VLOOKUP($C591,COS!$B$8:$H$991,6,FALSE)</f>
        <v>2245.033447265625</v>
      </c>
      <c r="Q591" s="26">
        <f t="shared" si="947"/>
        <v>138.04172601368802</v>
      </c>
      <c r="R591" s="26">
        <f>MIN(IF(MONTH($C591)=4,$S$3,IF(MONTH($C591)=5,$S$4,IF(MONTH($C591)=6,$S$5,IF(MONTH($C591)=7,$S$6,"ERROR")))),MAX(VLOOKUP($C591,COS!$B$8:$K$991,10,FALSE)-IF(MONTH($C591)=4,$Y$3,IF(MONTH($C591)=5,$Y$4,IF(MONTH($C591)=6,$Y$5,IF(MONTH($C591)=7,$Y$6,"ERROR")))),0),MAX(VLOOKUP($C591,COS!$B$8:$K$991,9,FALSE)-IF(MONTH($C591)=4,$V$3,IF(MONTH($C591)=5,$V$4,IF(MONTH($C591)=6,$V$5,IF(MONTH($C591)=7,$V$6,"ERROR"))))-VLOOKUP($C591,COS!$B$8:$K$991,6,FALSE)/2,0))</f>
        <v>1500</v>
      </c>
      <c r="S591" s="26">
        <f t="shared" si="948"/>
        <v>92.231404958677686</v>
      </c>
      <c r="T591" s="26">
        <f t="shared" si="949"/>
        <v>170.30756633159541</v>
      </c>
      <c r="U591" s="26" t="str">
        <f>IF(VLOOKUP($C591,COS!$B$8:$I$991,8,FALSE)=1,"UWFE","IBU")</f>
        <v>UWFE</v>
      </c>
      <c r="V591" s="26">
        <f t="shared" ref="V591" si="952">MIN(IF(IF($AA$3=2,AND(E591=1,G591=1,L591=1,L595=1,M591=1,U591="IBU"),AND(E591=1,G591=1,L591=1,L595=1,M591=1)),T591,0),I591)</f>
        <v>0</v>
      </c>
      <c r="W591" s="26"/>
      <c r="X591" s="26"/>
      <c r="Y591" s="26"/>
      <c r="Z591" s="26"/>
      <c r="AA591" s="26"/>
      <c r="AB591" s="33"/>
    </row>
    <row r="592" spans="1:28" x14ac:dyDescent="0.3">
      <c r="A592" s="32">
        <f>VLOOKUP(YEAR(C592),Flags!$A$13:$B$95,2,FALSE)</f>
        <v>1</v>
      </c>
      <c r="B592" s="24">
        <f t="shared" si="951"/>
        <v>1986</v>
      </c>
      <c r="C592" s="25">
        <v>31593</v>
      </c>
      <c r="D592" s="26">
        <f>VLOOKUP($C592,COS!$B$8:$H$991,3,FALSE)</f>
        <v>8645.5615234375</v>
      </c>
      <c r="E592" s="24">
        <f>IF(D592&gt;=IF(MONTH($C592)=4,$C$3,IF(MONTH($C592)=5,$C$4,IF(MONTH($C592)=6,$C$5,IF(MONTH($C592)=7,$C$6,"ERROR")))),1,0)</f>
        <v>0</v>
      </c>
      <c r="F592" s="26">
        <f>VLOOKUP($C592,COS!$B$8:$H$991,7,FALSE)</f>
        <v>51.637722015380859</v>
      </c>
      <c r="G592" s="24">
        <f>IF(F592&lt;=IF(MONTH($C592)=4,$F$3,IF(MONTH($C592)=5,$F$4,IF(MONTH($C592)=6,$F$5,IF(MONTH($C592)=7,$F$6,"ERROR")))),1,0)</f>
        <v>1</v>
      </c>
      <c r="H592" s="26">
        <f>IF(J592=1,D592-$C$5,0)</f>
        <v>0</v>
      </c>
      <c r="I592" s="26">
        <f t="shared" si="872"/>
        <v>0</v>
      </c>
      <c r="J592" s="24">
        <f t="shared" si="943"/>
        <v>0</v>
      </c>
      <c r="K592" s="26">
        <f>VLOOKUP($C592,COS!$B$8:$H$991,2,FALSE)</f>
        <v>3745.956298828125</v>
      </c>
      <c r="L592" s="24">
        <f t="shared" si="944"/>
        <v>1</v>
      </c>
      <c r="M592" s="24">
        <f t="shared" si="945"/>
        <v>0</v>
      </c>
      <c r="N592" s="26">
        <f>VLOOKUP($C592,COS!$B$8:$H$991,5,FALSE)</f>
        <v>616.0546875</v>
      </c>
      <c r="O592" s="26">
        <f t="shared" si="946"/>
        <v>36.657799586776861</v>
      </c>
      <c r="P592" s="26">
        <f>VLOOKUP($C592,COS!$B$8:$H$991,6,FALSE)</f>
        <v>2278.943359375</v>
      </c>
      <c r="Q592" s="26">
        <f t="shared" si="947"/>
        <v>135.60654700413224</v>
      </c>
      <c r="R592" s="26">
        <f>MIN(IF(MONTH($C592)=4,$S$3,IF(MONTH($C592)=5,$S$4,IF(MONTH($C592)=6,$S$5,IF(MONTH($C592)=7,$S$6,"ERROR")))),MAX(VLOOKUP($C592,COS!$B$8:$K$991,10,FALSE)-IF(MONTH($C592)=4,$Y$3,IF(MONTH($C592)=5,$Y$4,IF(MONTH($C592)=6,$Y$5,IF(MONTH($C592)=7,$Y$6,"ERROR")))),0),MAX(VLOOKUP($C592,COS!$B$8:$K$991,9,FALSE)-IF(MONTH($C592)=4,$V$3,IF(MONTH($C592)=5,$V$4,IF(MONTH($C592)=6,$V$5,IF(MONTH($C592)=7,$V$6,"ERROR"))))-VLOOKUP($C592,COS!$B$8:$K$991,6,FALSE)/2,0))</f>
        <v>1500</v>
      </c>
      <c r="S592" s="26">
        <f t="shared" si="948"/>
        <v>89.256198347107429</v>
      </c>
      <c r="T592" s="26">
        <f t="shared" si="949"/>
        <v>175.38837164256199</v>
      </c>
      <c r="U592" s="26" t="str">
        <f>IF(VLOOKUP($C592,COS!$B$8:$I$991,8,FALSE)=1,"UWFE","IBU")</f>
        <v>IBU</v>
      </c>
      <c r="V592" s="26">
        <f t="shared" ref="V592" si="953">MIN(IF(IF($AA$3=2,AND(E592=1,G592=1,L592=1,L595=1,M592=1,U592="IBU"),AND(E592=1,G592=1,L592=1,L595=1,M592=1)),T592,0),I592)</f>
        <v>0</v>
      </c>
      <c r="W592" s="26"/>
      <c r="X592" s="26"/>
      <c r="Y592" s="26"/>
      <c r="Z592" s="26"/>
      <c r="AA592" s="26"/>
      <c r="AB592" s="33"/>
    </row>
    <row r="593" spans="1:28" x14ac:dyDescent="0.3">
      <c r="A593" s="32">
        <f>VLOOKUP(YEAR(C593),Flags!$A$13:$B$95,2,FALSE)</f>
        <v>1</v>
      </c>
      <c r="B593" s="24">
        <f t="shared" si="951"/>
        <v>1986</v>
      </c>
      <c r="C593" s="25">
        <v>31624</v>
      </c>
      <c r="D593" s="26">
        <f>VLOOKUP($C593,COS!$B$8:$H$991,3,FALSE)</f>
        <v>12633.615234375</v>
      </c>
      <c r="E593" s="24">
        <f>IF(D593&gt;=IF(MONTH($C593)=4,$C$3,IF(MONTH($C593)=5,$C$4,IF(MONTH($C593)=6,$C$5,IF(MONTH($C593)=7,$C$6,"ERROR")))),1,0)</f>
        <v>1</v>
      </c>
      <c r="F593" s="26">
        <f>VLOOKUP($C593,COS!$B$8:$H$991,7,FALSE)</f>
        <v>51.914817810058594</v>
      </c>
      <c r="G593" s="24">
        <f>IF(F593&lt;=IF(MONTH($C593)=4,$F$3,IF(MONTH($C593)=5,$F$4,IF(MONTH($C593)=6,$F$5,IF(MONTH($C593)=7,$F$6,"ERROR")))),1,0)</f>
        <v>1</v>
      </c>
      <c r="H593" s="26">
        <f>IF(J593=1,D593-$C$6,0)</f>
        <v>633.615234375</v>
      </c>
      <c r="I593" s="26">
        <f t="shared" si="872"/>
        <v>38.959482179752065</v>
      </c>
      <c r="J593" s="24">
        <f t="shared" si="943"/>
        <v>1</v>
      </c>
      <c r="K593" s="26">
        <f>VLOOKUP($C593,COS!$B$8:$H$991,2,FALSE)</f>
        <v>3301.90478515625</v>
      </c>
      <c r="L593" s="24">
        <f t="shared" si="944"/>
        <v>1</v>
      </c>
      <c r="M593" s="24">
        <f t="shared" si="945"/>
        <v>0</v>
      </c>
      <c r="N593" s="26">
        <f>VLOOKUP($C593,COS!$B$8:$H$991,5,FALSE)</f>
        <v>673.447265625</v>
      </c>
      <c r="O593" s="26">
        <f t="shared" si="946"/>
        <v>41.408658316115705</v>
      </c>
      <c r="P593" s="26">
        <f>VLOOKUP($C593,COS!$B$8:$H$991,6,FALSE)</f>
        <v>2521.474853515625</v>
      </c>
      <c r="Q593" s="26">
        <f t="shared" si="947"/>
        <v>155.0394455384814</v>
      </c>
      <c r="R593" s="26">
        <f>MIN(IF(MONTH($C593)=4,$S$3,IF(MONTH($C593)=5,$S$4,IF(MONTH($C593)=6,$S$5,IF(MONTH($C593)=7,$S$6,"ERROR")))),MAX(VLOOKUP($C593,COS!$B$8:$K$991,10,FALSE)-IF(MONTH($C593)=4,$Y$3,IF(MONTH($C593)=5,$Y$4,IF(MONTH($C593)=6,$Y$5,IF(MONTH($C593)=7,$Y$6,"ERROR")))),0),MAX(VLOOKUP($C593,COS!$B$8:$K$991,9,FALSE)-IF(MONTH($C593)=4,$V$3,IF(MONTH($C593)=5,$V$4,IF(MONTH($C593)=6,$V$5,IF(MONTH($C593)=7,$V$6,"ERROR"))))-VLOOKUP($C593,COS!$B$8:$K$991,6,FALSE)/2,0))</f>
        <v>1500</v>
      </c>
      <c r="S593" s="26">
        <f t="shared" si="948"/>
        <v>92.231404958677686</v>
      </c>
      <c r="T593" s="26">
        <f t="shared" si="949"/>
        <v>190.45545688597622</v>
      </c>
      <c r="U593" s="26" t="str">
        <f>IF(VLOOKUP($C593,COS!$B$8:$I$991,8,FALSE)=1,"UWFE","IBU")</f>
        <v>IBU</v>
      </c>
      <c r="V593" s="26">
        <f t="shared" ref="V593" si="954">MIN(IF(IF($AA$3=2,AND(E593=1,G593=1,L593=1,L595=1,M593=1,U593="IBU"),AND(E593=1,G593=1,L593=1,L595=1,M593=1)),T593,0),I593)</f>
        <v>0</v>
      </c>
      <c r="W593" s="26"/>
      <c r="X593" s="26"/>
      <c r="Y593" s="26"/>
      <c r="Z593" s="26"/>
      <c r="AA593" s="26"/>
      <c r="AB593" s="33"/>
    </row>
    <row r="594" spans="1:28" x14ac:dyDescent="0.3">
      <c r="A594" s="32">
        <f>VLOOKUP(YEAR(C594),Flags!$A$13:$B$95,2,FALSE)</f>
        <v>1</v>
      </c>
      <c r="B594" s="24">
        <f t="shared" si="951"/>
        <v>1986</v>
      </c>
      <c r="C594" s="25">
        <v>31655</v>
      </c>
      <c r="D594" s="26"/>
      <c r="E594" s="24"/>
      <c r="F594" s="26"/>
      <c r="G594" s="24"/>
      <c r="H594" s="24"/>
      <c r="I594" s="26"/>
      <c r="J594" s="24"/>
      <c r="K594" s="26"/>
      <c r="L594" s="24"/>
      <c r="M594" s="24"/>
      <c r="N594" s="26"/>
      <c r="O594" s="26"/>
      <c r="P594" s="26"/>
      <c r="Q594" s="26"/>
      <c r="R594" s="26"/>
      <c r="S594" s="26"/>
      <c r="T594" s="26"/>
      <c r="U594" s="26"/>
      <c r="V594" s="26"/>
      <c r="W594" s="26">
        <f>MAX($C$7-VLOOKUP($C594,COS!$B$8:$H$991,3,FALSE),0)</f>
        <v>90769.2431640625</v>
      </c>
      <c r="X594" s="26">
        <f t="shared" si="870"/>
        <v>5581.1832160382237</v>
      </c>
      <c r="Y594" s="26">
        <f>VLOOKUP($C594,COS!$B$8:$H$991,4,FALSE)</f>
        <v>387.97982788085938</v>
      </c>
      <c r="Z594" s="26">
        <f t="shared" si="871"/>
        <v>23.855949747385072</v>
      </c>
      <c r="AA594" s="26">
        <f t="shared" ref="AA594:AA598" si="955">MIN(W594,Y594)</f>
        <v>387.97982788085938</v>
      </c>
      <c r="AB594" s="33">
        <f t="shared" ref="AB594:AB652" si="956">AA594*DAY($C594)*86400/43560/1000*IF(MONTH($C594)=8,$P$3,IF(MONTH($C594)=9,$P$4,IF(MONTH($C594)=10,$P$5,IF(MONTH($C594)=11,$P$6,IF(MONTH($C594)=12,$P$7,NA())))))</f>
        <v>23.855949747385072</v>
      </c>
    </row>
    <row r="595" spans="1:28" x14ac:dyDescent="0.3">
      <c r="A595" s="32">
        <f>VLOOKUP(YEAR(C595),Flags!$A$13:$B$95,2,FALSE)</f>
        <v>1</v>
      </c>
      <c r="B595" s="24">
        <f t="shared" si="951"/>
        <v>1986</v>
      </c>
      <c r="C595" s="25">
        <v>31685</v>
      </c>
      <c r="D595" s="26"/>
      <c r="E595" s="24"/>
      <c r="F595" s="26"/>
      <c r="G595" s="24"/>
      <c r="H595" s="24"/>
      <c r="I595" s="26"/>
      <c r="J595" s="24"/>
      <c r="K595" s="26">
        <f>VLOOKUP($C595,COS!$B$8:$H$991,2,FALSE)</f>
        <v>2914.57763671875</v>
      </c>
      <c r="L595" s="24">
        <f t="shared" ref="L595" si="957">IF(AND(K595&gt;$I$7,K595&lt;$I$8),1,0)</f>
        <v>1</v>
      </c>
      <c r="M595" s="24"/>
      <c r="N595" s="26"/>
      <c r="O595" s="26"/>
      <c r="P595" s="26"/>
      <c r="Q595" s="26"/>
      <c r="R595" s="26"/>
      <c r="S595" s="26"/>
      <c r="T595" s="26"/>
      <c r="U595" s="26"/>
      <c r="V595" s="26"/>
      <c r="W595" s="26">
        <f>MAX($C$8-VLOOKUP($C595,COS!$B$8:$H$991,3,FALSE),0)</f>
        <v>92355.841796875</v>
      </c>
      <c r="X595" s="26">
        <f t="shared" si="870"/>
        <v>5495.5542226239668</v>
      </c>
      <c r="Y595" s="26">
        <f>VLOOKUP($C595,COS!$B$8:$H$991,4,FALSE)</f>
        <v>343.38613891601563</v>
      </c>
      <c r="Z595" s="26">
        <f t="shared" si="871"/>
        <v>20.432894216490187</v>
      </c>
      <c r="AA595" s="26">
        <f t="shared" si="955"/>
        <v>343.38613891601563</v>
      </c>
      <c r="AB595" s="33">
        <f t="shared" si="956"/>
        <v>20.432894216490187</v>
      </c>
    </row>
    <row r="596" spans="1:28" x14ac:dyDescent="0.3">
      <c r="A596" s="32">
        <f>VLOOKUP(YEAR(C596),Flags!$A$13:$B$95,2,FALSE)</f>
        <v>1</v>
      </c>
      <c r="B596" s="24">
        <f t="shared" si="951"/>
        <v>1986</v>
      </c>
      <c r="C596" s="25">
        <v>31716</v>
      </c>
      <c r="D596" s="26"/>
      <c r="E596" s="24"/>
      <c r="F596" s="26"/>
      <c r="G596" s="26"/>
      <c r="H596" s="26"/>
      <c r="I596" s="26"/>
      <c r="J596" s="26"/>
      <c r="K596" s="26"/>
      <c r="L596" s="24"/>
      <c r="M596" s="24"/>
      <c r="N596" s="26"/>
      <c r="O596" s="26"/>
      <c r="P596" s="26"/>
      <c r="Q596" s="26"/>
      <c r="R596" s="26"/>
      <c r="S596" s="26"/>
      <c r="T596" s="26"/>
      <c r="U596" s="26"/>
      <c r="V596" s="26"/>
      <c r="W596" s="26">
        <f>MAX($C$9-VLOOKUP($C596,COS!$B$8:$H$991,3,FALSE),0)</f>
        <v>93664.2392578125</v>
      </c>
      <c r="X596" s="26">
        <f t="shared" si="870"/>
        <v>5759.1895874225211</v>
      </c>
      <c r="Y596" s="26">
        <f>VLOOKUP($C596,COS!$B$8:$H$991,4,FALSE)</f>
        <v>539.67193603515625</v>
      </c>
      <c r="Z596" s="26">
        <f t="shared" si="871"/>
        <v>33.183133918194734</v>
      </c>
      <c r="AA596" s="26">
        <f t="shared" si="955"/>
        <v>539.67193603515625</v>
      </c>
      <c r="AB596" s="33">
        <f t="shared" si="956"/>
        <v>33.183133918194734</v>
      </c>
    </row>
    <row r="597" spans="1:28" x14ac:dyDescent="0.3">
      <c r="A597" s="32">
        <f>VLOOKUP(YEAR(C597),Flags!$A$13:$B$95,2,FALSE)</f>
        <v>1</v>
      </c>
      <c r="B597" s="24">
        <f t="shared" si="951"/>
        <v>1986</v>
      </c>
      <c r="C597" s="25">
        <v>31746</v>
      </c>
      <c r="D597" s="26"/>
      <c r="E597" s="24"/>
      <c r="F597" s="26"/>
      <c r="G597" s="26"/>
      <c r="H597" s="26"/>
      <c r="I597" s="26"/>
      <c r="J597" s="26"/>
      <c r="K597" s="26"/>
      <c r="L597" s="24"/>
      <c r="M597" s="24"/>
      <c r="N597" s="26"/>
      <c r="O597" s="26"/>
      <c r="P597" s="26"/>
      <c r="Q597" s="26"/>
      <c r="R597" s="26"/>
      <c r="S597" s="26"/>
      <c r="T597" s="26"/>
      <c r="U597" s="26"/>
      <c r="V597" s="26"/>
      <c r="W597" s="26">
        <f>MAX($C$10-VLOOKUP($C597,COS!$B$8:$H$991,3,FALSE),0)</f>
        <v>89193.92578125</v>
      </c>
      <c r="X597" s="26">
        <f t="shared" si="870"/>
        <v>5307.4071539256202</v>
      </c>
      <c r="Y597" s="26">
        <f>VLOOKUP($C597,COS!$B$8:$H$991,4,FALSE)</f>
        <v>3081.6455078125</v>
      </c>
      <c r="Z597" s="26">
        <f t="shared" si="871"/>
        <v>183.37064178719007</v>
      </c>
      <c r="AA597" s="26">
        <f t="shared" si="955"/>
        <v>3081.6455078125</v>
      </c>
      <c r="AB597" s="33">
        <f t="shared" si="956"/>
        <v>183.37064178719007</v>
      </c>
    </row>
    <row r="598" spans="1:28" x14ac:dyDescent="0.3">
      <c r="A598" s="34">
        <f>VLOOKUP(YEAR(C598),Flags!$A$13:$B$95,2,FALSE)</f>
        <v>1</v>
      </c>
      <c r="B598" s="35">
        <f t="shared" si="951"/>
        <v>1986</v>
      </c>
      <c r="C598" s="36">
        <v>31777</v>
      </c>
      <c r="D598" s="37"/>
      <c r="E598" s="35"/>
      <c r="F598" s="37"/>
      <c r="G598" s="37"/>
      <c r="H598" s="37"/>
      <c r="I598" s="37"/>
      <c r="J598" s="37"/>
      <c r="K598" s="37"/>
      <c r="L598" s="35"/>
      <c r="M598" s="35"/>
      <c r="N598" s="37"/>
      <c r="O598" s="37"/>
      <c r="P598" s="37"/>
      <c r="Q598" s="37"/>
      <c r="R598" s="37"/>
      <c r="S598" s="37"/>
      <c r="T598" s="37"/>
      <c r="U598" s="37"/>
      <c r="V598" s="37"/>
      <c r="W598" s="37">
        <f>MAX($C$11-VLOOKUP($C598,COS!$B$8:$H$991,3,FALSE),0)</f>
        <v>95663.515625</v>
      </c>
      <c r="X598" s="37">
        <f t="shared" si="870"/>
        <v>5882.120299586777</v>
      </c>
      <c r="Y598" s="37">
        <f>VLOOKUP($C598,COS!$B$8:$H$991,4,FALSE)</f>
        <v>442.69561767578125</v>
      </c>
      <c r="Z598" s="37">
        <f t="shared" si="871"/>
        <v>27.220292524857957</v>
      </c>
      <c r="AA598" s="37">
        <f t="shared" si="955"/>
        <v>442.69561767578125</v>
      </c>
      <c r="AB598" s="38">
        <f t="shared" si="956"/>
        <v>27.220292524857957</v>
      </c>
    </row>
    <row r="599" spans="1:28" x14ac:dyDescent="0.3">
      <c r="A599" s="27">
        <f>VLOOKUP(YEAR(C599),Flags!$A$13:$B$95,2,FALSE)</f>
        <v>4</v>
      </c>
      <c r="B599" s="28">
        <f t="shared" si="951"/>
        <v>1987</v>
      </c>
      <c r="C599" s="29">
        <v>31897</v>
      </c>
      <c r="D599" s="30">
        <f>VLOOKUP($C599,COS!$B$8:$H$991,3,FALSE)</f>
        <v>5294.4443359375</v>
      </c>
      <c r="E599" s="28">
        <f>IF(D599&gt;=IF(MONTH($C599)=4,$C$3,IF(MONTH($C599)=5,$C$4,IF(MONTH($C599)=6,$C$5,IF(MONTH($C599)=7,$C$6,"ERROR")))),1,0)</f>
        <v>0</v>
      </c>
      <c r="F599" s="30">
        <f>VLOOKUP($C599,COS!$B$8:$H$991,7,FALSE)</f>
        <v>50.914810180664063</v>
      </c>
      <c r="G599" s="28">
        <f>IF(F599&lt;=IF(MONTH($C599)=4,$F$3,IF(MONTH($C599)=5,$F$4,IF(MONTH($C599)=6,$F$5,IF(MONTH($C599)=7,$F$6,"ERROR")))),1,0)</f>
        <v>1</v>
      </c>
      <c r="H599" s="30">
        <f>IF(J599=1,D599-$C$3,0)</f>
        <v>0</v>
      </c>
      <c r="I599" s="30">
        <f t="shared" si="872"/>
        <v>0</v>
      </c>
      <c r="J599" s="28">
        <f t="shared" ref="J599:J602" si="958">IF(AND(E599=1,G599=1),1,0)</f>
        <v>0</v>
      </c>
      <c r="K599" s="30">
        <f>VLOOKUP($C599,COS!$B$8:$H$991,2,FALSE)</f>
        <v>3623.035888671875</v>
      </c>
      <c r="L599" s="28">
        <f t="shared" ref="L599" si="959">IF(K599&lt;=IF(MONTH($C599)=4,$I$3,IF(MONTH($C599)=5,$I$4,IF(MONTH($C599)=6,$I$5,IF(MONTH($C599)=7,$I$6,"ERROR")))),1,0)</f>
        <v>1</v>
      </c>
      <c r="M599" s="28">
        <f t="shared" ref="M599" si="960">VLOOKUP($A599,$L$3:$M$7,2,FALSE)</f>
        <v>1</v>
      </c>
      <c r="N599" s="30">
        <f>VLOOKUP($C599,COS!$B$8:$H$991,5,FALSE)</f>
        <v>182.17179870605469</v>
      </c>
      <c r="O599" s="30">
        <f t="shared" ref="O599:O602" si="961">N599*DAY($C599)*86400/43560/1000</f>
        <v>10.839974799037966</v>
      </c>
      <c r="P599" s="30">
        <f>VLOOKUP($C599,COS!$B$8:$H$991,6,FALSE)</f>
        <v>465.95361328125</v>
      </c>
      <c r="Q599" s="30">
        <f t="shared" ref="Q599:Q602" si="962">P599*DAY($C599)*86400/43560/1000</f>
        <v>27.72616541838843</v>
      </c>
      <c r="R599" s="30">
        <f>MIN(IF(MONTH($C599)=4,$S$3,IF(MONTH($C599)=5,$S$4,IF(MONTH($C599)=6,$S$5,IF(MONTH($C599)=7,$S$6,"ERROR")))),MAX(VLOOKUP($C599,COS!$B$8:$K$991,10,FALSE)-IF(MONTH($C599)=4,$Y$3,IF(MONTH($C599)=5,$Y$4,IF(MONTH($C599)=6,$Y$5,IF(MONTH($C599)=7,$Y$6,"ERROR")))),0),MAX(VLOOKUP($C599,COS!$B$8:$K$991,9,FALSE)-IF(MONTH($C599)=4,$V$3,IF(MONTH($C599)=5,$V$4,IF(MONTH($C599)=6,$V$5,IF(MONTH($C599)=7,$V$6,"ERROR"))))-VLOOKUP($C599,COS!$B$8:$K$991,6,FALSE)/2,0))</f>
        <v>1500</v>
      </c>
      <c r="S599" s="30">
        <f t="shared" ref="S599:S602" si="963">R599*DAY($C599)*86400/43560/1000</f>
        <v>89.256198347107429</v>
      </c>
      <c r="T599" s="30">
        <f t="shared" ref="T599:T602" si="964">(O599+Q599)/2+S599</f>
        <v>108.53926845582063</v>
      </c>
      <c r="U599" s="30" t="str">
        <f>IF(VLOOKUP($C599,COS!$B$8:$I$991,8,FALSE)=1,"UWFE","IBU")</f>
        <v>UWFE</v>
      </c>
      <c r="V599" s="30">
        <f t="shared" ref="V599" si="965">MIN(IF(IF($AA$3=2,AND(E599=1,G599=1,L599=1,L604=1,M599=1,U599="IBU"),AND(E599=1,G599=1,L599=1,L604=1,M599=1)),T599,0),I599)</f>
        <v>0</v>
      </c>
      <c r="W599" s="30"/>
      <c r="X599" s="30"/>
      <c r="Y599" s="30"/>
      <c r="Z599" s="30"/>
      <c r="AA599" s="30"/>
      <c r="AB599" s="31"/>
    </row>
    <row r="600" spans="1:28" x14ac:dyDescent="0.3">
      <c r="A600" s="32">
        <f>VLOOKUP(YEAR(C600),Flags!$A$13:$B$95,2,FALSE)</f>
        <v>4</v>
      </c>
      <c r="B600" s="24">
        <f t="shared" si="951"/>
        <v>1987</v>
      </c>
      <c r="C600" s="25">
        <v>31928</v>
      </c>
      <c r="D600" s="26">
        <f>VLOOKUP($C600,COS!$B$8:$H$991,3,FALSE)</f>
        <v>9427.30078125</v>
      </c>
      <c r="E600" s="24">
        <f>IF(D600&gt;=IF(MONTH($C600)=4,$C$3,IF(MONTH($C600)=5,$C$4,IF(MONTH($C600)=6,$C$5,IF(MONTH($C600)=7,$C$6,"ERROR")))),1,0)</f>
        <v>1</v>
      </c>
      <c r="F600" s="26">
        <f>VLOOKUP($C600,COS!$B$8:$H$991,7,FALSE)</f>
        <v>50.738330841064453</v>
      </c>
      <c r="G600" s="24">
        <f>IF(F600&lt;=IF(MONTH($C600)=4,$F$3,IF(MONTH($C600)=5,$F$4,IF(MONTH($C600)=6,$F$5,IF(MONTH($C600)=7,$F$6,"ERROR")))),1,0)</f>
        <v>1</v>
      </c>
      <c r="H600" s="26">
        <f>IF(J600=1,D600-$C$4,0)</f>
        <v>3427.30078125</v>
      </c>
      <c r="I600" s="26">
        <f t="shared" si="872"/>
        <v>210.73651084710744</v>
      </c>
      <c r="J600" s="24">
        <f t="shared" si="958"/>
        <v>1</v>
      </c>
      <c r="K600" s="26">
        <f>VLOOKUP($C600,COS!$B$8:$H$991,2,FALSE)</f>
        <v>3278.966796875</v>
      </c>
      <c r="L600" s="24">
        <f t="shared" si="944"/>
        <v>1</v>
      </c>
      <c r="M600" s="24">
        <f t="shared" si="945"/>
        <v>1</v>
      </c>
      <c r="N600" s="26">
        <f>VLOOKUP($C600,COS!$B$8:$H$991,5,FALSE)</f>
        <v>250.50456237792969</v>
      </c>
      <c r="O600" s="26">
        <f t="shared" si="961"/>
        <v>15.402925157783447</v>
      </c>
      <c r="P600" s="26">
        <f>VLOOKUP($C600,COS!$B$8:$H$991,6,FALSE)</f>
        <v>2345.609619140625</v>
      </c>
      <c r="Q600" s="26">
        <f t="shared" si="962"/>
        <v>144.22591377195246</v>
      </c>
      <c r="R600" s="26">
        <f>MIN(IF(MONTH($C600)=4,$S$3,IF(MONTH($C600)=5,$S$4,IF(MONTH($C600)=6,$S$5,IF(MONTH($C600)=7,$S$6,"ERROR")))),MAX(VLOOKUP($C600,COS!$B$8:$K$991,10,FALSE)-IF(MONTH($C600)=4,$Y$3,IF(MONTH($C600)=5,$Y$4,IF(MONTH($C600)=6,$Y$5,IF(MONTH($C600)=7,$Y$6,"ERROR")))),0),MAX(VLOOKUP($C600,COS!$B$8:$K$991,9,FALSE)-IF(MONTH($C600)=4,$V$3,IF(MONTH($C600)=5,$V$4,IF(MONTH($C600)=6,$V$5,IF(MONTH($C600)=7,$V$6,"ERROR"))))-VLOOKUP($C600,COS!$B$8:$K$991,6,FALSE)/2,0))</f>
        <v>1500</v>
      </c>
      <c r="S600" s="26">
        <f t="shared" si="963"/>
        <v>92.231404958677686</v>
      </c>
      <c r="T600" s="26">
        <f t="shared" si="964"/>
        <v>172.04582442354564</v>
      </c>
      <c r="U600" s="26" t="str">
        <f>IF(VLOOKUP($C600,COS!$B$8:$I$991,8,FALSE)=1,"UWFE","IBU")</f>
        <v>IBU</v>
      </c>
      <c r="V600" s="26">
        <f t="shared" ref="V600" si="966">MIN(IF(IF($AA$3=2,AND(E600=1,G600=1,L600=1,L604=1,M600=1,U600="IBU"),AND(E600=1,G600=1,L600=1,L604=1,M600=1)),T600,0),I600)</f>
        <v>172.04582442354564</v>
      </c>
      <c r="W600" s="26"/>
      <c r="X600" s="26"/>
      <c r="Y600" s="26"/>
      <c r="Z600" s="26"/>
      <c r="AA600" s="26"/>
      <c r="AB600" s="33"/>
    </row>
    <row r="601" spans="1:28" x14ac:dyDescent="0.3">
      <c r="A601" s="32">
        <f>VLOOKUP(YEAR(C601),Flags!$A$13:$B$95,2,FALSE)</f>
        <v>4</v>
      </c>
      <c r="B601" s="24">
        <f t="shared" si="951"/>
        <v>1987</v>
      </c>
      <c r="C601" s="25">
        <v>31958</v>
      </c>
      <c r="D601" s="26">
        <f>VLOOKUP($C601,COS!$B$8:$H$991,3,FALSE)</f>
        <v>12915.80859375</v>
      </c>
      <c r="E601" s="24">
        <f>IF(D601&gt;=IF(MONTH($C601)=4,$C$3,IF(MONTH($C601)=5,$C$4,IF(MONTH($C601)=6,$C$5,IF(MONTH($C601)=7,$C$6,"ERROR")))),1,0)</f>
        <v>1</v>
      </c>
      <c r="F601" s="26">
        <f>VLOOKUP($C601,COS!$B$8:$H$991,7,FALSE)</f>
        <v>52.064525604248047</v>
      </c>
      <c r="G601" s="24">
        <f>IF(F601&lt;=IF(MONTH($C601)=4,$F$3,IF(MONTH($C601)=5,$F$4,IF(MONTH($C601)=6,$F$5,IF(MONTH($C601)=7,$F$6,"ERROR")))),1,0)</f>
        <v>1</v>
      </c>
      <c r="H601" s="26">
        <f>IF(J601=1,D601-$C$5,0)</f>
        <v>2915.80859375</v>
      </c>
      <c r="I601" s="26">
        <f t="shared" si="872"/>
        <v>173.50266012396696</v>
      </c>
      <c r="J601" s="24">
        <f t="shared" si="958"/>
        <v>1</v>
      </c>
      <c r="K601" s="26">
        <f>VLOOKUP($C601,COS!$B$8:$H$991,2,FALSE)</f>
        <v>2849.214111328125</v>
      </c>
      <c r="L601" s="24">
        <f t="shared" si="944"/>
        <v>1</v>
      </c>
      <c r="M601" s="24">
        <f t="shared" si="945"/>
        <v>1</v>
      </c>
      <c r="N601" s="26">
        <f>VLOOKUP($C601,COS!$B$8:$H$991,5,FALSE)</f>
        <v>294.71493530273438</v>
      </c>
      <c r="O601" s="26">
        <f t="shared" si="961"/>
        <v>17.536756480823865</v>
      </c>
      <c r="P601" s="26">
        <f>VLOOKUP($C601,COS!$B$8:$H$991,6,FALSE)</f>
        <v>2714.961669921875</v>
      </c>
      <c r="Q601" s="26">
        <f t="shared" si="962"/>
        <v>161.55143821022727</v>
      </c>
      <c r="R601" s="26">
        <f>MIN(IF(MONTH($C601)=4,$S$3,IF(MONTH($C601)=5,$S$4,IF(MONTH($C601)=6,$S$5,IF(MONTH($C601)=7,$S$6,"ERROR")))),MAX(VLOOKUP($C601,COS!$B$8:$K$991,10,FALSE)-IF(MONTH($C601)=4,$Y$3,IF(MONTH($C601)=5,$Y$4,IF(MONTH($C601)=6,$Y$5,IF(MONTH($C601)=7,$Y$6,"ERROR")))),0),MAX(VLOOKUP($C601,COS!$B$8:$K$991,9,FALSE)-IF(MONTH($C601)=4,$V$3,IF(MONTH($C601)=5,$V$4,IF(MONTH($C601)=6,$V$5,IF(MONTH($C601)=7,$V$6,"ERROR"))))-VLOOKUP($C601,COS!$B$8:$K$991,6,FALSE)/2,0))</f>
        <v>1500</v>
      </c>
      <c r="S601" s="26">
        <f t="shared" si="963"/>
        <v>89.256198347107429</v>
      </c>
      <c r="T601" s="26">
        <f t="shared" si="964"/>
        <v>178.800295692633</v>
      </c>
      <c r="U601" s="26" t="str">
        <f>IF(VLOOKUP($C601,COS!$B$8:$I$991,8,FALSE)=1,"UWFE","IBU")</f>
        <v>IBU</v>
      </c>
      <c r="V601" s="26">
        <f t="shared" ref="V601" si="967">MIN(IF(IF($AA$3=2,AND(E601=1,G601=1,L601=1,L604=1,M601=1,U601="IBU"),AND(E601=1,G601=1,L601=1,L604=1,M601=1)),T601,0),I601)</f>
        <v>173.50266012396696</v>
      </c>
      <c r="W601" s="26"/>
      <c r="X601" s="26"/>
      <c r="Y601" s="26"/>
      <c r="Z601" s="26"/>
      <c r="AA601" s="26"/>
      <c r="AB601" s="33"/>
    </row>
    <row r="602" spans="1:28" x14ac:dyDescent="0.3">
      <c r="A602" s="32">
        <f>VLOOKUP(YEAR(C602),Flags!$A$13:$B$95,2,FALSE)</f>
        <v>4</v>
      </c>
      <c r="B602" s="24">
        <f t="shared" si="951"/>
        <v>1987</v>
      </c>
      <c r="C602" s="25">
        <v>31989</v>
      </c>
      <c r="D602" s="26">
        <f>VLOOKUP($C602,COS!$B$8:$H$991,3,FALSE)</f>
        <v>12279.78515625</v>
      </c>
      <c r="E602" s="24">
        <f>IF(D602&gt;=IF(MONTH($C602)=4,$C$3,IF(MONTH($C602)=5,$C$4,IF(MONTH($C602)=6,$C$5,IF(MONTH($C602)=7,$C$6,"ERROR")))),1,0)</f>
        <v>1</v>
      </c>
      <c r="F602" s="26">
        <f>VLOOKUP($C602,COS!$B$8:$H$991,7,FALSE)</f>
        <v>53.705059051513672</v>
      </c>
      <c r="G602" s="24">
        <f>IF(F602&lt;=IF(MONTH($C602)=4,$F$3,IF(MONTH($C602)=5,$F$4,IF(MONTH($C602)=6,$F$5,IF(MONTH($C602)=7,$F$6,"ERROR")))),1,0)</f>
        <v>0</v>
      </c>
      <c r="H602" s="26">
        <f>IF(J602=1,D602-$C$6,0)</f>
        <v>0</v>
      </c>
      <c r="I602" s="26">
        <f t="shared" si="872"/>
        <v>0</v>
      </c>
      <c r="J602" s="24">
        <f t="shared" si="958"/>
        <v>0</v>
      </c>
      <c r="K602" s="26">
        <f>VLOOKUP($C602,COS!$B$8:$H$991,2,FALSE)</f>
        <v>2473.188232421875</v>
      </c>
      <c r="L602" s="24">
        <f t="shared" si="944"/>
        <v>1</v>
      </c>
      <c r="M602" s="24">
        <f t="shared" si="945"/>
        <v>1</v>
      </c>
      <c r="N602" s="26">
        <f>VLOOKUP($C602,COS!$B$8:$H$991,5,FALSE)</f>
        <v>320.8253173828125</v>
      </c>
      <c r="O602" s="26">
        <f t="shared" si="961"/>
        <v>19.726779845686984</v>
      </c>
      <c r="P602" s="26">
        <f>VLOOKUP($C602,COS!$B$8:$H$991,6,FALSE)</f>
        <v>2538.07568359375</v>
      </c>
      <c r="Q602" s="26">
        <f t="shared" si="962"/>
        <v>156.06019079287191</v>
      </c>
      <c r="R602" s="26">
        <f>MIN(IF(MONTH($C602)=4,$S$3,IF(MONTH($C602)=5,$S$4,IF(MONTH($C602)=6,$S$5,IF(MONTH($C602)=7,$S$6,"ERROR")))),MAX(VLOOKUP($C602,COS!$B$8:$K$991,10,FALSE)-IF(MONTH($C602)=4,$Y$3,IF(MONTH($C602)=5,$Y$4,IF(MONTH($C602)=6,$Y$5,IF(MONTH($C602)=7,$Y$6,"ERROR")))),0),MAX(VLOOKUP($C602,COS!$B$8:$K$991,9,FALSE)-IF(MONTH($C602)=4,$V$3,IF(MONTH($C602)=5,$V$4,IF(MONTH($C602)=6,$V$5,IF(MONTH($C602)=7,$V$6,"ERROR"))))-VLOOKUP($C602,COS!$B$8:$K$991,6,FALSE)/2,0))</f>
        <v>1500</v>
      </c>
      <c r="S602" s="26">
        <f t="shared" si="963"/>
        <v>92.231404958677686</v>
      </c>
      <c r="T602" s="26">
        <f t="shared" si="964"/>
        <v>180.12489027795715</v>
      </c>
      <c r="U602" s="26" t="str">
        <f>IF(VLOOKUP($C602,COS!$B$8:$I$991,8,FALSE)=1,"UWFE","IBU")</f>
        <v>IBU</v>
      </c>
      <c r="V602" s="26">
        <f t="shared" ref="V602" si="968">MIN(IF(IF($AA$3=2,AND(E602=1,G602=1,L602=1,L604=1,M602=1,U602="IBU"),AND(E602=1,G602=1,L602=1,L604=1,M602=1)),T602,0),I602)</f>
        <v>0</v>
      </c>
      <c r="W602" s="26"/>
      <c r="X602" s="26"/>
      <c r="Y602" s="26"/>
      <c r="Z602" s="26"/>
      <c r="AA602" s="26"/>
      <c r="AB602" s="33"/>
    </row>
    <row r="603" spans="1:28" x14ac:dyDescent="0.3">
      <c r="A603" s="32">
        <f>VLOOKUP(YEAR(C603),Flags!$A$13:$B$95,2,FALSE)</f>
        <v>4</v>
      </c>
      <c r="B603" s="24">
        <f t="shared" si="951"/>
        <v>1987</v>
      </c>
      <c r="C603" s="25">
        <v>32020</v>
      </c>
      <c r="D603" s="26"/>
      <c r="E603" s="24"/>
      <c r="F603" s="26"/>
      <c r="G603" s="24"/>
      <c r="H603" s="24"/>
      <c r="I603" s="26"/>
      <c r="J603" s="24"/>
      <c r="K603" s="26"/>
      <c r="L603" s="24"/>
      <c r="M603" s="24"/>
      <c r="N603" s="26"/>
      <c r="O603" s="26"/>
      <c r="P603" s="26"/>
      <c r="Q603" s="26"/>
      <c r="R603" s="26"/>
      <c r="S603" s="26"/>
      <c r="T603" s="26"/>
      <c r="U603" s="26"/>
      <c r="V603" s="26"/>
      <c r="W603" s="26">
        <f>MAX($C$7-VLOOKUP($C603,COS!$B$8:$H$991,3,FALSE),0)</f>
        <v>92401.0830078125</v>
      </c>
      <c r="X603" s="26">
        <f t="shared" si="870"/>
        <v>5681.5211370092975</v>
      </c>
      <c r="Y603" s="26">
        <f>VLOOKUP($C603,COS!$B$8:$H$991,4,FALSE)</f>
        <v>2881.91650390625</v>
      </c>
      <c r="Z603" s="26">
        <f t="shared" si="871"/>
        <v>177.20213875258267</v>
      </c>
      <c r="AA603" s="26">
        <f t="shared" ref="AA603:AA607" si="969">MIN(W603,Y603)</f>
        <v>2881.91650390625</v>
      </c>
      <c r="AB603" s="33">
        <f t="shared" ref="AB603" si="970">AA603*DAY($C603)*86400/43560/1000*IF(MONTH($C603)=8,$P$3,IF(MONTH($C603)=9,$P$4,IF(MONTH($C603)=10,$P$5,IF(MONTH($C603)=11,$P$6,IF(MONTH($C603)=12,$P$7,NA())))))</f>
        <v>177.20213875258267</v>
      </c>
    </row>
    <row r="604" spans="1:28" x14ac:dyDescent="0.3">
      <c r="A604" s="32">
        <f>VLOOKUP(YEAR(C604),Flags!$A$13:$B$95,2,FALSE)</f>
        <v>4</v>
      </c>
      <c r="B604" s="24">
        <f t="shared" si="951"/>
        <v>1987</v>
      </c>
      <c r="C604" s="25">
        <v>32050</v>
      </c>
      <c r="D604" s="26"/>
      <c r="E604" s="24"/>
      <c r="F604" s="26"/>
      <c r="G604" s="24"/>
      <c r="H604" s="24"/>
      <c r="I604" s="26"/>
      <c r="J604" s="24"/>
      <c r="K604" s="26">
        <f>VLOOKUP($C604,COS!$B$8:$H$991,2,FALSE)</f>
        <v>2192.67578125</v>
      </c>
      <c r="L604" s="24">
        <f t="shared" ref="L604" si="971">IF(AND(K604&gt;$I$7,K604&lt;$I$8),1,0)</f>
        <v>1</v>
      </c>
      <c r="M604" s="24"/>
      <c r="N604" s="26"/>
      <c r="O604" s="26"/>
      <c r="P604" s="26"/>
      <c r="Q604" s="26"/>
      <c r="R604" s="26"/>
      <c r="S604" s="26"/>
      <c r="T604" s="26"/>
      <c r="U604" s="26"/>
      <c r="V604" s="26"/>
      <c r="W604" s="26">
        <f>MAX($C$8-VLOOKUP($C604,COS!$B$8:$H$991,3,FALSE),0)</f>
        <v>94661.54638671875</v>
      </c>
      <c r="X604" s="26">
        <f t="shared" si="870"/>
        <v>5632.7531734245867</v>
      </c>
      <c r="Y604" s="26">
        <f>VLOOKUP($C604,COS!$B$8:$H$991,4,FALSE)</f>
        <v>1887.955078125</v>
      </c>
      <c r="Z604" s="26">
        <f t="shared" si="871"/>
        <v>112.34112861570247</v>
      </c>
      <c r="AA604" s="26">
        <f t="shared" si="969"/>
        <v>1887.955078125</v>
      </c>
      <c r="AB604" s="33">
        <f t="shared" si="956"/>
        <v>112.34112861570247</v>
      </c>
    </row>
    <row r="605" spans="1:28" x14ac:dyDescent="0.3">
      <c r="A605" s="32">
        <f>VLOOKUP(YEAR(C605),Flags!$A$13:$B$95,2,FALSE)</f>
        <v>4</v>
      </c>
      <c r="B605" s="24">
        <f t="shared" si="951"/>
        <v>1987</v>
      </c>
      <c r="C605" s="25">
        <v>32081</v>
      </c>
      <c r="D605" s="26"/>
      <c r="E605" s="24"/>
      <c r="F605" s="26"/>
      <c r="G605" s="26"/>
      <c r="H605" s="26"/>
      <c r="I605" s="26"/>
      <c r="J605" s="26"/>
      <c r="K605" s="26"/>
      <c r="L605" s="24"/>
      <c r="M605" s="24"/>
      <c r="N605" s="26"/>
      <c r="O605" s="26"/>
      <c r="P605" s="26"/>
      <c r="Q605" s="26"/>
      <c r="R605" s="26"/>
      <c r="S605" s="26"/>
      <c r="T605" s="26"/>
      <c r="U605" s="26"/>
      <c r="V605" s="26"/>
      <c r="W605" s="26">
        <f>MAX($C$9-VLOOKUP($C605,COS!$B$8:$H$991,3,FALSE),0)</f>
        <v>93485.296875</v>
      </c>
      <c r="X605" s="26">
        <f t="shared" si="870"/>
        <v>5748.1868491735531</v>
      </c>
      <c r="Y605" s="26">
        <f>VLOOKUP($C605,COS!$B$8:$H$991,4,FALSE)</f>
        <v>1710.297119140625</v>
      </c>
      <c r="Z605" s="26">
        <f t="shared" si="871"/>
        <v>105.16207079674588</v>
      </c>
      <c r="AA605" s="26">
        <f t="shared" si="969"/>
        <v>1710.297119140625</v>
      </c>
      <c r="AB605" s="33">
        <f t="shared" si="956"/>
        <v>105.16207079674588</v>
      </c>
    </row>
    <row r="606" spans="1:28" x14ac:dyDescent="0.3">
      <c r="A606" s="32">
        <f>VLOOKUP(YEAR(C606),Flags!$A$13:$B$95,2,FALSE)</f>
        <v>4</v>
      </c>
      <c r="B606" s="24">
        <f t="shared" si="951"/>
        <v>1987</v>
      </c>
      <c r="C606" s="25">
        <v>32111</v>
      </c>
      <c r="D606" s="26"/>
      <c r="E606" s="24"/>
      <c r="F606" s="26"/>
      <c r="G606" s="26"/>
      <c r="H606" s="26"/>
      <c r="I606" s="26"/>
      <c r="J606" s="26"/>
      <c r="K606" s="26"/>
      <c r="L606" s="24"/>
      <c r="M606" s="24"/>
      <c r="N606" s="26"/>
      <c r="O606" s="26"/>
      <c r="P606" s="26"/>
      <c r="Q606" s="26"/>
      <c r="R606" s="26"/>
      <c r="S606" s="26"/>
      <c r="T606" s="26"/>
      <c r="U606" s="26"/>
      <c r="V606" s="26"/>
      <c r="W606" s="26">
        <f>MAX($C$10-VLOOKUP($C606,COS!$B$8:$H$991,3,FALSE),0)</f>
        <v>95803.09228515625</v>
      </c>
      <c r="X606" s="26">
        <f t="shared" si="870"/>
        <v>5700.67987151343</v>
      </c>
      <c r="Y606" s="26">
        <f>VLOOKUP($C606,COS!$B$8:$H$991,4,FALSE)</f>
        <v>1824.783935546875</v>
      </c>
      <c r="Z606" s="26">
        <f t="shared" si="871"/>
        <v>108.58218459452479</v>
      </c>
      <c r="AA606" s="26">
        <f t="shared" si="969"/>
        <v>1824.783935546875</v>
      </c>
      <c r="AB606" s="33">
        <f t="shared" si="956"/>
        <v>108.58218459452479</v>
      </c>
    </row>
    <row r="607" spans="1:28" x14ac:dyDescent="0.3">
      <c r="A607" s="34">
        <f>VLOOKUP(YEAR(C607),Flags!$A$13:$B$95,2,FALSE)</f>
        <v>4</v>
      </c>
      <c r="B607" s="35">
        <f t="shared" si="951"/>
        <v>1987</v>
      </c>
      <c r="C607" s="36">
        <v>32142</v>
      </c>
      <c r="D607" s="37"/>
      <c r="E607" s="35"/>
      <c r="F607" s="37"/>
      <c r="G607" s="37"/>
      <c r="H607" s="37"/>
      <c r="I607" s="37"/>
      <c r="J607" s="37"/>
      <c r="K607" s="37"/>
      <c r="L607" s="35"/>
      <c r="M607" s="35"/>
      <c r="N607" s="37"/>
      <c r="O607" s="37"/>
      <c r="P607" s="37"/>
      <c r="Q607" s="37"/>
      <c r="R607" s="37"/>
      <c r="S607" s="37"/>
      <c r="T607" s="37"/>
      <c r="U607" s="37"/>
      <c r="V607" s="37"/>
      <c r="W607" s="37">
        <f>MAX($C$11-VLOOKUP($C607,COS!$B$8:$H$991,3,FALSE),0)</f>
        <v>96749</v>
      </c>
      <c r="X607" s="37">
        <f t="shared" ref="X607:X670" si="972">W607*DAY($C607)*86400/43560/1000</f>
        <v>5948.8641322314052</v>
      </c>
      <c r="Y607" s="37">
        <f>VLOOKUP($C607,COS!$B$8:$H$991,4,FALSE)</f>
        <v>906.1927490234375</v>
      </c>
      <c r="Z607" s="37">
        <f t="shared" ref="Z607:Z670" si="973">Y607*DAY($C607)*86400/43560/1000</f>
        <v>55.719620270532026</v>
      </c>
      <c r="AA607" s="37">
        <f t="shared" si="969"/>
        <v>906.1927490234375</v>
      </c>
      <c r="AB607" s="38">
        <f t="shared" si="956"/>
        <v>55.719620270532026</v>
      </c>
    </row>
    <row r="608" spans="1:28" x14ac:dyDescent="0.3">
      <c r="A608" s="27">
        <f>VLOOKUP(YEAR(C608),Flags!$A$13:$B$95,2,FALSE)</f>
        <v>5</v>
      </c>
      <c r="B608" s="28">
        <f t="shared" si="951"/>
        <v>1988</v>
      </c>
      <c r="C608" s="29">
        <v>32263</v>
      </c>
      <c r="D608" s="30">
        <f>VLOOKUP($C608,COS!$B$8:$H$991,3,FALSE)</f>
        <v>3250</v>
      </c>
      <c r="E608" s="28">
        <f>IF(D608&gt;=IF(MONTH($C608)=4,$C$3,IF(MONTH($C608)=5,$C$4,IF(MONTH($C608)=6,$C$5,IF(MONTH($C608)=7,$C$6,"ERROR")))),1,0)</f>
        <v>0</v>
      </c>
      <c r="F608" s="30">
        <f>VLOOKUP($C608,COS!$B$8:$H$991,7,FALSE)</f>
        <v>51.376628875732422</v>
      </c>
      <c r="G608" s="28">
        <f>IF(F608&lt;=IF(MONTH($C608)=4,$F$3,IF(MONTH($C608)=5,$F$4,IF(MONTH($C608)=6,$F$5,IF(MONTH($C608)=7,$F$6,"ERROR")))),1,0)</f>
        <v>1</v>
      </c>
      <c r="H608" s="30">
        <f>IF(J608=1,D608-$C$3,0)</f>
        <v>0</v>
      </c>
      <c r="I608" s="30">
        <f t="shared" si="872"/>
        <v>0</v>
      </c>
      <c r="J608" s="28">
        <f t="shared" ref="J608:J611" si="974">IF(AND(E608=1,G608=1),1,0)</f>
        <v>0</v>
      </c>
      <c r="K608" s="30">
        <f>VLOOKUP($C608,COS!$B$8:$H$991,2,FALSE)</f>
        <v>3432.6455078125</v>
      </c>
      <c r="L608" s="28">
        <f t="shared" ref="L608" si="975">IF(K608&lt;=IF(MONTH($C608)=4,$I$3,IF(MONTH($C608)=5,$I$4,IF(MONTH($C608)=6,$I$5,IF(MONTH($C608)=7,$I$6,"ERROR")))),1,0)</f>
        <v>1</v>
      </c>
      <c r="M608" s="28">
        <f t="shared" ref="M608" si="976">VLOOKUP($A608,$L$3:$M$7,2,FALSE)</f>
        <v>1</v>
      </c>
      <c r="N608" s="30">
        <f>VLOOKUP($C608,COS!$B$8:$H$991,5,FALSE)</f>
        <v>119.56303405761719</v>
      </c>
      <c r="O608" s="30">
        <f t="shared" ref="O608:O611" si="977">N608*DAY($C608)*86400/43560/1000</f>
        <v>7.1144945885524278</v>
      </c>
      <c r="P608" s="30">
        <f>VLOOKUP($C608,COS!$B$8:$H$991,6,FALSE)</f>
        <v>472.98532104492188</v>
      </c>
      <c r="Q608" s="30">
        <f t="shared" ref="Q608:Q611" si="978">P608*DAY($C608)*86400/43560/1000</f>
        <v>28.144581086970557</v>
      </c>
      <c r="R608" s="30">
        <f>MIN(IF(MONTH($C608)=4,$S$3,IF(MONTH($C608)=5,$S$4,IF(MONTH($C608)=6,$S$5,IF(MONTH($C608)=7,$S$6,"ERROR")))),MAX(VLOOKUP($C608,COS!$B$8:$K$991,10,FALSE)-IF(MONTH($C608)=4,$Y$3,IF(MONTH($C608)=5,$Y$4,IF(MONTH($C608)=6,$Y$5,IF(MONTH($C608)=7,$Y$6,"ERROR")))),0),MAX(VLOOKUP($C608,COS!$B$8:$K$991,9,FALSE)-IF(MONTH($C608)=4,$V$3,IF(MONTH($C608)=5,$V$4,IF(MONTH($C608)=6,$V$5,IF(MONTH($C608)=7,$V$6,"ERROR"))))-VLOOKUP($C608,COS!$B$8:$K$991,6,FALSE)/2,0))</f>
        <v>764.98193359375</v>
      </c>
      <c r="S608" s="30">
        <f t="shared" ref="S608:S611" si="979">R608*DAY($C608)*86400/43560/1000</f>
        <v>45.519586131198345</v>
      </c>
      <c r="T608" s="30">
        <f t="shared" ref="T608:T611" si="980">(O608+Q608)/2+S608</f>
        <v>63.149123968959842</v>
      </c>
      <c r="U608" s="30" t="str">
        <f>IF(VLOOKUP($C608,COS!$B$8:$I$991,8,FALSE)=1,"UWFE","IBU")</f>
        <v>UWFE</v>
      </c>
      <c r="V608" s="30">
        <f t="shared" ref="V608" si="981">MIN(IF(IF($AA$3=2,AND(E608=1,G608=1,L608=1,L613=1,M608=1,U608="IBU"),AND(E608=1,G608=1,L608=1,L613=1,M608=1)),T608,0),I608)</f>
        <v>0</v>
      </c>
      <c r="W608" s="30"/>
      <c r="X608" s="30"/>
      <c r="Y608" s="30"/>
      <c r="Z608" s="30"/>
      <c r="AA608" s="30"/>
      <c r="AB608" s="31"/>
    </row>
    <row r="609" spans="1:28" x14ac:dyDescent="0.3">
      <c r="A609" s="32">
        <f>VLOOKUP(YEAR(C609),Flags!$A$13:$B$95,2,FALSE)</f>
        <v>5</v>
      </c>
      <c r="B609" s="24">
        <f t="shared" si="951"/>
        <v>1988</v>
      </c>
      <c r="C609" s="25">
        <v>32294</v>
      </c>
      <c r="D609" s="26">
        <f>VLOOKUP($C609,COS!$B$8:$H$991,3,FALSE)</f>
        <v>6883.46142578125</v>
      </c>
      <c r="E609" s="24">
        <f>IF(D609&gt;=IF(MONTH($C609)=4,$C$3,IF(MONTH($C609)=5,$C$4,IF(MONTH($C609)=6,$C$5,IF(MONTH($C609)=7,$C$6,"ERROR")))),1,0)</f>
        <v>1</v>
      </c>
      <c r="F609" s="26">
        <f>VLOOKUP($C609,COS!$B$8:$H$991,7,FALSE)</f>
        <v>51.008148193359375</v>
      </c>
      <c r="G609" s="24">
        <f>IF(F609&lt;=IF(MONTH($C609)=4,$F$3,IF(MONTH($C609)=5,$F$4,IF(MONTH($C609)=6,$F$5,IF(MONTH($C609)=7,$F$6,"ERROR")))),1,0)</f>
        <v>1</v>
      </c>
      <c r="H609" s="26">
        <f>IF(J609=1,D609-$C$4,0)</f>
        <v>883.46142578125</v>
      </c>
      <c r="I609" s="26">
        <f t="shared" ref="I609:I672" si="982">H609*DAY($C609)*86400/43560/1000</f>
        <v>54.321925684400824</v>
      </c>
      <c r="J609" s="24">
        <f t="shared" si="974"/>
        <v>1</v>
      </c>
      <c r="K609" s="26">
        <f>VLOOKUP($C609,COS!$B$8:$H$991,2,FALSE)</f>
        <v>3330.71044921875</v>
      </c>
      <c r="L609" s="24">
        <f t="shared" si="944"/>
        <v>1</v>
      </c>
      <c r="M609" s="24">
        <f t="shared" si="945"/>
        <v>1</v>
      </c>
      <c r="N609" s="26">
        <f>VLOOKUP($C609,COS!$B$8:$H$991,5,FALSE)</f>
        <v>152.79158020019531</v>
      </c>
      <c r="O609" s="26">
        <f t="shared" si="977"/>
        <v>9.3947880718136627</v>
      </c>
      <c r="P609" s="26">
        <f>VLOOKUP($C609,COS!$B$8:$H$991,6,FALSE)</f>
        <v>2086.376220703125</v>
      </c>
      <c r="Q609" s="26">
        <f t="shared" si="978"/>
        <v>128.28627340521695</v>
      </c>
      <c r="R609" s="26">
        <f>MIN(IF(MONTH($C609)=4,$S$3,IF(MONTH($C609)=5,$S$4,IF(MONTH($C609)=6,$S$5,IF(MONTH($C609)=7,$S$6,"ERROR")))),MAX(VLOOKUP($C609,COS!$B$8:$K$991,10,FALSE)-IF(MONTH($C609)=4,$Y$3,IF(MONTH($C609)=5,$Y$4,IF(MONTH($C609)=6,$Y$5,IF(MONTH($C609)=7,$Y$6,"ERROR")))),0),MAX(VLOOKUP($C609,COS!$B$8:$K$991,9,FALSE)-IF(MONTH($C609)=4,$V$3,IF(MONTH($C609)=5,$V$4,IF(MONTH($C609)=6,$V$5,IF(MONTH($C609)=7,$V$6,"ERROR"))))-VLOOKUP($C609,COS!$B$8:$K$991,6,FALSE)/2,0))</f>
        <v>1500</v>
      </c>
      <c r="S609" s="26">
        <f t="shared" si="979"/>
        <v>92.231404958677686</v>
      </c>
      <c r="T609" s="26">
        <f t="shared" si="980"/>
        <v>161.071935697193</v>
      </c>
      <c r="U609" s="26" t="str">
        <f>IF(VLOOKUP($C609,COS!$B$8:$I$991,8,FALSE)=1,"UWFE","IBU")</f>
        <v>IBU</v>
      </c>
      <c r="V609" s="26">
        <f t="shared" ref="V609" si="983">MIN(IF(IF($AA$3=2,AND(E609=1,G609=1,L609=1,L613=1,M609=1,U609="IBU"),AND(E609=1,G609=1,L609=1,L613=1,M609=1)),T609,0),I609)</f>
        <v>54.321925684400824</v>
      </c>
      <c r="W609" s="26"/>
      <c r="X609" s="26"/>
      <c r="Y609" s="26"/>
      <c r="Z609" s="26"/>
      <c r="AA609" s="26"/>
      <c r="AB609" s="33"/>
    </row>
    <row r="610" spans="1:28" x14ac:dyDescent="0.3">
      <c r="A610" s="32">
        <f>VLOOKUP(YEAR(C610),Flags!$A$13:$B$95,2,FALSE)</f>
        <v>5</v>
      </c>
      <c r="B610" s="24">
        <f t="shared" si="951"/>
        <v>1988</v>
      </c>
      <c r="C610" s="25">
        <v>32324</v>
      </c>
      <c r="D610" s="26">
        <f>VLOOKUP($C610,COS!$B$8:$H$991,3,FALSE)</f>
        <v>10946.3818359375</v>
      </c>
      <c r="E610" s="24">
        <f>IF(D610&gt;=IF(MONTH($C610)=4,$C$3,IF(MONTH($C610)=5,$C$4,IF(MONTH($C610)=6,$C$5,IF(MONTH($C610)=7,$C$6,"ERROR")))),1,0)</f>
        <v>1</v>
      </c>
      <c r="F610" s="26">
        <f>VLOOKUP($C610,COS!$B$8:$H$991,7,FALSE)</f>
        <v>51.772979736328125</v>
      </c>
      <c r="G610" s="24">
        <f>IF(F610&lt;=IF(MONTH($C610)=4,$F$3,IF(MONTH($C610)=5,$F$4,IF(MONTH($C610)=6,$F$5,IF(MONTH($C610)=7,$F$6,"ERROR")))),1,0)</f>
        <v>1</v>
      </c>
      <c r="H610" s="26">
        <f>IF(J610=1,D610-$C$5,0)</f>
        <v>946.3818359375</v>
      </c>
      <c r="I610" s="26">
        <f t="shared" si="982"/>
        <v>56.31362990702479</v>
      </c>
      <c r="J610" s="24">
        <f t="shared" si="974"/>
        <v>1</v>
      </c>
      <c r="K610" s="26">
        <f>VLOOKUP($C610,COS!$B$8:$H$991,2,FALSE)</f>
        <v>2960.935791015625</v>
      </c>
      <c r="L610" s="24">
        <f t="shared" si="944"/>
        <v>1</v>
      </c>
      <c r="M610" s="24">
        <f t="shared" si="945"/>
        <v>1</v>
      </c>
      <c r="N610" s="26">
        <f>VLOOKUP($C610,COS!$B$8:$H$991,5,FALSE)</f>
        <v>203.79988098144531</v>
      </c>
      <c r="O610" s="26">
        <f t="shared" si="977"/>
        <v>12.126935066664515</v>
      </c>
      <c r="P610" s="26">
        <f>VLOOKUP($C610,COS!$B$8:$H$991,6,FALSE)</f>
        <v>2416.343017578125</v>
      </c>
      <c r="Q610" s="26">
        <f t="shared" si="978"/>
        <v>143.78239443440083</v>
      </c>
      <c r="R610" s="26">
        <f>MIN(IF(MONTH($C610)=4,$S$3,IF(MONTH($C610)=5,$S$4,IF(MONTH($C610)=6,$S$5,IF(MONTH($C610)=7,$S$6,"ERROR")))),MAX(VLOOKUP($C610,COS!$B$8:$K$991,10,FALSE)-IF(MONTH($C610)=4,$Y$3,IF(MONTH($C610)=5,$Y$4,IF(MONTH($C610)=6,$Y$5,IF(MONTH($C610)=7,$Y$6,"ERROR")))),0),MAX(VLOOKUP($C610,COS!$B$8:$K$991,9,FALSE)-IF(MONTH($C610)=4,$V$3,IF(MONTH($C610)=5,$V$4,IF(MONTH($C610)=6,$V$5,IF(MONTH($C610)=7,$V$6,"ERROR"))))-VLOOKUP($C610,COS!$B$8:$K$991,6,FALSE)/2,0))</f>
        <v>1500</v>
      </c>
      <c r="S610" s="26">
        <f t="shared" si="979"/>
        <v>89.256198347107429</v>
      </c>
      <c r="T610" s="26">
        <f t="shared" si="980"/>
        <v>167.2108630976401</v>
      </c>
      <c r="U610" s="26" t="str">
        <f>IF(VLOOKUP($C610,COS!$B$8:$I$991,8,FALSE)=1,"UWFE","IBU")</f>
        <v>IBU</v>
      </c>
      <c r="V610" s="26">
        <f t="shared" ref="V610" si="984">MIN(IF(IF($AA$3=2,AND(E610=1,G610=1,L610=1,L613=1,M610=1,U610="IBU"),AND(E610=1,G610=1,L610=1,L613=1,M610=1)),T610,0),I610)</f>
        <v>56.31362990702479</v>
      </c>
      <c r="W610" s="26"/>
      <c r="X610" s="26"/>
      <c r="Y610" s="26"/>
      <c r="Z610" s="26"/>
      <c r="AA610" s="26"/>
      <c r="AB610" s="33"/>
    </row>
    <row r="611" spans="1:28" x14ac:dyDescent="0.3">
      <c r="A611" s="32">
        <f>VLOOKUP(YEAR(C611),Flags!$A$13:$B$95,2,FALSE)</f>
        <v>5</v>
      </c>
      <c r="B611" s="24">
        <f t="shared" si="951"/>
        <v>1988</v>
      </c>
      <c r="C611" s="25">
        <v>32355</v>
      </c>
      <c r="D611" s="26">
        <f>VLOOKUP($C611,COS!$B$8:$H$991,3,FALSE)</f>
        <v>11770.708984375</v>
      </c>
      <c r="E611" s="24">
        <f>IF(D611&gt;=IF(MONTH($C611)=4,$C$3,IF(MONTH($C611)=5,$C$4,IF(MONTH($C611)=6,$C$5,IF(MONTH($C611)=7,$C$6,"ERROR")))),1,0)</f>
        <v>0</v>
      </c>
      <c r="F611" s="26">
        <f>VLOOKUP($C611,COS!$B$8:$H$991,7,FALSE)</f>
        <v>53.894107818603516</v>
      </c>
      <c r="G611" s="24">
        <f>IF(F611&lt;=IF(MONTH($C611)=4,$F$3,IF(MONTH($C611)=5,$F$4,IF(MONTH($C611)=6,$F$5,IF(MONTH($C611)=7,$F$6,"ERROR")))),1,0)</f>
        <v>0</v>
      </c>
      <c r="H611" s="26">
        <f>IF(J611=1,D611-$C$6,0)</f>
        <v>0</v>
      </c>
      <c r="I611" s="26">
        <f t="shared" si="982"/>
        <v>0</v>
      </c>
      <c r="J611" s="24">
        <f t="shared" si="974"/>
        <v>0</v>
      </c>
      <c r="K611" s="26">
        <f>VLOOKUP($C611,COS!$B$8:$H$991,2,FALSE)</f>
        <v>2490.652587890625</v>
      </c>
      <c r="L611" s="24">
        <f t="shared" si="944"/>
        <v>1</v>
      </c>
      <c r="M611" s="24">
        <f t="shared" si="945"/>
        <v>1</v>
      </c>
      <c r="N611" s="26">
        <f>VLOOKUP($C611,COS!$B$8:$H$991,5,FALSE)</f>
        <v>242.14094543457031</v>
      </c>
      <c r="O611" s="26">
        <f t="shared" si="977"/>
        <v>14.888666396968622</v>
      </c>
      <c r="P611" s="26">
        <f>VLOOKUP($C611,COS!$B$8:$H$991,6,FALSE)</f>
        <v>2326.644775390625</v>
      </c>
      <c r="Q611" s="26">
        <f t="shared" si="978"/>
        <v>143.05981098269626</v>
      </c>
      <c r="R611" s="26">
        <f>MIN(IF(MONTH($C611)=4,$S$3,IF(MONTH($C611)=5,$S$4,IF(MONTH($C611)=6,$S$5,IF(MONTH($C611)=7,$S$6,"ERROR")))),MAX(VLOOKUP($C611,COS!$B$8:$K$991,10,FALSE)-IF(MONTH($C611)=4,$Y$3,IF(MONTH($C611)=5,$Y$4,IF(MONTH($C611)=6,$Y$5,IF(MONTH($C611)=7,$Y$6,"ERROR")))),0),MAX(VLOOKUP($C611,COS!$B$8:$K$991,9,FALSE)-IF(MONTH($C611)=4,$V$3,IF(MONTH($C611)=5,$V$4,IF(MONTH($C611)=6,$V$5,IF(MONTH($C611)=7,$V$6,"ERROR"))))-VLOOKUP($C611,COS!$B$8:$K$991,6,FALSE)/2,0))</f>
        <v>1500</v>
      </c>
      <c r="S611" s="26">
        <f t="shared" si="979"/>
        <v>92.231404958677686</v>
      </c>
      <c r="T611" s="26">
        <f t="shared" si="980"/>
        <v>171.20564364851015</v>
      </c>
      <c r="U611" s="26" t="str">
        <f>IF(VLOOKUP($C611,COS!$B$8:$I$991,8,FALSE)=1,"UWFE","IBU")</f>
        <v>IBU</v>
      </c>
      <c r="V611" s="26">
        <f t="shared" ref="V611" si="985">MIN(IF(IF($AA$3=2,AND(E611=1,G611=1,L611=1,L613=1,M611=1,U611="IBU"),AND(E611=1,G611=1,L611=1,L613=1,M611=1)),T611,0),I611)</f>
        <v>0</v>
      </c>
      <c r="W611" s="26"/>
      <c r="X611" s="26"/>
      <c r="Y611" s="26"/>
      <c r="Z611" s="26"/>
      <c r="AA611" s="26"/>
      <c r="AB611" s="33"/>
    </row>
    <row r="612" spans="1:28" x14ac:dyDescent="0.3">
      <c r="A612" s="32">
        <f>VLOOKUP(YEAR(C612),Flags!$A$13:$B$95,2,FALSE)</f>
        <v>5</v>
      </c>
      <c r="B612" s="24">
        <f t="shared" si="951"/>
        <v>1988</v>
      </c>
      <c r="C612" s="25">
        <v>32386</v>
      </c>
      <c r="D612" s="26"/>
      <c r="E612" s="24"/>
      <c r="F612" s="26"/>
      <c r="G612" s="24"/>
      <c r="H612" s="24"/>
      <c r="I612" s="26"/>
      <c r="J612" s="24"/>
      <c r="K612" s="26"/>
      <c r="L612" s="24"/>
      <c r="M612" s="24"/>
      <c r="N612" s="26"/>
      <c r="O612" s="26"/>
      <c r="P612" s="26"/>
      <c r="Q612" s="26"/>
      <c r="R612" s="26"/>
      <c r="S612" s="26"/>
      <c r="T612" s="26"/>
      <c r="U612" s="26"/>
      <c r="V612" s="26"/>
      <c r="W612" s="26">
        <f>MAX($C$7-VLOOKUP($C612,COS!$B$8:$H$991,3,FALSE),0)</f>
        <v>92407.8330078125</v>
      </c>
      <c r="X612" s="26">
        <f t="shared" si="972"/>
        <v>5681.9361783316117</v>
      </c>
      <c r="Y612" s="26">
        <f>VLOOKUP($C612,COS!$B$8:$H$991,4,FALSE)</f>
        <v>2363.936279296875</v>
      </c>
      <c r="Z612" s="26">
        <f t="shared" si="973"/>
        <v>145.35277618155993</v>
      </c>
      <c r="AA612" s="26">
        <f t="shared" ref="AA612:AA616" si="986">MIN(W612,Y612)</f>
        <v>2363.936279296875</v>
      </c>
      <c r="AB612" s="33">
        <f t="shared" ref="AB612" si="987">AA612*DAY($C612)*86400/43560/1000*IF(MONTH($C612)=8,$P$3,IF(MONTH($C612)=9,$P$4,IF(MONTH($C612)=10,$P$5,IF(MONTH($C612)=11,$P$6,IF(MONTH($C612)=12,$P$7,NA())))))</f>
        <v>145.35277618155993</v>
      </c>
    </row>
    <row r="613" spans="1:28" x14ac:dyDescent="0.3">
      <c r="A613" s="32">
        <f>VLOOKUP(YEAR(C613),Flags!$A$13:$B$95,2,FALSE)</f>
        <v>5</v>
      </c>
      <c r="B613" s="24">
        <f t="shared" si="951"/>
        <v>1988</v>
      </c>
      <c r="C613" s="25">
        <v>32416</v>
      </c>
      <c r="D613" s="26"/>
      <c r="E613" s="24"/>
      <c r="F613" s="26"/>
      <c r="G613" s="24"/>
      <c r="H613" s="24"/>
      <c r="I613" s="26"/>
      <c r="J613" s="24"/>
      <c r="K613" s="26">
        <f>VLOOKUP($C613,COS!$B$8:$H$991,2,FALSE)</f>
        <v>2110.7509765625</v>
      </c>
      <c r="L613" s="24">
        <f t="shared" ref="L613" si="988">IF(AND(K613&gt;$I$7,K613&lt;$I$8),1,0)</f>
        <v>1</v>
      </c>
      <c r="M613" s="24"/>
      <c r="N613" s="26"/>
      <c r="O613" s="26"/>
      <c r="P613" s="26"/>
      <c r="Q613" s="26"/>
      <c r="R613" s="26"/>
      <c r="S613" s="26"/>
      <c r="T613" s="26"/>
      <c r="U613" s="26"/>
      <c r="V613" s="26"/>
      <c r="W613" s="26">
        <f>MAX($C$8-VLOOKUP($C613,COS!$B$8:$H$991,3,FALSE),0)</f>
        <v>94115.951171875</v>
      </c>
      <c r="X613" s="26">
        <f t="shared" si="972"/>
        <v>5600.2880036157021</v>
      </c>
      <c r="Y613" s="26">
        <f>VLOOKUP($C613,COS!$B$8:$H$991,4,FALSE)</f>
        <v>1955.6697998046875</v>
      </c>
      <c r="Z613" s="26">
        <f t="shared" si="973"/>
        <v>116.37043436854339</v>
      </c>
      <c r="AA613" s="26">
        <f t="shared" si="986"/>
        <v>1955.6697998046875</v>
      </c>
      <c r="AB613" s="33">
        <f t="shared" si="956"/>
        <v>116.37043436854339</v>
      </c>
    </row>
    <row r="614" spans="1:28" x14ac:dyDescent="0.3">
      <c r="A614" s="32">
        <f>VLOOKUP(YEAR(C614),Flags!$A$13:$B$95,2,FALSE)</f>
        <v>5</v>
      </c>
      <c r="B614" s="24">
        <f t="shared" si="951"/>
        <v>1988</v>
      </c>
      <c r="C614" s="25">
        <v>32447</v>
      </c>
      <c r="D614" s="26"/>
      <c r="E614" s="24"/>
      <c r="F614" s="26"/>
      <c r="G614" s="26"/>
      <c r="H614" s="26"/>
      <c r="I614" s="26"/>
      <c r="J614" s="26"/>
      <c r="K614" s="26"/>
      <c r="L614" s="24"/>
      <c r="M614" s="24"/>
      <c r="N614" s="26"/>
      <c r="O614" s="26"/>
      <c r="P614" s="26"/>
      <c r="Q614" s="26"/>
      <c r="R614" s="26"/>
      <c r="S614" s="26"/>
      <c r="T614" s="26"/>
      <c r="U614" s="26"/>
      <c r="V614" s="26"/>
      <c r="W614" s="26">
        <f>MAX($C$9-VLOOKUP($C614,COS!$B$8:$H$991,3,FALSE),0)</f>
        <v>94431.38720703125</v>
      </c>
      <c r="X614" s="26">
        <f t="shared" si="972"/>
        <v>5806.3596762009302</v>
      </c>
      <c r="Y614" s="26">
        <f>VLOOKUP($C614,COS!$B$8:$H$991,4,FALSE)</f>
        <v>1615.891357421875</v>
      </c>
      <c r="Z614" s="26">
        <f t="shared" si="973"/>
        <v>99.357286770402894</v>
      </c>
      <c r="AA614" s="26">
        <f t="shared" si="986"/>
        <v>1615.891357421875</v>
      </c>
      <c r="AB614" s="33">
        <f t="shared" si="956"/>
        <v>99.357286770402894</v>
      </c>
    </row>
    <row r="615" spans="1:28" x14ac:dyDescent="0.3">
      <c r="A615" s="32">
        <f>VLOOKUP(YEAR(C615),Flags!$A$13:$B$95,2,FALSE)</f>
        <v>5</v>
      </c>
      <c r="B615" s="24">
        <f t="shared" si="951"/>
        <v>1988</v>
      </c>
      <c r="C615" s="25">
        <v>32477</v>
      </c>
      <c r="D615" s="26"/>
      <c r="E615" s="24"/>
      <c r="F615" s="26"/>
      <c r="G615" s="26"/>
      <c r="H615" s="26"/>
      <c r="I615" s="26"/>
      <c r="J615" s="26"/>
      <c r="K615" s="26"/>
      <c r="L615" s="24"/>
      <c r="M615" s="24"/>
      <c r="N615" s="26"/>
      <c r="O615" s="26"/>
      <c r="P615" s="26"/>
      <c r="Q615" s="26"/>
      <c r="R615" s="26"/>
      <c r="S615" s="26"/>
      <c r="T615" s="26"/>
      <c r="U615" s="26"/>
      <c r="V615" s="26"/>
      <c r="W615" s="26">
        <f>MAX($C$10-VLOOKUP($C615,COS!$B$8:$H$991,3,FALSE),0)</f>
        <v>96749</v>
      </c>
      <c r="X615" s="26">
        <f t="shared" si="972"/>
        <v>5756.965289256198</v>
      </c>
      <c r="Y615" s="26">
        <f>VLOOKUP($C615,COS!$B$8:$H$991,4,FALSE)</f>
        <v>1854.902587890625</v>
      </c>
      <c r="Z615" s="26">
        <f t="shared" si="973"/>
        <v>110.37436886621902</v>
      </c>
      <c r="AA615" s="26">
        <f t="shared" si="986"/>
        <v>1854.902587890625</v>
      </c>
      <c r="AB615" s="33">
        <f t="shared" si="956"/>
        <v>110.37436886621902</v>
      </c>
    </row>
    <row r="616" spans="1:28" x14ac:dyDescent="0.3">
      <c r="A616" s="34">
        <f>VLOOKUP(YEAR(C616),Flags!$A$13:$B$95,2,FALSE)</f>
        <v>5</v>
      </c>
      <c r="B616" s="35">
        <f t="shared" si="951"/>
        <v>1988</v>
      </c>
      <c r="C616" s="36">
        <v>32508</v>
      </c>
      <c r="D616" s="37"/>
      <c r="E616" s="35"/>
      <c r="F616" s="37"/>
      <c r="G616" s="37"/>
      <c r="H616" s="37"/>
      <c r="I616" s="37"/>
      <c r="J616" s="37"/>
      <c r="K616" s="37"/>
      <c r="L616" s="35"/>
      <c r="M616" s="35"/>
      <c r="N616" s="37"/>
      <c r="O616" s="37"/>
      <c r="P616" s="37"/>
      <c r="Q616" s="37"/>
      <c r="R616" s="37"/>
      <c r="S616" s="37"/>
      <c r="T616" s="37"/>
      <c r="U616" s="37"/>
      <c r="V616" s="37"/>
      <c r="W616" s="37">
        <f>MAX($C$11-VLOOKUP($C616,COS!$B$8:$H$991,3,FALSE),0)</f>
        <v>96749</v>
      </c>
      <c r="X616" s="37">
        <f t="shared" si="972"/>
        <v>5948.8641322314052</v>
      </c>
      <c r="Y616" s="37">
        <f>VLOOKUP($C616,COS!$B$8:$H$991,4,FALSE)</f>
        <v>1030.474853515625</v>
      </c>
      <c r="Z616" s="37">
        <f t="shared" si="973"/>
        <v>63.361429009555785</v>
      </c>
      <c r="AA616" s="37">
        <f t="shared" si="986"/>
        <v>1030.474853515625</v>
      </c>
      <c r="AB616" s="38">
        <f t="shared" si="956"/>
        <v>63.361429009555785</v>
      </c>
    </row>
    <row r="617" spans="1:28" x14ac:dyDescent="0.3">
      <c r="A617" s="27">
        <f>VLOOKUP(YEAR(C617),Flags!$A$13:$B$95,2,FALSE)</f>
        <v>4</v>
      </c>
      <c r="B617" s="28">
        <f t="shared" si="951"/>
        <v>1989</v>
      </c>
      <c r="C617" s="29">
        <v>32628</v>
      </c>
      <c r="D617" s="30">
        <f>VLOOKUP($C617,COS!$B$8:$H$991,3,FALSE)</f>
        <v>3250</v>
      </c>
      <c r="E617" s="28">
        <f>IF(D617&gt;=IF(MONTH($C617)=4,$C$3,IF(MONTH($C617)=5,$C$4,IF(MONTH($C617)=6,$C$5,IF(MONTH($C617)=7,$C$6,"ERROR")))),1,0)</f>
        <v>0</v>
      </c>
      <c r="F617" s="30">
        <f>VLOOKUP($C617,COS!$B$8:$H$991,7,FALSE)</f>
        <v>52.776580810546875</v>
      </c>
      <c r="G617" s="28">
        <f>IF(F617&lt;=IF(MONTH($C617)=4,$F$3,IF(MONTH($C617)=5,$F$4,IF(MONTH($C617)=6,$F$5,IF(MONTH($C617)=7,$F$6,"ERROR")))),1,0)</f>
        <v>1</v>
      </c>
      <c r="H617" s="30">
        <f>IF(J617=1,D617-$C$3,0)</f>
        <v>0</v>
      </c>
      <c r="I617" s="30">
        <f t="shared" si="982"/>
        <v>0</v>
      </c>
      <c r="J617" s="28">
        <f t="shared" ref="J617:J620" si="989">IF(AND(E617=1,G617=1),1,0)</f>
        <v>0</v>
      </c>
      <c r="K617" s="30">
        <f>VLOOKUP($C617,COS!$B$8:$H$991,2,FALSE)</f>
        <v>4257.525390625</v>
      </c>
      <c r="L617" s="28">
        <f t="shared" ref="L617" si="990">IF(K617&lt;=IF(MONTH($C617)=4,$I$3,IF(MONTH($C617)=5,$I$4,IF(MONTH($C617)=6,$I$5,IF(MONTH($C617)=7,$I$6,"ERROR")))),1,0)</f>
        <v>1</v>
      </c>
      <c r="M617" s="28">
        <f t="shared" ref="M617" si="991">VLOOKUP($A617,$L$3:$M$7,2,FALSE)</f>
        <v>1</v>
      </c>
      <c r="N617" s="30">
        <f>VLOOKUP($C617,COS!$B$8:$H$991,5,FALSE)</f>
        <v>278.56231689453125</v>
      </c>
      <c r="O617" s="30">
        <f t="shared" ref="O617:O620" si="992">N617*DAY($C617)*86400/43560/1000</f>
        <v>16.575608939178718</v>
      </c>
      <c r="P617" s="30">
        <f>VLOOKUP($C617,COS!$B$8:$H$991,6,FALSE)</f>
        <v>448.37432861328125</v>
      </c>
      <c r="Q617" s="30">
        <f t="shared" ref="Q617:Q620" si="993">P617*DAY($C617)*86400/43560/1000</f>
        <v>26.680125338972108</v>
      </c>
      <c r="R617" s="30">
        <f>MIN(IF(MONTH($C617)=4,$S$3,IF(MONTH($C617)=5,$S$4,IF(MONTH($C617)=6,$S$5,IF(MONTH($C617)=7,$S$6,"ERROR")))),MAX(VLOOKUP($C617,COS!$B$8:$K$991,10,FALSE)-IF(MONTH($C617)=4,$Y$3,IF(MONTH($C617)=5,$Y$4,IF(MONTH($C617)=6,$Y$5,IF(MONTH($C617)=7,$Y$6,"ERROR")))),0),MAX(VLOOKUP($C617,COS!$B$8:$K$991,9,FALSE)-IF(MONTH($C617)=4,$V$3,IF(MONTH($C617)=5,$V$4,IF(MONTH($C617)=6,$V$5,IF(MONTH($C617)=7,$V$6,"ERROR"))))-VLOOKUP($C617,COS!$B$8:$K$991,6,FALSE)/2,0))</f>
        <v>1500</v>
      </c>
      <c r="S617" s="30">
        <f t="shared" ref="S617:S620" si="994">R617*DAY($C617)*86400/43560/1000</f>
        <v>89.256198347107429</v>
      </c>
      <c r="T617" s="30">
        <f t="shared" ref="T617:T620" si="995">(O617+Q617)/2+S617</f>
        <v>110.88406548618283</v>
      </c>
      <c r="U617" s="30" t="str">
        <f>IF(VLOOKUP($C617,COS!$B$8:$I$991,8,FALSE)=1,"UWFE","IBU")</f>
        <v>UWFE</v>
      </c>
      <c r="V617" s="30">
        <f t="shared" ref="V617" si="996">MIN(IF(IF($AA$3=2,AND(E617=1,G617=1,L617=1,L622=1,M617=1,U617="IBU"),AND(E617=1,G617=1,L617=1,L622=1,M617=1)),T617,0),I617)</f>
        <v>0</v>
      </c>
      <c r="W617" s="30"/>
      <c r="X617" s="30"/>
      <c r="Y617" s="30"/>
      <c r="Z617" s="30"/>
      <c r="AA617" s="30"/>
      <c r="AB617" s="31"/>
    </row>
    <row r="618" spans="1:28" x14ac:dyDescent="0.3">
      <c r="A618" s="32">
        <f>VLOOKUP(YEAR(C618),Flags!$A$13:$B$95,2,FALSE)</f>
        <v>4</v>
      </c>
      <c r="B618" s="24">
        <f t="shared" si="951"/>
        <v>1989</v>
      </c>
      <c r="C618" s="25">
        <v>32659</v>
      </c>
      <c r="D618" s="26">
        <f>VLOOKUP($C618,COS!$B$8:$H$991,3,FALSE)</f>
        <v>10011.177734375</v>
      </c>
      <c r="E618" s="24">
        <f>IF(D618&gt;=IF(MONTH($C618)=4,$C$3,IF(MONTH($C618)=5,$C$4,IF(MONTH($C618)=6,$C$5,IF(MONTH($C618)=7,$C$6,"ERROR")))),1,0)</f>
        <v>1</v>
      </c>
      <c r="F618" s="26">
        <f>VLOOKUP($C618,COS!$B$8:$H$991,7,FALSE)</f>
        <v>50.918426513671875</v>
      </c>
      <c r="G618" s="24">
        <f>IF(F618&lt;=IF(MONTH($C618)=4,$F$3,IF(MONTH($C618)=5,$F$4,IF(MONTH($C618)=6,$F$5,IF(MONTH($C618)=7,$F$6,"ERROR")))),1,0)</f>
        <v>1</v>
      </c>
      <c r="H618" s="26">
        <f>IF(J618=1,D618-$C$4,0)</f>
        <v>4011.177734375</v>
      </c>
      <c r="I618" s="26">
        <f t="shared" si="982"/>
        <v>246.63770532024793</v>
      </c>
      <c r="J618" s="24">
        <f t="shared" si="989"/>
        <v>1</v>
      </c>
      <c r="K618" s="26">
        <f>VLOOKUP($C618,COS!$B$8:$H$991,2,FALSE)</f>
        <v>3934.481689453125</v>
      </c>
      <c r="L618" s="24">
        <f t="shared" si="944"/>
        <v>1</v>
      </c>
      <c r="M618" s="24">
        <f t="shared" si="945"/>
        <v>1</v>
      </c>
      <c r="N618" s="26">
        <f>VLOOKUP($C618,COS!$B$8:$H$991,5,FALSE)</f>
        <v>317.6539306640625</v>
      </c>
      <c r="O618" s="26">
        <f t="shared" si="992"/>
        <v>19.531778877195247</v>
      </c>
      <c r="P618" s="26">
        <f>VLOOKUP($C618,COS!$B$8:$H$991,6,FALSE)</f>
        <v>2368.940673828125</v>
      </c>
      <c r="Q618" s="26">
        <f t="shared" si="993"/>
        <v>145.66048440728304</v>
      </c>
      <c r="R618" s="26">
        <f>MIN(IF(MONTH($C618)=4,$S$3,IF(MONTH($C618)=5,$S$4,IF(MONTH($C618)=6,$S$5,IF(MONTH($C618)=7,$S$6,"ERROR")))),MAX(VLOOKUP($C618,COS!$B$8:$K$991,10,FALSE)-IF(MONTH($C618)=4,$Y$3,IF(MONTH($C618)=5,$Y$4,IF(MONTH($C618)=6,$Y$5,IF(MONTH($C618)=7,$Y$6,"ERROR")))),0),MAX(VLOOKUP($C618,COS!$B$8:$K$991,9,FALSE)-IF(MONTH($C618)=4,$V$3,IF(MONTH($C618)=5,$V$4,IF(MONTH($C618)=6,$V$5,IF(MONTH($C618)=7,$V$6,"ERROR"))))-VLOOKUP($C618,COS!$B$8:$K$991,6,FALSE)/2,0))</f>
        <v>1500</v>
      </c>
      <c r="S618" s="26">
        <f t="shared" si="994"/>
        <v>92.231404958677686</v>
      </c>
      <c r="T618" s="26">
        <f t="shared" si="995"/>
        <v>174.82753660091683</v>
      </c>
      <c r="U618" s="26" t="str">
        <f>IF(VLOOKUP($C618,COS!$B$8:$I$991,8,FALSE)=1,"UWFE","IBU")</f>
        <v>IBU</v>
      </c>
      <c r="V618" s="26">
        <f t="shared" ref="V618" si="997">MIN(IF(IF($AA$3=2,AND(E618=1,G618=1,L618=1,L622=1,M618=1,U618="IBU"),AND(E618=1,G618=1,L618=1,L622=1,M618=1)),T618,0),I618)</f>
        <v>174.82753660091683</v>
      </c>
      <c r="W618" s="26"/>
      <c r="X618" s="26"/>
      <c r="Y618" s="26"/>
      <c r="Z618" s="26"/>
      <c r="AA618" s="26"/>
      <c r="AB618" s="33"/>
    </row>
    <row r="619" spans="1:28" x14ac:dyDescent="0.3">
      <c r="A619" s="32">
        <f>VLOOKUP(YEAR(C619),Flags!$A$13:$B$95,2,FALSE)</f>
        <v>4</v>
      </c>
      <c r="B619" s="24">
        <f t="shared" si="951"/>
        <v>1989</v>
      </c>
      <c r="C619" s="25">
        <v>32689</v>
      </c>
      <c r="D619" s="26">
        <f>VLOOKUP($C619,COS!$B$8:$H$991,3,FALSE)</f>
        <v>11206.92578125</v>
      </c>
      <c r="E619" s="24">
        <f>IF(D619&gt;=IF(MONTH($C619)=4,$C$3,IF(MONTH($C619)=5,$C$4,IF(MONTH($C619)=6,$C$5,IF(MONTH($C619)=7,$C$6,"ERROR")))),1,0)</f>
        <v>1</v>
      </c>
      <c r="F619" s="26">
        <f>VLOOKUP($C619,COS!$B$8:$H$991,7,FALSE)</f>
        <v>51.800579071044922</v>
      </c>
      <c r="G619" s="24">
        <f>IF(F619&lt;=IF(MONTH($C619)=4,$F$3,IF(MONTH($C619)=5,$F$4,IF(MONTH($C619)=6,$F$5,IF(MONTH($C619)=7,$F$6,"ERROR")))),1,0)</f>
        <v>1</v>
      </c>
      <c r="H619" s="26">
        <f>IF(J619=1,D619-$C$5,0)</f>
        <v>1206.92578125</v>
      </c>
      <c r="I619" s="26">
        <f t="shared" si="982"/>
        <v>71.817071280991726</v>
      </c>
      <c r="J619" s="24">
        <f t="shared" si="989"/>
        <v>1</v>
      </c>
      <c r="K619" s="26">
        <f>VLOOKUP($C619,COS!$B$8:$H$991,2,FALSE)</f>
        <v>3457.87646484375</v>
      </c>
      <c r="L619" s="24">
        <f t="shared" si="944"/>
        <v>1</v>
      </c>
      <c r="M619" s="24">
        <f t="shared" si="945"/>
        <v>1</v>
      </c>
      <c r="N619" s="26">
        <f>VLOOKUP($C619,COS!$B$8:$H$991,5,FALSE)</f>
        <v>517.07537841796875</v>
      </c>
      <c r="O619" s="26">
        <f t="shared" si="992"/>
        <v>30.768121690986568</v>
      </c>
      <c r="P619" s="26">
        <f>VLOOKUP($C619,COS!$B$8:$H$991,6,FALSE)</f>
        <v>2621.433837890625</v>
      </c>
      <c r="Q619" s="26">
        <f t="shared" si="993"/>
        <v>155.98614572572316</v>
      </c>
      <c r="R619" s="26">
        <f>MIN(IF(MONTH($C619)=4,$S$3,IF(MONTH($C619)=5,$S$4,IF(MONTH($C619)=6,$S$5,IF(MONTH($C619)=7,$S$6,"ERROR")))),MAX(VLOOKUP($C619,COS!$B$8:$K$991,10,FALSE)-IF(MONTH($C619)=4,$Y$3,IF(MONTH($C619)=5,$Y$4,IF(MONTH($C619)=6,$Y$5,IF(MONTH($C619)=7,$Y$6,"ERROR")))),0),MAX(VLOOKUP($C619,COS!$B$8:$K$991,9,FALSE)-IF(MONTH($C619)=4,$V$3,IF(MONTH($C619)=5,$V$4,IF(MONTH($C619)=6,$V$5,IF(MONTH($C619)=7,$V$6,"ERROR"))))-VLOOKUP($C619,COS!$B$8:$K$991,6,FALSE)/2,0))</f>
        <v>1500</v>
      </c>
      <c r="S619" s="26">
        <f t="shared" si="994"/>
        <v>89.256198347107429</v>
      </c>
      <c r="T619" s="26">
        <f t="shared" si="995"/>
        <v>182.63333205546229</v>
      </c>
      <c r="U619" s="26" t="str">
        <f>IF(VLOOKUP($C619,COS!$B$8:$I$991,8,FALSE)=1,"UWFE","IBU")</f>
        <v>IBU</v>
      </c>
      <c r="V619" s="26">
        <f t="shared" ref="V619" si="998">MIN(IF(IF($AA$3=2,AND(E619=1,G619=1,L619=1,L622=1,M619=1,U619="IBU"),AND(E619=1,G619=1,L619=1,L622=1,M619=1)),T619,0),I619)</f>
        <v>71.817071280991726</v>
      </c>
      <c r="W619" s="26"/>
      <c r="X619" s="26"/>
      <c r="Y619" s="26"/>
      <c r="Z619" s="26"/>
      <c r="AA619" s="26"/>
      <c r="AB619" s="33"/>
    </row>
    <row r="620" spans="1:28" x14ac:dyDescent="0.3">
      <c r="A620" s="32">
        <f>VLOOKUP(YEAR(C620),Flags!$A$13:$B$95,2,FALSE)</f>
        <v>4</v>
      </c>
      <c r="B620" s="24">
        <f t="shared" si="951"/>
        <v>1989</v>
      </c>
      <c r="C620" s="25">
        <v>32720</v>
      </c>
      <c r="D620" s="26">
        <f>VLOOKUP($C620,COS!$B$8:$H$991,3,FALSE)</f>
        <v>12592.146484375</v>
      </c>
      <c r="E620" s="24">
        <f>IF(D620&gt;=IF(MONTH($C620)=4,$C$3,IF(MONTH($C620)=5,$C$4,IF(MONTH($C620)=6,$C$5,IF(MONTH($C620)=7,$C$6,"ERROR")))),1,0)</f>
        <v>1</v>
      </c>
      <c r="F620" s="26">
        <f>VLOOKUP($C620,COS!$B$8:$H$991,7,FALSE)</f>
        <v>53.21966552734375</v>
      </c>
      <c r="G620" s="24">
        <f>IF(F620&lt;=IF(MONTH($C620)=4,$F$3,IF(MONTH($C620)=5,$F$4,IF(MONTH($C620)=6,$F$5,IF(MONTH($C620)=7,$F$6,"ERROR")))),1,0)</f>
        <v>1</v>
      </c>
      <c r="H620" s="26">
        <f>IF(J620=1,D620-$C$6,0)</f>
        <v>592.146484375</v>
      </c>
      <c r="I620" s="26">
        <f t="shared" si="982"/>
        <v>36.409668130165286</v>
      </c>
      <c r="J620" s="24">
        <f t="shared" si="989"/>
        <v>1</v>
      </c>
      <c r="K620" s="26">
        <f>VLOOKUP($C620,COS!$B$8:$H$991,2,FALSE)</f>
        <v>2918.839599609375</v>
      </c>
      <c r="L620" s="24">
        <f t="shared" si="944"/>
        <v>1</v>
      </c>
      <c r="M620" s="24">
        <f t="shared" si="945"/>
        <v>1</v>
      </c>
      <c r="N620" s="26">
        <f>VLOOKUP($C620,COS!$B$8:$H$991,5,FALSE)</f>
        <v>602.97808837890625</v>
      </c>
      <c r="O620" s="26">
        <f t="shared" si="992"/>
        <v>37.075677500322833</v>
      </c>
      <c r="P620" s="26">
        <f>VLOOKUP($C620,COS!$B$8:$H$991,6,FALSE)</f>
        <v>2442.872314453125</v>
      </c>
      <c r="Q620" s="26">
        <f t="shared" si="993"/>
        <v>150.20636379777892</v>
      </c>
      <c r="R620" s="26">
        <f>MIN(IF(MONTH($C620)=4,$S$3,IF(MONTH($C620)=5,$S$4,IF(MONTH($C620)=6,$S$5,IF(MONTH($C620)=7,$S$6,"ERROR")))),MAX(VLOOKUP($C620,COS!$B$8:$K$991,10,FALSE)-IF(MONTH($C620)=4,$Y$3,IF(MONTH($C620)=5,$Y$4,IF(MONTH($C620)=6,$Y$5,IF(MONTH($C620)=7,$Y$6,"ERROR")))),0),MAX(VLOOKUP($C620,COS!$B$8:$K$991,9,FALSE)-IF(MONTH($C620)=4,$V$3,IF(MONTH($C620)=5,$V$4,IF(MONTH($C620)=6,$V$5,IF(MONTH($C620)=7,$V$6,"ERROR"))))-VLOOKUP($C620,COS!$B$8:$K$991,6,FALSE)/2,0))</f>
        <v>1500</v>
      </c>
      <c r="S620" s="26">
        <f t="shared" si="994"/>
        <v>92.231404958677686</v>
      </c>
      <c r="T620" s="26">
        <f t="shared" si="995"/>
        <v>185.87242560772856</v>
      </c>
      <c r="U620" s="26" t="str">
        <f>IF(VLOOKUP($C620,COS!$B$8:$I$991,8,FALSE)=1,"UWFE","IBU")</f>
        <v>IBU</v>
      </c>
      <c r="V620" s="26">
        <f t="shared" ref="V620" si="999">MIN(IF(IF($AA$3=2,AND(E620=1,G620=1,L620=1,L622=1,M620=1,U620="IBU"),AND(E620=1,G620=1,L620=1,L622=1,M620=1)),T620,0),I620)</f>
        <v>36.409668130165286</v>
      </c>
      <c r="W620" s="26"/>
      <c r="X620" s="26"/>
      <c r="Y620" s="26"/>
      <c r="Z620" s="26"/>
      <c r="AA620" s="26"/>
      <c r="AB620" s="33"/>
    </row>
    <row r="621" spans="1:28" x14ac:dyDescent="0.3">
      <c r="A621" s="32">
        <f>VLOOKUP(YEAR(C621),Flags!$A$13:$B$95,2,FALSE)</f>
        <v>4</v>
      </c>
      <c r="B621" s="24">
        <f t="shared" si="951"/>
        <v>1989</v>
      </c>
      <c r="C621" s="25">
        <v>32751</v>
      </c>
      <c r="D621" s="26"/>
      <c r="E621" s="24"/>
      <c r="F621" s="26"/>
      <c r="G621" s="24"/>
      <c r="H621" s="24"/>
      <c r="I621" s="26"/>
      <c r="J621" s="24"/>
      <c r="K621" s="26"/>
      <c r="L621" s="24"/>
      <c r="M621" s="24"/>
      <c r="N621" s="26"/>
      <c r="O621" s="26"/>
      <c r="P621" s="26"/>
      <c r="Q621" s="26"/>
      <c r="R621" s="26"/>
      <c r="S621" s="26"/>
      <c r="T621" s="26"/>
      <c r="U621" s="26"/>
      <c r="V621" s="26"/>
      <c r="W621" s="26">
        <f>MAX($C$7-VLOOKUP($C621,COS!$B$8:$H$991,3,FALSE),0)</f>
        <v>91856.2431640625</v>
      </c>
      <c r="X621" s="26">
        <f t="shared" si="972"/>
        <v>5648.0202408316118</v>
      </c>
      <c r="Y621" s="26">
        <f>VLOOKUP($C621,COS!$B$8:$H$991,4,FALSE)</f>
        <v>2140.86328125</v>
      </c>
      <c r="Z621" s="26">
        <f t="shared" si="973"/>
        <v>131.63655216942149</v>
      </c>
      <c r="AA621" s="26">
        <f t="shared" ref="AA621:AA625" si="1000">MIN(W621,Y621)</f>
        <v>2140.86328125</v>
      </c>
      <c r="AB621" s="33">
        <f t="shared" ref="AB621" si="1001">AA621*DAY($C621)*86400/43560/1000*IF(MONTH($C621)=8,$P$3,IF(MONTH($C621)=9,$P$4,IF(MONTH($C621)=10,$P$5,IF(MONTH($C621)=11,$P$6,IF(MONTH($C621)=12,$P$7,NA())))))</f>
        <v>131.63655216942149</v>
      </c>
    </row>
    <row r="622" spans="1:28" x14ac:dyDescent="0.3">
      <c r="A622" s="32">
        <f>VLOOKUP(YEAR(C622),Flags!$A$13:$B$95,2,FALSE)</f>
        <v>4</v>
      </c>
      <c r="B622" s="24">
        <f t="shared" si="951"/>
        <v>1989</v>
      </c>
      <c r="C622" s="25">
        <v>32781</v>
      </c>
      <c r="D622" s="26"/>
      <c r="E622" s="24"/>
      <c r="F622" s="26"/>
      <c r="G622" s="24"/>
      <c r="H622" s="24"/>
      <c r="I622" s="26"/>
      <c r="J622" s="24"/>
      <c r="K622" s="26">
        <f>VLOOKUP($C622,COS!$B$8:$H$991,2,FALSE)</f>
        <v>2659.4970703125</v>
      </c>
      <c r="L622" s="24">
        <f t="shared" ref="L622" si="1002">IF(AND(K622&gt;$I$7,K622&lt;$I$8),1,0)</f>
        <v>1</v>
      </c>
      <c r="M622" s="24"/>
      <c r="N622" s="26"/>
      <c r="O622" s="26"/>
      <c r="P622" s="26"/>
      <c r="Q622" s="26"/>
      <c r="R622" s="26"/>
      <c r="S622" s="26"/>
      <c r="T622" s="26"/>
      <c r="U622" s="26"/>
      <c r="V622" s="26"/>
      <c r="W622" s="26">
        <f>MAX($C$8-VLOOKUP($C622,COS!$B$8:$H$991,3,FALSE),0)</f>
        <v>96571.319580078125</v>
      </c>
      <c r="X622" s="26">
        <f t="shared" si="972"/>
        <v>5746.3925700542359</v>
      </c>
      <c r="Y622" s="26">
        <f>VLOOKUP($C622,COS!$B$8:$H$991,4,FALSE)</f>
        <v>447.037109375</v>
      </c>
      <c r="Z622" s="26">
        <f t="shared" si="973"/>
        <v>26.600555268595041</v>
      </c>
      <c r="AA622" s="26">
        <f t="shared" si="1000"/>
        <v>447.037109375</v>
      </c>
      <c r="AB622" s="33">
        <f t="shared" si="956"/>
        <v>26.600555268595041</v>
      </c>
    </row>
    <row r="623" spans="1:28" x14ac:dyDescent="0.3">
      <c r="A623" s="32">
        <f>VLOOKUP(YEAR(C623),Flags!$A$13:$B$95,2,FALSE)</f>
        <v>4</v>
      </c>
      <c r="B623" s="24">
        <f t="shared" si="951"/>
        <v>1989</v>
      </c>
      <c r="C623" s="25">
        <v>32812</v>
      </c>
      <c r="D623" s="26"/>
      <c r="E623" s="24"/>
      <c r="F623" s="26"/>
      <c r="G623" s="26"/>
      <c r="H623" s="26"/>
      <c r="I623" s="26"/>
      <c r="J623" s="26"/>
      <c r="K623" s="26"/>
      <c r="L623" s="24"/>
      <c r="M623" s="24"/>
      <c r="N623" s="26"/>
      <c r="O623" s="26"/>
      <c r="P623" s="26"/>
      <c r="Q623" s="26"/>
      <c r="R623" s="26"/>
      <c r="S623" s="26"/>
      <c r="T623" s="26"/>
      <c r="U623" s="26"/>
      <c r="V623" s="26"/>
      <c r="W623" s="26">
        <f>MAX($C$9-VLOOKUP($C623,COS!$B$8:$H$991,3,FALSE),0)</f>
        <v>95860.29296875</v>
      </c>
      <c r="X623" s="26">
        <f t="shared" si="972"/>
        <v>5894.2196668388433</v>
      </c>
      <c r="Y623" s="26">
        <f>VLOOKUP($C623,COS!$B$8:$H$991,4,FALSE)</f>
        <v>977.87164306640625</v>
      </c>
      <c r="Z623" s="26">
        <f t="shared" si="973"/>
        <v>60.126983672843487</v>
      </c>
      <c r="AA623" s="26">
        <f t="shared" si="1000"/>
        <v>977.87164306640625</v>
      </c>
      <c r="AB623" s="33">
        <f t="shared" si="956"/>
        <v>60.126983672843487</v>
      </c>
    </row>
    <row r="624" spans="1:28" x14ac:dyDescent="0.3">
      <c r="A624" s="32">
        <f>VLOOKUP(YEAR(C624),Flags!$A$13:$B$95,2,FALSE)</f>
        <v>4</v>
      </c>
      <c r="B624" s="24">
        <f t="shared" si="951"/>
        <v>1989</v>
      </c>
      <c r="C624" s="25">
        <v>32842</v>
      </c>
      <c r="D624" s="26"/>
      <c r="E624" s="24"/>
      <c r="F624" s="26"/>
      <c r="G624" s="26"/>
      <c r="H624" s="26"/>
      <c r="I624" s="26"/>
      <c r="J624" s="26"/>
      <c r="K624" s="26"/>
      <c r="L624" s="24"/>
      <c r="M624" s="24"/>
      <c r="N624" s="26"/>
      <c r="O624" s="26"/>
      <c r="P624" s="26"/>
      <c r="Q624" s="26"/>
      <c r="R624" s="26"/>
      <c r="S624" s="26"/>
      <c r="T624" s="26"/>
      <c r="U624" s="26"/>
      <c r="V624" s="26"/>
      <c r="W624" s="26">
        <f>MAX($C$10-VLOOKUP($C624,COS!$B$8:$H$991,3,FALSE),0)</f>
        <v>94450.890625</v>
      </c>
      <c r="X624" s="26">
        <f t="shared" si="972"/>
        <v>5620.2182851239668</v>
      </c>
      <c r="Y624" s="26">
        <f>VLOOKUP($C624,COS!$B$8:$H$991,4,FALSE)</f>
        <v>1557.039306640625</v>
      </c>
      <c r="Z624" s="26">
        <f t="shared" si="973"/>
        <v>92.650272791838844</v>
      </c>
      <c r="AA624" s="26">
        <f t="shared" si="1000"/>
        <v>1557.039306640625</v>
      </c>
      <c r="AB624" s="33">
        <f t="shared" si="956"/>
        <v>92.650272791838844</v>
      </c>
    </row>
    <row r="625" spans="1:28" x14ac:dyDescent="0.3">
      <c r="A625" s="34">
        <f>VLOOKUP(YEAR(C625),Flags!$A$13:$B$95,2,FALSE)</f>
        <v>4</v>
      </c>
      <c r="B625" s="35">
        <f t="shared" si="951"/>
        <v>1989</v>
      </c>
      <c r="C625" s="36">
        <v>32873</v>
      </c>
      <c r="D625" s="37"/>
      <c r="E625" s="35"/>
      <c r="F625" s="37"/>
      <c r="G625" s="37"/>
      <c r="H625" s="37"/>
      <c r="I625" s="37"/>
      <c r="J625" s="37"/>
      <c r="K625" s="37"/>
      <c r="L625" s="35"/>
      <c r="M625" s="35"/>
      <c r="N625" s="37"/>
      <c r="O625" s="37"/>
      <c r="P625" s="37"/>
      <c r="Q625" s="37"/>
      <c r="R625" s="37"/>
      <c r="S625" s="37"/>
      <c r="T625" s="37"/>
      <c r="U625" s="37"/>
      <c r="V625" s="37"/>
      <c r="W625" s="37">
        <f>MAX($C$11-VLOOKUP($C625,COS!$B$8:$H$991,3,FALSE),0)</f>
        <v>95813.19921875</v>
      </c>
      <c r="X625" s="37">
        <f t="shared" si="972"/>
        <v>5891.323985020661</v>
      </c>
      <c r="Y625" s="37">
        <f>VLOOKUP($C625,COS!$B$8:$H$991,4,FALSE)</f>
        <v>2009.1300048828125</v>
      </c>
      <c r="Z625" s="37">
        <f t="shared" si="973"/>
        <v>123.5365887299845</v>
      </c>
      <c r="AA625" s="37">
        <f t="shared" si="1000"/>
        <v>2009.1300048828125</v>
      </c>
      <c r="AB625" s="38">
        <f t="shared" si="956"/>
        <v>123.5365887299845</v>
      </c>
    </row>
    <row r="626" spans="1:28" x14ac:dyDescent="0.3">
      <c r="A626" s="27">
        <f>VLOOKUP(YEAR(C626),Flags!$A$13:$B$95,2,FALSE)</f>
        <v>5</v>
      </c>
      <c r="B626" s="28">
        <f t="shared" si="951"/>
        <v>1990</v>
      </c>
      <c r="C626" s="29">
        <v>32993</v>
      </c>
      <c r="D626" s="30">
        <f>VLOOKUP($C626,COS!$B$8:$H$991,3,FALSE)</f>
        <v>3250</v>
      </c>
      <c r="E626" s="28">
        <f>IF(D626&gt;=IF(MONTH($C626)=4,$C$3,IF(MONTH($C626)=5,$C$4,IF(MONTH($C626)=6,$C$5,IF(MONTH($C626)=7,$C$6,"ERROR")))),1,0)</f>
        <v>0</v>
      </c>
      <c r="F626" s="30">
        <f>VLOOKUP($C626,COS!$B$8:$H$991,7,FALSE)</f>
        <v>52.837333679199219</v>
      </c>
      <c r="G626" s="28">
        <f>IF(F626&lt;=IF(MONTH($C626)=4,$F$3,IF(MONTH($C626)=5,$F$4,IF(MONTH($C626)=6,$F$5,IF(MONTH($C626)=7,$F$6,"ERROR")))),1,0)</f>
        <v>1</v>
      </c>
      <c r="H626" s="30">
        <f>IF(J626=1,D626-$C$3,0)</f>
        <v>0</v>
      </c>
      <c r="I626" s="30">
        <f t="shared" si="982"/>
        <v>0</v>
      </c>
      <c r="J626" s="28">
        <f t="shared" ref="J626:J629" si="1003">IF(AND(E626=1,G626=1),1,0)</f>
        <v>0</v>
      </c>
      <c r="K626" s="30">
        <f>VLOOKUP($C626,COS!$B$8:$H$991,2,FALSE)</f>
        <v>3255.982421875</v>
      </c>
      <c r="L626" s="28">
        <f t="shared" ref="L626" si="1004">IF(K626&lt;=IF(MONTH($C626)=4,$I$3,IF(MONTH($C626)=5,$I$4,IF(MONTH($C626)=6,$I$5,IF(MONTH($C626)=7,$I$6,"ERROR")))),1,0)</f>
        <v>1</v>
      </c>
      <c r="M626" s="28">
        <f t="shared" ref="M626" si="1005">VLOOKUP($A626,$L$3:$M$7,2,FALSE)</f>
        <v>1</v>
      </c>
      <c r="N626" s="30">
        <f>VLOOKUP($C626,COS!$B$8:$H$991,5,FALSE)</f>
        <v>164.3074951171875</v>
      </c>
      <c r="O626" s="30">
        <f t="shared" ref="O626:O629" si="1006">N626*DAY($C626)*86400/43560/1000</f>
        <v>9.7769749160640487</v>
      </c>
      <c r="P626" s="30">
        <f>VLOOKUP($C626,COS!$B$8:$H$991,6,FALSE)</f>
        <v>546.31597900390625</v>
      </c>
      <c r="Q626" s="30">
        <f t="shared" ref="Q626:Q629" si="1007">P626*DAY($C626)*86400/43560/1000</f>
        <v>32.508058254777893</v>
      </c>
      <c r="R626" s="30">
        <f>MIN(IF(MONTH($C626)=4,$S$3,IF(MONTH($C626)=5,$S$4,IF(MONTH($C626)=6,$S$5,IF(MONTH($C626)=7,$S$6,"ERROR")))),MAX(VLOOKUP($C626,COS!$B$8:$K$991,10,FALSE)-IF(MONTH($C626)=4,$Y$3,IF(MONTH($C626)=5,$Y$4,IF(MONTH($C626)=6,$Y$5,IF(MONTH($C626)=7,$Y$6,"ERROR")))),0),MAX(VLOOKUP($C626,COS!$B$8:$K$991,9,FALSE)-IF(MONTH($C626)=4,$V$3,IF(MONTH($C626)=5,$V$4,IF(MONTH($C626)=6,$V$5,IF(MONTH($C626)=7,$V$6,"ERROR"))))-VLOOKUP($C626,COS!$B$8:$K$991,6,FALSE)/2,0))</f>
        <v>0</v>
      </c>
      <c r="S626" s="30">
        <f t="shared" ref="S626:S629" si="1008">R626*DAY($C626)*86400/43560/1000</f>
        <v>0</v>
      </c>
      <c r="T626" s="30">
        <f t="shared" ref="T626:T629" si="1009">(O626+Q626)/2+S626</f>
        <v>21.142516585420971</v>
      </c>
      <c r="U626" s="30" t="str">
        <f>IF(VLOOKUP($C626,COS!$B$8:$I$991,8,FALSE)=1,"UWFE","IBU")</f>
        <v>UWFE</v>
      </c>
      <c r="V626" s="30">
        <f t="shared" ref="V626" si="1010">MIN(IF(IF($AA$3=2,AND(E626=1,G626=1,L626=1,L631=1,M626=1,U626="IBU"),AND(E626=1,G626=1,L626=1,L631=1,M626=1)),T626,0),I626)</f>
        <v>0</v>
      </c>
      <c r="W626" s="30"/>
      <c r="X626" s="30"/>
      <c r="Y626" s="30"/>
      <c r="Z626" s="30"/>
      <c r="AA626" s="30"/>
      <c r="AB626" s="31"/>
    </row>
    <row r="627" spans="1:28" x14ac:dyDescent="0.3">
      <c r="A627" s="32">
        <f>VLOOKUP(YEAR(C627),Flags!$A$13:$B$95,2,FALSE)</f>
        <v>5</v>
      </c>
      <c r="B627" s="24">
        <f t="shared" si="951"/>
        <v>1990</v>
      </c>
      <c r="C627" s="25">
        <v>33024</v>
      </c>
      <c r="D627" s="26">
        <f>VLOOKUP($C627,COS!$B$8:$H$991,3,FALSE)</f>
        <v>5630.49853515625</v>
      </c>
      <c r="E627" s="24">
        <f>IF(D627&gt;=IF(MONTH($C627)=4,$C$3,IF(MONTH($C627)=5,$C$4,IF(MONTH($C627)=6,$C$5,IF(MONTH($C627)=7,$C$6,"ERROR")))),1,0)</f>
        <v>0</v>
      </c>
      <c r="F627" s="26">
        <f>VLOOKUP($C627,COS!$B$8:$H$991,7,FALSE)</f>
        <v>52.459934234619141</v>
      </c>
      <c r="G627" s="24">
        <f>IF(F627&lt;=IF(MONTH($C627)=4,$F$3,IF(MONTH($C627)=5,$F$4,IF(MONTH($C627)=6,$F$5,IF(MONTH($C627)=7,$F$6,"ERROR")))),1,0)</f>
        <v>1</v>
      </c>
      <c r="H627" s="26">
        <f>IF(J627=1,D627-$C$4,0)</f>
        <v>0</v>
      </c>
      <c r="I627" s="26">
        <f t="shared" si="982"/>
        <v>0</v>
      </c>
      <c r="J627" s="24">
        <f t="shared" si="1003"/>
        <v>0</v>
      </c>
      <c r="K627" s="26">
        <f>VLOOKUP($C627,COS!$B$8:$H$991,2,FALSE)</f>
        <v>3362.06884765625</v>
      </c>
      <c r="L627" s="24">
        <f t="shared" si="944"/>
        <v>1</v>
      </c>
      <c r="M627" s="24">
        <f t="shared" si="945"/>
        <v>1</v>
      </c>
      <c r="N627" s="26">
        <f>VLOOKUP($C627,COS!$B$8:$H$991,5,FALSE)</f>
        <v>102.29715728759766</v>
      </c>
      <c r="O627" s="26">
        <f t="shared" si="1006"/>
        <v>6.2900070266093104</v>
      </c>
      <c r="P627" s="26">
        <f>VLOOKUP($C627,COS!$B$8:$H$991,6,FALSE)</f>
        <v>1666.94287109375</v>
      </c>
      <c r="Q627" s="26">
        <f t="shared" si="1007"/>
        <v>102.49632199121901</v>
      </c>
      <c r="R627" s="26">
        <f>MIN(IF(MONTH($C627)=4,$S$3,IF(MONTH($C627)=5,$S$4,IF(MONTH($C627)=6,$S$5,IF(MONTH($C627)=7,$S$6,"ERROR")))),MAX(VLOOKUP($C627,COS!$B$8:$K$991,10,FALSE)-IF(MONTH($C627)=4,$Y$3,IF(MONTH($C627)=5,$Y$4,IF(MONTH($C627)=6,$Y$5,IF(MONTH($C627)=7,$Y$6,"ERROR")))),0),MAX(VLOOKUP($C627,COS!$B$8:$K$991,9,FALSE)-IF(MONTH($C627)=4,$V$3,IF(MONTH($C627)=5,$V$4,IF(MONTH($C627)=6,$V$5,IF(MONTH($C627)=7,$V$6,"ERROR"))))-VLOOKUP($C627,COS!$B$8:$K$991,6,FALSE)/2,0))</f>
        <v>1500</v>
      </c>
      <c r="S627" s="26">
        <f t="shared" si="1008"/>
        <v>92.231404958677686</v>
      </c>
      <c r="T627" s="26">
        <f t="shared" si="1009"/>
        <v>146.62456946759184</v>
      </c>
      <c r="U627" s="26" t="str">
        <f>IF(VLOOKUP($C627,COS!$B$8:$I$991,8,FALSE)=1,"UWFE","IBU")</f>
        <v>UWFE</v>
      </c>
      <c r="V627" s="26">
        <f t="shared" ref="V627" si="1011">MIN(IF(IF($AA$3=2,AND(E627=1,G627=1,L627=1,L631=1,M627=1,U627="IBU"),AND(E627=1,G627=1,L627=1,L631=1,M627=1)),T627,0),I627)</f>
        <v>0</v>
      </c>
      <c r="W627" s="26"/>
      <c r="X627" s="26"/>
      <c r="Y627" s="26"/>
      <c r="Z627" s="26"/>
      <c r="AA627" s="26"/>
      <c r="AB627" s="33"/>
    </row>
    <row r="628" spans="1:28" x14ac:dyDescent="0.3">
      <c r="A628" s="32">
        <f>VLOOKUP(YEAR(C628),Flags!$A$13:$B$95,2,FALSE)</f>
        <v>5</v>
      </c>
      <c r="B628" s="24">
        <f t="shared" si="951"/>
        <v>1990</v>
      </c>
      <c r="C628" s="25">
        <v>33054</v>
      </c>
      <c r="D628" s="26">
        <f>VLOOKUP($C628,COS!$B$8:$H$991,3,FALSE)</f>
        <v>8063.263671875</v>
      </c>
      <c r="E628" s="24">
        <f>IF(D628&gt;=IF(MONTH($C628)=4,$C$3,IF(MONTH($C628)=5,$C$4,IF(MONTH($C628)=6,$C$5,IF(MONTH($C628)=7,$C$6,"ERROR")))),1,0)</f>
        <v>0</v>
      </c>
      <c r="F628" s="26">
        <f>VLOOKUP($C628,COS!$B$8:$H$991,7,FALSE)</f>
        <v>53.181201934814453</v>
      </c>
      <c r="G628" s="24">
        <f>IF(F628&lt;=IF(MONTH($C628)=4,$F$3,IF(MONTH($C628)=5,$F$4,IF(MONTH($C628)=6,$F$5,IF(MONTH($C628)=7,$F$6,"ERROR")))),1,0)</f>
        <v>1</v>
      </c>
      <c r="H628" s="26">
        <f>IF(J628=1,D628-$C$5,0)</f>
        <v>0</v>
      </c>
      <c r="I628" s="26">
        <f t="shared" si="982"/>
        <v>0</v>
      </c>
      <c r="J628" s="24">
        <f t="shared" si="1003"/>
        <v>0</v>
      </c>
      <c r="K628" s="26">
        <f>VLOOKUP($C628,COS!$B$8:$H$991,2,FALSE)</f>
        <v>3180.568359375</v>
      </c>
      <c r="L628" s="24">
        <f t="shared" si="944"/>
        <v>1</v>
      </c>
      <c r="M628" s="24">
        <f t="shared" si="945"/>
        <v>1</v>
      </c>
      <c r="N628" s="26">
        <f>VLOOKUP($C628,COS!$B$8:$H$991,5,FALSE)</f>
        <v>206.65235900878906</v>
      </c>
      <c r="O628" s="26">
        <f t="shared" si="1006"/>
        <v>12.296669296390753</v>
      </c>
      <c r="P628" s="26">
        <f>VLOOKUP($C628,COS!$B$8:$H$991,6,FALSE)</f>
        <v>2506.8408203125</v>
      </c>
      <c r="Q628" s="26">
        <f t="shared" si="1007"/>
        <v>149.16738765495867</v>
      </c>
      <c r="R628" s="26">
        <f>MIN(IF(MONTH($C628)=4,$S$3,IF(MONTH($C628)=5,$S$4,IF(MONTH($C628)=6,$S$5,IF(MONTH($C628)=7,$S$6,"ERROR")))),MAX(VLOOKUP($C628,COS!$B$8:$K$991,10,FALSE)-IF(MONTH($C628)=4,$Y$3,IF(MONTH($C628)=5,$Y$4,IF(MONTH($C628)=6,$Y$5,IF(MONTH($C628)=7,$Y$6,"ERROR")))),0),MAX(VLOOKUP($C628,COS!$B$8:$K$991,9,FALSE)-IF(MONTH($C628)=4,$V$3,IF(MONTH($C628)=5,$V$4,IF(MONTH($C628)=6,$V$5,IF(MONTH($C628)=7,$V$6,"ERROR"))))-VLOOKUP($C628,COS!$B$8:$K$991,6,FALSE)/2,0))</f>
        <v>1500</v>
      </c>
      <c r="S628" s="26">
        <f t="shared" si="1008"/>
        <v>89.256198347107429</v>
      </c>
      <c r="T628" s="26">
        <f t="shared" si="1009"/>
        <v>169.98822682278214</v>
      </c>
      <c r="U628" s="26" t="str">
        <f>IF(VLOOKUP($C628,COS!$B$8:$I$991,8,FALSE)=1,"UWFE","IBU")</f>
        <v>IBU</v>
      </c>
      <c r="V628" s="26">
        <f t="shared" ref="V628" si="1012">MIN(IF(IF($AA$3=2,AND(E628=1,G628=1,L628=1,L631=1,M628=1,U628="IBU"),AND(E628=1,G628=1,L628=1,L631=1,M628=1)),T628,0),I628)</f>
        <v>0</v>
      </c>
      <c r="W628" s="26"/>
      <c r="X628" s="26"/>
      <c r="Y628" s="26"/>
      <c r="Z628" s="26"/>
      <c r="AA628" s="26"/>
      <c r="AB628" s="33"/>
    </row>
    <row r="629" spans="1:28" x14ac:dyDescent="0.3">
      <c r="A629" s="32">
        <f>VLOOKUP(YEAR(C629),Flags!$A$13:$B$95,2,FALSE)</f>
        <v>5</v>
      </c>
      <c r="B629" s="24">
        <f t="shared" si="951"/>
        <v>1990</v>
      </c>
      <c r="C629" s="25">
        <v>33085</v>
      </c>
      <c r="D629" s="26">
        <f>VLOOKUP($C629,COS!$B$8:$H$991,3,FALSE)</f>
        <v>12447.279296875</v>
      </c>
      <c r="E629" s="24">
        <f>IF(D629&gt;=IF(MONTH($C629)=4,$C$3,IF(MONTH($C629)=5,$C$4,IF(MONTH($C629)=6,$C$5,IF(MONTH($C629)=7,$C$6,"ERROR")))),1,0)</f>
        <v>1</v>
      </c>
      <c r="F629" s="26">
        <f>VLOOKUP($C629,COS!$B$8:$H$991,7,FALSE)</f>
        <v>53.944061279296875</v>
      </c>
      <c r="G629" s="24">
        <f>IF(F629&lt;=IF(MONTH($C629)=4,$F$3,IF(MONTH($C629)=5,$F$4,IF(MONTH($C629)=6,$F$5,IF(MONTH($C629)=7,$F$6,"ERROR")))),1,0)</f>
        <v>0</v>
      </c>
      <c r="H629" s="26">
        <f>IF(J629=1,D629-$C$6,0)</f>
        <v>0</v>
      </c>
      <c r="I629" s="26">
        <f t="shared" si="982"/>
        <v>0</v>
      </c>
      <c r="J629" s="24">
        <f t="shared" si="1003"/>
        <v>0</v>
      </c>
      <c r="K629" s="26">
        <f>VLOOKUP($C629,COS!$B$8:$H$991,2,FALSE)</f>
        <v>2634.774169921875</v>
      </c>
      <c r="L629" s="24">
        <f t="shared" si="944"/>
        <v>1</v>
      </c>
      <c r="M629" s="24">
        <f t="shared" si="945"/>
        <v>1</v>
      </c>
      <c r="N629" s="26">
        <f>VLOOKUP($C629,COS!$B$8:$H$991,5,FALSE)</f>
        <v>227.43785095214844</v>
      </c>
      <c r="O629" s="26">
        <f t="shared" si="1006"/>
        <v>13.984608356065987</v>
      </c>
      <c r="P629" s="26">
        <f>VLOOKUP($C629,COS!$B$8:$H$991,6,FALSE)</f>
        <v>2326.644775390625</v>
      </c>
      <c r="Q629" s="26">
        <f t="shared" si="1007"/>
        <v>143.05981098269626</v>
      </c>
      <c r="R629" s="26">
        <f>MIN(IF(MONTH($C629)=4,$S$3,IF(MONTH($C629)=5,$S$4,IF(MONTH($C629)=6,$S$5,IF(MONTH($C629)=7,$S$6,"ERROR")))),MAX(VLOOKUP($C629,COS!$B$8:$K$991,10,FALSE)-IF(MONTH($C629)=4,$Y$3,IF(MONTH($C629)=5,$Y$4,IF(MONTH($C629)=6,$Y$5,IF(MONTH($C629)=7,$Y$6,"ERROR")))),0),MAX(VLOOKUP($C629,COS!$B$8:$K$991,9,FALSE)-IF(MONTH($C629)=4,$V$3,IF(MONTH($C629)=5,$V$4,IF(MONTH($C629)=6,$V$5,IF(MONTH($C629)=7,$V$6,"ERROR"))))-VLOOKUP($C629,COS!$B$8:$K$991,6,FALSE)/2,0))</f>
        <v>1500</v>
      </c>
      <c r="S629" s="26">
        <f t="shared" si="1008"/>
        <v>92.231404958677686</v>
      </c>
      <c r="T629" s="26">
        <f t="shared" si="1009"/>
        <v>170.75361462805881</v>
      </c>
      <c r="U629" s="26" t="str">
        <f>IF(VLOOKUP($C629,COS!$B$8:$I$991,8,FALSE)=1,"UWFE","IBU")</f>
        <v>IBU</v>
      </c>
      <c r="V629" s="26">
        <f t="shared" ref="V629" si="1013">MIN(IF(IF($AA$3=2,AND(E629=1,G629=1,L629=1,L631=1,M629=1,U629="IBU"),AND(E629=1,G629=1,L629=1,L631=1,M629=1)),T629,0),I629)</f>
        <v>0</v>
      </c>
      <c r="W629" s="26"/>
      <c r="X629" s="26"/>
      <c r="Y629" s="26"/>
      <c r="Z629" s="26"/>
      <c r="AA629" s="26"/>
      <c r="AB629" s="33"/>
    </row>
    <row r="630" spans="1:28" x14ac:dyDescent="0.3">
      <c r="A630" s="32">
        <f>VLOOKUP(YEAR(C630),Flags!$A$13:$B$95,2,FALSE)</f>
        <v>5</v>
      </c>
      <c r="B630" s="24">
        <f t="shared" si="951"/>
        <v>1990</v>
      </c>
      <c r="C630" s="25">
        <v>33116</v>
      </c>
      <c r="D630" s="26"/>
      <c r="E630" s="24"/>
      <c r="F630" s="26"/>
      <c r="G630" s="24"/>
      <c r="H630" s="24"/>
      <c r="I630" s="26"/>
      <c r="J630" s="24"/>
      <c r="K630" s="26"/>
      <c r="L630" s="24"/>
      <c r="M630" s="24"/>
      <c r="N630" s="26"/>
      <c r="O630" s="26"/>
      <c r="P630" s="26"/>
      <c r="Q630" s="26"/>
      <c r="R630" s="26"/>
      <c r="S630" s="26"/>
      <c r="T630" s="26"/>
      <c r="U630" s="26"/>
      <c r="V630" s="26"/>
      <c r="W630" s="26">
        <f>MAX($C$7-VLOOKUP($C630,COS!$B$8:$H$991,3,FALSE),0)</f>
        <v>91987.85546875</v>
      </c>
      <c r="X630" s="26">
        <f t="shared" si="972"/>
        <v>5656.1127660123966</v>
      </c>
      <c r="Y630" s="26">
        <f>VLOOKUP($C630,COS!$B$8:$H$991,4,FALSE)</f>
        <v>3233.810302734375</v>
      </c>
      <c r="Z630" s="26">
        <f t="shared" si="973"/>
        <v>198.83924506069215</v>
      </c>
      <c r="AA630" s="26">
        <f t="shared" ref="AA630:AA634" si="1014">MIN(W630,Y630)</f>
        <v>3233.810302734375</v>
      </c>
      <c r="AB630" s="33">
        <f t="shared" ref="AB630" si="1015">AA630*DAY($C630)*86400/43560/1000*IF(MONTH($C630)=8,$P$3,IF(MONTH($C630)=9,$P$4,IF(MONTH($C630)=10,$P$5,IF(MONTH($C630)=11,$P$6,IF(MONTH($C630)=12,$P$7,NA())))))</f>
        <v>198.83924506069215</v>
      </c>
    </row>
    <row r="631" spans="1:28" x14ac:dyDescent="0.3">
      <c r="A631" s="32">
        <f>VLOOKUP(YEAR(C631),Flags!$A$13:$B$95,2,FALSE)</f>
        <v>5</v>
      </c>
      <c r="B631" s="24">
        <f t="shared" si="951"/>
        <v>1990</v>
      </c>
      <c r="C631" s="25">
        <v>33146</v>
      </c>
      <c r="D631" s="26"/>
      <c r="E631" s="24"/>
      <c r="F631" s="26"/>
      <c r="G631" s="24"/>
      <c r="H631" s="24"/>
      <c r="I631" s="26"/>
      <c r="J631" s="24"/>
      <c r="K631" s="26">
        <f>VLOOKUP($C631,COS!$B$8:$H$991,2,FALSE)</f>
        <v>2239.517822265625</v>
      </c>
      <c r="L631" s="24">
        <f t="shared" ref="L631" si="1016">IF(AND(K631&gt;$I$7,K631&lt;$I$8),1,0)</f>
        <v>1</v>
      </c>
      <c r="M631" s="24"/>
      <c r="N631" s="26"/>
      <c r="O631" s="26"/>
      <c r="P631" s="26"/>
      <c r="Q631" s="26"/>
      <c r="R631" s="26"/>
      <c r="S631" s="26"/>
      <c r="T631" s="26"/>
      <c r="U631" s="26"/>
      <c r="V631" s="26"/>
      <c r="W631" s="26">
        <f>MAX($C$8-VLOOKUP($C631,COS!$B$8:$H$991,3,FALSE),0)</f>
        <v>94345.31689453125</v>
      </c>
      <c r="X631" s="26">
        <f t="shared" si="972"/>
        <v>5613.9362119059915</v>
      </c>
      <c r="Y631" s="26">
        <f>VLOOKUP($C631,COS!$B$8:$H$991,4,FALSE)</f>
        <v>1878.513671875</v>
      </c>
      <c r="Z631" s="26">
        <f t="shared" si="973"/>
        <v>111.77932592975208</v>
      </c>
      <c r="AA631" s="26">
        <f t="shared" si="1014"/>
        <v>1878.513671875</v>
      </c>
      <c r="AB631" s="33">
        <f t="shared" si="956"/>
        <v>111.77932592975208</v>
      </c>
    </row>
    <row r="632" spans="1:28" x14ac:dyDescent="0.3">
      <c r="A632" s="32">
        <f>VLOOKUP(YEAR(C632),Flags!$A$13:$B$95,2,FALSE)</f>
        <v>5</v>
      </c>
      <c r="B632" s="24">
        <f t="shared" si="951"/>
        <v>1990</v>
      </c>
      <c r="C632" s="25">
        <v>33177</v>
      </c>
      <c r="D632" s="26"/>
      <c r="E632" s="24"/>
      <c r="F632" s="26"/>
      <c r="G632" s="26"/>
      <c r="H632" s="26"/>
      <c r="I632" s="26"/>
      <c r="J632" s="26"/>
      <c r="K632" s="26"/>
      <c r="L632" s="24"/>
      <c r="M632" s="24"/>
      <c r="N632" s="26"/>
      <c r="O632" s="26"/>
      <c r="P632" s="26"/>
      <c r="Q632" s="26"/>
      <c r="R632" s="26"/>
      <c r="S632" s="26"/>
      <c r="T632" s="26"/>
      <c r="U632" s="26"/>
      <c r="V632" s="26"/>
      <c r="W632" s="26">
        <f>MAX($C$9-VLOOKUP($C632,COS!$B$8:$H$991,3,FALSE),0)</f>
        <v>94935.169921875</v>
      </c>
      <c r="X632" s="26">
        <f t="shared" si="972"/>
        <v>5837.3360679235529</v>
      </c>
      <c r="Y632" s="26">
        <f>VLOOKUP($C632,COS!$B$8:$H$991,4,FALSE)</f>
        <v>1555.8990478515625</v>
      </c>
      <c r="Z632" s="26">
        <f t="shared" si="973"/>
        <v>95.668503438145663</v>
      </c>
      <c r="AA632" s="26">
        <f t="shared" si="1014"/>
        <v>1555.8990478515625</v>
      </c>
      <c r="AB632" s="33">
        <f t="shared" si="956"/>
        <v>95.668503438145663</v>
      </c>
    </row>
    <row r="633" spans="1:28" x14ac:dyDescent="0.3">
      <c r="A633" s="32">
        <f>VLOOKUP(YEAR(C633),Flags!$A$13:$B$95,2,FALSE)</f>
        <v>5</v>
      </c>
      <c r="B633" s="24">
        <f t="shared" si="951"/>
        <v>1990</v>
      </c>
      <c r="C633" s="25">
        <v>33207</v>
      </c>
      <c r="D633" s="26"/>
      <c r="E633" s="24"/>
      <c r="F633" s="26"/>
      <c r="G633" s="26"/>
      <c r="H633" s="26"/>
      <c r="I633" s="26"/>
      <c r="J633" s="26"/>
      <c r="K633" s="26"/>
      <c r="L633" s="24"/>
      <c r="M633" s="24"/>
      <c r="N633" s="26"/>
      <c r="O633" s="26"/>
      <c r="P633" s="26"/>
      <c r="Q633" s="26"/>
      <c r="R633" s="26"/>
      <c r="S633" s="26"/>
      <c r="T633" s="26"/>
      <c r="U633" s="26"/>
      <c r="V633" s="26"/>
      <c r="W633" s="26">
        <f>MAX($C$10-VLOOKUP($C633,COS!$B$8:$H$991,3,FALSE),0)</f>
        <v>95913.387451171875</v>
      </c>
      <c r="X633" s="26">
        <f t="shared" si="972"/>
        <v>5707.2428896565079</v>
      </c>
      <c r="Y633" s="26">
        <f>VLOOKUP($C633,COS!$B$8:$H$991,4,FALSE)</f>
        <v>1488.062255859375</v>
      </c>
      <c r="Z633" s="26">
        <f t="shared" si="973"/>
        <v>88.545853241219007</v>
      </c>
      <c r="AA633" s="26">
        <f t="shared" si="1014"/>
        <v>1488.062255859375</v>
      </c>
      <c r="AB633" s="33">
        <f t="shared" si="956"/>
        <v>88.545853241219007</v>
      </c>
    </row>
    <row r="634" spans="1:28" x14ac:dyDescent="0.3">
      <c r="A634" s="34">
        <f>VLOOKUP(YEAR(C634),Flags!$A$13:$B$95,2,FALSE)</f>
        <v>5</v>
      </c>
      <c r="B634" s="35">
        <f t="shared" si="951"/>
        <v>1990</v>
      </c>
      <c r="C634" s="36">
        <v>33238</v>
      </c>
      <c r="D634" s="37"/>
      <c r="E634" s="35"/>
      <c r="F634" s="37"/>
      <c r="G634" s="37"/>
      <c r="H634" s="37"/>
      <c r="I634" s="37"/>
      <c r="J634" s="37"/>
      <c r="K634" s="37"/>
      <c r="L634" s="35"/>
      <c r="M634" s="35"/>
      <c r="N634" s="37"/>
      <c r="O634" s="37"/>
      <c r="P634" s="37"/>
      <c r="Q634" s="37"/>
      <c r="R634" s="37"/>
      <c r="S634" s="37"/>
      <c r="T634" s="37"/>
      <c r="U634" s="37"/>
      <c r="V634" s="37"/>
      <c r="W634" s="37">
        <f>MAX($C$11-VLOOKUP($C634,COS!$B$8:$H$991,3,FALSE),0)</f>
        <v>96739.13525390625</v>
      </c>
      <c r="X634" s="37">
        <f t="shared" si="972"/>
        <v>5948.2575726368796</v>
      </c>
      <c r="Y634" s="37">
        <f>VLOOKUP($C634,COS!$B$8:$H$991,4,FALSE)</f>
        <v>3086.0771484375</v>
      </c>
      <c r="Z634" s="37">
        <f t="shared" si="973"/>
        <v>189.75548747417355</v>
      </c>
      <c r="AA634" s="37">
        <f t="shared" si="1014"/>
        <v>3086.0771484375</v>
      </c>
      <c r="AB634" s="38">
        <f t="shared" si="956"/>
        <v>189.75548747417355</v>
      </c>
    </row>
    <row r="635" spans="1:28" x14ac:dyDescent="0.3">
      <c r="A635" s="27">
        <f>VLOOKUP(YEAR(C635),Flags!$A$13:$B$95,2,FALSE)</f>
        <v>5</v>
      </c>
      <c r="B635" s="28">
        <f t="shared" si="951"/>
        <v>1991</v>
      </c>
      <c r="C635" s="29">
        <v>33358</v>
      </c>
      <c r="D635" s="30">
        <f>VLOOKUP($C635,COS!$B$8:$H$991,3,FALSE)</f>
        <v>3250</v>
      </c>
      <c r="E635" s="28">
        <f>IF(D635&gt;=IF(MONTH($C635)=4,$C$3,IF(MONTH($C635)=5,$C$4,IF(MONTH($C635)=6,$C$5,IF(MONTH($C635)=7,$C$6,"ERROR")))),1,0)</f>
        <v>0</v>
      </c>
      <c r="F635" s="30">
        <f>VLOOKUP($C635,COS!$B$8:$H$991,7,FALSE)</f>
        <v>52.174777984619141</v>
      </c>
      <c r="G635" s="28">
        <f>IF(F635&lt;=IF(MONTH($C635)=4,$F$3,IF(MONTH($C635)=5,$F$4,IF(MONTH($C635)=6,$F$5,IF(MONTH($C635)=7,$F$6,"ERROR")))),1,0)</f>
        <v>1</v>
      </c>
      <c r="H635" s="30">
        <f>IF(J635=1,D635-$C$3,0)</f>
        <v>0</v>
      </c>
      <c r="I635" s="30">
        <f t="shared" si="982"/>
        <v>0</v>
      </c>
      <c r="J635" s="28">
        <f t="shared" ref="J635:J638" si="1017">IF(AND(E635=1,G635=1),1,0)</f>
        <v>0</v>
      </c>
      <c r="K635" s="30">
        <f>VLOOKUP($C635,COS!$B$8:$H$991,2,FALSE)</f>
        <v>2608.74365234375</v>
      </c>
      <c r="L635" s="28">
        <f t="shared" ref="L635" si="1018">IF(K635&lt;=IF(MONTH($C635)=4,$I$3,IF(MONTH($C635)=5,$I$4,IF(MONTH($C635)=6,$I$5,IF(MONTH($C635)=7,$I$6,"ERROR")))),1,0)</f>
        <v>1</v>
      </c>
      <c r="M635" s="28">
        <f t="shared" ref="M635" si="1019">VLOOKUP($A635,$L$3:$M$7,2,FALSE)</f>
        <v>1</v>
      </c>
      <c r="N635" s="30">
        <f>VLOOKUP($C635,COS!$B$8:$H$991,5,FALSE)</f>
        <v>99.786216735839844</v>
      </c>
      <c r="O635" s="30">
        <f t="shared" ref="O635:O638" si="1020">N635*DAY($C635)*86400/43560/1000</f>
        <v>5.9376922355210482</v>
      </c>
      <c r="P635" s="30">
        <f>VLOOKUP($C635,COS!$B$8:$H$991,6,FALSE)</f>
        <v>390.43963623046875</v>
      </c>
      <c r="Q635" s="30">
        <f t="shared" ref="Q635:Q638" si="1021">P635*DAY($C635)*86400/43560/1000</f>
        <v>23.232771742639464</v>
      </c>
      <c r="R635" s="30">
        <f>MIN(IF(MONTH($C635)=4,$S$3,IF(MONTH($C635)=5,$S$4,IF(MONTH($C635)=6,$S$5,IF(MONTH($C635)=7,$S$6,"ERROR")))),MAX(VLOOKUP($C635,COS!$B$8:$K$991,10,FALSE)-IF(MONTH($C635)=4,$Y$3,IF(MONTH($C635)=5,$Y$4,IF(MONTH($C635)=6,$Y$5,IF(MONTH($C635)=7,$Y$6,"ERROR")))),0),MAX(VLOOKUP($C635,COS!$B$8:$K$991,9,FALSE)-IF(MONTH($C635)=4,$V$3,IF(MONTH($C635)=5,$V$4,IF(MONTH($C635)=6,$V$5,IF(MONTH($C635)=7,$V$6,"ERROR"))))-VLOOKUP($C635,COS!$B$8:$K$991,6,FALSE)/2,0))</f>
        <v>1454.1971740722656</v>
      </c>
      <c r="S635" s="30">
        <f t="shared" ref="S635:S638" si="1022">R635*DAY($C635)*86400/43560/1000</f>
        <v>86.530740936531515</v>
      </c>
      <c r="T635" s="30">
        <f t="shared" ref="T635:T638" si="1023">(O635+Q635)/2+S635</f>
        <v>101.11597292561177</v>
      </c>
      <c r="U635" s="30" t="str">
        <f>IF(VLOOKUP($C635,COS!$B$8:$I$991,8,FALSE)=1,"UWFE","IBU")</f>
        <v>UWFE</v>
      </c>
      <c r="V635" s="30">
        <f t="shared" ref="V635" si="1024">MIN(IF(IF($AA$3=2,AND(E635=1,G635=1,L635=1,L640=1,M635=1,U635="IBU"),AND(E635=1,G635=1,L635=1,L640=1,M635=1)),T635,0),I635)</f>
        <v>0</v>
      </c>
      <c r="W635" s="30"/>
      <c r="X635" s="30"/>
      <c r="Y635" s="30"/>
      <c r="Z635" s="30"/>
      <c r="AA635" s="30"/>
      <c r="AB635" s="31"/>
    </row>
    <row r="636" spans="1:28" x14ac:dyDescent="0.3">
      <c r="A636" s="32">
        <f>VLOOKUP(YEAR(C636),Flags!$A$13:$B$95,2,FALSE)</f>
        <v>5</v>
      </c>
      <c r="B636" s="24">
        <f t="shared" si="951"/>
        <v>1991</v>
      </c>
      <c r="C636" s="25">
        <v>33389</v>
      </c>
      <c r="D636" s="26">
        <f>VLOOKUP($C636,COS!$B$8:$H$991,3,FALSE)</f>
        <v>6746.265625</v>
      </c>
      <c r="E636" s="24">
        <f>IF(D636&gt;=IF(MONTH($C636)=4,$C$3,IF(MONTH($C636)=5,$C$4,IF(MONTH($C636)=6,$C$5,IF(MONTH($C636)=7,$C$6,"ERROR")))),1,0)</f>
        <v>1</v>
      </c>
      <c r="F636" s="26">
        <f>VLOOKUP($C636,COS!$B$8:$H$991,7,FALSE)</f>
        <v>52.1820068359375</v>
      </c>
      <c r="G636" s="24">
        <f>IF(F636&lt;=IF(MONTH($C636)=4,$F$3,IF(MONTH($C636)=5,$F$4,IF(MONTH($C636)=6,$F$5,IF(MONTH($C636)=7,$F$6,"ERROR")))),1,0)</f>
        <v>1</v>
      </c>
      <c r="H636" s="26">
        <f>IF(J636=1,D636-$C$4,0)</f>
        <v>746.265625</v>
      </c>
      <c r="I636" s="26">
        <f t="shared" si="982"/>
        <v>45.886084710743802</v>
      </c>
      <c r="J636" s="24">
        <f t="shared" si="1017"/>
        <v>1</v>
      </c>
      <c r="K636" s="26">
        <f>VLOOKUP($C636,COS!$B$8:$H$991,2,FALSE)</f>
        <v>2510.05419921875</v>
      </c>
      <c r="L636" s="24">
        <f t="shared" si="944"/>
        <v>1</v>
      </c>
      <c r="M636" s="24">
        <f t="shared" si="945"/>
        <v>1</v>
      </c>
      <c r="N636" s="26">
        <f>VLOOKUP($C636,COS!$B$8:$H$991,5,FALSE)</f>
        <v>265.20388793945313</v>
      </c>
      <c r="O636" s="26">
        <f t="shared" si="1020"/>
        <v>16.306751456772986</v>
      </c>
      <c r="P636" s="26">
        <f>VLOOKUP($C636,COS!$B$8:$H$991,6,FALSE)</f>
        <v>2166.270751953125</v>
      </c>
      <c r="Q636" s="26">
        <f t="shared" si="1021"/>
        <v>133.19879664901859</v>
      </c>
      <c r="R636" s="26">
        <f>MIN(IF(MONTH($C636)=4,$S$3,IF(MONTH($C636)=5,$S$4,IF(MONTH($C636)=6,$S$5,IF(MONTH($C636)=7,$S$6,"ERROR")))),MAX(VLOOKUP($C636,COS!$B$8:$K$991,10,FALSE)-IF(MONTH($C636)=4,$Y$3,IF(MONTH($C636)=5,$Y$4,IF(MONTH($C636)=6,$Y$5,IF(MONTH($C636)=7,$Y$6,"ERROR")))),0),MAX(VLOOKUP($C636,COS!$B$8:$K$991,9,FALSE)-IF(MONTH($C636)=4,$V$3,IF(MONTH($C636)=5,$V$4,IF(MONTH($C636)=6,$V$5,IF(MONTH($C636)=7,$V$6,"ERROR"))))-VLOOKUP($C636,COS!$B$8:$K$991,6,FALSE)/2,0))</f>
        <v>1500</v>
      </c>
      <c r="S636" s="26">
        <f t="shared" si="1022"/>
        <v>92.231404958677686</v>
      </c>
      <c r="T636" s="26">
        <f t="shared" si="1023"/>
        <v>166.98417901157347</v>
      </c>
      <c r="U636" s="26" t="str">
        <f>IF(VLOOKUP($C636,COS!$B$8:$I$991,8,FALSE)=1,"UWFE","IBU")</f>
        <v>UWFE</v>
      </c>
      <c r="V636" s="26">
        <f t="shared" ref="V636" si="1025">MIN(IF(IF($AA$3=2,AND(E636=1,G636=1,L636=1,L640=1,M636=1,U636="IBU"),AND(E636=1,G636=1,L636=1,L640=1,M636=1)),T636,0),I636)</f>
        <v>0</v>
      </c>
      <c r="W636" s="26"/>
      <c r="X636" s="26"/>
      <c r="Y636" s="26"/>
      <c r="Z636" s="26"/>
      <c r="AA636" s="26"/>
      <c r="AB636" s="33"/>
    </row>
    <row r="637" spans="1:28" x14ac:dyDescent="0.3">
      <c r="A637" s="32">
        <f>VLOOKUP(YEAR(C637),Flags!$A$13:$B$95,2,FALSE)</f>
        <v>5</v>
      </c>
      <c r="B637" s="24">
        <f t="shared" si="951"/>
        <v>1991</v>
      </c>
      <c r="C637" s="25">
        <v>33419</v>
      </c>
      <c r="D637" s="26">
        <f>VLOOKUP($C637,COS!$B$8:$H$991,3,FALSE)</f>
        <v>7646.2861328125</v>
      </c>
      <c r="E637" s="24">
        <f>IF(D637&gt;=IF(MONTH($C637)=4,$C$3,IF(MONTH($C637)=5,$C$4,IF(MONTH($C637)=6,$C$5,IF(MONTH($C637)=7,$C$6,"ERROR")))),1,0)</f>
        <v>0</v>
      </c>
      <c r="F637" s="26">
        <f>VLOOKUP($C637,COS!$B$8:$H$991,7,FALSE)</f>
        <v>53.892311096191406</v>
      </c>
      <c r="G637" s="24">
        <f>IF(F637&lt;=IF(MONTH($C637)=4,$F$3,IF(MONTH($C637)=5,$F$4,IF(MONTH($C637)=6,$F$5,IF(MONTH($C637)=7,$F$6,"ERROR")))),1,0)</f>
        <v>1</v>
      </c>
      <c r="H637" s="26">
        <f>IF(J637=1,D637-$C$5,0)</f>
        <v>0</v>
      </c>
      <c r="I637" s="26">
        <f t="shared" si="982"/>
        <v>0</v>
      </c>
      <c r="J637" s="24">
        <f t="shared" si="1017"/>
        <v>0</v>
      </c>
      <c r="K637" s="26">
        <f>VLOOKUP($C637,COS!$B$8:$H$991,2,FALSE)</f>
        <v>2234.704833984375</v>
      </c>
      <c r="L637" s="24">
        <f t="shared" si="944"/>
        <v>1</v>
      </c>
      <c r="M637" s="24">
        <f t="shared" si="945"/>
        <v>1</v>
      </c>
      <c r="N637" s="26">
        <f>VLOOKUP($C637,COS!$B$8:$H$991,5,FALSE)</f>
        <v>362.696044921875</v>
      </c>
      <c r="O637" s="26">
        <f t="shared" si="1020"/>
        <v>21.581913416838844</v>
      </c>
      <c r="P637" s="26">
        <f>VLOOKUP($C637,COS!$B$8:$H$991,6,FALSE)</f>
        <v>2380.910888671875</v>
      </c>
      <c r="Q637" s="26">
        <f t="shared" si="1021"/>
        <v>141.67403635072316</v>
      </c>
      <c r="R637" s="26">
        <f>MIN(IF(MONTH($C637)=4,$S$3,IF(MONTH($C637)=5,$S$4,IF(MONTH($C637)=6,$S$5,IF(MONTH($C637)=7,$S$6,"ERROR")))),MAX(VLOOKUP($C637,COS!$B$8:$K$991,10,FALSE)-IF(MONTH($C637)=4,$Y$3,IF(MONTH($C637)=5,$Y$4,IF(MONTH($C637)=6,$Y$5,IF(MONTH($C637)=7,$Y$6,"ERROR")))),0),MAX(VLOOKUP($C637,COS!$B$8:$K$991,9,FALSE)-IF(MONTH($C637)=4,$V$3,IF(MONTH($C637)=5,$V$4,IF(MONTH($C637)=6,$V$5,IF(MONTH($C637)=7,$V$6,"ERROR"))))-VLOOKUP($C637,COS!$B$8:$K$991,6,FALSE)/2,0))</f>
        <v>1289.97314453125</v>
      </c>
      <c r="S637" s="26">
        <f t="shared" si="1022"/>
        <v>76.758732567148769</v>
      </c>
      <c r="T637" s="26">
        <f t="shared" si="1023"/>
        <v>158.38670745092978</v>
      </c>
      <c r="U637" s="26" t="str">
        <f>IF(VLOOKUP($C637,COS!$B$8:$I$991,8,FALSE)=1,"UWFE","IBU")</f>
        <v>IBU</v>
      </c>
      <c r="V637" s="26">
        <f t="shared" ref="V637" si="1026">MIN(IF(IF($AA$3=2,AND(E637=1,G637=1,L637=1,L640=1,M637=1,U637="IBU"),AND(E637=1,G637=1,L637=1,L640=1,M637=1)),T637,0),I637)</f>
        <v>0</v>
      </c>
      <c r="W637" s="26"/>
      <c r="X637" s="26"/>
      <c r="Y637" s="26"/>
      <c r="Z637" s="26"/>
      <c r="AA637" s="26"/>
      <c r="AB637" s="33"/>
    </row>
    <row r="638" spans="1:28" x14ac:dyDescent="0.3">
      <c r="A638" s="32">
        <f>VLOOKUP(YEAR(C638),Flags!$A$13:$B$95,2,FALSE)</f>
        <v>5</v>
      </c>
      <c r="B638" s="24">
        <f t="shared" si="951"/>
        <v>1991</v>
      </c>
      <c r="C638" s="25">
        <v>33450</v>
      </c>
      <c r="D638" s="26">
        <f>VLOOKUP($C638,COS!$B$8:$H$991,3,FALSE)</f>
        <v>8667.65625</v>
      </c>
      <c r="E638" s="24">
        <f>IF(D638&gt;=IF(MONTH($C638)=4,$C$3,IF(MONTH($C638)=5,$C$4,IF(MONTH($C638)=6,$C$5,IF(MONTH($C638)=7,$C$6,"ERROR")))),1,0)</f>
        <v>0</v>
      </c>
      <c r="F638" s="26">
        <f>VLOOKUP($C638,COS!$B$8:$H$991,7,FALSE)</f>
        <v>56.067035675048828</v>
      </c>
      <c r="G638" s="24">
        <f>IF(F638&lt;=IF(MONTH($C638)=4,$F$3,IF(MONTH($C638)=5,$F$4,IF(MONTH($C638)=6,$F$5,IF(MONTH($C638)=7,$F$6,"ERROR")))),1,0)</f>
        <v>0</v>
      </c>
      <c r="H638" s="26">
        <f>IF(J638=1,D638-$C$6,0)</f>
        <v>0</v>
      </c>
      <c r="I638" s="26">
        <f t="shared" si="982"/>
        <v>0</v>
      </c>
      <c r="J638" s="24">
        <f t="shared" si="1017"/>
        <v>0</v>
      </c>
      <c r="K638" s="26">
        <f>VLOOKUP($C638,COS!$B$8:$H$991,2,FALSE)</f>
        <v>1917.2408447265625</v>
      </c>
      <c r="L638" s="24">
        <f t="shared" si="944"/>
        <v>1</v>
      </c>
      <c r="M638" s="24">
        <f t="shared" si="945"/>
        <v>1</v>
      </c>
      <c r="N638" s="26">
        <f>VLOOKUP($C638,COS!$B$8:$H$991,5,FALSE)</f>
        <v>424.0916748046875</v>
      </c>
      <c r="O638" s="26">
        <f t="shared" si="1020"/>
        <v>26.076380665676655</v>
      </c>
      <c r="P638" s="26">
        <f>VLOOKUP($C638,COS!$B$8:$H$991,6,FALSE)</f>
        <v>2281.4833984375</v>
      </c>
      <c r="Q638" s="26">
        <f t="shared" si="1021"/>
        <v>140.28294615185951</v>
      </c>
      <c r="R638" s="26">
        <f>MIN(IF(MONTH($C638)=4,$S$3,IF(MONTH($C638)=5,$S$4,IF(MONTH($C638)=6,$S$5,IF(MONTH($C638)=7,$S$6,"ERROR")))),MAX(VLOOKUP($C638,COS!$B$8:$K$991,10,FALSE)-IF(MONTH($C638)=4,$Y$3,IF(MONTH($C638)=5,$Y$4,IF(MONTH($C638)=6,$Y$5,IF(MONTH($C638)=7,$Y$6,"ERROR")))),0),MAX(VLOOKUP($C638,COS!$B$8:$K$991,9,FALSE)-IF(MONTH($C638)=4,$V$3,IF(MONTH($C638)=5,$V$4,IF(MONTH($C638)=6,$V$5,IF(MONTH($C638)=7,$V$6,"ERROR"))))-VLOOKUP($C638,COS!$B$8:$K$991,6,FALSE)/2,0))</f>
        <v>1500</v>
      </c>
      <c r="S638" s="26">
        <f t="shared" si="1022"/>
        <v>92.231404958677686</v>
      </c>
      <c r="T638" s="26">
        <f t="shared" si="1023"/>
        <v>175.41106836744575</v>
      </c>
      <c r="U638" s="26" t="str">
        <f>IF(VLOOKUP($C638,COS!$B$8:$I$991,8,FALSE)=1,"UWFE","IBU")</f>
        <v>IBU</v>
      </c>
      <c r="V638" s="26">
        <f t="shared" ref="V638" si="1027">MIN(IF(IF($AA$3=2,AND(E638=1,G638=1,L638=1,L640=1,M638=1,U638="IBU"),AND(E638=1,G638=1,L638=1,L640=1,M638=1)),T638,0),I638)</f>
        <v>0</v>
      </c>
      <c r="W638" s="26"/>
      <c r="X638" s="26"/>
      <c r="Y638" s="26"/>
      <c r="Z638" s="26"/>
      <c r="AA638" s="26"/>
      <c r="AB638" s="33"/>
    </row>
    <row r="639" spans="1:28" x14ac:dyDescent="0.3">
      <c r="A639" s="32">
        <f>VLOOKUP(YEAR(C639),Flags!$A$13:$B$95,2,FALSE)</f>
        <v>5</v>
      </c>
      <c r="B639" s="24">
        <f t="shared" si="951"/>
        <v>1991</v>
      </c>
      <c r="C639" s="25">
        <v>33481</v>
      </c>
      <c r="D639" s="26"/>
      <c r="E639" s="24"/>
      <c r="F639" s="26"/>
      <c r="G639" s="24"/>
      <c r="H639" s="24"/>
      <c r="I639" s="26"/>
      <c r="J639" s="24"/>
      <c r="K639" s="26"/>
      <c r="L639" s="24"/>
      <c r="M639" s="24"/>
      <c r="N639" s="26"/>
      <c r="O639" s="26"/>
      <c r="P639" s="26"/>
      <c r="Q639" s="26"/>
      <c r="R639" s="26"/>
      <c r="S639" s="26"/>
      <c r="T639" s="26"/>
      <c r="U639" s="26"/>
      <c r="V639" s="26"/>
      <c r="W639" s="26">
        <f>MAX($C$7-VLOOKUP($C639,COS!$B$8:$H$991,3,FALSE),0)</f>
        <v>93270.849609375</v>
      </c>
      <c r="X639" s="26">
        <f t="shared" si="972"/>
        <v>5735.0010007747933</v>
      </c>
      <c r="Y639" s="26">
        <f>VLOOKUP($C639,COS!$B$8:$H$991,4,FALSE)</f>
        <v>3158.24462890625</v>
      </c>
      <c r="Z639" s="26">
        <f t="shared" si="973"/>
        <v>194.19289288481406</v>
      </c>
      <c r="AA639" s="26">
        <f t="shared" ref="AA639:AA643" si="1028">MIN(W639,Y639)</f>
        <v>3158.24462890625</v>
      </c>
      <c r="AB639" s="33">
        <f t="shared" ref="AB639" si="1029">AA639*DAY($C639)*86400/43560/1000*IF(MONTH($C639)=8,$P$3,IF(MONTH($C639)=9,$P$4,IF(MONTH($C639)=10,$P$5,IF(MONTH($C639)=11,$P$6,IF(MONTH($C639)=12,$P$7,NA())))))</f>
        <v>194.19289288481406</v>
      </c>
    </row>
    <row r="640" spans="1:28" x14ac:dyDescent="0.3">
      <c r="A640" s="32">
        <f>VLOOKUP(YEAR(C640),Flags!$A$13:$B$95,2,FALSE)</f>
        <v>5</v>
      </c>
      <c r="B640" s="24">
        <f t="shared" si="951"/>
        <v>1991</v>
      </c>
      <c r="C640" s="25">
        <v>33511</v>
      </c>
      <c r="D640" s="26"/>
      <c r="E640" s="24"/>
      <c r="F640" s="26"/>
      <c r="G640" s="24"/>
      <c r="H640" s="24"/>
      <c r="I640" s="26"/>
      <c r="J640" s="24"/>
      <c r="K640" s="26">
        <f>VLOOKUP($C640,COS!$B$8:$H$991,2,FALSE)</f>
        <v>1656.5145263671875</v>
      </c>
      <c r="L640" s="24">
        <f t="shared" ref="L640" si="1030">IF(AND(K640&gt;$I$7,K640&lt;$I$8),1,0)</f>
        <v>1</v>
      </c>
      <c r="M640" s="24"/>
      <c r="N640" s="26"/>
      <c r="O640" s="26"/>
      <c r="P640" s="26"/>
      <c r="Q640" s="26"/>
      <c r="R640" s="26"/>
      <c r="S640" s="26"/>
      <c r="T640" s="26"/>
      <c r="U640" s="26"/>
      <c r="V640" s="26"/>
      <c r="W640" s="26">
        <f>MAX($C$8-VLOOKUP($C640,COS!$B$8:$H$991,3,FALSE),0)</f>
        <v>95645.72998046875</v>
      </c>
      <c r="X640" s="26">
        <f t="shared" si="972"/>
        <v>5691.3161641270653</v>
      </c>
      <c r="Y640" s="26">
        <f>VLOOKUP($C640,COS!$B$8:$H$991,4,FALSE)</f>
        <v>2165.95703125</v>
      </c>
      <c r="Z640" s="26">
        <f t="shared" si="973"/>
        <v>128.88339359504133</v>
      </c>
      <c r="AA640" s="26">
        <f t="shared" si="1028"/>
        <v>2165.95703125</v>
      </c>
      <c r="AB640" s="33">
        <f t="shared" si="956"/>
        <v>128.88339359504133</v>
      </c>
    </row>
    <row r="641" spans="1:28" x14ac:dyDescent="0.3">
      <c r="A641" s="32">
        <f>VLOOKUP(YEAR(C641),Flags!$A$13:$B$95,2,FALSE)</f>
        <v>5</v>
      </c>
      <c r="B641" s="24">
        <f t="shared" si="951"/>
        <v>1991</v>
      </c>
      <c r="C641" s="25">
        <v>33542</v>
      </c>
      <c r="D641" s="26"/>
      <c r="E641" s="24"/>
      <c r="F641" s="26"/>
      <c r="G641" s="26"/>
      <c r="H641" s="26"/>
      <c r="I641" s="26"/>
      <c r="J641" s="26"/>
      <c r="K641" s="26"/>
      <c r="L641" s="24"/>
      <c r="M641" s="24"/>
      <c r="N641" s="26"/>
      <c r="O641" s="26"/>
      <c r="P641" s="26"/>
      <c r="Q641" s="26"/>
      <c r="R641" s="26"/>
      <c r="S641" s="26"/>
      <c r="T641" s="26"/>
      <c r="U641" s="26"/>
      <c r="V641" s="26"/>
      <c r="W641" s="26">
        <f>MAX($C$9-VLOOKUP($C641,COS!$B$8:$H$991,3,FALSE),0)</f>
        <v>94862.1748046875</v>
      </c>
      <c r="X641" s="26">
        <f t="shared" si="972"/>
        <v>5832.8477731146695</v>
      </c>
      <c r="Y641" s="26">
        <f>VLOOKUP($C641,COS!$B$8:$H$991,4,FALSE)</f>
        <v>1365.7271728515625</v>
      </c>
      <c r="Z641" s="26">
        <f t="shared" si="973"/>
        <v>83.975290628228308</v>
      </c>
      <c r="AA641" s="26">
        <f t="shared" si="1028"/>
        <v>1365.7271728515625</v>
      </c>
      <c r="AB641" s="33">
        <f t="shared" si="956"/>
        <v>83.975290628228308</v>
      </c>
    </row>
    <row r="642" spans="1:28" x14ac:dyDescent="0.3">
      <c r="A642" s="32">
        <f>VLOOKUP(YEAR(C642),Flags!$A$13:$B$95,2,FALSE)</f>
        <v>5</v>
      </c>
      <c r="B642" s="24">
        <f t="shared" si="951"/>
        <v>1991</v>
      </c>
      <c r="C642" s="25">
        <v>33572</v>
      </c>
      <c r="D642" s="26"/>
      <c r="E642" s="24"/>
      <c r="F642" s="26"/>
      <c r="G642" s="26"/>
      <c r="H642" s="26"/>
      <c r="I642" s="26"/>
      <c r="J642" s="26"/>
      <c r="K642" s="26"/>
      <c r="L642" s="24"/>
      <c r="M642" s="24"/>
      <c r="N642" s="26"/>
      <c r="O642" s="26"/>
      <c r="P642" s="26"/>
      <c r="Q642" s="26"/>
      <c r="R642" s="26"/>
      <c r="S642" s="26"/>
      <c r="T642" s="26"/>
      <c r="U642" s="26"/>
      <c r="V642" s="26"/>
      <c r="W642" s="26">
        <f>MAX($C$10-VLOOKUP($C642,COS!$B$8:$H$991,3,FALSE),0)</f>
        <v>94541.99853515625</v>
      </c>
      <c r="X642" s="26">
        <f t="shared" si="972"/>
        <v>5625.6395822572313</v>
      </c>
      <c r="Y642" s="26">
        <f>VLOOKUP($C642,COS!$B$8:$H$991,4,FALSE)</f>
        <v>1633.0859375</v>
      </c>
      <c r="Z642" s="26">
        <f t="shared" si="973"/>
        <v>97.175361570247929</v>
      </c>
      <c r="AA642" s="26">
        <f t="shared" si="1028"/>
        <v>1633.0859375</v>
      </c>
      <c r="AB642" s="33">
        <f t="shared" si="956"/>
        <v>97.175361570247929</v>
      </c>
    </row>
    <row r="643" spans="1:28" x14ac:dyDescent="0.3">
      <c r="A643" s="34">
        <f>VLOOKUP(YEAR(C643),Flags!$A$13:$B$95,2,FALSE)</f>
        <v>5</v>
      </c>
      <c r="B643" s="35">
        <f t="shared" si="951"/>
        <v>1991</v>
      </c>
      <c r="C643" s="36">
        <v>33603</v>
      </c>
      <c r="D643" s="37"/>
      <c r="E643" s="35"/>
      <c r="F643" s="37"/>
      <c r="G643" s="37"/>
      <c r="H643" s="37"/>
      <c r="I643" s="37"/>
      <c r="J643" s="37"/>
      <c r="K643" s="37"/>
      <c r="L643" s="35"/>
      <c r="M643" s="35"/>
      <c r="N643" s="37"/>
      <c r="O643" s="37"/>
      <c r="P643" s="37"/>
      <c r="Q643" s="37"/>
      <c r="R643" s="37"/>
      <c r="S643" s="37"/>
      <c r="T643" s="37"/>
      <c r="U643" s="37"/>
      <c r="V643" s="37"/>
      <c r="W643" s="37">
        <f>MAX($C$11-VLOOKUP($C643,COS!$B$8:$H$991,3,FALSE),0)</f>
        <v>96749</v>
      </c>
      <c r="X643" s="37">
        <f t="shared" si="972"/>
        <v>5948.8641322314052</v>
      </c>
      <c r="Y643" s="37">
        <f>VLOOKUP($C643,COS!$B$8:$H$991,4,FALSE)</f>
        <v>3048.85693359375</v>
      </c>
      <c r="Z643" s="37">
        <f t="shared" si="973"/>
        <v>187.46690566890496</v>
      </c>
      <c r="AA643" s="37">
        <f t="shared" si="1028"/>
        <v>3048.85693359375</v>
      </c>
      <c r="AB643" s="38">
        <f t="shared" si="956"/>
        <v>187.46690566890496</v>
      </c>
    </row>
    <row r="644" spans="1:28" x14ac:dyDescent="0.3">
      <c r="A644" s="27">
        <f>VLOOKUP(YEAR(C644),Flags!$A$13:$B$95,2,FALSE)</f>
        <v>5</v>
      </c>
      <c r="B644" s="28">
        <f t="shared" si="951"/>
        <v>1992</v>
      </c>
      <c r="C644" s="29">
        <v>33724</v>
      </c>
      <c r="D644" s="30">
        <f>VLOOKUP($C644,COS!$B$8:$H$991,3,FALSE)</f>
        <v>3250</v>
      </c>
      <c r="E644" s="28">
        <f>IF(D644&gt;=IF(MONTH($C644)=4,$C$3,IF(MONTH($C644)=5,$C$4,IF(MONTH($C644)=6,$C$5,IF(MONTH($C644)=7,$C$6,"ERROR")))),1,0)</f>
        <v>0</v>
      </c>
      <c r="F644" s="30">
        <f>VLOOKUP($C644,COS!$B$8:$H$991,7,FALSE)</f>
        <v>52.492954254150391</v>
      </c>
      <c r="G644" s="28">
        <f>IF(F644&lt;=IF(MONTH($C644)=4,$F$3,IF(MONTH($C644)=5,$F$4,IF(MONTH($C644)=6,$F$5,IF(MONTH($C644)=7,$F$6,"ERROR")))),1,0)</f>
        <v>1</v>
      </c>
      <c r="H644" s="30">
        <f>IF(J644=1,D644-$C$3,0)</f>
        <v>0</v>
      </c>
      <c r="I644" s="30">
        <f t="shared" si="982"/>
        <v>0</v>
      </c>
      <c r="J644" s="28">
        <f t="shared" ref="J644:J647" si="1031">IF(AND(E644=1,G644=1),1,0)</f>
        <v>0</v>
      </c>
      <c r="K644" s="30">
        <f>VLOOKUP($C644,COS!$B$8:$H$991,2,FALSE)</f>
        <v>2746.148681640625</v>
      </c>
      <c r="L644" s="28">
        <f t="shared" ref="L644" si="1032">IF(K644&lt;=IF(MONTH($C644)=4,$I$3,IF(MONTH($C644)=5,$I$4,IF(MONTH($C644)=6,$I$5,IF(MONTH($C644)=7,$I$6,"ERROR")))),1,0)</f>
        <v>1</v>
      </c>
      <c r="M644" s="28">
        <f t="shared" ref="M644" si="1033">VLOOKUP($A644,$L$3:$M$7,2,FALSE)</f>
        <v>1</v>
      </c>
      <c r="N644" s="30">
        <f>VLOOKUP($C644,COS!$B$8:$H$991,5,FALSE)</f>
        <v>32.692440032958984</v>
      </c>
      <c r="O644" s="30">
        <f t="shared" ref="O644:O647" si="1034">N644*DAY($C644)*86400/43560/1000</f>
        <v>1.9453352746884685</v>
      </c>
      <c r="P644" s="30">
        <f>VLOOKUP($C644,COS!$B$8:$H$991,6,FALSE)</f>
        <v>421.25204467773438</v>
      </c>
      <c r="Q644" s="30">
        <f t="shared" ref="Q644:Q647" si="1035">P644*DAY($C644)*86400/43560/1000</f>
        <v>25.066237369253617</v>
      </c>
      <c r="R644" s="30">
        <f>MIN(IF(MONTH($C644)=4,$S$3,IF(MONTH($C644)=5,$S$4,IF(MONTH($C644)=6,$S$5,IF(MONTH($C644)=7,$S$6,"ERROR")))),MAX(VLOOKUP($C644,COS!$B$8:$K$991,10,FALSE)-IF(MONTH($C644)=4,$Y$3,IF(MONTH($C644)=5,$Y$4,IF(MONTH($C644)=6,$Y$5,IF(MONTH($C644)=7,$Y$6,"ERROR")))),0),MAX(VLOOKUP($C644,COS!$B$8:$K$991,9,FALSE)-IF(MONTH($C644)=4,$V$3,IF(MONTH($C644)=5,$V$4,IF(MONTH($C644)=6,$V$5,IF(MONTH($C644)=7,$V$6,"ERROR"))))-VLOOKUP($C644,COS!$B$8:$K$991,6,FALSE)/2,0))</f>
        <v>1500</v>
      </c>
      <c r="S644" s="30">
        <f t="shared" ref="S644:S647" si="1036">R644*DAY($C644)*86400/43560/1000</f>
        <v>89.256198347107429</v>
      </c>
      <c r="T644" s="30">
        <f t="shared" ref="T644:T647" si="1037">(O644+Q644)/2+S644</f>
        <v>102.76198466907847</v>
      </c>
      <c r="U644" s="30" t="str">
        <f>IF(VLOOKUP($C644,COS!$B$8:$I$991,8,FALSE)=1,"UWFE","IBU")</f>
        <v>UWFE</v>
      </c>
      <c r="V644" s="30">
        <f t="shared" ref="V644" si="1038">MIN(IF(IF($AA$3=2,AND(E644=1,G644=1,L644=1,L649=1,M644=1,U644="IBU"),AND(E644=1,G644=1,L644=1,L649=1,M644=1)),T644,0),I644)</f>
        <v>0</v>
      </c>
      <c r="W644" s="30"/>
      <c r="X644" s="30"/>
      <c r="Y644" s="30"/>
      <c r="Z644" s="30"/>
      <c r="AA644" s="30"/>
      <c r="AB644" s="31"/>
    </row>
    <row r="645" spans="1:28" x14ac:dyDescent="0.3">
      <c r="A645" s="32">
        <f>VLOOKUP(YEAR(C645),Flags!$A$13:$B$95,2,FALSE)</f>
        <v>5</v>
      </c>
      <c r="B645" s="24">
        <f t="shared" si="951"/>
        <v>1992</v>
      </c>
      <c r="C645" s="25">
        <v>33755</v>
      </c>
      <c r="D645" s="26">
        <f>VLOOKUP($C645,COS!$B$8:$H$991,3,FALSE)</f>
        <v>8644.7744140625</v>
      </c>
      <c r="E645" s="24">
        <f>IF(D645&gt;=IF(MONTH($C645)=4,$C$3,IF(MONTH($C645)=5,$C$4,IF(MONTH($C645)=6,$C$5,IF(MONTH($C645)=7,$C$6,"ERROR")))),1,0)</f>
        <v>1</v>
      </c>
      <c r="F645" s="26">
        <f>VLOOKUP($C645,COS!$B$8:$H$991,7,FALSE)</f>
        <v>52.123382568359375</v>
      </c>
      <c r="G645" s="24">
        <f>IF(F645&lt;=IF(MONTH($C645)=4,$F$3,IF(MONTH($C645)=5,$F$4,IF(MONTH($C645)=6,$F$5,IF(MONTH($C645)=7,$F$6,"ERROR")))),1,0)</f>
        <v>1</v>
      </c>
      <c r="H645" s="26">
        <f>IF(J645=1,D645-$C$4,0)</f>
        <v>2644.7744140625</v>
      </c>
      <c r="I645" s="26">
        <f t="shared" si="982"/>
        <v>162.62084000516529</v>
      </c>
      <c r="J645" s="24">
        <f t="shared" si="1031"/>
        <v>1</v>
      </c>
      <c r="K645" s="26">
        <f>VLOOKUP($C645,COS!$B$8:$H$991,2,FALSE)</f>
        <v>2460.489501953125</v>
      </c>
      <c r="L645" s="24">
        <f t="shared" si="944"/>
        <v>1</v>
      </c>
      <c r="M645" s="24">
        <f t="shared" si="945"/>
        <v>1</v>
      </c>
      <c r="N645" s="26">
        <f>VLOOKUP($C645,COS!$B$8:$H$991,5,FALSE)</f>
        <v>10.813337326049805</v>
      </c>
      <c r="O645" s="26">
        <f t="shared" si="1034"/>
        <v>0.66488619591578968</v>
      </c>
      <c r="P645" s="26">
        <f>VLOOKUP($C645,COS!$B$8:$H$991,6,FALSE)</f>
        <v>2317.093994140625</v>
      </c>
      <c r="Q645" s="26">
        <f t="shared" si="1035"/>
        <v>142.47255633393593</v>
      </c>
      <c r="R645" s="26">
        <f>MIN(IF(MONTH($C645)=4,$S$3,IF(MONTH($C645)=5,$S$4,IF(MONTH($C645)=6,$S$5,IF(MONTH($C645)=7,$S$6,"ERROR")))),MAX(VLOOKUP($C645,COS!$B$8:$K$991,10,FALSE)-IF(MONTH($C645)=4,$Y$3,IF(MONTH($C645)=5,$Y$4,IF(MONTH($C645)=6,$Y$5,IF(MONTH($C645)=7,$Y$6,"ERROR")))),0),MAX(VLOOKUP($C645,COS!$B$8:$K$991,9,FALSE)-IF(MONTH($C645)=4,$V$3,IF(MONTH($C645)=5,$V$4,IF(MONTH($C645)=6,$V$5,IF(MONTH($C645)=7,$V$6,"ERROR"))))-VLOOKUP($C645,COS!$B$8:$K$991,6,FALSE)/2,0))</f>
        <v>1500</v>
      </c>
      <c r="S645" s="26">
        <f t="shared" si="1036"/>
        <v>92.231404958677686</v>
      </c>
      <c r="T645" s="26">
        <f t="shared" si="1037"/>
        <v>163.80012622360354</v>
      </c>
      <c r="U645" s="26" t="str">
        <f>IF(VLOOKUP($C645,COS!$B$8:$I$991,8,FALSE)=1,"UWFE","IBU")</f>
        <v>IBU</v>
      </c>
      <c r="V645" s="26">
        <f t="shared" ref="V645" si="1039">MIN(IF(IF($AA$3=2,AND(E645=1,G645=1,L645=1,L649=1,M645=1,U645="IBU"),AND(E645=1,G645=1,L645=1,L649=1,M645=1)),T645,0),I645)</f>
        <v>162.62084000516529</v>
      </c>
      <c r="W645" s="26"/>
      <c r="X645" s="26"/>
      <c r="Y645" s="26"/>
      <c r="Z645" s="26"/>
      <c r="AA645" s="26"/>
      <c r="AB645" s="33"/>
    </row>
    <row r="646" spans="1:28" x14ac:dyDescent="0.3">
      <c r="A646" s="32">
        <f>VLOOKUP(YEAR(C646),Flags!$A$13:$B$95,2,FALSE)</f>
        <v>5</v>
      </c>
      <c r="B646" s="24">
        <f t="shared" si="951"/>
        <v>1992</v>
      </c>
      <c r="C646" s="25">
        <v>33785</v>
      </c>
      <c r="D646" s="26">
        <f>VLOOKUP($C646,COS!$B$8:$H$991,3,FALSE)</f>
        <v>10366.1689453125</v>
      </c>
      <c r="E646" s="24">
        <f>IF(D646&gt;=IF(MONTH($C646)=4,$C$3,IF(MONTH($C646)=5,$C$4,IF(MONTH($C646)=6,$C$5,IF(MONTH($C646)=7,$C$6,"ERROR")))),1,0)</f>
        <v>1</v>
      </c>
      <c r="F646" s="26">
        <f>VLOOKUP($C646,COS!$B$8:$H$991,7,FALSE)</f>
        <v>53.589008331298828</v>
      </c>
      <c r="G646" s="24">
        <f>IF(F646&lt;=IF(MONTH($C646)=4,$F$3,IF(MONTH($C646)=5,$F$4,IF(MONTH($C646)=6,$F$5,IF(MONTH($C646)=7,$F$6,"ERROR")))),1,0)</f>
        <v>1</v>
      </c>
      <c r="H646" s="26">
        <f>IF(J646=1,D646-$C$5,0)</f>
        <v>366.1689453125</v>
      </c>
      <c r="I646" s="26">
        <f t="shared" si="982"/>
        <v>21.788565340909091</v>
      </c>
      <c r="J646" s="24">
        <f t="shared" si="1031"/>
        <v>1</v>
      </c>
      <c r="K646" s="26">
        <f>VLOOKUP($C646,COS!$B$8:$H$991,2,FALSE)</f>
        <v>2027.753173828125</v>
      </c>
      <c r="L646" s="24">
        <f t="shared" si="944"/>
        <v>1</v>
      </c>
      <c r="M646" s="24">
        <f t="shared" si="945"/>
        <v>1</v>
      </c>
      <c r="N646" s="26">
        <f>VLOOKUP($C646,COS!$B$8:$H$991,5,FALSE)</f>
        <v>98.261642456054688</v>
      </c>
      <c r="O646" s="26">
        <f t="shared" si="1034"/>
        <v>5.8469737659801142</v>
      </c>
      <c r="P646" s="26">
        <f>VLOOKUP($C646,COS!$B$8:$H$991,6,FALSE)</f>
        <v>2327.949951171875</v>
      </c>
      <c r="Q646" s="26">
        <f t="shared" si="1035"/>
        <v>138.52264172262394</v>
      </c>
      <c r="R646" s="26">
        <f>MIN(IF(MONTH($C646)=4,$S$3,IF(MONTH($C646)=5,$S$4,IF(MONTH($C646)=6,$S$5,IF(MONTH($C646)=7,$S$6,"ERROR")))),MAX(VLOOKUP($C646,COS!$B$8:$K$991,10,FALSE)-IF(MONTH($C646)=4,$Y$3,IF(MONTH($C646)=5,$Y$4,IF(MONTH($C646)=6,$Y$5,IF(MONTH($C646)=7,$Y$6,"ERROR")))),0),MAX(VLOOKUP($C646,COS!$B$8:$K$991,9,FALSE)-IF(MONTH($C646)=4,$V$3,IF(MONTH($C646)=5,$V$4,IF(MONTH($C646)=6,$V$5,IF(MONTH($C646)=7,$V$6,"ERROR"))))-VLOOKUP($C646,COS!$B$8:$K$991,6,FALSE)/2,0))</f>
        <v>1500</v>
      </c>
      <c r="S646" s="26">
        <f t="shared" si="1036"/>
        <v>89.256198347107429</v>
      </c>
      <c r="T646" s="26">
        <f t="shared" si="1037"/>
        <v>161.44100609140946</v>
      </c>
      <c r="U646" s="26" t="str">
        <f>IF(VLOOKUP($C646,COS!$B$8:$I$991,8,FALSE)=1,"UWFE","IBU")</f>
        <v>IBU</v>
      </c>
      <c r="V646" s="26">
        <f t="shared" ref="V646" si="1040">MIN(IF(IF($AA$3=2,AND(E646=1,G646=1,L646=1,L649=1,M646=1,U646="IBU"),AND(E646=1,G646=1,L646=1,L649=1,M646=1)),T646,0),I646)</f>
        <v>21.788565340909091</v>
      </c>
      <c r="W646" s="26"/>
      <c r="X646" s="26"/>
      <c r="Y646" s="26"/>
      <c r="Z646" s="26"/>
      <c r="AA646" s="26"/>
      <c r="AB646" s="33"/>
    </row>
    <row r="647" spans="1:28" x14ac:dyDescent="0.3">
      <c r="A647" s="32">
        <f>VLOOKUP(YEAR(C647),Flags!$A$13:$B$95,2,FALSE)</f>
        <v>5</v>
      </c>
      <c r="B647" s="24">
        <f t="shared" si="951"/>
        <v>1992</v>
      </c>
      <c r="C647" s="25">
        <v>33816</v>
      </c>
      <c r="D647" s="26">
        <f>VLOOKUP($C647,COS!$B$8:$H$991,3,FALSE)</f>
        <v>9934.8115234375</v>
      </c>
      <c r="E647" s="24">
        <f>IF(D647&gt;=IF(MONTH($C647)=4,$C$3,IF(MONTH($C647)=5,$C$4,IF(MONTH($C647)=6,$C$5,IF(MONTH($C647)=7,$C$6,"ERROR")))),1,0)</f>
        <v>0</v>
      </c>
      <c r="F647" s="26">
        <f>VLOOKUP($C647,COS!$B$8:$H$991,7,FALSE)</f>
        <v>55.741245269775391</v>
      </c>
      <c r="G647" s="24">
        <f>IF(F647&lt;=IF(MONTH($C647)=4,$F$3,IF(MONTH($C647)=5,$F$4,IF(MONTH($C647)=6,$F$5,IF(MONTH($C647)=7,$F$6,"ERROR")))),1,0)</f>
        <v>0</v>
      </c>
      <c r="H647" s="26">
        <f>IF(J647=1,D647-$C$6,0)</f>
        <v>0</v>
      </c>
      <c r="I647" s="26">
        <f t="shared" si="982"/>
        <v>0</v>
      </c>
      <c r="J647" s="24">
        <f t="shared" si="1031"/>
        <v>0</v>
      </c>
      <c r="K647" s="26">
        <f>VLOOKUP($C647,COS!$B$8:$H$991,2,FALSE)</f>
        <v>1648.2286376953125</v>
      </c>
      <c r="L647" s="24">
        <f t="shared" si="944"/>
        <v>1</v>
      </c>
      <c r="M647" s="24">
        <f t="shared" si="945"/>
        <v>1</v>
      </c>
      <c r="N647" s="26">
        <f>VLOOKUP($C647,COS!$B$8:$H$991,5,FALSE)</f>
        <v>123.65061187744141</v>
      </c>
      <c r="O647" s="26">
        <f t="shared" si="1034"/>
        <v>7.6029797716377194</v>
      </c>
      <c r="P647" s="26">
        <f>VLOOKUP($C647,COS!$B$8:$H$991,6,FALSE)</f>
        <v>2316.5048828125</v>
      </c>
      <c r="Q647" s="26">
        <f t="shared" si="1035"/>
        <v>142.43633329028924</v>
      </c>
      <c r="R647" s="26">
        <f>MIN(IF(MONTH($C647)=4,$S$3,IF(MONTH($C647)=5,$S$4,IF(MONTH($C647)=6,$S$5,IF(MONTH($C647)=7,$S$6,"ERROR")))),MAX(VLOOKUP($C647,COS!$B$8:$K$991,10,FALSE)-IF(MONTH($C647)=4,$Y$3,IF(MONTH($C647)=5,$Y$4,IF(MONTH($C647)=6,$Y$5,IF(MONTH($C647)=7,$Y$6,"ERROR")))),0),MAX(VLOOKUP($C647,COS!$B$8:$K$991,9,FALSE)-IF(MONTH($C647)=4,$V$3,IF(MONTH($C647)=5,$V$4,IF(MONTH($C647)=6,$V$5,IF(MONTH($C647)=7,$V$6,"ERROR"))))-VLOOKUP($C647,COS!$B$8:$K$991,6,FALSE)/2,0))</f>
        <v>1500</v>
      </c>
      <c r="S647" s="26">
        <f t="shared" si="1036"/>
        <v>92.231404958677686</v>
      </c>
      <c r="T647" s="26">
        <f t="shared" si="1037"/>
        <v>167.25106148964116</v>
      </c>
      <c r="U647" s="26" t="str">
        <f>IF(VLOOKUP($C647,COS!$B$8:$I$991,8,FALSE)=1,"UWFE","IBU")</f>
        <v>IBU</v>
      </c>
      <c r="V647" s="26">
        <f t="shared" ref="V647" si="1041">MIN(IF(IF($AA$3=2,AND(E647=1,G647=1,L647=1,L649=1,M647=1,U647="IBU"),AND(E647=1,G647=1,L647=1,L649=1,M647=1)),T647,0),I647)</f>
        <v>0</v>
      </c>
      <c r="W647" s="26"/>
      <c r="X647" s="26"/>
      <c r="Y647" s="26"/>
      <c r="Z647" s="26"/>
      <c r="AA647" s="26"/>
      <c r="AB647" s="33"/>
    </row>
    <row r="648" spans="1:28" x14ac:dyDescent="0.3">
      <c r="A648" s="32">
        <f>VLOOKUP(YEAR(C648),Flags!$A$13:$B$95,2,FALSE)</f>
        <v>5</v>
      </c>
      <c r="B648" s="24">
        <f t="shared" si="951"/>
        <v>1992</v>
      </c>
      <c r="C648" s="25">
        <v>33847</v>
      </c>
      <c r="D648" s="26"/>
      <c r="E648" s="24"/>
      <c r="F648" s="26"/>
      <c r="G648" s="24"/>
      <c r="H648" s="24"/>
      <c r="I648" s="26"/>
      <c r="J648" s="24"/>
      <c r="K648" s="26"/>
      <c r="L648" s="24"/>
      <c r="M648" s="24"/>
      <c r="N648" s="26"/>
      <c r="O648" s="26"/>
      <c r="P648" s="26"/>
      <c r="Q648" s="26"/>
      <c r="R648" s="26"/>
      <c r="S648" s="26"/>
      <c r="T648" s="26"/>
      <c r="U648" s="26"/>
      <c r="V648" s="26"/>
      <c r="W648" s="26">
        <f>MAX($C$7-VLOOKUP($C648,COS!$B$8:$H$991,3,FALSE),0)</f>
        <v>92619.11181640625</v>
      </c>
      <c r="X648" s="26">
        <f t="shared" si="972"/>
        <v>5694.9272059013438</v>
      </c>
      <c r="Y648" s="26">
        <f>VLOOKUP($C648,COS!$B$8:$H$991,4,FALSE)</f>
        <v>2159.716552734375</v>
      </c>
      <c r="Z648" s="26">
        <f t="shared" si="973"/>
        <v>132.79579464746902</v>
      </c>
      <c r="AA648" s="26">
        <f t="shared" ref="AA648:AA652" si="1042">MIN(W648,Y648)</f>
        <v>2159.716552734375</v>
      </c>
      <c r="AB648" s="33">
        <f t="shared" ref="AB648" si="1043">AA648*DAY($C648)*86400/43560/1000*IF(MONTH($C648)=8,$P$3,IF(MONTH($C648)=9,$P$4,IF(MONTH($C648)=10,$P$5,IF(MONTH($C648)=11,$P$6,IF(MONTH($C648)=12,$P$7,NA())))))</f>
        <v>132.79579464746902</v>
      </c>
    </row>
    <row r="649" spans="1:28" x14ac:dyDescent="0.3">
      <c r="A649" s="32">
        <f>VLOOKUP(YEAR(C649),Flags!$A$13:$B$95,2,FALSE)</f>
        <v>5</v>
      </c>
      <c r="B649" s="24">
        <f t="shared" si="951"/>
        <v>1992</v>
      </c>
      <c r="C649" s="25">
        <v>33877</v>
      </c>
      <c r="D649" s="26"/>
      <c r="E649" s="24"/>
      <c r="F649" s="26"/>
      <c r="G649" s="24"/>
      <c r="H649" s="24"/>
      <c r="I649" s="26"/>
      <c r="J649" s="24"/>
      <c r="K649" s="26">
        <f>VLOOKUP($C649,COS!$B$8:$H$991,2,FALSE)</f>
        <v>1352.76123046875</v>
      </c>
      <c r="L649" s="24">
        <f t="shared" ref="L649" si="1044">IF(AND(K649&gt;$I$7,K649&lt;$I$8),1,0)</f>
        <v>1</v>
      </c>
      <c r="M649" s="24"/>
      <c r="N649" s="26"/>
      <c r="O649" s="26"/>
      <c r="P649" s="26"/>
      <c r="Q649" s="26"/>
      <c r="R649" s="26"/>
      <c r="S649" s="26"/>
      <c r="T649" s="26"/>
      <c r="U649" s="26"/>
      <c r="V649" s="26"/>
      <c r="W649" s="26">
        <f>MAX($C$8-VLOOKUP($C649,COS!$B$8:$H$991,3,FALSE),0)</f>
        <v>95768.34130859375</v>
      </c>
      <c r="X649" s="26">
        <f t="shared" si="972"/>
        <v>5698.6120448088841</v>
      </c>
      <c r="Y649" s="26">
        <f>VLOOKUP($C649,COS!$B$8:$H$991,4,FALSE)</f>
        <v>1930.2186279296875</v>
      </c>
      <c r="Z649" s="26">
        <f t="shared" si="973"/>
        <v>114.85598447184918</v>
      </c>
      <c r="AA649" s="26">
        <f t="shared" si="1042"/>
        <v>1930.2186279296875</v>
      </c>
      <c r="AB649" s="33">
        <f t="shared" si="956"/>
        <v>114.85598447184918</v>
      </c>
    </row>
    <row r="650" spans="1:28" x14ac:dyDescent="0.3">
      <c r="A650" s="32">
        <f>VLOOKUP(YEAR(C650),Flags!$A$13:$B$95,2,FALSE)</f>
        <v>5</v>
      </c>
      <c r="B650" s="24">
        <f t="shared" si="951"/>
        <v>1992</v>
      </c>
      <c r="C650" s="25">
        <v>33908</v>
      </c>
      <c r="D650" s="26"/>
      <c r="E650" s="24"/>
      <c r="F650" s="26"/>
      <c r="G650" s="26"/>
      <c r="H650" s="26"/>
      <c r="I650" s="26"/>
      <c r="J650" s="26"/>
      <c r="K650" s="26"/>
      <c r="L650" s="24"/>
      <c r="M650" s="24"/>
      <c r="N650" s="26"/>
      <c r="O650" s="26"/>
      <c r="P650" s="26"/>
      <c r="Q650" s="26"/>
      <c r="R650" s="26"/>
      <c r="S650" s="26"/>
      <c r="T650" s="26"/>
      <c r="U650" s="26"/>
      <c r="V650" s="26"/>
      <c r="W650" s="26">
        <f>MAX($C$9-VLOOKUP($C650,COS!$B$8:$H$991,3,FALSE),0)</f>
        <v>94532.16748046875</v>
      </c>
      <c r="X650" s="26">
        <f t="shared" si="972"/>
        <v>5812.5564136751036</v>
      </c>
      <c r="Y650" s="26">
        <f>VLOOKUP($C650,COS!$B$8:$H$991,4,FALSE)</f>
        <v>1311.4129638671875</v>
      </c>
      <c r="Z650" s="26">
        <f t="shared" si="973"/>
        <v>80.635640092329538</v>
      </c>
      <c r="AA650" s="26">
        <f t="shared" si="1042"/>
        <v>1311.4129638671875</v>
      </c>
      <c r="AB650" s="33">
        <f t="shared" si="956"/>
        <v>80.635640092329538</v>
      </c>
    </row>
    <row r="651" spans="1:28" x14ac:dyDescent="0.3">
      <c r="A651" s="32">
        <f>VLOOKUP(YEAR(C651),Flags!$A$13:$B$95,2,FALSE)</f>
        <v>5</v>
      </c>
      <c r="B651" s="24">
        <f t="shared" si="951"/>
        <v>1992</v>
      </c>
      <c r="C651" s="25">
        <v>33938</v>
      </c>
      <c r="D651" s="26"/>
      <c r="E651" s="24"/>
      <c r="F651" s="26"/>
      <c r="G651" s="26"/>
      <c r="H651" s="26"/>
      <c r="I651" s="26"/>
      <c r="J651" s="26"/>
      <c r="K651" s="26"/>
      <c r="L651" s="24"/>
      <c r="M651" s="24"/>
      <c r="N651" s="26"/>
      <c r="O651" s="26"/>
      <c r="P651" s="26"/>
      <c r="Q651" s="26"/>
      <c r="R651" s="26"/>
      <c r="S651" s="26"/>
      <c r="T651" s="26"/>
      <c r="U651" s="26"/>
      <c r="V651" s="26"/>
      <c r="W651" s="26">
        <f>MAX($C$10-VLOOKUP($C651,COS!$B$8:$H$991,3,FALSE),0)</f>
        <v>95167.818359375</v>
      </c>
      <c r="X651" s="26">
        <f t="shared" si="972"/>
        <v>5662.8784478305779</v>
      </c>
      <c r="Y651" s="26">
        <f>VLOOKUP($C651,COS!$B$8:$H$991,4,FALSE)</f>
        <v>1543.501953125</v>
      </c>
      <c r="Z651" s="26">
        <f t="shared" si="973"/>
        <v>91.844744318181824</v>
      </c>
      <c r="AA651" s="26">
        <f t="shared" si="1042"/>
        <v>1543.501953125</v>
      </c>
      <c r="AB651" s="33">
        <f t="shared" si="956"/>
        <v>91.844744318181824</v>
      </c>
    </row>
    <row r="652" spans="1:28" x14ac:dyDescent="0.3">
      <c r="A652" s="34">
        <f>VLOOKUP(YEAR(C652),Flags!$A$13:$B$95,2,FALSE)</f>
        <v>5</v>
      </c>
      <c r="B652" s="35">
        <f t="shared" si="951"/>
        <v>1992</v>
      </c>
      <c r="C652" s="36">
        <v>33969</v>
      </c>
      <c r="D652" s="37"/>
      <c r="E652" s="35"/>
      <c r="F652" s="37"/>
      <c r="G652" s="37"/>
      <c r="H652" s="37"/>
      <c r="I652" s="37"/>
      <c r="J652" s="37"/>
      <c r="K652" s="37"/>
      <c r="L652" s="35"/>
      <c r="M652" s="35"/>
      <c r="N652" s="37"/>
      <c r="O652" s="37"/>
      <c r="P652" s="37"/>
      <c r="Q652" s="37"/>
      <c r="R652" s="37"/>
      <c r="S652" s="37"/>
      <c r="T652" s="37"/>
      <c r="U652" s="37"/>
      <c r="V652" s="37"/>
      <c r="W652" s="37">
        <f>MAX($C$11-VLOOKUP($C652,COS!$B$8:$H$991,3,FALSE),0)</f>
        <v>96749</v>
      </c>
      <c r="X652" s="37">
        <f t="shared" si="972"/>
        <v>5948.8641322314052</v>
      </c>
      <c r="Y652" s="37">
        <f>VLOOKUP($C652,COS!$B$8:$H$991,4,FALSE)</f>
        <v>1778.0540771484375</v>
      </c>
      <c r="Z652" s="37">
        <f t="shared" si="973"/>
        <v>109.32828375193698</v>
      </c>
      <c r="AA652" s="37">
        <f t="shared" si="1042"/>
        <v>1778.0540771484375</v>
      </c>
      <c r="AB652" s="38">
        <f t="shared" si="956"/>
        <v>109.32828375193698</v>
      </c>
    </row>
    <row r="653" spans="1:28" x14ac:dyDescent="0.3">
      <c r="A653" s="27">
        <f>VLOOKUP(YEAR(C653),Flags!$A$13:$B$95,2,FALSE)</f>
        <v>2</v>
      </c>
      <c r="B653" s="28">
        <f t="shared" si="951"/>
        <v>1993</v>
      </c>
      <c r="C653" s="29">
        <v>34089</v>
      </c>
      <c r="D653" s="30">
        <f>VLOOKUP($C653,COS!$B$8:$H$991,3,FALSE)</f>
        <v>4509.7060546875</v>
      </c>
      <c r="E653" s="28">
        <f>IF(D653&gt;=IF(MONTH($C653)=4,$C$3,IF(MONTH($C653)=5,$C$4,IF(MONTH($C653)=6,$C$5,IF(MONTH($C653)=7,$C$6,"ERROR")))),1,0)</f>
        <v>0</v>
      </c>
      <c r="F653" s="30">
        <f>VLOOKUP($C653,COS!$B$8:$H$991,7,FALSE)</f>
        <v>48.90673828125</v>
      </c>
      <c r="G653" s="28">
        <f>IF(F653&lt;=IF(MONTH($C653)=4,$F$3,IF(MONTH($C653)=5,$F$4,IF(MONTH($C653)=6,$F$5,IF(MONTH($C653)=7,$F$6,"ERROR")))),1,0)</f>
        <v>1</v>
      </c>
      <c r="H653" s="30">
        <f>IF(J653=1,D653-$C$3,0)</f>
        <v>0</v>
      </c>
      <c r="I653" s="30">
        <f t="shared" si="982"/>
        <v>0</v>
      </c>
      <c r="J653" s="28">
        <f t="shared" ref="J653:J656" si="1045">IF(AND(E653=1,G653=1),1,0)</f>
        <v>0</v>
      </c>
      <c r="K653" s="30">
        <f>VLOOKUP($C653,COS!$B$8:$H$991,2,FALSE)</f>
        <v>4552</v>
      </c>
      <c r="L653" s="28">
        <f t="shared" ref="L653:L710" si="1046">IF(K653&lt;=IF(MONTH($C653)=4,$I$3,IF(MONTH($C653)=5,$I$4,IF(MONTH($C653)=6,$I$5,IF(MONTH($C653)=7,$I$6,"ERROR")))),1,0)</f>
        <v>1</v>
      </c>
      <c r="M653" s="28">
        <f t="shared" ref="M653:M710" si="1047">VLOOKUP($A653,$L$3:$M$7,2,FALSE)</f>
        <v>0</v>
      </c>
      <c r="N653" s="30">
        <f>VLOOKUP($C653,COS!$B$8:$H$991,5,FALSE)</f>
        <v>455.07608032226563</v>
      </c>
      <c r="O653" s="30">
        <f t="shared" ref="O653:O656" si="1048">N653*DAY($C653)*86400/43560/1000</f>
        <v>27.078907258845557</v>
      </c>
      <c r="P653" s="30">
        <f>VLOOKUP($C653,COS!$B$8:$H$991,6,FALSE)</f>
        <v>445.36074829101563</v>
      </c>
      <c r="Q653" s="30">
        <f t="shared" ref="Q653:Q656" si="1049">P653*DAY($C653)*86400/43560/1000</f>
        <v>26.500804856986054</v>
      </c>
      <c r="R653" s="30">
        <f>MIN(IF(MONTH($C653)=4,$S$3,IF(MONTH($C653)=5,$S$4,IF(MONTH($C653)=6,$S$5,IF(MONTH($C653)=7,$S$6,"ERROR")))),MAX(VLOOKUP($C653,COS!$B$8:$K$991,10,FALSE)-IF(MONTH($C653)=4,$Y$3,IF(MONTH($C653)=5,$Y$4,IF(MONTH($C653)=6,$Y$5,IF(MONTH($C653)=7,$Y$6,"ERROR")))),0),MAX(VLOOKUP($C653,COS!$B$8:$K$991,9,FALSE)-IF(MONTH($C653)=4,$V$3,IF(MONTH($C653)=5,$V$4,IF(MONTH($C653)=6,$V$5,IF(MONTH($C653)=7,$V$6,"ERROR"))))-VLOOKUP($C653,COS!$B$8:$K$991,6,FALSE)/2,0))</f>
        <v>1500</v>
      </c>
      <c r="S653" s="30">
        <f t="shared" ref="S653:S656" si="1050">R653*DAY($C653)*86400/43560/1000</f>
        <v>89.256198347107429</v>
      </c>
      <c r="T653" s="30">
        <f t="shared" ref="T653:T656" si="1051">(O653+Q653)/2+S653</f>
        <v>116.04605440502323</v>
      </c>
      <c r="U653" s="30" t="str">
        <f>IF(VLOOKUP($C653,COS!$B$8:$I$991,8,FALSE)=1,"UWFE","IBU")</f>
        <v>UWFE</v>
      </c>
      <c r="V653" s="30">
        <f t="shared" ref="V653" si="1052">MIN(IF(IF($AA$3=2,AND(E653=1,G653=1,L653=1,L658=1,M653=1,U653="IBU"),AND(E653=1,G653=1,L653=1,L658=1,M653=1)),T653,0),I653)</f>
        <v>0</v>
      </c>
      <c r="W653" s="30"/>
      <c r="X653" s="30"/>
      <c r="Y653" s="30"/>
      <c r="Z653" s="30"/>
      <c r="AA653" s="30"/>
      <c r="AB653" s="31"/>
    </row>
    <row r="654" spans="1:28" x14ac:dyDescent="0.3">
      <c r="A654" s="32">
        <f>VLOOKUP(YEAR(C654),Flags!$A$13:$B$95,2,FALSE)</f>
        <v>2</v>
      </c>
      <c r="B654" s="24">
        <f t="shared" si="951"/>
        <v>1993</v>
      </c>
      <c r="C654" s="25">
        <v>34120</v>
      </c>
      <c r="D654" s="26">
        <f>VLOOKUP($C654,COS!$B$8:$H$991,3,FALSE)</f>
        <v>9188.9970703125</v>
      </c>
      <c r="E654" s="24">
        <f>IF(D654&gt;=IF(MONTH($C654)=4,$C$3,IF(MONTH($C654)=5,$C$4,IF(MONTH($C654)=6,$C$5,IF(MONTH($C654)=7,$C$6,"ERROR")))),1,0)</f>
        <v>1</v>
      </c>
      <c r="F654" s="26">
        <f>VLOOKUP($C654,COS!$B$8:$H$991,7,FALSE)</f>
        <v>49.416866302490234</v>
      </c>
      <c r="G654" s="24">
        <f>IF(F654&lt;=IF(MONTH($C654)=4,$F$3,IF(MONTH($C654)=5,$F$4,IF(MONTH($C654)=6,$F$5,IF(MONTH($C654)=7,$F$6,"ERROR")))),1,0)</f>
        <v>1</v>
      </c>
      <c r="H654" s="26">
        <f>IF(J654=1,D654-$C$4,0)</f>
        <v>3188.9970703125</v>
      </c>
      <c r="I654" s="26">
        <f t="shared" si="982"/>
        <v>196.08378680268595</v>
      </c>
      <c r="J654" s="24">
        <f t="shared" si="1045"/>
        <v>1</v>
      </c>
      <c r="K654" s="26">
        <f>VLOOKUP($C654,COS!$B$8:$H$991,2,FALSE)</f>
        <v>4552</v>
      </c>
      <c r="L654" s="24">
        <f t="shared" si="1046"/>
        <v>1</v>
      </c>
      <c r="M654" s="24">
        <f t="shared" si="1047"/>
        <v>0</v>
      </c>
      <c r="N654" s="26">
        <f>VLOOKUP($C654,COS!$B$8:$H$991,5,FALSE)</f>
        <v>533.46905517578125</v>
      </c>
      <c r="O654" s="26">
        <f t="shared" si="1048"/>
        <v>32.801733640560435</v>
      </c>
      <c r="P654" s="26">
        <f>VLOOKUP($C654,COS!$B$8:$H$991,6,FALSE)</f>
        <v>1840.1044921875</v>
      </c>
      <c r="Q654" s="26">
        <f t="shared" si="1049"/>
        <v>113.14361505681818</v>
      </c>
      <c r="R654" s="26">
        <f>MIN(IF(MONTH($C654)=4,$S$3,IF(MONTH($C654)=5,$S$4,IF(MONTH($C654)=6,$S$5,IF(MONTH($C654)=7,$S$6,"ERROR")))),MAX(VLOOKUP($C654,COS!$B$8:$K$991,10,FALSE)-IF(MONTH($C654)=4,$Y$3,IF(MONTH($C654)=5,$Y$4,IF(MONTH($C654)=6,$Y$5,IF(MONTH($C654)=7,$Y$6,"ERROR")))),0),MAX(VLOOKUP($C654,COS!$B$8:$K$991,9,FALSE)-IF(MONTH($C654)=4,$V$3,IF(MONTH($C654)=5,$V$4,IF(MONTH($C654)=6,$V$5,IF(MONTH($C654)=7,$V$6,"ERROR"))))-VLOOKUP($C654,COS!$B$8:$K$991,6,FALSE)/2,0))</f>
        <v>1500</v>
      </c>
      <c r="S654" s="26">
        <f t="shared" si="1050"/>
        <v>92.231404958677686</v>
      </c>
      <c r="T654" s="26">
        <f t="shared" si="1051"/>
        <v>165.20407930736701</v>
      </c>
      <c r="U654" s="26" t="str">
        <f>IF(VLOOKUP($C654,COS!$B$8:$I$991,8,FALSE)=1,"UWFE","IBU")</f>
        <v>UWFE</v>
      </c>
      <c r="V654" s="26">
        <f t="shared" ref="V654" si="1053">MIN(IF(IF($AA$3=2,AND(E654=1,G654=1,L654=1,L658=1,M654=1,U654="IBU"),AND(E654=1,G654=1,L654=1,L658=1,M654=1)),T654,0),I654)</f>
        <v>0</v>
      </c>
      <c r="W654" s="26"/>
      <c r="X654" s="26"/>
      <c r="Y654" s="26"/>
      <c r="Z654" s="26"/>
      <c r="AA654" s="26"/>
      <c r="AB654" s="33"/>
    </row>
    <row r="655" spans="1:28" x14ac:dyDescent="0.3">
      <c r="A655" s="32">
        <f>VLOOKUP(YEAR(C655),Flags!$A$13:$B$95,2,FALSE)</f>
        <v>2</v>
      </c>
      <c r="B655" s="24">
        <f t="shared" ref="B655:B718" si="1054">YEAR(C655)</f>
        <v>1993</v>
      </c>
      <c r="C655" s="25">
        <v>34150</v>
      </c>
      <c r="D655" s="26">
        <f>VLOOKUP($C655,COS!$B$8:$H$991,3,FALSE)</f>
        <v>8366.6103515625</v>
      </c>
      <c r="E655" s="24">
        <f>IF(D655&gt;=IF(MONTH($C655)=4,$C$3,IF(MONTH($C655)=5,$C$4,IF(MONTH($C655)=6,$C$5,IF(MONTH($C655)=7,$C$6,"ERROR")))),1,0)</f>
        <v>0</v>
      </c>
      <c r="F655" s="26">
        <f>VLOOKUP($C655,COS!$B$8:$H$991,7,FALSE)</f>
        <v>51.333587646484375</v>
      </c>
      <c r="G655" s="24">
        <f>IF(F655&lt;=IF(MONTH($C655)=4,$F$3,IF(MONTH($C655)=5,$F$4,IF(MONTH($C655)=6,$F$5,IF(MONTH($C655)=7,$F$6,"ERROR")))),1,0)</f>
        <v>1</v>
      </c>
      <c r="H655" s="26">
        <f>IF(J655=1,D655-$C$5,0)</f>
        <v>0</v>
      </c>
      <c r="I655" s="26">
        <f t="shared" si="982"/>
        <v>0</v>
      </c>
      <c r="J655" s="24">
        <f t="shared" si="1045"/>
        <v>0</v>
      </c>
      <c r="K655" s="26">
        <f>VLOOKUP($C655,COS!$B$8:$H$991,2,FALSE)</f>
        <v>4500</v>
      </c>
      <c r="L655" s="24">
        <f t="shared" si="1046"/>
        <v>1</v>
      </c>
      <c r="M655" s="24">
        <f t="shared" si="1047"/>
        <v>0</v>
      </c>
      <c r="N655" s="26">
        <f>VLOOKUP($C655,COS!$B$8:$H$991,5,FALSE)</f>
        <v>1014.9423828125</v>
      </c>
      <c r="O655" s="26">
        <f t="shared" si="1048"/>
        <v>60.39326575413223</v>
      </c>
      <c r="P655" s="26">
        <f>VLOOKUP($C655,COS!$B$8:$H$991,6,FALSE)</f>
        <v>2171.25048828125</v>
      </c>
      <c r="Q655" s="26">
        <f t="shared" si="1049"/>
        <v>129.19837616219007</v>
      </c>
      <c r="R655" s="26">
        <f>MIN(IF(MONTH($C655)=4,$S$3,IF(MONTH($C655)=5,$S$4,IF(MONTH($C655)=6,$S$5,IF(MONTH($C655)=7,$S$6,"ERROR")))),MAX(VLOOKUP($C655,COS!$B$8:$K$991,10,FALSE)-IF(MONTH($C655)=4,$Y$3,IF(MONTH($C655)=5,$Y$4,IF(MONTH($C655)=6,$Y$5,IF(MONTH($C655)=7,$Y$6,"ERROR")))),0),MAX(VLOOKUP($C655,COS!$B$8:$K$991,9,FALSE)-IF(MONTH($C655)=4,$V$3,IF(MONTH($C655)=5,$V$4,IF(MONTH($C655)=6,$V$5,IF(MONTH($C655)=7,$V$6,"ERROR"))))-VLOOKUP($C655,COS!$B$8:$K$991,6,FALSE)/2,0))</f>
        <v>1500</v>
      </c>
      <c r="S655" s="26">
        <f t="shared" si="1050"/>
        <v>89.256198347107429</v>
      </c>
      <c r="T655" s="26">
        <f t="shared" si="1051"/>
        <v>184.05201930526857</v>
      </c>
      <c r="U655" s="26" t="str">
        <f>IF(VLOOKUP($C655,COS!$B$8:$I$991,8,FALSE)=1,"UWFE","IBU")</f>
        <v>UWFE</v>
      </c>
      <c r="V655" s="26">
        <f t="shared" ref="V655" si="1055">MIN(IF(IF($AA$3=2,AND(E655=1,G655=1,L655=1,L658=1,M655=1,U655="IBU"),AND(E655=1,G655=1,L655=1,L658=1,M655=1)),T655,0),I655)</f>
        <v>0</v>
      </c>
      <c r="W655" s="26"/>
      <c r="X655" s="26"/>
      <c r="Y655" s="26"/>
      <c r="Z655" s="26"/>
      <c r="AA655" s="26"/>
      <c r="AB655" s="33"/>
    </row>
    <row r="656" spans="1:28" x14ac:dyDescent="0.3">
      <c r="A656" s="32">
        <f>VLOOKUP(YEAR(C656),Flags!$A$13:$B$95,2,FALSE)</f>
        <v>2</v>
      </c>
      <c r="B656" s="24">
        <f t="shared" si="1054"/>
        <v>1993</v>
      </c>
      <c r="C656" s="25">
        <v>34181</v>
      </c>
      <c r="D656" s="26">
        <f>VLOOKUP($C656,COS!$B$8:$H$991,3,FALSE)</f>
        <v>14804.357421875</v>
      </c>
      <c r="E656" s="24">
        <f>IF(D656&gt;=IF(MONTH($C656)=4,$C$3,IF(MONTH($C656)=5,$C$4,IF(MONTH($C656)=6,$C$5,IF(MONTH($C656)=7,$C$6,"ERROR")))),1,0)</f>
        <v>1</v>
      </c>
      <c r="F656" s="26">
        <f>VLOOKUP($C656,COS!$B$8:$H$991,7,FALSE)</f>
        <v>51.517642974853516</v>
      </c>
      <c r="G656" s="24">
        <f>IF(F656&lt;=IF(MONTH($C656)=4,$F$3,IF(MONTH($C656)=5,$F$4,IF(MONTH($C656)=6,$F$5,IF(MONTH($C656)=7,$F$6,"ERROR")))),1,0)</f>
        <v>1</v>
      </c>
      <c r="H656" s="26">
        <f>IF(J656=1,D656-$C$6,0)</f>
        <v>2804.357421875</v>
      </c>
      <c r="I656" s="26">
        <f t="shared" si="982"/>
        <v>172.4332166838843</v>
      </c>
      <c r="J656" s="24">
        <f t="shared" si="1045"/>
        <v>1</v>
      </c>
      <c r="K656" s="26">
        <f>VLOOKUP($C656,COS!$B$8:$H$991,2,FALSE)</f>
        <v>3787.8994140625</v>
      </c>
      <c r="L656" s="24">
        <f t="shared" si="1046"/>
        <v>1</v>
      </c>
      <c r="M656" s="24">
        <f t="shared" si="1047"/>
        <v>0</v>
      </c>
      <c r="N656" s="26">
        <f>VLOOKUP($C656,COS!$B$8:$H$991,5,FALSE)</f>
        <v>1376.93798828125</v>
      </c>
      <c r="O656" s="26">
        <f t="shared" si="1048"/>
        <v>84.664616800103303</v>
      </c>
      <c r="P656" s="26">
        <f>VLOOKUP($C656,COS!$B$8:$H$991,6,FALSE)</f>
        <v>2562.892822265625</v>
      </c>
      <c r="Q656" s="26">
        <f t="shared" si="1049"/>
        <v>157.58613717071282</v>
      </c>
      <c r="R656" s="26">
        <f>MIN(IF(MONTH($C656)=4,$S$3,IF(MONTH($C656)=5,$S$4,IF(MONTH($C656)=6,$S$5,IF(MONTH($C656)=7,$S$6,"ERROR")))),MAX(VLOOKUP($C656,COS!$B$8:$K$991,10,FALSE)-IF(MONTH($C656)=4,$Y$3,IF(MONTH($C656)=5,$Y$4,IF(MONTH($C656)=6,$Y$5,IF(MONTH($C656)=7,$Y$6,"ERROR")))),0),MAX(VLOOKUP($C656,COS!$B$8:$K$991,9,FALSE)-IF(MONTH($C656)=4,$V$3,IF(MONTH($C656)=5,$V$4,IF(MONTH($C656)=6,$V$5,IF(MONTH($C656)=7,$V$6,"ERROR"))))-VLOOKUP($C656,COS!$B$8:$K$991,6,FALSE)/2,0))</f>
        <v>1500</v>
      </c>
      <c r="S656" s="26">
        <f t="shared" si="1050"/>
        <v>92.231404958677686</v>
      </c>
      <c r="T656" s="26">
        <f t="shared" si="1051"/>
        <v>213.35678194408575</v>
      </c>
      <c r="U656" s="26" t="str">
        <f>IF(VLOOKUP($C656,COS!$B$8:$I$991,8,FALSE)=1,"UWFE","IBU")</f>
        <v>IBU</v>
      </c>
      <c r="V656" s="26">
        <f t="shared" ref="V656" si="1056">MIN(IF(IF($AA$3=2,AND(E656=1,G656=1,L656=1,L658=1,M656=1,U656="IBU"),AND(E656=1,G656=1,L656=1,L658=1,M656=1)),T656,0),I656)</f>
        <v>0</v>
      </c>
      <c r="W656" s="26"/>
      <c r="X656" s="26"/>
      <c r="Y656" s="26"/>
      <c r="Z656" s="26"/>
      <c r="AA656" s="26"/>
      <c r="AB656" s="33"/>
    </row>
    <row r="657" spans="1:28" x14ac:dyDescent="0.3">
      <c r="A657" s="32">
        <f>VLOOKUP(YEAR(C657),Flags!$A$13:$B$95,2,FALSE)</f>
        <v>2</v>
      </c>
      <c r="B657" s="24">
        <f t="shared" si="1054"/>
        <v>1993</v>
      </c>
      <c r="C657" s="25">
        <v>34212</v>
      </c>
      <c r="D657" s="26"/>
      <c r="E657" s="24"/>
      <c r="F657" s="26"/>
      <c r="G657" s="24"/>
      <c r="H657" s="24"/>
      <c r="I657" s="26"/>
      <c r="J657" s="24"/>
      <c r="K657" s="26"/>
      <c r="L657" s="24"/>
      <c r="M657" s="24"/>
      <c r="N657" s="26"/>
      <c r="O657" s="26"/>
      <c r="P657" s="26"/>
      <c r="Q657" s="26"/>
      <c r="R657" s="26"/>
      <c r="S657" s="26"/>
      <c r="T657" s="26"/>
      <c r="U657" s="26"/>
      <c r="V657" s="26"/>
      <c r="W657" s="26">
        <f>MAX($C$7-VLOOKUP($C657,COS!$B$8:$H$991,3,FALSE),0)</f>
        <v>90622.63671875</v>
      </c>
      <c r="X657" s="26">
        <f t="shared" si="972"/>
        <v>5572.1687370867767</v>
      </c>
      <c r="Y657" s="26">
        <f>VLOOKUP($C657,COS!$B$8:$H$991,4,FALSE)</f>
        <v>168.43087768554688</v>
      </c>
      <c r="Z657" s="26">
        <f t="shared" si="973"/>
        <v>10.356410991574121</v>
      </c>
      <c r="AA657" s="26">
        <f t="shared" ref="AA657:AA661" si="1057">MIN(W657,Y657)</f>
        <v>168.43087768554688</v>
      </c>
      <c r="AB657" s="33">
        <f t="shared" ref="AB657:AB715" si="1058">AA657*DAY($C657)*86400/43560/1000*IF(MONTH($C657)=8,$P$3,IF(MONTH($C657)=9,$P$4,IF(MONTH($C657)=10,$P$5,IF(MONTH($C657)=11,$P$6,IF(MONTH($C657)=12,$P$7,NA())))))</f>
        <v>10.356410991574121</v>
      </c>
    </row>
    <row r="658" spans="1:28" x14ac:dyDescent="0.3">
      <c r="A658" s="32">
        <f>VLOOKUP(YEAR(C658),Flags!$A$13:$B$95,2,FALSE)</f>
        <v>2</v>
      </c>
      <c r="B658" s="24">
        <f t="shared" si="1054"/>
        <v>1993</v>
      </c>
      <c r="C658" s="25">
        <v>34242</v>
      </c>
      <c r="D658" s="26"/>
      <c r="E658" s="24"/>
      <c r="F658" s="26"/>
      <c r="G658" s="24"/>
      <c r="H658" s="24"/>
      <c r="I658" s="26"/>
      <c r="J658" s="24"/>
      <c r="K658" s="26">
        <f>VLOOKUP($C658,COS!$B$8:$H$991,2,FALSE)</f>
        <v>3136.02685546875</v>
      </c>
      <c r="L658" s="24">
        <f t="shared" ref="L658" si="1059">IF(AND(K658&gt;$I$7,K658&lt;$I$8),1,0)</f>
        <v>1</v>
      </c>
      <c r="M658" s="24"/>
      <c r="N658" s="26"/>
      <c r="O658" s="26"/>
      <c r="P658" s="26"/>
      <c r="Q658" s="26"/>
      <c r="R658" s="26"/>
      <c r="S658" s="26"/>
      <c r="T658" s="26"/>
      <c r="U658" s="26"/>
      <c r="V658" s="26"/>
      <c r="W658" s="26">
        <f>MAX($C$8-VLOOKUP($C658,COS!$B$8:$H$991,3,FALSE),0)</f>
        <v>89617.8046875</v>
      </c>
      <c r="X658" s="26">
        <f t="shared" si="972"/>
        <v>5332.629700413223</v>
      </c>
      <c r="Y658" s="26">
        <f>VLOOKUP($C658,COS!$B$8:$H$991,4,FALSE)</f>
        <v>0</v>
      </c>
      <c r="Z658" s="26">
        <f t="shared" si="973"/>
        <v>0</v>
      </c>
      <c r="AA658" s="26">
        <f t="shared" si="1057"/>
        <v>0</v>
      </c>
      <c r="AB658" s="33">
        <f t="shared" si="1058"/>
        <v>0</v>
      </c>
    </row>
    <row r="659" spans="1:28" x14ac:dyDescent="0.3">
      <c r="A659" s="32">
        <f>VLOOKUP(YEAR(C659),Flags!$A$13:$B$95,2,FALSE)</f>
        <v>2</v>
      </c>
      <c r="B659" s="24">
        <f t="shared" si="1054"/>
        <v>1993</v>
      </c>
      <c r="C659" s="25">
        <v>34273</v>
      </c>
      <c r="D659" s="26"/>
      <c r="E659" s="24"/>
      <c r="F659" s="26"/>
      <c r="G659" s="26"/>
      <c r="H659" s="26"/>
      <c r="I659" s="26"/>
      <c r="J659" s="26"/>
      <c r="K659" s="26"/>
      <c r="L659" s="24"/>
      <c r="M659" s="24"/>
      <c r="N659" s="26"/>
      <c r="O659" s="26"/>
      <c r="P659" s="26"/>
      <c r="Q659" s="26"/>
      <c r="R659" s="26"/>
      <c r="S659" s="26"/>
      <c r="T659" s="26"/>
      <c r="U659" s="26"/>
      <c r="V659" s="26"/>
      <c r="W659" s="26">
        <f>MAX($C$9-VLOOKUP($C659,COS!$B$8:$H$991,3,FALSE),0)</f>
        <v>94269.517578125</v>
      </c>
      <c r="X659" s="26">
        <f t="shared" si="972"/>
        <v>5796.4067006714877</v>
      </c>
      <c r="Y659" s="26">
        <f>VLOOKUP($C659,COS!$B$8:$H$991,4,FALSE)</f>
        <v>766.87762451171875</v>
      </c>
      <c r="Z659" s="26">
        <f t="shared" si="973"/>
        <v>47.1534671600594</v>
      </c>
      <c r="AA659" s="26">
        <f t="shared" si="1057"/>
        <v>766.87762451171875</v>
      </c>
      <c r="AB659" s="33">
        <f t="shared" si="1058"/>
        <v>47.1534671600594</v>
      </c>
    </row>
    <row r="660" spans="1:28" x14ac:dyDescent="0.3">
      <c r="A660" s="32">
        <f>VLOOKUP(YEAR(C660),Flags!$A$13:$B$95,2,FALSE)</f>
        <v>2</v>
      </c>
      <c r="B660" s="24">
        <f t="shared" si="1054"/>
        <v>1993</v>
      </c>
      <c r="C660" s="25">
        <v>34303</v>
      </c>
      <c r="D660" s="26"/>
      <c r="E660" s="24"/>
      <c r="F660" s="26"/>
      <c r="G660" s="26"/>
      <c r="H660" s="26"/>
      <c r="I660" s="26"/>
      <c r="J660" s="26"/>
      <c r="K660" s="26"/>
      <c r="L660" s="24"/>
      <c r="M660" s="24"/>
      <c r="N660" s="26"/>
      <c r="O660" s="26"/>
      <c r="P660" s="26"/>
      <c r="Q660" s="26"/>
      <c r="R660" s="26"/>
      <c r="S660" s="26"/>
      <c r="T660" s="26"/>
      <c r="U660" s="26"/>
      <c r="V660" s="26"/>
      <c r="W660" s="26">
        <f>MAX($C$10-VLOOKUP($C660,COS!$B$8:$H$991,3,FALSE),0)</f>
        <v>89853.9892578125</v>
      </c>
      <c r="X660" s="26">
        <f t="shared" si="972"/>
        <v>5346.6836583161157</v>
      </c>
      <c r="Y660" s="26">
        <f>VLOOKUP($C660,COS!$B$8:$H$991,4,FALSE)</f>
        <v>1359.887451171875</v>
      </c>
      <c r="Z660" s="26">
        <f t="shared" si="973"/>
        <v>80.91892271435951</v>
      </c>
      <c r="AA660" s="26">
        <f t="shared" si="1057"/>
        <v>1359.887451171875</v>
      </c>
      <c r="AB660" s="33">
        <f t="shared" si="1058"/>
        <v>80.91892271435951</v>
      </c>
    </row>
    <row r="661" spans="1:28" x14ac:dyDescent="0.3">
      <c r="A661" s="34">
        <f>VLOOKUP(YEAR(C661),Flags!$A$13:$B$95,2,FALSE)</f>
        <v>2</v>
      </c>
      <c r="B661" s="35">
        <f t="shared" si="1054"/>
        <v>1993</v>
      </c>
      <c r="C661" s="36">
        <v>34334</v>
      </c>
      <c r="D661" s="37"/>
      <c r="E661" s="35"/>
      <c r="F661" s="37"/>
      <c r="G661" s="37"/>
      <c r="H661" s="37"/>
      <c r="I661" s="37"/>
      <c r="J661" s="37"/>
      <c r="K661" s="37"/>
      <c r="L661" s="35"/>
      <c r="M661" s="35"/>
      <c r="N661" s="37"/>
      <c r="O661" s="37"/>
      <c r="P661" s="37"/>
      <c r="Q661" s="37"/>
      <c r="R661" s="37"/>
      <c r="S661" s="37"/>
      <c r="T661" s="37"/>
      <c r="U661" s="37"/>
      <c r="V661" s="37"/>
      <c r="W661" s="37">
        <f>MAX($C$11-VLOOKUP($C661,COS!$B$8:$H$991,3,FALSE),0)</f>
        <v>96749</v>
      </c>
      <c r="X661" s="37">
        <f t="shared" si="972"/>
        <v>5948.8641322314052</v>
      </c>
      <c r="Y661" s="37">
        <f>VLOOKUP($C661,COS!$B$8:$H$991,4,FALSE)</f>
        <v>188.46723937988281</v>
      </c>
      <c r="Z661" s="37">
        <f t="shared" si="973"/>
        <v>11.588398851126678</v>
      </c>
      <c r="AA661" s="37">
        <f t="shared" si="1057"/>
        <v>188.46723937988281</v>
      </c>
      <c r="AB661" s="38">
        <f t="shared" si="1058"/>
        <v>11.588398851126678</v>
      </c>
    </row>
    <row r="662" spans="1:28" x14ac:dyDescent="0.3">
      <c r="A662" s="27">
        <f>VLOOKUP(YEAR(C662),Flags!$A$13:$B$95,2,FALSE)</f>
        <v>5</v>
      </c>
      <c r="B662" s="28">
        <f t="shared" si="1054"/>
        <v>1994</v>
      </c>
      <c r="C662" s="29">
        <v>34454</v>
      </c>
      <c r="D662" s="30">
        <f>VLOOKUP($C662,COS!$B$8:$H$991,3,FALSE)</f>
        <v>3250</v>
      </c>
      <c r="E662" s="28">
        <f>IF(D662&gt;=IF(MONTH($C662)=4,$C$3,IF(MONTH($C662)=5,$C$4,IF(MONTH($C662)=6,$C$5,IF(MONTH($C662)=7,$C$6,"ERROR")))),1,0)</f>
        <v>0</v>
      </c>
      <c r="F662" s="30">
        <f>VLOOKUP($C662,COS!$B$8:$H$991,7,FALSE)</f>
        <v>52.782566070556641</v>
      </c>
      <c r="G662" s="28">
        <f>IF(F662&lt;=IF(MONTH($C662)=4,$F$3,IF(MONTH($C662)=5,$F$4,IF(MONTH($C662)=6,$F$5,IF(MONTH($C662)=7,$F$6,"ERROR")))),1,0)</f>
        <v>1</v>
      </c>
      <c r="H662" s="30">
        <f>IF(J662=1,D662-$C$3,0)</f>
        <v>0</v>
      </c>
      <c r="I662" s="30">
        <f t="shared" si="982"/>
        <v>0</v>
      </c>
      <c r="J662" s="28">
        <f t="shared" ref="J662:J665" si="1060">IF(AND(E662=1,G662=1),1,0)</f>
        <v>0</v>
      </c>
      <c r="K662" s="30">
        <f>VLOOKUP($C662,COS!$B$8:$H$991,2,FALSE)</f>
        <v>3428.306884765625</v>
      </c>
      <c r="L662" s="28">
        <f t="shared" ref="L662" si="1061">IF(K662&lt;=IF(MONTH($C662)=4,$I$3,IF(MONTH($C662)=5,$I$4,IF(MONTH($C662)=6,$I$5,IF(MONTH($C662)=7,$I$6,"ERROR")))),1,0)</f>
        <v>1</v>
      </c>
      <c r="M662" s="28">
        <f t="shared" ref="M662" si="1062">VLOOKUP($A662,$L$3:$M$7,2,FALSE)</f>
        <v>1</v>
      </c>
      <c r="N662" s="30">
        <f>VLOOKUP($C662,COS!$B$8:$H$991,5,FALSE)</f>
        <v>498.4775390625</v>
      </c>
      <c r="O662" s="30">
        <f t="shared" ref="O662:O665" si="1063">N662*DAY($C662)*86400/43560/1000</f>
        <v>29.661473398760332</v>
      </c>
      <c r="P662" s="30">
        <f>VLOOKUP($C662,COS!$B$8:$H$991,6,FALSE)</f>
        <v>517.51263427734375</v>
      </c>
      <c r="Q662" s="30">
        <f t="shared" ref="Q662:Q665" si="1064">P662*DAY($C662)*86400/43560/1000</f>
        <v>30.794140221461777</v>
      </c>
      <c r="R662" s="30">
        <f>MIN(IF(MONTH($C662)=4,$S$3,IF(MONTH($C662)=5,$S$4,IF(MONTH($C662)=6,$S$5,IF(MONTH($C662)=7,$S$6,"ERROR")))),MAX(VLOOKUP($C662,COS!$B$8:$K$991,10,FALSE)-IF(MONTH($C662)=4,$Y$3,IF(MONTH($C662)=5,$Y$4,IF(MONTH($C662)=6,$Y$5,IF(MONTH($C662)=7,$Y$6,"ERROR")))),0),MAX(VLOOKUP($C662,COS!$B$8:$K$991,9,FALSE)-IF(MONTH($C662)=4,$V$3,IF(MONTH($C662)=5,$V$4,IF(MONTH($C662)=6,$V$5,IF(MONTH($C662)=7,$V$6,"ERROR"))))-VLOOKUP($C662,COS!$B$8:$K$991,6,FALSE)/2,0))</f>
        <v>84.6376953125</v>
      </c>
      <c r="S662" s="30">
        <f t="shared" ref="S662:S665" si="1065">R662*DAY($C662)*86400/43560/1000</f>
        <v>5.0362926136363644</v>
      </c>
      <c r="T662" s="30">
        <f t="shared" ref="T662:T665" si="1066">(O662+Q662)/2+S662</f>
        <v>35.264099423747417</v>
      </c>
      <c r="U662" s="30" t="str">
        <f>IF(VLOOKUP($C662,COS!$B$8:$I$991,8,FALSE)=1,"UWFE","IBU")</f>
        <v>UWFE</v>
      </c>
      <c r="V662" s="30">
        <f t="shared" ref="V662" si="1067">MIN(IF(IF($AA$3=2,AND(E662=1,G662=1,L662=1,L667=1,M662=1,U662="IBU"),AND(E662=1,G662=1,L662=1,L667=1,M662=1)),T662,0),I662)</f>
        <v>0</v>
      </c>
      <c r="W662" s="30"/>
      <c r="X662" s="30"/>
      <c r="Y662" s="30"/>
      <c r="Z662" s="30"/>
      <c r="AA662" s="30"/>
      <c r="AB662" s="31"/>
    </row>
    <row r="663" spans="1:28" x14ac:dyDescent="0.3">
      <c r="A663" s="32">
        <f>VLOOKUP(YEAR(C663),Flags!$A$13:$B$95,2,FALSE)</f>
        <v>5</v>
      </c>
      <c r="B663" s="24">
        <f t="shared" si="1054"/>
        <v>1994</v>
      </c>
      <c r="C663" s="25">
        <v>34485</v>
      </c>
      <c r="D663" s="26">
        <f>VLOOKUP($C663,COS!$B$8:$H$991,3,FALSE)</f>
        <v>5763.49560546875</v>
      </c>
      <c r="E663" s="24">
        <f>IF(D663&gt;=IF(MONTH($C663)=4,$C$3,IF(MONTH($C663)=5,$C$4,IF(MONTH($C663)=6,$C$5,IF(MONTH($C663)=7,$C$6,"ERROR")))),1,0)</f>
        <v>0</v>
      </c>
      <c r="F663" s="26">
        <f>VLOOKUP($C663,COS!$B$8:$H$991,7,FALSE)</f>
        <v>52.981971740722656</v>
      </c>
      <c r="G663" s="24">
        <f>IF(F663&lt;=IF(MONTH($C663)=4,$F$3,IF(MONTH($C663)=5,$F$4,IF(MONTH($C663)=6,$F$5,IF(MONTH($C663)=7,$F$6,"ERROR")))),1,0)</f>
        <v>1</v>
      </c>
      <c r="H663" s="26">
        <f>IF(J663=1,D663-$C$4,0)</f>
        <v>0</v>
      </c>
      <c r="I663" s="26">
        <f t="shared" si="982"/>
        <v>0</v>
      </c>
      <c r="J663" s="24">
        <f t="shared" si="1060"/>
        <v>0</v>
      </c>
      <c r="K663" s="26">
        <f>VLOOKUP($C663,COS!$B$8:$H$991,2,FALSE)</f>
        <v>3315.498291015625</v>
      </c>
      <c r="L663" s="24">
        <f t="shared" si="1046"/>
        <v>1</v>
      </c>
      <c r="M663" s="24">
        <f t="shared" si="1047"/>
        <v>1</v>
      </c>
      <c r="N663" s="26">
        <f>VLOOKUP($C663,COS!$B$8:$H$991,5,FALSE)</f>
        <v>494.24356079101563</v>
      </c>
      <c r="O663" s="26">
        <f t="shared" si="1063"/>
        <v>30.389852002356662</v>
      </c>
      <c r="P663" s="26">
        <f>VLOOKUP($C663,COS!$B$8:$H$991,6,FALSE)</f>
        <v>1839.63671875</v>
      </c>
      <c r="Q663" s="26">
        <f t="shared" si="1064"/>
        <v>113.1148527892562</v>
      </c>
      <c r="R663" s="26">
        <f>MIN(IF(MONTH($C663)=4,$S$3,IF(MONTH($C663)=5,$S$4,IF(MONTH($C663)=6,$S$5,IF(MONTH($C663)=7,$S$6,"ERROR")))),MAX(VLOOKUP($C663,COS!$B$8:$K$991,10,FALSE)-IF(MONTH($C663)=4,$Y$3,IF(MONTH($C663)=5,$Y$4,IF(MONTH($C663)=6,$Y$5,IF(MONTH($C663)=7,$Y$6,"ERROR")))),0),MAX(VLOOKUP($C663,COS!$B$8:$K$991,9,FALSE)-IF(MONTH($C663)=4,$V$3,IF(MONTH($C663)=5,$V$4,IF(MONTH($C663)=6,$V$5,IF(MONTH($C663)=7,$V$6,"ERROR"))))-VLOOKUP($C663,COS!$B$8:$K$991,6,FALSE)/2,0))</f>
        <v>1248.31787109375</v>
      </c>
      <c r="S663" s="26">
        <f t="shared" si="1065"/>
        <v>76.756074057334715</v>
      </c>
      <c r="T663" s="26">
        <f t="shared" si="1066"/>
        <v>148.50842645314117</v>
      </c>
      <c r="U663" s="26" t="str">
        <f>IF(VLOOKUP($C663,COS!$B$8:$I$991,8,FALSE)=1,"UWFE","IBU")</f>
        <v>UWFE</v>
      </c>
      <c r="V663" s="26">
        <f t="shared" ref="V663" si="1068">MIN(IF(IF($AA$3=2,AND(E663=1,G663=1,L663=1,L667=1,M663=1,U663="IBU"),AND(E663=1,G663=1,L663=1,L667=1,M663=1)),T663,0),I663)</f>
        <v>0</v>
      </c>
      <c r="W663" s="26"/>
      <c r="X663" s="26"/>
      <c r="Y663" s="26"/>
      <c r="Z663" s="26"/>
      <c r="AA663" s="26"/>
      <c r="AB663" s="33"/>
    </row>
    <row r="664" spans="1:28" x14ac:dyDescent="0.3">
      <c r="A664" s="32">
        <f>VLOOKUP(YEAR(C664),Flags!$A$13:$B$95,2,FALSE)</f>
        <v>5</v>
      </c>
      <c r="B664" s="24">
        <f t="shared" si="1054"/>
        <v>1994</v>
      </c>
      <c r="C664" s="25">
        <v>34515</v>
      </c>
      <c r="D664" s="26">
        <f>VLOOKUP($C664,COS!$B$8:$H$991,3,FALSE)</f>
        <v>10365.828125</v>
      </c>
      <c r="E664" s="24">
        <f>IF(D664&gt;=IF(MONTH($C664)=4,$C$3,IF(MONTH($C664)=5,$C$4,IF(MONTH($C664)=6,$C$5,IF(MONTH($C664)=7,$C$6,"ERROR")))),1,0)</f>
        <v>1</v>
      </c>
      <c r="F664" s="26">
        <f>VLOOKUP($C664,COS!$B$8:$H$991,7,FALSE)</f>
        <v>52.776744842529297</v>
      </c>
      <c r="G664" s="24">
        <f>IF(F664&lt;=IF(MONTH($C664)=4,$F$3,IF(MONTH($C664)=5,$F$4,IF(MONTH($C664)=6,$F$5,IF(MONTH($C664)=7,$F$6,"ERROR")))),1,0)</f>
        <v>1</v>
      </c>
      <c r="H664" s="26">
        <f>IF(J664=1,D664-$C$5,0)</f>
        <v>365.828125</v>
      </c>
      <c r="I664" s="26">
        <f t="shared" si="982"/>
        <v>21.768285123966944</v>
      </c>
      <c r="J664" s="24">
        <f t="shared" si="1060"/>
        <v>1</v>
      </c>
      <c r="K664" s="26">
        <f>VLOOKUP($C664,COS!$B$8:$H$991,2,FALSE)</f>
        <v>2912.7509765625</v>
      </c>
      <c r="L664" s="24">
        <f t="shared" si="1046"/>
        <v>1</v>
      </c>
      <c r="M664" s="24">
        <f t="shared" si="1047"/>
        <v>1</v>
      </c>
      <c r="N664" s="26">
        <f>VLOOKUP($C664,COS!$B$8:$H$991,5,FALSE)</f>
        <v>825.04803466796875</v>
      </c>
      <c r="O664" s="26">
        <f t="shared" si="1063"/>
        <v>49.093767352143594</v>
      </c>
      <c r="P664" s="26">
        <f>VLOOKUP($C664,COS!$B$8:$H$991,6,FALSE)</f>
        <v>2477.72265625</v>
      </c>
      <c r="Q664" s="26">
        <f t="shared" si="1064"/>
        <v>147.43473657024794</v>
      </c>
      <c r="R664" s="26">
        <f>MIN(IF(MONTH($C664)=4,$S$3,IF(MONTH($C664)=5,$S$4,IF(MONTH($C664)=6,$S$5,IF(MONTH($C664)=7,$S$6,"ERROR")))),MAX(VLOOKUP($C664,COS!$B$8:$K$991,10,FALSE)-IF(MONTH($C664)=4,$Y$3,IF(MONTH($C664)=5,$Y$4,IF(MONTH($C664)=6,$Y$5,IF(MONTH($C664)=7,$Y$6,"ERROR")))),0),MAX(VLOOKUP($C664,COS!$B$8:$K$991,9,FALSE)-IF(MONTH($C664)=4,$V$3,IF(MONTH($C664)=5,$V$4,IF(MONTH($C664)=6,$V$5,IF(MONTH($C664)=7,$V$6,"ERROR"))))-VLOOKUP($C664,COS!$B$8:$K$991,6,FALSE)/2,0))</f>
        <v>1500</v>
      </c>
      <c r="S664" s="26">
        <f t="shared" si="1065"/>
        <v>89.256198347107429</v>
      </c>
      <c r="T664" s="26">
        <f t="shared" si="1066"/>
        <v>187.5204503083032</v>
      </c>
      <c r="U664" s="26" t="str">
        <f>IF(VLOOKUP($C664,COS!$B$8:$I$991,8,FALSE)=1,"UWFE","IBU")</f>
        <v>IBU</v>
      </c>
      <c r="V664" s="26">
        <f t="shared" ref="V664" si="1069">MIN(IF(IF($AA$3=2,AND(E664=1,G664=1,L664=1,L667=1,M664=1,U664="IBU"),AND(E664=1,G664=1,L664=1,L667=1,M664=1)),T664,0),I664)</f>
        <v>21.768285123966944</v>
      </c>
      <c r="W664" s="26"/>
      <c r="X664" s="26"/>
      <c r="Y664" s="26"/>
      <c r="Z664" s="26"/>
      <c r="AA664" s="26"/>
      <c r="AB664" s="33"/>
    </row>
    <row r="665" spans="1:28" x14ac:dyDescent="0.3">
      <c r="A665" s="32">
        <f>VLOOKUP(YEAR(C665),Flags!$A$13:$B$95,2,FALSE)</f>
        <v>5</v>
      </c>
      <c r="B665" s="24">
        <f t="shared" si="1054"/>
        <v>1994</v>
      </c>
      <c r="C665" s="25">
        <v>34546</v>
      </c>
      <c r="D665" s="26">
        <f>VLOOKUP($C665,COS!$B$8:$H$991,3,FALSE)</f>
        <v>14755.16796875</v>
      </c>
      <c r="E665" s="24">
        <f>IF(D665&gt;=IF(MONTH($C665)=4,$C$3,IF(MONTH($C665)=5,$C$4,IF(MONTH($C665)=6,$C$5,IF(MONTH($C665)=7,$C$6,"ERROR")))),1,0)</f>
        <v>1</v>
      </c>
      <c r="F665" s="26">
        <f>VLOOKUP($C665,COS!$B$8:$H$991,7,FALSE)</f>
        <v>54.302021026611328</v>
      </c>
      <c r="G665" s="24">
        <f>IF(F665&lt;=IF(MONTH($C665)=4,$F$3,IF(MONTH($C665)=5,$F$4,IF(MONTH($C665)=6,$F$5,IF(MONTH($C665)=7,$F$6,"ERROR")))),1,0)</f>
        <v>0</v>
      </c>
      <c r="H665" s="26">
        <f>IF(J665=1,D665-$C$6,0)</f>
        <v>0</v>
      </c>
      <c r="I665" s="26">
        <f t="shared" si="982"/>
        <v>0</v>
      </c>
      <c r="J665" s="24">
        <f t="shared" si="1060"/>
        <v>0</v>
      </c>
      <c r="K665" s="26">
        <f>VLOOKUP($C665,COS!$B$8:$H$991,2,FALSE)</f>
        <v>2260.914306640625</v>
      </c>
      <c r="L665" s="24">
        <f t="shared" si="1046"/>
        <v>1</v>
      </c>
      <c r="M665" s="24">
        <f t="shared" si="1047"/>
        <v>1</v>
      </c>
      <c r="N665" s="26">
        <f>VLOOKUP($C665,COS!$B$8:$H$991,5,FALSE)</f>
        <v>905.84417724609375</v>
      </c>
      <c r="O665" s="26">
        <f t="shared" si="1063"/>
        <v>55.698187427363116</v>
      </c>
      <c r="P665" s="26">
        <f>VLOOKUP($C665,COS!$B$8:$H$991,6,FALSE)</f>
        <v>2281.4833984375</v>
      </c>
      <c r="Q665" s="26">
        <f t="shared" si="1064"/>
        <v>140.28294615185951</v>
      </c>
      <c r="R665" s="26">
        <f>MIN(IF(MONTH($C665)=4,$S$3,IF(MONTH($C665)=5,$S$4,IF(MONTH($C665)=6,$S$5,IF(MONTH($C665)=7,$S$6,"ERROR")))),MAX(VLOOKUP($C665,COS!$B$8:$K$991,10,FALSE)-IF(MONTH($C665)=4,$Y$3,IF(MONTH($C665)=5,$Y$4,IF(MONTH($C665)=6,$Y$5,IF(MONTH($C665)=7,$Y$6,"ERROR")))),0),MAX(VLOOKUP($C665,COS!$B$8:$K$991,9,FALSE)-IF(MONTH($C665)=4,$V$3,IF(MONTH($C665)=5,$V$4,IF(MONTH($C665)=6,$V$5,IF(MONTH($C665)=7,$V$6,"ERROR"))))-VLOOKUP($C665,COS!$B$8:$K$991,6,FALSE)/2,0))</f>
        <v>1500</v>
      </c>
      <c r="S665" s="26">
        <f t="shared" si="1065"/>
        <v>92.231404958677686</v>
      </c>
      <c r="T665" s="26">
        <f t="shared" si="1066"/>
        <v>190.22197174828898</v>
      </c>
      <c r="U665" s="26" t="str">
        <f>IF(VLOOKUP($C665,COS!$B$8:$I$991,8,FALSE)=1,"UWFE","IBU")</f>
        <v>IBU</v>
      </c>
      <c r="V665" s="26">
        <f t="shared" ref="V665" si="1070">MIN(IF(IF($AA$3=2,AND(E665=1,G665=1,L665=1,L667=1,M665=1,U665="IBU"),AND(E665=1,G665=1,L665=1,L667=1,M665=1)),T665,0),I665)</f>
        <v>0</v>
      </c>
      <c r="W665" s="26"/>
      <c r="X665" s="26"/>
      <c r="Y665" s="26"/>
      <c r="Z665" s="26"/>
      <c r="AA665" s="26"/>
      <c r="AB665" s="33"/>
    </row>
    <row r="666" spans="1:28" x14ac:dyDescent="0.3">
      <c r="A666" s="32">
        <f>VLOOKUP(YEAR(C666),Flags!$A$13:$B$95,2,FALSE)</f>
        <v>5</v>
      </c>
      <c r="B666" s="24">
        <f t="shared" si="1054"/>
        <v>1994</v>
      </c>
      <c r="C666" s="25">
        <v>34577</v>
      </c>
      <c r="D666" s="26"/>
      <c r="E666" s="24"/>
      <c r="F666" s="26"/>
      <c r="G666" s="24"/>
      <c r="H666" s="24"/>
      <c r="I666" s="26"/>
      <c r="J666" s="24"/>
      <c r="K666" s="26"/>
      <c r="L666" s="24"/>
      <c r="M666" s="24"/>
      <c r="N666" s="26"/>
      <c r="O666" s="26"/>
      <c r="P666" s="26"/>
      <c r="Q666" s="26"/>
      <c r="R666" s="26"/>
      <c r="S666" s="26"/>
      <c r="T666" s="26"/>
      <c r="U666" s="26"/>
      <c r="V666" s="26"/>
      <c r="W666" s="26">
        <f>MAX($C$7-VLOOKUP($C666,COS!$B$8:$H$991,3,FALSE),0)</f>
        <v>91434.9501953125</v>
      </c>
      <c r="X666" s="26">
        <f t="shared" si="972"/>
        <v>5622.1159458935954</v>
      </c>
      <c r="Y666" s="26">
        <f>VLOOKUP($C666,COS!$B$8:$H$991,4,FALSE)</f>
        <v>3456.213134765625</v>
      </c>
      <c r="Z666" s="26">
        <f t="shared" si="973"/>
        <v>212.51426217071281</v>
      </c>
      <c r="AA666" s="26">
        <f t="shared" ref="AA666:AA670" si="1071">MIN(W666,Y666)</f>
        <v>3456.213134765625</v>
      </c>
      <c r="AB666" s="33">
        <f t="shared" ref="AB666" si="1072">AA666*DAY($C666)*86400/43560/1000*IF(MONTH($C666)=8,$P$3,IF(MONTH($C666)=9,$P$4,IF(MONTH($C666)=10,$P$5,IF(MONTH($C666)=11,$P$6,IF(MONTH($C666)=12,$P$7,NA())))))</f>
        <v>212.51426217071281</v>
      </c>
    </row>
    <row r="667" spans="1:28" x14ac:dyDescent="0.3">
      <c r="A667" s="32">
        <f>VLOOKUP(YEAR(C667),Flags!$A$13:$B$95,2,FALSE)</f>
        <v>5</v>
      </c>
      <c r="B667" s="24">
        <f t="shared" si="1054"/>
        <v>1994</v>
      </c>
      <c r="C667" s="25">
        <v>34607</v>
      </c>
      <c r="D667" s="26"/>
      <c r="E667" s="24"/>
      <c r="F667" s="26"/>
      <c r="G667" s="24"/>
      <c r="H667" s="24"/>
      <c r="I667" s="26"/>
      <c r="J667" s="24"/>
      <c r="K667" s="26">
        <f>VLOOKUP($C667,COS!$B$8:$H$991,2,FALSE)</f>
        <v>1881.7786865234375</v>
      </c>
      <c r="L667" s="24">
        <f t="shared" ref="L667" si="1073">IF(AND(K667&gt;$I$7,K667&lt;$I$8),1,0)</f>
        <v>1</v>
      </c>
      <c r="M667" s="24"/>
      <c r="N667" s="26"/>
      <c r="O667" s="26"/>
      <c r="P667" s="26"/>
      <c r="Q667" s="26"/>
      <c r="R667" s="26"/>
      <c r="S667" s="26"/>
      <c r="T667" s="26"/>
      <c r="U667" s="26"/>
      <c r="V667" s="26"/>
      <c r="W667" s="26">
        <f>MAX($C$8-VLOOKUP($C667,COS!$B$8:$H$991,3,FALSE),0)</f>
        <v>95592.1025390625</v>
      </c>
      <c r="X667" s="26">
        <f t="shared" si="972"/>
        <v>5688.1251097623963</v>
      </c>
      <c r="Y667" s="26">
        <f>VLOOKUP($C667,COS!$B$8:$H$991,4,FALSE)</f>
        <v>676.519775390625</v>
      </c>
      <c r="Z667" s="26">
        <f t="shared" si="973"/>
        <v>40.255722172004134</v>
      </c>
      <c r="AA667" s="26">
        <f t="shared" si="1071"/>
        <v>676.519775390625</v>
      </c>
      <c r="AB667" s="33">
        <f t="shared" si="1058"/>
        <v>40.255722172004134</v>
      </c>
    </row>
    <row r="668" spans="1:28" x14ac:dyDescent="0.3">
      <c r="A668" s="32">
        <f>VLOOKUP(YEAR(C668),Flags!$A$13:$B$95,2,FALSE)</f>
        <v>5</v>
      </c>
      <c r="B668" s="24">
        <f t="shared" si="1054"/>
        <v>1994</v>
      </c>
      <c r="C668" s="25">
        <v>34638</v>
      </c>
      <c r="D668" s="26"/>
      <c r="E668" s="24"/>
      <c r="F668" s="26"/>
      <c r="G668" s="26"/>
      <c r="H668" s="26"/>
      <c r="I668" s="26"/>
      <c r="J668" s="26"/>
      <c r="K668" s="26"/>
      <c r="L668" s="24"/>
      <c r="M668" s="24"/>
      <c r="N668" s="26"/>
      <c r="O668" s="26"/>
      <c r="P668" s="26"/>
      <c r="Q668" s="26"/>
      <c r="R668" s="26"/>
      <c r="S668" s="26"/>
      <c r="T668" s="26"/>
      <c r="U668" s="26"/>
      <c r="V668" s="26"/>
      <c r="W668" s="26">
        <f>MAX($C$9-VLOOKUP($C668,COS!$B$8:$H$991,3,FALSE),0)</f>
        <v>95461.50390625</v>
      </c>
      <c r="X668" s="26">
        <f t="shared" si="972"/>
        <v>5869.6990831611565</v>
      </c>
      <c r="Y668" s="26">
        <f>VLOOKUP($C668,COS!$B$8:$H$991,4,FALSE)</f>
        <v>1343.8326416015625</v>
      </c>
      <c r="Z668" s="26">
        <f t="shared" si="973"/>
        <v>82.629048376162189</v>
      </c>
      <c r="AA668" s="26">
        <f t="shared" si="1071"/>
        <v>1343.8326416015625</v>
      </c>
      <c r="AB668" s="33">
        <f t="shared" si="1058"/>
        <v>82.629048376162189</v>
      </c>
    </row>
    <row r="669" spans="1:28" x14ac:dyDescent="0.3">
      <c r="A669" s="32">
        <f>VLOOKUP(YEAR(C669),Flags!$A$13:$B$95,2,FALSE)</f>
        <v>5</v>
      </c>
      <c r="B669" s="24">
        <f t="shared" si="1054"/>
        <v>1994</v>
      </c>
      <c r="C669" s="25">
        <v>34668</v>
      </c>
      <c r="D669" s="26"/>
      <c r="E669" s="24"/>
      <c r="F669" s="26"/>
      <c r="G669" s="26"/>
      <c r="H669" s="26"/>
      <c r="I669" s="26"/>
      <c r="J669" s="26"/>
      <c r="K669" s="26"/>
      <c r="L669" s="24"/>
      <c r="M669" s="24"/>
      <c r="N669" s="26"/>
      <c r="O669" s="26"/>
      <c r="P669" s="26"/>
      <c r="Q669" s="26"/>
      <c r="R669" s="26"/>
      <c r="S669" s="26"/>
      <c r="T669" s="26"/>
      <c r="U669" s="26"/>
      <c r="V669" s="26"/>
      <c r="W669" s="26">
        <f>MAX($C$10-VLOOKUP($C669,COS!$B$8:$H$991,3,FALSE),0)</f>
        <v>96749</v>
      </c>
      <c r="X669" s="26">
        <f t="shared" si="972"/>
        <v>5756.965289256198</v>
      </c>
      <c r="Y669" s="26">
        <f>VLOOKUP($C669,COS!$B$8:$H$991,4,FALSE)</f>
        <v>1050.6527099609375</v>
      </c>
      <c r="Z669" s="26">
        <f t="shared" si="973"/>
        <v>62.51817778279959</v>
      </c>
      <c r="AA669" s="26">
        <f t="shared" si="1071"/>
        <v>1050.6527099609375</v>
      </c>
      <c r="AB669" s="33">
        <f t="shared" si="1058"/>
        <v>62.51817778279959</v>
      </c>
    </row>
    <row r="670" spans="1:28" x14ac:dyDescent="0.3">
      <c r="A670" s="34">
        <f>VLOOKUP(YEAR(C670),Flags!$A$13:$B$95,2,FALSE)</f>
        <v>5</v>
      </c>
      <c r="B670" s="35">
        <f t="shared" si="1054"/>
        <v>1994</v>
      </c>
      <c r="C670" s="36">
        <v>34699</v>
      </c>
      <c r="D670" s="37"/>
      <c r="E670" s="35"/>
      <c r="F670" s="37"/>
      <c r="G670" s="37"/>
      <c r="H670" s="37"/>
      <c r="I670" s="37"/>
      <c r="J670" s="37"/>
      <c r="K670" s="37"/>
      <c r="L670" s="35"/>
      <c r="M670" s="35"/>
      <c r="N670" s="37"/>
      <c r="O670" s="37"/>
      <c r="P670" s="37"/>
      <c r="Q670" s="37"/>
      <c r="R670" s="37"/>
      <c r="S670" s="37"/>
      <c r="T670" s="37"/>
      <c r="U670" s="37"/>
      <c r="V670" s="37"/>
      <c r="W670" s="37">
        <f>MAX($C$11-VLOOKUP($C670,COS!$B$8:$H$991,3,FALSE),0)</f>
        <v>96749</v>
      </c>
      <c r="X670" s="37">
        <f t="shared" si="972"/>
        <v>5948.8641322314052</v>
      </c>
      <c r="Y670" s="37">
        <f>VLOOKUP($C670,COS!$B$8:$H$991,4,FALSE)</f>
        <v>2007.343505859375</v>
      </c>
      <c r="Z670" s="37">
        <f t="shared" si="973"/>
        <v>123.42674118672521</v>
      </c>
      <c r="AA670" s="37">
        <f t="shared" si="1071"/>
        <v>2007.343505859375</v>
      </c>
      <c r="AB670" s="38">
        <f t="shared" si="1058"/>
        <v>123.42674118672521</v>
      </c>
    </row>
    <row r="671" spans="1:28" x14ac:dyDescent="0.3">
      <c r="A671" s="27">
        <f>VLOOKUP(YEAR(C671),Flags!$A$13:$B$95,2,FALSE)</f>
        <v>1</v>
      </c>
      <c r="B671" s="28">
        <f t="shared" si="1054"/>
        <v>1995</v>
      </c>
      <c r="C671" s="29">
        <v>34819</v>
      </c>
      <c r="D671" s="30">
        <f>VLOOKUP($C671,COS!$B$8:$H$991,3,FALSE)</f>
        <v>7633.5703125</v>
      </c>
      <c r="E671" s="28">
        <f>IF(D671&gt;=IF(MONTH($C671)=4,$C$3,IF(MONTH($C671)=5,$C$4,IF(MONTH($C671)=6,$C$5,IF(MONTH($C671)=7,$C$6,"ERROR")))),1,0)</f>
        <v>1</v>
      </c>
      <c r="F671" s="30">
        <f>VLOOKUP($C671,COS!$B$8:$H$991,7,FALSE)</f>
        <v>49.096889495849609</v>
      </c>
      <c r="G671" s="28">
        <f>IF(F671&lt;=IF(MONTH($C671)=4,$F$3,IF(MONTH($C671)=5,$F$4,IF(MONTH($C671)=6,$F$5,IF(MONTH($C671)=7,$F$6,"ERROR")))),1,0)</f>
        <v>1</v>
      </c>
      <c r="H671" s="30">
        <f>IF(J671=1,D671-$C$3,0)</f>
        <v>1633.5703125</v>
      </c>
      <c r="I671" s="30">
        <f t="shared" si="982"/>
        <v>97.204183884297521</v>
      </c>
      <c r="J671" s="28">
        <f t="shared" ref="J671:J674" si="1074">IF(AND(E671=1,G671=1),1,0)</f>
        <v>1</v>
      </c>
      <c r="K671" s="30">
        <f>VLOOKUP($C671,COS!$B$8:$H$991,2,FALSE)</f>
        <v>4216.7998046875</v>
      </c>
      <c r="L671" s="28">
        <f t="shared" ref="L671" si="1075">IF(K671&lt;=IF(MONTH($C671)=4,$I$3,IF(MONTH($C671)=5,$I$4,IF(MONTH($C671)=6,$I$5,IF(MONTH($C671)=7,$I$6,"ERROR")))),1,0)</f>
        <v>1</v>
      </c>
      <c r="M671" s="28">
        <f t="shared" ref="M671" si="1076">VLOOKUP($A671,$L$3:$M$7,2,FALSE)</f>
        <v>0</v>
      </c>
      <c r="N671" s="30">
        <f>VLOOKUP($C671,COS!$B$8:$H$991,5,FALSE)</f>
        <v>350.99301147460938</v>
      </c>
      <c r="O671" s="30">
        <f t="shared" ref="O671:O674" si="1077">N671*DAY($C671)*86400/43560/1000</f>
        <v>20.885534567084193</v>
      </c>
      <c r="P671" s="30">
        <f>VLOOKUP($C671,COS!$B$8:$H$991,6,FALSE)</f>
        <v>420.74978637695313</v>
      </c>
      <c r="Q671" s="30">
        <f t="shared" ref="Q671:Q674" si="1078">P671*DAY($C671)*86400/43560/1000</f>
        <v>25.036350924909605</v>
      </c>
      <c r="R671" s="30">
        <f>MIN(IF(MONTH($C671)=4,$S$3,IF(MONTH($C671)=5,$S$4,IF(MONTH($C671)=6,$S$5,IF(MONTH($C671)=7,$S$6,"ERROR")))),MAX(VLOOKUP($C671,COS!$B$8:$K$991,10,FALSE)-IF(MONTH($C671)=4,$Y$3,IF(MONTH($C671)=5,$Y$4,IF(MONTH($C671)=6,$Y$5,IF(MONTH($C671)=7,$Y$6,"ERROR")))),0),MAX(VLOOKUP($C671,COS!$B$8:$K$991,9,FALSE)-IF(MONTH($C671)=4,$V$3,IF(MONTH($C671)=5,$V$4,IF(MONTH($C671)=6,$V$5,IF(MONTH($C671)=7,$V$6,"ERROR"))))-VLOOKUP($C671,COS!$B$8:$K$991,6,FALSE)/2,0))</f>
        <v>1500</v>
      </c>
      <c r="S671" s="30">
        <f t="shared" ref="S671:S674" si="1079">R671*DAY($C671)*86400/43560/1000</f>
        <v>89.256198347107429</v>
      </c>
      <c r="T671" s="30">
        <f t="shared" ref="T671:T674" si="1080">(O671+Q671)/2+S671</f>
        <v>112.21714109310433</v>
      </c>
      <c r="U671" s="30" t="str">
        <f>IF(VLOOKUP($C671,COS!$B$8:$I$991,8,FALSE)=1,"UWFE","IBU")</f>
        <v>UWFE</v>
      </c>
      <c r="V671" s="30">
        <f t="shared" ref="V671" si="1081">MIN(IF(IF($AA$3=2,AND(E671=1,G671=1,L671=1,L676=1,M671=1,U671="IBU"),AND(E671=1,G671=1,L671=1,L676=1,M671=1)),T671,0),I671)</f>
        <v>0</v>
      </c>
      <c r="W671" s="30"/>
      <c r="X671" s="30"/>
      <c r="Y671" s="30"/>
      <c r="Z671" s="30"/>
      <c r="AA671" s="30"/>
      <c r="AB671" s="31"/>
    </row>
    <row r="672" spans="1:28" x14ac:dyDescent="0.3">
      <c r="A672" s="32">
        <f>VLOOKUP(YEAR(C672),Flags!$A$13:$B$95,2,FALSE)</f>
        <v>1</v>
      </c>
      <c r="B672" s="24">
        <f t="shared" si="1054"/>
        <v>1995</v>
      </c>
      <c r="C672" s="25">
        <v>34850</v>
      </c>
      <c r="D672" s="26">
        <f>VLOOKUP($C672,COS!$B$8:$H$991,3,FALSE)</f>
        <v>10509.75390625</v>
      </c>
      <c r="E672" s="24">
        <f>IF(D672&gt;=IF(MONTH($C672)=4,$C$3,IF(MONTH($C672)=5,$C$4,IF(MONTH($C672)=6,$C$5,IF(MONTH($C672)=7,$C$6,"ERROR")))),1,0)</f>
        <v>1</v>
      </c>
      <c r="F672" s="26">
        <f>VLOOKUP($C672,COS!$B$8:$H$991,7,FALSE)</f>
        <v>50.252239227294922</v>
      </c>
      <c r="G672" s="24">
        <f>IF(F672&lt;=IF(MONTH($C672)=4,$F$3,IF(MONTH($C672)=5,$F$4,IF(MONTH($C672)=6,$F$5,IF(MONTH($C672)=7,$F$6,"ERROR")))),1,0)</f>
        <v>1</v>
      </c>
      <c r="H672" s="26">
        <f>IF(J672=1,D672-$C$4,0)</f>
        <v>4509.75390625</v>
      </c>
      <c r="I672" s="26">
        <f t="shared" si="982"/>
        <v>277.29395919421489</v>
      </c>
      <c r="J672" s="24">
        <f t="shared" si="1074"/>
        <v>1</v>
      </c>
      <c r="K672" s="26">
        <f>VLOOKUP($C672,COS!$B$8:$H$991,2,FALSE)</f>
        <v>4552</v>
      </c>
      <c r="L672" s="24">
        <f t="shared" si="1046"/>
        <v>1</v>
      </c>
      <c r="M672" s="24">
        <f t="shared" si="1047"/>
        <v>0</v>
      </c>
      <c r="N672" s="26">
        <f>VLOOKUP($C672,COS!$B$8:$H$991,5,FALSE)</f>
        <v>475.432861328125</v>
      </c>
      <c r="O672" s="26">
        <f t="shared" si="1077"/>
        <v>29.233227175878099</v>
      </c>
      <c r="P672" s="26">
        <f>VLOOKUP($C672,COS!$B$8:$H$991,6,FALSE)</f>
        <v>1824.550537109375</v>
      </c>
      <c r="Q672" s="26">
        <f t="shared" si="1078"/>
        <v>112.18723963713842</v>
      </c>
      <c r="R672" s="26">
        <f>MIN(IF(MONTH($C672)=4,$S$3,IF(MONTH($C672)=5,$S$4,IF(MONTH($C672)=6,$S$5,IF(MONTH($C672)=7,$S$6,"ERROR")))),MAX(VLOOKUP($C672,COS!$B$8:$K$991,10,FALSE)-IF(MONTH($C672)=4,$Y$3,IF(MONTH($C672)=5,$Y$4,IF(MONTH($C672)=6,$Y$5,IF(MONTH($C672)=7,$Y$6,"ERROR")))),0),MAX(VLOOKUP($C672,COS!$B$8:$K$991,9,FALSE)-IF(MONTH($C672)=4,$V$3,IF(MONTH($C672)=5,$V$4,IF(MONTH($C672)=6,$V$5,IF(MONTH($C672)=7,$V$6,"ERROR"))))-VLOOKUP($C672,COS!$B$8:$K$991,6,FALSE)/2,0))</f>
        <v>1500</v>
      </c>
      <c r="S672" s="26">
        <f t="shared" si="1079"/>
        <v>92.231404958677686</v>
      </c>
      <c r="T672" s="26">
        <f t="shared" si="1080"/>
        <v>162.94163836518595</v>
      </c>
      <c r="U672" s="26" t="str">
        <f>IF(VLOOKUP($C672,COS!$B$8:$I$991,8,FALSE)=1,"UWFE","IBU")</f>
        <v>UWFE</v>
      </c>
      <c r="V672" s="26">
        <f t="shared" ref="V672" si="1082">MIN(IF(IF($AA$3=2,AND(E672=1,G672=1,L672=1,L676=1,M672=1,U672="IBU"),AND(E672=1,G672=1,L672=1,L676=1,M672=1)),T672,0),I672)</f>
        <v>0</v>
      </c>
      <c r="W672" s="26"/>
      <c r="X672" s="26"/>
      <c r="Y672" s="26"/>
      <c r="Z672" s="26"/>
      <c r="AA672" s="26"/>
      <c r="AB672" s="33"/>
    </row>
    <row r="673" spans="1:28" x14ac:dyDescent="0.3">
      <c r="A673" s="32">
        <f>VLOOKUP(YEAR(C673),Flags!$A$13:$B$95,2,FALSE)</f>
        <v>1</v>
      </c>
      <c r="B673" s="24">
        <f t="shared" si="1054"/>
        <v>1995</v>
      </c>
      <c r="C673" s="25">
        <v>34880</v>
      </c>
      <c r="D673" s="26">
        <f>VLOOKUP($C673,COS!$B$8:$H$991,3,FALSE)</f>
        <v>8446.6552734375</v>
      </c>
      <c r="E673" s="24">
        <f>IF(D673&gt;=IF(MONTH($C673)=4,$C$3,IF(MONTH($C673)=5,$C$4,IF(MONTH($C673)=6,$C$5,IF(MONTH($C673)=7,$C$6,"ERROR")))),1,0)</f>
        <v>0</v>
      </c>
      <c r="F673" s="26">
        <f>VLOOKUP($C673,COS!$B$8:$H$991,7,FALSE)</f>
        <v>52.693340301513672</v>
      </c>
      <c r="G673" s="24">
        <f>IF(F673&lt;=IF(MONTH($C673)=4,$F$3,IF(MONTH($C673)=5,$F$4,IF(MONTH($C673)=6,$F$5,IF(MONTH($C673)=7,$F$6,"ERROR")))),1,0)</f>
        <v>1</v>
      </c>
      <c r="H673" s="26">
        <f>IF(J673=1,D673-$C$5,0)</f>
        <v>0</v>
      </c>
      <c r="I673" s="26">
        <f t="shared" ref="I673:I736" si="1083">H673*DAY($C673)*86400/43560/1000</f>
        <v>0</v>
      </c>
      <c r="J673" s="24">
        <f t="shared" si="1074"/>
        <v>0</v>
      </c>
      <c r="K673" s="26">
        <f>VLOOKUP($C673,COS!$B$8:$H$991,2,FALSE)</f>
        <v>4500</v>
      </c>
      <c r="L673" s="24">
        <f t="shared" si="1046"/>
        <v>1</v>
      </c>
      <c r="M673" s="24">
        <f t="shared" si="1047"/>
        <v>0</v>
      </c>
      <c r="N673" s="26">
        <f>VLOOKUP($C673,COS!$B$8:$H$991,5,FALSE)</f>
        <v>1088.7784423828125</v>
      </c>
      <c r="O673" s="26">
        <f t="shared" si="1077"/>
        <v>64.786816406249997</v>
      </c>
      <c r="P673" s="26">
        <f>VLOOKUP($C673,COS!$B$8:$H$991,6,FALSE)</f>
        <v>2195.234619140625</v>
      </c>
      <c r="Q673" s="26">
        <f t="shared" si="1078"/>
        <v>130.62553105630167</v>
      </c>
      <c r="R673" s="26">
        <f>MIN(IF(MONTH($C673)=4,$S$3,IF(MONTH($C673)=5,$S$4,IF(MONTH($C673)=6,$S$5,IF(MONTH($C673)=7,$S$6,"ERROR")))),MAX(VLOOKUP($C673,COS!$B$8:$K$991,10,FALSE)-IF(MONTH($C673)=4,$Y$3,IF(MONTH($C673)=5,$Y$4,IF(MONTH($C673)=6,$Y$5,IF(MONTH($C673)=7,$Y$6,"ERROR")))),0),MAX(VLOOKUP($C673,COS!$B$8:$K$991,9,FALSE)-IF(MONTH($C673)=4,$V$3,IF(MONTH($C673)=5,$V$4,IF(MONTH($C673)=6,$V$5,IF(MONTH($C673)=7,$V$6,"ERROR"))))-VLOOKUP($C673,COS!$B$8:$K$991,6,FALSE)/2,0))</f>
        <v>1500</v>
      </c>
      <c r="S673" s="26">
        <f t="shared" si="1079"/>
        <v>89.256198347107429</v>
      </c>
      <c r="T673" s="26">
        <f t="shared" si="1080"/>
        <v>186.96237207838328</v>
      </c>
      <c r="U673" s="26" t="str">
        <f>IF(VLOOKUP($C673,COS!$B$8:$I$991,8,FALSE)=1,"UWFE","IBU")</f>
        <v>UWFE</v>
      </c>
      <c r="V673" s="26">
        <f t="shared" ref="V673" si="1084">MIN(IF(IF($AA$3=2,AND(E673=1,G673=1,L673=1,L676=1,M673=1,U673="IBU"),AND(E673=1,G673=1,L673=1,L676=1,M673=1)),T673,0),I673)</f>
        <v>0</v>
      </c>
      <c r="W673" s="26"/>
      <c r="X673" s="26"/>
      <c r="Y673" s="26"/>
      <c r="Z673" s="26"/>
      <c r="AA673" s="26"/>
      <c r="AB673" s="33"/>
    </row>
    <row r="674" spans="1:28" x14ac:dyDescent="0.3">
      <c r="A674" s="32">
        <f>VLOOKUP(YEAR(C674),Flags!$A$13:$B$95,2,FALSE)</f>
        <v>1</v>
      </c>
      <c r="B674" s="24">
        <f t="shared" si="1054"/>
        <v>1995</v>
      </c>
      <c r="C674" s="25">
        <v>34911</v>
      </c>
      <c r="D674" s="26">
        <f>VLOOKUP($C674,COS!$B$8:$H$991,3,FALSE)</f>
        <v>9700.0400390625</v>
      </c>
      <c r="E674" s="24">
        <f>IF(D674&gt;=IF(MONTH($C674)=4,$C$3,IF(MONTH($C674)=5,$C$4,IF(MONTH($C674)=6,$C$5,IF(MONTH($C674)=7,$C$6,"ERROR")))),1,0)</f>
        <v>0</v>
      </c>
      <c r="F674" s="26">
        <f>VLOOKUP($C674,COS!$B$8:$H$991,7,FALSE)</f>
        <v>53.995834350585938</v>
      </c>
      <c r="G674" s="24">
        <f>IF(F674&lt;=IF(MONTH($C674)=4,$F$3,IF(MONTH($C674)=5,$F$4,IF(MONTH($C674)=6,$F$5,IF(MONTH($C674)=7,$F$6,"ERROR")))),1,0)</f>
        <v>0</v>
      </c>
      <c r="H674" s="26">
        <f>IF(J674=1,D674-$C$6,0)</f>
        <v>0</v>
      </c>
      <c r="I674" s="26">
        <f t="shared" si="1083"/>
        <v>0</v>
      </c>
      <c r="J674" s="24">
        <f t="shared" si="1074"/>
        <v>0</v>
      </c>
      <c r="K674" s="26">
        <f>VLOOKUP($C674,COS!$B$8:$H$991,2,FALSE)</f>
        <v>4150</v>
      </c>
      <c r="L674" s="24">
        <f t="shared" si="1046"/>
        <v>1</v>
      </c>
      <c r="M674" s="24">
        <f t="shared" si="1047"/>
        <v>0</v>
      </c>
      <c r="N674" s="26">
        <f>VLOOKUP($C674,COS!$B$8:$H$991,5,FALSE)</f>
        <v>1360.538818359375</v>
      </c>
      <c r="O674" s="26">
        <f t="shared" si="1077"/>
        <v>83.656271145402897</v>
      </c>
      <c r="P674" s="26">
        <f>VLOOKUP($C674,COS!$B$8:$H$991,6,FALSE)</f>
        <v>2616.67822265625</v>
      </c>
      <c r="Q674" s="26">
        <f t="shared" si="1078"/>
        <v>160.89327253357436</v>
      </c>
      <c r="R674" s="26">
        <f>MIN(IF(MONTH($C674)=4,$S$3,IF(MONTH($C674)=5,$S$4,IF(MONTH($C674)=6,$S$5,IF(MONTH($C674)=7,$S$6,"ERROR")))),MAX(VLOOKUP($C674,COS!$B$8:$K$991,10,FALSE)-IF(MONTH($C674)=4,$Y$3,IF(MONTH($C674)=5,$Y$4,IF(MONTH($C674)=6,$Y$5,IF(MONTH($C674)=7,$Y$6,"ERROR")))),0),MAX(VLOOKUP($C674,COS!$B$8:$K$991,9,FALSE)-IF(MONTH($C674)=4,$V$3,IF(MONTH($C674)=5,$V$4,IF(MONTH($C674)=6,$V$5,IF(MONTH($C674)=7,$V$6,"ERROR"))))-VLOOKUP($C674,COS!$B$8:$K$991,6,FALSE)/2,0))</f>
        <v>1500</v>
      </c>
      <c r="S674" s="26">
        <f t="shared" si="1079"/>
        <v>92.231404958677686</v>
      </c>
      <c r="T674" s="26">
        <f t="shared" si="1080"/>
        <v>214.50617679816634</v>
      </c>
      <c r="U674" s="26" t="str">
        <f>IF(VLOOKUP($C674,COS!$B$8:$I$991,8,FALSE)=1,"UWFE","IBU")</f>
        <v>UWFE</v>
      </c>
      <c r="V674" s="26">
        <f t="shared" ref="V674" si="1085">MIN(IF(IF($AA$3=2,AND(E674=1,G674=1,L674=1,L676=1,M674=1,U674="IBU"),AND(E674=1,G674=1,L674=1,L676=1,M674=1)),T674,0),I674)</f>
        <v>0</v>
      </c>
      <c r="W674" s="26"/>
      <c r="X674" s="26"/>
      <c r="Y674" s="26"/>
      <c r="Z674" s="26"/>
      <c r="AA674" s="26"/>
      <c r="AB674" s="33"/>
    </row>
    <row r="675" spans="1:28" x14ac:dyDescent="0.3">
      <c r="A675" s="32">
        <f>VLOOKUP(YEAR(C675),Flags!$A$13:$B$95,2,FALSE)</f>
        <v>1</v>
      </c>
      <c r="B675" s="24">
        <f t="shared" si="1054"/>
        <v>1995</v>
      </c>
      <c r="C675" s="25">
        <v>34942</v>
      </c>
      <c r="D675" s="26"/>
      <c r="E675" s="24"/>
      <c r="F675" s="26"/>
      <c r="G675" s="24"/>
      <c r="H675" s="24"/>
      <c r="I675" s="26"/>
      <c r="J675" s="24"/>
      <c r="K675" s="26"/>
      <c r="L675" s="24"/>
      <c r="M675" s="24"/>
      <c r="N675" s="26"/>
      <c r="O675" s="26"/>
      <c r="P675" s="26"/>
      <c r="Q675" s="26"/>
      <c r="R675" s="26"/>
      <c r="S675" s="26"/>
      <c r="T675" s="26"/>
      <c r="U675" s="26"/>
      <c r="V675" s="26"/>
      <c r="W675" s="26">
        <f>MAX($C$7-VLOOKUP($C675,COS!$B$8:$H$991,3,FALSE),0)</f>
        <v>87744.4052734375</v>
      </c>
      <c r="X675" s="26">
        <f t="shared" ref="X675:X738" si="1086">W675*DAY($C675)*86400/43560/1000</f>
        <v>5395.1931837551647</v>
      </c>
      <c r="Y675" s="26">
        <f>VLOOKUP($C675,COS!$B$8:$H$991,4,FALSE)</f>
        <v>0</v>
      </c>
      <c r="Z675" s="26">
        <f t="shared" ref="Z675:Z738" si="1087">Y675*DAY($C675)*86400/43560/1000</f>
        <v>0</v>
      </c>
      <c r="AA675" s="26">
        <f t="shared" ref="AA675:AA679" si="1088">MIN(W675,Y675)</f>
        <v>0</v>
      </c>
      <c r="AB675" s="33">
        <f t="shared" ref="AB675" si="1089">AA675*DAY($C675)*86400/43560/1000*IF(MONTH($C675)=8,$P$3,IF(MONTH($C675)=9,$P$4,IF(MONTH($C675)=10,$P$5,IF(MONTH($C675)=11,$P$6,IF(MONTH($C675)=12,$P$7,NA())))))</f>
        <v>0</v>
      </c>
    </row>
    <row r="676" spans="1:28" x14ac:dyDescent="0.3">
      <c r="A676" s="32">
        <f>VLOOKUP(YEAR(C676),Flags!$A$13:$B$95,2,FALSE)</f>
        <v>1</v>
      </c>
      <c r="B676" s="24">
        <f t="shared" si="1054"/>
        <v>1995</v>
      </c>
      <c r="C676" s="25">
        <v>34972</v>
      </c>
      <c r="D676" s="26"/>
      <c r="E676" s="24"/>
      <c r="F676" s="26"/>
      <c r="G676" s="24"/>
      <c r="H676" s="24"/>
      <c r="I676" s="26"/>
      <c r="J676" s="24"/>
      <c r="K676" s="26">
        <f>VLOOKUP($C676,COS!$B$8:$H$991,2,FALSE)</f>
        <v>3358.360595703125</v>
      </c>
      <c r="L676" s="24">
        <f t="shared" ref="L676" si="1090">IF(AND(K676&gt;$I$7,K676&lt;$I$8),1,0)</f>
        <v>1</v>
      </c>
      <c r="M676" s="24"/>
      <c r="N676" s="26"/>
      <c r="O676" s="26"/>
      <c r="P676" s="26"/>
      <c r="Q676" s="26"/>
      <c r="R676" s="26"/>
      <c r="S676" s="26"/>
      <c r="T676" s="26"/>
      <c r="U676" s="26"/>
      <c r="V676" s="26"/>
      <c r="W676" s="26">
        <f>MAX($C$8-VLOOKUP($C676,COS!$B$8:$H$991,3,FALSE),0)</f>
        <v>88333.3603515625</v>
      </c>
      <c r="X676" s="26">
        <f t="shared" si="1086"/>
        <v>5256.1999548037193</v>
      </c>
      <c r="Y676" s="26">
        <f>VLOOKUP($C676,COS!$B$8:$H$991,4,FALSE)</f>
        <v>0</v>
      </c>
      <c r="Z676" s="26">
        <f t="shared" si="1087"/>
        <v>0</v>
      </c>
      <c r="AA676" s="26">
        <f t="shared" si="1088"/>
        <v>0</v>
      </c>
      <c r="AB676" s="33">
        <f t="shared" si="1058"/>
        <v>0</v>
      </c>
    </row>
    <row r="677" spans="1:28" x14ac:dyDescent="0.3">
      <c r="A677" s="32">
        <f>VLOOKUP(YEAR(C677),Flags!$A$13:$B$95,2,FALSE)</f>
        <v>1</v>
      </c>
      <c r="B677" s="24">
        <f t="shared" si="1054"/>
        <v>1995</v>
      </c>
      <c r="C677" s="25">
        <v>35003</v>
      </c>
      <c r="D677" s="26"/>
      <c r="E677" s="24"/>
      <c r="F677" s="26"/>
      <c r="G677" s="26"/>
      <c r="H677" s="26"/>
      <c r="I677" s="26"/>
      <c r="J677" s="26"/>
      <c r="K677" s="26"/>
      <c r="L677" s="24"/>
      <c r="M677" s="24"/>
      <c r="N677" s="26"/>
      <c r="O677" s="26"/>
      <c r="P677" s="26"/>
      <c r="Q677" s="26"/>
      <c r="R677" s="26"/>
      <c r="S677" s="26"/>
      <c r="T677" s="26"/>
      <c r="U677" s="26"/>
      <c r="V677" s="26"/>
      <c r="W677" s="26">
        <f>MAX($C$9-VLOOKUP($C677,COS!$B$8:$H$991,3,FALSE),0)</f>
        <v>92444.8486328125</v>
      </c>
      <c r="X677" s="26">
        <f t="shared" si="1086"/>
        <v>5684.2121803977279</v>
      </c>
      <c r="Y677" s="26">
        <f>VLOOKUP($C677,COS!$B$8:$H$991,4,FALSE)</f>
        <v>122.30811309814453</v>
      </c>
      <c r="Z677" s="26">
        <f t="shared" si="1087"/>
        <v>7.5204327392578127</v>
      </c>
      <c r="AA677" s="26">
        <f t="shared" si="1088"/>
        <v>122.30811309814453</v>
      </c>
      <c r="AB677" s="33">
        <f t="shared" si="1058"/>
        <v>7.5204327392578127</v>
      </c>
    </row>
    <row r="678" spans="1:28" x14ac:dyDescent="0.3">
      <c r="A678" s="32">
        <f>VLOOKUP(YEAR(C678),Flags!$A$13:$B$95,2,FALSE)</f>
        <v>1</v>
      </c>
      <c r="B678" s="24">
        <f t="shared" si="1054"/>
        <v>1995</v>
      </c>
      <c r="C678" s="25">
        <v>35033</v>
      </c>
      <c r="D678" s="26"/>
      <c r="E678" s="24"/>
      <c r="F678" s="26"/>
      <c r="G678" s="26"/>
      <c r="H678" s="26"/>
      <c r="I678" s="26"/>
      <c r="J678" s="26"/>
      <c r="K678" s="26"/>
      <c r="L678" s="24"/>
      <c r="M678" s="24"/>
      <c r="N678" s="26"/>
      <c r="O678" s="26"/>
      <c r="P678" s="26"/>
      <c r="Q678" s="26"/>
      <c r="R678" s="26"/>
      <c r="S678" s="26"/>
      <c r="T678" s="26"/>
      <c r="U678" s="26"/>
      <c r="V678" s="26"/>
      <c r="W678" s="26">
        <f>MAX($C$10-VLOOKUP($C678,COS!$B$8:$H$991,3,FALSE),0)</f>
        <v>88843.8232421875</v>
      </c>
      <c r="X678" s="26">
        <f t="shared" si="1086"/>
        <v>5286.5746061466944</v>
      </c>
      <c r="Y678" s="26">
        <f>VLOOKUP($C678,COS!$B$8:$H$991,4,FALSE)</f>
        <v>1767.1361083984375</v>
      </c>
      <c r="Z678" s="26">
        <f t="shared" si="1087"/>
        <v>105.15190066503099</v>
      </c>
      <c r="AA678" s="26">
        <f t="shared" si="1088"/>
        <v>1767.1361083984375</v>
      </c>
      <c r="AB678" s="33">
        <f t="shared" si="1058"/>
        <v>105.15190066503099</v>
      </c>
    </row>
    <row r="679" spans="1:28" x14ac:dyDescent="0.3">
      <c r="A679" s="34">
        <f>VLOOKUP(YEAR(C679),Flags!$A$13:$B$95,2,FALSE)</f>
        <v>1</v>
      </c>
      <c r="B679" s="35">
        <f t="shared" si="1054"/>
        <v>1995</v>
      </c>
      <c r="C679" s="36">
        <v>35064</v>
      </c>
      <c r="D679" s="37"/>
      <c r="E679" s="35"/>
      <c r="F679" s="37"/>
      <c r="G679" s="37"/>
      <c r="H679" s="37"/>
      <c r="I679" s="37"/>
      <c r="J679" s="37"/>
      <c r="K679" s="37"/>
      <c r="L679" s="35"/>
      <c r="M679" s="35"/>
      <c r="N679" s="37"/>
      <c r="O679" s="37"/>
      <c r="P679" s="37"/>
      <c r="Q679" s="37"/>
      <c r="R679" s="37"/>
      <c r="S679" s="37"/>
      <c r="T679" s="37"/>
      <c r="U679" s="37"/>
      <c r="V679" s="37"/>
      <c r="W679" s="37">
        <f>MAX($C$11-VLOOKUP($C679,COS!$B$8:$H$991,3,FALSE),0)</f>
        <v>96575.743408203125</v>
      </c>
      <c r="X679" s="37">
        <f t="shared" si="1086"/>
        <v>5938.2109996448871</v>
      </c>
      <c r="Y679" s="37">
        <f>VLOOKUP($C679,COS!$B$8:$H$991,4,FALSE)</f>
        <v>0</v>
      </c>
      <c r="Z679" s="37">
        <f t="shared" si="1087"/>
        <v>0</v>
      </c>
      <c r="AA679" s="37">
        <f t="shared" si="1088"/>
        <v>0</v>
      </c>
      <c r="AB679" s="38">
        <f t="shared" si="1058"/>
        <v>0</v>
      </c>
    </row>
    <row r="680" spans="1:28" x14ac:dyDescent="0.3">
      <c r="A680" s="27">
        <f>VLOOKUP(YEAR(C680),Flags!$A$13:$B$95,2,FALSE)</f>
        <v>1</v>
      </c>
      <c r="B680" s="28">
        <f t="shared" si="1054"/>
        <v>1996</v>
      </c>
      <c r="C680" s="29">
        <v>35185</v>
      </c>
      <c r="D680" s="30">
        <f>VLOOKUP($C680,COS!$B$8:$H$991,3,FALSE)</f>
        <v>3250</v>
      </c>
      <c r="E680" s="28">
        <f>IF(D680&gt;=IF(MONTH($C680)=4,$C$3,IF(MONTH($C680)=5,$C$4,IF(MONTH($C680)=6,$C$5,IF(MONTH($C680)=7,$C$6,"ERROR")))),1,0)</f>
        <v>0</v>
      </c>
      <c r="F680" s="30">
        <f>VLOOKUP($C680,COS!$B$8:$H$991,7,FALSE)</f>
        <v>52.729835510253906</v>
      </c>
      <c r="G680" s="28">
        <f>IF(F680&lt;=IF(MONTH($C680)=4,$F$3,IF(MONTH($C680)=5,$F$4,IF(MONTH($C680)=6,$F$5,IF(MONTH($C680)=7,$F$6,"ERROR")))),1,0)</f>
        <v>1</v>
      </c>
      <c r="H680" s="30">
        <f>IF(J680=1,D680-$C$3,0)</f>
        <v>0</v>
      </c>
      <c r="I680" s="30">
        <f t="shared" si="1083"/>
        <v>0</v>
      </c>
      <c r="J680" s="28">
        <f t="shared" ref="J680:J683" si="1091">IF(AND(E680=1,G680=1),1,0)</f>
        <v>0</v>
      </c>
      <c r="K680" s="30">
        <f>VLOOKUP($C680,COS!$B$8:$H$991,2,FALSE)</f>
        <v>4477.14208984375</v>
      </c>
      <c r="L680" s="28">
        <f t="shared" ref="L680" si="1092">IF(K680&lt;=IF(MONTH($C680)=4,$I$3,IF(MONTH($C680)=5,$I$4,IF(MONTH($C680)=6,$I$5,IF(MONTH($C680)=7,$I$6,"ERROR")))),1,0)</f>
        <v>1</v>
      </c>
      <c r="M680" s="28">
        <f t="shared" ref="M680" si="1093">VLOOKUP($A680,$L$3:$M$7,2,FALSE)</f>
        <v>0</v>
      </c>
      <c r="N680" s="30">
        <f>VLOOKUP($C680,COS!$B$8:$H$991,5,FALSE)</f>
        <v>334.49749755859375</v>
      </c>
      <c r="O680" s="30">
        <f t="shared" ref="O680:O683" si="1094">N680*DAY($C680)*86400/43560/1000</f>
        <v>19.903983325800617</v>
      </c>
      <c r="P680" s="30">
        <f>VLOOKUP($C680,COS!$B$8:$H$991,6,FALSE)</f>
        <v>392.12069702148438</v>
      </c>
      <c r="Q680" s="30">
        <f t="shared" ref="Q680:Q683" si="1095">P680*DAY($C680)*86400/43560/1000</f>
        <v>23.332801806237086</v>
      </c>
      <c r="R680" s="30">
        <f>MIN(IF(MONTH($C680)=4,$S$3,IF(MONTH($C680)=5,$S$4,IF(MONTH($C680)=6,$S$5,IF(MONTH($C680)=7,$S$6,"ERROR")))),MAX(VLOOKUP($C680,COS!$B$8:$K$991,10,FALSE)-IF(MONTH($C680)=4,$Y$3,IF(MONTH($C680)=5,$Y$4,IF(MONTH($C680)=6,$Y$5,IF(MONTH($C680)=7,$Y$6,"ERROR")))),0),MAX(VLOOKUP($C680,COS!$B$8:$K$991,9,FALSE)-IF(MONTH($C680)=4,$V$3,IF(MONTH($C680)=5,$V$4,IF(MONTH($C680)=6,$V$5,IF(MONTH($C680)=7,$V$6,"ERROR"))))-VLOOKUP($C680,COS!$B$8:$K$991,6,FALSE)/2,0))</f>
        <v>1500</v>
      </c>
      <c r="S680" s="30">
        <f t="shared" ref="S680:S683" si="1096">R680*DAY($C680)*86400/43560/1000</f>
        <v>89.256198347107429</v>
      </c>
      <c r="T680" s="30">
        <f t="shared" ref="T680:T683" si="1097">(O680+Q680)/2+S680</f>
        <v>110.87459091312628</v>
      </c>
      <c r="U680" s="30" t="str">
        <f>IF(VLOOKUP($C680,COS!$B$8:$I$991,8,FALSE)=1,"UWFE","IBU")</f>
        <v>UWFE</v>
      </c>
      <c r="V680" s="30">
        <f t="shared" ref="V680" si="1098">MIN(IF(IF($AA$3=2,AND(E680=1,G680=1,L680=1,L685=1,M680=1,U680="IBU"),AND(E680=1,G680=1,L680=1,L685=1,M680=1)),T680,0),I680)</f>
        <v>0</v>
      </c>
      <c r="W680" s="30"/>
      <c r="X680" s="30"/>
      <c r="Y680" s="30"/>
      <c r="Z680" s="30"/>
      <c r="AA680" s="30"/>
      <c r="AB680" s="31"/>
    </row>
    <row r="681" spans="1:28" x14ac:dyDescent="0.3">
      <c r="A681" s="32">
        <f>VLOOKUP(YEAR(C681),Flags!$A$13:$B$95,2,FALSE)</f>
        <v>1</v>
      </c>
      <c r="B681" s="24">
        <f t="shared" si="1054"/>
        <v>1996</v>
      </c>
      <c r="C681" s="25">
        <v>35216</v>
      </c>
      <c r="D681" s="26">
        <f>VLOOKUP($C681,COS!$B$8:$H$991,3,FALSE)</f>
        <v>10559.1572265625</v>
      </c>
      <c r="E681" s="24">
        <f>IF(D681&gt;=IF(MONTH($C681)=4,$C$3,IF(MONTH($C681)=5,$C$4,IF(MONTH($C681)=6,$C$5,IF(MONTH($C681)=7,$C$6,"ERROR")))),1,0)</f>
        <v>1</v>
      </c>
      <c r="F681" s="26">
        <f>VLOOKUP($C681,COS!$B$8:$H$991,7,FALSE)</f>
        <v>51.389583587646484</v>
      </c>
      <c r="G681" s="24">
        <f>IF(F681&lt;=IF(MONTH($C681)=4,$F$3,IF(MONTH($C681)=5,$F$4,IF(MONTH($C681)=6,$F$5,IF(MONTH($C681)=7,$F$6,"ERROR")))),1,0)</f>
        <v>1</v>
      </c>
      <c r="H681" s="26">
        <f>IF(J681=1,D681-$C$4,0)</f>
        <v>4559.1572265625</v>
      </c>
      <c r="I681" s="26">
        <f t="shared" si="1083"/>
        <v>280.33165095557848</v>
      </c>
      <c r="J681" s="24">
        <f t="shared" si="1091"/>
        <v>1</v>
      </c>
      <c r="K681" s="26">
        <f>VLOOKUP($C681,COS!$B$8:$H$991,2,FALSE)</f>
        <v>4552</v>
      </c>
      <c r="L681" s="24">
        <f t="shared" si="1046"/>
        <v>1</v>
      </c>
      <c r="M681" s="24">
        <f t="shared" si="1047"/>
        <v>0</v>
      </c>
      <c r="N681" s="26">
        <f>VLOOKUP($C681,COS!$B$8:$H$991,5,FALSE)</f>
        <v>391.34814453125</v>
      </c>
      <c r="O681" s="26">
        <f t="shared" si="1094"/>
        <v>24.063059465392563</v>
      </c>
      <c r="P681" s="26">
        <f>VLOOKUP($C681,COS!$B$8:$H$991,6,FALSE)</f>
        <v>1692.3414306640625</v>
      </c>
      <c r="Q681" s="26">
        <f t="shared" si="1095"/>
        <v>104.05801854661674</v>
      </c>
      <c r="R681" s="26">
        <f>MIN(IF(MONTH($C681)=4,$S$3,IF(MONTH($C681)=5,$S$4,IF(MONTH($C681)=6,$S$5,IF(MONTH($C681)=7,$S$6,"ERROR")))),MAX(VLOOKUP($C681,COS!$B$8:$K$991,10,FALSE)-IF(MONTH($C681)=4,$Y$3,IF(MONTH($C681)=5,$Y$4,IF(MONTH($C681)=6,$Y$5,IF(MONTH($C681)=7,$Y$6,"ERROR")))),0),MAX(VLOOKUP($C681,COS!$B$8:$K$991,9,FALSE)-IF(MONTH($C681)=4,$V$3,IF(MONTH($C681)=5,$V$4,IF(MONTH($C681)=6,$V$5,IF(MONTH($C681)=7,$V$6,"ERROR"))))-VLOOKUP($C681,COS!$B$8:$K$991,6,FALSE)/2,0))</f>
        <v>1500</v>
      </c>
      <c r="S681" s="26">
        <f t="shared" si="1096"/>
        <v>92.231404958677686</v>
      </c>
      <c r="T681" s="26">
        <f t="shared" si="1097"/>
        <v>156.29194396468233</v>
      </c>
      <c r="U681" s="26" t="str">
        <f>IF(VLOOKUP($C681,COS!$B$8:$I$991,8,FALSE)=1,"UWFE","IBU")</f>
        <v>UWFE</v>
      </c>
      <c r="V681" s="26">
        <f t="shared" ref="V681" si="1099">MIN(IF(IF($AA$3=2,AND(E681=1,G681=1,L681=1,L685=1,M681=1,U681="IBU"),AND(E681=1,G681=1,L681=1,L685=1,M681=1)),T681,0),I681)</f>
        <v>0</v>
      </c>
      <c r="W681" s="26"/>
      <c r="X681" s="26"/>
      <c r="Y681" s="26"/>
      <c r="Z681" s="26"/>
      <c r="AA681" s="26"/>
      <c r="AB681" s="33"/>
    </row>
    <row r="682" spans="1:28" x14ac:dyDescent="0.3">
      <c r="A682" s="32">
        <f>VLOOKUP(YEAR(C682),Flags!$A$13:$B$95,2,FALSE)</f>
        <v>1</v>
      </c>
      <c r="B682" s="24">
        <f t="shared" si="1054"/>
        <v>1996</v>
      </c>
      <c r="C682" s="25">
        <v>35246</v>
      </c>
      <c r="D682" s="26">
        <f>VLOOKUP($C682,COS!$B$8:$H$991,3,FALSE)</f>
        <v>7585.73583984375</v>
      </c>
      <c r="E682" s="24">
        <f>IF(D682&gt;=IF(MONTH($C682)=4,$C$3,IF(MONTH($C682)=5,$C$4,IF(MONTH($C682)=6,$C$5,IF(MONTH($C682)=7,$C$6,"ERROR")))),1,0)</f>
        <v>0</v>
      </c>
      <c r="F682" s="26">
        <f>VLOOKUP($C682,COS!$B$8:$H$991,7,FALSE)</f>
        <v>53.900276184082031</v>
      </c>
      <c r="G682" s="24">
        <f>IF(F682&lt;=IF(MONTH($C682)=4,$F$3,IF(MONTH($C682)=5,$F$4,IF(MONTH($C682)=6,$F$5,IF(MONTH($C682)=7,$F$6,"ERROR")))),1,0)</f>
        <v>1</v>
      </c>
      <c r="H682" s="26">
        <f>IF(J682=1,D682-$C$5,0)</f>
        <v>0</v>
      </c>
      <c r="I682" s="26">
        <f t="shared" si="1083"/>
        <v>0</v>
      </c>
      <c r="J682" s="24">
        <f t="shared" si="1091"/>
        <v>0</v>
      </c>
      <c r="K682" s="26">
        <f>VLOOKUP($C682,COS!$B$8:$H$991,2,FALSE)</f>
        <v>4421.00390625</v>
      </c>
      <c r="L682" s="24">
        <f t="shared" si="1046"/>
        <v>1</v>
      </c>
      <c r="M682" s="24">
        <f t="shared" si="1047"/>
        <v>0</v>
      </c>
      <c r="N682" s="26">
        <f>VLOOKUP($C682,COS!$B$8:$H$991,5,FALSE)</f>
        <v>1206.450439453125</v>
      </c>
      <c r="O682" s="26">
        <f t="shared" si="1094"/>
        <v>71.788786479855375</v>
      </c>
      <c r="P682" s="26">
        <f>VLOOKUP($C682,COS!$B$8:$H$991,6,FALSE)</f>
        <v>2328.534912109375</v>
      </c>
      <c r="Q682" s="26">
        <f t="shared" si="1095"/>
        <v>138.55744931559917</v>
      </c>
      <c r="R682" s="26">
        <f>MIN(IF(MONTH($C682)=4,$S$3,IF(MONTH($C682)=5,$S$4,IF(MONTH($C682)=6,$S$5,IF(MONTH($C682)=7,$S$6,"ERROR")))),MAX(VLOOKUP($C682,COS!$B$8:$K$991,10,FALSE)-IF(MONTH($C682)=4,$Y$3,IF(MONTH($C682)=5,$Y$4,IF(MONTH($C682)=6,$Y$5,IF(MONTH($C682)=7,$Y$6,"ERROR")))),0),MAX(VLOOKUP($C682,COS!$B$8:$K$991,9,FALSE)-IF(MONTH($C682)=4,$V$3,IF(MONTH($C682)=5,$V$4,IF(MONTH($C682)=6,$V$5,IF(MONTH($C682)=7,$V$6,"ERROR"))))-VLOOKUP($C682,COS!$B$8:$K$991,6,FALSE)/2,0))</f>
        <v>1500</v>
      </c>
      <c r="S682" s="26">
        <f t="shared" si="1096"/>
        <v>89.256198347107429</v>
      </c>
      <c r="T682" s="26">
        <f t="shared" si="1097"/>
        <v>194.42931624483469</v>
      </c>
      <c r="U682" s="26" t="str">
        <f>IF(VLOOKUP($C682,COS!$B$8:$I$991,8,FALSE)=1,"UWFE","IBU")</f>
        <v>UWFE</v>
      </c>
      <c r="V682" s="26">
        <f t="shared" ref="V682" si="1100">MIN(IF(IF($AA$3=2,AND(E682=1,G682=1,L682=1,L685=1,M682=1,U682="IBU"),AND(E682=1,G682=1,L682=1,L685=1,M682=1)),T682,0),I682)</f>
        <v>0</v>
      </c>
      <c r="W682" s="26"/>
      <c r="X682" s="26"/>
      <c r="Y682" s="26"/>
      <c r="Z682" s="26"/>
      <c r="AA682" s="26"/>
      <c r="AB682" s="33"/>
    </row>
    <row r="683" spans="1:28" x14ac:dyDescent="0.3">
      <c r="A683" s="32">
        <f>VLOOKUP(YEAR(C683),Flags!$A$13:$B$95,2,FALSE)</f>
        <v>1</v>
      </c>
      <c r="B683" s="24">
        <f t="shared" si="1054"/>
        <v>1996</v>
      </c>
      <c r="C683" s="25">
        <v>35277</v>
      </c>
      <c r="D683" s="26">
        <f>VLOOKUP($C683,COS!$B$8:$H$991,3,FALSE)</f>
        <v>15098.107421875</v>
      </c>
      <c r="E683" s="24">
        <f>IF(D683&gt;=IF(MONTH($C683)=4,$C$3,IF(MONTH($C683)=5,$C$4,IF(MONTH($C683)=6,$C$5,IF(MONTH($C683)=7,$C$6,"ERROR")))),1,0)</f>
        <v>1</v>
      </c>
      <c r="F683" s="26">
        <f>VLOOKUP($C683,COS!$B$8:$H$991,7,FALSE)</f>
        <v>53.102745056152344</v>
      </c>
      <c r="G683" s="24">
        <f>IF(F683&lt;=IF(MONTH($C683)=4,$F$3,IF(MONTH($C683)=5,$F$4,IF(MONTH($C683)=6,$F$5,IF(MONTH($C683)=7,$F$6,"ERROR")))),1,0)</f>
        <v>1</v>
      </c>
      <c r="H683" s="26">
        <f>IF(J683=1,D683-$C$6,0)</f>
        <v>3098.107421875</v>
      </c>
      <c r="I683" s="26">
        <f t="shared" si="1083"/>
        <v>190.49520015495867</v>
      </c>
      <c r="J683" s="24">
        <f t="shared" si="1091"/>
        <v>1</v>
      </c>
      <c r="K683" s="26">
        <f>VLOOKUP($C683,COS!$B$8:$H$991,2,FALSE)</f>
        <v>3708.637451171875</v>
      </c>
      <c r="L683" s="24">
        <f t="shared" si="1046"/>
        <v>1</v>
      </c>
      <c r="M683" s="24">
        <f t="shared" si="1047"/>
        <v>0</v>
      </c>
      <c r="N683" s="26">
        <f>VLOOKUP($C683,COS!$B$8:$H$991,5,FALSE)</f>
        <v>1377.7275390625</v>
      </c>
      <c r="O683" s="26">
        <f t="shared" si="1094"/>
        <v>84.713164385330572</v>
      </c>
      <c r="P683" s="26">
        <f>VLOOKUP($C683,COS!$B$8:$H$991,6,FALSE)</f>
        <v>2521.474853515625</v>
      </c>
      <c r="Q683" s="26">
        <f t="shared" si="1095"/>
        <v>155.0394455384814</v>
      </c>
      <c r="R683" s="26">
        <f>MIN(IF(MONTH($C683)=4,$S$3,IF(MONTH($C683)=5,$S$4,IF(MONTH($C683)=6,$S$5,IF(MONTH($C683)=7,$S$6,"ERROR")))),MAX(VLOOKUP($C683,COS!$B$8:$K$991,10,FALSE)-IF(MONTH($C683)=4,$Y$3,IF(MONTH($C683)=5,$Y$4,IF(MONTH($C683)=6,$Y$5,IF(MONTH($C683)=7,$Y$6,"ERROR")))),0),MAX(VLOOKUP($C683,COS!$B$8:$K$991,9,FALSE)-IF(MONTH($C683)=4,$V$3,IF(MONTH($C683)=5,$V$4,IF(MONTH($C683)=6,$V$5,IF(MONTH($C683)=7,$V$6,"ERROR"))))-VLOOKUP($C683,COS!$B$8:$K$991,6,FALSE)/2,0))</f>
        <v>1500</v>
      </c>
      <c r="S683" s="26">
        <f t="shared" si="1096"/>
        <v>92.231404958677686</v>
      </c>
      <c r="T683" s="26">
        <f t="shared" si="1097"/>
        <v>212.10770992058366</v>
      </c>
      <c r="U683" s="26" t="str">
        <f>IF(VLOOKUP($C683,COS!$B$8:$I$991,8,FALSE)=1,"UWFE","IBU")</f>
        <v>IBU</v>
      </c>
      <c r="V683" s="26">
        <f t="shared" ref="V683" si="1101">MIN(IF(IF($AA$3=2,AND(E683=1,G683=1,L683=1,L685=1,M683=1,U683="IBU"),AND(E683=1,G683=1,L683=1,L685=1,M683=1)),T683,0),I683)</f>
        <v>0</v>
      </c>
      <c r="W683" s="26"/>
      <c r="X683" s="26"/>
      <c r="Y683" s="26"/>
      <c r="Z683" s="26"/>
      <c r="AA683" s="26"/>
      <c r="AB683" s="33"/>
    </row>
    <row r="684" spans="1:28" x14ac:dyDescent="0.3">
      <c r="A684" s="32">
        <f>VLOOKUP(YEAR(C684),Flags!$A$13:$B$95,2,FALSE)</f>
        <v>1</v>
      </c>
      <c r="B684" s="24">
        <f t="shared" si="1054"/>
        <v>1996</v>
      </c>
      <c r="C684" s="25">
        <v>35308</v>
      </c>
      <c r="D684" s="26"/>
      <c r="E684" s="24"/>
      <c r="F684" s="26"/>
      <c r="G684" s="24"/>
      <c r="H684" s="24"/>
      <c r="I684" s="26"/>
      <c r="J684" s="24"/>
      <c r="K684" s="26"/>
      <c r="L684" s="24"/>
      <c r="M684" s="24"/>
      <c r="N684" s="26"/>
      <c r="O684" s="26"/>
      <c r="P684" s="26"/>
      <c r="Q684" s="26"/>
      <c r="R684" s="26"/>
      <c r="S684" s="26"/>
      <c r="T684" s="26"/>
      <c r="U684" s="26"/>
      <c r="V684" s="26"/>
      <c r="W684" s="26">
        <f>MAX($C$7-VLOOKUP($C684,COS!$B$8:$H$991,3,FALSE),0)</f>
        <v>90642.01953125</v>
      </c>
      <c r="X684" s="26">
        <f t="shared" si="1086"/>
        <v>5573.3605397727279</v>
      </c>
      <c r="Y684" s="26">
        <f>VLOOKUP($C684,COS!$B$8:$H$991,4,FALSE)</f>
        <v>0</v>
      </c>
      <c r="Z684" s="26">
        <f t="shared" si="1087"/>
        <v>0</v>
      </c>
      <c r="AA684" s="26">
        <f t="shared" ref="AA684:AA688" si="1102">MIN(W684,Y684)</f>
        <v>0</v>
      </c>
      <c r="AB684" s="33">
        <f t="shared" ref="AB684" si="1103">AA684*DAY($C684)*86400/43560/1000*IF(MONTH($C684)=8,$P$3,IF(MONTH($C684)=9,$P$4,IF(MONTH($C684)=10,$P$5,IF(MONTH($C684)=11,$P$6,IF(MONTH($C684)=12,$P$7,NA())))))</f>
        <v>0</v>
      </c>
    </row>
    <row r="685" spans="1:28" x14ac:dyDescent="0.3">
      <c r="A685" s="32">
        <f>VLOOKUP(YEAR(C685),Flags!$A$13:$B$95,2,FALSE)</f>
        <v>1</v>
      </c>
      <c r="B685" s="24">
        <f t="shared" si="1054"/>
        <v>1996</v>
      </c>
      <c r="C685" s="25">
        <v>35338</v>
      </c>
      <c r="D685" s="26"/>
      <c r="E685" s="24"/>
      <c r="F685" s="26"/>
      <c r="G685" s="24"/>
      <c r="H685" s="24"/>
      <c r="I685" s="26"/>
      <c r="J685" s="24"/>
      <c r="K685" s="26">
        <f>VLOOKUP($C685,COS!$B$8:$H$991,2,FALSE)</f>
        <v>3012.986572265625</v>
      </c>
      <c r="L685" s="24">
        <f t="shared" ref="L685" si="1104">IF(AND(K685&gt;$I$7,K685&lt;$I$8),1,0)</f>
        <v>1</v>
      </c>
      <c r="M685" s="24"/>
      <c r="N685" s="26"/>
      <c r="O685" s="26"/>
      <c r="P685" s="26"/>
      <c r="Q685" s="26"/>
      <c r="R685" s="26"/>
      <c r="S685" s="26"/>
      <c r="T685" s="26"/>
      <c r="U685" s="26"/>
      <c r="V685" s="26"/>
      <c r="W685" s="26">
        <f>MAX($C$8-VLOOKUP($C685,COS!$B$8:$H$991,3,FALSE),0)</f>
        <v>87735.287109375</v>
      </c>
      <c r="X685" s="26">
        <f t="shared" si="1086"/>
        <v>5220.612125516529</v>
      </c>
      <c r="Y685" s="26">
        <f>VLOOKUP($C685,COS!$B$8:$H$991,4,FALSE)</f>
        <v>0</v>
      </c>
      <c r="Z685" s="26">
        <f t="shared" si="1087"/>
        <v>0</v>
      </c>
      <c r="AA685" s="26">
        <f t="shared" si="1102"/>
        <v>0</v>
      </c>
      <c r="AB685" s="33">
        <f t="shared" si="1058"/>
        <v>0</v>
      </c>
    </row>
    <row r="686" spans="1:28" x14ac:dyDescent="0.3">
      <c r="A686" s="32">
        <f>VLOOKUP(YEAR(C686),Flags!$A$13:$B$95,2,FALSE)</f>
        <v>1</v>
      </c>
      <c r="B686" s="24">
        <f t="shared" si="1054"/>
        <v>1996</v>
      </c>
      <c r="C686" s="25">
        <v>35369</v>
      </c>
      <c r="D686" s="26"/>
      <c r="E686" s="24"/>
      <c r="F686" s="26"/>
      <c r="G686" s="26"/>
      <c r="H686" s="26"/>
      <c r="I686" s="26"/>
      <c r="J686" s="26"/>
      <c r="K686" s="26"/>
      <c r="L686" s="24"/>
      <c r="M686" s="24"/>
      <c r="N686" s="26"/>
      <c r="O686" s="26"/>
      <c r="P686" s="26"/>
      <c r="Q686" s="26"/>
      <c r="R686" s="26"/>
      <c r="S686" s="26"/>
      <c r="T686" s="26"/>
      <c r="U686" s="26"/>
      <c r="V686" s="26"/>
      <c r="W686" s="26">
        <f>MAX($C$9-VLOOKUP($C686,COS!$B$8:$H$991,3,FALSE),0)</f>
        <v>90257.6123046875</v>
      </c>
      <c r="X686" s="26">
        <f t="shared" si="1086"/>
        <v>5549.7242607179751</v>
      </c>
      <c r="Y686" s="26">
        <f>VLOOKUP($C686,COS!$B$8:$H$991,4,FALSE)</f>
        <v>729.4923095703125</v>
      </c>
      <c r="Z686" s="26">
        <f t="shared" si="1087"/>
        <v>44.854733745480374</v>
      </c>
      <c r="AA686" s="26">
        <f t="shared" si="1102"/>
        <v>729.4923095703125</v>
      </c>
      <c r="AB686" s="33">
        <f t="shared" si="1058"/>
        <v>44.854733745480374</v>
      </c>
    </row>
    <row r="687" spans="1:28" x14ac:dyDescent="0.3">
      <c r="A687" s="32">
        <f>VLOOKUP(YEAR(C687),Flags!$A$13:$B$95,2,FALSE)</f>
        <v>1</v>
      </c>
      <c r="B687" s="24">
        <f t="shared" si="1054"/>
        <v>1996</v>
      </c>
      <c r="C687" s="25">
        <v>35399</v>
      </c>
      <c r="D687" s="26"/>
      <c r="E687" s="24"/>
      <c r="F687" s="26"/>
      <c r="G687" s="26"/>
      <c r="H687" s="26"/>
      <c r="I687" s="26"/>
      <c r="J687" s="26"/>
      <c r="K687" s="26"/>
      <c r="L687" s="24"/>
      <c r="M687" s="24"/>
      <c r="N687" s="26"/>
      <c r="O687" s="26"/>
      <c r="P687" s="26"/>
      <c r="Q687" s="26"/>
      <c r="R687" s="26"/>
      <c r="S687" s="26"/>
      <c r="T687" s="26"/>
      <c r="U687" s="26"/>
      <c r="V687" s="26"/>
      <c r="W687" s="26">
        <f>MAX($C$10-VLOOKUP($C687,COS!$B$8:$H$991,3,FALSE),0)</f>
        <v>89483.75</v>
      </c>
      <c r="X687" s="26">
        <f t="shared" si="1086"/>
        <v>5324.6528925619832</v>
      </c>
      <c r="Y687" s="26">
        <f>VLOOKUP($C687,COS!$B$8:$H$991,4,FALSE)</f>
        <v>1822.423095703125</v>
      </c>
      <c r="Z687" s="26">
        <f t="shared" si="1087"/>
        <v>108.44170486828513</v>
      </c>
      <c r="AA687" s="26">
        <f t="shared" si="1102"/>
        <v>1822.423095703125</v>
      </c>
      <c r="AB687" s="33">
        <f t="shared" si="1058"/>
        <v>108.44170486828513</v>
      </c>
    </row>
    <row r="688" spans="1:28" x14ac:dyDescent="0.3">
      <c r="A688" s="34">
        <f>VLOOKUP(YEAR(C688),Flags!$A$13:$B$95,2,FALSE)</f>
        <v>1</v>
      </c>
      <c r="B688" s="35">
        <f t="shared" si="1054"/>
        <v>1996</v>
      </c>
      <c r="C688" s="36">
        <v>35430</v>
      </c>
      <c r="D688" s="37"/>
      <c r="E688" s="35"/>
      <c r="F688" s="37"/>
      <c r="G688" s="37"/>
      <c r="H688" s="37"/>
      <c r="I688" s="37"/>
      <c r="J688" s="37"/>
      <c r="K688" s="37"/>
      <c r="L688" s="35"/>
      <c r="M688" s="35"/>
      <c r="N688" s="37"/>
      <c r="O688" s="37"/>
      <c r="P688" s="37"/>
      <c r="Q688" s="37"/>
      <c r="R688" s="37"/>
      <c r="S688" s="37"/>
      <c r="T688" s="37"/>
      <c r="U688" s="37"/>
      <c r="V688" s="37"/>
      <c r="W688" s="37">
        <f>MAX($C$11-VLOOKUP($C688,COS!$B$8:$H$991,3,FALSE),0)</f>
        <v>78858.27734375</v>
      </c>
      <c r="X688" s="37">
        <f t="shared" si="1086"/>
        <v>4848.8064746900827</v>
      </c>
      <c r="Y688" s="37">
        <f>VLOOKUP($C688,COS!$B$8:$H$991,4,FALSE)</f>
        <v>0</v>
      </c>
      <c r="Z688" s="37">
        <f t="shared" si="1087"/>
        <v>0</v>
      </c>
      <c r="AA688" s="37">
        <f t="shared" si="1102"/>
        <v>0</v>
      </c>
      <c r="AB688" s="38">
        <f t="shared" si="1058"/>
        <v>0</v>
      </c>
    </row>
    <row r="689" spans="1:28" x14ac:dyDescent="0.3">
      <c r="A689" s="27">
        <f>VLOOKUP(YEAR(C689),Flags!$A$13:$B$95,2,FALSE)</f>
        <v>1</v>
      </c>
      <c r="B689" s="28">
        <f t="shared" si="1054"/>
        <v>1997</v>
      </c>
      <c r="C689" s="29">
        <v>35550</v>
      </c>
      <c r="D689" s="30">
        <f>VLOOKUP($C689,COS!$B$8:$H$991,3,FALSE)</f>
        <v>3250</v>
      </c>
      <c r="E689" s="28">
        <f>IF(D689&gt;=IF(MONTH($C689)=4,$C$3,IF(MONTH($C689)=5,$C$4,IF(MONTH($C689)=6,$C$5,IF(MONTH($C689)=7,$C$6,"ERROR")))),1,0)</f>
        <v>0</v>
      </c>
      <c r="F689" s="30">
        <f>VLOOKUP($C689,COS!$B$8:$H$991,7,FALSE)</f>
        <v>50.800266265869141</v>
      </c>
      <c r="G689" s="28">
        <f>IF(F689&lt;=IF(MONTH($C689)=4,$F$3,IF(MONTH($C689)=5,$F$4,IF(MONTH($C689)=6,$F$5,IF(MONTH($C689)=7,$F$6,"ERROR")))),1,0)</f>
        <v>1</v>
      </c>
      <c r="H689" s="30">
        <f>IF(J689=1,D689-$C$3,0)</f>
        <v>0</v>
      </c>
      <c r="I689" s="30">
        <f t="shared" si="1083"/>
        <v>0</v>
      </c>
      <c r="J689" s="28">
        <f t="shared" ref="J689:J692" si="1105">IF(AND(E689=1,G689=1),1,0)</f>
        <v>0</v>
      </c>
      <c r="K689" s="30">
        <f>VLOOKUP($C689,COS!$B$8:$H$991,2,FALSE)</f>
        <v>4284.2431640625</v>
      </c>
      <c r="L689" s="28">
        <f t="shared" ref="L689" si="1106">IF(K689&lt;=IF(MONTH($C689)=4,$I$3,IF(MONTH($C689)=5,$I$4,IF(MONTH($C689)=6,$I$5,IF(MONTH($C689)=7,$I$6,"ERROR")))),1,0)</f>
        <v>1</v>
      </c>
      <c r="M689" s="28">
        <f t="shared" ref="M689" si="1107">VLOOKUP($A689,$L$3:$M$7,2,FALSE)</f>
        <v>0</v>
      </c>
      <c r="N689" s="30">
        <f>VLOOKUP($C689,COS!$B$8:$H$991,5,FALSE)</f>
        <v>312.31362915039063</v>
      </c>
      <c r="O689" s="30">
        <f t="shared" ref="O689:O692" si="1108">N689*DAY($C689)*86400/43560/1000</f>
        <v>18.583951486634813</v>
      </c>
      <c r="P689" s="30">
        <f>VLOOKUP($C689,COS!$B$8:$H$991,6,FALSE)</f>
        <v>564.39752197265625</v>
      </c>
      <c r="Q689" s="30">
        <f t="shared" ref="Q689:Q692" si="1109">P689*DAY($C689)*86400/43560/1000</f>
        <v>33.583984778538223</v>
      </c>
      <c r="R689" s="30">
        <f>MIN(IF(MONTH($C689)=4,$S$3,IF(MONTH($C689)=5,$S$4,IF(MONTH($C689)=6,$S$5,IF(MONTH($C689)=7,$S$6,"ERROR")))),MAX(VLOOKUP($C689,COS!$B$8:$K$991,10,FALSE)-IF(MONTH($C689)=4,$Y$3,IF(MONTH($C689)=5,$Y$4,IF(MONTH($C689)=6,$Y$5,IF(MONTH($C689)=7,$Y$6,"ERROR")))),0),MAX(VLOOKUP($C689,COS!$B$8:$K$991,9,FALSE)-IF(MONTH($C689)=4,$V$3,IF(MONTH($C689)=5,$V$4,IF(MONTH($C689)=6,$V$5,IF(MONTH($C689)=7,$V$6,"ERROR"))))-VLOOKUP($C689,COS!$B$8:$K$991,6,FALSE)/2,0))</f>
        <v>1500</v>
      </c>
      <c r="S689" s="30">
        <f t="shared" ref="S689:S692" si="1110">R689*DAY($C689)*86400/43560/1000</f>
        <v>89.256198347107429</v>
      </c>
      <c r="T689" s="30">
        <f t="shared" ref="T689:T692" si="1111">(O689+Q689)/2+S689</f>
        <v>115.34016647969395</v>
      </c>
      <c r="U689" s="30" t="str">
        <f>IF(VLOOKUP($C689,COS!$B$8:$I$991,8,FALSE)=1,"UWFE","IBU")</f>
        <v>UWFE</v>
      </c>
      <c r="V689" s="30">
        <f t="shared" ref="V689" si="1112">MIN(IF(IF($AA$3=2,AND(E689=1,G689=1,L689=1,L694=1,M689=1,U689="IBU"),AND(E689=1,G689=1,L689=1,L694=1,M689=1)),T689,0),I689)</f>
        <v>0</v>
      </c>
      <c r="W689" s="30"/>
      <c r="X689" s="30"/>
      <c r="Y689" s="30"/>
      <c r="Z689" s="30"/>
      <c r="AA689" s="30"/>
      <c r="AB689" s="31"/>
    </row>
    <row r="690" spans="1:28" x14ac:dyDescent="0.3">
      <c r="A690" s="32">
        <f>VLOOKUP(YEAR(C690),Flags!$A$13:$B$95,2,FALSE)</f>
        <v>1</v>
      </c>
      <c r="B690" s="24">
        <f t="shared" si="1054"/>
        <v>1997</v>
      </c>
      <c r="C690" s="25">
        <v>35581</v>
      </c>
      <c r="D690" s="26">
        <f>VLOOKUP($C690,COS!$B$8:$H$991,3,FALSE)</f>
        <v>8600.0205078125</v>
      </c>
      <c r="E690" s="24">
        <f>IF(D690&gt;=IF(MONTH($C690)=4,$C$3,IF(MONTH($C690)=5,$C$4,IF(MONTH($C690)=6,$C$5,IF(MONTH($C690)=7,$C$6,"ERROR")))),1,0)</f>
        <v>1</v>
      </c>
      <c r="F690" s="26">
        <f>VLOOKUP($C690,COS!$B$8:$H$991,7,FALSE)</f>
        <v>50.114212036132813</v>
      </c>
      <c r="G690" s="24">
        <f>IF(F690&lt;=IF(MONTH($C690)=4,$F$3,IF(MONTH($C690)=5,$F$4,IF(MONTH($C690)=6,$F$5,IF(MONTH($C690)=7,$F$6,"ERROR")))),1,0)</f>
        <v>1</v>
      </c>
      <c r="H690" s="26">
        <f>IF(J690=1,D690-$C$4,0)</f>
        <v>2600.0205078125</v>
      </c>
      <c r="I690" s="26">
        <f t="shared" si="1083"/>
        <v>159.86902957128098</v>
      </c>
      <c r="J690" s="24">
        <f t="shared" si="1105"/>
        <v>1</v>
      </c>
      <c r="K690" s="26">
        <f>VLOOKUP($C690,COS!$B$8:$H$991,2,FALSE)</f>
        <v>4051.203369140625</v>
      </c>
      <c r="L690" s="24">
        <f t="shared" si="1046"/>
        <v>1</v>
      </c>
      <c r="M690" s="24">
        <f t="shared" si="1047"/>
        <v>0</v>
      </c>
      <c r="N690" s="26">
        <f>VLOOKUP($C690,COS!$B$8:$H$991,5,FALSE)</f>
        <v>869.624755859375</v>
      </c>
      <c r="O690" s="26">
        <f t="shared" si="1108"/>
        <v>53.471142013171487</v>
      </c>
      <c r="P690" s="26">
        <f>VLOOKUP($C690,COS!$B$8:$H$991,6,FALSE)</f>
        <v>2219.110107421875</v>
      </c>
      <c r="Q690" s="26">
        <f t="shared" si="1109"/>
        <v>136.44776197701447</v>
      </c>
      <c r="R690" s="26">
        <f>MIN(IF(MONTH($C690)=4,$S$3,IF(MONTH($C690)=5,$S$4,IF(MONTH($C690)=6,$S$5,IF(MONTH($C690)=7,$S$6,"ERROR")))),MAX(VLOOKUP($C690,COS!$B$8:$K$991,10,FALSE)-IF(MONTH($C690)=4,$Y$3,IF(MONTH($C690)=5,$Y$4,IF(MONTH($C690)=6,$Y$5,IF(MONTH($C690)=7,$Y$6,"ERROR")))),0),MAX(VLOOKUP($C690,COS!$B$8:$K$991,9,FALSE)-IF(MONTH($C690)=4,$V$3,IF(MONTH($C690)=5,$V$4,IF(MONTH($C690)=6,$V$5,IF(MONTH($C690)=7,$V$6,"ERROR"))))-VLOOKUP($C690,COS!$B$8:$K$991,6,FALSE)/2,0))</f>
        <v>1500</v>
      </c>
      <c r="S690" s="26">
        <f t="shared" si="1110"/>
        <v>92.231404958677686</v>
      </c>
      <c r="T690" s="26">
        <f t="shared" si="1111"/>
        <v>187.19085695377066</v>
      </c>
      <c r="U690" s="26" t="str">
        <f>IF(VLOOKUP($C690,COS!$B$8:$I$991,8,FALSE)=1,"UWFE","IBU")</f>
        <v>UWFE</v>
      </c>
      <c r="V690" s="26">
        <f t="shared" ref="V690" si="1113">MIN(IF(IF($AA$3=2,AND(E690=1,G690=1,L690=1,L694=1,M690=1,U690="IBU"),AND(E690=1,G690=1,L690=1,L694=1,M690=1)),T690,0),I690)</f>
        <v>0</v>
      </c>
      <c r="W690" s="26"/>
      <c r="X690" s="26"/>
      <c r="Y690" s="26"/>
      <c r="Z690" s="26"/>
      <c r="AA690" s="26"/>
      <c r="AB690" s="33"/>
    </row>
    <row r="691" spans="1:28" x14ac:dyDescent="0.3">
      <c r="A691" s="32">
        <f>VLOOKUP(YEAR(C691),Flags!$A$13:$B$95,2,FALSE)</f>
        <v>1</v>
      </c>
      <c r="B691" s="24">
        <f t="shared" si="1054"/>
        <v>1997</v>
      </c>
      <c r="C691" s="25">
        <v>35611</v>
      </c>
      <c r="D691" s="26">
        <f>VLOOKUP($C691,COS!$B$8:$H$991,3,FALSE)</f>
        <v>8785.2919921875</v>
      </c>
      <c r="E691" s="24">
        <f>IF(D691&gt;=IF(MONTH($C691)=4,$C$3,IF(MONTH($C691)=5,$C$4,IF(MONTH($C691)=6,$C$5,IF(MONTH($C691)=7,$C$6,"ERROR")))),1,0)</f>
        <v>0</v>
      </c>
      <c r="F691" s="26">
        <f>VLOOKUP($C691,COS!$B$8:$H$991,7,FALSE)</f>
        <v>50.868202209472656</v>
      </c>
      <c r="G691" s="24">
        <f>IF(F691&lt;=IF(MONTH($C691)=4,$F$3,IF(MONTH($C691)=5,$F$4,IF(MONTH($C691)=6,$F$5,IF(MONTH($C691)=7,$F$6,"ERROR")))),1,0)</f>
        <v>1</v>
      </c>
      <c r="H691" s="26">
        <f>IF(J691=1,D691-$C$5,0)</f>
        <v>0</v>
      </c>
      <c r="I691" s="26">
        <f t="shared" si="1083"/>
        <v>0</v>
      </c>
      <c r="J691" s="24">
        <f t="shared" si="1105"/>
        <v>0</v>
      </c>
      <c r="K691" s="26">
        <f>VLOOKUP($C691,COS!$B$8:$H$991,2,FALSE)</f>
        <v>3776.169677734375</v>
      </c>
      <c r="L691" s="24">
        <f t="shared" si="1046"/>
        <v>1</v>
      </c>
      <c r="M691" s="24">
        <f t="shared" si="1047"/>
        <v>0</v>
      </c>
      <c r="N691" s="26">
        <f>VLOOKUP($C691,COS!$B$8:$H$991,5,FALSE)</f>
        <v>771.67578125</v>
      </c>
      <c r="O691" s="26">
        <f t="shared" si="1108"/>
        <v>45.917897727272731</v>
      </c>
      <c r="P691" s="26">
        <f>VLOOKUP($C691,COS!$B$8:$H$991,6,FALSE)</f>
        <v>2299.130615234375</v>
      </c>
      <c r="Q691" s="26">
        <f t="shared" si="1109"/>
        <v>136.80777214617768</v>
      </c>
      <c r="R691" s="26">
        <f>MIN(IF(MONTH($C691)=4,$S$3,IF(MONTH($C691)=5,$S$4,IF(MONTH($C691)=6,$S$5,IF(MONTH($C691)=7,$S$6,"ERROR")))),MAX(VLOOKUP($C691,COS!$B$8:$K$991,10,FALSE)-IF(MONTH($C691)=4,$Y$3,IF(MONTH($C691)=5,$Y$4,IF(MONTH($C691)=6,$Y$5,IF(MONTH($C691)=7,$Y$6,"ERROR")))),0),MAX(VLOOKUP($C691,COS!$B$8:$K$991,9,FALSE)-IF(MONTH($C691)=4,$V$3,IF(MONTH($C691)=5,$V$4,IF(MONTH($C691)=6,$V$5,IF(MONTH($C691)=7,$V$6,"ERROR"))))-VLOOKUP($C691,COS!$B$8:$K$991,6,FALSE)/2,0))</f>
        <v>1500</v>
      </c>
      <c r="S691" s="26">
        <f t="shared" si="1110"/>
        <v>89.256198347107429</v>
      </c>
      <c r="T691" s="26">
        <f t="shared" si="1111"/>
        <v>180.61903328383264</v>
      </c>
      <c r="U691" s="26" t="str">
        <f>IF(VLOOKUP($C691,COS!$B$8:$I$991,8,FALSE)=1,"UWFE","IBU")</f>
        <v>IBU</v>
      </c>
      <c r="V691" s="26">
        <f t="shared" ref="V691" si="1114">MIN(IF(IF($AA$3=2,AND(E691=1,G691=1,L691=1,L694=1,M691=1,U691="IBU"),AND(E691=1,G691=1,L691=1,L694=1,M691=1)),T691,0),I691)</f>
        <v>0</v>
      </c>
      <c r="W691" s="26"/>
      <c r="X691" s="26"/>
      <c r="Y691" s="26"/>
      <c r="Z691" s="26"/>
      <c r="AA691" s="26"/>
      <c r="AB691" s="33"/>
    </row>
    <row r="692" spans="1:28" x14ac:dyDescent="0.3">
      <c r="A692" s="32">
        <f>VLOOKUP(YEAR(C692),Flags!$A$13:$B$95,2,FALSE)</f>
        <v>1</v>
      </c>
      <c r="B692" s="24">
        <f t="shared" si="1054"/>
        <v>1997</v>
      </c>
      <c r="C692" s="25">
        <v>35642</v>
      </c>
      <c r="D692" s="26">
        <f>VLOOKUP($C692,COS!$B$8:$H$991,3,FALSE)</f>
        <v>15565.1083984375</v>
      </c>
      <c r="E692" s="24">
        <f>IF(D692&gt;=IF(MONTH($C692)=4,$C$3,IF(MONTH($C692)=5,$C$4,IF(MONTH($C692)=6,$C$5,IF(MONTH($C692)=7,$C$6,"ERROR")))),1,0)</f>
        <v>1</v>
      </c>
      <c r="F692" s="26">
        <f>VLOOKUP($C692,COS!$B$8:$H$991,7,FALSE)</f>
        <v>51.028911590576172</v>
      </c>
      <c r="G692" s="24">
        <f>IF(F692&lt;=IF(MONTH($C692)=4,$F$3,IF(MONTH($C692)=5,$F$4,IF(MONTH($C692)=6,$F$5,IF(MONTH($C692)=7,$F$6,"ERROR")))),1,0)</f>
        <v>1</v>
      </c>
      <c r="H692" s="26">
        <f>IF(J692=1,D692-$C$6,0)</f>
        <v>3565.1083984375</v>
      </c>
      <c r="I692" s="26">
        <f t="shared" si="1083"/>
        <v>219.20997094524793</v>
      </c>
      <c r="J692" s="24">
        <f t="shared" si="1105"/>
        <v>1</v>
      </c>
      <c r="K692" s="26">
        <f>VLOOKUP($C692,COS!$B$8:$H$991,2,FALSE)</f>
        <v>3132.19189453125</v>
      </c>
      <c r="L692" s="24">
        <f t="shared" si="1046"/>
        <v>1</v>
      </c>
      <c r="M692" s="24">
        <f t="shared" si="1047"/>
        <v>0</v>
      </c>
      <c r="N692" s="26">
        <f>VLOOKUP($C692,COS!$B$8:$H$991,5,FALSE)</f>
        <v>889.0089111328125</v>
      </c>
      <c r="O692" s="26">
        <f t="shared" si="1108"/>
        <v>54.663027263042359</v>
      </c>
      <c r="P692" s="26">
        <f>VLOOKUP($C692,COS!$B$8:$H$991,6,FALSE)</f>
        <v>2607.468505859375</v>
      </c>
      <c r="Q692" s="26">
        <f t="shared" si="1109"/>
        <v>160.32698912060951</v>
      </c>
      <c r="R692" s="26">
        <f>MIN(IF(MONTH($C692)=4,$S$3,IF(MONTH($C692)=5,$S$4,IF(MONTH($C692)=6,$S$5,IF(MONTH($C692)=7,$S$6,"ERROR")))),MAX(VLOOKUP($C692,COS!$B$8:$K$991,10,FALSE)-IF(MONTH($C692)=4,$Y$3,IF(MONTH($C692)=5,$Y$4,IF(MONTH($C692)=6,$Y$5,IF(MONTH($C692)=7,$Y$6,"ERROR")))),0),MAX(VLOOKUP($C692,COS!$B$8:$K$991,9,FALSE)-IF(MONTH($C692)=4,$V$3,IF(MONTH($C692)=5,$V$4,IF(MONTH($C692)=6,$V$5,IF(MONTH($C692)=7,$V$6,"ERROR"))))-VLOOKUP($C692,COS!$B$8:$K$991,6,FALSE)/2,0))</f>
        <v>1500</v>
      </c>
      <c r="S692" s="26">
        <f t="shared" si="1110"/>
        <v>92.231404958677686</v>
      </c>
      <c r="T692" s="26">
        <f t="shared" si="1111"/>
        <v>199.72641315050362</v>
      </c>
      <c r="U692" s="26" t="str">
        <f>IF(VLOOKUP($C692,COS!$B$8:$I$991,8,FALSE)=1,"UWFE","IBU")</f>
        <v>IBU</v>
      </c>
      <c r="V692" s="26">
        <f t="shared" ref="V692" si="1115">MIN(IF(IF($AA$3=2,AND(E692=1,G692=1,L692=1,L694=1,M692=1,U692="IBU"),AND(E692=1,G692=1,L692=1,L694=1,M692=1)),T692,0),I692)</f>
        <v>0</v>
      </c>
      <c r="W692" s="26"/>
      <c r="X692" s="26"/>
      <c r="Y692" s="26"/>
      <c r="Z692" s="26"/>
      <c r="AA692" s="26"/>
      <c r="AB692" s="33"/>
    </row>
    <row r="693" spans="1:28" x14ac:dyDescent="0.3">
      <c r="A693" s="32">
        <f>VLOOKUP(YEAR(C693),Flags!$A$13:$B$95,2,FALSE)</f>
        <v>1</v>
      </c>
      <c r="B693" s="24">
        <f t="shared" si="1054"/>
        <v>1997</v>
      </c>
      <c r="C693" s="25">
        <v>35673</v>
      </c>
      <c r="D693" s="26"/>
      <c r="E693" s="24"/>
      <c r="F693" s="26"/>
      <c r="G693" s="24"/>
      <c r="H693" s="24"/>
      <c r="I693" s="26"/>
      <c r="J693" s="24"/>
      <c r="K693" s="26"/>
      <c r="L693" s="24"/>
      <c r="M693" s="24"/>
      <c r="N693" s="26"/>
      <c r="O693" s="26"/>
      <c r="P693" s="26"/>
      <c r="Q693" s="26"/>
      <c r="R693" s="26"/>
      <c r="S693" s="26"/>
      <c r="T693" s="26"/>
      <c r="U693" s="26"/>
      <c r="V693" s="26"/>
      <c r="W693" s="26">
        <f>MAX($C$7-VLOOKUP($C693,COS!$B$8:$H$991,3,FALSE),0)</f>
        <v>91754.5810546875</v>
      </c>
      <c r="X693" s="26">
        <f t="shared" si="1086"/>
        <v>5641.7692813791327</v>
      </c>
      <c r="Y693" s="26">
        <f>VLOOKUP($C693,COS!$B$8:$H$991,4,FALSE)</f>
        <v>0</v>
      </c>
      <c r="Z693" s="26">
        <f t="shared" si="1087"/>
        <v>0</v>
      </c>
      <c r="AA693" s="26">
        <f t="shared" ref="AA693:AA697" si="1116">MIN(W693,Y693)</f>
        <v>0</v>
      </c>
      <c r="AB693" s="33">
        <f t="shared" ref="AB693" si="1117">AA693*DAY($C693)*86400/43560/1000*IF(MONTH($C693)=8,$P$3,IF(MONTH($C693)=9,$P$4,IF(MONTH($C693)=10,$P$5,IF(MONTH($C693)=11,$P$6,IF(MONTH($C693)=12,$P$7,NA())))))</f>
        <v>0</v>
      </c>
    </row>
    <row r="694" spans="1:28" x14ac:dyDescent="0.3">
      <c r="A694" s="32">
        <f>VLOOKUP(YEAR(C694),Flags!$A$13:$B$95,2,FALSE)</f>
        <v>1</v>
      </c>
      <c r="B694" s="24">
        <f t="shared" si="1054"/>
        <v>1997</v>
      </c>
      <c r="C694" s="25">
        <v>35703</v>
      </c>
      <c r="D694" s="26"/>
      <c r="E694" s="24"/>
      <c r="F694" s="26"/>
      <c r="G694" s="24"/>
      <c r="H694" s="24"/>
      <c r="I694" s="26"/>
      <c r="J694" s="24"/>
      <c r="K694" s="26">
        <f>VLOOKUP($C694,COS!$B$8:$H$991,2,FALSE)</f>
        <v>2308.70703125</v>
      </c>
      <c r="L694" s="24">
        <f t="shared" ref="L694" si="1118">IF(AND(K694&gt;$I$7,K694&lt;$I$8),1,0)</f>
        <v>1</v>
      </c>
      <c r="M694" s="24"/>
      <c r="N694" s="26"/>
      <c r="O694" s="26"/>
      <c r="P694" s="26"/>
      <c r="Q694" s="26"/>
      <c r="R694" s="26"/>
      <c r="S694" s="26"/>
      <c r="T694" s="26"/>
      <c r="U694" s="26"/>
      <c r="V694" s="26"/>
      <c r="W694" s="26">
        <f>MAX($C$8-VLOOKUP($C694,COS!$B$8:$H$991,3,FALSE),0)</f>
        <v>84248.9375</v>
      </c>
      <c r="X694" s="26">
        <f t="shared" si="1086"/>
        <v>5013.1599173553714</v>
      </c>
      <c r="Y694" s="26">
        <f>VLOOKUP($C694,COS!$B$8:$H$991,4,FALSE)</f>
        <v>0</v>
      </c>
      <c r="Z694" s="26">
        <f t="shared" si="1087"/>
        <v>0</v>
      </c>
      <c r="AA694" s="26">
        <f t="shared" si="1116"/>
        <v>0</v>
      </c>
      <c r="AB694" s="33">
        <f t="shared" si="1058"/>
        <v>0</v>
      </c>
    </row>
    <row r="695" spans="1:28" x14ac:dyDescent="0.3">
      <c r="A695" s="32">
        <f>VLOOKUP(YEAR(C695),Flags!$A$13:$B$95,2,FALSE)</f>
        <v>1</v>
      </c>
      <c r="B695" s="24">
        <f t="shared" si="1054"/>
        <v>1997</v>
      </c>
      <c r="C695" s="25">
        <v>35734</v>
      </c>
      <c r="D695" s="26"/>
      <c r="E695" s="24"/>
      <c r="F695" s="26"/>
      <c r="G695" s="26"/>
      <c r="H695" s="26"/>
      <c r="I695" s="26"/>
      <c r="J695" s="26"/>
      <c r="K695" s="26"/>
      <c r="L695" s="24"/>
      <c r="M695" s="24"/>
      <c r="N695" s="26"/>
      <c r="O695" s="26"/>
      <c r="P695" s="26"/>
      <c r="Q695" s="26"/>
      <c r="R695" s="26"/>
      <c r="S695" s="26"/>
      <c r="T695" s="26"/>
      <c r="U695" s="26"/>
      <c r="V695" s="26"/>
      <c r="W695" s="26">
        <f>MAX($C$9-VLOOKUP($C695,COS!$B$8:$H$991,3,FALSE),0)</f>
        <v>89158.6005859375</v>
      </c>
      <c r="X695" s="26">
        <f t="shared" si="1086"/>
        <v>5482.1486641270658</v>
      </c>
      <c r="Y695" s="26">
        <f>VLOOKUP($C695,COS!$B$8:$H$991,4,FALSE)</f>
        <v>1005.2962646484375</v>
      </c>
      <c r="Z695" s="26">
        <f t="shared" si="1087"/>
        <v>61.813257925490703</v>
      </c>
      <c r="AA695" s="26">
        <f t="shared" si="1116"/>
        <v>1005.2962646484375</v>
      </c>
      <c r="AB695" s="33">
        <f t="shared" si="1058"/>
        <v>61.813257925490703</v>
      </c>
    </row>
    <row r="696" spans="1:28" x14ac:dyDescent="0.3">
      <c r="A696" s="32">
        <f>VLOOKUP(YEAR(C696),Flags!$A$13:$B$95,2,FALSE)</f>
        <v>1</v>
      </c>
      <c r="B696" s="24">
        <f t="shared" si="1054"/>
        <v>1997</v>
      </c>
      <c r="C696" s="25">
        <v>35764</v>
      </c>
      <c r="D696" s="26"/>
      <c r="E696" s="24"/>
      <c r="F696" s="26"/>
      <c r="G696" s="26"/>
      <c r="H696" s="26"/>
      <c r="I696" s="26"/>
      <c r="J696" s="26"/>
      <c r="K696" s="26"/>
      <c r="L696" s="24"/>
      <c r="M696" s="24"/>
      <c r="N696" s="26"/>
      <c r="O696" s="26"/>
      <c r="P696" s="26"/>
      <c r="Q696" s="26"/>
      <c r="R696" s="26"/>
      <c r="S696" s="26"/>
      <c r="T696" s="26"/>
      <c r="U696" s="26"/>
      <c r="V696" s="26"/>
      <c r="W696" s="26">
        <f>MAX($C$10-VLOOKUP($C696,COS!$B$8:$H$991,3,FALSE),0)</f>
        <v>89428.9970703125</v>
      </c>
      <c r="X696" s="26">
        <f t="shared" si="1086"/>
        <v>5321.3948669938018</v>
      </c>
      <c r="Y696" s="26">
        <f>VLOOKUP($C696,COS!$B$8:$H$991,4,FALSE)</f>
        <v>1155.107177734375</v>
      </c>
      <c r="Z696" s="26">
        <f t="shared" si="1087"/>
        <v>68.733650245351242</v>
      </c>
      <c r="AA696" s="26">
        <f t="shared" si="1116"/>
        <v>1155.107177734375</v>
      </c>
      <c r="AB696" s="33">
        <f t="shared" si="1058"/>
        <v>68.733650245351242</v>
      </c>
    </row>
    <row r="697" spans="1:28" x14ac:dyDescent="0.3">
      <c r="A697" s="34">
        <f>VLOOKUP(YEAR(C697),Flags!$A$13:$B$95,2,FALSE)</f>
        <v>1</v>
      </c>
      <c r="B697" s="35">
        <f t="shared" si="1054"/>
        <v>1997</v>
      </c>
      <c r="C697" s="36">
        <v>35795</v>
      </c>
      <c r="D697" s="37"/>
      <c r="E697" s="35"/>
      <c r="F697" s="37"/>
      <c r="G697" s="37"/>
      <c r="H697" s="37"/>
      <c r="I697" s="37"/>
      <c r="J697" s="37"/>
      <c r="K697" s="37"/>
      <c r="L697" s="35"/>
      <c r="M697" s="35"/>
      <c r="N697" s="37"/>
      <c r="O697" s="37"/>
      <c r="P697" s="37"/>
      <c r="Q697" s="37"/>
      <c r="R697" s="37"/>
      <c r="S697" s="37"/>
      <c r="T697" s="37"/>
      <c r="U697" s="37"/>
      <c r="V697" s="37"/>
      <c r="W697" s="37">
        <f>MAX($C$11-VLOOKUP($C697,COS!$B$8:$H$991,3,FALSE),0)</f>
        <v>96749</v>
      </c>
      <c r="X697" s="37">
        <f t="shared" si="1086"/>
        <v>5948.8641322314052</v>
      </c>
      <c r="Y697" s="37">
        <f>VLOOKUP($C697,COS!$B$8:$H$991,4,FALSE)</f>
        <v>0</v>
      </c>
      <c r="Z697" s="37">
        <f t="shared" si="1087"/>
        <v>0</v>
      </c>
      <c r="AA697" s="37">
        <f t="shared" si="1116"/>
        <v>0</v>
      </c>
      <c r="AB697" s="38">
        <f t="shared" si="1058"/>
        <v>0</v>
      </c>
    </row>
    <row r="698" spans="1:28" x14ac:dyDescent="0.3">
      <c r="A698" s="27">
        <f>VLOOKUP(YEAR(C698),Flags!$A$13:$B$95,2,FALSE)</f>
        <v>1</v>
      </c>
      <c r="B698" s="28">
        <f t="shared" si="1054"/>
        <v>1998</v>
      </c>
      <c r="C698" s="29">
        <v>35915</v>
      </c>
      <c r="D698" s="30">
        <f>VLOOKUP($C698,COS!$B$8:$H$991,3,FALSE)</f>
        <v>3250</v>
      </c>
      <c r="E698" s="28">
        <f>IF(D698&gt;=IF(MONTH($C698)=4,$C$3,IF(MONTH($C698)=5,$C$4,IF(MONTH($C698)=6,$C$5,IF(MONTH($C698)=7,$C$6,"ERROR")))),1,0)</f>
        <v>0</v>
      </c>
      <c r="F698" s="30">
        <f>VLOOKUP($C698,COS!$B$8:$H$991,7,FALSE)</f>
        <v>51.311630249023438</v>
      </c>
      <c r="G698" s="28">
        <f>IF(F698&lt;=IF(MONTH($C698)=4,$F$3,IF(MONTH($C698)=5,$F$4,IF(MONTH($C698)=6,$F$5,IF(MONTH($C698)=7,$F$6,"ERROR")))),1,0)</f>
        <v>1</v>
      </c>
      <c r="H698" s="30">
        <f>IF(J698=1,D698-$C$3,0)</f>
        <v>0</v>
      </c>
      <c r="I698" s="30">
        <f t="shared" si="1083"/>
        <v>0</v>
      </c>
      <c r="J698" s="28">
        <f t="shared" ref="J698:J701" si="1119">IF(AND(E698=1,G698=1),1,0)</f>
        <v>0</v>
      </c>
      <c r="K698" s="30">
        <f>VLOOKUP($C698,COS!$B$8:$H$991,2,FALSE)</f>
        <v>4367.82666015625</v>
      </c>
      <c r="L698" s="28">
        <f t="shared" ref="L698" si="1120">IF(K698&lt;=IF(MONTH($C698)=4,$I$3,IF(MONTH($C698)=5,$I$4,IF(MONTH($C698)=6,$I$5,IF(MONTH($C698)=7,$I$6,"ERROR")))),1,0)</f>
        <v>1</v>
      </c>
      <c r="M698" s="28">
        <f t="shared" ref="M698" si="1121">VLOOKUP($A698,$L$3:$M$7,2,FALSE)</f>
        <v>0</v>
      </c>
      <c r="N698" s="30">
        <f>VLOOKUP($C698,COS!$B$8:$H$991,5,FALSE)</f>
        <v>36.427017211914063</v>
      </c>
      <c r="O698" s="30">
        <f t="shared" ref="O698:O701" si="1122">N698*DAY($C698)*86400/43560/1000</f>
        <v>2.1675580489733988</v>
      </c>
      <c r="P698" s="30">
        <f>VLOOKUP($C698,COS!$B$8:$H$991,6,FALSE)</f>
        <v>359.47348022460938</v>
      </c>
      <c r="Q698" s="30">
        <f t="shared" ref="Q698:Q701" si="1123">P698*DAY($C698)*86400/43560/1000</f>
        <v>21.390157500968492</v>
      </c>
      <c r="R698" s="30">
        <f>MIN(IF(MONTH($C698)=4,$S$3,IF(MONTH($C698)=5,$S$4,IF(MONTH($C698)=6,$S$5,IF(MONTH($C698)=7,$S$6,"ERROR")))),MAX(VLOOKUP($C698,COS!$B$8:$K$991,10,FALSE)-IF(MONTH($C698)=4,$Y$3,IF(MONTH($C698)=5,$Y$4,IF(MONTH($C698)=6,$Y$5,IF(MONTH($C698)=7,$Y$6,"ERROR")))),0),MAX(VLOOKUP($C698,COS!$B$8:$K$991,9,FALSE)-IF(MONTH($C698)=4,$V$3,IF(MONTH($C698)=5,$V$4,IF(MONTH($C698)=6,$V$5,IF(MONTH($C698)=7,$V$6,"ERROR"))))-VLOOKUP($C698,COS!$B$8:$K$991,6,FALSE)/2,0))</f>
        <v>1500</v>
      </c>
      <c r="S698" s="30">
        <f t="shared" ref="S698:S701" si="1124">R698*DAY($C698)*86400/43560/1000</f>
        <v>89.256198347107429</v>
      </c>
      <c r="T698" s="30">
        <f t="shared" ref="T698:T701" si="1125">(O698+Q698)/2+S698</f>
        <v>101.03505612207837</v>
      </c>
      <c r="U698" s="30" t="str">
        <f>IF(VLOOKUP($C698,COS!$B$8:$I$991,8,FALSE)=1,"UWFE","IBU")</f>
        <v>UWFE</v>
      </c>
      <c r="V698" s="30">
        <f t="shared" ref="V698" si="1126">MIN(IF(IF($AA$3=2,AND(E698=1,G698=1,L698=1,L703=1,M698=1,U698="IBU"),AND(E698=1,G698=1,L698=1,L703=1,M698=1)),T698,0),I698)</f>
        <v>0</v>
      </c>
      <c r="W698" s="30"/>
      <c r="X698" s="30"/>
      <c r="Y698" s="30"/>
      <c r="Z698" s="30"/>
      <c r="AA698" s="30"/>
      <c r="AB698" s="31"/>
    </row>
    <row r="699" spans="1:28" x14ac:dyDescent="0.3">
      <c r="A699" s="32">
        <f>VLOOKUP(YEAR(C699),Flags!$A$13:$B$95,2,FALSE)</f>
        <v>1</v>
      </c>
      <c r="B699" s="24">
        <f t="shared" si="1054"/>
        <v>1998</v>
      </c>
      <c r="C699" s="25">
        <v>35946</v>
      </c>
      <c r="D699" s="26">
        <f>VLOOKUP($C699,COS!$B$8:$H$991,3,FALSE)</f>
        <v>14100.6455078125</v>
      </c>
      <c r="E699" s="24">
        <f>IF(D699&gt;=IF(MONTH($C699)=4,$C$3,IF(MONTH($C699)=5,$C$4,IF(MONTH($C699)=6,$C$5,IF(MONTH($C699)=7,$C$6,"ERROR")))),1,0)</f>
        <v>1</v>
      </c>
      <c r="F699" s="26">
        <f>VLOOKUP($C699,COS!$B$8:$H$991,7,FALSE)</f>
        <v>48.434772491455078</v>
      </c>
      <c r="G699" s="24">
        <f>IF(F699&lt;=IF(MONTH($C699)=4,$F$3,IF(MONTH($C699)=5,$F$4,IF(MONTH($C699)=6,$F$5,IF(MONTH($C699)=7,$F$6,"ERROR")))),1,0)</f>
        <v>1</v>
      </c>
      <c r="H699" s="26">
        <f>IF(J699=1,D699-$C$4,0)</f>
        <v>8100.6455078125</v>
      </c>
      <c r="I699" s="26">
        <f t="shared" si="1083"/>
        <v>498.08927750516534</v>
      </c>
      <c r="J699" s="24">
        <f t="shared" si="1119"/>
        <v>1</v>
      </c>
      <c r="K699" s="26">
        <f>VLOOKUP($C699,COS!$B$8:$H$991,2,FALSE)</f>
        <v>4552</v>
      </c>
      <c r="L699" s="24">
        <f t="shared" si="1046"/>
        <v>1</v>
      </c>
      <c r="M699" s="24">
        <f t="shared" si="1047"/>
        <v>0</v>
      </c>
      <c r="N699" s="26">
        <f>VLOOKUP($C699,COS!$B$8:$H$991,5,FALSE)</f>
        <v>95.197517395019531</v>
      </c>
      <c r="O699" s="26">
        <f t="shared" si="1122"/>
        <v>5.8534671852805396</v>
      </c>
      <c r="P699" s="26">
        <f>VLOOKUP($C699,COS!$B$8:$H$991,6,FALSE)</f>
        <v>1202.3902587890625</v>
      </c>
      <c r="Q699" s="26">
        <f t="shared" si="1123"/>
        <v>73.932095251162181</v>
      </c>
      <c r="R699" s="26">
        <f>MIN(IF(MONTH($C699)=4,$S$3,IF(MONTH($C699)=5,$S$4,IF(MONTH($C699)=6,$S$5,IF(MONTH($C699)=7,$S$6,"ERROR")))),MAX(VLOOKUP($C699,COS!$B$8:$K$991,10,FALSE)-IF(MONTH($C699)=4,$Y$3,IF(MONTH($C699)=5,$Y$4,IF(MONTH($C699)=6,$Y$5,IF(MONTH($C699)=7,$Y$6,"ERROR")))),0),MAX(VLOOKUP($C699,COS!$B$8:$K$991,9,FALSE)-IF(MONTH($C699)=4,$V$3,IF(MONTH($C699)=5,$V$4,IF(MONTH($C699)=6,$V$5,IF(MONTH($C699)=7,$V$6,"ERROR"))))-VLOOKUP($C699,COS!$B$8:$K$991,6,FALSE)/2,0))</f>
        <v>1500</v>
      </c>
      <c r="S699" s="26">
        <f t="shared" si="1124"/>
        <v>92.231404958677686</v>
      </c>
      <c r="T699" s="26">
        <f t="shared" si="1125"/>
        <v>132.12418617689906</v>
      </c>
      <c r="U699" s="26" t="str">
        <f>IF(VLOOKUP($C699,COS!$B$8:$I$991,8,FALSE)=1,"UWFE","IBU")</f>
        <v>UWFE</v>
      </c>
      <c r="V699" s="26">
        <f t="shared" ref="V699" si="1127">MIN(IF(IF($AA$3=2,AND(E699=1,G699=1,L699=1,L703=1,M699=1,U699="IBU"),AND(E699=1,G699=1,L699=1,L703=1,M699=1)),T699,0),I699)</f>
        <v>0</v>
      </c>
      <c r="W699" s="26"/>
      <c r="X699" s="26"/>
      <c r="Y699" s="26"/>
      <c r="Z699" s="26"/>
      <c r="AA699" s="26"/>
      <c r="AB699" s="33"/>
    </row>
    <row r="700" spans="1:28" x14ac:dyDescent="0.3">
      <c r="A700" s="32">
        <f>VLOOKUP(YEAR(C700),Flags!$A$13:$B$95,2,FALSE)</f>
        <v>1</v>
      </c>
      <c r="B700" s="24">
        <f t="shared" si="1054"/>
        <v>1998</v>
      </c>
      <c r="C700" s="25">
        <v>35976</v>
      </c>
      <c r="D700" s="26">
        <f>VLOOKUP($C700,COS!$B$8:$H$991,3,FALSE)</f>
        <v>16775.65625</v>
      </c>
      <c r="E700" s="24">
        <f>IF(D700&gt;=IF(MONTH($C700)=4,$C$3,IF(MONTH($C700)=5,$C$4,IF(MONTH($C700)=6,$C$5,IF(MONTH($C700)=7,$C$6,"ERROR")))),1,0)</f>
        <v>1</v>
      </c>
      <c r="F700" s="26">
        <f>VLOOKUP($C700,COS!$B$8:$H$991,7,FALSE)</f>
        <v>50.810955047607422</v>
      </c>
      <c r="G700" s="24">
        <f>IF(F700&lt;=IF(MONTH($C700)=4,$F$3,IF(MONTH($C700)=5,$F$4,IF(MONTH($C700)=6,$F$5,IF(MONTH($C700)=7,$F$6,"ERROR")))),1,0)</f>
        <v>1</v>
      </c>
      <c r="H700" s="26">
        <f>IF(J700=1,D700-$C$5,0)</f>
        <v>6775.65625</v>
      </c>
      <c r="I700" s="26">
        <f t="shared" si="1083"/>
        <v>403.17954545454546</v>
      </c>
      <c r="J700" s="24">
        <f t="shared" si="1119"/>
        <v>1</v>
      </c>
      <c r="K700" s="26">
        <f>VLOOKUP($C700,COS!$B$8:$H$991,2,FALSE)</f>
        <v>4500</v>
      </c>
      <c r="L700" s="24">
        <f t="shared" si="1046"/>
        <v>1</v>
      </c>
      <c r="M700" s="24">
        <f t="shared" si="1047"/>
        <v>0</v>
      </c>
      <c r="N700" s="26">
        <f>VLOOKUP($C700,COS!$B$8:$H$991,5,FALSE)</f>
        <v>1109.75537109375</v>
      </c>
      <c r="O700" s="26">
        <f t="shared" si="1122"/>
        <v>66.035030346074379</v>
      </c>
      <c r="P700" s="26">
        <f>VLOOKUP($C700,COS!$B$8:$H$991,6,FALSE)</f>
        <v>2242.28173828125</v>
      </c>
      <c r="Q700" s="26">
        <f t="shared" si="1123"/>
        <v>133.42502905475206</v>
      </c>
      <c r="R700" s="26">
        <f>MIN(IF(MONTH($C700)=4,$S$3,IF(MONTH($C700)=5,$S$4,IF(MONTH($C700)=6,$S$5,IF(MONTH($C700)=7,$S$6,"ERROR")))),MAX(VLOOKUP($C700,COS!$B$8:$K$991,10,FALSE)-IF(MONTH($C700)=4,$Y$3,IF(MONTH($C700)=5,$Y$4,IF(MONTH($C700)=6,$Y$5,IF(MONTH($C700)=7,$Y$6,"ERROR")))),0),MAX(VLOOKUP($C700,COS!$B$8:$K$991,9,FALSE)-IF(MONTH($C700)=4,$V$3,IF(MONTH($C700)=5,$V$4,IF(MONTH($C700)=6,$V$5,IF(MONTH($C700)=7,$V$6,"ERROR"))))-VLOOKUP($C700,COS!$B$8:$K$991,6,FALSE)/2,0))</f>
        <v>1500</v>
      </c>
      <c r="S700" s="26">
        <f t="shared" si="1124"/>
        <v>89.256198347107429</v>
      </c>
      <c r="T700" s="26">
        <f t="shared" si="1125"/>
        <v>188.98622804752063</v>
      </c>
      <c r="U700" s="26" t="str">
        <f>IF(VLOOKUP($C700,COS!$B$8:$I$991,8,FALSE)=1,"UWFE","IBU")</f>
        <v>UWFE</v>
      </c>
      <c r="V700" s="26">
        <f t="shared" ref="V700" si="1128">MIN(IF(IF($AA$3=2,AND(E700=1,G700=1,L700=1,L703=1,M700=1,U700="IBU"),AND(E700=1,G700=1,L700=1,L703=1,M700=1)),T700,0),I700)</f>
        <v>0</v>
      </c>
      <c r="W700" s="26"/>
      <c r="X700" s="26"/>
      <c r="Y700" s="26"/>
      <c r="Z700" s="26"/>
      <c r="AA700" s="26"/>
      <c r="AB700" s="33"/>
    </row>
    <row r="701" spans="1:28" x14ac:dyDescent="0.3">
      <c r="A701" s="32">
        <f>VLOOKUP(YEAR(C701),Flags!$A$13:$B$95,2,FALSE)</f>
        <v>1</v>
      </c>
      <c r="B701" s="24">
        <f t="shared" si="1054"/>
        <v>1998</v>
      </c>
      <c r="C701" s="25">
        <v>36007</v>
      </c>
      <c r="D701" s="26">
        <f>VLOOKUP($C701,COS!$B$8:$H$991,3,FALSE)</f>
        <v>14362.4873046875</v>
      </c>
      <c r="E701" s="24">
        <f>IF(D701&gt;=IF(MONTH($C701)=4,$C$3,IF(MONTH($C701)=5,$C$4,IF(MONTH($C701)=6,$C$5,IF(MONTH($C701)=7,$C$6,"ERROR")))),1,0)</f>
        <v>1</v>
      </c>
      <c r="F701" s="26">
        <f>VLOOKUP($C701,COS!$B$8:$H$991,7,FALSE)</f>
        <v>53.361946105957031</v>
      </c>
      <c r="G701" s="24">
        <f>IF(F701&lt;=IF(MONTH($C701)=4,$F$3,IF(MONTH($C701)=5,$F$4,IF(MONTH($C701)=6,$F$5,IF(MONTH($C701)=7,$F$6,"ERROR")))),1,0)</f>
        <v>1</v>
      </c>
      <c r="H701" s="26">
        <f>IF(J701=1,D701-$C$6,0)</f>
        <v>2362.4873046875</v>
      </c>
      <c r="I701" s="26">
        <f t="shared" si="1083"/>
        <v>145.2636822055785</v>
      </c>
      <c r="J701" s="24">
        <f t="shared" si="1119"/>
        <v>1</v>
      </c>
      <c r="K701" s="26">
        <f>VLOOKUP($C701,COS!$B$8:$H$991,2,FALSE)</f>
        <v>4150</v>
      </c>
      <c r="L701" s="24">
        <f t="shared" si="1046"/>
        <v>1</v>
      </c>
      <c r="M701" s="24">
        <f t="shared" si="1047"/>
        <v>0</v>
      </c>
      <c r="N701" s="26">
        <f>VLOOKUP($C701,COS!$B$8:$H$991,5,FALSE)</f>
        <v>1396.974609375</v>
      </c>
      <c r="O701" s="26">
        <f t="shared" si="1122"/>
        <v>85.896620609504126</v>
      </c>
      <c r="P701" s="26">
        <f>VLOOKUP($C701,COS!$B$8:$H$991,6,FALSE)</f>
        <v>2616.67822265625</v>
      </c>
      <c r="Q701" s="26">
        <f t="shared" si="1123"/>
        <v>160.89327253357436</v>
      </c>
      <c r="R701" s="26">
        <f>MIN(IF(MONTH($C701)=4,$S$3,IF(MONTH($C701)=5,$S$4,IF(MONTH($C701)=6,$S$5,IF(MONTH($C701)=7,$S$6,"ERROR")))),MAX(VLOOKUP($C701,COS!$B$8:$K$991,10,FALSE)-IF(MONTH($C701)=4,$Y$3,IF(MONTH($C701)=5,$Y$4,IF(MONTH($C701)=6,$Y$5,IF(MONTH($C701)=7,$Y$6,"ERROR")))),0),MAX(VLOOKUP($C701,COS!$B$8:$K$991,9,FALSE)-IF(MONTH($C701)=4,$V$3,IF(MONTH($C701)=5,$V$4,IF(MONTH($C701)=6,$V$5,IF(MONTH($C701)=7,$V$6,"ERROR"))))-VLOOKUP($C701,COS!$B$8:$K$991,6,FALSE)/2,0))</f>
        <v>1500</v>
      </c>
      <c r="S701" s="26">
        <f t="shared" si="1124"/>
        <v>92.231404958677686</v>
      </c>
      <c r="T701" s="26">
        <f t="shared" si="1125"/>
        <v>215.62635153021694</v>
      </c>
      <c r="U701" s="26" t="str">
        <f>IF(VLOOKUP($C701,COS!$B$8:$I$991,8,FALSE)=1,"UWFE","IBU")</f>
        <v>UWFE</v>
      </c>
      <c r="V701" s="26">
        <f t="shared" ref="V701" si="1129">MIN(IF(IF($AA$3=2,AND(E701=1,G701=1,L701=1,L703=1,M701=1,U701="IBU"),AND(E701=1,G701=1,L701=1,L703=1,M701=1)),T701,0),I701)</f>
        <v>0</v>
      </c>
      <c r="W701" s="26"/>
      <c r="X701" s="26"/>
      <c r="Y701" s="26"/>
      <c r="Z701" s="26"/>
      <c r="AA701" s="26"/>
      <c r="AB701" s="33"/>
    </row>
    <row r="702" spans="1:28" x14ac:dyDescent="0.3">
      <c r="A702" s="32">
        <f>VLOOKUP(YEAR(C702),Flags!$A$13:$B$95,2,FALSE)</f>
        <v>1</v>
      </c>
      <c r="B702" s="24">
        <f t="shared" si="1054"/>
        <v>1998</v>
      </c>
      <c r="C702" s="25">
        <v>36038</v>
      </c>
      <c r="D702" s="26"/>
      <c r="E702" s="24"/>
      <c r="F702" s="26"/>
      <c r="G702" s="24"/>
      <c r="H702" s="24"/>
      <c r="I702" s="26"/>
      <c r="J702" s="24"/>
      <c r="K702" s="26"/>
      <c r="L702" s="24"/>
      <c r="M702" s="24"/>
      <c r="N702" s="26"/>
      <c r="O702" s="26"/>
      <c r="P702" s="26"/>
      <c r="Q702" s="26"/>
      <c r="R702" s="26"/>
      <c r="S702" s="26"/>
      <c r="T702" s="26"/>
      <c r="U702" s="26"/>
      <c r="V702" s="26"/>
      <c r="W702" s="26">
        <f>MAX($C$7-VLOOKUP($C702,COS!$B$8:$H$991,3,FALSE),0)</f>
        <v>86468.90625</v>
      </c>
      <c r="X702" s="26">
        <f t="shared" si="1086"/>
        <v>5316.765805785124</v>
      </c>
      <c r="Y702" s="26">
        <f>VLOOKUP($C702,COS!$B$8:$H$991,4,FALSE)</f>
        <v>0</v>
      </c>
      <c r="Z702" s="26">
        <f t="shared" si="1087"/>
        <v>0</v>
      </c>
      <c r="AA702" s="26">
        <f t="shared" ref="AA702:AA706" si="1130">MIN(W702,Y702)</f>
        <v>0</v>
      </c>
      <c r="AB702" s="33">
        <f t="shared" ref="AB702" si="1131">AA702*DAY($C702)*86400/43560/1000*IF(MONTH($C702)=8,$P$3,IF(MONTH($C702)=9,$P$4,IF(MONTH($C702)=10,$P$5,IF(MONTH($C702)=11,$P$6,IF(MONTH($C702)=12,$P$7,NA())))))</f>
        <v>0</v>
      </c>
    </row>
    <row r="703" spans="1:28" x14ac:dyDescent="0.3">
      <c r="A703" s="32">
        <f>VLOOKUP(YEAR(C703),Flags!$A$13:$B$95,2,FALSE)</f>
        <v>1</v>
      </c>
      <c r="B703" s="24">
        <f t="shared" si="1054"/>
        <v>1998</v>
      </c>
      <c r="C703" s="25">
        <v>36068</v>
      </c>
      <c r="D703" s="26"/>
      <c r="E703" s="24"/>
      <c r="F703" s="26"/>
      <c r="G703" s="24"/>
      <c r="H703" s="24"/>
      <c r="I703" s="26"/>
      <c r="J703" s="24"/>
      <c r="K703" s="26">
        <f>VLOOKUP($C703,COS!$B$8:$H$991,2,FALSE)</f>
        <v>3400</v>
      </c>
      <c r="L703" s="24">
        <f t="shared" ref="L703" si="1132">IF(AND(K703&gt;$I$7,K703&lt;$I$8),1,0)</f>
        <v>1</v>
      </c>
      <c r="M703" s="24"/>
      <c r="N703" s="26"/>
      <c r="O703" s="26"/>
      <c r="P703" s="26"/>
      <c r="Q703" s="26"/>
      <c r="R703" s="26"/>
      <c r="S703" s="26"/>
      <c r="T703" s="26"/>
      <c r="U703" s="26"/>
      <c r="V703" s="26"/>
      <c r="W703" s="26">
        <f>MAX($C$8-VLOOKUP($C703,COS!$B$8:$H$991,3,FALSE),0)</f>
        <v>88005.72265625</v>
      </c>
      <c r="X703" s="26">
        <f t="shared" si="1086"/>
        <v>5236.7041580578507</v>
      </c>
      <c r="Y703" s="26">
        <f>VLOOKUP($C703,COS!$B$8:$H$991,4,FALSE)</f>
        <v>0</v>
      </c>
      <c r="Z703" s="26">
        <f t="shared" si="1087"/>
        <v>0</v>
      </c>
      <c r="AA703" s="26">
        <f t="shared" si="1130"/>
        <v>0</v>
      </c>
      <c r="AB703" s="33">
        <f t="shared" si="1058"/>
        <v>0</v>
      </c>
    </row>
    <row r="704" spans="1:28" x14ac:dyDescent="0.3">
      <c r="A704" s="32">
        <f>VLOOKUP(YEAR(C704),Flags!$A$13:$B$95,2,FALSE)</f>
        <v>1</v>
      </c>
      <c r="B704" s="24">
        <f t="shared" si="1054"/>
        <v>1998</v>
      </c>
      <c r="C704" s="25">
        <v>36099</v>
      </c>
      <c r="D704" s="26"/>
      <c r="E704" s="24"/>
      <c r="F704" s="26"/>
      <c r="G704" s="26"/>
      <c r="H704" s="26"/>
      <c r="I704" s="26"/>
      <c r="J704" s="26"/>
      <c r="K704" s="26"/>
      <c r="L704" s="24"/>
      <c r="M704" s="24"/>
      <c r="N704" s="26"/>
      <c r="O704" s="26"/>
      <c r="P704" s="26"/>
      <c r="Q704" s="26"/>
      <c r="R704" s="26"/>
      <c r="S704" s="26"/>
      <c r="T704" s="26"/>
      <c r="U704" s="26"/>
      <c r="V704" s="26"/>
      <c r="W704" s="26">
        <f>MAX($C$9-VLOOKUP($C704,COS!$B$8:$H$991,3,FALSE),0)</f>
        <v>90740.13671875</v>
      </c>
      <c r="X704" s="26">
        <f t="shared" si="1086"/>
        <v>5579.3935304752067</v>
      </c>
      <c r="Y704" s="26">
        <f>VLOOKUP($C704,COS!$B$8:$H$991,4,FALSE)</f>
        <v>53.249282836914063</v>
      </c>
      <c r="Z704" s="26">
        <f t="shared" si="1087"/>
        <v>3.2741707793937245</v>
      </c>
      <c r="AA704" s="26">
        <f t="shared" si="1130"/>
        <v>53.249282836914063</v>
      </c>
      <c r="AB704" s="33">
        <f t="shared" si="1058"/>
        <v>3.2741707793937245</v>
      </c>
    </row>
    <row r="705" spans="1:28" x14ac:dyDescent="0.3">
      <c r="A705" s="32">
        <f>VLOOKUP(YEAR(C705),Flags!$A$13:$B$95,2,FALSE)</f>
        <v>1</v>
      </c>
      <c r="B705" s="24">
        <f t="shared" si="1054"/>
        <v>1998</v>
      </c>
      <c r="C705" s="25">
        <v>36129</v>
      </c>
      <c r="D705" s="26"/>
      <c r="E705" s="24"/>
      <c r="F705" s="26"/>
      <c r="G705" s="26"/>
      <c r="H705" s="26"/>
      <c r="I705" s="26"/>
      <c r="J705" s="26"/>
      <c r="K705" s="26"/>
      <c r="L705" s="24"/>
      <c r="M705" s="24"/>
      <c r="N705" s="26"/>
      <c r="O705" s="26"/>
      <c r="P705" s="26"/>
      <c r="Q705" s="26"/>
      <c r="R705" s="26"/>
      <c r="S705" s="26"/>
      <c r="T705" s="26"/>
      <c r="U705" s="26"/>
      <c r="V705" s="26"/>
      <c r="W705" s="26">
        <f>MAX($C$10-VLOOKUP($C705,COS!$B$8:$H$991,3,FALSE),0)</f>
        <v>88483.4296875</v>
      </c>
      <c r="X705" s="26">
        <f t="shared" si="1086"/>
        <v>5265.129700413223</v>
      </c>
      <c r="Y705" s="26">
        <f>VLOOKUP($C705,COS!$B$8:$H$991,4,FALSE)</f>
        <v>0</v>
      </c>
      <c r="Z705" s="26">
        <f t="shared" si="1087"/>
        <v>0</v>
      </c>
      <c r="AA705" s="26">
        <f t="shared" si="1130"/>
        <v>0</v>
      </c>
      <c r="AB705" s="33">
        <f t="shared" si="1058"/>
        <v>0</v>
      </c>
    </row>
    <row r="706" spans="1:28" x14ac:dyDescent="0.3">
      <c r="A706" s="34">
        <f>VLOOKUP(YEAR(C706),Flags!$A$13:$B$95,2,FALSE)</f>
        <v>1</v>
      </c>
      <c r="B706" s="35">
        <f t="shared" si="1054"/>
        <v>1998</v>
      </c>
      <c r="C706" s="36">
        <v>36160</v>
      </c>
      <c r="D706" s="37"/>
      <c r="E706" s="35"/>
      <c r="F706" s="37"/>
      <c r="G706" s="37"/>
      <c r="H706" s="37"/>
      <c r="I706" s="37"/>
      <c r="J706" s="37"/>
      <c r="K706" s="37"/>
      <c r="L706" s="35"/>
      <c r="M706" s="35"/>
      <c r="N706" s="37"/>
      <c r="O706" s="37"/>
      <c r="P706" s="37"/>
      <c r="Q706" s="37"/>
      <c r="R706" s="37"/>
      <c r="S706" s="37"/>
      <c r="T706" s="37"/>
      <c r="U706" s="37"/>
      <c r="V706" s="37"/>
      <c r="W706" s="37">
        <f>MAX($C$11-VLOOKUP($C706,COS!$B$8:$H$991,3,FALSE),0)</f>
        <v>87794.3359375</v>
      </c>
      <c r="X706" s="37">
        <f t="shared" si="1086"/>
        <v>5398.2633006198348</v>
      </c>
      <c r="Y706" s="37">
        <f>VLOOKUP($C706,COS!$B$8:$H$991,4,FALSE)</f>
        <v>0</v>
      </c>
      <c r="Z706" s="37">
        <f t="shared" si="1087"/>
        <v>0</v>
      </c>
      <c r="AA706" s="37">
        <f t="shared" si="1130"/>
        <v>0</v>
      </c>
      <c r="AB706" s="38">
        <f t="shared" si="1058"/>
        <v>0</v>
      </c>
    </row>
    <row r="707" spans="1:28" x14ac:dyDescent="0.3">
      <c r="A707" s="27">
        <f>VLOOKUP(YEAR(C707),Flags!$A$13:$B$95,2,FALSE)</f>
        <v>1</v>
      </c>
      <c r="B707" s="28">
        <f t="shared" si="1054"/>
        <v>1999</v>
      </c>
      <c r="C707" s="29">
        <v>36280</v>
      </c>
      <c r="D707" s="30">
        <f>VLOOKUP($C707,COS!$B$8:$H$991,3,FALSE)</f>
        <v>3438.072509765625</v>
      </c>
      <c r="E707" s="28">
        <f>IF(D707&gt;=IF(MONTH($C707)=4,$C$3,IF(MONTH($C707)=5,$C$4,IF(MONTH($C707)=6,$C$5,IF(MONTH($C707)=7,$C$6,"ERROR")))),1,0)</f>
        <v>0</v>
      </c>
      <c r="F707" s="30">
        <f>VLOOKUP($C707,COS!$B$8:$H$991,7,FALSE)</f>
        <v>51.189750671386719</v>
      </c>
      <c r="G707" s="28">
        <f>IF(F707&lt;=IF(MONTH($C707)=4,$F$3,IF(MONTH($C707)=5,$F$4,IF(MONTH($C707)=6,$F$5,IF(MONTH($C707)=7,$F$6,"ERROR")))),1,0)</f>
        <v>1</v>
      </c>
      <c r="H707" s="30">
        <f>IF(J707=1,D707-$C$3,0)</f>
        <v>0</v>
      </c>
      <c r="I707" s="30">
        <f t="shared" si="1083"/>
        <v>0</v>
      </c>
      <c r="J707" s="28">
        <f t="shared" ref="J707:J710" si="1133">IF(AND(E707=1,G707=1),1,0)</f>
        <v>0</v>
      </c>
      <c r="K707" s="30">
        <f>VLOOKUP($C707,COS!$B$8:$H$991,2,FALSE)</f>
        <v>4552.10009765625</v>
      </c>
      <c r="L707" s="28">
        <f t="shared" ref="L707" si="1134">IF(K707&lt;=IF(MONTH($C707)=4,$I$3,IF(MONTH($C707)=5,$I$4,IF(MONTH($C707)=6,$I$5,IF(MONTH($C707)=7,$I$6,"ERROR")))),1,0)</f>
        <v>1</v>
      </c>
      <c r="M707" s="28">
        <f t="shared" ref="M707" si="1135">VLOOKUP($A707,$L$3:$M$7,2,FALSE)</f>
        <v>0</v>
      </c>
      <c r="N707" s="30">
        <f>VLOOKUP($C707,COS!$B$8:$H$991,5,FALSE)</f>
        <v>141.06893920898438</v>
      </c>
      <c r="O707" s="30">
        <f t="shared" ref="O707:O710" si="1136">N707*DAY($C707)*86400/43560/1000</f>
        <v>8.3941848124354355</v>
      </c>
      <c r="P707" s="30">
        <f>VLOOKUP($C707,COS!$B$8:$H$991,6,FALSE)</f>
        <v>412.21127319335938</v>
      </c>
      <c r="Q707" s="30">
        <f t="shared" ref="Q707:Q710" si="1137">P707*DAY($C707)*86400/43560/1000</f>
        <v>24.528274107373452</v>
      </c>
      <c r="R707" s="30">
        <f>MIN(IF(MONTH($C707)=4,$S$3,IF(MONTH($C707)=5,$S$4,IF(MONTH($C707)=6,$S$5,IF(MONTH($C707)=7,$S$6,"ERROR")))),MAX(VLOOKUP($C707,COS!$B$8:$K$991,10,FALSE)-IF(MONTH($C707)=4,$Y$3,IF(MONTH($C707)=5,$Y$4,IF(MONTH($C707)=6,$Y$5,IF(MONTH($C707)=7,$Y$6,"ERROR")))),0),MAX(VLOOKUP($C707,COS!$B$8:$K$991,9,FALSE)-IF(MONTH($C707)=4,$V$3,IF(MONTH($C707)=5,$V$4,IF(MONTH($C707)=6,$V$5,IF(MONTH($C707)=7,$V$6,"ERROR"))))-VLOOKUP($C707,COS!$B$8:$K$991,6,FALSE)/2,0))</f>
        <v>1500</v>
      </c>
      <c r="S707" s="30">
        <f t="shared" ref="S707:S710" si="1138">R707*DAY($C707)*86400/43560/1000</f>
        <v>89.256198347107429</v>
      </c>
      <c r="T707" s="30">
        <f t="shared" ref="T707:T710" si="1139">(O707+Q707)/2+S707</f>
        <v>105.71742780701187</v>
      </c>
      <c r="U707" s="30" t="str">
        <f>IF(VLOOKUP($C707,COS!$B$8:$I$991,8,FALSE)=1,"UWFE","IBU")</f>
        <v>UWFE</v>
      </c>
      <c r="V707" s="30">
        <f t="shared" ref="V707" si="1140">MIN(IF(IF($AA$3=2,AND(E707=1,G707=1,L707=1,L712=1,M707=1,U707="IBU"),AND(E707=1,G707=1,L707=1,L712=1,M707=1)),T707,0),I707)</f>
        <v>0</v>
      </c>
      <c r="W707" s="30"/>
      <c r="X707" s="30"/>
      <c r="Y707" s="30"/>
      <c r="Z707" s="30"/>
      <c r="AA707" s="30"/>
      <c r="AB707" s="31"/>
    </row>
    <row r="708" spans="1:28" x14ac:dyDescent="0.3">
      <c r="A708" s="32">
        <f>VLOOKUP(YEAR(C708),Flags!$A$13:$B$95,2,FALSE)</f>
        <v>1</v>
      </c>
      <c r="B708" s="24">
        <f t="shared" si="1054"/>
        <v>1999</v>
      </c>
      <c r="C708" s="25">
        <v>36311</v>
      </c>
      <c r="D708" s="26">
        <f>VLOOKUP($C708,COS!$B$8:$H$991,3,FALSE)</f>
        <v>8437.2080078125</v>
      </c>
      <c r="E708" s="24">
        <f>IF(D708&gt;=IF(MONTH($C708)=4,$C$3,IF(MONTH($C708)=5,$C$4,IF(MONTH($C708)=6,$C$5,IF(MONTH($C708)=7,$C$6,"ERROR")))),1,0)</f>
        <v>1</v>
      </c>
      <c r="F708" s="26">
        <f>VLOOKUP($C708,COS!$B$8:$H$991,7,FALSE)</f>
        <v>50.693416595458984</v>
      </c>
      <c r="G708" s="24">
        <f>IF(F708&lt;=IF(MONTH($C708)=4,$F$3,IF(MONTH($C708)=5,$F$4,IF(MONTH($C708)=6,$F$5,IF(MONTH($C708)=7,$F$6,"ERROR")))),1,0)</f>
        <v>1</v>
      </c>
      <c r="H708" s="26">
        <f>IF(J708=1,D708-$C$4,0)</f>
        <v>2437.2080078125</v>
      </c>
      <c r="I708" s="26">
        <f t="shared" si="1083"/>
        <v>149.85807915805785</v>
      </c>
      <c r="J708" s="24">
        <f t="shared" si="1133"/>
        <v>1</v>
      </c>
      <c r="K708" s="26">
        <f>VLOOKUP($C708,COS!$B$8:$H$991,2,FALSE)</f>
        <v>4552</v>
      </c>
      <c r="L708" s="24">
        <f t="shared" si="1046"/>
        <v>1</v>
      </c>
      <c r="M708" s="24">
        <f t="shared" si="1047"/>
        <v>0</v>
      </c>
      <c r="N708" s="26">
        <f>VLOOKUP($C708,COS!$B$8:$H$991,5,FALSE)</f>
        <v>838.45135498046875</v>
      </c>
      <c r="O708" s="26">
        <f t="shared" si="1136"/>
        <v>51.55436430623709</v>
      </c>
      <c r="P708" s="26">
        <f>VLOOKUP($C708,COS!$B$8:$H$991,6,FALSE)</f>
        <v>2288.578369140625</v>
      </c>
      <c r="Q708" s="26">
        <f t="shared" si="1137"/>
        <v>140.71919889591942</v>
      </c>
      <c r="R708" s="26">
        <f>MIN(IF(MONTH($C708)=4,$S$3,IF(MONTH($C708)=5,$S$4,IF(MONTH($C708)=6,$S$5,IF(MONTH($C708)=7,$S$6,"ERROR")))),MAX(VLOOKUP($C708,COS!$B$8:$K$991,10,FALSE)-IF(MONTH($C708)=4,$Y$3,IF(MONTH($C708)=5,$Y$4,IF(MONTH($C708)=6,$Y$5,IF(MONTH($C708)=7,$Y$6,"ERROR")))),0),MAX(VLOOKUP($C708,COS!$B$8:$K$991,9,FALSE)-IF(MONTH($C708)=4,$V$3,IF(MONTH($C708)=5,$V$4,IF(MONTH($C708)=6,$V$5,IF(MONTH($C708)=7,$V$6,"ERROR"))))-VLOOKUP($C708,COS!$B$8:$K$991,6,FALSE)/2,0))</f>
        <v>1500</v>
      </c>
      <c r="S708" s="26">
        <f t="shared" si="1138"/>
        <v>92.231404958677686</v>
      </c>
      <c r="T708" s="26">
        <f t="shared" si="1139"/>
        <v>188.36818655975594</v>
      </c>
      <c r="U708" s="26" t="str">
        <f>IF(VLOOKUP($C708,COS!$B$8:$I$991,8,FALSE)=1,"UWFE","IBU")</f>
        <v>UWFE</v>
      </c>
      <c r="V708" s="26">
        <f t="shared" ref="V708" si="1141">MIN(IF(IF($AA$3=2,AND(E708=1,G708=1,L708=1,L712=1,M708=1,U708="IBU"),AND(E708=1,G708=1,L708=1,L712=1,M708=1)),T708,0),I708)</f>
        <v>0</v>
      </c>
      <c r="W708" s="26"/>
      <c r="X708" s="26"/>
      <c r="Y708" s="26"/>
      <c r="Z708" s="26"/>
      <c r="AA708" s="26"/>
      <c r="AB708" s="33"/>
    </row>
    <row r="709" spans="1:28" x14ac:dyDescent="0.3">
      <c r="A709" s="32">
        <f>VLOOKUP(YEAR(C709),Flags!$A$13:$B$95,2,FALSE)</f>
        <v>1</v>
      </c>
      <c r="B709" s="24">
        <f t="shared" si="1054"/>
        <v>1999</v>
      </c>
      <c r="C709" s="25">
        <v>36341</v>
      </c>
      <c r="D709" s="26">
        <f>VLOOKUP($C709,COS!$B$8:$H$991,3,FALSE)</f>
        <v>8144.7666015625</v>
      </c>
      <c r="E709" s="24">
        <f>IF(D709&gt;=IF(MONTH($C709)=4,$C$3,IF(MONTH($C709)=5,$C$4,IF(MONTH($C709)=6,$C$5,IF(MONTH($C709)=7,$C$6,"ERROR")))),1,0)</f>
        <v>0</v>
      </c>
      <c r="F709" s="26">
        <f>VLOOKUP($C709,COS!$B$8:$H$991,7,FALSE)</f>
        <v>51.85150146484375</v>
      </c>
      <c r="G709" s="24">
        <f>IF(F709&lt;=IF(MONTH($C709)=4,$F$3,IF(MONTH($C709)=5,$F$4,IF(MONTH($C709)=6,$F$5,IF(MONTH($C709)=7,$F$6,"ERROR")))),1,0)</f>
        <v>1</v>
      </c>
      <c r="H709" s="26">
        <f>IF(J709=1,D709-$C$5,0)</f>
        <v>0</v>
      </c>
      <c r="I709" s="26">
        <f t="shared" si="1083"/>
        <v>0</v>
      </c>
      <c r="J709" s="24">
        <f t="shared" si="1133"/>
        <v>0</v>
      </c>
      <c r="K709" s="26">
        <f>VLOOKUP($C709,COS!$B$8:$H$991,2,FALSE)</f>
        <v>4382.97265625</v>
      </c>
      <c r="L709" s="24">
        <f t="shared" si="1046"/>
        <v>1</v>
      </c>
      <c r="M709" s="24">
        <f t="shared" si="1047"/>
        <v>0</v>
      </c>
      <c r="N709" s="26">
        <f>VLOOKUP($C709,COS!$B$8:$H$991,5,FALSE)</f>
        <v>1060.0843505859375</v>
      </c>
      <c r="O709" s="26">
        <f t="shared" si="1136"/>
        <v>63.079399373708675</v>
      </c>
      <c r="P709" s="26">
        <f>VLOOKUP($C709,COS!$B$8:$H$991,6,FALSE)</f>
        <v>2226.599365234375</v>
      </c>
      <c r="Q709" s="26">
        <f t="shared" si="1137"/>
        <v>132.4918630552686</v>
      </c>
      <c r="R709" s="26">
        <f>MIN(IF(MONTH($C709)=4,$S$3,IF(MONTH($C709)=5,$S$4,IF(MONTH($C709)=6,$S$5,IF(MONTH($C709)=7,$S$6,"ERROR")))),MAX(VLOOKUP($C709,COS!$B$8:$K$991,10,FALSE)-IF(MONTH($C709)=4,$Y$3,IF(MONTH($C709)=5,$Y$4,IF(MONTH($C709)=6,$Y$5,IF(MONTH($C709)=7,$Y$6,"ERROR")))),0),MAX(VLOOKUP($C709,COS!$B$8:$K$991,9,FALSE)-IF(MONTH($C709)=4,$V$3,IF(MONTH($C709)=5,$V$4,IF(MONTH($C709)=6,$V$5,IF(MONTH($C709)=7,$V$6,"ERROR"))))-VLOOKUP($C709,COS!$B$8:$K$991,6,FALSE)/2,0))</f>
        <v>1500</v>
      </c>
      <c r="S709" s="26">
        <f t="shared" si="1138"/>
        <v>89.256198347107429</v>
      </c>
      <c r="T709" s="26">
        <f t="shared" si="1139"/>
        <v>187.04182956159605</v>
      </c>
      <c r="U709" s="26" t="str">
        <f>IF(VLOOKUP($C709,COS!$B$8:$I$991,8,FALSE)=1,"UWFE","IBU")</f>
        <v>UWFE</v>
      </c>
      <c r="V709" s="26">
        <f t="shared" ref="V709" si="1142">MIN(IF(IF($AA$3=2,AND(E709=1,G709=1,L709=1,L712=1,M709=1,U709="IBU"),AND(E709=1,G709=1,L709=1,L712=1,M709=1)),T709,0),I709)</f>
        <v>0</v>
      </c>
      <c r="W709" s="26"/>
      <c r="X709" s="26"/>
      <c r="Y709" s="26"/>
      <c r="Z709" s="26"/>
      <c r="AA709" s="26"/>
      <c r="AB709" s="33"/>
    </row>
    <row r="710" spans="1:28" x14ac:dyDescent="0.3">
      <c r="A710" s="32">
        <f>VLOOKUP(YEAR(C710),Flags!$A$13:$B$95,2,FALSE)</f>
        <v>1</v>
      </c>
      <c r="B710" s="24">
        <f t="shared" si="1054"/>
        <v>1999</v>
      </c>
      <c r="C710" s="25">
        <v>36372</v>
      </c>
      <c r="D710" s="26">
        <f>VLOOKUP($C710,COS!$B$8:$H$991,3,FALSE)</f>
        <v>16000</v>
      </c>
      <c r="E710" s="24">
        <f>IF(D710&gt;=IF(MONTH($C710)=4,$C$3,IF(MONTH($C710)=5,$C$4,IF(MONTH($C710)=6,$C$5,IF(MONTH($C710)=7,$C$6,"ERROR")))),1,0)</f>
        <v>1</v>
      </c>
      <c r="F710" s="26">
        <f>VLOOKUP($C710,COS!$B$8:$H$991,7,FALSE)</f>
        <v>51.293598175048828</v>
      </c>
      <c r="G710" s="24">
        <f>IF(F710&lt;=IF(MONTH($C710)=4,$F$3,IF(MONTH($C710)=5,$F$4,IF(MONTH($C710)=6,$F$5,IF(MONTH($C710)=7,$F$6,"ERROR")))),1,0)</f>
        <v>1</v>
      </c>
      <c r="H710" s="26">
        <f>IF(J710=1,D710-$C$6,0)</f>
        <v>4000</v>
      </c>
      <c r="I710" s="26">
        <f t="shared" si="1083"/>
        <v>245.95041322314049</v>
      </c>
      <c r="J710" s="24">
        <f t="shared" si="1133"/>
        <v>1</v>
      </c>
      <c r="K710" s="26">
        <f>VLOOKUP($C710,COS!$B$8:$H$991,2,FALSE)</f>
        <v>3724.72216796875</v>
      </c>
      <c r="L710" s="24">
        <f t="shared" si="1046"/>
        <v>1</v>
      </c>
      <c r="M710" s="24">
        <f t="shared" si="1047"/>
        <v>0</v>
      </c>
      <c r="N710" s="26">
        <f>VLOOKUP($C710,COS!$B$8:$H$991,5,FALSE)</f>
        <v>1277.9014892578125</v>
      </c>
      <c r="O710" s="26">
        <f t="shared" si="1136"/>
        <v>78.575099835356411</v>
      </c>
      <c r="P710" s="26">
        <f>VLOOKUP($C710,COS!$B$8:$H$991,6,FALSE)</f>
        <v>2616.67822265625</v>
      </c>
      <c r="Q710" s="26">
        <f t="shared" si="1137"/>
        <v>160.89327253357436</v>
      </c>
      <c r="R710" s="26">
        <f>MIN(IF(MONTH($C710)=4,$S$3,IF(MONTH($C710)=5,$S$4,IF(MONTH($C710)=6,$S$5,IF(MONTH($C710)=7,$S$6,"ERROR")))),MAX(VLOOKUP($C710,COS!$B$8:$K$991,10,FALSE)-IF(MONTH($C710)=4,$Y$3,IF(MONTH($C710)=5,$Y$4,IF(MONTH($C710)=6,$Y$5,IF(MONTH($C710)=7,$Y$6,"ERROR")))),0),MAX(VLOOKUP($C710,COS!$B$8:$K$991,9,FALSE)-IF(MONTH($C710)=4,$V$3,IF(MONTH($C710)=5,$V$4,IF(MONTH($C710)=6,$V$5,IF(MONTH($C710)=7,$V$6,"ERROR"))))-VLOOKUP($C710,COS!$B$8:$K$991,6,FALSE)/2,0))</f>
        <v>1500</v>
      </c>
      <c r="S710" s="26">
        <f t="shared" si="1138"/>
        <v>92.231404958677686</v>
      </c>
      <c r="T710" s="26">
        <f t="shared" si="1139"/>
        <v>211.96559114314306</v>
      </c>
      <c r="U710" s="26" t="str">
        <f>IF(VLOOKUP($C710,COS!$B$8:$I$991,8,FALSE)=1,"UWFE","IBU")</f>
        <v>IBU</v>
      </c>
      <c r="V710" s="26">
        <f t="shared" ref="V710" si="1143">MIN(IF(IF($AA$3=2,AND(E710=1,G710=1,L710=1,L712=1,M710=1,U710="IBU"),AND(E710=1,G710=1,L710=1,L712=1,M710=1)),T710,0),I710)</f>
        <v>0</v>
      </c>
      <c r="W710" s="26"/>
      <c r="X710" s="26"/>
      <c r="Y710" s="26"/>
      <c r="Z710" s="26"/>
      <c r="AA710" s="26"/>
      <c r="AB710" s="33"/>
    </row>
    <row r="711" spans="1:28" x14ac:dyDescent="0.3">
      <c r="A711" s="32">
        <f>VLOOKUP(YEAR(C711),Flags!$A$13:$B$95,2,FALSE)</f>
        <v>1</v>
      </c>
      <c r="B711" s="24">
        <f t="shared" si="1054"/>
        <v>1999</v>
      </c>
      <c r="C711" s="25">
        <v>36403</v>
      </c>
      <c r="D711" s="26"/>
      <c r="E711" s="24"/>
      <c r="F711" s="26"/>
      <c r="G711" s="24"/>
      <c r="H711" s="24"/>
      <c r="I711" s="26"/>
      <c r="J711" s="24"/>
      <c r="K711" s="26"/>
      <c r="L711" s="24"/>
      <c r="M711" s="24"/>
      <c r="N711" s="26"/>
      <c r="O711" s="26"/>
      <c r="P711" s="26"/>
      <c r="Q711" s="26"/>
      <c r="R711" s="26"/>
      <c r="S711" s="26"/>
      <c r="T711" s="26"/>
      <c r="U711" s="26"/>
      <c r="V711" s="26"/>
      <c r="W711" s="26">
        <f>MAX($C$7-VLOOKUP($C711,COS!$B$8:$H$991,3,FALSE),0)</f>
        <v>90285.5068359375</v>
      </c>
      <c r="X711" s="26">
        <f t="shared" si="1086"/>
        <v>5551.4394285898761</v>
      </c>
      <c r="Y711" s="26">
        <f>VLOOKUP($C711,COS!$B$8:$H$991,4,FALSE)</f>
        <v>0</v>
      </c>
      <c r="Z711" s="26">
        <f t="shared" si="1087"/>
        <v>0</v>
      </c>
      <c r="AA711" s="26">
        <f t="shared" ref="AA711:AA715" si="1144">MIN(W711,Y711)</f>
        <v>0</v>
      </c>
      <c r="AB711" s="33">
        <f t="shared" ref="AB711" si="1145">AA711*DAY($C711)*86400/43560/1000*IF(MONTH($C711)=8,$P$3,IF(MONTH($C711)=9,$P$4,IF(MONTH($C711)=10,$P$5,IF(MONTH($C711)=11,$P$6,IF(MONTH($C711)=12,$P$7,NA())))))</f>
        <v>0</v>
      </c>
    </row>
    <row r="712" spans="1:28" x14ac:dyDescent="0.3">
      <c r="A712" s="32">
        <f>VLOOKUP(YEAR(C712),Flags!$A$13:$B$95,2,FALSE)</f>
        <v>1</v>
      </c>
      <c r="B712" s="24">
        <f t="shared" si="1054"/>
        <v>1999</v>
      </c>
      <c r="C712" s="25">
        <v>36433</v>
      </c>
      <c r="D712" s="26"/>
      <c r="E712" s="24"/>
      <c r="F712" s="26"/>
      <c r="G712" s="24"/>
      <c r="H712" s="24"/>
      <c r="I712" s="26"/>
      <c r="J712" s="24"/>
      <c r="K712" s="26">
        <f>VLOOKUP($C712,COS!$B$8:$H$991,2,FALSE)</f>
        <v>2879.5078125</v>
      </c>
      <c r="L712" s="24">
        <f t="shared" ref="L712" si="1146">IF(AND(K712&gt;$I$7,K712&lt;$I$8),1,0)</f>
        <v>1</v>
      </c>
      <c r="M712" s="24"/>
      <c r="N712" s="26"/>
      <c r="O712" s="26"/>
      <c r="P712" s="26"/>
      <c r="Q712" s="26"/>
      <c r="R712" s="26"/>
      <c r="S712" s="26"/>
      <c r="T712" s="26"/>
      <c r="U712" s="26"/>
      <c r="V712" s="26"/>
      <c r="W712" s="26">
        <f>MAX($C$8-VLOOKUP($C712,COS!$B$8:$H$991,3,FALSE),0)</f>
        <v>85063.7509765625</v>
      </c>
      <c r="X712" s="26">
        <f t="shared" si="1086"/>
        <v>5061.6446862086777</v>
      </c>
      <c r="Y712" s="26">
        <f>VLOOKUP($C712,COS!$B$8:$H$991,4,FALSE)</f>
        <v>0</v>
      </c>
      <c r="Z712" s="26">
        <f t="shared" si="1087"/>
        <v>0</v>
      </c>
      <c r="AA712" s="26">
        <f t="shared" si="1144"/>
        <v>0</v>
      </c>
      <c r="AB712" s="33">
        <f t="shared" si="1058"/>
        <v>0</v>
      </c>
    </row>
    <row r="713" spans="1:28" x14ac:dyDescent="0.3">
      <c r="A713" s="32">
        <f>VLOOKUP(YEAR(C713),Flags!$A$13:$B$95,2,FALSE)</f>
        <v>1</v>
      </c>
      <c r="B713" s="24">
        <f t="shared" si="1054"/>
        <v>1999</v>
      </c>
      <c r="C713" s="25">
        <v>36464</v>
      </c>
      <c r="D713" s="26"/>
      <c r="E713" s="24"/>
      <c r="F713" s="26"/>
      <c r="G713" s="26"/>
      <c r="H713" s="26"/>
      <c r="I713" s="26"/>
      <c r="J713" s="26"/>
      <c r="K713" s="26"/>
      <c r="L713" s="24"/>
      <c r="M713" s="24"/>
      <c r="N713" s="26"/>
      <c r="O713" s="26"/>
      <c r="P713" s="26"/>
      <c r="Q713" s="26"/>
      <c r="R713" s="26"/>
      <c r="S713" s="26"/>
      <c r="T713" s="26"/>
      <c r="U713" s="26"/>
      <c r="V713" s="26"/>
      <c r="W713" s="26">
        <f>MAX($C$9-VLOOKUP($C713,COS!$B$8:$H$991,3,FALSE),0)</f>
        <v>88700.0185546875</v>
      </c>
      <c r="X713" s="26">
        <f t="shared" si="1086"/>
        <v>5453.9515541064047</v>
      </c>
      <c r="Y713" s="26">
        <f>VLOOKUP($C713,COS!$B$8:$H$991,4,FALSE)</f>
        <v>1020.4207763671875</v>
      </c>
      <c r="Z713" s="26">
        <f t="shared" si="1087"/>
        <v>62.7432279022469</v>
      </c>
      <c r="AA713" s="26">
        <f t="shared" si="1144"/>
        <v>1020.4207763671875</v>
      </c>
      <c r="AB713" s="33">
        <f t="shared" si="1058"/>
        <v>62.7432279022469</v>
      </c>
    </row>
    <row r="714" spans="1:28" x14ac:dyDescent="0.3">
      <c r="A714" s="32">
        <f>VLOOKUP(YEAR(C714),Flags!$A$13:$B$95,2,FALSE)</f>
        <v>1</v>
      </c>
      <c r="B714" s="24">
        <f t="shared" si="1054"/>
        <v>1999</v>
      </c>
      <c r="C714" s="25">
        <v>36494</v>
      </c>
      <c r="D714" s="26"/>
      <c r="E714" s="24"/>
      <c r="F714" s="26"/>
      <c r="G714" s="26"/>
      <c r="H714" s="26"/>
      <c r="I714" s="26"/>
      <c r="J714" s="26"/>
      <c r="K714" s="26"/>
      <c r="L714" s="24"/>
      <c r="M714" s="24"/>
      <c r="N714" s="26"/>
      <c r="O714" s="26"/>
      <c r="P714" s="26"/>
      <c r="Q714" s="26"/>
      <c r="R714" s="26"/>
      <c r="S714" s="26"/>
      <c r="T714" s="26"/>
      <c r="U714" s="26"/>
      <c r="V714" s="26"/>
      <c r="W714" s="26">
        <f>MAX($C$10-VLOOKUP($C714,COS!$B$8:$H$991,3,FALSE),0)</f>
        <v>86044.97265625</v>
      </c>
      <c r="X714" s="26">
        <f t="shared" si="1086"/>
        <v>5120.031430785124</v>
      </c>
      <c r="Y714" s="26">
        <f>VLOOKUP($C714,COS!$B$8:$H$991,4,FALSE)</f>
        <v>1214.3294677734375</v>
      </c>
      <c r="Z714" s="26">
        <f t="shared" si="1087"/>
        <v>72.257621222882221</v>
      </c>
      <c r="AA714" s="26">
        <f t="shared" si="1144"/>
        <v>1214.3294677734375</v>
      </c>
      <c r="AB714" s="33">
        <f t="shared" si="1058"/>
        <v>72.257621222882221</v>
      </c>
    </row>
    <row r="715" spans="1:28" x14ac:dyDescent="0.3">
      <c r="A715" s="34">
        <f>VLOOKUP(YEAR(C715),Flags!$A$13:$B$95,2,FALSE)</f>
        <v>1</v>
      </c>
      <c r="B715" s="35">
        <f t="shared" si="1054"/>
        <v>1999</v>
      </c>
      <c r="C715" s="36">
        <v>36525</v>
      </c>
      <c r="D715" s="37"/>
      <c r="E715" s="35"/>
      <c r="F715" s="37"/>
      <c r="G715" s="37"/>
      <c r="H715" s="37"/>
      <c r="I715" s="37"/>
      <c r="J715" s="37"/>
      <c r="K715" s="37"/>
      <c r="L715" s="35"/>
      <c r="M715" s="35"/>
      <c r="N715" s="37"/>
      <c r="O715" s="37"/>
      <c r="P715" s="37"/>
      <c r="Q715" s="37"/>
      <c r="R715" s="37"/>
      <c r="S715" s="37"/>
      <c r="T715" s="37"/>
      <c r="U715" s="37"/>
      <c r="V715" s="37"/>
      <c r="W715" s="37">
        <f>MAX($C$11-VLOOKUP($C715,COS!$B$8:$H$991,3,FALSE),0)</f>
        <v>94592.298828125</v>
      </c>
      <c r="X715" s="37">
        <f t="shared" si="1086"/>
        <v>5816.2537461260335</v>
      </c>
      <c r="Y715" s="37">
        <f>VLOOKUP($C715,COS!$B$8:$H$991,4,FALSE)</f>
        <v>0</v>
      </c>
      <c r="Z715" s="37">
        <f t="shared" si="1087"/>
        <v>0</v>
      </c>
      <c r="AA715" s="37">
        <f t="shared" si="1144"/>
        <v>0</v>
      </c>
      <c r="AB715" s="38">
        <f t="shared" si="1058"/>
        <v>0</v>
      </c>
    </row>
    <row r="716" spans="1:28" x14ac:dyDescent="0.3">
      <c r="A716" s="27">
        <f>VLOOKUP(YEAR(C716),Flags!$A$13:$B$95,2,FALSE)</f>
        <v>2</v>
      </c>
      <c r="B716" s="28">
        <f t="shared" si="1054"/>
        <v>2000</v>
      </c>
      <c r="C716" s="29">
        <v>36646</v>
      </c>
      <c r="D716" s="30">
        <f>VLOOKUP($C716,COS!$B$8:$H$991,3,FALSE)</f>
        <v>3250</v>
      </c>
      <c r="E716" s="28">
        <f>IF(D716&gt;=IF(MONTH($C716)=4,$C$3,IF(MONTH($C716)=5,$C$4,IF(MONTH($C716)=6,$C$5,IF(MONTH($C716)=7,$C$6,"ERROR")))),1,0)</f>
        <v>0</v>
      </c>
      <c r="F716" s="30">
        <f>VLOOKUP($C716,COS!$B$8:$H$991,7,FALSE)</f>
        <v>53.549808502197266</v>
      </c>
      <c r="G716" s="28">
        <f>IF(F716&lt;=IF(MONTH($C716)=4,$F$3,IF(MONTH($C716)=5,$F$4,IF(MONTH($C716)=6,$F$5,IF(MONTH($C716)=7,$F$6,"ERROR")))),1,0)</f>
        <v>1</v>
      </c>
      <c r="H716" s="30">
        <f>IF(J716=1,D716-$C$3,0)</f>
        <v>0</v>
      </c>
      <c r="I716" s="30">
        <f t="shared" si="1083"/>
        <v>0</v>
      </c>
      <c r="J716" s="28">
        <f t="shared" ref="J716:J719" si="1147">IF(AND(E716=1,G716=1),1,0)</f>
        <v>0</v>
      </c>
      <c r="K716" s="30">
        <f>VLOOKUP($C716,COS!$B$8:$H$991,2,FALSE)</f>
        <v>4550.50927734375</v>
      </c>
      <c r="L716" s="28">
        <f t="shared" ref="L716:L737" si="1148">IF(K716&lt;=IF(MONTH($C716)=4,$I$3,IF(MONTH($C716)=5,$I$4,IF(MONTH($C716)=6,$I$5,IF(MONTH($C716)=7,$I$6,"ERROR")))),1,0)</f>
        <v>1</v>
      </c>
      <c r="M716" s="28">
        <f t="shared" ref="M716:M737" si="1149">VLOOKUP($A716,$L$3:$M$7,2,FALSE)</f>
        <v>0</v>
      </c>
      <c r="N716" s="30">
        <f>VLOOKUP($C716,COS!$B$8:$H$991,5,FALSE)</f>
        <v>37.464950561523438</v>
      </c>
      <c r="O716" s="30">
        <f t="shared" ref="O716:O719" si="1150">N716*DAY($C716)*86400/43560/1000</f>
        <v>2.2293193722559401</v>
      </c>
      <c r="P716" s="30">
        <f>VLOOKUP($C716,COS!$B$8:$H$991,6,FALSE)</f>
        <v>403.17050170898438</v>
      </c>
      <c r="Q716" s="30">
        <f t="shared" ref="Q716:Q719" si="1151">P716*DAY($C716)*86400/43560/1000</f>
        <v>23.990310845493283</v>
      </c>
      <c r="R716" s="30">
        <f>MIN(IF(MONTH($C716)=4,$S$3,IF(MONTH($C716)=5,$S$4,IF(MONTH($C716)=6,$S$5,IF(MONTH($C716)=7,$S$6,"ERROR")))),MAX(VLOOKUP($C716,COS!$B$8:$K$991,10,FALSE)-IF(MONTH($C716)=4,$Y$3,IF(MONTH($C716)=5,$Y$4,IF(MONTH($C716)=6,$Y$5,IF(MONTH($C716)=7,$Y$6,"ERROR")))),0),MAX(VLOOKUP($C716,COS!$B$8:$K$991,9,FALSE)-IF(MONTH($C716)=4,$V$3,IF(MONTH($C716)=5,$V$4,IF(MONTH($C716)=6,$V$5,IF(MONTH($C716)=7,$V$6,"ERROR"))))-VLOOKUP($C716,COS!$B$8:$K$991,6,FALSE)/2,0))</f>
        <v>1500</v>
      </c>
      <c r="S716" s="30">
        <f t="shared" ref="S716:S719" si="1152">R716*DAY($C716)*86400/43560/1000</f>
        <v>89.256198347107429</v>
      </c>
      <c r="T716" s="30">
        <f t="shared" ref="T716:T719" si="1153">(O716+Q716)/2+S716</f>
        <v>102.36601345598204</v>
      </c>
      <c r="U716" s="30" t="str">
        <f>IF(VLOOKUP($C716,COS!$B$8:$I$991,8,FALSE)=1,"UWFE","IBU")</f>
        <v>UWFE</v>
      </c>
      <c r="V716" s="30">
        <f t="shared" ref="V716" si="1154">MIN(IF(IF($AA$3=2,AND(E716=1,G716=1,L716=1,L721=1,M716=1,U716="IBU"),AND(E716=1,G716=1,L716=1,L721=1,M716=1)),T716,0),I716)</f>
        <v>0</v>
      </c>
      <c r="W716" s="30"/>
      <c r="X716" s="30"/>
      <c r="Y716" s="30"/>
      <c r="Z716" s="30"/>
      <c r="AA716" s="30"/>
      <c r="AB716" s="31"/>
    </row>
    <row r="717" spans="1:28" x14ac:dyDescent="0.3">
      <c r="A717" s="32">
        <f>VLOOKUP(YEAR(C717),Flags!$A$13:$B$95,2,FALSE)</f>
        <v>2</v>
      </c>
      <c r="B717" s="24">
        <f t="shared" si="1054"/>
        <v>2000</v>
      </c>
      <c r="C717" s="25">
        <v>36677</v>
      </c>
      <c r="D717" s="26">
        <f>VLOOKUP($C717,COS!$B$8:$H$991,3,FALSE)</f>
        <v>7298.4775390625</v>
      </c>
      <c r="E717" s="24">
        <f>IF(D717&gt;=IF(MONTH($C717)=4,$C$3,IF(MONTH($C717)=5,$C$4,IF(MONTH($C717)=6,$C$5,IF(MONTH($C717)=7,$C$6,"ERROR")))),1,0)</f>
        <v>1</v>
      </c>
      <c r="F717" s="26">
        <f>VLOOKUP($C717,COS!$B$8:$H$991,7,FALSE)</f>
        <v>51.98187255859375</v>
      </c>
      <c r="G717" s="24">
        <f>IF(F717&lt;=IF(MONTH($C717)=4,$F$3,IF(MONTH($C717)=5,$F$4,IF(MONTH($C717)=6,$F$5,IF(MONTH($C717)=7,$F$6,"ERROR")))),1,0)</f>
        <v>1</v>
      </c>
      <c r="H717" s="26">
        <f>IF(J717=1,D717-$C$4,0)</f>
        <v>1298.4775390625</v>
      </c>
      <c r="I717" s="26">
        <f t="shared" si="1083"/>
        <v>79.840271823347109</v>
      </c>
      <c r="J717" s="24">
        <f t="shared" si="1147"/>
        <v>1</v>
      </c>
      <c r="K717" s="26">
        <f>VLOOKUP($C717,COS!$B$8:$H$991,2,FALSE)</f>
        <v>4552</v>
      </c>
      <c r="L717" s="24">
        <f t="shared" si="1148"/>
        <v>1</v>
      </c>
      <c r="M717" s="24">
        <f t="shared" si="1149"/>
        <v>0</v>
      </c>
      <c r="N717" s="26">
        <f>VLOOKUP($C717,COS!$B$8:$H$991,5,FALSE)</f>
        <v>651.51641845703125</v>
      </c>
      <c r="O717" s="26">
        <f t="shared" si="1150"/>
        <v>40.060183085291833</v>
      </c>
      <c r="P717" s="26">
        <f>VLOOKUP($C717,COS!$B$8:$H$991,6,FALSE)</f>
        <v>1855.6585693359375</v>
      </c>
      <c r="Q717" s="26">
        <f t="shared" si="1151"/>
        <v>114.09999798230888</v>
      </c>
      <c r="R717" s="26">
        <f>MIN(IF(MONTH($C717)=4,$S$3,IF(MONTH($C717)=5,$S$4,IF(MONTH($C717)=6,$S$5,IF(MONTH($C717)=7,$S$6,"ERROR")))),MAX(VLOOKUP($C717,COS!$B$8:$K$991,10,FALSE)-IF(MONTH($C717)=4,$Y$3,IF(MONTH($C717)=5,$Y$4,IF(MONTH($C717)=6,$Y$5,IF(MONTH($C717)=7,$Y$6,"ERROR")))),0),MAX(VLOOKUP($C717,COS!$B$8:$K$991,9,FALSE)-IF(MONTH($C717)=4,$V$3,IF(MONTH($C717)=5,$V$4,IF(MONTH($C717)=6,$V$5,IF(MONTH($C717)=7,$V$6,"ERROR"))))-VLOOKUP($C717,COS!$B$8:$K$991,6,FALSE)/2,0))</f>
        <v>1500</v>
      </c>
      <c r="S717" s="26">
        <f t="shared" si="1152"/>
        <v>92.231404958677686</v>
      </c>
      <c r="T717" s="26">
        <f t="shared" si="1153"/>
        <v>169.31149549247806</v>
      </c>
      <c r="U717" s="26" t="str">
        <f>IF(VLOOKUP($C717,COS!$B$8:$I$991,8,FALSE)=1,"UWFE","IBU")</f>
        <v>UWFE</v>
      </c>
      <c r="V717" s="26">
        <f t="shared" ref="V717" si="1155">MIN(IF(IF($AA$3=2,AND(E717=1,G717=1,L717=1,L721=1,M717=1,U717="IBU"),AND(E717=1,G717=1,L717=1,L721=1,M717=1)),T717,0),I717)</f>
        <v>0</v>
      </c>
      <c r="W717" s="26"/>
      <c r="X717" s="26"/>
      <c r="Y717" s="26"/>
      <c r="Z717" s="26"/>
      <c r="AA717" s="26"/>
      <c r="AB717" s="33"/>
    </row>
    <row r="718" spans="1:28" x14ac:dyDescent="0.3">
      <c r="A718" s="32">
        <f>VLOOKUP(YEAR(C718),Flags!$A$13:$B$95,2,FALSE)</f>
        <v>2</v>
      </c>
      <c r="B718" s="24">
        <f t="shared" si="1054"/>
        <v>2000</v>
      </c>
      <c r="C718" s="25">
        <v>36707</v>
      </c>
      <c r="D718" s="26">
        <f>VLOOKUP($C718,COS!$B$8:$H$991,3,FALSE)</f>
        <v>12915.84765625</v>
      </c>
      <c r="E718" s="24">
        <f>IF(D718&gt;=IF(MONTH($C718)=4,$C$3,IF(MONTH($C718)=5,$C$4,IF(MONTH($C718)=6,$C$5,IF(MONTH($C718)=7,$C$6,"ERROR")))),1,0)</f>
        <v>1</v>
      </c>
      <c r="F718" s="26">
        <f>VLOOKUP($C718,COS!$B$8:$H$991,7,FALSE)</f>
        <v>51.933616638183594</v>
      </c>
      <c r="G718" s="24">
        <f>IF(F718&lt;=IF(MONTH($C718)=4,$F$3,IF(MONTH($C718)=5,$F$4,IF(MONTH($C718)=6,$F$5,IF(MONTH($C718)=7,$F$6,"ERROR")))),1,0)</f>
        <v>1</v>
      </c>
      <c r="H718" s="26">
        <f>IF(J718=1,D718-$C$5,0)</f>
        <v>2915.84765625</v>
      </c>
      <c r="I718" s="26">
        <f t="shared" si="1083"/>
        <v>173.50498450413224</v>
      </c>
      <c r="J718" s="24">
        <f t="shared" si="1147"/>
        <v>1</v>
      </c>
      <c r="K718" s="26">
        <f>VLOOKUP($C718,COS!$B$8:$H$991,2,FALSE)</f>
        <v>4064.68359375</v>
      </c>
      <c r="L718" s="24">
        <f t="shared" si="1148"/>
        <v>1</v>
      </c>
      <c r="M718" s="24">
        <f t="shared" si="1149"/>
        <v>0</v>
      </c>
      <c r="N718" s="26">
        <f>VLOOKUP($C718,COS!$B$8:$H$991,5,FALSE)</f>
        <v>1133.98681640625</v>
      </c>
      <c r="O718" s="26">
        <f t="shared" si="1150"/>
        <v>67.476901472107429</v>
      </c>
      <c r="P718" s="26">
        <f>VLOOKUP($C718,COS!$B$8:$H$991,6,FALSE)</f>
        <v>2300.9248046875</v>
      </c>
      <c r="Q718" s="26">
        <f t="shared" si="1151"/>
        <v>136.91453383264462</v>
      </c>
      <c r="R718" s="26">
        <f>MIN(IF(MONTH($C718)=4,$S$3,IF(MONTH($C718)=5,$S$4,IF(MONTH($C718)=6,$S$5,IF(MONTH($C718)=7,$S$6,"ERROR")))),MAX(VLOOKUP($C718,COS!$B$8:$K$991,10,FALSE)-IF(MONTH($C718)=4,$Y$3,IF(MONTH($C718)=5,$Y$4,IF(MONTH($C718)=6,$Y$5,IF(MONTH($C718)=7,$Y$6,"ERROR")))),0),MAX(VLOOKUP($C718,COS!$B$8:$K$991,9,FALSE)-IF(MONTH($C718)=4,$V$3,IF(MONTH($C718)=5,$V$4,IF(MONTH($C718)=6,$V$5,IF(MONTH($C718)=7,$V$6,"ERROR"))))-VLOOKUP($C718,COS!$B$8:$K$991,6,FALSE)/2,0))</f>
        <v>1500</v>
      </c>
      <c r="S718" s="26">
        <f t="shared" si="1152"/>
        <v>89.256198347107429</v>
      </c>
      <c r="T718" s="26">
        <f t="shared" si="1153"/>
        <v>191.45191599948345</v>
      </c>
      <c r="U718" s="26" t="str">
        <f>IF(VLOOKUP($C718,COS!$B$8:$I$991,8,FALSE)=1,"UWFE","IBU")</f>
        <v>IBU</v>
      </c>
      <c r="V718" s="26">
        <f t="shared" ref="V718" si="1156">MIN(IF(IF($AA$3=2,AND(E718=1,G718=1,L718=1,L721=1,M718=1,U718="IBU"),AND(E718=1,G718=1,L718=1,L721=1,M718=1)),T718,0),I718)</f>
        <v>0</v>
      </c>
      <c r="W718" s="26"/>
      <c r="X718" s="26"/>
      <c r="Y718" s="26"/>
      <c r="Z718" s="26"/>
      <c r="AA718" s="26"/>
      <c r="AB718" s="33"/>
    </row>
    <row r="719" spans="1:28" x14ac:dyDescent="0.3">
      <c r="A719" s="32">
        <f>VLOOKUP(YEAR(C719),Flags!$A$13:$B$95,2,FALSE)</f>
        <v>2</v>
      </c>
      <c r="B719" s="24">
        <f t="shared" ref="B719:B742" si="1157">YEAR(C719)</f>
        <v>2000</v>
      </c>
      <c r="C719" s="25">
        <v>36738</v>
      </c>
      <c r="D719" s="26">
        <f>VLOOKUP($C719,COS!$B$8:$H$991,3,FALSE)</f>
        <v>16243.5498046875</v>
      </c>
      <c r="E719" s="24">
        <f>IF(D719&gt;=IF(MONTH($C719)=4,$C$3,IF(MONTH($C719)=5,$C$4,IF(MONTH($C719)=6,$C$5,IF(MONTH($C719)=7,$C$6,"ERROR")))),1,0)</f>
        <v>1</v>
      </c>
      <c r="F719" s="26">
        <f>VLOOKUP($C719,COS!$B$8:$H$991,7,FALSE)</f>
        <v>51.968482971191406</v>
      </c>
      <c r="G719" s="24">
        <f>IF(F719&lt;=IF(MONTH($C719)=4,$F$3,IF(MONTH($C719)=5,$F$4,IF(MONTH($C719)=6,$F$5,IF(MONTH($C719)=7,$F$6,"ERROR")))),1,0)</f>
        <v>1</v>
      </c>
      <c r="H719" s="26">
        <f>IF(J719=1,D719-$C$6,0)</f>
        <v>4243.5498046875</v>
      </c>
      <c r="I719" s="26">
        <f t="shared" si="1083"/>
        <v>260.92570699896697</v>
      </c>
      <c r="J719" s="24">
        <f t="shared" si="1147"/>
        <v>1</v>
      </c>
      <c r="K719" s="26">
        <f>VLOOKUP($C719,COS!$B$8:$H$991,2,FALSE)</f>
        <v>3391.262451171875</v>
      </c>
      <c r="L719" s="24">
        <f t="shared" si="1148"/>
        <v>1</v>
      </c>
      <c r="M719" s="24">
        <f t="shared" si="1149"/>
        <v>0</v>
      </c>
      <c r="N719" s="26">
        <f>VLOOKUP($C719,COS!$B$8:$H$991,5,FALSE)</f>
        <v>1372.8363037109375</v>
      </c>
      <c r="O719" s="26">
        <f t="shared" si="1150"/>
        <v>84.412414046358478</v>
      </c>
      <c r="P719" s="26">
        <f>VLOOKUP($C719,COS!$B$8:$H$991,6,FALSE)</f>
        <v>2562.892822265625</v>
      </c>
      <c r="Q719" s="26">
        <f t="shared" si="1151"/>
        <v>157.58613717071282</v>
      </c>
      <c r="R719" s="26">
        <f>MIN(IF(MONTH($C719)=4,$S$3,IF(MONTH($C719)=5,$S$4,IF(MONTH($C719)=6,$S$5,IF(MONTH($C719)=7,$S$6,"ERROR")))),MAX(VLOOKUP($C719,COS!$B$8:$K$991,10,FALSE)-IF(MONTH($C719)=4,$Y$3,IF(MONTH($C719)=5,$Y$4,IF(MONTH($C719)=6,$Y$5,IF(MONTH($C719)=7,$Y$6,"ERROR")))),0),MAX(VLOOKUP($C719,COS!$B$8:$K$991,9,FALSE)-IF(MONTH($C719)=4,$V$3,IF(MONTH($C719)=5,$V$4,IF(MONTH($C719)=6,$V$5,IF(MONTH($C719)=7,$V$6,"ERROR"))))-VLOOKUP($C719,COS!$B$8:$K$991,6,FALSE)/2,0))</f>
        <v>1500</v>
      </c>
      <c r="S719" s="26">
        <f t="shared" si="1152"/>
        <v>92.231404958677686</v>
      </c>
      <c r="T719" s="26">
        <f t="shared" si="1153"/>
        <v>213.23068056721331</v>
      </c>
      <c r="U719" s="26" t="str">
        <f>IF(VLOOKUP($C719,COS!$B$8:$I$991,8,FALSE)=1,"UWFE","IBU")</f>
        <v>IBU</v>
      </c>
      <c r="V719" s="26">
        <f t="shared" ref="V719" si="1158">MIN(IF(IF($AA$3=2,AND(E719=1,G719=1,L719=1,L721=1,M719=1,U719="IBU"),AND(E719=1,G719=1,L719=1,L721=1,M719=1)),T719,0),I719)</f>
        <v>0</v>
      </c>
      <c r="W719" s="26"/>
      <c r="X719" s="26"/>
      <c r="Y719" s="26"/>
      <c r="Z719" s="26"/>
      <c r="AA719" s="26"/>
      <c r="AB719" s="33"/>
    </row>
    <row r="720" spans="1:28" x14ac:dyDescent="0.3">
      <c r="A720" s="32">
        <f>VLOOKUP(YEAR(C720),Flags!$A$13:$B$95,2,FALSE)</f>
        <v>2</v>
      </c>
      <c r="B720" s="24">
        <f t="shared" si="1157"/>
        <v>2000</v>
      </c>
      <c r="C720" s="25">
        <v>36769</v>
      </c>
      <c r="D720" s="26"/>
      <c r="E720" s="24"/>
      <c r="F720" s="26"/>
      <c r="G720" s="24"/>
      <c r="H720" s="24"/>
      <c r="I720" s="26"/>
      <c r="J720" s="24"/>
      <c r="K720" s="26"/>
      <c r="L720" s="24"/>
      <c r="M720" s="24"/>
      <c r="N720" s="26"/>
      <c r="O720" s="26"/>
      <c r="P720" s="26"/>
      <c r="Q720" s="26"/>
      <c r="R720" s="26"/>
      <c r="S720" s="26"/>
      <c r="T720" s="26"/>
      <c r="U720" s="26"/>
      <c r="V720" s="26"/>
      <c r="W720" s="26">
        <f>MAX($C$7-VLOOKUP($C720,COS!$B$8:$H$991,3,FALSE),0)</f>
        <v>89268.6640625</v>
      </c>
      <c r="X720" s="26">
        <f t="shared" si="1086"/>
        <v>5488.9162035123964</v>
      </c>
      <c r="Y720" s="26">
        <f>VLOOKUP($C720,COS!$B$8:$H$991,4,FALSE)</f>
        <v>0</v>
      </c>
      <c r="Z720" s="26">
        <f t="shared" si="1087"/>
        <v>0</v>
      </c>
      <c r="AA720" s="26">
        <f t="shared" ref="AA720:AA724" si="1159">MIN(W720,Y720)</f>
        <v>0</v>
      </c>
      <c r="AB720" s="33">
        <f t="shared" ref="AB720:AB742" si="1160">AA720*DAY($C720)*86400/43560/1000*IF(MONTH($C720)=8,$P$3,IF(MONTH($C720)=9,$P$4,IF(MONTH($C720)=10,$P$5,IF(MONTH($C720)=11,$P$6,IF(MONTH($C720)=12,$P$7,NA())))))</f>
        <v>0</v>
      </c>
    </row>
    <row r="721" spans="1:28" x14ac:dyDescent="0.3">
      <c r="A721" s="32">
        <f>VLOOKUP(YEAR(C721),Flags!$A$13:$B$95,2,FALSE)</f>
        <v>2</v>
      </c>
      <c r="B721" s="24">
        <f t="shared" si="1157"/>
        <v>2000</v>
      </c>
      <c r="C721" s="25">
        <v>36799</v>
      </c>
      <c r="D721" s="26"/>
      <c r="E721" s="24"/>
      <c r="F721" s="26"/>
      <c r="G721" s="24"/>
      <c r="H721" s="24"/>
      <c r="I721" s="26"/>
      <c r="J721" s="24"/>
      <c r="K721" s="26">
        <f>VLOOKUP($C721,COS!$B$8:$H$991,2,FALSE)</f>
        <v>2897.057861328125</v>
      </c>
      <c r="L721" s="24">
        <f t="shared" ref="L721" si="1161">IF(AND(K721&gt;$I$7,K721&lt;$I$8),1,0)</f>
        <v>1</v>
      </c>
      <c r="M721" s="24"/>
      <c r="N721" s="26"/>
      <c r="O721" s="26"/>
      <c r="P721" s="26"/>
      <c r="Q721" s="26"/>
      <c r="R721" s="26"/>
      <c r="S721" s="26"/>
      <c r="T721" s="26"/>
      <c r="U721" s="26"/>
      <c r="V721" s="26"/>
      <c r="W721" s="26">
        <f>MAX($C$8-VLOOKUP($C721,COS!$B$8:$H$991,3,FALSE),0)</f>
        <v>89757.765625</v>
      </c>
      <c r="X721" s="26">
        <f t="shared" si="1086"/>
        <v>5340.9579545454544</v>
      </c>
      <c r="Y721" s="26">
        <f>VLOOKUP($C721,COS!$B$8:$H$991,4,FALSE)</f>
        <v>0</v>
      </c>
      <c r="Z721" s="26">
        <f t="shared" si="1087"/>
        <v>0</v>
      </c>
      <c r="AA721" s="26">
        <f t="shared" si="1159"/>
        <v>0</v>
      </c>
      <c r="AB721" s="33">
        <f t="shared" si="1160"/>
        <v>0</v>
      </c>
    </row>
    <row r="722" spans="1:28" x14ac:dyDescent="0.3">
      <c r="A722" s="32">
        <f>VLOOKUP(YEAR(C722),Flags!$A$13:$B$95,2,FALSE)</f>
        <v>2</v>
      </c>
      <c r="B722" s="24">
        <f t="shared" si="1157"/>
        <v>2000</v>
      </c>
      <c r="C722" s="25">
        <v>36830</v>
      </c>
      <c r="D722" s="26"/>
      <c r="E722" s="24"/>
      <c r="F722" s="26"/>
      <c r="G722" s="26"/>
      <c r="H722" s="26"/>
      <c r="I722" s="26"/>
      <c r="J722" s="26"/>
      <c r="K722" s="26"/>
      <c r="L722" s="24"/>
      <c r="M722" s="24"/>
      <c r="N722" s="26"/>
      <c r="O722" s="26"/>
      <c r="P722" s="26"/>
      <c r="Q722" s="26"/>
      <c r="R722" s="26"/>
      <c r="S722" s="26"/>
      <c r="T722" s="26"/>
      <c r="U722" s="26"/>
      <c r="V722" s="26"/>
      <c r="W722" s="26">
        <f>MAX($C$9-VLOOKUP($C722,COS!$B$8:$H$991,3,FALSE),0)</f>
        <v>91791.708984375</v>
      </c>
      <c r="X722" s="26">
        <f t="shared" si="1086"/>
        <v>5644.0521887913228</v>
      </c>
      <c r="Y722" s="26">
        <f>VLOOKUP($C722,COS!$B$8:$H$991,4,FALSE)</f>
        <v>877.78619384765625</v>
      </c>
      <c r="Z722" s="26">
        <f t="shared" si="1087"/>
        <v>53.972969274599684</v>
      </c>
      <c r="AA722" s="26">
        <f t="shared" si="1159"/>
        <v>877.78619384765625</v>
      </c>
      <c r="AB722" s="33">
        <f t="shared" si="1160"/>
        <v>53.972969274599684</v>
      </c>
    </row>
    <row r="723" spans="1:28" x14ac:dyDescent="0.3">
      <c r="A723" s="32">
        <f>VLOOKUP(YEAR(C723),Flags!$A$13:$B$95,2,FALSE)</f>
        <v>2</v>
      </c>
      <c r="B723" s="24">
        <f t="shared" si="1157"/>
        <v>2000</v>
      </c>
      <c r="C723" s="25">
        <v>36860</v>
      </c>
      <c r="D723" s="26"/>
      <c r="E723" s="24"/>
      <c r="F723" s="26"/>
      <c r="G723" s="26"/>
      <c r="H723" s="26"/>
      <c r="I723" s="26"/>
      <c r="J723" s="26"/>
      <c r="K723" s="26"/>
      <c r="L723" s="24"/>
      <c r="M723" s="24"/>
      <c r="N723" s="26"/>
      <c r="O723" s="26"/>
      <c r="P723" s="26"/>
      <c r="Q723" s="26"/>
      <c r="R723" s="26"/>
      <c r="S723" s="26"/>
      <c r="T723" s="26"/>
      <c r="U723" s="26"/>
      <c r="V723" s="26"/>
      <c r="W723" s="26">
        <f>MAX($C$10-VLOOKUP($C723,COS!$B$8:$H$991,3,FALSE),0)</f>
        <v>88170.9169921875</v>
      </c>
      <c r="X723" s="26">
        <f t="shared" si="1086"/>
        <v>5246.5339036673549</v>
      </c>
      <c r="Y723" s="26">
        <f>VLOOKUP($C723,COS!$B$8:$H$991,4,FALSE)</f>
        <v>1047.9903564453125</v>
      </c>
      <c r="Z723" s="26">
        <f t="shared" si="1087"/>
        <v>62.359756747159089</v>
      </c>
      <c r="AA723" s="26">
        <f t="shared" si="1159"/>
        <v>1047.9903564453125</v>
      </c>
      <c r="AB723" s="33">
        <f t="shared" si="1160"/>
        <v>62.359756747159089</v>
      </c>
    </row>
    <row r="724" spans="1:28" x14ac:dyDescent="0.3">
      <c r="A724" s="34">
        <f>VLOOKUP(YEAR(C724),Flags!$A$13:$B$95,2,FALSE)</f>
        <v>2</v>
      </c>
      <c r="B724" s="35">
        <f t="shared" si="1157"/>
        <v>2000</v>
      </c>
      <c r="C724" s="36">
        <v>36891</v>
      </c>
      <c r="D724" s="37"/>
      <c r="E724" s="35"/>
      <c r="F724" s="37"/>
      <c r="G724" s="37"/>
      <c r="H724" s="37"/>
      <c r="I724" s="37"/>
      <c r="J724" s="37"/>
      <c r="K724" s="37"/>
      <c r="L724" s="35"/>
      <c r="M724" s="35"/>
      <c r="N724" s="37"/>
      <c r="O724" s="37"/>
      <c r="P724" s="37"/>
      <c r="Q724" s="37"/>
      <c r="R724" s="37"/>
      <c r="S724" s="37"/>
      <c r="T724" s="37"/>
      <c r="U724" s="37"/>
      <c r="V724" s="37"/>
      <c r="W724" s="37">
        <f>MAX($C$11-VLOOKUP($C724,COS!$B$8:$H$991,3,FALSE),0)</f>
        <v>94811.96240234375</v>
      </c>
      <c r="X724" s="37">
        <f t="shared" si="1086"/>
        <v>5829.7603328383266</v>
      </c>
      <c r="Y724" s="37">
        <f>VLOOKUP($C724,COS!$B$8:$H$991,4,FALSE)</f>
        <v>1045.7059326171875</v>
      </c>
      <c r="Z724" s="37">
        <f t="shared" si="1087"/>
        <v>64.297951559271695</v>
      </c>
      <c r="AA724" s="37">
        <f t="shared" si="1159"/>
        <v>1045.7059326171875</v>
      </c>
      <c r="AB724" s="38">
        <f t="shared" si="1160"/>
        <v>64.297951559271695</v>
      </c>
    </row>
    <row r="725" spans="1:28" x14ac:dyDescent="0.3">
      <c r="A725" s="27">
        <f>VLOOKUP(YEAR(C725),Flags!$A$13:$B$95,2,FALSE)</f>
        <v>4</v>
      </c>
      <c r="B725" s="28">
        <f t="shared" si="1157"/>
        <v>2001</v>
      </c>
      <c r="C725" s="29">
        <v>37011</v>
      </c>
      <c r="D725" s="30">
        <f>VLOOKUP($C725,COS!$B$8:$H$991,3,FALSE)</f>
        <v>3250</v>
      </c>
      <c r="E725" s="28">
        <f>IF(D725&gt;=IF(MONTH($C725)=4,$C$3,IF(MONTH($C725)=5,$C$4,IF(MONTH($C725)=6,$C$5,IF(MONTH($C725)=7,$C$6,"ERROR")))),1,0)</f>
        <v>0</v>
      </c>
      <c r="F725" s="30">
        <f>VLOOKUP($C725,COS!$B$8:$H$991,7,FALSE)</f>
        <v>51.856029510498047</v>
      </c>
      <c r="G725" s="28">
        <f>IF(F725&lt;=IF(MONTH($C725)=4,$F$3,IF(MONTH($C725)=5,$F$4,IF(MONTH($C725)=6,$F$5,IF(MONTH($C725)=7,$F$6,"ERROR")))),1,0)</f>
        <v>1</v>
      </c>
      <c r="H725" s="30">
        <f>IF(J725=1,D725-$C$3,0)</f>
        <v>0</v>
      </c>
      <c r="I725" s="30">
        <f t="shared" si="1083"/>
        <v>0</v>
      </c>
      <c r="J725" s="28">
        <f t="shared" ref="J725:J728" si="1162">IF(AND(E725=1,G725=1),1,0)</f>
        <v>0</v>
      </c>
      <c r="K725" s="30">
        <f>VLOOKUP($C725,COS!$B$8:$H$991,2,FALSE)</f>
        <v>3754.83837890625</v>
      </c>
      <c r="L725" s="28">
        <f t="shared" ref="L725" si="1163">IF(K725&lt;=IF(MONTH($C725)=4,$I$3,IF(MONTH($C725)=5,$I$4,IF(MONTH($C725)=6,$I$5,IF(MONTH($C725)=7,$I$6,"ERROR")))),1,0)</f>
        <v>1</v>
      </c>
      <c r="M725" s="28">
        <f t="shared" ref="M725" si="1164">VLOOKUP($A725,$L$3:$M$7,2,FALSE)</f>
        <v>1</v>
      </c>
      <c r="N725" s="30">
        <f>VLOOKUP($C725,COS!$B$8:$H$991,5,FALSE)</f>
        <v>153.87185668945313</v>
      </c>
      <c r="O725" s="30">
        <f t="shared" ref="O725:O728" si="1165">N725*DAY($C725)*86400/43560/1000</f>
        <v>9.1560113071410125</v>
      </c>
      <c r="P725" s="30">
        <f>VLOOKUP($C725,COS!$B$8:$H$991,6,FALSE)</f>
        <v>425.27017211914063</v>
      </c>
      <c r="Q725" s="30">
        <f t="shared" ref="Q725:Q728" si="1166">P725*DAY($C725)*86400/43560/1000</f>
        <v>25.305332555849692</v>
      </c>
      <c r="R725" s="30">
        <f>MIN(IF(MONTH($C725)=4,$S$3,IF(MONTH($C725)=5,$S$4,IF(MONTH($C725)=6,$S$5,IF(MONTH($C725)=7,$S$6,"ERROR")))),MAX(VLOOKUP($C725,COS!$B$8:$K$991,10,FALSE)-IF(MONTH($C725)=4,$Y$3,IF(MONTH($C725)=5,$Y$4,IF(MONTH($C725)=6,$Y$5,IF(MONTH($C725)=7,$Y$6,"ERROR")))),0),MAX(VLOOKUP($C725,COS!$B$8:$K$991,9,FALSE)-IF(MONTH($C725)=4,$V$3,IF(MONTH($C725)=5,$V$4,IF(MONTH($C725)=6,$V$5,IF(MONTH($C725)=7,$V$6,"ERROR"))))-VLOOKUP($C725,COS!$B$8:$K$991,6,FALSE)/2,0))</f>
        <v>1418.6572265625</v>
      </c>
      <c r="S725" s="30">
        <f t="shared" ref="S725:S728" si="1167">R725*DAY($C725)*86400/43560/1000</f>
        <v>84.415967200413235</v>
      </c>
      <c r="T725" s="30">
        <f t="shared" ref="T725:T728" si="1168">(O725+Q725)/2+S725</f>
        <v>101.64663913190859</v>
      </c>
      <c r="U725" s="30" t="str">
        <f>IF(VLOOKUP($C725,COS!$B$8:$I$991,8,FALSE)=1,"UWFE","IBU")</f>
        <v>UWFE</v>
      </c>
      <c r="V725" s="30">
        <f t="shared" ref="V725" si="1169">MIN(IF(IF($AA$3=2,AND(E725=1,G725=1,L725=1,L730=1,M725=1,U725="IBU"),AND(E725=1,G725=1,L725=1,L730=1,M725=1)),T725,0),I725)</f>
        <v>0</v>
      </c>
      <c r="W725" s="30"/>
      <c r="X725" s="30"/>
      <c r="Y725" s="30"/>
      <c r="Z725" s="30"/>
      <c r="AA725" s="30"/>
      <c r="AB725" s="31"/>
    </row>
    <row r="726" spans="1:28" x14ac:dyDescent="0.3">
      <c r="A726" s="32">
        <f>VLOOKUP(YEAR(C726),Flags!$A$13:$B$95,2,FALSE)</f>
        <v>4</v>
      </c>
      <c r="B726" s="24">
        <f t="shared" si="1157"/>
        <v>2001</v>
      </c>
      <c r="C726" s="25">
        <v>37042</v>
      </c>
      <c r="D726" s="26">
        <f>VLOOKUP($C726,COS!$B$8:$H$991,3,FALSE)</f>
        <v>9349.091796875</v>
      </c>
      <c r="E726" s="24">
        <f>IF(D726&gt;=IF(MONTH($C726)=4,$C$3,IF(MONTH($C726)=5,$C$4,IF(MONTH($C726)=6,$C$5,IF(MONTH($C726)=7,$C$6,"ERROR")))),1,0)</f>
        <v>1</v>
      </c>
      <c r="F726" s="26">
        <f>VLOOKUP($C726,COS!$B$8:$H$991,7,FALSE)</f>
        <v>51.669788360595703</v>
      </c>
      <c r="G726" s="24">
        <f>IF(F726&lt;=IF(MONTH($C726)=4,$F$3,IF(MONTH($C726)=5,$F$4,IF(MONTH($C726)=6,$F$5,IF(MONTH($C726)=7,$F$6,"ERROR")))),1,0)</f>
        <v>1</v>
      </c>
      <c r="H726" s="26">
        <f>IF(J726=1,D726-$C$4,0)</f>
        <v>3349.091796875</v>
      </c>
      <c r="I726" s="26">
        <f t="shared" si="1083"/>
        <v>205.92762784090908</v>
      </c>
      <c r="J726" s="24">
        <f t="shared" si="1162"/>
        <v>1</v>
      </c>
      <c r="K726" s="26">
        <f>VLOOKUP($C726,COS!$B$8:$H$991,2,FALSE)</f>
        <v>3513.1181640625</v>
      </c>
      <c r="L726" s="24">
        <f t="shared" si="1148"/>
        <v>1</v>
      </c>
      <c r="M726" s="24">
        <f t="shared" si="1149"/>
        <v>1</v>
      </c>
      <c r="N726" s="26">
        <f>VLOOKUP($C726,COS!$B$8:$H$991,5,FALSE)</f>
        <v>131.51080322265625</v>
      </c>
      <c r="O726" s="26">
        <f t="shared" si="1165"/>
        <v>8.0862840989798546</v>
      </c>
      <c r="P726" s="26">
        <f>VLOOKUP($C726,COS!$B$8:$H$991,6,FALSE)</f>
        <v>2330.0556640625</v>
      </c>
      <c r="Q726" s="26">
        <f t="shared" si="1166"/>
        <v>143.26953835227275</v>
      </c>
      <c r="R726" s="26">
        <f>MIN(IF(MONTH($C726)=4,$S$3,IF(MONTH($C726)=5,$S$4,IF(MONTH($C726)=6,$S$5,IF(MONTH($C726)=7,$S$6,"ERROR")))),MAX(VLOOKUP($C726,COS!$B$8:$K$991,10,FALSE)-IF(MONTH($C726)=4,$Y$3,IF(MONTH($C726)=5,$Y$4,IF(MONTH($C726)=6,$Y$5,IF(MONTH($C726)=7,$Y$6,"ERROR")))),0),MAX(VLOOKUP($C726,COS!$B$8:$K$991,9,FALSE)-IF(MONTH($C726)=4,$V$3,IF(MONTH($C726)=5,$V$4,IF(MONTH($C726)=6,$V$5,IF(MONTH($C726)=7,$V$6,"ERROR"))))-VLOOKUP($C726,COS!$B$8:$K$991,6,FALSE)/2,0))</f>
        <v>1500</v>
      </c>
      <c r="S726" s="26">
        <f t="shared" si="1167"/>
        <v>92.231404958677686</v>
      </c>
      <c r="T726" s="26">
        <f t="shared" si="1168"/>
        <v>167.90931618430398</v>
      </c>
      <c r="U726" s="26" t="str">
        <f>IF(VLOOKUP($C726,COS!$B$8:$I$991,8,FALSE)=1,"UWFE","IBU")</f>
        <v>IBU</v>
      </c>
      <c r="V726" s="26">
        <f t="shared" ref="V726" si="1170">MIN(IF(IF($AA$3=2,AND(E726=1,G726=1,L726=1,L730=1,M726=1,U726="IBU"),AND(E726=1,G726=1,L726=1,L730=1,M726=1)),T726,0),I726)</f>
        <v>167.90931618430398</v>
      </c>
      <c r="W726" s="26"/>
      <c r="X726" s="26"/>
      <c r="Y726" s="26"/>
      <c r="Z726" s="26"/>
      <c r="AA726" s="26"/>
      <c r="AB726" s="33"/>
    </row>
    <row r="727" spans="1:28" x14ac:dyDescent="0.3">
      <c r="A727" s="32">
        <f>VLOOKUP(YEAR(C727),Flags!$A$13:$B$95,2,FALSE)</f>
        <v>4</v>
      </c>
      <c r="B727" s="24">
        <f t="shared" si="1157"/>
        <v>2001</v>
      </c>
      <c r="C727" s="25">
        <v>37072</v>
      </c>
      <c r="D727" s="26">
        <f>VLOOKUP($C727,COS!$B$8:$H$991,3,FALSE)</f>
        <v>13580.42578125</v>
      </c>
      <c r="E727" s="24">
        <f>IF(D727&gt;=IF(MONTH($C727)=4,$C$3,IF(MONTH($C727)=5,$C$4,IF(MONTH($C727)=6,$C$5,IF(MONTH($C727)=7,$C$6,"ERROR")))),1,0)</f>
        <v>1</v>
      </c>
      <c r="F727" s="26">
        <f>VLOOKUP($C727,COS!$B$8:$H$991,7,FALSE)</f>
        <v>52.129489898681641</v>
      </c>
      <c r="G727" s="24">
        <f>IF(F727&lt;=IF(MONTH($C727)=4,$F$3,IF(MONTH($C727)=5,$F$4,IF(MONTH($C727)=6,$F$5,IF(MONTH($C727)=7,$F$6,"ERROR")))),1,0)</f>
        <v>1</v>
      </c>
      <c r="H727" s="26">
        <f>IF(J727=1,D727-$C$5,0)</f>
        <v>3580.42578125</v>
      </c>
      <c r="I727" s="26">
        <f t="shared" si="1083"/>
        <v>213.0501291322314</v>
      </c>
      <c r="J727" s="24">
        <f t="shared" si="1162"/>
        <v>1</v>
      </c>
      <c r="K727" s="26">
        <f>VLOOKUP($C727,COS!$B$8:$H$991,2,FALSE)</f>
        <v>3084.426025390625</v>
      </c>
      <c r="L727" s="24">
        <f t="shared" si="1148"/>
        <v>1</v>
      </c>
      <c r="M727" s="24">
        <f t="shared" si="1149"/>
        <v>1</v>
      </c>
      <c r="N727" s="26">
        <f>VLOOKUP($C727,COS!$B$8:$H$991,5,FALSE)</f>
        <v>341.73458862304688</v>
      </c>
      <c r="O727" s="26">
        <f t="shared" si="1165"/>
        <v>20.334620149470556</v>
      </c>
      <c r="P727" s="26">
        <f>VLOOKUP($C727,COS!$B$8:$H$991,6,FALSE)</f>
        <v>2635.120849609375</v>
      </c>
      <c r="Q727" s="26">
        <f t="shared" si="1166"/>
        <v>156.80057948088844</v>
      </c>
      <c r="R727" s="26">
        <f>MIN(IF(MONTH($C727)=4,$S$3,IF(MONTH($C727)=5,$S$4,IF(MONTH($C727)=6,$S$5,IF(MONTH($C727)=7,$S$6,"ERROR")))),MAX(VLOOKUP($C727,COS!$B$8:$K$991,10,FALSE)-IF(MONTH($C727)=4,$Y$3,IF(MONTH($C727)=5,$Y$4,IF(MONTH($C727)=6,$Y$5,IF(MONTH($C727)=7,$Y$6,"ERROR")))),0),MAX(VLOOKUP($C727,COS!$B$8:$K$991,9,FALSE)-IF(MONTH($C727)=4,$V$3,IF(MONTH($C727)=5,$V$4,IF(MONTH($C727)=6,$V$5,IF(MONTH($C727)=7,$V$6,"ERROR"))))-VLOOKUP($C727,COS!$B$8:$K$991,6,FALSE)/2,0))</f>
        <v>1500</v>
      </c>
      <c r="S727" s="26">
        <f t="shared" si="1167"/>
        <v>89.256198347107429</v>
      </c>
      <c r="T727" s="26">
        <f t="shared" si="1168"/>
        <v>177.82379816228695</v>
      </c>
      <c r="U727" s="26" t="str">
        <f>IF(VLOOKUP($C727,COS!$B$8:$I$991,8,FALSE)=1,"UWFE","IBU")</f>
        <v>IBU</v>
      </c>
      <c r="V727" s="26">
        <f t="shared" ref="V727" si="1171">MIN(IF(IF($AA$3=2,AND(E727=1,G727=1,L727=1,L730=1,M727=1,U727="IBU"),AND(E727=1,G727=1,L727=1,L730=1,M727=1)),T727,0),I727)</f>
        <v>177.82379816228695</v>
      </c>
      <c r="W727" s="26"/>
      <c r="X727" s="26"/>
      <c r="Y727" s="26"/>
      <c r="Z727" s="26"/>
      <c r="AA727" s="26"/>
      <c r="AB727" s="33"/>
    </row>
    <row r="728" spans="1:28" x14ac:dyDescent="0.3">
      <c r="A728" s="32">
        <f>VLOOKUP(YEAR(C728),Flags!$A$13:$B$95,2,FALSE)</f>
        <v>4</v>
      </c>
      <c r="B728" s="24">
        <f t="shared" si="1157"/>
        <v>2001</v>
      </c>
      <c r="C728" s="25">
        <v>37103</v>
      </c>
      <c r="D728" s="26">
        <f>VLOOKUP($C728,COS!$B$8:$H$991,3,FALSE)</f>
        <v>11758.25</v>
      </c>
      <c r="E728" s="24">
        <f>IF(D728&gt;=IF(MONTH($C728)=4,$C$3,IF(MONTH($C728)=5,$C$4,IF(MONTH($C728)=6,$C$5,IF(MONTH($C728)=7,$C$6,"ERROR")))),1,0)</f>
        <v>0</v>
      </c>
      <c r="F728" s="26">
        <f>VLOOKUP($C728,COS!$B$8:$H$991,7,FALSE)</f>
        <v>54.356548309326172</v>
      </c>
      <c r="G728" s="24">
        <f>IF(F728&lt;=IF(MONTH($C728)=4,$F$3,IF(MONTH($C728)=5,$F$4,IF(MONTH($C728)=6,$F$5,IF(MONTH($C728)=7,$F$6,"ERROR")))),1,0)</f>
        <v>0</v>
      </c>
      <c r="H728" s="26">
        <f>IF(J728=1,D728-$C$6,0)</f>
        <v>0</v>
      </c>
      <c r="I728" s="26">
        <f t="shared" si="1083"/>
        <v>0</v>
      </c>
      <c r="J728" s="24">
        <f t="shared" si="1162"/>
        <v>0</v>
      </c>
      <c r="K728" s="26">
        <f>VLOOKUP($C728,COS!$B$8:$H$991,2,FALSE)</f>
        <v>2758.937255859375</v>
      </c>
      <c r="L728" s="24">
        <f t="shared" si="1148"/>
        <v>1</v>
      </c>
      <c r="M728" s="24">
        <f t="shared" si="1149"/>
        <v>1</v>
      </c>
      <c r="N728" s="26">
        <f>VLOOKUP($C728,COS!$B$8:$H$991,5,FALSE)</f>
        <v>395.15768432617188</v>
      </c>
      <c r="O728" s="26">
        <f t="shared" si="1165"/>
        <v>24.297298937080321</v>
      </c>
      <c r="P728" s="26">
        <f>VLOOKUP($C728,COS!$B$8:$H$991,6,FALSE)</f>
        <v>2538.07568359375</v>
      </c>
      <c r="Q728" s="26">
        <f t="shared" si="1166"/>
        <v>156.06019079287191</v>
      </c>
      <c r="R728" s="26">
        <f>MIN(IF(MONTH($C728)=4,$S$3,IF(MONTH($C728)=5,$S$4,IF(MONTH($C728)=6,$S$5,IF(MONTH($C728)=7,$S$6,"ERROR")))),MAX(VLOOKUP($C728,COS!$B$8:$K$991,10,FALSE)-IF(MONTH($C728)=4,$Y$3,IF(MONTH($C728)=5,$Y$4,IF(MONTH($C728)=6,$Y$5,IF(MONTH($C728)=7,$Y$6,"ERROR")))),0),MAX(VLOOKUP($C728,COS!$B$8:$K$991,9,FALSE)-IF(MONTH($C728)=4,$V$3,IF(MONTH($C728)=5,$V$4,IF(MONTH($C728)=6,$V$5,IF(MONTH($C728)=7,$V$6,"ERROR"))))-VLOOKUP($C728,COS!$B$8:$K$991,6,FALSE)/2,0))</f>
        <v>1500</v>
      </c>
      <c r="S728" s="26">
        <f t="shared" si="1167"/>
        <v>92.231404958677686</v>
      </c>
      <c r="T728" s="26">
        <f t="shared" si="1168"/>
        <v>182.4101498236538</v>
      </c>
      <c r="U728" s="26" t="str">
        <f>IF(VLOOKUP($C728,COS!$B$8:$I$991,8,FALSE)=1,"UWFE","IBU")</f>
        <v>IBU</v>
      </c>
      <c r="V728" s="26">
        <f t="shared" ref="V728" si="1172">MIN(IF(IF($AA$3=2,AND(E728=1,G728=1,L728=1,L730=1,M728=1,U728="IBU"),AND(E728=1,G728=1,L728=1,L730=1,M728=1)),T728,0),I728)</f>
        <v>0</v>
      </c>
      <c r="W728" s="26"/>
      <c r="X728" s="26"/>
      <c r="Y728" s="26"/>
      <c r="Z728" s="26"/>
      <c r="AA728" s="26"/>
      <c r="AB728" s="33"/>
    </row>
    <row r="729" spans="1:28" x14ac:dyDescent="0.3">
      <c r="A729" s="32">
        <f>VLOOKUP(YEAR(C729),Flags!$A$13:$B$95,2,FALSE)</f>
        <v>4</v>
      </c>
      <c r="B729" s="24">
        <f t="shared" si="1157"/>
        <v>2001</v>
      </c>
      <c r="C729" s="25">
        <v>37134</v>
      </c>
      <c r="D729" s="26"/>
      <c r="E729" s="24"/>
      <c r="F729" s="26"/>
      <c r="G729" s="24"/>
      <c r="H729" s="24"/>
      <c r="I729" s="26"/>
      <c r="J729" s="24"/>
      <c r="K729" s="26"/>
      <c r="L729" s="24"/>
      <c r="M729" s="24"/>
      <c r="N729" s="26"/>
      <c r="O729" s="26"/>
      <c r="P729" s="26"/>
      <c r="Q729" s="26"/>
      <c r="R729" s="26"/>
      <c r="S729" s="26"/>
      <c r="T729" s="26"/>
      <c r="U729" s="26"/>
      <c r="V729" s="26"/>
      <c r="W729" s="26">
        <f>MAX($C$7-VLOOKUP($C729,COS!$B$8:$H$991,3,FALSE),0)</f>
        <v>92242.5517578125</v>
      </c>
      <c r="X729" s="26">
        <f t="shared" si="1086"/>
        <v>5671.7734303977277</v>
      </c>
      <c r="Y729" s="26">
        <f>VLOOKUP($C729,COS!$B$8:$H$991,4,FALSE)</f>
        <v>2668.290283203125</v>
      </c>
      <c r="Z729" s="26">
        <f t="shared" si="1087"/>
        <v>164.06677443827479</v>
      </c>
      <c r="AA729" s="26">
        <f t="shared" ref="AA729:AA733" si="1173">MIN(W729,Y729)</f>
        <v>2668.290283203125</v>
      </c>
      <c r="AB729" s="33">
        <f t="shared" ref="AB729" si="1174">AA729*DAY($C729)*86400/43560/1000*IF(MONTH($C729)=8,$P$3,IF(MONTH($C729)=9,$P$4,IF(MONTH($C729)=10,$P$5,IF(MONTH($C729)=11,$P$6,IF(MONTH($C729)=12,$P$7,NA())))))</f>
        <v>164.06677443827479</v>
      </c>
    </row>
    <row r="730" spans="1:28" x14ac:dyDescent="0.3">
      <c r="A730" s="32">
        <f>VLOOKUP(YEAR(C730),Flags!$A$13:$B$95,2,FALSE)</f>
        <v>4</v>
      </c>
      <c r="B730" s="24">
        <f t="shared" si="1157"/>
        <v>2001</v>
      </c>
      <c r="C730" s="25">
        <v>37164</v>
      </c>
      <c r="D730" s="26"/>
      <c r="E730" s="24"/>
      <c r="F730" s="26"/>
      <c r="G730" s="24"/>
      <c r="H730" s="24"/>
      <c r="I730" s="26"/>
      <c r="J730" s="24"/>
      <c r="K730" s="26">
        <f>VLOOKUP($C730,COS!$B$8:$H$991,2,FALSE)</f>
        <v>2536.139892578125</v>
      </c>
      <c r="L730" s="24">
        <f t="shared" ref="L730" si="1175">IF(AND(K730&gt;$I$7,K730&lt;$I$8),1,0)</f>
        <v>1</v>
      </c>
      <c r="M730" s="24"/>
      <c r="N730" s="26"/>
      <c r="O730" s="26"/>
      <c r="P730" s="26"/>
      <c r="Q730" s="26"/>
      <c r="R730" s="26"/>
      <c r="S730" s="26"/>
      <c r="T730" s="26"/>
      <c r="U730" s="26"/>
      <c r="V730" s="26"/>
      <c r="W730" s="26">
        <f>MAX($C$8-VLOOKUP($C730,COS!$B$8:$H$991,3,FALSE),0)</f>
        <v>94657.2197265625</v>
      </c>
      <c r="X730" s="26">
        <f t="shared" si="1086"/>
        <v>5632.4957192665288</v>
      </c>
      <c r="Y730" s="26">
        <f>VLOOKUP($C730,COS!$B$8:$H$991,4,FALSE)</f>
        <v>1212.2628173828125</v>
      </c>
      <c r="Z730" s="26">
        <f t="shared" si="1087"/>
        <v>72.134646984762398</v>
      </c>
      <c r="AA730" s="26">
        <f t="shared" si="1173"/>
        <v>1212.2628173828125</v>
      </c>
      <c r="AB730" s="33">
        <f t="shared" si="1160"/>
        <v>72.134646984762398</v>
      </c>
    </row>
    <row r="731" spans="1:28" x14ac:dyDescent="0.3">
      <c r="A731" s="32">
        <f>VLOOKUP(YEAR(C731),Flags!$A$13:$B$95,2,FALSE)</f>
        <v>4</v>
      </c>
      <c r="B731" s="24">
        <f t="shared" si="1157"/>
        <v>2001</v>
      </c>
      <c r="C731" s="25">
        <v>37195</v>
      </c>
      <c r="D731" s="26"/>
      <c r="E731" s="24"/>
      <c r="F731" s="26"/>
      <c r="G731" s="26"/>
      <c r="H731" s="26"/>
      <c r="I731" s="26"/>
      <c r="J731" s="26"/>
      <c r="K731" s="26"/>
      <c r="L731" s="24"/>
      <c r="M731" s="24"/>
      <c r="N731" s="26"/>
      <c r="O731" s="26"/>
      <c r="P731" s="26"/>
      <c r="Q731" s="26"/>
      <c r="R731" s="26"/>
      <c r="S731" s="26"/>
      <c r="T731" s="26"/>
      <c r="U731" s="26"/>
      <c r="V731" s="26"/>
      <c r="W731" s="26">
        <f>MAX($C$9-VLOOKUP($C731,COS!$B$8:$H$991,3,FALSE),0)</f>
        <v>91063.4443359375</v>
      </c>
      <c r="X731" s="26">
        <f t="shared" si="1086"/>
        <v>5599.2729409865697</v>
      </c>
      <c r="Y731" s="26">
        <f>VLOOKUP($C731,COS!$B$8:$H$991,4,FALSE)</f>
        <v>1937.2271728515625</v>
      </c>
      <c r="Z731" s="26">
        <f t="shared" si="1087"/>
        <v>119.11545591748451</v>
      </c>
      <c r="AA731" s="26">
        <f t="shared" si="1173"/>
        <v>1937.2271728515625</v>
      </c>
      <c r="AB731" s="33">
        <f t="shared" si="1160"/>
        <v>119.11545591748451</v>
      </c>
    </row>
    <row r="732" spans="1:28" x14ac:dyDescent="0.3">
      <c r="A732" s="32">
        <f>VLOOKUP(YEAR(C732),Flags!$A$13:$B$95,2,FALSE)</f>
        <v>4</v>
      </c>
      <c r="B732" s="24">
        <f t="shared" si="1157"/>
        <v>2001</v>
      </c>
      <c r="C732" s="25">
        <v>37225</v>
      </c>
      <c r="D732" s="26"/>
      <c r="E732" s="24"/>
      <c r="F732" s="26"/>
      <c r="G732" s="26"/>
      <c r="H732" s="26"/>
      <c r="I732" s="26"/>
      <c r="J732" s="26"/>
      <c r="K732" s="26"/>
      <c r="L732" s="24"/>
      <c r="M732" s="24"/>
      <c r="N732" s="26"/>
      <c r="O732" s="26"/>
      <c r="P732" s="26"/>
      <c r="Q732" s="26"/>
      <c r="R732" s="26"/>
      <c r="S732" s="26"/>
      <c r="T732" s="26"/>
      <c r="U732" s="26"/>
      <c r="V732" s="26"/>
      <c r="W732" s="26">
        <f>MAX($C$10-VLOOKUP($C732,COS!$B$8:$H$991,3,FALSE),0)</f>
        <v>96749</v>
      </c>
      <c r="X732" s="26">
        <f t="shared" si="1086"/>
        <v>5756.965289256198</v>
      </c>
      <c r="Y732" s="26">
        <f>VLOOKUP($C732,COS!$B$8:$H$991,4,FALSE)</f>
        <v>1367.04638671875</v>
      </c>
      <c r="Z732" s="26">
        <f t="shared" si="1087"/>
        <v>81.344908961776866</v>
      </c>
      <c r="AA732" s="26">
        <f t="shared" si="1173"/>
        <v>1367.04638671875</v>
      </c>
      <c r="AB732" s="33">
        <f t="shared" si="1160"/>
        <v>81.344908961776866</v>
      </c>
    </row>
    <row r="733" spans="1:28" x14ac:dyDescent="0.3">
      <c r="A733" s="34">
        <f>VLOOKUP(YEAR(C733),Flags!$A$13:$B$95,2,FALSE)</f>
        <v>4</v>
      </c>
      <c r="B733" s="35">
        <f t="shared" si="1157"/>
        <v>2001</v>
      </c>
      <c r="C733" s="36">
        <v>37256</v>
      </c>
      <c r="D733" s="37"/>
      <c r="E733" s="35"/>
      <c r="F733" s="37"/>
      <c r="G733" s="37"/>
      <c r="H733" s="37"/>
      <c r="I733" s="37"/>
      <c r="J733" s="37"/>
      <c r="K733" s="37"/>
      <c r="L733" s="35"/>
      <c r="M733" s="35"/>
      <c r="N733" s="37"/>
      <c r="O733" s="37"/>
      <c r="P733" s="37"/>
      <c r="Q733" s="37"/>
      <c r="R733" s="37"/>
      <c r="S733" s="37"/>
      <c r="T733" s="37"/>
      <c r="U733" s="37"/>
      <c r="V733" s="37"/>
      <c r="W733" s="37">
        <f>MAX($C$11-VLOOKUP($C733,COS!$B$8:$H$991,3,FALSE),0)</f>
        <v>94757.46826171875</v>
      </c>
      <c r="X733" s="37">
        <f t="shared" si="1086"/>
        <v>5826.4096187370869</v>
      </c>
      <c r="Y733" s="37">
        <f>VLOOKUP($C733,COS!$B$8:$H$991,4,FALSE)</f>
        <v>0</v>
      </c>
      <c r="Z733" s="37">
        <f t="shared" si="1087"/>
        <v>0</v>
      </c>
      <c r="AA733" s="37">
        <f t="shared" si="1173"/>
        <v>0</v>
      </c>
      <c r="AB733" s="38">
        <f t="shared" si="1160"/>
        <v>0</v>
      </c>
    </row>
    <row r="734" spans="1:28" x14ac:dyDescent="0.3">
      <c r="A734" s="27">
        <f>VLOOKUP(YEAR(C734),Flags!$A$13:$B$95,2,FALSE)</f>
        <v>4</v>
      </c>
      <c r="B734" s="28">
        <f t="shared" si="1157"/>
        <v>2002</v>
      </c>
      <c r="C734" s="29">
        <v>37376</v>
      </c>
      <c r="D734" s="30">
        <f>VLOOKUP($C734,COS!$B$8:$H$991,3,FALSE)</f>
        <v>3790.32568359375</v>
      </c>
      <c r="E734" s="28">
        <f>IF(D734&gt;=IF(MONTH($C734)=4,$C$3,IF(MONTH($C734)=5,$C$4,IF(MONTH($C734)=6,$C$5,IF(MONTH($C734)=7,$C$6,"ERROR")))),1,0)</f>
        <v>0</v>
      </c>
      <c r="F734" s="30">
        <f>VLOOKUP($C734,COS!$B$8:$H$991,7,FALSE)</f>
        <v>51.393619537353516</v>
      </c>
      <c r="G734" s="28">
        <f>IF(F734&lt;=IF(MONTH($C734)=4,$F$3,IF(MONTH($C734)=5,$F$4,IF(MONTH($C734)=6,$F$5,IF(MONTH($C734)=7,$F$6,"ERROR")))),1,0)</f>
        <v>1</v>
      </c>
      <c r="H734" s="30">
        <f>IF(J734=1,D734-$C$3,0)</f>
        <v>0</v>
      </c>
      <c r="I734" s="30">
        <f t="shared" si="1083"/>
        <v>0</v>
      </c>
      <c r="J734" s="28">
        <f t="shared" ref="J734:J737" si="1176">IF(AND(E734=1,G734=1),1,0)</f>
        <v>0</v>
      </c>
      <c r="K734" s="30">
        <f>VLOOKUP($C734,COS!$B$8:$H$991,2,FALSE)</f>
        <v>4552.10009765625</v>
      </c>
      <c r="L734" s="28">
        <f t="shared" ref="L734" si="1177">IF(K734&lt;=IF(MONTH($C734)=4,$I$3,IF(MONTH($C734)=5,$I$4,IF(MONTH($C734)=6,$I$5,IF(MONTH($C734)=7,$I$6,"ERROR")))),1,0)</f>
        <v>1</v>
      </c>
      <c r="M734" s="28">
        <f t="shared" ref="M734" si="1178">VLOOKUP($A734,$L$3:$M$7,2,FALSE)</f>
        <v>1</v>
      </c>
      <c r="N734" s="30">
        <f>VLOOKUP($C734,COS!$B$8:$H$991,5,FALSE)</f>
        <v>592.5997314453125</v>
      </c>
      <c r="O734" s="30">
        <f t="shared" ref="O734:O737" si="1179">N734*DAY($C734)*86400/43560/1000</f>
        <v>35.262132780216938</v>
      </c>
      <c r="P734" s="30">
        <f>VLOOKUP($C734,COS!$B$8:$H$991,6,FALSE)</f>
        <v>570.92694091796875</v>
      </c>
      <c r="Q734" s="30">
        <f t="shared" ref="Q734:Q737" si="1180">P734*DAY($C734)*86400/43560/1000</f>
        <v>33.972512186854338</v>
      </c>
      <c r="R734" s="30">
        <f>MIN(IF(MONTH($C734)=4,$S$3,IF(MONTH($C734)=5,$S$4,IF(MONTH($C734)=6,$S$5,IF(MONTH($C734)=7,$S$6,"ERROR")))),MAX(VLOOKUP($C734,COS!$B$8:$K$991,10,FALSE)-IF(MONTH($C734)=4,$Y$3,IF(MONTH($C734)=5,$Y$4,IF(MONTH($C734)=6,$Y$5,IF(MONTH($C734)=7,$Y$6,"ERROR")))),0),MAX(VLOOKUP($C734,COS!$B$8:$K$991,9,FALSE)-IF(MONTH($C734)=4,$V$3,IF(MONTH($C734)=5,$V$4,IF(MONTH($C734)=6,$V$5,IF(MONTH($C734)=7,$V$6,"ERROR"))))-VLOOKUP($C734,COS!$B$8:$K$991,6,FALSE)/2,0))</f>
        <v>1500</v>
      </c>
      <c r="S734" s="30">
        <f t="shared" ref="S734:S737" si="1181">R734*DAY($C734)*86400/43560/1000</f>
        <v>89.256198347107429</v>
      </c>
      <c r="T734" s="30">
        <f t="shared" ref="T734:T737" si="1182">(O734+Q734)/2+S734</f>
        <v>123.87352083064306</v>
      </c>
      <c r="U734" s="30" t="str">
        <f>IF(VLOOKUP($C734,COS!$B$8:$I$991,8,FALSE)=1,"UWFE","IBU")</f>
        <v>UWFE</v>
      </c>
      <c r="V734" s="30">
        <f t="shared" ref="V734" si="1183">MIN(IF(IF($AA$3=2,AND(E734=1,G734=1,L734=1,L739=1,M734=1,U734="IBU"),AND(E734=1,G734=1,L734=1,L739=1,M734=1)),T734,0),I734)</f>
        <v>0</v>
      </c>
      <c r="W734" s="30"/>
      <c r="X734" s="30"/>
      <c r="Y734" s="30"/>
      <c r="Z734" s="30"/>
      <c r="AA734" s="30"/>
      <c r="AB734" s="31"/>
    </row>
    <row r="735" spans="1:28" x14ac:dyDescent="0.3">
      <c r="A735" s="32">
        <f>VLOOKUP(YEAR(C735),Flags!$A$13:$B$95,2,FALSE)</f>
        <v>4</v>
      </c>
      <c r="B735" s="24">
        <f t="shared" si="1157"/>
        <v>2002</v>
      </c>
      <c r="C735" s="25">
        <v>37407</v>
      </c>
      <c r="D735" s="26">
        <f>VLOOKUP($C735,COS!$B$8:$H$991,3,FALSE)</f>
        <v>8129.60498046875</v>
      </c>
      <c r="E735" s="24">
        <f>IF(D735&gt;=IF(MONTH($C735)=4,$C$3,IF(MONTH($C735)=5,$C$4,IF(MONTH($C735)=6,$C$5,IF(MONTH($C735)=7,$C$6,"ERROR")))),1,0)</f>
        <v>1</v>
      </c>
      <c r="F735" s="26">
        <f>VLOOKUP($C735,COS!$B$8:$H$991,7,FALSE)</f>
        <v>50.423126220703125</v>
      </c>
      <c r="G735" s="24">
        <f>IF(F735&lt;=IF(MONTH($C735)=4,$F$3,IF(MONTH($C735)=5,$F$4,IF(MONTH($C735)=6,$F$5,IF(MONTH($C735)=7,$F$6,"ERROR")))),1,0)</f>
        <v>1</v>
      </c>
      <c r="H735" s="26">
        <f>IF(J735=1,D735-$C$4,0)</f>
        <v>2129.60498046875</v>
      </c>
      <c r="I735" s="26">
        <f t="shared" si="1083"/>
        <v>130.94430623708678</v>
      </c>
      <c r="J735" s="24">
        <f t="shared" si="1176"/>
        <v>1</v>
      </c>
      <c r="K735" s="26">
        <f>VLOOKUP($C735,COS!$B$8:$H$991,2,FALSE)</f>
        <v>4345.9794921875</v>
      </c>
      <c r="L735" s="24">
        <f t="shared" si="1148"/>
        <v>1</v>
      </c>
      <c r="M735" s="24">
        <f t="shared" si="1149"/>
        <v>1</v>
      </c>
      <c r="N735" s="26">
        <f>VLOOKUP($C735,COS!$B$8:$H$991,5,FALSE)</f>
        <v>512.00897216796875</v>
      </c>
      <c r="O735" s="26">
        <f t="shared" si="1179"/>
        <v>31.482204569666838</v>
      </c>
      <c r="P735" s="26">
        <f>VLOOKUP($C735,COS!$B$8:$H$991,6,FALSE)</f>
        <v>2032.4620361328125</v>
      </c>
      <c r="Q735" s="26">
        <f t="shared" si="1180"/>
        <v>124.97121941180268</v>
      </c>
      <c r="R735" s="26">
        <f>MIN(IF(MONTH($C735)=4,$S$3,IF(MONTH($C735)=5,$S$4,IF(MONTH($C735)=6,$S$5,IF(MONTH($C735)=7,$S$6,"ERROR")))),MAX(VLOOKUP($C735,COS!$B$8:$K$991,10,FALSE)-IF(MONTH($C735)=4,$Y$3,IF(MONTH($C735)=5,$Y$4,IF(MONTH($C735)=6,$Y$5,IF(MONTH($C735)=7,$Y$6,"ERROR")))),0),MAX(VLOOKUP($C735,COS!$B$8:$K$991,9,FALSE)-IF(MONTH($C735)=4,$V$3,IF(MONTH($C735)=5,$V$4,IF(MONTH($C735)=6,$V$5,IF(MONTH($C735)=7,$V$6,"ERROR"))))-VLOOKUP($C735,COS!$B$8:$K$991,6,FALSE)/2,0))</f>
        <v>1500</v>
      </c>
      <c r="S735" s="26">
        <f t="shared" si="1181"/>
        <v>92.231404958677686</v>
      </c>
      <c r="T735" s="26">
        <f t="shared" si="1182"/>
        <v>170.45811694941244</v>
      </c>
      <c r="U735" s="26" t="str">
        <f>IF(VLOOKUP($C735,COS!$B$8:$I$991,8,FALSE)=1,"UWFE","IBU")</f>
        <v>UWFE</v>
      </c>
      <c r="V735" s="26">
        <f t="shared" ref="V735" si="1184">MIN(IF(IF($AA$3=2,AND(E735=1,G735=1,L735=1,L739=1,M735=1,U735="IBU"),AND(E735=1,G735=1,L735=1,L739=1,M735=1)),T735,0),I735)</f>
        <v>0</v>
      </c>
      <c r="W735" s="26"/>
      <c r="X735" s="26"/>
      <c r="Y735" s="26"/>
      <c r="Z735" s="26"/>
      <c r="AA735" s="26"/>
      <c r="AB735" s="33"/>
    </row>
    <row r="736" spans="1:28" x14ac:dyDescent="0.3">
      <c r="A736" s="32">
        <f>VLOOKUP(YEAR(C736),Flags!$A$13:$B$95,2,FALSE)</f>
        <v>4</v>
      </c>
      <c r="B736" s="24">
        <f t="shared" si="1157"/>
        <v>2002</v>
      </c>
      <c r="C736" s="25">
        <v>37437</v>
      </c>
      <c r="D736" s="26">
        <f>VLOOKUP($C736,COS!$B$8:$H$991,3,FALSE)</f>
        <v>11090.05078125</v>
      </c>
      <c r="E736" s="24">
        <f>IF(D736&gt;=IF(MONTH($C736)=4,$C$3,IF(MONTH($C736)=5,$C$4,IF(MONTH($C736)=6,$C$5,IF(MONTH($C736)=7,$C$6,"ERROR")))),1,0)</f>
        <v>1</v>
      </c>
      <c r="F736" s="26">
        <f>VLOOKUP($C736,COS!$B$8:$H$991,7,FALSE)</f>
        <v>51.078281402587891</v>
      </c>
      <c r="G736" s="24">
        <f>IF(F736&lt;=IF(MONTH($C736)=4,$F$3,IF(MONTH($C736)=5,$F$4,IF(MONTH($C736)=6,$F$5,IF(MONTH($C736)=7,$F$6,"ERROR")))),1,0)</f>
        <v>1</v>
      </c>
      <c r="H736" s="26">
        <f>IF(J736=1,D736-$C$5,0)</f>
        <v>1090.05078125</v>
      </c>
      <c r="I736" s="26">
        <f t="shared" si="1083"/>
        <v>64.862525826446287</v>
      </c>
      <c r="J736" s="24">
        <f t="shared" si="1176"/>
        <v>1</v>
      </c>
      <c r="K736" s="26">
        <f>VLOOKUP($C736,COS!$B$8:$H$991,2,FALSE)</f>
        <v>3872.047119140625</v>
      </c>
      <c r="L736" s="24">
        <f t="shared" si="1148"/>
        <v>1</v>
      </c>
      <c r="M736" s="24">
        <f t="shared" si="1149"/>
        <v>1</v>
      </c>
      <c r="N736" s="26">
        <f>VLOOKUP($C736,COS!$B$8:$H$991,5,FALSE)</f>
        <v>765.88287353515625</v>
      </c>
      <c r="O736" s="26">
        <f t="shared" si="1179"/>
        <v>45.573195780604337</v>
      </c>
      <c r="P736" s="26">
        <f>VLOOKUP($C736,COS!$B$8:$H$991,6,FALSE)</f>
        <v>2710.3994140625</v>
      </c>
      <c r="Q736" s="26">
        <f t="shared" si="1180"/>
        <v>161.27996513429753</v>
      </c>
      <c r="R736" s="26">
        <f>MIN(IF(MONTH($C736)=4,$S$3,IF(MONTH($C736)=5,$S$4,IF(MONTH($C736)=6,$S$5,IF(MONTH($C736)=7,$S$6,"ERROR")))),MAX(VLOOKUP($C736,COS!$B$8:$K$991,10,FALSE)-IF(MONTH($C736)=4,$Y$3,IF(MONTH($C736)=5,$Y$4,IF(MONTH($C736)=6,$Y$5,IF(MONTH($C736)=7,$Y$6,"ERROR")))),0),MAX(VLOOKUP($C736,COS!$B$8:$K$991,9,FALSE)-IF(MONTH($C736)=4,$V$3,IF(MONTH($C736)=5,$V$4,IF(MONTH($C736)=6,$V$5,IF(MONTH($C736)=7,$V$6,"ERROR"))))-VLOOKUP($C736,COS!$B$8:$K$991,6,FALSE)/2,0))</f>
        <v>1500</v>
      </c>
      <c r="S736" s="26">
        <f t="shared" si="1181"/>
        <v>89.256198347107429</v>
      </c>
      <c r="T736" s="26">
        <f t="shared" si="1182"/>
        <v>192.68277880455838</v>
      </c>
      <c r="U736" s="26" t="str">
        <f>IF(VLOOKUP($C736,COS!$B$8:$I$991,8,FALSE)=1,"UWFE","IBU")</f>
        <v>IBU</v>
      </c>
      <c r="V736" s="26">
        <f t="shared" ref="V736" si="1185">MIN(IF(IF($AA$3=2,AND(E736=1,G736=1,L736=1,L739=1,M736=1,U736="IBU"),AND(E736=1,G736=1,L736=1,L739=1,M736=1)),T736,0),I736)</f>
        <v>64.862525826446287</v>
      </c>
      <c r="W736" s="26"/>
      <c r="X736" s="26"/>
      <c r="Y736" s="26"/>
      <c r="Z736" s="26"/>
      <c r="AA736" s="26"/>
      <c r="AB736" s="33"/>
    </row>
    <row r="737" spans="1:28" x14ac:dyDescent="0.3">
      <c r="A737" s="32">
        <f>VLOOKUP(YEAR(C737),Flags!$A$13:$B$95,2,FALSE)</f>
        <v>4</v>
      </c>
      <c r="B737" s="24">
        <f t="shared" si="1157"/>
        <v>2002</v>
      </c>
      <c r="C737" s="25">
        <v>37468</v>
      </c>
      <c r="D737" s="26">
        <f>VLOOKUP($C737,COS!$B$8:$H$991,3,FALSE)</f>
        <v>14797.642578125</v>
      </c>
      <c r="E737" s="24">
        <f>IF(D737&gt;=IF(MONTH($C737)=4,$C$3,IF(MONTH($C737)=5,$C$4,IF(MONTH($C737)=6,$C$5,IF(MONTH($C737)=7,$C$6,"ERROR")))),1,0)</f>
        <v>1</v>
      </c>
      <c r="F737" s="26">
        <f>VLOOKUP($C737,COS!$B$8:$H$991,7,FALSE)</f>
        <v>51.499664306640625</v>
      </c>
      <c r="G737" s="24">
        <f>IF(F737&lt;=IF(MONTH($C737)=4,$F$3,IF(MONTH($C737)=5,$F$4,IF(MONTH($C737)=6,$F$5,IF(MONTH($C737)=7,$F$6,"ERROR")))),1,0)</f>
        <v>1</v>
      </c>
      <c r="H737" s="26">
        <f>IF(J737=1,D737-$C$6,0)</f>
        <v>2797.642578125</v>
      </c>
      <c r="I737" s="26">
        <f t="shared" ref="I737" si="1186">H737*DAY($C737)*86400/43560/1000</f>
        <v>172.02033703512396</v>
      </c>
      <c r="J737" s="24">
        <f t="shared" si="1176"/>
        <v>1</v>
      </c>
      <c r="K737" s="26">
        <f>VLOOKUP($C737,COS!$B$8:$H$991,2,FALSE)</f>
        <v>3213.63134765625</v>
      </c>
      <c r="L737" s="24">
        <f t="shared" si="1148"/>
        <v>1</v>
      </c>
      <c r="M737" s="24">
        <f t="shared" si="1149"/>
        <v>1</v>
      </c>
      <c r="N737" s="26">
        <f>VLOOKUP($C737,COS!$B$8:$H$991,5,FALSE)</f>
        <v>838.20123291015625</v>
      </c>
      <c r="O737" s="26">
        <f t="shared" si="1179"/>
        <v>51.53898489959969</v>
      </c>
      <c r="P737" s="26">
        <f>VLOOKUP($C737,COS!$B$8:$H$991,6,FALSE)</f>
        <v>2538.07568359375</v>
      </c>
      <c r="Q737" s="26">
        <f t="shared" si="1180"/>
        <v>156.06019079287191</v>
      </c>
      <c r="R737" s="26">
        <f>MIN(IF(MONTH($C737)=4,$S$3,IF(MONTH($C737)=5,$S$4,IF(MONTH($C737)=6,$S$5,IF(MONTH($C737)=7,$S$6,"ERROR")))),MAX(VLOOKUP($C737,COS!$B$8:$K$991,10,FALSE)-IF(MONTH($C737)=4,$Y$3,IF(MONTH($C737)=5,$Y$4,IF(MONTH($C737)=6,$Y$5,IF(MONTH($C737)=7,$Y$6,"ERROR")))),0),MAX(VLOOKUP($C737,COS!$B$8:$K$991,9,FALSE)-IF(MONTH($C737)=4,$V$3,IF(MONTH($C737)=5,$V$4,IF(MONTH($C737)=6,$V$5,IF(MONTH($C737)=7,$V$6,"ERROR"))))-VLOOKUP($C737,COS!$B$8:$K$991,6,FALSE)/2,0))</f>
        <v>1500</v>
      </c>
      <c r="S737" s="26">
        <f t="shared" si="1181"/>
        <v>92.231404958677686</v>
      </c>
      <c r="T737" s="26">
        <f t="shared" si="1182"/>
        <v>196.03099280491347</v>
      </c>
      <c r="U737" s="26" t="str">
        <f>IF(VLOOKUP($C737,COS!$B$8:$I$991,8,FALSE)=1,"UWFE","IBU")</f>
        <v>IBU</v>
      </c>
      <c r="V737" s="26">
        <f t="shared" ref="V737" si="1187">MIN(IF(IF($AA$3=2,AND(E737=1,G737=1,L737=1,L739=1,M737=1,U737="IBU"),AND(E737=1,G737=1,L737=1,L739=1,M737=1)),T737,0),I737)</f>
        <v>172.02033703512396</v>
      </c>
      <c r="W737" s="26"/>
      <c r="X737" s="26"/>
      <c r="Y737" s="26"/>
      <c r="Z737" s="26"/>
      <c r="AA737" s="26"/>
      <c r="AB737" s="33"/>
    </row>
    <row r="738" spans="1:28" x14ac:dyDescent="0.3">
      <c r="A738" s="32">
        <f>VLOOKUP(YEAR(C738),Flags!$A$13:$B$95,2,FALSE)</f>
        <v>4</v>
      </c>
      <c r="B738" s="24">
        <f t="shared" si="1157"/>
        <v>2002</v>
      </c>
      <c r="C738" s="25">
        <v>37499</v>
      </c>
      <c r="D738" s="26"/>
      <c r="E738" s="24"/>
      <c r="F738" s="26"/>
      <c r="G738" s="24"/>
      <c r="H738" s="24"/>
      <c r="I738" s="26"/>
      <c r="J738" s="24"/>
      <c r="K738" s="26"/>
      <c r="L738" s="24"/>
      <c r="M738" s="24"/>
      <c r="N738" s="26"/>
      <c r="O738" s="26"/>
      <c r="P738" s="26"/>
      <c r="Q738" s="26"/>
      <c r="R738" s="26"/>
      <c r="S738" s="26"/>
      <c r="T738" s="26"/>
      <c r="U738" s="26"/>
      <c r="V738" s="26"/>
      <c r="W738" s="26">
        <f>MAX($C$7-VLOOKUP($C738,COS!$B$8:$H$991,3,FALSE),0)</f>
        <v>92011.7978515625</v>
      </c>
      <c r="X738" s="26">
        <f t="shared" si="1086"/>
        <v>5657.5849257489663</v>
      </c>
      <c r="Y738" s="26">
        <f>VLOOKUP($C738,COS!$B$8:$H$991,4,FALSE)</f>
        <v>1265.3411865234375</v>
      </c>
      <c r="Z738" s="26">
        <f t="shared" si="1087"/>
        <v>77.80279692342458</v>
      </c>
      <c r="AA738" s="26">
        <f t="shared" ref="AA738:AA742" si="1188">MIN(W738,Y738)</f>
        <v>1265.3411865234375</v>
      </c>
      <c r="AB738" s="33">
        <f t="shared" ref="AB738" si="1189">AA738*DAY($C738)*86400/43560/1000*IF(MONTH($C738)=8,$P$3,IF(MONTH($C738)=9,$P$4,IF(MONTH($C738)=10,$P$5,IF(MONTH($C738)=11,$P$6,IF(MONTH($C738)=12,$P$7,NA())))))</f>
        <v>77.80279692342458</v>
      </c>
    </row>
    <row r="739" spans="1:28" x14ac:dyDescent="0.3">
      <c r="A739" s="32">
        <f>VLOOKUP(YEAR(C739),Flags!$A$13:$B$95,2,FALSE)</f>
        <v>4</v>
      </c>
      <c r="B739" s="24">
        <f t="shared" si="1157"/>
        <v>2002</v>
      </c>
      <c r="C739" s="25">
        <v>37529</v>
      </c>
      <c r="D739" s="26"/>
      <c r="E739" s="24"/>
      <c r="F739" s="26"/>
      <c r="G739" s="24"/>
      <c r="H739" s="24"/>
      <c r="I739" s="26"/>
      <c r="J739" s="24"/>
      <c r="K739" s="26">
        <f>VLOOKUP($C739,COS!$B$8:$H$991,2,FALSE)</f>
        <v>2964.52880859375</v>
      </c>
      <c r="L739" s="24">
        <f t="shared" ref="L739" si="1190">IF(AND(K739&gt;$I$7,K739&lt;$I$8),1,0)</f>
        <v>1</v>
      </c>
      <c r="M739" s="24"/>
      <c r="N739" s="26"/>
      <c r="O739" s="26"/>
      <c r="P739" s="26"/>
      <c r="Q739" s="26"/>
      <c r="R739" s="26"/>
      <c r="S739" s="26"/>
      <c r="T739" s="26"/>
      <c r="U739" s="26"/>
      <c r="V739" s="26"/>
      <c r="W739" s="26">
        <f>MAX($C$8-VLOOKUP($C739,COS!$B$8:$H$991,3,FALSE),0)</f>
        <v>95016.09326171875</v>
      </c>
      <c r="X739" s="26">
        <f t="shared" ref="X739:X742" si="1191">W739*DAY($C739)*86400/43560/1000</f>
        <v>5653.8501775568184</v>
      </c>
      <c r="Y739" s="26">
        <f>VLOOKUP($C739,COS!$B$8:$H$991,4,FALSE)</f>
        <v>1150.0072021484375</v>
      </c>
      <c r="Z739" s="26">
        <f t="shared" ref="Z739:Z742" si="1192">Y739*DAY($C739)*86400/43560/1000</f>
        <v>68.430180623708665</v>
      </c>
      <c r="AA739" s="26">
        <f t="shared" si="1188"/>
        <v>1150.0072021484375</v>
      </c>
      <c r="AB739" s="33">
        <f t="shared" si="1160"/>
        <v>68.430180623708665</v>
      </c>
    </row>
    <row r="740" spans="1:28" x14ac:dyDescent="0.3">
      <c r="A740" s="32">
        <f>VLOOKUP(YEAR(C740),Flags!$A$13:$B$95,2,FALSE)</f>
        <v>4</v>
      </c>
      <c r="B740" s="24">
        <f t="shared" si="1157"/>
        <v>2002</v>
      </c>
      <c r="C740" s="25">
        <v>37560</v>
      </c>
      <c r="D740" s="26"/>
      <c r="E740" s="24"/>
      <c r="F740" s="26"/>
      <c r="G740" s="26"/>
      <c r="H740" s="26"/>
      <c r="I740" s="26"/>
      <c r="J740" s="26"/>
      <c r="K740" s="26"/>
      <c r="L740" s="24"/>
      <c r="M740" s="24"/>
      <c r="N740" s="26"/>
      <c r="O740" s="26"/>
      <c r="P740" s="26"/>
      <c r="Q740" s="26"/>
      <c r="R740" s="26"/>
      <c r="S740" s="26"/>
      <c r="T740" s="26"/>
      <c r="U740" s="26"/>
      <c r="V740" s="26"/>
      <c r="W740" s="26">
        <f>MAX($C$9-VLOOKUP($C740,COS!$B$8:$H$991,3,FALSE),0)</f>
        <v>92889.2216796875</v>
      </c>
      <c r="X740" s="26">
        <f t="shared" si="1191"/>
        <v>5711.53561402376</v>
      </c>
      <c r="Y740" s="26">
        <f>VLOOKUP($C740,COS!$B$8:$H$991,4,FALSE)</f>
        <v>1966.750244140625</v>
      </c>
      <c r="Z740" s="26">
        <f t="shared" si="1192"/>
        <v>120.93075881327479</v>
      </c>
      <c r="AA740" s="26">
        <f t="shared" si="1188"/>
        <v>1966.750244140625</v>
      </c>
      <c r="AB740" s="33">
        <f t="shared" si="1160"/>
        <v>120.93075881327479</v>
      </c>
    </row>
    <row r="741" spans="1:28" x14ac:dyDescent="0.3">
      <c r="A741" s="32">
        <f>VLOOKUP(YEAR(C741),Flags!$A$13:$B$95,2,FALSE)</f>
        <v>4</v>
      </c>
      <c r="B741" s="24">
        <f t="shared" si="1157"/>
        <v>2002</v>
      </c>
      <c r="C741" s="25">
        <v>37590</v>
      </c>
      <c r="D741" s="26"/>
      <c r="E741" s="24"/>
      <c r="F741" s="26"/>
      <c r="G741" s="26"/>
      <c r="H741" s="26"/>
      <c r="I741" s="26"/>
      <c r="J741" s="26"/>
      <c r="K741" s="26"/>
      <c r="L741" s="24"/>
      <c r="M741" s="24"/>
      <c r="N741" s="26"/>
      <c r="O741" s="26"/>
      <c r="P741" s="26"/>
      <c r="Q741" s="26"/>
      <c r="R741" s="26"/>
      <c r="S741" s="26"/>
      <c r="T741" s="26"/>
      <c r="U741" s="26"/>
      <c r="V741" s="26"/>
      <c r="W741" s="26">
        <f>MAX($C$10-VLOOKUP($C741,COS!$B$8:$H$991,3,FALSE),0)</f>
        <v>93899.3330078125</v>
      </c>
      <c r="X741" s="26">
        <f t="shared" si="1191"/>
        <v>5587.3983277376037</v>
      </c>
      <c r="Y741" s="26">
        <f>VLOOKUP($C741,COS!$B$8:$H$991,4,FALSE)</f>
        <v>797.55865478515625</v>
      </c>
      <c r="Z741" s="26">
        <f t="shared" si="1192"/>
        <v>47.458035656637392</v>
      </c>
      <c r="AA741" s="26">
        <f t="shared" si="1188"/>
        <v>797.55865478515625</v>
      </c>
      <c r="AB741" s="33">
        <f t="shared" si="1160"/>
        <v>47.458035656637392</v>
      </c>
    </row>
    <row r="742" spans="1:28" x14ac:dyDescent="0.3">
      <c r="A742" s="34">
        <f>VLOOKUP(YEAR(C742),Flags!$A$13:$B$95,2,FALSE)</f>
        <v>4</v>
      </c>
      <c r="B742" s="35">
        <f t="shared" si="1157"/>
        <v>2002</v>
      </c>
      <c r="C742" s="36">
        <v>37621</v>
      </c>
      <c r="D742" s="37"/>
      <c r="E742" s="35"/>
      <c r="F742" s="37"/>
      <c r="G742" s="37"/>
      <c r="H742" s="37"/>
      <c r="I742" s="37"/>
      <c r="J742" s="37"/>
      <c r="K742" s="37"/>
      <c r="L742" s="35"/>
      <c r="M742" s="35"/>
      <c r="N742" s="37"/>
      <c r="O742" s="37"/>
      <c r="P742" s="37"/>
      <c r="Q742" s="37"/>
      <c r="R742" s="37"/>
      <c r="S742" s="37"/>
      <c r="T742" s="37"/>
      <c r="U742" s="37"/>
      <c r="V742" s="37"/>
      <c r="W742" s="37">
        <f>MAX($C$11-VLOOKUP($C742,COS!$B$8:$H$991,3,FALSE),0)</f>
        <v>88347.90234375</v>
      </c>
      <c r="X742" s="37">
        <f t="shared" si="1191"/>
        <v>5432.3007722107441</v>
      </c>
      <c r="Y742" s="37">
        <f>VLOOKUP($C742,COS!$B$8:$H$991,4,FALSE)</f>
        <v>0</v>
      </c>
      <c r="Z742" s="37">
        <f t="shared" si="1192"/>
        <v>0</v>
      </c>
      <c r="AA742" s="37">
        <f t="shared" si="1188"/>
        <v>0</v>
      </c>
      <c r="AB742" s="38">
        <f t="shared" si="1160"/>
        <v>0</v>
      </c>
    </row>
  </sheetData>
  <mergeCells count="20">
    <mergeCell ref="P12:Q12"/>
    <mergeCell ref="R12:S12"/>
    <mergeCell ref="A2:A11"/>
    <mergeCell ref="B2:C2"/>
    <mergeCell ref="E2:F2"/>
    <mergeCell ref="H2:I2"/>
    <mergeCell ref="K2:M2"/>
    <mergeCell ref="O2:P2"/>
    <mergeCell ref="D12:E12"/>
    <mergeCell ref="F12:G12"/>
    <mergeCell ref="H12:J12"/>
    <mergeCell ref="K12:L12"/>
    <mergeCell ref="N12:O12"/>
    <mergeCell ref="W12:X12"/>
    <mergeCell ref="Y12:Z12"/>
    <mergeCell ref="AA12:AB12"/>
    <mergeCell ref="AN14:AO14"/>
    <mergeCell ref="R2:S2"/>
    <mergeCell ref="U2:V2"/>
    <mergeCell ref="X2:Y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Option Button 1">
              <controlPr defaultSize="0" autoFill="0" autoLine="0" autoPict="0">
                <anchor moveWithCells="1">
                  <from>
                    <xdr:col>25</xdr:col>
                    <xdr:colOff>792480</xdr:colOff>
                    <xdr:row>1</xdr:row>
                    <xdr:rowOff>175260</xdr:rowOff>
                  </from>
                  <to>
                    <xdr:col>26</xdr:col>
                    <xdr:colOff>868680</xdr:colOff>
                    <xdr:row>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Option Button 2">
              <controlPr defaultSize="0" autoFill="0" autoLine="0" autoPict="0">
                <anchor moveWithCells="1">
                  <from>
                    <xdr:col>25</xdr:col>
                    <xdr:colOff>800100</xdr:colOff>
                    <xdr:row>2</xdr:row>
                    <xdr:rowOff>175260</xdr:rowOff>
                  </from>
                  <to>
                    <xdr:col>26</xdr:col>
                    <xdr:colOff>876300</xdr:colOff>
                    <xdr:row>4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E48C-9B26-4D63-9D59-B44B94060B10}">
  <dimension ref="A1:AP742"/>
  <sheetViews>
    <sheetView workbookViewId="0">
      <selection activeCell="N17" sqref="N17"/>
    </sheetView>
  </sheetViews>
  <sheetFormatPr defaultRowHeight="14.4" x14ac:dyDescent="0.3"/>
  <cols>
    <col min="1" max="1" width="9.109375" bestFit="1" customWidth="1"/>
    <col min="3" max="3" width="10.5546875" bestFit="1" customWidth="1"/>
    <col min="4" max="4" width="11.77734375" style="6" bestFit="1" customWidth="1"/>
    <col min="5" max="5" width="8" customWidth="1"/>
    <col min="6" max="6" width="8.5546875" bestFit="1" customWidth="1"/>
    <col min="7" max="8" width="8.5546875" customWidth="1"/>
    <col min="9" max="9" width="8.5546875" style="6" customWidth="1"/>
    <col min="10" max="10" width="10.33203125" customWidth="1"/>
    <col min="11" max="11" width="8.5546875" bestFit="1" customWidth="1"/>
    <col min="12" max="13" width="8.5546875" customWidth="1"/>
    <col min="14" max="14" width="11" customWidth="1"/>
    <col min="15" max="15" width="12.6640625" customWidth="1"/>
    <col min="16" max="16" width="10.33203125" customWidth="1"/>
    <col min="17" max="17" width="13.109375" bestFit="1" customWidth="1"/>
    <col min="18" max="21" width="13.109375" customWidth="1"/>
    <col min="22" max="26" width="12.109375" customWidth="1"/>
    <col min="27" max="28" width="13.109375" customWidth="1"/>
    <col min="33" max="33" width="11.44140625" bestFit="1" customWidth="1"/>
    <col min="34" max="34" width="12.109375" bestFit="1" customWidth="1"/>
    <col min="35" max="36" width="12.109375" customWidth="1"/>
    <col min="41" max="41" width="12.109375" bestFit="1" customWidth="1"/>
  </cols>
  <sheetData>
    <row r="1" spans="1:41" x14ac:dyDescent="0.3">
      <c r="D1"/>
      <c r="F1" s="6"/>
      <c r="I1"/>
    </row>
    <row r="2" spans="1:41" ht="14.4" customHeight="1" x14ac:dyDescent="0.3">
      <c r="A2" s="124" t="s">
        <v>45</v>
      </c>
      <c r="B2" s="126" t="s">
        <v>58</v>
      </c>
      <c r="C2" s="127"/>
      <c r="D2"/>
      <c r="E2" s="126" t="s">
        <v>49</v>
      </c>
      <c r="F2" s="127"/>
      <c r="H2" s="126" t="s">
        <v>36</v>
      </c>
      <c r="I2" s="127"/>
      <c r="K2" s="126" t="s">
        <v>88</v>
      </c>
      <c r="L2" s="128"/>
      <c r="M2" s="127"/>
      <c r="N2" s="51"/>
      <c r="O2" s="126" t="s">
        <v>89</v>
      </c>
      <c r="P2" s="127"/>
      <c r="R2" s="122" t="s">
        <v>121</v>
      </c>
      <c r="S2" s="122"/>
      <c r="U2" s="122" t="s">
        <v>129</v>
      </c>
      <c r="V2" s="122"/>
      <c r="X2" s="122" t="s">
        <v>130</v>
      </c>
      <c r="Y2" s="122"/>
      <c r="AA2" s="20" t="s">
        <v>132</v>
      </c>
    </row>
    <row r="3" spans="1:41" x14ac:dyDescent="0.3">
      <c r="A3" s="124"/>
      <c r="B3" s="21" t="s">
        <v>46</v>
      </c>
      <c r="C3" s="22">
        <v>6000</v>
      </c>
      <c r="D3" t="s">
        <v>71</v>
      </c>
      <c r="E3" s="48" t="s">
        <v>46</v>
      </c>
      <c r="F3" s="20">
        <v>99999</v>
      </c>
      <c r="G3" t="s">
        <v>67</v>
      </c>
      <c r="H3" s="21" t="s">
        <v>46</v>
      </c>
      <c r="I3" s="20">
        <v>99999</v>
      </c>
      <c r="J3" t="s">
        <v>67</v>
      </c>
      <c r="K3" s="20" t="s">
        <v>30</v>
      </c>
      <c r="L3" s="20">
        <v>1</v>
      </c>
      <c r="M3" s="20">
        <v>0</v>
      </c>
      <c r="N3" s="52"/>
      <c r="O3" s="48" t="s">
        <v>62</v>
      </c>
      <c r="P3" s="20">
        <v>1</v>
      </c>
      <c r="R3" s="21" t="s">
        <v>46</v>
      </c>
      <c r="S3" s="20">
        <v>1500</v>
      </c>
      <c r="U3" s="21" t="s">
        <v>46</v>
      </c>
      <c r="V3" s="20">
        <v>3250</v>
      </c>
      <c r="X3" s="21" t="s">
        <v>46</v>
      </c>
      <c r="Y3" s="20">
        <v>4000</v>
      </c>
      <c r="AA3" s="90">
        <v>2</v>
      </c>
    </row>
    <row r="4" spans="1:41" ht="14.4" customHeight="1" x14ac:dyDescent="0.3">
      <c r="A4" s="124"/>
      <c r="B4" s="20" t="s">
        <v>37</v>
      </c>
      <c r="C4" s="20">
        <v>6000</v>
      </c>
      <c r="D4" t="s">
        <v>71</v>
      </c>
      <c r="E4" s="49" t="s">
        <v>37</v>
      </c>
      <c r="F4" s="20">
        <v>56</v>
      </c>
      <c r="G4" t="s">
        <v>70</v>
      </c>
      <c r="H4" s="20" t="s">
        <v>37</v>
      </c>
      <c r="I4" s="20">
        <v>99999</v>
      </c>
      <c r="J4" t="s">
        <v>67</v>
      </c>
      <c r="K4" s="20" t="s">
        <v>42</v>
      </c>
      <c r="L4" s="20">
        <v>2</v>
      </c>
      <c r="M4" s="20">
        <v>0</v>
      </c>
      <c r="N4" s="52"/>
      <c r="O4" s="48" t="s">
        <v>63</v>
      </c>
      <c r="P4" s="20">
        <v>1</v>
      </c>
      <c r="R4" s="20" t="s">
        <v>37</v>
      </c>
      <c r="S4" s="20">
        <v>1500</v>
      </c>
      <c r="U4" s="20" t="s">
        <v>37</v>
      </c>
      <c r="V4" s="20">
        <v>3250</v>
      </c>
      <c r="X4" s="20" t="s">
        <v>37</v>
      </c>
      <c r="Y4" s="20">
        <v>4000</v>
      </c>
      <c r="AA4" s="20"/>
    </row>
    <row r="5" spans="1:41" x14ac:dyDescent="0.3">
      <c r="A5" s="124"/>
      <c r="B5" s="20" t="s">
        <v>38</v>
      </c>
      <c r="C5" s="20">
        <v>10000</v>
      </c>
      <c r="D5" t="s">
        <v>71</v>
      </c>
      <c r="E5" s="49" t="s">
        <v>38</v>
      </c>
      <c r="F5" s="20">
        <v>56</v>
      </c>
      <c r="G5" t="s">
        <v>70</v>
      </c>
      <c r="H5" s="20" t="s">
        <v>38</v>
      </c>
      <c r="I5" s="20">
        <v>99999</v>
      </c>
      <c r="J5" t="s">
        <v>67</v>
      </c>
      <c r="K5" s="20" t="s">
        <v>32</v>
      </c>
      <c r="L5" s="20">
        <v>3</v>
      </c>
      <c r="M5" s="20">
        <v>0</v>
      </c>
      <c r="N5" s="52"/>
      <c r="O5" s="48" t="s">
        <v>64</v>
      </c>
      <c r="P5" s="20">
        <v>1</v>
      </c>
      <c r="R5" s="20" t="s">
        <v>38</v>
      </c>
      <c r="S5" s="20">
        <v>1500</v>
      </c>
      <c r="U5" s="20" t="s">
        <v>38</v>
      </c>
      <c r="V5" s="20">
        <v>3250</v>
      </c>
      <c r="X5" s="20" t="s">
        <v>38</v>
      </c>
      <c r="Y5" s="20">
        <v>4000</v>
      </c>
    </row>
    <row r="6" spans="1:41" x14ac:dyDescent="0.3">
      <c r="A6" s="124"/>
      <c r="B6" s="20" t="s">
        <v>39</v>
      </c>
      <c r="C6" s="20">
        <v>12000</v>
      </c>
      <c r="D6" t="s">
        <v>71</v>
      </c>
      <c r="E6" s="49" t="s">
        <v>39</v>
      </c>
      <c r="F6" s="20">
        <v>53.5</v>
      </c>
      <c r="G6" t="s">
        <v>69</v>
      </c>
      <c r="H6" s="20" t="s">
        <v>39</v>
      </c>
      <c r="I6" s="20">
        <v>99999</v>
      </c>
      <c r="J6" t="s">
        <v>67</v>
      </c>
      <c r="K6" s="20" t="s">
        <v>33</v>
      </c>
      <c r="L6" s="20">
        <v>4</v>
      </c>
      <c r="M6" s="20">
        <v>1</v>
      </c>
      <c r="N6" s="52"/>
      <c r="O6" s="48" t="s">
        <v>65</v>
      </c>
      <c r="P6" s="20">
        <v>1</v>
      </c>
      <c r="R6" s="20" t="s">
        <v>39</v>
      </c>
      <c r="S6" s="20">
        <v>1500</v>
      </c>
      <c r="U6" s="20" t="s">
        <v>39</v>
      </c>
      <c r="V6" s="20">
        <v>3250</v>
      </c>
      <c r="X6" s="20" t="s">
        <v>39</v>
      </c>
      <c r="Y6" s="20">
        <v>4000</v>
      </c>
    </row>
    <row r="7" spans="1:41" x14ac:dyDescent="0.3">
      <c r="A7" s="124"/>
      <c r="B7" s="47" t="s">
        <v>62</v>
      </c>
      <c r="C7" s="47">
        <v>12000</v>
      </c>
      <c r="D7" t="s">
        <v>72</v>
      </c>
      <c r="E7" s="6"/>
      <c r="H7" s="20" t="s">
        <v>136</v>
      </c>
      <c r="I7" s="20">
        <v>0</v>
      </c>
      <c r="J7" t="s">
        <v>68</v>
      </c>
      <c r="K7" s="20" t="s">
        <v>10</v>
      </c>
      <c r="L7" s="20">
        <v>5</v>
      </c>
      <c r="M7" s="20">
        <v>1</v>
      </c>
      <c r="N7" s="52"/>
      <c r="O7" s="48" t="s">
        <v>66</v>
      </c>
      <c r="P7" s="20">
        <v>1</v>
      </c>
    </row>
    <row r="8" spans="1:41" x14ac:dyDescent="0.3">
      <c r="A8" s="124"/>
      <c r="B8" s="47" t="s">
        <v>63</v>
      </c>
      <c r="C8" s="47">
        <v>6000</v>
      </c>
      <c r="D8" t="s">
        <v>72</v>
      </c>
      <c r="E8" s="6"/>
      <c r="H8" s="20" t="s">
        <v>137</v>
      </c>
      <c r="I8" s="20">
        <v>99999</v>
      </c>
    </row>
    <row r="9" spans="1:41" x14ac:dyDescent="0.3">
      <c r="A9" s="124"/>
      <c r="B9" s="47" t="s">
        <v>64</v>
      </c>
      <c r="C9" s="47">
        <v>5000</v>
      </c>
      <c r="D9" t="s">
        <v>72</v>
      </c>
      <c r="E9" s="6"/>
      <c r="H9" s="46"/>
      <c r="I9" s="46"/>
    </row>
    <row r="10" spans="1:41" x14ac:dyDescent="0.3">
      <c r="A10" s="124"/>
      <c r="B10" s="47" t="s">
        <v>65</v>
      </c>
      <c r="C10" s="47">
        <v>5000</v>
      </c>
      <c r="D10" t="s">
        <v>73</v>
      </c>
      <c r="E10" s="6"/>
      <c r="H10" s="46"/>
      <c r="I10" s="46"/>
    </row>
    <row r="11" spans="1:41" x14ac:dyDescent="0.3">
      <c r="A11" s="125"/>
      <c r="B11" s="47" t="s">
        <v>66</v>
      </c>
      <c r="C11" s="47">
        <v>5000</v>
      </c>
      <c r="D11" t="s">
        <v>73</v>
      </c>
      <c r="E11" s="6"/>
      <c r="I11"/>
      <c r="AF11" t="s">
        <v>83</v>
      </c>
      <c r="AG11" t="s">
        <v>83</v>
      </c>
      <c r="AH11" t="s">
        <v>83</v>
      </c>
      <c r="AI11" t="s">
        <v>84</v>
      </c>
      <c r="AJ11" t="s">
        <v>84</v>
      </c>
      <c r="AK11" t="s">
        <v>84</v>
      </c>
      <c r="AL11" t="s">
        <v>85</v>
      </c>
    </row>
    <row r="12" spans="1:41" s="23" customFormat="1" ht="28.8" x14ac:dyDescent="0.3">
      <c r="A12" s="80"/>
      <c r="B12" s="81"/>
      <c r="C12" s="81"/>
      <c r="D12" s="129" t="s">
        <v>34</v>
      </c>
      <c r="E12" s="129"/>
      <c r="F12" s="123" t="s">
        <v>49</v>
      </c>
      <c r="G12" s="123"/>
      <c r="H12" s="123" t="s">
        <v>76</v>
      </c>
      <c r="I12" s="123"/>
      <c r="J12" s="123"/>
      <c r="K12" s="123" t="s">
        <v>36</v>
      </c>
      <c r="L12" s="123"/>
      <c r="M12" s="83" t="s">
        <v>88</v>
      </c>
      <c r="N12" s="130" t="s">
        <v>47</v>
      </c>
      <c r="O12" s="130"/>
      <c r="P12" s="123" t="s">
        <v>48</v>
      </c>
      <c r="Q12" s="123"/>
      <c r="R12" s="123" t="s">
        <v>131</v>
      </c>
      <c r="S12" s="123"/>
      <c r="T12" s="83" t="s">
        <v>122</v>
      </c>
      <c r="U12" s="83" t="s">
        <v>126</v>
      </c>
      <c r="V12" s="83" t="s">
        <v>61</v>
      </c>
      <c r="W12" s="116" t="s">
        <v>74</v>
      </c>
      <c r="X12" s="117"/>
      <c r="Y12" s="118" t="s">
        <v>35</v>
      </c>
      <c r="Z12" s="119"/>
      <c r="AA12" s="120" t="s">
        <v>75</v>
      </c>
      <c r="AB12" s="118"/>
      <c r="AC12" s="19"/>
      <c r="AF12" s="23">
        <v>1</v>
      </c>
      <c r="AG12" s="23">
        <v>2</v>
      </c>
      <c r="AH12" s="23" t="s">
        <v>80</v>
      </c>
      <c r="AI12" s="23">
        <v>3</v>
      </c>
      <c r="AJ12" s="23">
        <v>4</v>
      </c>
      <c r="AK12" s="23" t="s">
        <v>81</v>
      </c>
      <c r="AL12" s="50" t="s">
        <v>82</v>
      </c>
    </row>
    <row r="13" spans="1:41" s="84" customFormat="1" ht="28.8" x14ac:dyDescent="0.3">
      <c r="A13" s="39" t="s">
        <v>44</v>
      </c>
      <c r="B13" s="40"/>
      <c r="C13" s="40"/>
      <c r="D13" s="41" t="s">
        <v>18</v>
      </c>
      <c r="E13" s="40" t="s">
        <v>59</v>
      </c>
      <c r="F13" s="40" t="s">
        <v>15</v>
      </c>
      <c r="G13" s="40" t="s">
        <v>59</v>
      </c>
      <c r="H13" s="40" t="s">
        <v>18</v>
      </c>
      <c r="I13" s="41" t="s">
        <v>2</v>
      </c>
      <c r="J13" s="41" t="s">
        <v>59</v>
      </c>
      <c r="K13" s="40" t="s">
        <v>2</v>
      </c>
      <c r="L13" s="40" t="s">
        <v>59</v>
      </c>
      <c r="M13" s="40" t="s">
        <v>59</v>
      </c>
      <c r="N13" s="40" t="s">
        <v>18</v>
      </c>
      <c r="O13" s="40" t="s">
        <v>2</v>
      </c>
      <c r="P13" s="40" t="s">
        <v>18</v>
      </c>
      <c r="Q13" s="40" t="s">
        <v>2</v>
      </c>
      <c r="R13" s="40" t="s">
        <v>18</v>
      </c>
      <c r="S13" s="40" t="s">
        <v>2</v>
      </c>
      <c r="T13" s="40" t="s">
        <v>2</v>
      </c>
      <c r="U13" s="40"/>
      <c r="V13" s="40" t="s">
        <v>2</v>
      </c>
      <c r="W13" s="40" t="s">
        <v>18</v>
      </c>
      <c r="X13" s="40" t="s">
        <v>2</v>
      </c>
      <c r="Y13" s="40" t="s">
        <v>18</v>
      </c>
      <c r="Z13" s="40" t="s">
        <v>2</v>
      </c>
      <c r="AA13" s="40" t="s">
        <v>18</v>
      </c>
      <c r="AB13" s="42" t="s">
        <v>2</v>
      </c>
      <c r="AD13" s="82"/>
      <c r="AE13" s="82" t="s">
        <v>40</v>
      </c>
      <c r="AF13" s="82" t="s">
        <v>77</v>
      </c>
      <c r="AG13" s="82" t="s">
        <v>79</v>
      </c>
      <c r="AH13" s="82" t="s">
        <v>61</v>
      </c>
      <c r="AI13" s="82" t="s">
        <v>78</v>
      </c>
      <c r="AJ13" s="82" t="s">
        <v>35</v>
      </c>
      <c r="AK13" s="82" t="s">
        <v>75</v>
      </c>
      <c r="AL13" s="82" t="s">
        <v>60</v>
      </c>
    </row>
    <row r="14" spans="1:41" x14ac:dyDescent="0.3">
      <c r="A14" s="27">
        <f>VLOOKUP(YEAR(C14),Flags!$A$13:$B$95,2,FALSE)</f>
        <v>1</v>
      </c>
      <c r="B14" s="28">
        <f>YEAR(C14)</f>
        <v>1922</v>
      </c>
      <c r="C14" s="29">
        <v>8156</v>
      </c>
      <c r="D14" s="30">
        <f>VLOOKUP($C14,COS!$B$8:$H$991,3,FALSE)</f>
        <v>4490.92138671875</v>
      </c>
      <c r="E14" s="28">
        <f>IF(D14&gt;=IF(MONTH($C14)=4,$C$3,IF(MONTH($C14)=5,$C$4,IF(MONTH($C14)=6,$C$5,IF(MONTH($C14)=7,$C$6,"ERROR")))),1,0)</f>
        <v>0</v>
      </c>
      <c r="F14" s="30">
        <f>VLOOKUP($C14,COS!$B$8:$H$991,7,FALSE)</f>
        <v>53.804779052734375</v>
      </c>
      <c r="G14" s="28">
        <f>IF(F14&lt;=IF(MONTH($C14)=4,$F$3,IF(MONTH($C14)=5,$F$4,IF(MONTH($C14)=6,$F$5,IF(MONTH($C14)=7,$F$6,"ERROR")))),1,0)</f>
        <v>1</v>
      </c>
      <c r="H14" s="30">
        <f>IF(J14=1,D14-$C$3,0)</f>
        <v>0</v>
      </c>
      <c r="I14" s="30">
        <f t="shared" ref="I14:I17" si="0">H14*DAY($C14)*86400/43560/1000</f>
        <v>0</v>
      </c>
      <c r="J14" s="28">
        <f>IF(AND(E14=1,G14=1),1,0)</f>
        <v>0</v>
      </c>
      <c r="K14" s="30">
        <f>VLOOKUP($C14,COS!$B$8:$H$991,2,FALSE)</f>
        <v>4552</v>
      </c>
      <c r="L14" s="28">
        <f>IF(K14&lt;=IF(MONTH($C14)=4,$I$3,IF(MONTH($C14)=5,$I$4,IF(MONTH($C14)=6,$I$5,IF(MONTH($C14)=7,$I$6,"ERROR")))),1,0)</f>
        <v>1</v>
      </c>
      <c r="M14" s="28">
        <f>VLOOKUP($A14,$L$3:$M$7,2,FALSE)</f>
        <v>0</v>
      </c>
      <c r="N14" s="30">
        <f>VLOOKUP($C14,COS!$B$8:$H$991,5,FALSE)</f>
        <v>373.61062622070313</v>
      </c>
      <c r="O14" s="30">
        <f>N14*DAY($C14)*86400/43560/1000</f>
        <v>22.231376105694729</v>
      </c>
      <c r="P14" s="30">
        <f>VLOOKUP($C14,COS!$B$8:$H$991,6,FALSE)</f>
        <v>533.257080078125</v>
      </c>
      <c r="Q14" s="30">
        <f>P14*DAY($C14)*86400/43560/1000</f>
        <v>31.730999806301654</v>
      </c>
      <c r="R14" s="30">
        <f>MIN(IF(MONTH($C14)=4,$S$3,IF(MONTH($C14)=5,$S$4,IF(MONTH($C14)=6,$S$5,IF(MONTH($C14)=7,$S$6,"ERROR")))),MAX(VLOOKUP($C14,COS!$B$8:$K$991,10,FALSE)-IF(MONTH($C14)=4,$Y$3,IF(MONTH($C14)=5,$Y$4,IF(MONTH($C14)=6,$Y$5,IF(MONTH($C14)=7,$Y$6,"ERROR")))),0),MAX(VLOOKUP($C14,COS!$B$8:$K$991,9,FALSE)-IF(MONTH($C14)=4,$V$3,IF(MONTH($C14)=5,$V$4,IF(MONTH($C14)=6,$V$5,IF(MONTH($C14)=7,$V$6,"ERROR"))))-VLOOKUP($C14,COS!$B$8:$K$991,6,FALSE)/2,0))</f>
        <v>1500</v>
      </c>
      <c r="S14" s="30">
        <f>R14*DAY($C14)*86400/43560/1000</f>
        <v>89.256198347107429</v>
      </c>
      <c r="T14" s="30">
        <f>(O14+Q14)/2+S14</f>
        <v>116.23738630310562</v>
      </c>
      <c r="U14" s="30" t="str">
        <f>IF(VLOOKUP($C14,COS!$B$8:$I$991,8,FALSE)=1,"UWFE","IBU")</f>
        <v>UWFE</v>
      </c>
      <c r="V14" s="30">
        <f>MIN(IF(IF($AA$3=2,AND(E14=1,G14=1,L14=1,L19=1,M14=1,U14="IBU"),AND(E14=1,G14=1,L14=1,L19=1,M14=1)),T14,0),I14)</f>
        <v>0</v>
      </c>
      <c r="W14" s="30"/>
      <c r="X14" s="30"/>
      <c r="Y14" s="30"/>
      <c r="Z14" s="30"/>
      <c r="AA14" s="30"/>
      <c r="AB14" s="31"/>
      <c r="AC14" s="6"/>
      <c r="AD14" s="43">
        <v>1922</v>
      </c>
      <c r="AE14" s="1">
        <f>VLOOKUP(AD14,Flags!$A$13:$B$95,2,FALSE)</f>
        <v>1</v>
      </c>
      <c r="AF14" s="43">
        <f>SUMIF($B$14:$B$742,$AD14,$I$14:$I$742)</f>
        <v>375.87902827995867</v>
      </c>
      <c r="AG14" s="43">
        <f>SUMIF($B$14:$B$742,$AD14,$T$14:$T$742)</f>
        <v>704.36979855371897</v>
      </c>
      <c r="AH14" s="43">
        <f>SUMIF($B$14:$B$742,$AD14,$V$14:$V$742)</f>
        <v>0</v>
      </c>
      <c r="AI14" s="43">
        <f>SUMIF($B$14:$B$742,$AD14,$X$14:$X$742)</f>
        <v>208.70850077479338</v>
      </c>
      <c r="AJ14" s="43">
        <f>SUMIF($B$14:$B$742,$AD14,$Z$14:$Z$742)</f>
        <v>131.72308775342202</v>
      </c>
      <c r="AK14" s="43">
        <f t="shared" ref="AK14:AK77" si="1">SUMIF($B$14:$B$742,$AD14,$AB$14:$AB$742)</f>
        <v>24.97447507747934</v>
      </c>
      <c r="AL14" s="43">
        <f>MIN(AH14,AK14)</f>
        <v>0</v>
      </c>
      <c r="AN14" s="121" t="s">
        <v>60</v>
      </c>
      <c r="AO14" s="121"/>
    </row>
    <row r="15" spans="1:41" x14ac:dyDescent="0.3">
      <c r="A15" s="32">
        <f>VLOOKUP(YEAR(C15),Flags!$A$13:$B$95,2,FALSE)</f>
        <v>1</v>
      </c>
      <c r="B15" s="24">
        <f t="shared" ref="B15:B78" si="2">YEAR(C15)</f>
        <v>1922</v>
      </c>
      <c r="C15" s="25">
        <v>8187</v>
      </c>
      <c r="D15" s="26">
        <f>VLOOKUP($C15,COS!$B$8:$H$991,3,FALSE)</f>
        <v>11232.6396484375</v>
      </c>
      <c r="E15" s="24">
        <f>IF(D15&gt;=IF(MONTH($C15)=4,$C$3,IF(MONTH($C15)=5,$C$4,IF(MONTH($C15)=6,$C$5,IF(MONTH($C15)=7,$C$6,"ERROR")))),1,0)</f>
        <v>1</v>
      </c>
      <c r="F15" s="26">
        <f>VLOOKUP($C15,COS!$B$8:$H$991,7,FALSE)</f>
        <v>55.40838623046875</v>
      </c>
      <c r="G15" s="24">
        <f>IF(F15&lt;=IF(MONTH($C15)=4,$F$3,IF(MONTH($C15)=5,$F$4,IF(MONTH($C15)=6,$F$5,IF(MONTH($C15)=7,$F$6,"ERROR")))),1,0)</f>
        <v>1</v>
      </c>
      <c r="H15" s="26">
        <f>IF(J15=1,D15-$C$4,0)</f>
        <v>5232.6396484375</v>
      </c>
      <c r="I15" s="26">
        <f t="shared" si="0"/>
        <v>321.74247094524793</v>
      </c>
      <c r="J15" s="24">
        <f t="shared" ref="J15:J17" si="3">IF(AND(E15=1,G15=1),1,0)</f>
        <v>1</v>
      </c>
      <c r="K15" s="26">
        <f>VLOOKUP($C15,COS!$B$8:$H$991,2,FALSE)</f>
        <v>4552</v>
      </c>
      <c r="L15" s="24">
        <f t="shared" ref="L15:L17" si="4">IF(K15&lt;=IF(MONTH($C15)=4,$I$3,IF(MONTH($C15)=5,$I$4,IF(MONTH($C15)=6,$I$5,IF(MONTH($C15)=7,$I$6,"ERROR")))),1,0)</f>
        <v>1</v>
      </c>
      <c r="M15" s="24">
        <f t="shared" ref="M15:M17" si="5">VLOOKUP($A15,$L$3:$M$7,2,FALSE)</f>
        <v>0</v>
      </c>
      <c r="N15" s="26">
        <f>VLOOKUP($C15,COS!$B$8:$H$991,5,FALSE)</f>
        <v>868.27056884765625</v>
      </c>
      <c r="O15" s="26">
        <f>N15*DAY($C15)*86400/43560/1000</f>
        <v>53.387876299393078</v>
      </c>
      <c r="P15" s="26">
        <f>VLOOKUP($C15,COS!$B$8:$H$991,6,FALSE)</f>
        <v>2241.916259765625</v>
      </c>
      <c r="Q15" s="26">
        <f>P15*DAY($C15)*86400/43560/1000</f>
        <v>137.85005762525824</v>
      </c>
      <c r="R15" s="26">
        <f>MIN(IF(MONTH($C15)=4,$S$3,IF(MONTH($C15)=5,$S$4,IF(MONTH($C15)=6,$S$5,IF(MONTH($C15)=7,$S$6,"ERROR")))),MAX(VLOOKUP($C15,COS!$B$8:$K$991,10,FALSE)-IF(MONTH($C15)=4,$Y$3,IF(MONTH($C15)=5,$Y$4,IF(MONTH($C15)=6,$Y$5,IF(MONTH($C15)=7,$Y$6,"ERROR")))),0),MAX(VLOOKUP($C15,COS!$B$8:$K$991,9,FALSE)-IF(MONTH($C15)=4,$V$3,IF(MONTH($C15)=5,$V$4,IF(MONTH($C15)=6,$V$5,IF(MONTH($C15)=7,$V$6,"ERROR"))))-VLOOKUP($C15,COS!$B$8:$K$991,6,FALSE)/2,0))</f>
        <v>1500</v>
      </c>
      <c r="S15" s="26">
        <f>R15*DAY($C15)*86400/43560/1000</f>
        <v>92.231404958677686</v>
      </c>
      <c r="T15" s="26">
        <f>(O15+Q15)/2+S15</f>
        <v>187.85037192100333</v>
      </c>
      <c r="U15" s="26" t="str">
        <f>IF(VLOOKUP($C15,COS!$B$8:$I$991,8,FALSE)=1,"UWFE","IBU")</f>
        <v>UWFE</v>
      </c>
      <c r="V15" s="26">
        <f>MIN(IF(IF($AA$3=2,AND(E15=1,G15=1,L15=1,L19=1,M15=1,U15="IBU"),AND(E15=1,G15=1,L15=1,L19=1,M15=1)),T15,0),I15)</f>
        <v>0</v>
      </c>
      <c r="W15" s="26"/>
      <c r="X15" s="26"/>
      <c r="Y15" s="26"/>
      <c r="Z15" s="26"/>
      <c r="AA15" s="26"/>
      <c r="AB15" s="33"/>
      <c r="AC15" s="6"/>
      <c r="AD15" s="43">
        <v>1923</v>
      </c>
      <c r="AE15" s="1">
        <f>VLOOKUP(AD15,Flags!$A$13:$B$95,2,FALSE)</f>
        <v>3</v>
      </c>
      <c r="AF15" s="43">
        <f t="shared" ref="AF15:AF78" si="6">SUMIF($B$14:$B$742,$AD15,$I$14:$I$742)</f>
        <v>198.67443246384298</v>
      </c>
      <c r="AG15" s="43">
        <f t="shared" ref="AG15:AG78" si="7">SUMIF($B$14:$B$742,$AD15,$T$14:$T$742)</f>
        <v>652.53447745835479</v>
      </c>
      <c r="AH15" s="43">
        <f t="shared" ref="AH15:AH78" si="8">SUMIF($B$14:$B$742,$AD15,$V$14:$V$742)</f>
        <v>0</v>
      </c>
      <c r="AI15" s="43">
        <f t="shared" ref="AI15:AI78" si="9">SUMIF($B$14:$B$742,$AD15,$X$14:$X$742)</f>
        <v>308.10129874741733</v>
      </c>
      <c r="AJ15" s="43">
        <f t="shared" ref="AJ15:AJ78" si="10">SUMIF($B$14:$B$742,$AD15,$Z$14:$Z$742)</f>
        <v>218.30497927831226</v>
      </c>
      <c r="AK15" s="43">
        <f t="shared" si="1"/>
        <v>44.252127836873711</v>
      </c>
      <c r="AL15" s="43">
        <f t="shared" ref="AL15:AL78" si="11">MIN(AH15,AK15)</f>
        <v>0</v>
      </c>
      <c r="AN15" s="1" t="s">
        <v>41</v>
      </c>
      <c r="AO15" s="43">
        <f>AVERAGE($AL$14:$AL$94)</f>
        <v>48.054827981930757</v>
      </c>
    </row>
    <row r="16" spans="1:41" x14ac:dyDescent="0.3">
      <c r="A16" s="32">
        <f>VLOOKUP(YEAR(C16),Flags!$A$13:$B$95,2,FALSE)</f>
        <v>1</v>
      </c>
      <c r="B16" s="24">
        <f t="shared" si="2"/>
        <v>1922</v>
      </c>
      <c r="C16" s="25">
        <v>8217</v>
      </c>
      <c r="D16" s="26">
        <f>VLOOKUP($C16,COS!$B$8:$H$991,3,FALSE)</f>
        <v>10909.794921875</v>
      </c>
      <c r="E16" s="24">
        <f>IF(D16&gt;=IF(MONTH($C16)=4,$C$3,IF(MONTH($C16)=5,$C$4,IF(MONTH($C16)=6,$C$5,IF(MONTH($C16)=7,$C$6,"ERROR")))),1,0)</f>
        <v>1</v>
      </c>
      <c r="F16" s="26">
        <f>VLOOKUP($C16,COS!$B$8:$H$991,7,FALSE)</f>
        <v>53.329750061035156</v>
      </c>
      <c r="G16" s="24">
        <f>IF(F16&lt;=IF(MONTH($C16)=4,$F$3,IF(MONTH($C16)=5,$F$4,IF(MONTH($C16)=6,$F$5,IF(MONTH($C16)=7,$F$6,"ERROR")))),1,0)</f>
        <v>1</v>
      </c>
      <c r="H16" s="26">
        <f>IF(J16=1,D16-$C$5,0)</f>
        <v>909.794921875</v>
      </c>
      <c r="I16" s="26">
        <f t="shared" si="0"/>
        <v>54.136557334710744</v>
      </c>
      <c r="J16" s="24">
        <f t="shared" si="3"/>
        <v>1</v>
      </c>
      <c r="K16" s="26">
        <f>VLOOKUP($C16,COS!$B$8:$H$991,2,FALSE)</f>
        <v>4241.47265625</v>
      </c>
      <c r="L16" s="24">
        <f t="shared" si="4"/>
        <v>1</v>
      </c>
      <c r="M16" s="24">
        <f t="shared" si="5"/>
        <v>0</v>
      </c>
      <c r="N16" s="26">
        <f>VLOOKUP($C16,COS!$B$8:$H$991,5,FALSE)</f>
        <v>1108.1929931640625</v>
      </c>
      <c r="O16" s="26">
        <f>N16*DAY($C16)*86400/43560/1000</f>
        <v>65.942062403150814</v>
      </c>
      <c r="P16" s="26">
        <f>VLOOKUP($C16,COS!$B$8:$H$991,6,FALSE)</f>
        <v>2347.418701171875</v>
      </c>
      <c r="Q16" s="26">
        <f>P16*DAY($C16)*86400/43560/1000</f>
        <v>139.68111279700415</v>
      </c>
      <c r="R16" s="26">
        <f>MIN(IF(MONTH($C16)=4,$S$3,IF(MONTH($C16)=5,$S$4,IF(MONTH($C16)=6,$S$5,IF(MONTH($C16)=7,$S$6,"ERROR")))),MAX(VLOOKUP($C16,COS!$B$8:$K$991,10,FALSE)-IF(MONTH($C16)=4,$Y$3,IF(MONTH($C16)=5,$Y$4,IF(MONTH($C16)=6,$Y$5,IF(MONTH($C16)=7,$Y$6,"ERROR")))),0),MAX(VLOOKUP($C16,COS!$B$8:$K$991,9,FALSE)-IF(MONTH($C16)=4,$V$3,IF(MONTH($C16)=5,$V$4,IF(MONTH($C16)=6,$V$5,IF(MONTH($C16)=7,$V$6,"ERROR"))))-VLOOKUP($C16,COS!$B$8:$K$991,6,FALSE)/2,0))</f>
        <v>1500</v>
      </c>
      <c r="S16" s="26">
        <f>R16*DAY($C16)*86400/43560/1000</f>
        <v>89.256198347107429</v>
      </c>
      <c r="T16" s="26">
        <f t="shared" ref="T16:T17" si="12">(O16+Q16)/2+S16</f>
        <v>192.06778594718492</v>
      </c>
      <c r="U16" s="26" t="str">
        <f>IF(VLOOKUP($C16,COS!$B$8:$I$991,8,FALSE)=1,"UWFE","IBU")</f>
        <v>UWFE</v>
      </c>
      <c r="V16" s="26">
        <f>MIN(IF(IF($AA$3=2,AND(E16=1,G16=1,L16=1,L19=1,M16=1,U16="IBU"),AND(E16=1,G16=1,L16=1,L19=1,M16=1)),T16,0),I16)</f>
        <v>0</v>
      </c>
      <c r="W16" s="26"/>
      <c r="X16" s="26"/>
      <c r="Y16" s="26"/>
      <c r="Z16" s="26"/>
      <c r="AA16" s="26"/>
      <c r="AB16" s="33"/>
      <c r="AC16" s="6"/>
      <c r="AD16" s="43">
        <v>1924</v>
      </c>
      <c r="AE16" s="1">
        <f>VLOOKUP(AD16,Flags!$A$13:$B$95,2,FALSE)</f>
        <v>5</v>
      </c>
      <c r="AF16" s="43">
        <f t="shared" si="6"/>
        <v>161.14381650309917</v>
      </c>
      <c r="AG16" s="43">
        <f t="shared" si="7"/>
        <v>617.91795171059857</v>
      </c>
      <c r="AH16" s="43">
        <f t="shared" si="8"/>
        <v>161.14381650309917</v>
      </c>
      <c r="AI16" s="43">
        <f t="shared" si="9"/>
        <v>509.46418678977273</v>
      </c>
      <c r="AJ16" s="43">
        <f t="shared" si="10"/>
        <v>598.65797722430273</v>
      </c>
      <c r="AK16" s="43">
        <f t="shared" si="1"/>
        <v>394.84584815663743</v>
      </c>
      <c r="AL16" s="43">
        <f t="shared" si="11"/>
        <v>161.14381650309917</v>
      </c>
      <c r="AN16" s="1" t="s">
        <v>43</v>
      </c>
      <c r="AO16" s="43">
        <f>AVERAGEIF(Flags!$G$14:$G$94,1,$AL$14:$AL$94)</f>
        <v>114.86683827549959</v>
      </c>
    </row>
    <row r="17" spans="1:42" x14ac:dyDescent="0.3">
      <c r="A17" s="32">
        <f>VLOOKUP(YEAR(C17),Flags!$A$13:$B$95,2,FALSE)</f>
        <v>1</v>
      </c>
      <c r="B17" s="24">
        <f t="shared" si="2"/>
        <v>1922</v>
      </c>
      <c r="C17" s="25">
        <v>8248</v>
      </c>
      <c r="D17" s="26">
        <f>VLOOKUP($C17,COS!$B$8:$H$991,3,FALSE)</f>
        <v>12170.349609375</v>
      </c>
      <c r="E17" s="24">
        <f>IF(D17&gt;=IF(MONTH($C17)=4,$C$3,IF(MONTH($C17)=5,$C$4,IF(MONTH($C17)=6,$C$5,IF(MONTH($C17)=7,$C$6,"ERROR")))),1,0)</f>
        <v>1</v>
      </c>
      <c r="F17" s="26">
        <f>VLOOKUP($C17,COS!$B$8:$H$991,7,FALSE)</f>
        <v>54.132045745849609</v>
      </c>
      <c r="G17" s="24">
        <f>IF(F17&lt;=IF(MONTH($C17)=4,$F$3,IF(MONTH($C17)=5,$F$4,IF(MONTH($C17)=6,$F$5,IF(MONTH($C17)=7,$F$6,"ERROR")))),1,0)</f>
        <v>0</v>
      </c>
      <c r="H17" s="26">
        <f>IF(J17=1,D17-$C$6,0)</f>
        <v>0</v>
      </c>
      <c r="I17" s="26">
        <f t="shared" si="0"/>
        <v>0</v>
      </c>
      <c r="J17" s="24">
        <f t="shared" si="3"/>
        <v>0</v>
      </c>
      <c r="K17" s="26">
        <f>VLOOKUP($C17,COS!$B$8:$H$991,2,FALSE)</f>
        <v>3788.69091796875</v>
      </c>
      <c r="L17" s="24">
        <f t="shared" si="4"/>
        <v>1</v>
      </c>
      <c r="M17" s="24">
        <f t="shared" si="5"/>
        <v>0</v>
      </c>
      <c r="N17" s="26">
        <f>VLOOKUP($C17,COS!$B$8:$H$991,5,FALSE)</f>
        <v>1209.6676025390625</v>
      </c>
      <c r="O17" s="26">
        <f>N17*DAY($C17)*86400/43560/1000</f>
        <v>74.379561676782032</v>
      </c>
      <c r="P17" s="26">
        <f>VLOOKUP($C17,COS!$B$8:$H$991,6,FALSE)</f>
        <v>2562.892822265625</v>
      </c>
      <c r="Q17" s="26">
        <f>P17*DAY($C17)*86400/43560/1000</f>
        <v>157.58613717071282</v>
      </c>
      <c r="R17" s="26">
        <f>MIN(IF(MONTH($C17)=4,$S$3,IF(MONTH($C17)=5,$S$4,IF(MONTH($C17)=6,$S$5,IF(MONTH($C17)=7,$S$6,"ERROR")))),MAX(VLOOKUP($C17,COS!$B$8:$K$991,10,FALSE)-IF(MONTH($C17)=4,$Y$3,IF(MONTH($C17)=5,$Y$4,IF(MONTH($C17)=6,$Y$5,IF(MONTH($C17)=7,$Y$6,"ERROR")))),0),MAX(VLOOKUP($C17,COS!$B$8:$K$991,9,FALSE)-IF(MONTH($C17)=4,$V$3,IF(MONTH($C17)=5,$V$4,IF(MONTH($C17)=6,$V$5,IF(MONTH($C17)=7,$V$6,"ERROR"))))-VLOOKUP($C17,COS!$B$8:$K$991,6,FALSE)/2,0))</f>
        <v>1500</v>
      </c>
      <c r="S17" s="26">
        <f>R17*DAY($C17)*86400/43560/1000</f>
        <v>92.231404958677686</v>
      </c>
      <c r="T17" s="26">
        <f t="shared" si="12"/>
        <v>208.21425438242511</v>
      </c>
      <c r="U17" s="26" t="str">
        <f>IF(VLOOKUP($C17,COS!$B$8:$I$991,8,FALSE)=1,"UWFE","IBU")</f>
        <v>IBU</v>
      </c>
      <c r="V17" s="26">
        <f>MIN(IF(IF($AA$3=2,AND(E17=1,G17=1,L17=1,L19=1,M17=1,U17="IBU"),AND(E17=1,G17=1,L17=1,L19=1,M17=1)),T17,0),I17)</f>
        <v>0</v>
      </c>
      <c r="W17" s="26"/>
      <c r="X17" s="26"/>
      <c r="Y17" s="26"/>
      <c r="Z17" s="26"/>
      <c r="AA17" s="26"/>
      <c r="AB17" s="33"/>
      <c r="AC17" s="6"/>
      <c r="AD17" s="43">
        <v>1925</v>
      </c>
      <c r="AE17" s="1">
        <f>VLOOKUP(AD17,Flags!$A$13:$B$95,2,FALSE)</f>
        <v>4</v>
      </c>
      <c r="AF17" s="43">
        <f t="shared" si="6"/>
        <v>43.79148308367769</v>
      </c>
      <c r="AG17" s="43">
        <f t="shared" si="7"/>
        <v>654.4869609132877</v>
      </c>
      <c r="AH17" s="43">
        <f t="shared" si="8"/>
        <v>42.764748192148765</v>
      </c>
      <c r="AI17" s="43">
        <f t="shared" si="9"/>
        <v>228.30093120480373</v>
      </c>
      <c r="AJ17" s="43">
        <f t="shared" si="10"/>
        <v>376.96743043001032</v>
      </c>
      <c r="AK17" s="43">
        <f t="shared" si="1"/>
        <v>194.00220485214362</v>
      </c>
      <c r="AL17" s="43">
        <f>MIN(AH17,AK17)</f>
        <v>42.764748192148765</v>
      </c>
      <c r="AN17" s="1" t="s">
        <v>30</v>
      </c>
      <c r="AO17" s="43">
        <f>AVERAGEIF($AE$14:$AE$94,1,$AL$14:$AL$94)</f>
        <v>0</v>
      </c>
    </row>
    <row r="18" spans="1:42" x14ac:dyDescent="0.3">
      <c r="A18" s="32">
        <f>VLOOKUP(YEAR(C18),Flags!$A$13:$B$95,2,FALSE)</f>
        <v>1</v>
      </c>
      <c r="B18" s="24">
        <f t="shared" si="2"/>
        <v>1922</v>
      </c>
      <c r="C18" s="25">
        <v>8279</v>
      </c>
      <c r="D18" s="26"/>
      <c r="E18" s="24"/>
      <c r="F18" s="26"/>
      <c r="G18" s="24"/>
      <c r="H18" s="24"/>
      <c r="I18" s="26"/>
      <c r="J18" s="24"/>
      <c r="K18" s="26"/>
      <c r="L18" s="24"/>
      <c r="M18" s="24"/>
      <c r="N18" s="26"/>
      <c r="O18" s="26"/>
      <c r="P18" s="26"/>
      <c r="Q18" s="26"/>
      <c r="R18" s="26"/>
      <c r="S18" s="26"/>
      <c r="T18" s="26"/>
      <c r="U18" s="26"/>
      <c r="V18" s="26"/>
      <c r="W18" s="26">
        <f>MAX($C$7-VLOOKUP($C18,COS!$B$8:$H$991,3,FALSE),0)</f>
        <v>1238.1474609375</v>
      </c>
      <c r="X18" s="26">
        <f t="shared" ref="X18:X22" si="13">W18*DAY($C18)*86400/43560/1000</f>
        <v>76.130719912190074</v>
      </c>
      <c r="Y18" s="26">
        <f>VLOOKUP($C18,COS!$B$8:$H$991,4,FALSE)</f>
        <v>0</v>
      </c>
      <c r="Z18" s="26">
        <f t="shared" ref="Z18:Z22" si="14">Y18*DAY($C18)*86400/43560/1000</f>
        <v>0</v>
      </c>
      <c r="AA18" s="26">
        <f>MIN(W18,Y18)</f>
        <v>0</v>
      </c>
      <c r="AB18" s="33">
        <f>AA18*DAY($C18)*86400/43560/1000*IF(MONTH($C18)=8,$P$3,IF(MONTH($C18)=9,$P$4,IF(MONTH($C18)=10,$P$5,IF(MONTH($C18)=11,$P$6,IF(MONTH($C18)=12,$P$7,NA())))))</f>
        <v>0</v>
      </c>
      <c r="AC18" s="6"/>
      <c r="AD18" s="43">
        <v>1926</v>
      </c>
      <c r="AE18" s="1">
        <f>VLOOKUP(AD18,Flags!$A$13:$B$95,2,FALSE)</f>
        <v>4</v>
      </c>
      <c r="AF18" s="43">
        <f t="shared" si="6"/>
        <v>194.10762009297522</v>
      </c>
      <c r="AG18" s="43">
        <f t="shared" si="7"/>
        <v>628.74933393746369</v>
      </c>
      <c r="AH18" s="43">
        <f t="shared" si="8"/>
        <v>173.3633407870206</v>
      </c>
      <c r="AI18" s="43">
        <f t="shared" si="9"/>
        <v>529.45677040289252</v>
      </c>
      <c r="AJ18" s="43">
        <f t="shared" si="10"/>
        <v>222.87584847946798</v>
      </c>
      <c r="AK18" s="43">
        <f t="shared" si="1"/>
        <v>151.4505739927686</v>
      </c>
      <c r="AL18" s="43">
        <f t="shared" si="11"/>
        <v>151.4505739927686</v>
      </c>
      <c r="AN18" s="1" t="s">
        <v>42</v>
      </c>
      <c r="AO18" s="43">
        <f>AVERAGEIF($AE$14:$AE$94,2,$AL$14:$AL$94)</f>
        <v>0</v>
      </c>
    </row>
    <row r="19" spans="1:42" x14ac:dyDescent="0.3">
      <c r="A19" s="32">
        <f>VLOOKUP(YEAR(C19),Flags!$A$13:$B$95,2,FALSE)</f>
        <v>1</v>
      </c>
      <c r="B19" s="24">
        <f t="shared" si="2"/>
        <v>1922</v>
      </c>
      <c r="C19" s="25">
        <v>8309</v>
      </c>
      <c r="D19" s="26"/>
      <c r="E19" s="24"/>
      <c r="F19" s="26"/>
      <c r="G19" s="24"/>
      <c r="H19" s="24"/>
      <c r="I19" s="26"/>
      <c r="J19" s="24"/>
      <c r="K19" s="26">
        <f>VLOOKUP($C19,COS!$B$8:$H$991,2,FALSE)</f>
        <v>2693.51513671875</v>
      </c>
      <c r="L19" s="24">
        <f>IF(AND(K19&gt;$I$7,K19&lt;$I$8),1,0)</f>
        <v>1</v>
      </c>
      <c r="M19" s="24"/>
      <c r="N19" s="26"/>
      <c r="O19" s="26"/>
      <c r="P19" s="26"/>
      <c r="Q19" s="26"/>
      <c r="R19" s="26"/>
      <c r="S19" s="26"/>
      <c r="T19" s="26"/>
      <c r="U19" s="26"/>
      <c r="V19" s="26"/>
      <c r="W19" s="26">
        <f>MAX($C$8-VLOOKUP($C19,COS!$B$8:$H$991,3,FALSE),0)</f>
        <v>0</v>
      </c>
      <c r="X19" s="26">
        <f t="shared" si="13"/>
        <v>0</v>
      </c>
      <c r="Y19" s="26">
        <f>VLOOKUP($C19,COS!$B$8:$H$991,4,FALSE)</f>
        <v>136.41513061523438</v>
      </c>
      <c r="Z19" s="26">
        <f t="shared" si="14"/>
        <v>8.1172639704932852</v>
      </c>
      <c r="AA19" s="26">
        <f t="shared" ref="AA19:AA22" si="15">MIN(W19,Y19)</f>
        <v>0</v>
      </c>
      <c r="AB19" s="33">
        <f t="shared" ref="AB19:AB22" si="16">AA19*DAY($C19)*86400/43560/1000*IF(MONTH($C19)=8,$P$3,IF(MONTH($C19)=9,$P$4,IF(MONTH($C19)=10,$P$5,IF(MONTH($C19)=11,$P$6,IF(MONTH($C19)=12,$P$7,NA())))))</f>
        <v>0</v>
      </c>
      <c r="AC19" s="6"/>
      <c r="AD19" s="43">
        <v>1927</v>
      </c>
      <c r="AE19" s="1">
        <f>VLOOKUP(AD19,Flags!$A$13:$B$95,2,FALSE)</f>
        <v>2</v>
      </c>
      <c r="AF19" s="43">
        <f t="shared" si="6"/>
        <v>577.17067019628098</v>
      </c>
      <c r="AG19" s="43">
        <f t="shared" si="7"/>
        <v>702.40231152747288</v>
      </c>
      <c r="AH19" s="43">
        <f t="shared" si="8"/>
        <v>0</v>
      </c>
      <c r="AI19" s="43">
        <f t="shared" si="9"/>
        <v>137.62503341296488</v>
      </c>
      <c r="AJ19" s="43">
        <f t="shared" si="10"/>
        <v>102.32853633659931</v>
      </c>
      <c r="AK19" s="43">
        <f t="shared" si="1"/>
        <v>8.0681397392336009</v>
      </c>
      <c r="AL19" s="43">
        <f t="shared" si="11"/>
        <v>0</v>
      </c>
      <c r="AN19" s="1" t="s">
        <v>32</v>
      </c>
      <c r="AO19" s="43">
        <f>AVERAGEIF($AE$14:$AE$94,3,$AL$14:$AL$94)</f>
        <v>0</v>
      </c>
    </row>
    <row r="20" spans="1:42" x14ac:dyDescent="0.3">
      <c r="A20" s="32">
        <f>VLOOKUP(YEAR(C20),Flags!$A$13:$B$95,2,FALSE)</f>
        <v>1</v>
      </c>
      <c r="B20" s="24">
        <f t="shared" si="2"/>
        <v>1922</v>
      </c>
      <c r="C20" s="25">
        <v>8340</v>
      </c>
      <c r="D20" s="26"/>
      <c r="E20" s="24"/>
      <c r="F20" s="26"/>
      <c r="G20" s="26"/>
      <c r="H20" s="26"/>
      <c r="I20" s="26"/>
      <c r="J20" s="26"/>
      <c r="K20" s="26"/>
      <c r="L20" s="24"/>
      <c r="M20" s="24"/>
      <c r="N20" s="26"/>
      <c r="O20" s="26"/>
      <c r="P20" s="26"/>
      <c r="Q20" s="26"/>
      <c r="R20" s="26"/>
      <c r="S20" s="26"/>
      <c r="T20" s="26"/>
      <c r="U20" s="26"/>
      <c r="V20" s="26"/>
      <c r="W20" s="26">
        <f>MAX($C$9-VLOOKUP($C20,COS!$B$8:$H$991,3,FALSE),0)</f>
        <v>406.1708984375</v>
      </c>
      <c r="X20" s="26">
        <f t="shared" si="13"/>
        <v>24.97447507747934</v>
      </c>
      <c r="Y20" s="26">
        <f>VLOOKUP($C20,COS!$B$8:$H$991,4,FALSE)</f>
        <v>940.9134521484375</v>
      </c>
      <c r="Z20" s="26">
        <f t="shared" si="14"/>
        <v>57.85451309077996</v>
      </c>
      <c r="AA20" s="26">
        <f t="shared" si="15"/>
        <v>406.1708984375</v>
      </c>
      <c r="AB20" s="33">
        <f t="shared" si="16"/>
        <v>24.97447507747934</v>
      </c>
      <c r="AC20" s="6"/>
      <c r="AD20" s="44">
        <v>1928</v>
      </c>
      <c r="AE20" s="45">
        <f>VLOOKUP(AD20,Flags!$A$13:$B$95,2,FALSE)</f>
        <v>2</v>
      </c>
      <c r="AF20" s="44">
        <f t="shared" si="6"/>
        <v>530.64339456353309</v>
      </c>
      <c r="AG20" s="44">
        <f t="shared" si="7"/>
        <v>653.27225191478885</v>
      </c>
      <c r="AH20" s="44">
        <f t="shared" si="8"/>
        <v>0</v>
      </c>
      <c r="AI20" s="44">
        <f t="shared" si="9"/>
        <v>107.60330578512398</v>
      </c>
      <c r="AJ20" s="44">
        <f t="shared" si="10"/>
        <v>112.69071519394552</v>
      </c>
      <c r="AK20" s="44">
        <f t="shared" si="1"/>
        <v>0</v>
      </c>
      <c r="AL20" s="44">
        <f t="shared" si="11"/>
        <v>0</v>
      </c>
      <c r="AN20" s="1" t="s">
        <v>33</v>
      </c>
      <c r="AO20" s="43">
        <f>AVERAGEIF($AE$14:$AE$94,4,$AL$14:$AL$94)</f>
        <v>142.74297734864291</v>
      </c>
    </row>
    <row r="21" spans="1:42" x14ac:dyDescent="0.3">
      <c r="A21" s="32">
        <f>VLOOKUP(YEAR(C21),Flags!$A$13:$B$95,2,FALSE)</f>
        <v>1</v>
      </c>
      <c r="B21" s="24">
        <f t="shared" si="2"/>
        <v>1922</v>
      </c>
      <c r="C21" s="25">
        <v>8370</v>
      </c>
      <c r="D21" s="26"/>
      <c r="E21" s="24"/>
      <c r="F21" s="26"/>
      <c r="G21" s="26"/>
      <c r="H21" s="26"/>
      <c r="I21" s="26"/>
      <c r="J21" s="26"/>
      <c r="K21" s="26"/>
      <c r="L21" s="24"/>
      <c r="M21" s="24"/>
      <c r="N21" s="26"/>
      <c r="O21" s="26"/>
      <c r="P21" s="26"/>
      <c r="Q21" s="26"/>
      <c r="R21" s="26"/>
      <c r="S21" s="26"/>
      <c r="T21" s="26"/>
      <c r="U21" s="26"/>
      <c r="V21" s="26"/>
      <c r="W21" s="26">
        <f>MAX($C$10-VLOOKUP($C21,COS!$B$8:$H$991,3,FALSE),0)</f>
        <v>0</v>
      </c>
      <c r="X21" s="26">
        <f t="shared" si="13"/>
        <v>0</v>
      </c>
      <c r="Y21" s="26">
        <f>VLOOKUP($C21,COS!$B$8:$H$991,4,FALSE)</f>
        <v>1104.9873046875</v>
      </c>
      <c r="Z21" s="26">
        <f t="shared" si="14"/>
        <v>65.751310692148763</v>
      </c>
      <c r="AA21" s="26">
        <f t="shared" si="15"/>
        <v>0</v>
      </c>
      <c r="AB21" s="33">
        <f t="shared" si="16"/>
        <v>0</v>
      </c>
      <c r="AC21" s="6"/>
      <c r="AD21" s="44">
        <v>1929</v>
      </c>
      <c r="AE21" s="45">
        <f>VLOOKUP(AD21,Flags!$A$13:$B$95,2,FALSE)</f>
        <v>5</v>
      </c>
      <c r="AF21" s="44">
        <f t="shared" si="6"/>
        <v>127.9222265625</v>
      </c>
      <c r="AG21" s="44">
        <f t="shared" si="7"/>
        <v>580.13305915265039</v>
      </c>
      <c r="AH21" s="44">
        <f t="shared" si="8"/>
        <v>127.9222265625</v>
      </c>
      <c r="AI21" s="44">
        <f t="shared" si="9"/>
        <v>444.8070160769629</v>
      </c>
      <c r="AJ21" s="44">
        <f t="shared" si="10"/>
        <v>547.35015011621897</v>
      </c>
      <c r="AK21" s="44">
        <f t="shared" si="1"/>
        <v>342.58238943052686</v>
      </c>
      <c r="AL21" s="44">
        <f t="shared" si="11"/>
        <v>127.9222265625</v>
      </c>
      <c r="AN21" s="1" t="s">
        <v>10</v>
      </c>
      <c r="AO21" s="43">
        <f>AVERAGEIF($AE$14:$AE$94,5,$AL$14:$AL$94)</f>
        <v>86.465126630294421</v>
      </c>
    </row>
    <row r="22" spans="1:42" x14ac:dyDescent="0.3">
      <c r="A22" s="34">
        <f>VLOOKUP(YEAR(C22),Flags!$A$13:$B$95,2,FALSE)</f>
        <v>1</v>
      </c>
      <c r="B22" s="35">
        <f t="shared" si="2"/>
        <v>1922</v>
      </c>
      <c r="C22" s="36">
        <v>8401</v>
      </c>
      <c r="D22" s="37"/>
      <c r="E22" s="35"/>
      <c r="F22" s="37"/>
      <c r="G22" s="37"/>
      <c r="H22" s="37"/>
      <c r="I22" s="37"/>
      <c r="J22" s="37"/>
      <c r="K22" s="37"/>
      <c r="L22" s="35"/>
      <c r="M22" s="35"/>
      <c r="N22" s="37"/>
      <c r="O22" s="37"/>
      <c r="P22" s="37"/>
      <c r="Q22" s="37"/>
      <c r="R22" s="37"/>
      <c r="S22" s="37"/>
      <c r="T22" s="37"/>
      <c r="U22" s="37"/>
      <c r="V22" s="37"/>
      <c r="W22" s="37">
        <f>MAX($C$11-VLOOKUP($C22,COS!$B$8:$H$991,3,FALSE),0)</f>
        <v>1750</v>
      </c>
      <c r="X22" s="37">
        <f t="shared" si="13"/>
        <v>107.60330578512398</v>
      </c>
      <c r="Y22" s="37">
        <f>VLOOKUP($C22,COS!$B$8:$H$991,4,FALSE)</f>
        <v>0</v>
      </c>
      <c r="Z22" s="37">
        <f t="shared" si="14"/>
        <v>0</v>
      </c>
      <c r="AA22" s="37">
        <f t="shared" si="15"/>
        <v>0</v>
      </c>
      <c r="AB22" s="38">
        <f t="shared" si="16"/>
        <v>0</v>
      </c>
      <c r="AC22" s="6"/>
      <c r="AD22" s="44">
        <v>1930</v>
      </c>
      <c r="AE22" s="45">
        <f>VLOOKUP(AD22,Flags!$A$13:$B$95,2,FALSE)</f>
        <v>4</v>
      </c>
      <c r="AF22" s="44">
        <f t="shared" si="6"/>
        <v>0</v>
      </c>
      <c r="AG22" s="44">
        <f t="shared" si="7"/>
        <v>613.88301786690704</v>
      </c>
      <c r="AH22" s="44">
        <f t="shared" si="8"/>
        <v>0</v>
      </c>
      <c r="AI22" s="44">
        <f t="shared" si="9"/>
        <v>575.74670260847108</v>
      </c>
      <c r="AJ22" s="44">
        <f t="shared" si="10"/>
        <v>529.99753042678208</v>
      </c>
      <c r="AK22" s="44">
        <f t="shared" si="1"/>
        <v>406.8180105565599</v>
      </c>
      <c r="AL22" s="44">
        <f t="shared" si="11"/>
        <v>0</v>
      </c>
    </row>
    <row r="23" spans="1:42" x14ac:dyDescent="0.3">
      <c r="A23" s="27">
        <f>VLOOKUP(YEAR(C23),Flags!$A$13:$B$95,2,FALSE)</f>
        <v>3</v>
      </c>
      <c r="B23" s="28">
        <f t="shared" si="2"/>
        <v>1923</v>
      </c>
      <c r="C23" s="29">
        <v>8521</v>
      </c>
      <c r="D23" s="30">
        <f>VLOOKUP($C23,COS!$B$8:$H$991,3,FALSE)</f>
        <v>3250</v>
      </c>
      <c r="E23" s="28">
        <f>IF(D23&gt;=IF(MONTH($C23)=4,$C$3,IF(MONTH($C23)=5,$C$4,IF(MONTH($C23)=6,$C$5,IF(MONTH($C23)=7,$C$6,"ERROR")))),1,0)</f>
        <v>0</v>
      </c>
      <c r="F23" s="30">
        <f>VLOOKUP($C23,COS!$B$8:$H$991,7,FALSE)</f>
        <v>52.349773406982422</v>
      </c>
      <c r="G23" s="28">
        <f>IF(F23&lt;=IF(MONTH($C23)=4,$F$3,IF(MONTH($C23)=5,$F$4,IF(MONTH($C23)=6,$F$5,IF(MONTH($C23)=7,$F$6,"ERROR")))),1,0)</f>
        <v>1</v>
      </c>
      <c r="H23" s="30">
        <f>IF(J23=1,D23-$C$3,0)</f>
        <v>0</v>
      </c>
      <c r="I23" s="30">
        <f t="shared" ref="I23:I86" si="17">H23*DAY($C23)*86400/43560/1000</f>
        <v>0</v>
      </c>
      <c r="J23" s="28">
        <f t="shared" ref="J23:J26" si="18">IF(AND(E23=1,G23=1),1,0)</f>
        <v>0</v>
      </c>
      <c r="K23" s="30">
        <f>VLOOKUP($C23,COS!$B$8:$H$991,2,FALSE)</f>
        <v>3743.0517578125</v>
      </c>
      <c r="L23" s="28">
        <f t="shared" ref="L23:L80" si="19">IF(K23&lt;=IF(MONTH($C23)=4,$I$3,IF(MONTH($C23)=5,$I$4,IF(MONTH($C23)=6,$I$5,IF(MONTH($C23)=7,$I$6,"ERROR")))),1,0)</f>
        <v>1</v>
      </c>
      <c r="M23" s="28">
        <f t="shared" ref="M23:M80" si="20">VLOOKUP($A23,$L$3:$M$7,2,FALSE)</f>
        <v>0</v>
      </c>
      <c r="N23" s="30">
        <f>VLOOKUP($C23,COS!$B$8:$H$991,5,FALSE)</f>
        <v>244.48347473144531</v>
      </c>
      <c r="O23" s="30">
        <f t="shared" ref="O23:O26" si="21">N23*DAY($C23)*86400/43560/1000</f>
        <v>14.547777008813275</v>
      </c>
      <c r="P23" s="30">
        <f>VLOOKUP($C23,COS!$B$8:$H$991,6,FALSE)</f>
        <v>427.781494140625</v>
      </c>
      <c r="Q23" s="30">
        <f t="shared" ref="Q23:Q26" si="22">P23*DAY($C23)*86400/43560/1000</f>
        <v>25.454766593491733</v>
      </c>
      <c r="R23" s="30">
        <f>MIN(IF(MONTH($C23)=4,$S$3,IF(MONTH($C23)=5,$S$4,IF(MONTH($C23)=6,$S$5,IF(MONTH($C23)=7,$S$6,"ERROR")))),MAX(VLOOKUP($C23,COS!$B$8:$K$991,10,FALSE)-IF(MONTH($C23)=4,$Y$3,IF(MONTH($C23)=5,$Y$4,IF(MONTH($C23)=6,$Y$5,IF(MONTH($C23)=7,$Y$6,"ERROR")))),0),MAX(VLOOKUP($C23,COS!$B$8:$K$991,9,FALSE)-IF(MONTH($C23)=4,$V$3,IF(MONTH($C23)=5,$V$4,IF(MONTH($C23)=6,$V$5,IF(MONTH($C23)=7,$V$6,"ERROR"))))-VLOOKUP($C23,COS!$B$8:$K$991,6,FALSE)/2,0))</f>
        <v>1500</v>
      </c>
      <c r="S23" s="30">
        <f t="shared" ref="S23:S26" si="23">R23*DAY($C23)*86400/43560/1000</f>
        <v>89.256198347107429</v>
      </c>
      <c r="T23" s="30">
        <f t="shared" ref="T23:T26" si="24">(O23+Q23)/2+S23</f>
        <v>109.25747014825993</v>
      </c>
      <c r="U23" s="30" t="str">
        <f>IF(VLOOKUP($C23,COS!$B$8:$I$991,8,FALSE)=1,"UWFE","IBU")</f>
        <v>UWFE</v>
      </c>
      <c r="V23" s="30">
        <f t="shared" ref="V23" si="25">MIN(IF(IF($AA$3=2,AND(E23=1,G23=1,L23=1,L28=1,M23=1,U23="IBU"),AND(E23=1,G23=1,L23=1,L28=1,M23=1)),T23,0),I23)</f>
        <v>0</v>
      </c>
      <c r="W23" s="30"/>
      <c r="X23" s="30"/>
      <c r="Y23" s="30"/>
      <c r="Z23" s="30"/>
      <c r="AA23" s="30"/>
      <c r="AB23" s="31"/>
      <c r="AC23" s="6"/>
      <c r="AD23" s="44">
        <v>1931</v>
      </c>
      <c r="AE23" s="45">
        <f>VLOOKUP(AD23,Flags!$A$13:$B$95,2,FALSE)</f>
        <v>5</v>
      </c>
      <c r="AF23" s="44">
        <f t="shared" si="6"/>
        <v>174.23468879132233</v>
      </c>
      <c r="AG23" s="44">
        <f t="shared" si="7"/>
        <v>600.06150887985859</v>
      </c>
      <c r="AH23" s="44">
        <f t="shared" si="8"/>
        <v>174.23468879132233</v>
      </c>
      <c r="AI23" s="44">
        <f t="shared" si="9"/>
        <v>608.122954222624</v>
      </c>
      <c r="AJ23" s="44">
        <f t="shared" si="10"/>
        <v>417.20645168840394</v>
      </c>
      <c r="AK23" s="44">
        <f t="shared" si="1"/>
        <v>318.64129116089873</v>
      </c>
      <c r="AL23" s="44">
        <f t="shared" si="11"/>
        <v>174.23468879132233</v>
      </c>
      <c r="AN23" s="6">
        <f>AO15</f>
        <v>48.054827981930757</v>
      </c>
      <c r="AO23">
        <f t="shared" ref="AO23:AO33" si="26">COUNTIF($AL$14:$AL$94,"&gt;"&amp;AN23)</f>
        <v>20</v>
      </c>
      <c r="AP23">
        <f>AVERAGEIF($AL$14:$AL$94,"&gt;"&amp;AN23)</f>
        <v>189.65152091462949</v>
      </c>
    </row>
    <row r="24" spans="1:42" x14ac:dyDescent="0.3">
      <c r="A24" s="32">
        <f>VLOOKUP(YEAR(C24),Flags!$A$13:$B$95,2,FALSE)</f>
        <v>3</v>
      </c>
      <c r="B24" s="24">
        <f t="shared" si="2"/>
        <v>1923</v>
      </c>
      <c r="C24" s="25">
        <v>8552</v>
      </c>
      <c r="D24" s="26">
        <f>VLOOKUP($C24,COS!$B$8:$H$991,3,FALSE)</f>
        <v>9231.1298828125</v>
      </c>
      <c r="E24" s="24">
        <f>IF(D24&gt;=IF(MONTH($C24)=4,$C$3,IF(MONTH($C24)=5,$C$4,IF(MONTH($C24)=6,$C$5,IF(MONTH($C24)=7,$C$6,"ERROR")))),1,0)</f>
        <v>1</v>
      </c>
      <c r="F24" s="26">
        <f>VLOOKUP($C24,COS!$B$8:$H$991,7,FALSE)</f>
        <v>55.448532104492188</v>
      </c>
      <c r="G24" s="24">
        <f>IF(F24&lt;=IF(MONTH($C24)=4,$F$3,IF(MONTH($C24)=5,$F$4,IF(MONTH($C24)=6,$F$5,IF(MONTH($C24)=7,$F$6,"ERROR")))),1,0)</f>
        <v>1</v>
      </c>
      <c r="H24" s="26">
        <f>IF(J24=1,D24-$C$4,0)</f>
        <v>3231.1298828125</v>
      </c>
      <c r="I24" s="26">
        <f t="shared" si="17"/>
        <v>198.67443246384298</v>
      </c>
      <c r="J24" s="24">
        <f t="shared" si="18"/>
        <v>1</v>
      </c>
      <c r="K24" s="26">
        <f>VLOOKUP($C24,COS!$B$8:$H$991,2,FALSE)</f>
        <v>3524.205322265625</v>
      </c>
      <c r="L24" s="24">
        <f t="shared" si="19"/>
        <v>1</v>
      </c>
      <c r="M24" s="24">
        <f t="shared" si="20"/>
        <v>0</v>
      </c>
      <c r="N24" s="26">
        <f>VLOOKUP($C24,COS!$B$8:$H$991,5,FALSE)</f>
        <v>301.41696166992188</v>
      </c>
      <c r="O24" s="26">
        <f t="shared" si="21"/>
        <v>18.533406568795193</v>
      </c>
      <c r="P24" s="26">
        <f>VLOOKUP($C24,COS!$B$8:$H$991,6,FALSE)</f>
        <v>2265.772216796875</v>
      </c>
      <c r="Q24" s="26">
        <f t="shared" si="22"/>
        <v>139.31690324767561</v>
      </c>
      <c r="R24" s="26">
        <f>MIN(IF(MONTH($C24)=4,$S$3,IF(MONTH($C24)=5,$S$4,IF(MONTH($C24)=6,$S$5,IF(MONTH($C24)=7,$S$6,"ERROR")))),MAX(VLOOKUP($C24,COS!$B$8:$K$991,10,FALSE)-IF(MONTH($C24)=4,$Y$3,IF(MONTH($C24)=5,$Y$4,IF(MONTH($C24)=6,$Y$5,IF(MONTH($C24)=7,$Y$6,"ERROR")))),0),MAX(VLOOKUP($C24,COS!$B$8:$K$991,9,FALSE)-IF(MONTH($C24)=4,$V$3,IF(MONTH($C24)=5,$V$4,IF(MONTH($C24)=6,$V$5,IF(MONTH($C24)=7,$V$6,"ERROR"))))-VLOOKUP($C24,COS!$B$8:$K$991,6,FALSE)/2,0))</f>
        <v>1500</v>
      </c>
      <c r="S24" s="26">
        <f t="shared" si="23"/>
        <v>92.231404958677686</v>
      </c>
      <c r="T24" s="26">
        <f t="shared" si="24"/>
        <v>171.15655986691308</v>
      </c>
      <c r="U24" s="26" t="str">
        <f>IF(VLOOKUP($C24,COS!$B$8:$I$991,8,FALSE)=1,"UWFE","IBU")</f>
        <v>UWFE</v>
      </c>
      <c r="V24" s="26">
        <f t="shared" ref="V24" si="27">MIN(IF(IF($AA$3=2,AND(E24=1,G24=1,L24=1,L28=1,M24=1,U24="IBU"),AND(E24=1,G24=1,L24=1,L28=1,M24=1)),T24,0),I24)</f>
        <v>0</v>
      </c>
      <c r="W24" s="26"/>
      <c r="X24" s="26"/>
      <c r="Y24" s="26"/>
      <c r="Z24" s="26"/>
      <c r="AA24" s="26"/>
      <c r="AB24" s="33"/>
      <c r="AC24" s="6"/>
      <c r="AD24" s="44">
        <v>1932</v>
      </c>
      <c r="AE24" s="45">
        <f>VLOOKUP(AD24,Flags!$A$13:$B$95,2,FALSE)</f>
        <v>5</v>
      </c>
      <c r="AF24" s="44">
        <f t="shared" si="6"/>
        <v>0</v>
      </c>
      <c r="AG24" s="44">
        <f t="shared" si="7"/>
        <v>577.67348919324638</v>
      </c>
      <c r="AH24" s="44">
        <f t="shared" si="8"/>
        <v>0</v>
      </c>
      <c r="AI24" s="44">
        <f t="shared" si="9"/>
        <v>603.29687370867759</v>
      </c>
      <c r="AJ24" s="44">
        <f t="shared" si="10"/>
        <v>468.21170793517558</v>
      </c>
      <c r="AK24" s="44">
        <f t="shared" si="1"/>
        <v>361.72280491348135</v>
      </c>
      <c r="AL24" s="44">
        <f t="shared" si="11"/>
        <v>0</v>
      </c>
      <c r="AN24" s="6">
        <v>15</v>
      </c>
      <c r="AO24">
        <f t="shared" si="26"/>
        <v>23</v>
      </c>
      <c r="AP24">
        <f>AVERAGEIF($AL$14:$AL$94,"&gt;"&amp;AN24)</f>
        <v>169.23656811027789</v>
      </c>
    </row>
    <row r="25" spans="1:42" x14ac:dyDescent="0.3">
      <c r="A25" s="32">
        <f>VLOOKUP(YEAR(C25),Flags!$A$13:$B$95,2,FALSE)</f>
        <v>3</v>
      </c>
      <c r="B25" s="24">
        <f t="shared" si="2"/>
        <v>1923</v>
      </c>
      <c r="C25" s="25">
        <v>8582</v>
      </c>
      <c r="D25" s="26">
        <f>VLOOKUP($C25,COS!$B$8:$H$991,3,FALSE)</f>
        <v>9187.771484375</v>
      </c>
      <c r="E25" s="24">
        <f>IF(D25&gt;=IF(MONTH($C25)=4,$C$3,IF(MONTH($C25)=5,$C$4,IF(MONTH($C25)=6,$C$5,IF(MONTH($C25)=7,$C$6,"ERROR")))),1,0)</f>
        <v>0</v>
      </c>
      <c r="F25" s="26">
        <f>VLOOKUP($C25,COS!$B$8:$H$991,7,FALSE)</f>
        <v>53.151496887207031</v>
      </c>
      <c r="G25" s="24">
        <f>IF(F25&lt;=IF(MONTH($C25)=4,$F$3,IF(MONTH($C25)=5,$F$4,IF(MONTH($C25)=6,$F$5,IF(MONTH($C25)=7,$F$6,"ERROR")))),1,0)</f>
        <v>1</v>
      </c>
      <c r="H25" s="26">
        <f>IF(J25=1,D25-$C$5,0)</f>
        <v>0</v>
      </c>
      <c r="I25" s="26">
        <f t="shared" si="17"/>
        <v>0</v>
      </c>
      <c r="J25" s="24">
        <f t="shared" si="18"/>
        <v>0</v>
      </c>
      <c r="K25" s="26">
        <f>VLOOKUP($C25,COS!$B$8:$H$991,2,FALSE)</f>
        <v>3273.186279296875</v>
      </c>
      <c r="L25" s="24">
        <f t="shared" si="19"/>
        <v>1</v>
      </c>
      <c r="M25" s="24">
        <f t="shared" si="20"/>
        <v>0</v>
      </c>
      <c r="N25" s="26">
        <f>VLOOKUP($C25,COS!$B$8:$H$991,5,FALSE)</f>
        <v>530.37872314453125</v>
      </c>
      <c r="O25" s="26">
        <f t="shared" si="21"/>
        <v>31.559725674715907</v>
      </c>
      <c r="P25" s="26">
        <f>VLOOKUP($C25,COS!$B$8:$H$991,6,FALSE)</f>
        <v>2621.187744140625</v>
      </c>
      <c r="Q25" s="26">
        <f t="shared" si="22"/>
        <v>155.97150213068181</v>
      </c>
      <c r="R25" s="26">
        <f>MIN(IF(MONTH($C25)=4,$S$3,IF(MONTH($C25)=5,$S$4,IF(MONTH($C25)=6,$S$5,IF(MONTH($C25)=7,$S$6,"ERROR")))),MAX(VLOOKUP($C25,COS!$B$8:$K$991,10,FALSE)-IF(MONTH($C25)=4,$Y$3,IF(MONTH($C25)=5,$Y$4,IF(MONTH($C25)=6,$Y$5,IF(MONTH($C25)=7,$Y$6,"ERROR")))),0),MAX(VLOOKUP($C25,COS!$B$8:$K$991,9,FALSE)-IF(MONTH($C25)=4,$V$3,IF(MONTH($C25)=5,$V$4,IF(MONTH($C25)=6,$V$5,IF(MONTH($C25)=7,$V$6,"ERROR"))))-VLOOKUP($C25,COS!$B$8:$K$991,6,FALSE)/2,0))</f>
        <v>1500</v>
      </c>
      <c r="S25" s="26">
        <f t="shared" si="23"/>
        <v>89.256198347107429</v>
      </c>
      <c r="T25" s="26">
        <f t="shared" si="24"/>
        <v>183.02181224980629</v>
      </c>
      <c r="U25" s="26" t="str">
        <f>IF(VLOOKUP($C25,COS!$B$8:$I$991,8,FALSE)=1,"UWFE","IBU")</f>
        <v>IBU</v>
      </c>
      <c r="V25" s="26">
        <f t="shared" ref="V25" si="28">MIN(IF(IF($AA$3=2,AND(E25=1,G25=1,L25=1,L28=1,M25=1,U25="IBU"),AND(E25=1,G25=1,L25=1,L28=1,M25=1)),T25,0),I25)</f>
        <v>0</v>
      </c>
      <c r="W25" s="26"/>
      <c r="X25" s="26"/>
      <c r="Y25" s="26"/>
      <c r="Z25" s="26"/>
      <c r="AA25" s="26"/>
      <c r="AB25" s="33"/>
      <c r="AC25" s="6"/>
      <c r="AD25" s="44">
        <v>1933</v>
      </c>
      <c r="AE25" s="45">
        <f>VLOOKUP(AD25,Flags!$A$13:$B$95,2,FALSE)</f>
        <v>5</v>
      </c>
      <c r="AF25" s="44">
        <f t="shared" si="6"/>
        <v>30.825164643595041</v>
      </c>
      <c r="AG25" s="44">
        <f t="shared" si="7"/>
        <v>581.39606733337905</v>
      </c>
      <c r="AH25" s="44">
        <f t="shared" si="8"/>
        <v>0</v>
      </c>
      <c r="AI25" s="44">
        <f t="shared" si="9"/>
        <v>605.13671552169433</v>
      </c>
      <c r="AJ25" s="44">
        <f t="shared" si="10"/>
        <v>364.82492195570762</v>
      </c>
      <c r="AK25" s="44">
        <f t="shared" si="1"/>
        <v>323.66046519886368</v>
      </c>
      <c r="AL25" s="44">
        <f t="shared" si="11"/>
        <v>0</v>
      </c>
      <c r="AN25" s="6">
        <v>30</v>
      </c>
      <c r="AO25">
        <f t="shared" si="26"/>
        <v>22</v>
      </c>
      <c r="AP25">
        <f t="shared" ref="AP25:AP33" si="29">AVERAGEIF($AL$14:$AL$94,"&gt;"&amp;AN25)</f>
        <v>175.93967188238292</v>
      </c>
    </row>
    <row r="26" spans="1:42" x14ac:dyDescent="0.3">
      <c r="A26" s="32">
        <f>VLOOKUP(YEAR(C26),Flags!$A$13:$B$95,2,FALSE)</f>
        <v>3</v>
      </c>
      <c r="B26" s="24">
        <f t="shared" si="2"/>
        <v>1923</v>
      </c>
      <c r="C26" s="25">
        <v>8613</v>
      </c>
      <c r="D26" s="26">
        <f>VLOOKUP($C26,COS!$B$8:$H$991,3,FALSE)</f>
        <v>11611.94921875</v>
      </c>
      <c r="E26" s="24">
        <f>IF(D26&gt;=IF(MONTH($C26)=4,$C$3,IF(MONTH($C26)=5,$C$4,IF(MONTH($C26)=6,$C$5,IF(MONTH($C26)=7,$C$6,"ERROR")))),1,0)</f>
        <v>0</v>
      </c>
      <c r="F26" s="26">
        <f>VLOOKUP($C26,COS!$B$8:$H$991,7,FALSE)</f>
        <v>55.377204895019531</v>
      </c>
      <c r="G26" s="24">
        <f>IF(F26&lt;=IF(MONTH($C26)=4,$F$3,IF(MONTH($C26)=5,$F$4,IF(MONTH($C26)=6,$F$5,IF(MONTH($C26)=7,$F$6,"ERROR")))),1,0)</f>
        <v>0</v>
      </c>
      <c r="H26" s="26">
        <f>IF(J26=1,D26-$C$6,0)</f>
        <v>0</v>
      </c>
      <c r="I26" s="26">
        <f t="shared" si="17"/>
        <v>0</v>
      </c>
      <c r="J26" s="24">
        <f t="shared" si="18"/>
        <v>0</v>
      </c>
      <c r="K26" s="26">
        <f>VLOOKUP($C26,COS!$B$8:$H$991,2,FALSE)</f>
        <v>2867.132080078125</v>
      </c>
      <c r="L26" s="24">
        <f t="shared" si="19"/>
        <v>1</v>
      </c>
      <c r="M26" s="24">
        <f t="shared" si="20"/>
        <v>0</v>
      </c>
      <c r="N26" s="26">
        <f>VLOOKUP($C26,COS!$B$8:$H$991,5,FALSE)</f>
        <v>613.4034423828125</v>
      </c>
      <c r="O26" s="26">
        <f t="shared" si="21"/>
        <v>37.716707531637397</v>
      </c>
      <c r="P26" s="26">
        <f>VLOOKUP($C26,COS!$B$8:$H$991,6,FALSE)</f>
        <v>2537.385498046875</v>
      </c>
      <c r="Q26" s="26">
        <f t="shared" si="22"/>
        <v>156.01775293775825</v>
      </c>
      <c r="R26" s="26">
        <f>MIN(IF(MONTH($C26)=4,$S$3,IF(MONTH($C26)=5,$S$4,IF(MONTH($C26)=6,$S$5,IF(MONTH($C26)=7,$S$6,"ERROR")))),MAX(VLOOKUP($C26,COS!$B$8:$K$991,10,FALSE)-IF(MONTH($C26)=4,$Y$3,IF(MONTH($C26)=5,$Y$4,IF(MONTH($C26)=6,$Y$5,IF(MONTH($C26)=7,$Y$6,"ERROR")))),0),MAX(VLOOKUP($C26,COS!$B$8:$K$991,9,FALSE)-IF(MONTH($C26)=4,$V$3,IF(MONTH($C26)=5,$V$4,IF(MONTH($C26)=6,$V$5,IF(MONTH($C26)=7,$V$6,"ERROR"))))-VLOOKUP($C26,COS!$B$8:$K$991,6,FALSE)/2,0))</f>
        <v>1500</v>
      </c>
      <c r="S26" s="26">
        <f t="shared" si="23"/>
        <v>92.231404958677686</v>
      </c>
      <c r="T26" s="26">
        <f t="shared" si="24"/>
        <v>189.09863519337551</v>
      </c>
      <c r="U26" s="26" t="str">
        <f>IF(VLOOKUP($C26,COS!$B$8:$I$991,8,FALSE)=1,"UWFE","IBU")</f>
        <v>IBU</v>
      </c>
      <c r="V26" s="26">
        <f t="shared" ref="V26" si="30">MIN(IF(IF($AA$3=2,AND(E26=1,G26=1,L26=1,L28=1,M26=1,U26="IBU"),AND(E26=1,G26=1,L26=1,L28=1,M26=1)),T26,0),I26)</f>
        <v>0</v>
      </c>
      <c r="W26" s="26"/>
      <c r="X26" s="26"/>
      <c r="Y26" s="26"/>
      <c r="Z26" s="26"/>
      <c r="AA26" s="26"/>
      <c r="AB26" s="33"/>
      <c r="AC26" s="6"/>
      <c r="AD26" s="44">
        <v>1934</v>
      </c>
      <c r="AE26" s="45">
        <f>VLOOKUP(AD26,Flags!$A$13:$B$95,2,FALSE)</f>
        <v>5</v>
      </c>
      <c r="AF26" s="44">
        <f t="shared" si="6"/>
        <v>61.140804816632233</v>
      </c>
      <c r="AG26" s="44">
        <f t="shared" si="7"/>
        <v>586.09518616227069</v>
      </c>
      <c r="AH26" s="44">
        <f t="shared" si="8"/>
        <v>61.140804816632233</v>
      </c>
      <c r="AI26" s="44">
        <f t="shared" si="9"/>
        <v>772.67474544808897</v>
      </c>
      <c r="AJ26" s="44">
        <f t="shared" si="10"/>
        <v>541.70656306495357</v>
      </c>
      <c r="AK26" s="44">
        <f t="shared" si="1"/>
        <v>492.34191462745355</v>
      </c>
      <c r="AL26" s="44">
        <f t="shared" si="11"/>
        <v>61.140804816632233</v>
      </c>
      <c r="AN26" s="6">
        <v>60</v>
      </c>
      <c r="AO26">
        <f t="shared" si="26"/>
        <v>20</v>
      </c>
      <c r="AP26">
        <f t="shared" si="29"/>
        <v>189.65152091462949</v>
      </c>
    </row>
    <row r="27" spans="1:42" x14ac:dyDescent="0.3">
      <c r="A27" s="32">
        <f>VLOOKUP(YEAR(C27),Flags!$A$13:$B$95,2,FALSE)</f>
        <v>3</v>
      </c>
      <c r="B27" s="24">
        <f t="shared" si="2"/>
        <v>1923</v>
      </c>
      <c r="C27" s="25">
        <v>8644</v>
      </c>
      <c r="D27" s="26"/>
      <c r="E27" s="24"/>
      <c r="F27" s="26"/>
      <c r="G27" s="24"/>
      <c r="H27" s="24"/>
      <c r="I27" s="26"/>
      <c r="J27" s="24"/>
      <c r="K27" s="26"/>
      <c r="L27" s="24"/>
      <c r="M27" s="24"/>
      <c r="N27" s="26"/>
      <c r="O27" s="26"/>
      <c r="P27" s="26"/>
      <c r="Q27" s="26"/>
      <c r="R27" s="26"/>
      <c r="S27" s="26"/>
      <c r="T27" s="26"/>
      <c r="U27" s="26"/>
      <c r="V27" s="26"/>
      <c r="W27" s="26">
        <f>MAX($C$7-VLOOKUP($C27,COS!$B$8:$H$991,3,FALSE),0)</f>
        <v>2981.109375</v>
      </c>
      <c r="X27" s="26">
        <f t="shared" ref="X27:X90" si="31">W27*DAY($C27)*86400/43560/1000</f>
        <v>183.30127066115702</v>
      </c>
      <c r="Y27" s="26">
        <f>VLOOKUP($C27,COS!$B$8:$H$991,4,FALSE)</f>
        <v>223.26168823242188</v>
      </c>
      <c r="Z27" s="26">
        <f t="shared" ref="Z27:Z90" si="32">Y27*DAY($C27)*86400/43560/1000</f>
        <v>13.727826119415031</v>
      </c>
      <c r="AA27" s="26">
        <f t="shared" ref="AA27:AA31" si="33">MIN(W27,Y27)</f>
        <v>223.26168823242188</v>
      </c>
      <c r="AB27" s="33">
        <f t="shared" ref="AB27:AB85" si="34">AA27*DAY($C27)*86400/43560/1000*IF(MONTH($C27)=8,$P$3,IF(MONTH($C27)=9,$P$4,IF(MONTH($C27)=10,$P$5,IF(MONTH($C27)=11,$P$6,IF(MONTH($C27)=12,$P$7,NA())))))</f>
        <v>13.727826119415031</v>
      </c>
      <c r="AC27" s="6"/>
      <c r="AD27" s="43">
        <v>1935</v>
      </c>
      <c r="AE27" s="1">
        <f>VLOOKUP(AD27,Flags!$A$13:$B$95,2,FALSE)</f>
        <v>4</v>
      </c>
      <c r="AF27" s="43">
        <f t="shared" si="6"/>
        <v>0</v>
      </c>
      <c r="AG27" s="43">
        <f t="shared" si="7"/>
        <v>621.9039977995817</v>
      </c>
      <c r="AH27" s="43">
        <f t="shared" si="8"/>
        <v>0</v>
      </c>
      <c r="AI27" s="43">
        <f t="shared" si="9"/>
        <v>621.52562855113638</v>
      </c>
      <c r="AJ27" s="43">
        <f t="shared" si="10"/>
        <v>121.23425982388584</v>
      </c>
      <c r="AK27" s="43">
        <f t="shared" si="1"/>
        <v>121.23425982388584</v>
      </c>
      <c r="AL27" s="43">
        <f t="shared" si="11"/>
        <v>0</v>
      </c>
      <c r="AN27" s="6">
        <v>90</v>
      </c>
      <c r="AO27">
        <f t="shared" si="26"/>
        <v>19</v>
      </c>
      <c r="AP27">
        <f t="shared" si="29"/>
        <v>196.41524281452408</v>
      </c>
    </row>
    <row r="28" spans="1:42" x14ac:dyDescent="0.3">
      <c r="A28" s="32">
        <f>VLOOKUP(YEAR(C28),Flags!$A$13:$B$95,2,FALSE)</f>
        <v>3</v>
      </c>
      <c r="B28" s="24">
        <f t="shared" si="2"/>
        <v>1923</v>
      </c>
      <c r="C28" s="25">
        <v>8674</v>
      </c>
      <c r="D28" s="26"/>
      <c r="E28" s="24"/>
      <c r="F28" s="26"/>
      <c r="G28" s="24"/>
      <c r="H28" s="24"/>
      <c r="I28" s="26"/>
      <c r="J28" s="24"/>
      <c r="K28" s="26">
        <f>VLOOKUP($C28,COS!$B$8:$H$991,2,FALSE)</f>
        <v>2596.2392578125</v>
      </c>
      <c r="L28" s="24">
        <f t="shared" ref="L28" si="35">IF(AND(K28&gt;$I$7,K28&lt;$I$8),1,0)</f>
        <v>1</v>
      </c>
      <c r="M28" s="24"/>
      <c r="N28" s="26"/>
      <c r="O28" s="26"/>
      <c r="P28" s="26"/>
      <c r="Q28" s="26"/>
      <c r="R28" s="26"/>
      <c r="S28" s="26"/>
      <c r="T28" s="26"/>
      <c r="U28" s="26"/>
      <c r="V28" s="26"/>
      <c r="W28" s="26">
        <f>MAX($C$8-VLOOKUP($C28,COS!$B$8:$H$991,3,FALSE),0)</f>
        <v>1584.35595703125</v>
      </c>
      <c r="X28" s="26">
        <f t="shared" si="31"/>
        <v>94.275726368801656</v>
      </c>
      <c r="Y28" s="26">
        <f>VLOOKUP($C28,COS!$B$8:$H$991,4,FALSE)</f>
        <v>0</v>
      </c>
      <c r="Z28" s="26">
        <f t="shared" si="32"/>
        <v>0</v>
      </c>
      <c r="AA28" s="26">
        <f t="shared" si="33"/>
        <v>0</v>
      </c>
      <c r="AB28" s="33">
        <f t="shared" si="34"/>
        <v>0</v>
      </c>
      <c r="AC28" s="6"/>
      <c r="AD28" s="43">
        <v>1936</v>
      </c>
      <c r="AE28" s="1">
        <f>VLOOKUP(AD28,Flags!$A$13:$B$95,2,FALSE)</f>
        <v>3</v>
      </c>
      <c r="AF28" s="43">
        <f t="shared" si="6"/>
        <v>0</v>
      </c>
      <c r="AG28" s="43">
        <f t="shared" si="7"/>
        <v>640.065817921536</v>
      </c>
      <c r="AH28" s="43">
        <f t="shared" si="8"/>
        <v>0</v>
      </c>
      <c r="AI28" s="43">
        <f t="shared" si="9"/>
        <v>350.64837115831608</v>
      </c>
      <c r="AJ28" s="43">
        <f t="shared" si="10"/>
        <v>178.08673882602659</v>
      </c>
      <c r="AK28" s="43">
        <f t="shared" si="1"/>
        <v>59.2499840804171</v>
      </c>
      <c r="AL28" s="43">
        <f t="shared" si="11"/>
        <v>0</v>
      </c>
      <c r="AN28" s="6">
        <v>100</v>
      </c>
      <c r="AO28">
        <f t="shared" si="26"/>
        <v>19</v>
      </c>
      <c r="AP28">
        <f t="shared" si="29"/>
        <v>196.41524281452408</v>
      </c>
    </row>
    <row r="29" spans="1:42" x14ac:dyDescent="0.3">
      <c r="A29" s="32">
        <f>VLOOKUP(YEAR(C29),Flags!$A$13:$B$95,2,FALSE)</f>
        <v>3</v>
      </c>
      <c r="B29" s="24">
        <f t="shared" si="2"/>
        <v>1923</v>
      </c>
      <c r="C29" s="25">
        <v>8705</v>
      </c>
      <c r="D29" s="26"/>
      <c r="E29" s="24"/>
      <c r="F29" s="26"/>
      <c r="G29" s="26"/>
      <c r="H29" s="26"/>
      <c r="I29" s="26"/>
      <c r="J29" s="26"/>
      <c r="K29" s="26"/>
      <c r="L29" s="24"/>
      <c r="M29" s="24"/>
      <c r="N29" s="26"/>
      <c r="O29" s="26"/>
      <c r="P29" s="26"/>
      <c r="Q29" s="26"/>
      <c r="R29" s="26"/>
      <c r="S29" s="26"/>
      <c r="T29" s="26"/>
      <c r="U29" s="26"/>
      <c r="V29" s="26"/>
      <c r="W29" s="26">
        <f>MAX($C$9-VLOOKUP($C29,COS!$B$8:$H$991,3,FALSE),0)</f>
        <v>393.662109375</v>
      </c>
      <c r="X29" s="26">
        <f t="shared" si="31"/>
        <v>24.205339617768594</v>
      </c>
      <c r="Y29" s="26">
        <f>VLOOKUP($C29,COS!$B$8:$H$991,4,FALSE)</f>
        <v>906.51263427734375</v>
      </c>
      <c r="Z29" s="26">
        <f t="shared" si="32"/>
        <v>55.739289248127584</v>
      </c>
      <c r="AA29" s="26">
        <f t="shared" si="33"/>
        <v>393.662109375</v>
      </c>
      <c r="AB29" s="33">
        <f t="shared" si="34"/>
        <v>24.205339617768594</v>
      </c>
      <c r="AC29" s="6"/>
      <c r="AD29" s="43">
        <v>1937</v>
      </c>
      <c r="AE29" s="1">
        <f>VLOOKUP(AD29,Flags!$A$13:$B$95,2,FALSE)</f>
        <v>4</v>
      </c>
      <c r="AF29" s="43">
        <f t="shared" si="6"/>
        <v>0</v>
      </c>
      <c r="AG29" s="43">
        <f t="shared" si="7"/>
        <v>644.85532843345459</v>
      </c>
      <c r="AH29" s="43">
        <f t="shared" si="8"/>
        <v>0</v>
      </c>
      <c r="AI29" s="43">
        <f t="shared" si="9"/>
        <v>207.04632392820247</v>
      </c>
      <c r="AJ29" s="43">
        <f t="shared" si="10"/>
        <v>104.74674873288998</v>
      </c>
      <c r="AK29" s="43">
        <f t="shared" si="1"/>
        <v>93.683336534736583</v>
      </c>
      <c r="AL29" s="43">
        <f t="shared" si="11"/>
        <v>0</v>
      </c>
      <c r="AN29" s="6">
        <v>120</v>
      </c>
      <c r="AO29">
        <f t="shared" si="26"/>
        <v>18</v>
      </c>
      <c r="AP29">
        <f t="shared" si="29"/>
        <v>201.1807809935851</v>
      </c>
    </row>
    <row r="30" spans="1:42" x14ac:dyDescent="0.3">
      <c r="A30" s="32">
        <f>VLOOKUP(YEAR(C30),Flags!$A$13:$B$95,2,FALSE)</f>
        <v>3</v>
      </c>
      <c r="B30" s="24">
        <f t="shared" si="2"/>
        <v>1923</v>
      </c>
      <c r="C30" s="25">
        <v>8735</v>
      </c>
      <c r="D30" s="26"/>
      <c r="E30" s="24"/>
      <c r="F30" s="26"/>
      <c r="G30" s="26"/>
      <c r="H30" s="26"/>
      <c r="I30" s="26"/>
      <c r="J30" s="26"/>
      <c r="K30" s="26"/>
      <c r="L30" s="24"/>
      <c r="M30" s="24"/>
      <c r="N30" s="26"/>
      <c r="O30" s="26"/>
      <c r="P30" s="26"/>
      <c r="Q30" s="26"/>
      <c r="R30" s="26"/>
      <c r="S30" s="26"/>
      <c r="T30" s="26"/>
      <c r="U30" s="26"/>
      <c r="V30" s="26"/>
      <c r="W30" s="26">
        <f>MAX($C$10-VLOOKUP($C30,COS!$B$8:$H$991,3,FALSE),0)</f>
        <v>0</v>
      </c>
      <c r="X30" s="26">
        <f t="shared" si="31"/>
        <v>0</v>
      </c>
      <c r="Y30" s="26">
        <f>VLOOKUP($C30,COS!$B$8:$H$991,4,FALSE)</f>
        <v>1181.566162109375</v>
      </c>
      <c r="Z30" s="26">
        <f t="shared" si="32"/>
        <v>70.308069150309919</v>
      </c>
      <c r="AA30" s="26">
        <f t="shared" si="33"/>
        <v>0</v>
      </c>
      <c r="AB30" s="33">
        <f>AA30*DAY($C30)*86400/43560/1000*IF(MONTH($C30)=8,$P$3,IF(MONTH($C30)=9,$P$4,IF(MONTH($C30)=10,$P$5,IF(MONTH($C30)=11,$P$6,IF(MONTH($C30)=12,$P$7,NA())))))</f>
        <v>0</v>
      </c>
      <c r="AC30" s="6"/>
      <c r="AD30" s="43">
        <v>1938</v>
      </c>
      <c r="AE30" s="1">
        <f>VLOOKUP(AD30,Flags!$A$13:$B$95,2,FALSE)</f>
        <v>1</v>
      </c>
      <c r="AF30" s="43">
        <f t="shared" si="6"/>
        <v>467.85146435950412</v>
      </c>
      <c r="AG30" s="43">
        <f t="shared" si="7"/>
        <v>685.29858967426389</v>
      </c>
      <c r="AH30" s="43">
        <f t="shared" si="8"/>
        <v>0</v>
      </c>
      <c r="AI30" s="43">
        <f t="shared" si="9"/>
        <v>113.19564533832646</v>
      </c>
      <c r="AJ30" s="43">
        <f t="shared" si="10"/>
        <v>2.9732576581466295</v>
      </c>
      <c r="AK30" s="43">
        <f t="shared" si="1"/>
        <v>0</v>
      </c>
      <c r="AL30" s="43">
        <f t="shared" si="11"/>
        <v>0</v>
      </c>
      <c r="AN30" s="6">
        <v>150</v>
      </c>
      <c r="AO30">
        <f t="shared" si="26"/>
        <v>15</v>
      </c>
      <c r="AP30">
        <f t="shared" si="29"/>
        <v>213.90723340549943</v>
      </c>
    </row>
    <row r="31" spans="1:42" x14ac:dyDescent="0.3">
      <c r="A31" s="34">
        <f>VLOOKUP(YEAR(C31),Flags!$A$13:$B$95,2,FALSE)</f>
        <v>3</v>
      </c>
      <c r="B31" s="35">
        <f t="shared" si="2"/>
        <v>1923</v>
      </c>
      <c r="C31" s="36">
        <v>8766</v>
      </c>
      <c r="D31" s="37"/>
      <c r="E31" s="35"/>
      <c r="F31" s="37"/>
      <c r="G31" s="37"/>
      <c r="H31" s="37"/>
      <c r="I31" s="37"/>
      <c r="J31" s="37"/>
      <c r="K31" s="37"/>
      <c r="L31" s="35"/>
      <c r="M31" s="35"/>
      <c r="N31" s="37"/>
      <c r="O31" s="37"/>
      <c r="P31" s="37"/>
      <c r="Q31" s="37"/>
      <c r="R31" s="37"/>
      <c r="S31" s="37"/>
      <c r="T31" s="37"/>
      <c r="U31" s="37"/>
      <c r="V31" s="37"/>
      <c r="W31" s="37">
        <f>MAX($C$11-VLOOKUP($C31,COS!$B$8:$H$991,3,FALSE),0)</f>
        <v>102.76806640625</v>
      </c>
      <c r="X31" s="37">
        <f t="shared" si="31"/>
        <v>6.3189620996900828</v>
      </c>
      <c r="Y31" s="37">
        <f>VLOOKUP($C31,COS!$B$8:$H$991,4,FALSE)</f>
        <v>1277.1646728515625</v>
      </c>
      <c r="Z31" s="37">
        <f t="shared" si="32"/>
        <v>78.529794760459708</v>
      </c>
      <c r="AA31" s="37">
        <f t="shared" si="33"/>
        <v>102.76806640625</v>
      </c>
      <c r="AB31" s="38">
        <f t="shared" si="34"/>
        <v>6.3189620996900828</v>
      </c>
      <c r="AC31" s="6"/>
      <c r="AD31" s="43">
        <v>1939</v>
      </c>
      <c r="AE31" s="1">
        <f>VLOOKUP(AD31,Flags!$A$13:$B$95,2,FALSE)</f>
        <v>3</v>
      </c>
      <c r="AF31" s="43">
        <f t="shared" si="6"/>
        <v>397.28989733987601</v>
      </c>
      <c r="AG31" s="43">
        <f t="shared" si="7"/>
        <v>676.80928974246194</v>
      </c>
      <c r="AH31" s="43">
        <f t="shared" si="8"/>
        <v>0</v>
      </c>
      <c r="AI31" s="43">
        <f t="shared" si="9"/>
        <v>138.90544292355372</v>
      </c>
      <c r="AJ31" s="43">
        <f t="shared" si="10"/>
        <v>623.40796705513947</v>
      </c>
      <c r="AK31" s="43">
        <f t="shared" si="1"/>
        <v>136.1349580320248</v>
      </c>
      <c r="AL31" s="43">
        <f t="shared" si="11"/>
        <v>0</v>
      </c>
      <c r="AN31" s="6">
        <v>180</v>
      </c>
      <c r="AO31">
        <f t="shared" si="26"/>
        <v>9</v>
      </c>
      <c r="AP31">
        <f t="shared" si="29"/>
        <v>248.77503771064696</v>
      </c>
    </row>
    <row r="32" spans="1:42" x14ac:dyDescent="0.3">
      <c r="A32" s="27">
        <f>VLOOKUP(YEAR(C32),Flags!$A$13:$B$95,2,FALSE)</f>
        <v>5</v>
      </c>
      <c r="B32" s="28">
        <f t="shared" si="2"/>
        <v>1924</v>
      </c>
      <c r="C32" s="29">
        <v>8887</v>
      </c>
      <c r="D32" s="30">
        <f>VLOOKUP($C32,COS!$B$8:$H$991,3,FALSE)</f>
        <v>5624.3779296875</v>
      </c>
      <c r="E32" s="28">
        <f>IF(D32&gt;=IF(MONTH($C32)=4,$C$3,IF(MONTH($C32)=5,$C$4,IF(MONTH($C32)=6,$C$5,IF(MONTH($C32)=7,$C$6,"ERROR")))),1,0)</f>
        <v>0</v>
      </c>
      <c r="F32" s="30">
        <f>VLOOKUP($C32,COS!$B$8:$H$991,7,FALSE)</f>
        <v>51.900558471679688</v>
      </c>
      <c r="G32" s="28">
        <f>IF(F32&lt;=IF(MONTH($C32)=4,$F$3,IF(MONTH($C32)=5,$F$4,IF(MONTH($C32)=6,$F$5,IF(MONTH($C32)=7,$F$6,"ERROR")))),1,0)</f>
        <v>1</v>
      </c>
      <c r="H32" s="30">
        <f>IF(J32=1,D32-$C$3,0)</f>
        <v>0</v>
      </c>
      <c r="I32" s="30">
        <f t="shared" si="17"/>
        <v>0</v>
      </c>
      <c r="J32" s="28">
        <f t="shared" ref="J32:J35" si="36">IF(AND(E32=1,G32=1),1,0)</f>
        <v>0</v>
      </c>
      <c r="K32" s="30">
        <f>VLOOKUP($C32,COS!$B$8:$H$991,2,FALSE)</f>
        <v>2500</v>
      </c>
      <c r="L32" s="28">
        <f t="shared" ref="L32" si="37">IF(K32&lt;=IF(MONTH($C32)=4,$I$3,IF(MONTH($C32)=5,$I$4,IF(MONTH($C32)=6,$I$5,IF(MONTH($C32)=7,$I$6,"ERROR")))),1,0)</f>
        <v>1</v>
      </c>
      <c r="M32" s="28">
        <f t="shared" ref="M32" si="38">VLOOKUP($A32,$L$3:$M$7,2,FALSE)</f>
        <v>1</v>
      </c>
      <c r="N32" s="30">
        <f>VLOOKUP($C32,COS!$B$8:$H$991,5,FALSE)</f>
        <v>202.00408935546875</v>
      </c>
      <c r="O32" s="30">
        <f t="shared" ref="O32:O35" si="39">N32*DAY($C32)*86400/43560/1000</f>
        <v>12.020078044292354</v>
      </c>
      <c r="P32" s="30">
        <f>VLOOKUP($C32,COS!$B$8:$H$991,6,FALSE)</f>
        <v>537.10101318359375</v>
      </c>
      <c r="Q32" s="30">
        <f t="shared" ref="Q32:Q35" si="40">P32*DAY($C32)*86400/43560/1000</f>
        <v>31.959729710098141</v>
      </c>
      <c r="R32" s="30">
        <f>MIN(IF(MONTH($C32)=4,$S$3,IF(MONTH($C32)=5,$S$4,IF(MONTH($C32)=6,$S$5,IF(MONTH($C32)=7,$S$6,"ERROR")))),MAX(VLOOKUP($C32,COS!$B$8:$K$991,10,FALSE)-IF(MONTH($C32)=4,$Y$3,IF(MONTH($C32)=5,$Y$4,IF(MONTH($C32)=6,$Y$5,IF(MONTH($C32)=7,$Y$6,"ERROR")))),0),MAX(VLOOKUP($C32,COS!$B$8:$K$991,9,FALSE)-IF(MONTH($C32)=4,$V$3,IF(MONTH($C32)=5,$V$4,IF(MONTH($C32)=6,$V$5,IF(MONTH($C32)=7,$V$6,"ERROR"))))-VLOOKUP($C32,COS!$B$8:$K$991,6,FALSE)/2,0))</f>
        <v>1411.9501953125</v>
      </c>
      <c r="S32" s="30">
        <f t="shared" ref="S32:S35" si="41">R32*DAY($C32)*86400/43560/1000</f>
        <v>84.016871126033067</v>
      </c>
      <c r="T32" s="30">
        <f t="shared" ref="T32:T35" si="42">(O32+Q32)/2+S32</f>
        <v>106.00677500322831</v>
      </c>
      <c r="U32" s="30" t="str">
        <f>IF(VLOOKUP($C32,COS!$B$8:$I$991,8,FALSE)=1,"UWFE","IBU")</f>
        <v>IBU</v>
      </c>
      <c r="V32" s="30">
        <f t="shared" ref="V32" si="43">MIN(IF(IF($AA$3=2,AND(E32=1,G32=1,L32=1,L37=1,M32=1,U32="IBU"),AND(E32=1,G32=1,L32=1,L37=1,M32=1)),T32,0),I32)</f>
        <v>0</v>
      </c>
      <c r="W32" s="30"/>
      <c r="X32" s="30"/>
      <c r="Y32" s="30"/>
      <c r="Z32" s="30"/>
      <c r="AA32" s="30"/>
      <c r="AB32" s="31"/>
      <c r="AC32" s="6"/>
      <c r="AD32" s="43">
        <v>1940</v>
      </c>
      <c r="AE32" s="1">
        <f>VLOOKUP(AD32,Flags!$A$13:$B$95,2,FALSE)</f>
        <v>2</v>
      </c>
      <c r="AF32" s="43">
        <f t="shared" si="6"/>
        <v>229.39817858987604</v>
      </c>
      <c r="AG32" s="43">
        <f t="shared" si="7"/>
        <v>663.77439249338204</v>
      </c>
      <c r="AH32" s="43">
        <f t="shared" si="8"/>
        <v>0</v>
      </c>
      <c r="AI32" s="43">
        <f t="shared" si="9"/>
        <v>28.528686725206612</v>
      </c>
      <c r="AJ32" s="43">
        <f t="shared" si="10"/>
        <v>129.20468558319345</v>
      </c>
      <c r="AK32" s="43">
        <f t="shared" si="1"/>
        <v>0</v>
      </c>
      <c r="AL32" s="43">
        <f t="shared" si="11"/>
        <v>0</v>
      </c>
      <c r="AN32" s="6">
        <v>210</v>
      </c>
      <c r="AO32">
        <f t="shared" si="26"/>
        <v>6</v>
      </c>
      <c r="AP32">
        <f t="shared" si="29"/>
        <v>277.57755492155212</v>
      </c>
    </row>
    <row r="33" spans="1:42" x14ac:dyDescent="0.3">
      <c r="A33" s="32">
        <f>VLOOKUP(YEAR(C33),Flags!$A$13:$B$95,2,FALSE)</f>
        <v>5</v>
      </c>
      <c r="B33" s="24">
        <f t="shared" si="2"/>
        <v>1924</v>
      </c>
      <c r="C33" s="25">
        <v>8918</v>
      </c>
      <c r="D33" s="26">
        <f>VLOOKUP($C33,COS!$B$8:$H$991,3,FALSE)</f>
        <v>8620.7529296875</v>
      </c>
      <c r="E33" s="24">
        <f>IF(D33&gt;=IF(MONTH($C33)=4,$C$3,IF(MONTH($C33)=5,$C$4,IF(MONTH($C33)=6,$C$5,IF(MONTH($C33)=7,$C$6,"ERROR")))),1,0)</f>
        <v>1</v>
      </c>
      <c r="F33" s="26">
        <f>VLOOKUP($C33,COS!$B$8:$H$991,7,FALSE)</f>
        <v>55.089752197265625</v>
      </c>
      <c r="G33" s="24">
        <f>IF(F33&lt;=IF(MONTH($C33)=4,$F$3,IF(MONTH($C33)=5,$F$4,IF(MONTH($C33)=6,$F$5,IF(MONTH($C33)=7,$F$6,"ERROR")))),1,0)</f>
        <v>1</v>
      </c>
      <c r="H33" s="26">
        <f>IF(J33=1,D33-$C$4,0)</f>
        <v>2620.7529296875</v>
      </c>
      <c r="I33" s="26">
        <f t="shared" si="17"/>
        <v>161.14381650309917</v>
      </c>
      <c r="J33" s="24">
        <f t="shared" si="36"/>
        <v>1</v>
      </c>
      <c r="K33" s="26">
        <f>VLOOKUP($C33,COS!$B$8:$H$991,2,FALSE)</f>
        <v>2135.375732421875</v>
      </c>
      <c r="L33" s="24">
        <f t="shared" si="19"/>
        <v>1</v>
      </c>
      <c r="M33" s="24">
        <f t="shared" si="20"/>
        <v>1</v>
      </c>
      <c r="N33" s="26">
        <f>VLOOKUP($C33,COS!$B$8:$H$991,5,FALSE)</f>
        <v>220.09066772460938</v>
      </c>
      <c r="O33" s="26">
        <f t="shared" si="39"/>
        <v>13.532847668356148</v>
      </c>
      <c r="P33" s="26">
        <f>VLOOKUP($C33,COS!$B$8:$H$991,6,FALSE)</f>
        <v>2324.4033203125</v>
      </c>
      <c r="Q33" s="26">
        <f t="shared" si="40"/>
        <v>142.92198928202478</v>
      </c>
      <c r="R33" s="26">
        <f>MIN(IF(MONTH($C33)=4,$S$3,IF(MONTH($C33)=5,$S$4,IF(MONTH($C33)=6,$S$5,IF(MONTH($C33)=7,$S$6,"ERROR")))),MAX(VLOOKUP($C33,COS!$B$8:$K$991,10,FALSE)-IF(MONTH($C33)=4,$Y$3,IF(MONTH($C33)=5,$Y$4,IF(MONTH($C33)=6,$Y$5,IF(MONTH($C33)=7,$Y$6,"ERROR")))),0),MAX(VLOOKUP($C33,COS!$B$8:$K$991,9,FALSE)-IF(MONTH($C33)=4,$V$3,IF(MONTH($C33)=5,$V$4,IF(MONTH($C33)=6,$V$5,IF(MONTH($C33)=7,$V$6,"ERROR"))))-VLOOKUP($C33,COS!$B$8:$K$991,6,FALSE)/2,0))</f>
        <v>1500</v>
      </c>
      <c r="S33" s="26">
        <f t="shared" si="41"/>
        <v>92.231404958677686</v>
      </c>
      <c r="T33" s="26">
        <f t="shared" si="42"/>
        <v>170.45882343386813</v>
      </c>
      <c r="U33" s="26" t="str">
        <f>IF(VLOOKUP($C33,COS!$B$8:$I$991,8,FALSE)=1,"UWFE","IBU")</f>
        <v>IBU</v>
      </c>
      <c r="V33" s="26">
        <f t="shared" ref="V33" si="44">MIN(IF(IF($AA$3=2,AND(E33=1,G33=1,L33=1,L37=1,M33=1,U33="IBU"),AND(E33=1,G33=1,L33=1,L37=1,M33=1)),T33,0),I33)</f>
        <v>161.14381650309917</v>
      </c>
      <c r="W33" s="26"/>
      <c r="X33" s="26"/>
      <c r="Y33" s="26"/>
      <c r="Z33" s="26"/>
      <c r="AA33" s="26"/>
      <c r="AB33" s="33"/>
      <c r="AC33" s="6"/>
      <c r="AD33" s="43">
        <v>1941</v>
      </c>
      <c r="AE33" s="1">
        <f>VLOOKUP(AD33,Flags!$A$13:$B$95,2,FALSE)</f>
        <v>1</v>
      </c>
      <c r="AF33" s="43">
        <f t="shared" si="6"/>
        <v>840.21232050619835</v>
      </c>
      <c r="AG33" s="43">
        <f t="shared" si="7"/>
        <v>667.11986649820619</v>
      </c>
      <c r="AH33" s="43">
        <f t="shared" si="8"/>
        <v>0</v>
      </c>
      <c r="AI33" s="43">
        <f t="shared" si="9"/>
        <v>7.8196138946280991</v>
      </c>
      <c r="AJ33" s="43">
        <f t="shared" si="10"/>
        <v>62.00514242377163</v>
      </c>
      <c r="AK33" s="43">
        <f t="shared" si="1"/>
        <v>2.5745574244979985</v>
      </c>
      <c r="AL33" s="43">
        <f t="shared" si="11"/>
        <v>0</v>
      </c>
      <c r="AN33" s="6">
        <v>240</v>
      </c>
      <c r="AO33">
        <f t="shared" si="26"/>
        <v>5</v>
      </c>
      <c r="AP33">
        <f t="shared" si="29"/>
        <v>290.91218850077473</v>
      </c>
    </row>
    <row r="34" spans="1:42" x14ac:dyDescent="0.3">
      <c r="A34" s="32">
        <f>VLOOKUP(YEAR(C34),Flags!$A$13:$B$95,2,FALSE)</f>
        <v>5</v>
      </c>
      <c r="B34" s="24">
        <f t="shared" si="2"/>
        <v>1924</v>
      </c>
      <c r="C34" s="25">
        <v>8948</v>
      </c>
      <c r="D34" s="26">
        <f>VLOOKUP($C34,COS!$B$8:$H$991,3,FALSE)</f>
        <v>8906.197265625</v>
      </c>
      <c r="E34" s="24">
        <f>IF(D34&gt;=IF(MONTH($C34)=4,$C$3,IF(MONTH($C34)=5,$C$4,IF(MONTH($C34)=6,$C$5,IF(MONTH($C34)=7,$C$6,"ERROR")))),1,0)</f>
        <v>0</v>
      </c>
      <c r="F34" s="26">
        <f>VLOOKUP($C34,COS!$B$8:$H$991,7,FALSE)</f>
        <v>56.186325073242188</v>
      </c>
      <c r="G34" s="24">
        <f>IF(F34&lt;=IF(MONTH($C34)=4,$F$3,IF(MONTH($C34)=5,$F$4,IF(MONTH($C34)=6,$F$5,IF(MONTH($C34)=7,$F$6,"ERROR")))),1,0)</f>
        <v>0</v>
      </c>
      <c r="H34" s="26">
        <f>IF(J34=1,D34-$C$5,0)</f>
        <v>0</v>
      </c>
      <c r="I34" s="26">
        <f t="shared" si="17"/>
        <v>0</v>
      </c>
      <c r="J34" s="24">
        <f t="shared" si="36"/>
        <v>0</v>
      </c>
      <c r="K34" s="26">
        <f>VLOOKUP($C34,COS!$B$8:$H$991,2,FALSE)</f>
        <v>1764.862060546875</v>
      </c>
      <c r="L34" s="24">
        <f t="shared" si="19"/>
        <v>1</v>
      </c>
      <c r="M34" s="24">
        <f t="shared" si="20"/>
        <v>1</v>
      </c>
      <c r="N34" s="26">
        <f>VLOOKUP($C34,COS!$B$8:$H$991,5,FALSE)</f>
        <v>251.78248596191406</v>
      </c>
      <c r="O34" s="26">
        <f t="shared" si="39"/>
        <v>14.982098338229596</v>
      </c>
      <c r="P34" s="26">
        <f>VLOOKUP($C34,COS!$B$8:$H$991,6,FALSE)</f>
        <v>2484.036376953125</v>
      </c>
      <c r="Q34" s="26">
        <f t="shared" si="40"/>
        <v>147.81042904183886</v>
      </c>
      <c r="R34" s="26">
        <f>MIN(IF(MONTH($C34)=4,$S$3,IF(MONTH($C34)=5,$S$4,IF(MONTH($C34)=6,$S$5,IF(MONTH($C34)=7,$S$6,"ERROR")))),MAX(VLOOKUP($C34,COS!$B$8:$K$991,10,FALSE)-IF(MONTH($C34)=4,$Y$3,IF(MONTH($C34)=5,$Y$4,IF(MONTH($C34)=6,$Y$5,IF(MONTH($C34)=7,$Y$6,"ERROR")))),0),MAX(VLOOKUP($C34,COS!$B$8:$K$991,9,FALSE)-IF(MONTH($C34)=4,$V$3,IF(MONTH($C34)=5,$V$4,IF(MONTH($C34)=6,$V$5,IF(MONTH($C34)=7,$V$6,"ERROR"))))-VLOOKUP($C34,COS!$B$8:$K$991,6,FALSE)/2,0))</f>
        <v>1500</v>
      </c>
      <c r="S34" s="26">
        <f t="shared" si="41"/>
        <v>89.256198347107429</v>
      </c>
      <c r="T34" s="26">
        <f t="shared" si="42"/>
        <v>170.65246203714167</v>
      </c>
      <c r="U34" s="26" t="str">
        <f>IF(VLOOKUP($C34,COS!$B$8:$I$991,8,FALSE)=1,"UWFE","IBU")</f>
        <v>IBU</v>
      </c>
      <c r="V34" s="26">
        <f t="shared" ref="V34" si="45">MIN(IF(IF($AA$3=2,AND(E34=1,G34=1,L34=1,L37=1,M34=1,U34="IBU"),AND(E34=1,G34=1,L34=1,L37=1,M34=1)),T34,0),I34)</f>
        <v>0</v>
      </c>
      <c r="W34" s="26"/>
      <c r="X34" s="26"/>
      <c r="Y34" s="26"/>
      <c r="Z34" s="26"/>
      <c r="AA34" s="26"/>
      <c r="AB34" s="33"/>
      <c r="AC34" s="6"/>
      <c r="AD34" s="43">
        <v>1942</v>
      </c>
      <c r="AE34" s="1">
        <f>VLOOKUP(AD34,Flags!$A$13:$B$95,2,FALSE)</f>
        <v>1</v>
      </c>
      <c r="AF34" s="43">
        <f t="shared" si="6"/>
        <v>277.68167936466938</v>
      </c>
      <c r="AG34" s="43">
        <f t="shared" si="7"/>
        <v>681.46334333435561</v>
      </c>
      <c r="AH34" s="43">
        <f t="shared" si="8"/>
        <v>0</v>
      </c>
      <c r="AI34" s="43">
        <f t="shared" si="9"/>
        <v>176.70108083677687</v>
      </c>
      <c r="AJ34" s="43">
        <f t="shared" si="10"/>
        <v>142.97065114927688</v>
      </c>
      <c r="AK34" s="43">
        <f t="shared" si="1"/>
        <v>0</v>
      </c>
      <c r="AL34" s="43">
        <f t="shared" si="11"/>
        <v>0</v>
      </c>
      <c r="AN34" s="6"/>
    </row>
    <row r="35" spans="1:42" x14ac:dyDescent="0.3">
      <c r="A35" s="32">
        <f>VLOOKUP(YEAR(C35),Flags!$A$13:$B$95,2,FALSE)</f>
        <v>5</v>
      </c>
      <c r="B35" s="24">
        <f t="shared" si="2"/>
        <v>1924</v>
      </c>
      <c r="C35" s="25">
        <v>8979</v>
      </c>
      <c r="D35" s="26">
        <f>VLOOKUP($C35,COS!$B$8:$H$991,3,FALSE)</f>
        <v>9371.8037109375</v>
      </c>
      <c r="E35" s="24">
        <f>IF(D35&gt;=IF(MONTH($C35)=4,$C$3,IF(MONTH($C35)=5,$C$4,IF(MONTH($C35)=6,$C$5,IF(MONTH($C35)=7,$C$6,"ERROR")))),1,0)</f>
        <v>0</v>
      </c>
      <c r="F35" s="26">
        <f>VLOOKUP($C35,COS!$B$8:$H$991,7,FALSE)</f>
        <v>55.104015350341797</v>
      </c>
      <c r="G35" s="24">
        <f>IF(F35&lt;=IF(MONTH($C35)=4,$F$3,IF(MONTH($C35)=5,$F$4,IF(MONTH($C35)=6,$F$5,IF(MONTH($C35)=7,$F$6,"ERROR")))),1,0)</f>
        <v>0</v>
      </c>
      <c r="H35" s="26">
        <f>IF(J35=1,D35-$C$6,0)</f>
        <v>0</v>
      </c>
      <c r="I35" s="26">
        <f t="shared" si="17"/>
        <v>0</v>
      </c>
      <c r="J35" s="24">
        <f t="shared" si="36"/>
        <v>0</v>
      </c>
      <c r="K35" s="26">
        <f>VLOOKUP($C35,COS!$B$8:$H$991,2,FALSE)</f>
        <v>1413.5540771484375</v>
      </c>
      <c r="L35" s="24">
        <f t="shared" si="19"/>
        <v>1</v>
      </c>
      <c r="M35" s="24">
        <f t="shared" si="20"/>
        <v>1</v>
      </c>
      <c r="N35" s="26">
        <f>VLOOKUP($C35,COS!$B$8:$H$991,5,FALSE)</f>
        <v>274.10446166992188</v>
      </c>
      <c r="O35" s="26">
        <f t="shared" si="39"/>
        <v>16.854026403505941</v>
      </c>
      <c r="P35" s="26">
        <f>VLOOKUP($C35,COS!$B$8:$H$991,6,FALSE)</f>
        <v>2281.4833984375</v>
      </c>
      <c r="Q35" s="26">
        <f t="shared" si="40"/>
        <v>140.28294615185951</v>
      </c>
      <c r="R35" s="26">
        <f>MIN(IF(MONTH($C35)=4,$S$3,IF(MONTH($C35)=5,$S$4,IF(MONTH($C35)=6,$S$5,IF(MONTH($C35)=7,$S$6,"ERROR")))),MAX(VLOOKUP($C35,COS!$B$8:$K$991,10,FALSE)-IF(MONTH($C35)=4,$Y$3,IF(MONTH($C35)=5,$Y$4,IF(MONTH($C35)=6,$Y$5,IF(MONTH($C35)=7,$Y$6,"ERROR")))),0),MAX(VLOOKUP($C35,COS!$B$8:$K$991,9,FALSE)-IF(MONTH($C35)=4,$V$3,IF(MONTH($C35)=5,$V$4,IF(MONTH($C35)=6,$V$5,IF(MONTH($C35)=7,$V$6,"ERROR"))))-VLOOKUP($C35,COS!$B$8:$K$991,6,FALSE)/2,0))</f>
        <v>1500</v>
      </c>
      <c r="S35" s="26">
        <f t="shared" si="41"/>
        <v>92.231404958677686</v>
      </c>
      <c r="T35" s="26">
        <f t="shared" si="42"/>
        <v>170.79989123636039</v>
      </c>
      <c r="U35" s="26" t="str">
        <f>IF(VLOOKUP($C35,COS!$B$8:$I$991,8,FALSE)=1,"UWFE","IBU")</f>
        <v>IBU</v>
      </c>
      <c r="V35" s="26">
        <f t="shared" ref="V35" si="46">MIN(IF(IF($AA$3=2,AND(E35=1,G35=1,L35=1,L37=1,M35=1,U35="IBU"),AND(E35=1,G35=1,L35=1,L37=1,M35=1)),T35,0),I35)</f>
        <v>0</v>
      </c>
      <c r="W35" s="26"/>
      <c r="X35" s="26"/>
      <c r="Y35" s="26"/>
      <c r="Z35" s="26"/>
      <c r="AA35" s="26"/>
      <c r="AB35" s="33"/>
      <c r="AC35" s="6"/>
      <c r="AD35" s="43">
        <v>1943</v>
      </c>
      <c r="AE35" s="1">
        <f>VLOOKUP(AD35,Flags!$A$13:$B$95,2,FALSE)</f>
        <v>1</v>
      </c>
      <c r="AF35" s="43">
        <f t="shared" si="6"/>
        <v>317.65369544163224</v>
      </c>
      <c r="AG35" s="43">
        <f t="shared" si="7"/>
        <v>677.93526625451966</v>
      </c>
      <c r="AH35" s="43">
        <f t="shared" si="8"/>
        <v>0</v>
      </c>
      <c r="AI35" s="43">
        <f t="shared" si="9"/>
        <v>140.52494850852275</v>
      </c>
      <c r="AJ35" s="43">
        <f t="shared" si="10"/>
        <v>283.83824287855919</v>
      </c>
      <c r="AK35" s="43">
        <f t="shared" si="1"/>
        <v>21.004597717789579</v>
      </c>
      <c r="AL35" s="43">
        <f t="shared" si="11"/>
        <v>0</v>
      </c>
    </row>
    <row r="36" spans="1:42" x14ac:dyDescent="0.3">
      <c r="A36" s="32">
        <f>VLOOKUP(YEAR(C36),Flags!$A$13:$B$95,2,FALSE)</f>
        <v>5</v>
      </c>
      <c r="B36" s="24">
        <f t="shared" si="2"/>
        <v>1924</v>
      </c>
      <c r="C36" s="25">
        <v>9010</v>
      </c>
      <c r="D36" s="26"/>
      <c r="E36" s="24"/>
      <c r="F36" s="26"/>
      <c r="G36" s="24"/>
      <c r="H36" s="24"/>
      <c r="I36" s="26"/>
      <c r="J36" s="24"/>
      <c r="K36" s="26"/>
      <c r="L36" s="24"/>
      <c r="M36" s="24"/>
      <c r="N36" s="26"/>
      <c r="O36" s="26"/>
      <c r="P36" s="26"/>
      <c r="Q36" s="26"/>
      <c r="R36" s="26"/>
      <c r="S36" s="26"/>
      <c r="T36" s="26"/>
      <c r="U36" s="26"/>
      <c r="V36" s="26"/>
      <c r="W36" s="26">
        <f>MAX($C$7-VLOOKUP($C36,COS!$B$8:$H$991,3,FALSE),0)</f>
        <v>3865.53125</v>
      </c>
      <c r="X36" s="26">
        <f t="shared" si="31"/>
        <v>237.68225206611569</v>
      </c>
      <c r="Y36" s="26">
        <f>VLOOKUP($C36,COS!$B$8:$H$991,4,FALSE)</f>
        <v>3013.011474609375</v>
      </c>
      <c r="Z36" s="26">
        <f t="shared" si="32"/>
        <v>185.26285430655992</v>
      </c>
      <c r="AA36" s="26">
        <f t="shared" ref="AA36:AA40" si="47">MIN(W36,Y36)</f>
        <v>3013.011474609375</v>
      </c>
      <c r="AB36" s="33">
        <f t="shared" ref="AB36" si="48">AA36*DAY($C36)*86400/43560/1000*IF(MONTH($C36)=8,$P$3,IF(MONTH($C36)=9,$P$4,IF(MONTH($C36)=10,$P$5,IF(MONTH($C36)=11,$P$6,IF(MONTH($C36)=12,$P$7,NA())))))</f>
        <v>185.26285430655992</v>
      </c>
      <c r="AC36" s="6"/>
      <c r="AD36" s="43">
        <v>1944</v>
      </c>
      <c r="AE36" s="1">
        <f>VLOOKUP(AD36,Flags!$A$13:$B$95,2,FALSE)</f>
        <v>4</v>
      </c>
      <c r="AF36" s="43">
        <f t="shared" si="6"/>
        <v>0</v>
      </c>
      <c r="AG36" s="43">
        <f t="shared" si="7"/>
        <v>536.4356380027582</v>
      </c>
      <c r="AH36" s="43">
        <f t="shared" si="8"/>
        <v>0</v>
      </c>
      <c r="AI36" s="43">
        <f t="shared" si="9"/>
        <v>469.34412125516531</v>
      </c>
      <c r="AJ36" s="43">
        <f t="shared" si="10"/>
        <v>425.35607502582639</v>
      </c>
      <c r="AK36" s="43">
        <f t="shared" si="1"/>
        <v>259.73199299457644</v>
      </c>
      <c r="AL36" s="43">
        <f t="shared" si="11"/>
        <v>0</v>
      </c>
    </row>
    <row r="37" spans="1:42" x14ac:dyDescent="0.3">
      <c r="A37" s="32">
        <f>VLOOKUP(YEAR(C37),Flags!$A$13:$B$95,2,FALSE)</f>
        <v>5</v>
      </c>
      <c r="B37" s="24">
        <f t="shared" si="2"/>
        <v>1924</v>
      </c>
      <c r="C37" s="25">
        <v>9040</v>
      </c>
      <c r="D37" s="26"/>
      <c r="E37" s="24"/>
      <c r="F37" s="26"/>
      <c r="G37" s="24"/>
      <c r="H37" s="24"/>
      <c r="I37" s="26"/>
      <c r="J37" s="24"/>
      <c r="K37" s="26">
        <f>VLOOKUP($C37,COS!$B$8:$H$991,2,FALSE)</f>
        <v>953.81658935546875</v>
      </c>
      <c r="L37" s="24">
        <f t="shared" ref="L37" si="49">IF(AND(K37&gt;$I$7,K37&lt;$I$8),1,0)</f>
        <v>1</v>
      </c>
      <c r="M37" s="24"/>
      <c r="N37" s="26"/>
      <c r="O37" s="26"/>
      <c r="P37" s="26"/>
      <c r="Q37" s="26"/>
      <c r="R37" s="26"/>
      <c r="S37" s="26"/>
      <c r="T37" s="26"/>
      <c r="U37" s="26"/>
      <c r="V37" s="26"/>
      <c r="W37" s="26">
        <f>MAX($C$8-VLOOKUP($C37,COS!$B$8:$H$991,3,FALSE),0)</f>
        <v>0</v>
      </c>
      <c r="X37" s="26">
        <f t="shared" si="31"/>
        <v>0</v>
      </c>
      <c r="Y37" s="26">
        <f>VLOOKUP($C37,COS!$B$8:$H$991,4,FALSE)</f>
        <v>1832.2586669921875</v>
      </c>
      <c r="Z37" s="26">
        <f t="shared" si="32"/>
        <v>109.02696200284092</v>
      </c>
      <c r="AA37" s="26">
        <f t="shared" si="47"/>
        <v>0</v>
      </c>
      <c r="AB37" s="33">
        <f t="shared" si="34"/>
        <v>0</v>
      </c>
      <c r="AC37" s="6"/>
      <c r="AD37" s="43">
        <v>1945</v>
      </c>
      <c r="AE37" s="1">
        <f>VLOOKUP(AD37,Flags!$A$13:$B$95,2,FALSE)</f>
        <v>3</v>
      </c>
      <c r="AF37" s="43">
        <f t="shared" si="6"/>
        <v>114.73130423553718</v>
      </c>
      <c r="AG37" s="43">
        <f t="shared" si="7"/>
        <v>638.10357915200473</v>
      </c>
      <c r="AH37" s="43">
        <f t="shared" si="8"/>
        <v>0</v>
      </c>
      <c r="AI37" s="43">
        <f t="shared" si="9"/>
        <v>151.19810563016529</v>
      </c>
      <c r="AJ37" s="43">
        <f t="shared" si="10"/>
        <v>122.39421326188017</v>
      </c>
      <c r="AK37" s="43">
        <f t="shared" si="1"/>
        <v>48.501172318892046</v>
      </c>
      <c r="AL37" s="43">
        <f t="shared" si="11"/>
        <v>0</v>
      </c>
    </row>
    <row r="38" spans="1:42" x14ac:dyDescent="0.3">
      <c r="A38" s="32">
        <f>VLOOKUP(YEAR(C38),Flags!$A$13:$B$95,2,FALSE)</f>
        <v>5</v>
      </c>
      <c r="B38" s="24">
        <f t="shared" si="2"/>
        <v>1924</v>
      </c>
      <c r="C38" s="25">
        <v>9071</v>
      </c>
      <c r="D38" s="26"/>
      <c r="E38" s="24"/>
      <c r="F38" s="26"/>
      <c r="G38" s="26"/>
      <c r="H38" s="26"/>
      <c r="I38" s="26"/>
      <c r="J38" s="26"/>
      <c r="K38" s="26"/>
      <c r="L38" s="24"/>
      <c r="M38" s="24"/>
      <c r="N38" s="26"/>
      <c r="O38" s="26"/>
      <c r="P38" s="26"/>
      <c r="Q38" s="26"/>
      <c r="R38" s="26"/>
      <c r="S38" s="26"/>
      <c r="T38" s="26"/>
      <c r="U38" s="26"/>
      <c r="V38" s="26"/>
      <c r="W38" s="26">
        <f>MAX($C$9-VLOOKUP($C38,COS!$B$8:$H$991,3,FALSE),0)</f>
        <v>976.56103515625</v>
      </c>
      <c r="X38" s="26">
        <f t="shared" si="31"/>
        <v>60.046397533574378</v>
      </c>
      <c r="Y38" s="26">
        <f>VLOOKUP($C38,COS!$B$8:$H$991,4,FALSE)</f>
        <v>661.1058349609375</v>
      </c>
      <c r="Z38" s="26">
        <f t="shared" si="32"/>
        <v>40.649813323217977</v>
      </c>
      <c r="AA38" s="26">
        <f t="shared" si="47"/>
        <v>661.1058349609375</v>
      </c>
      <c r="AB38" s="33">
        <f t="shared" si="34"/>
        <v>40.649813323217977</v>
      </c>
      <c r="AC38" s="6"/>
      <c r="AD38" s="43">
        <v>1946</v>
      </c>
      <c r="AE38" s="1">
        <f>VLOOKUP(AD38,Flags!$A$13:$B$95,2,FALSE)</f>
        <v>2</v>
      </c>
      <c r="AF38" s="43">
        <f t="shared" si="6"/>
        <v>407.88433400051656</v>
      </c>
      <c r="AG38" s="43">
        <f t="shared" si="7"/>
        <v>703.64850392239146</v>
      </c>
      <c r="AH38" s="43">
        <f t="shared" si="8"/>
        <v>0</v>
      </c>
      <c r="AI38" s="43">
        <f t="shared" si="9"/>
        <v>125.16402117768595</v>
      </c>
      <c r="AJ38" s="43">
        <f t="shared" si="10"/>
        <v>168.4989415192407</v>
      </c>
      <c r="AK38" s="43">
        <f t="shared" si="1"/>
        <v>0</v>
      </c>
      <c r="AL38" s="43">
        <f t="shared" si="11"/>
        <v>0</v>
      </c>
    </row>
    <row r="39" spans="1:42" x14ac:dyDescent="0.3">
      <c r="A39" s="32">
        <f>VLOOKUP(YEAR(C39),Flags!$A$13:$B$95,2,FALSE)</f>
        <v>5</v>
      </c>
      <c r="B39" s="24">
        <f t="shared" si="2"/>
        <v>1924</v>
      </c>
      <c r="C39" s="25">
        <v>9101</v>
      </c>
      <c r="D39" s="26"/>
      <c r="E39" s="24"/>
      <c r="F39" s="26"/>
      <c r="G39" s="26"/>
      <c r="H39" s="26"/>
      <c r="I39" s="26"/>
      <c r="J39" s="26"/>
      <c r="K39" s="26"/>
      <c r="L39" s="24"/>
      <c r="M39" s="24"/>
      <c r="N39" s="26"/>
      <c r="O39" s="26"/>
      <c r="P39" s="26"/>
      <c r="Q39" s="26"/>
      <c r="R39" s="26"/>
      <c r="S39" s="26"/>
      <c r="T39" s="26"/>
      <c r="U39" s="26"/>
      <c r="V39" s="26"/>
      <c r="W39" s="26">
        <f>MAX($C$10-VLOOKUP($C39,COS!$B$8:$H$991,3,FALSE),0)</f>
        <v>1750</v>
      </c>
      <c r="X39" s="26">
        <f t="shared" si="31"/>
        <v>104.13223140495867</v>
      </c>
      <c r="Y39" s="26">
        <f>VLOOKUP($C39,COS!$B$8:$H$991,4,FALSE)</f>
        <v>1030.6826171875</v>
      </c>
      <c r="Z39" s="26">
        <f t="shared" si="32"/>
        <v>61.329874741735537</v>
      </c>
      <c r="AA39" s="26">
        <f t="shared" si="47"/>
        <v>1030.6826171875</v>
      </c>
      <c r="AB39" s="33">
        <f t="shared" si="34"/>
        <v>61.329874741735537</v>
      </c>
      <c r="AC39" s="6"/>
      <c r="AD39" s="43">
        <v>1947</v>
      </c>
      <c r="AE39" s="1">
        <f>VLOOKUP(AD39,Flags!$A$13:$B$95,2,FALSE)</f>
        <v>4</v>
      </c>
      <c r="AF39" s="43">
        <f t="shared" si="6"/>
        <v>277.55906249999998</v>
      </c>
      <c r="AG39" s="43">
        <f t="shared" si="7"/>
        <v>637.84218946724877</v>
      </c>
      <c r="AH39" s="43">
        <f t="shared" si="8"/>
        <v>277.55906249999998</v>
      </c>
      <c r="AI39" s="43">
        <f t="shared" si="9"/>
        <v>503.6050297004133</v>
      </c>
      <c r="AJ39" s="43">
        <f t="shared" si="10"/>
        <v>397.17103701252586</v>
      </c>
      <c r="AK39" s="43">
        <f t="shared" si="1"/>
        <v>333.07468499806305</v>
      </c>
      <c r="AL39" s="43">
        <f t="shared" si="11"/>
        <v>277.55906249999998</v>
      </c>
    </row>
    <row r="40" spans="1:42" x14ac:dyDescent="0.3">
      <c r="A40" s="34">
        <f>VLOOKUP(YEAR(C40),Flags!$A$13:$B$95,2,FALSE)</f>
        <v>5</v>
      </c>
      <c r="B40" s="35">
        <f t="shared" si="2"/>
        <v>1924</v>
      </c>
      <c r="C40" s="36">
        <v>9132</v>
      </c>
      <c r="D40" s="37"/>
      <c r="E40" s="35"/>
      <c r="F40" s="37"/>
      <c r="G40" s="37"/>
      <c r="H40" s="37"/>
      <c r="I40" s="37"/>
      <c r="J40" s="37"/>
      <c r="K40" s="37"/>
      <c r="L40" s="35"/>
      <c r="M40" s="35"/>
      <c r="N40" s="37"/>
      <c r="O40" s="37"/>
      <c r="P40" s="37"/>
      <c r="Q40" s="37"/>
      <c r="R40" s="37"/>
      <c r="S40" s="37"/>
      <c r="T40" s="37"/>
      <c r="U40" s="37"/>
      <c r="V40" s="37"/>
      <c r="W40" s="37">
        <f>MAX($C$11-VLOOKUP($C40,COS!$B$8:$H$991,3,FALSE),0)</f>
        <v>1750</v>
      </c>
      <c r="X40" s="37">
        <f t="shared" si="31"/>
        <v>107.60330578512398</v>
      </c>
      <c r="Y40" s="37">
        <f>VLOOKUP($C40,COS!$B$8:$H$991,4,FALSE)</f>
        <v>3291.532958984375</v>
      </c>
      <c r="Z40" s="37">
        <f t="shared" si="32"/>
        <v>202.38847284994836</v>
      </c>
      <c r="AA40" s="37">
        <f t="shared" si="47"/>
        <v>1750</v>
      </c>
      <c r="AB40" s="38">
        <f t="shared" si="34"/>
        <v>107.60330578512398</v>
      </c>
      <c r="AC40" s="6"/>
      <c r="AD40" s="43">
        <v>1948</v>
      </c>
      <c r="AE40" s="1">
        <f>VLOOKUP(AD40,Flags!$A$13:$B$95,2,FALSE)</f>
        <v>3</v>
      </c>
      <c r="AF40" s="43">
        <f t="shared" si="6"/>
        <v>208.57675878099175</v>
      </c>
      <c r="AG40" s="43">
        <f t="shared" si="7"/>
        <v>636.59657708538452</v>
      </c>
      <c r="AH40" s="43">
        <f t="shared" si="8"/>
        <v>0</v>
      </c>
      <c r="AI40" s="43">
        <f t="shared" si="9"/>
        <v>310.65927040289262</v>
      </c>
      <c r="AJ40" s="43">
        <f t="shared" si="10"/>
        <v>206.49819967474818</v>
      </c>
      <c r="AK40" s="43">
        <f t="shared" si="1"/>
        <v>138.64135005730242</v>
      </c>
      <c r="AL40" s="43">
        <f t="shared" si="11"/>
        <v>0</v>
      </c>
    </row>
    <row r="41" spans="1:42" x14ac:dyDescent="0.3">
      <c r="A41" s="27">
        <f>VLOOKUP(YEAR(C41),Flags!$A$13:$B$95,2,FALSE)</f>
        <v>4</v>
      </c>
      <c r="B41" s="28">
        <f t="shared" si="2"/>
        <v>1925</v>
      </c>
      <c r="C41" s="29">
        <v>9252</v>
      </c>
      <c r="D41" s="30">
        <f>VLOOKUP($C41,COS!$B$8:$H$991,3,FALSE)</f>
        <v>3250</v>
      </c>
      <c r="E41" s="28">
        <f>IF(D41&gt;=IF(MONTH($C41)=4,$C$3,IF(MONTH($C41)=5,$C$4,IF(MONTH($C41)=6,$C$5,IF(MONTH($C41)=7,$C$6,"ERROR")))),1,0)</f>
        <v>0</v>
      </c>
      <c r="F41" s="30">
        <f>VLOOKUP($C41,COS!$B$8:$H$991,7,FALSE)</f>
        <v>49.611015319824219</v>
      </c>
      <c r="G41" s="28">
        <f>IF(F41&lt;=IF(MONTH($C41)=4,$F$3,IF(MONTH($C41)=5,$F$4,IF(MONTH($C41)=6,$F$5,IF(MONTH($C41)=7,$F$6,"ERROR")))),1,0)</f>
        <v>1</v>
      </c>
      <c r="H41" s="30">
        <f>IF(J41=1,D41-$C$3,0)</f>
        <v>0</v>
      </c>
      <c r="I41" s="30">
        <f t="shared" si="17"/>
        <v>0</v>
      </c>
      <c r="J41" s="28">
        <f t="shared" ref="J41:J44" si="50">IF(AND(E41=1,G41=1),1,0)</f>
        <v>0</v>
      </c>
      <c r="K41" s="30">
        <f>VLOOKUP($C41,COS!$B$8:$H$991,2,FALSE)</f>
        <v>4202.82470703125</v>
      </c>
      <c r="L41" s="28">
        <f t="shared" ref="L41" si="51">IF(K41&lt;=IF(MONTH($C41)=4,$I$3,IF(MONTH($C41)=5,$I$4,IF(MONTH($C41)=6,$I$5,IF(MONTH($C41)=7,$I$6,"ERROR")))),1,0)</f>
        <v>1</v>
      </c>
      <c r="M41" s="28">
        <f t="shared" ref="M41" si="52">VLOOKUP($A41,$L$3:$M$7,2,FALSE)</f>
        <v>1</v>
      </c>
      <c r="N41" s="30">
        <f>VLOOKUP($C41,COS!$B$8:$H$991,5,FALSE)</f>
        <v>154.96903991699219</v>
      </c>
      <c r="O41" s="30">
        <f t="shared" ref="O41:O44" si="53">N41*DAY($C41)*86400/43560/1000</f>
        <v>9.2212982429945765</v>
      </c>
      <c r="P41" s="30">
        <f>VLOOKUP($C41,COS!$B$8:$H$991,6,FALSE)</f>
        <v>375.54595947265625</v>
      </c>
      <c r="Q41" s="30">
        <f t="shared" ref="Q41:Q44" si="54">P41*DAY($C41)*86400/43560/1000</f>
        <v>22.346536431430785</v>
      </c>
      <c r="R41" s="30">
        <f>MIN(IF(MONTH($C41)=4,$S$3,IF(MONTH($C41)=5,$S$4,IF(MONTH($C41)=6,$S$5,IF(MONTH($C41)=7,$S$6,"ERROR")))),MAX(VLOOKUP($C41,COS!$B$8:$K$991,10,FALSE)-IF(MONTH($C41)=4,$Y$3,IF(MONTH($C41)=5,$Y$4,IF(MONTH($C41)=6,$Y$5,IF(MONTH($C41)=7,$Y$6,"ERROR")))),0),MAX(VLOOKUP($C41,COS!$B$8:$K$991,9,FALSE)-IF(MONTH($C41)=4,$V$3,IF(MONTH($C41)=5,$V$4,IF(MONTH($C41)=6,$V$5,IF(MONTH($C41)=7,$V$6,"ERROR"))))-VLOOKUP($C41,COS!$B$8:$K$991,6,FALSE)/2,0))</f>
        <v>1500</v>
      </c>
      <c r="S41" s="30">
        <f t="shared" ref="S41:S44" si="55">R41*DAY($C41)*86400/43560/1000</f>
        <v>89.256198347107429</v>
      </c>
      <c r="T41" s="30">
        <f t="shared" ref="T41:T44" si="56">(O41+Q41)/2+S41</f>
        <v>105.04011568432011</v>
      </c>
      <c r="U41" s="30" t="str">
        <f>IF(VLOOKUP($C41,COS!$B$8:$I$991,8,FALSE)=1,"UWFE","IBU")</f>
        <v>UWFE</v>
      </c>
      <c r="V41" s="30">
        <f t="shared" ref="V41" si="57">MIN(IF(IF($AA$3=2,AND(E41=1,G41=1,L41=1,L46=1,M41=1,U41="IBU"),AND(E41=1,G41=1,L41=1,L46=1,M41=1)),T41,0),I41)</f>
        <v>0</v>
      </c>
      <c r="W41" s="30"/>
      <c r="X41" s="30"/>
      <c r="Y41" s="30"/>
      <c r="Z41" s="30"/>
      <c r="AA41" s="30"/>
      <c r="AB41" s="31"/>
      <c r="AC41" s="6"/>
      <c r="AD41" s="43">
        <v>1949</v>
      </c>
      <c r="AE41" s="1">
        <f>VLOOKUP(AD41,Flags!$A$13:$B$95,2,FALSE)</f>
        <v>4</v>
      </c>
      <c r="AF41" s="43">
        <f t="shared" si="6"/>
        <v>193.31074993543388</v>
      </c>
      <c r="AG41" s="43">
        <f t="shared" si="7"/>
        <v>668.08874654974829</v>
      </c>
      <c r="AH41" s="43">
        <f t="shared" si="8"/>
        <v>156.38789449896694</v>
      </c>
      <c r="AI41" s="43">
        <f t="shared" si="9"/>
        <v>312.288248321281</v>
      </c>
      <c r="AJ41" s="43">
        <f t="shared" si="10"/>
        <v>433.91744003422002</v>
      </c>
      <c r="AK41" s="43">
        <f t="shared" si="1"/>
        <v>254.02044276213843</v>
      </c>
      <c r="AL41" s="43">
        <f t="shared" si="11"/>
        <v>156.38789449896694</v>
      </c>
    </row>
    <row r="42" spans="1:42" x14ac:dyDescent="0.3">
      <c r="A42" s="32">
        <f>VLOOKUP(YEAR(C42),Flags!$A$13:$B$95,2,FALSE)</f>
        <v>4</v>
      </c>
      <c r="B42" s="24">
        <f t="shared" si="2"/>
        <v>1925</v>
      </c>
      <c r="C42" s="25">
        <v>9283</v>
      </c>
      <c r="D42" s="26">
        <f>VLOOKUP($C42,COS!$B$8:$H$991,3,FALSE)</f>
        <v>6016.6982421875</v>
      </c>
      <c r="E42" s="24">
        <f>IF(D42&gt;=IF(MONTH($C42)=4,$C$3,IF(MONTH($C42)=5,$C$4,IF(MONTH($C42)=6,$C$5,IF(MONTH($C42)=7,$C$6,"ERROR")))),1,0)</f>
        <v>1</v>
      </c>
      <c r="F42" s="26">
        <f>VLOOKUP($C42,COS!$B$8:$H$991,7,FALSE)</f>
        <v>50.364429473876953</v>
      </c>
      <c r="G42" s="24">
        <f>IF(F42&lt;=IF(MONTH($C42)=4,$F$3,IF(MONTH($C42)=5,$F$4,IF(MONTH($C42)=6,$F$5,IF(MONTH($C42)=7,$F$6,"ERROR")))),1,0)</f>
        <v>1</v>
      </c>
      <c r="H42" s="26">
        <f>IF(J42=1,D42-$C$4,0)</f>
        <v>16.6982421875</v>
      </c>
      <c r="I42" s="26">
        <f t="shared" si="17"/>
        <v>1.0267348915289256</v>
      </c>
      <c r="J42" s="24">
        <f t="shared" si="50"/>
        <v>1</v>
      </c>
      <c r="K42" s="26">
        <f>VLOOKUP($C42,COS!$B$8:$H$991,2,FALSE)</f>
        <v>4282.16650390625</v>
      </c>
      <c r="L42" s="24">
        <f t="shared" si="19"/>
        <v>1</v>
      </c>
      <c r="M42" s="24">
        <f t="shared" si="20"/>
        <v>1</v>
      </c>
      <c r="N42" s="26">
        <f>VLOOKUP($C42,COS!$B$8:$H$991,5,FALSE)</f>
        <v>377.79129028320313</v>
      </c>
      <c r="O42" s="26">
        <f t="shared" si="53"/>
        <v>23.229480989314307</v>
      </c>
      <c r="P42" s="26">
        <f>VLOOKUP($C42,COS!$B$8:$H$991,6,FALSE)</f>
        <v>1796.5595703125</v>
      </c>
      <c r="Q42" s="26">
        <f t="shared" si="54"/>
        <v>110.46614217458676</v>
      </c>
      <c r="R42" s="26">
        <f>MIN(IF(MONTH($C42)=4,$S$3,IF(MONTH($C42)=5,$S$4,IF(MONTH($C42)=6,$S$5,IF(MONTH($C42)=7,$S$6,"ERROR")))),MAX(VLOOKUP($C42,COS!$B$8:$K$991,10,FALSE)-IF(MONTH($C42)=4,$Y$3,IF(MONTH($C42)=5,$Y$4,IF(MONTH($C42)=6,$Y$5,IF(MONTH($C42)=7,$Y$6,"ERROR")))),0),MAX(VLOOKUP($C42,COS!$B$8:$K$991,9,FALSE)-IF(MONTH($C42)=4,$V$3,IF(MONTH($C42)=5,$V$4,IF(MONTH($C42)=6,$V$5,IF(MONTH($C42)=7,$V$6,"ERROR"))))-VLOOKUP($C42,COS!$B$8:$K$991,6,FALSE)/2,0))</f>
        <v>1500</v>
      </c>
      <c r="S42" s="26">
        <f t="shared" si="55"/>
        <v>92.231404958677686</v>
      </c>
      <c r="T42" s="26">
        <f t="shared" si="56"/>
        <v>159.07921654062824</v>
      </c>
      <c r="U42" s="26" t="str">
        <f>IF(VLOOKUP($C42,COS!$B$8:$I$991,8,FALSE)=1,"UWFE","IBU")</f>
        <v>UWFE</v>
      </c>
      <c r="V42" s="26">
        <f t="shared" ref="V42" si="58">MIN(IF(IF($AA$3=2,AND(E42=1,G42=1,L42=1,L46=1,M42=1,U42="IBU"),AND(E42=1,G42=1,L42=1,L46=1,M42=1)),T42,0),I42)</f>
        <v>0</v>
      </c>
      <c r="W42" s="26"/>
      <c r="X42" s="26"/>
      <c r="Y42" s="26"/>
      <c r="Z42" s="26"/>
      <c r="AA42" s="26"/>
      <c r="AB42" s="33"/>
      <c r="AC42" s="6"/>
      <c r="AD42" s="43">
        <v>1950</v>
      </c>
      <c r="AE42" s="1">
        <f>VLOOKUP(AD42,Flags!$A$13:$B$95,2,FALSE)</f>
        <v>4</v>
      </c>
      <c r="AF42" s="43">
        <f t="shared" si="6"/>
        <v>24.391813985020661</v>
      </c>
      <c r="AG42" s="43">
        <f t="shared" si="7"/>
        <v>648.70872080905383</v>
      </c>
      <c r="AH42" s="43">
        <f t="shared" si="8"/>
        <v>0</v>
      </c>
      <c r="AI42" s="43">
        <f t="shared" si="9"/>
        <v>242.19135201446278</v>
      </c>
      <c r="AJ42" s="43">
        <f t="shared" si="10"/>
        <v>112.07308938775182</v>
      </c>
      <c r="AK42" s="43">
        <f t="shared" si="1"/>
        <v>26.874434138526603</v>
      </c>
      <c r="AL42" s="43">
        <f t="shared" si="11"/>
        <v>0</v>
      </c>
    </row>
    <row r="43" spans="1:42" x14ac:dyDescent="0.3">
      <c r="A43" s="32">
        <f>VLOOKUP(YEAR(C43),Flags!$A$13:$B$95,2,FALSE)</f>
        <v>4</v>
      </c>
      <c r="B43" s="24">
        <f t="shared" si="2"/>
        <v>1925</v>
      </c>
      <c r="C43" s="25">
        <v>9313</v>
      </c>
      <c r="D43" s="26">
        <f>VLOOKUP($C43,COS!$B$8:$H$991,3,FALSE)</f>
        <v>9612.4140625</v>
      </c>
      <c r="E43" s="24">
        <f>IF(D43&gt;=IF(MONTH($C43)=4,$C$3,IF(MONTH($C43)=5,$C$4,IF(MONTH($C43)=6,$C$5,IF(MONTH($C43)=7,$C$6,"ERROR")))),1,0)</f>
        <v>0</v>
      </c>
      <c r="F43" s="26">
        <f>VLOOKUP($C43,COS!$B$8:$H$991,7,FALSE)</f>
        <v>50.799709320068359</v>
      </c>
      <c r="G43" s="24">
        <f>IF(F43&lt;=IF(MONTH($C43)=4,$F$3,IF(MONTH($C43)=5,$F$4,IF(MONTH($C43)=6,$F$5,IF(MONTH($C43)=7,$F$6,"ERROR")))),1,0)</f>
        <v>1</v>
      </c>
      <c r="H43" s="26">
        <f>IF(J43=1,D43-$C$5,0)</f>
        <v>0</v>
      </c>
      <c r="I43" s="26">
        <f t="shared" si="17"/>
        <v>0</v>
      </c>
      <c r="J43" s="24">
        <f t="shared" si="50"/>
        <v>0</v>
      </c>
      <c r="K43" s="26">
        <f>VLOOKUP($C43,COS!$B$8:$H$991,2,FALSE)</f>
        <v>3989.940673828125</v>
      </c>
      <c r="L43" s="24">
        <f t="shared" si="19"/>
        <v>1</v>
      </c>
      <c r="M43" s="24">
        <f t="shared" si="20"/>
        <v>1</v>
      </c>
      <c r="N43" s="26">
        <f>VLOOKUP($C43,COS!$B$8:$H$991,5,FALSE)</f>
        <v>794.0576171875</v>
      </c>
      <c r="O43" s="26">
        <f t="shared" si="53"/>
        <v>47.249709452479337</v>
      </c>
      <c r="P43" s="26">
        <f>VLOOKUP($C43,COS!$B$8:$H$991,6,FALSE)</f>
        <v>2591.778564453125</v>
      </c>
      <c r="Q43" s="26">
        <f t="shared" si="54"/>
        <v>154.22153441373965</v>
      </c>
      <c r="R43" s="26">
        <f>MIN(IF(MONTH($C43)=4,$S$3,IF(MONTH($C43)=5,$S$4,IF(MONTH($C43)=6,$S$5,IF(MONTH($C43)=7,$S$6,"ERROR")))),MAX(VLOOKUP($C43,COS!$B$8:$K$991,10,FALSE)-IF(MONTH($C43)=4,$Y$3,IF(MONTH($C43)=5,$Y$4,IF(MONTH($C43)=6,$Y$5,IF(MONTH($C43)=7,$Y$6,"ERROR")))),0),MAX(VLOOKUP($C43,COS!$B$8:$K$991,9,FALSE)-IF(MONTH($C43)=4,$V$3,IF(MONTH($C43)=5,$V$4,IF(MONTH($C43)=6,$V$5,IF(MONTH($C43)=7,$V$6,"ERROR"))))-VLOOKUP($C43,COS!$B$8:$K$991,6,FALSE)/2,0))</f>
        <v>1500</v>
      </c>
      <c r="S43" s="26">
        <f t="shared" si="55"/>
        <v>89.256198347107429</v>
      </c>
      <c r="T43" s="26">
        <f t="shared" si="56"/>
        <v>189.99182028021693</v>
      </c>
      <c r="U43" s="26" t="str">
        <f>IF(VLOOKUP($C43,COS!$B$8:$I$991,8,FALSE)=1,"UWFE","IBU")</f>
        <v>IBU</v>
      </c>
      <c r="V43" s="26">
        <f t="shared" ref="V43" si="59">MIN(IF(IF($AA$3=2,AND(E43=1,G43=1,L43=1,L46=1,M43=1,U43="IBU"),AND(E43=1,G43=1,L43=1,L46=1,M43=1)),T43,0),I43)</f>
        <v>0</v>
      </c>
      <c r="W43" s="26"/>
      <c r="X43" s="26"/>
      <c r="Y43" s="26"/>
      <c r="Z43" s="26"/>
      <c r="AA43" s="26"/>
      <c r="AB43" s="33"/>
      <c r="AC43" s="6"/>
      <c r="AD43" s="43">
        <v>1951</v>
      </c>
      <c r="AE43" s="1">
        <f>VLOOKUP(AD43,Flags!$A$13:$B$95,2,FALSE)</f>
        <v>2</v>
      </c>
      <c r="AF43" s="43">
        <f t="shared" si="6"/>
        <v>318.2121345557851</v>
      </c>
      <c r="AG43" s="43">
        <f t="shared" si="7"/>
        <v>645.21338185207901</v>
      </c>
      <c r="AH43" s="43">
        <f t="shared" si="8"/>
        <v>0</v>
      </c>
      <c r="AI43" s="43">
        <f t="shared" si="9"/>
        <v>42.794771435950409</v>
      </c>
      <c r="AJ43" s="43">
        <f t="shared" si="10"/>
        <v>123.98751945054235</v>
      </c>
      <c r="AK43" s="43">
        <f t="shared" si="1"/>
        <v>0</v>
      </c>
      <c r="AL43" s="43">
        <f t="shared" si="11"/>
        <v>0</v>
      </c>
    </row>
    <row r="44" spans="1:42" x14ac:dyDescent="0.3">
      <c r="A44" s="32">
        <f>VLOOKUP(YEAR(C44),Flags!$A$13:$B$95,2,FALSE)</f>
        <v>4</v>
      </c>
      <c r="B44" s="24">
        <f t="shared" si="2"/>
        <v>1925</v>
      </c>
      <c r="C44" s="25">
        <v>9344</v>
      </c>
      <c r="D44" s="26">
        <f>VLOOKUP($C44,COS!$B$8:$H$991,3,FALSE)</f>
        <v>12695.501953125</v>
      </c>
      <c r="E44" s="24">
        <f>IF(D44&gt;=IF(MONTH($C44)=4,$C$3,IF(MONTH($C44)=5,$C$4,IF(MONTH($C44)=6,$C$5,IF(MONTH($C44)=7,$C$6,"ERROR")))),1,0)</f>
        <v>1</v>
      </c>
      <c r="F44" s="26">
        <f>VLOOKUP($C44,COS!$B$8:$H$991,7,FALSE)</f>
        <v>51.456871032714844</v>
      </c>
      <c r="G44" s="24">
        <f>IF(F44&lt;=IF(MONTH($C44)=4,$F$3,IF(MONTH($C44)=5,$F$4,IF(MONTH($C44)=6,$F$5,IF(MONTH($C44)=7,$F$6,"ERROR")))),1,0)</f>
        <v>1</v>
      </c>
      <c r="H44" s="26">
        <f>IF(J44=1,D44-$C$6,0)</f>
        <v>695.501953125</v>
      </c>
      <c r="I44" s="26">
        <f t="shared" si="17"/>
        <v>42.764748192148765</v>
      </c>
      <c r="J44" s="24">
        <f t="shared" si="50"/>
        <v>1</v>
      </c>
      <c r="K44" s="26">
        <f>VLOOKUP($C44,COS!$B$8:$H$991,2,FALSE)</f>
        <v>3437.54150390625</v>
      </c>
      <c r="L44" s="24">
        <f t="shared" si="19"/>
        <v>1</v>
      </c>
      <c r="M44" s="24">
        <f t="shared" si="20"/>
        <v>1</v>
      </c>
      <c r="N44" s="26">
        <f>VLOOKUP($C44,COS!$B$8:$H$991,5,FALSE)</f>
        <v>979.5245361328125</v>
      </c>
      <c r="O44" s="26">
        <f t="shared" si="53"/>
        <v>60.228616106017569</v>
      </c>
      <c r="P44" s="26">
        <f>VLOOKUP($C44,COS!$B$8:$H$991,6,FALSE)</f>
        <v>2538.07568359375</v>
      </c>
      <c r="Q44" s="26">
        <f t="shared" si="54"/>
        <v>156.06019079287191</v>
      </c>
      <c r="R44" s="26">
        <f>MIN(IF(MONTH($C44)=4,$S$3,IF(MONTH($C44)=5,$S$4,IF(MONTH($C44)=6,$S$5,IF(MONTH($C44)=7,$S$6,"ERROR")))),MAX(VLOOKUP($C44,COS!$B$8:$K$991,10,FALSE)-IF(MONTH($C44)=4,$Y$3,IF(MONTH($C44)=5,$Y$4,IF(MONTH($C44)=6,$Y$5,IF(MONTH($C44)=7,$Y$6,"ERROR")))),0),MAX(VLOOKUP($C44,COS!$B$8:$K$991,9,FALSE)-IF(MONTH($C44)=4,$V$3,IF(MONTH($C44)=5,$V$4,IF(MONTH($C44)=6,$V$5,IF(MONTH($C44)=7,$V$6,"ERROR"))))-VLOOKUP($C44,COS!$B$8:$K$991,6,FALSE)/2,0))</f>
        <v>1500</v>
      </c>
      <c r="S44" s="26">
        <f t="shared" si="55"/>
        <v>92.231404958677686</v>
      </c>
      <c r="T44" s="26">
        <f t="shared" si="56"/>
        <v>200.37580840812242</v>
      </c>
      <c r="U44" s="26" t="str">
        <f>IF(VLOOKUP($C44,COS!$B$8:$I$991,8,FALSE)=1,"UWFE","IBU")</f>
        <v>IBU</v>
      </c>
      <c r="V44" s="26">
        <f t="shared" ref="V44" si="60">MIN(IF(IF($AA$3=2,AND(E44=1,G44=1,L44=1,L46=1,M44=1,U44="IBU"),AND(E44=1,G44=1,L44=1,L46=1,M44=1)),T44,0),I44)</f>
        <v>42.764748192148765</v>
      </c>
      <c r="W44" s="26"/>
      <c r="X44" s="26"/>
      <c r="Y44" s="26"/>
      <c r="Z44" s="26"/>
      <c r="AA44" s="26"/>
      <c r="AB44" s="33"/>
      <c r="AC44" s="6"/>
      <c r="AD44" s="43">
        <v>1952</v>
      </c>
      <c r="AE44" s="1">
        <f>VLOOKUP(AD44,Flags!$A$13:$B$95,2,FALSE)</f>
        <v>1</v>
      </c>
      <c r="AF44" s="43">
        <f t="shared" si="6"/>
        <v>697.78984633264463</v>
      </c>
      <c r="AG44" s="43">
        <f t="shared" si="7"/>
        <v>685.72902777553577</v>
      </c>
      <c r="AH44" s="43">
        <f t="shared" si="8"/>
        <v>0</v>
      </c>
      <c r="AI44" s="43">
        <f t="shared" si="9"/>
        <v>11.600561079545454</v>
      </c>
      <c r="AJ44" s="43">
        <f t="shared" si="10"/>
        <v>58.610078891722623</v>
      </c>
      <c r="AK44" s="43">
        <f t="shared" si="1"/>
        <v>0</v>
      </c>
      <c r="AL44" s="43">
        <f t="shared" si="11"/>
        <v>0</v>
      </c>
    </row>
    <row r="45" spans="1:42" x14ac:dyDescent="0.3">
      <c r="A45" s="32">
        <f>VLOOKUP(YEAR(C45),Flags!$A$13:$B$95,2,FALSE)</f>
        <v>4</v>
      </c>
      <c r="B45" s="24">
        <f t="shared" si="2"/>
        <v>1925</v>
      </c>
      <c r="C45" s="25">
        <v>9375</v>
      </c>
      <c r="D45" s="26"/>
      <c r="E45" s="24"/>
      <c r="F45" s="26"/>
      <c r="G45" s="24"/>
      <c r="H45" s="24"/>
      <c r="I45" s="26"/>
      <c r="J45" s="24"/>
      <c r="K45" s="26"/>
      <c r="L45" s="24"/>
      <c r="M45" s="24"/>
      <c r="N45" s="26"/>
      <c r="O45" s="26"/>
      <c r="P45" s="26"/>
      <c r="Q45" s="26"/>
      <c r="R45" s="26"/>
      <c r="S45" s="26"/>
      <c r="T45" s="26"/>
      <c r="U45" s="26"/>
      <c r="V45" s="26"/>
      <c r="W45" s="26">
        <f>MAX($C$7-VLOOKUP($C45,COS!$B$8:$H$991,3,FALSE),0)</f>
        <v>2170.4140625</v>
      </c>
      <c r="X45" s="26">
        <f t="shared" si="31"/>
        <v>133.45355888429754</v>
      </c>
      <c r="Y45" s="26">
        <f>VLOOKUP($C45,COS!$B$8:$H$991,4,FALSE)</f>
        <v>1755.4483642578125</v>
      </c>
      <c r="Z45" s="26">
        <f t="shared" si="32"/>
        <v>107.93831264527377</v>
      </c>
      <c r="AA45" s="26">
        <f t="shared" ref="AA45:AA49" si="61">MIN(W45,Y45)</f>
        <v>1755.4483642578125</v>
      </c>
      <c r="AB45" s="33">
        <f t="shared" ref="AB45" si="62">AA45*DAY($C45)*86400/43560/1000*IF(MONTH($C45)=8,$P$3,IF(MONTH($C45)=9,$P$4,IF(MONTH($C45)=10,$P$5,IF(MONTH($C45)=11,$P$6,IF(MONTH($C45)=12,$P$7,NA())))))</f>
        <v>107.93831264527377</v>
      </c>
      <c r="AC45" s="6"/>
      <c r="AD45" s="43">
        <v>1953</v>
      </c>
      <c r="AE45" s="1">
        <f>VLOOKUP(AD45,Flags!$A$13:$B$95,2,FALSE)</f>
        <v>1</v>
      </c>
      <c r="AF45" s="43">
        <f t="shared" si="6"/>
        <v>393.94290805785124</v>
      </c>
      <c r="AG45" s="43">
        <f t="shared" si="7"/>
        <v>699.80341564840523</v>
      </c>
      <c r="AH45" s="43">
        <f t="shared" si="8"/>
        <v>0</v>
      </c>
      <c r="AI45" s="43">
        <f t="shared" si="9"/>
        <v>129.20019595816117</v>
      </c>
      <c r="AJ45" s="43">
        <f t="shared" si="10"/>
        <v>184.16609680806309</v>
      </c>
      <c r="AK45" s="43">
        <f t="shared" si="1"/>
        <v>7.2794522283885099</v>
      </c>
      <c r="AL45" s="43">
        <f t="shared" si="11"/>
        <v>0</v>
      </c>
    </row>
    <row r="46" spans="1:42" x14ac:dyDescent="0.3">
      <c r="A46" s="32">
        <f>VLOOKUP(YEAR(C46),Flags!$A$13:$B$95,2,FALSE)</f>
        <v>4</v>
      </c>
      <c r="B46" s="24">
        <f t="shared" si="2"/>
        <v>1925</v>
      </c>
      <c r="C46" s="25">
        <v>9405</v>
      </c>
      <c r="D46" s="26"/>
      <c r="E46" s="24"/>
      <c r="F46" s="26"/>
      <c r="G46" s="24"/>
      <c r="H46" s="24"/>
      <c r="I46" s="26"/>
      <c r="J46" s="24"/>
      <c r="K46" s="26">
        <f>VLOOKUP($C46,COS!$B$8:$H$991,2,FALSE)</f>
        <v>2972.557373046875</v>
      </c>
      <c r="L46" s="24">
        <f t="shared" ref="L46" si="63">IF(AND(K46&gt;$I$7,K46&lt;$I$8),1,0)</f>
        <v>1</v>
      </c>
      <c r="M46" s="24"/>
      <c r="N46" s="26"/>
      <c r="O46" s="26"/>
      <c r="P46" s="26"/>
      <c r="Q46" s="26"/>
      <c r="R46" s="26"/>
      <c r="S46" s="26"/>
      <c r="T46" s="26"/>
      <c r="U46" s="26"/>
      <c r="V46" s="26"/>
      <c r="W46" s="26">
        <f>MAX($C$8-VLOOKUP($C46,COS!$B$8:$H$991,3,FALSE),0)</f>
        <v>123.39599609375</v>
      </c>
      <c r="X46" s="26">
        <f t="shared" si="31"/>
        <v>7.3425716683884295</v>
      </c>
      <c r="Y46" s="26">
        <f>VLOOKUP($C46,COS!$B$8:$H$991,4,FALSE)</f>
        <v>601.609375</v>
      </c>
      <c r="Z46" s="26">
        <f t="shared" si="32"/>
        <v>35.798243801652887</v>
      </c>
      <c r="AA46" s="26">
        <f t="shared" si="61"/>
        <v>123.39599609375</v>
      </c>
      <c r="AB46" s="33">
        <f t="shared" si="34"/>
        <v>7.3425716683884295</v>
      </c>
      <c r="AC46" s="6"/>
      <c r="AD46" s="43">
        <v>1954</v>
      </c>
      <c r="AE46" s="1">
        <f>VLOOKUP(AD46,Flags!$A$13:$B$95,2,FALSE)</f>
        <v>2</v>
      </c>
      <c r="AF46" s="43">
        <f t="shared" si="6"/>
        <v>628.75953060433881</v>
      </c>
      <c r="AG46" s="43">
        <f t="shared" si="7"/>
        <v>682.99890435337034</v>
      </c>
      <c r="AH46" s="43">
        <f t="shared" si="8"/>
        <v>0</v>
      </c>
      <c r="AI46" s="43">
        <f t="shared" si="9"/>
        <v>175.751685821281</v>
      </c>
      <c r="AJ46" s="43">
        <f t="shared" si="10"/>
        <v>98.616977740831601</v>
      </c>
      <c r="AK46" s="43">
        <f t="shared" si="1"/>
        <v>0</v>
      </c>
      <c r="AL46" s="43">
        <f t="shared" si="11"/>
        <v>0</v>
      </c>
    </row>
    <row r="47" spans="1:42" x14ac:dyDescent="0.3">
      <c r="A47" s="32">
        <f>VLOOKUP(YEAR(C47),Flags!$A$13:$B$95,2,FALSE)</f>
        <v>4</v>
      </c>
      <c r="B47" s="24">
        <f t="shared" si="2"/>
        <v>1925</v>
      </c>
      <c r="C47" s="25">
        <v>9436</v>
      </c>
      <c r="D47" s="26"/>
      <c r="E47" s="24"/>
      <c r="F47" s="26"/>
      <c r="G47" s="26"/>
      <c r="H47" s="26"/>
      <c r="I47" s="26"/>
      <c r="J47" s="26"/>
      <c r="K47" s="26"/>
      <c r="L47" s="24"/>
      <c r="M47" s="24"/>
      <c r="N47" s="26"/>
      <c r="O47" s="26"/>
      <c r="P47" s="26"/>
      <c r="Q47" s="26"/>
      <c r="R47" s="26"/>
      <c r="S47" s="26"/>
      <c r="T47" s="26"/>
      <c r="U47" s="26"/>
      <c r="V47" s="26"/>
      <c r="W47" s="26">
        <f>MAX($C$9-VLOOKUP($C47,COS!$B$8:$H$991,3,FALSE),0)</f>
        <v>0</v>
      </c>
      <c r="X47" s="26">
        <f t="shared" si="31"/>
        <v>0</v>
      </c>
      <c r="Y47" s="26">
        <f>VLOOKUP($C47,COS!$B$8:$H$991,4,FALSE)</f>
        <v>1509.1988525390625</v>
      </c>
      <c r="Z47" s="26">
        <f t="shared" si="32"/>
        <v>92.797020354467975</v>
      </c>
      <c r="AA47" s="26">
        <f t="shared" si="61"/>
        <v>0</v>
      </c>
      <c r="AB47" s="33">
        <f t="shared" si="34"/>
        <v>0</v>
      </c>
      <c r="AC47" s="6"/>
      <c r="AD47" s="43">
        <v>1955</v>
      </c>
      <c r="AE47" s="1">
        <f>VLOOKUP(AD47,Flags!$A$13:$B$95,2,FALSE)</f>
        <v>4</v>
      </c>
      <c r="AF47" s="43">
        <f t="shared" si="6"/>
        <v>146.39928137913225</v>
      </c>
      <c r="AG47" s="43">
        <f t="shared" si="7"/>
        <v>650.48586702204932</v>
      </c>
      <c r="AH47" s="43">
        <f t="shared" si="8"/>
        <v>146.39928137913225</v>
      </c>
      <c r="AI47" s="43">
        <f t="shared" si="9"/>
        <v>420.0010459710744</v>
      </c>
      <c r="AJ47" s="43">
        <f t="shared" si="10"/>
        <v>316.76745553008783</v>
      </c>
      <c r="AK47" s="43">
        <f t="shared" si="1"/>
        <v>229.88010540418389</v>
      </c>
      <c r="AL47" s="43">
        <f t="shared" si="11"/>
        <v>146.39928137913225</v>
      </c>
    </row>
    <row r="48" spans="1:42" x14ac:dyDescent="0.3">
      <c r="A48" s="32">
        <f>VLOOKUP(YEAR(C48),Flags!$A$13:$B$95,2,FALSE)</f>
        <v>4</v>
      </c>
      <c r="B48" s="24">
        <f t="shared" si="2"/>
        <v>1925</v>
      </c>
      <c r="C48" s="25">
        <v>9466</v>
      </c>
      <c r="D48" s="26"/>
      <c r="E48" s="24"/>
      <c r="F48" s="26"/>
      <c r="G48" s="26"/>
      <c r="H48" s="26"/>
      <c r="I48" s="26"/>
      <c r="J48" s="26"/>
      <c r="K48" s="26"/>
      <c r="L48" s="24"/>
      <c r="M48" s="24"/>
      <c r="N48" s="26"/>
      <c r="O48" s="26"/>
      <c r="P48" s="26"/>
      <c r="Q48" s="26"/>
      <c r="R48" s="26"/>
      <c r="S48" s="26"/>
      <c r="T48" s="26"/>
      <c r="U48" s="26"/>
      <c r="V48" s="26"/>
      <c r="W48" s="26">
        <f>MAX($C$10-VLOOKUP($C48,COS!$B$8:$H$991,3,FALSE),0)</f>
        <v>0</v>
      </c>
      <c r="X48" s="26">
        <f t="shared" si="31"/>
        <v>0</v>
      </c>
      <c r="Y48" s="26">
        <f>VLOOKUP($C48,COS!$B$8:$H$991,4,FALSE)</f>
        <v>1037.1134033203125</v>
      </c>
      <c r="Z48" s="26">
        <f t="shared" si="32"/>
        <v>61.712533090134293</v>
      </c>
      <c r="AA48" s="26">
        <f t="shared" si="61"/>
        <v>0</v>
      </c>
      <c r="AB48" s="33">
        <f t="shared" si="34"/>
        <v>0</v>
      </c>
      <c r="AC48" s="6"/>
      <c r="AD48" s="43">
        <v>1956</v>
      </c>
      <c r="AE48" s="1">
        <f>VLOOKUP(AD48,Flags!$A$13:$B$95,2,FALSE)</f>
        <v>1</v>
      </c>
      <c r="AF48" s="43">
        <f t="shared" si="6"/>
        <v>238.41283768078512</v>
      </c>
      <c r="AG48" s="43">
        <f t="shared" si="7"/>
        <v>688.1348309780152</v>
      </c>
      <c r="AH48" s="43">
        <f t="shared" si="8"/>
        <v>0</v>
      </c>
      <c r="AI48" s="43">
        <f t="shared" si="9"/>
        <v>152.19154571280993</v>
      </c>
      <c r="AJ48" s="43">
        <f t="shared" si="10"/>
        <v>69.803219589359514</v>
      </c>
      <c r="AK48" s="43">
        <f t="shared" si="1"/>
        <v>0</v>
      </c>
      <c r="AL48" s="43">
        <f t="shared" si="11"/>
        <v>0</v>
      </c>
    </row>
    <row r="49" spans="1:38" x14ac:dyDescent="0.3">
      <c r="A49" s="34">
        <f>VLOOKUP(YEAR(C49),Flags!$A$13:$B$95,2,FALSE)</f>
        <v>4</v>
      </c>
      <c r="B49" s="35">
        <f t="shared" si="2"/>
        <v>1925</v>
      </c>
      <c r="C49" s="36">
        <v>9497</v>
      </c>
      <c r="D49" s="37"/>
      <c r="E49" s="35"/>
      <c r="F49" s="37"/>
      <c r="G49" s="37"/>
      <c r="H49" s="37"/>
      <c r="I49" s="37"/>
      <c r="J49" s="37"/>
      <c r="K49" s="37"/>
      <c r="L49" s="35"/>
      <c r="M49" s="35"/>
      <c r="N49" s="37"/>
      <c r="O49" s="37"/>
      <c r="P49" s="37"/>
      <c r="Q49" s="37"/>
      <c r="R49" s="37"/>
      <c r="S49" s="37"/>
      <c r="T49" s="37"/>
      <c r="U49" s="37"/>
      <c r="V49" s="37"/>
      <c r="W49" s="37">
        <f>MAX($C$11-VLOOKUP($C49,COS!$B$8:$H$991,3,FALSE),0)</f>
        <v>1423.129150390625</v>
      </c>
      <c r="X49" s="37">
        <f t="shared" si="31"/>
        <v>87.50480065211778</v>
      </c>
      <c r="Y49" s="37">
        <f>VLOOKUP($C49,COS!$B$8:$H$991,4,FALSE)</f>
        <v>1280.279541015625</v>
      </c>
      <c r="Z49" s="37">
        <f t="shared" si="32"/>
        <v>78.721320538481407</v>
      </c>
      <c r="AA49" s="37">
        <f t="shared" si="61"/>
        <v>1280.279541015625</v>
      </c>
      <c r="AB49" s="38">
        <f t="shared" si="34"/>
        <v>78.721320538481407</v>
      </c>
      <c r="AC49" s="6"/>
      <c r="AD49" s="43">
        <v>1957</v>
      </c>
      <c r="AE49" s="1">
        <f>VLOOKUP(AD49,Flags!$A$13:$B$95,2,FALSE)</f>
        <v>2</v>
      </c>
      <c r="AF49" s="43">
        <f t="shared" si="6"/>
        <v>515.49969653925621</v>
      </c>
      <c r="AG49" s="43">
        <f t="shared" si="7"/>
        <v>678.53450308303195</v>
      </c>
      <c r="AH49" s="43">
        <f t="shared" si="8"/>
        <v>0</v>
      </c>
      <c r="AI49" s="43">
        <f t="shared" si="9"/>
        <v>99.740518465909091</v>
      </c>
      <c r="AJ49" s="43">
        <f t="shared" si="10"/>
        <v>311.10799308335481</v>
      </c>
      <c r="AK49" s="43">
        <f t="shared" si="1"/>
        <v>59.827111513752584</v>
      </c>
      <c r="AL49" s="43">
        <f t="shared" si="11"/>
        <v>0</v>
      </c>
    </row>
    <row r="50" spans="1:38" x14ac:dyDescent="0.3">
      <c r="A50" s="27">
        <f>VLOOKUP(YEAR(C50),Flags!$A$13:$B$95,2,FALSE)</f>
        <v>4</v>
      </c>
      <c r="B50" s="28">
        <f t="shared" si="2"/>
        <v>1926</v>
      </c>
      <c r="C50" s="29">
        <v>9617</v>
      </c>
      <c r="D50" s="30">
        <f>VLOOKUP($C50,COS!$B$8:$H$991,3,FALSE)</f>
        <v>3250</v>
      </c>
      <c r="E50" s="28">
        <f>IF(D50&gt;=IF(MONTH($C50)=4,$C$3,IF(MONTH($C50)=5,$C$4,IF(MONTH($C50)=6,$C$5,IF(MONTH($C50)=7,$C$6,"ERROR")))),1,0)</f>
        <v>0</v>
      </c>
      <c r="F50" s="30">
        <f>VLOOKUP($C50,COS!$B$8:$H$991,7,FALSE)</f>
        <v>51.212348937988281</v>
      </c>
      <c r="G50" s="28">
        <f>IF(F50&lt;=IF(MONTH($C50)=4,$F$3,IF(MONTH($C50)=5,$F$4,IF(MONTH($C50)=6,$F$5,IF(MONTH($C50)=7,$F$6,"ERROR")))),1,0)</f>
        <v>1</v>
      </c>
      <c r="H50" s="30">
        <f>IF(J50=1,D50-$C$3,0)</f>
        <v>0</v>
      </c>
      <c r="I50" s="30">
        <f t="shared" si="17"/>
        <v>0</v>
      </c>
      <c r="J50" s="28">
        <f t="shared" ref="J50:J53" si="64">IF(AND(E50=1,G50=1),1,0)</f>
        <v>0</v>
      </c>
      <c r="K50" s="30">
        <f>VLOOKUP($C50,COS!$B$8:$H$991,2,FALSE)</f>
        <v>3896.73193359375</v>
      </c>
      <c r="L50" s="28">
        <f t="shared" ref="L50" si="65">IF(K50&lt;=IF(MONTH($C50)=4,$I$3,IF(MONTH($C50)=5,$I$4,IF(MONTH($C50)=6,$I$5,IF(MONTH($C50)=7,$I$6,"ERROR")))),1,0)</f>
        <v>1</v>
      </c>
      <c r="M50" s="28">
        <f t="shared" ref="M50" si="66">VLOOKUP($A50,$L$3:$M$7,2,FALSE)</f>
        <v>1</v>
      </c>
      <c r="N50" s="30">
        <f>VLOOKUP($C50,COS!$B$8:$H$991,5,FALSE)</f>
        <v>52.222553253173828</v>
      </c>
      <c r="O50" s="30">
        <f t="shared" ref="O50:O53" si="67">N50*DAY($C50)*86400/43560/1000</f>
        <v>3.1074577142384427</v>
      </c>
      <c r="P50" s="30">
        <f>VLOOKUP($C50,COS!$B$8:$H$991,6,FALSE)</f>
        <v>311.75833129882813</v>
      </c>
      <c r="Q50" s="30">
        <f t="shared" ref="Q50:Q53" si="68">P50*DAY($C50)*86400/43560/1000</f>
        <v>18.550908969847622</v>
      </c>
      <c r="R50" s="30">
        <f>MIN(IF(MONTH($C50)=4,$S$3,IF(MONTH($C50)=5,$S$4,IF(MONTH($C50)=6,$S$5,IF(MONTH($C50)=7,$S$6,"ERROR")))),MAX(VLOOKUP($C50,COS!$B$8:$K$991,10,FALSE)-IF(MONTH($C50)=4,$Y$3,IF(MONTH($C50)=5,$Y$4,IF(MONTH($C50)=6,$Y$5,IF(MONTH($C50)=7,$Y$6,"ERROR")))),0),MAX(VLOOKUP($C50,COS!$B$8:$K$991,9,FALSE)-IF(MONTH($C50)=4,$V$3,IF(MONTH($C50)=5,$V$4,IF(MONTH($C50)=6,$V$5,IF(MONTH($C50)=7,$V$6,"ERROR"))))-VLOOKUP($C50,COS!$B$8:$K$991,6,FALSE)/2,0))</f>
        <v>1500</v>
      </c>
      <c r="S50" s="30">
        <f t="shared" ref="S50:S53" si="69">R50*DAY($C50)*86400/43560/1000</f>
        <v>89.256198347107429</v>
      </c>
      <c r="T50" s="30">
        <f t="shared" ref="T50:T53" si="70">(O50+Q50)/2+S50</f>
        <v>100.08538168915047</v>
      </c>
      <c r="U50" s="30" t="str">
        <f>IF(VLOOKUP($C50,COS!$B$8:$I$991,8,FALSE)=1,"UWFE","IBU")</f>
        <v>UWFE</v>
      </c>
      <c r="V50" s="30">
        <f t="shared" ref="V50" si="71">MIN(IF(IF($AA$3=2,AND(E50=1,G50=1,L50=1,L55=1,M50=1,U50="IBU"),AND(E50=1,G50=1,L50=1,L55=1,M50=1)),T50,0),I50)</f>
        <v>0</v>
      </c>
      <c r="W50" s="30"/>
      <c r="X50" s="30"/>
      <c r="Y50" s="30"/>
      <c r="Z50" s="30"/>
      <c r="AA50" s="30"/>
      <c r="AB50" s="31"/>
      <c r="AC50" s="6"/>
      <c r="AD50" s="43">
        <v>1958</v>
      </c>
      <c r="AE50" s="1">
        <f>VLOOKUP(AD50,Flags!$A$13:$B$95,2,FALSE)</f>
        <v>1</v>
      </c>
      <c r="AF50" s="43">
        <f t="shared" si="6"/>
        <v>412.32285705061986</v>
      </c>
      <c r="AG50" s="43">
        <f t="shared" si="7"/>
        <v>667.28328076323191</v>
      </c>
      <c r="AH50" s="43">
        <f t="shared" si="8"/>
        <v>0</v>
      </c>
      <c r="AI50" s="43">
        <f t="shared" si="9"/>
        <v>2.5493637009297521</v>
      </c>
      <c r="AJ50" s="43">
        <f t="shared" si="10"/>
        <v>93.370713062128743</v>
      </c>
      <c r="AK50" s="43">
        <f t="shared" si="1"/>
        <v>0</v>
      </c>
      <c r="AL50" s="43">
        <f t="shared" si="11"/>
        <v>0</v>
      </c>
    </row>
    <row r="51" spans="1:38" x14ac:dyDescent="0.3">
      <c r="A51" s="32">
        <f>VLOOKUP(YEAR(C51),Flags!$A$13:$B$95,2,FALSE)</f>
        <v>4</v>
      </c>
      <c r="B51" s="24">
        <f t="shared" si="2"/>
        <v>1926</v>
      </c>
      <c r="C51" s="25">
        <v>9648</v>
      </c>
      <c r="D51" s="26">
        <f>VLOOKUP($C51,COS!$B$8:$H$991,3,FALSE)</f>
        <v>8995.443359375</v>
      </c>
      <c r="E51" s="24">
        <f>IF(D51&gt;=IF(MONTH($C51)=4,$C$3,IF(MONTH($C51)=5,$C$4,IF(MONTH($C51)=6,$C$5,IF(MONTH($C51)=7,$C$6,"ERROR")))),1,0)</f>
        <v>1</v>
      </c>
      <c r="F51" s="26">
        <f>VLOOKUP($C51,COS!$B$8:$H$991,7,FALSE)</f>
        <v>50.193782806396484</v>
      </c>
      <c r="G51" s="24">
        <f>IF(F51&lt;=IF(MONTH($C51)=4,$F$3,IF(MONTH($C51)=5,$F$4,IF(MONTH($C51)=6,$F$5,IF(MONTH($C51)=7,$F$6,"ERROR")))),1,0)</f>
        <v>1</v>
      </c>
      <c r="H51" s="26">
        <f>IF(J51=1,D51-$C$4,0)</f>
        <v>2995.443359375</v>
      </c>
      <c r="I51" s="26">
        <f t="shared" si="17"/>
        <v>184.18263300619836</v>
      </c>
      <c r="J51" s="24">
        <f t="shared" si="64"/>
        <v>1</v>
      </c>
      <c r="K51" s="26">
        <f>VLOOKUP($C51,COS!$B$8:$H$991,2,FALSE)</f>
        <v>3570.763671875</v>
      </c>
      <c r="L51" s="24">
        <f t="shared" si="19"/>
        <v>1</v>
      </c>
      <c r="M51" s="24">
        <f t="shared" si="20"/>
        <v>1</v>
      </c>
      <c r="N51" s="26">
        <f>VLOOKUP($C51,COS!$B$8:$H$991,5,FALSE)</f>
        <v>105.33164978027344</v>
      </c>
      <c r="O51" s="26">
        <f t="shared" si="67"/>
        <v>6.476590697233342</v>
      </c>
      <c r="P51" s="26">
        <f>VLOOKUP($C51,COS!$B$8:$H$991,6,FALSE)</f>
        <v>2210.808349609375</v>
      </c>
      <c r="Q51" s="26">
        <f t="shared" si="68"/>
        <v>135.93730678589876</v>
      </c>
      <c r="R51" s="26">
        <f>MIN(IF(MONTH($C51)=4,$S$3,IF(MONTH($C51)=5,$S$4,IF(MONTH($C51)=6,$S$5,IF(MONTH($C51)=7,$S$6,"ERROR")))),MAX(VLOOKUP($C51,COS!$B$8:$K$991,10,FALSE)-IF(MONTH($C51)=4,$Y$3,IF(MONTH($C51)=5,$Y$4,IF(MONTH($C51)=6,$Y$5,IF(MONTH($C51)=7,$Y$6,"ERROR")))),0),MAX(VLOOKUP($C51,COS!$B$8:$K$991,9,FALSE)-IF(MONTH($C51)=4,$V$3,IF(MONTH($C51)=5,$V$4,IF(MONTH($C51)=6,$V$5,IF(MONTH($C51)=7,$V$6,"ERROR"))))-VLOOKUP($C51,COS!$B$8:$K$991,6,FALSE)/2,0))</f>
        <v>1500</v>
      </c>
      <c r="S51" s="26">
        <f t="shared" si="69"/>
        <v>92.231404958677686</v>
      </c>
      <c r="T51" s="26">
        <f t="shared" si="70"/>
        <v>163.43835370024374</v>
      </c>
      <c r="U51" s="26" t="str">
        <f>IF(VLOOKUP($C51,COS!$B$8:$I$991,8,FALSE)=1,"UWFE","IBU")</f>
        <v>IBU</v>
      </c>
      <c r="V51" s="26">
        <f t="shared" ref="V51" si="72">MIN(IF(IF($AA$3=2,AND(E51=1,G51=1,L51=1,L55=1,M51=1,U51="IBU"),AND(E51=1,G51=1,L51=1,L55=1,M51=1)),T51,0),I51)</f>
        <v>163.43835370024374</v>
      </c>
      <c r="W51" s="26"/>
      <c r="X51" s="26"/>
      <c r="Y51" s="26"/>
      <c r="Z51" s="26"/>
      <c r="AA51" s="26"/>
      <c r="AB51" s="33"/>
      <c r="AC51" s="6"/>
      <c r="AD51" s="43">
        <v>1959</v>
      </c>
      <c r="AE51" s="1">
        <f>VLOOKUP(AD51,Flags!$A$13:$B$95,2,FALSE)</f>
        <v>3</v>
      </c>
      <c r="AF51" s="43">
        <f t="shared" si="6"/>
        <v>504.12418001033052</v>
      </c>
      <c r="AG51" s="43">
        <f t="shared" si="7"/>
        <v>681.42011773227659</v>
      </c>
      <c r="AH51" s="43">
        <f t="shared" si="8"/>
        <v>0</v>
      </c>
      <c r="AI51" s="43">
        <f t="shared" si="9"/>
        <v>81.404877001549579</v>
      </c>
      <c r="AJ51" s="43">
        <f t="shared" si="10"/>
        <v>344.76315813048814</v>
      </c>
      <c r="AK51" s="43">
        <f t="shared" si="1"/>
        <v>46.304136105371896</v>
      </c>
      <c r="AL51" s="43">
        <f t="shared" si="11"/>
        <v>0</v>
      </c>
    </row>
    <row r="52" spans="1:38" x14ac:dyDescent="0.3">
      <c r="A52" s="32">
        <f>VLOOKUP(YEAR(C52),Flags!$A$13:$B$95,2,FALSE)</f>
        <v>4</v>
      </c>
      <c r="B52" s="24">
        <f t="shared" si="2"/>
        <v>1926</v>
      </c>
      <c r="C52" s="25">
        <v>9678</v>
      </c>
      <c r="D52" s="26">
        <f>VLOOKUP($C52,COS!$B$8:$H$991,3,FALSE)</f>
        <v>10166.794921875</v>
      </c>
      <c r="E52" s="24">
        <f>IF(D52&gt;=IF(MONTH($C52)=4,$C$3,IF(MONTH($C52)=5,$C$4,IF(MONTH($C52)=6,$C$5,IF(MONTH($C52)=7,$C$6,"ERROR")))),1,0)</f>
        <v>1</v>
      </c>
      <c r="F52" s="26">
        <f>VLOOKUP($C52,COS!$B$8:$H$991,7,FALSE)</f>
        <v>51.801841735839844</v>
      </c>
      <c r="G52" s="24">
        <f>IF(F52&lt;=IF(MONTH($C52)=4,$F$3,IF(MONTH($C52)=5,$F$4,IF(MONTH($C52)=6,$F$5,IF(MONTH($C52)=7,$F$6,"ERROR")))),1,0)</f>
        <v>1</v>
      </c>
      <c r="H52" s="26">
        <f>IF(J52=1,D52-$C$5,0)</f>
        <v>166.794921875</v>
      </c>
      <c r="I52" s="26">
        <f t="shared" si="17"/>
        <v>9.9249870867768593</v>
      </c>
      <c r="J52" s="24">
        <f t="shared" si="64"/>
        <v>1</v>
      </c>
      <c r="K52" s="26">
        <f>VLOOKUP($C52,COS!$B$8:$H$991,2,FALSE)</f>
        <v>3144.499267578125</v>
      </c>
      <c r="L52" s="24">
        <f t="shared" si="19"/>
        <v>1</v>
      </c>
      <c r="M52" s="24">
        <f t="shared" si="20"/>
        <v>1</v>
      </c>
      <c r="N52" s="26">
        <f>VLOOKUP($C52,COS!$B$8:$H$991,5,FALSE)</f>
        <v>393.1129150390625</v>
      </c>
      <c r="O52" s="26">
        <f t="shared" si="67"/>
        <v>23.391842878357437</v>
      </c>
      <c r="P52" s="26">
        <f>VLOOKUP($C52,COS!$B$8:$H$991,6,FALSE)</f>
        <v>2714.961669921875</v>
      </c>
      <c r="Q52" s="26">
        <f t="shared" si="68"/>
        <v>161.55143821022727</v>
      </c>
      <c r="R52" s="26">
        <f>MIN(IF(MONTH($C52)=4,$S$3,IF(MONTH($C52)=5,$S$4,IF(MONTH($C52)=6,$S$5,IF(MONTH($C52)=7,$S$6,"ERROR")))),MAX(VLOOKUP($C52,COS!$B$8:$K$991,10,FALSE)-IF(MONTH($C52)=4,$Y$3,IF(MONTH($C52)=5,$Y$4,IF(MONTH($C52)=6,$Y$5,IF(MONTH($C52)=7,$Y$6,"ERROR")))),0),MAX(VLOOKUP($C52,COS!$B$8:$K$991,9,FALSE)-IF(MONTH($C52)=4,$V$3,IF(MONTH($C52)=5,$V$4,IF(MONTH($C52)=6,$V$5,IF(MONTH($C52)=7,$V$6,"ERROR"))))-VLOOKUP($C52,COS!$B$8:$K$991,6,FALSE)/2,0))</f>
        <v>1500</v>
      </c>
      <c r="S52" s="26">
        <f t="shared" si="69"/>
        <v>89.256198347107429</v>
      </c>
      <c r="T52" s="26">
        <f t="shared" si="70"/>
        <v>181.72783889139978</v>
      </c>
      <c r="U52" s="26" t="str">
        <f>IF(VLOOKUP($C52,COS!$B$8:$I$991,8,FALSE)=1,"UWFE","IBU")</f>
        <v>IBU</v>
      </c>
      <c r="V52" s="26">
        <f t="shared" ref="V52" si="73">MIN(IF(IF($AA$3=2,AND(E52=1,G52=1,L52=1,L55=1,M52=1,U52="IBU"),AND(E52=1,G52=1,L52=1,L55=1,M52=1)),T52,0),I52)</f>
        <v>9.9249870867768593</v>
      </c>
      <c r="W52" s="26"/>
      <c r="X52" s="26"/>
      <c r="Y52" s="26"/>
      <c r="Z52" s="26"/>
      <c r="AA52" s="26"/>
      <c r="AB52" s="33"/>
      <c r="AC52" s="6"/>
      <c r="AD52" s="43">
        <v>1960</v>
      </c>
      <c r="AE52" s="1">
        <f>VLOOKUP(AD52,Flags!$A$13:$B$95,2,FALSE)</f>
        <v>4</v>
      </c>
      <c r="AF52" s="43">
        <f t="shared" si="6"/>
        <v>382.20118737086773</v>
      </c>
      <c r="AG52" s="43">
        <f t="shared" si="7"/>
        <v>605.60543626265098</v>
      </c>
      <c r="AH52" s="43">
        <f t="shared" si="8"/>
        <v>306.28320308464617</v>
      </c>
      <c r="AI52" s="43">
        <f t="shared" si="9"/>
        <v>357.90508070764463</v>
      </c>
      <c r="AJ52" s="43">
        <f t="shared" si="10"/>
        <v>422.76635379003096</v>
      </c>
      <c r="AK52" s="43">
        <f t="shared" si="1"/>
        <v>210.90438702543906</v>
      </c>
      <c r="AL52" s="43">
        <f t="shared" si="11"/>
        <v>210.90438702543906</v>
      </c>
    </row>
    <row r="53" spans="1:38" x14ac:dyDescent="0.3">
      <c r="A53" s="32">
        <f>VLOOKUP(YEAR(C53),Flags!$A$13:$B$95,2,FALSE)</f>
        <v>4</v>
      </c>
      <c r="B53" s="24">
        <f t="shared" si="2"/>
        <v>1926</v>
      </c>
      <c r="C53" s="25">
        <v>9709</v>
      </c>
      <c r="D53" s="26">
        <f>VLOOKUP($C53,COS!$B$8:$H$991,3,FALSE)</f>
        <v>11392.6767578125</v>
      </c>
      <c r="E53" s="24">
        <f>IF(D53&gt;=IF(MONTH($C53)=4,$C$3,IF(MONTH($C53)=5,$C$4,IF(MONTH($C53)=6,$C$5,IF(MONTH($C53)=7,$C$6,"ERROR")))),1,0)</f>
        <v>0</v>
      </c>
      <c r="F53" s="26">
        <f>VLOOKUP($C53,COS!$B$8:$H$991,7,FALSE)</f>
        <v>53.78912353515625</v>
      </c>
      <c r="G53" s="24">
        <f>IF(F53&lt;=IF(MONTH($C53)=4,$F$3,IF(MONTH($C53)=5,$F$4,IF(MONTH($C53)=6,$F$5,IF(MONTH($C53)=7,$F$6,"ERROR")))),1,0)</f>
        <v>0</v>
      </c>
      <c r="H53" s="26">
        <f>IF(J53=1,D53-$C$6,0)</f>
        <v>0</v>
      </c>
      <c r="I53" s="26">
        <f t="shared" si="17"/>
        <v>0</v>
      </c>
      <c r="J53" s="24">
        <f t="shared" si="64"/>
        <v>0</v>
      </c>
      <c r="K53" s="26">
        <f>VLOOKUP($C53,COS!$B$8:$H$991,2,FALSE)</f>
        <v>2700.429443359375</v>
      </c>
      <c r="L53" s="24">
        <f t="shared" si="19"/>
        <v>1</v>
      </c>
      <c r="M53" s="24">
        <f t="shared" si="20"/>
        <v>1</v>
      </c>
      <c r="N53" s="26">
        <f>VLOOKUP($C53,COS!$B$8:$H$991,5,FALSE)</f>
        <v>430.53424072265625</v>
      </c>
      <c r="O53" s="26">
        <f t="shared" si="67"/>
        <v>26.472518603112086</v>
      </c>
      <c r="P53" s="26">
        <f>VLOOKUP($C53,COS!$B$8:$H$991,6,FALSE)</f>
        <v>2538.07568359375</v>
      </c>
      <c r="Q53" s="26">
        <f t="shared" si="68"/>
        <v>156.06019079287191</v>
      </c>
      <c r="R53" s="26">
        <f>MIN(IF(MONTH($C53)=4,$S$3,IF(MONTH($C53)=5,$S$4,IF(MONTH($C53)=6,$S$5,IF(MONTH($C53)=7,$S$6,"ERROR")))),MAX(VLOOKUP($C53,COS!$B$8:$K$991,10,FALSE)-IF(MONTH($C53)=4,$Y$3,IF(MONTH($C53)=5,$Y$4,IF(MONTH($C53)=6,$Y$5,IF(MONTH($C53)=7,$Y$6,"ERROR")))),0),MAX(VLOOKUP($C53,COS!$B$8:$K$991,9,FALSE)-IF(MONTH($C53)=4,$V$3,IF(MONTH($C53)=5,$V$4,IF(MONTH($C53)=6,$V$5,IF(MONTH($C53)=7,$V$6,"ERROR"))))-VLOOKUP($C53,COS!$B$8:$K$991,6,FALSE)/2,0))</f>
        <v>1500</v>
      </c>
      <c r="S53" s="26">
        <f t="shared" si="69"/>
        <v>92.231404958677686</v>
      </c>
      <c r="T53" s="26">
        <f t="shared" si="70"/>
        <v>183.4977596566697</v>
      </c>
      <c r="U53" s="26" t="str">
        <f>IF(VLOOKUP($C53,COS!$B$8:$I$991,8,FALSE)=1,"UWFE","IBU")</f>
        <v>IBU</v>
      </c>
      <c r="V53" s="26">
        <f t="shared" ref="V53" si="74">MIN(IF(IF($AA$3=2,AND(E53=1,G53=1,L53=1,L55=1,M53=1,U53="IBU"),AND(E53=1,G53=1,L53=1,L55=1,M53=1)),T53,0),I53)</f>
        <v>0</v>
      </c>
      <c r="W53" s="26"/>
      <c r="X53" s="26"/>
      <c r="Y53" s="26"/>
      <c r="Z53" s="26"/>
      <c r="AA53" s="26"/>
      <c r="AB53" s="33"/>
      <c r="AC53" s="6"/>
      <c r="AD53" s="43">
        <v>1961</v>
      </c>
      <c r="AE53" s="1">
        <f>VLOOKUP(AD53,Flags!$A$13:$B$95,2,FALSE)</f>
        <v>4</v>
      </c>
      <c r="AF53" s="43">
        <f t="shared" si="6"/>
        <v>359.59358406508261</v>
      </c>
      <c r="AG53" s="43">
        <f t="shared" si="7"/>
        <v>650.41003054784346</v>
      </c>
      <c r="AH53" s="43">
        <f t="shared" si="8"/>
        <v>192.77386769192276</v>
      </c>
      <c r="AI53" s="43">
        <f t="shared" si="9"/>
        <v>297.63873966942151</v>
      </c>
      <c r="AJ53" s="43">
        <f t="shared" si="10"/>
        <v>593.48291451446278</v>
      </c>
      <c r="AK53" s="43">
        <f t="shared" si="1"/>
        <v>292.81963374870867</v>
      </c>
      <c r="AL53" s="43">
        <f t="shared" si="11"/>
        <v>192.77386769192276</v>
      </c>
    </row>
    <row r="54" spans="1:38" x14ac:dyDescent="0.3">
      <c r="A54" s="32">
        <f>VLOOKUP(YEAR(C54),Flags!$A$13:$B$95,2,FALSE)</f>
        <v>4</v>
      </c>
      <c r="B54" s="24">
        <f t="shared" si="2"/>
        <v>1926</v>
      </c>
      <c r="C54" s="25">
        <v>9740</v>
      </c>
      <c r="D54" s="26"/>
      <c r="E54" s="24"/>
      <c r="F54" s="26"/>
      <c r="G54" s="24"/>
      <c r="H54" s="24"/>
      <c r="I54" s="26"/>
      <c r="J54" s="24"/>
      <c r="K54" s="26"/>
      <c r="L54" s="24"/>
      <c r="M54" s="24"/>
      <c r="N54" s="26"/>
      <c r="O54" s="26"/>
      <c r="P54" s="26"/>
      <c r="Q54" s="26"/>
      <c r="R54" s="26"/>
      <c r="S54" s="26"/>
      <c r="T54" s="26"/>
      <c r="U54" s="26"/>
      <c r="V54" s="26"/>
      <c r="W54" s="26">
        <f>MAX($C$7-VLOOKUP($C54,COS!$B$8:$H$991,3,FALSE),0)</f>
        <v>3691.6279296875</v>
      </c>
      <c r="X54" s="26">
        <f t="shared" si="31"/>
        <v>226.98935369318181</v>
      </c>
      <c r="Y54" s="26">
        <f>VLOOKUP($C54,COS!$B$8:$H$991,4,FALSE)</f>
        <v>1075.45947265625</v>
      </c>
      <c r="Z54" s="26">
        <f t="shared" si="32"/>
        <v>66.127425426136369</v>
      </c>
      <c r="AA54" s="26">
        <f t="shared" ref="AA54:AA58" si="75">MIN(W54,Y54)</f>
        <v>1075.45947265625</v>
      </c>
      <c r="AB54" s="33">
        <f t="shared" ref="AB54" si="76">AA54*DAY($C54)*86400/43560/1000*IF(MONTH($C54)=8,$P$3,IF(MONTH($C54)=9,$P$4,IF(MONTH($C54)=10,$P$5,IF(MONTH($C54)=11,$P$6,IF(MONTH($C54)=12,$P$7,NA())))))</f>
        <v>66.127425426136369</v>
      </c>
      <c r="AC54" s="6"/>
      <c r="AD54" s="43">
        <v>1962</v>
      </c>
      <c r="AE54" s="1">
        <f>VLOOKUP(AD54,Flags!$A$13:$B$95,2,FALSE)</f>
        <v>3</v>
      </c>
      <c r="AF54" s="43">
        <f t="shared" si="6"/>
        <v>350.84847462551647</v>
      </c>
      <c r="AG54" s="43">
        <f t="shared" si="7"/>
        <v>686.24664181543767</v>
      </c>
      <c r="AH54" s="43">
        <f t="shared" si="8"/>
        <v>0</v>
      </c>
      <c r="AI54" s="43">
        <f t="shared" si="9"/>
        <v>187.47121836260331</v>
      </c>
      <c r="AJ54" s="43">
        <f t="shared" si="10"/>
        <v>20.045821845945248</v>
      </c>
      <c r="AK54" s="43">
        <f t="shared" si="1"/>
        <v>20.045821845945248</v>
      </c>
      <c r="AL54" s="43">
        <f t="shared" si="11"/>
        <v>0</v>
      </c>
    </row>
    <row r="55" spans="1:38" x14ac:dyDescent="0.3">
      <c r="A55" s="32">
        <f>VLOOKUP(YEAR(C55),Flags!$A$13:$B$95,2,FALSE)</f>
        <v>4</v>
      </c>
      <c r="B55" s="24">
        <f t="shared" si="2"/>
        <v>1926</v>
      </c>
      <c r="C55" s="25">
        <v>9770</v>
      </c>
      <c r="D55" s="26"/>
      <c r="E55" s="24"/>
      <c r="F55" s="26"/>
      <c r="G55" s="24"/>
      <c r="H55" s="24"/>
      <c r="I55" s="26"/>
      <c r="J55" s="24"/>
      <c r="K55" s="26">
        <f>VLOOKUP($C55,COS!$B$8:$H$991,2,FALSE)</f>
        <v>2281.95703125</v>
      </c>
      <c r="L55" s="24">
        <f t="shared" ref="L55" si="77">IF(AND(K55&gt;$I$7,K55&lt;$I$8),1,0)</f>
        <v>1</v>
      </c>
      <c r="M55" s="24"/>
      <c r="N55" s="26"/>
      <c r="O55" s="26"/>
      <c r="P55" s="26"/>
      <c r="Q55" s="26"/>
      <c r="R55" s="26"/>
      <c r="S55" s="26"/>
      <c r="T55" s="26"/>
      <c r="U55" s="26"/>
      <c r="V55" s="26"/>
      <c r="W55" s="26">
        <f>MAX($C$8-VLOOKUP($C55,COS!$B$8:$H$991,3,FALSE),0)</f>
        <v>1113.1767578125</v>
      </c>
      <c r="X55" s="26">
        <f t="shared" si="31"/>
        <v>66.238616993801656</v>
      </c>
      <c r="Y55" s="26">
        <f>VLOOKUP($C55,COS!$B$8:$H$991,4,FALSE)</f>
        <v>1022.280029296875</v>
      </c>
      <c r="Z55" s="26">
        <f t="shared" si="32"/>
        <v>60.829886040805789</v>
      </c>
      <c r="AA55" s="26">
        <f t="shared" si="75"/>
        <v>1022.280029296875</v>
      </c>
      <c r="AB55" s="33">
        <f t="shared" si="34"/>
        <v>60.829886040805789</v>
      </c>
      <c r="AD55" s="43">
        <v>1963</v>
      </c>
      <c r="AE55" s="1">
        <f>VLOOKUP(AD55,Flags!$A$13:$B$95,2,FALSE)</f>
        <v>1</v>
      </c>
      <c r="AF55" s="43">
        <f t="shared" si="6"/>
        <v>1727.2135072314047</v>
      </c>
      <c r="AG55" s="43">
        <f t="shared" si="7"/>
        <v>677.1253517503975</v>
      </c>
      <c r="AH55" s="43">
        <f t="shared" si="8"/>
        <v>0</v>
      </c>
      <c r="AI55" s="43">
        <f t="shared" si="9"/>
        <v>186.79033186983472</v>
      </c>
      <c r="AJ55" s="43">
        <f t="shared" si="10"/>
        <v>160.53308410140107</v>
      </c>
      <c r="AK55" s="43">
        <f t="shared" si="1"/>
        <v>21.395248438307078</v>
      </c>
      <c r="AL55" s="43">
        <f t="shared" si="11"/>
        <v>0</v>
      </c>
    </row>
    <row r="56" spans="1:38" x14ac:dyDescent="0.3">
      <c r="A56" s="32">
        <f>VLOOKUP(YEAR(C56),Flags!$A$13:$B$95,2,FALSE)</f>
        <v>4</v>
      </c>
      <c r="B56" s="24">
        <f t="shared" si="2"/>
        <v>1926</v>
      </c>
      <c r="C56" s="25">
        <v>9801</v>
      </c>
      <c r="D56" s="26"/>
      <c r="E56" s="24"/>
      <c r="F56" s="26"/>
      <c r="G56" s="26"/>
      <c r="H56" s="26"/>
      <c r="I56" s="26"/>
      <c r="J56" s="26"/>
      <c r="K56" s="26"/>
      <c r="L56" s="24"/>
      <c r="M56" s="24"/>
      <c r="N56" s="26"/>
      <c r="O56" s="26"/>
      <c r="P56" s="26"/>
      <c r="Q56" s="26"/>
      <c r="R56" s="26"/>
      <c r="S56" s="26"/>
      <c r="T56" s="26"/>
      <c r="U56" s="26"/>
      <c r="V56" s="26"/>
      <c r="W56" s="26">
        <f>MAX($C$9-VLOOKUP($C56,COS!$B$8:$H$991,3,FALSE),0)</f>
        <v>398.3447265625</v>
      </c>
      <c r="X56" s="26">
        <f t="shared" si="31"/>
        <v>24.493262525826445</v>
      </c>
      <c r="Y56" s="26">
        <f>VLOOKUP($C56,COS!$B$8:$H$991,4,FALSE)</f>
        <v>1559.9654541015625</v>
      </c>
      <c r="Z56" s="26">
        <f t="shared" si="32"/>
        <v>95.918537012525817</v>
      </c>
      <c r="AA56" s="26">
        <f t="shared" si="75"/>
        <v>398.3447265625</v>
      </c>
      <c r="AB56" s="33">
        <f t="shared" si="34"/>
        <v>24.493262525826445</v>
      </c>
      <c r="AD56" s="43">
        <v>1964</v>
      </c>
      <c r="AE56" s="1">
        <f>VLOOKUP(AD56,Flags!$A$13:$B$95,2,FALSE)</f>
        <v>4</v>
      </c>
      <c r="AF56" s="43">
        <f t="shared" si="6"/>
        <v>202.95327447055786</v>
      </c>
      <c r="AG56" s="43">
        <f t="shared" si="7"/>
        <v>649.6019249782089</v>
      </c>
      <c r="AH56" s="43">
        <f t="shared" si="8"/>
        <v>154.401796875</v>
      </c>
      <c r="AI56" s="43">
        <f t="shared" si="9"/>
        <v>360.22835679235538</v>
      </c>
      <c r="AJ56" s="43">
        <f t="shared" si="10"/>
        <v>318.52011081159606</v>
      </c>
      <c r="AK56" s="43">
        <f t="shared" si="1"/>
        <v>211.19295204351755</v>
      </c>
      <c r="AL56" s="43">
        <f t="shared" si="11"/>
        <v>154.401796875</v>
      </c>
    </row>
    <row r="57" spans="1:38" x14ac:dyDescent="0.3">
      <c r="A57" s="32">
        <f>VLOOKUP(YEAR(C57),Flags!$A$13:$B$95,2,FALSE)</f>
        <v>4</v>
      </c>
      <c r="B57" s="24">
        <f t="shared" si="2"/>
        <v>1926</v>
      </c>
      <c r="C57" s="25">
        <v>9831</v>
      </c>
      <c r="D57" s="26"/>
      <c r="E57" s="24"/>
      <c r="F57" s="26"/>
      <c r="G57" s="26"/>
      <c r="H57" s="26"/>
      <c r="I57" s="26"/>
      <c r="J57" s="26"/>
      <c r="K57" s="26"/>
      <c r="L57" s="24"/>
      <c r="M57" s="24"/>
      <c r="N57" s="26"/>
      <c r="O57" s="26"/>
      <c r="P57" s="26"/>
      <c r="Q57" s="26"/>
      <c r="R57" s="26"/>
      <c r="S57" s="26"/>
      <c r="T57" s="26"/>
      <c r="U57" s="26"/>
      <c r="V57" s="26"/>
      <c r="W57" s="26">
        <f>MAX($C$10-VLOOKUP($C57,COS!$B$8:$H$991,3,FALSE),0)</f>
        <v>1750</v>
      </c>
      <c r="X57" s="26">
        <f t="shared" si="31"/>
        <v>104.13223140495867</v>
      </c>
      <c r="Y57" s="26">
        <f>VLOOKUP($C57,COS!$B$8:$H$991,4,FALSE)</f>
        <v>0</v>
      </c>
      <c r="Z57" s="26">
        <f t="shared" si="32"/>
        <v>0</v>
      </c>
      <c r="AA57" s="26">
        <f t="shared" si="75"/>
        <v>0</v>
      </c>
      <c r="AB57" s="33">
        <f t="shared" si="34"/>
        <v>0</v>
      </c>
      <c r="AD57" s="43">
        <v>1965</v>
      </c>
      <c r="AE57" s="1">
        <f>VLOOKUP(AD57,Flags!$A$13:$B$95,2,FALSE)</f>
        <v>1</v>
      </c>
      <c r="AF57" s="43">
        <f t="shared" si="6"/>
        <v>332.63346364927685</v>
      </c>
      <c r="AG57" s="43">
        <f t="shared" si="7"/>
        <v>667.59995301743174</v>
      </c>
      <c r="AH57" s="43">
        <f t="shared" si="8"/>
        <v>0</v>
      </c>
      <c r="AI57" s="43">
        <f t="shared" si="9"/>
        <v>264.88433174070246</v>
      </c>
      <c r="AJ57" s="43">
        <f t="shared" si="10"/>
        <v>84.214305308948866</v>
      </c>
      <c r="AK57" s="43">
        <f t="shared" si="1"/>
        <v>0</v>
      </c>
      <c r="AL57" s="43">
        <f t="shared" si="11"/>
        <v>0</v>
      </c>
    </row>
    <row r="58" spans="1:38" x14ac:dyDescent="0.3">
      <c r="A58" s="34">
        <f>VLOOKUP(YEAR(C58),Flags!$A$13:$B$95,2,FALSE)</f>
        <v>4</v>
      </c>
      <c r="B58" s="35">
        <f t="shared" si="2"/>
        <v>1926</v>
      </c>
      <c r="C58" s="36">
        <v>9862</v>
      </c>
      <c r="D58" s="37"/>
      <c r="E58" s="35"/>
      <c r="F58" s="37"/>
      <c r="G58" s="37"/>
      <c r="H58" s="37"/>
      <c r="I58" s="37"/>
      <c r="J58" s="37"/>
      <c r="K58" s="37"/>
      <c r="L58" s="35"/>
      <c r="M58" s="35"/>
      <c r="N58" s="37"/>
      <c r="O58" s="37"/>
      <c r="P58" s="37"/>
      <c r="Q58" s="37"/>
      <c r="R58" s="37"/>
      <c r="S58" s="37"/>
      <c r="T58" s="37"/>
      <c r="U58" s="37"/>
      <c r="V58" s="37"/>
      <c r="W58" s="37">
        <f>MAX($C$11-VLOOKUP($C58,COS!$B$8:$H$991,3,FALSE),0)</f>
        <v>1750</v>
      </c>
      <c r="X58" s="37">
        <f t="shared" si="31"/>
        <v>107.60330578512398</v>
      </c>
      <c r="Y58" s="37">
        <f>VLOOKUP($C58,COS!$B$8:$H$991,4,FALSE)</f>
        <v>0</v>
      </c>
      <c r="Z58" s="37">
        <f t="shared" si="32"/>
        <v>0</v>
      </c>
      <c r="AA58" s="37">
        <f t="shared" si="75"/>
        <v>0</v>
      </c>
      <c r="AB58" s="38">
        <f t="shared" si="34"/>
        <v>0</v>
      </c>
      <c r="AD58" s="43">
        <v>1966</v>
      </c>
      <c r="AE58" s="1">
        <f>VLOOKUP(AD58,Flags!$A$13:$B$95,2,FALSE)</f>
        <v>3</v>
      </c>
      <c r="AF58" s="43">
        <f t="shared" si="6"/>
        <v>622.64396629648752</v>
      </c>
      <c r="AG58" s="43">
        <f t="shared" si="7"/>
        <v>692.24323587212677</v>
      </c>
      <c r="AH58" s="43">
        <f t="shared" si="8"/>
        <v>0</v>
      </c>
      <c r="AI58" s="43">
        <f t="shared" si="9"/>
        <v>104.13223140495867</v>
      </c>
      <c r="AJ58" s="43">
        <f t="shared" si="10"/>
        <v>202.35919891609635</v>
      </c>
      <c r="AK58" s="43">
        <f t="shared" si="1"/>
        <v>69.10637913223141</v>
      </c>
      <c r="AL58" s="43">
        <f t="shared" si="11"/>
        <v>0</v>
      </c>
    </row>
    <row r="59" spans="1:38" x14ac:dyDescent="0.3">
      <c r="A59" s="27">
        <f>VLOOKUP(YEAR(C59),Flags!$A$13:$B$95,2,FALSE)</f>
        <v>2</v>
      </c>
      <c r="B59" s="28">
        <f t="shared" si="2"/>
        <v>1927</v>
      </c>
      <c r="C59" s="29">
        <v>9982</v>
      </c>
      <c r="D59" s="30">
        <f>VLOOKUP($C59,COS!$B$8:$H$991,3,FALSE)</f>
        <v>9794.8115234375</v>
      </c>
      <c r="E59" s="28">
        <f>IF(D59&gt;=IF(MONTH($C59)=4,$C$3,IF(MONTH($C59)=5,$C$4,IF(MONTH($C59)=6,$C$5,IF(MONTH($C59)=7,$C$6,"ERROR")))),1,0)</f>
        <v>1</v>
      </c>
      <c r="F59" s="30">
        <f>VLOOKUP($C59,COS!$B$8:$H$991,7,FALSE)</f>
        <v>47.578723907470703</v>
      </c>
      <c r="G59" s="28">
        <f>IF(F59&lt;=IF(MONTH($C59)=4,$F$3,IF(MONTH($C59)=5,$F$4,IF(MONTH($C59)=6,$F$5,IF(MONTH($C59)=7,$F$6,"ERROR")))),1,0)</f>
        <v>1</v>
      </c>
      <c r="H59" s="30">
        <f>IF(J59=1,D59-$C$3,0)</f>
        <v>3794.8115234375</v>
      </c>
      <c r="I59" s="30">
        <f t="shared" si="17"/>
        <v>225.8069666838843</v>
      </c>
      <c r="J59" s="28">
        <f t="shared" ref="J59:J62" si="78">IF(AND(E59=1,G59=1),1,0)</f>
        <v>1</v>
      </c>
      <c r="K59" s="30">
        <f>VLOOKUP($C59,COS!$B$8:$H$991,2,FALSE)</f>
        <v>4552</v>
      </c>
      <c r="L59" s="28">
        <f t="shared" ref="L59" si="79">IF(K59&lt;=IF(MONTH($C59)=4,$I$3,IF(MONTH($C59)=5,$I$4,IF(MONTH($C59)=6,$I$5,IF(MONTH($C59)=7,$I$6,"ERROR")))),1,0)</f>
        <v>1</v>
      </c>
      <c r="M59" s="28">
        <f t="shared" ref="M59" si="80">VLOOKUP($A59,$L$3:$M$7,2,FALSE)</f>
        <v>0</v>
      </c>
      <c r="N59" s="30">
        <f>VLOOKUP($C59,COS!$B$8:$H$991,5,FALSE)</f>
        <v>550.79229736328125</v>
      </c>
      <c r="O59" s="30">
        <f t="shared" ref="O59:O62" si="81">N59*DAY($C59)*86400/43560/1000</f>
        <v>32.77441769434401</v>
      </c>
      <c r="P59" s="30">
        <f>VLOOKUP($C59,COS!$B$8:$H$991,6,FALSE)</f>
        <v>486.04421997070313</v>
      </c>
      <c r="Q59" s="30">
        <f t="shared" ref="Q59:Q62" si="82">P59*DAY($C59)*86400/43560/1000</f>
        <v>28.921639535446797</v>
      </c>
      <c r="R59" s="30">
        <f>MIN(IF(MONTH($C59)=4,$S$3,IF(MONTH($C59)=5,$S$4,IF(MONTH($C59)=6,$S$5,IF(MONTH($C59)=7,$S$6,"ERROR")))),MAX(VLOOKUP($C59,COS!$B$8:$K$991,10,FALSE)-IF(MONTH($C59)=4,$Y$3,IF(MONTH($C59)=5,$Y$4,IF(MONTH($C59)=6,$Y$5,IF(MONTH($C59)=7,$Y$6,"ERROR")))),0),MAX(VLOOKUP($C59,COS!$B$8:$K$991,9,FALSE)-IF(MONTH($C59)=4,$V$3,IF(MONTH($C59)=5,$V$4,IF(MONTH($C59)=6,$V$5,IF(MONTH($C59)=7,$V$6,"ERROR"))))-VLOOKUP($C59,COS!$B$8:$K$991,6,FALSE)/2,0))</f>
        <v>1500</v>
      </c>
      <c r="S59" s="30">
        <f t="shared" ref="S59:S62" si="83">R59*DAY($C59)*86400/43560/1000</f>
        <v>89.256198347107429</v>
      </c>
      <c r="T59" s="30">
        <f t="shared" ref="T59:T62" si="84">(O59+Q59)/2+S59</f>
        <v>120.10422696200283</v>
      </c>
      <c r="U59" s="30" t="str">
        <f>IF(VLOOKUP($C59,COS!$B$8:$I$991,8,FALSE)=1,"UWFE","IBU")</f>
        <v>UWFE</v>
      </c>
      <c r="V59" s="30">
        <f t="shared" ref="V59" si="85">MIN(IF(IF($AA$3=2,AND(E59=1,G59=1,L59=1,L64=1,M59=1,U59="IBU"),AND(E59=1,G59=1,L59=1,L64=1,M59=1)),T59,0),I59)</f>
        <v>0</v>
      </c>
      <c r="W59" s="30"/>
      <c r="X59" s="30"/>
      <c r="Y59" s="30"/>
      <c r="Z59" s="30"/>
      <c r="AA59" s="30"/>
      <c r="AB59" s="31"/>
      <c r="AD59" s="43">
        <v>1967</v>
      </c>
      <c r="AE59" s="1">
        <f>VLOOKUP(AD59,Flags!$A$13:$B$95,2,FALSE)</f>
        <v>1</v>
      </c>
      <c r="AF59" s="43">
        <f t="shared" si="6"/>
        <v>650.62075025826448</v>
      </c>
      <c r="AG59" s="43">
        <f t="shared" si="7"/>
        <v>666.82755976905503</v>
      </c>
      <c r="AH59" s="43">
        <f t="shared" si="8"/>
        <v>0</v>
      </c>
      <c r="AI59" s="43">
        <f t="shared" si="9"/>
        <v>163.95720461002065</v>
      </c>
      <c r="AJ59" s="43">
        <f t="shared" si="10"/>
        <v>121.2366370133329</v>
      </c>
      <c r="AK59" s="43">
        <f t="shared" si="1"/>
        <v>0</v>
      </c>
      <c r="AL59" s="43">
        <f t="shared" si="11"/>
        <v>0</v>
      </c>
    </row>
    <row r="60" spans="1:38" x14ac:dyDescent="0.3">
      <c r="A60" s="32">
        <f>VLOOKUP(YEAR(C60),Flags!$A$13:$B$95,2,FALSE)</f>
        <v>2</v>
      </c>
      <c r="B60" s="24">
        <f t="shared" si="2"/>
        <v>1927</v>
      </c>
      <c r="C60" s="25">
        <v>10013</v>
      </c>
      <c r="D60" s="26">
        <f>VLOOKUP($C60,COS!$B$8:$H$991,3,FALSE)</f>
        <v>7714.3828125</v>
      </c>
      <c r="E60" s="24">
        <f>IF(D60&gt;=IF(MONTH($C60)=4,$C$3,IF(MONTH($C60)=5,$C$4,IF(MONTH($C60)=6,$C$5,IF(MONTH($C60)=7,$C$6,"ERROR")))),1,0)</f>
        <v>1</v>
      </c>
      <c r="F60" s="26">
        <f>VLOOKUP($C60,COS!$B$8:$H$991,7,FALSE)</f>
        <v>50.201419830322266</v>
      </c>
      <c r="G60" s="24">
        <f>IF(F60&lt;=IF(MONTH($C60)=4,$F$3,IF(MONTH($C60)=5,$F$4,IF(MONTH($C60)=6,$F$5,IF(MONTH($C60)=7,$F$6,"ERROR")))),1,0)</f>
        <v>1</v>
      </c>
      <c r="H60" s="26">
        <f>IF(J60=1,D60-$C$4,0)</f>
        <v>1714.3828125</v>
      </c>
      <c r="I60" s="26">
        <f t="shared" si="17"/>
        <v>105.4132902892562</v>
      </c>
      <c r="J60" s="24">
        <f t="shared" si="78"/>
        <v>1</v>
      </c>
      <c r="K60" s="26">
        <f>VLOOKUP($C60,COS!$B$8:$H$991,2,FALSE)</f>
        <v>4552</v>
      </c>
      <c r="L60" s="24">
        <f t="shared" si="19"/>
        <v>1</v>
      </c>
      <c r="M60" s="24">
        <f t="shared" si="20"/>
        <v>0</v>
      </c>
      <c r="N60" s="26">
        <f>VLOOKUP($C60,COS!$B$8:$H$991,5,FALSE)</f>
        <v>894.1383056640625</v>
      </c>
      <c r="O60" s="26">
        <f t="shared" si="81"/>
        <v>54.978421439178717</v>
      </c>
      <c r="P60" s="26">
        <f>VLOOKUP($C60,COS!$B$8:$H$991,6,FALSE)</f>
        <v>2249.693359375</v>
      </c>
      <c r="Q60" s="26">
        <f t="shared" si="82"/>
        <v>138.3282528409091</v>
      </c>
      <c r="R60" s="26">
        <f>MIN(IF(MONTH($C60)=4,$S$3,IF(MONTH($C60)=5,$S$4,IF(MONTH($C60)=6,$S$5,IF(MONTH($C60)=7,$S$6,"ERROR")))),MAX(VLOOKUP($C60,COS!$B$8:$K$991,10,FALSE)-IF(MONTH($C60)=4,$Y$3,IF(MONTH($C60)=5,$Y$4,IF(MONTH($C60)=6,$Y$5,IF(MONTH($C60)=7,$Y$6,"ERROR")))),0),MAX(VLOOKUP($C60,COS!$B$8:$K$991,9,FALSE)-IF(MONTH($C60)=4,$V$3,IF(MONTH($C60)=5,$V$4,IF(MONTH($C60)=6,$V$5,IF(MONTH($C60)=7,$V$6,"ERROR"))))-VLOOKUP($C60,COS!$B$8:$K$991,6,FALSE)/2,0))</f>
        <v>1500</v>
      </c>
      <c r="S60" s="26">
        <f t="shared" si="83"/>
        <v>92.231404958677686</v>
      </c>
      <c r="T60" s="26">
        <f t="shared" si="84"/>
        <v>188.88474209872157</v>
      </c>
      <c r="U60" s="26" t="str">
        <f>IF(VLOOKUP($C60,COS!$B$8:$I$991,8,FALSE)=1,"UWFE","IBU")</f>
        <v>UWFE</v>
      </c>
      <c r="V60" s="26">
        <f t="shared" ref="V60" si="86">MIN(IF(IF($AA$3=2,AND(E60=1,G60=1,L60=1,L64=1,M60=1,U60="IBU"),AND(E60=1,G60=1,L60=1,L64=1,M60=1)),T60,0),I60)</f>
        <v>0</v>
      </c>
      <c r="W60" s="26"/>
      <c r="X60" s="26"/>
      <c r="Y60" s="26"/>
      <c r="Z60" s="26"/>
      <c r="AA60" s="26"/>
      <c r="AB60" s="33"/>
      <c r="AD60" s="43">
        <v>1968</v>
      </c>
      <c r="AE60" s="1">
        <f>VLOOKUP(AD60,Flags!$A$13:$B$95,2,FALSE)</f>
        <v>3</v>
      </c>
      <c r="AF60" s="43">
        <f t="shared" si="6"/>
        <v>497.01562403150825</v>
      </c>
      <c r="AG60" s="43">
        <f t="shared" si="7"/>
        <v>644.81326589537048</v>
      </c>
      <c r="AH60" s="43">
        <f t="shared" si="8"/>
        <v>0</v>
      </c>
      <c r="AI60" s="43">
        <f t="shared" si="9"/>
        <v>450.70242381198352</v>
      </c>
      <c r="AJ60" s="43">
        <f t="shared" si="10"/>
        <v>131.14432005827092</v>
      </c>
      <c r="AK60" s="43">
        <f t="shared" si="1"/>
        <v>58.715863127905472</v>
      </c>
      <c r="AL60" s="43">
        <f t="shared" si="11"/>
        <v>0</v>
      </c>
    </row>
    <row r="61" spans="1:38" x14ac:dyDescent="0.3">
      <c r="A61" s="32">
        <f>VLOOKUP(YEAR(C61),Flags!$A$13:$B$95,2,FALSE)</f>
        <v>2</v>
      </c>
      <c r="B61" s="24">
        <f t="shared" si="2"/>
        <v>1927</v>
      </c>
      <c r="C61" s="25">
        <v>10043</v>
      </c>
      <c r="D61" s="26">
        <f>VLOOKUP($C61,COS!$B$8:$H$991,3,FALSE)</f>
        <v>8988.9208984375</v>
      </c>
      <c r="E61" s="24">
        <f>IF(D61&gt;=IF(MONTH($C61)=4,$C$3,IF(MONTH($C61)=5,$C$4,IF(MONTH($C61)=6,$C$5,IF(MONTH($C61)=7,$C$6,"ERROR")))),1,0)</f>
        <v>0</v>
      </c>
      <c r="F61" s="26">
        <f>VLOOKUP($C61,COS!$B$8:$H$991,7,FALSE)</f>
        <v>51.129753112792969</v>
      </c>
      <c r="G61" s="24">
        <f>IF(F61&lt;=IF(MONTH($C61)=4,$F$3,IF(MONTH($C61)=5,$F$4,IF(MONTH($C61)=6,$F$5,IF(MONTH($C61)=7,$F$6,"ERROR")))),1,0)</f>
        <v>1</v>
      </c>
      <c r="H61" s="26">
        <f>IF(J61=1,D61-$C$5,0)</f>
        <v>0</v>
      </c>
      <c r="I61" s="26">
        <f t="shared" si="17"/>
        <v>0</v>
      </c>
      <c r="J61" s="24">
        <f t="shared" si="78"/>
        <v>0</v>
      </c>
      <c r="K61" s="26">
        <f>VLOOKUP($C61,COS!$B$8:$H$991,2,FALSE)</f>
        <v>4290.38525390625</v>
      </c>
      <c r="L61" s="24">
        <f t="shared" si="19"/>
        <v>1</v>
      </c>
      <c r="M61" s="24">
        <f t="shared" si="20"/>
        <v>0</v>
      </c>
      <c r="N61" s="26">
        <f>VLOOKUP($C61,COS!$B$8:$H$991,5,FALSE)</f>
        <v>1054.7291259765625</v>
      </c>
      <c r="O61" s="26">
        <f t="shared" si="81"/>
        <v>62.760741380423553</v>
      </c>
      <c r="P61" s="26">
        <f>VLOOKUP($C61,COS!$B$8:$H$991,6,FALSE)</f>
        <v>2141.721923828125</v>
      </c>
      <c r="Q61" s="26">
        <f t="shared" si="82"/>
        <v>127.44130455836778</v>
      </c>
      <c r="R61" s="26">
        <f>MIN(IF(MONTH($C61)=4,$S$3,IF(MONTH($C61)=5,$S$4,IF(MONTH($C61)=6,$S$5,IF(MONTH($C61)=7,$S$6,"ERROR")))),MAX(VLOOKUP($C61,COS!$B$8:$K$991,10,FALSE)-IF(MONTH($C61)=4,$Y$3,IF(MONTH($C61)=5,$Y$4,IF(MONTH($C61)=6,$Y$5,IF(MONTH($C61)=7,$Y$6,"ERROR")))),0),MAX(VLOOKUP($C61,COS!$B$8:$K$991,9,FALSE)-IF(MONTH($C61)=4,$V$3,IF(MONTH($C61)=5,$V$4,IF(MONTH($C61)=6,$V$5,IF(MONTH($C61)=7,$V$6,"ERROR"))))-VLOOKUP($C61,COS!$B$8:$K$991,6,FALSE)/2,0))</f>
        <v>1500</v>
      </c>
      <c r="S61" s="26">
        <f t="shared" si="83"/>
        <v>89.256198347107429</v>
      </c>
      <c r="T61" s="26">
        <f t="shared" si="84"/>
        <v>184.35722131650311</v>
      </c>
      <c r="U61" s="26" t="str">
        <f>IF(VLOOKUP($C61,COS!$B$8:$I$991,8,FALSE)=1,"UWFE","IBU")</f>
        <v>UWFE</v>
      </c>
      <c r="V61" s="26">
        <f t="shared" ref="V61" si="87">MIN(IF(IF($AA$3=2,AND(E61=1,G61=1,L61=1,L64=1,M61=1,U61="IBU"),AND(E61=1,G61=1,L61=1,L64=1,M61=1)),T61,0),I61)</f>
        <v>0</v>
      </c>
      <c r="W61" s="26"/>
      <c r="X61" s="26"/>
      <c r="Y61" s="26"/>
      <c r="Z61" s="26"/>
      <c r="AA61" s="26"/>
      <c r="AB61" s="33"/>
      <c r="AD61" s="43">
        <v>1969</v>
      </c>
      <c r="AE61" s="1">
        <f>VLOOKUP(AD61,Flags!$A$13:$B$95,2,FALSE)</f>
        <v>1</v>
      </c>
      <c r="AF61" s="43">
        <f t="shared" si="6"/>
        <v>438.45833871384298</v>
      </c>
      <c r="AG61" s="43">
        <f t="shared" si="7"/>
        <v>692.78652045131707</v>
      </c>
      <c r="AH61" s="43">
        <f t="shared" si="8"/>
        <v>0</v>
      </c>
      <c r="AI61" s="43">
        <f t="shared" si="9"/>
        <v>94.309133522727279</v>
      </c>
      <c r="AJ61" s="43">
        <f t="shared" si="10"/>
        <v>17.674964503769047</v>
      </c>
      <c r="AK61" s="43">
        <f t="shared" si="1"/>
        <v>0</v>
      </c>
      <c r="AL61" s="43">
        <f t="shared" si="11"/>
        <v>0</v>
      </c>
    </row>
    <row r="62" spans="1:38" x14ac:dyDescent="0.3">
      <c r="A62" s="32">
        <f>VLOOKUP(YEAR(C62),Flags!$A$13:$B$95,2,FALSE)</f>
        <v>2</v>
      </c>
      <c r="B62" s="24">
        <f t="shared" si="2"/>
        <v>1927</v>
      </c>
      <c r="C62" s="25">
        <v>10074</v>
      </c>
      <c r="D62" s="26">
        <f>VLOOKUP($C62,COS!$B$8:$H$991,3,FALSE)</f>
        <v>16000</v>
      </c>
      <c r="E62" s="24">
        <f>IF(D62&gt;=IF(MONTH($C62)=4,$C$3,IF(MONTH($C62)=5,$C$4,IF(MONTH($C62)=6,$C$5,IF(MONTH($C62)=7,$C$6,"ERROR")))),1,0)</f>
        <v>1</v>
      </c>
      <c r="F62" s="26">
        <f>VLOOKUP($C62,COS!$B$8:$H$991,7,FALSE)</f>
        <v>51.332504272460938</v>
      </c>
      <c r="G62" s="24">
        <f>IF(F62&lt;=IF(MONTH($C62)=4,$F$3,IF(MONTH($C62)=5,$F$4,IF(MONTH($C62)=6,$F$5,IF(MONTH($C62)=7,$F$6,"ERROR")))),1,0)</f>
        <v>1</v>
      </c>
      <c r="H62" s="26">
        <f>IF(J62=1,D62-$C$6,0)</f>
        <v>4000</v>
      </c>
      <c r="I62" s="26">
        <f t="shared" si="17"/>
        <v>245.95041322314049</v>
      </c>
      <c r="J62" s="24">
        <f t="shared" si="78"/>
        <v>1</v>
      </c>
      <c r="K62" s="26">
        <f>VLOOKUP($C62,COS!$B$8:$H$991,2,FALSE)</f>
        <v>3557.699462890625</v>
      </c>
      <c r="L62" s="24">
        <f t="shared" si="19"/>
        <v>1</v>
      </c>
      <c r="M62" s="24">
        <f t="shared" si="20"/>
        <v>0</v>
      </c>
      <c r="N62" s="26">
        <f>VLOOKUP($C62,COS!$B$8:$H$991,5,FALSE)</f>
        <v>1278.4688720703125</v>
      </c>
      <c r="O62" s="26">
        <f t="shared" si="81"/>
        <v>78.609986844653918</v>
      </c>
      <c r="P62" s="26">
        <f>VLOOKUP($C62,COS!$B$8:$H$991,6,FALSE)</f>
        <v>2521.474853515625</v>
      </c>
      <c r="Q62" s="26">
        <f t="shared" si="82"/>
        <v>155.0394455384814</v>
      </c>
      <c r="R62" s="26">
        <f>MIN(IF(MONTH($C62)=4,$S$3,IF(MONTH($C62)=5,$S$4,IF(MONTH($C62)=6,$S$5,IF(MONTH($C62)=7,$S$6,"ERROR")))),MAX(VLOOKUP($C62,COS!$B$8:$K$991,10,FALSE)-IF(MONTH($C62)=4,$Y$3,IF(MONTH($C62)=5,$Y$4,IF(MONTH($C62)=6,$Y$5,IF(MONTH($C62)=7,$Y$6,"ERROR")))),0),MAX(VLOOKUP($C62,COS!$B$8:$K$991,9,FALSE)-IF(MONTH($C62)=4,$V$3,IF(MONTH($C62)=5,$V$4,IF(MONTH($C62)=6,$V$5,IF(MONTH($C62)=7,$V$6,"ERROR"))))-VLOOKUP($C62,COS!$B$8:$K$991,6,FALSE)/2,0))</f>
        <v>1500</v>
      </c>
      <c r="S62" s="26">
        <f t="shared" si="83"/>
        <v>92.231404958677686</v>
      </c>
      <c r="T62" s="26">
        <f t="shared" si="84"/>
        <v>209.05612115024536</v>
      </c>
      <c r="U62" s="26" t="str">
        <f>IF(VLOOKUP($C62,COS!$B$8:$I$991,8,FALSE)=1,"UWFE","IBU")</f>
        <v>IBU</v>
      </c>
      <c r="V62" s="26">
        <f t="shared" ref="V62" si="88">MIN(IF(IF($AA$3=2,AND(E62=1,G62=1,L62=1,L64=1,M62=1,U62="IBU"),AND(E62=1,G62=1,L62=1,L64=1,M62=1)),T62,0),I62)</f>
        <v>0</v>
      </c>
      <c r="W62" s="26"/>
      <c r="X62" s="26"/>
      <c r="Y62" s="26"/>
      <c r="Z62" s="26"/>
      <c r="AA62" s="26"/>
      <c r="AB62" s="33"/>
      <c r="AD62" s="43">
        <v>1970</v>
      </c>
      <c r="AE62" s="1">
        <f>VLOOKUP(AD62,Flags!$A$13:$B$95,2,FALSE)</f>
        <v>1</v>
      </c>
      <c r="AF62" s="43">
        <f t="shared" si="6"/>
        <v>344.98198799070246</v>
      </c>
      <c r="AG62" s="43">
        <f t="shared" si="7"/>
        <v>613.52775824428591</v>
      </c>
      <c r="AH62" s="43">
        <f t="shared" si="8"/>
        <v>0</v>
      </c>
      <c r="AI62" s="43">
        <f t="shared" si="9"/>
        <v>83.63052621384297</v>
      </c>
      <c r="AJ62" s="43">
        <f t="shared" si="10"/>
        <v>170.52140419195507</v>
      </c>
      <c r="AK62" s="43">
        <f t="shared" si="1"/>
        <v>0</v>
      </c>
      <c r="AL62" s="43">
        <f t="shared" si="11"/>
        <v>0</v>
      </c>
    </row>
    <row r="63" spans="1:38" x14ac:dyDescent="0.3">
      <c r="A63" s="32">
        <f>VLOOKUP(YEAR(C63),Flags!$A$13:$B$95,2,FALSE)</f>
        <v>2</v>
      </c>
      <c r="B63" s="24">
        <f t="shared" si="2"/>
        <v>1927</v>
      </c>
      <c r="C63" s="25">
        <v>10105</v>
      </c>
      <c r="D63" s="26"/>
      <c r="E63" s="24"/>
      <c r="F63" s="26"/>
      <c r="G63" s="24"/>
      <c r="H63" s="24"/>
      <c r="I63" s="26"/>
      <c r="J63" s="24"/>
      <c r="K63" s="26"/>
      <c r="L63" s="24"/>
      <c r="M63" s="24"/>
      <c r="N63" s="26"/>
      <c r="O63" s="26"/>
      <c r="P63" s="26"/>
      <c r="Q63" s="26"/>
      <c r="R63" s="26"/>
      <c r="S63" s="26"/>
      <c r="T63" s="26"/>
      <c r="U63" s="26"/>
      <c r="V63" s="26"/>
      <c r="W63" s="26">
        <f>MAX($C$7-VLOOKUP($C63,COS!$B$8:$H$991,3,FALSE),0)</f>
        <v>883.072265625</v>
      </c>
      <c r="X63" s="26">
        <f t="shared" si="31"/>
        <v>54.297997159090912</v>
      </c>
      <c r="Y63" s="26">
        <f>VLOOKUP($C63,COS!$B$8:$H$991,4,FALSE)</f>
        <v>131.21571350097656</v>
      </c>
      <c r="Z63" s="26">
        <f t="shared" si="32"/>
        <v>8.0681397392336009</v>
      </c>
      <c r="AA63" s="26">
        <f t="shared" ref="AA63:AA67" si="89">MIN(W63,Y63)</f>
        <v>131.21571350097656</v>
      </c>
      <c r="AB63" s="33">
        <f t="shared" ref="AB63" si="90">AA63*DAY($C63)*86400/43560/1000*IF(MONTH($C63)=8,$P$3,IF(MONTH($C63)=9,$P$4,IF(MONTH($C63)=10,$P$5,IF(MONTH($C63)=11,$P$6,IF(MONTH($C63)=12,$P$7,NA())))))</f>
        <v>8.0681397392336009</v>
      </c>
      <c r="AD63" s="43">
        <v>1971</v>
      </c>
      <c r="AE63" s="1">
        <f>VLOOKUP(AD63,Flags!$A$13:$B$95,2,FALSE)</f>
        <v>1</v>
      </c>
      <c r="AF63" s="43">
        <f t="shared" si="6"/>
        <v>413.69826252582646</v>
      </c>
      <c r="AG63" s="43">
        <f t="shared" si="7"/>
        <v>685.45884684917348</v>
      </c>
      <c r="AH63" s="43">
        <f t="shared" si="8"/>
        <v>0</v>
      </c>
      <c r="AI63" s="43">
        <f t="shared" si="9"/>
        <v>263.50692536157027</v>
      </c>
      <c r="AJ63" s="43">
        <f t="shared" si="10"/>
        <v>198.7760154434078</v>
      </c>
      <c r="AK63" s="43">
        <f t="shared" si="1"/>
        <v>22.609129467168131</v>
      </c>
      <c r="AL63" s="43">
        <f t="shared" si="11"/>
        <v>0</v>
      </c>
    </row>
    <row r="64" spans="1:38" x14ac:dyDescent="0.3">
      <c r="A64" s="32">
        <f>VLOOKUP(YEAR(C64),Flags!$A$13:$B$95,2,FALSE)</f>
        <v>2</v>
      </c>
      <c r="B64" s="24">
        <f t="shared" si="2"/>
        <v>1927</v>
      </c>
      <c r="C64" s="25">
        <v>10135</v>
      </c>
      <c r="D64" s="26"/>
      <c r="E64" s="24"/>
      <c r="F64" s="26"/>
      <c r="G64" s="24"/>
      <c r="H64" s="24"/>
      <c r="I64" s="26"/>
      <c r="J64" s="24"/>
      <c r="K64" s="26">
        <f>VLOOKUP($C64,COS!$B$8:$H$991,2,FALSE)</f>
        <v>2812.22802734375</v>
      </c>
      <c r="L64" s="24">
        <f t="shared" ref="L64" si="91">IF(AND(K64&gt;$I$7,K64&lt;$I$8),1,0)</f>
        <v>1</v>
      </c>
      <c r="M64" s="24"/>
      <c r="N64" s="26"/>
      <c r="O64" s="26"/>
      <c r="P64" s="26"/>
      <c r="Q64" s="26"/>
      <c r="R64" s="26"/>
      <c r="S64" s="26"/>
      <c r="T64" s="26"/>
      <c r="U64" s="26"/>
      <c r="V64" s="26"/>
      <c r="W64" s="26">
        <f>MAX($C$8-VLOOKUP($C64,COS!$B$8:$H$991,3,FALSE),0)</f>
        <v>0</v>
      </c>
      <c r="X64" s="26">
        <f t="shared" si="31"/>
        <v>0</v>
      </c>
      <c r="Y64" s="26">
        <f>VLOOKUP($C64,COS!$B$8:$H$991,4,FALSE)</f>
        <v>0</v>
      </c>
      <c r="Z64" s="26">
        <f t="shared" si="32"/>
        <v>0</v>
      </c>
      <c r="AA64" s="26">
        <f t="shared" si="89"/>
        <v>0</v>
      </c>
      <c r="AB64" s="33">
        <f t="shared" si="34"/>
        <v>0</v>
      </c>
      <c r="AD64" s="43">
        <v>1972</v>
      </c>
      <c r="AE64" s="1">
        <f>VLOOKUP(AD64,Flags!$A$13:$B$95,2,FALSE)</f>
        <v>3</v>
      </c>
      <c r="AF64" s="43">
        <f t="shared" si="6"/>
        <v>529.18486247417354</v>
      </c>
      <c r="AG64" s="43">
        <f t="shared" si="7"/>
        <v>647.49496554792415</v>
      </c>
      <c r="AH64" s="43">
        <f t="shared" si="8"/>
        <v>0</v>
      </c>
      <c r="AI64" s="43">
        <f t="shared" si="9"/>
        <v>271.59600949121898</v>
      </c>
      <c r="AJ64" s="43">
        <f t="shared" si="10"/>
        <v>297.71753264624226</v>
      </c>
      <c r="AK64" s="43">
        <f t="shared" si="1"/>
        <v>215.74765850981404</v>
      </c>
      <c r="AL64" s="43">
        <f t="shared" si="11"/>
        <v>0</v>
      </c>
    </row>
    <row r="65" spans="1:38" x14ac:dyDescent="0.3">
      <c r="A65" s="32">
        <f>VLOOKUP(YEAR(C65),Flags!$A$13:$B$95,2,FALSE)</f>
        <v>2</v>
      </c>
      <c r="B65" s="24">
        <f t="shared" si="2"/>
        <v>1927</v>
      </c>
      <c r="C65" s="25">
        <v>10166</v>
      </c>
      <c r="D65" s="26"/>
      <c r="E65" s="24"/>
      <c r="F65" s="26"/>
      <c r="G65" s="26"/>
      <c r="H65" s="26"/>
      <c r="I65" s="26"/>
      <c r="J65" s="26"/>
      <c r="K65" s="26"/>
      <c r="L65" s="24"/>
      <c r="M65" s="24"/>
      <c r="N65" s="26"/>
      <c r="O65" s="26"/>
      <c r="P65" s="26"/>
      <c r="Q65" s="26"/>
      <c r="R65" s="26"/>
      <c r="S65" s="26"/>
      <c r="T65" s="26"/>
      <c r="U65" s="26"/>
      <c r="V65" s="26"/>
      <c r="W65" s="26">
        <f>MAX($C$9-VLOOKUP($C65,COS!$B$8:$H$991,3,FALSE),0)</f>
        <v>0</v>
      </c>
      <c r="X65" s="26">
        <f t="shared" si="31"/>
        <v>0</v>
      </c>
      <c r="Y65" s="26">
        <f>VLOOKUP($C65,COS!$B$8:$H$991,4,FALSE)</f>
        <v>958.4876708984375</v>
      </c>
      <c r="Z65" s="26">
        <f t="shared" si="32"/>
        <v>58.935109681689049</v>
      </c>
      <c r="AA65" s="26">
        <f t="shared" si="89"/>
        <v>0</v>
      </c>
      <c r="AB65" s="33">
        <f t="shared" si="34"/>
        <v>0</v>
      </c>
      <c r="AD65" s="43">
        <v>1973</v>
      </c>
      <c r="AE65" s="1">
        <f>VLOOKUP(AD65,Flags!$A$13:$B$95,2,FALSE)</f>
        <v>2</v>
      </c>
      <c r="AF65" s="43">
        <f t="shared" si="6"/>
        <v>456.36225174328513</v>
      </c>
      <c r="AG65" s="43">
        <f t="shared" si="7"/>
        <v>697.35026663788096</v>
      </c>
      <c r="AH65" s="43">
        <f t="shared" si="8"/>
        <v>0</v>
      </c>
      <c r="AI65" s="43">
        <f t="shared" si="9"/>
        <v>198.73375839359505</v>
      </c>
      <c r="AJ65" s="43">
        <f t="shared" si="10"/>
        <v>104.91092460695377</v>
      </c>
      <c r="AK65" s="43">
        <f t="shared" si="1"/>
        <v>16.360977187984247</v>
      </c>
      <c r="AL65" s="43">
        <f t="shared" si="11"/>
        <v>0</v>
      </c>
    </row>
    <row r="66" spans="1:38" x14ac:dyDescent="0.3">
      <c r="A66" s="32">
        <f>VLOOKUP(YEAR(C66),Flags!$A$13:$B$95,2,FALSE)</f>
        <v>2</v>
      </c>
      <c r="B66" s="24">
        <f t="shared" si="2"/>
        <v>1927</v>
      </c>
      <c r="C66" s="25">
        <v>10196</v>
      </c>
      <c r="D66" s="26"/>
      <c r="E66" s="24"/>
      <c r="F66" s="26"/>
      <c r="G66" s="26"/>
      <c r="H66" s="26"/>
      <c r="I66" s="26"/>
      <c r="J66" s="26"/>
      <c r="K66" s="26"/>
      <c r="L66" s="24"/>
      <c r="M66" s="24"/>
      <c r="N66" s="26"/>
      <c r="O66" s="26"/>
      <c r="P66" s="26"/>
      <c r="Q66" s="26"/>
      <c r="R66" s="26"/>
      <c r="S66" s="26"/>
      <c r="T66" s="26"/>
      <c r="U66" s="26"/>
      <c r="V66" s="26"/>
      <c r="W66" s="26">
        <f>MAX($C$10-VLOOKUP($C66,COS!$B$8:$H$991,3,FALSE),0)</f>
        <v>0</v>
      </c>
      <c r="X66" s="26">
        <f t="shared" si="31"/>
        <v>0</v>
      </c>
      <c r="Y66" s="26">
        <f>VLOOKUP($C66,COS!$B$8:$H$991,4,FALSE)</f>
        <v>593.66107177734375</v>
      </c>
      <c r="Z66" s="26">
        <f t="shared" si="32"/>
        <v>35.325286915676656</v>
      </c>
      <c r="AA66" s="26">
        <f t="shared" si="89"/>
        <v>0</v>
      </c>
      <c r="AB66" s="33">
        <f t="shared" si="34"/>
        <v>0</v>
      </c>
      <c r="AD66" s="43">
        <v>1974</v>
      </c>
      <c r="AE66" s="1">
        <f>VLOOKUP(AD66,Flags!$A$13:$B$95,2,FALSE)</f>
        <v>1</v>
      </c>
      <c r="AF66" s="43">
        <f t="shared" si="6"/>
        <v>37.038895273760332</v>
      </c>
      <c r="AG66" s="43">
        <f t="shared" si="7"/>
        <v>679.96204771183739</v>
      </c>
      <c r="AH66" s="43">
        <f t="shared" si="8"/>
        <v>0</v>
      </c>
      <c r="AI66" s="43">
        <f t="shared" si="9"/>
        <v>255.46003551136363</v>
      </c>
      <c r="AJ66" s="43">
        <f t="shared" si="10"/>
        <v>158.65327051588326</v>
      </c>
      <c r="AK66" s="43">
        <f t="shared" si="1"/>
        <v>0</v>
      </c>
      <c r="AL66" s="43">
        <f t="shared" si="11"/>
        <v>0</v>
      </c>
    </row>
    <row r="67" spans="1:38" x14ac:dyDescent="0.3">
      <c r="A67" s="34">
        <f>VLOOKUP(YEAR(C67),Flags!$A$13:$B$95,2,FALSE)</f>
        <v>2</v>
      </c>
      <c r="B67" s="35">
        <f t="shared" si="2"/>
        <v>1927</v>
      </c>
      <c r="C67" s="36">
        <v>10227</v>
      </c>
      <c r="D67" s="37"/>
      <c r="E67" s="35"/>
      <c r="F67" s="37"/>
      <c r="G67" s="37"/>
      <c r="H67" s="37"/>
      <c r="I67" s="37"/>
      <c r="J67" s="37"/>
      <c r="K67" s="37"/>
      <c r="L67" s="35"/>
      <c r="M67" s="35"/>
      <c r="N67" s="37"/>
      <c r="O67" s="37"/>
      <c r="P67" s="37"/>
      <c r="Q67" s="37"/>
      <c r="R67" s="37"/>
      <c r="S67" s="37"/>
      <c r="T67" s="37"/>
      <c r="U67" s="37"/>
      <c r="V67" s="37"/>
      <c r="W67" s="37">
        <f>MAX($C$11-VLOOKUP($C67,COS!$B$8:$H$991,3,FALSE),0)</f>
        <v>1355.184326171875</v>
      </c>
      <c r="X67" s="37">
        <f t="shared" si="31"/>
        <v>83.32703625387397</v>
      </c>
      <c r="Y67" s="37">
        <f>VLOOKUP($C67,COS!$B$8:$H$991,4,FALSE)</f>
        <v>0</v>
      </c>
      <c r="Z67" s="37">
        <f t="shared" si="32"/>
        <v>0</v>
      </c>
      <c r="AA67" s="37">
        <f t="shared" si="89"/>
        <v>0</v>
      </c>
      <c r="AB67" s="38">
        <f t="shared" si="34"/>
        <v>0</v>
      </c>
      <c r="AD67" s="43">
        <v>1975</v>
      </c>
      <c r="AE67" s="1">
        <f>VLOOKUP(AD67,Flags!$A$13:$B$95,2,FALSE)</f>
        <v>1</v>
      </c>
      <c r="AF67" s="43">
        <f t="shared" si="6"/>
        <v>358.21987151342972</v>
      </c>
      <c r="AG67" s="43">
        <f t="shared" si="7"/>
        <v>704.98574924941886</v>
      </c>
      <c r="AH67" s="43">
        <f t="shared" si="8"/>
        <v>0</v>
      </c>
      <c r="AI67" s="43">
        <f t="shared" si="9"/>
        <v>245.14963326446284</v>
      </c>
      <c r="AJ67" s="43">
        <f t="shared" si="10"/>
        <v>123.33492744382747</v>
      </c>
      <c r="AK67" s="43">
        <f t="shared" si="1"/>
        <v>0</v>
      </c>
      <c r="AL67" s="43">
        <f t="shared" si="11"/>
        <v>0</v>
      </c>
    </row>
    <row r="68" spans="1:38" x14ac:dyDescent="0.3">
      <c r="A68" s="27">
        <f>VLOOKUP(YEAR(C68),Flags!$A$13:$B$95,2,FALSE)</f>
        <v>2</v>
      </c>
      <c r="B68" s="28">
        <f t="shared" si="2"/>
        <v>1928</v>
      </c>
      <c r="C68" s="29">
        <v>10348</v>
      </c>
      <c r="D68" s="30">
        <f>VLOOKUP($C68,COS!$B$8:$H$991,3,FALSE)</f>
        <v>3250</v>
      </c>
      <c r="E68" s="28">
        <f>IF(D68&gt;=IF(MONTH($C68)=4,$C$3,IF(MONTH($C68)=5,$C$4,IF(MONTH($C68)=6,$C$5,IF(MONTH($C68)=7,$C$6,"ERROR")))),1,0)</f>
        <v>0</v>
      </c>
      <c r="F68" s="30">
        <f>VLOOKUP($C68,COS!$B$8:$H$991,7,FALSE)</f>
        <v>51.280696868896484</v>
      </c>
      <c r="G68" s="28">
        <f>IF(F68&lt;=IF(MONTH($C68)=4,$F$3,IF(MONTH($C68)=5,$F$4,IF(MONTH($C68)=6,$F$5,IF(MONTH($C68)=7,$F$6,"ERROR")))),1,0)</f>
        <v>1</v>
      </c>
      <c r="H68" s="30">
        <f>IF(J68=1,D68-$C$3,0)</f>
        <v>0</v>
      </c>
      <c r="I68" s="30">
        <f t="shared" si="17"/>
        <v>0</v>
      </c>
      <c r="J68" s="28">
        <f t="shared" ref="J68:J71" si="92">IF(AND(E68=1,G68=1),1,0)</f>
        <v>0</v>
      </c>
      <c r="K68" s="30">
        <f>VLOOKUP($C68,COS!$B$8:$H$991,2,FALSE)</f>
        <v>4536.6591796875</v>
      </c>
      <c r="L68" s="28">
        <f t="shared" ref="L68" si="93">IF(K68&lt;=IF(MONTH($C68)=4,$I$3,IF(MONTH($C68)=5,$I$4,IF(MONTH($C68)=6,$I$5,IF(MONTH($C68)=7,$I$6,"ERROR")))),1,0)</f>
        <v>1</v>
      </c>
      <c r="M68" s="28">
        <f t="shared" ref="M68" si="94">VLOOKUP($A68,$L$3:$M$7,2,FALSE)</f>
        <v>0</v>
      </c>
      <c r="N68" s="30">
        <f>VLOOKUP($C68,COS!$B$8:$H$991,5,FALSE)</f>
        <v>195.05795288085938</v>
      </c>
      <c r="O68" s="30">
        <f t="shared" ref="O68:O71" si="95">N68*DAY($C68)*86400/43560/1000</f>
        <v>11.606754221009815</v>
      </c>
      <c r="P68" s="30">
        <f>VLOOKUP($C68,COS!$B$8:$H$991,6,FALSE)</f>
        <v>419.7452392578125</v>
      </c>
      <c r="Q68" s="30">
        <f t="shared" ref="Q68:Q71" si="96">P68*DAY($C68)*86400/43560/1000</f>
        <v>24.976576220299588</v>
      </c>
      <c r="R68" s="30">
        <f>MIN(IF(MONTH($C68)=4,$S$3,IF(MONTH($C68)=5,$S$4,IF(MONTH($C68)=6,$S$5,IF(MONTH($C68)=7,$S$6,"ERROR")))),MAX(VLOOKUP($C68,COS!$B$8:$K$991,10,FALSE)-IF(MONTH($C68)=4,$Y$3,IF(MONTH($C68)=5,$Y$4,IF(MONTH($C68)=6,$Y$5,IF(MONTH($C68)=7,$Y$6,"ERROR")))),0),MAX(VLOOKUP($C68,COS!$B$8:$K$991,9,FALSE)-IF(MONTH($C68)=4,$V$3,IF(MONTH($C68)=5,$V$4,IF(MONTH($C68)=6,$V$5,IF(MONTH($C68)=7,$V$6,"ERROR"))))-VLOOKUP($C68,COS!$B$8:$K$991,6,FALSE)/2,0))</f>
        <v>1500</v>
      </c>
      <c r="S68" s="30">
        <f t="shared" ref="S68:S71" si="97">R68*DAY($C68)*86400/43560/1000</f>
        <v>89.256198347107429</v>
      </c>
      <c r="T68" s="30">
        <f t="shared" ref="T68:T71" si="98">(O68+Q68)/2+S68</f>
        <v>107.54786356776214</v>
      </c>
      <c r="U68" s="30" t="str">
        <f>IF(VLOOKUP($C68,COS!$B$8:$I$991,8,FALSE)=1,"UWFE","IBU")</f>
        <v>UWFE</v>
      </c>
      <c r="V68" s="30">
        <f t="shared" ref="V68" si="99">MIN(IF(IF($AA$3=2,AND(E68=1,G68=1,L68=1,L73=1,M68=1,U68="IBU"),AND(E68=1,G68=1,L68=1,L73=1,M68=1)),T68,0),I68)</f>
        <v>0</v>
      </c>
      <c r="W68" s="30"/>
      <c r="X68" s="30"/>
      <c r="Y68" s="30"/>
      <c r="Z68" s="30"/>
      <c r="AA68" s="30"/>
      <c r="AB68" s="31"/>
      <c r="AD68" s="44">
        <v>1976</v>
      </c>
      <c r="AE68" s="45">
        <f>VLOOKUP(AD68,Flags!$A$13:$B$95,2,FALSE)</f>
        <v>4</v>
      </c>
      <c r="AF68" s="44">
        <f t="shared" si="6"/>
        <v>250.9674774018595</v>
      </c>
      <c r="AG68" s="44">
        <f t="shared" si="7"/>
        <v>607.49359581813337</v>
      </c>
      <c r="AH68" s="44">
        <f t="shared" si="8"/>
        <v>172.01439102551169</v>
      </c>
      <c r="AI68" s="44">
        <f t="shared" si="9"/>
        <v>396.23744318181815</v>
      </c>
      <c r="AJ68" s="44">
        <f t="shared" si="10"/>
        <v>561.13268578899783</v>
      </c>
      <c r="AK68" s="44">
        <f t="shared" si="1"/>
        <v>186.42185780927167</v>
      </c>
      <c r="AL68" s="44">
        <f t="shared" si="11"/>
        <v>172.01439102551169</v>
      </c>
    </row>
    <row r="69" spans="1:38" x14ac:dyDescent="0.3">
      <c r="A69" s="32">
        <f>VLOOKUP(YEAR(C69),Flags!$A$13:$B$95,2,FALSE)</f>
        <v>2</v>
      </c>
      <c r="B69" s="24">
        <f t="shared" si="2"/>
        <v>1928</v>
      </c>
      <c r="C69" s="25">
        <v>10379</v>
      </c>
      <c r="D69" s="26">
        <f>VLOOKUP($C69,COS!$B$8:$H$991,3,FALSE)</f>
        <v>7197.19873046875</v>
      </c>
      <c r="E69" s="24">
        <f>IF(D69&gt;=IF(MONTH($C69)=4,$C$3,IF(MONTH($C69)=5,$C$4,IF(MONTH($C69)=6,$C$5,IF(MONTH($C69)=7,$C$6,"ERROR")))),1,0)</f>
        <v>1</v>
      </c>
      <c r="F69" s="26">
        <f>VLOOKUP($C69,COS!$B$8:$H$991,7,FALSE)</f>
        <v>51.672935485839844</v>
      </c>
      <c r="G69" s="24">
        <f>IF(F69&lt;=IF(MONTH($C69)=4,$F$3,IF(MONTH($C69)=5,$F$4,IF(MONTH($C69)=6,$F$5,IF(MONTH($C69)=7,$F$6,"ERROR")))),1,0)</f>
        <v>1</v>
      </c>
      <c r="H69" s="26">
        <f>IF(J69=1,D69-$C$4,0)</f>
        <v>1197.19873046875</v>
      </c>
      <c r="I69" s="26">
        <f t="shared" si="17"/>
        <v>73.612880617252074</v>
      </c>
      <c r="J69" s="24">
        <f t="shared" si="92"/>
        <v>1</v>
      </c>
      <c r="K69" s="26">
        <f>VLOOKUP($C69,COS!$B$8:$H$991,2,FALSE)</f>
        <v>4435.58349609375</v>
      </c>
      <c r="L69" s="24">
        <f t="shared" si="19"/>
        <v>1</v>
      </c>
      <c r="M69" s="24">
        <f t="shared" si="20"/>
        <v>0</v>
      </c>
      <c r="N69" s="26">
        <f>VLOOKUP($C69,COS!$B$8:$H$991,5,FALSE)</f>
        <v>357.50259399414063</v>
      </c>
      <c r="O69" s="26">
        <f t="shared" si="95"/>
        <v>21.981977680300879</v>
      </c>
      <c r="P69" s="26">
        <f>VLOOKUP($C69,COS!$B$8:$H$991,6,FALSE)</f>
        <v>2314.501708984375</v>
      </c>
      <c r="Q69" s="26">
        <f t="shared" si="96"/>
        <v>142.31316293259297</v>
      </c>
      <c r="R69" s="26">
        <f>MIN(IF(MONTH($C69)=4,$S$3,IF(MONTH($C69)=5,$S$4,IF(MONTH($C69)=6,$S$5,IF(MONTH($C69)=7,$S$6,"ERROR")))),MAX(VLOOKUP($C69,COS!$B$8:$K$991,10,FALSE)-IF(MONTH($C69)=4,$Y$3,IF(MONTH($C69)=5,$Y$4,IF(MONTH($C69)=6,$Y$5,IF(MONTH($C69)=7,$Y$6,"ERROR")))),0),MAX(VLOOKUP($C69,COS!$B$8:$K$991,9,FALSE)-IF(MONTH($C69)=4,$V$3,IF(MONTH($C69)=5,$V$4,IF(MONTH($C69)=6,$V$5,IF(MONTH($C69)=7,$V$6,"ERROR"))))-VLOOKUP($C69,COS!$B$8:$K$991,6,FALSE)/2,0))</f>
        <v>1500</v>
      </c>
      <c r="S69" s="26">
        <f t="shared" si="97"/>
        <v>92.231404958677686</v>
      </c>
      <c r="T69" s="26">
        <f t="shared" si="98"/>
        <v>174.37897526512461</v>
      </c>
      <c r="U69" s="26" t="str">
        <f>IF(VLOOKUP($C69,COS!$B$8:$I$991,8,FALSE)=1,"UWFE","IBU")</f>
        <v>UWFE</v>
      </c>
      <c r="V69" s="26">
        <f t="shared" ref="V69" si="100">MIN(IF(IF($AA$3=2,AND(E69=1,G69=1,L69=1,L73=1,M69=1,U69="IBU"),AND(E69=1,G69=1,L69=1,L73=1,M69=1)),T69,0),I69)</f>
        <v>0</v>
      </c>
      <c r="W69" s="26"/>
      <c r="X69" s="26"/>
      <c r="Y69" s="26"/>
      <c r="Z69" s="26"/>
      <c r="AA69" s="26"/>
      <c r="AB69" s="33"/>
      <c r="AD69" s="44">
        <v>1977</v>
      </c>
      <c r="AE69" s="45">
        <f>VLOOKUP(AD69,Flags!$A$13:$B$95,2,FALSE)</f>
        <v>5</v>
      </c>
      <c r="AF69" s="44">
        <f t="shared" si="6"/>
        <v>196.3267368285124</v>
      </c>
      <c r="AG69" s="44">
        <f t="shared" si="7"/>
        <v>601.92241988252999</v>
      </c>
      <c r="AH69" s="44">
        <f t="shared" si="8"/>
        <v>196.3267368285124</v>
      </c>
      <c r="AI69" s="44">
        <f t="shared" si="9"/>
        <v>497.57003712551659</v>
      </c>
      <c r="AJ69" s="44">
        <f t="shared" si="10"/>
        <v>635.35222042871908</v>
      </c>
      <c r="AK69" s="44">
        <f t="shared" si="1"/>
        <v>496.99755681818181</v>
      </c>
      <c r="AL69" s="44">
        <f t="shared" si="11"/>
        <v>196.3267368285124</v>
      </c>
    </row>
    <row r="70" spans="1:38" x14ac:dyDescent="0.3">
      <c r="A70" s="32">
        <f>VLOOKUP(YEAR(C70),Flags!$A$13:$B$95,2,FALSE)</f>
        <v>2</v>
      </c>
      <c r="B70" s="24">
        <f t="shared" si="2"/>
        <v>1928</v>
      </c>
      <c r="C70" s="25">
        <v>10409</v>
      </c>
      <c r="D70" s="26">
        <f>VLOOKUP($C70,COS!$B$8:$H$991,3,FALSE)</f>
        <v>13547.318359375</v>
      </c>
      <c r="E70" s="24">
        <f>IF(D70&gt;=IF(MONTH($C70)=4,$C$3,IF(MONTH($C70)=5,$C$4,IF(MONTH($C70)=6,$C$5,IF(MONTH($C70)=7,$C$6,"ERROR")))),1,0)</f>
        <v>1</v>
      </c>
      <c r="F70" s="26">
        <f>VLOOKUP($C70,COS!$B$8:$H$991,7,FALSE)</f>
        <v>51.193431854248047</v>
      </c>
      <c r="G70" s="24">
        <f>IF(F70&lt;=IF(MONTH($C70)=4,$F$3,IF(MONTH($C70)=5,$F$4,IF(MONTH($C70)=6,$F$5,IF(MONTH($C70)=7,$F$6,"ERROR")))),1,0)</f>
        <v>1</v>
      </c>
      <c r="H70" s="26">
        <f>IF(J70=1,D70-$C$5,0)</f>
        <v>3547.318359375</v>
      </c>
      <c r="I70" s="26">
        <f t="shared" si="17"/>
        <v>211.0801007231405</v>
      </c>
      <c r="J70" s="24">
        <f t="shared" si="92"/>
        <v>1</v>
      </c>
      <c r="K70" s="26">
        <f>VLOOKUP($C70,COS!$B$8:$H$991,2,FALSE)</f>
        <v>3819.055419921875</v>
      </c>
      <c r="L70" s="24">
        <f t="shared" si="19"/>
        <v>1</v>
      </c>
      <c r="M70" s="24">
        <f t="shared" si="20"/>
        <v>0</v>
      </c>
      <c r="N70" s="26">
        <f>VLOOKUP($C70,COS!$B$8:$H$991,5,FALSE)</f>
        <v>655.33172607421875</v>
      </c>
      <c r="O70" s="26">
        <f t="shared" si="95"/>
        <v>38.994945683755162</v>
      </c>
      <c r="P70" s="26">
        <f>VLOOKUP($C70,COS!$B$8:$H$991,6,FALSE)</f>
        <v>2329.183349609375</v>
      </c>
      <c r="Q70" s="26">
        <f t="shared" si="96"/>
        <v>138.59603402634298</v>
      </c>
      <c r="R70" s="26">
        <f>MIN(IF(MONTH($C70)=4,$S$3,IF(MONTH($C70)=5,$S$4,IF(MONTH($C70)=6,$S$5,IF(MONTH($C70)=7,$S$6,"ERROR")))),MAX(VLOOKUP($C70,COS!$B$8:$K$991,10,FALSE)-IF(MONTH($C70)=4,$Y$3,IF(MONTH($C70)=5,$Y$4,IF(MONTH($C70)=6,$Y$5,IF(MONTH($C70)=7,$Y$6,"ERROR")))),0),MAX(VLOOKUP($C70,COS!$B$8:$K$991,9,FALSE)-IF(MONTH($C70)=4,$V$3,IF(MONTH($C70)=5,$V$4,IF(MONTH($C70)=6,$V$5,IF(MONTH($C70)=7,$V$6,"ERROR"))))-VLOOKUP($C70,COS!$B$8:$K$991,6,FALSE)/2,0))</f>
        <v>1500</v>
      </c>
      <c r="S70" s="26">
        <f t="shared" si="97"/>
        <v>89.256198347107429</v>
      </c>
      <c r="T70" s="26">
        <f t="shared" si="98"/>
        <v>178.0516882021565</v>
      </c>
      <c r="U70" s="26" t="str">
        <f>IF(VLOOKUP($C70,COS!$B$8:$I$991,8,FALSE)=1,"UWFE","IBU")</f>
        <v>IBU</v>
      </c>
      <c r="V70" s="26">
        <f t="shared" ref="V70" si="101">MIN(IF(IF($AA$3=2,AND(E70=1,G70=1,L70=1,L73=1,M70=1,U70="IBU"),AND(E70=1,G70=1,L70=1,L73=1,M70=1)),T70,0),I70)</f>
        <v>0</v>
      </c>
      <c r="W70" s="26"/>
      <c r="X70" s="26"/>
      <c r="Y70" s="26"/>
      <c r="Z70" s="26"/>
      <c r="AA70" s="26"/>
      <c r="AB70" s="33"/>
      <c r="AD70" s="43">
        <v>1978</v>
      </c>
      <c r="AE70" s="1">
        <f>VLOOKUP(AD70,Flags!$A$13:$B$95,2,FALSE)</f>
        <v>2</v>
      </c>
      <c r="AF70" s="43">
        <f t="shared" si="6"/>
        <v>217.96352595557852</v>
      </c>
      <c r="AG70" s="43">
        <f t="shared" si="7"/>
        <v>695.25521309025021</v>
      </c>
      <c r="AH70" s="43">
        <f t="shared" si="8"/>
        <v>0</v>
      </c>
      <c r="AI70" s="43">
        <f t="shared" si="9"/>
        <v>147.3775287319215</v>
      </c>
      <c r="AJ70" s="43">
        <f t="shared" si="10"/>
        <v>86.702932471913741</v>
      </c>
      <c r="AK70" s="43">
        <f t="shared" si="1"/>
        <v>13.703395642997805</v>
      </c>
      <c r="AL70" s="43">
        <f t="shared" si="11"/>
        <v>0</v>
      </c>
    </row>
    <row r="71" spans="1:38" x14ac:dyDescent="0.3">
      <c r="A71" s="32">
        <f>VLOOKUP(YEAR(C71),Flags!$A$13:$B$95,2,FALSE)</f>
        <v>2</v>
      </c>
      <c r="B71" s="24">
        <f t="shared" si="2"/>
        <v>1928</v>
      </c>
      <c r="C71" s="25">
        <v>10440</v>
      </c>
      <c r="D71" s="26">
        <f>VLOOKUP($C71,COS!$B$8:$H$991,3,FALSE)</f>
        <v>16000</v>
      </c>
      <c r="E71" s="24">
        <f>IF(D71&gt;=IF(MONTH($C71)=4,$C$3,IF(MONTH($C71)=5,$C$4,IF(MONTH($C71)=6,$C$5,IF(MONTH($C71)=7,$C$6,"ERROR")))),1,0)</f>
        <v>1</v>
      </c>
      <c r="F71" s="26">
        <f>VLOOKUP($C71,COS!$B$8:$H$991,7,FALSE)</f>
        <v>52.268638610839844</v>
      </c>
      <c r="G71" s="24">
        <f>IF(F71&lt;=IF(MONTH($C71)=4,$F$3,IF(MONTH($C71)=5,$F$4,IF(MONTH($C71)=6,$F$5,IF(MONTH($C71)=7,$F$6,"ERROR")))),1,0)</f>
        <v>1</v>
      </c>
      <c r="H71" s="26">
        <f>IF(J71=1,D71-$C$6,0)</f>
        <v>4000</v>
      </c>
      <c r="I71" s="26">
        <f t="shared" si="17"/>
        <v>245.95041322314049</v>
      </c>
      <c r="J71" s="24">
        <f t="shared" si="92"/>
        <v>1</v>
      </c>
      <c r="K71" s="26">
        <f>VLOOKUP($C71,COS!$B$8:$H$991,2,FALSE)</f>
        <v>3098.602294921875</v>
      </c>
      <c r="L71" s="24">
        <f t="shared" si="19"/>
        <v>1</v>
      </c>
      <c r="M71" s="24">
        <f t="shared" si="20"/>
        <v>0</v>
      </c>
      <c r="N71" s="26">
        <f>VLOOKUP($C71,COS!$B$8:$H$991,5,FALSE)</f>
        <v>724.34930419921875</v>
      </c>
      <c r="O71" s="26">
        <f t="shared" si="95"/>
        <v>44.538502671423039</v>
      </c>
      <c r="P71" s="26">
        <f>VLOOKUP($C71,COS!$B$8:$H$991,6,FALSE)</f>
        <v>2562.892822265625</v>
      </c>
      <c r="Q71" s="26">
        <f t="shared" si="96"/>
        <v>157.58613717071282</v>
      </c>
      <c r="R71" s="26">
        <f>MIN(IF(MONTH($C71)=4,$S$3,IF(MONTH($C71)=5,$S$4,IF(MONTH($C71)=6,$S$5,IF(MONTH($C71)=7,$S$6,"ERROR")))),MAX(VLOOKUP($C71,COS!$B$8:$K$991,10,FALSE)-IF(MONTH($C71)=4,$Y$3,IF(MONTH($C71)=5,$Y$4,IF(MONTH($C71)=6,$Y$5,IF(MONTH($C71)=7,$Y$6,"ERROR")))),0),MAX(VLOOKUP($C71,COS!$B$8:$K$991,9,FALSE)-IF(MONTH($C71)=4,$V$3,IF(MONTH($C71)=5,$V$4,IF(MONTH($C71)=6,$V$5,IF(MONTH($C71)=7,$V$6,"ERROR"))))-VLOOKUP($C71,COS!$B$8:$K$991,6,FALSE)/2,0))</f>
        <v>1500</v>
      </c>
      <c r="S71" s="26">
        <f t="shared" si="97"/>
        <v>92.231404958677686</v>
      </c>
      <c r="T71" s="26">
        <f t="shared" si="98"/>
        <v>193.29372487974561</v>
      </c>
      <c r="U71" s="26" t="str">
        <f>IF(VLOOKUP($C71,COS!$B$8:$I$991,8,FALSE)=1,"UWFE","IBU")</f>
        <v>IBU</v>
      </c>
      <c r="V71" s="26">
        <f t="shared" ref="V71" si="102">MIN(IF(IF($AA$3=2,AND(E71=1,G71=1,L71=1,L73=1,M71=1,U71="IBU"),AND(E71=1,G71=1,L71=1,L73=1,M71=1)),T71,0),I71)</f>
        <v>0</v>
      </c>
      <c r="W71" s="26"/>
      <c r="X71" s="26"/>
      <c r="Y71" s="26"/>
      <c r="Z71" s="26"/>
      <c r="AA71" s="26"/>
      <c r="AB71" s="33"/>
      <c r="AD71" s="43">
        <v>1979</v>
      </c>
      <c r="AE71" s="1">
        <f>VLOOKUP(AD71,Flags!$A$13:$B$95,2,FALSE)</f>
        <v>4</v>
      </c>
      <c r="AF71" s="43">
        <f t="shared" si="6"/>
        <v>34.877614927685947</v>
      </c>
      <c r="AG71" s="43">
        <f t="shared" si="7"/>
        <v>653.80688880100729</v>
      </c>
      <c r="AH71" s="43">
        <f t="shared" si="8"/>
        <v>34.877614927685947</v>
      </c>
      <c r="AI71" s="43">
        <f t="shared" si="9"/>
        <v>395.95797908057853</v>
      </c>
      <c r="AJ71" s="43">
        <f t="shared" si="10"/>
        <v>125.50075800619835</v>
      </c>
      <c r="AK71" s="43">
        <f t="shared" si="1"/>
        <v>52.522992962293387</v>
      </c>
      <c r="AL71" s="43">
        <f t="shared" si="11"/>
        <v>34.877614927685947</v>
      </c>
    </row>
    <row r="72" spans="1:38" x14ac:dyDescent="0.3">
      <c r="A72" s="32">
        <f>VLOOKUP(YEAR(C72),Flags!$A$13:$B$95,2,FALSE)</f>
        <v>2</v>
      </c>
      <c r="B72" s="24">
        <f t="shared" si="2"/>
        <v>1928</v>
      </c>
      <c r="C72" s="25">
        <v>10471</v>
      </c>
      <c r="D72" s="26"/>
      <c r="E72" s="24"/>
      <c r="F72" s="26"/>
      <c r="G72" s="24"/>
      <c r="H72" s="24"/>
      <c r="I72" s="26"/>
      <c r="J72" s="24"/>
      <c r="K72" s="26"/>
      <c r="L72" s="24"/>
      <c r="M72" s="24"/>
      <c r="N72" s="26"/>
      <c r="O72" s="26"/>
      <c r="P72" s="26"/>
      <c r="Q72" s="26"/>
      <c r="R72" s="26"/>
      <c r="S72" s="26"/>
      <c r="T72" s="26"/>
      <c r="U72" s="26"/>
      <c r="V72" s="26"/>
      <c r="W72" s="26">
        <f>MAX($C$7-VLOOKUP($C72,COS!$B$8:$H$991,3,FALSE),0)</f>
        <v>0</v>
      </c>
      <c r="X72" s="26">
        <f t="shared" si="31"/>
        <v>0</v>
      </c>
      <c r="Y72" s="26">
        <f>VLOOKUP($C72,COS!$B$8:$H$991,4,FALSE)</f>
        <v>4.0736780166625977</v>
      </c>
      <c r="Z72" s="26">
        <f t="shared" si="32"/>
        <v>0.25048069788404731</v>
      </c>
      <c r="AA72" s="26">
        <f t="shared" ref="AA72:AA76" si="103">MIN(W72,Y72)</f>
        <v>0</v>
      </c>
      <c r="AB72" s="33">
        <f t="shared" ref="AB72" si="104">AA72*DAY($C72)*86400/43560/1000*IF(MONTH($C72)=8,$P$3,IF(MONTH($C72)=9,$P$4,IF(MONTH($C72)=10,$P$5,IF(MONTH($C72)=11,$P$6,IF(MONTH($C72)=12,$P$7,NA())))))</f>
        <v>0</v>
      </c>
      <c r="AD72" s="43">
        <v>1980</v>
      </c>
      <c r="AE72" s="1">
        <f>VLOOKUP(AD72,Flags!$A$13:$B$95,2,FALSE)</f>
        <v>2</v>
      </c>
      <c r="AF72" s="43">
        <f t="shared" si="6"/>
        <v>40.083372288223138</v>
      </c>
      <c r="AG72" s="43">
        <f t="shared" si="7"/>
        <v>678.40361045648251</v>
      </c>
      <c r="AH72" s="43">
        <f t="shared" si="8"/>
        <v>0</v>
      </c>
      <c r="AI72" s="43">
        <f t="shared" si="9"/>
        <v>283.49285834194217</v>
      </c>
      <c r="AJ72" s="43">
        <f t="shared" si="10"/>
        <v>39.282558795519115</v>
      </c>
      <c r="AK72" s="43">
        <f t="shared" si="1"/>
        <v>0</v>
      </c>
      <c r="AL72" s="43">
        <f t="shared" si="11"/>
        <v>0</v>
      </c>
    </row>
    <row r="73" spans="1:38" x14ac:dyDescent="0.3">
      <c r="A73" s="32">
        <f>VLOOKUP(YEAR(C73),Flags!$A$13:$B$95,2,FALSE)</f>
        <v>2</v>
      </c>
      <c r="B73" s="24">
        <f t="shared" si="2"/>
        <v>1928</v>
      </c>
      <c r="C73" s="25">
        <v>10501</v>
      </c>
      <c r="D73" s="26"/>
      <c r="E73" s="24"/>
      <c r="F73" s="26"/>
      <c r="G73" s="24"/>
      <c r="H73" s="24"/>
      <c r="I73" s="26"/>
      <c r="J73" s="24"/>
      <c r="K73" s="26">
        <f>VLOOKUP($C73,COS!$B$8:$H$991,2,FALSE)</f>
        <v>2247.118896484375</v>
      </c>
      <c r="L73" s="24">
        <f t="shared" ref="L73" si="105">IF(AND(K73&gt;$I$7,K73&lt;$I$8),1,0)</f>
        <v>1</v>
      </c>
      <c r="M73" s="24"/>
      <c r="N73" s="26"/>
      <c r="O73" s="26"/>
      <c r="P73" s="26"/>
      <c r="Q73" s="26"/>
      <c r="R73" s="26"/>
      <c r="S73" s="26"/>
      <c r="T73" s="26"/>
      <c r="U73" s="26"/>
      <c r="V73" s="26"/>
      <c r="W73" s="26">
        <f>MAX($C$8-VLOOKUP($C73,COS!$B$8:$H$991,3,FALSE),0)</f>
        <v>0</v>
      </c>
      <c r="X73" s="26">
        <f t="shared" si="31"/>
        <v>0</v>
      </c>
      <c r="Y73" s="26">
        <f>VLOOKUP($C73,COS!$B$8:$H$991,4,FALSE)</f>
        <v>0</v>
      </c>
      <c r="Z73" s="26">
        <f t="shared" si="32"/>
        <v>0</v>
      </c>
      <c r="AA73" s="26">
        <f t="shared" si="103"/>
        <v>0</v>
      </c>
      <c r="AB73" s="33">
        <f t="shared" si="34"/>
        <v>0</v>
      </c>
      <c r="AD73" s="43">
        <v>1981</v>
      </c>
      <c r="AE73" s="1">
        <f>VLOOKUP(AD73,Flags!$A$13:$B$95,2,FALSE)</f>
        <v>4</v>
      </c>
      <c r="AF73" s="43">
        <f t="shared" si="6"/>
        <v>591.60021791064048</v>
      </c>
      <c r="AG73" s="43">
        <f t="shared" si="7"/>
        <v>674.76521393578901</v>
      </c>
      <c r="AH73" s="43">
        <f t="shared" si="8"/>
        <v>493.14746985569474</v>
      </c>
      <c r="AI73" s="43">
        <f t="shared" si="9"/>
        <v>328.22428057205582</v>
      </c>
      <c r="AJ73" s="43">
        <f t="shared" si="10"/>
        <v>328.53171665160124</v>
      </c>
      <c r="AK73" s="43">
        <f t="shared" si="1"/>
        <v>310.97147606211257</v>
      </c>
      <c r="AL73" s="43">
        <f t="shared" si="11"/>
        <v>310.97147606211257</v>
      </c>
    </row>
    <row r="74" spans="1:38" x14ac:dyDescent="0.3">
      <c r="A74" s="32">
        <f>VLOOKUP(YEAR(C74),Flags!$A$13:$B$95,2,FALSE)</f>
        <v>2</v>
      </c>
      <c r="B74" s="24">
        <f t="shared" si="2"/>
        <v>1928</v>
      </c>
      <c r="C74" s="25">
        <v>10532</v>
      </c>
      <c r="D74" s="26"/>
      <c r="E74" s="24"/>
      <c r="F74" s="26"/>
      <c r="G74" s="26"/>
      <c r="H74" s="26"/>
      <c r="I74" s="26"/>
      <c r="J74" s="26"/>
      <c r="K74" s="26"/>
      <c r="L74" s="24"/>
      <c r="M74" s="24"/>
      <c r="N74" s="26"/>
      <c r="O74" s="26"/>
      <c r="P74" s="26"/>
      <c r="Q74" s="26"/>
      <c r="R74" s="26"/>
      <c r="S74" s="26"/>
      <c r="T74" s="26"/>
      <c r="U74" s="26"/>
      <c r="V74" s="26"/>
      <c r="W74" s="26">
        <f>MAX($C$9-VLOOKUP($C74,COS!$B$8:$H$991,3,FALSE),0)</f>
        <v>0</v>
      </c>
      <c r="X74" s="26">
        <f t="shared" si="31"/>
        <v>0</v>
      </c>
      <c r="Y74" s="26">
        <f>VLOOKUP($C74,COS!$B$8:$H$991,4,FALSE)</f>
        <v>828.01947021484375</v>
      </c>
      <c r="Z74" s="26">
        <f t="shared" si="32"/>
        <v>50.912932714036671</v>
      </c>
      <c r="AA74" s="26">
        <f t="shared" si="103"/>
        <v>0</v>
      </c>
      <c r="AB74" s="33">
        <f t="shared" si="34"/>
        <v>0</v>
      </c>
      <c r="AD74" s="43">
        <v>1982</v>
      </c>
      <c r="AE74" s="1">
        <f>VLOOKUP(AD74,Flags!$A$13:$B$95,2,FALSE)</f>
        <v>1</v>
      </c>
      <c r="AF74" s="43">
        <f t="shared" si="6"/>
        <v>1125.442561983471</v>
      </c>
      <c r="AG74" s="43">
        <f t="shared" si="7"/>
        <v>640.36909747667551</v>
      </c>
      <c r="AH74" s="43">
        <f t="shared" si="8"/>
        <v>0</v>
      </c>
      <c r="AI74" s="43">
        <f t="shared" si="9"/>
        <v>170.44705901342974</v>
      </c>
      <c r="AJ74" s="43">
        <f t="shared" si="10"/>
        <v>0</v>
      </c>
      <c r="AK74" s="43">
        <f t="shared" si="1"/>
        <v>0</v>
      </c>
      <c r="AL74" s="43">
        <f t="shared" si="11"/>
        <v>0</v>
      </c>
    </row>
    <row r="75" spans="1:38" x14ac:dyDescent="0.3">
      <c r="A75" s="32">
        <f>VLOOKUP(YEAR(C75),Flags!$A$13:$B$95,2,FALSE)</f>
        <v>2</v>
      </c>
      <c r="B75" s="24">
        <f t="shared" si="2"/>
        <v>1928</v>
      </c>
      <c r="C75" s="25">
        <v>10562</v>
      </c>
      <c r="D75" s="26"/>
      <c r="E75" s="24"/>
      <c r="F75" s="26"/>
      <c r="G75" s="26"/>
      <c r="H75" s="26"/>
      <c r="I75" s="26"/>
      <c r="J75" s="26"/>
      <c r="K75" s="26"/>
      <c r="L75" s="24"/>
      <c r="M75" s="24"/>
      <c r="N75" s="26"/>
      <c r="O75" s="26"/>
      <c r="P75" s="26"/>
      <c r="Q75" s="26"/>
      <c r="R75" s="26"/>
      <c r="S75" s="26"/>
      <c r="T75" s="26"/>
      <c r="U75" s="26"/>
      <c r="V75" s="26"/>
      <c r="W75" s="26">
        <f>MAX($C$10-VLOOKUP($C75,COS!$B$8:$H$991,3,FALSE),0)</f>
        <v>0</v>
      </c>
      <c r="X75" s="26">
        <f t="shared" si="31"/>
        <v>0</v>
      </c>
      <c r="Y75" s="26">
        <f>VLOOKUP($C75,COS!$B$8:$H$991,4,FALSE)</f>
        <v>1034.00048828125</v>
      </c>
      <c r="Z75" s="26">
        <f t="shared" si="32"/>
        <v>61.527301782024793</v>
      </c>
      <c r="AA75" s="26">
        <f t="shared" si="103"/>
        <v>0</v>
      </c>
      <c r="AB75" s="33">
        <f t="shared" si="34"/>
        <v>0</v>
      </c>
      <c r="AD75" s="43">
        <v>1983</v>
      </c>
      <c r="AE75" s="1">
        <f>VLOOKUP(AD75,Flags!$A$13:$B$95,2,FALSE)</f>
        <v>1</v>
      </c>
      <c r="AF75" s="43">
        <f t="shared" si="6"/>
        <v>1379.8435440340911</v>
      </c>
      <c r="AG75" s="43">
        <f t="shared" si="7"/>
        <v>680.26086035610228</v>
      </c>
      <c r="AH75" s="43">
        <f t="shared" si="8"/>
        <v>0</v>
      </c>
      <c r="AI75" s="43">
        <f t="shared" si="9"/>
        <v>0</v>
      </c>
      <c r="AJ75" s="43">
        <f t="shared" si="10"/>
        <v>19.84101265899406</v>
      </c>
      <c r="AK75" s="43">
        <f t="shared" si="1"/>
        <v>0</v>
      </c>
      <c r="AL75" s="43">
        <f t="shared" si="11"/>
        <v>0</v>
      </c>
    </row>
    <row r="76" spans="1:38" x14ac:dyDescent="0.3">
      <c r="A76" s="34">
        <f>VLOOKUP(YEAR(C76),Flags!$A$13:$B$95,2,FALSE)</f>
        <v>2</v>
      </c>
      <c r="B76" s="35">
        <f t="shared" si="2"/>
        <v>1928</v>
      </c>
      <c r="C76" s="36">
        <v>10593</v>
      </c>
      <c r="D76" s="37"/>
      <c r="E76" s="35"/>
      <c r="F76" s="37"/>
      <c r="G76" s="37"/>
      <c r="H76" s="37"/>
      <c r="I76" s="37"/>
      <c r="J76" s="37"/>
      <c r="K76" s="37"/>
      <c r="L76" s="35"/>
      <c r="M76" s="35"/>
      <c r="N76" s="37"/>
      <c r="O76" s="37"/>
      <c r="P76" s="37"/>
      <c r="Q76" s="37"/>
      <c r="R76" s="37"/>
      <c r="S76" s="37"/>
      <c r="T76" s="37"/>
      <c r="U76" s="37"/>
      <c r="V76" s="37"/>
      <c r="W76" s="37">
        <f>MAX($C$11-VLOOKUP($C76,COS!$B$8:$H$991,3,FALSE),0)</f>
        <v>1750</v>
      </c>
      <c r="X76" s="37">
        <f t="shared" si="31"/>
        <v>107.60330578512398</v>
      </c>
      <c r="Y76" s="37">
        <f>VLOOKUP($C76,COS!$B$8:$H$991,4,FALSE)</f>
        <v>0</v>
      </c>
      <c r="Z76" s="37">
        <f t="shared" si="32"/>
        <v>0</v>
      </c>
      <c r="AA76" s="37">
        <f t="shared" si="103"/>
        <v>0</v>
      </c>
      <c r="AB76" s="38">
        <f t="shared" si="34"/>
        <v>0</v>
      </c>
      <c r="AD76" s="43">
        <v>1984</v>
      </c>
      <c r="AE76" s="1">
        <f>VLOOKUP(AD76,Flags!$A$13:$B$95,2,FALSE)</f>
        <v>1</v>
      </c>
      <c r="AF76" s="43">
        <f t="shared" si="6"/>
        <v>407.10620706353302</v>
      </c>
      <c r="AG76" s="43">
        <f t="shared" si="7"/>
        <v>692.32239814695242</v>
      </c>
      <c r="AH76" s="43">
        <f t="shared" si="8"/>
        <v>0</v>
      </c>
      <c r="AI76" s="43">
        <f t="shared" si="9"/>
        <v>420.32304429235535</v>
      </c>
      <c r="AJ76" s="43">
        <f t="shared" si="10"/>
        <v>71.716279014398239</v>
      </c>
      <c r="AK76" s="43">
        <f t="shared" si="1"/>
        <v>0</v>
      </c>
      <c r="AL76" s="43">
        <f t="shared" si="11"/>
        <v>0</v>
      </c>
    </row>
    <row r="77" spans="1:38" x14ac:dyDescent="0.3">
      <c r="A77" s="27">
        <f>VLOOKUP(YEAR(C77),Flags!$A$13:$B$95,2,FALSE)</f>
        <v>5</v>
      </c>
      <c r="B77" s="28">
        <f t="shared" si="2"/>
        <v>1929</v>
      </c>
      <c r="C77" s="29">
        <v>10713</v>
      </c>
      <c r="D77" s="30">
        <f>VLOOKUP($C77,COS!$B$8:$H$991,3,FALSE)</f>
        <v>3250</v>
      </c>
      <c r="E77" s="28">
        <f>IF(D77&gt;=IF(MONTH($C77)=4,$C$3,IF(MONTH($C77)=5,$C$4,IF(MONTH($C77)=6,$C$5,IF(MONTH($C77)=7,$C$6,"ERROR")))),1,0)</f>
        <v>0</v>
      </c>
      <c r="F77" s="30">
        <f>VLOOKUP($C77,COS!$B$8:$H$991,7,FALSE)</f>
        <v>51.192344665527344</v>
      </c>
      <c r="G77" s="28">
        <f>IF(F77&lt;=IF(MONTH($C77)=4,$F$3,IF(MONTH($C77)=5,$F$4,IF(MONTH($C77)=6,$F$5,IF(MONTH($C77)=7,$F$6,"ERROR")))),1,0)</f>
        <v>1</v>
      </c>
      <c r="H77" s="30">
        <f>IF(J77=1,D77-$C$3,0)</f>
        <v>0</v>
      </c>
      <c r="I77" s="30">
        <f t="shared" si="17"/>
        <v>0</v>
      </c>
      <c r="J77" s="28">
        <f t="shared" ref="J77:J80" si="106">IF(AND(E77=1,G77=1),1,0)</f>
        <v>0</v>
      </c>
      <c r="K77" s="30">
        <f>VLOOKUP($C77,COS!$B$8:$H$991,2,FALSE)</f>
        <v>2771.09326171875</v>
      </c>
      <c r="L77" s="28">
        <f t="shared" ref="L77" si="107">IF(K77&lt;=IF(MONTH($C77)=4,$I$3,IF(MONTH($C77)=5,$I$4,IF(MONTH($C77)=6,$I$5,IF(MONTH($C77)=7,$I$6,"ERROR")))),1,0)</f>
        <v>1</v>
      </c>
      <c r="M77" s="28">
        <f t="shared" ref="M77" si="108">VLOOKUP($A77,$L$3:$M$7,2,FALSE)</f>
        <v>1</v>
      </c>
      <c r="N77" s="30">
        <f>VLOOKUP($C77,COS!$B$8:$H$991,5,FALSE)</f>
        <v>223.38325500488281</v>
      </c>
      <c r="O77" s="30">
        <f t="shared" ref="O77:O80" si="109">N77*DAY($C77)*86400/43560/1000</f>
        <v>13.292226744092201</v>
      </c>
      <c r="P77" s="30">
        <f>VLOOKUP($C77,COS!$B$8:$H$991,6,FALSE)</f>
        <v>516.50811767578125</v>
      </c>
      <c r="Q77" s="30">
        <f t="shared" ref="Q77:Q80" si="110">P77*DAY($C77)*86400/43560/1000</f>
        <v>30.734367332773761</v>
      </c>
      <c r="R77" s="30">
        <f>MIN(IF(MONTH($C77)=4,$S$3,IF(MONTH($C77)=5,$S$4,IF(MONTH($C77)=6,$S$5,IF(MONTH($C77)=7,$S$6,"ERROR")))),MAX(VLOOKUP($C77,COS!$B$8:$K$991,10,FALSE)-IF(MONTH($C77)=4,$Y$3,IF(MONTH($C77)=5,$Y$4,IF(MONTH($C77)=6,$Y$5,IF(MONTH($C77)=7,$Y$6,"ERROR")))),0),MAX(VLOOKUP($C77,COS!$B$8:$K$991,9,FALSE)-IF(MONTH($C77)=4,$V$3,IF(MONTH($C77)=5,$V$4,IF(MONTH($C77)=6,$V$5,IF(MONTH($C77)=7,$V$6,"ERROR"))))-VLOOKUP($C77,COS!$B$8:$K$991,6,FALSE)/2,0))</f>
        <v>785.21630859375</v>
      </c>
      <c r="S77" s="30">
        <f t="shared" ref="S77:S80" si="111">R77*DAY($C77)*86400/43560/1000</f>
        <v>46.723615056818183</v>
      </c>
      <c r="T77" s="30">
        <f t="shared" ref="T77:T80" si="112">(O77+Q77)/2+S77</f>
        <v>68.736912095251171</v>
      </c>
      <c r="U77" s="30" t="str">
        <f>IF(VLOOKUP($C77,COS!$B$8:$I$991,8,FALSE)=1,"UWFE","IBU")</f>
        <v>UWFE</v>
      </c>
      <c r="V77" s="30">
        <f t="shared" ref="V77" si="113">MIN(IF(IF($AA$3=2,AND(E77=1,G77=1,L77=1,L82=1,M77=1,U77="IBU"),AND(E77=1,G77=1,L77=1,L82=1,M77=1)),T77,0),I77)</f>
        <v>0</v>
      </c>
      <c r="W77" s="30"/>
      <c r="X77" s="30"/>
      <c r="Y77" s="30"/>
      <c r="Z77" s="30"/>
      <c r="AA77" s="30"/>
      <c r="AB77" s="31"/>
      <c r="AD77" s="43">
        <v>1985</v>
      </c>
      <c r="AE77" s="1">
        <f>VLOOKUP(AD77,Flags!$A$13:$B$95,2,FALSE)</f>
        <v>3</v>
      </c>
      <c r="AF77" s="43">
        <f t="shared" si="6"/>
        <v>489.51717361828509</v>
      </c>
      <c r="AG77" s="43">
        <f t="shared" si="7"/>
        <v>656.34193189888947</v>
      </c>
      <c r="AH77" s="43">
        <f t="shared" si="8"/>
        <v>0</v>
      </c>
      <c r="AI77" s="43">
        <f t="shared" si="9"/>
        <v>238.52757683367773</v>
      </c>
      <c r="AJ77" s="43">
        <f t="shared" si="10"/>
        <v>253.37745220089744</v>
      </c>
      <c r="AK77" s="43">
        <f t="shared" si="1"/>
        <v>64.861451829642306</v>
      </c>
      <c r="AL77" s="43">
        <f t="shared" si="11"/>
        <v>0</v>
      </c>
    </row>
    <row r="78" spans="1:38" x14ac:dyDescent="0.3">
      <c r="A78" s="32">
        <f>VLOOKUP(YEAR(C78),Flags!$A$13:$B$95,2,FALSE)</f>
        <v>5</v>
      </c>
      <c r="B78" s="24">
        <f t="shared" si="2"/>
        <v>1929</v>
      </c>
      <c r="C78" s="25">
        <v>10744</v>
      </c>
      <c r="D78" s="26">
        <f>VLOOKUP($C78,COS!$B$8:$H$991,3,FALSE)</f>
        <v>8080.45556640625</v>
      </c>
      <c r="E78" s="24">
        <f>IF(D78&gt;=IF(MONTH($C78)=4,$C$3,IF(MONTH($C78)=5,$C$4,IF(MONTH($C78)=6,$C$5,IF(MONTH($C78)=7,$C$6,"ERROR")))),1,0)</f>
        <v>1</v>
      </c>
      <c r="F78" s="26">
        <f>VLOOKUP($C78,COS!$B$8:$H$991,7,FALSE)</f>
        <v>51.678050994873047</v>
      </c>
      <c r="G78" s="24">
        <f>IF(F78&lt;=IF(MONTH($C78)=4,$F$3,IF(MONTH($C78)=5,$F$4,IF(MONTH($C78)=6,$F$5,IF(MONTH($C78)=7,$F$6,"ERROR")))),1,0)</f>
        <v>1</v>
      </c>
      <c r="H78" s="26">
        <f>IF(J78=1,D78-$C$4,0)</f>
        <v>2080.45556640625</v>
      </c>
      <c r="I78" s="26">
        <f t="shared" si="17"/>
        <v>127.9222265625</v>
      </c>
      <c r="J78" s="24">
        <f t="shared" si="106"/>
        <v>1</v>
      </c>
      <c r="K78" s="26">
        <f>VLOOKUP($C78,COS!$B$8:$H$991,2,FALSE)</f>
        <v>2547.78955078125</v>
      </c>
      <c r="L78" s="24">
        <f t="shared" si="19"/>
        <v>1</v>
      </c>
      <c r="M78" s="24">
        <f t="shared" si="20"/>
        <v>1</v>
      </c>
      <c r="N78" s="26">
        <f>VLOOKUP($C78,COS!$B$8:$H$991,5,FALSE)</f>
        <v>306.94467163085938</v>
      </c>
      <c r="O78" s="26">
        <f t="shared" si="109"/>
        <v>18.873292206062757</v>
      </c>
      <c r="P78" s="26">
        <f>VLOOKUP($C78,COS!$B$8:$H$991,6,FALSE)</f>
        <v>2370.671630859375</v>
      </c>
      <c r="Q78" s="26">
        <f t="shared" si="110"/>
        <v>145.76691680655992</v>
      </c>
      <c r="R78" s="26">
        <f>MIN(IF(MONTH($C78)=4,$S$3,IF(MONTH($C78)=5,$S$4,IF(MONTH($C78)=6,$S$5,IF(MONTH($C78)=7,$S$6,"ERROR")))),MAX(VLOOKUP($C78,COS!$B$8:$K$991,10,FALSE)-IF(MONTH($C78)=4,$Y$3,IF(MONTH($C78)=5,$Y$4,IF(MONTH($C78)=6,$Y$5,IF(MONTH($C78)=7,$Y$6,"ERROR")))),0),MAX(VLOOKUP($C78,COS!$B$8:$K$991,9,FALSE)-IF(MONTH($C78)=4,$V$3,IF(MONTH($C78)=5,$V$4,IF(MONTH($C78)=6,$V$5,IF(MONTH($C78)=7,$V$6,"ERROR"))))-VLOOKUP($C78,COS!$B$8:$K$991,6,FALSE)/2,0))</f>
        <v>1500</v>
      </c>
      <c r="S78" s="26">
        <f t="shared" si="111"/>
        <v>92.231404958677686</v>
      </c>
      <c r="T78" s="26">
        <f t="shared" si="112"/>
        <v>174.55150946498901</v>
      </c>
      <c r="U78" s="26" t="str">
        <f>IF(VLOOKUP($C78,COS!$B$8:$I$991,8,FALSE)=1,"UWFE","IBU")</f>
        <v>IBU</v>
      </c>
      <c r="V78" s="26">
        <f t="shared" ref="V78" si="114">MIN(IF(IF($AA$3=2,AND(E78=1,G78=1,L78=1,L82=1,M78=1,U78="IBU"),AND(E78=1,G78=1,L78=1,L82=1,M78=1)),T78,0),I78)</f>
        <v>127.9222265625</v>
      </c>
      <c r="W78" s="26"/>
      <c r="X78" s="26"/>
      <c r="Y78" s="26"/>
      <c r="Z78" s="26"/>
      <c r="AA78" s="26"/>
      <c r="AB78" s="33"/>
      <c r="AD78" s="44">
        <v>1986</v>
      </c>
      <c r="AE78" s="45">
        <f>VLOOKUP(AD78,Flags!$A$13:$B$95,2,FALSE)</f>
        <v>1</v>
      </c>
      <c r="AF78" s="44">
        <f t="shared" si="6"/>
        <v>63.803206030475209</v>
      </c>
      <c r="AG78" s="44">
        <f t="shared" si="7"/>
        <v>643.07545471695823</v>
      </c>
      <c r="AH78" s="44">
        <f t="shared" si="8"/>
        <v>0</v>
      </c>
      <c r="AI78" s="44">
        <f t="shared" si="9"/>
        <v>211.19508587293387</v>
      </c>
      <c r="AJ78" s="44">
        <f t="shared" si="10"/>
        <v>288.06291219411798</v>
      </c>
      <c r="AK78" s="44">
        <f t="shared" ref="AK78:AK94" si="115">SUMIF($B$14:$B$742,$AD78,$AB$14:$AB$742)</f>
        <v>51.076242272243029</v>
      </c>
      <c r="AL78" s="44">
        <f t="shared" si="11"/>
        <v>0</v>
      </c>
    </row>
    <row r="79" spans="1:38" x14ac:dyDescent="0.3">
      <c r="A79" s="32">
        <f>VLOOKUP(YEAR(C79),Flags!$A$13:$B$95,2,FALSE)</f>
        <v>5</v>
      </c>
      <c r="B79" s="24">
        <f t="shared" ref="B79:B142" si="116">YEAR(C79)</f>
        <v>1929</v>
      </c>
      <c r="C79" s="25">
        <v>10774</v>
      </c>
      <c r="D79" s="26">
        <f>VLOOKUP($C79,COS!$B$8:$H$991,3,FALSE)</f>
        <v>8416.89453125</v>
      </c>
      <c r="E79" s="24">
        <f>IF(D79&gt;=IF(MONTH($C79)=4,$C$3,IF(MONTH($C79)=5,$C$4,IF(MONTH($C79)=6,$C$5,IF(MONTH($C79)=7,$C$6,"ERROR")))),1,0)</f>
        <v>0</v>
      </c>
      <c r="F79" s="26">
        <f>VLOOKUP($C79,COS!$B$8:$H$991,7,FALSE)</f>
        <v>54.286209106445313</v>
      </c>
      <c r="G79" s="24">
        <f>IF(F79&lt;=IF(MONTH($C79)=4,$F$3,IF(MONTH($C79)=5,$F$4,IF(MONTH($C79)=6,$F$5,IF(MONTH($C79)=7,$F$6,"ERROR")))),1,0)</f>
        <v>1</v>
      </c>
      <c r="H79" s="26">
        <f>IF(J79=1,D79-$C$5,0)</f>
        <v>0</v>
      </c>
      <c r="I79" s="26">
        <f t="shared" si="17"/>
        <v>0</v>
      </c>
      <c r="J79" s="24">
        <f t="shared" si="106"/>
        <v>0</v>
      </c>
      <c r="K79" s="26">
        <f>VLOOKUP($C79,COS!$B$8:$H$991,2,FALSE)</f>
        <v>2247.309814453125</v>
      </c>
      <c r="L79" s="24">
        <f t="shared" si="19"/>
        <v>1</v>
      </c>
      <c r="M79" s="24">
        <f t="shared" si="20"/>
        <v>1</v>
      </c>
      <c r="N79" s="26">
        <f>VLOOKUP($C79,COS!$B$8:$H$991,5,FALSE)</f>
        <v>280.00125122070313</v>
      </c>
      <c r="O79" s="26">
        <f t="shared" si="109"/>
        <v>16.661231477595557</v>
      </c>
      <c r="P79" s="26">
        <f>VLOOKUP($C79,COS!$B$8:$H$991,6,FALSE)</f>
        <v>2189.392578125</v>
      </c>
      <c r="Q79" s="26">
        <f t="shared" si="110"/>
        <v>130.27790547520661</v>
      </c>
      <c r="R79" s="26">
        <f>MIN(IF(MONTH($C79)=4,$S$3,IF(MONTH($C79)=5,$S$4,IF(MONTH($C79)=6,$S$5,IF(MONTH($C79)=7,$S$6,"ERROR")))),MAX(VLOOKUP($C79,COS!$B$8:$K$991,10,FALSE)-IF(MONTH($C79)=4,$Y$3,IF(MONTH($C79)=5,$Y$4,IF(MONTH($C79)=6,$Y$5,IF(MONTH($C79)=7,$Y$6,"ERROR")))),0),MAX(VLOOKUP($C79,COS!$B$8:$K$991,9,FALSE)-IF(MONTH($C79)=4,$V$3,IF(MONTH($C79)=5,$V$4,IF(MONTH($C79)=6,$V$5,IF(MONTH($C79)=7,$V$6,"ERROR"))))-VLOOKUP($C79,COS!$B$8:$K$991,6,FALSE)/2,0))</f>
        <v>1500</v>
      </c>
      <c r="S79" s="26">
        <f t="shared" si="111"/>
        <v>89.256198347107429</v>
      </c>
      <c r="T79" s="26">
        <f t="shared" si="112"/>
        <v>162.72576682350851</v>
      </c>
      <c r="U79" s="26" t="str">
        <f>IF(VLOOKUP($C79,COS!$B$8:$I$991,8,FALSE)=1,"UWFE","IBU")</f>
        <v>IBU</v>
      </c>
      <c r="V79" s="26">
        <f t="shared" ref="V79" si="117">MIN(IF(IF($AA$3=2,AND(E79=1,G79=1,L79=1,L82=1,M79=1,U79="IBU"),AND(E79=1,G79=1,L79=1,L82=1,M79=1)),T79,0),I79)</f>
        <v>0</v>
      </c>
      <c r="W79" s="26"/>
      <c r="X79" s="26"/>
      <c r="Y79" s="26"/>
      <c r="Z79" s="26"/>
      <c r="AA79" s="26"/>
      <c r="AB79" s="33"/>
      <c r="AD79" s="44">
        <v>1987</v>
      </c>
      <c r="AE79" s="45">
        <f>VLOOKUP(AD79,Flags!$A$13:$B$95,2,FALSE)</f>
        <v>4</v>
      </c>
      <c r="AF79" s="44">
        <f t="shared" ref="AF79:AF94" si="118">SUMIF($B$14:$B$742,$AD79,$I$14:$I$742)</f>
        <v>384.23917097107437</v>
      </c>
      <c r="AG79" s="44">
        <f t="shared" ref="AG79:AG94" si="119">SUMIF($B$14:$B$742,$AD79,$T$14:$T$742)</f>
        <v>639.51027884995642</v>
      </c>
      <c r="AH79" s="44">
        <f t="shared" ref="AH79:AH94" si="120">SUMIF($B$14:$B$742,$AD79,$V$14:$V$742)</f>
        <v>345.5484845475126</v>
      </c>
      <c r="AI79" s="44">
        <f t="shared" ref="AI79:AI94" si="121">SUMIF($B$14:$B$742,$AD79,$X$14:$X$742)</f>
        <v>465.54790095557848</v>
      </c>
      <c r="AJ79" s="44">
        <f t="shared" ref="AJ79:AJ94" si="122">SUMIF($B$14:$B$742,$AD79,$Z$14:$Z$742)</f>
        <v>559.00714303008783</v>
      </c>
      <c r="AK79" s="44">
        <f t="shared" si="115"/>
        <v>320.19282049005682</v>
      </c>
      <c r="AL79" s="44">
        <f t="shared" ref="AL79:AL94" si="123">MIN(AH79,AK79)</f>
        <v>320.19282049005682</v>
      </c>
    </row>
    <row r="80" spans="1:38" x14ac:dyDescent="0.3">
      <c r="A80" s="32">
        <f>VLOOKUP(YEAR(C80),Flags!$A$13:$B$95,2,FALSE)</f>
        <v>5</v>
      </c>
      <c r="B80" s="24">
        <f t="shared" si="116"/>
        <v>1929</v>
      </c>
      <c r="C80" s="25">
        <v>10805</v>
      </c>
      <c r="D80" s="26">
        <f>VLOOKUP($C80,COS!$B$8:$H$991,3,FALSE)</f>
        <v>12141.1708984375</v>
      </c>
      <c r="E80" s="24">
        <f>IF(D80&gt;=IF(MONTH($C80)=4,$C$3,IF(MONTH($C80)=5,$C$4,IF(MONTH($C80)=6,$C$5,IF(MONTH($C80)=7,$C$6,"ERROR")))),1,0)</f>
        <v>1</v>
      </c>
      <c r="F80" s="26">
        <f>VLOOKUP($C80,COS!$B$8:$H$991,7,FALSE)</f>
        <v>55.623313903808594</v>
      </c>
      <c r="G80" s="24">
        <f>IF(F80&lt;=IF(MONTH($C80)=4,$F$3,IF(MONTH($C80)=5,$F$4,IF(MONTH($C80)=6,$F$5,IF(MONTH($C80)=7,$F$6,"ERROR")))),1,0)</f>
        <v>0</v>
      </c>
      <c r="H80" s="26">
        <f>IF(J80=1,D80-$C$6,0)</f>
        <v>0</v>
      </c>
      <c r="I80" s="26">
        <f t="shared" si="17"/>
        <v>0</v>
      </c>
      <c r="J80" s="24">
        <f t="shared" si="106"/>
        <v>0</v>
      </c>
      <c r="K80" s="26">
        <f>VLOOKUP($C80,COS!$B$8:$H$991,2,FALSE)</f>
        <v>1718.207763671875</v>
      </c>
      <c r="L80" s="24">
        <f t="shared" si="19"/>
        <v>1</v>
      </c>
      <c r="M80" s="24">
        <f t="shared" si="20"/>
        <v>1</v>
      </c>
      <c r="N80" s="26">
        <f>VLOOKUP($C80,COS!$B$8:$H$991,5,FALSE)</f>
        <v>382.06051635742188</v>
      </c>
      <c r="O80" s="26">
        <f t="shared" si="109"/>
        <v>23.491985468588584</v>
      </c>
      <c r="P80" s="26">
        <f>VLOOKUP($C80,COS!$B$8:$H$991,6,FALSE)</f>
        <v>2281.4833984375</v>
      </c>
      <c r="Q80" s="26">
        <f t="shared" si="110"/>
        <v>140.28294615185951</v>
      </c>
      <c r="R80" s="26">
        <f>MIN(IF(MONTH($C80)=4,$S$3,IF(MONTH($C80)=5,$S$4,IF(MONTH($C80)=6,$S$5,IF(MONTH($C80)=7,$S$6,"ERROR")))),MAX(VLOOKUP($C80,COS!$B$8:$K$991,10,FALSE)-IF(MONTH($C80)=4,$Y$3,IF(MONTH($C80)=5,$Y$4,IF(MONTH($C80)=6,$Y$5,IF(MONTH($C80)=7,$Y$6,"ERROR")))),0),MAX(VLOOKUP($C80,COS!$B$8:$K$991,9,FALSE)-IF(MONTH($C80)=4,$V$3,IF(MONTH($C80)=5,$V$4,IF(MONTH($C80)=6,$V$5,IF(MONTH($C80)=7,$V$6,"ERROR"))))-VLOOKUP($C80,COS!$B$8:$K$991,6,FALSE)/2,0))</f>
        <v>1500</v>
      </c>
      <c r="S80" s="26">
        <f t="shared" si="111"/>
        <v>92.231404958677686</v>
      </c>
      <c r="T80" s="26">
        <f t="shared" si="112"/>
        <v>174.11887076890173</v>
      </c>
      <c r="U80" s="26" t="str">
        <f>IF(VLOOKUP($C80,COS!$B$8:$I$991,8,FALSE)=1,"UWFE","IBU")</f>
        <v>IBU</v>
      </c>
      <c r="V80" s="26">
        <f t="shared" ref="V80" si="124">MIN(IF(IF($AA$3=2,AND(E80=1,G80=1,L80=1,L82=1,M80=1,U80="IBU"),AND(E80=1,G80=1,L80=1,L82=1,M80=1)),T80,0),I80)</f>
        <v>0</v>
      </c>
      <c r="W80" s="26"/>
      <c r="X80" s="26"/>
      <c r="Y80" s="26"/>
      <c r="Z80" s="26"/>
      <c r="AA80" s="26"/>
      <c r="AB80" s="33"/>
      <c r="AD80" s="44">
        <v>1988</v>
      </c>
      <c r="AE80" s="45">
        <f>VLOOKUP(AD80,Flags!$A$13:$B$95,2,FALSE)</f>
        <v>5</v>
      </c>
      <c r="AF80" s="44">
        <f t="shared" si="118"/>
        <v>110.63555559142561</v>
      </c>
      <c r="AG80" s="44">
        <f t="shared" si="119"/>
        <v>562.63756641230316</v>
      </c>
      <c r="AH80" s="44">
        <f t="shared" si="120"/>
        <v>110.63555559142561</v>
      </c>
      <c r="AI80" s="44">
        <f t="shared" si="121"/>
        <v>489.78319021177685</v>
      </c>
      <c r="AJ80" s="44">
        <f t="shared" si="122"/>
        <v>534.81629519628098</v>
      </c>
      <c r="AK80" s="44">
        <f t="shared" si="115"/>
        <v>319.80551459194214</v>
      </c>
      <c r="AL80" s="44">
        <f t="shared" si="123"/>
        <v>110.63555559142561</v>
      </c>
    </row>
    <row r="81" spans="1:38" x14ac:dyDescent="0.3">
      <c r="A81" s="32">
        <f>VLOOKUP(YEAR(C81),Flags!$A$13:$B$95,2,FALSE)</f>
        <v>5</v>
      </c>
      <c r="B81" s="24">
        <f t="shared" si="116"/>
        <v>1929</v>
      </c>
      <c r="C81" s="25">
        <v>10836</v>
      </c>
      <c r="D81" s="26"/>
      <c r="E81" s="24"/>
      <c r="F81" s="26"/>
      <c r="G81" s="24"/>
      <c r="H81" s="24"/>
      <c r="I81" s="26"/>
      <c r="J81" s="24"/>
      <c r="K81" s="26"/>
      <c r="L81" s="24"/>
      <c r="M81" s="24"/>
      <c r="N81" s="26"/>
      <c r="O81" s="26"/>
      <c r="P81" s="26"/>
      <c r="Q81" s="26"/>
      <c r="R81" s="26"/>
      <c r="S81" s="26"/>
      <c r="T81" s="26"/>
      <c r="U81" s="26"/>
      <c r="V81" s="26"/>
      <c r="W81" s="26">
        <f>MAX($C$7-VLOOKUP($C81,COS!$B$8:$H$991,3,FALSE),0)</f>
        <v>4113.06689453125</v>
      </c>
      <c r="X81" s="26">
        <f t="shared" si="31"/>
        <v>252.90262558109507</v>
      </c>
      <c r="Y81" s="26">
        <f>VLOOKUP($C81,COS!$B$8:$H$991,4,FALSE)</f>
        <v>2623.390625</v>
      </c>
      <c r="Z81" s="26">
        <f t="shared" si="32"/>
        <v>161.3060020661157</v>
      </c>
      <c r="AA81" s="26">
        <f t="shared" ref="AA81:AA85" si="125">MIN(W81,Y81)</f>
        <v>2623.390625</v>
      </c>
      <c r="AB81" s="33">
        <f t="shared" ref="AB81" si="126">AA81*DAY($C81)*86400/43560/1000*IF(MONTH($C81)=8,$P$3,IF(MONTH($C81)=9,$P$4,IF(MONTH($C81)=10,$P$5,IF(MONTH($C81)=11,$P$6,IF(MONTH($C81)=12,$P$7,NA())))))</f>
        <v>161.3060020661157</v>
      </c>
      <c r="AD81" s="44">
        <v>1989</v>
      </c>
      <c r="AE81" s="45">
        <f>VLOOKUP(AD81,Flags!$A$13:$B$95,2,FALSE)</f>
        <v>4</v>
      </c>
      <c r="AF81" s="44">
        <f t="shared" si="118"/>
        <v>354.86444473140494</v>
      </c>
      <c r="AG81" s="44">
        <f t="shared" si="119"/>
        <v>654.21735975029048</v>
      </c>
      <c r="AH81" s="44">
        <f t="shared" si="120"/>
        <v>283.05427601207384</v>
      </c>
      <c r="AI81" s="44">
        <f t="shared" si="121"/>
        <v>493.25828092716944</v>
      </c>
      <c r="AJ81" s="44">
        <f t="shared" si="122"/>
        <v>434.55095263268333</v>
      </c>
      <c r="AK81" s="44">
        <f t="shared" si="115"/>
        <v>261.25910640495869</v>
      </c>
      <c r="AL81" s="44">
        <f t="shared" si="123"/>
        <v>261.25910640495869</v>
      </c>
    </row>
    <row r="82" spans="1:38" x14ac:dyDescent="0.3">
      <c r="A82" s="32">
        <f>VLOOKUP(YEAR(C82),Flags!$A$13:$B$95,2,FALSE)</f>
        <v>5</v>
      </c>
      <c r="B82" s="24">
        <f t="shared" si="116"/>
        <v>1929</v>
      </c>
      <c r="C82" s="25">
        <v>10866</v>
      </c>
      <c r="D82" s="26"/>
      <c r="E82" s="24"/>
      <c r="F82" s="26"/>
      <c r="G82" s="24"/>
      <c r="H82" s="24"/>
      <c r="I82" s="26"/>
      <c r="J82" s="24"/>
      <c r="K82" s="26">
        <f>VLOOKUP($C82,COS!$B$8:$H$991,2,FALSE)</f>
        <v>1326.92724609375</v>
      </c>
      <c r="L82" s="24">
        <f t="shared" ref="L82" si="127">IF(AND(K82&gt;$I$7,K82&lt;$I$8),1,0)</f>
        <v>1</v>
      </c>
      <c r="M82" s="24"/>
      <c r="N82" s="26"/>
      <c r="O82" s="26"/>
      <c r="P82" s="26"/>
      <c r="Q82" s="26"/>
      <c r="R82" s="26"/>
      <c r="S82" s="26"/>
      <c r="T82" s="26"/>
      <c r="U82" s="26"/>
      <c r="V82" s="26"/>
      <c r="W82" s="26">
        <f>MAX($C$8-VLOOKUP($C82,COS!$B$8:$H$991,3,FALSE),0)</f>
        <v>694.32568359375</v>
      </c>
      <c r="X82" s="26">
        <f t="shared" si="31"/>
        <v>41.315247288223141</v>
      </c>
      <c r="Y82" s="26">
        <f>VLOOKUP($C82,COS!$B$8:$H$991,4,FALSE)</f>
        <v>1966.5052490234375</v>
      </c>
      <c r="Z82" s="26">
        <f t="shared" si="32"/>
        <v>117.01518837164257</v>
      </c>
      <c r="AA82" s="26">
        <f t="shared" si="125"/>
        <v>694.32568359375</v>
      </c>
      <c r="AB82" s="33">
        <f t="shared" si="34"/>
        <v>41.315247288223141</v>
      </c>
      <c r="AD82" s="44">
        <v>1990</v>
      </c>
      <c r="AE82" s="45">
        <f>VLOOKUP(AD82,Flags!$A$13:$B$95,2,FALSE)</f>
        <v>5</v>
      </c>
      <c r="AF82" s="44">
        <f t="shared" si="118"/>
        <v>0</v>
      </c>
      <c r="AG82" s="44">
        <f t="shared" si="119"/>
        <v>508.50892750385378</v>
      </c>
      <c r="AH82" s="44">
        <f t="shared" si="120"/>
        <v>0</v>
      </c>
      <c r="AI82" s="44">
        <f t="shared" si="121"/>
        <v>427.27902698863636</v>
      </c>
      <c r="AJ82" s="44">
        <f t="shared" si="122"/>
        <v>684.5884151439825</v>
      </c>
      <c r="AK82" s="44">
        <f t="shared" si="115"/>
        <v>380.85310934271695</v>
      </c>
      <c r="AL82" s="44">
        <f t="shared" si="123"/>
        <v>0</v>
      </c>
    </row>
    <row r="83" spans="1:38" x14ac:dyDescent="0.3">
      <c r="A83" s="32">
        <f>VLOOKUP(YEAR(C83),Flags!$A$13:$B$95,2,FALSE)</f>
        <v>5</v>
      </c>
      <c r="B83" s="24">
        <f t="shared" si="116"/>
        <v>1929</v>
      </c>
      <c r="C83" s="25">
        <v>10897</v>
      </c>
      <c r="D83" s="26"/>
      <c r="E83" s="24"/>
      <c r="F83" s="26"/>
      <c r="G83" s="26"/>
      <c r="H83" s="26"/>
      <c r="I83" s="26"/>
      <c r="J83" s="26"/>
      <c r="K83" s="26"/>
      <c r="L83" s="24"/>
      <c r="M83" s="24"/>
      <c r="N83" s="26"/>
      <c r="O83" s="26"/>
      <c r="P83" s="26"/>
      <c r="Q83" s="26"/>
      <c r="R83" s="26"/>
      <c r="S83" s="26"/>
      <c r="T83" s="26"/>
      <c r="U83" s="26"/>
      <c r="V83" s="26"/>
      <c r="W83" s="26">
        <f>MAX($C$9-VLOOKUP($C83,COS!$B$8:$H$991,3,FALSE),0)</f>
        <v>0</v>
      </c>
      <c r="X83" s="26">
        <f t="shared" si="31"/>
        <v>0</v>
      </c>
      <c r="Y83" s="26">
        <f>VLOOKUP($C83,COS!$B$8:$H$991,4,FALSE)</f>
        <v>1369.061767578125</v>
      </c>
      <c r="Z83" s="26">
        <f t="shared" si="32"/>
        <v>84.180326865960737</v>
      </c>
      <c r="AA83" s="26">
        <f t="shared" si="125"/>
        <v>0</v>
      </c>
      <c r="AB83" s="33">
        <f t="shared" si="34"/>
        <v>0</v>
      </c>
      <c r="AD83" s="44">
        <v>1991</v>
      </c>
      <c r="AE83" s="45">
        <f>VLOOKUP(AD83,Flags!$A$13:$B$95,2,FALSE)</f>
        <v>5</v>
      </c>
      <c r="AF83" s="44">
        <f t="shared" si="118"/>
        <v>45.886084710743802</v>
      </c>
      <c r="AG83" s="44">
        <f t="shared" si="119"/>
        <v>601.89792775556077</v>
      </c>
      <c r="AH83" s="44">
        <f t="shared" si="120"/>
        <v>0</v>
      </c>
      <c r="AI83" s="44">
        <f t="shared" si="121"/>
        <v>529.74394176136366</v>
      </c>
      <c r="AJ83" s="44">
        <f t="shared" si="122"/>
        <v>691.69384434723656</v>
      </c>
      <c r="AK83" s="44">
        <f t="shared" si="115"/>
        <v>399.7834371771695</v>
      </c>
      <c r="AL83" s="44">
        <f t="shared" si="123"/>
        <v>0</v>
      </c>
    </row>
    <row r="84" spans="1:38" x14ac:dyDescent="0.3">
      <c r="A84" s="32">
        <f>VLOOKUP(YEAR(C84),Flags!$A$13:$B$95,2,FALSE)</f>
        <v>5</v>
      </c>
      <c r="B84" s="24">
        <f t="shared" si="116"/>
        <v>1929</v>
      </c>
      <c r="C84" s="25">
        <v>10927</v>
      </c>
      <c r="D84" s="26"/>
      <c r="E84" s="24"/>
      <c r="F84" s="26"/>
      <c r="G84" s="26"/>
      <c r="H84" s="26"/>
      <c r="I84" s="26"/>
      <c r="J84" s="26"/>
      <c r="K84" s="26"/>
      <c r="L84" s="24"/>
      <c r="M84" s="24"/>
      <c r="N84" s="26"/>
      <c r="O84" s="26"/>
      <c r="P84" s="26"/>
      <c r="Q84" s="26"/>
      <c r="R84" s="26"/>
      <c r="S84" s="26"/>
      <c r="T84" s="26"/>
      <c r="U84" s="26"/>
      <c r="V84" s="26"/>
      <c r="W84" s="26">
        <f>MAX($C$10-VLOOKUP($C84,COS!$B$8:$H$991,3,FALSE),0)</f>
        <v>722.40087890625</v>
      </c>
      <c r="X84" s="26">
        <f t="shared" si="31"/>
        <v>42.985837422520667</v>
      </c>
      <c r="Y84" s="26">
        <f>VLOOKUP($C84,COS!$B$8:$H$991,4,FALSE)</f>
        <v>1476.7601318359375</v>
      </c>
      <c r="Z84" s="26">
        <f t="shared" si="32"/>
        <v>87.873330158832644</v>
      </c>
      <c r="AA84" s="26">
        <f t="shared" si="125"/>
        <v>722.40087890625</v>
      </c>
      <c r="AB84" s="33">
        <f t="shared" si="34"/>
        <v>42.985837422520667</v>
      </c>
      <c r="AD84" s="43">
        <v>1992</v>
      </c>
      <c r="AE84" s="1">
        <f>VLOOKUP(AD84,Flags!$A$13:$B$95,2,FALSE)</f>
        <v>5</v>
      </c>
      <c r="AF84" s="43">
        <f t="shared" si="118"/>
        <v>184.40940534607438</v>
      </c>
      <c r="AG84" s="43">
        <f t="shared" si="119"/>
        <v>595.25417847373262</v>
      </c>
      <c r="AH84" s="43">
        <f t="shared" si="120"/>
        <v>184.40940534607438</v>
      </c>
      <c r="AI84" s="43">
        <f t="shared" si="121"/>
        <v>507.01141754907019</v>
      </c>
      <c r="AJ84" s="43">
        <f t="shared" si="122"/>
        <v>529.46044728176651</v>
      </c>
      <c r="AK84" s="43">
        <f t="shared" si="115"/>
        <v>355.7276096009814</v>
      </c>
      <c r="AL84" s="43">
        <f t="shared" si="123"/>
        <v>184.40940534607438</v>
      </c>
    </row>
    <row r="85" spans="1:38" x14ac:dyDescent="0.3">
      <c r="A85" s="34">
        <f>VLOOKUP(YEAR(C85),Flags!$A$13:$B$95,2,FALSE)</f>
        <v>5</v>
      </c>
      <c r="B85" s="35">
        <f t="shared" si="116"/>
        <v>1929</v>
      </c>
      <c r="C85" s="36">
        <v>10958</v>
      </c>
      <c r="D85" s="37"/>
      <c r="E85" s="35"/>
      <c r="F85" s="37"/>
      <c r="G85" s="37"/>
      <c r="H85" s="37"/>
      <c r="I85" s="37"/>
      <c r="J85" s="37"/>
      <c r="K85" s="37"/>
      <c r="L85" s="35"/>
      <c r="M85" s="35"/>
      <c r="N85" s="37"/>
      <c r="O85" s="37"/>
      <c r="P85" s="37"/>
      <c r="Q85" s="37"/>
      <c r="R85" s="37"/>
      <c r="S85" s="37"/>
      <c r="T85" s="37"/>
      <c r="U85" s="37"/>
      <c r="V85" s="37"/>
      <c r="W85" s="37">
        <f>MAX($C$11-VLOOKUP($C85,COS!$B$8:$H$991,3,FALSE),0)</f>
        <v>1750</v>
      </c>
      <c r="X85" s="37">
        <f t="shared" si="31"/>
        <v>107.60330578512398</v>
      </c>
      <c r="Y85" s="37">
        <f>VLOOKUP($C85,COS!$B$8:$H$991,4,FALSE)</f>
        <v>1577.152099609375</v>
      </c>
      <c r="Z85" s="37">
        <f t="shared" si="32"/>
        <v>96.975302653667356</v>
      </c>
      <c r="AA85" s="37">
        <f t="shared" si="125"/>
        <v>1577.152099609375</v>
      </c>
      <c r="AB85" s="38">
        <f t="shared" si="34"/>
        <v>96.975302653667356</v>
      </c>
      <c r="AD85" s="43">
        <v>1993</v>
      </c>
      <c r="AE85" s="1">
        <f>VLOOKUP(AD85,Flags!$A$13:$B$95,2,FALSE)</f>
        <v>2</v>
      </c>
      <c r="AF85" s="43">
        <f t="shared" si="118"/>
        <v>368.51700348657027</v>
      </c>
      <c r="AG85" s="43">
        <f t="shared" si="119"/>
        <v>678.65893496174454</v>
      </c>
      <c r="AH85" s="43">
        <f t="shared" si="120"/>
        <v>0</v>
      </c>
      <c r="AI85" s="43">
        <f t="shared" si="121"/>
        <v>268.92443956611572</v>
      </c>
      <c r="AJ85" s="43">
        <f t="shared" si="122"/>
        <v>150.01719971711969</v>
      </c>
      <c r="AK85" s="43">
        <f t="shared" si="115"/>
        <v>21.944809842700799</v>
      </c>
      <c r="AL85" s="43">
        <f t="shared" si="123"/>
        <v>0</v>
      </c>
    </row>
    <row r="86" spans="1:38" x14ac:dyDescent="0.3">
      <c r="A86" s="27">
        <f>VLOOKUP(YEAR(C86),Flags!$A$13:$B$95,2,FALSE)</f>
        <v>4</v>
      </c>
      <c r="B86" s="28">
        <f t="shared" si="116"/>
        <v>1930</v>
      </c>
      <c r="C86" s="29">
        <v>11078</v>
      </c>
      <c r="D86" s="30">
        <f>VLOOKUP($C86,COS!$B$8:$H$991,3,FALSE)</f>
        <v>3250</v>
      </c>
      <c r="E86" s="28">
        <f>IF(D86&gt;=IF(MONTH($C86)=4,$C$3,IF(MONTH($C86)=5,$C$4,IF(MONTH($C86)=6,$C$5,IF(MONTH($C86)=7,$C$6,"ERROR")))),1,0)</f>
        <v>0</v>
      </c>
      <c r="F86" s="30">
        <f>VLOOKUP($C86,COS!$B$8:$H$991,7,FALSE)</f>
        <v>51.239517211914063</v>
      </c>
      <c r="G86" s="28">
        <f>IF(F86&lt;=IF(MONTH($C86)=4,$F$3,IF(MONTH($C86)=5,$F$4,IF(MONTH($C86)=6,$F$5,IF(MONTH($C86)=7,$F$6,"ERROR")))),1,0)</f>
        <v>1</v>
      </c>
      <c r="H86" s="30">
        <f>IF(J86=1,D86-$C$3,0)</f>
        <v>0</v>
      </c>
      <c r="I86" s="30">
        <f t="shared" si="17"/>
        <v>0</v>
      </c>
      <c r="J86" s="28">
        <f t="shared" ref="J86:J89" si="128">IF(AND(E86=1,G86=1),1,0)</f>
        <v>0</v>
      </c>
      <c r="K86" s="30">
        <f>VLOOKUP($C86,COS!$B$8:$H$991,2,FALSE)</f>
        <v>2916.82275390625</v>
      </c>
      <c r="L86" s="28">
        <f t="shared" ref="L86:L143" si="129">IF(K86&lt;=IF(MONTH($C86)=4,$I$3,IF(MONTH($C86)=5,$I$4,IF(MONTH($C86)=6,$I$5,IF(MONTH($C86)=7,$I$6,"ERROR")))),1,0)</f>
        <v>1</v>
      </c>
      <c r="M86" s="28">
        <f t="shared" ref="M86:M143" si="130">VLOOKUP($A86,$L$3:$M$7,2,FALSE)</f>
        <v>1</v>
      </c>
      <c r="N86" s="30">
        <f>VLOOKUP($C86,COS!$B$8:$H$991,5,FALSE)</f>
        <v>44.508659362792969</v>
      </c>
      <c r="O86" s="30">
        <f t="shared" ref="O86:O89" si="131">N86*DAY($C86)*86400/43560/1000</f>
        <v>2.6484491521661928</v>
      </c>
      <c r="P86" s="30">
        <f>VLOOKUP($C86,COS!$B$8:$H$991,6,FALSE)</f>
        <v>392.62295532226563</v>
      </c>
      <c r="Q86" s="30">
        <f t="shared" ref="Q86:Q89" si="132">P86*DAY($C86)*86400/43560/1000</f>
        <v>23.362688250581094</v>
      </c>
      <c r="R86" s="30">
        <f>MIN(IF(MONTH($C86)=4,$S$3,IF(MONTH($C86)=5,$S$4,IF(MONTH($C86)=6,$S$5,IF(MONTH($C86)=7,$S$6,"ERROR")))),MAX(VLOOKUP($C86,COS!$B$8:$K$991,10,FALSE)-IF(MONTH($C86)=4,$Y$3,IF(MONTH($C86)=5,$Y$4,IF(MONTH($C86)=6,$Y$5,IF(MONTH($C86)=7,$Y$6,"ERROR")))),0),MAX(VLOOKUP($C86,COS!$B$8:$K$991,9,FALSE)-IF(MONTH($C86)=4,$V$3,IF(MONTH($C86)=5,$V$4,IF(MONTH($C86)=6,$V$5,IF(MONTH($C86)=7,$V$6,"ERROR"))))-VLOOKUP($C86,COS!$B$8:$K$991,6,FALSE)/2,0))</f>
        <v>1500</v>
      </c>
      <c r="S86" s="30">
        <f t="shared" ref="S86:S89" si="133">R86*DAY($C86)*86400/43560/1000</f>
        <v>89.256198347107429</v>
      </c>
      <c r="T86" s="30">
        <f t="shared" ref="T86:T89" si="134">(O86+Q86)/2+S86</f>
        <v>102.26176704848108</v>
      </c>
      <c r="U86" s="30" t="str">
        <f>IF(VLOOKUP($C86,COS!$B$8:$I$991,8,FALSE)=1,"UWFE","IBU")</f>
        <v>UWFE</v>
      </c>
      <c r="V86" s="30">
        <f t="shared" ref="V86" si="135">MIN(IF(IF($AA$3=2,AND(E86=1,G86=1,L86=1,L91=1,M86=1,U86="IBU"),AND(E86=1,G86=1,L86=1,L91=1,M86=1)),T86,0),I86)</f>
        <v>0</v>
      </c>
      <c r="W86" s="30"/>
      <c r="X86" s="30"/>
      <c r="Y86" s="30"/>
      <c r="Z86" s="30"/>
      <c r="AA86" s="30"/>
      <c r="AB86" s="31"/>
      <c r="AD86" s="43">
        <v>1994</v>
      </c>
      <c r="AE86" s="1">
        <f>VLOOKUP(AD86,Flags!$A$13:$B$95,2,FALSE)</f>
        <v>5</v>
      </c>
      <c r="AF86" s="43">
        <f t="shared" si="118"/>
        <v>21.768285123966944</v>
      </c>
      <c r="AG86" s="43">
        <f t="shared" si="119"/>
        <v>561.5149479334807</v>
      </c>
      <c r="AH86" s="43">
        <f t="shared" si="120"/>
        <v>21.768285123966944</v>
      </c>
      <c r="AI86" s="43">
        <f t="shared" si="121"/>
        <v>546.23832063533064</v>
      </c>
      <c r="AJ86" s="43">
        <f t="shared" si="122"/>
        <v>521.34395168840388</v>
      </c>
      <c r="AK86" s="43">
        <f t="shared" si="115"/>
        <v>450.08380504261368</v>
      </c>
      <c r="AL86" s="43">
        <f t="shared" si="123"/>
        <v>21.768285123966944</v>
      </c>
    </row>
    <row r="87" spans="1:38" x14ac:dyDescent="0.3">
      <c r="A87" s="32">
        <f>VLOOKUP(YEAR(C87),Flags!$A$13:$B$95,2,FALSE)</f>
        <v>4</v>
      </c>
      <c r="B87" s="24">
        <f t="shared" si="116"/>
        <v>1930</v>
      </c>
      <c r="C87" s="25">
        <v>11109</v>
      </c>
      <c r="D87" s="26">
        <f>VLOOKUP($C87,COS!$B$8:$H$991,3,FALSE)</f>
        <v>5412.98681640625</v>
      </c>
      <c r="E87" s="24">
        <f>IF(D87&gt;=IF(MONTH($C87)=4,$C$3,IF(MONTH($C87)=5,$C$4,IF(MONTH($C87)=6,$C$5,IF(MONTH($C87)=7,$C$6,"ERROR")))),1,0)</f>
        <v>0</v>
      </c>
      <c r="F87" s="26">
        <f>VLOOKUP($C87,COS!$B$8:$H$991,7,FALSE)</f>
        <v>51.472103118896484</v>
      </c>
      <c r="G87" s="24">
        <f>IF(F87&lt;=IF(MONTH($C87)=4,$F$3,IF(MONTH($C87)=5,$F$4,IF(MONTH($C87)=6,$F$5,IF(MONTH($C87)=7,$F$6,"ERROR")))),1,0)</f>
        <v>1</v>
      </c>
      <c r="H87" s="26">
        <f>IF(J87=1,D87-$C$4,0)</f>
        <v>0</v>
      </c>
      <c r="I87" s="26">
        <f t="shared" ref="I87:I150" si="136">H87*DAY($C87)*86400/43560/1000</f>
        <v>0</v>
      </c>
      <c r="J87" s="24">
        <f t="shared" si="128"/>
        <v>0</v>
      </c>
      <c r="K87" s="26">
        <f>VLOOKUP($C87,COS!$B$8:$H$991,2,FALSE)</f>
        <v>2856.510986328125</v>
      </c>
      <c r="L87" s="24">
        <f t="shared" si="129"/>
        <v>1</v>
      </c>
      <c r="M87" s="24">
        <f t="shared" si="130"/>
        <v>1</v>
      </c>
      <c r="N87" s="26">
        <f>VLOOKUP($C87,COS!$B$8:$H$991,5,FALSE)</f>
        <v>14.996692657470703</v>
      </c>
      <c r="O87" s="26">
        <f t="shared" si="131"/>
        <v>0.92211068902133908</v>
      </c>
      <c r="P87" s="26">
        <f>VLOOKUP($C87,COS!$B$8:$H$991,6,FALSE)</f>
        <v>2146.524658203125</v>
      </c>
      <c r="Q87" s="26">
        <f t="shared" si="132"/>
        <v>131.98465666967974</v>
      </c>
      <c r="R87" s="26">
        <f>MIN(IF(MONTH($C87)=4,$S$3,IF(MONTH($C87)=5,$S$4,IF(MONTH($C87)=6,$S$5,IF(MONTH($C87)=7,$S$6,"ERROR")))),MAX(VLOOKUP($C87,COS!$B$8:$K$991,10,FALSE)-IF(MONTH($C87)=4,$Y$3,IF(MONTH($C87)=5,$Y$4,IF(MONTH($C87)=6,$Y$5,IF(MONTH($C87)=7,$Y$6,"ERROR")))),0),MAX(VLOOKUP($C87,COS!$B$8:$K$991,9,FALSE)-IF(MONTH($C87)=4,$V$3,IF(MONTH($C87)=5,$V$4,IF(MONTH($C87)=6,$V$5,IF(MONTH($C87)=7,$V$6,"ERROR"))))-VLOOKUP($C87,COS!$B$8:$K$991,6,FALSE)/2,0))</f>
        <v>1500</v>
      </c>
      <c r="S87" s="26">
        <f t="shared" si="133"/>
        <v>92.231404958677686</v>
      </c>
      <c r="T87" s="26">
        <f t="shared" si="134"/>
        <v>158.68478863802824</v>
      </c>
      <c r="U87" s="26" t="str">
        <f>IF(VLOOKUP($C87,COS!$B$8:$I$991,8,FALSE)=1,"UWFE","IBU")</f>
        <v>UWFE</v>
      </c>
      <c r="V87" s="26">
        <f t="shared" ref="V87" si="137">MIN(IF(IF($AA$3=2,AND(E87=1,G87=1,L87=1,L91=1,M87=1,U87="IBU"),AND(E87=1,G87=1,L87=1,L91=1,M87=1)),T87,0),I87)</f>
        <v>0</v>
      </c>
      <c r="W87" s="26"/>
      <c r="X87" s="26"/>
      <c r="Y87" s="26"/>
      <c r="Z87" s="26"/>
      <c r="AA87" s="26"/>
      <c r="AB87" s="33"/>
      <c r="AD87" s="43">
        <v>1995</v>
      </c>
      <c r="AE87" s="1">
        <f>VLOOKUP(AD87,Flags!$A$13:$B$95,2,FALSE)</f>
        <v>1</v>
      </c>
      <c r="AF87" s="43">
        <f t="shared" si="118"/>
        <v>374.49814307851238</v>
      </c>
      <c r="AG87" s="43">
        <f t="shared" si="119"/>
        <v>676.62732833483983</v>
      </c>
      <c r="AH87" s="43">
        <f t="shared" si="120"/>
        <v>0</v>
      </c>
      <c r="AI87" s="43">
        <f t="shared" si="121"/>
        <v>96.950173198605384</v>
      </c>
      <c r="AJ87" s="43">
        <f t="shared" si="122"/>
        <v>112.67233340428881</v>
      </c>
      <c r="AK87" s="43">
        <f t="shared" si="115"/>
        <v>0</v>
      </c>
      <c r="AL87" s="43">
        <f t="shared" si="123"/>
        <v>0</v>
      </c>
    </row>
    <row r="88" spans="1:38" x14ac:dyDescent="0.3">
      <c r="A88" s="32">
        <f>VLOOKUP(YEAR(C88),Flags!$A$13:$B$95,2,FALSE)</f>
        <v>4</v>
      </c>
      <c r="B88" s="24">
        <f t="shared" si="116"/>
        <v>1930</v>
      </c>
      <c r="C88" s="25">
        <v>11139</v>
      </c>
      <c r="D88" s="26">
        <f>VLOOKUP($C88,COS!$B$8:$H$991,3,FALSE)</f>
        <v>8881.8974609375</v>
      </c>
      <c r="E88" s="24">
        <f>IF(D88&gt;=IF(MONTH($C88)=4,$C$3,IF(MONTH($C88)=5,$C$4,IF(MONTH($C88)=6,$C$5,IF(MONTH($C88)=7,$C$6,"ERROR")))),1,0)</f>
        <v>0</v>
      </c>
      <c r="F88" s="26">
        <f>VLOOKUP($C88,COS!$B$8:$H$991,7,FALSE)</f>
        <v>52.899250030517578</v>
      </c>
      <c r="G88" s="24">
        <f>IF(F88&lt;=IF(MONTH($C88)=4,$F$3,IF(MONTH($C88)=5,$F$4,IF(MONTH($C88)=6,$F$5,IF(MONTH($C88)=7,$F$6,"ERROR")))),1,0)</f>
        <v>1</v>
      </c>
      <c r="H88" s="26">
        <f>IF(J88=1,D88-$C$5,0)</f>
        <v>0</v>
      </c>
      <c r="I88" s="26">
        <f t="shared" si="136"/>
        <v>0</v>
      </c>
      <c r="J88" s="24">
        <f t="shared" si="128"/>
        <v>0</v>
      </c>
      <c r="K88" s="26">
        <f>VLOOKUP($C88,COS!$B$8:$H$991,2,FALSE)</f>
        <v>2536.044189453125</v>
      </c>
      <c r="L88" s="24">
        <f t="shared" si="129"/>
        <v>1</v>
      </c>
      <c r="M88" s="24">
        <f t="shared" si="130"/>
        <v>1</v>
      </c>
      <c r="N88" s="26">
        <f>VLOOKUP($C88,COS!$B$8:$H$991,5,FALSE)</f>
        <v>199.59013366699219</v>
      </c>
      <c r="O88" s="26">
        <f t="shared" si="131"/>
        <v>11.876437705804493</v>
      </c>
      <c r="P88" s="26">
        <f>VLOOKUP($C88,COS!$B$8:$H$991,6,FALSE)</f>
        <v>2714.961669921875</v>
      </c>
      <c r="Q88" s="26">
        <f t="shared" si="132"/>
        <v>161.55143821022727</v>
      </c>
      <c r="R88" s="26">
        <f>MIN(IF(MONTH($C88)=4,$S$3,IF(MONTH($C88)=5,$S$4,IF(MONTH($C88)=6,$S$5,IF(MONTH($C88)=7,$S$6,"ERROR")))),MAX(VLOOKUP($C88,COS!$B$8:$K$991,10,FALSE)-IF(MONTH($C88)=4,$Y$3,IF(MONTH($C88)=5,$Y$4,IF(MONTH($C88)=6,$Y$5,IF(MONTH($C88)=7,$Y$6,"ERROR")))),0),MAX(VLOOKUP($C88,COS!$B$8:$K$991,9,FALSE)-IF(MONTH($C88)=4,$V$3,IF(MONTH($C88)=5,$V$4,IF(MONTH($C88)=6,$V$5,IF(MONTH($C88)=7,$V$6,"ERROR"))))-VLOOKUP($C88,COS!$B$8:$K$991,6,FALSE)/2,0))</f>
        <v>1500</v>
      </c>
      <c r="S88" s="26">
        <f t="shared" si="133"/>
        <v>89.256198347107429</v>
      </c>
      <c r="T88" s="26">
        <f t="shared" si="134"/>
        <v>175.97013630512333</v>
      </c>
      <c r="U88" s="26" t="str">
        <f>IF(VLOOKUP($C88,COS!$B$8:$I$991,8,FALSE)=1,"UWFE","IBU")</f>
        <v>IBU</v>
      </c>
      <c r="V88" s="26">
        <f t="shared" ref="V88" si="138">MIN(IF(IF($AA$3=2,AND(E88=1,G88=1,L88=1,L91=1,M88=1,U88="IBU"),AND(E88=1,G88=1,L88=1,L91=1,M88=1)),T88,0),I88)</f>
        <v>0</v>
      </c>
      <c r="W88" s="26"/>
      <c r="X88" s="26"/>
      <c r="Y88" s="26"/>
      <c r="Z88" s="26"/>
      <c r="AA88" s="26"/>
      <c r="AB88" s="33"/>
      <c r="AD88" s="43">
        <v>1996</v>
      </c>
      <c r="AE88" s="1">
        <f>VLOOKUP(AD88,Flags!$A$13:$B$95,2,FALSE)</f>
        <v>1</v>
      </c>
      <c r="AF88" s="43">
        <f t="shared" si="118"/>
        <v>470.82685111053718</v>
      </c>
      <c r="AG88" s="43">
        <f t="shared" si="119"/>
        <v>673.70356104322696</v>
      </c>
      <c r="AH88" s="43">
        <f t="shared" si="120"/>
        <v>0</v>
      </c>
      <c r="AI88" s="43">
        <f t="shared" si="121"/>
        <v>162.51293646694216</v>
      </c>
      <c r="AJ88" s="43">
        <f t="shared" si="122"/>
        <v>153.2964386137655</v>
      </c>
      <c r="AK88" s="43">
        <f t="shared" si="115"/>
        <v>0</v>
      </c>
      <c r="AL88" s="43">
        <f t="shared" si="123"/>
        <v>0</v>
      </c>
    </row>
    <row r="89" spans="1:38" x14ac:dyDescent="0.3">
      <c r="A89" s="32">
        <f>VLOOKUP(YEAR(C89),Flags!$A$13:$B$95,2,FALSE)</f>
        <v>4</v>
      </c>
      <c r="B89" s="24">
        <f t="shared" si="116"/>
        <v>1930</v>
      </c>
      <c r="C89" s="25">
        <v>11170</v>
      </c>
      <c r="D89" s="26">
        <f>VLOOKUP($C89,COS!$B$8:$H$991,3,FALSE)</f>
        <v>9171.2353515625</v>
      </c>
      <c r="E89" s="24">
        <f>IF(D89&gt;=IF(MONTH($C89)=4,$C$3,IF(MONTH($C89)=5,$C$4,IF(MONTH($C89)=6,$C$5,IF(MONTH($C89)=7,$C$6,"ERROR")))),1,0)</f>
        <v>0</v>
      </c>
      <c r="F89" s="26">
        <f>VLOOKUP($C89,COS!$B$8:$H$991,7,FALSE)</f>
        <v>55.481464385986328</v>
      </c>
      <c r="G89" s="24">
        <f>IF(F89&lt;=IF(MONTH($C89)=4,$F$3,IF(MONTH($C89)=5,$F$4,IF(MONTH($C89)=6,$F$5,IF(MONTH($C89)=7,$F$6,"ERROR")))),1,0)</f>
        <v>0</v>
      </c>
      <c r="H89" s="26">
        <f>IF(J89=1,D89-$C$6,0)</f>
        <v>0</v>
      </c>
      <c r="I89" s="26">
        <f t="shared" si="136"/>
        <v>0</v>
      </c>
      <c r="J89" s="24">
        <f t="shared" si="128"/>
        <v>0</v>
      </c>
      <c r="K89" s="26">
        <f>VLOOKUP($C89,COS!$B$8:$H$991,2,FALSE)</f>
        <v>2214.108642578125</v>
      </c>
      <c r="L89" s="24">
        <f t="shared" si="129"/>
        <v>1</v>
      </c>
      <c r="M89" s="24">
        <f t="shared" si="130"/>
        <v>1</v>
      </c>
      <c r="N89" s="26">
        <f>VLOOKUP($C89,COS!$B$8:$H$991,5,FALSE)</f>
        <v>218.08706665039063</v>
      </c>
      <c r="O89" s="26">
        <f t="shared" si="131"/>
        <v>13.40965104032154</v>
      </c>
      <c r="P89" s="26">
        <f>VLOOKUP($C89,COS!$B$8:$H$991,6,FALSE)</f>
        <v>2538.07568359375</v>
      </c>
      <c r="Q89" s="26">
        <f t="shared" si="132"/>
        <v>156.06019079287191</v>
      </c>
      <c r="R89" s="26">
        <f>MIN(IF(MONTH($C89)=4,$S$3,IF(MONTH($C89)=5,$S$4,IF(MONTH($C89)=6,$S$5,IF(MONTH($C89)=7,$S$6,"ERROR")))),MAX(VLOOKUP($C89,COS!$B$8:$K$991,10,FALSE)-IF(MONTH($C89)=4,$Y$3,IF(MONTH($C89)=5,$Y$4,IF(MONTH($C89)=6,$Y$5,IF(MONTH($C89)=7,$Y$6,"ERROR")))),0),MAX(VLOOKUP($C89,COS!$B$8:$K$991,9,FALSE)-IF(MONTH($C89)=4,$V$3,IF(MONTH($C89)=5,$V$4,IF(MONTH($C89)=6,$V$5,IF(MONTH($C89)=7,$V$6,"ERROR"))))-VLOOKUP($C89,COS!$B$8:$K$991,6,FALSE)/2,0))</f>
        <v>1500</v>
      </c>
      <c r="S89" s="26">
        <f t="shared" si="133"/>
        <v>92.231404958677686</v>
      </c>
      <c r="T89" s="26">
        <f t="shared" si="134"/>
        <v>176.96632587527441</v>
      </c>
      <c r="U89" s="26" t="str">
        <f>IF(VLOOKUP($C89,COS!$B$8:$I$991,8,FALSE)=1,"UWFE","IBU")</f>
        <v>IBU</v>
      </c>
      <c r="V89" s="26">
        <f t="shared" ref="V89" si="139">MIN(IF(IF($AA$3=2,AND(E89=1,G89=1,L89=1,L91=1,M89=1,U89="IBU"),AND(E89=1,G89=1,L89=1,L91=1,M89=1)),T89,0),I89)</f>
        <v>0</v>
      </c>
      <c r="W89" s="26"/>
      <c r="X89" s="26"/>
      <c r="Y89" s="26"/>
      <c r="Z89" s="26"/>
      <c r="AA89" s="26"/>
      <c r="AB89" s="33"/>
      <c r="AD89" s="43">
        <v>1997</v>
      </c>
      <c r="AE89" s="1">
        <f>VLOOKUP(AD89,Flags!$A$13:$B$95,2,FALSE)</f>
        <v>1</v>
      </c>
      <c r="AF89" s="43">
        <f t="shared" si="118"/>
        <v>379.07900051652894</v>
      </c>
      <c r="AG89" s="43">
        <f t="shared" si="119"/>
        <v>682.87646986780089</v>
      </c>
      <c r="AH89" s="43">
        <f t="shared" si="120"/>
        <v>0</v>
      </c>
      <c r="AI89" s="43">
        <f t="shared" si="121"/>
        <v>338.52498385847105</v>
      </c>
      <c r="AJ89" s="43">
        <f t="shared" si="122"/>
        <v>130.54690817084196</v>
      </c>
      <c r="AK89" s="43">
        <f t="shared" si="115"/>
        <v>0</v>
      </c>
      <c r="AL89" s="43">
        <f t="shared" si="123"/>
        <v>0</v>
      </c>
    </row>
    <row r="90" spans="1:38" x14ac:dyDescent="0.3">
      <c r="A90" s="32">
        <f>VLOOKUP(YEAR(C90),Flags!$A$13:$B$95,2,FALSE)</f>
        <v>4</v>
      </c>
      <c r="B90" s="24">
        <f t="shared" si="116"/>
        <v>1930</v>
      </c>
      <c r="C90" s="25">
        <v>11201</v>
      </c>
      <c r="D90" s="26"/>
      <c r="E90" s="24"/>
      <c r="F90" s="26"/>
      <c r="G90" s="24"/>
      <c r="H90" s="24"/>
      <c r="I90" s="26"/>
      <c r="J90" s="24"/>
      <c r="K90" s="26"/>
      <c r="L90" s="24"/>
      <c r="M90" s="24"/>
      <c r="N90" s="26"/>
      <c r="O90" s="26"/>
      <c r="P90" s="26"/>
      <c r="Q90" s="26"/>
      <c r="R90" s="26"/>
      <c r="S90" s="26"/>
      <c r="T90" s="26"/>
      <c r="U90" s="26"/>
      <c r="V90" s="26"/>
      <c r="W90" s="26">
        <f>MAX($C$7-VLOOKUP($C90,COS!$B$8:$H$991,3,FALSE),0)</f>
        <v>4246.44091796875</v>
      </c>
      <c r="X90" s="26">
        <f t="shared" si="31"/>
        <v>261.10347462551653</v>
      </c>
      <c r="Y90" s="26">
        <f>VLOOKUP($C90,COS!$B$8:$H$991,4,FALSE)</f>
        <v>2140.212646484375</v>
      </c>
      <c r="Z90" s="26">
        <f t="shared" si="32"/>
        <v>131.59654619705577</v>
      </c>
      <c r="AA90" s="26">
        <f t="shared" ref="AA90:AA94" si="140">MIN(W90,Y90)</f>
        <v>2140.212646484375</v>
      </c>
      <c r="AB90" s="33">
        <f t="shared" ref="AB90:AB148" si="141">AA90*DAY($C90)*86400/43560/1000*IF(MONTH($C90)=8,$P$3,IF(MONTH($C90)=9,$P$4,IF(MONTH($C90)=10,$P$5,IF(MONTH($C90)=11,$P$6,IF(MONTH($C90)=12,$P$7,NA())))))</f>
        <v>131.59654619705577</v>
      </c>
      <c r="AD90" s="43">
        <v>1998</v>
      </c>
      <c r="AE90" s="1">
        <f>VLOOKUP(AD90,Flags!$A$13:$B$95,2,FALSE)</f>
        <v>1</v>
      </c>
      <c r="AF90" s="43">
        <f t="shared" si="118"/>
        <v>1046.5325051652894</v>
      </c>
      <c r="AG90" s="43">
        <f t="shared" si="119"/>
        <v>637.77182187671497</v>
      </c>
      <c r="AH90" s="43">
        <f t="shared" si="120"/>
        <v>0</v>
      </c>
      <c r="AI90" s="43">
        <f t="shared" si="121"/>
        <v>0</v>
      </c>
      <c r="AJ90" s="43">
        <f t="shared" si="122"/>
        <v>3.2741707793937245</v>
      </c>
      <c r="AK90" s="43">
        <f t="shared" si="115"/>
        <v>0</v>
      </c>
      <c r="AL90" s="43">
        <f t="shared" si="123"/>
        <v>0</v>
      </c>
    </row>
    <row r="91" spans="1:38" x14ac:dyDescent="0.3">
      <c r="A91" s="32">
        <f>VLOOKUP(YEAR(C91),Flags!$A$13:$B$95,2,FALSE)</f>
        <v>4</v>
      </c>
      <c r="B91" s="24">
        <f t="shared" si="116"/>
        <v>1930</v>
      </c>
      <c r="C91" s="25">
        <v>11231</v>
      </c>
      <c r="D91" s="26"/>
      <c r="E91" s="24"/>
      <c r="F91" s="26"/>
      <c r="G91" s="24"/>
      <c r="H91" s="24"/>
      <c r="I91" s="26"/>
      <c r="J91" s="24"/>
      <c r="K91" s="26">
        <f>VLOOKUP($C91,COS!$B$8:$H$991,2,FALSE)</f>
        <v>1915.04248046875</v>
      </c>
      <c r="L91" s="24">
        <f t="shared" ref="L91" si="142">IF(AND(K91&gt;$I$7,K91&lt;$I$8),1,0)</f>
        <v>1</v>
      </c>
      <c r="M91" s="24"/>
      <c r="N91" s="26"/>
      <c r="O91" s="26"/>
      <c r="P91" s="26"/>
      <c r="Q91" s="26"/>
      <c r="R91" s="26"/>
      <c r="S91" s="26"/>
      <c r="T91" s="26"/>
      <c r="U91" s="26"/>
      <c r="V91" s="26"/>
      <c r="W91" s="26">
        <f>MAX($C$8-VLOOKUP($C91,COS!$B$8:$H$991,3,FALSE),0)</f>
        <v>1942.968505859375</v>
      </c>
      <c r="X91" s="26">
        <f t="shared" ref="X91:X154" si="143">W91*DAY($C91)*86400/43560/1000</f>
        <v>115.61465489411158</v>
      </c>
      <c r="Y91" s="26">
        <f>VLOOKUP($C91,COS!$B$8:$H$991,4,FALSE)</f>
        <v>1280.4638671875</v>
      </c>
      <c r="Z91" s="26">
        <f t="shared" ref="Z91:Z154" si="144">Y91*DAY($C91)*86400/43560/1000</f>
        <v>76.192891270661164</v>
      </c>
      <c r="AA91" s="26">
        <f t="shared" si="140"/>
        <v>1280.4638671875</v>
      </c>
      <c r="AB91" s="33">
        <f t="shared" si="141"/>
        <v>76.192891270661164</v>
      </c>
      <c r="AD91" s="43">
        <v>1999</v>
      </c>
      <c r="AE91" s="1">
        <f>VLOOKUP(AD91,Flags!$A$13:$B$95,2,FALSE)</f>
        <v>1</v>
      </c>
      <c r="AF91" s="43">
        <f t="shared" si="118"/>
        <v>395.80849238119833</v>
      </c>
      <c r="AG91" s="43">
        <f t="shared" si="119"/>
        <v>693.09303507150685</v>
      </c>
      <c r="AH91" s="43">
        <f t="shared" si="120"/>
        <v>0</v>
      </c>
      <c r="AI91" s="43">
        <f t="shared" si="121"/>
        <v>140.5918252840909</v>
      </c>
      <c r="AJ91" s="43">
        <f t="shared" si="122"/>
        <v>135.00084912512912</v>
      </c>
      <c r="AK91" s="43">
        <f t="shared" si="115"/>
        <v>0</v>
      </c>
      <c r="AL91" s="43">
        <f t="shared" si="123"/>
        <v>0</v>
      </c>
    </row>
    <row r="92" spans="1:38" x14ac:dyDescent="0.3">
      <c r="A92" s="32">
        <f>VLOOKUP(YEAR(C92),Flags!$A$13:$B$95,2,FALSE)</f>
        <v>4</v>
      </c>
      <c r="B92" s="24">
        <f t="shared" si="116"/>
        <v>1930</v>
      </c>
      <c r="C92" s="25">
        <v>11262</v>
      </c>
      <c r="D92" s="26"/>
      <c r="E92" s="24"/>
      <c r="F92" s="26"/>
      <c r="G92" s="26"/>
      <c r="H92" s="26"/>
      <c r="I92" s="26"/>
      <c r="J92" s="26"/>
      <c r="K92" s="26"/>
      <c r="L92" s="24"/>
      <c r="M92" s="24"/>
      <c r="N92" s="26"/>
      <c r="O92" s="26"/>
      <c r="P92" s="26"/>
      <c r="Q92" s="26"/>
      <c r="R92" s="26"/>
      <c r="S92" s="26"/>
      <c r="T92" s="26"/>
      <c r="U92" s="26"/>
      <c r="V92" s="26"/>
      <c r="W92" s="26">
        <f>MAX($C$9-VLOOKUP($C92,COS!$B$8:$H$991,3,FALSE),0)</f>
        <v>81.65087890625</v>
      </c>
      <c r="X92" s="26">
        <f t="shared" si="143"/>
        <v>5.0205168517561987</v>
      </c>
      <c r="Y92" s="26">
        <f>VLOOKUP($C92,COS!$B$8:$H$991,4,FALSE)</f>
        <v>1605.8980712890625</v>
      </c>
      <c r="Z92" s="26">
        <f t="shared" si="144"/>
        <v>98.742823556947315</v>
      </c>
      <c r="AA92" s="26">
        <f t="shared" si="140"/>
        <v>81.65087890625</v>
      </c>
      <c r="AB92" s="33">
        <f t="shared" si="141"/>
        <v>5.0205168517561987</v>
      </c>
      <c r="AD92" s="43">
        <v>2000</v>
      </c>
      <c r="AE92" s="1">
        <f>VLOOKUP(AD92,Flags!$A$13:$B$95,2,FALSE)</f>
        <v>2</v>
      </c>
      <c r="AF92" s="43">
        <f t="shared" si="118"/>
        <v>514.27096332644635</v>
      </c>
      <c r="AG92" s="43">
        <f t="shared" si="119"/>
        <v>676.36010551515687</v>
      </c>
      <c r="AH92" s="43">
        <f t="shared" si="120"/>
        <v>0</v>
      </c>
      <c r="AI92" s="43">
        <f t="shared" si="121"/>
        <v>78.068600206611578</v>
      </c>
      <c r="AJ92" s="43">
        <f t="shared" si="122"/>
        <v>180.63067758103045</v>
      </c>
      <c r="AK92" s="43">
        <f t="shared" si="115"/>
        <v>0</v>
      </c>
      <c r="AL92" s="43">
        <f t="shared" si="123"/>
        <v>0</v>
      </c>
    </row>
    <row r="93" spans="1:38" x14ac:dyDescent="0.3">
      <c r="A93" s="32">
        <f>VLOOKUP(YEAR(C93),Flags!$A$13:$B$95,2,FALSE)</f>
        <v>4</v>
      </c>
      <c r="B93" s="24">
        <f t="shared" si="116"/>
        <v>1930</v>
      </c>
      <c r="C93" s="25">
        <v>11292</v>
      </c>
      <c r="D93" s="26"/>
      <c r="E93" s="24"/>
      <c r="F93" s="26"/>
      <c r="G93" s="26"/>
      <c r="H93" s="26"/>
      <c r="I93" s="26"/>
      <c r="J93" s="26"/>
      <c r="K93" s="26"/>
      <c r="L93" s="24"/>
      <c r="M93" s="24"/>
      <c r="N93" s="26"/>
      <c r="O93" s="26"/>
      <c r="P93" s="26"/>
      <c r="Q93" s="26"/>
      <c r="R93" s="26"/>
      <c r="S93" s="26"/>
      <c r="T93" s="26"/>
      <c r="U93" s="26"/>
      <c r="V93" s="26"/>
      <c r="W93" s="26">
        <f>MAX($C$10-VLOOKUP($C93,COS!$B$8:$H$991,3,FALSE),0)</f>
        <v>1452.079833984375</v>
      </c>
      <c r="X93" s="26">
        <f t="shared" si="143"/>
        <v>86.404750451962812</v>
      </c>
      <c r="Y93" s="26">
        <f>VLOOKUP($C93,COS!$B$8:$H$991,4,FALSE)</f>
        <v>1772.532958984375</v>
      </c>
      <c r="Z93" s="26">
        <f t="shared" si="144"/>
        <v>105.47303557592976</v>
      </c>
      <c r="AA93" s="26">
        <f t="shared" si="140"/>
        <v>1452.079833984375</v>
      </c>
      <c r="AB93" s="33">
        <f t="shared" si="141"/>
        <v>86.404750451962812</v>
      </c>
      <c r="AD93" s="43">
        <v>2001</v>
      </c>
      <c r="AE93" s="1">
        <f>VLOOKUP(AD93,Flags!$A$13:$B$95,2,FALSE)</f>
        <v>4</v>
      </c>
      <c r="AF93" s="43">
        <f t="shared" si="118"/>
        <v>418.97775697314046</v>
      </c>
      <c r="AG93" s="43">
        <f t="shared" si="119"/>
        <v>629.78990330215333</v>
      </c>
      <c r="AH93" s="43">
        <f t="shared" si="120"/>
        <v>345.73311434659092</v>
      </c>
      <c r="AI93" s="43">
        <f t="shared" si="121"/>
        <v>404.22485214359506</v>
      </c>
      <c r="AJ93" s="43">
        <f t="shared" si="122"/>
        <v>436.66178630229854</v>
      </c>
      <c r="AK93" s="43">
        <f t="shared" si="115"/>
        <v>284.57847704674589</v>
      </c>
      <c r="AL93" s="43">
        <f t="shared" si="123"/>
        <v>284.57847704674589</v>
      </c>
    </row>
    <row r="94" spans="1:38" x14ac:dyDescent="0.3">
      <c r="A94" s="34">
        <f>VLOOKUP(YEAR(C94),Flags!$A$13:$B$95,2,FALSE)</f>
        <v>4</v>
      </c>
      <c r="B94" s="35">
        <f t="shared" si="116"/>
        <v>1930</v>
      </c>
      <c r="C94" s="36">
        <v>11323</v>
      </c>
      <c r="D94" s="37"/>
      <c r="E94" s="35"/>
      <c r="F94" s="37"/>
      <c r="G94" s="37"/>
      <c r="H94" s="37"/>
      <c r="I94" s="37"/>
      <c r="J94" s="37"/>
      <c r="K94" s="37"/>
      <c r="L94" s="35"/>
      <c r="M94" s="35"/>
      <c r="N94" s="37"/>
      <c r="O94" s="37"/>
      <c r="P94" s="37"/>
      <c r="Q94" s="37"/>
      <c r="R94" s="37"/>
      <c r="S94" s="37"/>
      <c r="T94" s="37"/>
      <c r="U94" s="37"/>
      <c r="V94" s="37"/>
      <c r="W94" s="37">
        <f>MAX($C$11-VLOOKUP($C94,COS!$B$8:$H$991,3,FALSE),0)</f>
        <v>1750</v>
      </c>
      <c r="X94" s="37">
        <f t="shared" si="143"/>
        <v>107.60330578512398</v>
      </c>
      <c r="Y94" s="37">
        <f>VLOOKUP($C94,COS!$B$8:$H$991,4,FALSE)</f>
        <v>1918.959716796875</v>
      </c>
      <c r="Z94" s="37">
        <f t="shared" si="144"/>
        <v>117.99223382618803</v>
      </c>
      <c r="AA94" s="37">
        <f t="shared" si="140"/>
        <v>1750</v>
      </c>
      <c r="AB94" s="38">
        <f t="shared" si="141"/>
        <v>107.60330578512398</v>
      </c>
      <c r="AD94" s="43">
        <v>2002</v>
      </c>
      <c r="AE94" s="1">
        <f>VLOOKUP(AD94,Flags!$A$13:$B$95,2,FALSE)</f>
        <v>4</v>
      </c>
      <c r="AF94" s="43">
        <f t="shared" si="118"/>
        <v>367.82716909865701</v>
      </c>
      <c r="AG94" s="43">
        <f t="shared" si="119"/>
        <v>683.04540938952732</v>
      </c>
      <c r="AH94" s="43">
        <f t="shared" si="120"/>
        <v>236.88286286157023</v>
      </c>
      <c r="AI94" s="43">
        <f t="shared" si="121"/>
        <v>307.25857438016527</v>
      </c>
      <c r="AJ94" s="43">
        <f t="shared" si="122"/>
        <v>314.62177201704543</v>
      </c>
      <c r="AK94" s="43">
        <f t="shared" si="115"/>
        <v>138.32404886040806</v>
      </c>
      <c r="AL94" s="43">
        <f t="shared" si="123"/>
        <v>138.32404886040806</v>
      </c>
    </row>
    <row r="95" spans="1:38" x14ac:dyDescent="0.3">
      <c r="A95" s="27">
        <f>VLOOKUP(YEAR(C95),Flags!$A$13:$B$95,2,FALSE)</f>
        <v>5</v>
      </c>
      <c r="B95" s="28">
        <f t="shared" si="116"/>
        <v>1931</v>
      </c>
      <c r="C95" s="29">
        <v>11443</v>
      </c>
      <c r="D95" s="30">
        <f>VLOOKUP($C95,COS!$B$8:$H$991,3,FALSE)</f>
        <v>6839.51904296875</v>
      </c>
      <c r="E95" s="28">
        <f>IF(D95&gt;=IF(MONTH($C95)=4,$C$3,IF(MONTH($C95)=5,$C$4,IF(MONTH($C95)=6,$C$5,IF(MONTH($C95)=7,$C$6,"ERROR")))),1,0)</f>
        <v>1</v>
      </c>
      <c r="F95" s="30">
        <f>VLOOKUP($C95,COS!$B$8:$H$991,7,FALSE)</f>
        <v>50.956645965576172</v>
      </c>
      <c r="G95" s="28">
        <f>IF(F95&lt;=IF(MONTH($C95)=4,$F$3,IF(MONTH($C95)=5,$F$4,IF(MONTH($C95)=6,$F$5,IF(MONTH($C95)=7,$F$6,"ERROR")))),1,0)</f>
        <v>1</v>
      </c>
      <c r="H95" s="30">
        <f>IF(J95=1,D95-$C$3,0)</f>
        <v>839.51904296875</v>
      </c>
      <c r="I95" s="30">
        <f t="shared" si="136"/>
        <v>49.954852143595041</v>
      </c>
      <c r="J95" s="28">
        <f t="shared" ref="J95:J98" si="145">IF(AND(E95=1,G95=1),1,0)</f>
        <v>1</v>
      </c>
      <c r="K95" s="30">
        <f>VLOOKUP($C95,COS!$B$8:$H$991,2,FALSE)</f>
        <v>1860.261474609375</v>
      </c>
      <c r="L95" s="28">
        <f t="shared" ref="L95" si="146">IF(K95&lt;=IF(MONTH($C95)=4,$I$3,IF(MONTH($C95)=5,$I$4,IF(MONTH($C95)=6,$I$5,IF(MONTH($C95)=7,$I$6,"ERROR")))),1,0)</f>
        <v>1</v>
      </c>
      <c r="M95" s="28">
        <f t="shared" ref="M95" si="147">VLOOKUP($A95,$L$3:$M$7,2,FALSE)</f>
        <v>1</v>
      </c>
      <c r="N95" s="30">
        <f>VLOOKUP($C95,COS!$B$8:$H$991,5,FALSE)</f>
        <v>166.208740234375</v>
      </c>
      <c r="O95" s="30">
        <f t="shared" ref="O95:O98" si="148">N95*DAY($C95)*86400/43560/1000</f>
        <v>9.8901068569214878</v>
      </c>
      <c r="P95" s="30">
        <f>VLOOKUP($C95,COS!$B$8:$H$991,6,FALSE)</f>
        <v>541.11907958984375</v>
      </c>
      <c r="Q95" s="30">
        <f t="shared" ref="Q95:Q98" si="149">P95*DAY($C95)*86400/43560/1000</f>
        <v>32.198821264850203</v>
      </c>
      <c r="R95" s="30">
        <f>MIN(IF(MONTH($C95)=4,$S$3,IF(MONTH($C95)=5,$S$4,IF(MONTH($C95)=6,$S$5,IF(MONTH($C95)=7,$S$6,"ERROR")))),MAX(VLOOKUP($C95,COS!$B$8:$K$991,10,FALSE)-IF(MONTH($C95)=4,$Y$3,IF(MONTH($C95)=5,$Y$4,IF(MONTH($C95)=6,$Y$5,IF(MONTH($C95)=7,$Y$6,"ERROR")))),0),MAX(VLOOKUP($C95,COS!$B$8:$K$991,9,FALSE)-IF(MONTH($C95)=4,$V$3,IF(MONTH($C95)=5,$V$4,IF(MONTH($C95)=6,$V$5,IF(MONTH($C95)=7,$V$6,"ERROR"))))-VLOOKUP($C95,COS!$B$8:$K$991,6,FALSE)/2,0))</f>
        <v>1500</v>
      </c>
      <c r="S95" s="30">
        <f t="shared" ref="S95:S98" si="150">R95*DAY($C95)*86400/43560/1000</f>
        <v>89.256198347107429</v>
      </c>
      <c r="T95" s="30">
        <f t="shared" ref="T95:T98" si="151">(O95+Q95)/2+S95</f>
        <v>110.30066240799327</v>
      </c>
      <c r="U95" s="30" t="str">
        <f>IF(VLOOKUP($C95,COS!$B$8:$I$991,8,FALSE)=1,"UWFE","IBU")</f>
        <v>IBU</v>
      </c>
      <c r="V95" s="30">
        <f t="shared" ref="V95" si="152">MIN(IF(IF($AA$3=2,AND(E95=1,G95=1,L95=1,L100=1,M95=1,U95="IBU"),AND(E95=1,G95=1,L95=1,L100=1,M95=1)),T95,0),I95)</f>
        <v>49.954852143595041</v>
      </c>
      <c r="W95" s="30"/>
      <c r="X95" s="30"/>
      <c r="Y95" s="30"/>
      <c r="Z95" s="30"/>
      <c r="AA95" s="30"/>
      <c r="AB95" s="31"/>
      <c r="AD95" s="6"/>
      <c r="AE95" s="6"/>
      <c r="AF95" s="6"/>
      <c r="AG95" s="6"/>
    </row>
    <row r="96" spans="1:38" x14ac:dyDescent="0.3">
      <c r="A96" s="32">
        <f>VLOOKUP(YEAR(C96),Flags!$A$13:$B$95,2,FALSE)</f>
        <v>5</v>
      </c>
      <c r="B96" s="24">
        <f t="shared" si="116"/>
        <v>1931</v>
      </c>
      <c r="C96" s="25">
        <v>11474</v>
      </c>
      <c r="D96" s="26">
        <f>VLOOKUP($C96,COS!$B$8:$H$991,3,FALSE)</f>
        <v>8021.2177734375</v>
      </c>
      <c r="E96" s="24">
        <f>IF(D96&gt;=IF(MONTH($C96)=4,$C$3,IF(MONTH($C96)=5,$C$4,IF(MONTH($C96)=6,$C$5,IF(MONTH($C96)=7,$C$6,"ERROR")))),1,0)</f>
        <v>1</v>
      </c>
      <c r="F96" s="26">
        <f>VLOOKUP($C96,COS!$B$8:$H$991,7,FALSE)</f>
        <v>54.440109252929688</v>
      </c>
      <c r="G96" s="24">
        <f>IF(F96&lt;=IF(MONTH($C96)=4,$F$3,IF(MONTH($C96)=5,$F$4,IF(MONTH($C96)=6,$F$5,IF(MONTH($C96)=7,$F$6,"ERROR")))),1,0)</f>
        <v>1</v>
      </c>
      <c r="H96" s="26">
        <f>IF(J96=1,D96-$C$4,0)</f>
        <v>2021.2177734375</v>
      </c>
      <c r="I96" s="26">
        <f t="shared" si="136"/>
        <v>124.27983664772728</v>
      </c>
      <c r="J96" s="24">
        <f t="shared" si="145"/>
        <v>1</v>
      </c>
      <c r="K96" s="26">
        <f>VLOOKUP($C96,COS!$B$8:$H$991,2,FALSE)</f>
        <v>1533.49609375</v>
      </c>
      <c r="L96" s="24">
        <f t="shared" si="129"/>
        <v>1</v>
      </c>
      <c r="M96" s="24">
        <f t="shared" si="130"/>
        <v>1</v>
      </c>
      <c r="N96" s="26">
        <f>VLOOKUP($C96,COS!$B$8:$H$991,5,FALSE)</f>
        <v>149.48806762695313</v>
      </c>
      <c r="O96" s="26">
        <f t="shared" si="148"/>
        <v>9.1916630011944722</v>
      </c>
      <c r="P96" s="26">
        <f>VLOOKUP($C96,COS!$B$8:$H$991,6,FALSE)</f>
        <v>2010.7308349609375</v>
      </c>
      <c r="Q96" s="26">
        <f t="shared" si="149"/>
        <v>123.63501993478823</v>
      </c>
      <c r="R96" s="26">
        <f>MIN(IF(MONTH($C96)=4,$S$3,IF(MONTH($C96)=5,$S$4,IF(MONTH($C96)=6,$S$5,IF(MONTH($C96)=7,$S$6,"ERROR")))),MAX(VLOOKUP($C96,COS!$B$8:$K$991,10,FALSE)-IF(MONTH($C96)=4,$Y$3,IF(MONTH($C96)=5,$Y$4,IF(MONTH($C96)=6,$Y$5,IF(MONTH($C96)=7,$Y$6,"ERROR")))),0),MAX(VLOOKUP($C96,COS!$B$8:$K$991,9,FALSE)-IF(MONTH($C96)=4,$V$3,IF(MONTH($C96)=5,$V$4,IF(MONTH($C96)=6,$V$5,IF(MONTH($C96)=7,$V$6,"ERROR"))))-VLOOKUP($C96,COS!$B$8:$K$991,6,FALSE)/2,0))</f>
        <v>1500</v>
      </c>
      <c r="S96" s="26">
        <f t="shared" si="150"/>
        <v>92.231404958677686</v>
      </c>
      <c r="T96" s="26">
        <f t="shared" si="151"/>
        <v>158.64474642666903</v>
      </c>
      <c r="U96" s="26" t="str">
        <f>IF(VLOOKUP($C96,COS!$B$8:$I$991,8,FALSE)=1,"UWFE","IBU")</f>
        <v>IBU</v>
      </c>
      <c r="V96" s="26">
        <f t="shared" ref="V96" si="153">MIN(IF(IF($AA$3=2,AND(E96=1,G96=1,L96=1,L100=1,M96=1,U96="IBU"),AND(E96=1,G96=1,L96=1,L100=1,M96=1)),T96,0),I96)</f>
        <v>124.27983664772728</v>
      </c>
      <c r="W96" s="26"/>
      <c r="X96" s="26"/>
      <c r="Y96" s="26"/>
      <c r="Z96" s="26"/>
      <c r="AA96" s="26"/>
      <c r="AB96" s="33"/>
    </row>
    <row r="97" spans="1:28" x14ac:dyDescent="0.3">
      <c r="A97" s="32">
        <f>VLOOKUP(YEAR(C97),Flags!$A$13:$B$95,2,FALSE)</f>
        <v>5</v>
      </c>
      <c r="B97" s="24">
        <f t="shared" si="116"/>
        <v>1931</v>
      </c>
      <c r="C97" s="25">
        <v>11504</v>
      </c>
      <c r="D97" s="26">
        <f>VLOOKUP($C97,COS!$B$8:$H$991,3,FALSE)</f>
        <v>8236.236328125</v>
      </c>
      <c r="E97" s="24">
        <f>IF(D97&gt;=IF(MONTH($C97)=4,$C$3,IF(MONTH($C97)=5,$C$4,IF(MONTH($C97)=6,$C$5,IF(MONTH($C97)=7,$C$6,"ERROR")))),1,0)</f>
        <v>0</v>
      </c>
      <c r="F97" s="26">
        <f>VLOOKUP($C97,COS!$B$8:$H$991,7,FALSE)</f>
        <v>53.915287017822266</v>
      </c>
      <c r="G97" s="24">
        <f>IF(F97&lt;=IF(MONTH($C97)=4,$F$3,IF(MONTH($C97)=5,$F$4,IF(MONTH($C97)=6,$F$5,IF(MONTH($C97)=7,$F$6,"ERROR")))),1,0)</f>
        <v>1</v>
      </c>
      <c r="H97" s="26">
        <f>IF(J97=1,D97-$C$5,0)</f>
        <v>0</v>
      </c>
      <c r="I97" s="26">
        <f t="shared" si="136"/>
        <v>0</v>
      </c>
      <c r="J97" s="24">
        <f t="shared" si="145"/>
        <v>0</v>
      </c>
      <c r="K97" s="26">
        <f>VLOOKUP($C97,COS!$B$8:$H$991,2,FALSE)</f>
        <v>1203.680419921875</v>
      </c>
      <c r="L97" s="24">
        <f t="shared" si="129"/>
        <v>1</v>
      </c>
      <c r="M97" s="24">
        <f t="shared" si="130"/>
        <v>1</v>
      </c>
      <c r="N97" s="26">
        <f>VLOOKUP($C97,COS!$B$8:$H$991,5,FALSE)</f>
        <v>183.68203735351563</v>
      </c>
      <c r="O97" s="26">
        <f t="shared" si="148"/>
        <v>10.929840239217459</v>
      </c>
      <c r="P97" s="26">
        <f>VLOOKUP($C97,COS!$B$8:$H$991,6,FALSE)</f>
        <v>2250.943115234375</v>
      </c>
      <c r="Q97" s="26">
        <f t="shared" si="149"/>
        <v>133.94041677427685</v>
      </c>
      <c r="R97" s="26">
        <f>MIN(IF(MONTH($C97)=4,$S$3,IF(MONTH($C97)=5,$S$4,IF(MONTH($C97)=6,$S$5,IF(MONTH($C97)=7,$S$6,"ERROR")))),MAX(VLOOKUP($C97,COS!$B$8:$K$991,10,FALSE)-IF(MONTH($C97)=4,$Y$3,IF(MONTH($C97)=5,$Y$4,IF(MONTH($C97)=6,$Y$5,IF(MONTH($C97)=7,$Y$6,"ERROR")))),0),MAX(VLOOKUP($C97,COS!$B$8:$K$991,9,FALSE)-IF(MONTH($C97)=4,$V$3,IF(MONTH($C97)=5,$V$4,IF(MONTH($C97)=6,$V$5,IF(MONTH($C97)=7,$V$6,"ERROR"))))-VLOOKUP($C97,COS!$B$8:$K$991,6,FALSE)/2,0))</f>
        <v>1500</v>
      </c>
      <c r="S97" s="26">
        <f t="shared" si="150"/>
        <v>89.256198347107429</v>
      </c>
      <c r="T97" s="26">
        <f t="shared" si="151"/>
        <v>161.6913268538546</v>
      </c>
      <c r="U97" s="26" t="str">
        <f>IF(VLOOKUP($C97,COS!$B$8:$I$991,8,FALSE)=1,"UWFE","IBU")</f>
        <v>IBU</v>
      </c>
      <c r="V97" s="26">
        <f t="shared" ref="V97" si="154">MIN(IF(IF($AA$3=2,AND(E97=1,G97=1,L97=1,L100=1,M97=1,U97="IBU"),AND(E97=1,G97=1,L97=1,L100=1,M97=1)),T97,0),I97)</f>
        <v>0</v>
      </c>
      <c r="W97" s="26"/>
      <c r="X97" s="26"/>
      <c r="Y97" s="26"/>
      <c r="Z97" s="26"/>
      <c r="AA97" s="26"/>
      <c r="AB97" s="33"/>
    </row>
    <row r="98" spans="1:28" x14ac:dyDescent="0.3">
      <c r="A98" s="32">
        <f>VLOOKUP(YEAR(C98),Flags!$A$13:$B$95,2,FALSE)</f>
        <v>5</v>
      </c>
      <c r="B98" s="24">
        <f t="shared" si="116"/>
        <v>1931</v>
      </c>
      <c r="C98" s="25">
        <v>11535</v>
      </c>
      <c r="D98" s="26">
        <f>VLOOKUP($C98,COS!$B$8:$H$991,3,FALSE)</f>
        <v>9719.40234375</v>
      </c>
      <c r="E98" s="24">
        <f>IF(D98&gt;=IF(MONTH($C98)=4,$C$3,IF(MONTH($C98)=5,$C$4,IF(MONTH($C98)=6,$C$5,IF(MONTH($C98)=7,$C$6,"ERROR")))),1,0)</f>
        <v>0</v>
      </c>
      <c r="F98" s="26">
        <f>VLOOKUP($C98,COS!$B$8:$H$991,7,FALSE)</f>
        <v>56.554588317871094</v>
      </c>
      <c r="G98" s="24">
        <f>IF(F98&lt;=IF(MONTH($C98)=4,$F$3,IF(MONTH($C98)=5,$F$4,IF(MONTH($C98)=6,$F$5,IF(MONTH($C98)=7,$F$6,"ERROR")))),1,0)</f>
        <v>0</v>
      </c>
      <c r="H98" s="26">
        <f>IF(J98=1,D98-$C$6,0)</f>
        <v>0</v>
      </c>
      <c r="I98" s="26">
        <f t="shared" si="136"/>
        <v>0</v>
      </c>
      <c r="J98" s="24">
        <f t="shared" si="145"/>
        <v>0</v>
      </c>
      <c r="K98" s="26">
        <f>VLOOKUP($C98,COS!$B$8:$H$991,2,FALSE)</f>
        <v>751.55364990234375</v>
      </c>
      <c r="L98" s="24">
        <f t="shared" si="129"/>
        <v>1</v>
      </c>
      <c r="M98" s="24">
        <f t="shared" si="130"/>
        <v>1</v>
      </c>
      <c r="N98" s="26">
        <f>VLOOKUP($C98,COS!$B$8:$H$991,5,FALSE)</f>
        <v>229.37615966796875</v>
      </c>
      <c r="O98" s="26">
        <f t="shared" si="148"/>
        <v>14.10379031346849</v>
      </c>
      <c r="P98" s="26">
        <f>VLOOKUP($C98,COS!$B$8:$H$991,6,FALSE)</f>
        <v>2281.4833984375</v>
      </c>
      <c r="Q98" s="26">
        <f t="shared" si="149"/>
        <v>140.28294615185951</v>
      </c>
      <c r="R98" s="26">
        <f>MIN(IF(MONTH($C98)=4,$S$3,IF(MONTH($C98)=5,$S$4,IF(MONTH($C98)=6,$S$5,IF(MONTH($C98)=7,$S$6,"ERROR")))),MAX(VLOOKUP($C98,COS!$B$8:$K$991,10,FALSE)-IF(MONTH($C98)=4,$Y$3,IF(MONTH($C98)=5,$Y$4,IF(MONTH($C98)=6,$Y$5,IF(MONTH($C98)=7,$Y$6,"ERROR")))),0),MAX(VLOOKUP($C98,COS!$B$8:$K$991,9,FALSE)-IF(MONTH($C98)=4,$V$3,IF(MONTH($C98)=5,$V$4,IF(MONTH($C98)=6,$V$5,IF(MONTH($C98)=7,$V$6,"ERROR"))))-VLOOKUP($C98,COS!$B$8:$K$991,6,FALSE)/2,0))</f>
        <v>1500</v>
      </c>
      <c r="S98" s="26">
        <f t="shared" si="150"/>
        <v>92.231404958677686</v>
      </c>
      <c r="T98" s="26">
        <f t="shared" si="151"/>
        <v>169.42477319134167</v>
      </c>
      <c r="U98" s="26" t="str">
        <f>IF(VLOOKUP($C98,COS!$B$8:$I$991,8,FALSE)=1,"UWFE","IBU")</f>
        <v>IBU</v>
      </c>
      <c r="V98" s="26">
        <f t="shared" ref="V98" si="155">MIN(IF(IF($AA$3=2,AND(E98=1,G98=1,L98=1,L100=1,M98=1,U98="IBU"),AND(E98=1,G98=1,L98=1,L100=1,M98=1)),T98,0),I98)</f>
        <v>0</v>
      </c>
      <c r="W98" s="26"/>
      <c r="X98" s="26"/>
      <c r="Y98" s="26"/>
      <c r="Z98" s="26"/>
      <c r="AA98" s="26"/>
      <c r="AB98" s="33"/>
    </row>
    <row r="99" spans="1:28" x14ac:dyDescent="0.3">
      <c r="A99" s="32">
        <f>VLOOKUP(YEAR(C99),Flags!$A$13:$B$95,2,FALSE)</f>
        <v>5</v>
      </c>
      <c r="B99" s="24">
        <f t="shared" si="116"/>
        <v>1931</v>
      </c>
      <c r="C99" s="25">
        <v>11566</v>
      </c>
      <c r="D99" s="26"/>
      <c r="E99" s="24"/>
      <c r="F99" s="26"/>
      <c r="G99" s="24"/>
      <c r="H99" s="24"/>
      <c r="I99" s="26"/>
      <c r="J99" s="24"/>
      <c r="K99" s="26"/>
      <c r="L99" s="24"/>
      <c r="M99" s="24"/>
      <c r="N99" s="26"/>
      <c r="O99" s="26"/>
      <c r="P99" s="26"/>
      <c r="Q99" s="26"/>
      <c r="R99" s="26"/>
      <c r="S99" s="26"/>
      <c r="T99" s="26"/>
      <c r="U99" s="26"/>
      <c r="V99" s="26"/>
      <c r="W99" s="26">
        <f>MAX($C$7-VLOOKUP($C99,COS!$B$8:$H$991,3,FALSE),0)</f>
        <v>4454.15478515625</v>
      </c>
      <c r="X99" s="26">
        <f t="shared" si="143"/>
        <v>273.8753024922521</v>
      </c>
      <c r="Y99" s="26">
        <f>VLOOKUP($C99,COS!$B$8:$H$991,4,FALSE)</f>
        <v>1954.847412109375</v>
      </c>
      <c r="Z99" s="26">
        <f t="shared" si="144"/>
        <v>120.1988821991219</v>
      </c>
      <c r="AA99" s="26">
        <f t="shared" ref="AA99:AA103" si="156">MIN(W99,Y99)</f>
        <v>1954.847412109375</v>
      </c>
      <c r="AB99" s="33">
        <f t="shared" ref="AB99" si="157">AA99*DAY($C99)*86400/43560/1000*IF(MONTH($C99)=8,$P$3,IF(MONTH($C99)=9,$P$4,IF(MONTH($C99)=10,$P$5,IF(MONTH($C99)=11,$P$6,IF(MONTH($C99)=12,$P$7,NA())))))</f>
        <v>120.1988821991219</v>
      </c>
    </row>
    <row r="100" spans="1:28" x14ac:dyDescent="0.3">
      <c r="A100" s="32">
        <f>VLOOKUP(YEAR(C100),Flags!$A$13:$B$95,2,FALSE)</f>
        <v>5</v>
      </c>
      <c r="B100" s="24">
        <f t="shared" si="116"/>
        <v>1931</v>
      </c>
      <c r="C100" s="25">
        <v>11596</v>
      </c>
      <c r="D100" s="26"/>
      <c r="E100" s="24"/>
      <c r="F100" s="26"/>
      <c r="G100" s="24"/>
      <c r="H100" s="24"/>
      <c r="I100" s="26"/>
      <c r="J100" s="24"/>
      <c r="K100" s="26">
        <f>VLOOKUP($C100,COS!$B$8:$H$991,2,FALSE)</f>
        <v>558.61627197265625</v>
      </c>
      <c r="L100" s="24">
        <f t="shared" ref="L100" si="158">IF(AND(K100&gt;$I$7,K100&lt;$I$8),1,0)</f>
        <v>1</v>
      </c>
      <c r="M100" s="24"/>
      <c r="N100" s="26"/>
      <c r="O100" s="26"/>
      <c r="P100" s="26"/>
      <c r="Q100" s="26"/>
      <c r="R100" s="26"/>
      <c r="S100" s="26"/>
      <c r="T100" s="26"/>
      <c r="U100" s="26"/>
      <c r="V100" s="26"/>
      <c r="W100" s="26">
        <f>MAX($C$8-VLOOKUP($C100,COS!$B$8:$H$991,3,FALSE),0)</f>
        <v>1635.48095703125</v>
      </c>
      <c r="X100" s="26">
        <f t="shared" si="143"/>
        <v>97.317875129132233</v>
      </c>
      <c r="Y100" s="26">
        <f>VLOOKUP($C100,COS!$B$8:$H$991,4,FALSE)</f>
        <v>2060.603515625</v>
      </c>
      <c r="Z100" s="26">
        <f t="shared" si="144"/>
        <v>122.61442407024794</v>
      </c>
      <c r="AA100" s="26">
        <f t="shared" si="156"/>
        <v>1635.48095703125</v>
      </c>
      <c r="AB100" s="33">
        <f t="shared" si="141"/>
        <v>97.317875129132233</v>
      </c>
    </row>
    <row r="101" spans="1:28" x14ac:dyDescent="0.3">
      <c r="A101" s="32">
        <f>VLOOKUP(YEAR(C101),Flags!$A$13:$B$95,2,FALSE)</f>
        <v>5</v>
      </c>
      <c r="B101" s="24">
        <f t="shared" si="116"/>
        <v>1931</v>
      </c>
      <c r="C101" s="25">
        <v>11627</v>
      </c>
      <c r="D101" s="26"/>
      <c r="E101" s="24"/>
      <c r="F101" s="26"/>
      <c r="G101" s="26"/>
      <c r="H101" s="26"/>
      <c r="I101" s="26"/>
      <c r="J101" s="26"/>
      <c r="K101" s="26"/>
      <c r="L101" s="24"/>
      <c r="M101" s="24"/>
      <c r="N101" s="26"/>
      <c r="O101" s="26"/>
      <c r="P101" s="26"/>
      <c r="Q101" s="26"/>
      <c r="R101" s="26"/>
      <c r="S101" s="26"/>
      <c r="T101" s="26"/>
      <c r="U101" s="26"/>
      <c r="V101" s="26"/>
      <c r="W101" s="26">
        <f>MAX($C$9-VLOOKUP($C101,COS!$B$8:$H$991,3,FALSE),0)</f>
        <v>357.61572265625</v>
      </c>
      <c r="X101" s="26">
        <f t="shared" si="143"/>
        <v>21.988933690599172</v>
      </c>
      <c r="Y101" s="26">
        <f>VLOOKUP($C101,COS!$B$8:$H$991,4,FALSE)</f>
        <v>1549.2154541015625</v>
      </c>
      <c r="Z101" s="26">
        <f t="shared" si="144"/>
        <v>95.257545276988637</v>
      </c>
      <c r="AA101" s="26">
        <f t="shared" si="156"/>
        <v>357.61572265625</v>
      </c>
      <c r="AB101" s="33">
        <f t="shared" si="141"/>
        <v>21.988933690599172</v>
      </c>
    </row>
    <row r="102" spans="1:28" x14ac:dyDescent="0.3">
      <c r="A102" s="32">
        <f>VLOOKUP(YEAR(C102),Flags!$A$13:$B$95,2,FALSE)</f>
        <v>5</v>
      </c>
      <c r="B102" s="24">
        <f t="shared" si="116"/>
        <v>1931</v>
      </c>
      <c r="C102" s="25">
        <v>11657</v>
      </c>
      <c r="D102" s="26"/>
      <c r="E102" s="24"/>
      <c r="F102" s="26"/>
      <c r="G102" s="26"/>
      <c r="H102" s="26"/>
      <c r="I102" s="26"/>
      <c r="J102" s="26"/>
      <c r="K102" s="26"/>
      <c r="L102" s="24"/>
      <c r="M102" s="24"/>
      <c r="N102" s="26"/>
      <c r="O102" s="26"/>
      <c r="P102" s="26"/>
      <c r="Q102" s="26"/>
      <c r="R102" s="26"/>
      <c r="S102" s="26"/>
      <c r="T102" s="26"/>
      <c r="U102" s="26"/>
      <c r="V102" s="26"/>
      <c r="W102" s="26">
        <f>MAX($C$10-VLOOKUP($C102,COS!$B$8:$H$991,3,FALSE),0)</f>
        <v>1803.866943359375</v>
      </c>
      <c r="X102" s="26">
        <f t="shared" si="143"/>
        <v>107.33753712551652</v>
      </c>
      <c r="Y102" s="26">
        <f>VLOOKUP($C102,COS!$B$8:$H$991,4,FALSE)</f>
        <v>1329.917724609375</v>
      </c>
      <c r="Z102" s="26">
        <f t="shared" si="144"/>
        <v>79.135600142045462</v>
      </c>
      <c r="AA102" s="26">
        <f t="shared" si="156"/>
        <v>1329.917724609375</v>
      </c>
      <c r="AB102" s="33">
        <f t="shared" si="141"/>
        <v>79.135600142045462</v>
      </c>
    </row>
    <row r="103" spans="1:28" x14ac:dyDescent="0.3">
      <c r="A103" s="34">
        <f>VLOOKUP(YEAR(C103),Flags!$A$13:$B$95,2,FALSE)</f>
        <v>5</v>
      </c>
      <c r="B103" s="35">
        <f t="shared" si="116"/>
        <v>1931</v>
      </c>
      <c r="C103" s="36">
        <v>11688</v>
      </c>
      <c r="D103" s="37"/>
      <c r="E103" s="35"/>
      <c r="F103" s="37"/>
      <c r="G103" s="37"/>
      <c r="H103" s="37"/>
      <c r="I103" s="37"/>
      <c r="J103" s="37"/>
      <c r="K103" s="37"/>
      <c r="L103" s="35"/>
      <c r="M103" s="35"/>
      <c r="N103" s="37"/>
      <c r="O103" s="37"/>
      <c r="P103" s="37"/>
      <c r="Q103" s="37"/>
      <c r="R103" s="37"/>
      <c r="S103" s="37"/>
      <c r="T103" s="37"/>
      <c r="U103" s="37"/>
      <c r="V103" s="37"/>
      <c r="W103" s="37">
        <f>MAX($C$11-VLOOKUP($C103,COS!$B$8:$H$991,3,FALSE),0)</f>
        <v>1750</v>
      </c>
      <c r="X103" s="37">
        <f t="shared" si="143"/>
        <v>107.60330578512398</v>
      </c>
      <c r="Y103" s="37">
        <f>VLOOKUP($C103,COS!$B$8:$H$991,4,FALSE)</f>
        <v>0</v>
      </c>
      <c r="Z103" s="37">
        <f t="shared" si="144"/>
        <v>0</v>
      </c>
      <c r="AA103" s="37">
        <f t="shared" si="156"/>
        <v>0</v>
      </c>
      <c r="AB103" s="38">
        <f t="shared" si="141"/>
        <v>0</v>
      </c>
    </row>
    <row r="104" spans="1:28" x14ac:dyDescent="0.3">
      <c r="A104" s="27">
        <f>VLOOKUP(YEAR(C104),Flags!$A$13:$B$95,2,FALSE)</f>
        <v>5</v>
      </c>
      <c r="B104" s="28">
        <f t="shared" si="116"/>
        <v>1932</v>
      </c>
      <c r="C104" s="29">
        <v>11809</v>
      </c>
      <c r="D104" s="30">
        <f>VLOOKUP($C104,COS!$B$8:$H$991,3,FALSE)</f>
        <v>3250</v>
      </c>
      <c r="E104" s="28">
        <f>IF(D104&gt;=IF(MONTH($C104)=4,$C$3,IF(MONTH($C104)=5,$C$4,IF(MONTH($C104)=6,$C$5,IF(MONTH($C104)=7,$C$6,"ERROR")))),1,0)</f>
        <v>0</v>
      </c>
      <c r="F104" s="30">
        <f>VLOOKUP($C104,COS!$B$8:$H$991,7,FALSE)</f>
        <v>49.347862243652344</v>
      </c>
      <c r="G104" s="28">
        <f>IF(F104&lt;=IF(MONTH($C104)=4,$F$3,IF(MONTH($C104)=5,$F$4,IF(MONTH($C104)=6,$F$5,IF(MONTH($C104)=7,$F$6,"ERROR")))),1,0)</f>
        <v>1</v>
      </c>
      <c r="H104" s="30">
        <f>IF(J104=1,D104-$C$3,0)</f>
        <v>0</v>
      </c>
      <c r="I104" s="30">
        <f t="shared" si="136"/>
        <v>0</v>
      </c>
      <c r="J104" s="28">
        <f t="shared" ref="J104:J107" si="159">IF(AND(E104=1,G104=1),1,0)</f>
        <v>0</v>
      </c>
      <c r="K104" s="30">
        <f>VLOOKUP($C104,COS!$B$8:$H$991,2,FALSE)</f>
        <v>1787.3011474609375</v>
      </c>
      <c r="L104" s="28">
        <f t="shared" ref="L104" si="160">IF(K104&lt;=IF(MONTH($C104)=4,$I$3,IF(MONTH($C104)=5,$I$4,IF(MONTH($C104)=6,$I$5,IF(MONTH($C104)=7,$I$6,"ERROR")))),1,0)</f>
        <v>1</v>
      </c>
      <c r="M104" s="28">
        <f t="shared" ref="M104" si="161">VLOOKUP($A104,$L$3:$M$7,2,FALSE)</f>
        <v>1</v>
      </c>
      <c r="N104" s="30">
        <f>VLOOKUP($C104,COS!$B$8:$H$991,5,FALSE)</f>
        <v>0</v>
      </c>
      <c r="O104" s="30">
        <f t="shared" ref="O104:O107" si="162">N104*DAY($C104)*86400/43560/1000</f>
        <v>0</v>
      </c>
      <c r="P104" s="30">
        <f>VLOOKUP($C104,COS!$B$8:$H$991,6,FALSE)</f>
        <v>527.22991943359375</v>
      </c>
      <c r="Q104" s="30">
        <f t="shared" ref="Q104:Q107" si="163">P104*DAY($C104)*86400/43560/1000</f>
        <v>31.372358842329543</v>
      </c>
      <c r="R104" s="30">
        <f>MIN(IF(MONTH($C104)=4,$S$3,IF(MONTH($C104)=5,$S$4,IF(MONTH($C104)=6,$S$5,IF(MONTH($C104)=7,$S$6,"ERROR")))),MAX(VLOOKUP($C104,COS!$B$8:$K$991,10,FALSE)-IF(MONTH($C104)=4,$Y$3,IF(MONTH($C104)=5,$Y$4,IF(MONTH($C104)=6,$Y$5,IF(MONTH($C104)=7,$Y$6,"ERROR")))),0),MAX(VLOOKUP($C104,COS!$B$8:$K$991,9,FALSE)-IF(MONTH($C104)=4,$V$3,IF(MONTH($C104)=5,$V$4,IF(MONTH($C104)=6,$V$5,IF(MONTH($C104)=7,$V$6,"ERROR"))))-VLOOKUP($C104,COS!$B$8:$K$991,6,FALSE)/2,0))</f>
        <v>1207.2068176269531</v>
      </c>
      <c r="S104" s="30">
        <f t="shared" ref="S104:S107" si="164">R104*DAY($C104)*86400/43560/1000</f>
        <v>71.83379410672778</v>
      </c>
      <c r="T104" s="30">
        <f t="shared" ref="T104:T107" si="165">(O104+Q104)/2+S104</f>
        <v>87.519973527892546</v>
      </c>
      <c r="U104" s="30" t="str">
        <f>IF(VLOOKUP($C104,COS!$B$8:$I$991,8,FALSE)=1,"UWFE","IBU")</f>
        <v>UWFE</v>
      </c>
      <c r="V104" s="30">
        <f t="shared" ref="V104" si="166">MIN(IF(IF($AA$3=2,AND(E104=1,G104=1,L104=1,L109=1,M104=1,U104="IBU"),AND(E104=1,G104=1,L104=1,L109=1,M104=1)),T104,0),I104)</f>
        <v>0</v>
      </c>
      <c r="W104" s="30"/>
      <c r="X104" s="30"/>
      <c r="Y104" s="30"/>
      <c r="Z104" s="30"/>
      <c r="AA104" s="30"/>
      <c r="AB104" s="31"/>
    </row>
    <row r="105" spans="1:28" x14ac:dyDescent="0.3">
      <c r="A105" s="32">
        <f>VLOOKUP(YEAR(C105),Flags!$A$13:$B$95,2,FALSE)</f>
        <v>5</v>
      </c>
      <c r="B105" s="24">
        <f t="shared" si="116"/>
        <v>1932</v>
      </c>
      <c r="C105" s="25">
        <v>11840</v>
      </c>
      <c r="D105" s="26">
        <f>VLOOKUP($C105,COS!$B$8:$H$991,3,FALSE)</f>
        <v>4951.02978515625</v>
      </c>
      <c r="E105" s="24">
        <f>IF(D105&gt;=IF(MONTH($C105)=4,$C$3,IF(MONTH($C105)=5,$C$4,IF(MONTH($C105)=6,$C$5,IF(MONTH($C105)=7,$C$6,"ERROR")))),1,0)</f>
        <v>0</v>
      </c>
      <c r="F105" s="26">
        <f>VLOOKUP($C105,COS!$B$8:$H$991,7,FALSE)</f>
        <v>51.659408569335938</v>
      </c>
      <c r="G105" s="24">
        <f>IF(F105&lt;=IF(MONTH($C105)=4,$F$3,IF(MONTH($C105)=5,$F$4,IF(MONTH($C105)=6,$F$5,IF(MONTH($C105)=7,$F$6,"ERROR")))),1,0)</f>
        <v>1</v>
      </c>
      <c r="H105" s="26">
        <f>IF(J105=1,D105-$C$4,0)</f>
        <v>0</v>
      </c>
      <c r="I105" s="26">
        <f t="shared" si="136"/>
        <v>0</v>
      </c>
      <c r="J105" s="24">
        <f t="shared" si="159"/>
        <v>0</v>
      </c>
      <c r="K105" s="26">
        <f>VLOOKUP($C105,COS!$B$8:$H$991,2,FALSE)</f>
        <v>1880.785400390625</v>
      </c>
      <c r="L105" s="24">
        <f t="shared" si="129"/>
        <v>1</v>
      </c>
      <c r="M105" s="24">
        <f t="shared" si="130"/>
        <v>1</v>
      </c>
      <c r="N105" s="26">
        <f>VLOOKUP($C105,COS!$B$8:$H$991,5,FALSE)</f>
        <v>0</v>
      </c>
      <c r="O105" s="26">
        <f t="shared" si="162"/>
        <v>0</v>
      </c>
      <c r="P105" s="26">
        <f>VLOOKUP($C105,COS!$B$8:$H$991,6,FALSE)</f>
        <v>2037.6466064453125</v>
      </c>
      <c r="Q105" s="26">
        <f t="shared" si="163"/>
        <v>125.29000621448863</v>
      </c>
      <c r="R105" s="26">
        <f>MIN(IF(MONTH($C105)=4,$S$3,IF(MONTH($C105)=5,$S$4,IF(MONTH($C105)=6,$S$5,IF(MONTH($C105)=7,$S$6,"ERROR")))),MAX(VLOOKUP($C105,COS!$B$8:$K$991,10,FALSE)-IF(MONTH($C105)=4,$Y$3,IF(MONTH($C105)=5,$Y$4,IF(MONTH($C105)=6,$Y$5,IF(MONTH($C105)=7,$Y$6,"ERROR")))),0),MAX(VLOOKUP($C105,COS!$B$8:$K$991,9,FALSE)-IF(MONTH($C105)=4,$V$3,IF(MONTH($C105)=5,$V$4,IF(MONTH($C105)=6,$V$5,IF(MONTH($C105)=7,$V$6,"ERROR"))))-VLOOKUP($C105,COS!$B$8:$K$991,6,FALSE)/2,0))</f>
        <v>1500</v>
      </c>
      <c r="S105" s="26">
        <f t="shared" si="164"/>
        <v>92.231404958677686</v>
      </c>
      <c r="T105" s="26">
        <f t="shared" si="165"/>
        <v>154.87640806592199</v>
      </c>
      <c r="U105" s="26" t="str">
        <f>IF(VLOOKUP($C105,COS!$B$8:$I$991,8,FALSE)=1,"UWFE","IBU")</f>
        <v>UWFE</v>
      </c>
      <c r="V105" s="26">
        <f t="shared" ref="V105" si="167">MIN(IF(IF($AA$3=2,AND(E105=1,G105=1,L105=1,L109=1,M105=1,U105="IBU"),AND(E105=1,G105=1,L105=1,L109=1,M105=1)),T105,0),I105)</f>
        <v>0</v>
      </c>
      <c r="W105" s="26"/>
      <c r="X105" s="26"/>
      <c r="Y105" s="26"/>
      <c r="Z105" s="26"/>
      <c r="AA105" s="26"/>
      <c r="AB105" s="33"/>
    </row>
    <row r="106" spans="1:28" x14ac:dyDescent="0.3">
      <c r="A106" s="32">
        <f>VLOOKUP(YEAR(C106),Flags!$A$13:$B$95,2,FALSE)</f>
        <v>5</v>
      </c>
      <c r="B106" s="24">
        <f t="shared" si="116"/>
        <v>1932</v>
      </c>
      <c r="C106" s="25">
        <v>11870</v>
      </c>
      <c r="D106" s="26">
        <f>VLOOKUP($C106,COS!$B$8:$H$991,3,FALSE)</f>
        <v>7197.30029296875</v>
      </c>
      <c r="E106" s="24">
        <f>IF(D106&gt;=IF(MONTH($C106)=4,$C$3,IF(MONTH($C106)=5,$C$4,IF(MONTH($C106)=6,$C$5,IF(MONTH($C106)=7,$C$6,"ERROR")))),1,0)</f>
        <v>0</v>
      </c>
      <c r="F106" s="26">
        <f>VLOOKUP($C106,COS!$B$8:$H$991,7,FALSE)</f>
        <v>54.089519500732422</v>
      </c>
      <c r="G106" s="24">
        <f>IF(F106&lt;=IF(MONTH($C106)=4,$F$3,IF(MONTH($C106)=5,$F$4,IF(MONTH($C106)=6,$F$5,IF(MONTH($C106)=7,$F$6,"ERROR")))),1,0)</f>
        <v>1</v>
      </c>
      <c r="H106" s="26">
        <f>IF(J106=1,D106-$C$5,0)</f>
        <v>0</v>
      </c>
      <c r="I106" s="26">
        <f t="shared" si="136"/>
        <v>0</v>
      </c>
      <c r="J106" s="24">
        <f t="shared" si="159"/>
        <v>0</v>
      </c>
      <c r="K106" s="26">
        <f>VLOOKUP($C106,COS!$B$8:$H$991,2,FALSE)</f>
        <v>1657.180419921875</v>
      </c>
      <c r="L106" s="24">
        <f t="shared" si="129"/>
        <v>1</v>
      </c>
      <c r="M106" s="24">
        <f t="shared" si="130"/>
        <v>1</v>
      </c>
      <c r="N106" s="26">
        <f>VLOOKUP($C106,COS!$B$8:$H$991,5,FALSE)</f>
        <v>0</v>
      </c>
      <c r="O106" s="26">
        <f t="shared" si="162"/>
        <v>0</v>
      </c>
      <c r="P106" s="26">
        <f>VLOOKUP($C106,COS!$B$8:$H$991,6,FALSE)</f>
        <v>2546.35791015625</v>
      </c>
      <c r="Q106" s="26">
        <f t="shared" si="163"/>
        <v>151.51881779442149</v>
      </c>
      <c r="R106" s="26">
        <f>MIN(IF(MONTH($C106)=4,$S$3,IF(MONTH($C106)=5,$S$4,IF(MONTH($C106)=6,$S$5,IF(MONTH($C106)=7,$S$6,"ERROR")))),MAX(VLOOKUP($C106,COS!$B$8:$K$991,10,FALSE)-IF(MONTH($C106)=4,$Y$3,IF(MONTH($C106)=5,$Y$4,IF(MONTH($C106)=6,$Y$5,IF(MONTH($C106)=7,$Y$6,"ERROR")))),0),MAX(VLOOKUP($C106,COS!$B$8:$K$991,9,FALSE)-IF(MONTH($C106)=4,$V$3,IF(MONTH($C106)=5,$V$4,IF(MONTH($C106)=6,$V$5,IF(MONTH($C106)=7,$V$6,"ERROR"))))-VLOOKUP($C106,COS!$B$8:$K$991,6,FALSE)/2,0))</f>
        <v>1500</v>
      </c>
      <c r="S106" s="26">
        <f t="shared" si="164"/>
        <v>89.256198347107429</v>
      </c>
      <c r="T106" s="26">
        <f t="shared" si="165"/>
        <v>165.01560724431818</v>
      </c>
      <c r="U106" s="26" t="str">
        <f>IF(VLOOKUP($C106,COS!$B$8:$I$991,8,FALSE)=1,"UWFE","IBU")</f>
        <v>IBU</v>
      </c>
      <c r="V106" s="26">
        <f t="shared" ref="V106" si="168">MIN(IF(IF($AA$3=2,AND(E106=1,G106=1,L106=1,L109=1,M106=1,U106="IBU"),AND(E106=1,G106=1,L106=1,L109=1,M106=1)),T106,0),I106)</f>
        <v>0</v>
      </c>
      <c r="W106" s="26"/>
      <c r="X106" s="26"/>
      <c r="Y106" s="26"/>
      <c r="Z106" s="26"/>
      <c r="AA106" s="26"/>
      <c r="AB106" s="33"/>
    </row>
    <row r="107" spans="1:28" x14ac:dyDescent="0.3">
      <c r="A107" s="32">
        <f>VLOOKUP(YEAR(C107),Flags!$A$13:$B$95,2,FALSE)</f>
        <v>5</v>
      </c>
      <c r="B107" s="24">
        <f t="shared" si="116"/>
        <v>1932</v>
      </c>
      <c r="C107" s="25">
        <v>11901</v>
      </c>
      <c r="D107" s="26">
        <f>VLOOKUP($C107,COS!$B$8:$H$991,3,FALSE)</f>
        <v>8582.53125</v>
      </c>
      <c r="E107" s="24">
        <f>IF(D107&gt;=IF(MONTH($C107)=4,$C$3,IF(MONTH($C107)=5,$C$4,IF(MONTH($C107)=6,$C$5,IF(MONTH($C107)=7,$C$6,"ERROR")))),1,0)</f>
        <v>0</v>
      </c>
      <c r="F107" s="26">
        <f>VLOOKUP($C107,COS!$B$8:$H$991,7,FALSE)</f>
        <v>55.753875732421875</v>
      </c>
      <c r="G107" s="24">
        <f>IF(F107&lt;=IF(MONTH($C107)=4,$F$3,IF(MONTH($C107)=5,$F$4,IF(MONTH($C107)=6,$F$5,IF(MONTH($C107)=7,$F$6,"ERROR")))),1,0)</f>
        <v>0</v>
      </c>
      <c r="H107" s="26">
        <f>IF(J107=1,D107-$C$6,0)</f>
        <v>0</v>
      </c>
      <c r="I107" s="26">
        <f t="shared" si="136"/>
        <v>0</v>
      </c>
      <c r="J107" s="24">
        <f t="shared" si="159"/>
        <v>0</v>
      </c>
      <c r="K107" s="26">
        <f>VLOOKUP($C107,COS!$B$8:$H$991,2,FALSE)</f>
        <v>1286.91845703125</v>
      </c>
      <c r="L107" s="24">
        <f t="shared" si="129"/>
        <v>1</v>
      </c>
      <c r="M107" s="24">
        <f t="shared" si="130"/>
        <v>1</v>
      </c>
      <c r="N107" s="26">
        <f>VLOOKUP($C107,COS!$B$8:$H$991,5,FALSE)</f>
        <v>0</v>
      </c>
      <c r="O107" s="26">
        <f t="shared" si="162"/>
        <v>0</v>
      </c>
      <c r="P107" s="26">
        <f>VLOOKUP($C107,COS!$B$8:$H$991,6,FALSE)</f>
        <v>2538.07568359375</v>
      </c>
      <c r="Q107" s="26">
        <f t="shared" si="163"/>
        <v>156.06019079287191</v>
      </c>
      <c r="R107" s="26">
        <f>MIN(IF(MONTH($C107)=4,$S$3,IF(MONTH($C107)=5,$S$4,IF(MONTH($C107)=6,$S$5,IF(MONTH($C107)=7,$S$6,"ERROR")))),MAX(VLOOKUP($C107,COS!$B$8:$K$991,10,FALSE)-IF(MONTH($C107)=4,$Y$3,IF(MONTH($C107)=5,$Y$4,IF(MONTH($C107)=6,$Y$5,IF(MONTH($C107)=7,$Y$6,"ERROR")))),0),MAX(VLOOKUP($C107,COS!$B$8:$K$991,9,FALSE)-IF(MONTH($C107)=4,$V$3,IF(MONTH($C107)=5,$V$4,IF(MONTH($C107)=6,$V$5,IF(MONTH($C107)=7,$V$6,"ERROR"))))-VLOOKUP($C107,COS!$B$8:$K$991,6,FALSE)/2,0))</f>
        <v>1500</v>
      </c>
      <c r="S107" s="26">
        <f t="shared" si="164"/>
        <v>92.231404958677686</v>
      </c>
      <c r="T107" s="26">
        <f t="shared" si="165"/>
        <v>170.26150035511364</v>
      </c>
      <c r="U107" s="26" t="str">
        <f>IF(VLOOKUP($C107,COS!$B$8:$I$991,8,FALSE)=1,"UWFE","IBU")</f>
        <v>IBU</v>
      </c>
      <c r="V107" s="26">
        <f t="shared" ref="V107" si="169">MIN(IF(IF($AA$3=2,AND(E107=1,G107=1,L107=1,L109=1,M107=1,U107="IBU"),AND(E107=1,G107=1,L107=1,L109=1,M107=1)),T107,0),I107)</f>
        <v>0</v>
      </c>
      <c r="W107" s="26"/>
      <c r="X107" s="26"/>
      <c r="Y107" s="26"/>
      <c r="Z107" s="26"/>
      <c r="AA107" s="26"/>
      <c r="AB107" s="33"/>
    </row>
    <row r="108" spans="1:28" x14ac:dyDescent="0.3">
      <c r="A108" s="32">
        <f>VLOOKUP(YEAR(C108),Flags!$A$13:$B$95,2,FALSE)</f>
        <v>5</v>
      </c>
      <c r="B108" s="24">
        <f t="shared" si="116"/>
        <v>1932</v>
      </c>
      <c r="C108" s="25">
        <v>11932</v>
      </c>
      <c r="D108" s="26"/>
      <c r="E108" s="24"/>
      <c r="F108" s="26"/>
      <c r="G108" s="24"/>
      <c r="H108" s="24"/>
      <c r="I108" s="26"/>
      <c r="J108" s="24"/>
      <c r="K108" s="26"/>
      <c r="L108" s="24"/>
      <c r="M108" s="24"/>
      <c r="N108" s="26"/>
      <c r="O108" s="26"/>
      <c r="P108" s="26"/>
      <c r="Q108" s="26"/>
      <c r="R108" s="26"/>
      <c r="S108" s="26"/>
      <c r="T108" s="26"/>
      <c r="U108" s="26"/>
      <c r="V108" s="26"/>
      <c r="W108" s="26">
        <f>MAX($C$7-VLOOKUP($C108,COS!$B$8:$H$991,3,FALSE),0)</f>
        <v>4727.396484375</v>
      </c>
      <c r="X108" s="26">
        <f t="shared" si="143"/>
        <v>290.6762797004132</v>
      </c>
      <c r="Y108" s="26">
        <f>VLOOKUP($C108,COS!$B$8:$H$991,4,FALSE)</f>
        <v>1881.437744140625</v>
      </c>
      <c r="Z108" s="26">
        <f t="shared" si="144"/>
        <v>115.68509765624999</v>
      </c>
      <c r="AA108" s="26">
        <f t="shared" ref="AA108:AA112" si="170">MIN(W108,Y108)</f>
        <v>1881.437744140625</v>
      </c>
      <c r="AB108" s="33">
        <f t="shared" ref="AB108" si="171">AA108*DAY($C108)*86400/43560/1000*IF(MONTH($C108)=8,$P$3,IF(MONTH($C108)=9,$P$4,IF(MONTH($C108)=10,$P$5,IF(MONTH($C108)=11,$P$6,IF(MONTH($C108)=12,$P$7,NA())))))</f>
        <v>115.68509765624999</v>
      </c>
    </row>
    <row r="109" spans="1:28" x14ac:dyDescent="0.3">
      <c r="A109" s="32">
        <f>VLOOKUP(YEAR(C109),Flags!$A$13:$B$95,2,FALSE)</f>
        <v>5</v>
      </c>
      <c r="B109" s="24">
        <f t="shared" si="116"/>
        <v>1932</v>
      </c>
      <c r="C109" s="25">
        <v>11962</v>
      </c>
      <c r="D109" s="26"/>
      <c r="E109" s="24"/>
      <c r="F109" s="26"/>
      <c r="G109" s="24"/>
      <c r="H109" s="24"/>
      <c r="I109" s="26"/>
      <c r="J109" s="24"/>
      <c r="K109" s="26">
        <f>VLOOKUP($C109,COS!$B$8:$H$991,2,FALSE)</f>
        <v>902.0557861328125</v>
      </c>
      <c r="L109" s="24">
        <f t="shared" ref="L109" si="172">IF(AND(K109&gt;$I$7,K109&lt;$I$8),1,0)</f>
        <v>1</v>
      </c>
      <c r="M109" s="24"/>
      <c r="N109" s="26"/>
      <c r="O109" s="26"/>
      <c r="P109" s="26"/>
      <c r="Q109" s="26"/>
      <c r="R109" s="26"/>
      <c r="S109" s="26"/>
      <c r="T109" s="26"/>
      <c r="U109" s="26"/>
      <c r="V109" s="26"/>
      <c r="W109" s="26">
        <f>MAX($C$8-VLOOKUP($C109,COS!$B$8:$H$991,3,FALSE),0)</f>
        <v>1769.7431640625</v>
      </c>
      <c r="X109" s="26">
        <f t="shared" si="143"/>
        <v>105.30703124999999</v>
      </c>
      <c r="Y109" s="26">
        <f>VLOOKUP($C109,COS!$B$8:$H$991,4,FALSE)</f>
        <v>909.056396484375</v>
      </c>
      <c r="Z109" s="26">
        <f t="shared" si="144"/>
        <v>54.092612022210744</v>
      </c>
      <c r="AA109" s="26">
        <f t="shared" si="170"/>
        <v>909.056396484375</v>
      </c>
      <c r="AB109" s="33">
        <f t="shared" si="141"/>
        <v>54.092612022210744</v>
      </c>
    </row>
    <row r="110" spans="1:28" x14ac:dyDescent="0.3">
      <c r="A110" s="32">
        <f>VLOOKUP(YEAR(C110),Flags!$A$13:$B$95,2,FALSE)</f>
        <v>5</v>
      </c>
      <c r="B110" s="24">
        <f t="shared" si="116"/>
        <v>1932</v>
      </c>
      <c r="C110" s="25">
        <v>11993</v>
      </c>
      <c r="D110" s="26"/>
      <c r="E110" s="24"/>
      <c r="F110" s="26"/>
      <c r="G110" s="26"/>
      <c r="H110" s="26"/>
      <c r="I110" s="26"/>
      <c r="J110" s="26"/>
      <c r="K110" s="26"/>
      <c r="L110" s="24"/>
      <c r="M110" s="24"/>
      <c r="N110" s="26"/>
      <c r="O110" s="26"/>
      <c r="P110" s="26"/>
      <c r="Q110" s="26"/>
      <c r="R110" s="26"/>
      <c r="S110" s="26"/>
      <c r="T110" s="26"/>
      <c r="U110" s="26"/>
      <c r="V110" s="26"/>
      <c r="W110" s="26">
        <f>MAX($C$9-VLOOKUP($C110,COS!$B$8:$H$991,3,FALSE),0)</f>
        <v>268.88623046875</v>
      </c>
      <c r="X110" s="26">
        <f t="shared" si="143"/>
        <v>16.533169873450415</v>
      </c>
      <c r="Y110" s="26">
        <f>VLOOKUP($C110,COS!$B$8:$H$991,4,FALSE)</f>
        <v>1075.1279296875</v>
      </c>
      <c r="Z110" s="26">
        <f t="shared" si="144"/>
        <v>66.107039643595044</v>
      </c>
      <c r="AA110" s="26">
        <f t="shared" si="170"/>
        <v>268.88623046875</v>
      </c>
      <c r="AB110" s="33">
        <f t="shared" si="141"/>
        <v>16.533169873450415</v>
      </c>
    </row>
    <row r="111" spans="1:28" x14ac:dyDescent="0.3">
      <c r="A111" s="32">
        <f>VLOOKUP(YEAR(C111),Flags!$A$13:$B$95,2,FALSE)</f>
        <v>5</v>
      </c>
      <c r="B111" s="24">
        <f t="shared" si="116"/>
        <v>1932</v>
      </c>
      <c r="C111" s="25">
        <v>12023</v>
      </c>
      <c r="D111" s="26"/>
      <c r="E111" s="24"/>
      <c r="F111" s="26"/>
      <c r="G111" s="26"/>
      <c r="H111" s="26"/>
      <c r="I111" s="26"/>
      <c r="J111" s="26"/>
      <c r="K111" s="26"/>
      <c r="L111" s="24"/>
      <c r="M111" s="24"/>
      <c r="N111" s="26"/>
      <c r="O111" s="26"/>
      <c r="P111" s="26"/>
      <c r="Q111" s="26"/>
      <c r="R111" s="26"/>
      <c r="S111" s="26"/>
      <c r="T111" s="26"/>
      <c r="U111" s="26"/>
      <c r="V111" s="26"/>
      <c r="W111" s="26">
        <f>MAX($C$10-VLOOKUP($C111,COS!$B$8:$H$991,3,FALSE),0)</f>
        <v>1397.837158203125</v>
      </c>
      <c r="X111" s="26">
        <f t="shared" si="143"/>
        <v>83.177087099690084</v>
      </c>
      <c r="Y111" s="26">
        <f>VLOOKUP($C111,COS!$B$8:$H$991,4,FALSE)</f>
        <v>1139.5615234375</v>
      </c>
      <c r="Z111" s="26">
        <f t="shared" si="144"/>
        <v>67.808619576446276</v>
      </c>
      <c r="AA111" s="26">
        <f t="shared" si="170"/>
        <v>1139.5615234375</v>
      </c>
      <c r="AB111" s="33">
        <f t="shared" si="141"/>
        <v>67.808619576446276</v>
      </c>
    </row>
    <row r="112" spans="1:28" x14ac:dyDescent="0.3">
      <c r="A112" s="34">
        <f>VLOOKUP(YEAR(C112),Flags!$A$13:$B$95,2,FALSE)</f>
        <v>5</v>
      </c>
      <c r="B112" s="35">
        <f t="shared" si="116"/>
        <v>1932</v>
      </c>
      <c r="C112" s="36">
        <v>12054</v>
      </c>
      <c r="D112" s="37"/>
      <c r="E112" s="35"/>
      <c r="F112" s="37"/>
      <c r="G112" s="37"/>
      <c r="H112" s="37"/>
      <c r="I112" s="37"/>
      <c r="J112" s="37"/>
      <c r="K112" s="37"/>
      <c r="L112" s="35"/>
      <c r="M112" s="35"/>
      <c r="N112" s="37"/>
      <c r="O112" s="37"/>
      <c r="P112" s="37"/>
      <c r="Q112" s="37"/>
      <c r="R112" s="37"/>
      <c r="S112" s="37"/>
      <c r="T112" s="37"/>
      <c r="U112" s="37"/>
      <c r="V112" s="37"/>
      <c r="W112" s="37">
        <f>MAX($C$11-VLOOKUP($C112,COS!$B$8:$H$991,3,FALSE),0)</f>
        <v>1750</v>
      </c>
      <c r="X112" s="37">
        <f t="shared" si="143"/>
        <v>107.60330578512398</v>
      </c>
      <c r="Y112" s="37">
        <f>VLOOKUP($C112,COS!$B$8:$H$991,4,FALSE)</f>
        <v>2675.63427734375</v>
      </c>
      <c r="Z112" s="37">
        <f t="shared" si="144"/>
        <v>164.51833903667355</v>
      </c>
      <c r="AA112" s="37">
        <f t="shared" si="170"/>
        <v>1750</v>
      </c>
      <c r="AB112" s="38">
        <f t="shared" si="141"/>
        <v>107.60330578512398</v>
      </c>
    </row>
    <row r="113" spans="1:28" x14ac:dyDescent="0.3">
      <c r="A113" s="27">
        <f>VLOOKUP(YEAR(C113),Flags!$A$13:$B$95,2,FALSE)</f>
        <v>5</v>
      </c>
      <c r="B113" s="28">
        <f t="shared" si="116"/>
        <v>1933</v>
      </c>
      <c r="C113" s="29">
        <v>12174</v>
      </c>
      <c r="D113" s="30">
        <f>VLOOKUP($C113,COS!$B$8:$H$991,3,FALSE)</f>
        <v>3250</v>
      </c>
      <c r="E113" s="28">
        <f>IF(D113&gt;=IF(MONTH($C113)=4,$C$3,IF(MONTH($C113)=5,$C$4,IF(MONTH($C113)=6,$C$5,IF(MONTH($C113)=7,$C$6,"ERROR")))),1,0)</f>
        <v>0</v>
      </c>
      <c r="F113" s="30">
        <f>VLOOKUP($C113,COS!$B$8:$H$991,7,FALSE)</f>
        <v>51.034336090087891</v>
      </c>
      <c r="G113" s="28">
        <f>IF(F113&lt;=IF(MONTH($C113)=4,$F$3,IF(MONTH($C113)=5,$F$4,IF(MONTH($C113)=6,$F$5,IF(MONTH($C113)=7,$F$6,"ERROR")))),1,0)</f>
        <v>1</v>
      </c>
      <c r="H113" s="30">
        <f>IF(J113=1,D113-$C$3,0)</f>
        <v>0</v>
      </c>
      <c r="I113" s="30">
        <f t="shared" si="136"/>
        <v>0</v>
      </c>
      <c r="J113" s="28">
        <f t="shared" ref="J113:J116" si="173">IF(AND(E113=1,G113=1),1,0)</f>
        <v>0</v>
      </c>
      <c r="K113" s="30">
        <f>VLOOKUP($C113,COS!$B$8:$H$991,2,FALSE)</f>
        <v>1716.4488525390625</v>
      </c>
      <c r="L113" s="28">
        <f t="shared" ref="L113" si="174">IF(K113&lt;=IF(MONTH($C113)=4,$I$3,IF(MONTH($C113)=5,$I$4,IF(MONTH($C113)=6,$I$5,IF(MONTH($C113)=7,$I$6,"ERROR")))),1,0)</f>
        <v>1</v>
      </c>
      <c r="M113" s="28">
        <f t="shared" ref="M113" si="175">VLOOKUP($A113,$L$3:$M$7,2,FALSE)</f>
        <v>1</v>
      </c>
      <c r="N113" s="30">
        <f>VLOOKUP($C113,COS!$B$8:$H$991,5,FALSE)</f>
        <v>180.99517822265625</v>
      </c>
      <c r="O113" s="30">
        <f t="shared" ref="O113:O116" si="176">N113*DAY($C113)*86400/43560/1000</f>
        <v>10.769961018207646</v>
      </c>
      <c r="P113" s="30">
        <f>VLOOKUP($C113,COS!$B$8:$H$991,6,FALSE)</f>
        <v>566.2322998046875</v>
      </c>
      <c r="Q113" s="30">
        <f t="shared" ref="Q113:Q116" si="177">P113*DAY($C113)*86400/43560/1000</f>
        <v>33.693161641270663</v>
      </c>
      <c r="R113" s="30">
        <f>MIN(IF(MONTH($C113)=4,$S$3,IF(MONTH($C113)=5,$S$4,IF(MONTH($C113)=6,$S$5,IF(MONTH($C113)=7,$S$6,"ERROR")))),MAX(VLOOKUP($C113,COS!$B$8:$K$991,10,FALSE)-IF(MONTH($C113)=4,$Y$3,IF(MONTH($C113)=5,$Y$4,IF(MONTH($C113)=6,$Y$5,IF(MONTH($C113)=7,$Y$6,"ERROR")))),0),MAX(VLOOKUP($C113,COS!$B$8:$K$991,9,FALSE)-IF(MONTH($C113)=4,$V$3,IF(MONTH($C113)=5,$V$4,IF(MONTH($C113)=6,$V$5,IF(MONTH($C113)=7,$V$6,"ERROR"))))-VLOOKUP($C113,COS!$B$8:$K$991,6,FALSE)/2,0))</f>
        <v>929.328125</v>
      </c>
      <c r="S113" s="30">
        <f t="shared" ref="S113:S116" si="178">R113*DAY($C113)*86400/43560/1000</f>
        <v>55.298863636363642</v>
      </c>
      <c r="T113" s="30">
        <f t="shared" ref="T113:T116" si="179">(O113+Q113)/2+S113</f>
        <v>77.5304249661028</v>
      </c>
      <c r="U113" s="30" t="str">
        <f>IF(VLOOKUP($C113,COS!$B$8:$I$991,8,FALSE)=1,"UWFE","IBU")</f>
        <v>UWFE</v>
      </c>
      <c r="V113" s="30">
        <f t="shared" ref="V113" si="180">MIN(IF(IF($AA$3=2,AND(E113=1,G113=1,L113=1,L118=1,M113=1,U113="IBU"),AND(E113=1,G113=1,L113=1,L118=1,M113=1)),T113,0),I113)</f>
        <v>0</v>
      </c>
      <c r="W113" s="30"/>
      <c r="X113" s="30"/>
      <c r="Y113" s="30"/>
      <c r="Z113" s="30"/>
      <c r="AA113" s="30"/>
      <c r="AB113" s="31"/>
    </row>
    <row r="114" spans="1:28" x14ac:dyDescent="0.3">
      <c r="A114" s="32">
        <f>VLOOKUP(YEAR(C114),Flags!$A$13:$B$95,2,FALSE)</f>
        <v>5</v>
      </c>
      <c r="B114" s="24">
        <f t="shared" si="116"/>
        <v>1933</v>
      </c>
      <c r="C114" s="25">
        <v>12205</v>
      </c>
      <c r="D114" s="26">
        <f>VLOOKUP($C114,COS!$B$8:$H$991,3,FALSE)</f>
        <v>6501.3232421875</v>
      </c>
      <c r="E114" s="24">
        <f>IF(D114&gt;=IF(MONTH($C114)=4,$C$3,IF(MONTH($C114)=5,$C$4,IF(MONTH($C114)=6,$C$5,IF(MONTH($C114)=7,$C$6,"ERROR")))),1,0)</f>
        <v>1</v>
      </c>
      <c r="F114" s="26">
        <f>VLOOKUP($C114,COS!$B$8:$H$991,7,FALSE)</f>
        <v>51.829986572265625</v>
      </c>
      <c r="G114" s="24">
        <f>IF(F114&lt;=IF(MONTH($C114)=4,$F$3,IF(MONTH($C114)=5,$F$4,IF(MONTH($C114)=6,$F$5,IF(MONTH($C114)=7,$F$6,"ERROR")))),1,0)</f>
        <v>1</v>
      </c>
      <c r="H114" s="26">
        <f>IF(J114=1,D114-$C$4,0)</f>
        <v>501.3232421875</v>
      </c>
      <c r="I114" s="26">
        <f t="shared" si="136"/>
        <v>30.825164643595041</v>
      </c>
      <c r="J114" s="24">
        <f t="shared" si="173"/>
        <v>1</v>
      </c>
      <c r="K114" s="26">
        <f>VLOOKUP($C114,COS!$B$8:$H$991,2,FALSE)</f>
        <v>1691.36767578125</v>
      </c>
      <c r="L114" s="24">
        <f t="shared" si="129"/>
        <v>1</v>
      </c>
      <c r="M114" s="24">
        <f t="shared" si="130"/>
        <v>1</v>
      </c>
      <c r="N114" s="26">
        <f>VLOOKUP($C114,COS!$B$8:$H$991,5,FALSE)</f>
        <v>170.30894470214844</v>
      </c>
      <c r="O114" s="26">
        <f t="shared" si="176"/>
        <v>10.471888831272597</v>
      </c>
      <c r="P114" s="26">
        <f>VLOOKUP($C114,COS!$B$8:$H$991,6,FALSE)</f>
        <v>2197.37890625</v>
      </c>
      <c r="Q114" s="26">
        <f t="shared" si="177"/>
        <v>135.11156249999999</v>
      </c>
      <c r="R114" s="26">
        <f>MIN(IF(MONTH($C114)=4,$S$3,IF(MONTH($C114)=5,$S$4,IF(MONTH($C114)=6,$S$5,IF(MONTH($C114)=7,$S$6,"ERROR")))),MAX(VLOOKUP($C114,COS!$B$8:$K$991,10,FALSE)-IF(MONTH($C114)=4,$Y$3,IF(MONTH($C114)=5,$Y$4,IF(MONTH($C114)=6,$Y$5,IF(MONTH($C114)=7,$Y$6,"ERROR")))),0),MAX(VLOOKUP($C114,COS!$B$8:$K$991,9,FALSE)-IF(MONTH($C114)=4,$V$3,IF(MONTH($C114)=5,$V$4,IF(MONTH($C114)=6,$V$5,IF(MONTH($C114)=7,$V$6,"ERROR"))))-VLOOKUP($C114,COS!$B$8:$K$991,6,FALSE)/2,0))</f>
        <v>1500</v>
      </c>
      <c r="S114" s="26">
        <f t="shared" si="178"/>
        <v>92.231404958677686</v>
      </c>
      <c r="T114" s="26">
        <f t="shared" si="179"/>
        <v>165.02313062431398</v>
      </c>
      <c r="U114" s="26" t="str">
        <f>IF(VLOOKUP($C114,COS!$B$8:$I$991,8,FALSE)=1,"UWFE","IBU")</f>
        <v>UWFE</v>
      </c>
      <c r="V114" s="26">
        <f t="shared" ref="V114" si="181">MIN(IF(IF($AA$3=2,AND(E114=1,G114=1,L114=1,L118=1,M114=1,U114="IBU"),AND(E114=1,G114=1,L114=1,L118=1,M114=1)),T114,0),I114)</f>
        <v>0</v>
      </c>
      <c r="W114" s="26"/>
      <c r="X114" s="26"/>
      <c r="Y114" s="26"/>
      <c r="Z114" s="26"/>
      <c r="AA114" s="26"/>
      <c r="AB114" s="33"/>
    </row>
    <row r="115" spans="1:28" x14ac:dyDescent="0.3">
      <c r="A115" s="32">
        <f>VLOOKUP(YEAR(C115),Flags!$A$13:$B$95,2,FALSE)</f>
        <v>5</v>
      </c>
      <c r="B115" s="24">
        <f t="shared" si="116"/>
        <v>1933</v>
      </c>
      <c r="C115" s="25">
        <v>12235</v>
      </c>
      <c r="D115" s="26">
        <f>VLOOKUP($C115,COS!$B$8:$H$991,3,FALSE)</f>
        <v>7378.09228515625</v>
      </c>
      <c r="E115" s="24">
        <f>IF(D115&gt;=IF(MONTH($C115)=4,$C$3,IF(MONTH($C115)=5,$C$4,IF(MONTH($C115)=6,$C$5,IF(MONTH($C115)=7,$C$6,"ERROR")))),1,0)</f>
        <v>0</v>
      </c>
      <c r="F115" s="26">
        <f>VLOOKUP($C115,COS!$B$8:$H$991,7,FALSE)</f>
        <v>54.679584503173828</v>
      </c>
      <c r="G115" s="24">
        <f>IF(F115&lt;=IF(MONTH($C115)=4,$F$3,IF(MONTH($C115)=5,$F$4,IF(MONTH($C115)=6,$F$5,IF(MONTH($C115)=7,$F$6,"ERROR")))),1,0)</f>
        <v>1</v>
      </c>
      <c r="H115" s="26">
        <f>IF(J115=1,D115-$C$5,0)</f>
        <v>0</v>
      </c>
      <c r="I115" s="26">
        <f t="shared" si="136"/>
        <v>0</v>
      </c>
      <c r="J115" s="24">
        <f t="shared" si="173"/>
        <v>0</v>
      </c>
      <c r="K115" s="26">
        <f>VLOOKUP($C115,COS!$B$8:$H$991,2,FALSE)</f>
        <v>1503.1099853515625</v>
      </c>
      <c r="L115" s="24">
        <f t="shared" si="129"/>
        <v>1</v>
      </c>
      <c r="M115" s="24">
        <f t="shared" si="130"/>
        <v>1</v>
      </c>
      <c r="N115" s="26">
        <f>VLOOKUP($C115,COS!$B$8:$H$991,5,FALSE)</f>
        <v>210.99021911621094</v>
      </c>
      <c r="O115" s="26">
        <f t="shared" si="176"/>
        <v>12.55478989782412</v>
      </c>
      <c r="P115" s="26">
        <f>VLOOKUP($C115,COS!$B$8:$H$991,6,FALSE)</f>
        <v>2481.931884765625</v>
      </c>
      <c r="Q115" s="26">
        <f t="shared" si="177"/>
        <v>147.68520306043388</v>
      </c>
      <c r="R115" s="26">
        <f>MIN(IF(MONTH($C115)=4,$S$3,IF(MONTH($C115)=5,$S$4,IF(MONTH($C115)=6,$S$5,IF(MONTH($C115)=7,$S$6,"ERROR")))),MAX(VLOOKUP($C115,COS!$B$8:$K$991,10,FALSE)-IF(MONTH($C115)=4,$Y$3,IF(MONTH($C115)=5,$Y$4,IF(MONTH($C115)=6,$Y$5,IF(MONTH($C115)=7,$Y$6,"ERROR")))),0),MAX(VLOOKUP($C115,COS!$B$8:$K$991,9,FALSE)-IF(MONTH($C115)=4,$V$3,IF(MONTH($C115)=5,$V$4,IF(MONTH($C115)=6,$V$5,IF(MONTH($C115)=7,$V$6,"ERROR"))))-VLOOKUP($C115,COS!$B$8:$K$991,6,FALSE)/2,0))</f>
        <v>1500</v>
      </c>
      <c r="S115" s="26">
        <f t="shared" si="178"/>
        <v>89.256198347107429</v>
      </c>
      <c r="T115" s="26">
        <f t="shared" si="179"/>
        <v>169.37619482623643</v>
      </c>
      <c r="U115" s="26" t="str">
        <f>IF(VLOOKUP($C115,COS!$B$8:$I$991,8,FALSE)=1,"UWFE","IBU")</f>
        <v>IBU</v>
      </c>
      <c r="V115" s="26">
        <f t="shared" ref="V115" si="182">MIN(IF(IF($AA$3=2,AND(E115=1,G115=1,L115=1,L118=1,M115=1,U115="IBU"),AND(E115=1,G115=1,L115=1,L118=1,M115=1)),T115,0),I115)</f>
        <v>0</v>
      </c>
      <c r="W115" s="26"/>
      <c r="X115" s="26"/>
      <c r="Y115" s="26"/>
      <c r="Z115" s="26"/>
      <c r="AA115" s="26"/>
      <c r="AB115" s="33"/>
    </row>
    <row r="116" spans="1:28" x14ac:dyDescent="0.3">
      <c r="A116" s="32">
        <f>VLOOKUP(YEAR(C116),Flags!$A$13:$B$95,2,FALSE)</f>
        <v>5</v>
      </c>
      <c r="B116" s="24">
        <f t="shared" si="116"/>
        <v>1933</v>
      </c>
      <c r="C116" s="25">
        <v>12266</v>
      </c>
      <c r="D116" s="26">
        <f>VLOOKUP($C116,COS!$B$8:$H$991,3,FALSE)</f>
        <v>10174.720703125</v>
      </c>
      <c r="E116" s="24">
        <f>IF(D116&gt;=IF(MONTH($C116)=4,$C$3,IF(MONTH($C116)=5,$C$4,IF(MONTH($C116)=6,$C$5,IF(MONTH($C116)=7,$C$6,"ERROR")))),1,0)</f>
        <v>0</v>
      </c>
      <c r="F116" s="26">
        <f>VLOOKUP($C116,COS!$B$8:$H$991,7,FALSE)</f>
        <v>55.866065979003906</v>
      </c>
      <c r="G116" s="24">
        <f>IF(F116&lt;=IF(MONTH($C116)=4,$F$3,IF(MONTH($C116)=5,$F$4,IF(MONTH($C116)=6,$F$5,IF(MONTH($C116)=7,$F$6,"ERROR")))),1,0)</f>
        <v>0</v>
      </c>
      <c r="H116" s="26">
        <f>IF(J116=1,D116-$C$6,0)</f>
        <v>0</v>
      </c>
      <c r="I116" s="26">
        <f t="shared" si="136"/>
        <v>0</v>
      </c>
      <c r="J116" s="24">
        <f t="shared" si="173"/>
        <v>0</v>
      </c>
      <c r="K116" s="26">
        <f>VLOOKUP($C116,COS!$B$8:$H$991,2,FALSE)</f>
        <v>1036.812744140625</v>
      </c>
      <c r="L116" s="24">
        <f t="shared" si="129"/>
        <v>1</v>
      </c>
      <c r="M116" s="24">
        <f t="shared" si="130"/>
        <v>1</v>
      </c>
      <c r="N116" s="26">
        <f>VLOOKUP($C116,COS!$B$8:$H$991,5,FALSE)</f>
        <v>230.72744750976563</v>
      </c>
      <c r="O116" s="26">
        <f t="shared" si="176"/>
        <v>14.186877764236828</v>
      </c>
      <c r="P116" s="26">
        <f>VLOOKUP($C116,COS!$B$8:$H$991,6,FALSE)</f>
        <v>2281.4833984375</v>
      </c>
      <c r="Q116" s="26">
        <f t="shared" si="177"/>
        <v>140.28294615185951</v>
      </c>
      <c r="R116" s="26">
        <f>MIN(IF(MONTH($C116)=4,$S$3,IF(MONTH($C116)=5,$S$4,IF(MONTH($C116)=6,$S$5,IF(MONTH($C116)=7,$S$6,"ERROR")))),MAX(VLOOKUP($C116,COS!$B$8:$K$991,10,FALSE)-IF(MONTH($C116)=4,$Y$3,IF(MONTH($C116)=5,$Y$4,IF(MONTH($C116)=6,$Y$5,IF(MONTH($C116)=7,$Y$6,"ERROR")))),0),MAX(VLOOKUP($C116,COS!$B$8:$K$991,9,FALSE)-IF(MONTH($C116)=4,$V$3,IF(MONTH($C116)=5,$V$4,IF(MONTH($C116)=6,$V$5,IF(MONTH($C116)=7,$V$6,"ERROR"))))-VLOOKUP($C116,COS!$B$8:$K$991,6,FALSE)/2,0))</f>
        <v>1500</v>
      </c>
      <c r="S116" s="26">
        <f t="shared" si="178"/>
        <v>92.231404958677686</v>
      </c>
      <c r="T116" s="26">
        <f t="shared" si="179"/>
        <v>169.46631691672587</v>
      </c>
      <c r="U116" s="26" t="str">
        <f>IF(VLOOKUP($C116,COS!$B$8:$I$991,8,FALSE)=1,"UWFE","IBU")</f>
        <v>IBU</v>
      </c>
      <c r="V116" s="26">
        <f t="shared" ref="V116" si="183">MIN(IF(IF($AA$3=2,AND(E116=1,G116=1,L116=1,L118=1,M116=1,U116="IBU"),AND(E116=1,G116=1,L116=1,L118=1,M116=1)),T116,0),I116)</f>
        <v>0</v>
      </c>
      <c r="W116" s="26"/>
      <c r="X116" s="26"/>
      <c r="Y116" s="26"/>
      <c r="Z116" s="26"/>
      <c r="AA116" s="26"/>
      <c r="AB116" s="33"/>
    </row>
    <row r="117" spans="1:28" x14ac:dyDescent="0.3">
      <c r="A117" s="32">
        <f>VLOOKUP(YEAR(C117),Flags!$A$13:$B$95,2,FALSE)</f>
        <v>5</v>
      </c>
      <c r="B117" s="24">
        <f t="shared" si="116"/>
        <v>1933</v>
      </c>
      <c r="C117" s="25">
        <v>12297</v>
      </c>
      <c r="D117" s="26"/>
      <c r="E117" s="24"/>
      <c r="F117" s="26"/>
      <c r="G117" s="24"/>
      <c r="H117" s="24"/>
      <c r="I117" s="26"/>
      <c r="J117" s="24"/>
      <c r="K117" s="26"/>
      <c r="L117" s="24"/>
      <c r="M117" s="24"/>
      <c r="N117" s="26"/>
      <c r="O117" s="26"/>
      <c r="P117" s="26"/>
      <c r="Q117" s="26"/>
      <c r="R117" s="26"/>
      <c r="S117" s="26"/>
      <c r="T117" s="26"/>
      <c r="U117" s="26"/>
      <c r="V117" s="26"/>
      <c r="W117" s="26">
        <f>MAX($C$7-VLOOKUP($C117,COS!$B$8:$H$991,3,FALSE),0)</f>
        <v>3961.78125</v>
      </c>
      <c r="X117" s="26">
        <f t="shared" si="143"/>
        <v>243.60043388429753</v>
      </c>
      <c r="Y117" s="26">
        <f>VLOOKUP($C117,COS!$B$8:$H$991,4,FALSE)</f>
        <v>1026.3896484375</v>
      </c>
      <c r="Z117" s="26">
        <f t="shared" si="144"/>
        <v>63.110239540289257</v>
      </c>
      <c r="AA117" s="26">
        <f t="shared" ref="AA117:AA121" si="184">MIN(W117,Y117)</f>
        <v>1026.3896484375</v>
      </c>
      <c r="AB117" s="33">
        <f t="shared" ref="AB117" si="185">AA117*DAY($C117)*86400/43560/1000*IF(MONTH($C117)=8,$P$3,IF(MONTH($C117)=9,$P$4,IF(MONTH($C117)=10,$P$5,IF(MONTH($C117)=11,$P$6,IF(MONTH($C117)=12,$P$7,NA())))))</f>
        <v>63.110239540289257</v>
      </c>
    </row>
    <row r="118" spans="1:28" x14ac:dyDescent="0.3">
      <c r="A118" s="32">
        <f>VLOOKUP(YEAR(C118),Flags!$A$13:$B$95,2,FALSE)</f>
        <v>5</v>
      </c>
      <c r="B118" s="24">
        <f t="shared" si="116"/>
        <v>1933</v>
      </c>
      <c r="C118" s="25">
        <v>12327</v>
      </c>
      <c r="D118" s="26"/>
      <c r="E118" s="24"/>
      <c r="F118" s="26"/>
      <c r="G118" s="24"/>
      <c r="H118" s="24"/>
      <c r="I118" s="26"/>
      <c r="J118" s="24"/>
      <c r="K118" s="26">
        <f>VLOOKUP($C118,COS!$B$8:$H$991,2,FALSE)</f>
        <v>614.1947021484375</v>
      </c>
      <c r="L118" s="24">
        <f t="shared" ref="L118" si="186">IF(AND(K118&gt;$I$7,K118&lt;$I$8),1,0)</f>
        <v>1</v>
      </c>
      <c r="M118" s="24"/>
      <c r="N118" s="26"/>
      <c r="O118" s="26"/>
      <c r="P118" s="26"/>
      <c r="Q118" s="26"/>
      <c r="R118" s="26"/>
      <c r="S118" s="26"/>
      <c r="T118" s="26"/>
      <c r="U118" s="26"/>
      <c r="V118" s="26"/>
      <c r="W118" s="26">
        <f>MAX($C$8-VLOOKUP($C118,COS!$B$8:$H$991,3,FALSE),0)</f>
        <v>1806.57763671875</v>
      </c>
      <c r="X118" s="26">
        <f t="shared" si="143"/>
        <v>107.49883458161158</v>
      </c>
      <c r="Y118" s="26">
        <f>VLOOKUP($C118,COS!$B$8:$H$991,4,FALSE)</f>
        <v>1631.19287109375</v>
      </c>
      <c r="Z118" s="26">
        <f t="shared" si="144"/>
        <v>97.062716296487608</v>
      </c>
      <c r="AA118" s="26">
        <f t="shared" si="184"/>
        <v>1631.19287109375</v>
      </c>
      <c r="AB118" s="33">
        <f t="shared" si="141"/>
        <v>97.062716296487608</v>
      </c>
    </row>
    <row r="119" spans="1:28" x14ac:dyDescent="0.3">
      <c r="A119" s="32">
        <f>VLOOKUP(YEAR(C119),Flags!$A$13:$B$95,2,FALSE)</f>
        <v>5</v>
      </c>
      <c r="B119" s="24">
        <f t="shared" si="116"/>
        <v>1933</v>
      </c>
      <c r="C119" s="25">
        <v>12358</v>
      </c>
      <c r="D119" s="26"/>
      <c r="E119" s="24"/>
      <c r="F119" s="26"/>
      <c r="G119" s="26"/>
      <c r="H119" s="26"/>
      <c r="I119" s="26"/>
      <c r="J119" s="26"/>
      <c r="K119" s="26"/>
      <c r="L119" s="24"/>
      <c r="M119" s="24"/>
      <c r="N119" s="26"/>
      <c r="O119" s="26"/>
      <c r="P119" s="26"/>
      <c r="Q119" s="26"/>
      <c r="R119" s="26"/>
      <c r="S119" s="26"/>
      <c r="T119" s="26"/>
      <c r="U119" s="26"/>
      <c r="V119" s="26"/>
      <c r="W119" s="26">
        <f>MAX($C$9-VLOOKUP($C119,COS!$B$8:$H$991,3,FALSE),0)</f>
        <v>687.974609375</v>
      </c>
      <c r="X119" s="26">
        <f t="shared" si="143"/>
        <v>42.301909865702484</v>
      </c>
      <c r="Y119" s="26">
        <f>VLOOKUP($C119,COS!$B$8:$H$991,4,FALSE)</f>
        <v>1357.4503173828125</v>
      </c>
      <c r="Z119" s="26">
        <f t="shared" si="144"/>
        <v>83.466366622546488</v>
      </c>
      <c r="AA119" s="26">
        <f t="shared" si="184"/>
        <v>687.974609375</v>
      </c>
      <c r="AB119" s="33">
        <f t="shared" si="141"/>
        <v>42.301909865702484</v>
      </c>
    </row>
    <row r="120" spans="1:28" x14ac:dyDescent="0.3">
      <c r="A120" s="32">
        <f>VLOOKUP(YEAR(C120),Flags!$A$13:$B$95,2,FALSE)</f>
        <v>5</v>
      </c>
      <c r="B120" s="24">
        <f t="shared" si="116"/>
        <v>1933</v>
      </c>
      <c r="C120" s="25">
        <v>12388</v>
      </c>
      <c r="D120" s="26"/>
      <c r="E120" s="24"/>
      <c r="F120" s="26"/>
      <c r="G120" s="26"/>
      <c r="H120" s="26"/>
      <c r="I120" s="26"/>
      <c r="J120" s="26"/>
      <c r="K120" s="26"/>
      <c r="L120" s="24"/>
      <c r="M120" s="24"/>
      <c r="N120" s="26"/>
      <c r="O120" s="26"/>
      <c r="P120" s="26"/>
      <c r="Q120" s="26"/>
      <c r="R120" s="26"/>
      <c r="S120" s="26"/>
      <c r="T120" s="26"/>
      <c r="U120" s="26"/>
      <c r="V120" s="26"/>
      <c r="W120" s="26">
        <f>MAX($C$10-VLOOKUP($C120,COS!$B$8:$H$991,3,FALSE),0)</f>
        <v>1750</v>
      </c>
      <c r="X120" s="26">
        <f t="shared" si="143"/>
        <v>104.13223140495867</v>
      </c>
      <c r="Y120" s="26">
        <f>VLOOKUP($C120,COS!$B$8:$H$991,4,FALSE)</f>
        <v>1382.873779296875</v>
      </c>
      <c r="Z120" s="26">
        <f t="shared" si="144"/>
        <v>82.286704222623968</v>
      </c>
      <c r="AA120" s="26">
        <f t="shared" si="184"/>
        <v>1382.873779296875</v>
      </c>
      <c r="AB120" s="33">
        <f t="shared" si="141"/>
        <v>82.286704222623968</v>
      </c>
    </row>
    <row r="121" spans="1:28" x14ac:dyDescent="0.3">
      <c r="A121" s="34">
        <f>VLOOKUP(YEAR(C121),Flags!$A$13:$B$95,2,FALSE)</f>
        <v>5</v>
      </c>
      <c r="B121" s="35">
        <f t="shared" si="116"/>
        <v>1933</v>
      </c>
      <c r="C121" s="36">
        <v>12419</v>
      </c>
      <c r="D121" s="37"/>
      <c r="E121" s="35"/>
      <c r="F121" s="37"/>
      <c r="G121" s="37"/>
      <c r="H121" s="37"/>
      <c r="I121" s="37"/>
      <c r="J121" s="37"/>
      <c r="K121" s="37"/>
      <c r="L121" s="35"/>
      <c r="M121" s="35"/>
      <c r="N121" s="37"/>
      <c r="O121" s="37"/>
      <c r="P121" s="37"/>
      <c r="Q121" s="37"/>
      <c r="R121" s="37"/>
      <c r="S121" s="37"/>
      <c r="T121" s="37"/>
      <c r="U121" s="37"/>
      <c r="V121" s="37"/>
      <c r="W121" s="37">
        <f>MAX($C$11-VLOOKUP($C121,COS!$B$8:$H$991,3,FALSE),0)</f>
        <v>1750</v>
      </c>
      <c r="X121" s="37">
        <f t="shared" si="143"/>
        <v>107.60330578512398</v>
      </c>
      <c r="Y121" s="37">
        <f>VLOOKUP($C121,COS!$B$8:$H$991,4,FALSE)</f>
        <v>632.6298828125</v>
      </c>
      <c r="Z121" s="37">
        <f t="shared" si="144"/>
        <v>38.898895273760331</v>
      </c>
      <c r="AA121" s="37">
        <f t="shared" si="184"/>
        <v>632.6298828125</v>
      </c>
      <c r="AB121" s="38">
        <f t="shared" si="141"/>
        <v>38.898895273760331</v>
      </c>
    </row>
    <row r="122" spans="1:28" x14ac:dyDescent="0.3">
      <c r="A122" s="27">
        <f>VLOOKUP(YEAR(C122),Flags!$A$13:$B$95,2,FALSE)</f>
        <v>5</v>
      </c>
      <c r="B122" s="28">
        <f t="shared" si="116"/>
        <v>1934</v>
      </c>
      <c r="C122" s="29">
        <v>12539</v>
      </c>
      <c r="D122" s="30">
        <f>VLOOKUP($C122,COS!$B$8:$H$991,3,FALSE)</f>
        <v>3250</v>
      </c>
      <c r="E122" s="28">
        <f>IF(D122&gt;=IF(MONTH($C122)=4,$C$3,IF(MONTH($C122)=5,$C$4,IF(MONTH($C122)=6,$C$5,IF(MONTH($C122)=7,$C$6,"ERROR")))),1,0)</f>
        <v>0</v>
      </c>
      <c r="F122" s="30">
        <f>VLOOKUP($C122,COS!$B$8:$H$991,7,FALSE)</f>
        <v>50.49676513671875</v>
      </c>
      <c r="G122" s="28">
        <f>IF(F122&lt;=IF(MONTH($C122)=4,$F$3,IF(MONTH($C122)=5,$F$4,IF(MONTH($C122)=6,$F$5,IF(MONTH($C122)=7,$F$6,"ERROR")))),1,0)</f>
        <v>1</v>
      </c>
      <c r="H122" s="30">
        <f>IF(J122=1,D122-$C$3,0)</f>
        <v>0</v>
      </c>
      <c r="I122" s="30">
        <f t="shared" si="136"/>
        <v>0</v>
      </c>
      <c r="J122" s="28">
        <f t="shared" ref="J122:J125" si="187">IF(AND(E122=1,G122=1),1,0)</f>
        <v>0</v>
      </c>
      <c r="K122" s="30">
        <f>VLOOKUP($C122,COS!$B$8:$H$991,2,FALSE)</f>
        <v>1640.1229248046875</v>
      </c>
      <c r="L122" s="28">
        <f t="shared" ref="L122" si="188">IF(K122&lt;=IF(MONTH($C122)=4,$I$3,IF(MONTH($C122)=5,$I$4,IF(MONTH($C122)=6,$I$5,IF(MONTH($C122)=7,$I$6,"ERROR")))),1,0)</f>
        <v>1</v>
      </c>
      <c r="M122" s="28">
        <f t="shared" ref="M122" si="189">VLOOKUP($A122,$L$3:$M$7,2,FALSE)</f>
        <v>1</v>
      </c>
      <c r="N122" s="30">
        <f>VLOOKUP($C122,COS!$B$8:$H$991,5,FALSE)</f>
        <v>162.71662902832031</v>
      </c>
      <c r="O122" s="30">
        <f t="shared" ref="O122:O125" si="190">N122*DAY($C122)*86400/43560/1000</f>
        <v>9.6823118099496384</v>
      </c>
      <c r="P122" s="30">
        <f>VLOOKUP($C122,COS!$B$8:$H$991,6,FALSE)</f>
        <v>521.53076171875</v>
      </c>
      <c r="Q122" s="30">
        <f t="shared" ref="Q122:Q125" si="191">P122*DAY($C122)*86400/43560/1000</f>
        <v>31.033235408057852</v>
      </c>
      <c r="R122" s="30">
        <f>MIN(IF(MONTH($C122)=4,$S$3,IF(MONTH($C122)=5,$S$4,IF(MONTH($C122)=6,$S$5,IF(MONTH($C122)=7,$S$6,"ERROR")))),MAX(VLOOKUP($C122,COS!$B$8:$K$991,10,FALSE)-IF(MONTH($C122)=4,$Y$3,IF(MONTH($C122)=5,$Y$4,IF(MONTH($C122)=6,$Y$5,IF(MONTH($C122)=7,$Y$6,"ERROR")))),0),MAX(VLOOKUP($C122,COS!$B$8:$K$991,9,FALSE)-IF(MONTH($C122)=4,$V$3,IF(MONTH($C122)=5,$V$4,IF(MONTH($C122)=6,$V$5,IF(MONTH($C122)=7,$V$6,"ERROR"))))-VLOOKUP($C122,COS!$B$8:$K$991,6,FALSE)/2,0))</f>
        <v>953.18115234375</v>
      </c>
      <c r="S122" s="30">
        <f t="shared" ref="S122:S125" si="192">R122*DAY($C122)*86400/43560/1000</f>
        <v>56.718217329545453</v>
      </c>
      <c r="T122" s="30">
        <f t="shared" ref="T122:T125" si="193">(O122+Q122)/2+S122</f>
        <v>77.075990938549197</v>
      </c>
      <c r="U122" s="30" t="str">
        <f>IF(VLOOKUP($C122,COS!$B$8:$I$991,8,FALSE)=1,"UWFE","IBU")</f>
        <v>UWFE</v>
      </c>
      <c r="V122" s="30">
        <f t="shared" ref="V122" si="194">MIN(IF(IF($AA$3=2,AND(E122=1,G122=1,L122=1,L127=1,M122=1,U122="IBU"),AND(E122=1,G122=1,L122=1,L127=1,M122=1)),T122,0),I122)</f>
        <v>0</v>
      </c>
      <c r="W122" s="30"/>
      <c r="X122" s="30"/>
      <c r="Y122" s="30"/>
      <c r="Z122" s="30"/>
      <c r="AA122" s="30"/>
      <c r="AB122" s="31"/>
    </row>
    <row r="123" spans="1:28" x14ac:dyDescent="0.3">
      <c r="A123" s="32">
        <f>VLOOKUP(YEAR(C123),Flags!$A$13:$B$95,2,FALSE)</f>
        <v>5</v>
      </c>
      <c r="B123" s="24">
        <f t="shared" si="116"/>
        <v>1934</v>
      </c>
      <c r="C123" s="25">
        <v>12570</v>
      </c>
      <c r="D123" s="26">
        <f>VLOOKUP($C123,COS!$B$8:$H$991,3,FALSE)</f>
        <v>6994.35986328125</v>
      </c>
      <c r="E123" s="24">
        <f>IF(D123&gt;=IF(MONTH($C123)=4,$C$3,IF(MONTH($C123)=5,$C$4,IF(MONTH($C123)=6,$C$5,IF(MONTH($C123)=7,$C$6,"ERROR")))),1,0)</f>
        <v>1</v>
      </c>
      <c r="F123" s="26">
        <f>VLOOKUP($C123,COS!$B$8:$H$991,7,FALSE)</f>
        <v>51.022247314453125</v>
      </c>
      <c r="G123" s="24">
        <f>IF(F123&lt;=IF(MONTH($C123)=4,$F$3,IF(MONTH($C123)=5,$F$4,IF(MONTH($C123)=6,$F$5,IF(MONTH($C123)=7,$F$6,"ERROR")))),1,0)</f>
        <v>1</v>
      </c>
      <c r="H123" s="26">
        <f>IF(J123=1,D123-$C$4,0)</f>
        <v>994.35986328125</v>
      </c>
      <c r="I123" s="26">
        <f t="shared" si="136"/>
        <v>61.140804816632233</v>
      </c>
      <c r="J123" s="24">
        <f t="shared" si="187"/>
        <v>1</v>
      </c>
      <c r="K123" s="26">
        <f>VLOOKUP($C123,COS!$B$8:$H$991,2,FALSE)</f>
        <v>1420.9012451171875</v>
      </c>
      <c r="L123" s="24">
        <f t="shared" si="129"/>
        <v>1</v>
      </c>
      <c r="M123" s="24">
        <f t="shared" si="130"/>
        <v>1</v>
      </c>
      <c r="N123" s="26">
        <f>VLOOKUP($C123,COS!$B$8:$H$991,5,FALSE)</f>
        <v>222.39739990234375</v>
      </c>
      <c r="O123" s="26">
        <f t="shared" si="190"/>
        <v>13.674683101433368</v>
      </c>
      <c r="P123" s="26">
        <f>VLOOKUP($C123,COS!$B$8:$H$991,6,FALSE)</f>
        <v>2243.647216796875</v>
      </c>
      <c r="Q123" s="26">
        <f t="shared" si="191"/>
        <v>137.95649002453513</v>
      </c>
      <c r="R123" s="26">
        <f>MIN(IF(MONTH($C123)=4,$S$3,IF(MONTH($C123)=5,$S$4,IF(MONTH($C123)=6,$S$5,IF(MONTH($C123)=7,$S$6,"ERROR")))),MAX(VLOOKUP($C123,COS!$B$8:$K$991,10,FALSE)-IF(MONTH($C123)=4,$Y$3,IF(MONTH($C123)=5,$Y$4,IF(MONTH($C123)=6,$Y$5,IF(MONTH($C123)=7,$Y$6,"ERROR")))),0),MAX(VLOOKUP($C123,COS!$B$8:$K$991,9,FALSE)-IF(MONTH($C123)=4,$V$3,IF(MONTH($C123)=5,$V$4,IF(MONTH($C123)=6,$V$5,IF(MONTH($C123)=7,$V$6,"ERROR"))))-VLOOKUP($C123,COS!$B$8:$K$991,6,FALSE)/2,0))</f>
        <v>1500</v>
      </c>
      <c r="S123" s="26">
        <f t="shared" si="192"/>
        <v>92.231404958677686</v>
      </c>
      <c r="T123" s="26">
        <f t="shared" si="193"/>
        <v>168.04699152166194</v>
      </c>
      <c r="U123" s="26" t="str">
        <f>IF(VLOOKUP($C123,COS!$B$8:$I$991,8,FALSE)=1,"UWFE","IBU")</f>
        <v>IBU</v>
      </c>
      <c r="V123" s="26">
        <f t="shared" ref="V123" si="195">MIN(IF(IF($AA$3=2,AND(E123=1,G123=1,L123=1,L127=1,M123=1,U123="IBU"),AND(E123=1,G123=1,L123=1,L127=1,M123=1)),T123,0),I123)</f>
        <v>61.140804816632233</v>
      </c>
      <c r="W123" s="26"/>
      <c r="X123" s="26"/>
      <c r="Y123" s="26"/>
      <c r="Z123" s="26"/>
      <c r="AA123" s="26"/>
      <c r="AB123" s="33"/>
    </row>
    <row r="124" spans="1:28" x14ac:dyDescent="0.3">
      <c r="A124" s="32">
        <f>VLOOKUP(YEAR(C124),Flags!$A$13:$B$95,2,FALSE)</f>
        <v>5</v>
      </c>
      <c r="B124" s="24">
        <f t="shared" si="116"/>
        <v>1934</v>
      </c>
      <c r="C124" s="25">
        <v>12600</v>
      </c>
      <c r="D124" s="26">
        <f>VLOOKUP($C124,COS!$B$8:$H$991,3,FALSE)</f>
        <v>8056.033203125</v>
      </c>
      <c r="E124" s="24">
        <f>IF(D124&gt;=IF(MONTH($C124)=4,$C$3,IF(MONTH($C124)=5,$C$4,IF(MONTH($C124)=6,$C$5,IF(MONTH($C124)=7,$C$6,"ERROR")))),1,0)</f>
        <v>0</v>
      </c>
      <c r="F124" s="26">
        <f>VLOOKUP($C124,COS!$B$8:$H$991,7,FALSE)</f>
        <v>54.752338409423828</v>
      </c>
      <c r="G124" s="24">
        <f>IF(F124&lt;=IF(MONTH($C124)=4,$F$3,IF(MONTH($C124)=5,$F$4,IF(MONTH($C124)=6,$F$5,IF(MONTH($C124)=7,$F$6,"ERROR")))),1,0)</f>
        <v>1</v>
      </c>
      <c r="H124" s="26">
        <f>IF(J124=1,D124-$C$5,0)</f>
        <v>0</v>
      </c>
      <c r="I124" s="26">
        <f t="shared" si="136"/>
        <v>0</v>
      </c>
      <c r="J124" s="24">
        <f t="shared" si="187"/>
        <v>0</v>
      </c>
      <c r="K124" s="26">
        <f>VLOOKUP($C124,COS!$B$8:$H$991,2,FALSE)</f>
        <v>1102.0863037109375</v>
      </c>
      <c r="L124" s="24">
        <f t="shared" si="129"/>
        <v>1</v>
      </c>
      <c r="M124" s="24">
        <f t="shared" si="130"/>
        <v>1</v>
      </c>
      <c r="N124" s="26">
        <f>VLOOKUP($C124,COS!$B$8:$H$991,5,FALSE)</f>
        <v>267.839599609375</v>
      </c>
      <c r="O124" s="26">
        <f t="shared" si="190"/>
        <v>15.937562951962809</v>
      </c>
      <c r="P124" s="26">
        <f>VLOOKUP($C124,COS!$B$8:$H$991,6,FALSE)</f>
        <v>2418.7939453125</v>
      </c>
      <c r="Q124" s="26">
        <f t="shared" si="191"/>
        <v>143.9282347623967</v>
      </c>
      <c r="R124" s="26">
        <f>MIN(IF(MONTH($C124)=4,$S$3,IF(MONTH($C124)=5,$S$4,IF(MONTH($C124)=6,$S$5,IF(MONTH($C124)=7,$S$6,"ERROR")))),MAX(VLOOKUP($C124,COS!$B$8:$K$991,10,FALSE)-IF(MONTH($C124)=4,$Y$3,IF(MONTH($C124)=5,$Y$4,IF(MONTH($C124)=6,$Y$5,IF(MONTH($C124)=7,$Y$6,"ERROR")))),0),MAX(VLOOKUP($C124,COS!$B$8:$K$991,9,FALSE)-IF(MONTH($C124)=4,$V$3,IF(MONTH($C124)=5,$V$4,IF(MONTH($C124)=6,$V$5,IF(MONTH($C124)=7,$V$6,"ERROR"))))-VLOOKUP($C124,COS!$B$8:$K$991,6,FALSE)/2,0))</f>
        <v>1500</v>
      </c>
      <c r="S124" s="26">
        <f t="shared" si="192"/>
        <v>89.256198347107429</v>
      </c>
      <c r="T124" s="26">
        <f t="shared" si="193"/>
        <v>169.18909720428718</v>
      </c>
      <c r="U124" s="26" t="str">
        <f>IF(VLOOKUP($C124,COS!$B$8:$I$991,8,FALSE)=1,"UWFE","IBU")</f>
        <v>IBU</v>
      </c>
      <c r="V124" s="26">
        <f t="shared" ref="V124" si="196">MIN(IF(IF($AA$3=2,AND(E124=1,G124=1,L124=1,L127=1,M124=1,U124="IBU"),AND(E124=1,G124=1,L124=1,L127=1,M124=1)),T124,0),I124)</f>
        <v>0</v>
      </c>
      <c r="W124" s="26"/>
      <c r="X124" s="26"/>
      <c r="Y124" s="26"/>
      <c r="Z124" s="26"/>
      <c r="AA124" s="26"/>
      <c r="AB124" s="33"/>
    </row>
    <row r="125" spans="1:28" x14ac:dyDescent="0.3">
      <c r="A125" s="32">
        <f>VLOOKUP(YEAR(C125),Flags!$A$13:$B$95,2,FALSE)</f>
        <v>5</v>
      </c>
      <c r="B125" s="24">
        <f t="shared" si="116"/>
        <v>1934</v>
      </c>
      <c r="C125" s="25">
        <v>12631</v>
      </c>
      <c r="D125" s="26">
        <f>VLOOKUP($C125,COS!$B$8:$H$991,3,FALSE)</f>
        <v>10945.8583984375</v>
      </c>
      <c r="E125" s="24">
        <f>IF(D125&gt;=IF(MONTH($C125)=4,$C$3,IF(MONTH($C125)=5,$C$4,IF(MONTH($C125)=6,$C$5,IF(MONTH($C125)=7,$C$6,"ERROR")))),1,0)</f>
        <v>0</v>
      </c>
      <c r="F125" s="26">
        <f>VLOOKUP($C125,COS!$B$8:$H$991,7,FALSE)</f>
        <v>56.054607391357422</v>
      </c>
      <c r="G125" s="24">
        <f>IF(F125&lt;=IF(MONTH($C125)=4,$F$3,IF(MONTH($C125)=5,$F$4,IF(MONTH($C125)=6,$F$5,IF(MONTH($C125)=7,$F$6,"ERROR")))),1,0)</f>
        <v>0</v>
      </c>
      <c r="H125" s="26">
        <f>IF(J125=1,D125-$C$6,0)</f>
        <v>0</v>
      </c>
      <c r="I125" s="26">
        <f t="shared" si="136"/>
        <v>0</v>
      </c>
      <c r="J125" s="24">
        <f t="shared" si="187"/>
        <v>0</v>
      </c>
      <c r="K125" s="26">
        <f>VLOOKUP($C125,COS!$B$8:$H$991,2,FALSE)</f>
        <v>650</v>
      </c>
      <c r="L125" s="24">
        <f t="shared" si="129"/>
        <v>1</v>
      </c>
      <c r="M125" s="24">
        <f t="shared" si="130"/>
        <v>1</v>
      </c>
      <c r="N125" s="26">
        <f>VLOOKUP($C125,COS!$B$8:$H$991,5,FALSE)</f>
        <v>306.08538818359375</v>
      </c>
      <c r="O125" s="26">
        <f t="shared" si="190"/>
        <v>18.820456926330063</v>
      </c>
      <c r="P125" s="26">
        <f>VLOOKUP($C125,COS!$B$8:$H$991,6,FALSE)</f>
        <v>2281.4833984375</v>
      </c>
      <c r="Q125" s="26">
        <f t="shared" si="191"/>
        <v>140.28294615185951</v>
      </c>
      <c r="R125" s="26">
        <f>MIN(IF(MONTH($C125)=4,$S$3,IF(MONTH($C125)=5,$S$4,IF(MONTH($C125)=6,$S$5,IF(MONTH($C125)=7,$S$6,"ERROR")))),MAX(VLOOKUP($C125,COS!$B$8:$K$991,10,FALSE)-IF(MONTH($C125)=4,$Y$3,IF(MONTH($C125)=5,$Y$4,IF(MONTH($C125)=6,$Y$5,IF(MONTH($C125)=7,$Y$6,"ERROR")))),0),MAX(VLOOKUP($C125,COS!$B$8:$K$991,9,FALSE)-IF(MONTH($C125)=4,$V$3,IF(MONTH($C125)=5,$V$4,IF(MONTH($C125)=6,$V$5,IF(MONTH($C125)=7,$V$6,"ERROR"))))-VLOOKUP($C125,COS!$B$8:$K$991,6,FALSE)/2,0))</f>
        <v>1500</v>
      </c>
      <c r="S125" s="26">
        <f t="shared" si="192"/>
        <v>92.231404958677686</v>
      </c>
      <c r="T125" s="26">
        <f t="shared" si="193"/>
        <v>171.78310649777245</v>
      </c>
      <c r="U125" s="26" t="str">
        <f>IF(VLOOKUP($C125,COS!$B$8:$I$991,8,FALSE)=1,"UWFE","IBU")</f>
        <v>IBU</v>
      </c>
      <c r="V125" s="26">
        <f t="shared" ref="V125" si="197">MIN(IF(IF($AA$3=2,AND(E125=1,G125=1,L125=1,L127=1,M125=1,U125="IBU"),AND(E125=1,G125=1,L125=1,L127=1,M125=1)),T125,0),I125)</f>
        <v>0</v>
      </c>
      <c r="W125" s="26"/>
      <c r="X125" s="26"/>
      <c r="Y125" s="26"/>
      <c r="Z125" s="26"/>
      <c r="AA125" s="26"/>
      <c r="AB125" s="33"/>
    </row>
    <row r="126" spans="1:28" x14ac:dyDescent="0.3">
      <c r="A126" s="32">
        <f>VLOOKUP(YEAR(C126),Flags!$A$13:$B$95,2,FALSE)</f>
        <v>5</v>
      </c>
      <c r="B126" s="24">
        <f t="shared" si="116"/>
        <v>1934</v>
      </c>
      <c r="C126" s="25">
        <v>12662</v>
      </c>
      <c r="D126" s="26"/>
      <c r="E126" s="24"/>
      <c r="F126" s="26"/>
      <c r="G126" s="24"/>
      <c r="H126" s="24"/>
      <c r="I126" s="26"/>
      <c r="J126" s="24"/>
      <c r="K126" s="26"/>
      <c r="L126" s="24"/>
      <c r="M126" s="24"/>
      <c r="N126" s="26"/>
      <c r="O126" s="26"/>
      <c r="P126" s="26"/>
      <c r="Q126" s="26"/>
      <c r="R126" s="26"/>
      <c r="S126" s="26"/>
      <c r="T126" s="26"/>
      <c r="U126" s="26"/>
      <c r="V126" s="26"/>
      <c r="W126" s="26">
        <f>MAX($C$7-VLOOKUP($C126,COS!$B$8:$H$991,3,FALSE),0)</f>
        <v>4825.48193359375</v>
      </c>
      <c r="X126" s="26">
        <f t="shared" si="143"/>
        <v>296.70731889204546</v>
      </c>
      <c r="Y126" s="26">
        <f>VLOOKUP($C126,COS!$B$8:$H$991,4,FALSE)</f>
        <v>3029.425537109375</v>
      </c>
      <c r="Z126" s="26">
        <f t="shared" si="144"/>
        <v>186.27211567019629</v>
      </c>
      <c r="AA126" s="26">
        <f t="shared" ref="AA126:AA130" si="198">MIN(W126,Y126)</f>
        <v>3029.425537109375</v>
      </c>
      <c r="AB126" s="33">
        <f t="shared" ref="AB126" si="199">AA126*DAY($C126)*86400/43560/1000*IF(MONTH($C126)=8,$P$3,IF(MONTH($C126)=9,$P$4,IF(MONTH($C126)=10,$P$5,IF(MONTH($C126)=11,$P$6,IF(MONTH($C126)=12,$P$7,NA())))))</f>
        <v>186.27211567019629</v>
      </c>
    </row>
    <row r="127" spans="1:28" x14ac:dyDescent="0.3">
      <c r="A127" s="32">
        <f>VLOOKUP(YEAR(C127),Flags!$A$13:$B$95,2,FALSE)</f>
        <v>5</v>
      </c>
      <c r="B127" s="24">
        <f t="shared" si="116"/>
        <v>1934</v>
      </c>
      <c r="C127" s="25">
        <v>12692</v>
      </c>
      <c r="D127" s="26"/>
      <c r="E127" s="24"/>
      <c r="F127" s="26"/>
      <c r="G127" s="24"/>
      <c r="H127" s="24"/>
      <c r="I127" s="26"/>
      <c r="J127" s="24"/>
      <c r="K127" s="26">
        <f>VLOOKUP($C127,COS!$B$8:$H$991,2,FALSE)</f>
        <v>550</v>
      </c>
      <c r="L127" s="24">
        <f t="shared" ref="L127" si="200">IF(AND(K127&gt;$I$7,K127&lt;$I$8),1,0)</f>
        <v>1</v>
      </c>
      <c r="M127" s="24"/>
      <c r="N127" s="26"/>
      <c r="O127" s="26"/>
      <c r="P127" s="26"/>
      <c r="Q127" s="26"/>
      <c r="R127" s="26"/>
      <c r="S127" s="26"/>
      <c r="T127" s="26"/>
      <c r="U127" s="26"/>
      <c r="V127" s="26"/>
      <c r="W127" s="26">
        <f>MAX($C$8-VLOOKUP($C127,COS!$B$8:$H$991,3,FALSE),0)</f>
        <v>2066.62744140625</v>
      </c>
      <c r="X127" s="26">
        <f t="shared" si="143"/>
        <v>122.97287254648761</v>
      </c>
      <c r="Y127" s="26">
        <f>VLOOKUP($C127,COS!$B$8:$H$991,4,FALSE)</f>
        <v>1900.230224609375</v>
      </c>
      <c r="Z127" s="26">
        <f t="shared" si="144"/>
        <v>113.07155055526859</v>
      </c>
      <c r="AA127" s="26">
        <f t="shared" si="198"/>
        <v>1900.230224609375</v>
      </c>
      <c r="AB127" s="33">
        <f t="shared" si="141"/>
        <v>113.07155055526859</v>
      </c>
    </row>
    <row r="128" spans="1:28" x14ac:dyDescent="0.3">
      <c r="A128" s="32">
        <f>VLOOKUP(YEAR(C128),Flags!$A$13:$B$95,2,FALSE)</f>
        <v>5</v>
      </c>
      <c r="B128" s="24">
        <f t="shared" si="116"/>
        <v>1934</v>
      </c>
      <c r="C128" s="25">
        <v>12723</v>
      </c>
      <c r="D128" s="26"/>
      <c r="E128" s="24"/>
      <c r="F128" s="26"/>
      <c r="G128" s="26"/>
      <c r="H128" s="26"/>
      <c r="I128" s="26"/>
      <c r="J128" s="26"/>
      <c r="K128" s="26"/>
      <c r="L128" s="24"/>
      <c r="M128" s="24"/>
      <c r="N128" s="26"/>
      <c r="O128" s="26"/>
      <c r="P128" s="26"/>
      <c r="Q128" s="26"/>
      <c r="R128" s="26"/>
      <c r="S128" s="26"/>
      <c r="T128" s="26"/>
      <c r="U128" s="26"/>
      <c r="V128" s="26"/>
      <c r="W128" s="26">
        <f>MAX($C$9-VLOOKUP($C128,COS!$B$8:$H$991,3,FALSE),0)</f>
        <v>2297.357666015625</v>
      </c>
      <c r="X128" s="26">
        <f t="shared" si="143"/>
        <v>141.25901681947315</v>
      </c>
      <c r="Y128" s="26">
        <f>VLOOKUP($C128,COS!$B$8:$H$991,4,FALSE)</f>
        <v>1445.2672119140625</v>
      </c>
      <c r="Z128" s="26">
        <f t="shared" si="144"/>
        <v>88.866016997029959</v>
      </c>
      <c r="AA128" s="26">
        <f t="shared" si="198"/>
        <v>1445.2672119140625</v>
      </c>
      <c r="AB128" s="33">
        <f t="shared" si="141"/>
        <v>88.866016997029959</v>
      </c>
    </row>
    <row r="129" spans="1:28" x14ac:dyDescent="0.3">
      <c r="A129" s="32">
        <f>VLOOKUP(YEAR(C129),Flags!$A$13:$B$95,2,FALSE)</f>
        <v>5</v>
      </c>
      <c r="B129" s="24">
        <f t="shared" si="116"/>
        <v>1934</v>
      </c>
      <c r="C129" s="25">
        <v>12753</v>
      </c>
      <c r="D129" s="26"/>
      <c r="E129" s="24"/>
      <c r="F129" s="26"/>
      <c r="G129" s="26"/>
      <c r="H129" s="26"/>
      <c r="I129" s="26"/>
      <c r="J129" s="26"/>
      <c r="K129" s="26"/>
      <c r="L129" s="24"/>
      <c r="M129" s="24"/>
      <c r="N129" s="26"/>
      <c r="O129" s="26"/>
      <c r="P129" s="26"/>
      <c r="Q129" s="26"/>
      <c r="R129" s="26"/>
      <c r="S129" s="26"/>
      <c r="T129" s="26"/>
      <c r="U129" s="26"/>
      <c r="V129" s="26"/>
      <c r="W129" s="26">
        <f>MAX($C$10-VLOOKUP($C129,COS!$B$8:$H$991,3,FALSE),0)</f>
        <v>1750</v>
      </c>
      <c r="X129" s="26">
        <f t="shared" si="143"/>
        <v>104.13223140495867</v>
      </c>
      <c r="Y129" s="26">
        <f>VLOOKUP($C129,COS!$B$8:$H$991,4,FALSE)</f>
        <v>2579.600341796875</v>
      </c>
      <c r="Z129" s="26">
        <f t="shared" si="144"/>
        <v>153.49687984245867</v>
      </c>
      <c r="AA129" s="26">
        <f t="shared" si="198"/>
        <v>1750</v>
      </c>
      <c r="AB129" s="33">
        <f t="shared" si="141"/>
        <v>104.13223140495867</v>
      </c>
    </row>
    <row r="130" spans="1:28" x14ac:dyDescent="0.3">
      <c r="A130" s="34">
        <f>VLOOKUP(YEAR(C130),Flags!$A$13:$B$95,2,FALSE)</f>
        <v>5</v>
      </c>
      <c r="B130" s="35">
        <f t="shared" si="116"/>
        <v>1934</v>
      </c>
      <c r="C130" s="36">
        <v>12784</v>
      </c>
      <c r="D130" s="37"/>
      <c r="E130" s="35"/>
      <c r="F130" s="37"/>
      <c r="G130" s="37"/>
      <c r="H130" s="37"/>
      <c r="I130" s="37"/>
      <c r="J130" s="37"/>
      <c r="K130" s="37"/>
      <c r="L130" s="35"/>
      <c r="M130" s="35"/>
      <c r="N130" s="37"/>
      <c r="O130" s="37"/>
      <c r="P130" s="37"/>
      <c r="Q130" s="37"/>
      <c r="R130" s="37"/>
      <c r="S130" s="37"/>
      <c r="T130" s="37"/>
      <c r="U130" s="37"/>
      <c r="V130" s="37"/>
      <c r="W130" s="37">
        <f>MAX($C$11-VLOOKUP($C130,COS!$B$8:$H$991,3,FALSE),0)</f>
        <v>1750</v>
      </c>
      <c r="X130" s="37">
        <f t="shared" si="143"/>
        <v>107.60330578512398</v>
      </c>
      <c r="Y130" s="37">
        <f>VLOOKUP($C130,COS!$B$8:$H$991,4,FALSE)</f>
        <v>0</v>
      </c>
      <c r="Z130" s="37">
        <f t="shared" si="144"/>
        <v>0</v>
      </c>
      <c r="AA130" s="37">
        <f t="shared" si="198"/>
        <v>0</v>
      </c>
      <c r="AB130" s="38">
        <f t="shared" si="141"/>
        <v>0</v>
      </c>
    </row>
    <row r="131" spans="1:28" x14ac:dyDescent="0.3">
      <c r="A131" s="27">
        <f>VLOOKUP(YEAR(C131),Flags!$A$13:$B$95,2,FALSE)</f>
        <v>4</v>
      </c>
      <c r="B131" s="28">
        <f t="shared" si="116"/>
        <v>1935</v>
      </c>
      <c r="C131" s="29">
        <v>12904</v>
      </c>
      <c r="D131" s="30">
        <f>VLOOKUP($C131,COS!$B$8:$H$991,3,FALSE)</f>
        <v>3250</v>
      </c>
      <c r="E131" s="28">
        <f>IF(D131&gt;=IF(MONTH($C131)=4,$C$3,IF(MONTH($C131)=5,$C$4,IF(MONTH($C131)=6,$C$5,IF(MONTH($C131)=7,$C$6,"ERROR")))),1,0)</f>
        <v>0</v>
      </c>
      <c r="F131" s="30">
        <f>VLOOKUP($C131,COS!$B$8:$H$991,7,FALSE)</f>
        <v>49.358055114746094</v>
      </c>
      <c r="G131" s="28">
        <f>IF(F131&lt;=IF(MONTH($C131)=4,$F$3,IF(MONTH($C131)=5,$F$4,IF(MONTH($C131)=6,$F$5,IF(MONTH($C131)=7,$F$6,"ERROR")))),1,0)</f>
        <v>1</v>
      </c>
      <c r="H131" s="30">
        <f>IF(J131=1,D131-$C$3,0)</f>
        <v>0</v>
      </c>
      <c r="I131" s="30">
        <f t="shared" si="136"/>
        <v>0</v>
      </c>
      <c r="J131" s="28">
        <f t="shared" ref="J131:J134" si="201">IF(AND(E131=1,G131=1),1,0)</f>
        <v>0</v>
      </c>
      <c r="K131" s="30">
        <f>VLOOKUP($C131,COS!$B$8:$H$991,2,FALSE)</f>
        <v>2701.329833984375</v>
      </c>
      <c r="L131" s="28">
        <f t="shared" ref="L131" si="202">IF(K131&lt;=IF(MONTH($C131)=4,$I$3,IF(MONTH($C131)=5,$I$4,IF(MONTH($C131)=6,$I$5,IF(MONTH($C131)=7,$I$6,"ERROR")))),1,0)</f>
        <v>1</v>
      </c>
      <c r="M131" s="28">
        <f t="shared" ref="M131" si="203">VLOOKUP($A131,$L$3:$M$7,2,FALSE)</f>
        <v>1</v>
      </c>
      <c r="N131" s="30">
        <f>VLOOKUP($C131,COS!$B$8:$H$991,5,FALSE)</f>
        <v>1.3366308212280273</v>
      </c>
      <c r="O131" s="30">
        <f t="shared" ref="O131:O134" si="204">N131*DAY($C131)*86400/43560/1000</f>
        <v>7.9535057130923945E-2</v>
      </c>
      <c r="P131" s="30">
        <f>VLOOKUP($C131,COS!$B$8:$H$991,6,FALSE)</f>
        <v>295.18359375</v>
      </c>
      <c r="Q131" s="30">
        <f t="shared" ref="Q131:Q134" si="205">P131*DAY($C131)*86400/43560/1000</f>
        <v>17.564643595041321</v>
      </c>
      <c r="R131" s="30">
        <f>MIN(IF(MONTH($C131)=4,$S$3,IF(MONTH($C131)=5,$S$4,IF(MONTH($C131)=6,$S$5,IF(MONTH($C131)=7,$S$6,"ERROR")))),MAX(VLOOKUP($C131,COS!$B$8:$K$991,10,FALSE)-IF(MONTH($C131)=4,$Y$3,IF(MONTH($C131)=5,$Y$4,IF(MONTH($C131)=6,$Y$5,IF(MONTH($C131)=7,$Y$6,"ERROR")))),0),MAX(VLOOKUP($C131,COS!$B$8:$K$991,9,FALSE)-IF(MONTH($C131)=4,$V$3,IF(MONTH($C131)=5,$V$4,IF(MONTH($C131)=6,$V$5,IF(MONTH($C131)=7,$V$6,"ERROR"))))-VLOOKUP($C131,COS!$B$8:$K$991,6,FALSE)/2,0))</f>
        <v>1500</v>
      </c>
      <c r="S131" s="30">
        <f t="shared" ref="S131:S134" si="206">R131*DAY($C131)*86400/43560/1000</f>
        <v>89.256198347107429</v>
      </c>
      <c r="T131" s="30">
        <f t="shared" ref="T131:T134" si="207">(O131+Q131)/2+S131</f>
        <v>98.078287673193557</v>
      </c>
      <c r="U131" s="30" t="str">
        <f>IF(VLOOKUP($C131,COS!$B$8:$I$991,8,FALSE)=1,"UWFE","IBU")</f>
        <v>UWFE</v>
      </c>
      <c r="V131" s="30">
        <f t="shared" ref="V131" si="208">MIN(IF(IF($AA$3=2,AND(E131=1,G131=1,L131=1,L136=1,M131=1,U131="IBU"),AND(E131=1,G131=1,L131=1,L136=1,M131=1)),T131,0),I131)</f>
        <v>0</v>
      </c>
      <c r="W131" s="30"/>
      <c r="X131" s="30"/>
      <c r="Y131" s="30"/>
      <c r="Z131" s="30"/>
      <c r="AA131" s="30"/>
      <c r="AB131" s="31"/>
    </row>
    <row r="132" spans="1:28" x14ac:dyDescent="0.3">
      <c r="A132" s="32">
        <f>VLOOKUP(YEAR(C132),Flags!$A$13:$B$95,2,FALSE)</f>
        <v>4</v>
      </c>
      <c r="B132" s="24">
        <f t="shared" si="116"/>
        <v>1935</v>
      </c>
      <c r="C132" s="25">
        <v>12935</v>
      </c>
      <c r="D132" s="26">
        <f>VLOOKUP($C132,COS!$B$8:$H$991,3,FALSE)</f>
        <v>3785.33349609375</v>
      </c>
      <c r="E132" s="24">
        <f>IF(D132&gt;=IF(MONTH($C132)=4,$C$3,IF(MONTH($C132)=5,$C$4,IF(MONTH($C132)=6,$C$5,IF(MONTH($C132)=7,$C$6,"ERROR")))),1,0)</f>
        <v>0</v>
      </c>
      <c r="F132" s="26">
        <f>VLOOKUP($C132,COS!$B$8:$H$991,7,FALSE)</f>
        <v>51.774246215820313</v>
      </c>
      <c r="G132" s="24">
        <f>IF(F132&lt;=IF(MONTH($C132)=4,$F$3,IF(MONTH($C132)=5,$F$4,IF(MONTH($C132)=6,$F$5,IF(MONTH($C132)=7,$F$6,"ERROR")))),1,0)</f>
        <v>1</v>
      </c>
      <c r="H132" s="26">
        <f>IF(J132=1,D132-$C$4,0)</f>
        <v>0</v>
      </c>
      <c r="I132" s="26">
        <f t="shared" si="136"/>
        <v>0</v>
      </c>
      <c r="J132" s="24">
        <f t="shared" si="201"/>
        <v>0</v>
      </c>
      <c r="K132" s="26">
        <f>VLOOKUP($C132,COS!$B$8:$H$991,2,FALSE)</f>
        <v>2993.270751953125</v>
      </c>
      <c r="L132" s="24">
        <f t="shared" si="129"/>
        <v>1</v>
      </c>
      <c r="M132" s="24">
        <f t="shared" si="130"/>
        <v>1</v>
      </c>
      <c r="N132" s="26">
        <f>VLOOKUP($C132,COS!$B$8:$H$991,5,FALSE)</f>
        <v>70.798858642578125</v>
      </c>
      <c r="O132" s="26">
        <f t="shared" si="204"/>
        <v>4.3532521347172004</v>
      </c>
      <c r="P132" s="26">
        <f>VLOOKUP($C132,COS!$B$8:$H$991,6,FALSE)</f>
        <v>2185.40966796875</v>
      </c>
      <c r="Q132" s="26">
        <f t="shared" si="205"/>
        <v>134.37560272469008</v>
      </c>
      <c r="R132" s="26">
        <f>MIN(IF(MONTH($C132)=4,$S$3,IF(MONTH($C132)=5,$S$4,IF(MONTH($C132)=6,$S$5,IF(MONTH($C132)=7,$S$6,"ERROR")))),MAX(VLOOKUP($C132,COS!$B$8:$K$991,10,FALSE)-IF(MONTH($C132)=4,$Y$3,IF(MONTH($C132)=5,$Y$4,IF(MONTH($C132)=6,$Y$5,IF(MONTH($C132)=7,$Y$6,"ERROR")))),0),MAX(VLOOKUP($C132,COS!$B$8:$K$991,9,FALSE)-IF(MONTH($C132)=4,$V$3,IF(MONTH($C132)=5,$V$4,IF(MONTH($C132)=6,$V$5,IF(MONTH($C132)=7,$V$6,"ERROR"))))-VLOOKUP($C132,COS!$B$8:$K$991,6,FALSE)/2,0))</f>
        <v>1500</v>
      </c>
      <c r="S132" s="26">
        <f t="shared" si="206"/>
        <v>92.231404958677686</v>
      </c>
      <c r="T132" s="26">
        <f t="shared" si="207"/>
        <v>161.59583238838133</v>
      </c>
      <c r="U132" s="26" t="str">
        <f>IF(VLOOKUP($C132,COS!$B$8:$I$991,8,FALSE)=1,"UWFE","IBU")</f>
        <v>UWFE</v>
      </c>
      <c r="V132" s="26">
        <f t="shared" ref="V132" si="209">MIN(IF(IF($AA$3=2,AND(E132=1,G132=1,L132=1,L136=1,M132=1,U132="IBU"),AND(E132=1,G132=1,L132=1,L136=1,M132=1)),T132,0),I132)</f>
        <v>0</v>
      </c>
      <c r="W132" s="26"/>
      <c r="X132" s="26"/>
      <c r="Y132" s="26"/>
      <c r="Z132" s="26"/>
      <c r="AA132" s="26"/>
      <c r="AB132" s="33"/>
    </row>
    <row r="133" spans="1:28" x14ac:dyDescent="0.3">
      <c r="A133" s="32">
        <f>VLOOKUP(YEAR(C133),Flags!$A$13:$B$95,2,FALSE)</f>
        <v>4</v>
      </c>
      <c r="B133" s="24">
        <f t="shared" si="116"/>
        <v>1935</v>
      </c>
      <c r="C133" s="25">
        <v>12965</v>
      </c>
      <c r="D133" s="26">
        <f>VLOOKUP($C133,COS!$B$8:$H$991,3,FALSE)</f>
        <v>8129.7919921875</v>
      </c>
      <c r="E133" s="24">
        <f>IF(D133&gt;=IF(MONTH($C133)=4,$C$3,IF(MONTH($C133)=5,$C$4,IF(MONTH($C133)=6,$C$5,IF(MONTH($C133)=7,$C$6,"ERROR")))),1,0)</f>
        <v>0</v>
      </c>
      <c r="F133" s="26">
        <f>VLOOKUP($C133,COS!$B$8:$H$991,7,FALSE)</f>
        <v>51.700939178466797</v>
      </c>
      <c r="G133" s="24">
        <f>IF(F133&lt;=IF(MONTH($C133)=4,$F$3,IF(MONTH($C133)=5,$F$4,IF(MONTH($C133)=6,$F$5,IF(MONTH($C133)=7,$F$6,"ERROR")))),1,0)</f>
        <v>1</v>
      </c>
      <c r="H133" s="26">
        <f>IF(J133=1,D133-$C$5,0)</f>
        <v>0</v>
      </c>
      <c r="I133" s="26">
        <f t="shared" si="136"/>
        <v>0</v>
      </c>
      <c r="J133" s="24">
        <f t="shared" si="201"/>
        <v>0</v>
      </c>
      <c r="K133" s="26">
        <f>VLOOKUP($C133,COS!$B$8:$H$991,2,FALSE)</f>
        <v>2742.553466796875</v>
      </c>
      <c r="L133" s="24">
        <f t="shared" si="129"/>
        <v>1</v>
      </c>
      <c r="M133" s="24">
        <f t="shared" si="130"/>
        <v>1</v>
      </c>
      <c r="N133" s="26">
        <f>VLOOKUP($C133,COS!$B$8:$H$991,5,FALSE)</f>
        <v>355.03094482421875</v>
      </c>
      <c r="O133" s="26">
        <f t="shared" si="204"/>
        <v>21.125808287060952</v>
      </c>
      <c r="P133" s="26">
        <f>VLOOKUP($C133,COS!$B$8:$H$991,6,FALSE)</f>
        <v>2600.013916015625</v>
      </c>
      <c r="Q133" s="26">
        <f t="shared" si="205"/>
        <v>154.71157186208677</v>
      </c>
      <c r="R133" s="26">
        <f>MIN(IF(MONTH($C133)=4,$S$3,IF(MONTH($C133)=5,$S$4,IF(MONTH($C133)=6,$S$5,IF(MONTH($C133)=7,$S$6,"ERROR")))),MAX(VLOOKUP($C133,COS!$B$8:$K$991,10,FALSE)-IF(MONTH($C133)=4,$Y$3,IF(MONTH($C133)=5,$Y$4,IF(MONTH($C133)=6,$Y$5,IF(MONTH($C133)=7,$Y$6,"ERROR")))),0),MAX(VLOOKUP($C133,COS!$B$8:$K$991,9,FALSE)-IF(MONTH($C133)=4,$V$3,IF(MONTH($C133)=5,$V$4,IF(MONTH($C133)=6,$V$5,IF(MONTH($C133)=7,$V$6,"ERROR"))))-VLOOKUP($C133,COS!$B$8:$K$991,6,FALSE)/2,0))</f>
        <v>1500</v>
      </c>
      <c r="S133" s="26">
        <f t="shared" si="206"/>
        <v>89.256198347107429</v>
      </c>
      <c r="T133" s="26">
        <f t="shared" si="207"/>
        <v>177.17488842168129</v>
      </c>
      <c r="U133" s="26" t="str">
        <f>IF(VLOOKUP($C133,COS!$B$8:$I$991,8,FALSE)=1,"UWFE","IBU")</f>
        <v>IBU</v>
      </c>
      <c r="V133" s="26">
        <f t="shared" ref="V133" si="210">MIN(IF(IF($AA$3=2,AND(E133=1,G133=1,L133=1,L136=1,M133=1,U133="IBU"),AND(E133=1,G133=1,L133=1,L136=1,M133=1)),T133,0),I133)</f>
        <v>0</v>
      </c>
      <c r="W133" s="26"/>
      <c r="X133" s="26"/>
      <c r="Y133" s="26"/>
      <c r="Z133" s="26"/>
      <c r="AA133" s="26"/>
      <c r="AB133" s="33"/>
    </row>
    <row r="134" spans="1:28" x14ac:dyDescent="0.3">
      <c r="A134" s="32">
        <f>VLOOKUP(YEAR(C134),Flags!$A$13:$B$95,2,FALSE)</f>
        <v>4</v>
      </c>
      <c r="B134" s="24">
        <f t="shared" si="116"/>
        <v>1935</v>
      </c>
      <c r="C134" s="25">
        <v>12996</v>
      </c>
      <c r="D134" s="26">
        <f>VLOOKUP($C134,COS!$B$8:$H$991,3,FALSE)</f>
        <v>9552.029296875</v>
      </c>
      <c r="E134" s="24">
        <f>IF(D134&gt;=IF(MONTH($C134)=4,$C$3,IF(MONTH($C134)=5,$C$4,IF(MONTH($C134)=6,$C$5,IF(MONTH($C134)=7,$C$6,"ERROR")))),1,0)</f>
        <v>0</v>
      </c>
      <c r="F134" s="26">
        <f>VLOOKUP($C134,COS!$B$8:$H$991,7,FALSE)</f>
        <v>53.422840118408203</v>
      </c>
      <c r="G134" s="24">
        <f>IF(F134&lt;=IF(MONTH($C134)=4,$F$3,IF(MONTH($C134)=5,$F$4,IF(MONTH($C134)=6,$F$5,IF(MONTH($C134)=7,$F$6,"ERROR")))),1,0)</f>
        <v>1</v>
      </c>
      <c r="H134" s="26">
        <f>IF(J134=1,D134-$C$6,0)</f>
        <v>0</v>
      </c>
      <c r="I134" s="26">
        <f t="shared" si="136"/>
        <v>0</v>
      </c>
      <c r="J134" s="24">
        <f t="shared" si="201"/>
        <v>0</v>
      </c>
      <c r="K134" s="26">
        <f>VLOOKUP($C134,COS!$B$8:$H$991,2,FALSE)</f>
        <v>2381.828857421875</v>
      </c>
      <c r="L134" s="24">
        <f t="shared" si="129"/>
        <v>1</v>
      </c>
      <c r="M134" s="24">
        <f t="shared" si="130"/>
        <v>1</v>
      </c>
      <c r="N134" s="26">
        <f>VLOOKUP($C134,COS!$B$8:$H$991,5,FALSE)</f>
        <v>386.67288208007813</v>
      </c>
      <c r="O134" s="26">
        <f t="shared" si="204"/>
        <v>23.775588782444473</v>
      </c>
      <c r="P134" s="26">
        <f>VLOOKUP($C134,COS!$B$8:$H$991,6,FALSE)</f>
        <v>2632.5888671875</v>
      </c>
      <c r="Q134" s="26">
        <f t="shared" si="205"/>
        <v>161.87157993285126</v>
      </c>
      <c r="R134" s="26">
        <f>MIN(IF(MONTH($C134)=4,$S$3,IF(MONTH($C134)=5,$S$4,IF(MONTH($C134)=6,$S$5,IF(MONTH($C134)=7,$S$6,"ERROR")))),MAX(VLOOKUP($C134,COS!$B$8:$K$991,10,FALSE)-IF(MONTH($C134)=4,$Y$3,IF(MONTH($C134)=5,$Y$4,IF(MONTH($C134)=6,$Y$5,IF(MONTH($C134)=7,$Y$6,"ERROR")))),0),MAX(VLOOKUP($C134,COS!$B$8:$K$991,9,FALSE)-IF(MONTH($C134)=4,$V$3,IF(MONTH($C134)=5,$V$4,IF(MONTH($C134)=6,$V$5,IF(MONTH($C134)=7,$V$6,"ERROR"))))-VLOOKUP($C134,COS!$B$8:$K$991,6,FALSE)/2,0))</f>
        <v>1500</v>
      </c>
      <c r="S134" s="26">
        <f t="shared" si="206"/>
        <v>92.231404958677686</v>
      </c>
      <c r="T134" s="26">
        <f t="shared" si="207"/>
        <v>185.05498931632553</v>
      </c>
      <c r="U134" s="26" t="str">
        <f>IF(VLOOKUP($C134,COS!$B$8:$I$991,8,FALSE)=1,"UWFE","IBU")</f>
        <v>IBU</v>
      </c>
      <c r="V134" s="26">
        <f t="shared" ref="V134" si="211">MIN(IF(IF($AA$3=2,AND(E134=1,G134=1,L134=1,L136=1,M134=1,U134="IBU"),AND(E134=1,G134=1,L134=1,L136=1,M134=1)),T134,0),I134)</f>
        <v>0</v>
      </c>
      <c r="W134" s="26"/>
      <c r="X134" s="26"/>
      <c r="Y134" s="26"/>
      <c r="Z134" s="26"/>
      <c r="AA134" s="26"/>
      <c r="AB134" s="33"/>
    </row>
    <row r="135" spans="1:28" x14ac:dyDescent="0.3">
      <c r="A135" s="32">
        <f>VLOOKUP(YEAR(C135),Flags!$A$13:$B$95,2,FALSE)</f>
        <v>4</v>
      </c>
      <c r="B135" s="24">
        <f t="shared" si="116"/>
        <v>1935</v>
      </c>
      <c r="C135" s="25">
        <v>13027</v>
      </c>
      <c r="D135" s="26"/>
      <c r="E135" s="24"/>
      <c r="F135" s="26"/>
      <c r="G135" s="24"/>
      <c r="H135" s="24"/>
      <c r="I135" s="26"/>
      <c r="J135" s="24"/>
      <c r="K135" s="26"/>
      <c r="L135" s="24"/>
      <c r="M135" s="24"/>
      <c r="N135" s="26"/>
      <c r="O135" s="26"/>
      <c r="P135" s="26"/>
      <c r="Q135" s="26"/>
      <c r="R135" s="26"/>
      <c r="S135" s="26"/>
      <c r="T135" s="26"/>
      <c r="U135" s="26"/>
      <c r="V135" s="26"/>
      <c r="W135" s="26">
        <f>MAX($C$7-VLOOKUP($C135,COS!$B$8:$H$991,3,FALSE),0)</f>
        <v>3778.314453125</v>
      </c>
      <c r="X135" s="26">
        <f t="shared" si="143"/>
        <v>232.31950025826444</v>
      </c>
      <c r="Y135" s="26">
        <f>VLOOKUP($C135,COS!$B$8:$H$991,4,FALSE)</f>
        <v>311.4095458984375</v>
      </c>
      <c r="Z135" s="26">
        <f t="shared" si="144"/>
        <v>19.147826623837808</v>
      </c>
      <c r="AA135" s="26">
        <f t="shared" ref="AA135:AA139" si="212">MIN(W135,Y135)</f>
        <v>311.4095458984375</v>
      </c>
      <c r="AB135" s="33">
        <f t="shared" ref="AB135" si="213">AA135*DAY($C135)*86400/43560/1000*IF(MONTH($C135)=8,$P$3,IF(MONTH($C135)=9,$P$4,IF(MONTH($C135)=10,$P$5,IF(MONTH($C135)=11,$P$6,IF(MONTH($C135)=12,$P$7,NA())))))</f>
        <v>19.147826623837808</v>
      </c>
    </row>
    <row r="136" spans="1:28" x14ac:dyDescent="0.3">
      <c r="A136" s="32">
        <f>VLOOKUP(YEAR(C136),Flags!$A$13:$B$95,2,FALSE)</f>
        <v>4</v>
      </c>
      <c r="B136" s="24">
        <f t="shared" si="116"/>
        <v>1935</v>
      </c>
      <c r="C136" s="25">
        <v>13057</v>
      </c>
      <c r="D136" s="26"/>
      <c r="E136" s="24"/>
      <c r="F136" s="26"/>
      <c r="G136" s="24"/>
      <c r="H136" s="24"/>
      <c r="I136" s="26"/>
      <c r="J136" s="24"/>
      <c r="K136" s="26">
        <f>VLOOKUP($C136,COS!$B$8:$H$991,2,FALSE)</f>
        <v>1958.6934814453125</v>
      </c>
      <c r="L136" s="24">
        <f t="shared" ref="L136" si="214">IF(AND(K136&gt;$I$7,K136&lt;$I$8),1,0)</f>
        <v>1</v>
      </c>
      <c r="M136" s="24"/>
      <c r="N136" s="26"/>
      <c r="O136" s="26"/>
      <c r="P136" s="26"/>
      <c r="Q136" s="26"/>
      <c r="R136" s="26"/>
      <c r="S136" s="26"/>
      <c r="T136" s="26"/>
      <c r="U136" s="26"/>
      <c r="V136" s="26"/>
      <c r="W136" s="26">
        <f>MAX($C$8-VLOOKUP($C136,COS!$B$8:$H$991,3,FALSE),0)</f>
        <v>1975.235595703125</v>
      </c>
      <c r="X136" s="26">
        <f t="shared" si="143"/>
        <v>117.5346800748967</v>
      </c>
      <c r="Y136" s="26">
        <f>VLOOKUP($C136,COS!$B$8:$H$991,4,FALSE)</f>
        <v>386.73208618164063</v>
      </c>
      <c r="Z136" s="26">
        <f t="shared" si="144"/>
        <v>23.012157194279443</v>
      </c>
      <c r="AA136" s="26">
        <f t="shared" si="212"/>
        <v>386.73208618164063</v>
      </c>
      <c r="AB136" s="33">
        <f t="shared" si="141"/>
        <v>23.012157194279443</v>
      </c>
    </row>
    <row r="137" spans="1:28" x14ac:dyDescent="0.3">
      <c r="A137" s="32">
        <f>VLOOKUP(YEAR(C137),Flags!$A$13:$B$95,2,FALSE)</f>
        <v>4</v>
      </c>
      <c r="B137" s="24">
        <f t="shared" si="116"/>
        <v>1935</v>
      </c>
      <c r="C137" s="25">
        <v>13088</v>
      </c>
      <c r="D137" s="26"/>
      <c r="E137" s="24"/>
      <c r="F137" s="26"/>
      <c r="G137" s="26"/>
      <c r="H137" s="26"/>
      <c r="I137" s="26"/>
      <c r="J137" s="26"/>
      <c r="K137" s="26"/>
      <c r="L137" s="24"/>
      <c r="M137" s="24"/>
      <c r="N137" s="26"/>
      <c r="O137" s="26"/>
      <c r="P137" s="26"/>
      <c r="Q137" s="26"/>
      <c r="R137" s="26"/>
      <c r="S137" s="26"/>
      <c r="T137" s="26"/>
      <c r="U137" s="26"/>
      <c r="V137" s="26"/>
      <c r="W137" s="26">
        <f>MAX($C$9-VLOOKUP($C137,COS!$B$8:$H$991,3,FALSE),0)</f>
        <v>1109.80029296875</v>
      </c>
      <c r="X137" s="26">
        <f t="shared" si="143"/>
        <v>68.238960162706618</v>
      </c>
      <c r="Y137" s="26">
        <f>VLOOKUP($C137,COS!$B$8:$H$991,4,FALSE)</f>
        <v>839.30419921875</v>
      </c>
      <c r="Z137" s="26">
        <f t="shared" si="144"/>
        <v>51.606803654442146</v>
      </c>
      <c r="AA137" s="26">
        <f t="shared" si="212"/>
        <v>839.30419921875</v>
      </c>
      <c r="AB137" s="33">
        <f t="shared" si="141"/>
        <v>51.606803654442146</v>
      </c>
    </row>
    <row r="138" spans="1:28" x14ac:dyDescent="0.3">
      <c r="A138" s="32">
        <f>VLOOKUP(YEAR(C138),Flags!$A$13:$B$95,2,FALSE)</f>
        <v>4</v>
      </c>
      <c r="B138" s="24">
        <f t="shared" si="116"/>
        <v>1935</v>
      </c>
      <c r="C138" s="25">
        <v>13118</v>
      </c>
      <c r="D138" s="26"/>
      <c r="E138" s="24"/>
      <c r="F138" s="26"/>
      <c r="G138" s="26"/>
      <c r="H138" s="26"/>
      <c r="I138" s="26"/>
      <c r="J138" s="26"/>
      <c r="K138" s="26"/>
      <c r="L138" s="24"/>
      <c r="M138" s="24"/>
      <c r="N138" s="26"/>
      <c r="O138" s="26"/>
      <c r="P138" s="26"/>
      <c r="Q138" s="26"/>
      <c r="R138" s="26"/>
      <c r="S138" s="26"/>
      <c r="T138" s="26"/>
      <c r="U138" s="26"/>
      <c r="V138" s="26"/>
      <c r="W138" s="26">
        <f>MAX($C$10-VLOOKUP($C138,COS!$B$8:$H$991,3,FALSE),0)</f>
        <v>1610.462646484375</v>
      </c>
      <c r="X138" s="26">
        <f t="shared" si="143"/>
        <v>95.829182270144628</v>
      </c>
      <c r="Y138" s="26">
        <f>VLOOKUP($C138,COS!$B$8:$H$991,4,FALSE)</f>
        <v>442.06243896484375</v>
      </c>
      <c r="Z138" s="26">
        <f t="shared" si="144"/>
        <v>26.304541822701445</v>
      </c>
      <c r="AA138" s="26">
        <f t="shared" si="212"/>
        <v>442.06243896484375</v>
      </c>
      <c r="AB138" s="33">
        <f t="shared" si="141"/>
        <v>26.304541822701445</v>
      </c>
    </row>
    <row r="139" spans="1:28" x14ac:dyDescent="0.3">
      <c r="A139" s="34">
        <f>VLOOKUP(YEAR(C139),Flags!$A$13:$B$95,2,FALSE)</f>
        <v>4</v>
      </c>
      <c r="B139" s="35">
        <f t="shared" si="116"/>
        <v>1935</v>
      </c>
      <c r="C139" s="36">
        <v>13149</v>
      </c>
      <c r="D139" s="37"/>
      <c r="E139" s="35"/>
      <c r="F139" s="37"/>
      <c r="G139" s="37"/>
      <c r="H139" s="37"/>
      <c r="I139" s="37"/>
      <c r="J139" s="37"/>
      <c r="K139" s="37"/>
      <c r="L139" s="35"/>
      <c r="M139" s="35"/>
      <c r="N139" s="37"/>
      <c r="O139" s="37"/>
      <c r="P139" s="37"/>
      <c r="Q139" s="37"/>
      <c r="R139" s="37"/>
      <c r="S139" s="37"/>
      <c r="T139" s="37"/>
      <c r="U139" s="37"/>
      <c r="V139" s="37"/>
      <c r="W139" s="37">
        <f>MAX($C$11-VLOOKUP($C139,COS!$B$8:$H$991,3,FALSE),0)</f>
        <v>1750</v>
      </c>
      <c r="X139" s="37">
        <f t="shared" si="143"/>
        <v>107.60330578512398</v>
      </c>
      <c r="Y139" s="37">
        <f>VLOOKUP($C139,COS!$B$8:$H$991,4,FALSE)</f>
        <v>18.913251876831055</v>
      </c>
      <c r="Z139" s="37">
        <f t="shared" si="144"/>
        <v>1.162930528624984</v>
      </c>
      <c r="AA139" s="37">
        <f t="shared" si="212"/>
        <v>18.913251876831055</v>
      </c>
      <c r="AB139" s="38">
        <f t="shared" si="141"/>
        <v>1.162930528624984</v>
      </c>
    </row>
    <row r="140" spans="1:28" x14ac:dyDescent="0.3">
      <c r="A140" s="27">
        <f>VLOOKUP(YEAR(C140),Flags!$A$13:$B$95,2,FALSE)</f>
        <v>3</v>
      </c>
      <c r="B140" s="28">
        <f t="shared" si="116"/>
        <v>1936</v>
      </c>
      <c r="C140" s="29">
        <v>13270</v>
      </c>
      <c r="D140" s="30">
        <f>VLOOKUP($C140,COS!$B$8:$H$991,3,FALSE)</f>
        <v>3250</v>
      </c>
      <c r="E140" s="28">
        <f>IF(D140&gt;=IF(MONTH($C140)=4,$C$3,IF(MONTH($C140)=5,$C$4,IF(MONTH($C140)=6,$C$5,IF(MONTH($C140)=7,$C$6,"ERROR")))),1,0)</f>
        <v>0</v>
      </c>
      <c r="F140" s="30">
        <f>VLOOKUP($C140,COS!$B$8:$H$991,7,FALSE)</f>
        <v>49.935798645019531</v>
      </c>
      <c r="G140" s="28">
        <f>IF(F140&lt;=IF(MONTH($C140)=4,$F$3,IF(MONTH($C140)=5,$F$4,IF(MONTH($C140)=6,$F$5,IF(MONTH($C140)=7,$F$6,"ERROR")))),1,0)</f>
        <v>1</v>
      </c>
      <c r="H140" s="30">
        <f>IF(J140=1,D140-$C$3,0)</f>
        <v>0</v>
      </c>
      <c r="I140" s="30">
        <f t="shared" si="136"/>
        <v>0</v>
      </c>
      <c r="J140" s="28">
        <f t="shared" ref="J140:J143" si="215">IF(AND(E140=1,G140=1),1,0)</f>
        <v>0</v>
      </c>
      <c r="K140" s="30">
        <f>VLOOKUP($C140,COS!$B$8:$H$991,2,FALSE)</f>
        <v>4126.388671875</v>
      </c>
      <c r="L140" s="28">
        <f t="shared" ref="L140" si="216">IF(K140&lt;=IF(MONTH($C140)=4,$I$3,IF(MONTH($C140)=5,$I$4,IF(MONTH($C140)=6,$I$5,IF(MONTH($C140)=7,$I$6,"ERROR")))),1,0)</f>
        <v>1</v>
      </c>
      <c r="M140" s="28">
        <f t="shared" ref="M140" si="217">VLOOKUP($A140,$L$3:$M$7,2,FALSE)</f>
        <v>0</v>
      </c>
      <c r="N140" s="30">
        <f>VLOOKUP($C140,COS!$B$8:$H$991,5,FALSE)</f>
        <v>205.43023681640625</v>
      </c>
      <c r="O140" s="30">
        <f t="shared" ref="O140:O143" si="218">N140*DAY($C140)*86400/43560/1000</f>
        <v>12.223947975852273</v>
      </c>
      <c r="P140" s="30">
        <f>VLOOKUP($C140,COS!$B$8:$H$991,6,FALSE)</f>
        <v>427.27923583984375</v>
      </c>
      <c r="Q140" s="30">
        <f t="shared" ref="Q140:Q143" si="219">P140*DAY($C140)*86400/43560/1000</f>
        <v>25.424880149147729</v>
      </c>
      <c r="R140" s="30">
        <f>MIN(IF(MONTH($C140)=4,$S$3,IF(MONTH($C140)=5,$S$4,IF(MONTH($C140)=6,$S$5,IF(MONTH($C140)=7,$S$6,"ERROR")))),MAX(VLOOKUP($C140,COS!$B$8:$K$991,10,FALSE)-IF(MONTH($C140)=4,$Y$3,IF(MONTH($C140)=5,$Y$4,IF(MONTH($C140)=6,$Y$5,IF(MONTH($C140)=7,$Y$6,"ERROR")))),0),MAX(VLOOKUP($C140,COS!$B$8:$K$991,9,FALSE)-IF(MONTH($C140)=4,$V$3,IF(MONTH($C140)=5,$V$4,IF(MONTH($C140)=6,$V$5,IF(MONTH($C140)=7,$V$6,"ERROR"))))-VLOOKUP($C140,COS!$B$8:$K$991,6,FALSE)/2,0))</f>
        <v>1500</v>
      </c>
      <c r="S140" s="30">
        <f t="shared" ref="S140:S143" si="220">R140*DAY($C140)*86400/43560/1000</f>
        <v>89.256198347107429</v>
      </c>
      <c r="T140" s="30">
        <f t="shared" ref="T140:T143" si="221">(O140+Q140)/2+S140</f>
        <v>108.08061240960743</v>
      </c>
      <c r="U140" s="30" t="str">
        <f>IF(VLOOKUP($C140,COS!$B$8:$I$991,8,FALSE)=1,"UWFE","IBU")</f>
        <v>UWFE</v>
      </c>
      <c r="V140" s="30">
        <f t="shared" ref="V140" si="222">MIN(IF(IF($AA$3=2,AND(E140=1,G140=1,L140=1,L145=1,M140=1,U140="IBU"),AND(E140=1,G140=1,L140=1,L145=1,M140=1)),T140,0),I140)</f>
        <v>0</v>
      </c>
      <c r="W140" s="30"/>
      <c r="X140" s="30"/>
      <c r="Y140" s="30"/>
      <c r="Z140" s="30"/>
      <c r="AA140" s="30"/>
      <c r="AB140" s="31"/>
    </row>
    <row r="141" spans="1:28" x14ac:dyDescent="0.3">
      <c r="A141" s="32">
        <f>VLOOKUP(YEAR(C141),Flags!$A$13:$B$95,2,FALSE)</f>
        <v>3</v>
      </c>
      <c r="B141" s="24">
        <f t="shared" si="116"/>
        <v>1936</v>
      </c>
      <c r="C141" s="25">
        <v>13301</v>
      </c>
      <c r="D141" s="26">
        <f>VLOOKUP($C141,COS!$B$8:$H$991,3,FALSE)</f>
        <v>5730.4501953125</v>
      </c>
      <c r="E141" s="24">
        <f>IF(D141&gt;=IF(MONTH($C141)=4,$C$3,IF(MONTH($C141)=5,$C$4,IF(MONTH($C141)=6,$C$5,IF(MONTH($C141)=7,$C$6,"ERROR")))),1,0)</f>
        <v>0</v>
      </c>
      <c r="F141" s="26">
        <f>VLOOKUP($C141,COS!$B$8:$H$991,7,FALSE)</f>
        <v>50.767982482910156</v>
      </c>
      <c r="G141" s="24">
        <f>IF(F141&lt;=IF(MONTH($C141)=4,$F$3,IF(MONTH($C141)=5,$F$4,IF(MONTH($C141)=6,$F$5,IF(MONTH($C141)=7,$F$6,"ERROR")))),1,0)</f>
        <v>1</v>
      </c>
      <c r="H141" s="26">
        <f>IF(J141=1,D141-$C$4,0)</f>
        <v>0</v>
      </c>
      <c r="I141" s="26">
        <f t="shared" si="136"/>
        <v>0</v>
      </c>
      <c r="J141" s="24">
        <f t="shared" si="215"/>
        <v>0</v>
      </c>
      <c r="K141" s="26">
        <f>VLOOKUP($C141,COS!$B$8:$H$991,2,FALSE)</f>
        <v>4065.37890625</v>
      </c>
      <c r="L141" s="24">
        <f t="shared" si="129"/>
        <v>1</v>
      </c>
      <c r="M141" s="24">
        <f t="shared" si="130"/>
        <v>0</v>
      </c>
      <c r="N141" s="26">
        <f>VLOOKUP($C141,COS!$B$8:$H$991,5,FALSE)</f>
        <v>284.62387084960938</v>
      </c>
      <c r="O141" s="26">
        <f t="shared" si="218"/>
        <v>17.500839662157798</v>
      </c>
      <c r="P141" s="26">
        <f>VLOOKUP($C141,COS!$B$8:$H$991,6,FALSE)</f>
        <v>2118.009033203125</v>
      </c>
      <c r="Q141" s="26">
        <f t="shared" si="219"/>
        <v>130.23129923166323</v>
      </c>
      <c r="R141" s="26">
        <f>MIN(IF(MONTH($C141)=4,$S$3,IF(MONTH($C141)=5,$S$4,IF(MONTH($C141)=6,$S$5,IF(MONTH($C141)=7,$S$6,"ERROR")))),MAX(VLOOKUP($C141,COS!$B$8:$K$991,10,FALSE)-IF(MONTH($C141)=4,$Y$3,IF(MONTH($C141)=5,$Y$4,IF(MONTH($C141)=6,$Y$5,IF(MONTH($C141)=7,$Y$6,"ERROR")))),0),MAX(VLOOKUP($C141,COS!$B$8:$K$991,9,FALSE)-IF(MONTH($C141)=4,$V$3,IF(MONTH($C141)=5,$V$4,IF(MONTH($C141)=6,$V$5,IF(MONTH($C141)=7,$V$6,"ERROR"))))-VLOOKUP($C141,COS!$B$8:$K$991,6,FALSE)/2,0))</f>
        <v>1500</v>
      </c>
      <c r="S141" s="26">
        <f t="shared" si="220"/>
        <v>92.231404958677686</v>
      </c>
      <c r="T141" s="26">
        <f t="shared" si="221"/>
        <v>166.0974744055882</v>
      </c>
      <c r="U141" s="26" t="str">
        <f>IF(VLOOKUP($C141,COS!$B$8:$I$991,8,FALSE)=1,"UWFE","IBU")</f>
        <v>UWFE</v>
      </c>
      <c r="V141" s="26">
        <f t="shared" ref="V141" si="223">MIN(IF(IF($AA$3=2,AND(E141=1,G141=1,L141=1,L145=1,M141=1,U141="IBU"),AND(E141=1,G141=1,L141=1,L145=1,M141=1)),T141,0),I141)</f>
        <v>0</v>
      </c>
      <c r="W141" s="26"/>
      <c r="X141" s="26"/>
      <c r="Y141" s="26"/>
      <c r="Z141" s="26"/>
      <c r="AA141" s="26"/>
      <c r="AB141" s="33"/>
    </row>
    <row r="142" spans="1:28" x14ac:dyDescent="0.3">
      <c r="A142" s="32">
        <f>VLOOKUP(YEAR(C142),Flags!$A$13:$B$95,2,FALSE)</f>
        <v>3</v>
      </c>
      <c r="B142" s="24">
        <f t="shared" si="116"/>
        <v>1936</v>
      </c>
      <c r="C142" s="25">
        <v>13331</v>
      </c>
      <c r="D142" s="26">
        <f>VLOOKUP($C142,COS!$B$8:$H$991,3,FALSE)</f>
        <v>7140.05078125</v>
      </c>
      <c r="E142" s="24">
        <f>IF(D142&gt;=IF(MONTH($C142)=4,$C$3,IF(MONTH($C142)=5,$C$4,IF(MONTH($C142)=6,$C$5,IF(MONTH($C142)=7,$C$6,"ERROR")))),1,0)</f>
        <v>0</v>
      </c>
      <c r="F142" s="26">
        <f>VLOOKUP($C142,COS!$B$8:$H$991,7,FALSE)</f>
        <v>50.706310272216797</v>
      </c>
      <c r="G142" s="24">
        <f>IF(F142&lt;=IF(MONTH($C142)=4,$F$3,IF(MONTH($C142)=5,$F$4,IF(MONTH($C142)=6,$F$5,IF(MONTH($C142)=7,$F$6,"ERROR")))),1,0)</f>
        <v>1</v>
      </c>
      <c r="H142" s="26">
        <f>IF(J142=1,D142-$C$5,0)</f>
        <v>0</v>
      </c>
      <c r="I142" s="26">
        <f t="shared" si="136"/>
        <v>0</v>
      </c>
      <c r="J142" s="24">
        <f t="shared" si="215"/>
        <v>0</v>
      </c>
      <c r="K142" s="26">
        <f>VLOOKUP($C142,COS!$B$8:$H$991,2,FALSE)</f>
        <v>3872.543701171875</v>
      </c>
      <c r="L142" s="24">
        <f t="shared" si="129"/>
        <v>1</v>
      </c>
      <c r="M142" s="24">
        <f t="shared" si="130"/>
        <v>0</v>
      </c>
      <c r="N142" s="26">
        <f>VLOOKUP($C142,COS!$B$8:$H$991,5,FALSE)</f>
        <v>523.20947265625</v>
      </c>
      <c r="O142" s="26">
        <f t="shared" si="218"/>
        <v>31.133125645661156</v>
      </c>
      <c r="P142" s="26">
        <f>VLOOKUP($C142,COS!$B$8:$H$991,6,FALSE)</f>
        <v>2337.24169921875</v>
      </c>
      <c r="Q142" s="26">
        <f t="shared" si="219"/>
        <v>139.07553912706612</v>
      </c>
      <c r="R142" s="26">
        <f>MIN(IF(MONTH($C142)=4,$S$3,IF(MONTH($C142)=5,$S$4,IF(MONTH($C142)=6,$S$5,IF(MONTH($C142)=7,$S$6,"ERROR")))),MAX(VLOOKUP($C142,COS!$B$8:$K$991,10,FALSE)-IF(MONTH($C142)=4,$Y$3,IF(MONTH($C142)=5,$Y$4,IF(MONTH($C142)=6,$Y$5,IF(MONTH($C142)=7,$Y$6,"ERROR")))),0),MAX(VLOOKUP($C142,COS!$B$8:$K$991,9,FALSE)-IF(MONTH($C142)=4,$V$3,IF(MONTH($C142)=5,$V$4,IF(MONTH($C142)=6,$V$5,IF(MONTH($C142)=7,$V$6,"ERROR"))))-VLOOKUP($C142,COS!$B$8:$K$991,6,FALSE)/2,0))</f>
        <v>1500</v>
      </c>
      <c r="S142" s="26">
        <f t="shared" si="220"/>
        <v>89.256198347107429</v>
      </c>
      <c r="T142" s="26">
        <f t="shared" si="221"/>
        <v>174.36053073347108</v>
      </c>
      <c r="U142" s="26" t="str">
        <f>IF(VLOOKUP($C142,COS!$B$8:$I$991,8,FALSE)=1,"UWFE","IBU")</f>
        <v>UWFE</v>
      </c>
      <c r="V142" s="26">
        <f t="shared" ref="V142" si="224">MIN(IF(IF($AA$3=2,AND(E142=1,G142=1,L142=1,L145=1,M142=1,U142="IBU"),AND(E142=1,G142=1,L142=1,L145=1,M142=1)),T142,0),I142)</f>
        <v>0</v>
      </c>
      <c r="W142" s="26"/>
      <c r="X142" s="26"/>
      <c r="Y142" s="26"/>
      <c r="Z142" s="26"/>
      <c r="AA142" s="26"/>
      <c r="AB142" s="33"/>
    </row>
    <row r="143" spans="1:28" x14ac:dyDescent="0.3">
      <c r="A143" s="32">
        <f>VLOOKUP(YEAR(C143),Flags!$A$13:$B$95,2,FALSE)</f>
        <v>3</v>
      </c>
      <c r="B143" s="24">
        <f t="shared" ref="B143:B206" si="225">YEAR(C143)</f>
        <v>1936</v>
      </c>
      <c r="C143" s="25">
        <v>13362</v>
      </c>
      <c r="D143" s="26">
        <f>VLOOKUP($C143,COS!$B$8:$H$991,3,FALSE)</f>
        <v>10100.955078125</v>
      </c>
      <c r="E143" s="24">
        <f>IF(D143&gt;=IF(MONTH($C143)=4,$C$3,IF(MONTH($C143)=5,$C$4,IF(MONTH($C143)=6,$C$5,IF(MONTH($C143)=7,$C$6,"ERROR")))),1,0)</f>
        <v>0</v>
      </c>
      <c r="F143" s="26">
        <f>VLOOKUP($C143,COS!$B$8:$H$991,7,FALSE)</f>
        <v>50.784397125244141</v>
      </c>
      <c r="G143" s="24">
        <f>IF(F143&lt;=IF(MONTH($C143)=4,$F$3,IF(MONTH($C143)=5,$F$4,IF(MONTH($C143)=6,$F$5,IF(MONTH($C143)=7,$F$6,"ERROR")))),1,0)</f>
        <v>1</v>
      </c>
      <c r="H143" s="26">
        <f>IF(J143=1,D143-$C$6,0)</f>
        <v>0</v>
      </c>
      <c r="I143" s="26">
        <f t="shared" si="136"/>
        <v>0</v>
      </c>
      <c r="J143" s="24">
        <f t="shared" si="215"/>
        <v>0</v>
      </c>
      <c r="K143" s="26">
        <f>VLOOKUP($C143,COS!$B$8:$H$991,2,FALSE)</f>
        <v>3405.32080078125</v>
      </c>
      <c r="L143" s="24">
        <f t="shared" si="129"/>
        <v>1</v>
      </c>
      <c r="M143" s="24">
        <f t="shared" si="130"/>
        <v>0</v>
      </c>
      <c r="N143" s="26">
        <f>VLOOKUP($C143,COS!$B$8:$H$991,5,FALSE)</f>
        <v>692.3970947265625</v>
      </c>
      <c r="O143" s="26">
        <f t="shared" si="218"/>
        <v>42.573837890625001</v>
      </c>
      <c r="P143" s="26">
        <f>VLOOKUP($C143,COS!$B$8:$H$991,6,FALSE)</f>
        <v>2537.385498046875</v>
      </c>
      <c r="Q143" s="26">
        <f t="shared" si="219"/>
        <v>156.01775293775825</v>
      </c>
      <c r="R143" s="26">
        <f>MIN(IF(MONTH($C143)=4,$S$3,IF(MONTH($C143)=5,$S$4,IF(MONTH($C143)=6,$S$5,IF(MONTH($C143)=7,$S$6,"ERROR")))),MAX(VLOOKUP($C143,COS!$B$8:$K$991,10,FALSE)-IF(MONTH($C143)=4,$Y$3,IF(MONTH($C143)=5,$Y$4,IF(MONTH($C143)=6,$Y$5,IF(MONTH($C143)=7,$Y$6,"ERROR")))),0),MAX(VLOOKUP($C143,COS!$B$8:$K$991,9,FALSE)-IF(MONTH($C143)=4,$V$3,IF(MONTH($C143)=5,$V$4,IF(MONTH($C143)=6,$V$5,IF(MONTH($C143)=7,$V$6,"ERROR"))))-VLOOKUP($C143,COS!$B$8:$K$991,6,FALSE)/2,0))</f>
        <v>1500</v>
      </c>
      <c r="S143" s="26">
        <f t="shared" si="220"/>
        <v>92.231404958677686</v>
      </c>
      <c r="T143" s="26">
        <f t="shared" si="221"/>
        <v>191.52720037286929</v>
      </c>
      <c r="U143" s="26" t="str">
        <f>IF(VLOOKUP($C143,COS!$B$8:$I$991,8,FALSE)=1,"UWFE","IBU")</f>
        <v>IBU</v>
      </c>
      <c r="V143" s="26">
        <f t="shared" ref="V143" si="226">MIN(IF(IF($AA$3=2,AND(E143=1,G143=1,L143=1,L145=1,M143=1,U143="IBU"),AND(E143=1,G143=1,L143=1,L145=1,M143=1)),T143,0),I143)</f>
        <v>0</v>
      </c>
      <c r="W143" s="26"/>
      <c r="X143" s="26"/>
      <c r="Y143" s="26"/>
      <c r="Z143" s="26"/>
      <c r="AA143" s="26"/>
      <c r="AB143" s="33"/>
    </row>
    <row r="144" spans="1:28" x14ac:dyDescent="0.3">
      <c r="A144" s="32">
        <f>VLOOKUP(YEAR(C144),Flags!$A$13:$B$95,2,FALSE)</f>
        <v>3</v>
      </c>
      <c r="B144" s="24">
        <f t="shared" si="225"/>
        <v>1936</v>
      </c>
      <c r="C144" s="25">
        <v>13393</v>
      </c>
      <c r="D144" s="26"/>
      <c r="E144" s="24"/>
      <c r="F144" s="26"/>
      <c r="G144" s="24"/>
      <c r="H144" s="24"/>
      <c r="I144" s="26"/>
      <c r="J144" s="24"/>
      <c r="K144" s="26"/>
      <c r="L144" s="24"/>
      <c r="M144" s="24"/>
      <c r="N144" s="26"/>
      <c r="O144" s="26"/>
      <c r="P144" s="26"/>
      <c r="Q144" s="26"/>
      <c r="R144" s="26"/>
      <c r="S144" s="26"/>
      <c r="T144" s="26"/>
      <c r="U144" s="26"/>
      <c r="V144" s="26"/>
      <c r="W144" s="26">
        <f>MAX($C$7-VLOOKUP($C144,COS!$B$8:$H$991,3,FALSE),0)</f>
        <v>2322.0078125</v>
      </c>
      <c r="X144" s="26">
        <f t="shared" si="143"/>
        <v>142.77469524793389</v>
      </c>
      <c r="Y144" s="26">
        <f>VLOOKUP($C144,COS!$B$8:$H$991,4,FALSE)</f>
        <v>354.93222045898438</v>
      </c>
      <c r="Z144" s="26">
        <f t="shared" si="144"/>
        <v>21.823931572023504</v>
      </c>
      <c r="AA144" s="26">
        <f t="shared" ref="AA144:AA148" si="227">MIN(W144,Y144)</f>
        <v>354.93222045898438</v>
      </c>
      <c r="AB144" s="33">
        <f t="shared" ref="AB144" si="228">AA144*DAY($C144)*86400/43560/1000*IF(MONTH($C144)=8,$P$3,IF(MONTH($C144)=9,$P$4,IF(MONTH($C144)=10,$P$5,IF(MONTH($C144)=11,$P$6,IF(MONTH($C144)=12,$P$7,NA())))))</f>
        <v>21.823931572023504</v>
      </c>
    </row>
    <row r="145" spans="1:28" x14ac:dyDescent="0.3">
      <c r="A145" s="32">
        <f>VLOOKUP(YEAR(C145),Flags!$A$13:$B$95,2,FALSE)</f>
        <v>3</v>
      </c>
      <c r="B145" s="24">
        <f t="shared" si="225"/>
        <v>1936</v>
      </c>
      <c r="C145" s="25">
        <v>13423</v>
      </c>
      <c r="D145" s="26"/>
      <c r="E145" s="24"/>
      <c r="F145" s="26"/>
      <c r="G145" s="24"/>
      <c r="H145" s="24"/>
      <c r="I145" s="26"/>
      <c r="J145" s="24"/>
      <c r="K145" s="26">
        <f>VLOOKUP($C145,COS!$B$8:$H$991,2,FALSE)</f>
        <v>2909.572509765625</v>
      </c>
      <c r="L145" s="24">
        <f t="shared" ref="L145" si="229">IF(AND(K145&gt;$I$7,K145&lt;$I$8),1,0)</f>
        <v>1</v>
      </c>
      <c r="M145" s="24"/>
      <c r="N145" s="26"/>
      <c r="O145" s="26"/>
      <c r="P145" s="26"/>
      <c r="Q145" s="26"/>
      <c r="R145" s="26"/>
      <c r="S145" s="26"/>
      <c r="T145" s="26"/>
      <c r="U145" s="26"/>
      <c r="V145" s="26"/>
      <c r="W145" s="26">
        <f>MAX($C$8-VLOOKUP($C145,COS!$B$8:$H$991,3,FALSE),0)</f>
        <v>1796.64453125</v>
      </c>
      <c r="X145" s="26">
        <f t="shared" si="143"/>
        <v>106.90777376033057</v>
      </c>
      <c r="Y145" s="26">
        <f>VLOOKUP($C145,COS!$B$8:$H$991,4,FALSE)</f>
        <v>0</v>
      </c>
      <c r="Z145" s="26">
        <f t="shared" si="144"/>
        <v>0</v>
      </c>
      <c r="AA145" s="26">
        <f t="shared" si="227"/>
        <v>0</v>
      </c>
      <c r="AB145" s="33">
        <f t="shared" si="141"/>
        <v>0</v>
      </c>
    </row>
    <row r="146" spans="1:28" x14ac:dyDescent="0.3">
      <c r="A146" s="32">
        <f>VLOOKUP(YEAR(C146),Flags!$A$13:$B$95,2,FALSE)</f>
        <v>3</v>
      </c>
      <c r="B146" s="24">
        <f t="shared" si="225"/>
        <v>1936</v>
      </c>
      <c r="C146" s="25">
        <v>13454</v>
      </c>
      <c r="D146" s="26"/>
      <c r="E146" s="24"/>
      <c r="F146" s="26"/>
      <c r="G146" s="26"/>
      <c r="H146" s="26"/>
      <c r="I146" s="26"/>
      <c r="J146" s="26"/>
      <c r="K146" s="26"/>
      <c r="L146" s="24"/>
      <c r="M146" s="24"/>
      <c r="N146" s="26"/>
      <c r="O146" s="26"/>
      <c r="P146" s="26"/>
      <c r="Q146" s="26"/>
      <c r="R146" s="26"/>
      <c r="S146" s="26"/>
      <c r="T146" s="26"/>
      <c r="U146" s="26"/>
      <c r="V146" s="26"/>
      <c r="W146" s="26">
        <f>MAX($C$9-VLOOKUP($C146,COS!$B$8:$H$991,3,FALSE),0)</f>
        <v>0</v>
      </c>
      <c r="X146" s="26">
        <f t="shared" si="143"/>
        <v>0</v>
      </c>
      <c r="Y146" s="26">
        <f>VLOOKUP($C146,COS!$B$8:$H$991,4,FALSE)</f>
        <v>840.8681640625</v>
      </c>
      <c r="Z146" s="26">
        <f t="shared" si="144"/>
        <v>51.702968104338844</v>
      </c>
      <c r="AA146" s="26">
        <f t="shared" si="227"/>
        <v>0</v>
      </c>
      <c r="AB146" s="33">
        <f t="shared" si="141"/>
        <v>0</v>
      </c>
    </row>
    <row r="147" spans="1:28" x14ac:dyDescent="0.3">
      <c r="A147" s="32">
        <f>VLOOKUP(YEAR(C147),Flags!$A$13:$B$95,2,FALSE)</f>
        <v>3</v>
      </c>
      <c r="B147" s="24">
        <f t="shared" si="225"/>
        <v>1936</v>
      </c>
      <c r="C147" s="25">
        <v>13484</v>
      </c>
      <c r="D147" s="26"/>
      <c r="E147" s="24"/>
      <c r="F147" s="26"/>
      <c r="G147" s="26"/>
      <c r="H147" s="26"/>
      <c r="I147" s="26"/>
      <c r="J147" s="26"/>
      <c r="K147" s="26"/>
      <c r="L147" s="24"/>
      <c r="M147" s="24"/>
      <c r="N147" s="26"/>
      <c r="O147" s="26"/>
      <c r="P147" s="26"/>
      <c r="Q147" s="26"/>
      <c r="R147" s="26"/>
      <c r="S147" s="26"/>
      <c r="T147" s="26"/>
      <c r="U147" s="26"/>
      <c r="V147" s="26"/>
      <c r="W147" s="26">
        <f>MAX($C$10-VLOOKUP($C147,COS!$B$8:$H$991,3,FALSE),0)</f>
        <v>0</v>
      </c>
      <c r="X147" s="26">
        <f t="shared" si="143"/>
        <v>0</v>
      </c>
      <c r="Y147" s="26">
        <f>VLOOKUP($C147,COS!$B$8:$H$991,4,FALSE)</f>
        <v>1128.2205810546875</v>
      </c>
      <c r="Z147" s="26">
        <f t="shared" si="144"/>
        <v>67.13378664127066</v>
      </c>
      <c r="AA147" s="26">
        <f t="shared" si="227"/>
        <v>0</v>
      </c>
      <c r="AB147" s="33">
        <f t="shared" si="141"/>
        <v>0</v>
      </c>
    </row>
    <row r="148" spans="1:28" x14ac:dyDescent="0.3">
      <c r="A148" s="34">
        <f>VLOOKUP(YEAR(C148),Flags!$A$13:$B$95,2,FALSE)</f>
        <v>3</v>
      </c>
      <c r="B148" s="35">
        <f t="shared" si="225"/>
        <v>1936</v>
      </c>
      <c r="C148" s="36">
        <v>13515</v>
      </c>
      <c r="D148" s="37"/>
      <c r="E148" s="35"/>
      <c r="F148" s="37"/>
      <c r="G148" s="37"/>
      <c r="H148" s="37"/>
      <c r="I148" s="37"/>
      <c r="J148" s="37"/>
      <c r="K148" s="37"/>
      <c r="L148" s="35"/>
      <c r="M148" s="35"/>
      <c r="N148" s="37"/>
      <c r="O148" s="37"/>
      <c r="P148" s="37"/>
      <c r="Q148" s="37"/>
      <c r="R148" s="37"/>
      <c r="S148" s="37"/>
      <c r="T148" s="37"/>
      <c r="U148" s="37"/>
      <c r="V148" s="37"/>
      <c r="W148" s="37">
        <f>MAX($C$11-VLOOKUP($C148,COS!$B$8:$H$991,3,FALSE),0)</f>
        <v>1642.052978515625</v>
      </c>
      <c r="X148" s="37">
        <f t="shared" si="143"/>
        <v>100.96590215005165</v>
      </c>
      <c r="Y148" s="37">
        <f>VLOOKUP($C148,COS!$B$8:$H$991,4,FALSE)</f>
        <v>608.6763916015625</v>
      </c>
      <c r="Z148" s="37">
        <f t="shared" si="144"/>
        <v>37.426052508393596</v>
      </c>
      <c r="AA148" s="37">
        <f t="shared" si="227"/>
        <v>608.6763916015625</v>
      </c>
      <c r="AB148" s="38">
        <f t="shared" si="141"/>
        <v>37.426052508393596</v>
      </c>
    </row>
    <row r="149" spans="1:28" x14ac:dyDescent="0.3">
      <c r="A149" s="27">
        <f>VLOOKUP(YEAR(C149),Flags!$A$13:$B$95,2,FALSE)</f>
        <v>4</v>
      </c>
      <c r="B149" s="28">
        <f t="shared" si="225"/>
        <v>1937</v>
      </c>
      <c r="C149" s="29">
        <v>13635</v>
      </c>
      <c r="D149" s="30">
        <f>VLOOKUP($C149,COS!$B$8:$H$991,3,FALSE)</f>
        <v>3250</v>
      </c>
      <c r="E149" s="28">
        <f>IF(D149&gt;=IF(MONTH($C149)=4,$C$3,IF(MONTH($C149)=5,$C$4,IF(MONTH($C149)=6,$C$5,IF(MONTH($C149)=7,$C$6,"ERROR")))),1,0)</f>
        <v>0</v>
      </c>
      <c r="F149" s="30">
        <f>VLOOKUP($C149,COS!$B$8:$H$991,7,FALSE)</f>
        <v>51.161907196044922</v>
      </c>
      <c r="G149" s="28">
        <f>IF(F149&lt;=IF(MONTH($C149)=4,$F$3,IF(MONTH($C149)=5,$F$4,IF(MONTH($C149)=6,$F$5,IF(MONTH($C149)=7,$F$6,"ERROR")))),1,0)</f>
        <v>1</v>
      </c>
      <c r="H149" s="30">
        <f>IF(J149=1,D149-$C$3,0)</f>
        <v>0</v>
      </c>
      <c r="I149" s="30">
        <f t="shared" si="136"/>
        <v>0</v>
      </c>
      <c r="J149" s="28">
        <f t="shared" ref="J149:J152" si="230">IF(AND(E149=1,G149=1),1,0)</f>
        <v>0</v>
      </c>
      <c r="K149" s="30">
        <f>VLOOKUP($C149,COS!$B$8:$H$991,2,FALSE)</f>
        <v>4047.59912109375</v>
      </c>
      <c r="L149" s="28">
        <f t="shared" ref="L149:L206" si="231">IF(K149&lt;=IF(MONTH($C149)=4,$I$3,IF(MONTH($C149)=5,$I$4,IF(MONTH($C149)=6,$I$5,IF(MONTH($C149)=7,$I$6,"ERROR")))),1,0)</f>
        <v>1</v>
      </c>
      <c r="M149" s="28">
        <f t="shared" ref="M149:M206" si="232">VLOOKUP($A149,$L$3:$M$7,2,FALSE)</f>
        <v>1</v>
      </c>
      <c r="N149" s="30">
        <f>VLOOKUP($C149,COS!$B$8:$H$991,5,FALSE)</f>
        <v>21.622846603393555</v>
      </c>
      <c r="O149" s="30">
        <f t="shared" ref="O149:O152" si="233">N149*DAY($C149)*86400/43560/1000</f>
        <v>1.2866487235077158</v>
      </c>
      <c r="P149" s="30">
        <f>VLOOKUP($C149,COS!$B$8:$H$991,6,FALSE)</f>
        <v>433.80865478515625</v>
      </c>
      <c r="Q149" s="30">
        <f t="shared" ref="Q149:Q152" si="234">P149*DAY($C149)*86400/43560/1000</f>
        <v>25.813407557463844</v>
      </c>
      <c r="R149" s="30">
        <f>MIN(IF(MONTH($C149)=4,$S$3,IF(MONTH($C149)=5,$S$4,IF(MONTH($C149)=6,$S$5,IF(MONTH($C149)=7,$S$6,"ERROR")))),MAX(VLOOKUP($C149,COS!$B$8:$K$991,10,FALSE)-IF(MONTH($C149)=4,$Y$3,IF(MONTH($C149)=5,$Y$4,IF(MONTH($C149)=6,$Y$5,IF(MONTH($C149)=7,$Y$6,"ERROR")))),0),MAX(VLOOKUP($C149,COS!$B$8:$K$991,9,FALSE)-IF(MONTH($C149)=4,$V$3,IF(MONTH($C149)=5,$V$4,IF(MONTH($C149)=6,$V$5,IF(MONTH($C149)=7,$V$6,"ERROR"))))-VLOOKUP($C149,COS!$B$8:$K$991,6,FALSE)/2,0))</f>
        <v>1500</v>
      </c>
      <c r="S149" s="30">
        <f t="shared" ref="S149:S152" si="235">R149*DAY($C149)*86400/43560/1000</f>
        <v>89.256198347107429</v>
      </c>
      <c r="T149" s="30">
        <f t="shared" ref="T149:T152" si="236">(O149+Q149)/2+S149</f>
        <v>102.80622648759321</v>
      </c>
      <c r="U149" s="30" t="str">
        <f>IF(VLOOKUP($C149,COS!$B$8:$I$991,8,FALSE)=1,"UWFE","IBU")</f>
        <v>UWFE</v>
      </c>
      <c r="V149" s="30">
        <f t="shared" ref="V149" si="237">MIN(IF(IF($AA$3=2,AND(E149=1,G149=1,L149=1,L154=1,M149=1,U149="IBU"),AND(E149=1,G149=1,L149=1,L154=1,M149=1)),T149,0),I149)</f>
        <v>0</v>
      </c>
      <c r="W149" s="30"/>
      <c r="X149" s="30"/>
      <c r="Y149" s="30"/>
      <c r="Z149" s="30"/>
      <c r="AA149" s="30"/>
      <c r="AB149" s="31"/>
    </row>
    <row r="150" spans="1:28" x14ac:dyDescent="0.3">
      <c r="A150" s="32">
        <f>VLOOKUP(YEAR(C150),Flags!$A$13:$B$95,2,FALSE)</f>
        <v>4</v>
      </c>
      <c r="B150" s="24">
        <f t="shared" si="225"/>
        <v>1937</v>
      </c>
      <c r="C150" s="25">
        <v>13666</v>
      </c>
      <c r="D150" s="26">
        <f>VLOOKUP($C150,COS!$B$8:$H$991,3,FALSE)</f>
        <v>5043.80322265625</v>
      </c>
      <c r="E150" s="24">
        <f>IF(D150&gt;=IF(MONTH($C150)=4,$C$3,IF(MONTH($C150)=5,$C$4,IF(MONTH($C150)=6,$C$5,IF(MONTH($C150)=7,$C$6,"ERROR")))),1,0)</f>
        <v>0</v>
      </c>
      <c r="F150" s="26">
        <f>VLOOKUP($C150,COS!$B$8:$H$991,7,FALSE)</f>
        <v>52.362800598144531</v>
      </c>
      <c r="G150" s="24">
        <f>IF(F150&lt;=IF(MONTH($C150)=4,$F$3,IF(MONTH($C150)=5,$F$4,IF(MONTH($C150)=6,$F$5,IF(MONTH($C150)=7,$F$6,"ERROR")))),1,0)</f>
        <v>1</v>
      </c>
      <c r="H150" s="26">
        <f>IF(J150=1,D150-$C$4,0)</f>
        <v>0</v>
      </c>
      <c r="I150" s="26">
        <f t="shared" si="136"/>
        <v>0</v>
      </c>
      <c r="J150" s="24">
        <f t="shared" si="230"/>
        <v>0</v>
      </c>
      <c r="K150" s="26">
        <f>VLOOKUP($C150,COS!$B$8:$H$991,2,FALSE)</f>
        <v>4246.3125</v>
      </c>
      <c r="L150" s="24">
        <f t="shared" si="231"/>
        <v>1</v>
      </c>
      <c r="M150" s="24">
        <f t="shared" si="232"/>
        <v>1</v>
      </c>
      <c r="N150" s="26">
        <f>VLOOKUP($C150,COS!$B$8:$H$991,5,FALSE)</f>
        <v>298.0838623046875</v>
      </c>
      <c r="O150" s="26">
        <f t="shared" si="233"/>
        <v>18.328462277246903</v>
      </c>
      <c r="P150" s="26">
        <f>VLOOKUP($C150,COS!$B$8:$H$991,6,FALSE)</f>
        <v>2283.91845703125</v>
      </c>
      <c r="Q150" s="26">
        <f t="shared" si="234"/>
        <v>140.43267206869837</v>
      </c>
      <c r="R150" s="26">
        <f>MIN(IF(MONTH($C150)=4,$S$3,IF(MONTH($C150)=5,$S$4,IF(MONTH($C150)=6,$S$5,IF(MONTH($C150)=7,$S$6,"ERROR")))),MAX(VLOOKUP($C150,COS!$B$8:$K$991,10,FALSE)-IF(MONTH($C150)=4,$Y$3,IF(MONTH($C150)=5,$Y$4,IF(MONTH($C150)=6,$Y$5,IF(MONTH($C150)=7,$Y$6,"ERROR")))),0),MAX(VLOOKUP($C150,COS!$B$8:$K$991,9,FALSE)-IF(MONTH($C150)=4,$V$3,IF(MONTH($C150)=5,$V$4,IF(MONTH($C150)=6,$V$5,IF(MONTH($C150)=7,$V$6,"ERROR"))))-VLOOKUP($C150,COS!$B$8:$K$991,6,FALSE)/2,0))</f>
        <v>1500</v>
      </c>
      <c r="S150" s="26">
        <f t="shared" si="235"/>
        <v>92.231404958677686</v>
      </c>
      <c r="T150" s="26">
        <f t="shared" si="236"/>
        <v>171.6119721316503</v>
      </c>
      <c r="U150" s="26" t="str">
        <f>IF(VLOOKUP($C150,COS!$B$8:$I$991,8,FALSE)=1,"UWFE","IBU")</f>
        <v>UWFE</v>
      </c>
      <c r="V150" s="26">
        <f t="shared" ref="V150" si="238">MIN(IF(IF($AA$3=2,AND(E150=1,G150=1,L150=1,L154=1,M150=1,U150="IBU"),AND(E150=1,G150=1,L150=1,L154=1,M150=1)),T150,0),I150)</f>
        <v>0</v>
      </c>
      <c r="W150" s="26"/>
      <c r="X150" s="26"/>
      <c r="Y150" s="26"/>
      <c r="Z150" s="26"/>
      <c r="AA150" s="26"/>
      <c r="AB150" s="33"/>
    </row>
    <row r="151" spans="1:28" x14ac:dyDescent="0.3">
      <c r="A151" s="32">
        <f>VLOOKUP(YEAR(C151),Flags!$A$13:$B$95,2,FALSE)</f>
        <v>4</v>
      </c>
      <c r="B151" s="24">
        <f t="shared" si="225"/>
        <v>1937</v>
      </c>
      <c r="C151" s="25">
        <v>13696</v>
      </c>
      <c r="D151" s="26">
        <f>VLOOKUP($C151,COS!$B$8:$H$991,3,FALSE)</f>
        <v>7479.65771484375</v>
      </c>
      <c r="E151" s="24">
        <f>IF(D151&gt;=IF(MONTH($C151)=4,$C$3,IF(MONTH($C151)=5,$C$4,IF(MONTH($C151)=6,$C$5,IF(MONTH($C151)=7,$C$6,"ERROR")))),1,0)</f>
        <v>0</v>
      </c>
      <c r="F151" s="26">
        <f>VLOOKUP($C151,COS!$B$8:$H$991,7,FALSE)</f>
        <v>52.658245086669922</v>
      </c>
      <c r="G151" s="24">
        <f>IF(F151&lt;=IF(MONTH($C151)=4,$F$3,IF(MONTH($C151)=5,$F$4,IF(MONTH($C151)=6,$F$5,IF(MONTH($C151)=7,$F$6,"ERROR")))),1,0)</f>
        <v>1</v>
      </c>
      <c r="H151" s="26">
        <f>IF(J151=1,D151-$C$5,0)</f>
        <v>0</v>
      </c>
      <c r="I151" s="26">
        <f t="shared" ref="I151:I214" si="239">H151*DAY($C151)*86400/43560/1000</f>
        <v>0</v>
      </c>
      <c r="J151" s="24">
        <f t="shared" si="230"/>
        <v>0</v>
      </c>
      <c r="K151" s="26">
        <f>VLOOKUP($C151,COS!$B$8:$H$991,2,FALSE)</f>
        <v>4074.04931640625</v>
      </c>
      <c r="L151" s="24">
        <f t="shared" si="231"/>
        <v>1</v>
      </c>
      <c r="M151" s="24">
        <f t="shared" si="232"/>
        <v>1</v>
      </c>
      <c r="N151" s="26">
        <f>VLOOKUP($C151,COS!$B$8:$H$991,5,FALSE)</f>
        <v>523.22735595703125</v>
      </c>
      <c r="O151" s="26">
        <f t="shared" si="233"/>
        <v>31.13418977595558</v>
      </c>
      <c r="P151" s="26">
        <f>VLOOKUP($C151,COS!$B$8:$H$991,6,FALSE)</f>
        <v>2560.548095703125</v>
      </c>
      <c r="Q151" s="26">
        <f t="shared" si="234"/>
        <v>152.36319247159091</v>
      </c>
      <c r="R151" s="26">
        <f>MIN(IF(MONTH($C151)=4,$S$3,IF(MONTH($C151)=5,$S$4,IF(MONTH($C151)=6,$S$5,IF(MONTH($C151)=7,$S$6,"ERROR")))),MAX(VLOOKUP($C151,COS!$B$8:$K$991,10,FALSE)-IF(MONTH($C151)=4,$Y$3,IF(MONTH($C151)=5,$Y$4,IF(MONTH($C151)=6,$Y$5,IF(MONTH($C151)=7,$Y$6,"ERROR")))),0),MAX(VLOOKUP($C151,COS!$B$8:$K$991,9,FALSE)-IF(MONTH($C151)=4,$V$3,IF(MONTH($C151)=5,$V$4,IF(MONTH($C151)=6,$V$5,IF(MONTH($C151)=7,$V$6,"ERROR"))))-VLOOKUP($C151,COS!$B$8:$K$991,6,FALSE)/2,0))</f>
        <v>1500</v>
      </c>
      <c r="S151" s="26">
        <f t="shared" si="235"/>
        <v>89.256198347107429</v>
      </c>
      <c r="T151" s="26">
        <f t="shared" si="236"/>
        <v>181.00488947088067</v>
      </c>
      <c r="U151" s="26" t="str">
        <f>IF(VLOOKUP($C151,COS!$B$8:$I$991,8,FALSE)=1,"UWFE","IBU")</f>
        <v>IBU</v>
      </c>
      <c r="V151" s="26">
        <f t="shared" ref="V151" si="240">MIN(IF(IF($AA$3=2,AND(E151=1,G151=1,L151=1,L154=1,M151=1,U151="IBU"),AND(E151=1,G151=1,L151=1,L154=1,M151=1)),T151,0),I151)</f>
        <v>0</v>
      </c>
      <c r="W151" s="26"/>
      <c r="X151" s="26"/>
      <c r="Y151" s="26"/>
      <c r="Z151" s="26"/>
      <c r="AA151" s="26"/>
      <c r="AB151" s="33"/>
    </row>
    <row r="152" spans="1:28" x14ac:dyDescent="0.3">
      <c r="A152" s="32">
        <f>VLOOKUP(YEAR(C152),Flags!$A$13:$B$95,2,FALSE)</f>
        <v>4</v>
      </c>
      <c r="B152" s="24">
        <f t="shared" si="225"/>
        <v>1937</v>
      </c>
      <c r="C152" s="25">
        <v>13727</v>
      </c>
      <c r="D152" s="26">
        <f>VLOOKUP($C152,COS!$B$8:$H$991,3,FALSE)</f>
        <v>10615.4677734375</v>
      </c>
      <c r="E152" s="24">
        <f>IF(D152&gt;=IF(MONTH($C152)=4,$C$3,IF(MONTH($C152)=5,$C$4,IF(MONTH($C152)=6,$C$5,IF(MONTH($C152)=7,$C$6,"ERROR")))),1,0)</f>
        <v>0</v>
      </c>
      <c r="F152" s="26">
        <f>VLOOKUP($C152,COS!$B$8:$H$991,7,FALSE)</f>
        <v>52.404350280761719</v>
      </c>
      <c r="G152" s="24">
        <f>IF(F152&lt;=IF(MONTH($C152)=4,$F$3,IF(MONTH($C152)=5,$F$4,IF(MONTH($C152)=6,$F$5,IF(MONTH($C152)=7,$F$6,"ERROR")))),1,0)</f>
        <v>1</v>
      </c>
      <c r="H152" s="26">
        <f>IF(J152=1,D152-$C$6,0)</f>
        <v>0</v>
      </c>
      <c r="I152" s="26">
        <f t="shared" si="239"/>
        <v>0</v>
      </c>
      <c r="J152" s="24">
        <f t="shared" si="230"/>
        <v>0</v>
      </c>
      <c r="K152" s="26">
        <f>VLOOKUP($C152,COS!$B$8:$H$991,2,FALSE)</f>
        <v>3583.887451171875</v>
      </c>
      <c r="L152" s="24">
        <f t="shared" si="231"/>
        <v>1</v>
      </c>
      <c r="M152" s="24">
        <f t="shared" si="232"/>
        <v>1</v>
      </c>
      <c r="N152" s="26">
        <f>VLOOKUP($C152,COS!$B$8:$H$991,5,FALSE)</f>
        <v>624.25457763671875</v>
      </c>
      <c r="O152" s="26">
        <f t="shared" si="233"/>
        <v>38.383917831547002</v>
      </c>
      <c r="P152" s="26">
        <f>VLOOKUP($C152,COS!$B$8:$H$991,6,FALSE)</f>
        <v>2537.385498046875</v>
      </c>
      <c r="Q152" s="26">
        <f t="shared" si="234"/>
        <v>156.01775293775825</v>
      </c>
      <c r="R152" s="26">
        <f>MIN(IF(MONTH($C152)=4,$S$3,IF(MONTH($C152)=5,$S$4,IF(MONTH($C152)=6,$S$5,IF(MONTH($C152)=7,$S$6,"ERROR")))),MAX(VLOOKUP($C152,COS!$B$8:$K$991,10,FALSE)-IF(MONTH($C152)=4,$Y$3,IF(MONTH($C152)=5,$Y$4,IF(MONTH($C152)=6,$Y$5,IF(MONTH($C152)=7,$Y$6,"ERROR")))),0),MAX(VLOOKUP($C152,COS!$B$8:$K$991,9,FALSE)-IF(MONTH($C152)=4,$V$3,IF(MONTH($C152)=5,$V$4,IF(MONTH($C152)=6,$V$5,IF(MONTH($C152)=7,$V$6,"ERROR"))))-VLOOKUP($C152,COS!$B$8:$K$991,6,FALSE)/2,0))</f>
        <v>1500</v>
      </c>
      <c r="S152" s="26">
        <f t="shared" si="235"/>
        <v>92.231404958677686</v>
      </c>
      <c r="T152" s="26">
        <f t="shared" si="236"/>
        <v>189.43224034333031</v>
      </c>
      <c r="U152" s="26" t="str">
        <f>IF(VLOOKUP($C152,COS!$B$8:$I$991,8,FALSE)=1,"UWFE","IBU")</f>
        <v>IBU</v>
      </c>
      <c r="V152" s="26">
        <f t="shared" ref="V152" si="241">MIN(IF(IF($AA$3=2,AND(E152=1,G152=1,L152=1,L154=1,M152=1,U152="IBU"),AND(E152=1,G152=1,L152=1,L154=1,M152=1)),T152,0),I152)</f>
        <v>0</v>
      </c>
      <c r="W152" s="26"/>
      <c r="X152" s="26"/>
      <c r="Y152" s="26"/>
      <c r="Z152" s="26"/>
      <c r="AA152" s="26"/>
      <c r="AB152" s="33"/>
    </row>
    <row r="153" spans="1:28" x14ac:dyDescent="0.3">
      <c r="A153" s="32">
        <f>VLOOKUP(YEAR(C153),Flags!$A$13:$B$95,2,FALSE)</f>
        <v>4</v>
      </c>
      <c r="B153" s="24">
        <f t="shared" si="225"/>
        <v>1937</v>
      </c>
      <c r="C153" s="25">
        <v>13758</v>
      </c>
      <c r="D153" s="26"/>
      <c r="E153" s="24"/>
      <c r="F153" s="26"/>
      <c r="G153" s="24"/>
      <c r="H153" s="24"/>
      <c r="I153" s="26"/>
      <c r="J153" s="24"/>
      <c r="K153" s="26"/>
      <c r="L153" s="24"/>
      <c r="M153" s="24"/>
      <c r="N153" s="26"/>
      <c r="O153" s="26"/>
      <c r="P153" s="26"/>
      <c r="Q153" s="26"/>
      <c r="R153" s="26"/>
      <c r="S153" s="26"/>
      <c r="T153" s="26"/>
      <c r="U153" s="26"/>
      <c r="V153" s="26"/>
      <c r="W153" s="26">
        <f>MAX($C$7-VLOOKUP($C153,COS!$B$8:$H$991,3,FALSE),0)</f>
        <v>2409.666015625</v>
      </c>
      <c r="X153" s="26">
        <f t="shared" si="143"/>
        <v>148.16458806818181</v>
      </c>
      <c r="Y153" s="26">
        <f>VLOOKUP($C153,COS!$B$8:$H$991,4,FALSE)</f>
        <v>565.9937744140625</v>
      </c>
      <c r="Z153" s="26">
        <f t="shared" si="144"/>
        <v>34.801600674715914</v>
      </c>
      <c r="AA153" s="26">
        <f t="shared" ref="AA153:AA157" si="242">MIN(W153,Y153)</f>
        <v>565.9937744140625</v>
      </c>
      <c r="AB153" s="33">
        <f t="shared" ref="AB153:AB211" si="243">AA153*DAY($C153)*86400/43560/1000*IF(MONTH($C153)=8,$P$3,IF(MONTH($C153)=9,$P$4,IF(MONTH($C153)=10,$P$5,IF(MONTH($C153)=11,$P$6,IF(MONTH($C153)=12,$P$7,NA())))))</f>
        <v>34.801600674715914</v>
      </c>
    </row>
    <row r="154" spans="1:28" x14ac:dyDescent="0.3">
      <c r="A154" s="32">
        <f>VLOOKUP(YEAR(C154),Flags!$A$13:$B$95,2,FALSE)</f>
        <v>4</v>
      </c>
      <c r="B154" s="24">
        <f t="shared" si="225"/>
        <v>1937</v>
      </c>
      <c r="C154" s="25">
        <v>13788</v>
      </c>
      <c r="D154" s="26"/>
      <c r="E154" s="24"/>
      <c r="F154" s="26"/>
      <c r="G154" s="24"/>
      <c r="H154" s="24"/>
      <c r="I154" s="26"/>
      <c r="J154" s="24"/>
      <c r="K154" s="26">
        <f>VLOOKUP($C154,COS!$B$8:$H$991,2,FALSE)</f>
        <v>3016.538330078125</v>
      </c>
      <c r="L154" s="24">
        <f t="shared" ref="L154" si="244">IF(AND(K154&gt;$I$7,K154&lt;$I$8),1,0)</f>
        <v>1</v>
      </c>
      <c r="M154" s="24"/>
      <c r="N154" s="26"/>
      <c r="O154" s="26"/>
      <c r="P154" s="26"/>
      <c r="Q154" s="26"/>
      <c r="R154" s="26"/>
      <c r="S154" s="26"/>
      <c r="T154" s="26"/>
      <c r="U154" s="26"/>
      <c r="V154" s="26"/>
      <c r="W154" s="26">
        <f>MAX($C$8-VLOOKUP($C154,COS!$B$8:$H$991,3,FALSE),0)</f>
        <v>464.15234375</v>
      </c>
      <c r="X154" s="26">
        <f t="shared" si="143"/>
        <v>27.618982438016531</v>
      </c>
      <c r="Y154" s="26">
        <f>VLOOKUP($C154,COS!$B$8:$H$991,4,FALSE)</f>
        <v>479.2886962890625</v>
      </c>
      <c r="Z154" s="26">
        <f t="shared" si="144"/>
        <v>28.519657961002068</v>
      </c>
      <c r="AA154" s="26">
        <f t="shared" si="242"/>
        <v>464.15234375</v>
      </c>
      <c r="AB154" s="33">
        <f t="shared" si="243"/>
        <v>27.618982438016531</v>
      </c>
    </row>
    <row r="155" spans="1:28" x14ac:dyDescent="0.3">
      <c r="A155" s="32">
        <f>VLOOKUP(YEAR(C155),Flags!$A$13:$B$95,2,FALSE)</f>
        <v>4</v>
      </c>
      <c r="B155" s="24">
        <f t="shared" si="225"/>
        <v>1937</v>
      </c>
      <c r="C155" s="25">
        <v>13819</v>
      </c>
      <c r="D155" s="26"/>
      <c r="E155" s="24"/>
      <c r="F155" s="26"/>
      <c r="G155" s="26"/>
      <c r="H155" s="26"/>
      <c r="I155" s="26"/>
      <c r="J155" s="26"/>
      <c r="K155" s="26"/>
      <c r="L155" s="24"/>
      <c r="M155" s="24"/>
      <c r="N155" s="26"/>
      <c r="O155" s="26"/>
      <c r="P155" s="26"/>
      <c r="Q155" s="26"/>
      <c r="R155" s="26"/>
      <c r="S155" s="26"/>
      <c r="T155" s="26"/>
      <c r="U155" s="26"/>
      <c r="V155" s="26"/>
      <c r="W155" s="26">
        <f>MAX($C$9-VLOOKUP($C155,COS!$B$8:$H$991,3,FALSE),0)</f>
        <v>508.43994140625</v>
      </c>
      <c r="X155" s="26">
        <f t="shared" ref="X155:X218" si="245">W155*DAY($C155)*86400/43560/1000</f>
        <v>31.262753422004131</v>
      </c>
      <c r="Y155" s="26">
        <f>VLOOKUP($C155,COS!$B$8:$H$991,4,FALSE)</f>
        <v>673.72100830078125</v>
      </c>
      <c r="Z155" s="26">
        <f t="shared" ref="Z155:Z218" si="246">Y155*DAY($C155)*86400/43560/1000</f>
        <v>41.425490097172002</v>
      </c>
      <c r="AA155" s="26">
        <f t="shared" si="242"/>
        <v>508.43994140625</v>
      </c>
      <c r="AB155" s="33">
        <f t="shared" si="243"/>
        <v>31.262753422004131</v>
      </c>
    </row>
    <row r="156" spans="1:28" x14ac:dyDescent="0.3">
      <c r="A156" s="32">
        <f>VLOOKUP(YEAR(C156),Flags!$A$13:$B$95,2,FALSE)</f>
        <v>4</v>
      </c>
      <c r="B156" s="24">
        <f t="shared" si="225"/>
        <v>1937</v>
      </c>
      <c r="C156" s="25">
        <v>13849</v>
      </c>
      <c r="D156" s="26"/>
      <c r="E156" s="24"/>
      <c r="F156" s="26"/>
      <c r="G156" s="26"/>
      <c r="H156" s="26"/>
      <c r="I156" s="26"/>
      <c r="J156" s="26"/>
      <c r="K156" s="26"/>
      <c r="L156" s="24"/>
      <c r="M156" s="24"/>
      <c r="N156" s="26"/>
      <c r="O156" s="26"/>
      <c r="P156" s="26"/>
      <c r="Q156" s="26"/>
      <c r="R156" s="26"/>
      <c r="S156" s="26"/>
      <c r="T156" s="26"/>
      <c r="U156" s="26"/>
      <c r="V156" s="26"/>
      <c r="W156" s="26">
        <f>MAX($C$10-VLOOKUP($C156,COS!$B$8:$H$991,3,FALSE),0)</f>
        <v>0</v>
      </c>
      <c r="X156" s="26">
        <f t="shared" si="245"/>
        <v>0</v>
      </c>
      <c r="Y156" s="26">
        <f>VLOOKUP($C156,COS!$B$8:$H$991,4,FALSE)</f>
        <v>0</v>
      </c>
      <c r="Z156" s="26">
        <f t="shared" si="246"/>
        <v>0</v>
      </c>
      <c r="AA156" s="26">
        <f t="shared" si="242"/>
        <v>0</v>
      </c>
      <c r="AB156" s="33">
        <f t="shared" si="243"/>
        <v>0</v>
      </c>
    </row>
    <row r="157" spans="1:28" x14ac:dyDescent="0.3">
      <c r="A157" s="34">
        <f>VLOOKUP(YEAR(C157),Flags!$A$13:$B$95,2,FALSE)</f>
        <v>4</v>
      </c>
      <c r="B157" s="35">
        <f t="shared" si="225"/>
        <v>1937</v>
      </c>
      <c r="C157" s="36">
        <v>13880</v>
      </c>
      <c r="D157" s="37"/>
      <c r="E157" s="35"/>
      <c r="F157" s="37"/>
      <c r="G157" s="37"/>
      <c r="H157" s="37"/>
      <c r="I157" s="37"/>
      <c r="J157" s="37"/>
      <c r="K157" s="37"/>
      <c r="L157" s="35"/>
      <c r="M157" s="35"/>
      <c r="N157" s="37"/>
      <c r="O157" s="37"/>
      <c r="P157" s="37"/>
      <c r="Q157" s="37"/>
      <c r="R157" s="37"/>
      <c r="S157" s="37"/>
      <c r="T157" s="37"/>
      <c r="U157" s="37"/>
      <c r="V157" s="37"/>
      <c r="W157" s="37">
        <f>MAX($C$11-VLOOKUP($C157,COS!$B$8:$H$991,3,FALSE),0)</f>
        <v>0</v>
      </c>
      <c r="X157" s="37">
        <f t="shared" si="245"/>
        <v>0</v>
      </c>
      <c r="Y157" s="37">
        <f>VLOOKUP($C157,COS!$B$8:$H$991,4,FALSE)</f>
        <v>0</v>
      </c>
      <c r="Z157" s="37">
        <f t="shared" si="246"/>
        <v>0</v>
      </c>
      <c r="AA157" s="37">
        <f t="shared" si="242"/>
        <v>0</v>
      </c>
      <c r="AB157" s="38">
        <f t="shared" si="243"/>
        <v>0</v>
      </c>
    </row>
    <row r="158" spans="1:28" x14ac:dyDescent="0.3">
      <c r="A158" s="27">
        <f>VLOOKUP(YEAR(C158),Flags!$A$13:$B$95,2,FALSE)</f>
        <v>1</v>
      </c>
      <c r="B158" s="28">
        <f t="shared" si="225"/>
        <v>1938</v>
      </c>
      <c r="C158" s="29">
        <v>14000</v>
      </c>
      <c r="D158" s="30">
        <f>VLOOKUP($C158,COS!$B$8:$H$991,3,FALSE)</f>
        <v>11215.0048828125</v>
      </c>
      <c r="E158" s="28">
        <f>IF(D158&gt;=IF(MONTH($C158)=4,$C$3,IF(MONTH($C158)=5,$C$4,IF(MONTH($C158)=6,$C$5,IF(MONTH($C158)=7,$C$6,"ERROR")))),1,0)</f>
        <v>1</v>
      </c>
      <c r="F158" s="30">
        <f>VLOOKUP($C158,COS!$B$8:$H$991,7,FALSE)</f>
        <v>47.354358673095703</v>
      </c>
      <c r="G158" s="28">
        <f>IF(F158&lt;=IF(MONTH($C158)=4,$F$3,IF(MONTH($C158)=5,$F$4,IF(MONTH($C158)=6,$F$5,IF(MONTH($C158)=7,$F$6,"ERROR")))),1,0)</f>
        <v>1</v>
      </c>
      <c r="H158" s="30">
        <f>IF(J158=1,D158-$C$3,0)</f>
        <v>5215.0048828125</v>
      </c>
      <c r="I158" s="30">
        <f t="shared" si="239"/>
        <v>310.31434013429748</v>
      </c>
      <c r="J158" s="28">
        <f t="shared" ref="J158:J161" si="247">IF(AND(E158=1,G158=1),1,0)</f>
        <v>1</v>
      </c>
      <c r="K158" s="30">
        <f>VLOOKUP($C158,COS!$B$8:$H$991,2,FALSE)</f>
        <v>4058</v>
      </c>
      <c r="L158" s="28">
        <f t="shared" ref="L158" si="248">IF(K158&lt;=IF(MONTH($C158)=4,$I$3,IF(MONTH($C158)=5,$I$4,IF(MONTH($C158)=6,$I$5,IF(MONTH($C158)=7,$I$6,"ERROR")))),1,0)</f>
        <v>1</v>
      </c>
      <c r="M158" s="28">
        <f t="shared" ref="M158" si="249">VLOOKUP($A158,$L$3:$M$7,2,FALSE)</f>
        <v>0</v>
      </c>
      <c r="N158" s="30">
        <f>VLOOKUP($C158,COS!$B$8:$H$991,5,FALSE)</f>
        <v>40.17889404296875</v>
      </c>
      <c r="O158" s="30">
        <f t="shared" ref="O158:O161" si="250">N158*DAY($C158)*86400/43560/1000</f>
        <v>2.3908102240444213</v>
      </c>
      <c r="P158" s="30">
        <f>VLOOKUP($C158,COS!$B$8:$H$991,6,FALSE)</f>
        <v>377.05276489257813</v>
      </c>
      <c r="Q158" s="30">
        <f t="shared" ref="Q158:Q161" si="251">P158*DAY($C158)*86400/43560/1000</f>
        <v>22.436197580384814</v>
      </c>
      <c r="R158" s="30">
        <f>MIN(IF(MONTH($C158)=4,$S$3,IF(MONTH($C158)=5,$S$4,IF(MONTH($C158)=6,$S$5,IF(MONTH($C158)=7,$S$6,"ERROR")))),MAX(VLOOKUP($C158,COS!$B$8:$K$991,10,FALSE)-IF(MONTH($C158)=4,$Y$3,IF(MONTH($C158)=5,$Y$4,IF(MONTH($C158)=6,$Y$5,IF(MONTH($C158)=7,$Y$6,"ERROR")))),0),MAX(VLOOKUP($C158,COS!$B$8:$K$991,9,FALSE)-IF(MONTH($C158)=4,$V$3,IF(MONTH($C158)=5,$V$4,IF(MONTH($C158)=6,$V$5,IF(MONTH($C158)=7,$V$6,"ERROR"))))-VLOOKUP($C158,COS!$B$8:$K$991,6,FALSE)/2,0))</f>
        <v>1500</v>
      </c>
      <c r="S158" s="30">
        <f t="shared" ref="S158:S161" si="252">R158*DAY($C158)*86400/43560/1000</f>
        <v>89.256198347107429</v>
      </c>
      <c r="T158" s="30">
        <f t="shared" ref="T158:T161" si="253">(O158+Q158)/2+S158</f>
        <v>101.66970224932204</v>
      </c>
      <c r="U158" s="30" t="str">
        <f>IF(VLOOKUP($C158,COS!$B$8:$I$991,8,FALSE)=1,"UWFE","IBU")</f>
        <v>UWFE</v>
      </c>
      <c r="V158" s="30">
        <f t="shared" ref="V158" si="254">MIN(IF(IF($AA$3=2,AND(E158=1,G158=1,L158=1,L163=1,M158=1,U158="IBU"),AND(E158=1,G158=1,L158=1,L163=1,M158=1)),T158,0),I158)</f>
        <v>0</v>
      </c>
      <c r="W158" s="30"/>
      <c r="X158" s="30"/>
      <c r="Y158" s="30"/>
      <c r="Z158" s="30"/>
      <c r="AA158" s="30"/>
      <c r="AB158" s="31"/>
    </row>
    <row r="159" spans="1:28" x14ac:dyDescent="0.3">
      <c r="A159" s="32">
        <f>VLOOKUP(YEAR(C159),Flags!$A$13:$B$95,2,FALSE)</f>
        <v>1</v>
      </c>
      <c r="B159" s="24">
        <f t="shared" si="225"/>
        <v>1938</v>
      </c>
      <c r="C159" s="25">
        <v>14031</v>
      </c>
      <c r="D159" s="26">
        <f>VLOOKUP($C159,COS!$B$8:$H$991,3,FALSE)</f>
        <v>8562.095703125</v>
      </c>
      <c r="E159" s="24">
        <f>IF(D159&gt;=IF(MONTH($C159)=4,$C$3,IF(MONTH($C159)=5,$C$4,IF(MONTH($C159)=6,$C$5,IF(MONTH($C159)=7,$C$6,"ERROR")))),1,0)</f>
        <v>1</v>
      </c>
      <c r="F159" s="26">
        <f>VLOOKUP($C159,COS!$B$8:$H$991,7,FALSE)</f>
        <v>50.241443634033203</v>
      </c>
      <c r="G159" s="24">
        <f>IF(F159&lt;=IF(MONTH($C159)=4,$F$3,IF(MONTH($C159)=5,$F$4,IF(MONTH($C159)=6,$F$5,IF(MONTH($C159)=7,$F$6,"ERROR")))),1,0)</f>
        <v>1</v>
      </c>
      <c r="H159" s="26">
        <f>IF(J159=1,D159-$C$4,0)</f>
        <v>2562.095703125</v>
      </c>
      <c r="I159" s="26">
        <f t="shared" si="239"/>
        <v>157.53712422520661</v>
      </c>
      <c r="J159" s="24">
        <f t="shared" si="247"/>
        <v>1</v>
      </c>
      <c r="K159" s="26">
        <f>VLOOKUP($C159,COS!$B$8:$H$991,2,FALSE)</f>
        <v>4488.45849609375</v>
      </c>
      <c r="L159" s="24">
        <f t="shared" si="231"/>
        <v>1</v>
      </c>
      <c r="M159" s="24">
        <f t="shared" si="232"/>
        <v>0</v>
      </c>
      <c r="N159" s="26">
        <f>VLOOKUP($C159,COS!$B$8:$H$991,5,FALSE)</f>
        <v>664.77288818359375</v>
      </c>
      <c r="O159" s="26">
        <f t="shared" si="250"/>
        <v>40.875291637073857</v>
      </c>
      <c r="P159" s="26">
        <f>VLOOKUP($C159,COS!$B$8:$H$991,6,FALSE)</f>
        <v>2143.932373046875</v>
      </c>
      <c r="Q159" s="26">
        <f t="shared" si="251"/>
        <v>131.82526326833678</v>
      </c>
      <c r="R159" s="26">
        <f>MIN(IF(MONTH($C159)=4,$S$3,IF(MONTH($C159)=5,$S$4,IF(MONTH($C159)=6,$S$5,IF(MONTH($C159)=7,$S$6,"ERROR")))),MAX(VLOOKUP($C159,COS!$B$8:$K$991,10,FALSE)-IF(MONTH($C159)=4,$Y$3,IF(MONTH($C159)=5,$Y$4,IF(MONTH($C159)=6,$Y$5,IF(MONTH($C159)=7,$Y$6,"ERROR")))),0),MAX(VLOOKUP($C159,COS!$B$8:$K$991,9,FALSE)-IF(MONTH($C159)=4,$V$3,IF(MONTH($C159)=5,$V$4,IF(MONTH($C159)=6,$V$5,IF(MONTH($C159)=7,$V$6,"ERROR"))))-VLOOKUP($C159,COS!$B$8:$K$991,6,FALSE)/2,0))</f>
        <v>1500</v>
      </c>
      <c r="S159" s="26">
        <f t="shared" si="252"/>
        <v>92.231404958677686</v>
      </c>
      <c r="T159" s="26">
        <f t="shared" si="253"/>
        <v>178.58168241138299</v>
      </c>
      <c r="U159" s="26" t="str">
        <f>IF(VLOOKUP($C159,COS!$B$8:$I$991,8,FALSE)=1,"UWFE","IBU")</f>
        <v>UWFE</v>
      </c>
      <c r="V159" s="26">
        <f t="shared" ref="V159" si="255">MIN(IF(IF($AA$3=2,AND(E159=1,G159=1,L159=1,L163=1,M159=1,U159="IBU"),AND(E159=1,G159=1,L159=1,L163=1,M159=1)),T159,0),I159)</f>
        <v>0</v>
      </c>
      <c r="W159" s="26"/>
      <c r="X159" s="26"/>
      <c r="Y159" s="26"/>
      <c r="Z159" s="26"/>
      <c r="AA159" s="26"/>
      <c r="AB159" s="33"/>
    </row>
    <row r="160" spans="1:28" x14ac:dyDescent="0.3">
      <c r="A160" s="32">
        <f>VLOOKUP(YEAR(C160),Flags!$A$13:$B$95,2,FALSE)</f>
        <v>1</v>
      </c>
      <c r="B160" s="24">
        <f t="shared" si="225"/>
        <v>1938</v>
      </c>
      <c r="C160" s="25">
        <v>14061</v>
      </c>
      <c r="D160" s="26">
        <f>VLOOKUP($C160,COS!$B$8:$H$991,3,FALSE)</f>
        <v>7901.6748046875</v>
      </c>
      <c r="E160" s="24">
        <f>IF(D160&gt;=IF(MONTH($C160)=4,$C$3,IF(MONTH($C160)=5,$C$4,IF(MONTH($C160)=6,$C$5,IF(MONTH($C160)=7,$C$6,"ERROR")))),1,0)</f>
        <v>0</v>
      </c>
      <c r="F160" s="26">
        <f>VLOOKUP($C160,COS!$B$8:$H$991,7,FALSE)</f>
        <v>52.2984619140625</v>
      </c>
      <c r="G160" s="24">
        <f>IF(F160&lt;=IF(MONTH($C160)=4,$F$3,IF(MONTH($C160)=5,$F$4,IF(MONTH($C160)=6,$F$5,IF(MONTH($C160)=7,$F$6,"ERROR")))),1,0)</f>
        <v>1</v>
      </c>
      <c r="H160" s="26">
        <f>IF(J160=1,D160-$C$5,0)</f>
        <v>0</v>
      </c>
      <c r="I160" s="26">
        <f t="shared" si="239"/>
        <v>0</v>
      </c>
      <c r="J160" s="24">
        <f t="shared" si="247"/>
        <v>0</v>
      </c>
      <c r="K160" s="26">
        <f>VLOOKUP($C160,COS!$B$8:$H$991,2,FALSE)</f>
        <v>4435.94384765625</v>
      </c>
      <c r="L160" s="24">
        <f t="shared" si="231"/>
        <v>1</v>
      </c>
      <c r="M160" s="24">
        <f t="shared" si="232"/>
        <v>0</v>
      </c>
      <c r="N160" s="26">
        <f>VLOOKUP($C160,COS!$B$8:$H$991,5,FALSE)</f>
        <v>1236.6031494140625</v>
      </c>
      <c r="O160" s="26">
        <f t="shared" si="250"/>
        <v>73.582997320506195</v>
      </c>
      <c r="P160" s="26">
        <f>VLOOKUP($C160,COS!$B$8:$H$991,6,FALSE)</f>
        <v>2276.98291015625</v>
      </c>
      <c r="Q160" s="26">
        <f t="shared" si="251"/>
        <v>135.48989217458677</v>
      </c>
      <c r="R160" s="26">
        <f>MIN(IF(MONTH($C160)=4,$S$3,IF(MONTH($C160)=5,$S$4,IF(MONTH($C160)=6,$S$5,IF(MONTH($C160)=7,$S$6,"ERROR")))),MAX(VLOOKUP($C160,COS!$B$8:$K$991,10,FALSE)-IF(MONTH($C160)=4,$Y$3,IF(MONTH($C160)=5,$Y$4,IF(MONTH($C160)=6,$Y$5,IF(MONTH($C160)=7,$Y$6,"ERROR")))),0),MAX(VLOOKUP($C160,COS!$B$8:$K$991,9,FALSE)-IF(MONTH($C160)=4,$V$3,IF(MONTH($C160)=5,$V$4,IF(MONTH($C160)=6,$V$5,IF(MONTH($C160)=7,$V$6,"ERROR"))))-VLOOKUP($C160,COS!$B$8:$K$991,6,FALSE)/2,0))</f>
        <v>1500</v>
      </c>
      <c r="S160" s="26">
        <f t="shared" si="252"/>
        <v>89.256198347107429</v>
      </c>
      <c r="T160" s="26">
        <f t="shared" si="253"/>
        <v>193.7926430946539</v>
      </c>
      <c r="U160" s="26" t="str">
        <f>IF(VLOOKUP($C160,COS!$B$8:$I$991,8,FALSE)=1,"UWFE","IBU")</f>
        <v>UWFE</v>
      </c>
      <c r="V160" s="26">
        <f t="shared" ref="V160" si="256">MIN(IF(IF($AA$3=2,AND(E160=1,G160=1,L160=1,L163=1,M160=1,U160="IBU"),AND(E160=1,G160=1,L160=1,L163=1,M160=1)),T160,0),I160)</f>
        <v>0</v>
      </c>
      <c r="W160" s="26"/>
      <c r="X160" s="26"/>
      <c r="Y160" s="26"/>
      <c r="Z160" s="26"/>
      <c r="AA160" s="26"/>
      <c r="AB160" s="33"/>
    </row>
    <row r="161" spans="1:28" x14ac:dyDescent="0.3">
      <c r="A161" s="32">
        <f>VLOOKUP(YEAR(C161),Flags!$A$13:$B$95,2,FALSE)</f>
        <v>1</v>
      </c>
      <c r="B161" s="24">
        <f t="shared" si="225"/>
        <v>1938</v>
      </c>
      <c r="C161" s="25">
        <v>14092</v>
      </c>
      <c r="D161" s="26">
        <f>VLOOKUP($C161,COS!$B$8:$H$991,3,FALSE)</f>
        <v>10626.4931640625</v>
      </c>
      <c r="E161" s="24">
        <f>IF(D161&gt;=IF(MONTH($C161)=4,$C$3,IF(MONTH($C161)=5,$C$4,IF(MONTH($C161)=6,$C$5,IF(MONTH($C161)=7,$C$6,"ERROR")))),1,0)</f>
        <v>0</v>
      </c>
      <c r="F161" s="26">
        <f>VLOOKUP($C161,COS!$B$8:$H$991,7,FALSE)</f>
        <v>52.414962768554688</v>
      </c>
      <c r="G161" s="24">
        <f>IF(F161&lt;=IF(MONTH($C161)=4,$F$3,IF(MONTH($C161)=5,$F$4,IF(MONTH($C161)=6,$F$5,IF(MONTH($C161)=7,$F$6,"ERROR")))),1,0)</f>
        <v>1</v>
      </c>
      <c r="H161" s="26">
        <f>IF(J161=1,D161-$C$6,0)</f>
        <v>0</v>
      </c>
      <c r="I161" s="26">
        <f t="shared" si="239"/>
        <v>0</v>
      </c>
      <c r="J161" s="24">
        <f t="shared" si="247"/>
        <v>0</v>
      </c>
      <c r="K161" s="26">
        <f>VLOOKUP($C161,COS!$B$8:$H$991,2,FALSE)</f>
        <v>4015.395751953125</v>
      </c>
      <c r="L161" s="24">
        <f t="shared" si="231"/>
        <v>1</v>
      </c>
      <c r="M161" s="24">
        <f t="shared" si="232"/>
        <v>0</v>
      </c>
      <c r="N161" s="26">
        <f>VLOOKUP($C161,COS!$B$8:$H$991,5,FALSE)</f>
        <v>1349.977294921875</v>
      </c>
      <c r="O161" s="26">
        <f t="shared" si="250"/>
        <v>83.006868381973135</v>
      </c>
      <c r="P161" s="26">
        <f>VLOOKUP($C161,COS!$B$8:$H$991,6,FALSE)</f>
        <v>2521.474853515625</v>
      </c>
      <c r="Q161" s="26">
        <f t="shared" si="251"/>
        <v>155.0394455384814</v>
      </c>
      <c r="R161" s="26">
        <f>MIN(IF(MONTH($C161)=4,$S$3,IF(MONTH($C161)=5,$S$4,IF(MONTH($C161)=6,$S$5,IF(MONTH($C161)=7,$S$6,"ERROR")))),MAX(VLOOKUP($C161,COS!$B$8:$K$991,10,FALSE)-IF(MONTH($C161)=4,$Y$3,IF(MONTH($C161)=5,$Y$4,IF(MONTH($C161)=6,$Y$5,IF(MONTH($C161)=7,$Y$6,"ERROR")))),0),MAX(VLOOKUP($C161,COS!$B$8:$K$991,9,FALSE)-IF(MONTH($C161)=4,$V$3,IF(MONTH($C161)=5,$V$4,IF(MONTH($C161)=6,$V$5,IF(MONTH($C161)=7,$V$6,"ERROR"))))-VLOOKUP($C161,COS!$B$8:$K$991,6,FALSE)/2,0))</f>
        <v>1500</v>
      </c>
      <c r="S161" s="26">
        <f t="shared" si="252"/>
        <v>92.231404958677686</v>
      </c>
      <c r="T161" s="26">
        <f t="shared" si="253"/>
        <v>211.25456191890495</v>
      </c>
      <c r="U161" s="26" t="str">
        <f>IF(VLOOKUP($C161,COS!$B$8:$I$991,8,FALSE)=1,"UWFE","IBU")</f>
        <v>IBU</v>
      </c>
      <c r="V161" s="26">
        <f t="shared" ref="V161" si="257">MIN(IF(IF($AA$3=2,AND(E161=1,G161=1,L161=1,L163=1,M161=1,U161="IBU"),AND(E161=1,G161=1,L161=1,L163=1,M161=1)),T161,0),I161)</f>
        <v>0</v>
      </c>
      <c r="W161" s="26"/>
      <c r="X161" s="26"/>
      <c r="Y161" s="26"/>
      <c r="Z161" s="26"/>
      <c r="AA161" s="26"/>
      <c r="AB161" s="33"/>
    </row>
    <row r="162" spans="1:28" x14ac:dyDescent="0.3">
      <c r="A162" s="32">
        <f>VLOOKUP(YEAR(C162),Flags!$A$13:$B$95,2,FALSE)</f>
        <v>1</v>
      </c>
      <c r="B162" s="24">
        <f t="shared" si="225"/>
        <v>1938</v>
      </c>
      <c r="C162" s="25">
        <v>14123</v>
      </c>
      <c r="D162" s="26"/>
      <c r="E162" s="24"/>
      <c r="F162" s="26"/>
      <c r="G162" s="24"/>
      <c r="H162" s="24"/>
      <c r="I162" s="26"/>
      <c r="J162" s="24"/>
      <c r="K162" s="26"/>
      <c r="L162" s="24"/>
      <c r="M162" s="24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f>MAX($C$7-VLOOKUP($C162,COS!$B$8:$H$991,3,FALSE),0)</f>
        <v>1531.1455078125</v>
      </c>
      <c r="X162" s="26">
        <f t="shared" si="245"/>
        <v>94.146467587809923</v>
      </c>
      <c r="Y162" s="26">
        <f>VLOOKUP($C162,COS!$B$8:$H$991,4,FALSE)</f>
        <v>0</v>
      </c>
      <c r="Z162" s="26">
        <f t="shared" si="246"/>
        <v>0</v>
      </c>
      <c r="AA162" s="26">
        <f t="shared" ref="AA162:AA166" si="258">MIN(W162,Y162)</f>
        <v>0</v>
      </c>
      <c r="AB162" s="33">
        <f t="shared" ref="AB162" si="259">AA162*DAY($C162)*86400/43560/1000*IF(MONTH($C162)=8,$P$3,IF(MONTH($C162)=9,$P$4,IF(MONTH($C162)=10,$P$5,IF(MONTH($C162)=11,$P$6,IF(MONTH($C162)=12,$P$7,NA())))))</f>
        <v>0</v>
      </c>
    </row>
    <row r="163" spans="1:28" x14ac:dyDescent="0.3">
      <c r="A163" s="32">
        <f>VLOOKUP(YEAR(C163),Flags!$A$13:$B$95,2,FALSE)</f>
        <v>1</v>
      </c>
      <c r="B163" s="24">
        <f t="shared" si="225"/>
        <v>1938</v>
      </c>
      <c r="C163" s="25">
        <v>14153</v>
      </c>
      <c r="D163" s="26"/>
      <c r="E163" s="24"/>
      <c r="F163" s="26"/>
      <c r="G163" s="24"/>
      <c r="H163" s="24"/>
      <c r="I163" s="26"/>
      <c r="J163" s="24"/>
      <c r="K163" s="26">
        <f>VLOOKUP($C163,COS!$B$8:$H$991,2,FALSE)</f>
        <v>3067.66845703125</v>
      </c>
      <c r="L163" s="24">
        <f t="shared" ref="L163" si="260">IF(AND(K163&gt;$I$7,K163&lt;$I$8),1,0)</f>
        <v>1</v>
      </c>
      <c r="M163" s="24"/>
      <c r="N163" s="26"/>
      <c r="O163" s="26"/>
      <c r="P163" s="26"/>
      <c r="Q163" s="26"/>
      <c r="R163" s="26"/>
      <c r="S163" s="26"/>
      <c r="T163" s="26"/>
      <c r="U163" s="26"/>
      <c r="V163" s="26"/>
      <c r="W163" s="26">
        <f>MAX($C$8-VLOOKUP($C163,COS!$B$8:$H$991,3,FALSE),0)</f>
        <v>0</v>
      </c>
      <c r="X163" s="26">
        <f t="shared" si="245"/>
        <v>0</v>
      </c>
      <c r="Y163" s="26">
        <f>VLOOKUP($C163,COS!$B$8:$H$991,4,FALSE)</f>
        <v>0</v>
      </c>
      <c r="Z163" s="26">
        <f t="shared" si="246"/>
        <v>0</v>
      </c>
      <c r="AA163" s="26">
        <f t="shared" si="258"/>
        <v>0</v>
      </c>
      <c r="AB163" s="33">
        <f t="shared" si="243"/>
        <v>0</v>
      </c>
    </row>
    <row r="164" spans="1:28" x14ac:dyDescent="0.3">
      <c r="A164" s="32">
        <f>VLOOKUP(YEAR(C164),Flags!$A$13:$B$95,2,FALSE)</f>
        <v>1</v>
      </c>
      <c r="B164" s="24">
        <f t="shared" si="225"/>
        <v>1938</v>
      </c>
      <c r="C164" s="25">
        <v>14184</v>
      </c>
      <c r="D164" s="26"/>
      <c r="E164" s="24"/>
      <c r="F164" s="26"/>
      <c r="G164" s="26"/>
      <c r="H164" s="26"/>
      <c r="I164" s="26"/>
      <c r="J164" s="26"/>
      <c r="K164" s="26"/>
      <c r="L164" s="24"/>
      <c r="M164" s="24"/>
      <c r="N164" s="26"/>
      <c r="O164" s="26"/>
      <c r="P164" s="26"/>
      <c r="Q164" s="26"/>
      <c r="R164" s="26"/>
      <c r="S164" s="26"/>
      <c r="T164" s="26"/>
      <c r="U164" s="26"/>
      <c r="V164" s="26"/>
      <c r="W164" s="26">
        <f>MAX($C$9-VLOOKUP($C164,COS!$B$8:$H$991,3,FALSE),0)</f>
        <v>0</v>
      </c>
      <c r="X164" s="26">
        <f t="shared" si="245"/>
        <v>0</v>
      </c>
      <c r="Y164" s="26">
        <f>VLOOKUP($C164,COS!$B$8:$H$991,4,FALSE)</f>
        <v>48.355400085449219</v>
      </c>
      <c r="Z164" s="26">
        <f t="shared" si="246"/>
        <v>2.9732576581466295</v>
      </c>
      <c r="AA164" s="26">
        <f t="shared" si="258"/>
        <v>0</v>
      </c>
      <c r="AB164" s="33">
        <f t="shared" si="243"/>
        <v>0</v>
      </c>
    </row>
    <row r="165" spans="1:28" x14ac:dyDescent="0.3">
      <c r="A165" s="32">
        <f>VLOOKUP(YEAR(C165),Flags!$A$13:$B$95,2,FALSE)</f>
        <v>1</v>
      </c>
      <c r="B165" s="24">
        <f t="shared" si="225"/>
        <v>1938</v>
      </c>
      <c r="C165" s="25">
        <v>14214</v>
      </c>
      <c r="D165" s="26"/>
      <c r="E165" s="24"/>
      <c r="F165" s="26"/>
      <c r="G165" s="26"/>
      <c r="H165" s="26"/>
      <c r="I165" s="26"/>
      <c r="J165" s="26"/>
      <c r="K165" s="26"/>
      <c r="L165" s="24"/>
      <c r="M165" s="24"/>
      <c r="N165" s="26"/>
      <c r="O165" s="26"/>
      <c r="P165" s="26"/>
      <c r="Q165" s="26"/>
      <c r="R165" s="26"/>
      <c r="S165" s="26"/>
      <c r="T165" s="26"/>
      <c r="U165" s="26"/>
      <c r="V165" s="26"/>
      <c r="W165" s="26">
        <f>MAX($C$10-VLOOKUP($C165,COS!$B$8:$H$991,3,FALSE),0)</f>
        <v>0</v>
      </c>
      <c r="X165" s="26">
        <f t="shared" si="245"/>
        <v>0</v>
      </c>
      <c r="Y165" s="26">
        <f>VLOOKUP($C165,COS!$B$8:$H$991,4,FALSE)</f>
        <v>0</v>
      </c>
      <c r="Z165" s="26">
        <f t="shared" si="246"/>
        <v>0</v>
      </c>
      <c r="AA165" s="26">
        <f t="shared" si="258"/>
        <v>0</v>
      </c>
      <c r="AB165" s="33">
        <f t="shared" si="243"/>
        <v>0</v>
      </c>
    </row>
    <row r="166" spans="1:28" x14ac:dyDescent="0.3">
      <c r="A166" s="34">
        <f>VLOOKUP(YEAR(C166),Flags!$A$13:$B$95,2,FALSE)</f>
        <v>1</v>
      </c>
      <c r="B166" s="35">
        <f t="shared" si="225"/>
        <v>1938</v>
      </c>
      <c r="C166" s="36">
        <v>14245</v>
      </c>
      <c r="D166" s="37"/>
      <c r="E166" s="35"/>
      <c r="F166" s="37"/>
      <c r="G166" s="37"/>
      <c r="H166" s="37"/>
      <c r="I166" s="37"/>
      <c r="J166" s="37"/>
      <c r="K166" s="37"/>
      <c r="L166" s="35"/>
      <c r="M166" s="35"/>
      <c r="N166" s="37"/>
      <c r="O166" s="37"/>
      <c r="P166" s="37"/>
      <c r="Q166" s="37"/>
      <c r="R166" s="37"/>
      <c r="S166" s="37"/>
      <c r="T166" s="37"/>
      <c r="U166" s="37"/>
      <c r="V166" s="37"/>
      <c r="W166" s="37">
        <f>MAX($C$11-VLOOKUP($C166,COS!$B$8:$H$991,3,FALSE),0)</f>
        <v>309.80517578125</v>
      </c>
      <c r="X166" s="37">
        <f t="shared" si="245"/>
        <v>19.049177750516531</v>
      </c>
      <c r="Y166" s="37">
        <f>VLOOKUP($C166,COS!$B$8:$H$991,4,FALSE)</f>
        <v>0</v>
      </c>
      <c r="Z166" s="37">
        <f t="shared" si="246"/>
        <v>0</v>
      </c>
      <c r="AA166" s="37">
        <f t="shared" si="258"/>
        <v>0</v>
      </c>
      <c r="AB166" s="38">
        <f t="shared" si="243"/>
        <v>0</v>
      </c>
    </row>
    <row r="167" spans="1:28" x14ac:dyDescent="0.3">
      <c r="A167" s="27">
        <f>VLOOKUP(YEAR(C167),Flags!$A$13:$B$95,2,FALSE)</f>
        <v>3</v>
      </c>
      <c r="B167" s="28">
        <f t="shared" si="225"/>
        <v>1939</v>
      </c>
      <c r="C167" s="29">
        <v>14365</v>
      </c>
      <c r="D167" s="30">
        <f>VLOOKUP($C167,COS!$B$8:$H$991,3,FALSE)</f>
        <v>5639.22900390625</v>
      </c>
      <c r="E167" s="28">
        <f>IF(D167&gt;=IF(MONTH($C167)=4,$C$3,IF(MONTH($C167)=5,$C$4,IF(MONTH($C167)=6,$C$5,IF(MONTH($C167)=7,$C$6,"ERROR")))),1,0)</f>
        <v>0</v>
      </c>
      <c r="F167" s="30">
        <f>VLOOKUP($C167,COS!$B$8:$H$991,7,FALSE)</f>
        <v>50.994121551513672</v>
      </c>
      <c r="G167" s="28">
        <f>IF(F167&lt;=IF(MONTH($C167)=4,$F$3,IF(MONTH($C167)=5,$F$4,IF(MONTH($C167)=6,$F$5,IF(MONTH($C167)=7,$F$6,"ERROR")))),1,0)</f>
        <v>1</v>
      </c>
      <c r="H167" s="30">
        <f>IF(J167=1,D167-$C$3,0)</f>
        <v>0</v>
      </c>
      <c r="I167" s="30">
        <f t="shared" si="239"/>
        <v>0</v>
      </c>
      <c r="J167" s="28">
        <f t="shared" ref="J167:J170" si="261">IF(AND(E167=1,G167=1),1,0)</f>
        <v>0</v>
      </c>
      <c r="K167" s="30">
        <f>VLOOKUP($C167,COS!$B$8:$H$991,2,FALSE)</f>
        <v>3617.388427734375</v>
      </c>
      <c r="L167" s="28">
        <f t="shared" ref="L167" si="262">IF(K167&lt;=IF(MONTH($C167)=4,$I$3,IF(MONTH($C167)=5,$I$4,IF(MONTH($C167)=6,$I$5,IF(MONTH($C167)=7,$I$6,"ERROR")))),1,0)</f>
        <v>1</v>
      </c>
      <c r="M167" s="28">
        <f t="shared" ref="M167" si="263">VLOOKUP($A167,$L$3:$M$7,2,FALSE)</f>
        <v>0</v>
      </c>
      <c r="N167" s="30">
        <f>VLOOKUP($C167,COS!$B$8:$H$991,5,FALSE)</f>
        <v>605.5399169921875</v>
      </c>
      <c r="O167" s="30">
        <f t="shared" ref="O167:O170" si="264">N167*DAY($C167)*86400/43560/1000</f>
        <v>36.032127292097108</v>
      </c>
      <c r="P167" s="30">
        <f>VLOOKUP($C167,COS!$B$8:$H$991,6,FALSE)</f>
        <v>578.7889404296875</v>
      </c>
      <c r="Q167" s="30">
        <f t="shared" ref="Q167:Q170" si="265">P167*DAY($C167)*86400/43560/1000</f>
        <v>34.440333645402887</v>
      </c>
      <c r="R167" s="30">
        <f>MIN(IF(MONTH($C167)=4,$S$3,IF(MONTH($C167)=5,$S$4,IF(MONTH($C167)=6,$S$5,IF(MONTH($C167)=7,$S$6,"ERROR")))),MAX(VLOOKUP($C167,COS!$B$8:$K$991,10,FALSE)-IF(MONTH($C167)=4,$Y$3,IF(MONTH($C167)=5,$Y$4,IF(MONTH($C167)=6,$Y$5,IF(MONTH($C167)=7,$Y$6,"ERROR")))),0),MAX(VLOOKUP($C167,COS!$B$8:$K$991,9,FALSE)-IF(MONTH($C167)=4,$V$3,IF(MONTH($C167)=5,$V$4,IF(MONTH($C167)=6,$V$5,IF(MONTH($C167)=7,$V$6,"ERROR"))))-VLOOKUP($C167,COS!$B$8:$K$991,6,FALSE)/2,0))</f>
        <v>1500</v>
      </c>
      <c r="S167" s="30">
        <f t="shared" ref="S167:S170" si="266">R167*DAY($C167)*86400/43560/1000</f>
        <v>89.256198347107429</v>
      </c>
      <c r="T167" s="30">
        <f t="shared" ref="T167:T170" si="267">(O167+Q167)/2+S167</f>
        <v>124.49242881585742</v>
      </c>
      <c r="U167" s="30" t="str">
        <f>IF(VLOOKUP($C167,COS!$B$8:$I$991,8,FALSE)=1,"UWFE","IBU")</f>
        <v>UWFE</v>
      </c>
      <c r="V167" s="30">
        <f t="shared" ref="V167" si="268">MIN(IF(IF($AA$3=2,AND(E167=1,G167=1,L167=1,L172=1,M167=1,U167="IBU"),AND(E167=1,G167=1,L167=1,L172=1,M167=1)),T167,0),I167)</f>
        <v>0</v>
      </c>
      <c r="W167" s="30"/>
      <c r="X167" s="30"/>
      <c r="Y167" s="30"/>
      <c r="Z167" s="30"/>
      <c r="AA167" s="30"/>
      <c r="AB167" s="31"/>
    </row>
    <row r="168" spans="1:28" x14ac:dyDescent="0.3">
      <c r="A168" s="32">
        <f>VLOOKUP(YEAR(C168),Flags!$A$13:$B$95,2,FALSE)</f>
        <v>3</v>
      </c>
      <c r="B168" s="24">
        <f t="shared" si="225"/>
        <v>1939</v>
      </c>
      <c r="C168" s="25">
        <v>14396</v>
      </c>
      <c r="D168" s="26">
        <f>VLOOKUP($C168,COS!$B$8:$H$991,3,FALSE)</f>
        <v>10183.0283203125</v>
      </c>
      <c r="E168" s="24">
        <f>IF(D168&gt;=IF(MONTH($C168)=4,$C$3,IF(MONTH($C168)=5,$C$4,IF(MONTH($C168)=6,$C$5,IF(MONTH($C168)=7,$C$6,"ERROR")))),1,0)</f>
        <v>1</v>
      </c>
      <c r="F168" s="26">
        <f>VLOOKUP($C168,COS!$B$8:$H$991,7,FALSE)</f>
        <v>50.974002838134766</v>
      </c>
      <c r="G168" s="24">
        <f>IF(F168&lt;=IF(MONTH($C168)=4,$F$3,IF(MONTH($C168)=5,$F$4,IF(MONTH($C168)=6,$F$5,IF(MONTH($C168)=7,$F$6,"ERROR")))),1,0)</f>
        <v>1</v>
      </c>
      <c r="H168" s="26">
        <f>IF(J168=1,D168-$C$4,0)</f>
        <v>4183.0283203125</v>
      </c>
      <c r="I168" s="26">
        <f t="shared" si="239"/>
        <v>257.20438597623968</v>
      </c>
      <c r="J168" s="24">
        <f t="shared" si="261"/>
        <v>1</v>
      </c>
      <c r="K168" s="26">
        <f>VLOOKUP($C168,COS!$B$8:$H$991,2,FALSE)</f>
        <v>3339.732177734375</v>
      </c>
      <c r="L168" s="24">
        <f t="shared" si="231"/>
        <v>1</v>
      </c>
      <c r="M168" s="24">
        <f t="shared" si="232"/>
        <v>0</v>
      </c>
      <c r="N168" s="26">
        <f>VLOOKUP($C168,COS!$B$8:$H$991,5,FALSE)</f>
        <v>507.59902954101563</v>
      </c>
      <c r="O168" s="26">
        <f t="shared" si="264"/>
        <v>31.211047766819473</v>
      </c>
      <c r="P168" s="26">
        <f>VLOOKUP($C168,COS!$B$8:$H$991,6,FALSE)</f>
        <v>2184.023681640625</v>
      </c>
      <c r="Q168" s="26">
        <f t="shared" si="265"/>
        <v>134.29038174715907</v>
      </c>
      <c r="R168" s="26">
        <f>MIN(IF(MONTH($C168)=4,$S$3,IF(MONTH($C168)=5,$S$4,IF(MONTH($C168)=6,$S$5,IF(MONTH($C168)=7,$S$6,"ERROR")))),MAX(VLOOKUP($C168,COS!$B$8:$K$991,10,FALSE)-IF(MONTH($C168)=4,$Y$3,IF(MONTH($C168)=5,$Y$4,IF(MONTH($C168)=6,$Y$5,IF(MONTH($C168)=7,$Y$6,"ERROR")))),0),MAX(VLOOKUP($C168,COS!$B$8:$K$991,9,FALSE)-IF(MONTH($C168)=4,$V$3,IF(MONTH($C168)=5,$V$4,IF(MONTH($C168)=6,$V$5,IF(MONTH($C168)=7,$V$6,"ERROR"))))-VLOOKUP($C168,COS!$B$8:$K$991,6,FALSE)/2,0))</f>
        <v>1500</v>
      </c>
      <c r="S168" s="26">
        <f t="shared" si="266"/>
        <v>92.231404958677686</v>
      </c>
      <c r="T168" s="26">
        <f t="shared" si="267"/>
        <v>174.98211971566695</v>
      </c>
      <c r="U168" s="26" t="str">
        <f>IF(VLOOKUP($C168,COS!$B$8:$I$991,8,FALSE)=1,"UWFE","IBU")</f>
        <v>IBU</v>
      </c>
      <c r="V168" s="26">
        <f t="shared" ref="V168" si="269">MIN(IF(IF($AA$3=2,AND(E168=1,G168=1,L168=1,L172=1,M168=1,U168="IBU"),AND(E168=1,G168=1,L168=1,L172=1,M168=1)),T168,0),I168)</f>
        <v>0</v>
      </c>
      <c r="W168" s="26"/>
      <c r="X168" s="26"/>
      <c r="Y168" s="26"/>
      <c r="Z168" s="26"/>
      <c r="AA168" s="26"/>
      <c r="AB168" s="33"/>
    </row>
    <row r="169" spans="1:28" x14ac:dyDescent="0.3">
      <c r="A169" s="32">
        <f>VLOOKUP(YEAR(C169),Flags!$A$13:$B$95,2,FALSE)</f>
        <v>3</v>
      </c>
      <c r="B169" s="24">
        <f t="shared" si="225"/>
        <v>1939</v>
      </c>
      <c r="C169" s="25">
        <v>14426</v>
      </c>
      <c r="D169" s="26">
        <f>VLOOKUP($C169,COS!$B$8:$H$991,3,FALSE)</f>
        <v>12354.21484375</v>
      </c>
      <c r="E169" s="24">
        <f>IF(D169&gt;=IF(MONTH($C169)=4,$C$3,IF(MONTH($C169)=5,$C$4,IF(MONTH($C169)=6,$C$5,IF(MONTH($C169)=7,$C$6,"ERROR")))),1,0)</f>
        <v>1</v>
      </c>
      <c r="F169" s="26">
        <f>VLOOKUP($C169,COS!$B$8:$H$991,7,FALSE)</f>
        <v>52.385540008544922</v>
      </c>
      <c r="G169" s="24">
        <f>IF(F169&lt;=IF(MONTH($C169)=4,$F$3,IF(MONTH($C169)=5,$F$4,IF(MONTH($C169)=6,$F$5,IF(MONTH($C169)=7,$F$6,"ERROR")))),1,0)</f>
        <v>1</v>
      </c>
      <c r="H169" s="26">
        <f>IF(J169=1,D169-$C$5,0)</f>
        <v>2354.21484375</v>
      </c>
      <c r="I169" s="26">
        <f t="shared" si="239"/>
        <v>140.08551136363636</v>
      </c>
      <c r="J169" s="24">
        <f t="shared" si="261"/>
        <v>1</v>
      </c>
      <c r="K169" s="26">
        <f>VLOOKUP($C169,COS!$B$8:$H$991,2,FALSE)</f>
        <v>2944.504150390625</v>
      </c>
      <c r="L169" s="24">
        <f t="shared" si="231"/>
        <v>1</v>
      </c>
      <c r="M169" s="24">
        <f t="shared" si="232"/>
        <v>0</v>
      </c>
      <c r="N169" s="26">
        <f>VLOOKUP($C169,COS!$B$8:$H$991,5,FALSE)</f>
        <v>658.92901611328125</v>
      </c>
      <c r="O169" s="26">
        <f t="shared" si="264"/>
        <v>39.208999305914261</v>
      </c>
      <c r="P169" s="26">
        <f>VLOOKUP($C169,COS!$B$8:$H$991,6,FALSE)</f>
        <v>2679.353271484375</v>
      </c>
      <c r="Q169" s="26">
        <f t="shared" si="265"/>
        <v>159.43259136105374</v>
      </c>
      <c r="R169" s="26">
        <f>MIN(IF(MONTH($C169)=4,$S$3,IF(MONTH($C169)=5,$S$4,IF(MONTH($C169)=6,$S$5,IF(MONTH($C169)=7,$S$6,"ERROR")))),MAX(VLOOKUP($C169,COS!$B$8:$K$991,10,FALSE)-IF(MONTH($C169)=4,$Y$3,IF(MONTH($C169)=5,$Y$4,IF(MONTH($C169)=6,$Y$5,IF(MONTH($C169)=7,$Y$6,"ERROR")))),0),MAX(VLOOKUP($C169,COS!$B$8:$K$991,9,FALSE)-IF(MONTH($C169)=4,$V$3,IF(MONTH($C169)=5,$V$4,IF(MONTH($C169)=6,$V$5,IF(MONTH($C169)=7,$V$6,"ERROR"))))-VLOOKUP($C169,COS!$B$8:$K$991,6,FALSE)/2,0))</f>
        <v>1500</v>
      </c>
      <c r="S169" s="26">
        <f t="shared" si="266"/>
        <v>89.256198347107429</v>
      </c>
      <c r="T169" s="26">
        <f t="shared" si="267"/>
        <v>188.57699368059144</v>
      </c>
      <c r="U169" s="26" t="str">
        <f>IF(VLOOKUP($C169,COS!$B$8:$I$991,8,FALSE)=1,"UWFE","IBU")</f>
        <v>IBU</v>
      </c>
      <c r="V169" s="26">
        <f t="shared" ref="V169" si="270">MIN(IF(IF($AA$3=2,AND(E169=1,G169=1,L169=1,L172=1,M169=1,U169="IBU"),AND(E169=1,G169=1,L169=1,L172=1,M169=1)),T169,0),I169)</f>
        <v>0</v>
      </c>
      <c r="W169" s="26"/>
      <c r="X169" s="26"/>
      <c r="Y169" s="26"/>
      <c r="Z169" s="26"/>
      <c r="AA169" s="26"/>
      <c r="AB169" s="33"/>
    </row>
    <row r="170" spans="1:28" x14ac:dyDescent="0.3">
      <c r="A170" s="32">
        <f>VLOOKUP(YEAR(C170),Flags!$A$13:$B$95,2,FALSE)</f>
        <v>3</v>
      </c>
      <c r="B170" s="24">
        <f t="shared" si="225"/>
        <v>1939</v>
      </c>
      <c r="C170" s="25">
        <v>14457</v>
      </c>
      <c r="D170" s="26">
        <f>VLOOKUP($C170,COS!$B$8:$H$991,3,FALSE)</f>
        <v>16000</v>
      </c>
      <c r="E170" s="24">
        <f>IF(D170&gt;=IF(MONTH($C170)=4,$C$3,IF(MONTH($C170)=5,$C$4,IF(MONTH($C170)=6,$C$5,IF(MONTH($C170)=7,$C$6,"ERROR")))),1,0)</f>
        <v>1</v>
      </c>
      <c r="F170" s="26">
        <f>VLOOKUP($C170,COS!$B$8:$H$991,7,FALSE)</f>
        <v>53.516410827636719</v>
      </c>
      <c r="G170" s="24">
        <f>IF(F170&lt;=IF(MONTH($C170)=4,$F$3,IF(MONTH($C170)=5,$F$4,IF(MONTH($C170)=6,$F$5,IF(MONTH($C170)=7,$F$6,"ERROR")))),1,0)</f>
        <v>0</v>
      </c>
      <c r="H170" s="26">
        <f>IF(J170=1,D170-$C$6,0)</f>
        <v>0</v>
      </c>
      <c r="I170" s="26">
        <f t="shared" si="239"/>
        <v>0</v>
      </c>
      <c r="J170" s="24">
        <f t="shared" si="261"/>
        <v>0</v>
      </c>
      <c r="K170" s="26">
        <f>VLOOKUP($C170,COS!$B$8:$H$991,2,FALSE)</f>
        <v>2319.410888671875</v>
      </c>
      <c r="L170" s="24">
        <f t="shared" si="231"/>
        <v>1</v>
      </c>
      <c r="M170" s="24">
        <f t="shared" si="232"/>
        <v>0</v>
      </c>
      <c r="N170" s="26">
        <f>VLOOKUP($C170,COS!$B$8:$H$991,5,FALSE)</f>
        <v>718.189208984375</v>
      </c>
      <c r="O170" s="26">
        <f t="shared" si="264"/>
        <v>44.159733180526864</v>
      </c>
      <c r="P170" s="26">
        <f>VLOOKUP($C170,COS!$B$8:$H$991,6,FALSE)</f>
        <v>2421.51171875</v>
      </c>
      <c r="Q170" s="26">
        <f t="shared" si="265"/>
        <v>148.89295196280992</v>
      </c>
      <c r="R170" s="26">
        <f>MIN(IF(MONTH($C170)=4,$S$3,IF(MONTH($C170)=5,$S$4,IF(MONTH($C170)=6,$S$5,IF(MONTH($C170)=7,$S$6,"ERROR")))),MAX(VLOOKUP($C170,COS!$B$8:$K$991,10,FALSE)-IF(MONTH($C170)=4,$Y$3,IF(MONTH($C170)=5,$Y$4,IF(MONTH($C170)=6,$Y$5,IF(MONTH($C170)=7,$Y$6,"ERROR")))),0),MAX(VLOOKUP($C170,COS!$B$8:$K$991,9,FALSE)-IF(MONTH($C170)=4,$V$3,IF(MONTH($C170)=5,$V$4,IF(MONTH($C170)=6,$V$5,IF(MONTH($C170)=7,$V$6,"ERROR"))))-VLOOKUP($C170,COS!$B$8:$K$991,6,FALSE)/2,0))</f>
        <v>1500</v>
      </c>
      <c r="S170" s="26">
        <f t="shared" si="266"/>
        <v>92.231404958677686</v>
      </c>
      <c r="T170" s="26">
        <f t="shared" si="267"/>
        <v>188.75774753034608</v>
      </c>
      <c r="U170" s="26" t="str">
        <f>IF(VLOOKUP($C170,COS!$B$8:$I$991,8,FALSE)=1,"UWFE","IBU")</f>
        <v>IBU</v>
      </c>
      <c r="V170" s="26">
        <f t="shared" ref="V170" si="271">MIN(IF(IF($AA$3=2,AND(E170=1,G170=1,L170=1,L172=1,M170=1,U170="IBU"),AND(E170=1,G170=1,L170=1,L172=1,M170=1)),T170,0),I170)</f>
        <v>0</v>
      </c>
      <c r="W170" s="26"/>
      <c r="X170" s="26"/>
      <c r="Y170" s="26"/>
      <c r="Z170" s="26"/>
      <c r="AA170" s="26"/>
      <c r="AB170" s="33"/>
    </row>
    <row r="171" spans="1:28" x14ac:dyDescent="0.3">
      <c r="A171" s="32">
        <f>VLOOKUP(YEAR(C171),Flags!$A$13:$B$95,2,FALSE)</f>
        <v>3</v>
      </c>
      <c r="B171" s="24">
        <f t="shared" si="225"/>
        <v>1939</v>
      </c>
      <c r="C171" s="25">
        <v>14488</v>
      </c>
      <c r="D171" s="26"/>
      <c r="E171" s="24"/>
      <c r="F171" s="26"/>
      <c r="G171" s="24"/>
      <c r="H171" s="24"/>
      <c r="I171" s="26"/>
      <c r="J171" s="24"/>
      <c r="K171" s="26"/>
      <c r="L171" s="24"/>
      <c r="M171" s="24"/>
      <c r="N171" s="26"/>
      <c r="O171" s="26"/>
      <c r="P171" s="26"/>
      <c r="Q171" s="26"/>
      <c r="R171" s="26"/>
      <c r="S171" s="26"/>
      <c r="T171" s="26"/>
      <c r="U171" s="26"/>
      <c r="V171" s="26"/>
      <c r="W171" s="26">
        <f>MAX($C$7-VLOOKUP($C171,COS!$B$8:$H$991,3,FALSE),0)</f>
        <v>0</v>
      </c>
      <c r="X171" s="26">
        <f t="shared" si="245"/>
        <v>0</v>
      </c>
      <c r="Y171" s="26">
        <f>VLOOKUP($C171,COS!$B$8:$H$991,4,FALSE)</f>
        <v>3226.453125</v>
      </c>
      <c r="Z171" s="26">
        <f t="shared" si="246"/>
        <v>198.38686983471075</v>
      </c>
      <c r="AA171" s="26">
        <f t="shared" ref="AA171:AA175" si="272">MIN(W171,Y171)</f>
        <v>0</v>
      </c>
      <c r="AB171" s="33">
        <f t="shared" ref="AB171" si="273">AA171*DAY($C171)*86400/43560/1000*IF(MONTH($C171)=8,$P$3,IF(MONTH($C171)=9,$P$4,IF(MONTH($C171)=10,$P$5,IF(MONTH($C171)=11,$P$6,IF(MONTH($C171)=12,$P$7,NA())))))</f>
        <v>0</v>
      </c>
    </row>
    <row r="172" spans="1:28" x14ac:dyDescent="0.3">
      <c r="A172" s="32">
        <f>VLOOKUP(YEAR(C172),Flags!$A$13:$B$95,2,FALSE)</f>
        <v>3</v>
      </c>
      <c r="B172" s="24">
        <f t="shared" si="225"/>
        <v>1939</v>
      </c>
      <c r="C172" s="25">
        <v>14518</v>
      </c>
      <c r="D172" s="26"/>
      <c r="E172" s="24"/>
      <c r="F172" s="26"/>
      <c r="G172" s="24"/>
      <c r="H172" s="24"/>
      <c r="I172" s="26"/>
      <c r="J172" s="24"/>
      <c r="K172" s="26">
        <f>VLOOKUP($C172,COS!$B$8:$H$991,2,FALSE)</f>
        <v>1819.920654296875</v>
      </c>
      <c r="L172" s="24">
        <f t="shared" ref="L172" si="274">IF(AND(K172&gt;$I$7,K172&lt;$I$8),1,0)</f>
        <v>1</v>
      </c>
      <c r="M172" s="24"/>
      <c r="N172" s="26"/>
      <c r="O172" s="26"/>
      <c r="P172" s="26"/>
      <c r="Q172" s="26"/>
      <c r="R172" s="26"/>
      <c r="S172" s="26"/>
      <c r="T172" s="26"/>
      <c r="U172" s="26"/>
      <c r="V172" s="26"/>
      <c r="W172" s="26">
        <f>MAX($C$8-VLOOKUP($C172,COS!$B$8:$H$991,3,FALSE),0)</f>
        <v>526.0498046875</v>
      </c>
      <c r="X172" s="26">
        <f t="shared" si="245"/>
        <v>31.302137138429753</v>
      </c>
      <c r="Y172" s="26">
        <f>VLOOKUP($C172,COS!$B$8:$H$991,4,FALSE)</f>
        <v>1628.006103515625</v>
      </c>
      <c r="Z172" s="26">
        <f t="shared" si="246"/>
        <v>96.8730904571281</v>
      </c>
      <c r="AA172" s="26">
        <f t="shared" si="272"/>
        <v>526.0498046875</v>
      </c>
      <c r="AB172" s="33">
        <f t="shared" si="243"/>
        <v>31.302137138429753</v>
      </c>
    </row>
    <row r="173" spans="1:28" x14ac:dyDescent="0.3">
      <c r="A173" s="32">
        <f>VLOOKUP(YEAR(C173),Flags!$A$13:$B$95,2,FALSE)</f>
        <v>3</v>
      </c>
      <c r="B173" s="24">
        <f t="shared" si="225"/>
        <v>1939</v>
      </c>
      <c r="C173" s="25">
        <v>14549</v>
      </c>
      <c r="D173" s="26"/>
      <c r="E173" s="24"/>
      <c r="F173" s="26"/>
      <c r="G173" s="26"/>
      <c r="H173" s="26"/>
      <c r="I173" s="26"/>
      <c r="J173" s="26"/>
      <c r="K173" s="26"/>
      <c r="L173" s="24"/>
      <c r="M173" s="24"/>
      <c r="N173" s="26"/>
      <c r="O173" s="26"/>
      <c r="P173" s="26"/>
      <c r="Q173" s="26"/>
      <c r="R173" s="26"/>
      <c r="S173" s="26"/>
      <c r="T173" s="26"/>
      <c r="U173" s="26"/>
      <c r="V173" s="26"/>
      <c r="W173" s="26">
        <f>MAX($C$9-VLOOKUP($C173,COS!$B$8:$H$991,3,FALSE),0)</f>
        <v>0</v>
      </c>
      <c r="X173" s="26">
        <f t="shared" si="245"/>
        <v>0</v>
      </c>
      <c r="Y173" s="26">
        <f>VLOOKUP($C173,COS!$B$8:$H$991,4,FALSE)</f>
        <v>1678.0692138671875</v>
      </c>
      <c r="Z173" s="26">
        <f t="shared" si="246"/>
        <v>103.18045414191633</v>
      </c>
      <c r="AA173" s="26">
        <f t="shared" si="272"/>
        <v>0</v>
      </c>
      <c r="AB173" s="33">
        <f t="shared" si="243"/>
        <v>0</v>
      </c>
    </row>
    <row r="174" spans="1:28" x14ac:dyDescent="0.3">
      <c r="A174" s="32">
        <f>VLOOKUP(YEAR(C174),Flags!$A$13:$B$95,2,FALSE)</f>
        <v>3</v>
      </c>
      <c r="B174" s="24">
        <f t="shared" si="225"/>
        <v>1939</v>
      </c>
      <c r="C174" s="25">
        <v>14579</v>
      </c>
      <c r="D174" s="26"/>
      <c r="E174" s="24"/>
      <c r="F174" s="26"/>
      <c r="G174" s="26"/>
      <c r="H174" s="26"/>
      <c r="I174" s="26"/>
      <c r="J174" s="26"/>
      <c r="K174" s="26"/>
      <c r="L174" s="24"/>
      <c r="M174" s="24"/>
      <c r="N174" s="26"/>
      <c r="O174" s="26"/>
      <c r="P174" s="26"/>
      <c r="Q174" s="26"/>
      <c r="R174" s="26"/>
      <c r="S174" s="26"/>
      <c r="T174" s="26"/>
      <c r="U174" s="26"/>
      <c r="V174" s="26"/>
      <c r="W174" s="26">
        <f>MAX($C$10-VLOOKUP($C174,COS!$B$8:$H$991,3,FALSE),0)</f>
        <v>0</v>
      </c>
      <c r="X174" s="26">
        <f t="shared" si="245"/>
        <v>0</v>
      </c>
      <c r="Y174" s="26">
        <f>VLOOKUP($C174,COS!$B$8:$H$991,4,FALSE)</f>
        <v>2018.930908203125</v>
      </c>
      <c r="Z174" s="26">
        <f t="shared" si="246"/>
        <v>120.13473172778926</v>
      </c>
      <c r="AA174" s="26">
        <f t="shared" si="272"/>
        <v>0</v>
      </c>
      <c r="AB174" s="33">
        <f t="shared" si="243"/>
        <v>0</v>
      </c>
    </row>
    <row r="175" spans="1:28" x14ac:dyDescent="0.3">
      <c r="A175" s="34">
        <f>VLOOKUP(YEAR(C175),Flags!$A$13:$B$95,2,FALSE)</f>
        <v>3</v>
      </c>
      <c r="B175" s="35">
        <f t="shared" si="225"/>
        <v>1939</v>
      </c>
      <c r="C175" s="36">
        <v>14610</v>
      </c>
      <c r="D175" s="37"/>
      <c r="E175" s="35"/>
      <c r="F175" s="37"/>
      <c r="G175" s="37"/>
      <c r="H175" s="37"/>
      <c r="I175" s="37"/>
      <c r="J175" s="37"/>
      <c r="K175" s="37"/>
      <c r="L175" s="35"/>
      <c r="M175" s="35"/>
      <c r="N175" s="37"/>
      <c r="O175" s="37"/>
      <c r="P175" s="37"/>
      <c r="Q175" s="37"/>
      <c r="R175" s="37"/>
      <c r="S175" s="37"/>
      <c r="T175" s="37"/>
      <c r="U175" s="37"/>
      <c r="V175" s="37"/>
      <c r="W175" s="37">
        <f>MAX($C$11-VLOOKUP($C175,COS!$B$8:$H$991,3,FALSE),0)</f>
        <v>1750</v>
      </c>
      <c r="X175" s="37">
        <f t="shared" si="245"/>
        <v>107.60330578512398</v>
      </c>
      <c r="Y175" s="37">
        <f>VLOOKUP($C175,COS!$B$8:$H$991,4,FALSE)</f>
        <v>1704.9423828125</v>
      </c>
      <c r="Z175" s="37">
        <f t="shared" si="246"/>
        <v>104.83282089359504</v>
      </c>
      <c r="AA175" s="37">
        <f t="shared" si="272"/>
        <v>1704.9423828125</v>
      </c>
      <c r="AB175" s="38">
        <f t="shared" si="243"/>
        <v>104.83282089359504</v>
      </c>
    </row>
    <row r="176" spans="1:28" x14ac:dyDescent="0.3">
      <c r="A176" s="27">
        <f>VLOOKUP(YEAR(C176),Flags!$A$13:$B$95,2,FALSE)</f>
        <v>2</v>
      </c>
      <c r="B176" s="28">
        <f t="shared" si="225"/>
        <v>1940</v>
      </c>
      <c r="C176" s="29">
        <v>14731</v>
      </c>
      <c r="D176" s="30">
        <f>VLOOKUP($C176,COS!$B$8:$H$991,3,FALSE)</f>
        <v>3250</v>
      </c>
      <c r="E176" s="28">
        <f>IF(D176&gt;=IF(MONTH($C176)=4,$C$3,IF(MONTH($C176)=5,$C$4,IF(MONTH($C176)=6,$C$5,IF(MONTH($C176)=7,$C$6,"ERROR")))),1,0)</f>
        <v>0</v>
      </c>
      <c r="F176" s="30">
        <f>VLOOKUP($C176,COS!$B$8:$H$991,7,FALSE)</f>
        <v>50.942607879638672</v>
      </c>
      <c r="G176" s="28">
        <f>IF(F176&lt;=IF(MONTH($C176)=4,$F$3,IF(MONTH($C176)=5,$F$4,IF(MONTH($C176)=6,$F$5,IF(MONTH($C176)=7,$F$6,"ERROR")))),1,0)</f>
        <v>1</v>
      </c>
      <c r="H176" s="30">
        <f>IF(J176=1,D176-$C$3,0)</f>
        <v>0</v>
      </c>
      <c r="I176" s="30">
        <f t="shared" si="239"/>
        <v>0</v>
      </c>
      <c r="J176" s="28">
        <f t="shared" ref="J176:J179" si="275">IF(AND(E176=1,G176=1),1,0)</f>
        <v>0</v>
      </c>
      <c r="K176" s="30">
        <f>VLOOKUP($C176,COS!$B$8:$H$991,2,FALSE)</f>
        <v>4211.595703125</v>
      </c>
      <c r="L176" s="28">
        <f t="shared" ref="L176" si="276">IF(K176&lt;=IF(MONTH($C176)=4,$I$3,IF(MONTH($C176)=5,$I$4,IF(MONTH($C176)=6,$I$5,IF(MONTH($C176)=7,$I$6,"ERROR")))),1,0)</f>
        <v>1</v>
      </c>
      <c r="M176" s="28">
        <f t="shared" ref="M176" si="277">VLOOKUP($A176,$L$3:$M$7,2,FALSE)</f>
        <v>0</v>
      </c>
      <c r="N176" s="30">
        <f>VLOOKUP($C176,COS!$B$8:$H$991,5,FALSE)</f>
        <v>253.27787780761719</v>
      </c>
      <c r="O176" s="30">
        <f t="shared" ref="O176:O179" si="278">N176*DAY($C176)*86400/43560/1000</f>
        <v>15.071080332354081</v>
      </c>
      <c r="P176" s="30">
        <f>VLOOKUP($C176,COS!$B$8:$H$991,6,FALSE)</f>
        <v>410.20220947265625</v>
      </c>
      <c r="Q176" s="30">
        <f t="shared" ref="Q176:Q179" si="279">P176*DAY($C176)*86400/43560/1000</f>
        <v>24.408726514075415</v>
      </c>
      <c r="R176" s="30">
        <f>MIN(IF(MONTH($C176)=4,$S$3,IF(MONTH($C176)=5,$S$4,IF(MONTH($C176)=6,$S$5,IF(MONTH($C176)=7,$S$6,"ERROR")))),MAX(VLOOKUP($C176,COS!$B$8:$K$991,10,FALSE)-IF(MONTH($C176)=4,$Y$3,IF(MONTH($C176)=5,$Y$4,IF(MONTH($C176)=6,$Y$5,IF(MONTH($C176)=7,$Y$6,"ERROR")))),0),MAX(VLOOKUP($C176,COS!$B$8:$K$991,9,FALSE)-IF(MONTH($C176)=4,$V$3,IF(MONTH($C176)=5,$V$4,IF(MONTH($C176)=6,$V$5,IF(MONTH($C176)=7,$V$6,"ERROR"))))-VLOOKUP($C176,COS!$B$8:$K$991,6,FALSE)/2,0))</f>
        <v>1500</v>
      </c>
      <c r="S176" s="30">
        <f t="shared" ref="S176:S179" si="280">R176*DAY($C176)*86400/43560/1000</f>
        <v>89.256198347107429</v>
      </c>
      <c r="T176" s="30">
        <f t="shared" ref="T176:T179" si="281">(O176+Q176)/2+S176</f>
        <v>108.99610177032218</v>
      </c>
      <c r="U176" s="30" t="str">
        <f>IF(VLOOKUP($C176,COS!$B$8:$I$991,8,FALSE)=1,"UWFE","IBU")</f>
        <v>UWFE</v>
      </c>
      <c r="V176" s="30">
        <f t="shared" ref="V176" si="282">MIN(IF(IF($AA$3=2,AND(E176=1,G176=1,L176=1,L181=1,M176=1,U176="IBU"),AND(E176=1,G176=1,L176=1,L181=1,M176=1)),T176,0),I176)</f>
        <v>0</v>
      </c>
      <c r="W176" s="30"/>
      <c r="X176" s="30"/>
      <c r="Y176" s="30"/>
      <c r="Z176" s="30"/>
      <c r="AA176" s="30"/>
      <c r="AB176" s="31"/>
    </row>
    <row r="177" spans="1:28" x14ac:dyDescent="0.3">
      <c r="A177" s="32">
        <f>VLOOKUP(YEAR(C177),Flags!$A$13:$B$95,2,FALSE)</f>
        <v>2</v>
      </c>
      <c r="B177" s="24">
        <f t="shared" si="225"/>
        <v>1940</v>
      </c>
      <c r="C177" s="25">
        <v>14762</v>
      </c>
      <c r="D177" s="26">
        <f>VLOOKUP($C177,COS!$B$8:$H$991,3,FALSE)</f>
        <v>5750.91845703125</v>
      </c>
      <c r="E177" s="24">
        <f>IF(D177&gt;=IF(MONTH($C177)=4,$C$3,IF(MONTH($C177)=5,$C$4,IF(MONTH($C177)=6,$C$5,IF(MONTH($C177)=7,$C$6,"ERROR")))),1,0)</f>
        <v>0</v>
      </c>
      <c r="F177" s="26">
        <f>VLOOKUP($C177,COS!$B$8:$H$991,7,FALSE)</f>
        <v>51.514625549316406</v>
      </c>
      <c r="G177" s="24">
        <f>IF(F177&lt;=IF(MONTH($C177)=4,$F$3,IF(MONTH($C177)=5,$F$4,IF(MONTH($C177)=6,$F$5,IF(MONTH($C177)=7,$F$6,"ERROR")))),1,0)</f>
        <v>1</v>
      </c>
      <c r="H177" s="26">
        <f>IF(J177=1,D177-$C$4,0)</f>
        <v>0</v>
      </c>
      <c r="I177" s="26">
        <f t="shared" si="239"/>
        <v>0</v>
      </c>
      <c r="J177" s="24">
        <f t="shared" si="275"/>
        <v>0</v>
      </c>
      <c r="K177" s="26">
        <f>VLOOKUP($C177,COS!$B$8:$H$991,2,FALSE)</f>
        <v>4218.22314453125</v>
      </c>
      <c r="L177" s="24">
        <f t="shared" si="231"/>
        <v>1</v>
      </c>
      <c r="M177" s="24">
        <f t="shared" si="232"/>
        <v>0</v>
      </c>
      <c r="N177" s="26">
        <f>VLOOKUP($C177,COS!$B$8:$H$991,5,FALSE)</f>
        <v>465.70071411132813</v>
      </c>
      <c r="O177" s="26">
        <f t="shared" si="278"/>
        <v>28.634820768498194</v>
      </c>
      <c r="P177" s="26">
        <f>VLOOKUP($C177,COS!$B$8:$H$991,6,FALSE)</f>
        <v>1936.545654296875</v>
      </c>
      <c r="Q177" s="26">
        <f t="shared" si="279"/>
        <v>119.07355097494835</v>
      </c>
      <c r="R177" s="26">
        <f>MIN(IF(MONTH($C177)=4,$S$3,IF(MONTH($C177)=5,$S$4,IF(MONTH($C177)=6,$S$5,IF(MONTH($C177)=7,$S$6,"ERROR")))),MAX(VLOOKUP($C177,COS!$B$8:$K$991,10,FALSE)-IF(MONTH($C177)=4,$Y$3,IF(MONTH($C177)=5,$Y$4,IF(MONTH($C177)=6,$Y$5,IF(MONTH($C177)=7,$Y$6,"ERROR")))),0),MAX(VLOOKUP($C177,COS!$B$8:$K$991,9,FALSE)-IF(MONTH($C177)=4,$V$3,IF(MONTH($C177)=5,$V$4,IF(MONTH($C177)=6,$V$5,IF(MONTH($C177)=7,$V$6,"ERROR"))))-VLOOKUP($C177,COS!$B$8:$K$991,6,FALSE)/2,0))</f>
        <v>1500</v>
      </c>
      <c r="S177" s="26">
        <f t="shared" si="280"/>
        <v>92.231404958677686</v>
      </c>
      <c r="T177" s="26">
        <f t="shared" si="281"/>
        <v>166.08559083040097</v>
      </c>
      <c r="U177" s="26" t="str">
        <f>IF(VLOOKUP($C177,COS!$B$8:$I$991,8,FALSE)=1,"UWFE","IBU")</f>
        <v>UWFE</v>
      </c>
      <c r="V177" s="26">
        <f t="shared" ref="V177" si="283">MIN(IF(IF($AA$3=2,AND(E177=1,G177=1,L177=1,L181=1,M177=1,U177="IBU"),AND(E177=1,G177=1,L177=1,L181=1,M177=1)),T177,0),I177)</f>
        <v>0</v>
      </c>
      <c r="W177" s="26"/>
      <c r="X177" s="26"/>
      <c r="Y177" s="26"/>
      <c r="Z177" s="26"/>
      <c r="AA177" s="26"/>
      <c r="AB177" s="33"/>
    </row>
    <row r="178" spans="1:28" x14ac:dyDescent="0.3">
      <c r="A178" s="32">
        <f>VLOOKUP(YEAR(C178),Flags!$A$13:$B$95,2,FALSE)</f>
        <v>2</v>
      </c>
      <c r="B178" s="24">
        <f t="shared" si="225"/>
        <v>1940</v>
      </c>
      <c r="C178" s="25">
        <v>14792</v>
      </c>
      <c r="D178" s="26">
        <f>VLOOKUP($C178,COS!$B$8:$H$991,3,FALSE)</f>
        <v>9764.62109375</v>
      </c>
      <c r="E178" s="24">
        <f>IF(D178&gt;=IF(MONTH($C178)=4,$C$3,IF(MONTH($C178)=5,$C$4,IF(MONTH($C178)=6,$C$5,IF(MONTH($C178)=7,$C$6,"ERROR")))),1,0)</f>
        <v>0</v>
      </c>
      <c r="F178" s="26">
        <f>VLOOKUP($C178,COS!$B$8:$H$991,7,FALSE)</f>
        <v>51.442054748535156</v>
      </c>
      <c r="G178" s="24">
        <f>IF(F178&lt;=IF(MONTH($C178)=4,$F$3,IF(MONTH($C178)=5,$F$4,IF(MONTH($C178)=6,$F$5,IF(MONTH($C178)=7,$F$6,"ERROR")))),1,0)</f>
        <v>1</v>
      </c>
      <c r="H178" s="26">
        <f>IF(J178=1,D178-$C$5,0)</f>
        <v>0</v>
      </c>
      <c r="I178" s="26">
        <f t="shared" si="239"/>
        <v>0</v>
      </c>
      <c r="J178" s="24">
        <f t="shared" si="275"/>
        <v>0</v>
      </c>
      <c r="K178" s="26">
        <f>VLOOKUP($C178,COS!$B$8:$H$991,2,FALSE)</f>
        <v>3893.91650390625</v>
      </c>
      <c r="L178" s="24">
        <f t="shared" si="231"/>
        <v>1</v>
      </c>
      <c r="M178" s="24">
        <f t="shared" si="232"/>
        <v>0</v>
      </c>
      <c r="N178" s="26">
        <f>VLOOKUP($C178,COS!$B$8:$H$991,5,FALSE)</f>
        <v>885.69073486328125</v>
      </c>
      <c r="O178" s="26">
        <f t="shared" si="278"/>
        <v>52.702258603434913</v>
      </c>
      <c r="P178" s="26">
        <f>VLOOKUP($C178,COS!$B$8:$H$991,6,FALSE)</f>
        <v>2416.416259765625</v>
      </c>
      <c r="Q178" s="26">
        <f t="shared" si="279"/>
        <v>143.78675264721076</v>
      </c>
      <c r="R178" s="26">
        <f>MIN(IF(MONTH($C178)=4,$S$3,IF(MONTH($C178)=5,$S$4,IF(MONTH($C178)=6,$S$5,IF(MONTH($C178)=7,$S$6,"ERROR")))),MAX(VLOOKUP($C178,COS!$B$8:$K$991,10,FALSE)-IF(MONTH($C178)=4,$Y$3,IF(MONTH($C178)=5,$Y$4,IF(MONTH($C178)=6,$Y$5,IF(MONTH($C178)=7,$Y$6,"ERROR")))),0),MAX(VLOOKUP($C178,COS!$B$8:$K$991,9,FALSE)-IF(MONTH($C178)=4,$V$3,IF(MONTH($C178)=5,$V$4,IF(MONTH($C178)=6,$V$5,IF(MONTH($C178)=7,$V$6,"ERROR"))))-VLOOKUP($C178,COS!$B$8:$K$991,6,FALSE)/2,0))</f>
        <v>1500</v>
      </c>
      <c r="S178" s="26">
        <f t="shared" si="280"/>
        <v>89.256198347107429</v>
      </c>
      <c r="T178" s="26">
        <f t="shared" si="281"/>
        <v>187.50070397243024</v>
      </c>
      <c r="U178" s="26" t="str">
        <f>IF(VLOOKUP($C178,COS!$B$8:$I$991,8,FALSE)=1,"UWFE","IBU")</f>
        <v>IBU</v>
      </c>
      <c r="V178" s="26">
        <f t="shared" ref="V178" si="284">MIN(IF(IF($AA$3=2,AND(E178=1,G178=1,L178=1,L181=1,M178=1,U178="IBU"),AND(E178=1,G178=1,L178=1,L181=1,M178=1)),T178,0),I178)</f>
        <v>0</v>
      </c>
      <c r="W178" s="26"/>
      <c r="X178" s="26"/>
      <c r="Y178" s="26"/>
      <c r="Z178" s="26"/>
      <c r="AA178" s="26"/>
      <c r="AB178" s="33"/>
    </row>
    <row r="179" spans="1:28" x14ac:dyDescent="0.3">
      <c r="A179" s="32">
        <f>VLOOKUP(YEAR(C179),Flags!$A$13:$B$95,2,FALSE)</f>
        <v>2</v>
      </c>
      <c r="B179" s="24">
        <f t="shared" si="225"/>
        <v>1940</v>
      </c>
      <c r="C179" s="25">
        <v>14823</v>
      </c>
      <c r="D179" s="26">
        <f>VLOOKUP($C179,COS!$B$8:$H$991,3,FALSE)</f>
        <v>15730.8037109375</v>
      </c>
      <c r="E179" s="24">
        <f>IF(D179&gt;=IF(MONTH($C179)=4,$C$3,IF(MONTH($C179)=5,$C$4,IF(MONTH($C179)=6,$C$5,IF(MONTH($C179)=7,$C$6,"ERROR")))),1,0)</f>
        <v>1</v>
      </c>
      <c r="F179" s="26">
        <f>VLOOKUP($C179,COS!$B$8:$H$991,7,FALSE)</f>
        <v>51.379985809326172</v>
      </c>
      <c r="G179" s="24">
        <f>IF(F179&lt;=IF(MONTH($C179)=4,$F$3,IF(MONTH($C179)=5,$F$4,IF(MONTH($C179)=6,$F$5,IF(MONTH($C179)=7,$F$6,"ERROR")))),1,0)</f>
        <v>1</v>
      </c>
      <c r="H179" s="26">
        <f>IF(J179=1,D179-$C$6,0)</f>
        <v>3730.8037109375</v>
      </c>
      <c r="I179" s="26">
        <f t="shared" si="239"/>
        <v>229.39817858987604</v>
      </c>
      <c r="J179" s="24">
        <f t="shared" si="275"/>
        <v>1</v>
      </c>
      <c r="K179" s="26">
        <f>VLOOKUP($C179,COS!$B$8:$H$991,2,FALSE)</f>
        <v>3200</v>
      </c>
      <c r="L179" s="24">
        <f t="shared" si="231"/>
        <v>1</v>
      </c>
      <c r="M179" s="24">
        <f t="shared" si="232"/>
        <v>0</v>
      </c>
      <c r="N179" s="26">
        <f>VLOOKUP($C179,COS!$B$8:$H$991,5,FALSE)</f>
        <v>981.25543212890625</v>
      </c>
      <c r="O179" s="26">
        <f t="shared" si="278"/>
        <v>60.335044752388946</v>
      </c>
      <c r="P179" s="26">
        <f>VLOOKUP($C179,COS!$B$8:$H$991,6,FALSE)</f>
        <v>2562.892822265625</v>
      </c>
      <c r="Q179" s="26">
        <f t="shared" si="279"/>
        <v>157.58613717071282</v>
      </c>
      <c r="R179" s="26">
        <f>MIN(IF(MONTH($C179)=4,$S$3,IF(MONTH($C179)=5,$S$4,IF(MONTH($C179)=6,$S$5,IF(MONTH($C179)=7,$S$6,"ERROR")))),MAX(VLOOKUP($C179,COS!$B$8:$K$991,10,FALSE)-IF(MONTH($C179)=4,$Y$3,IF(MONTH($C179)=5,$Y$4,IF(MONTH($C179)=6,$Y$5,IF(MONTH($C179)=7,$Y$6,"ERROR")))),0),MAX(VLOOKUP($C179,COS!$B$8:$K$991,9,FALSE)-IF(MONTH($C179)=4,$V$3,IF(MONTH($C179)=5,$V$4,IF(MONTH($C179)=6,$V$5,IF(MONTH($C179)=7,$V$6,"ERROR"))))-VLOOKUP($C179,COS!$B$8:$K$991,6,FALSE)/2,0))</f>
        <v>1500</v>
      </c>
      <c r="S179" s="26">
        <f t="shared" si="280"/>
        <v>92.231404958677686</v>
      </c>
      <c r="T179" s="26">
        <f t="shared" si="281"/>
        <v>201.19199592022858</v>
      </c>
      <c r="U179" s="26" t="str">
        <f>IF(VLOOKUP($C179,COS!$B$8:$I$991,8,FALSE)=1,"UWFE","IBU")</f>
        <v>IBU</v>
      </c>
      <c r="V179" s="26">
        <f t="shared" ref="V179" si="285">MIN(IF(IF($AA$3=2,AND(E179=1,G179=1,L179=1,L181=1,M179=1,U179="IBU"),AND(E179=1,G179=1,L179=1,L181=1,M179=1)),T179,0),I179)</f>
        <v>0</v>
      </c>
      <c r="W179" s="26"/>
      <c r="X179" s="26"/>
      <c r="Y179" s="26"/>
      <c r="Z179" s="26"/>
      <c r="AA179" s="26"/>
      <c r="AB179" s="33"/>
    </row>
    <row r="180" spans="1:28" x14ac:dyDescent="0.3">
      <c r="A180" s="32">
        <f>VLOOKUP(YEAR(C180),Flags!$A$13:$B$95,2,FALSE)</f>
        <v>2</v>
      </c>
      <c r="B180" s="24">
        <f t="shared" si="225"/>
        <v>1940</v>
      </c>
      <c r="C180" s="25">
        <v>14854</v>
      </c>
      <c r="D180" s="26"/>
      <c r="E180" s="24"/>
      <c r="F180" s="26"/>
      <c r="G180" s="24"/>
      <c r="H180" s="24"/>
      <c r="I180" s="26"/>
      <c r="J180" s="24"/>
      <c r="K180" s="26"/>
      <c r="L180" s="24"/>
      <c r="M180" s="24"/>
      <c r="N180" s="26"/>
      <c r="O180" s="26"/>
      <c r="P180" s="26"/>
      <c r="Q180" s="26"/>
      <c r="R180" s="26"/>
      <c r="S180" s="26"/>
      <c r="T180" s="26"/>
      <c r="U180" s="26"/>
      <c r="V180" s="26"/>
      <c r="W180" s="26">
        <f>MAX($C$7-VLOOKUP($C180,COS!$B$8:$H$991,3,FALSE),0)</f>
        <v>463.974609375</v>
      </c>
      <c r="X180" s="26">
        <f t="shared" si="245"/>
        <v>28.528686725206612</v>
      </c>
      <c r="Y180" s="26">
        <f>VLOOKUP($C180,COS!$B$8:$H$991,4,FALSE)</f>
        <v>0</v>
      </c>
      <c r="Z180" s="26">
        <f t="shared" si="246"/>
        <v>0</v>
      </c>
      <c r="AA180" s="26">
        <f t="shared" ref="AA180:AA184" si="286">MIN(W180,Y180)</f>
        <v>0</v>
      </c>
      <c r="AB180" s="33">
        <f t="shared" ref="AB180" si="287">AA180*DAY($C180)*86400/43560/1000*IF(MONTH($C180)=8,$P$3,IF(MONTH($C180)=9,$P$4,IF(MONTH($C180)=10,$P$5,IF(MONTH($C180)=11,$P$6,IF(MONTH($C180)=12,$P$7,NA())))))</f>
        <v>0</v>
      </c>
    </row>
    <row r="181" spans="1:28" x14ac:dyDescent="0.3">
      <c r="A181" s="32">
        <f>VLOOKUP(YEAR(C181),Flags!$A$13:$B$95,2,FALSE)</f>
        <v>2</v>
      </c>
      <c r="B181" s="24">
        <f t="shared" si="225"/>
        <v>1940</v>
      </c>
      <c r="C181" s="25">
        <v>14884</v>
      </c>
      <c r="D181" s="26"/>
      <c r="E181" s="24"/>
      <c r="F181" s="26"/>
      <c r="G181" s="24"/>
      <c r="H181" s="24"/>
      <c r="I181" s="26"/>
      <c r="J181" s="24"/>
      <c r="K181" s="26">
        <f>VLOOKUP($C181,COS!$B$8:$H$991,2,FALSE)</f>
        <v>2472.069580078125</v>
      </c>
      <c r="L181" s="24">
        <f t="shared" ref="L181" si="288">IF(AND(K181&gt;$I$7,K181&lt;$I$8),1,0)</f>
        <v>1</v>
      </c>
      <c r="M181" s="24"/>
      <c r="N181" s="26"/>
      <c r="O181" s="26"/>
      <c r="P181" s="26"/>
      <c r="Q181" s="26"/>
      <c r="R181" s="26"/>
      <c r="S181" s="26"/>
      <c r="T181" s="26"/>
      <c r="U181" s="26"/>
      <c r="V181" s="26"/>
      <c r="W181" s="26">
        <f>MAX($C$8-VLOOKUP($C181,COS!$B$8:$H$991,3,FALSE),0)</f>
        <v>0</v>
      </c>
      <c r="X181" s="26">
        <f t="shared" si="245"/>
        <v>0</v>
      </c>
      <c r="Y181" s="26">
        <f>VLOOKUP($C181,COS!$B$8:$H$991,4,FALSE)</f>
        <v>254.33448791503906</v>
      </c>
      <c r="Z181" s="26">
        <f t="shared" si="246"/>
        <v>15.133952999903151</v>
      </c>
      <c r="AA181" s="26">
        <f t="shared" si="286"/>
        <v>0</v>
      </c>
      <c r="AB181" s="33">
        <f t="shared" si="243"/>
        <v>0</v>
      </c>
    </row>
    <row r="182" spans="1:28" x14ac:dyDescent="0.3">
      <c r="A182" s="32">
        <f>VLOOKUP(YEAR(C182),Flags!$A$13:$B$95,2,FALSE)</f>
        <v>2</v>
      </c>
      <c r="B182" s="24">
        <f t="shared" si="225"/>
        <v>1940</v>
      </c>
      <c r="C182" s="25">
        <v>14915</v>
      </c>
      <c r="D182" s="26"/>
      <c r="E182" s="24"/>
      <c r="F182" s="26"/>
      <c r="G182" s="26"/>
      <c r="H182" s="26"/>
      <c r="I182" s="26"/>
      <c r="J182" s="26"/>
      <c r="K182" s="26"/>
      <c r="L182" s="24"/>
      <c r="M182" s="24"/>
      <c r="N182" s="26"/>
      <c r="O182" s="26"/>
      <c r="P182" s="26"/>
      <c r="Q182" s="26"/>
      <c r="R182" s="26"/>
      <c r="S182" s="26"/>
      <c r="T182" s="26"/>
      <c r="U182" s="26"/>
      <c r="V182" s="26"/>
      <c r="W182" s="26">
        <f>MAX($C$9-VLOOKUP($C182,COS!$B$8:$H$991,3,FALSE),0)</f>
        <v>0</v>
      </c>
      <c r="X182" s="26">
        <f t="shared" si="245"/>
        <v>0</v>
      </c>
      <c r="Y182" s="26">
        <f>VLOOKUP($C182,COS!$B$8:$H$991,4,FALSE)</f>
        <v>785.3338623046875</v>
      </c>
      <c r="Z182" s="26">
        <f t="shared" si="246"/>
        <v>48.288296987990705</v>
      </c>
      <c r="AA182" s="26">
        <f t="shared" si="286"/>
        <v>0</v>
      </c>
      <c r="AB182" s="33">
        <f t="shared" si="243"/>
        <v>0</v>
      </c>
    </row>
    <row r="183" spans="1:28" x14ac:dyDescent="0.3">
      <c r="A183" s="32">
        <f>VLOOKUP(YEAR(C183),Flags!$A$13:$B$95,2,FALSE)</f>
        <v>2</v>
      </c>
      <c r="B183" s="24">
        <f t="shared" si="225"/>
        <v>1940</v>
      </c>
      <c r="C183" s="25">
        <v>14945</v>
      </c>
      <c r="D183" s="26"/>
      <c r="E183" s="24"/>
      <c r="F183" s="26"/>
      <c r="G183" s="26"/>
      <c r="H183" s="26"/>
      <c r="I183" s="26"/>
      <c r="J183" s="26"/>
      <c r="K183" s="26"/>
      <c r="L183" s="24"/>
      <c r="M183" s="24"/>
      <c r="N183" s="26"/>
      <c r="O183" s="26"/>
      <c r="P183" s="26"/>
      <c r="Q183" s="26"/>
      <c r="R183" s="26"/>
      <c r="S183" s="26"/>
      <c r="T183" s="26"/>
      <c r="U183" s="26"/>
      <c r="V183" s="26"/>
      <c r="W183" s="26">
        <f>MAX($C$10-VLOOKUP($C183,COS!$B$8:$H$991,3,FALSE),0)</f>
        <v>0</v>
      </c>
      <c r="X183" s="26">
        <f t="shared" si="245"/>
        <v>0</v>
      </c>
      <c r="Y183" s="26">
        <f>VLOOKUP($C183,COS!$B$8:$H$991,4,FALSE)</f>
        <v>1105.5103759765625</v>
      </c>
      <c r="Z183" s="26">
        <f t="shared" si="246"/>
        <v>65.782435595299589</v>
      </c>
      <c r="AA183" s="26">
        <f t="shared" si="286"/>
        <v>0</v>
      </c>
      <c r="AB183" s="33">
        <f t="shared" si="243"/>
        <v>0</v>
      </c>
    </row>
    <row r="184" spans="1:28" x14ac:dyDescent="0.3">
      <c r="A184" s="34">
        <f>VLOOKUP(YEAR(C184),Flags!$A$13:$B$95,2,FALSE)</f>
        <v>2</v>
      </c>
      <c r="B184" s="35">
        <f t="shared" si="225"/>
        <v>1940</v>
      </c>
      <c r="C184" s="36">
        <v>14976</v>
      </c>
      <c r="D184" s="37"/>
      <c r="E184" s="35"/>
      <c r="F184" s="37"/>
      <c r="G184" s="37"/>
      <c r="H184" s="37"/>
      <c r="I184" s="37"/>
      <c r="J184" s="37"/>
      <c r="K184" s="37"/>
      <c r="L184" s="35"/>
      <c r="M184" s="35"/>
      <c r="N184" s="37"/>
      <c r="O184" s="37"/>
      <c r="P184" s="37"/>
      <c r="Q184" s="37"/>
      <c r="R184" s="37"/>
      <c r="S184" s="37"/>
      <c r="T184" s="37"/>
      <c r="U184" s="37"/>
      <c r="V184" s="37"/>
      <c r="W184" s="37">
        <f>MAX($C$11-VLOOKUP($C184,COS!$B$8:$H$991,3,FALSE),0)</f>
        <v>0</v>
      </c>
      <c r="X184" s="37">
        <f t="shared" si="245"/>
        <v>0</v>
      </c>
      <c r="Y184" s="37">
        <f>VLOOKUP($C184,COS!$B$8:$H$991,4,FALSE)</f>
        <v>0</v>
      </c>
      <c r="Z184" s="37">
        <f t="shared" si="246"/>
        <v>0</v>
      </c>
      <c r="AA184" s="37">
        <f t="shared" si="286"/>
        <v>0</v>
      </c>
      <c r="AB184" s="38">
        <f t="shared" si="243"/>
        <v>0</v>
      </c>
    </row>
    <row r="185" spans="1:28" x14ac:dyDescent="0.3">
      <c r="A185" s="27">
        <f>VLOOKUP(YEAR(C185),Flags!$A$13:$B$95,2,FALSE)</f>
        <v>1</v>
      </c>
      <c r="B185" s="28">
        <f t="shared" si="225"/>
        <v>1941</v>
      </c>
      <c r="C185" s="29">
        <v>15096</v>
      </c>
      <c r="D185" s="30">
        <f>VLOOKUP($C185,COS!$B$8:$H$991,3,FALSE)</f>
        <v>13347.38671875</v>
      </c>
      <c r="E185" s="28">
        <f>IF(D185&gt;=IF(MONTH($C185)=4,$C$3,IF(MONTH($C185)=5,$C$4,IF(MONTH($C185)=6,$C$5,IF(MONTH($C185)=7,$C$6,"ERROR")))),1,0)</f>
        <v>1</v>
      </c>
      <c r="F185" s="30">
        <f>VLOOKUP($C185,COS!$B$8:$H$991,7,FALSE)</f>
        <v>47.10235595703125</v>
      </c>
      <c r="G185" s="28">
        <f>IF(F185&lt;=IF(MONTH($C185)=4,$F$3,IF(MONTH($C185)=5,$F$4,IF(MONTH($C185)=6,$F$5,IF(MONTH($C185)=7,$F$6,"ERROR")))),1,0)</f>
        <v>1</v>
      </c>
      <c r="H185" s="30">
        <f>IF(J185=1,D185-$C$3,0)</f>
        <v>7347.38671875</v>
      </c>
      <c r="I185" s="30">
        <f t="shared" si="239"/>
        <v>437.1998708677686</v>
      </c>
      <c r="J185" s="28">
        <f t="shared" ref="J185:J188" si="289">IF(AND(E185=1,G185=1),1,0)</f>
        <v>1</v>
      </c>
      <c r="K185" s="30">
        <f>VLOOKUP($C185,COS!$B$8:$H$991,2,FALSE)</f>
        <v>4456</v>
      </c>
      <c r="L185" s="28">
        <f t="shared" ref="L185" si="290">IF(K185&lt;=IF(MONTH($C185)=4,$I$3,IF(MONTH($C185)=5,$I$4,IF(MONTH($C185)=6,$I$5,IF(MONTH($C185)=7,$I$6,"ERROR")))),1,0)</f>
        <v>1</v>
      </c>
      <c r="M185" s="28">
        <f t="shared" ref="M185" si="291">VLOOKUP($A185,$L$3:$M$7,2,FALSE)</f>
        <v>0</v>
      </c>
      <c r="N185" s="30">
        <f>VLOOKUP($C185,COS!$B$8:$H$991,5,FALSE)</f>
        <v>23.296117782592773</v>
      </c>
      <c r="O185" s="30">
        <f t="shared" ref="O185:O188" si="292">N185*DAY($C185)*86400/43560/1000</f>
        <v>1.3862152730137849</v>
      </c>
      <c r="P185" s="30">
        <f>VLOOKUP($C185,COS!$B$8:$H$991,6,FALSE)</f>
        <v>258.51828002929688</v>
      </c>
      <c r="Q185" s="30">
        <f t="shared" ref="Q185:Q188" si="293">P185*DAY($C185)*86400/43560/1000</f>
        <v>15.382905919098658</v>
      </c>
      <c r="R185" s="30">
        <f>MIN(IF(MONTH($C185)=4,$S$3,IF(MONTH($C185)=5,$S$4,IF(MONTH($C185)=6,$S$5,IF(MONTH($C185)=7,$S$6,"ERROR")))),MAX(VLOOKUP($C185,COS!$B$8:$K$991,10,FALSE)-IF(MONTH($C185)=4,$Y$3,IF(MONTH($C185)=5,$Y$4,IF(MONTH($C185)=6,$Y$5,IF(MONTH($C185)=7,$Y$6,"ERROR")))),0),MAX(VLOOKUP($C185,COS!$B$8:$K$991,9,FALSE)-IF(MONTH($C185)=4,$V$3,IF(MONTH($C185)=5,$V$4,IF(MONTH($C185)=6,$V$5,IF(MONTH($C185)=7,$V$6,"ERROR"))))-VLOOKUP($C185,COS!$B$8:$K$991,6,FALSE)/2,0))</f>
        <v>1500</v>
      </c>
      <c r="S185" s="30">
        <f t="shared" ref="S185:S188" si="294">R185*DAY($C185)*86400/43560/1000</f>
        <v>89.256198347107429</v>
      </c>
      <c r="T185" s="30">
        <f t="shared" ref="T185:T188" si="295">(O185+Q185)/2+S185</f>
        <v>97.640758943163647</v>
      </c>
      <c r="U185" s="30" t="str">
        <f>IF(VLOOKUP($C185,COS!$B$8:$I$991,8,FALSE)=1,"UWFE","IBU")</f>
        <v>UWFE</v>
      </c>
      <c r="V185" s="30">
        <f t="shared" ref="V185" si="296">MIN(IF(IF($AA$3=2,AND(E185=1,G185=1,L185=1,L190=1,M185=1,U185="IBU"),AND(E185=1,G185=1,L185=1,L190=1,M185=1)),T185,0),I185)</f>
        <v>0</v>
      </c>
      <c r="W185" s="30"/>
      <c r="X185" s="30"/>
      <c r="Y185" s="30"/>
      <c r="Z185" s="30"/>
      <c r="AA185" s="30"/>
      <c r="AB185" s="31"/>
    </row>
    <row r="186" spans="1:28" x14ac:dyDescent="0.3">
      <c r="A186" s="32">
        <f>VLOOKUP(YEAR(C186),Flags!$A$13:$B$95,2,FALSE)</f>
        <v>1</v>
      </c>
      <c r="B186" s="24">
        <f t="shared" si="225"/>
        <v>1941</v>
      </c>
      <c r="C186" s="25">
        <v>15127</v>
      </c>
      <c r="D186" s="26">
        <f>VLOOKUP($C186,COS!$B$8:$H$991,3,FALSE)</f>
        <v>11196.62890625</v>
      </c>
      <c r="E186" s="24">
        <f>IF(D186&gt;=IF(MONTH($C186)=4,$C$3,IF(MONTH($C186)=5,$C$4,IF(MONTH($C186)=6,$C$5,IF(MONTH($C186)=7,$C$6,"ERROR")))),1,0)</f>
        <v>1</v>
      </c>
      <c r="F186" s="26">
        <f>VLOOKUP($C186,COS!$B$8:$H$991,7,FALSE)</f>
        <v>49.271575927734375</v>
      </c>
      <c r="G186" s="24">
        <f>IF(F186&lt;=IF(MONTH($C186)=4,$F$3,IF(MONTH($C186)=5,$F$4,IF(MONTH($C186)=6,$F$5,IF(MONTH($C186)=7,$F$6,"ERROR")))),1,0)</f>
        <v>1</v>
      </c>
      <c r="H186" s="26">
        <f>IF(J186=1,D186-$C$4,0)</f>
        <v>5196.62890625</v>
      </c>
      <c r="I186" s="26">
        <f t="shared" si="239"/>
        <v>319.52825671487602</v>
      </c>
      <c r="J186" s="24">
        <f t="shared" si="289"/>
        <v>1</v>
      </c>
      <c r="K186" s="26">
        <f>VLOOKUP($C186,COS!$B$8:$H$991,2,FALSE)</f>
        <v>4552</v>
      </c>
      <c r="L186" s="24">
        <f t="shared" si="231"/>
        <v>1</v>
      </c>
      <c r="M186" s="24">
        <f t="shared" si="232"/>
        <v>0</v>
      </c>
      <c r="N186" s="26">
        <f>VLOOKUP($C186,COS!$B$8:$H$991,5,FALSE)</f>
        <v>416.04388427734375</v>
      </c>
      <c r="O186" s="26">
        <f t="shared" si="292"/>
        <v>25.581541314243285</v>
      </c>
      <c r="P186" s="26">
        <f>VLOOKUP($C186,COS!$B$8:$H$991,6,FALSE)</f>
        <v>1881.5819091796875</v>
      </c>
      <c r="Q186" s="26">
        <f t="shared" si="293"/>
        <v>115.69396201898243</v>
      </c>
      <c r="R186" s="26">
        <f>MIN(IF(MONTH($C186)=4,$S$3,IF(MONTH($C186)=5,$S$4,IF(MONTH($C186)=6,$S$5,IF(MONTH($C186)=7,$S$6,"ERROR")))),MAX(VLOOKUP($C186,COS!$B$8:$K$991,10,FALSE)-IF(MONTH($C186)=4,$Y$3,IF(MONTH($C186)=5,$Y$4,IF(MONTH($C186)=6,$Y$5,IF(MONTH($C186)=7,$Y$6,"ERROR")))),0),MAX(VLOOKUP($C186,COS!$B$8:$K$991,9,FALSE)-IF(MONTH($C186)=4,$V$3,IF(MONTH($C186)=5,$V$4,IF(MONTH($C186)=6,$V$5,IF(MONTH($C186)=7,$V$6,"ERROR"))))-VLOOKUP($C186,COS!$B$8:$K$991,6,FALSE)/2,0))</f>
        <v>1500</v>
      </c>
      <c r="S186" s="26">
        <f t="shared" si="294"/>
        <v>92.231404958677686</v>
      </c>
      <c r="T186" s="26">
        <f t="shared" si="295"/>
        <v>162.86915662529054</v>
      </c>
      <c r="U186" s="26" t="str">
        <f>IF(VLOOKUP($C186,COS!$B$8:$I$991,8,FALSE)=1,"UWFE","IBU")</f>
        <v>UWFE</v>
      </c>
      <c r="V186" s="26">
        <f t="shared" ref="V186" si="297">MIN(IF(IF($AA$3=2,AND(E186=1,G186=1,L186=1,L190=1,M186=1,U186="IBU"),AND(E186=1,G186=1,L186=1,L190=1,M186=1)),T186,0),I186)</f>
        <v>0</v>
      </c>
      <c r="W186" s="26"/>
      <c r="X186" s="26"/>
      <c r="Y186" s="26"/>
      <c r="Z186" s="26"/>
      <c r="AA186" s="26"/>
      <c r="AB186" s="33"/>
    </row>
    <row r="187" spans="1:28" x14ac:dyDescent="0.3">
      <c r="A187" s="32">
        <f>VLOOKUP(YEAR(C187),Flags!$A$13:$B$95,2,FALSE)</f>
        <v>1</v>
      </c>
      <c r="B187" s="24">
        <f t="shared" si="225"/>
        <v>1941</v>
      </c>
      <c r="C187" s="25">
        <v>15157</v>
      </c>
      <c r="D187" s="26">
        <f>VLOOKUP($C187,COS!$B$8:$H$991,3,FALSE)</f>
        <v>7959.45068359375</v>
      </c>
      <c r="E187" s="24">
        <f>IF(D187&gt;=IF(MONTH($C187)=4,$C$3,IF(MONTH($C187)=5,$C$4,IF(MONTH($C187)=6,$C$5,IF(MONTH($C187)=7,$C$6,"ERROR")))),1,0)</f>
        <v>0</v>
      </c>
      <c r="F187" s="26">
        <f>VLOOKUP($C187,COS!$B$8:$H$991,7,FALSE)</f>
        <v>51.485713958740234</v>
      </c>
      <c r="G187" s="24">
        <f>IF(F187&lt;=IF(MONTH($C187)=4,$F$3,IF(MONTH($C187)=5,$F$4,IF(MONTH($C187)=6,$F$5,IF(MONTH($C187)=7,$F$6,"ERROR")))),1,0)</f>
        <v>1</v>
      </c>
      <c r="H187" s="26">
        <f>IF(J187=1,D187-$C$5,0)</f>
        <v>0</v>
      </c>
      <c r="I187" s="26">
        <f t="shared" si="239"/>
        <v>0</v>
      </c>
      <c r="J187" s="24">
        <f t="shared" si="289"/>
        <v>0</v>
      </c>
      <c r="K187" s="26">
        <f>VLOOKUP($C187,COS!$B$8:$H$991,2,FALSE)</f>
        <v>4473.59912109375</v>
      </c>
      <c r="L187" s="24">
        <f t="shared" si="231"/>
        <v>1</v>
      </c>
      <c r="M187" s="24">
        <f t="shared" si="232"/>
        <v>0</v>
      </c>
      <c r="N187" s="26">
        <f>VLOOKUP($C187,COS!$B$8:$H$991,5,FALSE)</f>
        <v>1200.7138671875</v>
      </c>
      <c r="O187" s="26">
        <f t="shared" si="292"/>
        <v>71.447436725206614</v>
      </c>
      <c r="P187" s="26">
        <f>VLOOKUP($C187,COS!$B$8:$H$991,6,FALSE)</f>
        <v>2235.81640625</v>
      </c>
      <c r="Q187" s="26">
        <f t="shared" si="293"/>
        <v>133.04031508264464</v>
      </c>
      <c r="R187" s="26">
        <f>MIN(IF(MONTH($C187)=4,$S$3,IF(MONTH($C187)=5,$S$4,IF(MONTH($C187)=6,$S$5,IF(MONTH($C187)=7,$S$6,"ERROR")))),MAX(VLOOKUP($C187,COS!$B$8:$K$991,10,FALSE)-IF(MONTH($C187)=4,$Y$3,IF(MONTH($C187)=5,$Y$4,IF(MONTH($C187)=6,$Y$5,IF(MONTH($C187)=7,$Y$6,"ERROR")))),0),MAX(VLOOKUP($C187,COS!$B$8:$K$991,9,FALSE)-IF(MONTH($C187)=4,$V$3,IF(MONTH($C187)=5,$V$4,IF(MONTH($C187)=6,$V$5,IF(MONTH($C187)=7,$V$6,"ERROR"))))-VLOOKUP($C187,COS!$B$8:$K$991,6,FALSE)/2,0))</f>
        <v>1500</v>
      </c>
      <c r="S187" s="26">
        <f t="shared" si="294"/>
        <v>89.256198347107429</v>
      </c>
      <c r="T187" s="26">
        <f t="shared" si="295"/>
        <v>191.50007425103306</v>
      </c>
      <c r="U187" s="26" t="str">
        <f>IF(VLOOKUP($C187,COS!$B$8:$I$991,8,FALSE)=1,"UWFE","IBU")</f>
        <v>UWFE</v>
      </c>
      <c r="V187" s="26">
        <f t="shared" ref="V187" si="298">MIN(IF(IF($AA$3=2,AND(E187=1,G187=1,L187=1,L190=1,M187=1,U187="IBU"),AND(E187=1,G187=1,L187=1,L190=1,M187=1)),T187,0),I187)</f>
        <v>0</v>
      </c>
      <c r="W187" s="26"/>
      <c r="X187" s="26"/>
      <c r="Y187" s="26"/>
      <c r="Z187" s="26"/>
      <c r="AA187" s="26"/>
      <c r="AB187" s="33"/>
    </row>
    <row r="188" spans="1:28" x14ac:dyDescent="0.3">
      <c r="A188" s="32">
        <f>VLOOKUP(YEAR(C188),Flags!$A$13:$B$95,2,FALSE)</f>
        <v>1</v>
      </c>
      <c r="B188" s="24">
        <f t="shared" si="225"/>
        <v>1941</v>
      </c>
      <c r="C188" s="25">
        <v>15188</v>
      </c>
      <c r="D188" s="26">
        <f>VLOOKUP($C188,COS!$B$8:$H$991,3,FALSE)</f>
        <v>13357.740234375</v>
      </c>
      <c r="E188" s="24">
        <f>IF(D188&gt;=IF(MONTH($C188)=4,$C$3,IF(MONTH($C188)=5,$C$4,IF(MONTH($C188)=6,$C$5,IF(MONTH($C188)=7,$C$6,"ERROR")))),1,0)</f>
        <v>1</v>
      </c>
      <c r="F188" s="26">
        <f>VLOOKUP($C188,COS!$B$8:$H$991,7,FALSE)</f>
        <v>52.457145690917969</v>
      </c>
      <c r="G188" s="24">
        <f>IF(F188&lt;=IF(MONTH($C188)=4,$F$3,IF(MONTH($C188)=5,$F$4,IF(MONTH($C188)=6,$F$5,IF(MONTH($C188)=7,$F$6,"ERROR")))),1,0)</f>
        <v>1</v>
      </c>
      <c r="H188" s="26">
        <f>IF(J188=1,D188-$C$6,0)</f>
        <v>1357.740234375</v>
      </c>
      <c r="I188" s="26">
        <f t="shared" si="239"/>
        <v>83.484192923553721</v>
      </c>
      <c r="J188" s="24">
        <f t="shared" si="289"/>
        <v>1</v>
      </c>
      <c r="K188" s="26">
        <f>VLOOKUP($C188,COS!$B$8:$H$991,2,FALSE)</f>
        <v>4107.0615234375</v>
      </c>
      <c r="L188" s="24">
        <f t="shared" si="231"/>
        <v>1</v>
      </c>
      <c r="M188" s="24">
        <f t="shared" si="232"/>
        <v>0</v>
      </c>
      <c r="N188" s="26">
        <f>VLOOKUP($C188,COS!$B$8:$H$991,5,FALSE)</f>
        <v>1380.17529296875</v>
      </c>
      <c r="O188" s="26">
        <f t="shared" si="292"/>
        <v>84.863670906508275</v>
      </c>
      <c r="P188" s="26">
        <f>VLOOKUP($C188,COS!$B$8:$H$991,6,FALSE)</f>
        <v>2616.67822265625</v>
      </c>
      <c r="Q188" s="26">
        <f t="shared" si="293"/>
        <v>160.89327253357436</v>
      </c>
      <c r="R188" s="26">
        <f>MIN(IF(MONTH($C188)=4,$S$3,IF(MONTH($C188)=5,$S$4,IF(MONTH($C188)=6,$S$5,IF(MONTH($C188)=7,$S$6,"ERROR")))),MAX(VLOOKUP($C188,COS!$B$8:$K$991,10,FALSE)-IF(MONTH($C188)=4,$Y$3,IF(MONTH($C188)=5,$Y$4,IF(MONTH($C188)=6,$Y$5,IF(MONTH($C188)=7,$Y$6,"ERROR")))),0),MAX(VLOOKUP($C188,COS!$B$8:$K$991,9,FALSE)-IF(MONTH($C188)=4,$V$3,IF(MONTH($C188)=5,$V$4,IF(MONTH($C188)=6,$V$5,IF(MONTH($C188)=7,$V$6,"ERROR"))))-VLOOKUP($C188,COS!$B$8:$K$991,6,FALSE)/2,0))</f>
        <v>1500</v>
      </c>
      <c r="S188" s="26">
        <f t="shared" si="294"/>
        <v>92.231404958677686</v>
      </c>
      <c r="T188" s="26">
        <f t="shared" si="295"/>
        <v>215.10987667871899</v>
      </c>
      <c r="U188" s="26" t="str">
        <f>IF(VLOOKUP($C188,COS!$B$8:$I$991,8,FALSE)=1,"UWFE","IBU")</f>
        <v>IBU</v>
      </c>
      <c r="V188" s="26">
        <f t="shared" ref="V188" si="299">MIN(IF(IF($AA$3=2,AND(E188=1,G188=1,L188=1,L190=1,M188=1,U188="IBU"),AND(E188=1,G188=1,L188=1,L190=1,M188=1)),T188,0),I188)</f>
        <v>0</v>
      </c>
      <c r="W188" s="26"/>
      <c r="X188" s="26"/>
      <c r="Y188" s="26"/>
      <c r="Z188" s="26"/>
      <c r="AA188" s="26"/>
      <c r="AB188" s="33"/>
    </row>
    <row r="189" spans="1:28" x14ac:dyDescent="0.3">
      <c r="A189" s="32">
        <f>VLOOKUP(YEAR(C189),Flags!$A$13:$B$95,2,FALSE)</f>
        <v>1</v>
      </c>
      <c r="B189" s="24">
        <f t="shared" si="225"/>
        <v>1941</v>
      </c>
      <c r="C189" s="25">
        <v>15219</v>
      </c>
      <c r="D189" s="26"/>
      <c r="E189" s="24"/>
      <c r="F189" s="26"/>
      <c r="G189" s="24"/>
      <c r="H189" s="24"/>
      <c r="I189" s="26"/>
      <c r="J189" s="24"/>
      <c r="K189" s="26"/>
      <c r="L189" s="24"/>
      <c r="M189" s="24"/>
      <c r="N189" s="26"/>
      <c r="O189" s="26"/>
      <c r="P189" s="26"/>
      <c r="Q189" s="26"/>
      <c r="R189" s="26"/>
      <c r="S189" s="26"/>
      <c r="T189" s="26"/>
      <c r="U189" s="26"/>
      <c r="V189" s="26"/>
      <c r="W189" s="26">
        <f>MAX($C$7-VLOOKUP($C189,COS!$B$8:$H$991,3,FALSE),0)</f>
        <v>127.173828125</v>
      </c>
      <c r="X189" s="26">
        <f t="shared" si="245"/>
        <v>7.8196138946280991</v>
      </c>
      <c r="Y189" s="26">
        <f>VLOOKUP($C189,COS!$B$8:$H$991,4,FALSE)</f>
        <v>41.871162414550781</v>
      </c>
      <c r="Z189" s="26">
        <f t="shared" si="246"/>
        <v>2.5745574244979985</v>
      </c>
      <c r="AA189" s="26">
        <f t="shared" ref="AA189:AA193" si="300">MIN(W189,Y189)</f>
        <v>41.871162414550781</v>
      </c>
      <c r="AB189" s="33">
        <f t="shared" ref="AB189" si="301">AA189*DAY($C189)*86400/43560/1000*IF(MONTH($C189)=8,$P$3,IF(MONTH($C189)=9,$P$4,IF(MONTH($C189)=10,$P$5,IF(MONTH($C189)=11,$P$6,IF(MONTH($C189)=12,$P$7,NA())))))</f>
        <v>2.5745574244979985</v>
      </c>
    </row>
    <row r="190" spans="1:28" x14ac:dyDescent="0.3">
      <c r="A190" s="32">
        <f>VLOOKUP(YEAR(C190),Flags!$A$13:$B$95,2,FALSE)</f>
        <v>1</v>
      </c>
      <c r="B190" s="24">
        <f t="shared" si="225"/>
        <v>1941</v>
      </c>
      <c r="C190" s="25">
        <v>15249</v>
      </c>
      <c r="D190" s="26"/>
      <c r="E190" s="24"/>
      <c r="F190" s="26"/>
      <c r="G190" s="24"/>
      <c r="H190" s="24"/>
      <c r="I190" s="26"/>
      <c r="J190" s="24"/>
      <c r="K190" s="26">
        <f>VLOOKUP($C190,COS!$B$8:$H$991,2,FALSE)</f>
        <v>3115.0087890625</v>
      </c>
      <c r="L190" s="24">
        <f t="shared" ref="L190" si="302">IF(AND(K190&gt;$I$7,K190&lt;$I$8),1,0)</f>
        <v>1</v>
      </c>
      <c r="M190" s="24"/>
      <c r="N190" s="26"/>
      <c r="O190" s="26"/>
      <c r="P190" s="26"/>
      <c r="Q190" s="26"/>
      <c r="R190" s="26"/>
      <c r="S190" s="26"/>
      <c r="T190" s="26"/>
      <c r="U190" s="26"/>
      <c r="V190" s="26"/>
      <c r="W190" s="26">
        <f>MAX($C$8-VLOOKUP($C190,COS!$B$8:$H$991,3,FALSE),0)</f>
        <v>0</v>
      </c>
      <c r="X190" s="26">
        <f t="shared" si="245"/>
        <v>0</v>
      </c>
      <c r="Y190" s="26">
        <f>VLOOKUP($C190,COS!$B$8:$H$991,4,FALSE)</f>
        <v>125.05797576904297</v>
      </c>
      <c r="Z190" s="26">
        <f t="shared" si="246"/>
        <v>7.4414663267529706</v>
      </c>
      <c r="AA190" s="26">
        <f t="shared" si="300"/>
        <v>0</v>
      </c>
      <c r="AB190" s="33">
        <f t="shared" si="243"/>
        <v>0</v>
      </c>
    </row>
    <row r="191" spans="1:28" x14ac:dyDescent="0.3">
      <c r="A191" s="32">
        <f>VLOOKUP(YEAR(C191),Flags!$A$13:$B$95,2,FALSE)</f>
        <v>1</v>
      </c>
      <c r="B191" s="24">
        <f t="shared" si="225"/>
        <v>1941</v>
      </c>
      <c r="C191" s="25">
        <v>15280</v>
      </c>
      <c r="D191" s="26"/>
      <c r="E191" s="24"/>
      <c r="F191" s="26"/>
      <c r="G191" s="26"/>
      <c r="H191" s="26"/>
      <c r="I191" s="26"/>
      <c r="J191" s="26"/>
      <c r="K191" s="26"/>
      <c r="L191" s="24"/>
      <c r="M191" s="24"/>
      <c r="N191" s="26"/>
      <c r="O191" s="26"/>
      <c r="P191" s="26"/>
      <c r="Q191" s="26"/>
      <c r="R191" s="26"/>
      <c r="S191" s="26"/>
      <c r="T191" s="26"/>
      <c r="U191" s="26"/>
      <c r="V191" s="26"/>
      <c r="W191" s="26">
        <f>MAX($C$9-VLOOKUP($C191,COS!$B$8:$H$991,3,FALSE),0)</f>
        <v>0</v>
      </c>
      <c r="X191" s="26">
        <f t="shared" si="245"/>
        <v>0</v>
      </c>
      <c r="Y191" s="26">
        <f>VLOOKUP($C191,COS!$B$8:$H$991,4,FALSE)</f>
        <v>404.5906982421875</v>
      </c>
      <c r="Z191" s="26">
        <f t="shared" si="246"/>
        <v>24.877312354726239</v>
      </c>
      <c r="AA191" s="26">
        <f t="shared" si="300"/>
        <v>0</v>
      </c>
      <c r="AB191" s="33">
        <f t="shared" si="243"/>
        <v>0</v>
      </c>
    </row>
    <row r="192" spans="1:28" x14ac:dyDescent="0.3">
      <c r="A192" s="32">
        <f>VLOOKUP(YEAR(C192),Flags!$A$13:$B$95,2,FALSE)</f>
        <v>1</v>
      </c>
      <c r="B192" s="24">
        <f t="shared" si="225"/>
        <v>1941</v>
      </c>
      <c r="C192" s="25">
        <v>15310</v>
      </c>
      <c r="D192" s="26"/>
      <c r="E192" s="24"/>
      <c r="F192" s="26"/>
      <c r="G192" s="26"/>
      <c r="H192" s="26"/>
      <c r="I192" s="26"/>
      <c r="J192" s="26"/>
      <c r="K192" s="26"/>
      <c r="L192" s="24"/>
      <c r="M192" s="24"/>
      <c r="N192" s="26"/>
      <c r="O192" s="26"/>
      <c r="P192" s="26"/>
      <c r="Q192" s="26"/>
      <c r="R192" s="26"/>
      <c r="S192" s="26"/>
      <c r="T192" s="26"/>
      <c r="U192" s="26"/>
      <c r="V192" s="26"/>
      <c r="W192" s="26">
        <f>MAX($C$10-VLOOKUP($C192,COS!$B$8:$H$991,3,FALSE),0)</f>
        <v>0</v>
      </c>
      <c r="X192" s="26">
        <f t="shared" si="245"/>
        <v>0</v>
      </c>
      <c r="Y192" s="26">
        <f>VLOOKUP($C192,COS!$B$8:$H$991,4,FALSE)</f>
        <v>455.62896728515625</v>
      </c>
      <c r="Z192" s="26">
        <f t="shared" si="246"/>
        <v>27.111806317794422</v>
      </c>
      <c r="AA192" s="26">
        <f t="shared" si="300"/>
        <v>0</v>
      </c>
      <c r="AB192" s="33">
        <f t="shared" si="243"/>
        <v>0</v>
      </c>
    </row>
    <row r="193" spans="1:28" x14ac:dyDescent="0.3">
      <c r="A193" s="34">
        <f>VLOOKUP(YEAR(C193),Flags!$A$13:$B$95,2,FALSE)</f>
        <v>1</v>
      </c>
      <c r="B193" s="35">
        <f t="shared" si="225"/>
        <v>1941</v>
      </c>
      <c r="C193" s="36">
        <v>15341</v>
      </c>
      <c r="D193" s="37"/>
      <c r="E193" s="35"/>
      <c r="F193" s="37"/>
      <c r="G193" s="37"/>
      <c r="H193" s="37"/>
      <c r="I193" s="37"/>
      <c r="J193" s="37"/>
      <c r="K193" s="37"/>
      <c r="L193" s="35"/>
      <c r="M193" s="35"/>
      <c r="N193" s="37"/>
      <c r="O193" s="37"/>
      <c r="P193" s="37"/>
      <c r="Q193" s="37"/>
      <c r="R193" s="37"/>
      <c r="S193" s="37"/>
      <c r="T193" s="37"/>
      <c r="U193" s="37"/>
      <c r="V193" s="37"/>
      <c r="W193" s="37">
        <f>MAX($C$11-VLOOKUP($C193,COS!$B$8:$H$991,3,FALSE),0)</f>
        <v>0</v>
      </c>
      <c r="X193" s="37">
        <f t="shared" si="245"/>
        <v>0</v>
      </c>
      <c r="Y193" s="37">
        <f>VLOOKUP($C193,COS!$B$8:$H$991,4,FALSE)</f>
        <v>0</v>
      </c>
      <c r="Z193" s="37">
        <f t="shared" si="246"/>
        <v>0</v>
      </c>
      <c r="AA193" s="37">
        <f t="shared" si="300"/>
        <v>0</v>
      </c>
      <c r="AB193" s="38">
        <f t="shared" si="243"/>
        <v>0</v>
      </c>
    </row>
    <row r="194" spans="1:28" x14ac:dyDescent="0.3">
      <c r="A194" s="27">
        <f>VLOOKUP(YEAR(C194),Flags!$A$13:$B$95,2,FALSE)</f>
        <v>1</v>
      </c>
      <c r="B194" s="28">
        <f t="shared" si="225"/>
        <v>1942</v>
      </c>
      <c r="C194" s="29">
        <v>15461</v>
      </c>
      <c r="D194" s="30">
        <f>VLOOKUP($C194,COS!$B$8:$H$991,3,FALSE)</f>
        <v>3250</v>
      </c>
      <c r="E194" s="28">
        <f>IF(D194&gt;=IF(MONTH($C194)=4,$C$3,IF(MONTH($C194)=5,$C$4,IF(MONTH($C194)=6,$C$5,IF(MONTH($C194)=7,$C$6,"ERROR")))),1,0)</f>
        <v>0</v>
      </c>
      <c r="F194" s="30">
        <f>VLOOKUP($C194,COS!$B$8:$H$991,7,FALSE)</f>
        <v>49.696609497070313</v>
      </c>
      <c r="G194" s="28">
        <f>IF(F194&lt;=IF(MONTH($C194)=4,$F$3,IF(MONTH($C194)=5,$F$4,IF(MONTH($C194)=6,$F$5,IF(MONTH($C194)=7,$F$6,"ERROR")))),1,0)</f>
        <v>1</v>
      </c>
      <c r="H194" s="30">
        <f>IF(J194=1,D194-$C$3,0)</f>
        <v>0</v>
      </c>
      <c r="I194" s="30">
        <f t="shared" si="239"/>
        <v>0</v>
      </c>
      <c r="J194" s="28">
        <f t="shared" ref="J194:J197" si="303">IF(AND(E194=1,G194=1),1,0)</f>
        <v>0</v>
      </c>
      <c r="K194" s="30">
        <f>VLOOKUP($C194,COS!$B$8:$H$991,2,FALSE)</f>
        <v>4509.97900390625</v>
      </c>
      <c r="L194" s="28">
        <f t="shared" ref="L194" si="304">IF(K194&lt;=IF(MONTH($C194)=4,$I$3,IF(MONTH($C194)=5,$I$4,IF(MONTH($C194)=6,$I$5,IF(MONTH($C194)=7,$I$6,"ERROR")))),1,0)</f>
        <v>1</v>
      </c>
      <c r="M194" s="28">
        <f t="shared" ref="M194" si="305">VLOOKUP($A194,$L$3:$M$7,2,FALSE)</f>
        <v>0</v>
      </c>
      <c r="N194" s="30">
        <f>VLOOKUP($C194,COS!$B$8:$H$991,5,FALSE)</f>
        <v>20.96923828125</v>
      </c>
      <c r="O194" s="30">
        <f t="shared" ref="O194:O197" si="306">N194*DAY($C194)*86400/43560/1000</f>
        <v>1.2477563274793388</v>
      </c>
      <c r="P194" s="30">
        <f>VLOOKUP($C194,COS!$B$8:$H$991,6,FALSE)</f>
        <v>278.10659790039063</v>
      </c>
      <c r="Q194" s="30">
        <f t="shared" ref="Q194:Q197" si="307">P194*DAY($C194)*86400/43560/1000</f>
        <v>16.548491775891012</v>
      </c>
      <c r="R194" s="30">
        <f>MIN(IF(MONTH($C194)=4,$S$3,IF(MONTH($C194)=5,$S$4,IF(MONTH($C194)=6,$S$5,IF(MONTH($C194)=7,$S$6,"ERROR")))),MAX(VLOOKUP($C194,COS!$B$8:$K$991,10,FALSE)-IF(MONTH($C194)=4,$Y$3,IF(MONTH($C194)=5,$Y$4,IF(MONTH($C194)=6,$Y$5,IF(MONTH($C194)=7,$Y$6,"ERROR")))),0),MAX(VLOOKUP($C194,COS!$B$8:$K$991,9,FALSE)-IF(MONTH($C194)=4,$V$3,IF(MONTH($C194)=5,$V$4,IF(MONTH($C194)=6,$V$5,IF(MONTH($C194)=7,$V$6,"ERROR"))))-VLOOKUP($C194,COS!$B$8:$K$991,6,FALSE)/2,0))</f>
        <v>1500</v>
      </c>
      <c r="S194" s="30">
        <f t="shared" ref="S194:S197" si="308">R194*DAY($C194)*86400/43560/1000</f>
        <v>89.256198347107429</v>
      </c>
      <c r="T194" s="30">
        <f t="shared" ref="T194:T197" si="309">(O194+Q194)/2+S194</f>
        <v>98.154322398792601</v>
      </c>
      <c r="U194" s="30" t="str">
        <f>IF(VLOOKUP($C194,COS!$B$8:$I$991,8,FALSE)=1,"UWFE","IBU")</f>
        <v>UWFE</v>
      </c>
      <c r="V194" s="30">
        <f t="shared" ref="V194" si="310">MIN(IF(IF($AA$3=2,AND(E194=1,G194=1,L194=1,L199=1,M194=1,U194="IBU"),AND(E194=1,G194=1,L194=1,L199=1,M194=1)),T194,0),I194)</f>
        <v>0</v>
      </c>
      <c r="W194" s="30"/>
      <c r="X194" s="30"/>
      <c r="Y194" s="30"/>
      <c r="Z194" s="30"/>
      <c r="AA194" s="30"/>
      <c r="AB194" s="31"/>
    </row>
    <row r="195" spans="1:28" x14ac:dyDescent="0.3">
      <c r="A195" s="32">
        <f>VLOOKUP(YEAR(C195),Flags!$A$13:$B$95,2,FALSE)</f>
        <v>1</v>
      </c>
      <c r="B195" s="24">
        <f t="shared" si="225"/>
        <v>1942</v>
      </c>
      <c r="C195" s="25">
        <v>15492</v>
      </c>
      <c r="D195" s="26">
        <f>VLOOKUP($C195,COS!$B$8:$H$991,3,FALSE)</f>
        <v>10224.1552734375</v>
      </c>
      <c r="E195" s="24">
        <f>IF(D195&gt;=IF(MONTH($C195)=4,$C$3,IF(MONTH($C195)=5,$C$4,IF(MONTH($C195)=6,$C$5,IF(MONTH($C195)=7,$C$6,"ERROR")))),1,0)</f>
        <v>1</v>
      </c>
      <c r="F195" s="26">
        <f>VLOOKUP($C195,COS!$B$8:$H$991,7,FALSE)</f>
        <v>48.257987976074219</v>
      </c>
      <c r="G195" s="24">
        <f>IF(F195&lt;=IF(MONTH($C195)=4,$F$3,IF(MONTH($C195)=5,$F$4,IF(MONTH($C195)=6,$F$5,IF(MONTH($C195)=7,$F$6,"ERROR")))),1,0)</f>
        <v>1</v>
      </c>
      <c r="H195" s="26">
        <f>IF(J195=1,D195-$C$4,0)</f>
        <v>4224.1552734375</v>
      </c>
      <c r="I195" s="26">
        <f t="shared" si="239"/>
        <v>259.73318375516527</v>
      </c>
      <c r="J195" s="24">
        <f t="shared" si="303"/>
        <v>1</v>
      </c>
      <c r="K195" s="26">
        <f>VLOOKUP($C195,COS!$B$8:$H$991,2,FALSE)</f>
        <v>4552</v>
      </c>
      <c r="L195" s="24">
        <f t="shared" si="231"/>
        <v>1</v>
      </c>
      <c r="M195" s="24">
        <f t="shared" si="232"/>
        <v>0</v>
      </c>
      <c r="N195" s="26">
        <f>VLOOKUP($C195,COS!$B$8:$H$991,5,FALSE)</f>
        <v>528.735595703125</v>
      </c>
      <c r="O195" s="26">
        <f t="shared" si="306"/>
        <v>32.510684562241735</v>
      </c>
      <c r="P195" s="26">
        <f>VLOOKUP($C195,COS!$B$8:$H$991,6,FALSE)</f>
        <v>2076.0068359375</v>
      </c>
      <c r="Q195" s="26">
        <f t="shared" si="307"/>
        <v>127.64868478822314</v>
      </c>
      <c r="R195" s="26">
        <f>MIN(IF(MONTH($C195)=4,$S$3,IF(MONTH($C195)=5,$S$4,IF(MONTH($C195)=6,$S$5,IF(MONTH($C195)=7,$S$6,"ERROR")))),MAX(VLOOKUP($C195,COS!$B$8:$K$991,10,FALSE)-IF(MONTH($C195)=4,$Y$3,IF(MONTH($C195)=5,$Y$4,IF(MONTH($C195)=6,$Y$5,IF(MONTH($C195)=7,$Y$6,"ERROR")))),0),MAX(VLOOKUP($C195,COS!$B$8:$K$991,9,FALSE)-IF(MONTH($C195)=4,$V$3,IF(MONTH($C195)=5,$V$4,IF(MONTH($C195)=6,$V$5,IF(MONTH($C195)=7,$V$6,"ERROR"))))-VLOOKUP($C195,COS!$B$8:$K$991,6,FALSE)/2,0))</f>
        <v>1500</v>
      </c>
      <c r="S195" s="26">
        <f t="shared" si="308"/>
        <v>92.231404958677686</v>
      </c>
      <c r="T195" s="26">
        <f t="shared" si="309"/>
        <v>172.31108963391011</v>
      </c>
      <c r="U195" s="26" t="str">
        <f>IF(VLOOKUP($C195,COS!$B$8:$I$991,8,FALSE)=1,"UWFE","IBU")</f>
        <v>UWFE</v>
      </c>
      <c r="V195" s="26">
        <f t="shared" ref="V195" si="311">MIN(IF(IF($AA$3=2,AND(E195=1,G195=1,L195=1,L199=1,M195=1,U195="IBU"),AND(E195=1,G195=1,L195=1,L199=1,M195=1)),T195,0),I195)</f>
        <v>0</v>
      </c>
      <c r="W195" s="26"/>
      <c r="X195" s="26"/>
      <c r="Y195" s="26"/>
      <c r="Z195" s="26"/>
      <c r="AA195" s="26"/>
      <c r="AB195" s="33"/>
    </row>
    <row r="196" spans="1:28" x14ac:dyDescent="0.3">
      <c r="A196" s="32">
        <f>VLOOKUP(YEAR(C196),Flags!$A$13:$B$95,2,FALSE)</f>
        <v>1</v>
      </c>
      <c r="B196" s="24">
        <f t="shared" si="225"/>
        <v>1942</v>
      </c>
      <c r="C196" s="25">
        <v>15522</v>
      </c>
      <c r="D196" s="26">
        <f>VLOOKUP($C196,COS!$B$8:$H$991,3,FALSE)</f>
        <v>7711.70703125</v>
      </c>
      <c r="E196" s="24">
        <f>IF(D196&gt;=IF(MONTH($C196)=4,$C$3,IF(MONTH($C196)=5,$C$4,IF(MONTH($C196)=6,$C$5,IF(MONTH($C196)=7,$C$6,"ERROR")))),1,0)</f>
        <v>0</v>
      </c>
      <c r="F196" s="26">
        <f>VLOOKUP($C196,COS!$B$8:$H$991,7,FALSE)</f>
        <v>50.720790863037109</v>
      </c>
      <c r="G196" s="24">
        <f>IF(F196&lt;=IF(MONTH($C196)=4,$F$3,IF(MONTH($C196)=5,$F$4,IF(MONTH($C196)=6,$F$5,IF(MONTH($C196)=7,$F$6,"ERROR")))),1,0)</f>
        <v>1</v>
      </c>
      <c r="H196" s="26">
        <f>IF(J196=1,D196-$C$5,0)</f>
        <v>0</v>
      </c>
      <c r="I196" s="26">
        <f t="shared" si="239"/>
        <v>0</v>
      </c>
      <c r="J196" s="24">
        <f t="shared" si="303"/>
        <v>0</v>
      </c>
      <c r="K196" s="26">
        <f>VLOOKUP($C196,COS!$B$8:$H$991,2,FALSE)</f>
        <v>4500</v>
      </c>
      <c r="L196" s="24">
        <f t="shared" si="231"/>
        <v>1</v>
      </c>
      <c r="M196" s="24">
        <f t="shared" si="232"/>
        <v>0</v>
      </c>
      <c r="N196" s="26">
        <f>VLOOKUP($C196,COS!$B$8:$H$991,5,FALSE)</f>
        <v>1239.5582275390625</v>
      </c>
      <c r="O196" s="26">
        <f t="shared" si="306"/>
        <v>73.758836680010319</v>
      </c>
      <c r="P196" s="26">
        <f>VLOOKUP($C196,COS!$B$8:$H$991,6,FALSE)</f>
        <v>2346.177734375</v>
      </c>
      <c r="Q196" s="26">
        <f t="shared" si="307"/>
        <v>139.6072701446281</v>
      </c>
      <c r="R196" s="26">
        <f>MIN(IF(MONTH($C196)=4,$S$3,IF(MONTH($C196)=5,$S$4,IF(MONTH($C196)=6,$S$5,IF(MONTH($C196)=7,$S$6,"ERROR")))),MAX(VLOOKUP($C196,COS!$B$8:$K$991,10,FALSE)-IF(MONTH($C196)=4,$Y$3,IF(MONTH($C196)=5,$Y$4,IF(MONTH($C196)=6,$Y$5,IF(MONTH($C196)=7,$Y$6,"ERROR")))),0),MAX(VLOOKUP($C196,COS!$B$8:$K$991,9,FALSE)-IF(MONTH($C196)=4,$V$3,IF(MONTH($C196)=5,$V$4,IF(MONTH($C196)=6,$V$5,IF(MONTH($C196)=7,$V$6,"ERROR"))))-VLOOKUP($C196,COS!$B$8:$K$991,6,FALSE)/2,0))</f>
        <v>1500</v>
      </c>
      <c r="S196" s="26">
        <f t="shared" si="308"/>
        <v>89.256198347107429</v>
      </c>
      <c r="T196" s="26">
        <f t="shared" si="309"/>
        <v>195.93925175942664</v>
      </c>
      <c r="U196" s="26" t="str">
        <f>IF(VLOOKUP($C196,COS!$B$8:$I$991,8,FALSE)=1,"UWFE","IBU")</f>
        <v>UWFE</v>
      </c>
      <c r="V196" s="26">
        <f t="shared" ref="V196" si="312">MIN(IF(IF($AA$3=2,AND(E196=1,G196=1,L196=1,L199=1,M196=1,U196="IBU"),AND(E196=1,G196=1,L196=1,L199=1,M196=1)),T196,0),I196)</f>
        <v>0</v>
      </c>
      <c r="W196" s="26"/>
      <c r="X196" s="26"/>
      <c r="Y196" s="26"/>
      <c r="Z196" s="26"/>
      <c r="AA196" s="26"/>
      <c r="AB196" s="33"/>
    </row>
    <row r="197" spans="1:28" x14ac:dyDescent="0.3">
      <c r="A197" s="32">
        <f>VLOOKUP(YEAR(C197),Flags!$A$13:$B$95,2,FALSE)</f>
        <v>1</v>
      </c>
      <c r="B197" s="24">
        <f t="shared" si="225"/>
        <v>1942</v>
      </c>
      <c r="C197" s="25">
        <v>15553</v>
      </c>
      <c r="D197" s="26">
        <f>VLOOKUP($C197,COS!$B$8:$H$991,3,FALSE)</f>
        <v>12291.904296875</v>
      </c>
      <c r="E197" s="24">
        <f>IF(D197&gt;=IF(MONTH($C197)=4,$C$3,IF(MONTH($C197)=5,$C$4,IF(MONTH($C197)=6,$C$5,IF(MONTH($C197)=7,$C$6,"ERROR")))),1,0)</f>
        <v>1</v>
      </c>
      <c r="F197" s="26">
        <f>VLOOKUP($C197,COS!$B$8:$H$991,7,FALSE)</f>
        <v>51.129238128662109</v>
      </c>
      <c r="G197" s="24">
        <f>IF(F197&lt;=IF(MONTH($C197)=4,$F$3,IF(MONTH($C197)=5,$F$4,IF(MONTH($C197)=6,$F$5,IF(MONTH($C197)=7,$F$6,"ERROR")))),1,0)</f>
        <v>1</v>
      </c>
      <c r="H197" s="26">
        <f>IF(J197=1,D197-$C$6,0)</f>
        <v>291.904296875</v>
      </c>
      <c r="I197" s="26">
        <f t="shared" si="239"/>
        <v>17.948495609504132</v>
      </c>
      <c r="J197" s="24">
        <f t="shared" si="303"/>
        <v>1</v>
      </c>
      <c r="K197" s="26">
        <f>VLOOKUP($C197,COS!$B$8:$H$991,2,FALSE)</f>
        <v>3968.421142578125</v>
      </c>
      <c r="L197" s="24">
        <f t="shared" si="231"/>
        <v>1</v>
      </c>
      <c r="M197" s="24">
        <f t="shared" si="232"/>
        <v>0</v>
      </c>
      <c r="N197" s="26">
        <f>VLOOKUP($C197,COS!$B$8:$H$991,5,FALSE)</f>
        <v>1378.510009765625</v>
      </c>
      <c r="O197" s="26">
        <f t="shared" si="306"/>
        <v>84.761276633522726</v>
      </c>
      <c r="P197" s="26">
        <f>VLOOKUP($C197,COS!$B$8:$H$991,6,FALSE)</f>
        <v>2616.67822265625</v>
      </c>
      <c r="Q197" s="26">
        <f t="shared" si="307"/>
        <v>160.89327253357436</v>
      </c>
      <c r="R197" s="26">
        <f>MIN(IF(MONTH($C197)=4,$S$3,IF(MONTH($C197)=5,$S$4,IF(MONTH($C197)=6,$S$5,IF(MONTH($C197)=7,$S$6,"ERROR")))),MAX(VLOOKUP($C197,COS!$B$8:$K$991,10,FALSE)-IF(MONTH($C197)=4,$Y$3,IF(MONTH($C197)=5,$Y$4,IF(MONTH($C197)=6,$Y$5,IF(MONTH($C197)=7,$Y$6,"ERROR")))),0),MAX(VLOOKUP($C197,COS!$B$8:$K$991,9,FALSE)-IF(MONTH($C197)=4,$V$3,IF(MONTH($C197)=5,$V$4,IF(MONTH($C197)=6,$V$5,IF(MONTH($C197)=7,$V$6,"ERROR"))))-VLOOKUP($C197,COS!$B$8:$K$991,6,FALSE)/2,0))</f>
        <v>1500</v>
      </c>
      <c r="S197" s="26">
        <f t="shared" si="308"/>
        <v>92.231404958677686</v>
      </c>
      <c r="T197" s="26">
        <f t="shared" si="309"/>
        <v>215.05867954222623</v>
      </c>
      <c r="U197" s="26" t="str">
        <f>IF(VLOOKUP($C197,COS!$B$8:$I$991,8,FALSE)=1,"UWFE","IBU")</f>
        <v>IBU</v>
      </c>
      <c r="V197" s="26">
        <f t="shared" ref="V197" si="313">MIN(IF(IF($AA$3=2,AND(E197=1,G197=1,L197=1,L199=1,M197=1,U197="IBU"),AND(E197=1,G197=1,L197=1,L199=1,M197=1)),T197,0),I197)</f>
        <v>0</v>
      </c>
      <c r="W197" s="26"/>
      <c r="X197" s="26"/>
      <c r="Y197" s="26"/>
      <c r="Z197" s="26"/>
      <c r="AA197" s="26"/>
      <c r="AB197" s="33"/>
    </row>
    <row r="198" spans="1:28" x14ac:dyDescent="0.3">
      <c r="A198" s="32">
        <f>VLOOKUP(YEAR(C198),Flags!$A$13:$B$95,2,FALSE)</f>
        <v>1</v>
      </c>
      <c r="B198" s="24">
        <f t="shared" si="225"/>
        <v>1942</v>
      </c>
      <c r="C198" s="25">
        <v>15584</v>
      </c>
      <c r="D198" s="26"/>
      <c r="E198" s="24"/>
      <c r="F198" s="26"/>
      <c r="G198" s="24"/>
      <c r="H198" s="24"/>
      <c r="I198" s="26"/>
      <c r="J198" s="24"/>
      <c r="K198" s="26"/>
      <c r="L198" s="24"/>
      <c r="M198" s="24"/>
      <c r="N198" s="26"/>
      <c r="O198" s="26"/>
      <c r="P198" s="26"/>
      <c r="Q198" s="26"/>
      <c r="R198" s="26"/>
      <c r="S198" s="26"/>
      <c r="T198" s="26"/>
      <c r="U198" s="26"/>
      <c r="V198" s="26"/>
      <c r="W198" s="26">
        <f>MAX($C$7-VLOOKUP($C198,COS!$B$8:$H$991,3,FALSE),0)</f>
        <v>1123.767578125</v>
      </c>
      <c r="X198" s="26">
        <f t="shared" si="245"/>
        <v>69.097775051652889</v>
      </c>
      <c r="Y198" s="26">
        <f>VLOOKUP($C198,COS!$B$8:$H$991,4,FALSE)</f>
        <v>0</v>
      </c>
      <c r="Z198" s="26">
        <f t="shared" si="246"/>
        <v>0</v>
      </c>
      <c r="AA198" s="26">
        <f t="shared" ref="AA198:AA202" si="314">MIN(W198,Y198)</f>
        <v>0</v>
      </c>
      <c r="AB198" s="33">
        <f t="shared" ref="AB198" si="315">AA198*DAY($C198)*86400/43560/1000*IF(MONTH($C198)=8,$P$3,IF(MONTH($C198)=9,$P$4,IF(MONTH($C198)=10,$P$5,IF(MONTH($C198)=11,$P$6,IF(MONTH($C198)=12,$P$7,NA())))))</f>
        <v>0</v>
      </c>
    </row>
    <row r="199" spans="1:28" x14ac:dyDescent="0.3">
      <c r="A199" s="32">
        <f>VLOOKUP(YEAR(C199),Flags!$A$13:$B$95,2,FALSE)</f>
        <v>1</v>
      </c>
      <c r="B199" s="24">
        <f t="shared" si="225"/>
        <v>1942</v>
      </c>
      <c r="C199" s="25">
        <v>15614</v>
      </c>
      <c r="D199" s="26"/>
      <c r="E199" s="24"/>
      <c r="F199" s="26"/>
      <c r="G199" s="24"/>
      <c r="H199" s="24"/>
      <c r="I199" s="26"/>
      <c r="J199" s="24"/>
      <c r="K199" s="26">
        <f>VLOOKUP($C199,COS!$B$8:$H$991,2,FALSE)</f>
        <v>2988.85791015625</v>
      </c>
      <c r="L199" s="24">
        <f t="shared" ref="L199" si="316">IF(AND(K199&gt;$I$7,K199&lt;$I$8),1,0)</f>
        <v>1</v>
      </c>
      <c r="M199" s="24"/>
      <c r="N199" s="26"/>
      <c r="O199" s="26"/>
      <c r="P199" s="26"/>
      <c r="Q199" s="26"/>
      <c r="R199" s="26"/>
      <c r="S199" s="26"/>
      <c r="T199" s="26"/>
      <c r="U199" s="26"/>
      <c r="V199" s="26"/>
      <c r="W199" s="26">
        <f>MAX($C$8-VLOOKUP($C199,COS!$B$8:$H$991,3,FALSE),0)</f>
        <v>0</v>
      </c>
      <c r="X199" s="26">
        <f t="shared" si="245"/>
        <v>0</v>
      </c>
      <c r="Y199" s="26">
        <f>VLOOKUP($C199,COS!$B$8:$H$991,4,FALSE)</f>
        <v>0</v>
      </c>
      <c r="Z199" s="26">
        <f t="shared" si="246"/>
        <v>0</v>
      </c>
      <c r="AA199" s="26">
        <f t="shared" si="314"/>
        <v>0</v>
      </c>
      <c r="AB199" s="33">
        <f t="shared" si="243"/>
        <v>0</v>
      </c>
    </row>
    <row r="200" spans="1:28" x14ac:dyDescent="0.3">
      <c r="A200" s="32">
        <f>VLOOKUP(YEAR(C200),Flags!$A$13:$B$95,2,FALSE)</f>
        <v>1</v>
      </c>
      <c r="B200" s="24">
        <f t="shared" si="225"/>
        <v>1942</v>
      </c>
      <c r="C200" s="25">
        <v>15645</v>
      </c>
      <c r="D200" s="26"/>
      <c r="E200" s="24"/>
      <c r="F200" s="26"/>
      <c r="G200" s="26"/>
      <c r="H200" s="26"/>
      <c r="I200" s="26"/>
      <c r="J200" s="26"/>
      <c r="K200" s="26"/>
      <c r="L200" s="24"/>
      <c r="M200" s="24"/>
      <c r="N200" s="26"/>
      <c r="O200" s="26"/>
      <c r="P200" s="26"/>
      <c r="Q200" s="26"/>
      <c r="R200" s="26"/>
      <c r="S200" s="26"/>
      <c r="T200" s="26"/>
      <c r="U200" s="26"/>
      <c r="V200" s="26"/>
      <c r="W200" s="26">
        <f>MAX($C$9-VLOOKUP($C200,COS!$B$8:$H$991,3,FALSE),0)</f>
        <v>0</v>
      </c>
      <c r="X200" s="26">
        <f t="shared" si="245"/>
        <v>0</v>
      </c>
      <c r="Y200" s="26">
        <f>VLOOKUP($C200,COS!$B$8:$H$991,4,FALSE)</f>
        <v>1127.253662109375</v>
      </c>
      <c r="Z200" s="26">
        <f t="shared" si="246"/>
        <v>69.312126000774796</v>
      </c>
      <c r="AA200" s="26">
        <f t="shared" si="314"/>
        <v>0</v>
      </c>
      <c r="AB200" s="33">
        <f t="shared" si="243"/>
        <v>0</v>
      </c>
    </row>
    <row r="201" spans="1:28" x14ac:dyDescent="0.3">
      <c r="A201" s="32">
        <f>VLOOKUP(YEAR(C201),Flags!$A$13:$B$95,2,FALSE)</f>
        <v>1</v>
      </c>
      <c r="B201" s="24">
        <f t="shared" si="225"/>
        <v>1942</v>
      </c>
      <c r="C201" s="25">
        <v>15675</v>
      </c>
      <c r="D201" s="26"/>
      <c r="E201" s="24"/>
      <c r="F201" s="26"/>
      <c r="G201" s="26"/>
      <c r="H201" s="26"/>
      <c r="I201" s="26"/>
      <c r="J201" s="26"/>
      <c r="K201" s="26"/>
      <c r="L201" s="24"/>
      <c r="M201" s="24"/>
      <c r="N201" s="26"/>
      <c r="O201" s="26"/>
      <c r="P201" s="26"/>
      <c r="Q201" s="26"/>
      <c r="R201" s="26"/>
      <c r="S201" s="26"/>
      <c r="T201" s="26"/>
      <c r="U201" s="26"/>
      <c r="V201" s="26"/>
      <c r="W201" s="26">
        <f>MAX($C$10-VLOOKUP($C201,COS!$B$8:$H$991,3,FALSE),0)</f>
        <v>0</v>
      </c>
      <c r="X201" s="26">
        <f t="shared" si="245"/>
        <v>0</v>
      </c>
      <c r="Y201" s="26">
        <f>VLOOKUP($C201,COS!$B$8:$H$991,4,FALSE)</f>
        <v>1237.8724365234375</v>
      </c>
      <c r="Z201" s="26">
        <f t="shared" si="246"/>
        <v>73.658525148502065</v>
      </c>
      <c r="AA201" s="26">
        <f t="shared" si="314"/>
        <v>0</v>
      </c>
      <c r="AB201" s="33">
        <f t="shared" si="243"/>
        <v>0</v>
      </c>
    </row>
    <row r="202" spans="1:28" x14ac:dyDescent="0.3">
      <c r="A202" s="34">
        <f>VLOOKUP(YEAR(C202),Flags!$A$13:$B$95,2,FALSE)</f>
        <v>1</v>
      </c>
      <c r="B202" s="35">
        <f t="shared" si="225"/>
        <v>1942</v>
      </c>
      <c r="C202" s="36">
        <v>15706</v>
      </c>
      <c r="D202" s="37"/>
      <c r="E202" s="35"/>
      <c r="F202" s="37"/>
      <c r="G202" s="37"/>
      <c r="H202" s="37"/>
      <c r="I202" s="37"/>
      <c r="J202" s="37"/>
      <c r="K202" s="37"/>
      <c r="L202" s="35"/>
      <c r="M202" s="35"/>
      <c r="N202" s="37"/>
      <c r="O202" s="37"/>
      <c r="P202" s="37"/>
      <c r="Q202" s="37"/>
      <c r="R202" s="37"/>
      <c r="S202" s="37"/>
      <c r="T202" s="37"/>
      <c r="U202" s="37"/>
      <c r="V202" s="37"/>
      <c r="W202" s="37">
        <f>MAX($C$11-VLOOKUP($C202,COS!$B$8:$H$991,3,FALSE),0)</f>
        <v>1750</v>
      </c>
      <c r="X202" s="37">
        <f t="shared" si="245"/>
        <v>107.60330578512398</v>
      </c>
      <c r="Y202" s="37">
        <f>VLOOKUP($C202,COS!$B$8:$H$991,4,FALSE)</f>
        <v>0</v>
      </c>
      <c r="Z202" s="37">
        <f t="shared" si="246"/>
        <v>0</v>
      </c>
      <c r="AA202" s="37">
        <f t="shared" si="314"/>
        <v>0</v>
      </c>
      <c r="AB202" s="38">
        <f t="shared" si="243"/>
        <v>0</v>
      </c>
    </row>
    <row r="203" spans="1:28" x14ac:dyDescent="0.3">
      <c r="A203" s="27">
        <f>VLOOKUP(YEAR(C203),Flags!$A$13:$B$95,2,FALSE)</f>
        <v>1</v>
      </c>
      <c r="B203" s="28">
        <f t="shared" si="225"/>
        <v>1943</v>
      </c>
      <c r="C203" s="29">
        <v>15826</v>
      </c>
      <c r="D203" s="30">
        <f>VLOOKUP($C203,COS!$B$8:$H$991,3,FALSE)</f>
        <v>3750.597900390625</v>
      </c>
      <c r="E203" s="28">
        <f>IF(D203&gt;=IF(MONTH($C203)=4,$C$3,IF(MONTH($C203)=5,$C$4,IF(MONTH($C203)=6,$C$5,IF(MONTH($C203)=7,$C$6,"ERROR")))),1,0)</f>
        <v>0</v>
      </c>
      <c r="F203" s="30">
        <f>VLOOKUP($C203,COS!$B$8:$H$991,7,FALSE)</f>
        <v>50.021923065185547</v>
      </c>
      <c r="G203" s="28">
        <f>IF(F203&lt;=IF(MONTH($C203)=4,$F$3,IF(MONTH($C203)=5,$F$4,IF(MONTH($C203)=6,$F$5,IF(MONTH($C203)=7,$F$6,"ERROR")))),1,0)</f>
        <v>1</v>
      </c>
      <c r="H203" s="30">
        <f>IF(J203=1,D203-$C$3,0)</f>
        <v>0</v>
      </c>
      <c r="I203" s="30">
        <f t="shared" si="239"/>
        <v>0</v>
      </c>
      <c r="J203" s="28">
        <f t="shared" ref="J203:J206" si="317">IF(AND(E203=1,G203=1),1,0)</f>
        <v>0</v>
      </c>
      <c r="K203" s="30">
        <f>VLOOKUP($C203,COS!$B$8:$H$991,2,FALSE)</f>
        <v>4552</v>
      </c>
      <c r="L203" s="28">
        <f t="shared" ref="L203" si="318">IF(K203&lt;=IF(MONTH($C203)=4,$I$3,IF(MONTH($C203)=5,$I$4,IF(MONTH($C203)=6,$I$5,IF(MONTH($C203)=7,$I$6,"ERROR")))),1,0)</f>
        <v>1</v>
      </c>
      <c r="M203" s="28">
        <f t="shared" ref="M203" si="319">VLOOKUP($A203,$L$3:$M$7,2,FALSE)</f>
        <v>0</v>
      </c>
      <c r="N203" s="30">
        <f>VLOOKUP($C203,COS!$B$8:$H$991,5,FALSE)</f>
        <v>242.15982055664063</v>
      </c>
      <c r="O203" s="30">
        <f t="shared" ref="O203:O206" si="320">N203*DAY($C203)*86400/43560/1000</f>
        <v>14.409509983535642</v>
      </c>
      <c r="P203" s="30">
        <f>VLOOKUP($C203,COS!$B$8:$H$991,6,FALSE)</f>
        <v>409.699951171875</v>
      </c>
      <c r="Q203" s="30">
        <f t="shared" ref="Q203:Q206" si="321">P203*DAY($C203)*86400/43560/1000</f>
        <v>24.378840069731407</v>
      </c>
      <c r="R203" s="30">
        <f>MIN(IF(MONTH($C203)=4,$S$3,IF(MONTH($C203)=5,$S$4,IF(MONTH($C203)=6,$S$5,IF(MONTH($C203)=7,$S$6,"ERROR")))),MAX(VLOOKUP($C203,COS!$B$8:$K$991,10,FALSE)-IF(MONTH($C203)=4,$Y$3,IF(MONTH($C203)=5,$Y$4,IF(MONTH($C203)=6,$Y$5,IF(MONTH($C203)=7,$Y$6,"ERROR")))),0),MAX(VLOOKUP($C203,COS!$B$8:$K$991,9,FALSE)-IF(MONTH($C203)=4,$V$3,IF(MONTH($C203)=5,$V$4,IF(MONTH($C203)=6,$V$5,IF(MONTH($C203)=7,$V$6,"ERROR"))))-VLOOKUP($C203,COS!$B$8:$K$991,6,FALSE)/2,0))</f>
        <v>1500</v>
      </c>
      <c r="S203" s="30">
        <f t="shared" ref="S203:S206" si="322">R203*DAY($C203)*86400/43560/1000</f>
        <v>89.256198347107429</v>
      </c>
      <c r="T203" s="30">
        <f t="shared" ref="T203:T206" si="323">(O203+Q203)/2+S203</f>
        <v>108.65037337374096</v>
      </c>
      <c r="U203" s="30" t="str">
        <f>IF(VLOOKUP($C203,COS!$B$8:$I$991,8,FALSE)=1,"UWFE","IBU")</f>
        <v>UWFE</v>
      </c>
      <c r="V203" s="30">
        <f t="shared" ref="V203" si="324">MIN(IF(IF($AA$3=2,AND(E203=1,G203=1,L203=1,L208=1,M203=1,U203="IBU"),AND(E203=1,G203=1,L203=1,L208=1,M203=1)),T203,0),I203)</f>
        <v>0</v>
      </c>
      <c r="W203" s="30"/>
      <c r="X203" s="30"/>
      <c r="Y203" s="30"/>
      <c r="Z203" s="30"/>
      <c r="AA203" s="30"/>
      <c r="AB203" s="31"/>
    </row>
    <row r="204" spans="1:28" x14ac:dyDescent="0.3">
      <c r="A204" s="32">
        <f>VLOOKUP(YEAR(C204),Flags!$A$13:$B$95,2,FALSE)</f>
        <v>1</v>
      </c>
      <c r="B204" s="24">
        <f t="shared" si="225"/>
        <v>1943</v>
      </c>
      <c r="C204" s="25">
        <v>15857</v>
      </c>
      <c r="D204" s="26">
        <f>VLOOKUP($C204,COS!$B$8:$H$991,3,FALSE)</f>
        <v>7166.14208984375</v>
      </c>
      <c r="E204" s="24">
        <f>IF(D204&gt;=IF(MONTH($C204)=4,$C$3,IF(MONTH($C204)=5,$C$4,IF(MONTH($C204)=6,$C$5,IF(MONTH($C204)=7,$C$6,"ERROR")))),1,0)</f>
        <v>1</v>
      </c>
      <c r="F204" s="26">
        <f>VLOOKUP($C204,COS!$B$8:$H$991,7,FALSE)</f>
        <v>50.632198333740234</v>
      </c>
      <c r="G204" s="24">
        <f>IF(F204&lt;=IF(MONTH($C204)=4,$F$3,IF(MONTH($C204)=5,$F$4,IF(MONTH($C204)=6,$F$5,IF(MONTH($C204)=7,$F$6,"ERROR")))),1,0)</f>
        <v>1</v>
      </c>
      <c r="H204" s="26">
        <f>IF(J204=1,D204-$C$4,0)</f>
        <v>1166.14208984375</v>
      </c>
      <c r="I204" s="26">
        <f t="shared" si="239"/>
        <v>71.703282218491736</v>
      </c>
      <c r="J204" s="24">
        <f t="shared" si="317"/>
        <v>1</v>
      </c>
      <c r="K204" s="26">
        <f>VLOOKUP($C204,COS!$B$8:$H$991,2,FALSE)</f>
        <v>4552</v>
      </c>
      <c r="L204" s="24">
        <f t="shared" si="231"/>
        <v>1</v>
      </c>
      <c r="M204" s="24">
        <f t="shared" si="232"/>
        <v>0</v>
      </c>
      <c r="N204" s="26">
        <f>VLOOKUP($C204,COS!$B$8:$H$991,5,FALSE)</f>
        <v>758.106201171875</v>
      </c>
      <c r="O204" s="26">
        <f t="shared" si="320"/>
        <v>46.614133361311985</v>
      </c>
      <c r="P204" s="26">
        <f>VLOOKUP($C204,COS!$B$8:$H$991,6,FALSE)</f>
        <v>2288.578369140625</v>
      </c>
      <c r="Q204" s="26">
        <f t="shared" si="321"/>
        <v>140.71919889591942</v>
      </c>
      <c r="R204" s="26">
        <f>MIN(IF(MONTH($C204)=4,$S$3,IF(MONTH($C204)=5,$S$4,IF(MONTH($C204)=6,$S$5,IF(MONTH($C204)=7,$S$6,"ERROR")))),MAX(VLOOKUP($C204,COS!$B$8:$K$991,10,FALSE)-IF(MONTH($C204)=4,$Y$3,IF(MONTH($C204)=5,$Y$4,IF(MONTH($C204)=6,$Y$5,IF(MONTH($C204)=7,$Y$6,"ERROR")))),0),MAX(VLOOKUP($C204,COS!$B$8:$K$991,9,FALSE)-IF(MONTH($C204)=4,$V$3,IF(MONTH($C204)=5,$V$4,IF(MONTH($C204)=6,$V$5,IF(MONTH($C204)=7,$V$6,"ERROR"))))-VLOOKUP($C204,COS!$B$8:$K$991,6,FALSE)/2,0))</f>
        <v>1500</v>
      </c>
      <c r="S204" s="26">
        <f t="shared" si="322"/>
        <v>92.231404958677686</v>
      </c>
      <c r="T204" s="26">
        <f t="shared" si="323"/>
        <v>185.89807108729337</v>
      </c>
      <c r="U204" s="26" t="str">
        <f>IF(VLOOKUP($C204,COS!$B$8:$I$991,8,FALSE)=1,"UWFE","IBU")</f>
        <v>UWFE</v>
      </c>
      <c r="V204" s="26">
        <f t="shared" ref="V204" si="325">MIN(IF(IF($AA$3=2,AND(E204=1,G204=1,L204=1,L208=1,M204=1,U204="IBU"),AND(E204=1,G204=1,L204=1,L208=1,M204=1)),T204,0),I204)</f>
        <v>0</v>
      </c>
      <c r="W204" s="26"/>
      <c r="X204" s="26"/>
      <c r="Y204" s="26"/>
      <c r="Z204" s="26"/>
      <c r="AA204" s="26"/>
      <c r="AB204" s="33"/>
    </row>
    <row r="205" spans="1:28" x14ac:dyDescent="0.3">
      <c r="A205" s="32">
        <f>VLOOKUP(YEAR(C205),Flags!$A$13:$B$95,2,FALSE)</f>
        <v>1</v>
      </c>
      <c r="B205" s="24">
        <f t="shared" si="225"/>
        <v>1943</v>
      </c>
      <c r="C205" s="25">
        <v>15887</v>
      </c>
      <c r="D205" s="26">
        <f>VLOOKUP($C205,COS!$B$8:$H$991,3,FALSE)</f>
        <v>8327.544921875</v>
      </c>
      <c r="E205" s="24">
        <f>IF(D205&gt;=IF(MONTH($C205)=4,$C$3,IF(MONTH($C205)=5,$C$4,IF(MONTH($C205)=6,$C$5,IF(MONTH($C205)=7,$C$6,"ERROR")))),1,0)</f>
        <v>0</v>
      </c>
      <c r="F205" s="26">
        <f>VLOOKUP($C205,COS!$B$8:$H$991,7,FALSE)</f>
        <v>50.935405731201172</v>
      </c>
      <c r="G205" s="24">
        <f>IF(F205&lt;=IF(MONTH($C205)=4,$F$3,IF(MONTH($C205)=5,$F$4,IF(MONTH($C205)=6,$F$5,IF(MONTH($C205)=7,$F$6,"ERROR")))),1,0)</f>
        <v>1</v>
      </c>
      <c r="H205" s="26">
        <f>IF(J205=1,D205-$C$5,0)</f>
        <v>0</v>
      </c>
      <c r="I205" s="26">
        <f t="shared" si="239"/>
        <v>0</v>
      </c>
      <c r="J205" s="24">
        <f t="shared" si="317"/>
        <v>0</v>
      </c>
      <c r="K205" s="26">
        <f>VLOOKUP($C205,COS!$B$8:$H$991,2,FALSE)</f>
        <v>4340.33056640625</v>
      </c>
      <c r="L205" s="24">
        <f t="shared" si="231"/>
        <v>1</v>
      </c>
      <c r="M205" s="24">
        <f t="shared" si="232"/>
        <v>0</v>
      </c>
      <c r="N205" s="26">
        <f>VLOOKUP($C205,COS!$B$8:$H$991,5,FALSE)</f>
        <v>855.91656494140625</v>
      </c>
      <c r="O205" s="26">
        <f t="shared" si="320"/>
        <v>50.930572459323344</v>
      </c>
      <c r="P205" s="26">
        <f>VLOOKUP($C205,COS!$B$8:$H$991,6,FALSE)</f>
        <v>2263.260986328125</v>
      </c>
      <c r="Q205" s="26">
        <f t="shared" si="321"/>
        <v>134.67338100464875</v>
      </c>
      <c r="R205" s="26">
        <f>MIN(IF(MONTH($C205)=4,$S$3,IF(MONTH($C205)=5,$S$4,IF(MONTH($C205)=6,$S$5,IF(MONTH($C205)=7,$S$6,"ERROR")))),MAX(VLOOKUP($C205,COS!$B$8:$K$991,10,FALSE)-IF(MONTH($C205)=4,$Y$3,IF(MONTH($C205)=5,$Y$4,IF(MONTH($C205)=6,$Y$5,IF(MONTH($C205)=7,$Y$6,"ERROR")))),0),MAX(VLOOKUP($C205,COS!$B$8:$K$991,9,FALSE)-IF(MONTH($C205)=4,$V$3,IF(MONTH($C205)=5,$V$4,IF(MONTH($C205)=6,$V$5,IF(MONTH($C205)=7,$V$6,"ERROR"))))-VLOOKUP($C205,COS!$B$8:$K$991,6,FALSE)/2,0))</f>
        <v>1500</v>
      </c>
      <c r="S205" s="26">
        <f t="shared" si="322"/>
        <v>89.256198347107429</v>
      </c>
      <c r="T205" s="26">
        <f t="shared" si="323"/>
        <v>182.05817507909347</v>
      </c>
      <c r="U205" s="26" t="str">
        <f>IF(VLOOKUP($C205,COS!$B$8:$I$991,8,FALSE)=1,"UWFE","IBU")</f>
        <v>UWFE</v>
      </c>
      <c r="V205" s="26">
        <f t="shared" ref="V205" si="326">MIN(IF(IF($AA$3=2,AND(E205=1,G205=1,L205=1,L208=1,M205=1,U205="IBU"),AND(E205=1,G205=1,L205=1,L208=1,M205=1)),T205,0),I205)</f>
        <v>0</v>
      </c>
      <c r="W205" s="26"/>
      <c r="X205" s="26"/>
      <c r="Y205" s="26"/>
      <c r="Z205" s="26"/>
      <c r="AA205" s="26"/>
      <c r="AB205" s="33"/>
    </row>
    <row r="206" spans="1:28" x14ac:dyDescent="0.3">
      <c r="A206" s="32">
        <f>VLOOKUP(YEAR(C206),Flags!$A$13:$B$95,2,FALSE)</f>
        <v>1</v>
      </c>
      <c r="B206" s="24">
        <f t="shared" si="225"/>
        <v>1943</v>
      </c>
      <c r="C206" s="25">
        <v>15918</v>
      </c>
      <c r="D206" s="26">
        <f>VLOOKUP($C206,COS!$B$8:$H$991,3,FALSE)</f>
        <v>16000</v>
      </c>
      <c r="E206" s="24">
        <f>IF(D206&gt;=IF(MONTH($C206)=4,$C$3,IF(MONTH($C206)=5,$C$4,IF(MONTH($C206)=6,$C$5,IF(MONTH($C206)=7,$C$6,"ERROR")))),1,0)</f>
        <v>1</v>
      </c>
      <c r="F206" s="26">
        <f>VLOOKUP($C206,COS!$B$8:$H$991,7,FALSE)</f>
        <v>50.874599456787109</v>
      </c>
      <c r="G206" s="24">
        <f>IF(F206&lt;=IF(MONTH($C206)=4,$F$3,IF(MONTH($C206)=5,$F$4,IF(MONTH($C206)=6,$F$5,IF(MONTH($C206)=7,$F$6,"ERROR")))),1,0)</f>
        <v>1</v>
      </c>
      <c r="H206" s="26">
        <f>IF(J206=1,D206-$C$6,0)</f>
        <v>4000</v>
      </c>
      <c r="I206" s="26">
        <f t="shared" si="239"/>
        <v>245.95041322314049</v>
      </c>
      <c r="J206" s="24">
        <f t="shared" si="317"/>
        <v>1</v>
      </c>
      <c r="K206" s="26">
        <f>VLOOKUP($C206,COS!$B$8:$H$991,2,FALSE)</f>
        <v>3628.526611328125</v>
      </c>
      <c r="L206" s="24">
        <f t="shared" si="231"/>
        <v>1</v>
      </c>
      <c r="M206" s="24">
        <f t="shared" si="232"/>
        <v>0</v>
      </c>
      <c r="N206" s="26">
        <f>VLOOKUP($C206,COS!$B$8:$H$991,5,FALSE)</f>
        <v>941.12457275390625</v>
      </c>
      <c r="O206" s="26">
        <f t="shared" si="320"/>
        <v>57.867494390818699</v>
      </c>
      <c r="P206" s="26">
        <f>VLOOKUP($C206,COS!$B$8:$H$991,6,FALSE)</f>
        <v>2607.468505859375</v>
      </c>
      <c r="Q206" s="26">
        <f t="shared" si="321"/>
        <v>160.32698912060951</v>
      </c>
      <c r="R206" s="26">
        <f>MIN(IF(MONTH($C206)=4,$S$3,IF(MONTH($C206)=5,$S$4,IF(MONTH($C206)=6,$S$5,IF(MONTH($C206)=7,$S$6,"ERROR")))),MAX(VLOOKUP($C206,COS!$B$8:$K$991,10,FALSE)-IF(MONTH($C206)=4,$Y$3,IF(MONTH($C206)=5,$Y$4,IF(MONTH($C206)=6,$Y$5,IF(MONTH($C206)=7,$Y$6,"ERROR")))),0),MAX(VLOOKUP($C206,COS!$B$8:$K$991,9,FALSE)-IF(MONTH($C206)=4,$V$3,IF(MONTH($C206)=5,$V$4,IF(MONTH($C206)=6,$V$5,IF(MONTH($C206)=7,$V$6,"ERROR"))))-VLOOKUP($C206,COS!$B$8:$K$991,6,FALSE)/2,0))</f>
        <v>1500</v>
      </c>
      <c r="S206" s="26">
        <f t="shared" si="322"/>
        <v>92.231404958677686</v>
      </c>
      <c r="T206" s="26">
        <f t="shared" si="323"/>
        <v>201.32864671439179</v>
      </c>
      <c r="U206" s="26" t="str">
        <f>IF(VLOOKUP($C206,COS!$B$8:$I$991,8,FALSE)=1,"UWFE","IBU")</f>
        <v>IBU</v>
      </c>
      <c r="V206" s="26">
        <f t="shared" ref="V206" si="327">MIN(IF(IF($AA$3=2,AND(E206=1,G206=1,L206=1,L208=1,M206=1,U206="IBU"),AND(E206=1,G206=1,L206=1,L208=1,M206=1)),T206,0),I206)</f>
        <v>0</v>
      </c>
      <c r="W206" s="26"/>
      <c r="X206" s="26"/>
      <c r="Y206" s="26"/>
      <c r="Z206" s="26"/>
      <c r="AA206" s="26"/>
      <c r="AB206" s="33"/>
    </row>
    <row r="207" spans="1:28" x14ac:dyDescent="0.3">
      <c r="A207" s="32">
        <f>VLOOKUP(YEAR(C207),Flags!$A$13:$B$95,2,FALSE)</f>
        <v>1</v>
      </c>
      <c r="B207" s="24">
        <f t="shared" ref="B207:B270" si="328">YEAR(C207)</f>
        <v>1943</v>
      </c>
      <c r="C207" s="25">
        <v>15949</v>
      </c>
      <c r="D207" s="26"/>
      <c r="E207" s="24"/>
      <c r="F207" s="26"/>
      <c r="G207" s="24"/>
      <c r="H207" s="24"/>
      <c r="I207" s="26"/>
      <c r="J207" s="24"/>
      <c r="K207" s="26"/>
      <c r="L207" s="24"/>
      <c r="M207" s="24"/>
      <c r="N207" s="26"/>
      <c r="O207" s="26"/>
      <c r="P207" s="26"/>
      <c r="Q207" s="26"/>
      <c r="R207" s="26"/>
      <c r="S207" s="26"/>
      <c r="T207" s="26"/>
      <c r="U207" s="26"/>
      <c r="V207" s="26"/>
      <c r="W207" s="26">
        <f>MAX($C$7-VLOOKUP($C207,COS!$B$8:$H$991,3,FALSE),0)</f>
        <v>575.7412109375</v>
      </c>
      <c r="X207" s="26">
        <f t="shared" si="245"/>
        <v>35.400947184917356</v>
      </c>
      <c r="Y207" s="26">
        <f>VLOOKUP($C207,COS!$B$8:$H$991,4,FALSE)</f>
        <v>301.35446166992188</v>
      </c>
      <c r="Z207" s="26">
        <f t="shared" si="246"/>
        <v>18.529563593588584</v>
      </c>
      <c r="AA207" s="26">
        <f t="shared" ref="AA207:AA211" si="329">MIN(W207,Y207)</f>
        <v>301.35446166992188</v>
      </c>
      <c r="AB207" s="33">
        <f t="shared" ref="AB207" si="330">AA207*DAY($C207)*86400/43560/1000*IF(MONTH($C207)=8,$P$3,IF(MONTH($C207)=9,$P$4,IF(MONTH($C207)=10,$P$5,IF(MONTH($C207)=11,$P$6,IF(MONTH($C207)=12,$P$7,NA())))))</f>
        <v>18.529563593588584</v>
      </c>
    </row>
    <row r="208" spans="1:28" x14ac:dyDescent="0.3">
      <c r="A208" s="32">
        <f>VLOOKUP(YEAR(C208),Flags!$A$13:$B$95,2,FALSE)</f>
        <v>1</v>
      </c>
      <c r="B208" s="24">
        <f t="shared" si="328"/>
        <v>1943</v>
      </c>
      <c r="C208" s="25">
        <v>15979</v>
      </c>
      <c r="D208" s="26"/>
      <c r="E208" s="24"/>
      <c r="F208" s="26"/>
      <c r="G208" s="24"/>
      <c r="H208" s="24"/>
      <c r="I208" s="26"/>
      <c r="J208" s="24"/>
      <c r="K208" s="26">
        <f>VLOOKUP($C208,COS!$B$8:$H$991,2,FALSE)</f>
        <v>2551.45654296875</v>
      </c>
      <c r="L208" s="24">
        <f t="shared" ref="L208" si="331">IF(AND(K208&gt;$I$7,K208&lt;$I$8),1,0)</f>
        <v>1</v>
      </c>
      <c r="M208" s="24"/>
      <c r="N208" s="26"/>
      <c r="O208" s="26"/>
      <c r="P208" s="26"/>
      <c r="Q208" s="26"/>
      <c r="R208" s="26"/>
      <c r="S208" s="26"/>
      <c r="T208" s="26"/>
      <c r="U208" s="26"/>
      <c r="V208" s="26"/>
      <c r="W208" s="26">
        <f>MAX($C$8-VLOOKUP($C208,COS!$B$8:$H$991,3,FALSE),0)</f>
        <v>0</v>
      </c>
      <c r="X208" s="26">
        <f t="shared" si="245"/>
        <v>0</v>
      </c>
      <c r="Y208" s="26">
        <f>VLOOKUP($C208,COS!$B$8:$H$991,4,FALSE)</f>
        <v>0</v>
      </c>
      <c r="Z208" s="26">
        <f t="shared" si="246"/>
        <v>0</v>
      </c>
      <c r="AA208" s="26">
        <f t="shared" si="329"/>
        <v>0</v>
      </c>
      <c r="AB208" s="33">
        <f t="shared" si="243"/>
        <v>0</v>
      </c>
    </row>
    <row r="209" spans="1:28" x14ac:dyDescent="0.3">
      <c r="A209" s="32">
        <f>VLOOKUP(YEAR(C209),Flags!$A$13:$B$95,2,FALSE)</f>
        <v>1</v>
      </c>
      <c r="B209" s="24">
        <f t="shared" si="328"/>
        <v>1943</v>
      </c>
      <c r="C209" s="25">
        <v>16010</v>
      </c>
      <c r="D209" s="26"/>
      <c r="E209" s="24"/>
      <c r="F209" s="26"/>
      <c r="G209" s="26"/>
      <c r="H209" s="26"/>
      <c r="I209" s="26"/>
      <c r="J209" s="26"/>
      <c r="K209" s="26"/>
      <c r="L209" s="24"/>
      <c r="M209" s="24"/>
      <c r="N209" s="26"/>
      <c r="O209" s="26"/>
      <c r="P209" s="26"/>
      <c r="Q209" s="26"/>
      <c r="R209" s="26"/>
      <c r="S209" s="26"/>
      <c r="T209" s="26"/>
      <c r="U209" s="26"/>
      <c r="V209" s="26"/>
      <c r="W209" s="26">
        <f>MAX($C$9-VLOOKUP($C209,COS!$B$8:$H$991,3,FALSE),0)</f>
        <v>0</v>
      </c>
      <c r="X209" s="26">
        <f t="shared" si="245"/>
        <v>0</v>
      </c>
      <c r="Y209" s="26">
        <f>VLOOKUP($C209,COS!$B$8:$H$991,4,FALSE)</f>
        <v>1550.2403564453125</v>
      </c>
      <c r="Z209" s="26">
        <f t="shared" si="246"/>
        <v>95.320564065728306</v>
      </c>
      <c r="AA209" s="26">
        <f t="shared" si="329"/>
        <v>0</v>
      </c>
      <c r="AB209" s="33">
        <f t="shared" si="243"/>
        <v>0</v>
      </c>
    </row>
    <row r="210" spans="1:28" x14ac:dyDescent="0.3">
      <c r="A210" s="32">
        <f>VLOOKUP(YEAR(C210),Flags!$A$13:$B$95,2,FALSE)</f>
        <v>1</v>
      </c>
      <c r="B210" s="24">
        <f t="shared" si="328"/>
        <v>1943</v>
      </c>
      <c r="C210" s="25">
        <v>16040</v>
      </c>
      <c r="D210" s="26"/>
      <c r="E210" s="24"/>
      <c r="F210" s="26"/>
      <c r="G210" s="26"/>
      <c r="H210" s="26"/>
      <c r="I210" s="26"/>
      <c r="J210" s="26"/>
      <c r="K210" s="26"/>
      <c r="L210" s="24"/>
      <c r="M210" s="24"/>
      <c r="N210" s="26"/>
      <c r="O210" s="26"/>
      <c r="P210" s="26"/>
      <c r="Q210" s="26"/>
      <c r="R210" s="26"/>
      <c r="S210" s="26"/>
      <c r="T210" s="26"/>
      <c r="U210" s="26"/>
      <c r="V210" s="26"/>
      <c r="W210" s="26">
        <f>MAX($C$10-VLOOKUP($C210,COS!$B$8:$H$991,3,FALSE),0)</f>
        <v>0</v>
      </c>
      <c r="X210" s="26">
        <f t="shared" si="245"/>
        <v>0</v>
      </c>
      <c r="Y210" s="26">
        <f>VLOOKUP($C210,COS!$B$8:$H$991,4,FALSE)</f>
        <v>2815.150390625</v>
      </c>
      <c r="Z210" s="26">
        <f t="shared" si="246"/>
        <v>167.51308109504131</v>
      </c>
      <c r="AA210" s="26">
        <f t="shared" si="329"/>
        <v>0</v>
      </c>
      <c r="AB210" s="33">
        <f t="shared" si="243"/>
        <v>0</v>
      </c>
    </row>
    <row r="211" spans="1:28" x14ac:dyDescent="0.3">
      <c r="A211" s="34">
        <f>VLOOKUP(YEAR(C211),Flags!$A$13:$B$95,2,FALSE)</f>
        <v>1</v>
      </c>
      <c r="B211" s="35">
        <f t="shared" si="328"/>
        <v>1943</v>
      </c>
      <c r="C211" s="36">
        <v>16071</v>
      </c>
      <c r="D211" s="37"/>
      <c r="E211" s="35"/>
      <c r="F211" s="37"/>
      <c r="G211" s="37"/>
      <c r="H211" s="37"/>
      <c r="I211" s="37"/>
      <c r="J211" s="37"/>
      <c r="K211" s="37"/>
      <c r="L211" s="35"/>
      <c r="M211" s="35"/>
      <c r="N211" s="37"/>
      <c r="O211" s="37"/>
      <c r="P211" s="37"/>
      <c r="Q211" s="37"/>
      <c r="R211" s="37"/>
      <c r="S211" s="37"/>
      <c r="T211" s="37"/>
      <c r="U211" s="37"/>
      <c r="V211" s="37"/>
      <c r="W211" s="37">
        <f>MAX($C$11-VLOOKUP($C211,COS!$B$8:$H$991,3,FALSE),0)</f>
        <v>1709.677978515625</v>
      </c>
      <c r="X211" s="37">
        <f t="shared" si="245"/>
        <v>105.12400132360538</v>
      </c>
      <c r="Y211" s="37">
        <f>VLOOKUP($C211,COS!$B$8:$H$991,4,FALSE)</f>
        <v>40.252571105957031</v>
      </c>
      <c r="Z211" s="37">
        <f t="shared" si="246"/>
        <v>2.4750341242009943</v>
      </c>
      <c r="AA211" s="37">
        <f t="shared" si="329"/>
        <v>40.252571105957031</v>
      </c>
      <c r="AB211" s="38">
        <f t="shared" si="243"/>
        <v>2.4750341242009943</v>
      </c>
    </row>
    <row r="212" spans="1:28" x14ac:dyDescent="0.3">
      <c r="A212" s="27">
        <f>VLOOKUP(YEAR(C212),Flags!$A$13:$B$95,2,FALSE)</f>
        <v>4</v>
      </c>
      <c r="B212" s="28">
        <f t="shared" si="328"/>
        <v>1944</v>
      </c>
      <c r="C212" s="29">
        <v>16192</v>
      </c>
      <c r="D212" s="30">
        <f>VLOOKUP($C212,COS!$B$8:$H$991,3,FALSE)</f>
        <v>3250</v>
      </c>
      <c r="E212" s="28">
        <f>IF(D212&gt;=IF(MONTH($C212)=4,$C$3,IF(MONTH($C212)=5,$C$4,IF(MONTH($C212)=6,$C$5,IF(MONTH($C212)=7,$C$6,"ERROR")))),1,0)</f>
        <v>0</v>
      </c>
      <c r="F212" s="30">
        <f>VLOOKUP($C212,COS!$B$8:$H$991,7,FALSE)</f>
        <v>50.606151580810547</v>
      </c>
      <c r="G212" s="28">
        <f>IF(F212&lt;=IF(MONTH($C212)=4,$F$3,IF(MONTH($C212)=5,$F$4,IF(MONTH($C212)=6,$F$5,IF(MONTH($C212)=7,$F$6,"ERROR")))),1,0)</f>
        <v>1</v>
      </c>
      <c r="H212" s="30">
        <f>IF(J212=1,D212-$C$3,0)</f>
        <v>0</v>
      </c>
      <c r="I212" s="30">
        <f t="shared" si="239"/>
        <v>0</v>
      </c>
      <c r="J212" s="28">
        <f t="shared" ref="J212:J215" si="332">IF(AND(E212=1,G212=1),1,0)</f>
        <v>0</v>
      </c>
      <c r="K212" s="30">
        <f>VLOOKUP($C212,COS!$B$8:$H$991,2,FALSE)</f>
        <v>3187.75537109375</v>
      </c>
      <c r="L212" s="28">
        <f t="shared" ref="L212:L269" si="333">IF(K212&lt;=IF(MONTH($C212)=4,$I$3,IF(MONTH($C212)=5,$I$4,IF(MONTH($C212)=6,$I$5,IF(MONTH($C212)=7,$I$6,"ERROR")))),1,0)</f>
        <v>1</v>
      </c>
      <c r="M212" s="28">
        <f t="shared" ref="M212:M269" si="334">VLOOKUP($A212,$L$3:$M$7,2,FALSE)</f>
        <v>1</v>
      </c>
      <c r="N212" s="30">
        <f>VLOOKUP($C212,COS!$B$8:$H$991,5,FALSE)</f>
        <v>104.06297302246094</v>
      </c>
      <c r="O212" s="30">
        <f t="shared" ref="O212:O215" si="335">N212*DAY($C212)*86400/43560/1000</f>
        <v>6.1921769071216426</v>
      </c>
      <c r="P212" s="30">
        <f>VLOOKUP($C212,COS!$B$8:$H$991,6,FALSE)</f>
        <v>468.96719360351563</v>
      </c>
      <c r="Q212" s="30">
        <f t="shared" ref="Q212:Q215" si="336">P212*DAY($C212)*86400/43560/1000</f>
        <v>27.905485900374483</v>
      </c>
      <c r="R212" s="30">
        <f>MIN(IF(MONTH($C212)=4,$S$3,IF(MONTH($C212)=5,$S$4,IF(MONTH($C212)=6,$S$5,IF(MONTH($C212)=7,$S$6,"ERROR")))),MAX(VLOOKUP($C212,COS!$B$8:$K$991,10,FALSE)-IF(MONTH($C212)=4,$Y$3,IF(MONTH($C212)=5,$Y$4,IF(MONTH($C212)=6,$Y$5,IF(MONTH($C212)=7,$Y$6,"ERROR")))),0),MAX(VLOOKUP($C212,COS!$B$8:$K$991,9,FALSE)-IF(MONTH($C212)=4,$V$3,IF(MONTH($C212)=5,$V$4,IF(MONTH($C212)=6,$V$5,IF(MONTH($C212)=7,$V$6,"ERROR"))))-VLOOKUP($C212,COS!$B$8:$K$991,6,FALSE)/2,0))</f>
        <v>653.14990234375</v>
      </c>
      <c r="S212" s="30">
        <f t="shared" ref="S212:S215" si="337">R212*DAY($C212)*86400/43560/1000</f>
        <v>38.865118155991738</v>
      </c>
      <c r="T212" s="30">
        <f t="shared" ref="T212:T215" si="338">(O212+Q212)/2+S212</f>
        <v>55.913949559739805</v>
      </c>
      <c r="U212" s="30" t="str">
        <f>IF(VLOOKUP($C212,COS!$B$8:$I$991,8,FALSE)=1,"UWFE","IBU")</f>
        <v>UWFE</v>
      </c>
      <c r="V212" s="30">
        <f t="shared" ref="V212" si="339">MIN(IF(IF($AA$3=2,AND(E212=1,G212=1,L212=1,L217=1,M212=1,U212="IBU"),AND(E212=1,G212=1,L212=1,L217=1,M212=1)),T212,0),I212)</f>
        <v>0</v>
      </c>
      <c r="W212" s="30"/>
      <c r="X212" s="30"/>
      <c r="Y212" s="30"/>
      <c r="Z212" s="30"/>
      <c r="AA212" s="30"/>
      <c r="AB212" s="31"/>
    </row>
    <row r="213" spans="1:28" x14ac:dyDescent="0.3">
      <c r="A213" s="32">
        <f>VLOOKUP(YEAR(C213),Flags!$A$13:$B$95,2,FALSE)</f>
        <v>4</v>
      </c>
      <c r="B213" s="24">
        <f t="shared" si="328"/>
        <v>1944</v>
      </c>
      <c r="C213" s="25">
        <v>16223</v>
      </c>
      <c r="D213" s="26">
        <f>VLOOKUP($C213,COS!$B$8:$H$991,3,FALSE)</f>
        <v>5285.6044921875</v>
      </c>
      <c r="E213" s="24">
        <f>IF(D213&gt;=IF(MONTH($C213)=4,$C$3,IF(MONTH($C213)=5,$C$4,IF(MONTH($C213)=6,$C$5,IF(MONTH($C213)=7,$C$6,"ERROR")))),1,0)</f>
        <v>0</v>
      </c>
      <c r="F213" s="26">
        <f>VLOOKUP($C213,COS!$B$8:$H$991,7,FALSE)</f>
        <v>51.930629730224609</v>
      </c>
      <c r="G213" s="24">
        <f>IF(F213&lt;=IF(MONTH($C213)=4,$F$3,IF(MONTH($C213)=5,$F$4,IF(MONTH($C213)=6,$F$5,IF(MONTH($C213)=7,$F$6,"ERROR")))),1,0)</f>
        <v>1</v>
      </c>
      <c r="H213" s="26">
        <f>IF(J213=1,D213-$C$4,0)</f>
        <v>0</v>
      </c>
      <c r="I213" s="26">
        <f t="shared" si="239"/>
        <v>0</v>
      </c>
      <c r="J213" s="24">
        <f t="shared" si="332"/>
        <v>0</v>
      </c>
      <c r="K213" s="26">
        <f>VLOOKUP($C213,COS!$B$8:$H$991,2,FALSE)</f>
        <v>3183.985107421875</v>
      </c>
      <c r="L213" s="24">
        <f t="shared" si="333"/>
        <v>1</v>
      </c>
      <c r="M213" s="24">
        <f t="shared" si="334"/>
        <v>1</v>
      </c>
      <c r="N213" s="26">
        <f>VLOOKUP($C213,COS!$B$8:$H$991,5,FALSE)</f>
        <v>20.680736541748047</v>
      </c>
      <c r="O213" s="26">
        <f t="shared" si="335"/>
        <v>1.2716089245504583</v>
      </c>
      <c r="P213" s="26">
        <f>VLOOKUP($C213,COS!$B$8:$H$991,6,FALSE)</f>
        <v>2024.68505859375</v>
      </c>
      <c r="Q213" s="26">
        <f t="shared" si="336"/>
        <v>124.49303170196281</v>
      </c>
      <c r="R213" s="26">
        <f>MIN(IF(MONTH($C213)=4,$S$3,IF(MONTH($C213)=5,$S$4,IF(MONTH($C213)=6,$S$5,IF(MONTH($C213)=7,$S$6,"ERROR")))),MAX(VLOOKUP($C213,COS!$B$8:$K$991,10,FALSE)-IF(MONTH($C213)=4,$Y$3,IF(MONTH($C213)=5,$Y$4,IF(MONTH($C213)=6,$Y$5,IF(MONTH($C213)=7,$Y$6,"ERROR")))),0),MAX(VLOOKUP($C213,COS!$B$8:$K$991,9,FALSE)-IF(MONTH($C213)=4,$V$3,IF(MONTH($C213)=5,$V$4,IF(MONTH($C213)=6,$V$5,IF(MONTH($C213)=7,$V$6,"ERROR"))))-VLOOKUP($C213,COS!$B$8:$K$991,6,FALSE)/2,0))</f>
        <v>1042.197265625</v>
      </c>
      <c r="S213" s="26">
        <f t="shared" si="337"/>
        <v>64.082212035123959</v>
      </c>
      <c r="T213" s="26">
        <f t="shared" si="338"/>
        <v>126.9645323483806</v>
      </c>
      <c r="U213" s="26" t="str">
        <f>IF(VLOOKUP($C213,COS!$B$8:$I$991,8,FALSE)=1,"UWFE","IBU")</f>
        <v>UWFE</v>
      </c>
      <c r="V213" s="26">
        <f t="shared" ref="V213" si="340">MIN(IF(IF($AA$3=2,AND(E213=1,G213=1,L213=1,L217=1,M213=1,U213="IBU"),AND(E213=1,G213=1,L213=1,L217=1,M213=1)),T213,0),I213)</f>
        <v>0</v>
      </c>
      <c r="W213" s="26"/>
      <c r="X213" s="26"/>
      <c r="Y213" s="26"/>
      <c r="Z213" s="26"/>
      <c r="AA213" s="26"/>
      <c r="AB213" s="33"/>
    </row>
    <row r="214" spans="1:28" x14ac:dyDescent="0.3">
      <c r="A214" s="32">
        <f>VLOOKUP(YEAR(C214),Flags!$A$13:$B$95,2,FALSE)</f>
        <v>4</v>
      </c>
      <c r="B214" s="24">
        <f t="shared" si="328"/>
        <v>1944</v>
      </c>
      <c r="C214" s="25">
        <v>16253</v>
      </c>
      <c r="D214" s="26">
        <f>VLOOKUP($C214,COS!$B$8:$H$991,3,FALSE)</f>
        <v>9979.68359375</v>
      </c>
      <c r="E214" s="24">
        <f>IF(D214&gt;=IF(MONTH($C214)=4,$C$3,IF(MONTH($C214)=5,$C$4,IF(MONTH($C214)=6,$C$5,IF(MONTH($C214)=7,$C$6,"ERROR")))),1,0)</f>
        <v>0</v>
      </c>
      <c r="F214" s="26">
        <f>VLOOKUP($C214,COS!$B$8:$H$991,7,FALSE)</f>
        <v>51.431163787841797</v>
      </c>
      <c r="G214" s="24">
        <f>IF(F214&lt;=IF(MONTH($C214)=4,$F$3,IF(MONTH($C214)=5,$F$4,IF(MONTH($C214)=6,$F$5,IF(MONTH($C214)=7,$F$6,"ERROR")))),1,0)</f>
        <v>1</v>
      </c>
      <c r="H214" s="26">
        <f>IF(J214=1,D214-$C$5,0)</f>
        <v>0</v>
      </c>
      <c r="I214" s="26">
        <f t="shared" si="239"/>
        <v>0</v>
      </c>
      <c r="J214" s="24">
        <f t="shared" si="332"/>
        <v>0</v>
      </c>
      <c r="K214" s="26">
        <f>VLOOKUP($C214,COS!$B$8:$H$991,2,FALSE)</f>
        <v>2883.628662109375</v>
      </c>
      <c r="L214" s="24">
        <f t="shared" si="333"/>
        <v>1</v>
      </c>
      <c r="M214" s="24">
        <f t="shared" si="334"/>
        <v>1</v>
      </c>
      <c r="N214" s="26">
        <f>VLOOKUP($C214,COS!$B$8:$H$991,5,FALSE)</f>
        <v>231.61277770996094</v>
      </c>
      <c r="O214" s="26">
        <f t="shared" si="335"/>
        <v>13.781917351336519</v>
      </c>
      <c r="P214" s="26">
        <f>VLOOKUP($C214,COS!$B$8:$H$991,6,FALSE)</f>
        <v>2655.6513671875</v>
      </c>
      <c r="Q214" s="26">
        <f t="shared" si="336"/>
        <v>158.02223011363634</v>
      </c>
      <c r="R214" s="26">
        <f>MIN(IF(MONTH($C214)=4,$S$3,IF(MONTH($C214)=5,$S$4,IF(MONTH($C214)=6,$S$5,IF(MONTH($C214)=7,$S$6,"ERROR")))),MAX(VLOOKUP($C214,COS!$B$8:$K$991,10,FALSE)-IF(MONTH($C214)=4,$Y$3,IF(MONTH($C214)=5,$Y$4,IF(MONTH($C214)=6,$Y$5,IF(MONTH($C214)=7,$Y$6,"ERROR")))),0),MAX(VLOOKUP($C214,COS!$B$8:$K$991,9,FALSE)-IF(MONTH($C214)=4,$V$3,IF(MONTH($C214)=5,$V$4,IF(MONTH($C214)=6,$V$5,IF(MONTH($C214)=7,$V$6,"ERROR"))))-VLOOKUP($C214,COS!$B$8:$K$991,6,FALSE)/2,0))</f>
        <v>1500</v>
      </c>
      <c r="S214" s="26">
        <f t="shared" si="337"/>
        <v>89.256198347107429</v>
      </c>
      <c r="T214" s="26">
        <f t="shared" si="338"/>
        <v>175.15827207959387</v>
      </c>
      <c r="U214" s="26" t="str">
        <f>IF(VLOOKUP($C214,COS!$B$8:$I$991,8,FALSE)=1,"UWFE","IBU")</f>
        <v>IBU</v>
      </c>
      <c r="V214" s="26">
        <f t="shared" ref="V214" si="341">MIN(IF(IF($AA$3=2,AND(E214=1,G214=1,L214=1,L217=1,M214=1,U214="IBU"),AND(E214=1,G214=1,L214=1,L217=1,M214=1)),T214,0),I214)</f>
        <v>0</v>
      </c>
      <c r="W214" s="26"/>
      <c r="X214" s="26"/>
      <c r="Y214" s="26"/>
      <c r="Z214" s="26"/>
      <c r="AA214" s="26"/>
      <c r="AB214" s="33"/>
    </row>
    <row r="215" spans="1:28" x14ac:dyDescent="0.3">
      <c r="A215" s="32">
        <f>VLOOKUP(YEAR(C215),Flags!$A$13:$B$95,2,FALSE)</f>
        <v>4</v>
      </c>
      <c r="B215" s="24">
        <f t="shared" si="328"/>
        <v>1944</v>
      </c>
      <c r="C215" s="25">
        <v>16284</v>
      </c>
      <c r="D215" s="26">
        <f>VLOOKUP($C215,COS!$B$8:$H$991,3,FALSE)</f>
        <v>11936.8037109375</v>
      </c>
      <c r="E215" s="24">
        <f>IF(D215&gt;=IF(MONTH($C215)=4,$C$3,IF(MONTH($C215)=5,$C$4,IF(MONTH($C215)=6,$C$5,IF(MONTH($C215)=7,$C$6,"ERROR")))),1,0)</f>
        <v>0</v>
      </c>
      <c r="F215" s="26">
        <f>VLOOKUP($C215,COS!$B$8:$H$991,7,FALSE)</f>
        <v>53.474411010742188</v>
      </c>
      <c r="G215" s="24">
        <f>IF(F215&lt;=IF(MONTH($C215)=4,$F$3,IF(MONTH($C215)=5,$F$4,IF(MONTH($C215)=6,$F$5,IF(MONTH($C215)=7,$F$6,"ERROR")))),1,0)</f>
        <v>1</v>
      </c>
      <c r="H215" s="26">
        <f>IF(J215=1,D215-$C$6,0)</f>
        <v>0</v>
      </c>
      <c r="I215" s="26">
        <f t="shared" ref="I215:I278" si="342">H215*DAY($C215)*86400/43560/1000</f>
        <v>0</v>
      </c>
      <c r="J215" s="24">
        <f t="shared" si="332"/>
        <v>0</v>
      </c>
      <c r="K215" s="26">
        <f>VLOOKUP($C215,COS!$B$8:$H$991,2,FALSE)</f>
        <v>2455.531494140625</v>
      </c>
      <c r="L215" s="24">
        <f t="shared" si="333"/>
        <v>1</v>
      </c>
      <c r="M215" s="24">
        <f t="shared" si="334"/>
        <v>1</v>
      </c>
      <c r="N215" s="26">
        <f>VLOOKUP($C215,COS!$B$8:$H$991,5,FALSE)</f>
        <v>264.6837158203125</v>
      </c>
      <c r="O215" s="26">
        <f t="shared" si="335"/>
        <v>16.274767319860537</v>
      </c>
      <c r="P215" s="26">
        <f>VLOOKUP($C215,COS!$B$8:$H$991,6,FALSE)</f>
        <v>2538.07568359375</v>
      </c>
      <c r="Q215" s="26">
        <f t="shared" si="336"/>
        <v>156.06019079287191</v>
      </c>
      <c r="R215" s="26">
        <f>MIN(IF(MONTH($C215)=4,$S$3,IF(MONTH($C215)=5,$S$4,IF(MONTH($C215)=6,$S$5,IF(MONTH($C215)=7,$S$6,"ERROR")))),MAX(VLOOKUP($C215,COS!$B$8:$K$991,10,FALSE)-IF(MONTH($C215)=4,$Y$3,IF(MONTH($C215)=5,$Y$4,IF(MONTH($C215)=6,$Y$5,IF(MONTH($C215)=7,$Y$6,"ERROR")))),0),MAX(VLOOKUP($C215,COS!$B$8:$K$991,9,FALSE)-IF(MONTH($C215)=4,$V$3,IF(MONTH($C215)=5,$V$4,IF(MONTH($C215)=6,$V$5,IF(MONTH($C215)=7,$V$6,"ERROR"))))-VLOOKUP($C215,COS!$B$8:$K$991,6,FALSE)/2,0))</f>
        <v>1500</v>
      </c>
      <c r="S215" s="26">
        <f t="shared" si="337"/>
        <v>92.231404958677686</v>
      </c>
      <c r="T215" s="26">
        <f t="shared" si="338"/>
        <v>178.3988840150439</v>
      </c>
      <c r="U215" s="26" t="str">
        <f>IF(VLOOKUP($C215,COS!$B$8:$I$991,8,FALSE)=1,"UWFE","IBU")</f>
        <v>IBU</v>
      </c>
      <c r="V215" s="26">
        <f t="shared" ref="V215" si="343">MIN(IF(IF($AA$3=2,AND(E215=1,G215=1,L215=1,L217=1,M215=1,U215="IBU"),AND(E215=1,G215=1,L215=1,L217=1,M215=1)),T215,0),I215)</f>
        <v>0</v>
      </c>
      <c r="W215" s="26"/>
      <c r="X215" s="26"/>
      <c r="Y215" s="26"/>
      <c r="Z215" s="26"/>
      <c r="AA215" s="26"/>
      <c r="AB215" s="33"/>
    </row>
    <row r="216" spans="1:28" x14ac:dyDescent="0.3">
      <c r="A216" s="32">
        <f>VLOOKUP(YEAR(C216),Flags!$A$13:$B$95,2,FALSE)</f>
        <v>4</v>
      </c>
      <c r="B216" s="24">
        <f t="shared" si="328"/>
        <v>1944</v>
      </c>
      <c r="C216" s="25">
        <v>16315</v>
      </c>
      <c r="D216" s="26"/>
      <c r="E216" s="24"/>
      <c r="F216" s="26"/>
      <c r="G216" s="24"/>
      <c r="H216" s="24"/>
      <c r="I216" s="26"/>
      <c r="J216" s="24"/>
      <c r="K216" s="26"/>
      <c r="L216" s="24"/>
      <c r="M216" s="24"/>
      <c r="N216" s="26"/>
      <c r="O216" s="26"/>
      <c r="P216" s="26"/>
      <c r="Q216" s="26"/>
      <c r="R216" s="26"/>
      <c r="S216" s="26"/>
      <c r="T216" s="26"/>
      <c r="U216" s="26"/>
      <c r="V216" s="26"/>
      <c r="W216" s="26">
        <f>MAX($C$7-VLOOKUP($C216,COS!$B$8:$H$991,3,FALSE),0)</f>
        <v>3195.1171875</v>
      </c>
      <c r="X216" s="26">
        <f t="shared" si="245"/>
        <v>196.46009814049586</v>
      </c>
      <c r="Y216" s="26">
        <f>VLOOKUP($C216,COS!$B$8:$H$991,4,FALSE)</f>
        <v>1479.651123046875</v>
      </c>
      <c r="Z216" s="26">
        <f t="shared" si="246"/>
        <v>90.9802012848657</v>
      </c>
      <c r="AA216" s="26">
        <f t="shared" ref="AA216:AA220" si="344">MIN(W216,Y216)</f>
        <v>1479.651123046875</v>
      </c>
      <c r="AB216" s="33">
        <f t="shared" ref="AB216:AB274" si="345">AA216*DAY($C216)*86400/43560/1000*IF(MONTH($C216)=8,$P$3,IF(MONTH($C216)=9,$P$4,IF(MONTH($C216)=10,$P$5,IF(MONTH($C216)=11,$P$6,IF(MONTH($C216)=12,$P$7,NA())))))</f>
        <v>90.9802012848657</v>
      </c>
    </row>
    <row r="217" spans="1:28" x14ac:dyDescent="0.3">
      <c r="A217" s="32">
        <f>VLOOKUP(YEAR(C217),Flags!$A$13:$B$95,2,FALSE)</f>
        <v>4</v>
      </c>
      <c r="B217" s="24">
        <f t="shared" si="328"/>
        <v>1944</v>
      </c>
      <c r="C217" s="25">
        <v>16345</v>
      </c>
      <c r="D217" s="26"/>
      <c r="E217" s="24"/>
      <c r="F217" s="26"/>
      <c r="G217" s="24"/>
      <c r="H217" s="24"/>
      <c r="I217" s="26"/>
      <c r="J217" s="24"/>
      <c r="K217" s="26">
        <f>VLOOKUP($C217,COS!$B$8:$H$991,2,FALSE)</f>
        <v>2136.83203125</v>
      </c>
      <c r="L217" s="24">
        <f t="shared" ref="L217" si="346">IF(AND(K217&gt;$I$7,K217&lt;$I$8),1,0)</f>
        <v>1</v>
      </c>
      <c r="M217" s="24"/>
      <c r="N217" s="26"/>
      <c r="O217" s="26"/>
      <c r="P217" s="26"/>
      <c r="Q217" s="26"/>
      <c r="R217" s="26"/>
      <c r="S217" s="26"/>
      <c r="T217" s="26"/>
      <c r="U217" s="26"/>
      <c r="V217" s="26"/>
      <c r="W217" s="26">
        <f>MAX($C$8-VLOOKUP($C217,COS!$B$8:$H$991,3,FALSE),0)</f>
        <v>1027.63427734375</v>
      </c>
      <c r="X217" s="26">
        <f t="shared" si="245"/>
        <v>61.14848592458678</v>
      </c>
      <c r="Y217" s="26">
        <f>VLOOKUP($C217,COS!$B$8:$H$991,4,FALSE)</f>
        <v>1451.7376708984375</v>
      </c>
      <c r="Z217" s="26">
        <f t="shared" si="246"/>
        <v>86.384390334452476</v>
      </c>
      <c r="AA217" s="26">
        <f t="shared" si="344"/>
        <v>1027.63427734375</v>
      </c>
      <c r="AB217" s="33">
        <f t="shared" si="345"/>
        <v>61.14848592458678</v>
      </c>
    </row>
    <row r="218" spans="1:28" x14ac:dyDescent="0.3">
      <c r="A218" s="32">
        <f>VLOOKUP(YEAR(C218),Flags!$A$13:$B$95,2,FALSE)</f>
        <v>4</v>
      </c>
      <c r="B218" s="24">
        <f t="shared" si="328"/>
        <v>1944</v>
      </c>
      <c r="C218" s="25">
        <v>16376</v>
      </c>
      <c r="D218" s="26"/>
      <c r="E218" s="24"/>
      <c r="F218" s="26"/>
      <c r="G218" s="26"/>
      <c r="H218" s="26"/>
      <c r="I218" s="26"/>
      <c r="J218" s="26"/>
      <c r="K218" s="26"/>
      <c r="L218" s="24"/>
      <c r="M218" s="24"/>
      <c r="N218" s="26"/>
      <c r="O218" s="26"/>
      <c r="P218" s="26"/>
      <c r="Q218" s="26"/>
      <c r="R218" s="26"/>
      <c r="S218" s="26"/>
      <c r="T218" s="26"/>
      <c r="U218" s="26"/>
      <c r="V218" s="26"/>
      <c r="W218" s="26">
        <f>MAX($C$9-VLOOKUP($C218,COS!$B$8:$H$991,3,FALSE),0)</f>
        <v>0</v>
      </c>
      <c r="X218" s="26">
        <f t="shared" si="245"/>
        <v>0</v>
      </c>
      <c r="Y218" s="26">
        <f>VLOOKUP($C218,COS!$B$8:$H$991,4,FALSE)</f>
        <v>1521.927001953125</v>
      </c>
      <c r="Z218" s="26">
        <f t="shared" si="246"/>
        <v>93.579643756456619</v>
      </c>
      <c r="AA218" s="26">
        <f t="shared" si="344"/>
        <v>0</v>
      </c>
      <c r="AB218" s="33">
        <f t="shared" si="345"/>
        <v>0</v>
      </c>
    </row>
    <row r="219" spans="1:28" x14ac:dyDescent="0.3">
      <c r="A219" s="32">
        <f>VLOOKUP(YEAR(C219),Flags!$A$13:$B$95,2,FALSE)</f>
        <v>4</v>
      </c>
      <c r="B219" s="24">
        <f t="shared" si="328"/>
        <v>1944</v>
      </c>
      <c r="C219" s="25">
        <v>16406</v>
      </c>
      <c r="D219" s="26"/>
      <c r="E219" s="24"/>
      <c r="F219" s="26"/>
      <c r="G219" s="26"/>
      <c r="H219" s="26"/>
      <c r="I219" s="26"/>
      <c r="J219" s="26"/>
      <c r="K219" s="26"/>
      <c r="L219" s="24"/>
      <c r="M219" s="24"/>
      <c r="N219" s="26"/>
      <c r="O219" s="26"/>
      <c r="P219" s="26"/>
      <c r="Q219" s="26"/>
      <c r="R219" s="26"/>
      <c r="S219" s="26"/>
      <c r="T219" s="26"/>
      <c r="U219" s="26"/>
      <c r="V219" s="26"/>
      <c r="W219" s="26">
        <f>MAX($C$10-VLOOKUP($C219,COS!$B$8:$H$991,3,FALSE),0)</f>
        <v>1750</v>
      </c>
      <c r="X219" s="26">
        <f t="shared" ref="X219:X282" si="347">W219*DAY($C219)*86400/43560/1000</f>
        <v>104.13223140495867</v>
      </c>
      <c r="Y219" s="26">
        <f>VLOOKUP($C219,COS!$B$8:$H$991,4,FALSE)</f>
        <v>0</v>
      </c>
      <c r="Z219" s="26">
        <f t="shared" ref="Z219:Z282" si="348">Y219*DAY($C219)*86400/43560/1000</f>
        <v>0</v>
      </c>
      <c r="AA219" s="26">
        <f t="shared" si="344"/>
        <v>0</v>
      </c>
      <c r="AB219" s="33">
        <f t="shared" si="345"/>
        <v>0</v>
      </c>
    </row>
    <row r="220" spans="1:28" x14ac:dyDescent="0.3">
      <c r="A220" s="34">
        <f>VLOOKUP(YEAR(C220),Flags!$A$13:$B$95,2,FALSE)</f>
        <v>4</v>
      </c>
      <c r="B220" s="35">
        <f t="shared" si="328"/>
        <v>1944</v>
      </c>
      <c r="C220" s="36">
        <v>16437</v>
      </c>
      <c r="D220" s="37"/>
      <c r="E220" s="35"/>
      <c r="F220" s="37"/>
      <c r="G220" s="37"/>
      <c r="H220" s="37"/>
      <c r="I220" s="37"/>
      <c r="J220" s="37"/>
      <c r="K220" s="37"/>
      <c r="L220" s="35"/>
      <c r="M220" s="35"/>
      <c r="N220" s="37"/>
      <c r="O220" s="37"/>
      <c r="P220" s="37"/>
      <c r="Q220" s="37"/>
      <c r="R220" s="37"/>
      <c r="S220" s="37"/>
      <c r="T220" s="37"/>
      <c r="U220" s="37"/>
      <c r="V220" s="37"/>
      <c r="W220" s="37">
        <f>MAX($C$11-VLOOKUP($C220,COS!$B$8:$H$991,3,FALSE),0)</f>
        <v>1750</v>
      </c>
      <c r="X220" s="37">
        <f t="shared" si="347"/>
        <v>107.60330578512398</v>
      </c>
      <c r="Y220" s="37">
        <f>VLOOKUP($C220,COS!$B$8:$H$991,4,FALSE)</f>
        <v>2511.267822265625</v>
      </c>
      <c r="Z220" s="37">
        <f t="shared" si="348"/>
        <v>154.41183965005163</v>
      </c>
      <c r="AA220" s="37">
        <f t="shared" si="344"/>
        <v>1750</v>
      </c>
      <c r="AB220" s="38">
        <f t="shared" si="345"/>
        <v>107.60330578512398</v>
      </c>
    </row>
    <row r="221" spans="1:28" x14ac:dyDescent="0.3">
      <c r="A221" s="27">
        <f>VLOOKUP(YEAR(C221),Flags!$A$13:$B$95,2,FALSE)</f>
        <v>3</v>
      </c>
      <c r="B221" s="28">
        <f t="shared" si="328"/>
        <v>1945</v>
      </c>
      <c r="C221" s="29">
        <v>16557</v>
      </c>
      <c r="D221" s="30">
        <f>VLOOKUP($C221,COS!$B$8:$H$991,3,FALSE)</f>
        <v>3250</v>
      </c>
      <c r="E221" s="28">
        <f>IF(D221&gt;=IF(MONTH($C221)=4,$C$3,IF(MONTH($C221)=5,$C$4,IF(MONTH($C221)=6,$C$5,IF(MONTH($C221)=7,$C$6,"ERROR")))),1,0)</f>
        <v>0</v>
      </c>
      <c r="F221" s="30">
        <f>VLOOKUP($C221,COS!$B$8:$H$991,7,FALSE)</f>
        <v>50.669651031494141</v>
      </c>
      <c r="G221" s="28">
        <f>IF(F221&lt;=IF(MONTH($C221)=4,$F$3,IF(MONTH($C221)=5,$F$4,IF(MONTH($C221)=6,$F$5,IF(MONTH($C221)=7,$F$6,"ERROR")))),1,0)</f>
        <v>1</v>
      </c>
      <c r="H221" s="30">
        <f>IF(J221=1,D221-$C$3,0)</f>
        <v>0</v>
      </c>
      <c r="I221" s="30">
        <f t="shared" si="342"/>
        <v>0</v>
      </c>
      <c r="J221" s="28">
        <f t="shared" ref="J221:J224" si="349">IF(AND(E221=1,G221=1),1,0)</f>
        <v>0</v>
      </c>
      <c r="K221" s="30">
        <f>VLOOKUP($C221,COS!$B$8:$H$991,2,FALSE)</f>
        <v>4155.40673828125</v>
      </c>
      <c r="L221" s="28">
        <f t="shared" ref="L221" si="350">IF(K221&lt;=IF(MONTH($C221)=4,$I$3,IF(MONTH($C221)=5,$I$4,IF(MONTH($C221)=6,$I$5,IF(MONTH($C221)=7,$I$6,"ERROR")))),1,0)</f>
        <v>1</v>
      </c>
      <c r="M221" s="28">
        <f t="shared" ref="M221" si="351">VLOOKUP($A221,$L$3:$M$7,2,FALSE)</f>
        <v>0</v>
      </c>
      <c r="N221" s="30">
        <f>VLOOKUP($C221,COS!$B$8:$H$991,5,FALSE)</f>
        <v>245.70526123046875</v>
      </c>
      <c r="O221" s="30">
        <f t="shared" ref="O221:O224" si="352">N221*DAY($C221)*86400/43560/1000</f>
        <v>14.620478354209711</v>
      </c>
      <c r="P221" s="30">
        <f>VLOOKUP($C221,COS!$B$8:$H$991,6,FALSE)</f>
        <v>453.39697265625</v>
      </c>
      <c r="Q221" s="30">
        <f t="shared" ref="Q221:Q224" si="353">P221*DAY($C221)*86400/43560/1000</f>
        <v>26.978993414256198</v>
      </c>
      <c r="R221" s="30">
        <f>MIN(IF(MONTH($C221)=4,$S$3,IF(MONTH($C221)=5,$S$4,IF(MONTH($C221)=6,$S$5,IF(MONTH($C221)=7,$S$6,"ERROR")))),MAX(VLOOKUP($C221,COS!$B$8:$K$991,10,FALSE)-IF(MONTH($C221)=4,$Y$3,IF(MONTH($C221)=5,$Y$4,IF(MONTH($C221)=6,$Y$5,IF(MONTH($C221)=7,$Y$6,"ERROR")))),0),MAX(VLOOKUP($C221,COS!$B$8:$K$991,9,FALSE)-IF(MONTH($C221)=4,$V$3,IF(MONTH($C221)=5,$V$4,IF(MONTH($C221)=6,$V$5,IF(MONTH($C221)=7,$V$6,"ERROR"))))-VLOOKUP($C221,COS!$B$8:$K$991,6,FALSE)/2,0))</f>
        <v>1303.249267578125</v>
      </c>
      <c r="S221" s="30">
        <f t="shared" ref="S221:S224" si="354">R221*DAY($C221)*86400/43560/1000</f>
        <v>77.548716748450417</v>
      </c>
      <c r="T221" s="30">
        <f t="shared" ref="T221:T224" si="355">(O221+Q221)/2+S221</f>
        <v>98.348452632683376</v>
      </c>
      <c r="U221" s="30" t="str">
        <f>IF(VLOOKUP($C221,COS!$B$8:$I$991,8,FALSE)=1,"UWFE","IBU")</f>
        <v>UWFE</v>
      </c>
      <c r="V221" s="30">
        <f t="shared" ref="V221" si="356">MIN(IF(IF($AA$3=2,AND(E221=1,G221=1,L221=1,L226=1,M221=1,U221="IBU"),AND(E221=1,G221=1,L221=1,L226=1,M221=1)),T221,0),I221)</f>
        <v>0</v>
      </c>
      <c r="W221" s="30"/>
      <c r="X221" s="30"/>
      <c r="Y221" s="30"/>
      <c r="Z221" s="30"/>
      <c r="AA221" s="30"/>
      <c r="AB221" s="31"/>
    </row>
    <row r="222" spans="1:28" x14ac:dyDescent="0.3">
      <c r="A222" s="32">
        <f>VLOOKUP(YEAR(C222),Flags!$A$13:$B$95,2,FALSE)</f>
        <v>3</v>
      </c>
      <c r="B222" s="24">
        <f t="shared" si="328"/>
        <v>1945</v>
      </c>
      <c r="C222" s="25">
        <v>16588</v>
      </c>
      <c r="D222" s="26">
        <f>VLOOKUP($C222,COS!$B$8:$H$991,3,FALSE)</f>
        <v>4815.7119140625</v>
      </c>
      <c r="E222" s="24">
        <f>IF(D222&gt;=IF(MONTH($C222)=4,$C$3,IF(MONTH($C222)=5,$C$4,IF(MONTH($C222)=6,$C$5,IF(MONTH($C222)=7,$C$6,"ERROR")))),1,0)</f>
        <v>0</v>
      </c>
      <c r="F222" s="26">
        <f>VLOOKUP($C222,COS!$B$8:$H$991,7,FALSE)</f>
        <v>50.982772827148438</v>
      </c>
      <c r="G222" s="24">
        <f>IF(F222&lt;=IF(MONTH($C222)=4,$F$3,IF(MONTH($C222)=5,$F$4,IF(MONTH($C222)=6,$F$5,IF(MONTH($C222)=7,$F$6,"ERROR")))),1,0)</f>
        <v>1</v>
      </c>
      <c r="H222" s="26">
        <f>IF(J222=1,D222-$C$4,0)</f>
        <v>0</v>
      </c>
      <c r="I222" s="26">
        <f t="shared" si="342"/>
        <v>0</v>
      </c>
      <c r="J222" s="24">
        <f t="shared" si="349"/>
        <v>0</v>
      </c>
      <c r="K222" s="26">
        <f>VLOOKUP($C222,COS!$B$8:$H$991,2,FALSE)</f>
        <v>4312.3994140625</v>
      </c>
      <c r="L222" s="24">
        <f t="shared" si="333"/>
        <v>1</v>
      </c>
      <c r="M222" s="24">
        <f t="shared" si="334"/>
        <v>0</v>
      </c>
      <c r="N222" s="26">
        <f>VLOOKUP($C222,COS!$B$8:$H$991,5,FALSE)</f>
        <v>419.08834838867188</v>
      </c>
      <c r="O222" s="26">
        <f t="shared" si="352"/>
        <v>25.76873811579933</v>
      </c>
      <c r="P222" s="26">
        <f>VLOOKUP($C222,COS!$B$8:$H$991,6,FALSE)</f>
        <v>2006.53857421875</v>
      </c>
      <c r="Q222" s="26">
        <f t="shared" si="353"/>
        <v>123.37724786931818</v>
      </c>
      <c r="R222" s="26">
        <f>MIN(IF(MONTH($C222)=4,$S$3,IF(MONTH($C222)=5,$S$4,IF(MONTH($C222)=6,$S$5,IF(MONTH($C222)=7,$S$6,"ERROR")))),MAX(VLOOKUP($C222,COS!$B$8:$K$991,10,FALSE)-IF(MONTH($C222)=4,$Y$3,IF(MONTH($C222)=5,$Y$4,IF(MONTH($C222)=6,$Y$5,IF(MONTH($C222)=7,$Y$6,"ERROR")))),0),MAX(VLOOKUP($C222,COS!$B$8:$K$991,9,FALSE)-IF(MONTH($C222)=4,$V$3,IF(MONTH($C222)=5,$V$4,IF(MONTH($C222)=6,$V$5,IF(MONTH($C222)=7,$V$6,"ERROR"))))-VLOOKUP($C222,COS!$B$8:$K$991,6,FALSE)/2,0))</f>
        <v>1448.30419921875</v>
      </c>
      <c r="S222" s="26">
        <f t="shared" si="354"/>
        <v>89.05275406766529</v>
      </c>
      <c r="T222" s="26">
        <f t="shared" si="355"/>
        <v>163.62574706022406</v>
      </c>
      <c r="U222" s="26" t="str">
        <f>IF(VLOOKUP($C222,COS!$B$8:$I$991,8,FALSE)=1,"UWFE","IBU")</f>
        <v>UWFE</v>
      </c>
      <c r="V222" s="26">
        <f t="shared" ref="V222" si="357">MIN(IF(IF($AA$3=2,AND(E222=1,G222=1,L222=1,L226=1,M222=1,U222="IBU"),AND(E222=1,G222=1,L222=1,L226=1,M222=1)),T222,0),I222)</f>
        <v>0</v>
      </c>
      <c r="W222" s="26"/>
      <c r="X222" s="26"/>
      <c r="Y222" s="26"/>
      <c r="Z222" s="26"/>
      <c r="AA222" s="26"/>
      <c r="AB222" s="33"/>
    </row>
    <row r="223" spans="1:28" x14ac:dyDescent="0.3">
      <c r="A223" s="32">
        <f>VLOOKUP(YEAR(C223),Flags!$A$13:$B$95,2,FALSE)</f>
        <v>3</v>
      </c>
      <c r="B223" s="24">
        <f t="shared" si="328"/>
        <v>1945</v>
      </c>
      <c r="C223" s="25">
        <v>16618</v>
      </c>
      <c r="D223" s="26">
        <f>VLOOKUP($C223,COS!$B$8:$H$991,3,FALSE)</f>
        <v>8762.8173828125</v>
      </c>
      <c r="E223" s="24">
        <f>IF(D223&gt;=IF(MONTH($C223)=4,$C$3,IF(MONTH($C223)=5,$C$4,IF(MONTH($C223)=6,$C$5,IF(MONTH($C223)=7,$C$6,"ERROR")))),1,0)</f>
        <v>0</v>
      </c>
      <c r="F223" s="26">
        <f>VLOOKUP($C223,COS!$B$8:$H$991,7,FALSE)</f>
        <v>50.982040405273438</v>
      </c>
      <c r="G223" s="24">
        <f>IF(F223&lt;=IF(MONTH($C223)=4,$F$3,IF(MONTH($C223)=5,$F$4,IF(MONTH($C223)=6,$F$5,IF(MONTH($C223)=7,$F$6,"ERROR")))),1,0)</f>
        <v>1</v>
      </c>
      <c r="H223" s="26">
        <f>IF(J223=1,D223-$C$5,0)</f>
        <v>0</v>
      </c>
      <c r="I223" s="26">
        <f t="shared" si="342"/>
        <v>0</v>
      </c>
      <c r="J223" s="24">
        <f t="shared" si="349"/>
        <v>0</v>
      </c>
      <c r="K223" s="26">
        <f>VLOOKUP($C223,COS!$B$8:$H$991,2,FALSE)</f>
        <v>4079.3798828125</v>
      </c>
      <c r="L223" s="24">
        <f t="shared" si="333"/>
        <v>1</v>
      </c>
      <c r="M223" s="24">
        <f t="shared" si="334"/>
        <v>0</v>
      </c>
      <c r="N223" s="26">
        <f>VLOOKUP($C223,COS!$B$8:$H$991,5,FALSE)</f>
        <v>584.35906982421875</v>
      </c>
      <c r="O223" s="26">
        <f t="shared" si="352"/>
        <v>34.771779361441112</v>
      </c>
      <c r="P223" s="26">
        <f>VLOOKUP($C223,COS!$B$8:$H$991,6,FALSE)</f>
        <v>2486.4326171875</v>
      </c>
      <c r="Q223" s="26">
        <f t="shared" si="353"/>
        <v>147.9530152376033</v>
      </c>
      <c r="R223" s="26">
        <f>MIN(IF(MONTH($C223)=4,$S$3,IF(MONTH($C223)=5,$S$4,IF(MONTH($C223)=6,$S$5,IF(MONTH($C223)=7,$S$6,"ERROR")))),MAX(VLOOKUP($C223,COS!$B$8:$K$991,10,FALSE)-IF(MONTH($C223)=4,$Y$3,IF(MONTH($C223)=5,$Y$4,IF(MONTH($C223)=6,$Y$5,IF(MONTH($C223)=7,$Y$6,"ERROR")))),0),MAX(VLOOKUP($C223,COS!$B$8:$K$991,9,FALSE)-IF(MONTH($C223)=4,$V$3,IF(MONTH($C223)=5,$V$4,IF(MONTH($C223)=6,$V$5,IF(MONTH($C223)=7,$V$6,"ERROR"))))-VLOOKUP($C223,COS!$B$8:$K$991,6,FALSE)/2,0))</f>
        <v>1500</v>
      </c>
      <c r="S223" s="26">
        <f t="shared" si="354"/>
        <v>89.256198347107429</v>
      </c>
      <c r="T223" s="26">
        <f t="shared" si="355"/>
        <v>180.61859564662961</v>
      </c>
      <c r="U223" s="26" t="str">
        <f>IF(VLOOKUP($C223,COS!$B$8:$I$991,8,FALSE)=1,"UWFE","IBU")</f>
        <v>IBU</v>
      </c>
      <c r="V223" s="26">
        <f t="shared" ref="V223" si="358">MIN(IF(IF($AA$3=2,AND(E223=1,G223=1,L223=1,L226=1,M223=1,U223="IBU"),AND(E223=1,G223=1,L223=1,L226=1,M223=1)),T223,0),I223)</f>
        <v>0</v>
      </c>
      <c r="W223" s="26"/>
      <c r="X223" s="26"/>
      <c r="Y223" s="26"/>
      <c r="Z223" s="26"/>
      <c r="AA223" s="26"/>
      <c r="AB223" s="33"/>
    </row>
    <row r="224" spans="1:28" x14ac:dyDescent="0.3">
      <c r="A224" s="32">
        <f>VLOOKUP(YEAR(C224),Flags!$A$13:$B$95,2,FALSE)</f>
        <v>3</v>
      </c>
      <c r="B224" s="24">
        <f t="shared" si="328"/>
        <v>1945</v>
      </c>
      <c r="C224" s="25">
        <v>16649</v>
      </c>
      <c r="D224" s="26">
        <f>VLOOKUP($C224,COS!$B$8:$H$991,3,FALSE)</f>
        <v>13865.92578125</v>
      </c>
      <c r="E224" s="24">
        <f>IF(D224&gt;=IF(MONTH($C224)=4,$C$3,IF(MONTH($C224)=5,$C$4,IF(MONTH($C224)=6,$C$5,IF(MONTH($C224)=7,$C$6,"ERROR")))),1,0)</f>
        <v>1</v>
      </c>
      <c r="F224" s="26">
        <f>VLOOKUP($C224,COS!$B$8:$H$991,7,FALSE)</f>
        <v>50.834716796875</v>
      </c>
      <c r="G224" s="24">
        <f>IF(F224&lt;=IF(MONTH($C224)=4,$F$3,IF(MONTH($C224)=5,$F$4,IF(MONTH($C224)=6,$F$5,IF(MONTH($C224)=7,$F$6,"ERROR")))),1,0)</f>
        <v>1</v>
      </c>
      <c r="H224" s="26">
        <f>IF(J224=1,D224-$C$6,0)</f>
        <v>1865.92578125</v>
      </c>
      <c r="I224" s="26">
        <f t="shared" si="342"/>
        <v>114.73130423553718</v>
      </c>
      <c r="J224" s="24">
        <f t="shared" si="349"/>
        <v>1</v>
      </c>
      <c r="K224" s="26">
        <f>VLOOKUP($C224,COS!$B$8:$H$991,2,FALSE)</f>
        <v>3470.729248046875</v>
      </c>
      <c r="L224" s="24">
        <f t="shared" si="333"/>
        <v>1</v>
      </c>
      <c r="M224" s="24">
        <f t="shared" si="334"/>
        <v>0</v>
      </c>
      <c r="N224" s="26">
        <f>VLOOKUP($C224,COS!$B$8:$H$991,5,FALSE)</f>
        <v>726.76727294921875</v>
      </c>
      <c r="O224" s="26">
        <f t="shared" si="352"/>
        <v>44.687177774728823</v>
      </c>
      <c r="P224" s="26">
        <f>VLOOKUP($C224,COS!$B$8:$H$991,6,FALSE)</f>
        <v>2632.5888671875</v>
      </c>
      <c r="Q224" s="26">
        <f t="shared" si="353"/>
        <v>161.87157993285126</v>
      </c>
      <c r="R224" s="26">
        <f>MIN(IF(MONTH($C224)=4,$S$3,IF(MONTH($C224)=5,$S$4,IF(MONTH($C224)=6,$S$5,IF(MONTH($C224)=7,$S$6,"ERROR")))),MAX(VLOOKUP($C224,COS!$B$8:$K$991,10,FALSE)-IF(MONTH($C224)=4,$Y$3,IF(MONTH($C224)=5,$Y$4,IF(MONTH($C224)=6,$Y$5,IF(MONTH($C224)=7,$Y$6,"ERROR")))),0),MAX(VLOOKUP($C224,COS!$B$8:$K$991,9,FALSE)-IF(MONTH($C224)=4,$V$3,IF(MONTH($C224)=5,$V$4,IF(MONTH($C224)=6,$V$5,IF(MONTH($C224)=7,$V$6,"ERROR"))))-VLOOKUP($C224,COS!$B$8:$K$991,6,FALSE)/2,0))</f>
        <v>1500</v>
      </c>
      <c r="S224" s="26">
        <f t="shared" si="354"/>
        <v>92.231404958677686</v>
      </c>
      <c r="T224" s="26">
        <f t="shared" si="355"/>
        <v>195.51078381246771</v>
      </c>
      <c r="U224" s="26" t="str">
        <f>IF(VLOOKUP($C224,COS!$B$8:$I$991,8,FALSE)=1,"UWFE","IBU")</f>
        <v>IBU</v>
      </c>
      <c r="V224" s="26">
        <f t="shared" ref="V224" si="359">MIN(IF(IF($AA$3=2,AND(E224=1,G224=1,L224=1,L226=1,M224=1,U224="IBU"),AND(E224=1,G224=1,L224=1,L226=1,M224=1)),T224,0),I224)</f>
        <v>0</v>
      </c>
      <c r="W224" s="26"/>
      <c r="X224" s="26"/>
      <c r="Y224" s="26"/>
      <c r="Z224" s="26"/>
      <c r="AA224" s="26"/>
      <c r="AB224" s="33"/>
    </row>
    <row r="225" spans="1:28" x14ac:dyDescent="0.3">
      <c r="A225" s="32">
        <f>VLOOKUP(YEAR(C225),Flags!$A$13:$B$95,2,FALSE)</f>
        <v>3</v>
      </c>
      <c r="B225" s="24">
        <f t="shared" si="328"/>
        <v>1945</v>
      </c>
      <c r="C225" s="25">
        <v>16680</v>
      </c>
      <c r="D225" s="26"/>
      <c r="E225" s="24"/>
      <c r="F225" s="26"/>
      <c r="G225" s="24"/>
      <c r="H225" s="24"/>
      <c r="I225" s="26"/>
      <c r="J225" s="24"/>
      <c r="K225" s="26"/>
      <c r="L225" s="24"/>
      <c r="M225" s="24"/>
      <c r="N225" s="26"/>
      <c r="O225" s="26"/>
      <c r="P225" s="26"/>
      <c r="Q225" s="26"/>
      <c r="R225" s="26"/>
      <c r="S225" s="26"/>
      <c r="T225" s="26"/>
      <c r="U225" s="26"/>
      <c r="V225" s="26"/>
      <c r="W225" s="26">
        <f>MAX($C$7-VLOOKUP($C225,COS!$B$8:$H$991,3,FALSE),0)</f>
        <v>2107.1162109375</v>
      </c>
      <c r="X225" s="26">
        <f t="shared" si="347"/>
        <v>129.56152569731404</v>
      </c>
      <c r="Y225" s="26">
        <f>VLOOKUP($C225,COS!$B$8:$H$991,4,FALSE)</f>
        <v>465.335205078125</v>
      </c>
      <c r="Z225" s="26">
        <f t="shared" si="348"/>
        <v>28.612346494059917</v>
      </c>
      <c r="AA225" s="26">
        <f t="shared" ref="AA225:AA229" si="360">MIN(W225,Y225)</f>
        <v>465.335205078125</v>
      </c>
      <c r="AB225" s="33">
        <f t="shared" ref="AB225" si="361">AA225*DAY($C225)*86400/43560/1000*IF(MONTH($C225)=8,$P$3,IF(MONTH($C225)=9,$P$4,IF(MONTH($C225)=10,$P$5,IF(MONTH($C225)=11,$P$6,IF(MONTH($C225)=12,$P$7,NA())))))</f>
        <v>28.612346494059917</v>
      </c>
    </row>
    <row r="226" spans="1:28" x14ac:dyDescent="0.3">
      <c r="A226" s="32">
        <f>VLOOKUP(YEAR(C226),Flags!$A$13:$B$95,2,FALSE)</f>
        <v>3</v>
      </c>
      <c r="B226" s="24">
        <f t="shared" si="328"/>
        <v>1945</v>
      </c>
      <c r="C226" s="25">
        <v>16710</v>
      </c>
      <c r="D226" s="26"/>
      <c r="E226" s="24"/>
      <c r="F226" s="26"/>
      <c r="G226" s="24"/>
      <c r="H226" s="24"/>
      <c r="I226" s="26"/>
      <c r="J226" s="24"/>
      <c r="K226" s="26">
        <f>VLOOKUP($C226,COS!$B$8:$H$991,2,FALSE)</f>
        <v>2950.834716796875</v>
      </c>
      <c r="L226" s="24">
        <f t="shared" ref="L226" si="362">IF(AND(K226&gt;$I$7,K226&lt;$I$8),1,0)</f>
        <v>1</v>
      </c>
      <c r="M226" s="24"/>
      <c r="N226" s="26"/>
      <c r="O226" s="26"/>
      <c r="P226" s="26"/>
      <c r="Q226" s="26"/>
      <c r="R226" s="26"/>
      <c r="S226" s="26"/>
      <c r="T226" s="26"/>
      <c r="U226" s="26"/>
      <c r="V226" s="26"/>
      <c r="W226" s="26">
        <f>MAX($C$8-VLOOKUP($C226,COS!$B$8:$H$991,3,FALSE),0)</f>
        <v>363.61474609375</v>
      </c>
      <c r="X226" s="26">
        <f t="shared" si="347"/>
        <v>21.636579932851241</v>
      </c>
      <c r="Y226" s="26">
        <f>VLOOKUP($C226,COS!$B$8:$H$991,4,FALSE)</f>
        <v>334.24276733398438</v>
      </c>
      <c r="Z226" s="26">
        <f t="shared" si="348"/>
        <v>19.888825824832129</v>
      </c>
      <c r="AA226" s="26">
        <f t="shared" si="360"/>
        <v>334.24276733398438</v>
      </c>
      <c r="AB226" s="33">
        <f t="shared" si="345"/>
        <v>19.888825824832129</v>
      </c>
    </row>
    <row r="227" spans="1:28" x14ac:dyDescent="0.3">
      <c r="A227" s="32">
        <f>VLOOKUP(YEAR(C227),Flags!$A$13:$B$95,2,FALSE)</f>
        <v>3</v>
      </c>
      <c r="B227" s="24">
        <f t="shared" si="328"/>
        <v>1945</v>
      </c>
      <c r="C227" s="25">
        <v>16741</v>
      </c>
      <c r="D227" s="26"/>
      <c r="E227" s="24"/>
      <c r="F227" s="26"/>
      <c r="G227" s="26"/>
      <c r="H227" s="26"/>
      <c r="I227" s="26"/>
      <c r="J227" s="26"/>
      <c r="K227" s="26"/>
      <c r="L227" s="24"/>
      <c r="M227" s="24"/>
      <c r="N227" s="26"/>
      <c r="O227" s="26"/>
      <c r="P227" s="26"/>
      <c r="Q227" s="26"/>
      <c r="R227" s="26"/>
      <c r="S227" s="26"/>
      <c r="T227" s="26"/>
      <c r="U227" s="26"/>
      <c r="V227" s="26"/>
      <c r="W227" s="26">
        <f>MAX($C$9-VLOOKUP($C227,COS!$B$8:$H$991,3,FALSE),0)</f>
        <v>0</v>
      </c>
      <c r="X227" s="26">
        <f t="shared" si="347"/>
        <v>0</v>
      </c>
      <c r="Y227" s="26">
        <f>VLOOKUP($C227,COS!$B$8:$H$991,4,FALSE)</f>
        <v>526.39361572265625</v>
      </c>
      <c r="Z227" s="26">
        <f t="shared" si="348"/>
        <v>32.366681826252581</v>
      </c>
      <c r="AA227" s="26">
        <f t="shared" si="360"/>
        <v>0</v>
      </c>
      <c r="AB227" s="33">
        <f t="shared" si="345"/>
        <v>0</v>
      </c>
    </row>
    <row r="228" spans="1:28" x14ac:dyDescent="0.3">
      <c r="A228" s="32">
        <f>VLOOKUP(YEAR(C228),Flags!$A$13:$B$95,2,FALSE)</f>
        <v>3</v>
      </c>
      <c r="B228" s="24">
        <f t="shared" si="328"/>
        <v>1945</v>
      </c>
      <c r="C228" s="25">
        <v>16771</v>
      </c>
      <c r="D228" s="26"/>
      <c r="E228" s="24"/>
      <c r="F228" s="26"/>
      <c r="G228" s="26"/>
      <c r="H228" s="26"/>
      <c r="I228" s="26"/>
      <c r="J228" s="26"/>
      <c r="K228" s="26"/>
      <c r="L228" s="24"/>
      <c r="M228" s="24"/>
      <c r="N228" s="26"/>
      <c r="O228" s="26"/>
      <c r="P228" s="26"/>
      <c r="Q228" s="26"/>
      <c r="R228" s="26"/>
      <c r="S228" s="26"/>
      <c r="T228" s="26"/>
      <c r="U228" s="26"/>
      <c r="V228" s="26"/>
      <c r="W228" s="26">
        <f>MAX($C$10-VLOOKUP($C228,COS!$B$8:$H$991,3,FALSE),0)</f>
        <v>0</v>
      </c>
      <c r="X228" s="26">
        <f t="shared" si="347"/>
        <v>0</v>
      </c>
      <c r="Y228" s="26">
        <f>VLOOKUP($C228,COS!$B$8:$H$991,4,FALSE)</f>
        <v>697.87353515625</v>
      </c>
      <c r="Z228" s="26">
        <f t="shared" si="348"/>
        <v>41.526359116735541</v>
      </c>
      <c r="AA228" s="26">
        <f t="shared" si="360"/>
        <v>0</v>
      </c>
      <c r="AB228" s="33">
        <f t="shared" si="345"/>
        <v>0</v>
      </c>
    </row>
    <row r="229" spans="1:28" x14ac:dyDescent="0.3">
      <c r="A229" s="34">
        <f>VLOOKUP(YEAR(C229),Flags!$A$13:$B$95,2,FALSE)</f>
        <v>3</v>
      </c>
      <c r="B229" s="35">
        <f t="shared" si="328"/>
        <v>1945</v>
      </c>
      <c r="C229" s="36">
        <v>16802</v>
      </c>
      <c r="D229" s="37"/>
      <c r="E229" s="35"/>
      <c r="F229" s="37"/>
      <c r="G229" s="37"/>
      <c r="H229" s="37"/>
      <c r="I229" s="37"/>
      <c r="J229" s="37"/>
      <c r="K229" s="37"/>
      <c r="L229" s="35"/>
      <c r="M229" s="35"/>
      <c r="N229" s="37"/>
      <c r="O229" s="37"/>
      <c r="P229" s="37"/>
      <c r="Q229" s="37"/>
      <c r="R229" s="37"/>
      <c r="S229" s="37"/>
      <c r="T229" s="37"/>
      <c r="U229" s="37"/>
      <c r="V229" s="37"/>
      <c r="W229" s="37">
        <f>MAX($C$11-VLOOKUP($C229,COS!$B$8:$H$991,3,FALSE),0)</f>
        <v>0</v>
      </c>
      <c r="X229" s="37">
        <f t="shared" si="347"/>
        <v>0</v>
      </c>
      <c r="Y229" s="37">
        <f>VLOOKUP($C229,COS!$B$8:$H$991,4,FALSE)</f>
        <v>0</v>
      </c>
      <c r="Z229" s="37">
        <f t="shared" si="348"/>
        <v>0</v>
      </c>
      <c r="AA229" s="37">
        <f t="shared" si="360"/>
        <v>0</v>
      </c>
      <c r="AB229" s="38">
        <f t="shared" si="345"/>
        <v>0</v>
      </c>
    </row>
    <row r="230" spans="1:28" x14ac:dyDescent="0.3">
      <c r="A230" s="27">
        <f>VLOOKUP(YEAR(C230),Flags!$A$13:$B$95,2,FALSE)</f>
        <v>2</v>
      </c>
      <c r="B230" s="28">
        <f t="shared" si="328"/>
        <v>1946</v>
      </c>
      <c r="C230" s="29">
        <v>16922</v>
      </c>
      <c r="D230" s="30">
        <f>VLOOKUP($C230,COS!$B$8:$H$991,3,FALSE)</f>
        <v>4076.084716796875</v>
      </c>
      <c r="E230" s="28">
        <f>IF(D230&gt;=IF(MONTH($C230)=4,$C$3,IF(MONTH($C230)=5,$C$4,IF(MONTH($C230)=6,$C$5,IF(MONTH($C230)=7,$C$6,"ERROR")))),1,0)</f>
        <v>0</v>
      </c>
      <c r="F230" s="30">
        <f>VLOOKUP($C230,COS!$B$8:$H$991,7,FALSE)</f>
        <v>48.838871002197266</v>
      </c>
      <c r="G230" s="28">
        <f>IF(F230&lt;=IF(MONTH($C230)=4,$F$3,IF(MONTH($C230)=5,$F$4,IF(MONTH($C230)=6,$F$5,IF(MONTH($C230)=7,$F$6,"ERROR")))),1,0)</f>
        <v>1</v>
      </c>
      <c r="H230" s="30">
        <f>IF(J230=1,D230-$C$3,0)</f>
        <v>0</v>
      </c>
      <c r="I230" s="30">
        <f t="shared" si="342"/>
        <v>0</v>
      </c>
      <c r="J230" s="28">
        <f t="shared" ref="J230:J233" si="363">IF(AND(E230=1,G230=1),1,0)</f>
        <v>0</v>
      </c>
      <c r="K230" s="30">
        <f>VLOOKUP($C230,COS!$B$8:$H$991,2,FALSE)</f>
        <v>4552</v>
      </c>
      <c r="L230" s="28">
        <f t="shared" ref="L230" si="364">IF(K230&lt;=IF(MONTH($C230)=4,$I$3,IF(MONTH($C230)=5,$I$4,IF(MONTH($C230)=6,$I$5,IF(MONTH($C230)=7,$I$6,"ERROR")))),1,0)</f>
        <v>1</v>
      </c>
      <c r="M230" s="28">
        <f t="shared" ref="M230" si="365">VLOOKUP($A230,$L$3:$M$7,2,FALSE)</f>
        <v>0</v>
      </c>
      <c r="N230" s="30">
        <f>VLOOKUP($C230,COS!$B$8:$H$991,5,FALSE)</f>
        <v>571.77276611328125</v>
      </c>
      <c r="O230" s="30">
        <f t="shared" ref="O230:O233" si="366">N230*DAY($C230)*86400/43560/1000</f>
        <v>34.022842281120866</v>
      </c>
      <c r="P230" s="30">
        <f>VLOOKUP($C230,COS!$B$8:$H$991,6,FALSE)</f>
        <v>546.8182373046875</v>
      </c>
      <c r="Q230" s="30">
        <f t="shared" ref="Q230:Q233" si="367">P230*DAY($C230)*86400/43560/1000</f>
        <v>32.537944699121901</v>
      </c>
      <c r="R230" s="30">
        <f>MIN(IF(MONTH($C230)=4,$S$3,IF(MONTH($C230)=5,$S$4,IF(MONTH($C230)=6,$S$5,IF(MONTH($C230)=7,$S$6,"ERROR")))),MAX(VLOOKUP($C230,COS!$B$8:$K$991,10,FALSE)-IF(MONTH($C230)=4,$Y$3,IF(MONTH($C230)=5,$Y$4,IF(MONTH($C230)=6,$Y$5,IF(MONTH($C230)=7,$Y$6,"ERROR")))),0),MAX(VLOOKUP($C230,COS!$B$8:$K$991,9,FALSE)-IF(MONTH($C230)=4,$V$3,IF(MONTH($C230)=5,$V$4,IF(MONTH($C230)=6,$V$5,IF(MONTH($C230)=7,$V$6,"ERROR"))))-VLOOKUP($C230,COS!$B$8:$K$991,6,FALSE)/2,0))</f>
        <v>1500</v>
      </c>
      <c r="S230" s="30">
        <f t="shared" ref="S230:S233" si="368">R230*DAY($C230)*86400/43560/1000</f>
        <v>89.256198347107429</v>
      </c>
      <c r="T230" s="30">
        <f t="shared" ref="T230:T233" si="369">(O230+Q230)/2+S230</f>
        <v>122.53659183722881</v>
      </c>
      <c r="U230" s="30" t="str">
        <f>IF(VLOOKUP($C230,COS!$B$8:$I$991,8,FALSE)=1,"UWFE","IBU")</f>
        <v>UWFE</v>
      </c>
      <c r="V230" s="30">
        <f t="shared" ref="V230" si="370">MIN(IF(IF($AA$3=2,AND(E230=1,G230=1,L230=1,L235=1,M230=1,U230="IBU"),AND(E230=1,G230=1,L230=1,L235=1,M230=1)),T230,0),I230)</f>
        <v>0</v>
      </c>
      <c r="W230" s="30"/>
      <c r="X230" s="30"/>
      <c r="Y230" s="30"/>
      <c r="Z230" s="30"/>
      <c r="AA230" s="30"/>
      <c r="AB230" s="31"/>
    </row>
    <row r="231" spans="1:28" x14ac:dyDescent="0.3">
      <c r="A231" s="32">
        <f>VLOOKUP(YEAR(C231),Flags!$A$13:$B$95,2,FALSE)</f>
        <v>2</v>
      </c>
      <c r="B231" s="24">
        <f t="shared" si="328"/>
        <v>1946</v>
      </c>
      <c r="C231" s="25">
        <v>16953</v>
      </c>
      <c r="D231" s="26">
        <f>VLOOKUP($C231,COS!$B$8:$H$991,3,FALSE)</f>
        <v>7674.50244140625</v>
      </c>
      <c r="E231" s="24">
        <f>IF(D231&gt;=IF(MONTH($C231)=4,$C$3,IF(MONTH($C231)=5,$C$4,IF(MONTH($C231)=6,$C$5,IF(MONTH($C231)=7,$C$6,"ERROR")))),1,0)</f>
        <v>1</v>
      </c>
      <c r="F231" s="26">
        <f>VLOOKUP($C231,COS!$B$8:$H$991,7,FALSE)</f>
        <v>48.690444946289063</v>
      </c>
      <c r="G231" s="24">
        <f>IF(F231&lt;=IF(MONTH($C231)=4,$F$3,IF(MONTH($C231)=5,$F$4,IF(MONTH($C231)=6,$F$5,IF(MONTH($C231)=7,$F$6,"ERROR")))),1,0)</f>
        <v>1</v>
      </c>
      <c r="H231" s="26">
        <f>IF(J231=1,D231-$C$4,0)</f>
        <v>1674.50244140625</v>
      </c>
      <c r="I231" s="26">
        <f t="shared" si="342"/>
        <v>102.9611418517562</v>
      </c>
      <c r="J231" s="24">
        <f t="shared" si="363"/>
        <v>1</v>
      </c>
      <c r="K231" s="26">
        <f>VLOOKUP($C231,COS!$B$8:$H$991,2,FALSE)</f>
        <v>4470.89013671875</v>
      </c>
      <c r="L231" s="24">
        <f t="shared" si="333"/>
        <v>1</v>
      </c>
      <c r="M231" s="24">
        <f t="shared" si="334"/>
        <v>0</v>
      </c>
      <c r="N231" s="26">
        <f>VLOOKUP($C231,COS!$B$8:$H$991,5,FALSE)</f>
        <v>870.65301513671875</v>
      </c>
      <c r="O231" s="26">
        <f t="shared" si="366"/>
        <v>53.534367211712294</v>
      </c>
      <c r="P231" s="26">
        <f>VLOOKUP($C231,COS!$B$8:$H$991,6,FALSE)</f>
        <v>2245.033447265625</v>
      </c>
      <c r="Q231" s="26">
        <f t="shared" si="367"/>
        <v>138.04172601368802</v>
      </c>
      <c r="R231" s="26">
        <f>MIN(IF(MONTH($C231)=4,$S$3,IF(MONTH($C231)=5,$S$4,IF(MONTH($C231)=6,$S$5,IF(MONTH($C231)=7,$S$6,"ERROR")))),MAX(VLOOKUP($C231,COS!$B$8:$K$991,10,FALSE)-IF(MONTH($C231)=4,$Y$3,IF(MONTH($C231)=5,$Y$4,IF(MONTH($C231)=6,$Y$5,IF(MONTH($C231)=7,$Y$6,"ERROR")))),0),MAX(VLOOKUP($C231,COS!$B$8:$K$991,9,FALSE)-IF(MONTH($C231)=4,$V$3,IF(MONTH($C231)=5,$V$4,IF(MONTH($C231)=6,$V$5,IF(MONTH($C231)=7,$V$6,"ERROR"))))-VLOOKUP($C231,COS!$B$8:$K$991,6,FALSE)/2,0))</f>
        <v>1500</v>
      </c>
      <c r="S231" s="26">
        <f t="shared" si="368"/>
        <v>92.231404958677686</v>
      </c>
      <c r="T231" s="26">
        <f t="shared" si="369"/>
        <v>188.01945157137783</v>
      </c>
      <c r="U231" s="26" t="str">
        <f>IF(VLOOKUP($C231,COS!$B$8:$I$991,8,FALSE)=1,"UWFE","IBU")</f>
        <v>UWFE</v>
      </c>
      <c r="V231" s="26">
        <f t="shared" ref="V231" si="371">MIN(IF(IF($AA$3=2,AND(E231=1,G231=1,L231=1,L235=1,M231=1,U231="IBU"),AND(E231=1,G231=1,L231=1,L235=1,M231=1)),T231,0),I231)</f>
        <v>0</v>
      </c>
      <c r="W231" s="26"/>
      <c r="X231" s="26"/>
      <c r="Y231" s="26"/>
      <c r="Z231" s="26"/>
      <c r="AA231" s="26"/>
      <c r="AB231" s="33"/>
    </row>
    <row r="232" spans="1:28" x14ac:dyDescent="0.3">
      <c r="A232" s="32">
        <f>VLOOKUP(YEAR(C232),Flags!$A$13:$B$95,2,FALSE)</f>
        <v>2</v>
      </c>
      <c r="B232" s="24">
        <f t="shared" si="328"/>
        <v>1946</v>
      </c>
      <c r="C232" s="25">
        <v>16983</v>
      </c>
      <c r="D232" s="26">
        <f>VLOOKUP($C232,COS!$B$8:$H$991,3,FALSE)</f>
        <v>10991.0703125</v>
      </c>
      <c r="E232" s="24">
        <f>IF(D232&gt;=IF(MONTH($C232)=4,$C$3,IF(MONTH($C232)=5,$C$4,IF(MONTH($C232)=6,$C$5,IF(MONTH($C232)=7,$C$6,"ERROR")))),1,0)</f>
        <v>1</v>
      </c>
      <c r="F232" s="26">
        <f>VLOOKUP($C232,COS!$B$8:$H$991,7,FALSE)</f>
        <v>49.001594543457031</v>
      </c>
      <c r="G232" s="24">
        <f>IF(F232&lt;=IF(MONTH($C232)=4,$F$3,IF(MONTH($C232)=5,$F$4,IF(MONTH($C232)=6,$F$5,IF(MONTH($C232)=7,$F$6,"ERROR")))),1,0)</f>
        <v>1</v>
      </c>
      <c r="H232" s="26">
        <f>IF(J232=1,D232-$C$5,0)</f>
        <v>991.0703125</v>
      </c>
      <c r="I232" s="26">
        <f t="shared" si="342"/>
        <v>58.972778925619835</v>
      </c>
      <c r="J232" s="24">
        <f t="shared" si="363"/>
        <v>1</v>
      </c>
      <c r="K232" s="26">
        <f>VLOOKUP($C232,COS!$B$8:$H$991,2,FALSE)</f>
        <v>4054.78515625</v>
      </c>
      <c r="L232" s="24">
        <f t="shared" si="333"/>
        <v>1</v>
      </c>
      <c r="M232" s="24">
        <f t="shared" si="334"/>
        <v>0</v>
      </c>
      <c r="N232" s="26">
        <f>VLOOKUP($C232,COS!$B$8:$H$991,5,FALSE)</f>
        <v>864.298095703125</v>
      </c>
      <c r="O232" s="26">
        <f t="shared" si="366"/>
        <v>51.42930817407025</v>
      </c>
      <c r="P232" s="26">
        <f>VLOOKUP($C232,COS!$B$8:$H$991,6,FALSE)</f>
        <v>2675.089599609375</v>
      </c>
      <c r="Q232" s="26">
        <f t="shared" si="367"/>
        <v>159.1788852660124</v>
      </c>
      <c r="R232" s="26">
        <f>MIN(IF(MONTH($C232)=4,$S$3,IF(MONTH($C232)=5,$S$4,IF(MONTH($C232)=6,$S$5,IF(MONTH($C232)=7,$S$6,"ERROR")))),MAX(VLOOKUP($C232,COS!$B$8:$K$991,10,FALSE)-IF(MONTH($C232)=4,$Y$3,IF(MONTH($C232)=5,$Y$4,IF(MONTH($C232)=6,$Y$5,IF(MONTH($C232)=7,$Y$6,"ERROR")))),0),MAX(VLOOKUP($C232,COS!$B$8:$K$991,9,FALSE)-IF(MONTH($C232)=4,$V$3,IF(MONTH($C232)=5,$V$4,IF(MONTH($C232)=6,$V$5,IF(MONTH($C232)=7,$V$6,"ERROR"))))-VLOOKUP($C232,COS!$B$8:$K$991,6,FALSE)/2,0))</f>
        <v>1500</v>
      </c>
      <c r="S232" s="26">
        <f t="shared" si="368"/>
        <v>89.256198347107429</v>
      </c>
      <c r="T232" s="26">
        <f t="shared" si="369"/>
        <v>194.56029506714876</v>
      </c>
      <c r="U232" s="26" t="str">
        <f>IF(VLOOKUP($C232,COS!$B$8:$I$991,8,FALSE)=1,"UWFE","IBU")</f>
        <v>IBU</v>
      </c>
      <c r="V232" s="26">
        <f t="shared" ref="V232" si="372">MIN(IF(IF($AA$3=2,AND(E232=1,G232=1,L232=1,L235=1,M232=1,U232="IBU"),AND(E232=1,G232=1,L232=1,L235=1,M232=1)),T232,0),I232)</f>
        <v>0</v>
      </c>
      <c r="W232" s="26"/>
      <c r="X232" s="26"/>
      <c r="Y232" s="26"/>
      <c r="Z232" s="26"/>
      <c r="AA232" s="26"/>
      <c r="AB232" s="33"/>
    </row>
    <row r="233" spans="1:28" x14ac:dyDescent="0.3">
      <c r="A233" s="32">
        <f>VLOOKUP(YEAR(C233),Flags!$A$13:$B$95,2,FALSE)</f>
        <v>2</v>
      </c>
      <c r="B233" s="24">
        <f t="shared" si="328"/>
        <v>1946</v>
      </c>
      <c r="C233" s="25">
        <v>17014</v>
      </c>
      <c r="D233" s="26">
        <f>VLOOKUP($C233,COS!$B$8:$H$991,3,FALSE)</f>
        <v>16000</v>
      </c>
      <c r="E233" s="24">
        <f>IF(D233&gt;=IF(MONTH($C233)=4,$C$3,IF(MONTH($C233)=5,$C$4,IF(MONTH($C233)=6,$C$5,IF(MONTH($C233)=7,$C$6,"ERROR")))),1,0)</f>
        <v>1</v>
      </c>
      <c r="F233" s="26">
        <f>VLOOKUP($C233,COS!$B$8:$H$991,7,FALSE)</f>
        <v>49.493640899658203</v>
      </c>
      <c r="G233" s="24">
        <f>IF(F233&lt;=IF(MONTH($C233)=4,$F$3,IF(MONTH($C233)=5,$F$4,IF(MONTH($C233)=6,$F$5,IF(MONTH($C233)=7,$F$6,"ERROR")))),1,0)</f>
        <v>1</v>
      </c>
      <c r="H233" s="26">
        <f>IF(J233=1,D233-$C$6,0)</f>
        <v>4000</v>
      </c>
      <c r="I233" s="26">
        <f t="shared" si="342"/>
        <v>245.95041322314049</v>
      </c>
      <c r="J233" s="24">
        <f t="shared" si="363"/>
        <v>1</v>
      </c>
      <c r="K233" s="26">
        <f>VLOOKUP($C233,COS!$B$8:$H$991,2,FALSE)</f>
        <v>3315.635498046875</v>
      </c>
      <c r="L233" s="24">
        <f t="shared" si="333"/>
        <v>1</v>
      </c>
      <c r="M233" s="24">
        <f t="shared" si="334"/>
        <v>0</v>
      </c>
      <c r="N233" s="26">
        <f>VLOOKUP($C233,COS!$B$8:$H$991,5,FALSE)</f>
        <v>929.87835693359375</v>
      </c>
      <c r="O233" s="26">
        <f t="shared" si="366"/>
        <v>57.175991533768077</v>
      </c>
      <c r="P233" s="26">
        <f>VLOOKUP($C233,COS!$B$8:$H$991,6,FALSE)</f>
        <v>2527.75390625</v>
      </c>
      <c r="Q233" s="26">
        <f t="shared" si="367"/>
        <v>155.42552944214876</v>
      </c>
      <c r="R233" s="26">
        <f>MIN(IF(MONTH($C233)=4,$S$3,IF(MONTH($C233)=5,$S$4,IF(MONTH($C233)=6,$S$5,IF(MONTH($C233)=7,$S$6,"ERROR")))),MAX(VLOOKUP($C233,COS!$B$8:$K$991,10,FALSE)-IF(MONTH($C233)=4,$Y$3,IF(MONTH($C233)=5,$Y$4,IF(MONTH($C233)=6,$Y$5,IF(MONTH($C233)=7,$Y$6,"ERROR")))),0),MAX(VLOOKUP($C233,COS!$B$8:$K$991,9,FALSE)-IF(MONTH($C233)=4,$V$3,IF(MONTH($C233)=5,$V$4,IF(MONTH($C233)=6,$V$5,IF(MONTH($C233)=7,$V$6,"ERROR"))))-VLOOKUP($C233,COS!$B$8:$K$991,6,FALSE)/2,0))</f>
        <v>1500</v>
      </c>
      <c r="S233" s="26">
        <f t="shared" si="368"/>
        <v>92.231404958677686</v>
      </c>
      <c r="T233" s="26">
        <f t="shared" si="369"/>
        <v>198.5321654466361</v>
      </c>
      <c r="U233" s="26" t="str">
        <f>IF(VLOOKUP($C233,COS!$B$8:$I$991,8,FALSE)=1,"UWFE","IBU")</f>
        <v>IBU</v>
      </c>
      <c r="V233" s="26">
        <f t="shared" ref="V233" si="373">MIN(IF(IF($AA$3=2,AND(E233=1,G233=1,L233=1,L235=1,M233=1,U233="IBU"),AND(E233=1,G233=1,L233=1,L235=1,M233=1)),T233,0),I233)</f>
        <v>0</v>
      </c>
      <c r="W233" s="26"/>
      <c r="X233" s="26"/>
      <c r="Y233" s="26"/>
      <c r="Z233" s="26"/>
      <c r="AA233" s="26"/>
      <c r="AB233" s="33"/>
    </row>
    <row r="234" spans="1:28" x14ac:dyDescent="0.3">
      <c r="A234" s="32">
        <f>VLOOKUP(YEAR(C234),Flags!$A$13:$B$95,2,FALSE)</f>
        <v>2</v>
      </c>
      <c r="B234" s="24">
        <f t="shared" si="328"/>
        <v>1946</v>
      </c>
      <c r="C234" s="25">
        <v>17045</v>
      </c>
      <c r="D234" s="26"/>
      <c r="E234" s="24"/>
      <c r="F234" s="26"/>
      <c r="G234" s="24"/>
      <c r="H234" s="24"/>
      <c r="I234" s="26"/>
      <c r="J234" s="24"/>
      <c r="K234" s="26"/>
      <c r="L234" s="24"/>
      <c r="M234" s="24"/>
      <c r="N234" s="26"/>
      <c r="O234" s="26"/>
      <c r="P234" s="26"/>
      <c r="Q234" s="26"/>
      <c r="R234" s="26"/>
      <c r="S234" s="26"/>
      <c r="T234" s="26"/>
      <c r="U234" s="26"/>
      <c r="V234" s="26"/>
      <c r="W234" s="26">
        <f>MAX($C$7-VLOOKUP($C234,COS!$B$8:$H$991,3,FALSE),0)</f>
        <v>285.59765625</v>
      </c>
      <c r="X234" s="26">
        <f t="shared" si="347"/>
        <v>17.560715392561981</v>
      </c>
      <c r="Y234" s="26">
        <f>VLOOKUP($C234,COS!$B$8:$H$991,4,FALSE)</f>
        <v>0</v>
      </c>
      <c r="Z234" s="26">
        <f t="shared" si="348"/>
        <v>0</v>
      </c>
      <c r="AA234" s="26">
        <f t="shared" ref="AA234:AA238" si="374">MIN(W234,Y234)</f>
        <v>0</v>
      </c>
      <c r="AB234" s="33">
        <f t="shared" ref="AB234" si="375">AA234*DAY($C234)*86400/43560/1000*IF(MONTH($C234)=8,$P$3,IF(MONTH($C234)=9,$P$4,IF(MONTH($C234)=10,$P$5,IF(MONTH($C234)=11,$P$6,IF(MONTH($C234)=12,$P$7,NA())))))</f>
        <v>0</v>
      </c>
    </row>
    <row r="235" spans="1:28" x14ac:dyDescent="0.3">
      <c r="A235" s="32">
        <f>VLOOKUP(YEAR(C235),Flags!$A$13:$B$95,2,FALSE)</f>
        <v>2</v>
      </c>
      <c r="B235" s="24">
        <f t="shared" si="328"/>
        <v>1946</v>
      </c>
      <c r="C235" s="25">
        <v>17075</v>
      </c>
      <c r="D235" s="26"/>
      <c r="E235" s="24"/>
      <c r="F235" s="26"/>
      <c r="G235" s="24"/>
      <c r="H235" s="24"/>
      <c r="I235" s="26"/>
      <c r="J235" s="24"/>
      <c r="K235" s="26">
        <f>VLOOKUP($C235,COS!$B$8:$H$991,2,FALSE)</f>
        <v>2524.6171875</v>
      </c>
      <c r="L235" s="24">
        <f t="shared" ref="L235" si="376">IF(AND(K235&gt;$I$7,K235&lt;$I$8),1,0)</f>
        <v>1</v>
      </c>
      <c r="M235" s="24"/>
      <c r="N235" s="26"/>
      <c r="O235" s="26"/>
      <c r="P235" s="26"/>
      <c r="Q235" s="26"/>
      <c r="R235" s="26"/>
      <c r="S235" s="26"/>
      <c r="T235" s="26"/>
      <c r="U235" s="26"/>
      <c r="V235" s="26"/>
      <c r="W235" s="26">
        <f>MAX($C$8-VLOOKUP($C235,COS!$B$8:$H$991,3,FALSE),0)</f>
        <v>0</v>
      </c>
      <c r="X235" s="26">
        <f t="shared" si="347"/>
        <v>0</v>
      </c>
      <c r="Y235" s="26">
        <f>VLOOKUP($C235,COS!$B$8:$H$991,4,FALSE)</f>
        <v>0</v>
      </c>
      <c r="Z235" s="26">
        <f t="shared" si="348"/>
        <v>0</v>
      </c>
      <c r="AA235" s="26">
        <f t="shared" si="374"/>
        <v>0</v>
      </c>
      <c r="AB235" s="33">
        <f t="shared" si="345"/>
        <v>0</v>
      </c>
    </row>
    <row r="236" spans="1:28" x14ac:dyDescent="0.3">
      <c r="A236" s="32">
        <f>VLOOKUP(YEAR(C236),Flags!$A$13:$B$95,2,FALSE)</f>
        <v>2</v>
      </c>
      <c r="B236" s="24">
        <f t="shared" si="328"/>
        <v>1946</v>
      </c>
      <c r="C236" s="25">
        <v>17106</v>
      </c>
      <c r="D236" s="26"/>
      <c r="E236" s="24"/>
      <c r="F236" s="26"/>
      <c r="G236" s="26"/>
      <c r="H236" s="26"/>
      <c r="I236" s="26"/>
      <c r="J236" s="26"/>
      <c r="K236" s="26"/>
      <c r="L236" s="24"/>
      <c r="M236" s="24"/>
      <c r="N236" s="26"/>
      <c r="O236" s="26"/>
      <c r="P236" s="26"/>
      <c r="Q236" s="26"/>
      <c r="R236" s="26"/>
      <c r="S236" s="26"/>
      <c r="T236" s="26"/>
      <c r="U236" s="26"/>
      <c r="V236" s="26"/>
      <c r="W236" s="26">
        <f>MAX($C$9-VLOOKUP($C236,COS!$B$8:$H$991,3,FALSE),0)</f>
        <v>0</v>
      </c>
      <c r="X236" s="26">
        <f t="shared" si="347"/>
        <v>0</v>
      </c>
      <c r="Y236" s="26">
        <f>VLOOKUP($C236,COS!$B$8:$H$991,4,FALSE)</f>
        <v>1148.6480712890625</v>
      </c>
      <c r="Z236" s="26">
        <f t="shared" si="348"/>
        <v>70.627616945377071</v>
      </c>
      <c r="AA236" s="26">
        <f t="shared" si="374"/>
        <v>0</v>
      </c>
      <c r="AB236" s="33">
        <f t="shared" si="345"/>
        <v>0</v>
      </c>
    </row>
    <row r="237" spans="1:28" x14ac:dyDescent="0.3">
      <c r="A237" s="32">
        <f>VLOOKUP(YEAR(C237),Flags!$A$13:$B$95,2,FALSE)</f>
        <v>2</v>
      </c>
      <c r="B237" s="24">
        <f t="shared" si="328"/>
        <v>1946</v>
      </c>
      <c r="C237" s="25">
        <v>17136</v>
      </c>
      <c r="D237" s="26"/>
      <c r="E237" s="24"/>
      <c r="F237" s="26"/>
      <c r="G237" s="26"/>
      <c r="H237" s="26"/>
      <c r="I237" s="26"/>
      <c r="J237" s="26"/>
      <c r="K237" s="26"/>
      <c r="L237" s="24"/>
      <c r="M237" s="24"/>
      <c r="N237" s="26"/>
      <c r="O237" s="26"/>
      <c r="P237" s="26"/>
      <c r="Q237" s="26"/>
      <c r="R237" s="26"/>
      <c r="S237" s="26"/>
      <c r="T237" s="26"/>
      <c r="U237" s="26"/>
      <c r="V237" s="26"/>
      <c r="W237" s="26">
        <f>MAX($C$10-VLOOKUP($C237,COS!$B$8:$H$991,3,FALSE),0)</f>
        <v>0</v>
      </c>
      <c r="X237" s="26">
        <f t="shared" si="347"/>
        <v>0</v>
      </c>
      <c r="Y237" s="26">
        <f>VLOOKUP($C237,COS!$B$8:$H$991,4,FALSE)</f>
        <v>1644.781982421875</v>
      </c>
      <c r="Z237" s="26">
        <f t="shared" si="348"/>
        <v>97.871324573863632</v>
      </c>
      <c r="AA237" s="26">
        <f t="shared" si="374"/>
        <v>0</v>
      </c>
      <c r="AB237" s="33">
        <f t="shared" si="345"/>
        <v>0</v>
      </c>
    </row>
    <row r="238" spans="1:28" x14ac:dyDescent="0.3">
      <c r="A238" s="34">
        <f>VLOOKUP(YEAR(C238),Flags!$A$13:$B$95,2,FALSE)</f>
        <v>2</v>
      </c>
      <c r="B238" s="35">
        <f t="shared" si="328"/>
        <v>1946</v>
      </c>
      <c r="C238" s="36">
        <v>17167</v>
      </c>
      <c r="D238" s="37"/>
      <c r="E238" s="35"/>
      <c r="F238" s="37"/>
      <c r="G238" s="37"/>
      <c r="H238" s="37"/>
      <c r="I238" s="37"/>
      <c r="J238" s="37"/>
      <c r="K238" s="37"/>
      <c r="L238" s="35"/>
      <c r="M238" s="35"/>
      <c r="N238" s="37"/>
      <c r="O238" s="37"/>
      <c r="P238" s="37"/>
      <c r="Q238" s="37"/>
      <c r="R238" s="37"/>
      <c r="S238" s="37"/>
      <c r="T238" s="37"/>
      <c r="U238" s="37"/>
      <c r="V238" s="37"/>
      <c r="W238" s="37">
        <f>MAX($C$11-VLOOKUP($C238,COS!$B$8:$H$991,3,FALSE),0)</f>
        <v>1750</v>
      </c>
      <c r="X238" s="37">
        <f t="shared" si="347"/>
        <v>107.60330578512398</v>
      </c>
      <c r="Y238" s="37">
        <f>VLOOKUP($C238,COS!$B$8:$H$991,4,FALSE)</f>
        <v>0</v>
      </c>
      <c r="Z238" s="37">
        <f t="shared" si="348"/>
        <v>0</v>
      </c>
      <c r="AA238" s="37">
        <f t="shared" si="374"/>
        <v>0</v>
      </c>
      <c r="AB238" s="38">
        <f t="shared" si="345"/>
        <v>0</v>
      </c>
    </row>
    <row r="239" spans="1:28" x14ac:dyDescent="0.3">
      <c r="A239" s="27">
        <f>VLOOKUP(YEAR(C239),Flags!$A$13:$B$95,2,FALSE)</f>
        <v>4</v>
      </c>
      <c r="B239" s="28">
        <f t="shared" si="328"/>
        <v>1947</v>
      </c>
      <c r="C239" s="29">
        <v>17287</v>
      </c>
      <c r="D239" s="30">
        <f>VLOOKUP($C239,COS!$B$8:$H$991,3,FALSE)</f>
        <v>3250</v>
      </c>
      <c r="E239" s="28">
        <f>IF(D239&gt;=IF(MONTH($C239)=4,$C$3,IF(MONTH($C239)=5,$C$4,IF(MONTH($C239)=6,$C$5,IF(MONTH($C239)=7,$C$6,"ERROR")))),1,0)</f>
        <v>0</v>
      </c>
      <c r="F239" s="30">
        <f>VLOOKUP($C239,COS!$B$8:$H$991,7,FALSE)</f>
        <v>51.992382049560547</v>
      </c>
      <c r="G239" s="28">
        <f>IF(F239&lt;=IF(MONTH($C239)=4,$F$3,IF(MONTH($C239)=5,$F$4,IF(MONTH($C239)=6,$F$5,IF(MONTH($C239)=7,$F$6,"ERROR")))),1,0)</f>
        <v>1</v>
      </c>
      <c r="H239" s="30">
        <f>IF(J239=1,D239-$C$3,0)</f>
        <v>0</v>
      </c>
      <c r="I239" s="30">
        <f t="shared" si="342"/>
        <v>0</v>
      </c>
      <c r="J239" s="28">
        <f t="shared" ref="J239:J242" si="377">IF(AND(E239=1,G239=1),1,0)</f>
        <v>0</v>
      </c>
      <c r="K239" s="30">
        <f>VLOOKUP($C239,COS!$B$8:$H$991,2,FALSE)</f>
        <v>3389.9931640625</v>
      </c>
      <c r="L239" s="28">
        <f t="shared" ref="L239" si="378">IF(K239&lt;=IF(MONTH($C239)=4,$I$3,IF(MONTH($C239)=5,$I$4,IF(MONTH($C239)=6,$I$5,IF(MONTH($C239)=7,$I$6,"ERROR")))),1,0)</f>
        <v>1</v>
      </c>
      <c r="M239" s="28">
        <f t="shared" ref="M239" si="379">VLOOKUP($A239,$L$3:$M$7,2,FALSE)</f>
        <v>1</v>
      </c>
      <c r="N239" s="30">
        <f>VLOOKUP($C239,COS!$B$8:$H$991,5,FALSE)</f>
        <v>210.8018798828125</v>
      </c>
      <c r="O239" s="30">
        <f t="shared" ref="O239:O242" si="380">N239*DAY($C239)*86400/43560/1000</f>
        <v>12.543582935175619</v>
      </c>
      <c r="P239" s="30">
        <f>VLOOKUP($C239,COS!$B$8:$H$991,6,FALSE)</f>
        <v>467.46041870117188</v>
      </c>
      <c r="Q239" s="30">
        <f t="shared" ref="Q239:Q242" si="381">P239*DAY($C239)*86400/43560/1000</f>
        <v>27.815826567342459</v>
      </c>
      <c r="R239" s="30">
        <f>MIN(IF(MONTH($C239)=4,$S$3,IF(MONTH($C239)=5,$S$4,IF(MONTH($C239)=6,$S$5,IF(MONTH($C239)=7,$S$6,"ERROR")))),MAX(VLOOKUP($C239,COS!$B$8:$K$991,10,FALSE)-IF(MONTH($C239)=4,$Y$3,IF(MONTH($C239)=5,$Y$4,IF(MONTH($C239)=6,$Y$5,IF(MONTH($C239)=7,$Y$6,"ERROR")))),0),MAX(VLOOKUP($C239,COS!$B$8:$K$991,9,FALSE)-IF(MONTH($C239)=4,$V$3,IF(MONTH($C239)=5,$V$4,IF(MONTH($C239)=6,$V$5,IF(MONTH($C239)=7,$V$6,"ERROR"))))-VLOOKUP($C239,COS!$B$8:$K$991,6,FALSE)/2,0))</f>
        <v>1500</v>
      </c>
      <c r="S239" s="30">
        <f t="shared" ref="S239:S242" si="382">R239*DAY($C239)*86400/43560/1000</f>
        <v>89.256198347107429</v>
      </c>
      <c r="T239" s="30">
        <f t="shared" ref="T239:T242" si="383">(O239+Q239)/2+S239</f>
        <v>109.43590309836647</v>
      </c>
      <c r="U239" s="30" t="str">
        <f>IF(VLOOKUP($C239,COS!$B$8:$I$991,8,FALSE)=1,"UWFE","IBU")</f>
        <v>UWFE</v>
      </c>
      <c r="V239" s="30">
        <f t="shared" ref="V239" si="384">MIN(IF(IF($AA$3=2,AND(E239=1,G239=1,L239=1,L244=1,M239=1,U239="IBU"),AND(E239=1,G239=1,L239=1,L244=1,M239=1)),T239,0),I239)</f>
        <v>0</v>
      </c>
      <c r="W239" s="30"/>
      <c r="X239" s="30"/>
      <c r="Y239" s="30"/>
      <c r="Z239" s="30"/>
      <c r="AA239" s="30"/>
      <c r="AB239" s="31"/>
    </row>
    <row r="240" spans="1:28" x14ac:dyDescent="0.3">
      <c r="A240" s="32">
        <f>VLOOKUP(YEAR(C240),Flags!$A$13:$B$95,2,FALSE)</f>
        <v>4</v>
      </c>
      <c r="B240" s="24">
        <f t="shared" si="328"/>
        <v>1947</v>
      </c>
      <c r="C240" s="25">
        <v>17318</v>
      </c>
      <c r="D240" s="26">
        <f>VLOOKUP($C240,COS!$B$8:$H$991,3,FALSE)</f>
        <v>8656.3466796875</v>
      </c>
      <c r="E240" s="24">
        <f>IF(D240&gt;=IF(MONTH($C240)=4,$C$3,IF(MONTH($C240)=5,$C$4,IF(MONTH($C240)=6,$C$5,IF(MONTH($C240)=7,$C$6,"ERROR")))),1,0)</f>
        <v>1</v>
      </c>
      <c r="F240" s="26">
        <f>VLOOKUP($C240,COS!$B$8:$H$991,7,FALSE)</f>
        <v>50.687347412109375</v>
      </c>
      <c r="G240" s="24">
        <f>IF(F240&lt;=IF(MONTH($C240)=4,$F$3,IF(MONTH($C240)=5,$F$4,IF(MONTH($C240)=6,$F$5,IF(MONTH($C240)=7,$F$6,"ERROR")))),1,0)</f>
        <v>1</v>
      </c>
      <c r="H240" s="26">
        <f>IF(J240=1,D240-$C$4,0)</f>
        <v>2656.3466796875</v>
      </c>
      <c r="I240" s="26">
        <f t="shared" si="342"/>
        <v>163.33239088326445</v>
      </c>
      <c r="J240" s="24">
        <f t="shared" si="377"/>
        <v>1</v>
      </c>
      <c r="K240" s="26">
        <f>VLOOKUP($C240,COS!$B$8:$H$991,2,FALSE)</f>
        <v>3099.48974609375</v>
      </c>
      <c r="L240" s="24">
        <f t="shared" si="333"/>
        <v>1</v>
      </c>
      <c r="M240" s="24">
        <f t="shared" si="334"/>
        <v>1</v>
      </c>
      <c r="N240" s="26">
        <f>VLOOKUP($C240,COS!$B$8:$H$991,5,FALSE)</f>
        <v>304.60684204101563</v>
      </c>
      <c r="O240" s="26">
        <f t="shared" si="380"/>
        <v>18.729544667645918</v>
      </c>
      <c r="P240" s="26">
        <f>VLOOKUP($C240,COS!$B$8:$H$991,6,FALSE)</f>
        <v>2205.62353515625</v>
      </c>
      <c r="Q240" s="26">
        <f t="shared" si="381"/>
        <v>135.61850497159091</v>
      </c>
      <c r="R240" s="26">
        <f>MIN(IF(MONTH($C240)=4,$S$3,IF(MONTH($C240)=5,$S$4,IF(MONTH($C240)=6,$S$5,IF(MONTH($C240)=7,$S$6,"ERROR")))),MAX(VLOOKUP($C240,COS!$B$8:$K$991,10,FALSE)-IF(MONTH($C240)=4,$Y$3,IF(MONTH($C240)=5,$Y$4,IF(MONTH($C240)=6,$Y$5,IF(MONTH($C240)=7,$Y$6,"ERROR")))),0),MAX(VLOOKUP($C240,COS!$B$8:$K$991,9,FALSE)-IF(MONTH($C240)=4,$V$3,IF(MONTH($C240)=5,$V$4,IF(MONTH($C240)=6,$V$5,IF(MONTH($C240)=7,$V$6,"ERROR"))))-VLOOKUP($C240,COS!$B$8:$K$991,6,FALSE)/2,0))</f>
        <v>1500</v>
      </c>
      <c r="S240" s="26">
        <f t="shared" si="382"/>
        <v>92.231404958677686</v>
      </c>
      <c r="T240" s="26">
        <f t="shared" si="383"/>
        <v>169.40542977829608</v>
      </c>
      <c r="U240" s="26" t="str">
        <f>IF(VLOOKUP($C240,COS!$B$8:$I$991,8,FALSE)=1,"UWFE","IBU")</f>
        <v>IBU</v>
      </c>
      <c r="V240" s="26">
        <f t="shared" ref="V240" si="385">MIN(IF(IF($AA$3=2,AND(E240=1,G240=1,L240=1,L244=1,M240=1,U240="IBU"),AND(E240=1,G240=1,L240=1,L244=1,M240=1)),T240,0),I240)</f>
        <v>163.33239088326445</v>
      </c>
      <c r="W240" s="26"/>
      <c r="X240" s="26"/>
      <c r="Y240" s="26"/>
      <c r="Z240" s="26"/>
      <c r="AA240" s="26"/>
      <c r="AB240" s="33"/>
    </row>
    <row r="241" spans="1:28" x14ac:dyDescent="0.3">
      <c r="A241" s="32">
        <f>VLOOKUP(YEAR(C241),Flags!$A$13:$B$95,2,FALSE)</f>
        <v>4</v>
      </c>
      <c r="B241" s="24">
        <f t="shared" si="328"/>
        <v>1947</v>
      </c>
      <c r="C241" s="25">
        <v>17348</v>
      </c>
      <c r="D241" s="26">
        <f>VLOOKUP($C241,COS!$B$8:$H$991,3,FALSE)</f>
        <v>10092.3349609375</v>
      </c>
      <c r="E241" s="24">
        <f>IF(D241&gt;=IF(MONTH($C241)=4,$C$3,IF(MONTH($C241)=5,$C$4,IF(MONTH($C241)=6,$C$5,IF(MONTH($C241)=7,$C$6,"ERROR")))),1,0)</f>
        <v>1</v>
      </c>
      <c r="F241" s="26">
        <f>VLOOKUP($C241,COS!$B$8:$H$991,7,FALSE)</f>
        <v>51.895301818847656</v>
      </c>
      <c r="G241" s="24">
        <f>IF(F241&lt;=IF(MONTH($C241)=4,$F$3,IF(MONTH($C241)=5,$F$4,IF(MONTH($C241)=6,$F$5,IF(MONTH($C241)=7,$F$6,"ERROR")))),1,0)</f>
        <v>1</v>
      </c>
      <c r="H241" s="26">
        <f>IF(J241=1,D241-$C$5,0)</f>
        <v>92.3349609375</v>
      </c>
      <c r="I241" s="26">
        <f t="shared" si="342"/>
        <v>5.4943117252066109</v>
      </c>
      <c r="J241" s="24">
        <f t="shared" si="377"/>
        <v>1</v>
      </c>
      <c r="K241" s="26">
        <f>VLOOKUP($C241,COS!$B$8:$H$991,2,FALSE)</f>
        <v>2880.829833984375</v>
      </c>
      <c r="L241" s="24">
        <f t="shared" si="333"/>
        <v>1</v>
      </c>
      <c r="M241" s="24">
        <f t="shared" si="334"/>
        <v>1</v>
      </c>
      <c r="N241" s="26">
        <f>VLOOKUP($C241,COS!$B$8:$H$991,5,FALSE)</f>
        <v>355.63311767578125</v>
      </c>
      <c r="O241" s="26">
        <f t="shared" si="380"/>
        <v>21.161640060046487</v>
      </c>
      <c r="P241" s="26">
        <f>VLOOKUP($C241,COS!$B$8:$H$991,6,FALSE)</f>
        <v>2534.749267578125</v>
      </c>
      <c r="Q241" s="26">
        <f t="shared" si="381"/>
        <v>150.82805559142562</v>
      </c>
      <c r="R241" s="26">
        <f>MIN(IF(MONTH($C241)=4,$S$3,IF(MONTH($C241)=5,$S$4,IF(MONTH($C241)=6,$S$5,IF(MONTH($C241)=7,$S$6,"ERROR")))),MAX(VLOOKUP($C241,COS!$B$8:$K$991,10,FALSE)-IF(MONTH($C241)=4,$Y$3,IF(MONTH($C241)=5,$Y$4,IF(MONTH($C241)=6,$Y$5,IF(MONTH($C241)=7,$Y$6,"ERROR")))),0),MAX(VLOOKUP($C241,COS!$B$8:$K$991,9,FALSE)-IF(MONTH($C241)=4,$V$3,IF(MONTH($C241)=5,$V$4,IF(MONTH($C241)=6,$V$5,IF(MONTH($C241)=7,$V$6,"ERROR"))))-VLOOKUP($C241,COS!$B$8:$K$991,6,FALSE)/2,0))</f>
        <v>1500</v>
      </c>
      <c r="S241" s="26">
        <f t="shared" si="382"/>
        <v>89.256198347107429</v>
      </c>
      <c r="T241" s="26">
        <f t="shared" si="383"/>
        <v>175.25104617284347</v>
      </c>
      <c r="U241" s="26" t="str">
        <f>IF(VLOOKUP($C241,COS!$B$8:$I$991,8,FALSE)=1,"UWFE","IBU")</f>
        <v>IBU</v>
      </c>
      <c r="V241" s="26">
        <f t="shared" ref="V241" si="386">MIN(IF(IF($AA$3=2,AND(E241=1,G241=1,L241=1,L244=1,M241=1,U241="IBU"),AND(E241=1,G241=1,L241=1,L244=1,M241=1)),T241,0),I241)</f>
        <v>5.4943117252066109</v>
      </c>
      <c r="W241" s="26"/>
      <c r="X241" s="26"/>
      <c r="Y241" s="26"/>
      <c r="Z241" s="26"/>
      <c r="AA241" s="26"/>
      <c r="AB241" s="33"/>
    </row>
    <row r="242" spans="1:28" x14ac:dyDescent="0.3">
      <c r="A242" s="32">
        <f>VLOOKUP(YEAR(C242),Flags!$A$13:$B$95,2,FALSE)</f>
        <v>4</v>
      </c>
      <c r="B242" s="24">
        <f t="shared" si="328"/>
        <v>1947</v>
      </c>
      <c r="C242" s="25">
        <v>17379</v>
      </c>
      <c r="D242" s="26">
        <f>VLOOKUP($C242,COS!$B$8:$H$991,3,FALSE)</f>
        <v>13768.3623046875</v>
      </c>
      <c r="E242" s="24">
        <f>IF(D242&gt;=IF(MONTH($C242)=4,$C$3,IF(MONTH($C242)=5,$C$4,IF(MONTH($C242)=6,$C$5,IF(MONTH($C242)=7,$C$6,"ERROR")))),1,0)</f>
        <v>1</v>
      </c>
      <c r="F242" s="26">
        <f>VLOOKUP($C242,COS!$B$8:$H$991,7,FALSE)</f>
        <v>53.452518463134766</v>
      </c>
      <c r="G242" s="24">
        <f>IF(F242&lt;=IF(MONTH($C242)=4,$F$3,IF(MONTH($C242)=5,$F$4,IF(MONTH($C242)=6,$F$5,IF(MONTH($C242)=7,$F$6,"ERROR")))),1,0)</f>
        <v>1</v>
      </c>
      <c r="H242" s="26">
        <f>IF(J242=1,D242-$C$6,0)</f>
        <v>1768.3623046875</v>
      </c>
      <c r="I242" s="26">
        <f t="shared" si="342"/>
        <v>108.73235989152892</v>
      </c>
      <c r="J242" s="24">
        <f t="shared" si="377"/>
        <v>1</v>
      </c>
      <c r="K242" s="26">
        <f>VLOOKUP($C242,COS!$B$8:$H$991,2,FALSE)</f>
        <v>2415.119140625</v>
      </c>
      <c r="L242" s="24">
        <f t="shared" si="333"/>
        <v>1</v>
      </c>
      <c r="M242" s="24">
        <f t="shared" si="334"/>
        <v>1</v>
      </c>
      <c r="N242" s="26">
        <f>VLOOKUP($C242,COS!$B$8:$H$991,5,FALSE)</f>
        <v>438.732666015625</v>
      </c>
      <c r="O242" s="26">
        <f t="shared" si="380"/>
        <v>26.976620125258265</v>
      </c>
      <c r="P242" s="26">
        <f>VLOOKUP($C242,COS!$B$8:$H$991,6,FALSE)</f>
        <v>2538.07568359375</v>
      </c>
      <c r="Q242" s="26">
        <f t="shared" si="381"/>
        <v>156.06019079287191</v>
      </c>
      <c r="R242" s="26">
        <f>MIN(IF(MONTH($C242)=4,$S$3,IF(MONTH($C242)=5,$S$4,IF(MONTH($C242)=6,$S$5,IF(MONTH($C242)=7,$S$6,"ERROR")))),MAX(VLOOKUP($C242,COS!$B$8:$K$991,10,FALSE)-IF(MONTH($C242)=4,$Y$3,IF(MONTH($C242)=5,$Y$4,IF(MONTH($C242)=6,$Y$5,IF(MONTH($C242)=7,$Y$6,"ERROR")))),0),MAX(VLOOKUP($C242,COS!$B$8:$K$991,9,FALSE)-IF(MONTH($C242)=4,$V$3,IF(MONTH($C242)=5,$V$4,IF(MONTH($C242)=6,$V$5,IF(MONTH($C242)=7,$V$6,"ERROR"))))-VLOOKUP($C242,COS!$B$8:$K$991,6,FALSE)/2,0))</f>
        <v>1500</v>
      </c>
      <c r="S242" s="26">
        <f t="shared" si="382"/>
        <v>92.231404958677686</v>
      </c>
      <c r="T242" s="26">
        <f t="shared" si="383"/>
        <v>183.74981041774276</v>
      </c>
      <c r="U242" s="26" t="str">
        <f>IF(VLOOKUP($C242,COS!$B$8:$I$991,8,FALSE)=1,"UWFE","IBU")</f>
        <v>IBU</v>
      </c>
      <c r="V242" s="26">
        <f t="shared" ref="V242" si="387">MIN(IF(IF($AA$3=2,AND(E242=1,G242=1,L242=1,L244=1,M242=1,U242="IBU"),AND(E242=1,G242=1,L242=1,L244=1,M242=1)),T242,0),I242)</f>
        <v>108.73235989152892</v>
      </c>
      <c r="W242" s="26"/>
      <c r="X242" s="26"/>
      <c r="Y242" s="26"/>
      <c r="Z242" s="26"/>
      <c r="AA242" s="26"/>
      <c r="AB242" s="33"/>
    </row>
    <row r="243" spans="1:28" x14ac:dyDescent="0.3">
      <c r="A243" s="32">
        <f>VLOOKUP(YEAR(C243),Flags!$A$13:$B$95,2,FALSE)</f>
        <v>4</v>
      </c>
      <c r="B243" s="24">
        <f t="shared" si="328"/>
        <v>1947</v>
      </c>
      <c r="C243" s="25">
        <v>17410</v>
      </c>
      <c r="D243" s="26"/>
      <c r="E243" s="24"/>
      <c r="F243" s="26"/>
      <c r="G243" s="24"/>
      <c r="H243" s="24"/>
      <c r="I243" s="26"/>
      <c r="J243" s="24"/>
      <c r="K243" s="26"/>
      <c r="L243" s="24"/>
      <c r="M243" s="24"/>
      <c r="N243" s="26"/>
      <c r="O243" s="26"/>
      <c r="P243" s="26"/>
      <c r="Q243" s="26"/>
      <c r="R243" s="26"/>
      <c r="S243" s="26"/>
      <c r="T243" s="26"/>
      <c r="U243" s="26"/>
      <c r="V243" s="26"/>
      <c r="W243" s="26">
        <f>MAX($C$7-VLOOKUP($C243,COS!$B$8:$H$991,3,FALSE),0)</f>
        <v>2848.5517578125</v>
      </c>
      <c r="X243" s="26">
        <f t="shared" si="347"/>
        <v>175.15062048037191</v>
      </c>
      <c r="Y243" s="26">
        <f>VLOOKUP($C243,COS!$B$8:$H$991,4,FALSE)</f>
        <v>1509.713623046875</v>
      </c>
      <c r="Z243" s="26">
        <f t="shared" si="348"/>
        <v>92.828672359245871</v>
      </c>
      <c r="AA243" s="26">
        <f t="shared" ref="AA243:AA247" si="388">MIN(W243,Y243)</f>
        <v>1509.713623046875</v>
      </c>
      <c r="AB243" s="33">
        <f t="shared" ref="AB243" si="389">AA243*DAY($C243)*86400/43560/1000*IF(MONTH($C243)=8,$P$3,IF(MONTH($C243)=9,$P$4,IF(MONTH($C243)=10,$P$5,IF(MONTH($C243)=11,$P$6,IF(MONTH($C243)=12,$P$7,NA())))))</f>
        <v>92.828672359245871</v>
      </c>
    </row>
    <row r="244" spans="1:28" x14ac:dyDescent="0.3">
      <c r="A244" s="32">
        <f>VLOOKUP(YEAR(C244),Flags!$A$13:$B$95,2,FALSE)</f>
        <v>4</v>
      </c>
      <c r="B244" s="24">
        <f t="shared" si="328"/>
        <v>1947</v>
      </c>
      <c r="C244" s="25">
        <v>17440</v>
      </c>
      <c r="D244" s="26"/>
      <c r="E244" s="24"/>
      <c r="F244" s="26"/>
      <c r="G244" s="24"/>
      <c r="H244" s="24"/>
      <c r="I244" s="26"/>
      <c r="J244" s="24"/>
      <c r="K244" s="26">
        <f>VLOOKUP($C244,COS!$B$8:$H$991,2,FALSE)</f>
        <v>1968.9127197265625</v>
      </c>
      <c r="L244" s="24">
        <f t="shared" ref="L244" si="390">IF(AND(K244&gt;$I$7,K244&lt;$I$8),1,0)</f>
        <v>1</v>
      </c>
      <c r="M244" s="24"/>
      <c r="N244" s="26"/>
      <c r="O244" s="26"/>
      <c r="P244" s="26"/>
      <c r="Q244" s="26"/>
      <c r="R244" s="26"/>
      <c r="S244" s="26"/>
      <c r="T244" s="26"/>
      <c r="U244" s="26"/>
      <c r="V244" s="26"/>
      <c r="W244" s="26">
        <f>MAX($C$8-VLOOKUP($C244,COS!$B$8:$H$991,3,FALSE),0)</f>
        <v>273.12744140625</v>
      </c>
      <c r="X244" s="26">
        <f t="shared" si="347"/>
        <v>16.252211389462808</v>
      </c>
      <c r="Y244" s="26">
        <f>VLOOKUP($C244,COS!$B$8:$H$991,4,FALSE)</f>
        <v>1350.30224609375</v>
      </c>
      <c r="Z244" s="26">
        <f t="shared" si="348"/>
        <v>80.348563403925624</v>
      </c>
      <c r="AA244" s="26">
        <f t="shared" si="388"/>
        <v>273.12744140625</v>
      </c>
      <c r="AB244" s="33">
        <f t="shared" si="345"/>
        <v>16.252211389462808</v>
      </c>
    </row>
    <row r="245" spans="1:28" x14ac:dyDescent="0.3">
      <c r="A245" s="32">
        <f>VLOOKUP(YEAR(C245),Flags!$A$13:$B$95,2,FALSE)</f>
        <v>4</v>
      </c>
      <c r="B245" s="24">
        <f t="shared" si="328"/>
        <v>1947</v>
      </c>
      <c r="C245" s="25">
        <v>17471</v>
      </c>
      <c r="D245" s="26"/>
      <c r="E245" s="24"/>
      <c r="F245" s="26"/>
      <c r="G245" s="26"/>
      <c r="H245" s="26"/>
      <c r="I245" s="26"/>
      <c r="J245" s="26"/>
      <c r="K245" s="26"/>
      <c r="L245" s="24"/>
      <c r="M245" s="24"/>
      <c r="N245" s="26"/>
      <c r="O245" s="26"/>
      <c r="P245" s="26"/>
      <c r="Q245" s="26"/>
      <c r="R245" s="26"/>
      <c r="S245" s="26"/>
      <c r="T245" s="26"/>
      <c r="U245" s="26"/>
      <c r="V245" s="26"/>
      <c r="W245" s="26">
        <f>MAX($C$9-VLOOKUP($C245,COS!$B$8:$H$991,3,FALSE),0)</f>
        <v>1633.93359375</v>
      </c>
      <c r="X245" s="26">
        <f t="shared" si="347"/>
        <v>100.46666064049587</v>
      </c>
      <c r="Y245" s="26">
        <f>VLOOKUP($C245,COS!$B$8:$H$991,4,FALSE)</f>
        <v>1046.6112060546875</v>
      </c>
      <c r="Z245" s="26">
        <f t="shared" si="348"/>
        <v>64.353614653279962</v>
      </c>
      <c r="AA245" s="26">
        <f t="shared" si="388"/>
        <v>1046.6112060546875</v>
      </c>
      <c r="AB245" s="33">
        <f t="shared" si="345"/>
        <v>64.353614653279962</v>
      </c>
    </row>
    <row r="246" spans="1:28" x14ac:dyDescent="0.3">
      <c r="A246" s="32">
        <f>VLOOKUP(YEAR(C246),Flags!$A$13:$B$95,2,FALSE)</f>
        <v>4</v>
      </c>
      <c r="B246" s="24">
        <f t="shared" si="328"/>
        <v>1947</v>
      </c>
      <c r="C246" s="25">
        <v>17501</v>
      </c>
      <c r="D246" s="26"/>
      <c r="E246" s="24"/>
      <c r="F246" s="26"/>
      <c r="G246" s="26"/>
      <c r="H246" s="26"/>
      <c r="I246" s="26"/>
      <c r="J246" s="26"/>
      <c r="K246" s="26"/>
      <c r="L246" s="24"/>
      <c r="M246" s="24"/>
      <c r="N246" s="26"/>
      <c r="O246" s="26"/>
      <c r="P246" s="26"/>
      <c r="Q246" s="26"/>
      <c r="R246" s="26"/>
      <c r="S246" s="26"/>
      <c r="T246" s="26"/>
      <c r="U246" s="26"/>
      <c r="V246" s="26"/>
      <c r="W246" s="26">
        <f>MAX($C$10-VLOOKUP($C246,COS!$B$8:$H$991,3,FALSE),0)</f>
        <v>1750</v>
      </c>
      <c r="X246" s="26">
        <f t="shared" si="347"/>
        <v>104.13223140495867</v>
      </c>
      <c r="Y246" s="26">
        <f>VLOOKUP($C246,COS!$B$8:$H$991,4,FALSE)</f>
        <v>1013.9700927734375</v>
      </c>
      <c r="Z246" s="26">
        <f t="shared" si="348"/>
        <v>60.335410479080579</v>
      </c>
      <c r="AA246" s="26">
        <f t="shared" si="388"/>
        <v>1013.9700927734375</v>
      </c>
      <c r="AB246" s="33">
        <f t="shared" si="345"/>
        <v>60.335410479080579</v>
      </c>
    </row>
    <row r="247" spans="1:28" x14ac:dyDescent="0.3">
      <c r="A247" s="34">
        <f>VLOOKUP(YEAR(C247),Flags!$A$13:$B$95,2,FALSE)</f>
        <v>4</v>
      </c>
      <c r="B247" s="35">
        <f t="shared" si="328"/>
        <v>1947</v>
      </c>
      <c r="C247" s="36">
        <v>17532</v>
      </c>
      <c r="D247" s="37"/>
      <c r="E247" s="35"/>
      <c r="F247" s="37"/>
      <c r="G247" s="37"/>
      <c r="H247" s="37"/>
      <c r="I247" s="37"/>
      <c r="J247" s="37"/>
      <c r="K247" s="37"/>
      <c r="L247" s="35"/>
      <c r="M247" s="35"/>
      <c r="N247" s="37"/>
      <c r="O247" s="37"/>
      <c r="P247" s="37"/>
      <c r="Q247" s="37"/>
      <c r="R247" s="37"/>
      <c r="S247" s="37"/>
      <c r="T247" s="37"/>
      <c r="U247" s="37"/>
      <c r="V247" s="37"/>
      <c r="W247" s="37">
        <f>MAX($C$11-VLOOKUP($C247,COS!$B$8:$H$991,3,FALSE),0)</f>
        <v>1750</v>
      </c>
      <c r="X247" s="37">
        <f t="shared" si="347"/>
        <v>107.60330578512398</v>
      </c>
      <c r="Y247" s="37">
        <f>VLOOKUP($C247,COS!$B$8:$H$991,4,FALSE)</f>
        <v>1615.037353515625</v>
      </c>
      <c r="Z247" s="37">
        <f t="shared" si="348"/>
        <v>99.304776116993807</v>
      </c>
      <c r="AA247" s="37">
        <f t="shared" si="388"/>
        <v>1615.037353515625</v>
      </c>
      <c r="AB247" s="38">
        <f t="shared" si="345"/>
        <v>99.304776116993807</v>
      </c>
    </row>
    <row r="248" spans="1:28" x14ac:dyDescent="0.3">
      <c r="A248" s="27">
        <f>VLOOKUP(YEAR(C248),Flags!$A$13:$B$95,2,FALSE)</f>
        <v>3</v>
      </c>
      <c r="B248" s="28">
        <f t="shared" si="328"/>
        <v>1948</v>
      </c>
      <c r="C248" s="29">
        <v>17653</v>
      </c>
      <c r="D248" s="30">
        <f>VLOOKUP($C248,COS!$B$8:$H$991,3,FALSE)</f>
        <v>3250</v>
      </c>
      <c r="E248" s="28">
        <f>IF(D248&gt;=IF(MONTH($C248)=4,$C$3,IF(MONTH($C248)=5,$C$4,IF(MONTH($C248)=6,$C$5,IF(MONTH($C248)=7,$C$6,"ERROR")))),1,0)</f>
        <v>0</v>
      </c>
      <c r="F248" s="30">
        <f>VLOOKUP($C248,COS!$B$8:$H$991,7,FALSE)</f>
        <v>49.87957763671875</v>
      </c>
      <c r="G248" s="28">
        <f>IF(F248&lt;=IF(MONTH($C248)=4,$F$3,IF(MONTH($C248)=5,$F$4,IF(MONTH($C248)=6,$F$5,IF(MONTH($C248)=7,$F$6,"ERROR")))),1,0)</f>
        <v>1</v>
      </c>
      <c r="H248" s="30">
        <f>IF(J248=1,D248-$C$3,0)</f>
        <v>0</v>
      </c>
      <c r="I248" s="30">
        <f t="shared" si="342"/>
        <v>0</v>
      </c>
      <c r="J248" s="28">
        <f t="shared" ref="J248:J251" si="391">IF(AND(E248=1,G248=1),1,0)</f>
        <v>0</v>
      </c>
      <c r="K248" s="30">
        <f>VLOOKUP($C248,COS!$B$8:$H$991,2,FALSE)</f>
        <v>4304.84423828125</v>
      </c>
      <c r="L248" s="28">
        <f t="shared" ref="L248" si="392">IF(K248&lt;=IF(MONTH($C248)=4,$I$3,IF(MONTH($C248)=5,$I$4,IF(MONTH($C248)=6,$I$5,IF(MONTH($C248)=7,$I$6,"ERROR")))),1,0)</f>
        <v>1</v>
      </c>
      <c r="M248" s="28">
        <f t="shared" ref="M248" si="393">VLOOKUP($A248,$L$3:$M$7,2,FALSE)</f>
        <v>0</v>
      </c>
      <c r="N248" s="30">
        <f>VLOOKUP($C248,COS!$B$8:$H$991,5,FALSE)</f>
        <v>46.918926239013672</v>
      </c>
      <c r="O248" s="30">
        <f t="shared" ref="O248:O251" si="394">N248*DAY($C248)*86400/43560/1000</f>
        <v>2.7918699910818052</v>
      </c>
      <c r="P248" s="30">
        <f>VLOOKUP($C248,COS!$B$8:$H$991,6,FALSE)</f>
        <v>211.80764770507813</v>
      </c>
      <c r="Q248" s="30">
        <f t="shared" ref="Q248:Q251" si="395">P248*DAY($C248)*86400/43560/1000</f>
        <v>12.603430276665806</v>
      </c>
      <c r="R248" s="30">
        <f>MIN(IF(MONTH($C248)=4,$S$3,IF(MONTH($C248)=5,$S$4,IF(MONTH($C248)=6,$S$5,IF(MONTH($C248)=7,$S$6,"ERROR")))),MAX(VLOOKUP($C248,COS!$B$8:$K$991,10,FALSE)-IF(MONTH($C248)=4,$Y$3,IF(MONTH($C248)=5,$Y$4,IF(MONTH($C248)=6,$Y$5,IF(MONTH($C248)=7,$Y$6,"ERROR")))),0),MAX(VLOOKUP($C248,COS!$B$8:$K$991,9,FALSE)-IF(MONTH($C248)=4,$V$3,IF(MONTH($C248)=5,$V$4,IF(MONTH($C248)=6,$V$5,IF(MONTH($C248)=7,$V$6,"ERROR"))))-VLOOKUP($C248,COS!$B$8:$K$991,6,FALSE)/2,0))</f>
        <v>1500</v>
      </c>
      <c r="S248" s="30">
        <f t="shared" ref="S248:S251" si="396">R248*DAY($C248)*86400/43560/1000</f>
        <v>89.256198347107429</v>
      </c>
      <c r="T248" s="30">
        <f t="shared" ref="T248:T251" si="397">(O248+Q248)/2+S248</f>
        <v>96.953848480981236</v>
      </c>
      <c r="U248" s="30" t="str">
        <f>IF(VLOOKUP($C248,COS!$B$8:$I$991,8,FALSE)=1,"UWFE","IBU")</f>
        <v>UWFE</v>
      </c>
      <c r="V248" s="30">
        <f t="shared" ref="V248" si="398">MIN(IF(IF($AA$3=2,AND(E248=1,G248=1,L248=1,L253=1,M248=1,U248="IBU"),AND(E248=1,G248=1,L248=1,L253=1,M248=1)),T248,0),I248)</f>
        <v>0</v>
      </c>
      <c r="W248" s="30"/>
      <c r="X248" s="30"/>
      <c r="Y248" s="30"/>
      <c r="Z248" s="30"/>
      <c r="AA248" s="30"/>
      <c r="AB248" s="31"/>
    </row>
    <row r="249" spans="1:28" x14ac:dyDescent="0.3">
      <c r="A249" s="32">
        <f>VLOOKUP(YEAR(C249),Flags!$A$13:$B$95,2,FALSE)</f>
        <v>3</v>
      </c>
      <c r="B249" s="24">
        <f t="shared" si="328"/>
        <v>1948</v>
      </c>
      <c r="C249" s="25">
        <v>17684</v>
      </c>
      <c r="D249" s="26">
        <f>VLOOKUP($C249,COS!$B$8:$H$991,3,FALSE)</f>
        <v>9188.48046875</v>
      </c>
      <c r="E249" s="24">
        <f>IF(D249&gt;=IF(MONTH($C249)=4,$C$3,IF(MONTH($C249)=5,$C$4,IF(MONTH($C249)=6,$C$5,IF(MONTH($C249)=7,$C$6,"ERROR")))),1,0)</f>
        <v>1</v>
      </c>
      <c r="F249" s="26">
        <f>VLOOKUP($C249,COS!$B$8:$H$991,7,FALSE)</f>
        <v>49.27020263671875</v>
      </c>
      <c r="G249" s="24">
        <f>IF(F249&lt;=IF(MONTH($C249)=4,$F$3,IF(MONTH($C249)=5,$F$4,IF(MONTH($C249)=6,$F$5,IF(MONTH($C249)=7,$F$6,"ERROR")))),1,0)</f>
        <v>1</v>
      </c>
      <c r="H249" s="26">
        <f>IF(J249=1,D249-$C$4,0)</f>
        <v>3188.48046875</v>
      </c>
      <c r="I249" s="26">
        <f t="shared" si="342"/>
        <v>196.05202221074381</v>
      </c>
      <c r="J249" s="24">
        <f t="shared" si="391"/>
        <v>1</v>
      </c>
      <c r="K249" s="26">
        <f>VLOOKUP($C249,COS!$B$8:$H$991,2,FALSE)</f>
        <v>4552</v>
      </c>
      <c r="L249" s="24">
        <f t="shared" si="333"/>
        <v>1</v>
      </c>
      <c r="M249" s="24">
        <f t="shared" si="334"/>
        <v>0</v>
      </c>
      <c r="N249" s="26">
        <f>VLOOKUP($C249,COS!$B$8:$H$991,5,FALSE)</f>
        <v>414.791748046875</v>
      </c>
      <c r="O249" s="26">
        <f t="shared" si="394"/>
        <v>25.50455045841942</v>
      </c>
      <c r="P249" s="26">
        <f>VLOOKUP($C249,COS!$B$8:$H$991,6,FALSE)</f>
        <v>1547.1707763671875</v>
      </c>
      <c r="Q249" s="26">
        <f t="shared" si="395"/>
        <v>95.131822943569219</v>
      </c>
      <c r="R249" s="26">
        <f>MIN(IF(MONTH($C249)=4,$S$3,IF(MONTH($C249)=5,$S$4,IF(MONTH($C249)=6,$S$5,IF(MONTH($C249)=7,$S$6,"ERROR")))),MAX(VLOOKUP($C249,COS!$B$8:$K$991,10,FALSE)-IF(MONTH($C249)=4,$Y$3,IF(MONTH($C249)=5,$Y$4,IF(MONTH($C249)=6,$Y$5,IF(MONTH($C249)=7,$Y$6,"ERROR")))),0),MAX(VLOOKUP($C249,COS!$B$8:$K$991,9,FALSE)-IF(MONTH($C249)=4,$V$3,IF(MONTH($C249)=5,$V$4,IF(MONTH($C249)=6,$V$5,IF(MONTH($C249)=7,$V$6,"ERROR"))))-VLOOKUP($C249,COS!$B$8:$K$991,6,FALSE)/2,0))</f>
        <v>1500</v>
      </c>
      <c r="S249" s="26">
        <f t="shared" si="396"/>
        <v>92.231404958677686</v>
      </c>
      <c r="T249" s="26">
        <f t="shared" si="397"/>
        <v>152.54959165967199</v>
      </c>
      <c r="U249" s="26" t="str">
        <f>IF(VLOOKUP($C249,COS!$B$8:$I$991,8,FALSE)=1,"UWFE","IBU")</f>
        <v>UWFE</v>
      </c>
      <c r="V249" s="26">
        <f t="shared" ref="V249" si="399">MIN(IF(IF($AA$3=2,AND(E249=1,G249=1,L249=1,L253=1,M249=1,U249="IBU"),AND(E249=1,G249=1,L249=1,L253=1,M249=1)),T249,0),I249)</f>
        <v>0</v>
      </c>
      <c r="W249" s="26"/>
      <c r="X249" s="26"/>
      <c r="Y249" s="26"/>
      <c r="Z249" s="26"/>
      <c r="AA249" s="26"/>
      <c r="AB249" s="33"/>
    </row>
    <row r="250" spans="1:28" x14ac:dyDescent="0.3">
      <c r="A250" s="32">
        <f>VLOOKUP(YEAR(C250),Flags!$A$13:$B$95,2,FALSE)</f>
        <v>3</v>
      </c>
      <c r="B250" s="24">
        <f t="shared" si="328"/>
        <v>1948</v>
      </c>
      <c r="C250" s="25">
        <v>17714</v>
      </c>
      <c r="D250" s="26">
        <f>VLOOKUP($C250,COS!$B$8:$H$991,3,FALSE)</f>
        <v>8322.865234375</v>
      </c>
      <c r="E250" s="24">
        <f>IF(D250&gt;=IF(MONTH($C250)=4,$C$3,IF(MONTH($C250)=5,$C$4,IF(MONTH($C250)=6,$C$5,IF(MONTH($C250)=7,$C$6,"ERROR")))),1,0)</f>
        <v>0</v>
      </c>
      <c r="F250" s="26">
        <f>VLOOKUP($C250,COS!$B$8:$H$991,7,FALSE)</f>
        <v>51.372959136962891</v>
      </c>
      <c r="G250" s="24">
        <f>IF(F250&lt;=IF(MONTH($C250)=4,$F$3,IF(MONTH($C250)=5,$F$4,IF(MONTH($C250)=6,$F$5,IF(MONTH($C250)=7,$F$6,"ERROR")))),1,0)</f>
        <v>1</v>
      </c>
      <c r="H250" s="26">
        <f>IF(J250=1,D250-$C$5,0)</f>
        <v>0</v>
      </c>
      <c r="I250" s="26">
        <f t="shared" si="342"/>
        <v>0</v>
      </c>
      <c r="J250" s="24">
        <f t="shared" si="391"/>
        <v>0</v>
      </c>
      <c r="K250" s="26">
        <f>VLOOKUP($C250,COS!$B$8:$H$991,2,FALSE)</f>
        <v>4500</v>
      </c>
      <c r="L250" s="24">
        <f t="shared" si="333"/>
        <v>1</v>
      </c>
      <c r="M250" s="24">
        <f t="shared" si="334"/>
        <v>0</v>
      </c>
      <c r="N250" s="26">
        <f>VLOOKUP($C250,COS!$B$8:$H$991,5,FALSE)</f>
        <v>739.47967529296875</v>
      </c>
      <c r="O250" s="26">
        <f t="shared" si="394"/>
        <v>44.002096381069215</v>
      </c>
      <c r="P250" s="26">
        <f>VLOOKUP($C250,COS!$B$8:$H$991,6,FALSE)</f>
        <v>2358.41552734375</v>
      </c>
      <c r="Q250" s="26">
        <f t="shared" si="395"/>
        <v>140.33546939566114</v>
      </c>
      <c r="R250" s="26">
        <f>MIN(IF(MONTH($C250)=4,$S$3,IF(MONTH($C250)=5,$S$4,IF(MONTH($C250)=6,$S$5,IF(MONTH($C250)=7,$S$6,"ERROR")))),MAX(VLOOKUP($C250,COS!$B$8:$K$991,10,FALSE)-IF(MONTH($C250)=4,$Y$3,IF(MONTH($C250)=5,$Y$4,IF(MONTH($C250)=6,$Y$5,IF(MONTH($C250)=7,$Y$6,"ERROR")))),0),MAX(VLOOKUP($C250,COS!$B$8:$K$991,9,FALSE)-IF(MONTH($C250)=4,$V$3,IF(MONTH($C250)=5,$V$4,IF(MONTH($C250)=6,$V$5,IF(MONTH($C250)=7,$V$6,"ERROR"))))-VLOOKUP($C250,COS!$B$8:$K$991,6,FALSE)/2,0))</f>
        <v>1500</v>
      </c>
      <c r="S250" s="26">
        <f t="shared" si="396"/>
        <v>89.256198347107429</v>
      </c>
      <c r="T250" s="26">
        <f t="shared" si="397"/>
        <v>181.42498123547261</v>
      </c>
      <c r="U250" s="26" t="str">
        <f>IF(VLOOKUP($C250,COS!$B$8:$I$991,8,FALSE)=1,"UWFE","IBU")</f>
        <v>UWFE</v>
      </c>
      <c r="V250" s="26">
        <f t="shared" ref="V250" si="400">MIN(IF(IF($AA$3=2,AND(E250=1,G250=1,L250=1,L253=1,M250=1,U250="IBU"),AND(E250=1,G250=1,L250=1,L253=1,M250=1)),T250,0),I250)</f>
        <v>0</v>
      </c>
      <c r="W250" s="26"/>
      <c r="X250" s="26"/>
      <c r="Y250" s="26"/>
      <c r="Z250" s="26"/>
      <c r="AA250" s="26"/>
      <c r="AB250" s="33"/>
    </row>
    <row r="251" spans="1:28" x14ac:dyDescent="0.3">
      <c r="A251" s="32">
        <f>VLOOKUP(YEAR(C251),Flags!$A$13:$B$95,2,FALSE)</f>
        <v>3</v>
      </c>
      <c r="B251" s="24">
        <f t="shared" si="328"/>
        <v>1948</v>
      </c>
      <c r="C251" s="25">
        <v>17745</v>
      </c>
      <c r="D251" s="26">
        <f>VLOOKUP($C251,COS!$B$8:$H$991,3,FALSE)</f>
        <v>12203.6953125</v>
      </c>
      <c r="E251" s="24">
        <f>IF(D251&gt;=IF(MONTH($C251)=4,$C$3,IF(MONTH($C251)=5,$C$4,IF(MONTH($C251)=6,$C$5,IF(MONTH($C251)=7,$C$6,"ERROR")))),1,0)</f>
        <v>1</v>
      </c>
      <c r="F251" s="26">
        <f>VLOOKUP($C251,COS!$B$8:$H$991,7,FALSE)</f>
        <v>51.679328918457031</v>
      </c>
      <c r="G251" s="24">
        <f>IF(F251&lt;=IF(MONTH($C251)=4,$F$3,IF(MONTH($C251)=5,$F$4,IF(MONTH($C251)=6,$F$5,IF(MONTH($C251)=7,$F$6,"ERROR")))),1,0)</f>
        <v>1</v>
      </c>
      <c r="H251" s="26">
        <f>IF(J251=1,D251-$C$6,0)</f>
        <v>203.6953125</v>
      </c>
      <c r="I251" s="26">
        <f t="shared" si="342"/>
        <v>12.524736570247935</v>
      </c>
      <c r="J251" s="24">
        <f t="shared" si="391"/>
        <v>1</v>
      </c>
      <c r="K251" s="26">
        <f>VLOOKUP($C251,COS!$B$8:$H$991,2,FALSE)</f>
        <v>3932.43017578125</v>
      </c>
      <c r="L251" s="24">
        <f t="shared" si="333"/>
        <v>1</v>
      </c>
      <c r="M251" s="24">
        <f t="shared" si="334"/>
        <v>0</v>
      </c>
      <c r="N251" s="26">
        <f>VLOOKUP($C251,COS!$B$8:$H$991,5,FALSE)</f>
        <v>1057.1549072265625</v>
      </c>
      <c r="O251" s="26">
        <f t="shared" si="394"/>
        <v>65.001921568310948</v>
      </c>
      <c r="P251" s="26">
        <f>VLOOKUP($C251,COS!$B$8:$H$991,6,FALSE)</f>
        <v>2632.5888671875</v>
      </c>
      <c r="Q251" s="26">
        <f t="shared" si="395"/>
        <v>161.87157993285126</v>
      </c>
      <c r="R251" s="26">
        <f>MIN(IF(MONTH($C251)=4,$S$3,IF(MONTH($C251)=5,$S$4,IF(MONTH($C251)=6,$S$5,IF(MONTH($C251)=7,$S$6,"ERROR")))),MAX(VLOOKUP($C251,COS!$B$8:$K$991,10,FALSE)-IF(MONTH($C251)=4,$Y$3,IF(MONTH($C251)=5,$Y$4,IF(MONTH($C251)=6,$Y$5,IF(MONTH($C251)=7,$Y$6,"ERROR")))),0),MAX(VLOOKUP($C251,COS!$B$8:$K$991,9,FALSE)-IF(MONTH($C251)=4,$V$3,IF(MONTH($C251)=5,$V$4,IF(MONTH($C251)=6,$V$5,IF(MONTH($C251)=7,$V$6,"ERROR"))))-VLOOKUP($C251,COS!$B$8:$K$991,6,FALSE)/2,0))</f>
        <v>1500</v>
      </c>
      <c r="S251" s="26">
        <f t="shared" si="396"/>
        <v>92.231404958677686</v>
      </c>
      <c r="T251" s="26">
        <f t="shared" si="397"/>
        <v>205.66815570925877</v>
      </c>
      <c r="U251" s="26" t="str">
        <f>IF(VLOOKUP($C251,COS!$B$8:$I$991,8,FALSE)=1,"UWFE","IBU")</f>
        <v>IBU</v>
      </c>
      <c r="V251" s="26">
        <f t="shared" ref="V251" si="401">MIN(IF(IF($AA$3=2,AND(E251=1,G251=1,L251=1,L253=1,M251=1,U251="IBU"),AND(E251=1,G251=1,L251=1,L253=1,M251=1)),T251,0),I251)</f>
        <v>0</v>
      </c>
      <c r="W251" s="26"/>
      <c r="X251" s="26"/>
      <c r="Y251" s="26"/>
      <c r="Z251" s="26"/>
      <c r="AA251" s="26"/>
      <c r="AB251" s="33"/>
    </row>
    <row r="252" spans="1:28" x14ac:dyDescent="0.3">
      <c r="A252" s="32">
        <f>VLOOKUP(YEAR(C252),Flags!$A$13:$B$95,2,FALSE)</f>
        <v>3</v>
      </c>
      <c r="B252" s="24">
        <f t="shared" si="328"/>
        <v>1948</v>
      </c>
      <c r="C252" s="25">
        <v>17776</v>
      </c>
      <c r="D252" s="26"/>
      <c r="E252" s="24"/>
      <c r="F252" s="26"/>
      <c r="G252" s="24"/>
      <c r="H252" s="24"/>
      <c r="I252" s="26"/>
      <c r="J252" s="24"/>
      <c r="K252" s="26"/>
      <c r="L252" s="24"/>
      <c r="M252" s="24"/>
      <c r="N252" s="26"/>
      <c r="O252" s="26"/>
      <c r="P252" s="26"/>
      <c r="Q252" s="26"/>
      <c r="R252" s="26"/>
      <c r="S252" s="26"/>
      <c r="T252" s="26"/>
      <c r="U252" s="26"/>
      <c r="V252" s="26"/>
      <c r="W252" s="26">
        <f>MAX($C$7-VLOOKUP($C252,COS!$B$8:$H$991,3,FALSE),0)</f>
        <v>2275.7529296875</v>
      </c>
      <c r="X252" s="26">
        <f t="shared" si="347"/>
        <v>139.9305933626033</v>
      </c>
      <c r="Y252" s="26">
        <f>VLOOKUP($C252,COS!$B$8:$H$991,4,FALSE)</f>
        <v>181.02853393554688</v>
      </c>
      <c r="Z252" s="26">
        <f t="shared" si="348"/>
        <v>11.131010681656766</v>
      </c>
      <c r="AA252" s="26">
        <f t="shared" ref="AA252:AA256" si="402">MIN(W252,Y252)</f>
        <v>181.02853393554688</v>
      </c>
      <c r="AB252" s="33">
        <f t="shared" ref="AB252" si="403">AA252*DAY($C252)*86400/43560/1000*IF(MONTH($C252)=8,$P$3,IF(MONTH($C252)=9,$P$4,IF(MONTH($C252)=10,$P$5,IF(MONTH($C252)=11,$P$6,IF(MONTH($C252)=12,$P$7,NA())))))</f>
        <v>11.131010681656766</v>
      </c>
    </row>
    <row r="253" spans="1:28" x14ac:dyDescent="0.3">
      <c r="A253" s="32">
        <f>VLOOKUP(YEAR(C253),Flags!$A$13:$B$95,2,FALSE)</f>
        <v>3</v>
      </c>
      <c r="B253" s="24">
        <f t="shared" si="328"/>
        <v>1948</v>
      </c>
      <c r="C253" s="25">
        <v>17806</v>
      </c>
      <c r="D253" s="26"/>
      <c r="E253" s="24"/>
      <c r="F253" s="26"/>
      <c r="G253" s="24"/>
      <c r="H253" s="24"/>
      <c r="I253" s="26"/>
      <c r="J253" s="24"/>
      <c r="K253" s="26">
        <f>VLOOKUP($C253,COS!$B$8:$H$991,2,FALSE)</f>
        <v>3400</v>
      </c>
      <c r="L253" s="24">
        <f t="shared" ref="L253" si="404">IF(AND(K253&gt;$I$7,K253&lt;$I$8),1,0)</f>
        <v>1</v>
      </c>
      <c r="M253" s="24"/>
      <c r="N253" s="26"/>
      <c r="O253" s="26"/>
      <c r="P253" s="26"/>
      <c r="Q253" s="26"/>
      <c r="R253" s="26"/>
      <c r="S253" s="26"/>
      <c r="T253" s="26"/>
      <c r="U253" s="26"/>
      <c r="V253" s="26"/>
      <c r="W253" s="26">
        <f>MAX($C$8-VLOOKUP($C253,COS!$B$8:$H$991,3,FALSE),0)</f>
        <v>376.82568359375</v>
      </c>
      <c r="X253" s="26">
        <f t="shared" si="347"/>
        <v>22.422685304752068</v>
      </c>
      <c r="Y253" s="26">
        <f>VLOOKUP($C253,COS!$B$8:$H$991,4,FALSE)</f>
        <v>0</v>
      </c>
      <c r="Z253" s="26">
        <f t="shared" si="348"/>
        <v>0</v>
      </c>
      <c r="AA253" s="26">
        <f t="shared" si="402"/>
        <v>0</v>
      </c>
      <c r="AB253" s="33">
        <f t="shared" si="345"/>
        <v>0</v>
      </c>
    </row>
    <row r="254" spans="1:28" x14ac:dyDescent="0.3">
      <c r="A254" s="32">
        <f>VLOOKUP(YEAR(C254),Flags!$A$13:$B$95,2,FALSE)</f>
        <v>3</v>
      </c>
      <c r="B254" s="24">
        <f t="shared" si="328"/>
        <v>1948</v>
      </c>
      <c r="C254" s="25">
        <v>17837</v>
      </c>
      <c r="D254" s="26"/>
      <c r="E254" s="24"/>
      <c r="F254" s="26"/>
      <c r="G254" s="26"/>
      <c r="H254" s="26"/>
      <c r="I254" s="26"/>
      <c r="J254" s="26"/>
      <c r="K254" s="26"/>
      <c r="L254" s="24"/>
      <c r="M254" s="24"/>
      <c r="N254" s="26"/>
      <c r="O254" s="26"/>
      <c r="P254" s="26"/>
      <c r="Q254" s="26"/>
      <c r="R254" s="26"/>
      <c r="S254" s="26"/>
      <c r="T254" s="26"/>
      <c r="U254" s="26"/>
      <c r="V254" s="26"/>
      <c r="W254" s="26">
        <f>MAX($C$9-VLOOKUP($C254,COS!$B$8:$H$991,3,FALSE),0)</f>
        <v>0</v>
      </c>
      <c r="X254" s="26">
        <f t="shared" si="347"/>
        <v>0</v>
      </c>
      <c r="Y254" s="26">
        <f>VLOOKUP($C254,COS!$B$8:$H$991,4,FALSE)</f>
        <v>756.62615966796875</v>
      </c>
      <c r="Z254" s="26">
        <f t="shared" si="348"/>
        <v>46.523129156443694</v>
      </c>
      <c r="AA254" s="26">
        <f t="shared" si="402"/>
        <v>0</v>
      </c>
      <c r="AB254" s="33">
        <f t="shared" si="345"/>
        <v>0</v>
      </c>
    </row>
    <row r="255" spans="1:28" x14ac:dyDescent="0.3">
      <c r="A255" s="32">
        <f>VLOOKUP(YEAR(C255),Flags!$A$13:$B$95,2,FALSE)</f>
        <v>3</v>
      </c>
      <c r="B255" s="24">
        <f t="shared" si="328"/>
        <v>1948</v>
      </c>
      <c r="C255" s="25">
        <v>17867</v>
      </c>
      <c r="D255" s="26"/>
      <c r="E255" s="24"/>
      <c r="F255" s="26"/>
      <c r="G255" s="26"/>
      <c r="H255" s="26"/>
      <c r="I255" s="26"/>
      <c r="J255" s="26"/>
      <c r="K255" s="26"/>
      <c r="L255" s="24"/>
      <c r="M255" s="24"/>
      <c r="N255" s="26"/>
      <c r="O255" s="26"/>
      <c r="P255" s="26"/>
      <c r="Q255" s="26"/>
      <c r="R255" s="26"/>
      <c r="S255" s="26"/>
      <c r="T255" s="26"/>
      <c r="U255" s="26"/>
      <c r="V255" s="26"/>
      <c r="W255" s="26">
        <f>MAX($C$10-VLOOKUP($C255,COS!$B$8:$H$991,3,FALSE),0)</f>
        <v>684.03125</v>
      </c>
      <c r="X255" s="26">
        <f t="shared" si="347"/>
        <v>40.702685950413226</v>
      </c>
      <c r="Y255" s="26">
        <f>VLOOKUP($C255,COS!$B$8:$H$991,4,FALSE)</f>
        <v>1042.5562744140625</v>
      </c>
      <c r="Z255" s="26">
        <f t="shared" si="348"/>
        <v>62.036406411415285</v>
      </c>
      <c r="AA255" s="26">
        <f t="shared" si="402"/>
        <v>684.03125</v>
      </c>
      <c r="AB255" s="33">
        <f t="shared" si="345"/>
        <v>40.702685950413226</v>
      </c>
    </row>
    <row r="256" spans="1:28" x14ac:dyDescent="0.3">
      <c r="A256" s="34">
        <f>VLOOKUP(YEAR(C256),Flags!$A$13:$B$95,2,FALSE)</f>
        <v>3</v>
      </c>
      <c r="B256" s="35">
        <f t="shared" si="328"/>
        <v>1948</v>
      </c>
      <c r="C256" s="36">
        <v>17898</v>
      </c>
      <c r="D256" s="37"/>
      <c r="E256" s="35"/>
      <c r="F256" s="37"/>
      <c r="G256" s="37"/>
      <c r="H256" s="37"/>
      <c r="I256" s="37"/>
      <c r="J256" s="37"/>
      <c r="K256" s="37"/>
      <c r="L256" s="35"/>
      <c r="M256" s="35"/>
      <c r="N256" s="37"/>
      <c r="O256" s="37"/>
      <c r="P256" s="37"/>
      <c r="Q256" s="37"/>
      <c r="R256" s="37"/>
      <c r="S256" s="37"/>
      <c r="T256" s="37"/>
      <c r="U256" s="37"/>
      <c r="V256" s="37"/>
      <c r="W256" s="37">
        <f>MAX($C$11-VLOOKUP($C256,COS!$B$8:$H$991,3,FALSE),0)</f>
        <v>1750</v>
      </c>
      <c r="X256" s="37">
        <f t="shared" si="347"/>
        <v>107.60330578512398</v>
      </c>
      <c r="Y256" s="37">
        <f>VLOOKUP($C256,COS!$B$8:$H$991,4,FALSE)</f>
        <v>1411.7911376953125</v>
      </c>
      <c r="Z256" s="37">
        <f t="shared" si="348"/>
        <v>86.807653425232431</v>
      </c>
      <c r="AA256" s="37">
        <f t="shared" si="402"/>
        <v>1411.7911376953125</v>
      </c>
      <c r="AB256" s="38">
        <f t="shared" si="345"/>
        <v>86.807653425232431</v>
      </c>
    </row>
    <row r="257" spans="1:28" x14ac:dyDescent="0.3">
      <c r="A257" s="27">
        <f>VLOOKUP(YEAR(C257),Flags!$A$13:$B$95,2,FALSE)</f>
        <v>4</v>
      </c>
      <c r="B257" s="28">
        <f t="shared" si="328"/>
        <v>1949</v>
      </c>
      <c r="C257" s="29">
        <v>18018</v>
      </c>
      <c r="D257" s="30">
        <f>VLOOKUP($C257,COS!$B$8:$H$991,3,FALSE)</f>
        <v>3250</v>
      </c>
      <c r="E257" s="28">
        <f>IF(D257&gt;=IF(MONTH($C257)=4,$C$3,IF(MONTH($C257)=5,$C$4,IF(MONTH($C257)=6,$C$5,IF(MONTH($C257)=7,$C$6,"ERROR")))),1,0)</f>
        <v>0</v>
      </c>
      <c r="F257" s="30">
        <f>VLOOKUP($C257,COS!$B$8:$H$991,7,FALSE)</f>
        <v>51.698932647705078</v>
      </c>
      <c r="G257" s="28">
        <f>IF(F257&lt;=IF(MONTH($C257)=4,$F$3,IF(MONTH($C257)=5,$F$4,IF(MONTH($C257)=6,$F$5,IF(MONTH($C257)=7,$F$6,"ERROR")))),1,0)</f>
        <v>1</v>
      </c>
      <c r="H257" s="30">
        <f>IF(J257=1,D257-$C$3,0)</f>
        <v>0</v>
      </c>
      <c r="I257" s="30">
        <f t="shared" si="342"/>
        <v>0</v>
      </c>
      <c r="J257" s="28">
        <f t="shared" ref="J257:J260" si="405">IF(AND(E257=1,G257=1),1,0)</f>
        <v>0</v>
      </c>
      <c r="K257" s="30">
        <f>VLOOKUP($C257,COS!$B$8:$H$991,2,FALSE)</f>
        <v>4435.89990234375</v>
      </c>
      <c r="L257" s="28">
        <f t="shared" ref="L257" si="406">IF(K257&lt;=IF(MONTH($C257)=4,$I$3,IF(MONTH($C257)=5,$I$4,IF(MONTH($C257)=6,$I$5,IF(MONTH($C257)=7,$I$6,"ERROR")))),1,0)</f>
        <v>1</v>
      </c>
      <c r="M257" s="28">
        <f t="shared" ref="M257" si="407">VLOOKUP($A257,$L$3:$M$7,2,FALSE)</f>
        <v>1</v>
      </c>
      <c r="N257" s="30">
        <f>VLOOKUP($C257,COS!$B$8:$H$991,5,FALSE)</f>
        <v>261.805908203125</v>
      </c>
      <c r="O257" s="30">
        <f t="shared" ref="O257:O260" si="408">N257*DAY($C257)*86400/43560/1000</f>
        <v>15.578533380681819</v>
      </c>
      <c r="P257" s="30">
        <f>VLOOKUP($C257,COS!$B$8:$H$991,6,FALSE)</f>
        <v>454.90377807617188</v>
      </c>
      <c r="Q257" s="30">
        <f t="shared" ref="Q257:Q260" si="409">P257*DAY($C257)*86400/43560/1000</f>
        <v>27.068654563210227</v>
      </c>
      <c r="R257" s="30">
        <f>MIN(IF(MONTH($C257)=4,$S$3,IF(MONTH($C257)=5,$S$4,IF(MONTH($C257)=6,$S$5,IF(MONTH($C257)=7,$S$6,"ERROR")))),MAX(VLOOKUP($C257,COS!$B$8:$K$991,10,FALSE)-IF(MONTH($C257)=4,$Y$3,IF(MONTH($C257)=5,$Y$4,IF(MONTH($C257)=6,$Y$5,IF(MONTH($C257)=7,$Y$6,"ERROR")))),0),MAX(VLOOKUP($C257,COS!$B$8:$K$991,9,FALSE)-IF(MONTH($C257)=4,$V$3,IF(MONTH($C257)=5,$V$4,IF(MONTH($C257)=6,$V$5,IF(MONTH($C257)=7,$V$6,"ERROR"))))-VLOOKUP($C257,COS!$B$8:$K$991,6,FALSE)/2,0))</f>
        <v>1500</v>
      </c>
      <c r="S257" s="30">
        <f t="shared" ref="S257:S260" si="410">R257*DAY($C257)*86400/43560/1000</f>
        <v>89.256198347107429</v>
      </c>
      <c r="T257" s="30">
        <f t="shared" ref="T257:T260" si="411">(O257+Q257)/2+S257</f>
        <v>110.57979231905345</v>
      </c>
      <c r="U257" s="30" t="str">
        <f>IF(VLOOKUP($C257,COS!$B$8:$I$991,8,FALSE)=1,"UWFE","IBU")</f>
        <v>UWFE</v>
      </c>
      <c r="V257" s="30">
        <f t="shared" ref="V257" si="412">MIN(IF(IF($AA$3=2,AND(E257=1,G257=1,L257=1,L262=1,M257=1,U257="IBU"),AND(E257=1,G257=1,L257=1,L262=1,M257=1)),T257,0),I257)</f>
        <v>0</v>
      </c>
      <c r="W257" s="30"/>
      <c r="X257" s="30"/>
      <c r="Y257" s="30"/>
      <c r="Z257" s="30"/>
      <c r="AA257" s="30"/>
      <c r="AB257" s="31"/>
    </row>
    <row r="258" spans="1:28" x14ac:dyDescent="0.3">
      <c r="A258" s="32">
        <f>VLOOKUP(YEAR(C258),Flags!$A$13:$B$95,2,FALSE)</f>
        <v>4</v>
      </c>
      <c r="B258" s="24">
        <f t="shared" si="328"/>
        <v>1949</v>
      </c>
      <c r="C258" s="25">
        <v>18049</v>
      </c>
      <c r="D258" s="26">
        <f>VLOOKUP($C258,COS!$B$8:$H$991,3,FALSE)</f>
        <v>6600.49267578125</v>
      </c>
      <c r="E258" s="24">
        <f>IF(D258&gt;=IF(MONTH($C258)=4,$C$3,IF(MONTH($C258)=5,$C$4,IF(MONTH($C258)=6,$C$5,IF(MONTH($C258)=7,$C$6,"ERROR")))),1,0)</f>
        <v>1</v>
      </c>
      <c r="F258" s="26">
        <f>VLOOKUP($C258,COS!$B$8:$H$991,7,FALSE)</f>
        <v>50.530754089355469</v>
      </c>
      <c r="G258" s="24">
        <f>IF(F258&lt;=IF(MONTH($C258)=4,$F$3,IF(MONTH($C258)=5,$F$4,IF(MONTH($C258)=6,$F$5,IF(MONTH($C258)=7,$F$6,"ERROR")))),1,0)</f>
        <v>1</v>
      </c>
      <c r="H258" s="26">
        <f>IF(J258=1,D258-$C$4,0)</f>
        <v>600.49267578125</v>
      </c>
      <c r="I258" s="26">
        <f t="shared" si="342"/>
        <v>36.922855436466939</v>
      </c>
      <c r="J258" s="24">
        <f t="shared" si="405"/>
        <v>1</v>
      </c>
      <c r="K258" s="26">
        <f>VLOOKUP($C258,COS!$B$8:$H$991,2,FALSE)</f>
        <v>4429.88037109375</v>
      </c>
      <c r="L258" s="24">
        <f t="shared" si="333"/>
        <v>1</v>
      </c>
      <c r="M258" s="24">
        <f t="shared" si="334"/>
        <v>1</v>
      </c>
      <c r="N258" s="26">
        <f>VLOOKUP($C258,COS!$B$8:$H$991,5,FALSE)</f>
        <v>565.04315185546875</v>
      </c>
      <c r="O258" s="26">
        <f t="shared" si="408"/>
        <v>34.743149171939564</v>
      </c>
      <c r="P258" s="26">
        <f>VLOOKUP($C258,COS!$B$8:$H$991,6,FALSE)</f>
        <v>2066.162353515625</v>
      </c>
      <c r="Q258" s="26">
        <f t="shared" si="409"/>
        <v>127.04337115831612</v>
      </c>
      <c r="R258" s="26">
        <f>MIN(IF(MONTH($C258)=4,$S$3,IF(MONTH($C258)=5,$S$4,IF(MONTH($C258)=6,$S$5,IF(MONTH($C258)=7,$S$6,"ERROR")))),MAX(VLOOKUP($C258,COS!$B$8:$K$991,10,FALSE)-IF(MONTH($C258)=4,$Y$3,IF(MONTH($C258)=5,$Y$4,IF(MONTH($C258)=6,$Y$5,IF(MONTH($C258)=7,$Y$6,"ERROR")))),0),MAX(VLOOKUP($C258,COS!$B$8:$K$991,9,FALSE)-IF(MONTH($C258)=4,$V$3,IF(MONTH($C258)=5,$V$4,IF(MONTH($C258)=6,$V$5,IF(MONTH($C258)=7,$V$6,"ERROR"))))-VLOOKUP($C258,COS!$B$8:$K$991,6,FALSE)/2,0))</f>
        <v>1500</v>
      </c>
      <c r="S258" s="26">
        <f t="shared" si="410"/>
        <v>92.231404958677686</v>
      </c>
      <c r="T258" s="26">
        <f t="shared" si="411"/>
        <v>173.12466512380553</v>
      </c>
      <c r="U258" s="26" t="str">
        <f>IF(VLOOKUP($C258,COS!$B$8:$I$991,8,FALSE)=1,"UWFE","IBU")</f>
        <v>UWFE</v>
      </c>
      <c r="V258" s="26">
        <f t="shared" ref="V258" si="413">MIN(IF(IF($AA$3=2,AND(E258=1,G258=1,L258=1,L262=1,M258=1,U258="IBU"),AND(E258=1,G258=1,L258=1,L262=1,M258=1)),T258,0),I258)</f>
        <v>0</v>
      </c>
      <c r="W258" s="26"/>
      <c r="X258" s="26"/>
      <c r="Y258" s="26"/>
      <c r="Z258" s="26"/>
      <c r="AA258" s="26"/>
      <c r="AB258" s="33"/>
    </row>
    <row r="259" spans="1:28" x14ac:dyDescent="0.3">
      <c r="A259" s="32">
        <f>VLOOKUP(YEAR(C259),Flags!$A$13:$B$95,2,FALSE)</f>
        <v>4</v>
      </c>
      <c r="B259" s="24">
        <f t="shared" si="328"/>
        <v>1949</v>
      </c>
      <c r="C259" s="25">
        <v>18079</v>
      </c>
      <c r="D259" s="26">
        <f>VLOOKUP($C259,COS!$B$8:$H$991,3,FALSE)</f>
        <v>9891.2216796875</v>
      </c>
      <c r="E259" s="24">
        <f>IF(D259&gt;=IF(MONTH($C259)=4,$C$3,IF(MONTH($C259)=5,$C$4,IF(MONTH($C259)=6,$C$5,IF(MONTH($C259)=7,$C$6,"ERROR")))),1,0)</f>
        <v>0</v>
      </c>
      <c r="F259" s="26">
        <f>VLOOKUP($C259,COS!$B$8:$H$991,7,FALSE)</f>
        <v>51.359127044677734</v>
      </c>
      <c r="G259" s="24">
        <f>IF(F259&lt;=IF(MONTH($C259)=4,$F$3,IF(MONTH($C259)=5,$F$4,IF(MONTH($C259)=6,$F$5,IF(MONTH($C259)=7,$F$6,"ERROR")))),1,0)</f>
        <v>1</v>
      </c>
      <c r="H259" s="26">
        <f>IF(J259=1,D259-$C$5,0)</f>
        <v>0</v>
      </c>
      <c r="I259" s="26">
        <f t="shared" si="342"/>
        <v>0</v>
      </c>
      <c r="J259" s="24">
        <f t="shared" si="405"/>
        <v>0</v>
      </c>
      <c r="K259" s="26">
        <f>VLOOKUP($C259,COS!$B$8:$H$991,2,FALSE)</f>
        <v>4039.34130859375</v>
      </c>
      <c r="L259" s="24">
        <f t="shared" si="333"/>
        <v>1</v>
      </c>
      <c r="M259" s="24">
        <f t="shared" si="334"/>
        <v>1</v>
      </c>
      <c r="N259" s="26">
        <f>VLOOKUP($C259,COS!$B$8:$H$991,5,FALSE)</f>
        <v>696.944580078125</v>
      </c>
      <c r="O259" s="26">
        <f t="shared" si="408"/>
        <v>41.47108245092975</v>
      </c>
      <c r="P259" s="26">
        <f>VLOOKUP($C259,COS!$B$8:$H$991,6,FALSE)</f>
        <v>2712.6806640625</v>
      </c>
      <c r="Q259" s="26">
        <f t="shared" si="409"/>
        <v>161.41570893595042</v>
      </c>
      <c r="R259" s="26">
        <f>MIN(IF(MONTH($C259)=4,$S$3,IF(MONTH($C259)=5,$S$4,IF(MONTH($C259)=6,$S$5,IF(MONTH($C259)=7,$S$6,"ERROR")))),MAX(VLOOKUP($C259,COS!$B$8:$K$991,10,FALSE)-IF(MONTH($C259)=4,$Y$3,IF(MONTH($C259)=5,$Y$4,IF(MONTH($C259)=6,$Y$5,IF(MONTH($C259)=7,$Y$6,"ERROR")))),0),MAX(VLOOKUP($C259,COS!$B$8:$K$991,9,FALSE)-IF(MONTH($C259)=4,$V$3,IF(MONTH($C259)=5,$V$4,IF(MONTH($C259)=6,$V$5,IF(MONTH($C259)=7,$V$6,"ERROR"))))-VLOOKUP($C259,COS!$B$8:$K$991,6,FALSE)/2,0))</f>
        <v>1500</v>
      </c>
      <c r="S259" s="26">
        <f t="shared" si="410"/>
        <v>89.256198347107429</v>
      </c>
      <c r="T259" s="26">
        <f t="shared" si="411"/>
        <v>190.69959404054751</v>
      </c>
      <c r="U259" s="26" t="str">
        <f>IF(VLOOKUP($C259,COS!$B$8:$I$991,8,FALSE)=1,"UWFE","IBU")</f>
        <v>IBU</v>
      </c>
      <c r="V259" s="26">
        <f t="shared" ref="V259" si="414">MIN(IF(IF($AA$3=2,AND(E259=1,G259=1,L259=1,L262=1,M259=1,U259="IBU"),AND(E259=1,G259=1,L259=1,L262=1,M259=1)),T259,0),I259)</f>
        <v>0</v>
      </c>
      <c r="W259" s="26"/>
      <c r="X259" s="26"/>
      <c r="Y259" s="26"/>
      <c r="Z259" s="26"/>
      <c r="AA259" s="26"/>
      <c r="AB259" s="33"/>
    </row>
    <row r="260" spans="1:28" x14ac:dyDescent="0.3">
      <c r="A260" s="32">
        <f>VLOOKUP(YEAR(C260),Flags!$A$13:$B$95,2,FALSE)</f>
        <v>4</v>
      </c>
      <c r="B260" s="24">
        <f t="shared" si="328"/>
        <v>1949</v>
      </c>
      <c r="C260" s="25">
        <v>18110</v>
      </c>
      <c r="D260" s="26">
        <f>VLOOKUP($C260,COS!$B$8:$H$991,3,FALSE)</f>
        <v>14543.4052734375</v>
      </c>
      <c r="E260" s="24">
        <f>IF(D260&gt;=IF(MONTH($C260)=4,$C$3,IF(MONTH($C260)=5,$C$4,IF(MONTH($C260)=6,$C$5,IF(MONTH($C260)=7,$C$6,"ERROR")))),1,0)</f>
        <v>1</v>
      </c>
      <c r="F260" s="26">
        <f>VLOOKUP($C260,COS!$B$8:$H$991,7,FALSE)</f>
        <v>50.889629364013672</v>
      </c>
      <c r="G260" s="24">
        <f>IF(F260&lt;=IF(MONTH($C260)=4,$F$3,IF(MONTH($C260)=5,$F$4,IF(MONTH($C260)=6,$F$5,IF(MONTH($C260)=7,$F$6,"ERROR")))),1,0)</f>
        <v>1</v>
      </c>
      <c r="H260" s="26">
        <f>IF(J260=1,D260-$C$6,0)</f>
        <v>2543.4052734375</v>
      </c>
      <c r="I260" s="26">
        <f t="shared" si="342"/>
        <v>156.38789449896694</v>
      </c>
      <c r="J260" s="24">
        <f t="shared" si="405"/>
        <v>1</v>
      </c>
      <c r="K260" s="26">
        <f>VLOOKUP($C260,COS!$B$8:$H$991,2,FALSE)</f>
        <v>3385.65673828125</v>
      </c>
      <c r="L260" s="24">
        <f t="shared" si="333"/>
        <v>1</v>
      </c>
      <c r="M260" s="24">
        <f t="shared" si="334"/>
        <v>1</v>
      </c>
      <c r="N260" s="26">
        <f>VLOOKUP($C260,COS!$B$8:$H$991,5,FALSE)</f>
        <v>761.88348388671875</v>
      </c>
      <c r="O260" s="26">
        <f t="shared" si="408"/>
        <v>46.846389422456092</v>
      </c>
      <c r="P260" s="26">
        <f>VLOOKUP($C260,COS!$B$8:$H$991,6,FALSE)</f>
        <v>2538.07568359375</v>
      </c>
      <c r="Q260" s="26">
        <f t="shared" si="409"/>
        <v>156.06019079287191</v>
      </c>
      <c r="R260" s="26">
        <f>MIN(IF(MONTH($C260)=4,$S$3,IF(MONTH($C260)=5,$S$4,IF(MONTH($C260)=6,$S$5,IF(MONTH($C260)=7,$S$6,"ERROR")))),MAX(VLOOKUP($C260,COS!$B$8:$K$991,10,FALSE)-IF(MONTH($C260)=4,$Y$3,IF(MONTH($C260)=5,$Y$4,IF(MONTH($C260)=6,$Y$5,IF(MONTH($C260)=7,$Y$6,"ERROR")))),0),MAX(VLOOKUP($C260,COS!$B$8:$K$991,9,FALSE)-IF(MONTH($C260)=4,$V$3,IF(MONTH($C260)=5,$V$4,IF(MONTH($C260)=6,$V$5,IF(MONTH($C260)=7,$V$6,"ERROR"))))-VLOOKUP($C260,COS!$B$8:$K$991,6,FALSE)/2,0))</f>
        <v>1500</v>
      </c>
      <c r="S260" s="26">
        <f t="shared" si="410"/>
        <v>92.231404958677686</v>
      </c>
      <c r="T260" s="26">
        <f t="shared" si="411"/>
        <v>193.6846950663417</v>
      </c>
      <c r="U260" s="26" t="str">
        <f>IF(VLOOKUP($C260,COS!$B$8:$I$991,8,FALSE)=1,"UWFE","IBU")</f>
        <v>IBU</v>
      </c>
      <c r="V260" s="26">
        <f t="shared" ref="V260" si="415">MIN(IF(IF($AA$3=2,AND(E260=1,G260=1,L260=1,L262=1,M260=1,U260="IBU"),AND(E260=1,G260=1,L260=1,L262=1,M260=1)),T260,0),I260)</f>
        <v>156.38789449896694</v>
      </c>
      <c r="W260" s="26"/>
      <c r="X260" s="26"/>
      <c r="Y260" s="26"/>
      <c r="Z260" s="26"/>
      <c r="AA260" s="26"/>
      <c r="AB260" s="33"/>
    </row>
    <row r="261" spans="1:28" x14ac:dyDescent="0.3">
      <c r="A261" s="32">
        <f>VLOOKUP(YEAR(C261),Flags!$A$13:$B$95,2,FALSE)</f>
        <v>4</v>
      </c>
      <c r="B261" s="24">
        <f t="shared" si="328"/>
        <v>1949</v>
      </c>
      <c r="C261" s="25">
        <v>18141</v>
      </c>
      <c r="D261" s="26"/>
      <c r="E261" s="24"/>
      <c r="F261" s="26"/>
      <c r="G261" s="24"/>
      <c r="H261" s="24"/>
      <c r="I261" s="26"/>
      <c r="J261" s="24"/>
      <c r="K261" s="26"/>
      <c r="L261" s="24"/>
      <c r="M261" s="24"/>
      <c r="N261" s="26"/>
      <c r="O261" s="26"/>
      <c r="P261" s="26"/>
      <c r="Q261" s="26"/>
      <c r="R261" s="26"/>
      <c r="S261" s="26"/>
      <c r="T261" s="26"/>
      <c r="U261" s="26"/>
      <c r="V261" s="26"/>
      <c r="W261" s="26">
        <f>MAX($C$7-VLOOKUP($C261,COS!$B$8:$H$991,3,FALSE),0)</f>
        <v>2978.3701171875</v>
      </c>
      <c r="X261" s="26">
        <f t="shared" si="347"/>
        <v>183.13284026342973</v>
      </c>
      <c r="Y261" s="26">
        <f>VLOOKUP($C261,COS!$B$8:$H$991,4,FALSE)</f>
        <v>2030.735107421875</v>
      </c>
      <c r="Z261" s="26">
        <f t="shared" si="348"/>
        <v>124.86503470428718</v>
      </c>
      <c r="AA261" s="26">
        <f t="shared" ref="AA261:AA265" si="416">MIN(W261,Y261)</f>
        <v>2030.735107421875</v>
      </c>
      <c r="AB261" s="33">
        <f t="shared" ref="AB261" si="417">AA261*DAY($C261)*86400/43560/1000*IF(MONTH($C261)=8,$P$3,IF(MONTH($C261)=9,$P$4,IF(MONTH($C261)=10,$P$5,IF(MONTH($C261)=11,$P$6,IF(MONTH($C261)=12,$P$7,NA())))))</f>
        <v>124.86503470428718</v>
      </c>
    </row>
    <row r="262" spans="1:28" x14ac:dyDescent="0.3">
      <c r="A262" s="32">
        <f>VLOOKUP(YEAR(C262),Flags!$A$13:$B$95,2,FALSE)</f>
        <v>4</v>
      </c>
      <c r="B262" s="24">
        <f t="shared" si="328"/>
        <v>1949</v>
      </c>
      <c r="C262" s="25">
        <v>18171</v>
      </c>
      <c r="D262" s="26"/>
      <c r="E262" s="24"/>
      <c r="F262" s="26"/>
      <c r="G262" s="24"/>
      <c r="H262" s="24"/>
      <c r="I262" s="26"/>
      <c r="J262" s="24"/>
      <c r="K262" s="26">
        <f>VLOOKUP($C262,COS!$B$8:$H$991,2,FALSE)</f>
        <v>3001.73291015625</v>
      </c>
      <c r="L262" s="24">
        <f t="shared" ref="L262" si="418">IF(AND(K262&gt;$I$7,K262&lt;$I$8),1,0)</f>
        <v>1</v>
      </c>
      <c r="M262" s="24"/>
      <c r="N262" s="26"/>
      <c r="O262" s="26"/>
      <c r="P262" s="26"/>
      <c r="Q262" s="26"/>
      <c r="R262" s="26"/>
      <c r="S262" s="26"/>
      <c r="T262" s="26"/>
      <c r="U262" s="26"/>
      <c r="V262" s="26"/>
      <c r="W262" s="26">
        <f>MAX($C$8-VLOOKUP($C262,COS!$B$8:$H$991,3,FALSE),0)</f>
        <v>940.001953125</v>
      </c>
      <c r="X262" s="26">
        <f t="shared" si="347"/>
        <v>55.934000516528926</v>
      </c>
      <c r="Y262" s="26">
        <f>VLOOKUP($C262,COS!$B$8:$H$991,4,FALSE)</f>
        <v>1015.7754516601563</v>
      </c>
      <c r="Z262" s="26">
        <f t="shared" si="348"/>
        <v>60.442836793001035</v>
      </c>
      <c r="AA262" s="26">
        <f t="shared" si="416"/>
        <v>940.001953125</v>
      </c>
      <c r="AB262" s="33">
        <f t="shared" si="345"/>
        <v>55.934000516528926</v>
      </c>
    </row>
    <row r="263" spans="1:28" x14ac:dyDescent="0.3">
      <c r="A263" s="32">
        <f>VLOOKUP(YEAR(C263),Flags!$A$13:$B$95,2,FALSE)</f>
        <v>4</v>
      </c>
      <c r="B263" s="24">
        <f t="shared" si="328"/>
        <v>1949</v>
      </c>
      <c r="C263" s="25">
        <v>18202</v>
      </c>
      <c r="D263" s="26"/>
      <c r="E263" s="24"/>
      <c r="F263" s="26"/>
      <c r="G263" s="26"/>
      <c r="H263" s="26"/>
      <c r="I263" s="26"/>
      <c r="J263" s="26"/>
      <c r="K263" s="26"/>
      <c r="L263" s="24"/>
      <c r="M263" s="24"/>
      <c r="N263" s="26"/>
      <c r="O263" s="26"/>
      <c r="P263" s="26"/>
      <c r="Q263" s="26"/>
      <c r="R263" s="26"/>
      <c r="S263" s="26"/>
      <c r="T263" s="26"/>
      <c r="U263" s="26"/>
      <c r="V263" s="26"/>
      <c r="W263" s="26">
        <f>MAX($C$9-VLOOKUP($C263,COS!$B$8:$H$991,3,FALSE),0)</f>
        <v>0</v>
      </c>
      <c r="X263" s="26">
        <f t="shared" si="347"/>
        <v>0</v>
      </c>
      <c r="Y263" s="26">
        <f>VLOOKUP($C263,COS!$B$8:$H$991,4,FALSE)</f>
        <v>1726.75830078125</v>
      </c>
      <c r="Z263" s="26">
        <f t="shared" si="348"/>
        <v>106.17422940340909</v>
      </c>
      <c r="AA263" s="26">
        <f t="shared" si="416"/>
        <v>0</v>
      </c>
      <c r="AB263" s="33">
        <f t="shared" si="345"/>
        <v>0</v>
      </c>
    </row>
    <row r="264" spans="1:28" x14ac:dyDescent="0.3">
      <c r="A264" s="32">
        <f>VLOOKUP(YEAR(C264),Flags!$A$13:$B$95,2,FALSE)</f>
        <v>4</v>
      </c>
      <c r="B264" s="24">
        <f t="shared" si="328"/>
        <v>1949</v>
      </c>
      <c r="C264" s="25">
        <v>18232</v>
      </c>
      <c r="D264" s="26"/>
      <c r="E264" s="24"/>
      <c r="F264" s="26"/>
      <c r="G264" s="26"/>
      <c r="H264" s="26"/>
      <c r="I264" s="26"/>
      <c r="J264" s="26"/>
      <c r="K264" s="26"/>
      <c r="L264" s="24"/>
      <c r="M264" s="24"/>
      <c r="N264" s="26"/>
      <c r="O264" s="26"/>
      <c r="P264" s="26"/>
      <c r="Q264" s="26"/>
      <c r="R264" s="26"/>
      <c r="S264" s="26"/>
      <c r="T264" s="26"/>
      <c r="U264" s="26"/>
      <c r="V264" s="26"/>
      <c r="W264" s="26">
        <f>MAX($C$10-VLOOKUP($C264,COS!$B$8:$H$991,3,FALSE),0)</f>
        <v>0</v>
      </c>
      <c r="X264" s="26">
        <f t="shared" si="347"/>
        <v>0</v>
      </c>
      <c r="Y264" s="26">
        <f>VLOOKUP($C264,COS!$B$8:$H$991,4,FALSE)</f>
        <v>814.205810546875</v>
      </c>
      <c r="Z264" s="26">
        <f t="shared" si="348"/>
        <v>48.448610214359505</v>
      </c>
      <c r="AA264" s="26">
        <f t="shared" si="416"/>
        <v>0</v>
      </c>
      <c r="AB264" s="33">
        <f t="shared" si="345"/>
        <v>0</v>
      </c>
    </row>
    <row r="265" spans="1:28" x14ac:dyDescent="0.3">
      <c r="A265" s="34">
        <f>VLOOKUP(YEAR(C265),Flags!$A$13:$B$95,2,FALSE)</f>
        <v>4</v>
      </c>
      <c r="B265" s="35">
        <f t="shared" si="328"/>
        <v>1949</v>
      </c>
      <c r="C265" s="36">
        <v>18263</v>
      </c>
      <c r="D265" s="37"/>
      <c r="E265" s="35"/>
      <c r="F265" s="37"/>
      <c r="G265" s="37"/>
      <c r="H265" s="37"/>
      <c r="I265" s="37"/>
      <c r="J265" s="37"/>
      <c r="K265" s="37"/>
      <c r="L265" s="35"/>
      <c r="M265" s="35"/>
      <c r="N265" s="37"/>
      <c r="O265" s="37"/>
      <c r="P265" s="37"/>
      <c r="Q265" s="37"/>
      <c r="R265" s="37"/>
      <c r="S265" s="37"/>
      <c r="T265" s="37"/>
      <c r="U265" s="37"/>
      <c r="V265" s="37"/>
      <c r="W265" s="37">
        <f>MAX($C$11-VLOOKUP($C265,COS!$B$8:$H$991,3,FALSE),0)</f>
        <v>1190.83203125</v>
      </c>
      <c r="X265" s="37">
        <f t="shared" si="347"/>
        <v>73.221407541322321</v>
      </c>
      <c r="Y265" s="37">
        <f>VLOOKUP($C265,COS!$B$8:$H$991,4,FALSE)</f>
        <v>1528.547607421875</v>
      </c>
      <c r="Z265" s="37">
        <f t="shared" si="348"/>
        <v>93.986728919163227</v>
      </c>
      <c r="AA265" s="37">
        <f t="shared" si="416"/>
        <v>1190.83203125</v>
      </c>
      <c r="AB265" s="38">
        <f t="shared" si="345"/>
        <v>73.221407541322321</v>
      </c>
    </row>
    <row r="266" spans="1:28" x14ac:dyDescent="0.3">
      <c r="A266" s="27">
        <f>VLOOKUP(YEAR(C266),Flags!$A$13:$B$95,2,FALSE)</f>
        <v>4</v>
      </c>
      <c r="B266" s="28">
        <f t="shared" si="328"/>
        <v>1950</v>
      </c>
      <c r="C266" s="29">
        <v>18383</v>
      </c>
      <c r="D266" s="30">
        <f>VLOOKUP($C266,COS!$B$8:$H$991,3,FALSE)</f>
        <v>3250</v>
      </c>
      <c r="E266" s="28">
        <f>IF(D266&gt;=IF(MONTH($C266)=4,$C$3,IF(MONTH($C266)=5,$C$4,IF(MONTH($C266)=6,$C$5,IF(MONTH($C266)=7,$C$6,"ERROR")))),1,0)</f>
        <v>0</v>
      </c>
      <c r="F266" s="30">
        <f>VLOOKUP($C266,COS!$B$8:$H$991,7,FALSE)</f>
        <v>51.198993682861328</v>
      </c>
      <c r="G266" s="28">
        <f>IF(F266&lt;=IF(MONTH($C266)=4,$F$3,IF(MONTH($C266)=5,$F$4,IF(MONTH($C266)=6,$F$5,IF(MONTH($C266)=7,$F$6,"ERROR")))),1,0)</f>
        <v>1</v>
      </c>
      <c r="H266" s="30">
        <f>IF(J266=1,D266-$C$3,0)</f>
        <v>0</v>
      </c>
      <c r="I266" s="30">
        <f t="shared" si="342"/>
        <v>0</v>
      </c>
      <c r="J266" s="28">
        <f t="shared" ref="J266:J269" si="419">IF(AND(E266=1,G266=1),1,0)</f>
        <v>0</v>
      </c>
      <c r="K266" s="30">
        <f>VLOOKUP($C266,COS!$B$8:$H$991,2,FALSE)</f>
        <v>4233.70751953125</v>
      </c>
      <c r="L266" s="28">
        <f t="shared" ref="L266" si="420">IF(K266&lt;=IF(MONTH($C266)=4,$I$3,IF(MONTH($C266)=5,$I$4,IF(MONTH($C266)=6,$I$5,IF(MONTH($C266)=7,$I$6,"ERROR")))),1,0)</f>
        <v>1</v>
      </c>
      <c r="M266" s="28">
        <f t="shared" ref="M266" si="421">VLOOKUP($A266,$L$3:$M$7,2,FALSE)</f>
        <v>1</v>
      </c>
      <c r="N266" s="30">
        <f>VLOOKUP($C266,COS!$B$8:$H$991,5,FALSE)</f>
        <v>269.705322265625</v>
      </c>
      <c r="O266" s="30">
        <f t="shared" ref="O266:O269" si="422">N266*DAY($C266)*86400/43560/1000</f>
        <v>16.048581159607437</v>
      </c>
      <c r="P266" s="30">
        <f>VLOOKUP($C266,COS!$B$8:$H$991,6,FALSE)</f>
        <v>500.60986328125</v>
      </c>
      <c r="Q266" s="30">
        <f t="shared" ref="Q266:Q269" si="423">P266*DAY($C266)*86400/43560/1000</f>
        <v>29.788355501033056</v>
      </c>
      <c r="R266" s="30">
        <f>MIN(IF(MONTH($C266)=4,$S$3,IF(MONTH($C266)=5,$S$4,IF(MONTH($C266)=6,$S$5,IF(MONTH($C266)=7,$S$6,"ERROR")))),MAX(VLOOKUP($C266,COS!$B$8:$K$991,10,FALSE)-IF(MONTH($C266)=4,$Y$3,IF(MONTH($C266)=5,$Y$4,IF(MONTH($C266)=6,$Y$5,IF(MONTH($C266)=7,$Y$6,"ERROR")))),0),MAX(VLOOKUP($C266,COS!$B$8:$K$991,9,FALSE)-IF(MONTH($C266)=4,$V$3,IF(MONTH($C266)=5,$V$4,IF(MONTH($C266)=6,$V$5,IF(MONTH($C266)=7,$V$6,"ERROR"))))-VLOOKUP($C266,COS!$B$8:$K$991,6,FALSE)/2,0))</f>
        <v>1500</v>
      </c>
      <c r="S266" s="30">
        <f t="shared" ref="S266:S269" si="424">R266*DAY($C266)*86400/43560/1000</f>
        <v>89.256198347107429</v>
      </c>
      <c r="T266" s="30">
        <f t="shared" ref="T266:T269" si="425">(O266+Q266)/2+S266</f>
        <v>112.17466667742767</v>
      </c>
      <c r="U266" s="30" t="str">
        <f>IF(VLOOKUP($C266,COS!$B$8:$I$991,8,FALSE)=1,"UWFE","IBU")</f>
        <v>UWFE</v>
      </c>
      <c r="V266" s="30">
        <f t="shared" ref="V266" si="426">MIN(IF(IF($AA$3=2,AND(E266=1,G266=1,L266=1,L271=1,M266=1,U266="IBU"),AND(E266=1,G266=1,L266=1,L271=1,M266=1)),T266,0),I266)</f>
        <v>0</v>
      </c>
      <c r="W266" s="30"/>
      <c r="X266" s="30"/>
      <c r="Y266" s="30"/>
      <c r="Z266" s="30"/>
      <c r="AA266" s="30"/>
      <c r="AB266" s="31"/>
    </row>
    <row r="267" spans="1:28" x14ac:dyDescent="0.3">
      <c r="A267" s="32">
        <f>VLOOKUP(YEAR(C267),Flags!$A$13:$B$95,2,FALSE)</f>
        <v>4</v>
      </c>
      <c r="B267" s="24">
        <f t="shared" si="328"/>
        <v>1950</v>
      </c>
      <c r="C267" s="25">
        <v>18414</v>
      </c>
      <c r="D267" s="26">
        <f>VLOOKUP($C267,COS!$B$8:$H$991,3,FALSE)</f>
        <v>6396.69482421875</v>
      </c>
      <c r="E267" s="24">
        <f>IF(D267&gt;=IF(MONTH($C267)=4,$C$3,IF(MONTH($C267)=5,$C$4,IF(MONTH($C267)=6,$C$5,IF(MONTH($C267)=7,$C$6,"ERROR")))),1,0)</f>
        <v>1</v>
      </c>
      <c r="F267" s="26">
        <f>VLOOKUP($C267,COS!$B$8:$H$991,7,FALSE)</f>
        <v>50.986736297607422</v>
      </c>
      <c r="G267" s="24">
        <f>IF(F267&lt;=IF(MONTH($C267)=4,$F$3,IF(MONTH($C267)=5,$F$4,IF(MONTH($C267)=6,$F$5,IF(MONTH($C267)=7,$F$6,"ERROR")))),1,0)</f>
        <v>1</v>
      </c>
      <c r="H267" s="26">
        <f>IF(J267=1,D267-$C$4,0)</f>
        <v>396.69482421875</v>
      </c>
      <c r="I267" s="26">
        <f t="shared" si="342"/>
        <v>24.391813985020661</v>
      </c>
      <c r="J267" s="24">
        <f t="shared" si="419"/>
        <v>1</v>
      </c>
      <c r="K267" s="26">
        <f>VLOOKUP($C267,COS!$B$8:$H$991,2,FALSE)</f>
        <v>4172.81884765625</v>
      </c>
      <c r="L267" s="24">
        <f t="shared" si="333"/>
        <v>1</v>
      </c>
      <c r="M267" s="24">
        <f t="shared" si="334"/>
        <v>1</v>
      </c>
      <c r="N267" s="26">
        <f>VLOOKUP($C267,COS!$B$8:$H$991,5,FALSE)</f>
        <v>221.03926086425781</v>
      </c>
      <c r="O267" s="26">
        <f t="shared" si="422"/>
        <v>13.59117438702544</v>
      </c>
      <c r="P267" s="26">
        <f>VLOOKUP($C267,COS!$B$8:$H$991,6,FALSE)</f>
        <v>2273.549072265625</v>
      </c>
      <c r="Q267" s="26">
        <f t="shared" si="423"/>
        <v>139.79508345170456</v>
      </c>
      <c r="R267" s="26">
        <f>MIN(IF(MONTH($C267)=4,$S$3,IF(MONTH($C267)=5,$S$4,IF(MONTH($C267)=6,$S$5,IF(MONTH($C267)=7,$S$6,"ERROR")))),MAX(VLOOKUP($C267,COS!$B$8:$K$991,10,FALSE)-IF(MONTH($C267)=4,$Y$3,IF(MONTH($C267)=5,$Y$4,IF(MONTH($C267)=6,$Y$5,IF(MONTH($C267)=7,$Y$6,"ERROR")))),0),MAX(VLOOKUP($C267,COS!$B$8:$K$991,9,FALSE)-IF(MONTH($C267)=4,$V$3,IF(MONTH($C267)=5,$V$4,IF(MONTH($C267)=6,$V$5,IF(MONTH($C267)=7,$V$6,"ERROR"))))-VLOOKUP($C267,COS!$B$8:$K$991,6,FALSE)/2,0))</f>
        <v>1500</v>
      </c>
      <c r="S267" s="26">
        <f t="shared" si="424"/>
        <v>92.231404958677686</v>
      </c>
      <c r="T267" s="26">
        <f t="shared" si="425"/>
        <v>168.92453387804267</v>
      </c>
      <c r="U267" s="26" t="str">
        <f>IF(VLOOKUP($C267,COS!$B$8:$I$991,8,FALSE)=1,"UWFE","IBU")</f>
        <v>UWFE</v>
      </c>
      <c r="V267" s="26">
        <f t="shared" ref="V267" si="427">MIN(IF(IF($AA$3=2,AND(E267=1,G267=1,L267=1,L271=1,M267=1,U267="IBU"),AND(E267=1,G267=1,L267=1,L271=1,M267=1)),T267,0),I267)</f>
        <v>0</v>
      </c>
      <c r="W267" s="26"/>
      <c r="X267" s="26"/>
      <c r="Y267" s="26"/>
      <c r="Z267" s="26"/>
      <c r="AA267" s="26"/>
      <c r="AB267" s="33"/>
    </row>
    <row r="268" spans="1:28" x14ac:dyDescent="0.3">
      <c r="A268" s="32">
        <f>VLOOKUP(YEAR(C268),Flags!$A$13:$B$95,2,FALSE)</f>
        <v>4</v>
      </c>
      <c r="B268" s="24">
        <f t="shared" si="328"/>
        <v>1950</v>
      </c>
      <c r="C268" s="25">
        <v>18444</v>
      </c>
      <c r="D268" s="26">
        <f>VLOOKUP($C268,COS!$B$8:$H$991,3,FALSE)</f>
        <v>8106.11865234375</v>
      </c>
      <c r="E268" s="24">
        <f>IF(D268&gt;=IF(MONTH($C268)=4,$C$3,IF(MONTH($C268)=5,$C$4,IF(MONTH($C268)=6,$C$5,IF(MONTH($C268)=7,$C$6,"ERROR")))),1,0)</f>
        <v>0</v>
      </c>
      <c r="F268" s="26">
        <f>VLOOKUP($C268,COS!$B$8:$H$991,7,FALSE)</f>
        <v>51.396080017089844</v>
      </c>
      <c r="G268" s="24">
        <f>IF(F268&lt;=IF(MONTH($C268)=4,$F$3,IF(MONTH($C268)=5,$F$4,IF(MONTH($C268)=6,$F$5,IF(MONTH($C268)=7,$F$6,"ERROR")))),1,0)</f>
        <v>1</v>
      </c>
      <c r="H268" s="26">
        <f>IF(J268=1,D268-$C$5,0)</f>
        <v>0</v>
      </c>
      <c r="I268" s="26">
        <f t="shared" si="342"/>
        <v>0</v>
      </c>
      <c r="J268" s="24">
        <f t="shared" si="419"/>
        <v>0</v>
      </c>
      <c r="K268" s="26">
        <f>VLOOKUP($C268,COS!$B$8:$H$991,2,FALSE)</f>
        <v>3898.8837890625</v>
      </c>
      <c r="L268" s="24">
        <f t="shared" si="333"/>
        <v>1</v>
      </c>
      <c r="M268" s="24">
        <f t="shared" si="334"/>
        <v>1</v>
      </c>
      <c r="N268" s="26">
        <f>VLOOKUP($C268,COS!$B$8:$H$991,5,FALSE)</f>
        <v>433.48184204101563</v>
      </c>
      <c r="O268" s="26">
        <f t="shared" si="422"/>
        <v>25.793960848721593</v>
      </c>
      <c r="P268" s="26">
        <f>VLOOKUP($C268,COS!$B$8:$H$991,6,FALSE)</f>
        <v>2603.512451171875</v>
      </c>
      <c r="Q268" s="26">
        <f t="shared" si="423"/>
        <v>154.91974916064049</v>
      </c>
      <c r="R268" s="26">
        <f>MIN(IF(MONTH($C268)=4,$S$3,IF(MONTH($C268)=5,$S$4,IF(MONTH($C268)=6,$S$5,IF(MONTH($C268)=7,$S$6,"ERROR")))),MAX(VLOOKUP($C268,COS!$B$8:$K$991,10,FALSE)-IF(MONTH($C268)=4,$Y$3,IF(MONTH($C268)=5,$Y$4,IF(MONTH($C268)=6,$Y$5,IF(MONTH($C268)=7,$Y$6,"ERROR")))),0),MAX(VLOOKUP($C268,COS!$B$8:$K$991,9,FALSE)-IF(MONTH($C268)=4,$V$3,IF(MONTH($C268)=5,$V$4,IF(MONTH($C268)=6,$V$5,IF(MONTH($C268)=7,$V$6,"ERROR"))))-VLOOKUP($C268,COS!$B$8:$K$991,6,FALSE)/2,0))</f>
        <v>1500</v>
      </c>
      <c r="S268" s="26">
        <f t="shared" si="424"/>
        <v>89.256198347107429</v>
      </c>
      <c r="T268" s="26">
        <f t="shared" si="425"/>
        <v>179.61305335178847</v>
      </c>
      <c r="U268" s="26" t="str">
        <f>IF(VLOOKUP($C268,COS!$B$8:$I$991,8,FALSE)=1,"UWFE","IBU")</f>
        <v>IBU</v>
      </c>
      <c r="V268" s="26">
        <f t="shared" ref="V268" si="428">MIN(IF(IF($AA$3=2,AND(E268=1,G268=1,L268=1,L271=1,M268=1,U268="IBU"),AND(E268=1,G268=1,L268=1,L271=1,M268=1)),T268,0),I268)</f>
        <v>0</v>
      </c>
      <c r="W268" s="26"/>
      <c r="X268" s="26"/>
      <c r="Y268" s="26"/>
      <c r="Z268" s="26"/>
      <c r="AA268" s="26"/>
      <c r="AB268" s="33"/>
    </row>
    <row r="269" spans="1:28" x14ac:dyDescent="0.3">
      <c r="A269" s="32">
        <f>VLOOKUP(YEAR(C269),Flags!$A$13:$B$95,2,FALSE)</f>
        <v>4</v>
      </c>
      <c r="B269" s="24">
        <f t="shared" si="328"/>
        <v>1950</v>
      </c>
      <c r="C269" s="25">
        <v>18475</v>
      </c>
      <c r="D269" s="26">
        <f>VLOOKUP($C269,COS!$B$8:$H$991,3,FALSE)</f>
        <v>9670.4365234375</v>
      </c>
      <c r="E269" s="24">
        <f>IF(D269&gt;=IF(MONTH($C269)=4,$C$3,IF(MONTH($C269)=5,$C$4,IF(MONTH($C269)=6,$C$5,IF(MONTH($C269)=7,$C$6,"ERROR")))),1,0)</f>
        <v>0</v>
      </c>
      <c r="F269" s="26">
        <f>VLOOKUP($C269,COS!$B$8:$H$991,7,FALSE)</f>
        <v>52.254299163818359</v>
      </c>
      <c r="G269" s="24">
        <f>IF(F269&lt;=IF(MONTH($C269)=4,$F$3,IF(MONTH($C269)=5,$F$4,IF(MONTH($C269)=6,$F$5,IF(MONTH($C269)=7,$F$6,"ERROR")))),1,0)</f>
        <v>1</v>
      </c>
      <c r="H269" s="26">
        <f>IF(J269=1,D269-$C$6,0)</f>
        <v>0</v>
      </c>
      <c r="I269" s="26">
        <f t="shared" si="342"/>
        <v>0</v>
      </c>
      <c r="J269" s="24">
        <f t="shared" si="419"/>
        <v>0</v>
      </c>
      <c r="K269" s="26">
        <f>VLOOKUP($C269,COS!$B$8:$H$991,2,FALSE)</f>
        <v>3515.872314453125</v>
      </c>
      <c r="L269" s="24">
        <f t="shared" si="333"/>
        <v>1</v>
      </c>
      <c r="M269" s="24">
        <f t="shared" si="334"/>
        <v>1</v>
      </c>
      <c r="N269" s="26">
        <f>VLOOKUP($C269,COS!$B$8:$H$991,5,FALSE)</f>
        <v>482.3499755859375</v>
      </c>
      <c r="O269" s="26">
        <f t="shared" si="422"/>
        <v>29.658543953383266</v>
      </c>
      <c r="P269" s="26">
        <f>VLOOKUP($C269,COS!$B$8:$H$991,6,FALSE)</f>
        <v>2632.5888671875</v>
      </c>
      <c r="Q269" s="26">
        <f t="shared" si="423"/>
        <v>161.87157993285126</v>
      </c>
      <c r="R269" s="26">
        <f>MIN(IF(MONTH($C269)=4,$S$3,IF(MONTH($C269)=5,$S$4,IF(MONTH($C269)=6,$S$5,IF(MONTH($C269)=7,$S$6,"ERROR")))),MAX(VLOOKUP($C269,COS!$B$8:$K$991,10,FALSE)-IF(MONTH($C269)=4,$Y$3,IF(MONTH($C269)=5,$Y$4,IF(MONTH($C269)=6,$Y$5,IF(MONTH($C269)=7,$Y$6,"ERROR")))),0),MAX(VLOOKUP($C269,COS!$B$8:$K$991,9,FALSE)-IF(MONTH($C269)=4,$V$3,IF(MONTH($C269)=5,$V$4,IF(MONTH($C269)=6,$V$5,IF(MONTH($C269)=7,$V$6,"ERROR"))))-VLOOKUP($C269,COS!$B$8:$K$991,6,FALSE)/2,0))</f>
        <v>1500</v>
      </c>
      <c r="S269" s="26">
        <f t="shared" si="424"/>
        <v>92.231404958677686</v>
      </c>
      <c r="T269" s="26">
        <f t="shared" si="425"/>
        <v>187.99646690179495</v>
      </c>
      <c r="U269" s="26" t="str">
        <f>IF(VLOOKUP($C269,COS!$B$8:$I$991,8,FALSE)=1,"UWFE","IBU")</f>
        <v>IBU</v>
      </c>
      <c r="V269" s="26">
        <f t="shared" ref="V269" si="429">MIN(IF(IF($AA$3=2,AND(E269=1,G269=1,L269=1,L271=1,M269=1,U269="IBU"),AND(E269=1,G269=1,L269=1,L271=1,M269=1)),T269,0),I269)</f>
        <v>0</v>
      </c>
      <c r="W269" s="26"/>
      <c r="X269" s="26"/>
      <c r="Y269" s="26"/>
      <c r="Z269" s="26"/>
      <c r="AA269" s="26"/>
      <c r="AB269" s="33"/>
    </row>
    <row r="270" spans="1:28" x14ac:dyDescent="0.3">
      <c r="A270" s="32">
        <f>VLOOKUP(YEAR(C270),Flags!$A$13:$B$95,2,FALSE)</f>
        <v>4</v>
      </c>
      <c r="B270" s="24">
        <f t="shared" si="328"/>
        <v>1950</v>
      </c>
      <c r="C270" s="25">
        <v>18506</v>
      </c>
      <c r="D270" s="26"/>
      <c r="E270" s="24"/>
      <c r="F270" s="26"/>
      <c r="G270" s="24"/>
      <c r="H270" s="24"/>
      <c r="I270" s="26"/>
      <c r="J270" s="24"/>
      <c r="K270" s="26"/>
      <c r="L270" s="24"/>
      <c r="M270" s="24"/>
      <c r="N270" s="26"/>
      <c r="O270" s="26"/>
      <c r="P270" s="26"/>
      <c r="Q270" s="26"/>
      <c r="R270" s="26"/>
      <c r="S270" s="26"/>
      <c r="T270" s="26"/>
      <c r="U270" s="26"/>
      <c r="V270" s="26"/>
      <c r="W270" s="26">
        <f>MAX($C$7-VLOOKUP($C270,COS!$B$8:$H$991,3,FALSE),0)</f>
        <v>2742.2333984375</v>
      </c>
      <c r="X270" s="26">
        <f t="shared" si="347"/>
        <v>168.61335937499999</v>
      </c>
      <c r="Y270" s="26">
        <f>VLOOKUP($C270,COS!$B$8:$H$991,4,FALSE)</f>
        <v>437.07077026367188</v>
      </c>
      <c r="Z270" s="26">
        <f t="shared" si="348"/>
        <v>26.874434138526603</v>
      </c>
      <c r="AA270" s="26">
        <f t="shared" ref="AA270:AA274" si="430">MIN(W270,Y270)</f>
        <v>437.07077026367188</v>
      </c>
      <c r="AB270" s="33">
        <f t="shared" ref="AB270" si="431">AA270*DAY($C270)*86400/43560/1000*IF(MONTH($C270)=8,$P$3,IF(MONTH($C270)=9,$P$4,IF(MONTH($C270)=10,$P$5,IF(MONTH($C270)=11,$P$6,IF(MONTH($C270)=12,$P$7,NA())))))</f>
        <v>26.874434138526603</v>
      </c>
    </row>
    <row r="271" spans="1:28" x14ac:dyDescent="0.3">
      <c r="A271" s="32">
        <f>VLOOKUP(YEAR(C271),Flags!$A$13:$B$95,2,FALSE)</f>
        <v>4</v>
      </c>
      <c r="B271" s="24">
        <f t="shared" ref="B271:B334" si="432">YEAR(C271)</f>
        <v>1950</v>
      </c>
      <c r="C271" s="25">
        <v>18536</v>
      </c>
      <c r="D271" s="26"/>
      <c r="E271" s="24"/>
      <c r="F271" s="26"/>
      <c r="G271" s="24"/>
      <c r="H271" s="24"/>
      <c r="I271" s="26"/>
      <c r="J271" s="24"/>
      <c r="K271" s="26">
        <f>VLOOKUP($C271,COS!$B$8:$H$991,2,FALSE)</f>
        <v>3133.93603515625</v>
      </c>
      <c r="L271" s="24">
        <f t="shared" ref="L271" si="433">IF(AND(K271&gt;$I$7,K271&lt;$I$8),1,0)</f>
        <v>1</v>
      </c>
      <c r="M271" s="24"/>
      <c r="N271" s="26"/>
      <c r="O271" s="26"/>
      <c r="P271" s="26"/>
      <c r="Q271" s="26"/>
      <c r="R271" s="26"/>
      <c r="S271" s="26"/>
      <c r="T271" s="26"/>
      <c r="U271" s="26"/>
      <c r="V271" s="26"/>
      <c r="W271" s="26">
        <f>MAX($C$8-VLOOKUP($C271,COS!$B$8:$H$991,3,FALSE),0)</f>
        <v>1236.51904296875</v>
      </c>
      <c r="X271" s="26">
        <f t="shared" si="347"/>
        <v>73.577992639462806</v>
      </c>
      <c r="Y271" s="26">
        <f>VLOOKUP($C271,COS!$B$8:$H$991,4,FALSE)</f>
        <v>0</v>
      </c>
      <c r="Z271" s="26">
        <f t="shared" si="348"/>
        <v>0</v>
      </c>
      <c r="AA271" s="26">
        <f t="shared" si="430"/>
        <v>0</v>
      </c>
      <c r="AB271" s="33">
        <f t="shared" si="345"/>
        <v>0</v>
      </c>
    </row>
    <row r="272" spans="1:28" x14ac:dyDescent="0.3">
      <c r="A272" s="32">
        <f>VLOOKUP(YEAR(C272),Flags!$A$13:$B$95,2,FALSE)</f>
        <v>4</v>
      </c>
      <c r="B272" s="24">
        <f t="shared" si="432"/>
        <v>1950</v>
      </c>
      <c r="C272" s="25">
        <v>18567</v>
      </c>
      <c r="D272" s="26"/>
      <c r="E272" s="24"/>
      <c r="F272" s="26"/>
      <c r="G272" s="26"/>
      <c r="H272" s="26"/>
      <c r="I272" s="26"/>
      <c r="J272" s="26"/>
      <c r="K272" s="26"/>
      <c r="L272" s="24"/>
      <c r="M272" s="24"/>
      <c r="N272" s="26"/>
      <c r="O272" s="26"/>
      <c r="P272" s="26"/>
      <c r="Q272" s="26"/>
      <c r="R272" s="26"/>
      <c r="S272" s="26"/>
      <c r="T272" s="26"/>
      <c r="U272" s="26"/>
      <c r="V272" s="26"/>
      <c r="W272" s="26">
        <f>MAX($C$9-VLOOKUP($C272,COS!$B$8:$H$991,3,FALSE),0)</f>
        <v>0</v>
      </c>
      <c r="X272" s="26">
        <f t="shared" si="347"/>
        <v>0</v>
      </c>
      <c r="Y272" s="26">
        <f>VLOOKUP($C272,COS!$B$8:$H$991,4,FALSE)</f>
        <v>1385.623291015625</v>
      </c>
      <c r="Z272" s="26">
        <f t="shared" si="348"/>
        <v>85.198655249225212</v>
      </c>
      <c r="AA272" s="26">
        <f t="shared" si="430"/>
        <v>0</v>
      </c>
      <c r="AB272" s="33">
        <f t="shared" si="345"/>
        <v>0</v>
      </c>
    </row>
    <row r="273" spans="1:28" x14ac:dyDescent="0.3">
      <c r="A273" s="32">
        <f>VLOOKUP(YEAR(C273),Flags!$A$13:$B$95,2,FALSE)</f>
        <v>4</v>
      </c>
      <c r="B273" s="24">
        <f t="shared" si="432"/>
        <v>1950</v>
      </c>
      <c r="C273" s="25">
        <v>18597</v>
      </c>
      <c r="D273" s="26"/>
      <c r="E273" s="24"/>
      <c r="F273" s="26"/>
      <c r="G273" s="26"/>
      <c r="H273" s="26"/>
      <c r="I273" s="26"/>
      <c r="J273" s="26"/>
      <c r="K273" s="26"/>
      <c r="L273" s="24"/>
      <c r="M273" s="24"/>
      <c r="N273" s="26"/>
      <c r="O273" s="26"/>
      <c r="P273" s="26"/>
      <c r="Q273" s="26"/>
      <c r="R273" s="26"/>
      <c r="S273" s="26"/>
      <c r="T273" s="26"/>
      <c r="U273" s="26"/>
      <c r="V273" s="26"/>
      <c r="W273" s="26">
        <f>MAX($C$10-VLOOKUP($C273,COS!$B$8:$H$991,3,FALSE),0)</f>
        <v>0</v>
      </c>
      <c r="X273" s="26">
        <f t="shared" si="347"/>
        <v>0</v>
      </c>
      <c r="Y273" s="26">
        <f>VLOOKUP($C273,COS!$B$8:$H$991,4,FALSE)</f>
        <v>0</v>
      </c>
      <c r="Z273" s="26">
        <f t="shared" si="348"/>
        <v>0</v>
      </c>
      <c r="AA273" s="26">
        <f t="shared" si="430"/>
        <v>0</v>
      </c>
      <c r="AB273" s="33">
        <f t="shared" si="345"/>
        <v>0</v>
      </c>
    </row>
    <row r="274" spans="1:28" x14ac:dyDescent="0.3">
      <c r="A274" s="34">
        <f>VLOOKUP(YEAR(C274),Flags!$A$13:$B$95,2,FALSE)</f>
        <v>4</v>
      </c>
      <c r="B274" s="35">
        <f t="shared" si="432"/>
        <v>1950</v>
      </c>
      <c r="C274" s="36">
        <v>18628</v>
      </c>
      <c r="D274" s="37"/>
      <c r="E274" s="35"/>
      <c r="F274" s="37"/>
      <c r="G274" s="37"/>
      <c r="H274" s="37"/>
      <c r="I274" s="37"/>
      <c r="J274" s="37"/>
      <c r="K274" s="37"/>
      <c r="L274" s="35"/>
      <c r="M274" s="35"/>
      <c r="N274" s="37"/>
      <c r="O274" s="37"/>
      <c r="P274" s="37"/>
      <c r="Q274" s="37"/>
      <c r="R274" s="37"/>
      <c r="S274" s="37"/>
      <c r="T274" s="37"/>
      <c r="U274" s="37"/>
      <c r="V274" s="37"/>
      <c r="W274" s="37">
        <f>MAX($C$11-VLOOKUP($C274,COS!$B$8:$H$991,3,FALSE),0)</f>
        <v>0</v>
      </c>
      <c r="X274" s="37">
        <f t="shared" si="347"/>
        <v>0</v>
      </c>
      <c r="Y274" s="37">
        <f>VLOOKUP($C274,COS!$B$8:$H$991,4,FALSE)</f>
        <v>0</v>
      </c>
      <c r="Z274" s="37">
        <f t="shared" si="348"/>
        <v>0</v>
      </c>
      <c r="AA274" s="37">
        <f t="shared" si="430"/>
        <v>0</v>
      </c>
      <c r="AB274" s="38">
        <f t="shared" si="345"/>
        <v>0</v>
      </c>
    </row>
    <row r="275" spans="1:28" x14ac:dyDescent="0.3">
      <c r="A275" s="27">
        <f>VLOOKUP(YEAR(C275),Flags!$A$13:$B$95,2,FALSE)</f>
        <v>2</v>
      </c>
      <c r="B275" s="28">
        <f t="shared" si="432"/>
        <v>1951</v>
      </c>
      <c r="C275" s="29">
        <v>18748</v>
      </c>
      <c r="D275" s="30">
        <f>VLOOKUP($C275,COS!$B$8:$H$991,3,FALSE)</f>
        <v>3250</v>
      </c>
      <c r="E275" s="28">
        <f>IF(D275&gt;=IF(MONTH($C275)=4,$C$3,IF(MONTH($C275)=5,$C$4,IF(MONTH($C275)=6,$C$5,IF(MONTH($C275)=7,$C$6,"ERROR")))),1,0)</f>
        <v>0</v>
      </c>
      <c r="F275" s="30">
        <f>VLOOKUP($C275,COS!$B$8:$H$991,7,FALSE)</f>
        <v>50.026283264160156</v>
      </c>
      <c r="G275" s="28">
        <f>IF(F275&lt;=IF(MONTH($C275)=4,$F$3,IF(MONTH($C275)=5,$F$4,IF(MONTH($C275)=6,$F$5,IF(MONTH($C275)=7,$F$6,"ERROR")))),1,0)</f>
        <v>1</v>
      </c>
      <c r="H275" s="30">
        <f>IF(J275=1,D275-$C$3,0)</f>
        <v>0</v>
      </c>
      <c r="I275" s="30">
        <f t="shared" si="342"/>
        <v>0</v>
      </c>
      <c r="J275" s="28">
        <f t="shared" ref="J275:J278" si="434">IF(AND(E275=1,G275=1),1,0)</f>
        <v>0</v>
      </c>
      <c r="K275" s="30">
        <f>VLOOKUP($C275,COS!$B$8:$H$991,2,FALSE)</f>
        <v>4516.4619140625</v>
      </c>
      <c r="L275" s="28">
        <f t="shared" ref="L275:L332" si="435">IF(K275&lt;=IF(MONTH($C275)=4,$I$3,IF(MONTH($C275)=5,$I$4,IF(MONTH($C275)=6,$I$5,IF(MONTH($C275)=7,$I$6,"ERROR")))),1,0)</f>
        <v>1</v>
      </c>
      <c r="M275" s="28">
        <f t="shared" ref="M275:M332" si="436">VLOOKUP($A275,$L$3:$M$7,2,FALSE)</f>
        <v>0</v>
      </c>
      <c r="N275" s="30">
        <f>VLOOKUP($C275,COS!$B$8:$H$991,5,FALSE)</f>
        <v>285.89596557617188</v>
      </c>
      <c r="O275" s="30">
        <f t="shared" ref="O275:O278" si="437">N275*DAY($C275)*86400/43560/1000</f>
        <v>17.011991340069731</v>
      </c>
      <c r="P275" s="30">
        <f>VLOOKUP($C275,COS!$B$8:$H$991,6,FALSE)</f>
        <v>523.71405029296875</v>
      </c>
      <c r="Q275" s="30">
        <f t="shared" ref="Q275:Q278" si="438">P275*DAY($C275)*86400/43560/1000</f>
        <v>31.16315010007748</v>
      </c>
      <c r="R275" s="30">
        <f>MIN(IF(MONTH($C275)=4,$S$3,IF(MONTH($C275)=5,$S$4,IF(MONTH($C275)=6,$S$5,IF(MONTH($C275)=7,$S$6,"ERROR")))),MAX(VLOOKUP($C275,COS!$B$8:$K$991,10,FALSE)-IF(MONTH($C275)=4,$Y$3,IF(MONTH($C275)=5,$Y$4,IF(MONTH($C275)=6,$Y$5,IF(MONTH($C275)=7,$Y$6,"ERROR")))),0),MAX(VLOOKUP($C275,COS!$B$8:$K$991,9,FALSE)-IF(MONTH($C275)=4,$V$3,IF(MONTH($C275)=5,$V$4,IF(MONTH($C275)=6,$V$5,IF(MONTH($C275)=7,$V$6,"ERROR"))))-VLOOKUP($C275,COS!$B$8:$K$991,6,FALSE)/2,0))</f>
        <v>870.47891235351563</v>
      </c>
      <c r="S275" s="30">
        <f t="shared" ref="S275:S278" si="439">R275*DAY($C275)*86400/43560/1000</f>
        <v>51.797092305333166</v>
      </c>
      <c r="T275" s="30">
        <f t="shared" ref="T275:T278" si="440">(O275+Q275)/2+S275</f>
        <v>75.88466302540678</v>
      </c>
      <c r="U275" s="30" t="str">
        <f>IF(VLOOKUP($C275,COS!$B$8:$I$991,8,FALSE)=1,"UWFE","IBU")</f>
        <v>UWFE</v>
      </c>
      <c r="V275" s="30">
        <f t="shared" ref="V275" si="441">MIN(IF(IF($AA$3=2,AND(E275=1,G275=1,L275=1,L280=1,M275=1,U275="IBU"),AND(E275=1,G275=1,L275=1,L280=1,M275=1)),T275,0),I275)</f>
        <v>0</v>
      </c>
      <c r="W275" s="30"/>
      <c r="X275" s="30"/>
      <c r="Y275" s="30"/>
      <c r="Z275" s="30"/>
      <c r="AA275" s="30"/>
      <c r="AB275" s="31"/>
    </row>
    <row r="276" spans="1:28" x14ac:dyDescent="0.3">
      <c r="A276" s="32">
        <f>VLOOKUP(YEAR(C276),Flags!$A$13:$B$95,2,FALSE)</f>
        <v>2</v>
      </c>
      <c r="B276" s="24">
        <f t="shared" si="432"/>
        <v>1951</v>
      </c>
      <c r="C276" s="25">
        <v>18779</v>
      </c>
      <c r="D276" s="26">
        <f>VLOOKUP($C276,COS!$B$8:$H$991,3,FALSE)</f>
        <v>6537.244140625</v>
      </c>
      <c r="E276" s="24">
        <f>IF(D276&gt;=IF(MONTH($C276)=4,$C$3,IF(MONTH($C276)=5,$C$4,IF(MONTH($C276)=6,$C$5,IF(MONTH($C276)=7,$C$6,"ERROR")))),1,0)</f>
        <v>1</v>
      </c>
      <c r="F276" s="26">
        <f>VLOOKUP($C276,COS!$B$8:$H$991,7,FALSE)</f>
        <v>50.078166961669922</v>
      </c>
      <c r="G276" s="24">
        <f>IF(F276&lt;=IF(MONTH($C276)=4,$F$3,IF(MONTH($C276)=5,$F$4,IF(MONTH($C276)=6,$F$5,IF(MONTH($C276)=7,$F$6,"ERROR")))),1,0)</f>
        <v>1</v>
      </c>
      <c r="H276" s="26">
        <f>IF(J276=1,D276-$C$4,0)</f>
        <v>537.244140625</v>
      </c>
      <c r="I276" s="26">
        <f t="shared" si="342"/>
        <v>33.033854597107435</v>
      </c>
      <c r="J276" s="24">
        <f t="shared" si="434"/>
        <v>1</v>
      </c>
      <c r="K276" s="26">
        <f>VLOOKUP($C276,COS!$B$8:$H$991,2,FALSE)</f>
        <v>4552</v>
      </c>
      <c r="L276" s="24">
        <f t="shared" si="435"/>
        <v>1</v>
      </c>
      <c r="M276" s="24">
        <f t="shared" si="436"/>
        <v>0</v>
      </c>
      <c r="N276" s="26">
        <f>VLOOKUP($C276,COS!$B$8:$H$991,5,FALSE)</f>
        <v>725.94110107421875</v>
      </c>
      <c r="O276" s="26">
        <f t="shared" si="437"/>
        <v>44.636378446216426</v>
      </c>
      <c r="P276" s="26">
        <f>VLOOKUP($C276,COS!$B$8:$H$991,6,FALSE)</f>
        <v>1961.9442138671875</v>
      </c>
      <c r="Q276" s="26">
        <f t="shared" si="438"/>
        <v>120.63524753034608</v>
      </c>
      <c r="R276" s="26">
        <f>MIN(IF(MONTH($C276)=4,$S$3,IF(MONTH($C276)=5,$S$4,IF(MONTH($C276)=6,$S$5,IF(MONTH($C276)=7,$S$6,"ERROR")))),MAX(VLOOKUP($C276,COS!$B$8:$K$991,10,FALSE)-IF(MONTH($C276)=4,$Y$3,IF(MONTH($C276)=5,$Y$4,IF(MONTH($C276)=6,$Y$5,IF(MONTH($C276)=7,$Y$6,"ERROR")))),0),MAX(VLOOKUP($C276,COS!$B$8:$K$991,9,FALSE)-IF(MONTH($C276)=4,$V$3,IF(MONTH($C276)=5,$V$4,IF(MONTH($C276)=6,$V$5,IF(MONTH($C276)=7,$V$6,"ERROR"))))-VLOOKUP($C276,COS!$B$8:$K$991,6,FALSE)/2,0))</f>
        <v>1500</v>
      </c>
      <c r="S276" s="26">
        <f t="shared" si="439"/>
        <v>92.231404958677686</v>
      </c>
      <c r="T276" s="26">
        <f t="shared" si="440"/>
        <v>174.86721794695893</v>
      </c>
      <c r="U276" s="26" t="str">
        <f>IF(VLOOKUP($C276,COS!$B$8:$I$991,8,FALSE)=1,"UWFE","IBU")</f>
        <v>UWFE</v>
      </c>
      <c r="V276" s="26">
        <f t="shared" ref="V276" si="442">MIN(IF(IF($AA$3=2,AND(E276=1,G276=1,L276=1,L280=1,M276=1,U276="IBU"),AND(E276=1,G276=1,L276=1,L280=1,M276=1)),T276,0),I276)</f>
        <v>0</v>
      </c>
      <c r="W276" s="26"/>
      <c r="X276" s="26"/>
      <c r="Y276" s="26"/>
      <c r="Z276" s="26"/>
      <c r="AA276" s="26"/>
      <c r="AB276" s="33"/>
    </row>
    <row r="277" spans="1:28" x14ac:dyDescent="0.3">
      <c r="A277" s="32">
        <f>VLOOKUP(YEAR(C277),Flags!$A$13:$B$95,2,FALSE)</f>
        <v>2</v>
      </c>
      <c r="B277" s="24">
        <f t="shared" si="432"/>
        <v>1951</v>
      </c>
      <c r="C277" s="25">
        <v>18809</v>
      </c>
      <c r="D277" s="26">
        <f>VLOOKUP($C277,COS!$B$8:$H$991,3,FALSE)</f>
        <v>10659.24609375</v>
      </c>
      <c r="E277" s="24">
        <f>IF(D277&gt;=IF(MONTH($C277)=4,$C$3,IF(MONTH($C277)=5,$C$4,IF(MONTH($C277)=6,$C$5,IF(MONTH($C277)=7,$C$6,"ERROR")))),1,0)</f>
        <v>1</v>
      </c>
      <c r="F277" s="26">
        <f>VLOOKUP($C277,COS!$B$8:$H$991,7,FALSE)</f>
        <v>49.92681884765625</v>
      </c>
      <c r="G277" s="24">
        <f>IF(F277&lt;=IF(MONTH($C277)=4,$F$3,IF(MONTH($C277)=5,$F$4,IF(MONTH($C277)=6,$F$5,IF(MONTH($C277)=7,$F$6,"ERROR")))),1,0)</f>
        <v>1</v>
      </c>
      <c r="H277" s="26">
        <f>IF(J277=1,D277-$C$5,0)</f>
        <v>659.24609375</v>
      </c>
      <c r="I277" s="26">
        <f t="shared" si="342"/>
        <v>39.227866735537184</v>
      </c>
      <c r="J277" s="24">
        <f t="shared" si="434"/>
        <v>1</v>
      </c>
      <c r="K277" s="26">
        <f>VLOOKUP($C277,COS!$B$8:$H$991,2,FALSE)</f>
        <v>4123.96142578125</v>
      </c>
      <c r="L277" s="24">
        <f t="shared" si="435"/>
        <v>1</v>
      </c>
      <c r="M277" s="24">
        <f t="shared" si="436"/>
        <v>0</v>
      </c>
      <c r="N277" s="26">
        <f>VLOOKUP($C277,COS!$B$8:$H$991,5,FALSE)</f>
        <v>977.7628173828125</v>
      </c>
      <c r="O277" s="26">
        <f t="shared" si="437"/>
        <v>58.180927976497934</v>
      </c>
      <c r="P277" s="26">
        <f>VLOOKUP($C277,COS!$B$8:$H$991,6,FALSE)</f>
        <v>2422.49462890625</v>
      </c>
      <c r="Q277" s="26">
        <f t="shared" si="438"/>
        <v>144.14844072830579</v>
      </c>
      <c r="R277" s="26">
        <f>MIN(IF(MONTH($C277)=4,$S$3,IF(MONTH($C277)=5,$S$4,IF(MONTH($C277)=6,$S$5,IF(MONTH($C277)=7,$S$6,"ERROR")))),MAX(VLOOKUP($C277,COS!$B$8:$K$991,10,FALSE)-IF(MONTH($C277)=4,$Y$3,IF(MONTH($C277)=5,$Y$4,IF(MONTH($C277)=6,$Y$5,IF(MONTH($C277)=7,$Y$6,"ERROR")))),0),MAX(VLOOKUP($C277,COS!$B$8:$K$991,9,FALSE)-IF(MONTH($C277)=4,$V$3,IF(MONTH($C277)=5,$V$4,IF(MONTH($C277)=6,$V$5,IF(MONTH($C277)=7,$V$6,"ERROR"))))-VLOOKUP($C277,COS!$B$8:$K$991,6,FALSE)/2,0))</f>
        <v>1500</v>
      </c>
      <c r="S277" s="26">
        <f t="shared" si="439"/>
        <v>89.256198347107429</v>
      </c>
      <c r="T277" s="26">
        <f t="shared" si="440"/>
        <v>190.42088269950929</v>
      </c>
      <c r="U277" s="26" t="str">
        <f>IF(VLOOKUP($C277,COS!$B$8:$I$991,8,FALSE)=1,"UWFE","IBU")</f>
        <v>IBU</v>
      </c>
      <c r="V277" s="26">
        <f t="shared" ref="V277" si="443">MIN(IF(IF($AA$3=2,AND(E277=1,G277=1,L277=1,L280=1,M277=1,U277="IBU"),AND(E277=1,G277=1,L277=1,L280=1,M277=1)),T277,0),I277)</f>
        <v>0</v>
      </c>
      <c r="W277" s="26"/>
      <c r="X277" s="26"/>
      <c r="Y277" s="26"/>
      <c r="Z277" s="26"/>
      <c r="AA277" s="26"/>
      <c r="AB277" s="33"/>
    </row>
    <row r="278" spans="1:28" x14ac:dyDescent="0.3">
      <c r="A278" s="32">
        <f>VLOOKUP(YEAR(C278),Flags!$A$13:$B$95,2,FALSE)</f>
        <v>2</v>
      </c>
      <c r="B278" s="24">
        <f t="shared" si="432"/>
        <v>1951</v>
      </c>
      <c r="C278" s="25">
        <v>18840</v>
      </c>
      <c r="D278" s="26">
        <f>VLOOKUP($C278,COS!$B$8:$H$991,3,FALSE)</f>
        <v>16000</v>
      </c>
      <c r="E278" s="24">
        <f>IF(D278&gt;=IF(MONTH($C278)=4,$C$3,IF(MONTH($C278)=5,$C$4,IF(MONTH($C278)=6,$C$5,IF(MONTH($C278)=7,$C$6,"ERROR")))),1,0)</f>
        <v>1</v>
      </c>
      <c r="F278" s="26">
        <f>VLOOKUP($C278,COS!$B$8:$H$991,7,FALSE)</f>
        <v>50.000553131103516</v>
      </c>
      <c r="G278" s="24">
        <f>IF(F278&lt;=IF(MONTH($C278)=4,$F$3,IF(MONTH($C278)=5,$F$4,IF(MONTH($C278)=6,$F$5,IF(MONTH($C278)=7,$F$6,"ERROR")))),1,0)</f>
        <v>1</v>
      </c>
      <c r="H278" s="26">
        <f>IF(J278=1,D278-$C$6,0)</f>
        <v>4000</v>
      </c>
      <c r="I278" s="26">
        <f t="shared" si="342"/>
        <v>245.95041322314049</v>
      </c>
      <c r="J278" s="24">
        <f t="shared" si="434"/>
        <v>1</v>
      </c>
      <c r="K278" s="26">
        <f>VLOOKUP($C278,COS!$B$8:$H$991,2,FALSE)</f>
        <v>3378.982666015625</v>
      </c>
      <c r="L278" s="24">
        <f t="shared" si="435"/>
        <v>1</v>
      </c>
      <c r="M278" s="24">
        <f t="shared" si="436"/>
        <v>0</v>
      </c>
      <c r="N278" s="26">
        <f>VLOOKUP($C278,COS!$B$8:$H$991,5,FALSE)</f>
        <v>1073.9122314453125</v>
      </c>
      <c r="O278" s="26">
        <f t="shared" si="437"/>
        <v>66.032289272339867</v>
      </c>
      <c r="P278" s="26">
        <f>VLOOKUP($C278,COS!$B$8:$H$991,6,FALSE)</f>
        <v>2562.892822265625</v>
      </c>
      <c r="Q278" s="26">
        <f t="shared" si="438"/>
        <v>157.58613717071282</v>
      </c>
      <c r="R278" s="26">
        <f>MIN(IF(MONTH($C278)=4,$S$3,IF(MONTH($C278)=5,$S$4,IF(MONTH($C278)=6,$S$5,IF(MONTH($C278)=7,$S$6,"ERROR")))),MAX(VLOOKUP($C278,COS!$B$8:$K$991,10,FALSE)-IF(MONTH($C278)=4,$Y$3,IF(MONTH($C278)=5,$Y$4,IF(MONTH($C278)=6,$Y$5,IF(MONTH($C278)=7,$Y$6,"ERROR")))),0),MAX(VLOOKUP($C278,COS!$B$8:$K$991,9,FALSE)-IF(MONTH($C278)=4,$V$3,IF(MONTH($C278)=5,$V$4,IF(MONTH($C278)=6,$V$5,IF(MONTH($C278)=7,$V$6,"ERROR"))))-VLOOKUP($C278,COS!$B$8:$K$991,6,FALSE)/2,0))</f>
        <v>1500</v>
      </c>
      <c r="S278" s="26">
        <f t="shared" si="439"/>
        <v>92.231404958677686</v>
      </c>
      <c r="T278" s="26">
        <f t="shared" si="440"/>
        <v>204.04061818020404</v>
      </c>
      <c r="U278" s="26" t="str">
        <f>IF(VLOOKUP($C278,COS!$B$8:$I$991,8,FALSE)=1,"UWFE","IBU")</f>
        <v>IBU</v>
      </c>
      <c r="V278" s="26">
        <f t="shared" ref="V278" si="444">MIN(IF(IF($AA$3=2,AND(E278=1,G278=1,L278=1,L280=1,M278=1,U278="IBU"),AND(E278=1,G278=1,L278=1,L280=1,M278=1)),T278,0),I278)</f>
        <v>0</v>
      </c>
      <c r="W278" s="26"/>
      <c r="X278" s="26"/>
      <c r="Y278" s="26"/>
      <c r="Z278" s="26"/>
      <c r="AA278" s="26"/>
      <c r="AB278" s="33"/>
    </row>
    <row r="279" spans="1:28" x14ac:dyDescent="0.3">
      <c r="A279" s="32">
        <f>VLOOKUP(YEAR(C279),Flags!$A$13:$B$95,2,FALSE)</f>
        <v>2</v>
      </c>
      <c r="B279" s="24">
        <f t="shared" si="432"/>
        <v>1951</v>
      </c>
      <c r="C279" s="25">
        <v>18871</v>
      </c>
      <c r="D279" s="26"/>
      <c r="E279" s="24"/>
      <c r="F279" s="26"/>
      <c r="G279" s="24"/>
      <c r="H279" s="24"/>
      <c r="I279" s="26"/>
      <c r="J279" s="24"/>
      <c r="K279" s="26"/>
      <c r="L279" s="24"/>
      <c r="M279" s="24"/>
      <c r="N279" s="26"/>
      <c r="O279" s="26"/>
      <c r="P279" s="26"/>
      <c r="Q279" s="26"/>
      <c r="R279" s="26"/>
      <c r="S279" s="26"/>
      <c r="T279" s="26"/>
      <c r="U279" s="26"/>
      <c r="V279" s="26"/>
      <c r="W279" s="26">
        <f>MAX($C$7-VLOOKUP($C279,COS!$B$8:$H$991,3,FALSE),0)</f>
        <v>695.990234375</v>
      </c>
      <c r="X279" s="26">
        <f t="shared" si="347"/>
        <v>42.794771435950409</v>
      </c>
      <c r="Y279" s="26">
        <f>VLOOKUP($C279,COS!$B$8:$H$991,4,FALSE)</f>
        <v>0</v>
      </c>
      <c r="Z279" s="26">
        <f t="shared" si="348"/>
        <v>0</v>
      </c>
      <c r="AA279" s="26">
        <f t="shared" ref="AA279:AA283" si="445">MIN(W279,Y279)</f>
        <v>0</v>
      </c>
      <c r="AB279" s="33">
        <f t="shared" ref="AB279:AB337" si="446">AA279*DAY($C279)*86400/43560/1000*IF(MONTH($C279)=8,$P$3,IF(MONTH($C279)=9,$P$4,IF(MONTH($C279)=10,$P$5,IF(MONTH($C279)=11,$P$6,IF(MONTH($C279)=12,$P$7,NA())))))</f>
        <v>0</v>
      </c>
    </row>
    <row r="280" spans="1:28" x14ac:dyDescent="0.3">
      <c r="A280" s="32">
        <f>VLOOKUP(YEAR(C280),Flags!$A$13:$B$95,2,FALSE)</f>
        <v>2</v>
      </c>
      <c r="B280" s="24">
        <f t="shared" si="432"/>
        <v>1951</v>
      </c>
      <c r="C280" s="25">
        <v>18901</v>
      </c>
      <c r="D280" s="26"/>
      <c r="E280" s="24"/>
      <c r="F280" s="26"/>
      <c r="G280" s="24"/>
      <c r="H280" s="24"/>
      <c r="I280" s="26"/>
      <c r="J280" s="24"/>
      <c r="K280" s="26">
        <f>VLOOKUP($C280,COS!$B$8:$H$991,2,FALSE)</f>
        <v>2661.90625</v>
      </c>
      <c r="L280" s="24">
        <f t="shared" ref="L280" si="447">IF(AND(K280&gt;$I$7,K280&lt;$I$8),1,0)</f>
        <v>1</v>
      </c>
      <c r="M280" s="24"/>
      <c r="N280" s="26"/>
      <c r="O280" s="26"/>
      <c r="P280" s="26"/>
      <c r="Q280" s="26"/>
      <c r="R280" s="26"/>
      <c r="S280" s="26"/>
      <c r="T280" s="26"/>
      <c r="U280" s="26"/>
      <c r="V280" s="26"/>
      <c r="W280" s="26">
        <f>MAX($C$8-VLOOKUP($C280,COS!$B$8:$H$991,3,FALSE),0)</f>
        <v>0</v>
      </c>
      <c r="X280" s="26">
        <f t="shared" si="347"/>
        <v>0</v>
      </c>
      <c r="Y280" s="26">
        <f>VLOOKUP($C280,COS!$B$8:$H$991,4,FALSE)</f>
        <v>0</v>
      </c>
      <c r="Z280" s="26">
        <f t="shared" si="348"/>
        <v>0</v>
      </c>
      <c r="AA280" s="26">
        <f t="shared" si="445"/>
        <v>0</v>
      </c>
      <c r="AB280" s="33">
        <f t="shared" si="446"/>
        <v>0</v>
      </c>
    </row>
    <row r="281" spans="1:28" x14ac:dyDescent="0.3">
      <c r="A281" s="32">
        <f>VLOOKUP(YEAR(C281),Flags!$A$13:$B$95,2,FALSE)</f>
        <v>2</v>
      </c>
      <c r="B281" s="24">
        <f t="shared" si="432"/>
        <v>1951</v>
      </c>
      <c r="C281" s="25">
        <v>18932</v>
      </c>
      <c r="D281" s="26"/>
      <c r="E281" s="24"/>
      <c r="F281" s="26"/>
      <c r="G281" s="26"/>
      <c r="H281" s="26"/>
      <c r="I281" s="26"/>
      <c r="J281" s="26"/>
      <c r="K281" s="26"/>
      <c r="L281" s="24"/>
      <c r="M281" s="24"/>
      <c r="N281" s="26"/>
      <c r="O281" s="26"/>
      <c r="P281" s="26"/>
      <c r="Q281" s="26"/>
      <c r="R281" s="26"/>
      <c r="S281" s="26"/>
      <c r="T281" s="26"/>
      <c r="U281" s="26"/>
      <c r="V281" s="26"/>
      <c r="W281" s="26">
        <f>MAX($C$9-VLOOKUP($C281,COS!$B$8:$H$991,3,FALSE),0)</f>
        <v>0</v>
      </c>
      <c r="X281" s="26">
        <f t="shared" si="347"/>
        <v>0</v>
      </c>
      <c r="Y281" s="26">
        <f>VLOOKUP($C281,COS!$B$8:$H$991,4,FALSE)</f>
        <v>951.9967041015625</v>
      </c>
      <c r="Z281" s="26">
        <f t="shared" si="348"/>
        <v>58.535995690211777</v>
      </c>
      <c r="AA281" s="26">
        <f t="shared" si="445"/>
        <v>0</v>
      </c>
      <c r="AB281" s="33">
        <f t="shared" si="446"/>
        <v>0</v>
      </c>
    </row>
    <row r="282" spans="1:28" x14ac:dyDescent="0.3">
      <c r="A282" s="32">
        <f>VLOOKUP(YEAR(C282),Flags!$A$13:$B$95,2,FALSE)</f>
        <v>2</v>
      </c>
      <c r="B282" s="24">
        <f t="shared" si="432"/>
        <v>1951</v>
      </c>
      <c r="C282" s="25">
        <v>18962</v>
      </c>
      <c r="D282" s="26"/>
      <c r="E282" s="24"/>
      <c r="F282" s="26"/>
      <c r="G282" s="26"/>
      <c r="H282" s="26"/>
      <c r="I282" s="26"/>
      <c r="J282" s="26"/>
      <c r="K282" s="26"/>
      <c r="L282" s="24"/>
      <c r="M282" s="24"/>
      <c r="N282" s="26"/>
      <c r="O282" s="26"/>
      <c r="P282" s="26"/>
      <c r="Q282" s="26"/>
      <c r="R282" s="26"/>
      <c r="S282" s="26"/>
      <c r="T282" s="26"/>
      <c r="U282" s="26"/>
      <c r="V282" s="26"/>
      <c r="W282" s="26">
        <f>MAX($C$10-VLOOKUP($C282,COS!$B$8:$H$991,3,FALSE),0)</f>
        <v>0</v>
      </c>
      <c r="X282" s="26">
        <f t="shared" si="347"/>
        <v>0</v>
      </c>
      <c r="Y282" s="26">
        <f>VLOOKUP($C282,COS!$B$8:$H$991,4,FALSE)</f>
        <v>1099.94921875</v>
      </c>
      <c r="Z282" s="26">
        <f t="shared" si="348"/>
        <v>65.451523760330574</v>
      </c>
      <c r="AA282" s="26">
        <f t="shared" si="445"/>
        <v>0</v>
      </c>
      <c r="AB282" s="33">
        <f t="shared" si="446"/>
        <v>0</v>
      </c>
    </row>
    <row r="283" spans="1:28" x14ac:dyDescent="0.3">
      <c r="A283" s="34">
        <f>VLOOKUP(YEAR(C283),Flags!$A$13:$B$95,2,FALSE)</f>
        <v>2</v>
      </c>
      <c r="B283" s="35">
        <f t="shared" si="432"/>
        <v>1951</v>
      </c>
      <c r="C283" s="36">
        <v>18993</v>
      </c>
      <c r="D283" s="37"/>
      <c r="E283" s="35"/>
      <c r="F283" s="37"/>
      <c r="G283" s="37"/>
      <c r="H283" s="37"/>
      <c r="I283" s="37"/>
      <c r="J283" s="37"/>
      <c r="K283" s="37"/>
      <c r="L283" s="35"/>
      <c r="M283" s="35"/>
      <c r="N283" s="37"/>
      <c r="O283" s="37"/>
      <c r="P283" s="37"/>
      <c r="Q283" s="37"/>
      <c r="R283" s="37"/>
      <c r="S283" s="37"/>
      <c r="T283" s="37"/>
      <c r="U283" s="37"/>
      <c r="V283" s="37"/>
      <c r="W283" s="37">
        <f>MAX($C$11-VLOOKUP($C283,COS!$B$8:$H$991,3,FALSE),0)</f>
        <v>0</v>
      </c>
      <c r="X283" s="37">
        <f t="shared" ref="X283:X346" si="448">W283*DAY($C283)*86400/43560/1000</f>
        <v>0</v>
      </c>
      <c r="Y283" s="37">
        <f>VLOOKUP($C283,COS!$B$8:$H$991,4,FALSE)</f>
        <v>0</v>
      </c>
      <c r="Z283" s="37">
        <f t="shared" ref="Z283:Z346" si="449">Y283*DAY($C283)*86400/43560/1000</f>
        <v>0</v>
      </c>
      <c r="AA283" s="37">
        <f t="shared" si="445"/>
        <v>0</v>
      </c>
      <c r="AB283" s="38">
        <f t="shared" si="446"/>
        <v>0</v>
      </c>
    </row>
    <row r="284" spans="1:28" x14ac:dyDescent="0.3">
      <c r="A284" s="27">
        <f>VLOOKUP(YEAR(C284),Flags!$A$13:$B$95,2,FALSE)</f>
        <v>1</v>
      </c>
      <c r="B284" s="28">
        <f t="shared" si="432"/>
        <v>1952</v>
      </c>
      <c r="C284" s="29">
        <v>19114</v>
      </c>
      <c r="D284" s="30">
        <f>VLOOKUP($C284,COS!$B$8:$H$991,3,FALSE)</f>
        <v>16481.419921875</v>
      </c>
      <c r="E284" s="28">
        <f>IF(D284&gt;=IF(MONTH($C284)=4,$C$3,IF(MONTH($C284)=5,$C$4,IF(MONTH($C284)=6,$C$5,IF(MONTH($C284)=7,$C$6,"ERROR")))),1,0)</f>
        <v>1</v>
      </c>
      <c r="F284" s="30">
        <f>VLOOKUP($C284,COS!$B$8:$H$991,7,FALSE)</f>
        <v>46.811973571777344</v>
      </c>
      <c r="G284" s="28">
        <f>IF(F284&lt;=IF(MONTH($C284)=4,$F$3,IF(MONTH($C284)=5,$F$4,IF(MONTH($C284)=6,$F$5,IF(MONTH($C284)=7,$F$6,"ERROR")))),1,0)</f>
        <v>1</v>
      </c>
      <c r="H284" s="30">
        <f>IF(J284=1,D284-$C$3,0)</f>
        <v>10481.419921875</v>
      </c>
      <c r="I284" s="30">
        <f t="shared" ref="I284:I347" si="450">H284*DAY($C284)*86400/43560/1000</f>
        <v>623.68779700413222</v>
      </c>
      <c r="J284" s="28">
        <f t="shared" ref="J284:J287" si="451">IF(AND(E284=1,G284=1),1,0)</f>
        <v>1</v>
      </c>
      <c r="K284" s="30">
        <f>VLOOKUP($C284,COS!$B$8:$H$991,2,FALSE)</f>
        <v>4290</v>
      </c>
      <c r="L284" s="28">
        <f t="shared" ref="L284" si="452">IF(K284&lt;=IF(MONTH($C284)=4,$I$3,IF(MONTH($C284)=5,$I$4,IF(MONTH($C284)=6,$I$5,IF(MONTH($C284)=7,$I$6,"ERROR")))),1,0)</f>
        <v>1</v>
      </c>
      <c r="M284" s="28">
        <f t="shared" ref="M284" si="453">VLOOKUP($A284,$L$3:$M$7,2,FALSE)</f>
        <v>0</v>
      </c>
      <c r="N284" s="30">
        <f>VLOOKUP($C284,COS!$B$8:$H$991,5,FALSE)</f>
        <v>93.1021728515625</v>
      </c>
      <c r="O284" s="30">
        <f t="shared" ref="O284:O287" si="454">N284*DAY($C284)*86400/43560/1000</f>
        <v>5.5399640043904954</v>
      </c>
      <c r="P284" s="30">
        <f>VLOOKUP($C284,COS!$B$8:$H$991,6,FALSE)</f>
        <v>430.79507446289063</v>
      </c>
      <c r="Q284" s="30">
        <f t="shared" ref="Q284:Q287" si="455">P284*DAY($C284)*86400/43560/1000</f>
        <v>25.63408707547779</v>
      </c>
      <c r="R284" s="30">
        <f>MIN(IF(MONTH($C284)=4,$S$3,IF(MONTH($C284)=5,$S$4,IF(MONTH($C284)=6,$S$5,IF(MONTH($C284)=7,$S$6,"ERROR")))),MAX(VLOOKUP($C284,COS!$B$8:$K$991,10,FALSE)-IF(MONTH($C284)=4,$Y$3,IF(MONTH($C284)=5,$Y$4,IF(MONTH($C284)=6,$Y$5,IF(MONTH($C284)=7,$Y$6,"ERROR")))),0),MAX(VLOOKUP($C284,COS!$B$8:$K$991,9,FALSE)-IF(MONTH($C284)=4,$V$3,IF(MONTH($C284)=5,$V$4,IF(MONTH($C284)=6,$V$5,IF(MONTH($C284)=7,$V$6,"ERROR"))))-VLOOKUP($C284,COS!$B$8:$K$991,6,FALSE)/2,0))</f>
        <v>1500</v>
      </c>
      <c r="S284" s="30">
        <f t="shared" ref="S284:S287" si="456">R284*DAY($C284)*86400/43560/1000</f>
        <v>89.256198347107429</v>
      </c>
      <c r="T284" s="30">
        <f t="shared" ref="T284:T287" si="457">(O284+Q284)/2+S284</f>
        <v>104.84322388704157</v>
      </c>
      <c r="U284" s="30" t="str">
        <f>IF(VLOOKUP($C284,COS!$B$8:$I$991,8,FALSE)=1,"UWFE","IBU")</f>
        <v>UWFE</v>
      </c>
      <c r="V284" s="30">
        <f t="shared" ref="V284" si="458">MIN(IF(IF($AA$3=2,AND(E284=1,G284=1,L284=1,L289=1,M284=1,U284="IBU"),AND(E284=1,G284=1,L284=1,L289=1,M284=1)),T284,0),I284)</f>
        <v>0</v>
      </c>
      <c r="W284" s="30"/>
      <c r="X284" s="30"/>
      <c r="Y284" s="30"/>
      <c r="Z284" s="30"/>
      <c r="AA284" s="30"/>
      <c r="AB284" s="31"/>
    </row>
    <row r="285" spans="1:28" x14ac:dyDescent="0.3">
      <c r="A285" s="32">
        <f>VLOOKUP(YEAR(C285),Flags!$A$13:$B$95,2,FALSE)</f>
        <v>1</v>
      </c>
      <c r="B285" s="24">
        <f t="shared" si="432"/>
        <v>1952</v>
      </c>
      <c r="C285" s="25">
        <v>19145</v>
      </c>
      <c r="D285" s="26">
        <f>VLOOKUP($C285,COS!$B$8:$H$991,3,FALSE)</f>
        <v>7205.154296875</v>
      </c>
      <c r="E285" s="24">
        <f>IF(D285&gt;=IF(MONTH($C285)=4,$C$3,IF(MONTH($C285)=5,$C$4,IF(MONTH($C285)=6,$C$5,IF(MONTH($C285)=7,$C$6,"ERROR")))),1,0)</f>
        <v>1</v>
      </c>
      <c r="F285" s="26">
        <f>VLOOKUP($C285,COS!$B$8:$H$991,7,FALSE)</f>
        <v>49.908802032470703</v>
      </c>
      <c r="G285" s="24">
        <f>IF(F285&lt;=IF(MONTH($C285)=4,$F$3,IF(MONTH($C285)=5,$F$4,IF(MONTH($C285)=6,$F$5,IF(MONTH($C285)=7,$F$6,"ERROR")))),1,0)</f>
        <v>1</v>
      </c>
      <c r="H285" s="26">
        <f>IF(J285=1,D285-$C$4,0)</f>
        <v>1205.154296875</v>
      </c>
      <c r="I285" s="26">
        <f t="shared" si="450"/>
        <v>74.102049328512393</v>
      </c>
      <c r="J285" s="24">
        <f t="shared" si="451"/>
        <v>1</v>
      </c>
      <c r="K285" s="26">
        <f>VLOOKUP($C285,COS!$B$8:$H$991,2,FALSE)</f>
        <v>4552</v>
      </c>
      <c r="L285" s="24">
        <f t="shared" si="435"/>
        <v>1</v>
      </c>
      <c r="M285" s="24">
        <f t="shared" si="436"/>
        <v>0</v>
      </c>
      <c r="N285" s="26">
        <f>VLOOKUP($C285,COS!$B$8:$H$991,5,FALSE)</f>
        <v>740.753662109375</v>
      </c>
      <c r="O285" s="26">
        <f t="shared" si="454"/>
        <v>45.547167323088843</v>
      </c>
      <c r="P285" s="26">
        <f>VLOOKUP($C285,COS!$B$8:$H$991,6,FALSE)</f>
        <v>2298.94775390625</v>
      </c>
      <c r="Q285" s="26">
        <f t="shared" si="455"/>
        <v>141.35678751291323</v>
      </c>
      <c r="R285" s="26">
        <f>MIN(IF(MONTH($C285)=4,$S$3,IF(MONTH($C285)=5,$S$4,IF(MONTH($C285)=6,$S$5,IF(MONTH($C285)=7,$S$6,"ERROR")))),MAX(VLOOKUP($C285,COS!$B$8:$K$991,10,FALSE)-IF(MONTH($C285)=4,$Y$3,IF(MONTH($C285)=5,$Y$4,IF(MONTH($C285)=6,$Y$5,IF(MONTH($C285)=7,$Y$6,"ERROR")))),0),MAX(VLOOKUP($C285,COS!$B$8:$K$991,9,FALSE)-IF(MONTH($C285)=4,$V$3,IF(MONTH($C285)=5,$V$4,IF(MONTH($C285)=6,$V$5,IF(MONTH($C285)=7,$V$6,"ERROR"))))-VLOOKUP($C285,COS!$B$8:$K$991,6,FALSE)/2,0))</f>
        <v>1500</v>
      </c>
      <c r="S285" s="26">
        <f t="shared" si="456"/>
        <v>92.231404958677686</v>
      </c>
      <c r="T285" s="26">
        <f t="shared" si="457"/>
        <v>185.68338237667871</v>
      </c>
      <c r="U285" s="26" t="str">
        <f>IF(VLOOKUP($C285,COS!$B$8:$I$991,8,FALSE)=1,"UWFE","IBU")</f>
        <v>UWFE</v>
      </c>
      <c r="V285" s="26">
        <f t="shared" ref="V285" si="459">MIN(IF(IF($AA$3=2,AND(E285=1,G285=1,L285=1,L289=1,M285=1,U285="IBU"),AND(E285=1,G285=1,L285=1,L289=1,M285=1)),T285,0),I285)</f>
        <v>0</v>
      </c>
      <c r="W285" s="26"/>
      <c r="X285" s="26"/>
      <c r="Y285" s="26"/>
      <c r="Z285" s="26"/>
      <c r="AA285" s="26"/>
      <c r="AB285" s="33"/>
    </row>
    <row r="286" spans="1:28" x14ac:dyDescent="0.3">
      <c r="A286" s="32">
        <f>VLOOKUP(YEAR(C286),Flags!$A$13:$B$95,2,FALSE)</f>
        <v>1</v>
      </c>
      <c r="B286" s="24">
        <f t="shared" si="432"/>
        <v>1952</v>
      </c>
      <c r="C286" s="25">
        <v>19175</v>
      </c>
      <c r="D286" s="26">
        <f>VLOOKUP($C286,COS!$B$8:$H$991,3,FALSE)</f>
        <v>6688.24560546875</v>
      </c>
      <c r="E286" s="24">
        <f>IF(D286&gt;=IF(MONTH($C286)=4,$C$3,IF(MONTH($C286)=5,$C$4,IF(MONTH($C286)=6,$C$5,IF(MONTH($C286)=7,$C$6,"ERROR")))),1,0)</f>
        <v>0</v>
      </c>
      <c r="F286" s="26">
        <f>VLOOKUP($C286,COS!$B$8:$H$991,7,FALSE)</f>
        <v>51.496559143066406</v>
      </c>
      <c r="G286" s="24">
        <f>IF(F286&lt;=IF(MONTH($C286)=4,$F$3,IF(MONTH($C286)=5,$F$4,IF(MONTH($C286)=6,$F$5,IF(MONTH($C286)=7,$F$6,"ERROR")))),1,0)</f>
        <v>1</v>
      </c>
      <c r="H286" s="26">
        <f>IF(J286=1,D286-$C$5,0)</f>
        <v>0</v>
      </c>
      <c r="I286" s="26">
        <f t="shared" si="450"/>
        <v>0</v>
      </c>
      <c r="J286" s="24">
        <f t="shared" si="451"/>
        <v>0</v>
      </c>
      <c r="K286" s="26">
        <f>VLOOKUP($C286,COS!$B$8:$H$991,2,FALSE)</f>
        <v>4500</v>
      </c>
      <c r="L286" s="24">
        <f t="shared" si="435"/>
        <v>1</v>
      </c>
      <c r="M286" s="24">
        <f t="shared" si="436"/>
        <v>0</v>
      </c>
      <c r="N286" s="26">
        <f>VLOOKUP($C286,COS!$B$8:$H$991,5,FALSE)</f>
        <v>1056.9393310546875</v>
      </c>
      <c r="O286" s="26">
        <f t="shared" si="454"/>
        <v>62.892257715650828</v>
      </c>
      <c r="P286" s="26">
        <f>VLOOKUP($C286,COS!$B$8:$H$991,6,FALSE)</f>
        <v>2224.63916015625</v>
      </c>
      <c r="Q286" s="26">
        <f t="shared" si="455"/>
        <v>132.37522275309917</v>
      </c>
      <c r="R286" s="26">
        <f>MIN(IF(MONTH($C286)=4,$S$3,IF(MONTH($C286)=5,$S$4,IF(MONTH($C286)=6,$S$5,IF(MONTH($C286)=7,$S$6,"ERROR")))),MAX(VLOOKUP($C286,COS!$B$8:$K$991,10,FALSE)-IF(MONTH($C286)=4,$Y$3,IF(MONTH($C286)=5,$Y$4,IF(MONTH($C286)=6,$Y$5,IF(MONTH($C286)=7,$Y$6,"ERROR")))),0),MAX(VLOOKUP($C286,COS!$B$8:$K$991,9,FALSE)-IF(MONTH($C286)=4,$V$3,IF(MONTH($C286)=5,$V$4,IF(MONTH($C286)=6,$V$5,IF(MONTH($C286)=7,$V$6,"ERROR"))))-VLOOKUP($C286,COS!$B$8:$K$991,6,FALSE)/2,0))</f>
        <v>1500</v>
      </c>
      <c r="S286" s="26">
        <f t="shared" si="456"/>
        <v>89.256198347107429</v>
      </c>
      <c r="T286" s="26">
        <f t="shared" si="457"/>
        <v>186.88993858148243</v>
      </c>
      <c r="U286" s="26" t="str">
        <f>IF(VLOOKUP($C286,COS!$B$8:$I$991,8,FALSE)=1,"UWFE","IBU")</f>
        <v>UWFE</v>
      </c>
      <c r="V286" s="26">
        <f t="shared" ref="V286" si="460">MIN(IF(IF($AA$3=2,AND(E286=1,G286=1,L286=1,L289=1,M286=1,U286="IBU"),AND(E286=1,G286=1,L286=1,L289=1,M286=1)),T286,0),I286)</f>
        <v>0</v>
      </c>
      <c r="W286" s="26"/>
      <c r="X286" s="26"/>
      <c r="Y286" s="26"/>
      <c r="Z286" s="26"/>
      <c r="AA286" s="26"/>
      <c r="AB286" s="33"/>
    </row>
    <row r="287" spans="1:28" x14ac:dyDescent="0.3">
      <c r="A287" s="32">
        <f>VLOOKUP(YEAR(C287),Flags!$A$13:$B$95,2,FALSE)</f>
        <v>1</v>
      </c>
      <c r="B287" s="24">
        <f t="shared" si="432"/>
        <v>1952</v>
      </c>
      <c r="C287" s="25">
        <v>19206</v>
      </c>
      <c r="D287" s="26">
        <f>VLOOKUP($C287,COS!$B$8:$H$991,3,FALSE)</f>
        <v>9808.591796875</v>
      </c>
      <c r="E287" s="24">
        <f>IF(D287&gt;=IF(MONTH($C287)=4,$C$3,IF(MONTH($C287)=5,$C$4,IF(MONTH($C287)=6,$C$5,IF(MONTH($C287)=7,$C$6,"ERROR")))),1,0)</f>
        <v>0</v>
      </c>
      <c r="F287" s="26">
        <f>VLOOKUP($C287,COS!$B$8:$H$991,7,FALSE)</f>
        <v>52.452281951904297</v>
      </c>
      <c r="G287" s="24">
        <f>IF(F287&lt;=IF(MONTH($C287)=4,$F$3,IF(MONTH($C287)=5,$F$4,IF(MONTH($C287)=6,$F$5,IF(MONTH($C287)=7,$F$6,"ERROR")))),1,0)</f>
        <v>1</v>
      </c>
      <c r="H287" s="26">
        <f>IF(J287=1,D287-$C$6,0)</f>
        <v>0</v>
      </c>
      <c r="I287" s="26">
        <f t="shared" si="450"/>
        <v>0</v>
      </c>
      <c r="J287" s="24">
        <f t="shared" si="451"/>
        <v>0</v>
      </c>
      <c r="K287" s="26">
        <f>VLOOKUP($C287,COS!$B$8:$H$991,2,FALSE)</f>
        <v>4145.533203125</v>
      </c>
      <c r="L287" s="24">
        <f t="shared" si="435"/>
        <v>1</v>
      </c>
      <c r="M287" s="24">
        <f t="shared" si="436"/>
        <v>0</v>
      </c>
      <c r="N287" s="26">
        <f>VLOOKUP($C287,COS!$B$8:$H$991,5,FALSE)</f>
        <v>1272.6998291015625</v>
      </c>
      <c r="O287" s="26">
        <f t="shared" si="454"/>
        <v>78.255262219137393</v>
      </c>
      <c r="P287" s="26">
        <f>VLOOKUP($C287,COS!$B$8:$H$991,6,FALSE)</f>
        <v>2503.0556640625</v>
      </c>
      <c r="Q287" s="26">
        <f t="shared" si="455"/>
        <v>153.90689372417353</v>
      </c>
      <c r="R287" s="26">
        <f>MIN(IF(MONTH($C287)=4,$S$3,IF(MONTH($C287)=5,$S$4,IF(MONTH($C287)=6,$S$5,IF(MONTH($C287)=7,$S$6,"ERROR")))),MAX(VLOOKUP($C287,COS!$B$8:$K$991,10,FALSE)-IF(MONTH($C287)=4,$Y$3,IF(MONTH($C287)=5,$Y$4,IF(MONTH($C287)=6,$Y$5,IF(MONTH($C287)=7,$Y$6,"ERROR")))),0),MAX(VLOOKUP($C287,COS!$B$8:$K$991,9,FALSE)-IF(MONTH($C287)=4,$V$3,IF(MONTH($C287)=5,$V$4,IF(MONTH($C287)=6,$V$5,IF(MONTH($C287)=7,$V$6,"ERROR"))))-VLOOKUP($C287,COS!$B$8:$K$991,6,FALSE)/2,0))</f>
        <v>1500</v>
      </c>
      <c r="S287" s="26">
        <f t="shared" si="456"/>
        <v>92.231404958677686</v>
      </c>
      <c r="T287" s="26">
        <f t="shared" si="457"/>
        <v>208.31248293033315</v>
      </c>
      <c r="U287" s="26" t="str">
        <f>IF(VLOOKUP($C287,COS!$B$8:$I$991,8,FALSE)=1,"UWFE","IBU")</f>
        <v>UWFE</v>
      </c>
      <c r="V287" s="26">
        <f t="shared" ref="V287" si="461">MIN(IF(IF($AA$3=2,AND(E287=1,G287=1,L287=1,L289=1,M287=1,U287="IBU"),AND(E287=1,G287=1,L287=1,L289=1,M287=1)),T287,0),I287)</f>
        <v>0</v>
      </c>
      <c r="W287" s="26"/>
      <c r="X287" s="26"/>
      <c r="Y287" s="26"/>
      <c r="Z287" s="26"/>
      <c r="AA287" s="26"/>
      <c r="AB287" s="33"/>
    </row>
    <row r="288" spans="1:28" x14ac:dyDescent="0.3">
      <c r="A288" s="32">
        <f>VLOOKUP(YEAR(C288),Flags!$A$13:$B$95,2,FALSE)</f>
        <v>1</v>
      </c>
      <c r="B288" s="24">
        <f t="shared" si="432"/>
        <v>1952</v>
      </c>
      <c r="C288" s="25">
        <v>19237</v>
      </c>
      <c r="D288" s="26"/>
      <c r="E288" s="24"/>
      <c r="F288" s="26"/>
      <c r="G288" s="24"/>
      <c r="H288" s="24"/>
      <c r="I288" s="26"/>
      <c r="J288" s="24"/>
      <c r="K288" s="26"/>
      <c r="L288" s="24"/>
      <c r="M288" s="24"/>
      <c r="N288" s="26"/>
      <c r="O288" s="26"/>
      <c r="P288" s="26"/>
      <c r="Q288" s="26"/>
      <c r="R288" s="26"/>
      <c r="S288" s="26"/>
      <c r="T288" s="26"/>
      <c r="U288" s="26"/>
      <c r="V288" s="26"/>
      <c r="W288" s="26">
        <f>MAX($C$7-VLOOKUP($C288,COS!$B$8:$H$991,3,FALSE),0)</f>
        <v>188.6650390625</v>
      </c>
      <c r="X288" s="26">
        <f t="shared" si="448"/>
        <v>11.600561079545454</v>
      </c>
      <c r="Y288" s="26">
        <f>VLOOKUP($C288,COS!$B$8:$H$991,4,FALSE)</f>
        <v>0</v>
      </c>
      <c r="Z288" s="26">
        <f t="shared" si="449"/>
        <v>0</v>
      </c>
      <c r="AA288" s="26">
        <f t="shared" ref="AA288:AA292" si="462">MIN(W288,Y288)</f>
        <v>0</v>
      </c>
      <c r="AB288" s="33">
        <f t="shared" ref="AB288" si="463">AA288*DAY($C288)*86400/43560/1000*IF(MONTH($C288)=8,$P$3,IF(MONTH($C288)=9,$P$4,IF(MONTH($C288)=10,$P$5,IF(MONTH($C288)=11,$P$6,IF(MONTH($C288)=12,$P$7,NA())))))</f>
        <v>0</v>
      </c>
    </row>
    <row r="289" spans="1:28" x14ac:dyDescent="0.3">
      <c r="A289" s="32">
        <f>VLOOKUP(YEAR(C289),Flags!$A$13:$B$95,2,FALSE)</f>
        <v>1</v>
      </c>
      <c r="B289" s="24">
        <f t="shared" si="432"/>
        <v>1952</v>
      </c>
      <c r="C289" s="25">
        <v>19267</v>
      </c>
      <c r="D289" s="26"/>
      <c r="E289" s="24"/>
      <c r="F289" s="26"/>
      <c r="G289" s="24"/>
      <c r="H289" s="24"/>
      <c r="I289" s="26"/>
      <c r="J289" s="24"/>
      <c r="K289" s="26">
        <f>VLOOKUP($C289,COS!$B$8:$H$991,2,FALSE)</f>
        <v>3316.7529296875</v>
      </c>
      <c r="L289" s="24">
        <f t="shared" ref="L289" si="464">IF(AND(K289&gt;$I$7,K289&lt;$I$8),1,0)</f>
        <v>1</v>
      </c>
      <c r="M289" s="24"/>
      <c r="N289" s="26"/>
      <c r="O289" s="26"/>
      <c r="P289" s="26"/>
      <c r="Q289" s="26"/>
      <c r="R289" s="26"/>
      <c r="S289" s="26"/>
      <c r="T289" s="26"/>
      <c r="U289" s="26"/>
      <c r="V289" s="26"/>
      <c r="W289" s="26">
        <f>MAX($C$8-VLOOKUP($C289,COS!$B$8:$H$991,3,FALSE),0)</f>
        <v>0</v>
      </c>
      <c r="X289" s="26">
        <f t="shared" si="448"/>
        <v>0</v>
      </c>
      <c r="Y289" s="26">
        <f>VLOOKUP($C289,COS!$B$8:$H$991,4,FALSE)</f>
        <v>38.310874938964844</v>
      </c>
      <c r="Z289" s="26">
        <f t="shared" si="449"/>
        <v>2.2796553682689824</v>
      </c>
      <c r="AA289" s="26">
        <f t="shared" si="462"/>
        <v>0</v>
      </c>
      <c r="AB289" s="33">
        <f t="shared" si="446"/>
        <v>0</v>
      </c>
    </row>
    <row r="290" spans="1:28" x14ac:dyDescent="0.3">
      <c r="A290" s="32">
        <f>VLOOKUP(YEAR(C290),Flags!$A$13:$B$95,2,FALSE)</f>
        <v>1</v>
      </c>
      <c r="B290" s="24">
        <f t="shared" si="432"/>
        <v>1952</v>
      </c>
      <c r="C290" s="25">
        <v>19298</v>
      </c>
      <c r="D290" s="26"/>
      <c r="E290" s="24"/>
      <c r="F290" s="26"/>
      <c r="G290" s="26"/>
      <c r="H290" s="26"/>
      <c r="I290" s="26"/>
      <c r="J290" s="26"/>
      <c r="K290" s="26"/>
      <c r="L290" s="24"/>
      <c r="M290" s="24"/>
      <c r="N290" s="26"/>
      <c r="O290" s="26"/>
      <c r="P290" s="26"/>
      <c r="Q290" s="26"/>
      <c r="R290" s="26"/>
      <c r="S290" s="26"/>
      <c r="T290" s="26"/>
      <c r="U290" s="26"/>
      <c r="V290" s="26"/>
      <c r="W290" s="26">
        <f>MAX($C$9-VLOOKUP($C290,COS!$B$8:$H$991,3,FALSE),0)</f>
        <v>0</v>
      </c>
      <c r="X290" s="26">
        <f t="shared" si="448"/>
        <v>0</v>
      </c>
      <c r="Y290" s="26">
        <f>VLOOKUP($C290,COS!$B$8:$H$991,4,FALSE)</f>
        <v>203.00856018066406</v>
      </c>
      <c r="Z290" s="26">
        <f t="shared" si="449"/>
        <v>12.482509816067278</v>
      </c>
      <c r="AA290" s="26">
        <f t="shared" si="462"/>
        <v>0</v>
      </c>
      <c r="AB290" s="33">
        <f t="shared" si="446"/>
        <v>0</v>
      </c>
    </row>
    <row r="291" spans="1:28" x14ac:dyDescent="0.3">
      <c r="A291" s="32">
        <f>VLOOKUP(YEAR(C291),Flags!$A$13:$B$95,2,FALSE)</f>
        <v>1</v>
      </c>
      <c r="B291" s="24">
        <f t="shared" si="432"/>
        <v>1952</v>
      </c>
      <c r="C291" s="25">
        <v>19328</v>
      </c>
      <c r="D291" s="26"/>
      <c r="E291" s="24"/>
      <c r="F291" s="26"/>
      <c r="G291" s="26"/>
      <c r="H291" s="26"/>
      <c r="I291" s="26"/>
      <c r="J291" s="26"/>
      <c r="K291" s="26"/>
      <c r="L291" s="24"/>
      <c r="M291" s="24"/>
      <c r="N291" s="26"/>
      <c r="O291" s="26"/>
      <c r="P291" s="26"/>
      <c r="Q291" s="26"/>
      <c r="R291" s="26"/>
      <c r="S291" s="26"/>
      <c r="T291" s="26"/>
      <c r="U291" s="26"/>
      <c r="V291" s="26"/>
      <c r="W291" s="26">
        <f>MAX($C$10-VLOOKUP($C291,COS!$B$8:$H$991,3,FALSE),0)</f>
        <v>0</v>
      </c>
      <c r="X291" s="26">
        <f t="shared" si="448"/>
        <v>0</v>
      </c>
      <c r="Y291" s="26">
        <f>VLOOKUP($C291,COS!$B$8:$H$991,4,FALSE)</f>
        <v>736.8885498046875</v>
      </c>
      <c r="Z291" s="26">
        <f t="shared" si="449"/>
        <v>43.847913707386361</v>
      </c>
      <c r="AA291" s="26">
        <f t="shared" si="462"/>
        <v>0</v>
      </c>
      <c r="AB291" s="33">
        <f t="shared" si="446"/>
        <v>0</v>
      </c>
    </row>
    <row r="292" spans="1:28" x14ac:dyDescent="0.3">
      <c r="A292" s="34">
        <f>VLOOKUP(YEAR(C292),Flags!$A$13:$B$95,2,FALSE)</f>
        <v>1</v>
      </c>
      <c r="B292" s="35">
        <f t="shared" si="432"/>
        <v>1952</v>
      </c>
      <c r="C292" s="36">
        <v>19359</v>
      </c>
      <c r="D292" s="37"/>
      <c r="E292" s="35"/>
      <c r="F292" s="37"/>
      <c r="G292" s="37"/>
      <c r="H292" s="37"/>
      <c r="I292" s="37"/>
      <c r="J292" s="37"/>
      <c r="K292" s="37"/>
      <c r="L292" s="35"/>
      <c r="M292" s="35"/>
      <c r="N292" s="37"/>
      <c r="O292" s="37"/>
      <c r="P292" s="37"/>
      <c r="Q292" s="37"/>
      <c r="R292" s="37"/>
      <c r="S292" s="37"/>
      <c r="T292" s="37"/>
      <c r="U292" s="37"/>
      <c r="V292" s="37"/>
      <c r="W292" s="37">
        <f>MAX($C$11-VLOOKUP($C292,COS!$B$8:$H$991,3,FALSE),0)</f>
        <v>0</v>
      </c>
      <c r="X292" s="37">
        <f t="shared" si="448"/>
        <v>0</v>
      </c>
      <c r="Y292" s="37">
        <f>VLOOKUP($C292,COS!$B$8:$H$991,4,FALSE)</f>
        <v>0</v>
      </c>
      <c r="Z292" s="37">
        <f t="shared" si="449"/>
        <v>0</v>
      </c>
      <c r="AA292" s="37">
        <f t="shared" si="462"/>
        <v>0</v>
      </c>
      <c r="AB292" s="38">
        <f t="shared" si="446"/>
        <v>0</v>
      </c>
    </row>
    <row r="293" spans="1:28" x14ac:dyDescent="0.3">
      <c r="A293" s="27">
        <f>VLOOKUP(YEAR(C293),Flags!$A$13:$B$95,2,FALSE)</f>
        <v>1</v>
      </c>
      <c r="B293" s="28">
        <f t="shared" si="432"/>
        <v>1953</v>
      </c>
      <c r="C293" s="29">
        <v>19479</v>
      </c>
      <c r="D293" s="30">
        <f>VLOOKUP($C293,COS!$B$8:$H$991,3,FALSE)</f>
        <v>5435.791015625</v>
      </c>
      <c r="E293" s="28">
        <f>IF(D293&gt;=IF(MONTH($C293)=4,$C$3,IF(MONTH($C293)=5,$C$4,IF(MONTH($C293)=6,$C$5,IF(MONTH($C293)=7,$C$6,"ERROR")))),1,0)</f>
        <v>0</v>
      </c>
      <c r="F293" s="30">
        <f>VLOOKUP($C293,COS!$B$8:$H$991,7,FALSE)</f>
        <v>48.983604431152344</v>
      </c>
      <c r="G293" s="28">
        <f>IF(F293&lt;=IF(MONTH($C293)=4,$F$3,IF(MONTH($C293)=5,$F$4,IF(MONTH($C293)=6,$F$5,IF(MONTH($C293)=7,$F$6,"ERROR")))),1,0)</f>
        <v>1</v>
      </c>
      <c r="H293" s="30">
        <f>IF(J293=1,D293-$C$3,0)</f>
        <v>0</v>
      </c>
      <c r="I293" s="30">
        <f t="shared" si="450"/>
        <v>0</v>
      </c>
      <c r="J293" s="28">
        <f t="shared" ref="J293:J296" si="465">IF(AND(E293=1,G293=1),1,0)</f>
        <v>0</v>
      </c>
      <c r="K293" s="30">
        <f>VLOOKUP($C293,COS!$B$8:$H$991,2,FALSE)</f>
        <v>4552</v>
      </c>
      <c r="L293" s="28">
        <f t="shared" ref="L293" si="466">IF(K293&lt;=IF(MONTH($C293)=4,$I$3,IF(MONTH($C293)=5,$I$4,IF(MONTH($C293)=6,$I$5,IF(MONTH($C293)=7,$I$6,"ERROR")))),1,0)</f>
        <v>1</v>
      </c>
      <c r="M293" s="28">
        <f t="shared" ref="M293" si="467">VLOOKUP($A293,$L$3:$M$7,2,FALSE)</f>
        <v>0</v>
      </c>
      <c r="N293" s="30">
        <f>VLOOKUP($C293,COS!$B$8:$H$991,5,FALSE)</f>
        <v>445.47723388671875</v>
      </c>
      <c r="O293" s="30">
        <f t="shared" ref="O293:O296" si="468">N293*DAY($C293)*86400/43560/1000</f>
        <v>26.507736231275828</v>
      </c>
      <c r="P293" s="30">
        <f>VLOOKUP($C293,COS!$B$8:$H$991,6,FALSE)</f>
        <v>432.80410766601563</v>
      </c>
      <c r="Q293" s="30">
        <f t="shared" ref="Q293:Q296" si="469">P293*DAY($C293)*86400/43560/1000</f>
        <v>25.753632852853823</v>
      </c>
      <c r="R293" s="30">
        <f>MIN(IF(MONTH($C293)=4,$S$3,IF(MONTH($C293)=5,$S$4,IF(MONTH($C293)=6,$S$5,IF(MONTH($C293)=7,$S$6,"ERROR")))),MAX(VLOOKUP($C293,COS!$B$8:$K$991,10,FALSE)-IF(MONTH($C293)=4,$Y$3,IF(MONTH($C293)=5,$Y$4,IF(MONTH($C293)=6,$Y$5,IF(MONTH($C293)=7,$Y$6,"ERROR")))),0),MAX(VLOOKUP($C293,COS!$B$8:$K$991,9,FALSE)-IF(MONTH($C293)=4,$V$3,IF(MONTH($C293)=5,$V$4,IF(MONTH($C293)=6,$V$5,IF(MONTH($C293)=7,$V$6,"ERROR"))))-VLOOKUP($C293,COS!$B$8:$K$991,6,FALSE)/2,0))</f>
        <v>1500</v>
      </c>
      <c r="S293" s="30">
        <f t="shared" ref="S293:S296" si="470">R293*DAY($C293)*86400/43560/1000</f>
        <v>89.256198347107429</v>
      </c>
      <c r="T293" s="30">
        <f t="shared" ref="T293:T296" si="471">(O293+Q293)/2+S293</f>
        <v>115.38688288917226</v>
      </c>
      <c r="U293" s="30" t="str">
        <f>IF(VLOOKUP($C293,COS!$B$8:$I$991,8,FALSE)=1,"UWFE","IBU")</f>
        <v>UWFE</v>
      </c>
      <c r="V293" s="30">
        <f t="shared" ref="V293" si="472">MIN(IF(IF($AA$3=2,AND(E293=1,G293=1,L293=1,L298=1,M293=1,U293="IBU"),AND(E293=1,G293=1,L293=1,L298=1,M293=1)),T293,0),I293)</f>
        <v>0</v>
      </c>
      <c r="W293" s="30"/>
      <c r="X293" s="30"/>
      <c r="Y293" s="30"/>
      <c r="Z293" s="30"/>
      <c r="AA293" s="30"/>
      <c r="AB293" s="31"/>
    </row>
    <row r="294" spans="1:28" x14ac:dyDescent="0.3">
      <c r="A294" s="32">
        <f>VLOOKUP(YEAR(C294),Flags!$A$13:$B$95,2,FALSE)</f>
        <v>1</v>
      </c>
      <c r="B294" s="24">
        <f t="shared" si="432"/>
        <v>1953</v>
      </c>
      <c r="C294" s="25">
        <v>19510</v>
      </c>
      <c r="D294" s="26">
        <f>VLOOKUP($C294,COS!$B$8:$H$991,3,FALSE)</f>
        <v>9500.9638671875</v>
      </c>
      <c r="E294" s="24">
        <f>IF(D294&gt;=IF(MONTH($C294)=4,$C$3,IF(MONTH($C294)=5,$C$4,IF(MONTH($C294)=6,$C$5,IF(MONTH($C294)=7,$C$6,"ERROR")))),1,0)</f>
        <v>1</v>
      </c>
      <c r="F294" s="26">
        <f>VLOOKUP($C294,COS!$B$8:$H$991,7,FALSE)</f>
        <v>48.526103973388672</v>
      </c>
      <c r="G294" s="24">
        <f>IF(F294&lt;=IF(MONTH($C294)=4,$F$3,IF(MONTH($C294)=5,$F$4,IF(MONTH($C294)=6,$F$5,IF(MONTH($C294)=7,$F$6,"ERROR")))),1,0)</f>
        <v>1</v>
      </c>
      <c r="H294" s="26">
        <f>IF(J294=1,D294-$C$4,0)</f>
        <v>3500.9638671875</v>
      </c>
      <c r="I294" s="26">
        <f t="shared" si="450"/>
        <v>215.26587745351239</v>
      </c>
      <c r="J294" s="24">
        <f t="shared" si="465"/>
        <v>1</v>
      </c>
      <c r="K294" s="26">
        <f>VLOOKUP($C294,COS!$B$8:$H$991,2,FALSE)</f>
        <v>4552</v>
      </c>
      <c r="L294" s="24">
        <f t="shared" si="435"/>
        <v>1</v>
      </c>
      <c r="M294" s="24">
        <f t="shared" si="436"/>
        <v>0</v>
      </c>
      <c r="N294" s="26">
        <f>VLOOKUP($C294,COS!$B$8:$H$991,5,FALSE)</f>
        <v>730.5885009765625</v>
      </c>
      <c r="O294" s="26">
        <f t="shared" si="468"/>
        <v>44.922135927815084</v>
      </c>
      <c r="P294" s="26">
        <f>VLOOKUP($C294,COS!$B$8:$H$991,6,FALSE)</f>
        <v>2213.400634765625</v>
      </c>
      <c r="Q294" s="26">
        <f t="shared" si="469"/>
        <v>136.09670018724174</v>
      </c>
      <c r="R294" s="26">
        <f>MIN(IF(MONTH($C294)=4,$S$3,IF(MONTH($C294)=5,$S$4,IF(MONTH($C294)=6,$S$5,IF(MONTH($C294)=7,$S$6,"ERROR")))),MAX(VLOOKUP($C294,COS!$B$8:$K$991,10,FALSE)-IF(MONTH($C294)=4,$Y$3,IF(MONTH($C294)=5,$Y$4,IF(MONTH($C294)=6,$Y$5,IF(MONTH($C294)=7,$Y$6,"ERROR")))),0),MAX(VLOOKUP($C294,COS!$B$8:$K$991,9,FALSE)-IF(MONTH($C294)=4,$V$3,IF(MONTH($C294)=5,$V$4,IF(MONTH($C294)=6,$V$5,IF(MONTH($C294)=7,$V$6,"ERROR"))))-VLOOKUP($C294,COS!$B$8:$K$991,6,FALSE)/2,0))</f>
        <v>1500</v>
      </c>
      <c r="S294" s="26">
        <f t="shared" si="470"/>
        <v>92.231404958677686</v>
      </c>
      <c r="T294" s="26">
        <f t="shared" si="471"/>
        <v>182.74082301620609</v>
      </c>
      <c r="U294" s="26" t="str">
        <f>IF(VLOOKUP($C294,COS!$B$8:$I$991,8,FALSE)=1,"UWFE","IBU")</f>
        <v>UWFE</v>
      </c>
      <c r="V294" s="26">
        <f t="shared" ref="V294" si="473">MIN(IF(IF($AA$3=2,AND(E294=1,G294=1,L294=1,L298=1,M294=1,U294="IBU"),AND(E294=1,G294=1,L294=1,L298=1,M294=1)),T294,0),I294)</f>
        <v>0</v>
      </c>
      <c r="W294" s="26"/>
      <c r="X294" s="26"/>
      <c r="Y294" s="26"/>
      <c r="Z294" s="26"/>
      <c r="AA294" s="26"/>
      <c r="AB294" s="33"/>
    </row>
    <row r="295" spans="1:28" x14ac:dyDescent="0.3">
      <c r="A295" s="32">
        <f>VLOOKUP(YEAR(C295),Flags!$A$13:$B$95,2,FALSE)</f>
        <v>1</v>
      </c>
      <c r="B295" s="24">
        <f t="shared" si="432"/>
        <v>1953</v>
      </c>
      <c r="C295" s="25">
        <v>19540</v>
      </c>
      <c r="D295" s="26">
        <f>VLOOKUP($C295,COS!$B$8:$H$991,3,FALSE)</f>
        <v>8763.9052734375</v>
      </c>
      <c r="E295" s="24">
        <f>IF(D295&gt;=IF(MONTH($C295)=4,$C$3,IF(MONTH($C295)=5,$C$4,IF(MONTH($C295)=6,$C$5,IF(MONTH($C295)=7,$C$6,"ERROR")))),1,0)</f>
        <v>0</v>
      </c>
      <c r="F295" s="26">
        <f>VLOOKUP($C295,COS!$B$8:$H$991,7,FALSE)</f>
        <v>50.420295715332031</v>
      </c>
      <c r="G295" s="24">
        <f>IF(F295&lt;=IF(MONTH($C295)=4,$F$3,IF(MONTH($C295)=5,$F$4,IF(MONTH($C295)=6,$F$5,IF(MONTH($C295)=7,$F$6,"ERROR")))),1,0)</f>
        <v>1</v>
      </c>
      <c r="H295" s="26">
        <f>IF(J295=1,D295-$C$5,0)</f>
        <v>0</v>
      </c>
      <c r="I295" s="26">
        <f t="shared" si="450"/>
        <v>0</v>
      </c>
      <c r="J295" s="24">
        <f t="shared" si="465"/>
        <v>0</v>
      </c>
      <c r="K295" s="26">
        <f>VLOOKUP($C295,COS!$B$8:$H$991,2,FALSE)</f>
        <v>4500</v>
      </c>
      <c r="L295" s="24">
        <f t="shared" si="435"/>
        <v>1</v>
      </c>
      <c r="M295" s="24">
        <f t="shared" si="436"/>
        <v>0</v>
      </c>
      <c r="N295" s="26">
        <f>VLOOKUP($C295,COS!$B$8:$H$991,5,FALSE)</f>
        <v>1097.9736328125</v>
      </c>
      <c r="O295" s="26">
        <f t="shared" si="468"/>
        <v>65.333968233471069</v>
      </c>
      <c r="P295" s="26">
        <f>VLOOKUP($C295,COS!$B$8:$H$991,6,FALSE)</f>
        <v>2273.646484375</v>
      </c>
      <c r="Q295" s="26">
        <f t="shared" si="469"/>
        <v>135.29136105371902</v>
      </c>
      <c r="R295" s="26">
        <f>MIN(IF(MONTH($C295)=4,$S$3,IF(MONTH($C295)=5,$S$4,IF(MONTH($C295)=6,$S$5,IF(MONTH($C295)=7,$S$6,"ERROR")))),MAX(VLOOKUP($C295,COS!$B$8:$K$991,10,FALSE)-IF(MONTH($C295)=4,$Y$3,IF(MONTH($C295)=5,$Y$4,IF(MONTH($C295)=6,$Y$5,IF(MONTH($C295)=7,$Y$6,"ERROR")))),0),MAX(VLOOKUP($C295,COS!$B$8:$K$991,9,FALSE)-IF(MONTH($C295)=4,$V$3,IF(MONTH($C295)=5,$V$4,IF(MONTH($C295)=6,$V$5,IF(MONTH($C295)=7,$V$6,"ERROR"))))-VLOOKUP($C295,COS!$B$8:$K$991,6,FALSE)/2,0))</f>
        <v>1500</v>
      </c>
      <c r="S295" s="26">
        <f t="shared" si="470"/>
        <v>89.256198347107429</v>
      </c>
      <c r="T295" s="26">
        <f t="shared" si="471"/>
        <v>189.56886299070248</v>
      </c>
      <c r="U295" s="26" t="str">
        <f>IF(VLOOKUP($C295,COS!$B$8:$I$991,8,FALSE)=1,"UWFE","IBU")</f>
        <v>UWFE</v>
      </c>
      <c r="V295" s="26">
        <f t="shared" ref="V295" si="474">MIN(IF(IF($AA$3=2,AND(E295=1,G295=1,L295=1,L298=1,M295=1,U295="IBU"),AND(E295=1,G295=1,L295=1,L298=1,M295=1)),T295,0),I295)</f>
        <v>0</v>
      </c>
      <c r="W295" s="26"/>
      <c r="X295" s="26"/>
      <c r="Y295" s="26"/>
      <c r="Z295" s="26"/>
      <c r="AA295" s="26"/>
      <c r="AB295" s="33"/>
    </row>
    <row r="296" spans="1:28" x14ac:dyDescent="0.3">
      <c r="A296" s="32">
        <f>VLOOKUP(YEAR(C296),Flags!$A$13:$B$95,2,FALSE)</f>
        <v>1</v>
      </c>
      <c r="B296" s="24">
        <f t="shared" si="432"/>
        <v>1953</v>
      </c>
      <c r="C296" s="25">
        <v>19571</v>
      </c>
      <c r="D296" s="26">
        <f>VLOOKUP($C296,COS!$B$8:$H$991,3,FALSE)</f>
        <v>14905.9033203125</v>
      </c>
      <c r="E296" s="24">
        <f>IF(D296&gt;=IF(MONTH($C296)=4,$C$3,IF(MONTH($C296)=5,$C$4,IF(MONTH($C296)=6,$C$5,IF(MONTH($C296)=7,$C$6,"ERROR")))),1,0)</f>
        <v>1</v>
      </c>
      <c r="F296" s="26">
        <f>VLOOKUP($C296,COS!$B$8:$H$991,7,FALSE)</f>
        <v>51.294979095458984</v>
      </c>
      <c r="G296" s="24">
        <f>IF(F296&lt;=IF(MONTH($C296)=4,$F$3,IF(MONTH($C296)=5,$F$4,IF(MONTH($C296)=6,$F$5,IF(MONTH($C296)=7,$F$6,"ERROR")))),1,0)</f>
        <v>1</v>
      </c>
      <c r="H296" s="26">
        <f>IF(J296=1,D296-$C$6,0)</f>
        <v>2905.9033203125</v>
      </c>
      <c r="I296" s="26">
        <f t="shared" si="450"/>
        <v>178.67703060433885</v>
      </c>
      <c r="J296" s="24">
        <f t="shared" si="465"/>
        <v>1</v>
      </c>
      <c r="K296" s="26">
        <f>VLOOKUP($C296,COS!$B$8:$H$991,2,FALSE)</f>
        <v>3867.513427734375</v>
      </c>
      <c r="L296" s="24">
        <f t="shared" si="435"/>
        <v>1</v>
      </c>
      <c r="M296" s="24">
        <f t="shared" si="436"/>
        <v>0</v>
      </c>
      <c r="N296" s="26">
        <f>VLOOKUP($C296,COS!$B$8:$H$991,5,FALSE)</f>
        <v>1282.49609375</v>
      </c>
      <c r="O296" s="26">
        <f t="shared" si="468"/>
        <v>78.857611053719012</v>
      </c>
      <c r="P296" s="26">
        <f>VLOOKUP($C296,COS!$B$8:$H$991,6,FALSE)</f>
        <v>2616.67822265625</v>
      </c>
      <c r="Q296" s="26">
        <f t="shared" si="469"/>
        <v>160.89327253357436</v>
      </c>
      <c r="R296" s="26">
        <f>MIN(IF(MONTH($C296)=4,$S$3,IF(MONTH($C296)=5,$S$4,IF(MONTH($C296)=6,$S$5,IF(MONTH($C296)=7,$S$6,"ERROR")))),MAX(VLOOKUP($C296,COS!$B$8:$K$991,10,FALSE)-IF(MONTH($C296)=4,$Y$3,IF(MONTH($C296)=5,$Y$4,IF(MONTH($C296)=6,$Y$5,IF(MONTH($C296)=7,$Y$6,"ERROR")))),0),MAX(VLOOKUP($C296,COS!$B$8:$K$991,9,FALSE)-IF(MONTH($C296)=4,$V$3,IF(MONTH($C296)=5,$V$4,IF(MONTH($C296)=6,$V$5,IF(MONTH($C296)=7,$V$6,"ERROR"))))-VLOOKUP($C296,COS!$B$8:$K$991,6,FALSE)/2,0))</f>
        <v>1500</v>
      </c>
      <c r="S296" s="26">
        <f t="shared" si="470"/>
        <v>92.231404958677686</v>
      </c>
      <c r="T296" s="26">
        <f t="shared" si="471"/>
        <v>212.10684675232437</v>
      </c>
      <c r="U296" s="26" t="str">
        <f>IF(VLOOKUP($C296,COS!$B$8:$I$991,8,FALSE)=1,"UWFE","IBU")</f>
        <v>IBU</v>
      </c>
      <c r="V296" s="26">
        <f t="shared" ref="V296" si="475">MIN(IF(IF($AA$3=2,AND(E296=1,G296=1,L296=1,L298=1,M296=1,U296="IBU"),AND(E296=1,G296=1,L296=1,L298=1,M296=1)),T296,0),I296)</f>
        <v>0</v>
      </c>
      <c r="W296" s="26"/>
      <c r="X296" s="26"/>
      <c r="Y296" s="26"/>
      <c r="Z296" s="26"/>
      <c r="AA296" s="26"/>
      <c r="AB296" s="33"/>
    </row>
    <row r="297" spans="1:28" x14ac:dyDescent="0.3">
      <c r="A297" s="32">
        <f>VLOOKUP(YEAR(C297),Flags!$A$13:$B$95,2,FALSE)</f>
        <v>1</v>
      </c>
      <c r="B297" s="24">
        <f t="shared" si="432"/>
        <v>1953</v>
      </c>
      <c r="C297" s="25">
        <v>19602</v>
      </c>
      <c r="D297" s="26"/>
      <c r="E297" s="24"/>
      <c r="F297" s="26"/>
      <c r="G297" s="24"/>
      <c r="H297" s="24"/>
      <c r="I297" s="26"/>
      <c r="J297" s="24"/>
      <c r="K297" s="26"/>
      <c r="L297" s="24"/>
      <c r="M297" s="24"/>
      <c r="N297" s="26"/>
      <c r="O297" s="26"/>
      <c r="P297" s="26"/>
      <c r="Q297" s="26"/>
      <c r="R297" s="26"/>
      <c r="S297" s="26"/>
      <c r="T297" s="26"/>
      <c r="U297" s="26"/>
      <c r="V297" s="26"/>
      <c r="W297" s="26">
        <f>MAX($C$7-VLOOKUP($C297,COS!$B$8:$H$991,3,FALSE),0)</f>
        <v>1656.0712890625</v>
      </c>
      <c r="X297" s="26">
        <f t="shared" si="448"/>
        <v>101.82785446797521</v>
      </c>
      <c r="Y297" s="26">
        <f>VLOOKUP($C297,COS!$B$8:$H$991,4,FALSE)</f>
        <v>19.638147354125977</v>
      </c>
      <c r="Z297" s="26">
        <f t="shared" si="449"/>
        <v>1.2075026141710519</v>
      </c>
      <c r="AA297" s="26">
        <f t="shared" ref="AA297:AA301" si="476">MIN(W297,Y297)</f>
        <v>19.638147354125977</v>
      </c>
      <c r="AB297" s="33">
        <f t="shared" ref="AB297" si="477">AA297*DAY($C297)*86400/43560/1000*IF(MONTH($C297)=8,$P$3,IF(MONTH($C297)=9,$P$4,IF(MONTH($C297)=10,$P$5,IF(MONTH($C297)=11,$P$6,IF(MONTH($C297)=12,$P$7,NA())))))</f>
        <v>1.2075026141710519</v>
      </c>
    </row>
    <row r="298" spans="1:28" x14ac:dyDescent="0.3">
      <c r="A298" s="32">
        <f>VLOOKUP(YEAR(C298),Flags!$A$13:$B$95,2,FALSE)</f>
        <v>1</v>
      </c>
      <c r="B298" s="24">
        <f t="shared" si="432"/>
        <v>1953</v>
      </c>
      <c r="C298" s="25">
        <v>19632</v>
      </c>
      <c r="D298" s="26"/>
      <c r="E298" s="24"/>
      <c r="F298" s="26"/>
      <c r="G298" s="24"/>
      <c r="H298" s="24"/>
      <c r="I298" s="26"/>
      <c r="J298" s="24"/>
      <c r="K298" s="26">
        <f>VLOOKUP($C298,COS!$B$8:$H$991,2,FALSE)</f>
        <v>3007.05029296875</v>
      </c>
      <c r="L298" s="24">
        <f t="shared" ref="L298" si="478">IF(AND(K298&gt;$I$7,K298&lt;$I$8),1,0)</f>
        <v>1</v>
      </c>
      <c r="M298" s="24"/>
      <c r="N298" s="26"/>
      <c r="O298" s="26"/>
      <c r="P298" s="26"/>
      <c r="Q298" s="26"/>
      <c r="R298" s="26"/>
      <c r="S298" s="26"/>
      <c r="T298" s="26"/>
      <c r="U298" s="26"/>
      <c r="V298" s="26"/>
      <c r="W298" s="26">
        <f>MAX($C$8-VLOOKUP($C298,COS!$B$8:$H$991,3,FALSE),0)</f>
        <v>0</v>
      </c>
      <c r="X298" s="26">
        <f t="shared" si="448"/>
        <v>0</v>
      </c>
      <c r="Y298" s="26">
        <f>VLOOKUP($C298,COS!$B$8:$H$991,4,FALSE)</f>
        <v>0</v>
      </c>
      <c r="Z298" s="26">
        <f t="shared" si="449"/>
        <v>0</v>
      </c>
      <c r="AA298" s="26">
        <f t="shared" si="476"/>
        <v>0</v>
      </c>
      <c r="AB298" s="33">
        <f t="shared" si="446"/>
        <v>0</v>
      </c>
    </row>
    <row r="299" spans="1:28" x14ac:dyDescent="0.3">
      <c r="A299" s="32">
        <f>VLOOKUP(YEAR(C299),Flags!$A$13:$B$95,2,FALSE)</f>
        <v>1</v>
      </c>
      <c r="B299" s="24">
        <f t="shared" si="432"/>
        <v>1953</v>
      </c>
      <c r="C299" s="25">
        <v>19663</v>
      </c>
      <c r="D299" s="26"/>
      <c r="E299" s="24"/>
      <c r="F299" s="26"/>
      <c r="G299" s="26"/>
      <c r="H299" s="26"/>
      <c r="I299" s="26"/>
      <c r="J299" s="26"/>
      <c r="K299" s="26"/>
      <c r="L299" s="24"/>
      <c r="M299" s="24"/>
      <c r="N299" s="26"/>
      <c r="O299" s="26"/>
      <c r="P299" s="26"/>
      <c r="Q299" s="26"/>
      <c r="R299" s="26"/>
      <c r="S299" s="26"/>
      <c r="T299" s="26"/>
      <c r="U299" s="26"/>
      <c r="V299" s="26"/>
      <c r="W299" s="26">
        <f>MAX($C$9-VLOOKUP($C299,COS!$B$8:$H$991,3,FALSE),0)</f>
        <v>0</v>
      </c>
      <c r="X299" s="26">
        <f t="shared" si="448"/>
        <v>0</v>
      </c>
      <c r="Y299" s="26">
        <f>VLOOKUP($C299,COS!$B$8:$H$991,4,FALSE)</f>
        <v>1224.5797119140625</v>
      </c>
      <c r="Z299" s="26">
        <f t="shared" si="449"/>
        <v>75.296471542484511</v>
      </c>
      <c r="AA299" s="26">
        <f t="shared" si="476"/>
        <v>0</v>
      </c>
      <c r="AB299" s="33">
        <f t="shared" si="446"/>
        <v>0</v>
      </c>
    </row>
    <row r="300" spans="1:28" x14ac:dyDescent="0.3">
      <c r="A300" s="32">
        <f>VLOOKUP(YEAR(C300),Flags!$A$13:$B$95,2,FALSE)</f>
        <v>1</v>
      </c>
      <c r="B300" s="24">
        <f t="shared" si="432"/>
        <v>1953</v>
      </c>
      <c r="C300" s="25">
        <v>19693</v>
      </c>
      <c r="D300" s="26"/>
      <c r="E300" s="24"/>
      <c r="F300" s="26"/>
      <c r="G300" s="26"/>
      <c r="H300" s="26"/>
      <c r="I300" s="26"/>
      <c r="J300" s="26"/>
      <c r="K300" s="26"/>
      <c r="L300" s="24"/>
      <c r="M300" s="24"/>
      <c r="N300" s="26"/>
      <c r="O300" s="26"/>
      <c r="P300" s="26"/>
      <c r="Q300" s="26"/>
      <c r="R300" s="26"/>
      <c r="S300" s="26"/>
      <c r="T300" s="26"/>
      <c r="U300" s="26"/>
      <c r="V300" s="26"/>
      <c r="W300" s="26">
        <f>MAX($C$10-VLOOKUP($C300,COS!$B$8:$H$991,3,FALSE),0)</f>
        <v>0</v>
      </c>
      <c r="X300" s="26">
        <f t="shared" si="448"/>
        <v>0</v>
      </c>
      <c r="Y300" s="26">
        <f>VLOOKUP($C300,COS!$B$8:$H$991,4,FALSE)</f>
        <v>1707.279296875</v>
      </c>
      <c r="Z300" s="26">
        <f t="shared" si="449"/>
        <v>101.59017303719008</v>
      </c>
      <c r="AA300" s="26">
        <f t="shared" si="476"/>
        <v>0</v>
      </c>
      <c r="AB300" s="33">
        <f t="shared" si="446"/>
        <v>0</v>
      </c>
    </row>
    <row r="301" spans="1:28" x14ac:dyDescent="0.3">
      <c r="A301" s="34">
        <f>VLOOKUP(YEAR(C301),Flags!$A$13:$B$95,2,FALSE)</f>
        <v>1</v>
      </c>
      <c r="B301" s="35">
        <f t="shared" si="432"/>
        <v>1953</v>
      </c>
      <c r="C301" s="36">
        <v>19724</v>
      </c>
      <c r="D301" s="37"/>
      <c r="E301" s="35"/>
      <c r="F301" s="37"/>
      <c r="G301" s="37"/>
      <c r="H301" s="37"/>
      <c r="I301" s="37"/>
      <c r="J301" s="37"/>
      <c r="K301" s="37"/>
      <c r="L301" s="35"/>
      <c r="M301" s="35"/>
      <c r="N301" s="37"/>
      <c r="O301" s="37"/>
      <c r="P301" s="37"/>
      <c r="Q301" s="37"/>
      <c r="R301" s="37"/>
      <c r="S301" s="37"/>
      <c r="T301" s="37"/>
      <c r="U301" s="37"/>
      <c r="V301" s="37"/>
      <c r="W301" s="37">
        <f>MAX($C$11-VLOOKUP($C301,COS!$B$8:$H$991,3,FALSE),0)</f>
        <v>445.16845703125</v>
      </c>
      <c r="X301" s="37">
        <f t="shared" si="448"/>
        <v>27.372341490185949</v>
      </c>
      <c r="Y301" s="37">
        <f>VLOOKUP($C301,COS!$B$8:$H$991,4,FALSE)</f>
        <v>98.75079345703125</v>
      </c>
      <c r="Z301" s="37">
        <f t="shared" si="449"/>
        <v>6.0719496142174583</v>
      </c>
      <c r="AA301" s="37">
        <f t="shared" si="476"/>
        <v>98.75079345703125</v>
      </c>
      <c r="AB301" s="38">
        <f t="shared" si="446"/>
        <v>6.0719496142174583</v>
      </c>
    </row>
    <row r="302" spans="1:28" x14ac:dyDescent="0.3">
      <c r="A302" s="27">
        <f>VLOOKUP(YEAR(C302),Flags!$A$13:$B$95,2,FALSE)</f>
        <v>2</v>
      </c>
      <c r="B302" s="28">
        <f t="shared" si="432"/>
        <v>1954</v>
      </c>
      <c r="C302" s="29">
        <v>19844</v>
      </c>
      <c r="D302" s="30">
        <f>VLOOKUP($C302,COS!$B$8:$H$991,3,FALSE)</f>
        <v>10966.724609375</v>
      </c>
      <c r="E302" s="28">
        <f>IF(D302&gt;=IF(MONTH($C302)=4,$C$3,IF(MONTH($C302)=5,$C$4,IF(MONTH($C302)=6,$C$5,IF(MONTH($C302)=7,$C$6,"ERROR")))),1,0)</f>
        <v>1</v>
      </c>
      <c r="F302" s="30">
        <f>VLOOKUP($C302,COS!$B$8:$H$991,7,FALSE)</f>
        <v>48.739151000976563</v>
      </c>
      <c r="G302" s="28">
        <f>IF(F302&lt;=IF(MONTH($C302)=4,$F$3,IF(MONTH($C302)=5,$F$4,IF(MONTH($C302)=6,$F$5,IF(MONTH($C302)=7,$F$6,"ERROR")))),1,0)</f>
        <v>1</v>
      </c>
      <c r="H302" s="30">
        <f>IF(J302=1,D302-$C$3,0)</f>
        <v>4966.724609375</v>
      </c>
      <c r="I302" s="30">
        <f t="shared" si="450"/>
        <v>295.54063791322312</v>
      </c>
      <c r="J302" s="28">
        <f t="shared" ref="J302:J305" si="479">IF(AND(E302=1,G302=1),1,0)</f>
        <v>1</v>
      </c>
      <c r="K302" s="30">
        <f>VLOOKUP($C302,COS!$B$8:$H$991,2,FALSE)</f>
        <v>4546</v>
      </c>
      <c r="L302" s="28">
        <f t="shared" ref="L302" si="480">IF(K302&lt;=IF(MONTH($C302)=4,$I$3,IF(MONTH($C302)=5,$I$4,IF(MONTH($C302)=6,$I$5,IF(MONTH($C302)=7,$I$6,"ERROR")))),1,0)</f>
        <v>1</v>
      </c>
      <c r="M302" s="28">
        <f t="shared" ref="M302" si="481">VLOOKUP($A302,$L$3:$M$7,2,FALSE)</f>
        <v>0</v>
      </c>
      <c r="N302" s="30">
        <f>VLOOKUP($C302,COS!$B$8:$H$991,5,FALSE)</f>
        <v>33.86962890625</v>
      </c>
      <c r="O302" s="30">
        <f t="shared" ref="O302:O305" si="482">N302*DAY($C302)*86400/43560/1000</f>
        <v>2.0153828770661155</v>
      </c>
      <c r="P302" s="30">
        <f>VLOOKUP($C302,COS!$B$8:$H$991,6,FALSE)</f>
        <v>347.92138671875</v>
      </c>
      <c r="Q302" s="30">
        <f t="shared" ref="Q302:Q305" si="483">P302*DAY($C302)*86400/43560/1000</f>
        <v>20.702760201446281</v>
      </c>
      <c r="R302" s="30">
        <f>MIN(IF(MONTH($C302)=4,$S$3,IF(MONTH($C302)=5,$S$4,IF(MONTH($C302)=6,$S$5,IF(MONTH($C302)=7,$S$6,"ERROR")))),MAX(VLOOKUP($C302,COS!$B$8:$K$991,10,FALSE)-IF(MONTH($C302)=4,$Y$3,IF(MONTH($C302)=5,$Y$4,IF(MONTH($C302)=6,$Y$5,IF(MONTH($C302)=7,$Y$6,"ERROR")))),0),MAX(VLOOKUP($C302,COS!$B$8:$K$991,9,FALSE)-IF(MONTH($C302)=4,$V$3,IF(MONTH($C302)=5,$V$4,IF(MONTH($C302)=6,$V$5,IF(MONTH($C302)=7,$V$6,"ERROR"))))-VLOOKUP($C302,COS!$B$8:$K$991,6,FALSE)/2,0))</f>
        <v>1500</v>
      </c>
      <c r="S302" s="30">
        <f t="shared" ref="S302:S305" si="484">R302*DAY($C302)*86400/43560/1000</f>
        <v>89.256198347107429</v>
      </c>
      <c r="T302" s="30">
        <f t="shared" ref="T302:T305" si="485">(O302+Q302)/2+S302</f>
        <v>100.61526988636362</v>
      </c>
      <c r="U302" s="30" t="str">
        <f>IF(VLOOKUP($C302,COS!$B$8:$I$991,8,FALSE)=1,"UWFE","IBU")</f>
        <v>UWFE</v>
      </c>
      <c r="V302" s="30">
        <f t="shared" ref="V302" si="486">MIN(IF(IF($AA$3=2,AND(E302=1,G302=1,L302=1,L307=1,M302=1,U302="IBU"),AND(E302=1,G302=1,L302=1,L307=1,M302=1)),T302,0),I302)</f>
        <v>0</v>
      </c>
      <c r="W302" s="30"/>
      <c r="X302" s="30"/>
      <c r="Y302" s="30"/>
      <c r="Z302" s="30"/>
      <c r="AA302" s="30"/>
      <c r="AB302" s="31"/>
    </row>
    <row r="303" spans="1:28" x14ac:dyDescent="0.3">
      <c r="A303" s="32">
        <f>VLOOKUP(YEAR(C303),Flags!$A$13:$B$95,2,FALSE)</f>
        <v>2</v>
      </c>
      <c r="B303" s="24">
        <f t="shared" si="432"/>
        <v>1954</v>
      </c>
      <c r="C303" s="25">
        <v>19875</v>
      </c>
      <c r="D303" s="26">
        <f>VLOOKUP($C303,COS!$B$8:$H$991,3,FALSE)</f>
        <v>7140.4267578125</v>
      </c>
      <c r="E303" s="24">
        <f>IF(D303&gt;=IF(MONTH($C303)=4,$C$3,IF(MONTH($C303)=5,$C$4,IF(MONTH($C303)=6,$C$5,IF(MONTH($C303)=7,$C$6,"ERROR")))),1,0)</f>
        <v>1</v>
      </c>
      <c r="F303" s="26">
        <f>VLOOKUP($C303,COS!$B$8:$H$991,7,FALSE)</f>
        <v>50.82733154296875</v>
      </c>
      <c r="G303" s="24">
        <f>IF(F303&lt;=IF(MONTH($C303)=4,$F$3,IF(MONTH($C303)=5,$F$4,IF(MONTH($C303)=6,$F$5,IF(MONTH($C303)=7,$F$6,"ERROR")))),1,0)</f>
        <v>1</v>
      </c>
      <c r="H303" s="26">
        <f>IF(J303=1,D303-$C$4,0)</f>
        <v>1140.4267578125</v>
      </c>
      <c r="I303" s="26">
        <f t="shared" si="450"/>
        <v>70.122108083677688</v>
      </c>
      <c r="J303" s="24">
        <f t="shared" si="479"/>
        <v>1</v>
      </c>
      <c r="K303" s="26">
        <f>VLOOKUP($C303,COS!$B$8:$H$991,2,FALSE)</f>
        <v>4520.74951171875</v>
      </c>
      <c r="L303" s="24">
        <f t="shared" si="435"/>
        <v>1</v>
      </c>
      <c r="M303" s="24">
        <f t="shared" si="436"/>
        <v>0</v>
      </c>
      <c r="N303" s="26">
        <f>VLOOKUP($C303,COS!$B$8:$H$991,5,FALSE)</f>
        <v>705.2218017578125</v>
      </c>
      <c r="O303" s="26">
        <f t="shared" si="482"/>
        <v>43.362398389075409</v>
      </c>
      <c r="P303" s="26">
        <f>VLOOKUP($C303,COS!$B$8:$H$991,6,FALSE)</f>
        <v>2247.10107421875</v>
      </c>
      <c r="Q303" s="26">
        <f t="shared" si="483"/>
        <v>138.16885943956612</v>
      </c>
      <c r="R303" s="26">
        <f>MIN(IF(MONTH($C303)=4,$S$3,IF(MONTH($C303)=5,$S$4,IF(MONTH($C303)=6,$S$5,IF(MONTH($C303)=7,$S$6,"ERROR")))),MAX(VLOOKUP($C303,COS!$B$8:$K$991,10,FALSE)-IF(MONTH($C303)=4,$Y$3,IF(MONTH($C303)=5,$Y$4,IF(MONTH($C303)=6,$Y$5,IF(MONTH($C303)=7,$Y$6,"ERROR")))),0),MAX(VLOOKUP($C303,COS!$B$8:$K$991,9,FALSE)-IF(MONTH($C303)=4,$V$3,IF(MONTH($C303)=5,$V$4,IF(MONTH($C303)=6,$V$5,IF(MONTH($C303)=7,$V$6,"ERROR"))))-VLOOKUP($C303,COS!$B$8:$K$991,6,FALSE)/2,0))</f>
        <v>1500</v>
      </c>
      <c r="S303" s="26">
        <f t="shared" si="484"/>
        <v>92.231404958677686</v>
      </c>
      <c r="T303" s="26">
        <f t="shared" si="485"/>
        <v>182.99703387299843</v>
      </c>
      <c r="U303" s="26" t="str">
        <f>IF(VLOOKUP($C303,COS!$B$8:$I$991,8,FALSE)=1,"UWFE","IBU")</f>
        <v>UWFE</v>
      </c>
      <c r="V303" s="26">
        <f t="shared" ref="V303" si="487">MIN(IF(IF($AA$3=2,AND(E303=1,G303=1,L303=1,L307=1,M303=1,U303="IBU"),AND(E303=1,G303=1,L303=1,L307=1,M303=1)),T303,0),I303)</f>
        <v>0</v>
      </c>
      <c r="W303" s="26"/>
      <c r="X303" s="26"/>
      <c r="Y303" s="26"/>
      <c r="Z303" s="26"/>
      <c r="AA303" s="26"/>
      <c r="AB303" s="33"/>
    </row>
    <row r="304" spans="1:28" x14ac:dyDescent="0.3">
      <c r="A304" s="32">
        <f>VLOOKUP(YEAR(C304),Flags!$A$13:$B$95,2,FALSE)</f>
        <v>2</v>
      </c>
      <c r="B304" s="24">
        <f t="shared" si="432"/>
        <v>1954</v>
      </c>
      <c r="C304" s="25">
        <v>19905</v>
      </c>
      <c r="D304" s="26">
        <f>VLOOKUP($C304,COS!$B$8:$H$991,3,FALSE)</f>
        <v>10288.154296875</v>
      </c>
      <c r="E304" s="24">
        <f>IF(D304&gt;=IF(MONTH($C304)=4,$C$3,IF(MONTH($C304)=5,$C$4,IF(MONTH($C304)=6,$C$5,IF(MONTH($C304)=7,$C$6,"ERROR")))),1,0)</f>
        <v>1</v>
      </c>
      <c r="F304" s="26">
        <f>VLOOKUP($C304,COS!$B$8:$H$991,7,FALSE)</f>
        <v>50.714031219482422</v>
      </c>
      <c r="G304" s="24">
        <f>IF(F304&lt;=IF(MONTH($C304)=4,$F$3,IF(MONTH($C304)=5,$F$4,IF(MONTH($C304)=6,$F$5,IF(MONTH($C304)=7,$F$6,"ERROR")))),1,0)</f>
        <v>1</v>
      </c>
      <c r="H304" s="26">
        <f>IF(J304=1,D304-$C$5,0)</f>
        <v>288.154296875</v>
      </c>
      <c r="I304" s="26">
        <f t="shared" si="450"/>
        <v>17.14637138429752</v>
      </c>
      <c r="J304" s="24">
        <f t="shared" si="479"/>
        <v>1</v>
      </c>
      <c r="K304" s="26">
        <f>VLOOKUP($C304,COS!$B$8:$H$991,2,FALSE)</f>
        <v>4172.916015625</v>
      </c>
      <c r="L304" s="24">
        <f t="shared" si="435"/>
        <v>1</v>
      </c>
      <c r="M304" s="24">
        <f t="shared" si="436"/>
        <v>0</v>
      </c>
      <c r="N304" s="26">
        <f>VLOOKUP($C304,COS!$B$8:$H$991,5,FALSE)</f>
        <v>1051.88525390625</v>
      </c>
      <c r="O304" s="26">
        <f t="shared" si="482"/>
        <v>62.591519240702482</v>
      </c>
      <c r="P304" s="26">
        <f>VLOOKUP($C304,COS!$B$8:$H$991,6,FALSE)</f>
        <v>2396.154541015625</v>
      </c>
      <c r="Q304" s="26">
        <f t="shared" si="483"/>
        <v>142.58109665547522</v>
      </c>
      <c r="R304" s="26">
        <f>MIN(IF(MONTH($C304)=4,$S$3,IF(MONTH($C304)=5,$S$4,IF(MONTH($C304)=6,$S$5,IF(MONTH($C304)=7,$S$6,"ERROR")))),MAX(VLOOKUP($C304,COS!$B$8:$K$991,10,FALSE)-IF(MONTH($C304)=4,$Y$3,IF(MONTH($C304)=5,$Y$4,IF(MONTH($C304)=6,$Y$5,IF(MONTH($C304)=7,$Y$6,"ERROR")))),0),MAX(VLOOKUP($C304,COS!$B$8:$K$991,9,FALSE)-IF(MONTH($C304)=4,$V$3,IF(MONTH($C304)=5,$V$4,IF(MONTH($C304)=6,$V$5,IF(MONTH($C304)=7,$V$6,"ERROR"))))-VLOOKUP($C304,COS!$B$8:$K$991,6,FALSE)/2,0))</f>
        <v>1500</v>
      </c>
      <c r="S304" s="26">
        <f t="shared" si="484"/>
        <v>89.256198347107429</v>
      </c>
      <c r="T304" s="26">
        <f t="shared" si="485"/>
        <v>191.8425062951963</v>
      </c>
      <c r="U304" s="26" t="str">
        <f>IF(VLOOKUP($C304,COS!$B$8:$I$991,8,FALSE)=1,"UWFE","IBU")</f>
        <v>IBU</v>
      </c>
      <c r="V304" s="26">
        <f t="shared" ref="V304" si="488">MIN(IF(IF($AA$3=2,AND(E304=1,G304=1,L304=1,L307=1,M304=1,U304="IBU"),AND(E304=1,G304=1,L304=1,L307=1,M304=1)),T304,0),I304)</f>
        <v>0</v>
      </c>
      <c r="W304" s="26"/>
      <c r="X304" s="26"/>
      <c r="Y304" s="26"/>
      <c r="Z304" s="26"/>
      <c r="AA304" s="26"/>
      <c r="AB304" s="33"/>
    </row>
    <row r="305" spans="1:28" x14ac:dyDescent="0.3">
      <c r="A305" s="32">
        <f>VLOOKUP(YEAR(C305),Flags!$A$13:$B$95,2,FALSE)</f>
        <v>2</v>
      </c>
      <c r="B305" s="24">
        <f t="shared" si="432"/>
        <v>1954</v>
      </c>
      <c r="C305" s="25">
        <v>19936</v>
      </c>
      <c r="D305" s="26">
        <f>VLOOKUP($C305,COS!$B$8:$H$991,3,FALSE)</f>
        <v>16000</v>
      </c>
      <c r="E305" s="24">
        <f>IF(D305&gt;=IF(MONTH($C305)=4,$C$3,IF(MONTH($C305)=5,$C$4,IF(MONTH($C305)=6,$C$5,IF(MONTH($C305)=7,$C$6,"ERROR")))),1,0)</f>
        <v>1</v>
      </c>
      <c r="F305" s="26">
        <f>VLOOKUP($C305,COS!$B$8:$H$991,7,FALSE)</f>
        <v>51.326705932617188</v>
      </c>
      <c r="G305" s="24">
        <f>IF(F305&lt;=IF(MONTH($C305)=4,$F$3,IF(MONTH($C305)=5,$F$4,IF(MONTH($C305)=6,$F$5,IF(MONTH($C305)=7,$F$6,"ERROR")))),1,0)</f>
        <v>1</v>
      </c>
      <c r="H305" s="26">
        <f>IF(J305=1,D305-$C$6,0)</f>
        <v>4000</v>
      </c>
      <c r="I305" s="26">
        <f t="shared" si="450"/>
        <v>245.95041322314049</v>
      </c>
      <c r="J305" s="24">
        <f t="shared" si="479"/>
        <v>1</v>
      </c>
      <c r="K305" s="26">
        <f>VLOOKUP($C305,COS!$B$8:$H$991,2,FALSE)</f>
        <v>3484.43505859375</v>
      </c>
      <c r="L305" s="24">
        <f t="shared" si="435"/>
        <v>1</v>
      </c>
      <c r="M305" s="24">
        <f t="shared" si="436"/>
        <v>0</v>
      </c>
      <c r="N305" s="26">
        <f>VLOOKUP($C305,COS!$B$8:$H$991,5,FALSE)</f>
        <v>1187.869384765625</v>
      </c>
      <c r="O305" s="26">
        <f t="shared" si="482"/>
        <v>73.039241509555779</v>
      </c>
      <c r="P305" s="26">
        <f>VLOOKUP($C305,COS!$B$8:$H$991,6,FALSE)</f>
        <v>2562.892822265625</v>
      </c>
      <c r="Q305" s="26">
        <f t="shared" si="483"/>
        <v>157.58613717071282</v>
      </c>
      <c r="R305" s="26">
        <f>MIN(IF(MONTH($C305)=4,$S$3,IF(MONTH($C305)=5,$S$4,IF(MONTH($C305)=6,$S$5,IF(MONTH($C305)=7,$S$6,"ERROR")))),MAX(VLOOKUP($C305,COS!$B$8:$K$991,10,FALSE)-IF(MONTH($C305)=4,$Y$3,IF(MONTH($C305)=5,$Y$4,IF(MONTH($C305)=6,$Y$5,IF(MONTH($C305)=7,$Y$6,"ERROR")))),0),MAX(VLOOKUP($C305,COS!$B$8:$K$991,9,FALSE)-IF(MONTH($C305)=4,$V$3,IF(MONTH($C305)=5,$V$4,IF(MONTH($C305)=6,$V$5,IF(MONTH($C305)=7,$V$6,"ERROR"))))-VLOOKUP($C305,COS!$B$8:$K$991,6,FALSE)/2,0))</f>
        <v>1500</v>
      </c>
      <c r="S305" s="26">
        <f t="shared" si="484"/>
        <v>92.231404958677686</v>
      </c>
      <c r="T305" s="26">
        <f t="shared" si="485"/>
        <v>207.54409429881198</v>
      </c>
      <c r="U305" s="26" t="str">
        <f>IF(VLOOKUP($C305,COS!$B$8:$I$991,8,FALSE)=1,"UWFE","IBU")</f>
        <v>IBU</v>
      </c>
      <c r="V305" s="26">
        <f t="shared" ref="V305" si="489">MIN(IF(IF($AA$3=2,AND(E305=1,G305=1,L305=1,L307=1,M305=1,U305="IBU"),AND(E305=1,G305=1,L305=1,L307=1,M305=1)),T305,0),I305)</f>
        <v>0</v>
      </c>
      <c r="W305" s="26"/>
      <c r="X305" s="26"/>
      <c r="Y305" s="26"/>
      <c r="Z305" s="26"/>
      <c r="AA305" s="26"/>
      <c r="AB305" s="33"/>
    </row>
    <row r="306" spans="1:28" x14ac:dyDescent="0.3">
      <c r="A306" s="32">
        <f>VLOOKUP(YEAR(C306),Flags!$A$13:$B$95,2,FALSE)</f>
        <v>2</v>
      </c>
      <c r="B306" s="24">
        <f t="shared" si="432"/>
        <v>1954</v>
      </c>
      <c r="C306" s="25">
        <v>19967</v>
      </c>
      <c r="D306" s="26"/>
      <c r="E306" s="24"/>
      <c r="F306" s="26"/>
      <c r="G306" s="24"/>
      <c r="H306" s="24"/>
      <c r="I306" s="26"/>
      <c r="J306" s="24"/>
      <c r="K306" s="26"/>
      <c r="L306" s="24"/>
      <c r="M306" s="24"/>
      <c r="N306" s="26"/>
      <c r="O306" s="26"/>
      <c r="P306" s="26"/>
      <c r="Q306" s="26"/>
      <c r="R306" s="26"/>
      <c r="S306" s="26"/>
      <c r="T306" s="26"/>
      <c r="U306" s="26"/>
      <c r="V306" s="26"/>
      <c r="W306" s="26">
        <f>MAX($C$7-VLOOKUP($C306,COS!$B$8:$H$991,3,FALSE),0)</f>
        <v>1108.3271484375</v>
      </c>
      <c r="X306" s="26">
        <f t="shared" si="448"/>
        <v>68.148380036157036</v>
      </c>
      <c r="Y306" s="26">
        <f>VLOOKUP($C306,COS!$B$8:$H$991,4,FALSE)</f>
        <v>0</v>
      </c>
      <c r="Z306" s="26">
        <f t="shared" si="449"/>
        <v>0</v>
      </c>
      <c r="AA306" s="26">
        <f t="shared" ref="AA306:AA310" si="490">MIN(W306,Y306)</f>
        <v>0</v>
      </c>
      <c r="AB306" s="33">
        <f t="shared" ref="AB306" si="491">AA306*DAY($C306)*86400/43560/1000*IF(MONTH($C306)=8,$P$3,IF(MONTH($C306)=9,$P$4,IF(MONTH($C306)=10,$P$5,IF(MONTH($C306)=11,$P$6,IF(MONTH($C306)=12,$P$7,NA())))))</f>
        <v>0</v>
      </c>
    </row>
    <row r="307" spans="1:28" x14ac:dyDescent="0.3">
      <c r="A307" s="32">
        <f>VLOOKUP(YEAR(C307),Flags!$A$13:$B$95,2,FALSE)</f>
        <v>2</v>
      </c>
      <c r="B307" s="24">
        <f t="shared" si="432"/>
        <v>1954</v>
      </c>
      <c r="C307" s="25">
        <v>19997</v>
      </c>
      <c r="D307" s="26"/>
      <c r="E307" s="24"/>
      <c r="F307" s="26"/>
      <c r="G307" s="24"/>
      <c r="H307" s="24"/>
      <c r="I307" s="26"/>
      <c r="J307" s="24"/>
      <c r="K307" s="26">
        <f>VLOOKUP($C307,COS!$B$8:$H$991,2,FALSE)</f>
        <v>2910.68115234375</v>
      </c>
      <c r="L307" s="24">
        <f t="shared" ref="L307" si="492">IF(AND(K307&gt;$I$7,K307&lt;$I$8),1,0)</f>
        <v>1</v>
      </c>
      <c r="M307" s="24"/>
      <c r="N307" s="26"/>
      <c r="O307" s="26"/>
      <c r="P307" s="26"/>
      <c r="Q307" s="26"/>
      <c r="R307" s="26"/>
      <c r="S307" s="26"/>
      <c r="T307" s="26"/>
      <c r="U307" s="26"/>
      <c r="V307" s="26"/>
      <c r="W307" s="26">
        <f>MAX($C$8-VLOOKUP($C307,COS!$B$8:$H$991,3,FALSE),0)</f>
        <v>0</v>
      </c>
      <c r="X307" s="26">
        <f t="shared" si="448"/>
        <v>0</v>
      </c>
      <c r="Y307" s="26">
        <f>VLOOKUP($C307,COS!$B$8:$H$991,4,FALSE)</f>
        <v>0</v>
      </c>
      <c r="Z307" s="26">
        <f t="shared" si="449"/>
        <v>0</v>
      </c>
      <c r="AA307" s="26">
        <f t="shared" si="490"/>
        <v>0</v>
      </c>
      <c r="AB307" s="33">
        <f t="shared" si="446"/>
        <v>0</v>
      </c>
    </row>
    <row r="308" spans="1:28" x14ac:dyDescent="0.3">
      <c r="A308" s="32">
        <f>VLOOKUP(YEAR(C308),Flags!$A$13:$B$95,2,FALSE)</f>
        <v>2</v>
      </c>
      <c r="B308" s="24">
        <f t="shared" si="432"/>
        <v>1954</v>
      </c>
      <c r="C308" s="25">
        <v>20028</v>
      </c>
      <c r="D308" s="26"/>
      <c r="E308" s="24"/>
      <c r="F308" s="26"/>
      <c r="G308" s="26"/>
      <c r="H308" s="26"/>
      <c r="I308" s="26"/>
      <c r="J308" s="26"/>
      <c r="K308" s="26"/>
      <c r="L308" s="24"/>
      <c r="M308" s="24"/>
      <c r="N308" s="26"/>
      <c r="O308" s="26"/>
      <c r="P308" s="26"/>
      <c r="Q308" s="26"/>
      <c r="R308" s="26"/>
      <c r="S308" s="26"/>
      <c r="T308" s="26"/>
      <c r="U308" s="26"/>
      <c r="V308" s="26"/>
      <c r="W308" s="26">
        <f>MAX($C$9-VLOOKUP($C308,COS!$B$8:$H$991,3,FALSE),0)</f>
        <v>0</v>
      </c>
      <c r="X308" s="26">
        <f t="shared" si="448"/>
        <v>0</v>
      </c>
      <c r="Y308" s="26">
        <f>VLOOKUP($C308,COS!$B$8:$H$991,4,FALSE)</f>
        <v>798.4456787109375</v>
      </c>
      <c r="Z308" s="26">
        <f t="shared" si="449"/>
        <v>49.094511153796482</v>
      </c>
      <c r="AA308" s="26">
        <f t="shared" si="490"/>
        <v>0</v>
      </c>
      <c r="AB308" s="33">
        <f t="shared" si="446"/>
        <v>0</v>
      </c>
    </row>
    <row r="309" spans="1:28" x14ac:dyDescent="0.3">
      <c r="A309" s="32">
        <f>VLOOKUP(YEAR(C309),Flags!$A$13:$B$95,2,FALSE)</f>
        <v>2</v>
      </c>
      <c r="B309" s="24">
        <f t="shared" si="432"/>
        <v>1954</v>
      </c>
      <c r="C309" s="25">
        <v>20058</v>
      </c>
      <c r="D309" s="26"/>
      <c r="E309" s="24"/>
      <c r="F309" s="26"/>
      <c r="G309" s="26"/>
      <c r="H309" s="26"/>
      <c r="I309" s="26"/>
      <c r="J309" s="26"/>
      <c r="K309" s="26"/>
      <c r="L309" s="24"/>
      <c r="M309" s="24"/>
      <c r="N309" s="26"/>
      <c r="O309" s="26"/>
      <c r="P309" s="26"/>
      <c r="Q309" s="26"/>
      <c r="R309" s="26"/>
      <c r="S309" s="26"/>
      <c r="T309" s="26"/>
      <c r="U309" s="26"/>
      <c r="V309" s="26"/>
      <c r="W309" s="26">
        <f>MAX($C$10-VLOOKUP($C309,COS!$B$8:$H$991,3,FALSE),0)</f>
        <v>0</v>
      </c>
      <c r="X309" s="26">
        <f t="shared" si="448"/>
        <v>0</v>
      </c>
      <c r="Y309" s="26">
        <f>VLOOKUP($C309,COS!$B$8:$H$991,4,FALSE)</f>
        <v>832.2525634765625</v>
      </c>
      <c r="Z309" s="26">
        <f t="shared" si="449"/>
        <v>49.522466587035126</v>
      </c>
      <c r="AA309" s="26">
        <f t="shared" si="490"/>
        <v>0</v>
      </c>
      <c r="AB309" s="33">
        <f t="shared" si="446"/>
        <v>0</v>
      </c>
    </row>
    <row r="310" spans="1:28" x14ac:dyDescent="0.3">
      <c r="A310" s="34">
        <f>VLOOKUP(YEAR(C310),Flags!$A$13:$B$95,2,FALSE)</f>
        <v>2</v>
      </c>
      <c r="B310" s="35">
        <f t="shared" si="432"/>
        <v>1954</v>
      </c>
      <c r="C310" s="36">
        <v>20089</v>
      </c>
      <c r="D310" s="37"/>
      <c r="E310" s="35"/>
      <c r="F310" s="37"/>
      <c r="G310" s="37"/>
      <c r="H310" s="37"/>
      <c r="I310" s="37"/>
      <c r="J310" s="37"/>
      <c r="K310" s="37"/>
      <c r="L310" s="35"/>
      <c r="M310" s="35"/>
      <c r="N310" s="37"/>
      <c r="O310" s="37"/>
      <c r="P310" s="37"/>
      <c r="Q310" s="37"/>
      <c r="R310" s="37"/>
      <c r="S310" s="37"/>
      <c r="T310" s="37"/>
      <c r="U310" s="37"/>
      <c r="V310" s="37"/>
      <c r="W310" s="37">
        <f>MAX($C$11-VLOOKUP($C310,COS!$B$8:$H$991,3,FALSE),0)</f>
        <v>1750</v>
      </c>
      <c r="X310" s="37">
        <f t="shared" si="448"/>
        <v>107.60330578512398</v>
      </c>
      <c r="Y310" s="37">
        <f>VLOOKUP($C310,COS!$B$8:$H$991,4,FALSE)</f>
        <v>0</v>
      </c>
      <c r="Z310" s="37">
        <f t="shared" si="449"/>
        <v>0</v>
      </c>
      <c r="AA310" s="37">
        <f t="shared" si="490"/>
        <v>0</v>
      </c>
      <c r="AB310" s="38">
        <f t="shared" si="446"/>
        <v>0</v>
      </c>
    </row>
    <row r="311" spans="1:28" x14ac:dyDescent="0.3">
      <c r="A311" s="27">
        <f>VLOOKUP(YEAR(C311),Flags!$A$13:$B$95,2,FALSE)</f>
        <v>4</v>
      </c>
      <c r="B311" s="28">
        <f t="shared" si="432"/>
        <v>1955</v>
      </c>
      <c r="C311" s="29">
        <v>20209</v>
      </c>
      <c r="D311" s="30">
        <f>VLOOKUP($C311,COS!$B$8:$H$991,3,FALSE)</f>
        <v>3250</v>
      </c>
      <c r="E311" s="28">
        <f>IF(D311&gt;=IF(MONTH($C311)=4,$C$3,IF(MONTH($C311)=5,$C$4,IF(MONTH($C311)=6,$C$5,IF(MONTH($C311)=7,$C$6,"ERROR")))),1,0)</f>
        <v>0</v>
      </c>
      <c r="F311" s="30">
        <f>VLOOKUP($C311,COS!$B$8:$H$991,7,FALSE)</f>
        <v>50.451328277587891</v>
      </c>
      <c r="G311" s="28">
        <f>IF(F311&lt;=IF(MONTH($C311)=4,$F$3,IF(MONTH($C311)=5,$F$4,IF(MONTH($C311)=6,$F$5,IF(MONTH($C311)=7,$F$6,"ERROR")))),1,0)</f>
        <v>1</v>
      </c>
      <c r="H311" s="30">
        <f>IF(J311=1,D311-$C$3,0)</f>
        <v>0</v>
      </c>
      <c r="I311" s="30">
        <f t="shared" si="450"/>
        <v>0</v>
      </c>
      <c r="J311" s="28">
        <f t="shared" ref="J311:J314" si="493">IF(AND(E311=1,G311=1),1,0)</f>
        <v>0</v>
      </c>
      <c r="K311" s="30">
        <f>VLOOKUP($C311,COS!$B$8:$H$991,2,FALSE)</f>
        <v>3900.966552734375</v>
      </c>
      <c r="L311" s="28">
        <f t="shared" ref="L311" si="494">IF(K311&lt;=IF(MONTH($C311)=4,$I$3,IF(MONTH($C311)=5,$I$4,IF(MONTH($C311)=6,$I$5,IF(MONTH($C311)=7,$I$6,"ERROR")))),1,0)</f>
        <v>1</v>
      </c>
      <c r="M311" s="28">
        <f t="shared" ref="M311" si="495">VLOOKUP($A311,$L$3:$M$7,2,FALSE)</f>
        <v>1</v>
      </c>
      <c r="N311" s="30">
        <f>VLOOKUP($C311,COS!$B$8:$H$991,5,FALSE)</f>
        <v>222.8968505859375</v>
      </c>
      <c r="O311" s="30">
        <f t="shared" ref="O311:O314" si="496">N311*DAY($C311)*86400/43560/1000</f>
        <v>13.26328367122934</v>
      </c>
      <c r="P311" s="30">
        <f>VLOOKUP($C311,COS!$B$8:$H$991,6,FALSE)</f>
        <v>466.9581298828125</v>
      </c>
      <c r="Q311" s="30">
        <f t="shared" ref="Q311:Q314" si="497">P311*DAY($C311)*86400/43560/1000</f>
        <v>27.785938307076446</v>
      </c>
      <c r="R311" s="30">
        <f>MIN(IF(MONTH($C311)=4,$S$3,IF(MONTH($C311)=5,$S$4,IF(MONTH($C311)=6,$S$5,IF(MONTH($C311)=7,$S$6,"ERROR")))),MAX(VLOOKUP($C311,COS!$B$8:$K$991,10,FALSE)-IF(MONTH($C311)=4,$Y$3,IF(MONTH($C311)=5,$Y$4,IF(MONTH($C311)=6,$Y$5,IF(MONTH($C311)=7,$Y$6,"ERROR")))),0),MAX(VLOOKUP($C311,COS!$B$8:$K$991,9,FALSE)-IF(MONTH($C311)=4,$V$3,IF(MONTH($C311)=5,$V$4,IF(MONTH($C311)=6,$V$5,IF(MONTH($C311)=7,$V$6,"ERROR"))))-VLOOKUP($C311,COS!$B$8:$K$991,6,FALSE)/2,0))</f>
        <v>1500</v>
      </c>
      <c r="S311" s="30">
        <f t="shared" ref="S311:S314" si="498">R311*DAY($C311)*86400/43560/1000</f>
        <v>89.256198347107429</v>
      </c>
      <c r="T311" s="30">
        <f t="shared" ref="T311:T314" si="499">(O311+Q311)/2+S311</f>
        <v>109.78080933626032</v>
      </c>
      <c r="U311" s="30" t="str">
        <f>IF(VLOOKUP($C311,COS!$B$8:$I$991,8,FALSE)=1,"UWFE","IBU")</f>
        <v>UWFE</v>
      </c>
      <c r="V311" s="30">
        <f t="shared" ref="V311" si="500">MIN(IF(IF($AA$3=2,AND(E311=1,G311=1,L311=1,L316=1,M311=1,U311="IBU"),AND(E311=1,G311=1,L311=1,L316=1,M311=1)),T311,0),I311)</f>
        <v>0</v>
      </c>
      <c r="W311" s="30"/>
      <c r="X311" s="30"/>
      <c r="Y311" s="30"/>
      <c r="Z311" s="30"/>
      <c r="AA311" s="30"/>
      <c r="AB311" s="31"/>
    </row>
    <row r="312" spans="1:28" x14ac:dyDescent="0.3">
      <c r="A312" s="32">
        <f>VLOOKUP(YEAR(C312),Flags!$A$13:$B$95,2,FALSE)</f>
        <v>4</v>
      </c>
      <c r="B312" s="24">
        <f t="shared" si="432"/>
        <v>1955</v>
      </c>
      <c r="C312" s="25">
        <v>20240</v>
      </c>
      <c r="D312" s="26">
        <f>VLOOKUP($C312,COS!$B$8:$H$991,3,FALSE)</f>
        <v>5268.8193359375</v>
      </c>
      <c r="E312" s="24">
        <f>IF(D312&gt;=IF(MONTH($C312)=4,$C$3,IF(MONTH($C312)=5,$C$4,IF(MONTH($C312)=6,$C$5,IF(MONTH($C312)=7,$C$6,"ERROR")))),1,0)</f>
        <v>0</v>
      </c>
      <c r="F312" s="26">
        <f>VLOOKUP($C312,COS!$B$8:$H$991,7,FALSE)</f>
        <v>51.616672515869141</v>
      </c>
      <c r="G312" s="24">
        <f>IF(F312&lt;=IF(MONTH($C312)=4,$F$3,IF(MONTH($C312)=5,$F$4,IF(MONTH($C312)=6,$F$5,IF(MONTH($C312)=7,$F$6,"ERROR")))),1,0)</f>
        <v>1</v>
      </c>
      <c r="H312" s="26">
        <f>IF(J312=1,D312-$C$4,0)</f>
        <v>0</v>
      </c>
      <c r="I312" s="26">
        <f t="shared" si="450"/>
        <v>0</v>
      </c>
      <c r="J312" s="24">
        <f t="shared" si="493"/>
        <v>0</v>
      </c>
      <c r="K312" s="26">
        <f>VLOOKUP($C312,COS!$B$8:$H$991,2,FALSE)</f>
        <v>4019.9189453125</v>
      </c>
      <c r="L312" s="24">
        <f t="shared" si="435"/>
        <v>1</v>
      </c>
      <c r="M312" s="24">
        <f t="shared" si="436"/>
        <v>1</v>
      </c>
      <c r="N312" s="26">
        <f>VLOOKUP($C312,COS!$B$8:$H$991,5,FALSE)</f>
        <v>365.389892578125</v>
      </c>
      <c r="O312" s="26">
        <f t="shared" si="496"/>
        <v>22.466948766787191</v>
      </c>
      <c r="P312" s="26">
        <f>VLOOKUP($C312,COS!$B$8:$H$991,6,FALSE)</f>
        <v>2265.77197265625</v>
      </c>
      <c r="Q312" s="26">
        <f t="shared" si="497"/>
        <v>139.31688823605373</v>
      </c>
      <c r="R312" s="26">
        <f>MIN(IF(MONTH($C312)=4,$S$3,IF(MONTH($C312)=5,$S$4,IF(MONTH($C312)=6,$S$5,IF(MONTH($C312)=7,$S$6,"ERROR")))),MAX(VLOOKUP($C312,COS!$B$8:$K$991,10,FALSE)-IF(MONTH($C312)=4,$Y$3,IF(MONTH($C312)=5,$Y$4,IF(MONTH($C312)=6,$Y$5,IF(MONTH($C312)=7,$Y$6,"ERROR")))),0),MAX(VLOOKUP($C312,COS!$B$8:$K$991,9,FALSE)-IF(MONTH($C312)=4,$V$3,IF(MONTH($C312)=5,$V$4,IF(MONTH($C312)=6,$V$5,IF(MONTH($C312)=7,$V$6,"ERROR"))))-VLOOKUP($C312,COS!$B$8:$K$991,6,FALSE)/2,0))</f>
        <v>1486.18310546875</v>
      </c>
      <c r="S312" s="26">
        <f t="shared" si="498"/>
        <v>91.38183722882232</v>
      </c>
      <c r="T312" s="26">
        <f t="shared" si="499"/>
        <v>172.27375573024278</v>
      </c>
      <c r="U312" s="26" t="str">
        <f>IF(VLOOKUP($C312,COS!$B$8:$I$991,8,FALSE)=1,"UWFE","IBU")</f>
        <v>UWFE</v>
      </c>
      <c r="V312" s="26">
        <f t="shared" ref="V312" si="501">MIN(IF(IF($AA$3=2,AND(E312=1,G312=1,L312=1,L316=1,M312=1,U312="IBU"),AND(E312=1,G312=1,L312=1,L316=1,M312=1)),T312,0),I312)</f>
        <v>0</v>
      </c>
      <c r="W312" s="26"/>
      <c r="X312" s="26"/>
      <c r="Y312" s="26"/>
      <c r="Z312" s="26"/>
      <c r="AA312" s="26"/>
      <c r="AB312" s="33"/>
    </row>
    <row r="313" spans="1:28" x14ac:dyDescent="0.3">
      <c r="A313" s="32">
        <f>VLOOKUP(YEAR(C313),Flags!$A$13:$B$95,2,FALSE)</f>
        <v>4</v>
      </c>
      <c r="B313" s="24">
        <f t="shared" si="432"/>
        <v>1955</v>
      </c>
      <c r="C313" s="25">
        <v>20270</v>
      </c>
      <c r="D313" s="26">
        <f>VLOOKUP($C313,COS!$B$8:$H$991,3,FALSE)</f>
        <v>9586.744140625</v>
      </c>
      <c r="E313" s="24">
        <f>IF(D313&gt;=IF(MONTH($C313)=4,$C$3,IF(MONTH($C313)=5,$C$4,IF(MONTH($C313)=6,$C$5,IF(MONTH($C313)=7,$C$6,"ERROR")))),1,0)</f>
        <v>0</v>
      </c>
      <c r="F313" s="26">
        <f>VLOOKUP($C313,COS!$B$8:$H$991,7,FALSE)</f>
        <v>51.253532409667969</v>
      </c>
      <c r="G313" s="24">
        <f>IF(F313&lt;=IF(MONTH($C313)=4,$F$3,IF(MONTH($C313)=5,$F$4,IF(MONTH($C313)=6,$F$5,IF(MONTH($C313)=7,$F$6,"ERROR")))),1,0)</f>
        <v>1</v>
      </c>
      <c r="H313" s="26">
        <f>IF(J313=1,D313-$C$5,0)</f>
        <v>0</v>
      </c>
      <c r="I313" s="26">
        <f t="shared" si="450"/>
        <v>0</v>
      </c>
      <c r="J313" s="24">
        <f t="shared" si="493"/>
        <v>0</v>
      </c>
      <c r="K313" s="26">
        <f>VLOOKUP($C313,COS!$B$8:$H$991,2,FALSE)</f>
        <v>3710.103271484375</v>
      </c>
      <c r="L313" s="24">
        <f t="shared" si="435"/>
        <v>1</v>
      </c>
      <c r="M313" s="24">
        <f t="shared" si="436"/>
        <v>1</v>
      </c>
      <c r="N313" s="26">
        <f>VLOOKUP($C313,COS!$B$8:$H$991,5,FALSE)</f>
        <v>444.3331298828125</v>
      </c>
      <c r="O313" s="26">
        <f t="shared" si="496"/>
        <v>26.439657315340909</v>
      </c>
      <c r="P313" s="26">
        <f>VLOOKUP($C313,COS!$B$8:$H$991,6,FALSE)</f>
        <v>2712.6806640625</v>
      </c>
      <c r="Q313" s="26">
        <f t="shared" si="497"/>
        <v>161.41570893595042</v>
      </c>
      <c r="R313" s="26">
        <f>MIN(IF(MONTH($C313)=4,$S$3,IF(MONTH($C313)=5,$S$4,IF(MONTH($C313)=6,$S$5,IF(MONTH($C313)=7,$S$6,"ERROR")))),MAX(VLOOKUP($C313,COS!$B$8:$K$991,10,FALSE)-IF(MONTH($C313)=4,$Y$3,IF(MONTH($C313)=5,$Y$4,IF(MONTH($C313)=6,$Y$5,IF(MONTH($C313)=7,$Y$6,"ERROR")))),0),MAX(VLOOKUP($C313,COS!$B$8:$K$991,9,FALSE)-IF(MONTH($C313)=4,$V$3,IF(MONTH($C313)=5,$V$4,IF(MONTH($C313)=6,$V$5,IF(MONTH($C313)=7,$V$6,"ERROR"))))-VLOOKUP($C313,COS!$B$8:$K$991,6,FALSE)/2,0))</f>
        <v>1500</v>
      </c>
      <c r="S313" s="26">
        <f t="shared" si="498"/>
        <v>89.256198347107429</v>
      </c>
      <c r="T313" s="26">
        <f t="shared" si="499"/>
        <v>183.18388147275311</v>
      </c>
      <c r="U313" s="26" t="str">
        <f>IF(VLOOKUP($C313,COS!$B$8:$I$991,8,FALSE)=1,"UWFE","IBU")</f>
        <v>IBU</v>
      </c>
      <c r="V313" s="26">
        <f t="shared" ref="V313" si="502">MIN(IF(IF($AA$3=2,AND(E313=1,G313=1,L313=1,L316=1,M313=1,U313="IBU"),AND(E313=1,G313=1,L313=1,L316=1,M313=1)),T313,0),I313)</f>
        <v>0</v>
      </c>
      <c r="W313" s="26"/>
      <c r="X313" s="26"/>
      <c r="Y313" s="26"/>
      <c r="Z313" s="26"/>
      <c r="AA313" s="26"/>
      <c r="AB313" s="33"/>
    </row>
    <row r="314" spans="1:28" x14ac:dyDescent="0.3">
      <c r="A314" s="32">
        <f>VLOOKUP(YEAR(C314),Flags!$A$13:$B$95,2,FALSE)</f>
        <v>4</v>
      </c>
      <c r="B314" s="24">
        <f t="shared" si="432"/>
        <v>1955</v>
      </c>
      <c r="C314" s="25">
        <v>20301</v>
      </c>
      <c r="D314" s="26">
        <f>VLOOKUP($C314,COS!$B$8:$H$991,3,FALSE)</f>
        <v>14380.9560546875</v>
      </c>
      <c r="E314" s="24">
        <f>IF(D314&gt;=IF(MONTH($C314)=4,$C$3,IF(MONTH($C314)=5,$C$4,IF(MONTH($C314)=6,$C$5,IF(MONTH($C314)=7,$C$6,"ERROR")))),1,0)</f>
        <v>1</v>
      </c>
      <c r="F314" s="26">
        <f>VLOOKUP($C314,COS!$B$8:$H$991,7,FALSE)</f>
        <v>51.871387481689453</v>
      </c>
      <c r="G314" s="24">
        <f>IF(F314&lt;=IF(MONTH($C314)=4,$F$3,IF(MONTH($C314)=5,$F$4,IF(MONTH($C314)=6,$F$5,IF(MONTH($C314)=7,$F$6,"ERROR")))),1,0)</f>
        <v>1</v>
      </c>
      <c r="H314" s="26">
        <f>IF(J314=1,D314-$C$6,0)</f>
        <v>2380.9560546875</v>
      </c>
      <c r="I314" s="26">
        <f t="shared" si="450"/>
        <v>146.39928137913225</v>
      </c>
      <c r="J314" s="24">
        <f t="shared" si="493"/>
        <v>1</v>
      </c>
      <c r="K314" s="26">
        <f>VLOOKUP($C314,COS!$B$8:$H$991,2,FALSE)</f>
        <v>3124.154052734375</v>
      </c>
      <c r="L314" s="24">
        <f t="shared" si="435"/>
        <v>1</v>
      </c>
      <c r="M314" s="24">
        <f t="shared" si="436"/>
        <v>1</v>
      </c>
      <c r="N314" s="26">
        <f>VLOOKUP($C314,COS!$B$8:$H$991,5,FALSE)</f>
        <v>487.44525146484375</v>
      </c>
      <c r="O314" s="26">
        <f t="shared" si="496"/>
        <v>29.971840255358988</v>
      </c>
      <c r="P314" s="26">
        <f>VLOOKUP($C314,COS!$B$8:$H$991,6,FALSE)</f>
        <v>2538.07568359375</v>
      </c>
      <c r="Q314" s="26">
        <f t="shared" si="497"/>
        <v>156.06019079287191</v>
      </c>
      <c r="R314" s="26">
        <f>MIN(IF(MONTH($C314)=4,$S$3,IF(MONTH($C314)=5,$S$4,IF(MONTH($C314)=6,$S$5,IF(MONTH($C314)=7,$S$6,"ERROR")))),MAX(VLOOKUP($C314,COS!$B$8:$K$991,10,FALSE)-IF(MONTH($C314)=4,$Y$3,IF(MONTH($C314)=5,$Y$4,IF(MONTH($C314)=6,$Y$5,IF(MONTH($C314)=7,$Y$6,"ERROR")))),0),MAX(VLOOKUP($C314,COS!$B$8:$K$991,9,FALSE)-IF(MONTH($C314)=4,$V$3,IF(MONTH($C314)=5,$V$4,IF(MONTH($C314)=6,$V$5,IF(MONTH($C314)=7,$V$6,"ERROR"))))-VLOOKUP($C314,COS!$B$8:$K$991,6,FALSE)/2,0))</f>
        <v>1500</v>
      </c>
      <c r="S314" s="26">
        <f t="shared" si="498"/>
        <v>92.231404958677686</v>
      </c>
      <c r="T314" s="26">
        <f t="shared" si="499"/>
        <v>185.24742048279313</v>
      </c>
      <c r="U314" s="26" t="str">
        <f>IF(VLOOKUP($C314,COS!$B$8:$I$991,8,FALSE)=1,"UWFE","IBU")</f>
        <v>IBU</v>
      </c>
      <c r="V314" s="26">
        <f t="shared" ref="V314" si="503">MIN(IF(IF($AA$3=2,AND(E314=1,G314=1,L314=1,L316=1,M314=1,U314="IBU"),AND(E314=1,G314=1,L314=1,L316=1,M314=1)),T314,0),I314)</f>
        <v>146.39928137913225</v>
      </c>
      <c r="W314" s="26"/>
      <c r="X314" s="26"/>
      <c r="Y314" s="26"/>
      <c r="Z314" s="26"/>
      <c r="AA314" s="26"/>
      <c r="AB314" s="33"/>
    </row>
    <row r="315" spans="1:28" x14ac:dyDescent="0.3">
      <c r="A315" s="32">
        <f>VLOOKUP(YEAR(C315),Flags!$A$13:$B$95,2,FALSE)</f>
        <v>4</v>
      </c>
      <c r="B315" s="24">
        <f t="shared" si="432"/>
        <v>1955</v>
      </c>
      <c r="C315" s="25">
        <v>20332</v>
      </c>
      <c r="D315" s="26"/>
      <c r="E315" s="24"/>
      <c r="F315" s="26"/>
      <c r="G315" s="24"/>
      <c r="H315" s="24"/>
      <c r="I315" s="26"/>
      <c r="J315" s="24"/>
      <c r="K315" s="26"/>
      <c r="L315" s="24"/>
      <c r="M315" s="24"/>
      <c r="N315" s="26"/>
      <c r="O315" s="26"/>
      <c r="P315" s="26"/>
      <c r="Q315" s="26"/>
      <c r="R315" s="26"/>
      <c r="S315" s="26"/>
      <c r="T315" s="26"/>
      <c r="U315" s="26"/>
      <c r="V315" s="26"/>
      <c r="W315" s="26">
        <f>MAX($C$7-VLOOKUP($C315,COS!$B$8:$H$991,3,FALSE),0)</f>
        <v>3468.5400390625</v>
      </c>
      <c r="X315" s="26">
        <f t="shared" si="448"/>
        <v>213.27221397210744</v>
      </c>
      <c r="Y315" s="26">
        <f>VLOOKUP($C315,COS!$B$8:$H$991,4,FALSE)</f>
        <v>1565.8887939453125</v>
      </c>
      <c r="Z315" s="26">
        <f t="shared" si="449"/>
        <v>96.282748983083678</v>
      </c>
      <c r="AA315" s="26">
        <f t="shared" ref="AA315:AA319" si="504">MIN(W315,Y315)</f>
        <v>1565.8887939453125</v>
      </c>
      <c r="AB315" s="33">
        <f t="shared" ref="AB315" si="505">AA315*DAY($C315)*86400/43560/1000*IF(MONTH($C315)=8,$P$3,IF(MONTH($C315)=9,$P$4,IF(MONTH($C315)=10,$P$5,IF(MONTH($C315)=11,$P$6,IF(MONTH($C315)=12,$P$7,NA())))))</f>
        <v>96.282748983083678</v>
      </c>
    </row>
    <row r="316" spans="1:28" x14ac:dyDescent="0.3">
      <c r="A316" s="32">
        <f>VLOOKUP(YEAR(C316),Flags!$A$13:$B$95,2,FALSE)</f>
        <v>4</v>
      </c>
      <c r="B316" s="24">
        <f t="shared" si="432"/>
        <v>1955</v>
      </c>
      <c r="C316" s="25">
        <v>20362</v>
      </c>
      <c r="D316" s="26"/>
      <c r="E316" s="24"/>
      <c r="F316" s="26"/>
      <c r="G316" s="24"/>
      <c r="H316" s="24"/>
      <c r="I316" s="26"/>
      <c r="J316" s="24"/>
      <c r="K316" s="26">
        <f>VLOOKUP($C316,COS!$B$8:$H$991,2,FALSE)</f>
        <v>2864.943603515625</v>
      </c>
      <c r="L316" s="24">
        <f t="shared" ref="L316" si="506">IF(AND(K316&gt;$I$7,K316&lt;$I$8),1,0)</f>
        <v>1</v>
      </c>
      <c r="M316" s="24"/>
      <c r="N316" s="26"/>
      <c r="O316" s="26"/>
      <c r="P316" s="26"/>
      <c r="Q316" s="26"/>
      <c r="R316" s="26"/>
      <c r="S316" s="26"/>
      <c r="T316" s="26"/>
      <c r="U316" s="26"/>
      <c r="V316" s="26"/>
      <c r="W316" s="26">
        <f>MAX($C$8-VLOOKUP($C316,COS!$B$8:$H$991,3,FALSE),0)</f>
        <v>1724.19287109375</v>
      </c>
      <c r="X316" s="26">
        <f t="shared" si="448"/>
        <v>102.59660059400827</v>
      </c>
      <c r="Y316" s="26">
        <f>VLOOKUP($C316,COS!$B$8:$H$991,4,FALSE)</f>
        <v>813.69903564453125</v>
      </c>
      <c r="Z316" s="26">
        <f t="shared" si="449"/>
        <v>48.418455013558884</v>
      </c>
      <c r="AA316" s="26">
        <f t="shared" si="504"/>
        <v>813.69903564453125</v>
      </c>
      <c r="AB316" s="33">
        <f t="shared" si="446"/>
        <v>48.418455013558884</v>
      </c>
    </row>
    <row r="317" spans="1:28" x14ac:dyDescent="0.3">
      <c r="A317" s="32">
        <f>VLOOKUP(YEAR(C317),Flags!$A$13:$B$95,2,FALSE)</f>
        <v>4</v>
      </c>
      <c r="B317" s="24">
        <f t="shared" si="432"/>
        <v>1955</v>
      </c>
      <c r="C317" s="25">
        <v>20393</v>
      </c>
      <c r="D317" s="26"/>
      <c r="E317" s="24"/>
      <c r="F317" s="26"/>
      <c r="G317" s="26"/>
      <c r="H317" s="26"/>
      <c r="I317" s="26"/>
      <c r="J317" s="26"/>
      <c r="K317" s="26"/>
      <c r="L317" s="24"/>
      <c r="M317" s="24"/>
      <c r="N317" s="26"/>
      <c r="O317" s="26"/>
      <c r="P317" s="26"/>
      <c r="Q317" s="26"/>
      <c r="R317" s="26"/>
      <c r="S317" s="26"/>
      <c r="T317" s="26"/>
      <c r="U317" s="26"/>
      <c r="V317" s="26"/>
      <c r="W317" s="26">
        <f>MAX($C$9-VLOOKUP($C317,COS!$B$8:$H$991,3,FALSE),0)</f>
        <v>0</v>
      </c>
      <c r="X317" s="26">
        <f t="shared" si="448"/>
        <v>0</v>
      </c>
      <c r="Y317" s="26">
        <f>VLOOKUP($C317,COS!$B$8:$H$991,4,FALSE)</f>
        <v>1413.0872802734375</v>
      </c>
      <c r="Z317" s="26">
        <f t="shared" si="449"/>
        <v>86.887350125903922</v>
      </c>
      <c r="AA317" s="26">
        <f t="shared" si="504"/>
        <v>0</v>
      </c>
      <c r="AB317" s="33">
        <f t="shared" si="446"/>
        <v>0</v>
      </c>
    </row>
    <row r="318" spans="1:28" x14ac:dyDescent="0.3">
      <c r="A318" s="32">
        <f>VLOOKUP(YEAR(C318),Flags!$A$13:$B$95,2,FALSE)</f>
        <v>4</v>
      </c>
      <c r="B318" s="24">
        <f t="shared" si="432"/>
        <v>1955</v>
      </c>
      <c r="C318" s="25">
        <v>20423</v>
      </c>
      <c r="D318" s="26"/>
      <c r="E318" s="24"/>
      <c r="F318" s="26"/>
      <c r="G318" s="26"/>
      <c r="H318" s="26"/>
      <c r="I318" s="26"/>
      <c r="J318" s="26"/>
      <c r="K318" s="26"/>
      <c r="L318" s="24"/>
      <c r="M318" s="24"/>
      <c r="N318" s="26"/>
      <c r="O318" s="26"/>
      <c r="P318" s="26"/>
      <c r="Q318" s="26"/>
      <c r="R318" s="26"/>
      <c r="S318" s="26"/>
      <c r="T318" s="26"/>
      <c r="U318" s="26"/>
      <c r="V318" s="26"/>
      <c r="W318" s="26">
        <f>MAX($C$10-VLOOKUP($C318,COS!$B$8:$H$991,3,FALSE),0)</f>
        <v>1750</v>
      </c>
      <c r="X318" s="26">
        <f t="shared" si="448"/>
        <v>104.13223140495867</v>
      </c>
      <c r="Y318" s="26">
        <f>VLOOKUP($C318,COS!$B$8:$H$991,4,FALSE)</f>
        <v>1431.478759765625</v>
      </c>
      <c r="Z318" s="26">
        <f t="shared" si="449"/>
        <v>85.178901407541332</v>
      </c>
      <c r="AA318" s="26">
        <f t="shared" si="504"/>
        <v>1431.478759765625</v>
      </c>
      <c r="AB318" s="33">
        <f t="shared" si="446"/>
        <v>85.178901407541332</v>
      </c>
    </row>
    <row r="319" spans="1:28" x14ac:dyDescent="0.3">
      <c r="A319" s="34">
        <f>VLOOKUP(YEAR(C319),Flags!$A$13:$B$95,2,FALSE)</f>
        <v>4</v>
      </c>
      <c r="B319" s="35">
        <f t="shared" si="432"/>
        <v>1955</v>
      </c>
      <c r="C319" s="36">
        <v>20454</v>
      </c>
      <c r="D319" s="37"/>
      <c r="E319" s="35"/>
      <c r="F319" s="37"/>
      <c r="G319" s="37"/>
      <c r="H319" s="37"/>
      <c r="I319" s="37"/>
      <c r="J319" s="37"/>
      <c r="K319" s="37"/>
      <c r="L319" s="35"/>
      <c r="M319" s="35"/>
      <c r="N319" s="37"/>
      <c r="O319" s="37"/>
      <c r="P319" s="37"/>
      <c r="Q319" s="37"/>
      <c r="R319" s="37"/>
      <c r="S319" s="37"/>
      <c r="T319" s="37"/>
      <c r="U319" s="37"/>
      <c r="V319" s="37"/>
      <c r="W319" s="37">
        <f>MAX($C$11-VLOOKUP($C319,COS!$B$8:$H$991,3,FALSE),0)</f>
        <v>0</v>
      </c>
      <c r="X319" s="37">
        <f t="shared" si="448"/>
        <v>0</v>
      </c>
      <c r="Y319" s="37">
        <f>VLOOKUP($C319,COS!$B$8:$H$991,4,FALSE)</f>
        <v>0</v>
      </c>
      <c r="Z319" s="37">
        <f t="shared" si="449"/>
        <v>0</v>
      </c>
      <c r="AA319" s="37">
        <f t="shared" si="504"/>
        <v>0</v>
      </c>
      <c r="AB319" s="38">
        <f t="shared" si="446"/>
        <v>0</v>
      </c>
    </row>
    <row r="320" spans="1:28" x14ac:dyDescent="0.3">
      <c r="A320" s="27">
        <f>VLOOKUP(YEAR(C320),Flags!$A$13:$B$95,2,FALSE)</f>
        <v>1</v>
      </c>
      <c r="B320" s="28">
        <f t="shared" si="432"/>
        <v>1956</v>
      </c>
      <c r="C320" s="29">
        <v>20575</v>
      </c>
      <c r="D320" s="30">
        <f>VLOOKUP($C320,COS!$B$8:$H$991,3,FALSE)</f>
        <v>3250</v>
      </c>
      <c r="E320" s="28">
        <f>IF(D320&gt;=IF(MONTH($C320)=4,$C$3,IF(MONTH($C320)=5,$C$4,IF(MONTH($C320)=6,$C$5,IF(MONTH($C320)=7,$C$6,"ERROR")))),1,0)</f>
        <v>0</v>
      </c>
      <c r="F320" s="30">
        <f>VLOOKUP($C320,COS!$B$8:$H$991,7,FALSE)</f>
        <v>49.895095825195313</v>
      </c>
      <c r="G320" s="28">
        <f>IF(F320&lt;=IF(MONTH($C320)=4,$F$3,IF(MONTH($C320)=5,$F$4,IF(MONTH($C320)=6,$F$5,IF(MONTH($C320)=7,$F$6,"ERROR")))),1,0)</f>
        <v>1</v>
      </c>
      <c r="H320" s="30">
        <f>IF(J320=1,D320-$C$3,0)</f>
        <v>0</v>
      </c>
      <c r="I320" s="30">
        <f t="shared" si="450"/>
        <v>0</v>
      </c>
      <c r="J320" s="28">
        <f t="shared" ref="J320:J323" si="507">IF(AND(E320=1,G320=1),1,0)</f>
        <v>0</v>
      </c>
      <c r="K320" s="30">
        <f>VLOOKUP($C320,COS!$B$8:$H$991,2,FALSE)</f>
        <v>4525.97607421875</v>
      </c>
      <c r="L320" s="28">
        <f t="shared" ref="L320" si="508">IF(K320&lt;=IF(MONTH($C320)=4,$I$3,IF(MONTH($C320)=5,$I$4,IF(MONTH($C320)=6,$I$5,IF(MONTH($C320)=7,$I$6,"ERROR")))),1,0)</f>
        <v>1</v>
      </c>
      <c r="M320" s="28">
        <f t="shared" ref="M320" si="509">VLOOKUP($A320,$L$3:$M$7,2,FALSE)</f>
        <v>0</v>
      </c>
      <c r="N320" s="30">
        <f>VLOOKUP($C320,COS!$B$8:$H$991,5,FALSE)</f>
        <v>274.44708251953125</v>
      </c>
      <c r="O320" s="30">
        <f t="shared" ref="O320:O323" si="510">N320*DAY($C320)*86400/43560/1000</f>
        <v>16.330735488765498</v>
      </c>
      <c r="P320" s="30">
        <f>VLOOKUP($C320,COS!$B$8:$H$991,6,FALSE)</f>
        <v>472.98532104492188</v>
      </c>
      <c r="Q320" s="30">
        <f t="shared" ref="Q320:Q323" si="511">P320*DAY($C320)*86400/43560/1000</f>
        <v>28.144581086970557</v>
      </c>
      <c r="R320" s="30">
        <f>MIN(IF(MONTH($C320)=4,$S$3,IF(MONTH($C320)=5,$S$4,IF(MONTH($C320)=6,$S$5,IF(MONTH($C320)=7,$S$6,"ERROR")))),MAX(VLOOKUP($C320,COS!$B$8:$K$991,10,FALSE)-IF(MONTH($C320)=4,$Y$3,IF(MONTH($C320)=5,$Y$4,IF(MONTH($C320)=6,$Y$5,IF(MONTH($C320)=7,$Y$6,"ERROR")))),0),MAX(VLOOKUP($C320,COS!$B$8:$K$991,9,FALSE)-IF(MONTH($C320)=4,$V$3,IF(MONTH($C320)=5,$V$4,IF(MONTH($C320)=6,$V$5,IF(MONTH($C320)=7,$V$6,"ERROR"))))-VLOOKUP($C320,COS!$B$8:$K$991,6,FALSE)/2,0))</f>
        <v>1500</v>
      </c>
      <c r="S320" s="30">
        <f t="shared" ref="S320:S323" si="512">R320*DAY($C320)*86400/43560/1000</f>
        <v>89.256198347107429</v>
      </c>
      <c r="T320" s="30">
        <f t="shared" ref="T320:T323" si="513">(O320+Q320)/2+S320</f>
        <v>111.49385663497546</v>
      </c>
      <c r="U320" s="30" t="str">
        <f>IF(VLOOKUP($C320,COS!$B$8:$I$991,8,FALSE)=1,"UWFE","IBU")</f>
        <v>UWFE</v>
      </c>
      <c r="V320" s="30">
        <f t="shared" ref="V320" si="514">MIN(IF(IF($AA$3=2,AND(E320=1,G320=1,L320=1,L325=1,M320=1,U320="IBU"),AND(E320=1,G320=1,L320=1,L325=1,M320=1)),T320,0),I320)</f>
        <v>0</v>
      </c>
      <c r="W320" s="30"/>
      <c r="X320" s="30"/>
      <c r="Y320" s="30"/>
      <c r="Z320" s="30"/>
      <c r="AA320" s="30"/>
      <c r="AB320" s="31"/>
    </row>
    <row r="321" spans="1:28" x14ac:dyDescent="0.3">
      <c r="A321" s="32">
        <f>VLOOKUP(YEAR(C321),Flags!$A$13:$B$95,2,FALSE)</f>
        <v>1</v>
      </c>
      <c r="B321" s="24">
        <f t="shared" si="432"/>
        <v>1956</v>
      </c>
      <c r="C321" s="25">
        <v>20606</v>
      </c>
      <c r="D321" s="26">
        <f>VLOOKUP($C321,COS!$B$8:$H$991,3,FALSE)</f>
        <v>9877.4130859375</v>
      </c>
      <c r="E321" s="24">
        <f>IF(D321&gt;=IF(MONTH($C321)=4,$C$3,IF(MONTH($C321)=5,$C$4,IF(MONTH($C321)=6,$C$5,IF(MONTH($C321)=7,$C$6,"ERROR")))),1,0)</f>
        <v>1</v>
      </c>
      <c r="F321" s="26">
        <f>VLOOKUP($C321,COS!$B$8:$H$991,7,FALSE)</f>
        <v>47.875160217285156</v>
      </c>
      <c r="G321" s="24">
        <f>IF(F321&lt;=IF(MONTH($C321)=4,$F$3,IF(MONTH($C321)=5,$F$4,IF(MONTH($C321)=6,$F$5,IF(MONTH($C321)=7,$F$6,"ERROR")))),1,0)</f>
        <v>1</v>
      </c>
      <c r="H321" s="26">
        <f>IF(J321=1,D321-$C$4,0)</f>
        <v>3877.4130859375</v>
      </c>
      <c r="I321" s="26">
        <f t="shared" si="450"/>
        <v>238.41283768078512</v>
      </c>
      <c r="J321" s="24">
        <f t="shared" si="507"/>
        <v>1</v>
      </c>
      <c r="K321" s="26">
        <f>VLOOKUP($C321,COS!$B$8:$H$991,2,FALSE)</f>
        <v>4552</v>
      </c>
      <c r="L321" s="24">
        <f t="shared" si="435"/>
        <v>1</v>
      </c>
      <c r="M321" s="24">
        <f t="shared" si="436"/>
        <v>0</v>
      </c>
      <c r="N321" s="26">
        <f>VLOOKUP($C321,COS!$B$8:$H$991,5,FALSE)</f>
        <v>735.657470703125</v>
      </c>
      <c r="O321" s="26">
        <f t="shared" si="510"/>
        <v>45.233814727530991</v>
      </c>
      <c r="P321" s="26">
        <f>VLOOKUP($C321,COS!$B$8:$H$991,6,FALSE)</f>
        <v>2024.16015625</v>
      </c>
      <c r="Q321" s="26">
        <f t="shared" si="511"/>
        <v>124.46075671487603</v>
      </c>
      <c r="R321" s="26">
        <f>MIN(IF(MONTH($C321)=4,$S$3,IF(MONTH($C321)=5,$S$4,IF(MONTH($C321)=6,$S$5,IF(MONTH($C321)=7,$S$6,"ERROR")))),MAX(VLOOKUP($C321,COS!$B$8:$K$991,10,FALSE)-IF(MONTH($C321)=4,$Y$3,IF(MONTH($C321)=5,$Y$4,IF(MONTH($C321)=6,$Y$5,IF(MONTH($C321)=7,$Y$6,"ERROR")))),0),MAX(VLOOKUP($C321,COS!$B$8:$K$991,9,FALSE)-IF(MONTH($C321)=4,$V$3,IF(MONTH($C321)=5,$V$4,IF(MONTH($C321)=6,$V$5,IF(MONTH($C321)=7,$V$6,"ERROR"))))-VLOOKUP($C321,COS!$B$8:$K$991,6,FALSE)/2,0))</f>
        <v>1500</v>
      </c>
      <c r="S321" s="26">
        <f t="shared" si="512"/>
        <v>92.231404958677686</v>
      </c>
      <c r="T321" s="26">
        <f t="shared" si="513"/>
        <v>177.07869067988119</v>
      </c>
      <c r="U321" s="26" t="str">
        <f>IF(VLOOKUP($C321,COS!$B$8:$I$991,8,FALSE)=1,"UWFE","IBU")</f>
        <v>UWFE</v>
      </c>
      <c r="V321" s="26">
        <f t="shared" ref="V321" si="515">MIN(IF(IF($AA$3=2,AND(E321=1,G321=1,L321=1,L325=1,M321=1,U321="IBU"),AND(E321=1,G321=1,L321=1,L325=1,M321=1)),T321,0),I321)</f>
        <v>0</v>
      </c>
      <c r="W321" s="26"/>
      <c r="X321" s="26"/>
      <c r="Y321" s="26"/>
      <c r="Z321" s="26"/>
      <c r="AA321" s="26"/>
      <c r="AB321" s="33"/>
    </row>
    <row r="322" spans="1:28" x14ac:dyDescent="0.3">
      <c r="A322" s="32">
        <f>VLOOKUP(YEAR(C322),Flags!$A$13:$B$95,2,FALSE)</f>
        <v>1</v>
      </c>
      <c r="B322" s="24">
        <f t="shared" si="432"/>
        <v>1956</v>
      </c>
      <c r="C322" s="25">
        <v>20636</v>
      </c>
      <c r="D322" s="26">
        <f>VLOOKUP($C322,COS!$B$8:$H$991,3,FALSE)</f>
        <v>7543.416015625</v>
      </c>
      <c r="E322" s="24">
        <f>IF(D322&gt;=IF(MONTH($C322)=4,$C$3,IF(MONTH($C322)=5,$C$4,IF(MONTH($C322)=6,$C$5,IF(MONTH($C322)=7,$C$6,"ERROR")))),1,0)</f>
        <v>0</v>
      </c>
      <c r="F322" s="26">
        <f>VLOOKUP($C322,COS!$B$8:$H$991,7,FALSE)</f>
        <v>50.089691162109375</v>
      </c>
      <c r="G322" s="24">
        <f>IF(F322&lt;=IF(MONTH($C322)=4,$F$3,IF(MONTH($C322)=5,$F$4,IF(MONTH($C322)=6,$F$5,IF(MONTH($C322)=7,$F$6,"ERROR")))),1,0)</f>
        <v>1</v>
      </c>
      <c r="H322" s="26">
        <f>IF(J322=1,D322-$C$5,0)</f>
        <v>0</v>
      </c>
      <c r="I322" s="26">
        <f t="shared" si="450"/>
        <v>0</v>
      </c>
      <c r="J322" s="24">
        <f t="shared" si="507"/>
        <v>0</v>
      </c>
      <c r="K322" s="26">
        <f>VLOOKUP($C322,COS!$B$8:$H$991,2,FALSE)</f>
        <v>4426.123046875</v>
      </c>
      <c r="L322" s="24">
        <f t="shared" si="435"/>
        <v>1</v>
      </c>
      <c r="M322" s="24">
        <f t="shared" si="436"/>
        <v>0</v>
      </c>
      <c r="N322" s="26">
        <f>VLOOKUP($C322,COS!$B$8:$H$991,5,FALSE)</f>
        <v>1099.9310302734375</v>
      </c>
      <c r="O322" s="26">
        <f t="shared" si="510"/>
        <v>65.450441470816116</v>
      </c>
      <c r="P322" s="26">
        <f>VLOOKUP($C322,COS!$B$8:$H$991,6,FALSE)</f>
        <v>2200.53125</v>
      </c>
      <c r="Q322" s="26">
        <f t="shared" si="511"/>
        <v>130.94070247933885</v>
      </c>
      <c r="R322" s="26">
        <f>MIN(IF(MONTH($C322)=4,$S$3,IF(MONTH($C322)=5,$S$4,IF(MONTH($C322)=6,$S$5,IF(MONTH($C322)=7,$S$6,"ERROR")))),MAX(VLOOKUP($C322,COS!$B$8:$K$991,10,FALSE)-IF(MONTH($C322)=4,$Y$3,IF(MONTH($C322)=5,$Y$4,IF(MONTH($C322)=6,$Y$5,IF(MONTH($C322)=7,$Y$6,"ERROR")))),0),MAX(VLOOKUP($C322,COS!$B$8:$K$991,9,FALSE)-IF(MONTH($C322)=4,$V$3,IF(MONTH($C322)=5,$V$4,IF(MONTH($C322)=6,$V$5,IF(MONTH($C322)=7,$V$6,"ERROR"))))-VLOOKUP($C322,COS!$B$8:$K$991,6,FALSE)/2,0))</f>
        <v>1500</v>
      </c>
      <c r="S322" s="26">
        <f t="shared" si="512"/>
        <v>89.256198347107429</v>
      </c>
      <c r="T322" s="26">
        <f t="shared" si="513"/>
        <v>187.45177032218493</v>
      </c>
      <c r="U322" s="26" t="str">
        <f>IF(VLOOKUP($C322,COS!$B$8:$I$991,8,FALSE)=1,"UWFE","IBU")</f>
        <v>UWFE</v>
      </c>
      <c r="V322" s="26">
        <f t="shared" ref="V322" si="516">MIN(IF(IF($AA$3=2,AND(E322=1,G322=1,L322=1,L325=1,M322=1,U322="IBU"),AND(E322=1,G322=1,L322=1,L325=1,M322=1)),T322,0),I322)</f>
        <v>0</v>
      </c>
      <c r="W322" s="26"/>
      <c r="X322" s="26"/>
      <c r="Y322" s="26"/>
      <c r="Z322" s="26"/>
      <c r="AA322" s="26"/>
      <c r="AB322" s="33"/>
    </row>
    <row r="323" spans="1:28" x14ac:dyDescent="0.3">
      <c r="A323" s="32">
        <f>VLOOKUP(YEAR(C323),Flags!$A$13:$B$95,2,FALSE)</f>
        <v>1</v>
      </c>
      <c r="B323" s="24">
        <f t="shared" si="432"/>
        <v>1956</v>
      </c>
      <c r="C323" s="25">
        <v>20667</v>
      </c>
      <c r="D323" s="26">
        <f>VLOOKUP($C323,COS!$B$8:$H$991,3,FALSE)</f>
        <v>11823.966796875</v>
      </c>
      <c r="E323" s="24">
        <f>IF(D323&gt;=IF(MONTH($C323)=4,$C$3,IF(MONTH($C323)=5,$C$4,IF(MONTH($C323)=6,$C$5,IF(MONTH($C323)=7,$C$6,"ERROR")))),1,0)</f>
        <v>0</v>
      </c>
      <c r="F323" s="26">
        <f>VLOOKUP($C323,COS!$B$8:$H$991,7,FALSE)</f>
        <v>50.282562255859375</v>
      </c>
      <c r="G323" s="24">
        <f>IF(F323&lt;=IF(MONTH($C323)=4,$F$3,IF(MONTH($C323)=5,$F$4,IF(MONTH($C323)=6,$F$5,IF(MONTH($C323)=7,$F$6,"ERROR")))),1,0)</f>
        <v>1</v>
      </c>
      <c r="H323" s="26">
        <f>IF(J323=1,D323-$C$6,0)</f>
        <v>0</v>
      </c>
      <c r="I323" s="26">
        <f t="shared" si="450"/>
        <v>0</v>
      </c>
      <c r="J323" s="24">
        <f t="shared" si="507"/>
        <v>0</v>
      </c>
      <c r="K323" s="26">
        <f>VLOOKUP($C323,COS!$B$8:$H$991,2,FALSE)</f>
        <v>3905.54736328125</v>
      </c>
      <c r="L323" s="24">
        <f t="shared" si="435"/>
        <v>1</v>
      </c>
      <c r="M323" s="24">
        <f t="shared" si="436"/>
        <v>0</v>
      </c>
      <c r="N323" s="26">
        <f>VLOOKUP($C323,COS!$B$8:$H$991,5,FALSE)</f>
        <v>1282.6153564453125</v>
      </c>
      <c r="O323" s="26">
        <f t="shared" si="510"/>
        <v>78.86494423101756</v>
      </c>
      <c r="P323" s="26">
        <f>VLOOKUP($C323,COS!$B$8:$H$991,6,FALSE)</f>
        <v>2616.67822265625</v>
      </c>
      <c r="Q323" s="26">
        <f t="shared" si="511"/>
        <v>160.89327253357436</v>
      </c>
      <c r="R323" s="26">
        <f>MIN(IF(MONTH($C323)=4,$S$3,IF(MONTH($C323)=5,$S$4,IF(MONTH($C323)=6,$S$5,IF(MONTH($C323)=7,$S$6,"ERROR")))),MAX(VLOOKUP($C323,COS!$B$8:$K$991,10,FALSE)-IF(MONTH($C323)=4,$Y$3,IF(MONTH($C323)=5,$Y$4,IF(MONTH($C323)=6,$Y$5,IF(MONTH($C323)=7,$Y$6,"ERROR")))),0),MAX(VLOOKUP($C323,COS!$B$8:$K$991,9,FALSE)-IF(MONTH($C323)=4,$V$3,IF(MONTH($C323)=5,$V$4,IF(MONTH($C323)=6,$V$5,IF(MONTH($C323)=7,$V$6,"ERROR"))))-VLOOKUP($C323,COS!$B$8:$K$991,6,FALSE)/2,0))</f>
        <v>1500</v>
      </c>
      <c r="S323" s="26">
        <f t="shared" si="512"/>
        <v>92.231404958677686</v>
      </c>
      <c r="T323" s="26">
        <f t="shared" si="513"/>
        <v>212.11051334097363</v>
      </c>
      <c r="U323" s="26" t="str">
        <f>IF(VLOOKUP($C323,COS!$B$8:$I$991,8,FALSE)=1,"UWFE","IBU")</f>
        <v>IBU</v>
      </c>
      <c r="V323" s="26">
        <f t="shared" ref="V323" si="517">MIN(IF(IF($AA$3=2,AND(E323=1,G323=1,L323=1,L325=1,M323=1,U323="IBU"),AND(E323=1,G323=1,L323=1,L325=1,M323=1)),T323,0),I323)</f>
        <v>0</v>
      </c>
      <c r="W323" s="26"/>
      <c r="X323" s="26"/>
      <c r="Y323" s="26"/>
      <c r="Z323" s="26"/>
      <c r="AA323" s="26"/>
      <c r="AB323" s="33"/>
    </row>
    <row r="324" spans="1:28" x14ac:dyDescent="0.3">
      <c r="A324" s="32">
        <f>VLOOKUP(YEAR(C324),Flags!$A$13:$B$95,2,FALSE)</f>
        <v>1</v>
      </c>
      <c r="B324" s="24">
        <f t="shared" si="432"/>
        <v>1956</v>
      </c>
      <c r="C324" s="25">
        <v>20698</v>
      </c>
      <c r="D324" s="26"/>
      <c r="E324" s="24"/>
      <c r="F324" s="26"/>
      <c r="G324" s="24"/>
      <c r="H324" s="24"/>
      <c r="I324" s="26"/>
      <c r="J324" s="24"/>
      <c r="K324" s="26"/>
      <c r="L324" s="24"/>
      <c r="M324" s="24"/>
      <c r="N324" s="26"/>
      <c r="O324" s="26"/>
      <c r="P324" s="26"/>
      <c r="Q324" s="26"/>
      <c r="R324" s="26"/>
      <c r="S324" s="26"/>
      <c r="T324" s="26"/>
      <c r="U324" s="26"/>
      <c r="V324" s="26"/>
      <c r="W324" s="26">
        <f>MAX($C$7-VLOOKUP($C324,COS!$B$8:$H$991,3,FALSE),0)</f>
        <v>2475.158203125</v>
      </c>
      <c r="X324" s="26">
        <f t="shared" si="448"/>
        <v>152.19154571280993</v>
      </c>
      <c r="Y324" s="26">
        <f>VLOOKUP($C324,COS!$B$8:$H$991,4,FALSE)</f>
        <v>0</v>
      </c>
      <c r="Z324" s="26">
        <f t="shared" si="449"/>
        <v>0</v>
      </c>
      <c r="AA324" s="26">
        <f t="shared" ref="AA324:AA328" si="518">MIN(W324,Y324)</f>
        <v>0</v>
      </c>
      <c r="AB324" s="33">
        <f t="shared" ref="AB324" si="519">AA324*DAY($C324)*86400/43560/1000*IF(MONTH($C324)=8,$P$3,IF(MONTH($C324)=9,$P$4,IF(MONTH($C324)=10,$P$5,IF(MONTH($C324)=11,$P$6,IF(MONTH($C324)=12,$P$7,NA())))))</f>
        <v>0</v>
      </c>
    </row>
    <row r="325" spans="1:28" x14ac:dyDescent="0.3">
      <c r="A325" s="32">
        <f>VLOOKUP(YEAR(C325),Flags!$A$13:$B$95,2,FALSE)</f>
        <v>1</v>
      </c>
      <c r="B325" s="24">
        <f t="shared" si="432"/>
        <v>1956</v>
      </c>
      <c r="C325" s="25">
        <v>20728</v>
      </c>
      <c r="D325" s="26"/>
      <c r="E325" s="24"/>
      <c r="F325" s="26"/>
      <c r="G325" s="24"/>
      <c r="H325" s="24"/>
      <c r="I325" s="26"/>
      <c r="J325" s="24"/>
      <c r="K325" s="26">
        <f>VLOOKUP($C325,COS!$B$8:$H$991,2,FALSE)</f>
        <v>3055.82763671875</v>
      </c>
      <c r="L325" s="24">
        <f t="shared" ref="L325" si="520">IF(AND(K325&gt;$I$7,K325&lt;$I$8),1,0)</f>
        <v>1</v>
      </c>
      <c r="M325" s="24"/>
      <c r="N325" s="26"/>
      <c r="O325" s="26"/>
      <c r="P325" s="26"/>
      <c r="Q325" s="26"/>
      <c r="R325" s="26"/>
      <c r="S325" s="26"/>
      <c r="T325" s="26"/>
      <c r="U325" s="26"/>
      <c r="V325" s="26"/>
      <c r="W325" s="26">
        <f>MAX($C$8-VLOOKUP($C325,COS!$B$8:$H$991,3,FALSE),0)</f>
        <v>0</v>
      </c>
      <c r="X325" s="26">
        <f t="shared" si="448"/>
        <v>0</v>
      </c>
      <c r="Y325" s="26">
        <f>VLOOKUP($C325,COS!$B$8:$H$991,4,FALSE)</f>
        <v>0</v>
      </c>
      <c r="Z325" s="26">
        <f t="shared" si="449"/>
        <v>0</v>
      </c>
      <c r="AA325" s="26">
        <f t="shared" si="518"/>
        <v>0</v>
      </c>
      <c r="AB325" s="33">
        <f t="shared" si="446"/>
        <v>0</v>
      </c>
    </row>
    <row r="326" spans="1:28" x14ac:dyDescent="0.3">
      <c r="A326" s="32">
        <f>VLOOKUP(YEAR(C326),Flags!$A$13:$B$95,2,FALSE)</f>
        <v>1</v>
      </c>
      <c r="B326" s="24">
        <f t="shared" si="432"/>
        <v>1956</v>
      </c>
      <c r="C326" s="25">
        <v>20759</v>
      </c>
      <c r="D326" s="26"/>
      <c r="E326" s="24"/>
      <c r="F326" s="26"/>
      <c r="G326" s="26"/>
      <c r="H326" s="26"/>
      <c r="I326" s="26"/>
      <c r="J326" s="26"/>
      <c r="K326" s="26"/>
      <c r="L326" s="24"/>
      <c r="M326" s="24"/>
      <c r="N326" s="26"/>
      <c r="O326" s="26"/>
      <c r="P326" s="26"/>
      <c r="Q326" s="26"/>
      <c r="R326" s="26"/>
      <c r="S326" s="26"/>
      <c r="T326" s="26"/>
      <c r="U326" s="26"/>
      <c r="V326" s="26"/>
      <c r="W326" s="26">
        <f>MAX($C$9-VLOOKUP($C326,COS!$B$8:$H$991,3,FALSE),0)</f>
        <v>0</v>
      </c>
      <c r="X326" s="26">
        <f t="shared" si="448"/>
        <v>0</v>
      </c>
      <c r="Y326" s="26">
        <f>VLOOKUP($C326,COS!$B$8:$H$991,4,FALSE)</f>
        <v>524.9937744140625</v>
      </c>
      <c r="Z326" s="26">
        <f t="shared" si="449"/>
        <v>32.28060893917872</v>
      </c>
      <c r="AA326" s="26">
        <f t="shared" si="518"/>
        <v>0</v>
      </c>
      <c r="AB326" s="33">
        <f t="shared" si="446"/>
        <v>0</v>
      </c>
    </row>
    <row r="327" spans="1:28" x14ac:dyDescent="0.3">
      <c r="A327" s="32">
        <f>VLOOKUP(YEAR(C327),Flags!$A$13:$B$95,2,FALSE)</f>
        <v>1</v>
      </c>
      <c r="B327" s="24">
        <f t="shared" si="432"/>
        <v>1956</v>
      </c>
      <c r="C327" s="25">
        <v>20789</v>
      </c>
      <c r="D327" s="26"/>
      <c r="E327" s="24"/>
      <c r="F327" s="26"/>
      <c r="G327" s="26"/>
      <c r="H327" s="26"/>
      <c r="I327" s="26"/>
      <c r="J327" s="26"/>
      <c r="K327" s="26"/>
      <c r="L327" s="24"/>
      <c r="M327" s="24"/>
      <c r="N327" s="26"/>
      <c r="O327" s="26"/>
      <c r="P327" s="26"/>
      <c r="Q327" s="26"/>
      <c r="R327" s="26"/>
      <c r="S327" s="26"/>
      <c r="T327" s="26"/>
      <c r="U327" s="26"/>
      <c r="V327" s="26"/>
      <c r="W327" s="26">
        <f>MAX($C$10-VLOOKUP($C327,COS!$B$8:$H$991,3,FALSE),0)</f>
        <v>0</v>
      </c>
      <c r="X327" s="26">
        <f t="shared" si="448"/>
        <v>0</v>
      </c>
      <c r="Y327" s="26">
        <f>VLOOKUP($C327,COS!$B$8:$H$991,4,FALSE)</f>
        <v>630.58831787109375</v>
      </c>
      <c r="Z327" s="26">
        <f t="shared" si="449"/>
        <v>37.522610650180788</v>
      </c>
      <c r="AA327" s="26">
        <f t="shared" si="518"/>
        <v>0</v>
      </c>
      <c r="AB327" s="33">
        <f t="shared" si="446"/>
        <v>0</v>
      </c>
    </row>
    <row r="328" spans="1:28" x14ac:dyDescent="0.3">
      <c r="A328" s="34">
        <f>VLOOKUP(YEAR(C328),Flags!$A$13:$B$95,2,FALSE)</f>
        <v>1</v>
      </c>
      <c r="B328" s="35">
        <f t="shared" si="432"/>
        <v>1956</v>
      </c>
      <c r="C328" s="36">
        <v>20820</v>
      </c>
      <c r="D328" s="37"/>
      <c r="E328" s="35"/>
      <c r="F328" s="37"/>
      <c r="G328" s="37"/>
      <c r="H328" s="37"/>
      <c r="I328" s="37"/>
      <c r="J328" s="37"/>
      <c r="K328" s="37"/>
      <c r="L328" s="35"/>
      <c r="M328" s="35"/>
      <c r="N328" s="37"/>
      <c r="O328" s="37"/>
      <c r="P328" s="37"/>
      <c r="Q328" s="37"/>
      <c r="R328" s="37"/>
      <c r="S328" s="37"/>
      <c r="T328" s="37"/>
      <c r="U328" s="37"/>
      <c r="V328" s="37"/>
      <c r="W328" s="37">
        <f>MAX($C$11-VLOOKUP($C328,COS!$B$8:$H$991,3,FALSE),0)</f>
        <v>0</v>
      </c>
      <c r="X328" s="37">
        <f t="shared" si="448"/>
        <v>0</v>
      </c>
      <c r="Y328" s="37">
        <f>VLOOKUP($C328,COS!$B$8:$H$991,4,FALSE)</f>
        <v>0</v>
      </c>
      <c r="Z328" s="37">
        <f t="shared" si="449"/>
        <v>0</v>
      </c>
      <c r="AA328" s="37">
        <f t="shared" si="518"/>
        <v>0</v>
      </c>
      <c r="AB328" s="38">
        <f t="shared" si="446"/>
        <v>0</v>
      </c>
    </row>
    <row r="329" spans="1:28" x14ac:dyDescent="0.3">
      <c r="A329" s="27">
        <f>VLOOKUP(YEAR(C329),Flags!$A$13:$B$95,2,FALSE)</f>
        <v>2</v>
      </c>
      <c r="B329" s="28">
        <f t="shared" si="432"/>
        <v>1957</v>
      </c>
      <c r="C329" s="29">
        <v>20940</v>
      </c>
      <c r="D329" s="30">
        <f>VLOOKUP($C329,COS!$B$8:$H$991,3,FALSE)</f>
        <v>3250</v>
      </c>
      <c r="E329" s="28">
        <f>IF(D329&gt;=IF(MONTH($C329)=4,$C$3,IF(MONTH($C329)=5,$C$4,IF(MONTH($C329)=6,$C$5,IF(MONTH($C329)=7,$C$6,"ERROR")))),1,0)</f>
        <v>0</v>
      </c>
      <c r="F329" s="30">
        <f>VLOOKUP($C329,COS!$B$8:$H$991,7,FALSE)</f>
        <v>51.217433929443359</v>
      </c>
      <c r="G329" s="28">
        <f>IF(F329&lt;=IF(MONTH($C329)=4,$F$3,IF(MONTH($C329)=5,$F$4,IF(MONTH($C329)=6,$F$5,IF(MONTH($C329)=7,$F$6,"ERROR")))),1,0)</f>
        <v>1</v>
      </c>
      <c r="H329" s="30">
        <f>IF(J329=1,D329-$C$3,0)</f>
        <v>0</v>
      </c>
      <c r="I329" s="30">
        <f t="shared" si="450"/>
        <v>0</v>
      </c>
      <c r="J329" s="28">
        <f t="shared" ref="J329:J332" si="521">IF(AND(E329=1,G329=1),1,0)</f>
        <v>0</v>
      </c>
      <c r="K329" s="30">
        <f>VLOOKUP($C329,COS!$B$8:$H$991,2,FALSE)</f>
        <v>4535.75439453125</v>
      </c>
      <c r="L329" s="28">
        <f t="shared" ref="L329" si="522">IF(K329&lt;=IF(MONTH($C329)=4,$I$3,IF(MONTH($C329)=5,$I$4,IF(MONTH($C329)=6,$I$5,IF(MONTH($C329)=7,$I$6,"ERROR")))),1,0)</f>
        <v>1</v>
      </c>
      <c r="M329" s="28">
        <f t="shared" ref="M329" si="523">VLOOKUP($A329,$L$3:$M$7,2,FALSE)</f>
        <v>0</v>
      </c>
      <c r="N329" s="30">
        <f>VLOOKUP($C329,COS!$B$8:$H$991,5,FALSE)</f>
        <v>473.61004638671875</v>
      </c>
      <c r="O329" s="30">
        <f t="shared" ref="O329:O332" si="524">N329*DAY($C329)*86400/43560/1000</f>
        <v>28.18175482631715</v>
      </c>
      <c r="P329" s="30">
        <f>VLOOKUP($C329,COS!$B$8:$H$991,6,FALSE)</f>
        <v>459.42416381835938</v>
      </c>
      <c r="Q329" s="30">
        <f t="shared" ref="Q329:Q332" si="525">P329*DAY($C329)*86400/43560/1000</f>
        <v>27.33763619415031</v>
      </c>
      <c r="R329" s="30">
        <f>MIN(IF(MONTH($C329)=4,$S$3,IF(MONTH($C329)=5,$S$4,IF(MONTH($C329)=6,$S$5,IF(MONTH($C329)=7,$S$6,"ERROR")))),MAX(VLOOKUP($C329,COS!$B$8:$K$991,10,FALSE)-IF(MONTH($C329)=4,$Y$3,IF(MONTH($C329)=5,$Y$4,IF(MONTH($C329)=6,$Y$5,IF(MONTH($C329)=7,$Y$6,"ERROR")))),0),MAX(VLOOKUP($C329,COS!$B$8:$K$991,9,FALSE)-IF(MONTH($C329)=4,$V$3,IF(MONTH($C329)=5,$V$4,IF(MONTH($C329)=6,$V$5,IF(MONTH($C329)=7,$V$6,"ERROR"))))-VLOOKUP($C329,COS!$B$8:$K$991,6,FALSE)/2,0))</f>
        <v>1500</v>
      </c>
      <c r="S329" s="30">
        <f t="shared" ref="S329:S332" si="526">R329*DAY($C329)*86400/43560/1000</f>
        <v>89.256198347107429</v>
      </c>
      <c r="T329" s="30">
        <f t="shared" ref="T329:T332" si="527">(O329+Q329)/2+S329</f>
        <v>117.01589385734115</v>
      </c>
      <c r="U329" s="30" t="str">
        <f>IF(VLOOKUP($C329,COS!$B$8:$I$991,8,FALSE)=1,"UWFE","IBU")</f>
        <v>UWFE</v>
      </c>
      <c r="V329" s="30">
        <f t="shared" ref="V329" si="528">MIN(IF(IF($AA$3=2,AND(E329=1,G329=1,L329=1,L334=1,M329=1,U329="IBU"),AND(E329=1,G329=1,L329=1,L334=1,M329=1)),T329,0),I329)</f>
        <v>0</v>
      </c>
      <c r="W329" s="30"/>
      <c r="X329" s="30"/>
      <c r="Y329" s="30"/>
      <c r="Z329" s="30"/>
      <c r="AA329" s="30"/>
      <c r="AB329" s="31"/>
    </row>
    <row r="330" spans="1:28" x14ac:dyDescent="0.3">
      <c r="A330" s="32">
        <f>VLOOKUP(YEAR(C330),Flags!$A$13:$B$95,2,FALSE)</f>
        <v>2</v>
      </c>
      <c r="B330" s="24">
        <f t="shared" si="432"/>
        <v>1957</v>
      </c>
      <c r="C330" s="25">
        <v>20971</v>
      </c>
      <c r="D330" s="26">
        <f>VLOOKUP($C330,COS!$B$8:$H$991,3,FALSE)</f>
        <v>10383.798828125</v>
      </c>
      <c r="E330" s="24">
        <f>IF(D330&gt;=IF(MONTH($C330)=4,$C$3,IF(MONTH($C330)=5,$C$4,IF(MONTH($C330)=6,$C$5,IF(MONTH($C330)=7,$C$6,"ERROR")))),1,0)</f>
        <v>1</v>
      </c>
      <c r="F330" s="26">
        <f>VLOOKUP($C330,COS!$B$8:$H$991,7,FALSE)</f>
        <v>50.116058349609375</v>
      </c>
      <c r="G330" s="24">
        <f>IF(F330&lt;=IF(MONTH($C330)=4,$F$3,IF(MONTH($C330)=5,$F$4,IF(MONTH($C330)=6,$F$5,IF(MONTH($C330)=7,$F$6,"ERROR")))),1,0)</f>
        <v>1</v>
      </c>
      <c r="H330" s="26">
        <f>IF(J330=1,D330-$C$4,0)</f>
        <v>4383.798828125</v>
      </c>
      <c r="I330" s="26">
        <f t="shared" si="450"/>
        <v>269.54928331611569</v>
      </c>
      <c r="J330" s="24">
        <f t="shared" si="521"/>
        <v>1</v>
      </c>
      <c r="K330" s="26">
        <f>VLOOKUP($C330,COS!$B$8:$H$991,2,FALSE)</f>
        <v>4552</v>
      </c>
      <c r="L330" s="24">
        <f t="shared" si="435"/>
        <v>1</v>
      </c>
      <c r="M330" s="24">
        <f t="shared" si="436"/>
        <v>0</v>
      </c>
      <c r="N330" s="26">
        <f>VLOOKUP($C330,COS!$B$8:$H$991,5,FALSE)</f>
        <v>717.7584228515625</v>
      </c>
      <c r="O330" s="26">
        <f t="shared" si="524"/>
        <v>44.133245173682852</v>
      </c>
      <c r="P330" s="26">
        <f>VLOOKUP($C330,COS!$B$8:$H$991,6,FALSE)</f>
        <v>2044.89892578125</v>
      </c>
      <c r="Q330" s="26">
        <f t="shared" si="525"/>
        <v>125.73593394886363</v>
      </c>
      <c r="R330" s="26">
        <f>MIN(IF(MONTH($C330)=4,$S$3,IF(MONTH($C330)=5,$S$4,IF(MONTH($C330)=6,$S$5,IF(MONTH($C330)=7,$S$6,"ERROR")))),MAX(VLOOKUP($C330,COS!$B$8:$K$991,10,FALSE)-IF(MONTH($C330)=4,$Y$3,IF(MONTH($C330)=5,$Y$4,IF(MONTH($C330)=6,$Y$5,IF(MONTH($C330)=7,$Y$6,"ERROR")))),0),MAX(VLOOKUP($C330,COS!$B$8:$K$991,9,FALSE)-IF(MONTH($C330)=4,$V$3,IF(MONTH($C330)=5,$V$4,IF(MONTH($C330)=6,$V$5,IF(MONTH($C330)=7,$V$6,"ERROR"))))-VLOOKUP($C330,COS!$B$8:$K$991,6,FALSE)/2,0))</f>
        <v>1500</v>
      </c>
      <c r="S330" s="26">
        <f t="shared" si="526"/>
        <v>92.231404958677686</v>
      </c>
      <c r="T330" s="26">
        <f t="shared" si="527"/>
        <v>177.16599451995091</v>
      </c>
      <c r="U330" s="26" t="str">
        <f>IF(VLOOKUP($C330,COS!$B$8:$I$991,8,FALSE)=1,"UWFE","IBU")</f>
        <v>UWFE</v>
      </c>
      <c r="V330" s="26">
        <f t="shared" ref="V330" si="529">MIN(IF(IF($AA$3=2,AND(E330=1,G330=1,L330=1,L334=1,M330=1,U330="IBU"),AND(E330=1,G330=1,L330=1,L334=1,M330=1)),T330,0),I330)</f>
        <v>0</v>
      </c>
      <c r="W330" s="26"/>
      <c r="X330" s="26"/>
      <c r="Y330" s="26"/>
      <c r="Z330" s="26"/>
      <c r="AA330" s="26"/>
      <c r="AB330" s="33"/>
    </row>
    <row r="331" spans="1:28" x14ac:dyDescent="0.3">
      <c r="A331" s="32">
        <f>VLOOKUP(YEAR(C331),Flags!$A$13:$B$95,2,FALSE)</f>
        <v>2</v>
      </c>
      <c r="B331" s="24">
        <f t="shared" si="432"/>
        <v>1957</v>
      </c>
      <c r="C331" s="25">
        <v>21001</v>
      </c>
      <c r="D331" s="26">
        <f>VLOOKUP($C331,COS!$B$8:$H$991,3,FALSE)</f>
        <v>9041.25390625</v>
      </c>
      <c r="E331" s="24">
        <f>IF(D331&gt;=IF(MONTH($C331)=4,$C$3,IF(MONTH($C331)=5,$C$4,IF(MONTH($C331)=6,$C$5,IF(MONTH($C331)=7,$C$6,"ERROR")))),1,0)</f>
        <v>0</v>
      </c>
      <c r="F331" s="26">
        <f>VLOOKUP($C331,COS!$B$8:$H$991,7,FALSE)</f>
        <v>52.248523712158203</v>
      </c>
      <c r="G331" s="24">
        <f>IF(F331&lt;=IF(MONTH($C331)=4,$F$3,IF(MONTH($C331)=5,$F$4,IF(MONTH($C331)=6,$F$5,IF(MONTH($C331)=7,$F$6,"ERROR")))),1,0)</f>
        <v>1</v>
      </c>
      <c r="H331" s="26">
        <f>IF(J331=1,D331-$C$5,0)</f>
        <v>0</v>
      </c>
      <c r="I331" s="26">
        <f t="shared" si="450"/>
        <v>0</v>
      </c>
      <c r="J331" s="24">
        <f t="shared" si="521"/>
        <v>0</v>
      </c>
      <c r="K331" s="26">
        <f>VLOOKUP($C331,COS!$B$8:$H$991,2,FALSE)</f>
        <v>4290.39404296875</v>
      </c>
      <c r="L331" s="24">
        <f t="shared" si="435"/>
        <v>1</v>
      </c>
      <c r="M331" s="24">
        <f t="shared" si="436"/>
        <v>0</v>
      </c>
      <c r="N331" s="26">
        <f>VLOOKUP($C331,COS!$B$8:$H$991,5,FALSE)</f>
        <v>866.60247802734375</v>
      </c>
      <c r="O331" s="26">
        <f t="shared" si="524"/>
        <v>51.566428444602273</v>
      </c>
      <c r="P331" s="26">
        <f>VLOOKUP($C331,COS!$B$8:$H$991,6,FALSE)</f>
        <v>2422.49462890625</v>
      </c>
      <c r="Q331" s="26">
        <f t="shared" si="525"/>
        <v>144.14844072830579</v>
      </c>
      <c r="R331" s="26">
        <f>MIN(IF(MONTH($C331)=4,$S$3,IF(MONTH($C331)=5,$S$4,IF(MONTH($C331)=6,$S$5,IF(MONTH($C331)=7,$S$6,"ERROR")))),MAX(VLOOKUP($C331,COS!$B$8:$K$991,10,FALSE)-IF(MONTH($C331)=4,$Y$3,IF(MONTH($C331)=5,$Y$4,IF(MONTH($C331)=6,$Y$5,IF(MONTH($C331)=7,$Y$6,"ERROR")))),0),MAX(VLOOKUP($C331,COS!$B$8:$K$991,9,FALSE)-IF(MONTH($C331)=4,$V$3,IF(MONTH($C331)=5,$V$4,IF(MONTH($C331)=6,$V$5,IF(MONTH($C331)=7,$V$6,"ERROR"))))-VLOOKUP($C331,COS!$B$8:$K$991,6,FALSE)/2,0))</f>
        <v>1500</v>
      </c>
      <c r="S331" s="26">
        <f t="shared" si="526"/>
        <v>89.256198347107429</v>
      </c>
      <c r="T331" s="26">
        <f t="shared" si="527"/>
        <v>187.11363293356146</v>
      </c>
      <c r="U331" s="26" t="str">
        <f>IF(VLOOKUP($C331,COS!$B$8:$I$991,8,FALSE)=1,"UWFE","IBU")</f>
        <v>IBU</v>
      </c>
      <c r="V331" s="26">
        <f t="shared" ref="V331" si="530">MIN(IF(IF($AA$3=2,AND(E331=1,G331=1,L331=1,L334=1,M331=1,U331="IBU"),AND(E331=1,G331=1,L331=1,L334=1,M331=1)),T331,0),I331)</f>
        <v>0</v>
      </c>
      <c r="W331" s="26"/>
      <c r="X331" s="26"/>
      <c r="Y331" s="26"/>
      <c r="Z331" s="26"/>
      <c r="AA331" s="26"/>
      <c r="AB331" s="33"/>
    </row>
    <row r="332" spans="1:28" x14ac:dyDescent="0.3">
      <c r="A332" s="32">
        <f>VLOOKUP(YEAR(C332),Flags!$A$13:$B$95,2,FALSE)</f>
        <v>2</v>
      </c>
      <c r="B332" s="24">
        <f t="shared" si="432"/>
        <v>1957</v>
      </c>
      <c r="C332" s="25">
        <v>21032</v>
      </c>
      <c r="D332" s="26">
        <f>VLOOKUP($C332,COS!$B$8:$H$991,3,FALSE)</f>
        <v>16000</v>
      </c>
      <c r="E332" s="24">
        <f>IF(D332&gt;=IF(MONTH($C332)=4,$C$3,IF(MONTH($C332)=5,$C$4,IF(MONTH($C332)=6,$C$5,IF(MONTH($C332)=7,$C$6,"ERROR")))),1,0)</f>
        <v>1</v>
      </c>
      <c r="F332" s="26">
        <f>VLOOKUP($C332,COS!$B$8:$H$991,7,FALSE)</f>
        <v>51.816173553466797</v>
      </c>
      <c r="G332" s="24">
        <f>IF(F332&lt;=IF(MONTH($C332)=4,$F$3,IF(MONTH($C332)=5,$F$4,IF(MONTH($C332)=6,$F$5,IF(MONTH($C332)=7,$F$6,"ERROR")))),1,0)</f>
        <v>1</v>
      </c>
      <c r="H332" s="26">
        <f>IF(J332=1,D332-$C$6,0)</f>
        <v>4000</v>
      </c>
      <c r="I332" s="26">
        <f t="shared" si="450"/>
        <v>245.95041322314049</v>
      </c>
      <c r="J332" s="24">
        <f t="shared" si="521"/>
        <v>1</v>
      </c>
      <c r="K332" s="26">
        <f>VLOOKUP($C332,COS!$B$8:$H$991,2,FALSE)</f>
        <v>3601.666259765625</v>
      </c>
      <c r="L332" s="24">
        <f t="shared" si="435"/>
        <v>1</v>
      </c>
      <c r="M332" s="24">
        <f t="shared" si="436"/>
        <v>0</v>
      </c>
      <c r="N332" s="26">
        <f>VLOOKUP($C332,COS!$B$8:$H$991,5,FALSE)</f>
        <v>947.87957763671875</v>
      </c>
      <c r="O332" s="26">
        <f t="shared" si="524"/>
        <v>58.282843451381709</v>
      </c>
      <c r="P332" s="26">
        <f>VLOOKUP($C332,COS!$B$8:$H$991,6,FALSE)</f>
        <v>2467.689453125</v>
      </c>
      <c r="Q332" s="26">
        <f t="shared" si="525"/>
        <v>151.73231017561986</v>
      </c>
      <c r="R332" s="26">
        <f>MIN(IF(MONTH($C332)=4,$S$3,IF(MONTH($C332)=5,$S$4,IF(MONTH($C332)=6,$S$5,IF(MONTH($C332)=7,$S$6,"ERROR")))),MAX(VLOOKUP($C332,COS!$B$8:$K$991,10,FALSE)-IF(MONTH($C332)=4,$Y$3,IF(MONTH($C332)=5,$Y$4,IF(MONTH($C332)=6,$Y$5,IF(MONTH($C332)=7,$Y$6,"ERROR")))),0),MAX(VLOOKUP($C332,COS!$B$8:$K$991,9,FALSE)-IF(MONTH($C332)=4,$V$3,IF(MONTH($C332)=5,$V$4,IF(MONTH($C332)=6,$V$5,IF(MONTH($C332)=7,$V$6,"ERROR"))))-VLOOKUP($C332,COS!$B$8:$K$991,6,FALSE)/2,0))</f>
        <v>1500</v>
      </c>
      <c r="S332" s="26">
        <f t="shared" si="526"/>
        <v>92.231404958677686</v>
      </c>
      <c r="T332" s="26">
        <f t="shared" si="527"/>
        <v>197.23898177217848</v>
      </c>
      <c r="U332" s="26" t="str">
        <f>IF(VLOOKUP($C332,COS!$B$8:$I$991,8,FALSE)=1,"UWFE","IBU")</f>
        <v>IBU</v>
      </c>
      <c r="V332" s="26">
        <f t="shared" ref="V332" si="531">MIN(IF(IF($AA$3=2,AND(E332=1,G332=1,L332=1,L334=1,M332=1,U332="IBU"),AND(E332=1,G332=1,L332=1,L334=1,M332=1)),T332,0),I332)</f>
        <v>0</v>
      </c>
      <c r="W332" s="26"/>
      <c r="X332" s="26"/>
      <c r="Y332" s="26"/>
      <c r="Z332" s="26"/>
      <c r="AA332" s="26"/>
      <c r="AB332" s="33"/>
    </row>
    <row r="333" spans="1:28" x14ac:dyDescent="0.3">
      <c r="A333" s="32">
        <f>VLOOKUP(YEAR(C333),Flags!$A$13:$B$95,2,FALSE)</f>
        <v>2</v>
      </c>
      <c r="B333" s="24">
        <f t="shared" si="432"/>
        <v>1957</v>
      </c>
      <c r="C333" s="25">
        <v>21063</v>
      </c>
      <c r="D333" s="26"/>
      <c r="E333" s="24"/>
      <c r="F333" s="26"/>
      <c r="G333" s="24"/>
      <c r="H333" s="24"/>
      <c r="I333" s="26"/>
      <c r="J333" s="24"/>
      <c r="K333" s="26"/>
      <c r="L333" s="24"/>
      <c r="M333" s="24"/>
      <c r="N333" s="26"/>
      <c r="O333" s="26"/>
      <c r="P333" s="26"/>
      <c r="Q333" s="26"/>
      <c r="R333" s="26"/>
      <c r="S333" s="26"/>
      <c r="T333" s="26"/>
      <c r="U333" s="26"/>
      <c r="V333" s="26"/>
      <c r="W333" s="26">
        <f>MAX($C$7-VLOOKUP($C333,COS!$B$8:$H$991,3,FALSE),0)</f>
        <v>1622.1240234375</v>
      </c>
      <c r="X333" s="26">
        <f t="shared" si="448"/>
        <v>99.740518465909091</v>
      </c>
      <c r="Y333" s="26">
        <f>VLOOKUP($C333,COS!$B$8:$H$991,4,FALSE)</f>
        <v>972.99468994140625</v>
      </c>
      <c r="Z333" s="26">
        <f t="shared" si="449"/>
        <v>59.827111513752584</v>
      </c>
      <c r="AA333" s="26">
        <f t="shared" ref="AA333:AA337" si="532">MIN(W333,Y333)</f>
        <v>972.99468994140625</v>
      </c>
      <c r="AB333" s="33">
        <f t="shared" ref="AB333" si="533">AA333*DAY($C333)*86400/43560/1000*IF(MONTH($C333)=8,$P$3,IF(MONTH($C333)=9,$P$4,IF(MONTH($C333)=10,$P$5,IF(MONTH($C333)=11,$P$6,IF(MONTH($C333)=12,$P$7,NA())))))</f>
        <v>59.827111513752584</v>
      </c>
    </row>
    <row r="334" spans="1:28" x14ac:dyDescent="0.3">
      <c r="A334" s="32">
        <f>VLOOKUP(YEAR(C334),Flags!$A$13:$B$95,2,FALSE)</f>
        <v>2</v>
      </c>
      <c r="B334" s="24">
        <f t="shared" si="432"/>
        <v>1957</v>
      </c>
      <c r="C334" s="25">
        <v>21093</v>
      </c>
      <c r="D334" s="26"/>
      <c r="E334" s="24"/>
      <c r="F334" s="26"/>
      <c r="G334" s="24"/>
      <c r="H334" s="24"/>
      <c r="I334" s="26"/>
      <c r="J334" s="24"/>
      <c r="K334" s="26">
        <f>VLOOKUP($C334,COS!$B$8:$H$991,2,FALSE)</f>
        <v>3041.052978515625</v>
      </c>
      <c r="L334" s="24">
        <f t="shared" ref="L334" si="534">IF(AND(K334&gt;$I$7,K334&lt;$I$8),1,0)</f>
        <v>1</v>
      </c>
      <c r="M334" s="24"/>
      <c r="N334" s="26"/>
      <c r="O334" s="26"/>
      <c r="P334" s="26"/>
      <c r="Q334" s="26"/>
      <c r="R334" s="26"/>
      <c r="S334" s="26"/>
      <c r="T334" s="26"/>
      <c r="U334" s="26"/>
      <c r="V334" s="26"/>
      <c r="W334" s="26">
        <f>MAX($C$8-VLOOKUP($C334,COS!$B$8:$H$991,3,FALSE),0)</f>
        <v>0</v>
      </c>
      <c r="X334" s="26">
        <f t="shared" si="448"/>
        <v>0</v>
      </c>
      <c r="Y334" s="26">
        <f>VLOOKUP($C334,COS!$B$8:$H$991,4,FALSE)</f>
        <v>579.7745361328125</v>
      </c>
      <c r="Z334" s="26">
        <f t="shared" si="449"/>
        <v>34.498980662448346</v>
      </c>
      <c r="AA334" s="26">
        <f t="shared" si="532"/>
        <v>0</v>
      </c>
      <c r="AB334" s="33">
        <f t="shared" si="446"/>
        <v>0</v>
      </c>
    </row>
    <row r="335" spans="1:28" x14ac:dyDescent="0.3">
      <c r="A335" s="32">
        <f>VLOOKUP(YEAR(C335),Flags!$A$13:$B$95,2,FALSE)</f>
        <v>2</v>
      </c>
      <c r="B335" s="24">
        <f t="shared" ref="B335:B398" si="535">YEAR(C335)</f>
        <v>1957</v>
      </c>
      <c r="C335" s="25">
        <v>21124</v>
      </c>
      <c r="D335" s="26"/>
      <c r="E335" s="24"/>
      <c r="F335" s="26"/>
      <c r="G335" s="26"/>
      <c r="H335" s="26"/>
      <c r="I335" s="26"/>
      <c r="J335" s="26"/>
      <c r="K335" s="26"/>
      <c r="L335" s="24"/>
      <c r="M335" s="24"/>
      <c r="N335" s="26"/>
      <c r="O335" s="26"/>
      <c r="P335" s="26"/>
      <c r="Q335" s="26"/>
      <c r="R335" s="26"/>
      <c r="S335" s="26"/>
      <c r="T335" s="26"/>
      <c r="U335" s="26"/>
      <c r="V335" s="26"/>
      <c r="W335" s="26">
        <f>MAX($C$9-VLOOKUP($C335,COS!$B$8:$H$991,3,FALSE),0)</f>
        <v>0</v>
      </c>
      <c r="X335" s="26">
        <f t="shared" si="448"/>
        <v>0</v>
      </c>
      <c r="Y335" s="26">
        <f>VLOOKUP($C335,COS!$B$8:$H$991,4,FALSE)</f>
        <v>1307.7252197265625</v>
      </c>
      <c r="Z335" s="26">
        <f t="shared" si="449"/>
        <v>80.40888954351756</v>
      </c>
      <c r="AA335" s="26">
        <f t="shared" si="532"/>
        <v>0</v>
      </c>
      <c r="AB335" s="33">
        <f t="shared" si="446"/>
        <v>0</v>
      </c>
    </row>
    <row r="336" spans="1:28" x14ac:dyDescent="0.3">
      <c r="A336" s="32">
        <f>VLOOKUP(YEAR(C336),Flags!$A$13:$B$95,2,FALSE)</f>
        <v>2</v>
      </c>
      <c r="B336" s="24">
        <f t="shared" si="535"/>
        <v>1957</v>
      </c>
      <c r="C336" s="25">
        <v>21154</v>
      </c>
      <c r="D336" s="26"/>
      <c r="E336" s="24"/>
      <c r="F336" s="26"/>
      <c r="G336" s="26"/>
      <c r="H336" s="26"/>
      <c r="I336" s="26"/>
      <c r="J336" s="26"/>
      <c r="K336" s="26"/>
      <c r="L336" s="24"/>
      <c r="M336" s="24"/>
      <c r="N336" s="26"/>
      <c r="O336" s="26"/>
      <c r="P336" s="26"/>
      <c r="Q336" s="26"/>
      <c r="R336" s="26"/>
      <c r="S336" s="26"/>
      <c r="T336" s="26"/>
      <c r="U336" s="26"/>
      <c r="V336" s="26"/>
      <c r="W336" s="26">
        <f>MAX($C$10-VLOOKUP($C336,COS!$B$8:$H$991,3,FALSE),0)</f>
        <v>0</v>
      </c>
      <c r="X336" s="26">
        <f t="shared" si="448"/>
        <v>0</v>
      </c>
      <c r="Y336" s="26">
        <f>VLOOKUP($C336,COS!$B$8:$H$991,4,FALSE)</f>
        <v>2291.82421875</v>
      </c>
      <c r="Z336" s="26">
        <f t="shared" si="449"/>
        <v>136.37301136363635</v>
      </c>
      <c r="AA336" s="26">
        <f t="shared" si="532"/>
        <v>0</v>
      </c>
      <c r="AB336" s="33">
        <f t="shared" si="446"/>
        <v>0</v>
      </c>
    </row>
    <row r="337" spans="1:28" x14ac:dyDescent="0.3">
      <c r="A337" s="34">
        <f>VLOOKUP(YEAR(C337),Flags!$A$13:$B$95,2,FALSE)</f>
        <v>2</v>
      </c>
      <c r="B337" s="35">
        <f t="shared" si="535"/>
        <v>1957</v>
      </c>
      <c r="C337" s="36">
        <v>21185</v>
      </c>
      <c r="D337" s="37"/>
      <c r="E337" s="35"/>
      <c r="F337" s="37"/>
      <c r="G337" s="37"/>
      <c r="H337" s="37"/>
      <c r="I337" s="37"/>
      <c r="J337" s="37"/>
      <c r="K337" s="37"/>
      <c r="L337" s="35"/>
      <c r="M337" s="35"/>
      <c r="N337" s="37"/>
      <c r="O337" s="37"/>
      <c r="P337" s="37"/>
      <c r="Q337" s="37"/>
      <c r="R337" s="37"/>
      <c r="S337" s="37"/>
      <c r="T337" s="37"/>
      <c r="U337" s="37"/>
      <c r="V337" s="37"/>
      <c r="W337" s="37">
        <f>MAX($C$11-VLOOKUP($C337,COS!$B$8:$H$991,3,FALSE),0)</f>
        <v>0</v>
      </c>
      <c r="X337" s="37">
        <f t="shared" si="448"/>
        <v>0</v>
      </c>
      <c r="Y337" s="37">
        <f>VLOOKUP($C337,COS!$B$8:$H$991,4,FALSE)</f>
        <v>0</v>
      </c>
      <c r="Z337" s="37">
        <f t="shared" si="449"/>
        <v>0</v>
      </c>
      <c r="AA337" s="37">
        <f t="shared" si="532"/>
        <v>0</v>
      </c>
      <c r="AB337" s="38">
        <f t="shared" si="446"/>
        <v>0</v>
      </c>
    </row>
    <row r="338" spans="1:28" x14ac:dyDescent="0.3">
      <c r="A338" s="27">
        <f>VLOOKUP(YEAR(C338),Flags!$A$13:$B$95,2,FALSE)</f>
        <v>1</v>
      </c>
      <c r="B338" s="28">
        <f t="shared" si="535"/>
        <v>1958</v>
      </c>
      <c r="C338" s="29">
        <v>21305</v>
      </c>
      <c r="D338" s="30">
        <f>VLOOKUP($C338,COS!$B$8:$H$991,3,FALSE)</f>
        <v>11542.2392578125</v>
      </c>
      <c r="E338" s="28">
        <f>IF(D338&gt;=IF(MONTH($C338)=4,$C$3,IF(MONTH($C338)=5,$C$4,IF(MONTH($C338)=6,$C$5,IF(MONTH($C338)=7,$C$6,"ERROR")))),1,0)</f>
        <v>1</v>
      </c>
      <c r="F338" s="30">
        <f>VLOOKUP($C338,COS!$B$8:$H$991,7,FALSE)</f>
        <v>47.772865295410156</v>
      </c>
      <c r="G338" s="28">
        <f>IF(F338&lt;=IF(MONTH($C338)=4,$F$3,IF(MONTH($C338)=5,$F$4,IF(MONTH($C338)=6,$F$5,IF(MONTH($C338)=7,$F$6,"ERROR")))),1,0)</f>
        <v>1</v>
      </c>
      <c r="H338" s="30">
        <f>IF(J338=1,D338-$C$3,0)</f>
        <v>5542.2392578125</v>
      </c>
      <c r="I338" s="30">
        <f t="shared" si="450"/>
        <v>329.78613765495868</v>
      </c>
      <c r="J338" s="28">
        <f t="shared" ref="J338:J341" si="536">IF(AND(E338=1,G338=1),1,0)</f>
        <v>1</v>
      </c>
      <c r="K338" s="30">
        <f>VLOOKUP($C338,COS!$B$8:$H$991,2,FALSE)</f>
        <v>4173</v>
      </c>
      <c r="L338" s="28">
        <f t="shared" ref="L338:L395" si="537">IF(K338&lt;=IF(MONTH($C338)=4,$I$3,IF(MONTH($C338)=5,$I$4,IF(MONTH($C338)=6,$I$5,IF(MONTH($C338)=7,$I$6,"ERROR")))),1,0)</f>
        <v>1</v>
      </c>
      <c r="M338" s="28">
        <f t="shared" ref="M338:M395" si="538">VLOOKUP($A338,$L$3:$M$7,2,FALSE)</f>
        <v>0</v>
      </c>
      <c r="N338" s="30">
        <f>VLOOKUP($C338,COS!$B$8:$H$991,5,FALSE)</f>
        <v>28.527523040771484</v>
      </c>
      <c r="O338" s="30">
        <f t="shared" ref="O338:O341" si="539">N338*DAY($C338)*86400/43560/1000</f>
        <v>1.6975055032525181</v>
      </c>
      <c r="P338" s="30">
        <f>VLOOKUP($C338,COS!$B$8:$H$991,6,FALSE)</f>
        <v>286.142822265625</v>
      </c>
      <c r="Q338" s="30">
        <f t="shared" ref="Q338:Q341" si="540">P338*DAY($C338)*86400/43560/1000</f>
        <v>17.026680333161156</v>
      </c>
      <c r="R338" s="30">
        <f>MIN(IF(MONTH($C338)=4,$S$3,IF(MONTH($C338)=5,$S$4,IF(MONTH($C338)=6,$S$5,IF(MONTH($C338)=7,$S$6,"ERROR")))),MAX(VLOOKUP($C338,COS!$B$8:$K$991,10,FALSE)-IF(MONTH($C338)=4,$Y$3,IF(MONTH($C338)=5,$Y$4,IF(MONTH($C338)=6,$Y$5,IF(MONTH($C338)=7,$Y$6,"ERROR")))),0),MAX(VLOOKUP($C338,COS!$B$8:$K$991,9,FALSE)-IF(MONTH($C338)=4,$V$3,IF(MONTH($C338)=5,$V$4,IF(MONTH($C338)=6,$V$5,IF(MONTH($C338)=7,$V$6,"ERROR"))))-VLOOKUP($C338,COS!$B$8:$K$991,6,FALSE)/2,0))</f>
        <v>1500</v>
      </c>
      <c r="S338" s="30">
        <f t="shared" ref="S338:S341" si="541">R338*DAY($C338)*86400/43560/1000</f>
        <v>89.256198347107429</v>
      </c>
      <c r="T338" s="30">
        <f t="shared" ref="T338:T341" si="542">(O338+Q338)/2+S338</f>
        <v>98.618291265314269</v>
      </c>
      <c r="U338" s="30" t="str">
        <f>IF(VLOOKUP($C338,COS!$B$8:$I$991,8,FALSE)=1,"UWFE","IBU")</f>
        <v>UWFE</v>
      </c>
      <c r="V338" s="30">
        <f t="shared" ref="V338" si="543">MIN(IF(IF($AA$3=2,AND(E338=1,G338=1,L338=1,L343=1,M338=1,U338="IBU"),AND(E338=1,G338=1,L338=1,L343=1,M338=1)),T338,0),I338)</f>
        <v>0</v>
      </c>
      <c r="W338" s="30"/>
      <c r="X338" s="30"/>
      <c r="Y338" s="30"/>
      <c r="Z338" s="30"/>
      <c r="AA338" s="30"/>
      <c r="AB338" s="31"/>
    </row>
    <row r="339" spans="1:28" x14ac:dyDescent="0.3">
      <c r="A339" s="32">
        <f>VLOOKUP(YEAR(C339),Flags!$A$13:$B$95,2,FALSE)</f>
        <v>1</v>
      </c>
      <c r="B339" s="24">
        <f t="shared" si="535"/>
        <v>1958</v>
      </c>
      <c r="C339" s="25">
        <v>21336</v>
      </c>
      <c r="D339" s="26">
        <f>VLOOKUP($C339,COS!$B$8:$H$991,3,FALSE)</f>
        <v>6985.326171875</v>
      </c>
      <c r="E339" s="24">
        <f>IF(D339&gt;=IF(MONTH($C339)=4,$C$3,IF(MONTH($C339)=5,$C$4,IF(MONTH($C339)=6,$C$5,IF(MONTH($C339)=7,$C$6,"ERROR")))),1,0)</f>
        <v>1</v>
      </c>
      <c r="F339" s="26">
        <f>VLOOKUP($C339,COS!$B$8:$H$991,7,FALSE)</f>
        <v>51.385059356689453</v>
      </c>
      <c r="G339" s="24">
        <f>IF(F339&lt;=IF(MONTH($C339)=4,$F$3,IF(MONTH($C339)=5,$F$4,IF(MONTH($C339)=6,$F$5,IF(MONTH($C339)=7,$F$6,"ERROR")))),1,0)</f>
        <v>1</v>
      </c>
      <c r="H339" s="26">
        <f>IF(J339=1,D339-$C$4,0)</f>
        <v>985.326171875</v>
      </c>
      <c r="I339" s="26">
        <f t="shared" si="450"/>
        <v>60.585344783057849</v>
      </c>
      <c r="J339" s="24">
        <f t="shared" si="536"/>
        <v>1</v>
      </c>
      <c r="K339" s="26">
        <f>VLOOKUP($C339,COS!$B$8:$H$991,2,FALSE)</f>
        <v>4552</v>
      </c>
      <c r="L339" s="24">
        <f t="shared" si="537"/>
        <v>1</v>
      </c>
      <c r="M339" s="24">
        <f t="shared" si="538"/>
        <v>0</v>
      </c>
      <c r="N339" s="26">
        <f>VLOOKUP($C339,COS!$B$8:$H$991,5,FALSE)</f>
        <v>454.28439331054688</v>
      </c>
      <c r="O339" s="26">
        <f t="shared" si="539"/>
        <v>27.932858563888171</v>
      </c>
      <c r="P339" s="26">
        <f>VLOOKUP($C339,COS!$B$8:$H$991,6,FALSE)</f>
        <v>1943.7978515625</v>
      </c>
      <c r="Q339" s="26">
        <f t="shared" si="540"/>
        <v>119.5194712035124</v>
      </c>
      <c r="R339" s="26">
        <f>MIN(IF(MONTH($C339)=4,$S$3,IF(MONTH($C339)=5,$S$4,IF(MONTH($C339)=6,$S$5,IF(MONTH($C339)=7,$S$6,"ERROR")))),MAX(VLOOKUP($C339,COS!$B$8:$K$991,10,FALSE)-IF(MONTH($C339)=4,$Y$3,IF(MONTH($C339)=5,$Y$4,IF(MONTH($C339)=6,$Y$5,IF(MONTH($C339)=7,$Y$6,"ERROR")))),0),MAX(VLOOKUP($C339,COS!$B$8:$K$991,9,FALSE)-IF(MONTH($C339)=4,$V$3,IF(MONTH($C339)=5,$V$4,IF(MONTH($C339)=6,$V$5,IF(MONTH($C339)=7,$V$6,"ERROR"))))-VLOOKUP($C339,COS!$B$8:$K$991,6,FALSE)/2,0))</f>
        <v>1500</v>
      </c>
      <c r="S339" s="26">
        <f t="shared" si="541"/>
        <v>92.231404958677686</v>
      </c>
      <c r="T339" s="26">
        <f t="shared" si="542"/>
        <v>165.95756984237795</v>
      </c>
      <c r="U339" s="26" t="str">
        <f>IF(VLOOKUP($C339,COS!$B$8:$I$991,8,FALSE)=1,"UWFE","IBU")</f>
        <v>UWFE</v>
      </c>
      <c r="V339" s="26">
        <f t="shared" ref="V339" si="544">MIN(IF(IF($AA$3=2,AND(E339=1,G339=1,L339=1,L343=1,M339=1,U339="IBU"),AND(E339=1,G339=1,L339=1,L343=1,M339=1)),T339,0),I339)</f>
        <v>0</v>
      </c>
      <c r="W339" s="26"/>
      <c r="X339" s="26"/>
      <c r="Y339" s="26"/>
      <c r="Z339" s="26"/>
      <c r="AA339" s="26"/>
      <c r="AB339" s="33"/>
    </row>
    <row r="340" spans="1:28" x14ac:dyDescent="0.3">
      <c r="A340" s="32">
        <f>VLOOKUP(YEAR(C340),Flags!$A$13:$B$95,2,FALSE)</f>
        <v>1</v>
      </c>
      <c r="B340" s="24">
        <f t="shared" si="535"/>
        <v>1958</v>
      </c>
      <c r="C340" s="25">
        <v>21366</v>
      </c>
      <c r="D340" s="26">
        <f>VLOOKUP($C340,COS!$B$8:$H$991,3,FALSE)</f>
        <v>8232.15234375</v>
      </c>
      <c r="E340" s="24">
        <f>IF(D340&gt;=IF(MONTH($C340)=4,$C$3,IF(MONTH($C340)=5,$C$4,IF(MONTH($C340)=6,$C$5,IF(MONTH($C340)=7,$C$6,"ERROR")))),1,0)</f>
        <v>0</v>
      </c>
      <c r="F340" s="26">
        <f>VLOOKUP($C340,COS!$B$8:$H$991,7,FALSE)</f>
        <v>51.681552886962891</v>
      </c>
      <c r="G340" s="24">
        <f>IF(F340&lt;=IF(MONTH($C340)=4,$F$3,IF(MONTH($C340)=5,$F$4,IF(MONTH($C340)=6,$F$5,IF(MONTH($C340)=7,$F$6,"ERROR")))),1,0)</f>
        <v>1</v>
      </c>
      <c r="H340" s="26">
        <f>IF(J340=1,D340-$C$5,0)</f>
        <v>0</v>
      </c>
      <c r="I340" s="26">
        <f t="shared" si="450"/>
        <v>0</v>
      </c>
      <c r="J340" s="24">
        <f t="shared" si="536"/>
        <v>0</v>
      </c>
      <c r="K340" s="26">
        <f>VLOOKUP($C340,COS!$B$8:$H$991,2,FALSE)</f>
        <v>4500</v>
      </c>
      <c r="L340" s="24">
        <f t="shared" si="537"/>
        <v>1</v>
      </c>
      <c r="M340" s="24">
        <f t="shared" si="538"/>
        <v>0</v>
      </c>
      <c r="N340" s="26">
        <f>VLOOKUP($C340,COS!$B$8:$H$991,5,FALSE)</f>
        <v>1154.1927490234375</v>
      </c>
      <c r="O340" s="26">
        <f t="shared" si="539"/>
        <v>68.679237958419421</v>
      </c>
      <c r="P340" s="26">
        <f>VLOOKUP($C340,COS!$B$8:$H$991,6,FALSE)</f>
        <v>2269.72607421875</v>
      </c>
      <c r="Q340" s="26">
        <f t="shared" si="540"/>
        <v>135.05808044938016</v>
      </c>
      <c r="R340" s="26">
        <f>MIN(IF(MONTH($C340)=4,$S$3,IF(MONTH($C340)=5,$S$4,IF(MONTH($C340)=6,$S$5,IF(MONTH($C340)=7,$S$6,"ERROR")))),MAX(VLOOKUP($C340,COS!$B$8:$K$991,10,FALSE)-IF(MONTH($C340)=4,$Y$3,IF(MONTH($C340)=5,$Y$4,IF(MONTH($C340)=6,$Y$5,IF(MONTH($C340)=7,$Y$6,"ERROR")))),0),MAX(VLOOKUP($C340,COS!$B$8:$K$991,9,FALSE)-IF(MONTH($C340)=4,$V$3,IF(MONTH($C340)=5,$V$4,IF(MONTH($C340)=6,$V$5,IF(MONTH($C340)=7,$V$6,"ERROR"))))-VLOOKUP($C340,COS!$B$8:$K$991,6,FALSE)/2,0))</f>
        <v>1500</v>
      </c>
      <c r="S340" s="26">
        <f t="shared" si="541"/>
        <v>89.256198347107429</v>
      </c>
      <c r="T340" s="26">
        <f t="shared" si="542"/>
        <v>191.12485755100721</v>
      </c>
      <c r="U340" s="26" t="str">
        <f>IF(VLOOKUP($C340,COS!$B$8:$I$991,8,FALSE)=1,"UWFE","IBU")</f>
        <v>UWFE</v>
      </c>
      <c r="V340" s="26">
        <f t="shared" ref="V340" si="545">MIN(IF(IF($AA$3=2,AND(E340=1,G340=1,L340=1,L343=1,M340=1,U340="IBU"),AND(E340=1,G340=1,L340=1,L343=1,M340=1)),T340,0),I340)</f>
        <v>0</v>
      </c>
      <c r="W340" s="26"/>
      <c r="X340" s="26"/>
      <c r="Y340" s="26"/>
      <c r="Z340" s="26"/>
      <c r="AA340" s="26"/>
      <c r="AB340" s="33"/>
    </row>
    <row r="341" spans="1:28" x14ac:dyDescent="0.3">
      <c r="A341" s="32">
        <f>VLOOKUP(YEAR(C341),Flags!$A$13:$B$95,2,FALSE)</f>
        <v>1</v>
      </c>
      <c r="B341" s="24">
        <f t="shared" si="535"/>
        <v>1958</v>
      </c>
      <c r="C341" s="25">
        <v>21397</v>
      </c>
      <c r="D341" s="26">
        <f>VLOOKUP($C341,COS!$B$8:$H$991,3,FALSE)</f>
        <v>12357.0048828125</v>
      </c>
      <c r="E341" s="24">
        <f>IF(D341&gt;=IF(MONTH($C341)=4,$C$3,IF(MONTH($C341)=5,$C$4,IF(MONTH($C341)=6,$C$5,IF(MONTH($C341)=7,$C$6,"ERROR")))),1,0)</f>
        <v>1</v>
      </c>
      <c r="F341" s="26">
        <f>VLOOKUP($C341,COS!$B$8:$H$991,7,FALSE)</f>
        <v>52.224693298339844</v>
      </c>
      <c r="G341" s="24">
        <f>IF(F341&lt;=IF(MONTH($C341)=4,$F$3,IF(MONTH($C341)=5,$F$4,IF(MONTH($C341)=6,$F$5,IF(MONTH($C341)=7,$F$6,"ERROR")))),1,0)</f>
        <v>1</v>
      </c>
      <c r="H341" s="26">
        <f>IF(J341=1,D341-$C$6,0)</f>
        <v>357.0048828125</v>
      </c>
      <c r="I341" s="26">
        <f t="shared" si="450"/>
        <v>21.951374612603306</v>
      </c>
      <c r="J341" s="24">
        <f t="shared" si="536"/>
        <v>1</v>
      </c>
      <c r="K341" s="26">
        <f>VLOOKUP($C341,COS!$B$8:$H$991,2,FALSE)</f>
        <v>4105.73681640625</v>
      </c>
      <c r="L341" s="24">
        <f t="shared" si="537"/>
        <v>1</v>
      </c>
      <c r="M341" s="24">
        <f t="shared" si="538"/>
        <v>0</v>
      </c>
      <c r="N341" s="26">
        <f>VLOOKUP($C341,COS!$B$8:$H$991,5,FALSE)</f>
        <v>1329.9095458984375</v>
      </c>
      <c r="O341" s="26">
        <f t="shared" si="539"/>
        <v>81.772950590779956</v>
      </c>
      <c r="P341" s="26">
        <f>VLOOKUP($C341,COS!$B$8:$H$991,6,FALSE)</f>
        <v>2552.21142578125</v>
      </c>
      <c r="Q341" s="26">
        <f t="shared" si="540"/>
        <v>156.92936370092974</v>
      </c>
      <c r="R341" s="26">
        <f>MIN(IF(MONTH($C341)=4,$S$3,IF(MONTH($C341)=5,$S$4,IF(MONTH($C341)=6,$S$5,IF(MONTH($C341)=7,$S$6,"ERROR")))),MAX(VLOOKUP($C341,COS!$B$8:$K$991,10,FALSE)-IF(MONTH($C341)=4,$Y$3,IF(MONTH($C341)=5,$Y$4,IF(MONTH($C341)=6,$Y$5,IF(MONTH($C341)=7,$Y$6,"ERROR")))),0),MAX(VLOOKUP($C341,COS!$B$8:$K$991,9,FALSE)-IF(MONTH($C341)=4,$V$3,IF(MONTH($C341)=5,$V$4,IF(MONTH($C341)=6,$V$5,IF(MONTH($C341)=7,$V$6,"ERROR"))))-VLOOKUP($C341,COS!$B$8:$K$991,6,FALSE)/2,0))</f>
        <v>1500</v>
      </c>
      <c r="S341" s="26">
        <f t="shared" si="541"/>
        <v>92.231404958677686</v>
      </c>
      <c r="T341" s="26">
        <f t="shared" si="542"/>
        <v>211.58256210453254</v>
      </c>
      <c r="U341" s="26" t="str">
        <f>IF(VLOOKUP($C341,COS!$B$8:$I$991,8,FALSE)=1,"UWFE","IBU")</f>
        <v>IBU</v>
      </c>
      <c r="V341" s="26">
        <f t="shared" ref="V341" si="546">MIN(IF(IF($AA$3=2,AND(E341=1,G341=1,L341=1,L343=1,M341=1,U341="IBU"),AND(E341=1,G341=1,L341=1,L343=1,M341=1)),T341,0),I341)</f>
        <v>0</v>
      </c>
      <c r="W341" s="26"/>
      <c r="X341" s="26"/>
      <c r="Y341" s="26"/>
      <c r="Z341" s="26"/>
      <c r="AA341" s="26"/>
      <c r="AB341" s="33"/>
    </row>
    <row r="342" spans="1:28" x14ac:dyDescent="0.3">
      <c r="A342" s="32">
        <f>VLOOKUP(YEAR(C342),Flags!$A$13:$B$95,2,FALSE)</f>
        <v>1</v>
      </c>
      <c r="B342" s="24">
        <f t="shared" si="535"/>
        <v>1958</v>
      </c>
      <c r="C342" s="25">
        <v>21428</v>
      </c>
      <c r="D342" s="26"/>
      <c r="E342" s="24"/>
      <c r="F342" s="26"/>
      <c r="G342" s="24"/>
      <c r="H342" s="24"/>
      <c r="I342" s="26"/>
      <c r="J342" s="24"/>
      <c r="K342" s="26"/>
      <c r="L342" s="24"/>
      <c r="M342" s="24"/>
      <c r="N342" s="26"/>
      <c r="O342" s="26"/>
      <c r="P342" s="26"/>
      <c r="Q342" s="26"/>
      <c r="R342" s="26"/>
      <c r="S342" s="26"/>
      <c r="T342" s="26"/>
      <c r="U342" s="26"/>
      <c r="V342" s="26"/>
      <c r="W342" s="26">
        <f>MAX($C$7-VLOOKUP($C342,COS!$B$8:$H$991,3,FALSE),0)</f>
        <v>0</v>
      </c>
      <c r="X342" s="26">
        <f t="shared" si="448"/>
        <v>0</v>
      </c>
      <c r="Y342" s="26">
        <f>VLOOKUP($C342,COS!$B$8:$H$991,4,FALSE)</f>
        <v>0</v>
      </c>
      <c r="Z342" s="26">
        <f t="shared" si="449"/>
        <v>0</v>
      </c>
      <c r="AA342" s="26">
        <f t="shared" ref="AA342:AA346" si="547">MIN(W342,Y342)</f>
        <v>0</v>
      </c>
      <c r="AB342" s="33">
        <f t="shared" ref="AB342:AB400" si="548">AA342*DAY($C342)*86400/43560/1000*IF(MONTH($C342)=8,$P$3,IF(MONTH($C342)=9,$P$4,IF(MONTH($C342)=10,$P$5,IF(MONTH($C342)=11,$P$6,IF(MONTH($C342)=12,$P$7,NA())))))</f>
        <v>0</v>
      </c>
    </row>
    <row r="343" spans="1:28" x14ac:dyDescent="0.3">
      <c r="A343" s="32">
        <f>VLOOKUP(YEAR(C343),Flags!$A$13:$B$95,2,FALSE)</f>
        <v>1</v>
      </c>
      <c r="B343" s="24">
        <f t="shared" si="535"/>
        <v>1958</v>
      </c>
      <c r="C343" s="25">
        <v>21458</v>
      </c>
      <c r="D343" s="26"/>
      <c r="E343" s="24"/>
      <c r="F343" s="26"/>
      <c r="G343" s="24"/>
      <c r="H343" s="24"/>
      <c r="I343" s="26"/>
      <c r="J343" s="24"/>
      <c r="K343" s="26">
        <f>VLOOKUP($C343,COS!$B$8:$H$991,2,FALSE)</f>
        <v>3174.58203125</v>
      </c>
      <c r="L343" s="24">
        <f t="shared" ref="L343" si="549">IF(AND(K343&gt;$I$7,K343&lt;$I$8),1,0)</f>
        <v>1</v>
      </c>
      <c r="M343" s="24"/>
      <c r="N343" s="26"/>
      <c r="O343" s="26"/>
      <c r="P343" s="26"/>
      <c r="Q343" s="26"/>
      <c r="R343" s="26"/>
      <c r="S343" s="26"/>
      <c r="T343" s="26"/>
      <c r="U343" s="26"/>
      <c r="V343" s="26"/>
      <c r="W343" s="26">
        <f>MAX($C$8-VLOOKUP($C343,COS!$B$8:$H$991,3,FALSE),0)</f>
        <v>0</v>
      </c>
      <c r="X343" s="26">
        <f t="shared" si="448"/>
        <v>0</v>
      </c>
      <c r="Y343" s="26">
        <f>VLOOKUP($C343,COS!$B$8:$H$991,4,FALSE)</f>
        <v>0</v>
      </c>
      <c r="Z343" s="26">
        <f t="shared" si="449"/>
        <v>0</v>
      </c>
      <c r="AA343" s="26">
        <f t="shared" si="547"/>
        <v>0</v>
      </c>
      <c r="AB343" s="33">
        <f t="shared" si="548"/>
        <v>0</v>
      </c>
    </row>
    <row r="344" spans="1:28" x14ac:dyDescent="0.3">
      <c r="A344" s="32">
        <f>VLOOKUP(YEAR(C344),Flags!$A$13:$B$95,2,FALSE)</f>
        <v>1</v>
      </c>
      <c r="B344" s="24">
        <f t="shared" si="535"/>
        <v>1958</v>
      </c>
      <c r="C344" s="25">
        <v>21489</v>
      </c>
      <c r="D344" s="26"/>
      <c r="E344" s="24"/>
      <c r="F344" s="26"/>
      <c r="G344" s="26"/>
      <c r="H344" s="26"/>
      <c r="I344" s="26"/>
      <c r="J344" s="26"/>
      <c r="K344" s="26"/>
      <c r="L344" s="24"/>
      <c r="M344" s="24"/>
      <c r="N344" s="26"/>
      <c r="O344" s="26"/>
      <c r="P344" s="26"/>
      <c r="Q344" s="26"/>
      <c r="R344" s="26"/>
      <c r="S344" s="26"/>
      <c r="T344" s="26"/>
      <c r="U344" s="26"/>
      <c r="V344" s="26"/>
      <c r="W344" s="26">
        <f>MAX($C$9-VLOOKUP($C344,COS!$B$8:$H$991,3,FALSE),0)</f>
        <v>0</v>
      </c>
      <c r="X344" s="26">
        <f t="shared" si="448"/>
        <v>0</v>
      </c>
      <c r="Y344" s="26">
        <f>VLOOKUP($C344,COS!$B$8:$H$991,4,FALSE)</f>
        <v>50.698928833007813</v>
      </c>
      <c r="Z344" s="26">
        <f t="shared" si="449"/>
        <v>3.117355624112216</v>
      </c>
      <c r="AA344" s="26">
        <f t="shared" si="547"/>
        <v>0</v>
      </c>
      <c r="AB344" s="33">
        <f t="shared" si="548"/>
        <v>0</v>
      </c>
    </row>
    <row r="345" spans="1:28" x14ac:dyDescent="0.3">
      <c r="A345" s="32">
        <f>VLOOKUP(YEAR(C345),Flags!$A$13:$B$95,2,FALSE)</f>
        <v>1</v>
      </c>
      <c r="B345" s="24">
        <f t="shared" si="535"/>
        <v>1958</v>
      </c>
      <c r="C345" s="25">
        <v>21519</v>
      </c>
      <c r="D345" s="26"/>
      <c r="E345" s="24"/>
      <c r="F345" s="26"/>
      <c r="G345" s="26"/>
      <c r="H345" s="26"/>
      <c r="I345" s="26"/>
      <c r="J345" s="26"/>
      <c r="K345" s="26"/>
      <c r="L345" s="24"/>
      <c r="M345" s="24"/>
      <c r="N345" s="26"/>
      <c r="O345" s="26"/>
      <c r="P345" s="26"/>
      <c r="Q345" s="26"/>
      <c r="R345" s="26"/>
      <c r="S345" s="26"/>
      <c r="T345" s="26"/>
      <c r="U345" s="26"/>
      <c r="V345" s="26"/>
      <c r="W345" s="26">
        <f>MAX($C$10-VLOOKUP($C345,COS!$B$8:$H$991,3,FALSE),0)</f>
        <v>0</v>
      </c>
      <c r="X345" s="26">
        <f t="shared" si="448"/>
        <v>0</v>
      </c>
      <c r="Y345" s="26">
        <f>VLOOKUP($C345,COS!$B$8:$H$991,4,FALSE)</f>
        <v>1516.7578125</v>
      </c>
      <c r="Z345" s="26">
        <f t="shared" si="449"/>
        <v>90.253357438016522</v>
      </c>
      <c r="AA345" s="26">
        <f t="shared" si="547"/>
        <v>0</v>
      </c>
      <c r="AB345" s="33">
        <f t="shared" si="548"/>
        <v>0</v>
      </c>
    </row>
    <row r="346" spans="1:28" x14ac:dyDescent="0.3">
      <c r="A346" s="34">
        <f>VLOOKUP(YEAR(C346),Flags!$A$13:$B$95,2,FALSE)</f>
        <v>1</v>
      </c>
      <c r="B346" s="35">
        <f t="shared" si="535"/>
        <v>1958</v>
      </c>
      <c r="C346" s="36">
        <v>21550</v>
      </c>
      <c r="D346" s="37"/>
      <c r="E346" s="35"/>
      <c r="F346" s="37"/>
      <c r="G346" s="37"/>
      <c r="H346" s="37"/>
      <c r="I346" s="37"/>
      <c r="J346" s="37"/>
      <c r="K346" s="37"/>
      <c r="L346" s="35"/>
      <c r="M346" s="35"/>
      <c r="N346" s="37"/>
      <c r="O346" s="37"/>
      <c r="P346" s="37"/>
      <c r="Q346" s="37"/>
      <c r="R346" s="37"/>
      <c r="S346" s="37"/>
      <c r="T346" s="37"/>
      <c r="U346" s="37"/>
      <c r="V346" s="37"/>
      <c r="W346" s="37">
        <f>MAX($C$11-VLOOKUP($C346,COS!$B$8:$H$991,3,FALSE),0)</f>
        <v>41.46142578125</v>
      </c>
      <c r="X346" s="37">
        <f t="shared" si="448"/>
        <v>2.5493637009297521</v>
      </c>
      <c r="Y346" s="37">
        <f>VLOOKUP($C346,COS!$B$8:$H$991,4,FALSE)</f>
        <v>0</v>
      </c>
      <c r="Z346" s="37">
        <f t="shared" si="449"/>
        <v>0</v>
      </c>
      <c r="AA346" s="37">
        <f t="shared" si="547"/>
        <v>0</v>
      </c>
      <c r="AB346" s="38">
        <f t="shared" si="548"/>
        <v>0</v>
      </c>
    </row>
    <row r="347" spans="1:28" x14ac:dyDescent="0.3">
      <c r="A347" s="27">
        <f>VLOOKUP(YEAR(C347),Flags!$A$13:$B$95,2,FALSE)</f>
        <v>3</v>
      </c>
      <c r="B347" s="28">
        <f t="shared" si="535"/>
        <v>1959</v>
      </c>
      <c r="C347" s="29">
        <v>21670</v>
      </c>
      <c r="D347" s="30">
        <f>VLOOKUP($C347,COS!$B$8:$H$991,3,FALSE)</f>
        <v>4176.9140625</v>
      </c>
      <c r="E347" s="28">
        <f>IF(D347&gt;=IF(MONTH($C347)=4,$C$3,IF(MONTH($C347)=5,$C$4,IF(MONTH($C347)=6,$C$5,IF(MONTH($C347)=7,$C$6,"ERROR")))),1,0)</f>
        <v>0</v>
      </c>
      <c r="F347" s="30">
        <f>VLOOKUP($C347,COS!$B$8:$H$991,7,FALSE)</f>
        <v>52.521034240722656</v>
      </c>
      <c r="G347" s="28">
        <f>IF(F347&lt;=IF(MONTH($C347)=4,$F$3,IF(MONTH($C347)=5,$F$4,IF(MONTH($C347)=6,$F$5,IF(MONTH($C347)=7,$F$6,"ERROR")))),1,0)</f>
        <v>1</v>
      </c>
      <c r="H347" s="30">
        <f>IF(J347=1,D347-$C$3,0)</f>
        <v>0</v>
      </c>
      <c r="I347" s="30">
        <f t="shared" si="450"/>
        <v>0</v>
      </c>
      <c r="J347" s="28">
        <f t="shared" ref="J347:J350" si="550">IF(AND(E347=1,G347=1),1,0)</f>
        <v>0</v>
      </c>
      <c r="K347" s="30">
        <f>VLOOKUP($C347,COS!$B$8:$H$991,2,FALSE)</f>
        <v>4402.98779296875</v>
      </c>
      <c r="L347" s="28">
        <f t="shared" ref="L347" si="551">IF(K347&lt;=IF(MONTH($C347)=4,$I$3,IF(MONTH($C347)=5,$I$4,IF(MONTH($C347)=6,$I$5,IF(MONTH($C347)=7,$I$6,"ERROR")))),1,0)</f>
        <v>1</v>
      </c>
      <c r="M347" s="28">
        <f t="shared" ref="M347" si="552">VLOOKUP($A347,$L$3:$M$7,2,FALSE)</f>
        <v>0</v>
      </c>
      <c r="N347" s="30">
        <f>VLOOKUP($C347,COS!$B$8:$H$991,5,FALSE)</f>
        <v>220.10430908203125</v>
      </c>
      <c r="O347" s="30">
        <f t="shared" ref="O347:O350" si="553">N347*DAY($C347)*86400/43560/1000</f>
        <v>13.097115912319216</v>
      </c>
      <c r="P347" s="30">
        <f>VLOOKUP($C347,COS!$B$8:$H$991,6,FALSE)</f>
        <v>554.8544921875</v>
      </c>
      <c r="Q347" s="30">
        <f t="shared" ref="Q347:Q350" si="554">P347*DAY($C347)*86400/43560/1000</f>
        <v>33.01613507231405</v>
      </c>
      <c r="R347" s="30">
        <f>MIN(IF(MONTH($C347)=4,$S$3,IF(MONTH($C347)=5,$S$4,IF(MONTH($C347)=6,$S$5,IF(MONTH($C347)=7,$S$6,"ERROR")))),MAX(VLOOKUP($C347,COS!$B$8:$K$991,10,FALSE)-IF(MONTH($C347)=4,$Y$3,IF(MONTH($C347)=5,$Y$4,IF(MONTH($C347)=6,$Y$5,IF(MONTH($C347)=7,$Y$6,"ERROR")))),0),MAX(VLOOKUP($C347,COS!$B$8:$K$991,9,FALSE)-IF(MONTH($C347)=4,$V$3,IF(MONTH($C347)=5,$V$4,IF(MONTH($C347)=6,$V$5,IF(MONTH($C347)=7,$V$6,"ERROR"))))-VLOOKUP($C347,COS!$B$8:$K$991,6,FALSE)/2,0))</f>
        <v>1474.0966796875</v>
      </c>
      <c r="S347" s="30">
        <f t="shared" ref="S347:S350" si="555">R347*DAY($C347)*86400/43560/1000</f>
        <v>87.71484375</v>
      </c>
      <c r="T347" s="30">
        <f t="shared" ref="T347:T350" si="556">(O347+Q347)/2+S347</f>
        <v>110.77146924231664</v>
      </c>
      <c r="U347" s="30" t="str">
        <f>IF(VLOOKUP($C347,COS!$B$8:$I$991,8,FALSE)=1,"UWFE","IBU")</f>
        <v>UWFE</v>
      </c>
      <c r="V347" s="30">
        <f t="shared" ref="V347" si="557">MIN(IF(IF($AA$3=2,AND(E347=1,G347=1,L347=1,L352=1,M347=1,U347="IBU"),AND(E347=1,G347=1,L347=1,L352=1,M347=1)),T347,0),I347)</f>
        <v>0</v>
      </c>
      <c r="W347" s="30"/>
      <c r="X347" s="30"/>
      <c r="Y347" s="30"/>
      <c r="Z347" s="30"/>
      <c r="AA347" s="30"/>
      <c r="AB347" s="31"/>
    </row>
    <row r="348" spans="1:28" x14ac:dyDescent="0.3">
      <c r="A348" s="32">
        <f>VLOOKUP(YEAR(C348),Flags!$A$13:$B$95,2,FALSE)</f>
        <v>3</v>
      </c>
      <c r="B348" s="24">
        <f t="shared" si="535"/>
        <v>1959</v>
      </c>
      <c r="C348" s="25">
        <v>21701</v>
      </c>
      <c r="D348" s="26">
        <f>VLOOKUP($C348,COS!$B$8:$H$991,3,FALSE)</f>
        <v>8032.080078125</v>
      </c>
      <c r="E348" s="24">
        <f>IF(D348&gt;=IF(MONTH($C348)=4,$C$3,IF(MONTH($C348)=5,$C$4,IF(MONTH($C348)=6,$C$5,IF(MONTH($C348)=7,$C$6,"ERROR")))),1,0)</f>
        <v>1</v>
      </c>
      <c r="F348" s="26">
        <f>VLOOKUP($C348,COS!$B$8:$H$991,7,FALSE)</f>
        <v>51.603923797607422</v>
      </c>
      <c r="G348" s="24">
        <f>IF(F348&lt;=IF(MONTH($C348)=4,$F$3,IF(MONTH($C348)=5,$F$4,IF(MONTH($C348)=6,$F$5,IF(MONTH($C348)=7,$F$6,"ERROR")))),1,0)</f>
        <v>1</v>
      </c>
      <c r="H348" s="26">
        <f>IF(J348=1,D348-$C$4,0)</f>
        <v>2032.080078125</v>
      </c>
      <c r="I348" s="26">
        <f t="shared" ref="I348:I411" si="558">H348*DAY($C348)*86400/43560/1000</f>
        <v>124.94773372933884</v>
      </c>
      <c r="J348" s="24">
        <f t="shared" si="550"/>
        <v>1</v>
      </c>
      <c r="K348" s="26">
        <f>VLOOKUP($C348,COS!$B$8:$H$991,2,FALSE)</f>
        <v>4231.4052734375</v>
      </c>
      <c r="L348" s="24">
        <f t="shared" si="537"/>
        <v>1</v>
      </c>
      <c r="M348" s="24">
        <f t="shared" si="538"/>
        <v>0</v>
      </c>
      <c r="N348" s="26">
        <f>VLOOKUP($C348,COS!$B$8:$H$991,5,FALSE)</f>
        <v>634.8975830078125</v>
      </c>
      <c r="O348" s="26">
        <f t="shared" si="553"/>
        <v>39.03833072378616</v>
      </c>
      <c r="P348" s="26">
        <f>VLOOKUP($C348,COS!$B$8:$H$991,6,FALSE)</f>
        <v>2338.357666015625</v>
      </c>
      <c r="Q348" s="26">
        <f t="shared" si="554"/>
        <v>143.78000855501034</v>
      </c>
      <c r="R348" s="26">
        <f>MIN(IF(MONTH($C348)=4,$S$3,IF(MONTH($C348)=5,$S$4,IF(MONTH($C348)=6,$S$5,IF(MONTH($C348)=7,$S$6,"ERROR")))),MAX(VLOOKUP($C348,COS!$B$8:$K$991,10,FALSE)-IF(MONTH($C348)=4,$Y$3,IF(MONTH($C348)=5,$Y$4,IF(MONTH($C348)=6,$Y$5,IF(MONTH($C348)=7,$Y$6,"ERROR")))),0),MAX(VLOOKUP($C348,COS!$B$8:$K$991,9,FALSE)-IF(MONTH($C348)=4,$V$3,IF(MONTH($C348)=5,$V$4,IF(MONTH($C348)=6,$V$5,IF(MONTH($C348)=7,$V$6,"ERROR"))))-VLOOKUP($C348,COS!$B$8:$K$991,6,FALSE)/2,0))</f>
        <v>1500</v>
      </c>
      <c r="S348" s="26">
        <f t="shared" si="555"/>
        <v>92.231404958677686</v>
      </c>
      <c r="T348" s="26">
        <f t="shared" si="556"/>
        <v>183.64057459807594</v>
      </c>
      <c r="U348" s="26" t="str">
        <f>IF(VLOOKUP($C348,COS!$B$8:$I$991,8,FALSE)=1,"UWFE","IBU")</f>
        <v>UWFE</v>
      </c>
      <c r="V348" s="26">
        <f t="shared" ref="V348" si="559">MIN(IF(IF($AA$3=2,AND(E348=1,G348=1,L348=1,L352=1,M348=1,U348="IBU"),AND(E348=1,G348=1,L348=1,L352=1,M348=1)),T348,0),I348)</f>
        <v>0</v>
      </c>
      <c r="W348" s="26"/>
      <c r="X348" s="26"/>
      <c r="Y348" s="26"/>
      <c r="Z348" s="26"/>
      <c r="AA348" s="26"/>
      <c r="AB348" s="33"/>
    </row>
    <row r="349" spans="1:28" x14ac:dyDescent="0.3">
      <c r="A349" s="32">
        <f>VLOOKUP(YEAR(C349),Flags!$A$13:$B$95,2,FALSE)</f>
        <v>3</v>
      </c>
      <c r="B349" s="24">
        <f t="shared" si="535"/>
        <v>1959</v>
      </c>
      <c r="C349" s="25">
        <v>21731</v>
      </c>
      <c r="D349" s="26">
        <f>VLOOKUP($C349,COS!$B$8:$H$991,3,FALSE)</f>
        <v>12238.9375</v>
      </c>
      <c r="E349" s="24">
        <f>IF(D349&gt;=IF(MONTH($C349)=4,$C$3,IF(MONTH($C349)=5,$C$4,IF(MONTH($C349)=6,$C$5,IF(MONTH($C349)=7,$C$6,"ERROR")))),1,0)</f>
        <v>1</v>
      </c>
      <c r="F349" s="26">
        <f>VLOOKUP($C349,COS!$B$8:$H$991,7,FALSE)</f>
        <v>51.942916870117188</v>
      </c>
      <c r="G349" s="24">
        <f>IF(F349&lt;=IF(MONTH($C349)=4,$F$3,IF(MONTH($C349)=5,$F$4,IF(MONTH($C349)=6,$F$5,IF(MONTH($C349)=7,$F$6,"ERROR")))),1,0)</f>
        <v>1</v>
      </c>
      <c r="H349" s="26">
        <f>IF(J349=1,D349-$C$5,0)</f>
        <v>2238.9375</v>
      </c>
      <c r="I349" s="26">
        <f t="shared" si="558"/>
        <v>133.22603305785125</v>
      </c>
      <c r="J349" s="24">
        <f t="shared" si="550"/>
        <v>1</v>
      </c>
      <c r="K349" s="26">
        <f>VLOOKUP($C349,COS!$B$8:$H$991,2,FALSE)</f>
        <v>3758.05615234375</v>
      </c>
      <c r="L349" s="24">
        <f t="shared" si="537"/>
        <v>1</v>
      </c>
      <c r="M349" s="24">
        <f t="shared" si="538"/>
        <v>0</v>
      </c>
      <c r="N349" s="26">
        <f>VLOOKUP($C349,COS!$B$8:$H$991,5,FALSE)</f>
        <v>756.1251220703125</v>
      </c>
      <c r="O349" s="26">
        <f t="shared" si="553"/>
        <v>44.992569247159089</v>
      </c>
      <c r="P349" s="26">
        <f>VLOOKUP($C349,COS!$B$8:$H$991,6,FALSE)</f>
        <v>2677.335693359375</v>
      </c>
      <c r="Q349" s="26">
        <f t="shared" si="554"/>
        <v>159.31253712551654</v>
      </c>
      <c r="R349" s="26">
        <f>MIN(IF(MONTH($C349)=4,$S$3,IF(MONTH($C349)=5,$S$4,IF(MONTH($C349)=6,$S$5,IF(MONTH($C349)=7,$S$6,"ERROR")))),MAX(VLOOKUP($C349,COS!$B$8:$K$991,10,FALSE)-IF(MONTH($C349)=4,$Y$3,IF(MONTH($C349)=5,$Y$4,IF(MONTH($C349)=6,$Y$5,IF(MONTH($C349)=7,$Y$6,"ERROR")))),0),MAX(VLOOKUP($C349,COS!$B$8:$K$991,9,FALSE)-IF(MONTH($C349)=4,$V$3,IF(MONTH($C349)=5,$V$4,IF(MONTH($C349)=6,$V$5,IF(MONTH($C349)=7,$V$6,"ERROR"))))-VLOOKUP($C349,COS!$B$8:$K$991,6,FALSE)/2,0))</f>
        <v>1500</v>
      </c>
      <c r="S349" s="26">
        <f t="shared" si="555"/>
        <v>89.256198347107429</v>
      </c>
      <c r="T349" s="26">
        <f t="shared" si="556"/>
        <v>191.40875153344524</v>
      </c>
      <c r="U349" s="26" t="str">
        <f>IF(VLOOKUP($C349,COS!$B$8:$I$991,8,FALSE)=1,"UWFE","IBU")</f>
        <v>IBU</v>
      </c>
      <c r="V349" s="26">
        <f t="shared" ref="V349" si="560">MIN(IF(IF($AA$3=2,AND(E349=1,G349=1,L349=1,L352=1,M349=1,U349="IBU"),AND(E349=1,G349=1,L349=1,L352=1,M349=1)),T349,0),I349)</f>
        <v>0</v>
      </c>
      <c r="W349" s="26"/>
      <c r="X349" s="26"/>
      <c r="Y349" s="26"/>
      <c r="Z349" s="26"/>
      <c r="AA349" s="26"/>
      <c r="AB349" s="33"/>
    </row>
    <row r="350" spans="1:28" x14ac:dyDescent="0.3">
      <c r="A350" s="32">
        <f>VLOOKUP(YEAR(C350),Flags!$A$13:$B$95,2,FALSE)</f>
        <v>3</v>
      </c>
      <c r="B350" s="24">
        <f t="shared" si="535"/>
        <v>1959</v>
      </c>
      <c r="C350" s="25">
        <v>21762</v>
      </c>
      <c r="D350" s="26">
        <f>VLOOKUP($C350,COS!$B$8:$H$991,3,FALSE)</f>
        <v>16000</v>
      </c>
      <c r="E350" s="24">
        <f>IF(D350&gt;=IF(MONTH($C350)=4,$C$3,IF(MONTH($C350)=5,$C$4,IF(MONTH($C350)=6,$C$5,IF(MONTH($C350)=7,$C$6,"ERROR")))),1,0)</f>
        <v>1</v>
      </c>
      <c r="F350" s="26">
        <f>VLOOKUP($C350,COS!$B$8:$H$991,7,FALSE)</f>
        <v>52.936290740966797</v>
      </c>
      <c r="G350" s="24">
        <f>IF(F350&lt;=IF(MONTH($C350)=4,$F$3,IF(MONTH($C350)=5,$F$4,IF(MONTH($C350)=6,$F$5,IF(MONTH($C350)=7,$F$6,"ERROR")))),1,0)</f>
        <v>1</v>
      </c>
      <c r="H350" s="26">
        <f>IF(J350=1,D350-$C$6,0)</f>
        <v>4000</v>
      </c>
      <c r="I350" s="26">
        <f t="shared" si="558"/>
        <v>245.95041322314049</v>
      </c>
      <c r="J350" s="24">
        <f t="shared" si="550"/>
        <v>1</v>
      </c>
      <c r="K350" s="26">
        <f>VLOOKUP($C350,COS!$B$8:$H$991,2,FALSE)</f>
        <v>3122.560546875</v>
      </c>
      <c r="L350" s="24">
        <f t="shared" si="537"/>
        <v>1</v>
      </c>
      <c r="M350" s="24">
        <f t="shared" si="538"/>
        <v>0</v>
      </c>
      <c r="N350" s="26">
        <f>VLOOKUP($C350,COS!$B$8:$H$991,5,FALSE)</f>
        <v>824.85052490234375</v>
      </c>
      <c r="O350" s="26">
        <f t="shared" si="553"/>
        <v>50.718081861763942</v>
      </c>
      <c r="P350" s="26">
        <f>VLOOKUP($C350,COS!$B$8:$H$991,6,FALSE)</f>
        <v>2537.385498046875</v>
      </c>
      <c r="Q350" s="26">
        <f t="shared" si="554"/>
        <v>156.01775293775825</v>
      </c>
      <c r="R350" s="26">
        <f>MIN(IF(MONTH($C350)=4,$S$3,IF(MONTH($C350)=5,$S$4,IF(MONTH($C350)=6,$S$5,IF(MONTH($C350)=7,$S$6,"ERROR")))),MAX(VLOOKUP($C350,COS!$B$8:$K$991,10,FALSE)-IF(MONTH($C350)=4,$Y$3,IF(MONTH($C350)=5,$Y$4,IF(MONTH($C350)=6,$Y$5,IF(MONTH($C350)=7,$Y$6,"ERROR")))),0),MAX(VLOOKUP($C350,COS!$B$8:$K$991,9,FALSE)-IF(MONTH($C350)=4,$V$3,IF(MONTH($C350)=5,$V$4,IF(MONTH($C350)=6,$V$5,IF(MONTH($C350)=7,$V$6,"ERROR"))))-VLOOKUP($C350,COS!$B$8:$K$991,6,FALSE)/2,0))</f>
        <v>1500</v>
      </c>
      <c r="S350" s="26">
        <f t="shared" si="555"/>
        <v>92.231404958677686</v>
      </c>
      <c r="T350" s="26">
        <f t="shared" si="556"/>
        <v>195.59932235843877</v>
      </c>
      <c r="U350" s="26" t="str">
        <f>IF(VLOOKUP($C350,COS!$B$8:$I$991,8,FALSE)=1,"UWFE","IBU")</f>
        <v>IBU</v>
      </c>
      <c r="V350" s="26">
        <f t="shared" ref="V350" si="561">MIN(IF(IF($AA$3=2,AND(E350=1,G350=1,L350=1,L352=1,M350=1,U350="IBU"),AND(E350=1,G350=1,L350=1,L352=1,M350=1)),T350,0),I350)</f>
        <v>0</v>
      </c>
      <c r="W350" s="26"/>
      <c r="X350" s="26"/>
      <c r="Y350" s="26"/>
      <c r="Z350" s="26"/>
      <c r="AA350" s="26"/>
      <c r="AB350" s="33"/>
    </row>
    <row r="351" spans="1:28" x14ac:dyDescent="0.3">
      <c r="A351" s="32">
        <f>VLOOKUP(YEAR(C351),Flags!$A$13:$B$95,2,FALSE)</f>
        <v>3</v>
      </c>
      <c r="B351" s="24">
        <f t="shared" si="535"/>
        <v>1959</v>
      </c>
      <c r="C351" s="25">
        <v>21793</v>
      </c>
      <c r="D351" s="26"/>
      <c r="E351" s="24"/>
      <c r="F351" s="26"/>
      <c r="G351" s="24"/>
      <c r="H351" s="24"/>
      <c r="I351" s="26"/>
      <c r="J351" s="24"/>
      <c r="K351" s="26"/>
      <c r="L351" s="24"/>
      <c r="M351" s="24"/>
      <c r="N351" s="26"/>
      <c r="O351" s="26"/>
      <c r="P351" s="26"/>
      <c r="Q351" s="26"/>
      <c r="R351" s="26"/>
      <c r="S351" s="26"/>
      <c r="T351" s="26"/>
      <c r="U351" s="26"/>
      <c r="V351" s="26"/>
      <c r="W351" s="26">
        <f>MAX($C$7-VLOOKUP($C351,COS!$B$8:$H$991,3,FALSE),0)</f>
        <v>0</v>
      </c>
      <c r="X351" s="26">
        <f t="shared" ref="X351:X414" si="562">W351*DAY($C351)*86400/43560/1000</f>
        <v>0</v>
      </c>
      <c r="Y351" s="26">
        <f>VLOOKUP($C351,COS!$B$8:$H$991,4,FALSE)</f>
        <v>580.99884033203125</v>
      </c>
      <c r="Z351" s="26">
        <f t="shared" ref="Z351:Z414" si="563">Y351*DAY($C351)*86400/43560/1000</f>
        <v>35.724226215457129</v>
      </c>
      <c r="AA351" s="26">
        <f t="shared" ref="AA351:AA355" si="564">MIN(W351,Y351)</f>
        <v>0</v>
      </c>
      <c r="AB351" s="33">
        <f t="shared" ref="AB351" si="565">AA351*DAY($C351)*86400/43560/1000*IF(MONTH($C351)=8,$P$3,IF(MONTH($C351)=9,$P$4,IF(MONTH($C351)=10,$P$5,IF(MONTH($C351)=11,$P$6,IF(MONTH($C351)=12,$P$7,NA())))))</f>
        <v>0</v>
      </c>
    </row>
    <row r="352" spans="1:28" x14ac:dyDescent="0.3">
      <c r="A352" s="32">
        <f>VLOOKUP(YEAR(C352),Flags!$A$13:$B$95,2,FALSE)</f>
        <v>3</v>
      </c>
      <c r="B352" s="24">
        <f t="shared" si="535"/>
        <v>1959</v>
      </c>
      <c r="C352" s="25">
        <v>21823</v>
      </c>
      <c r="D352" s="26"/>
      <c r="E352" s="24"/>
      <c r="F352" s="26"/>
      <c r="G352" s="24"/>
      <c r="H352" s="24"/>
      <c r="I352" s="26"/>
      <c r="J352" s="24"/>
      <c r="K352" s="26">
        <f>VLOOKUP($C352,COS!$B$8:$H$991,2,FALSE)</f>
        <v>2777.299560546875</v>
      </c>
      <c r="L352" s="24">
        <f t="shared" ref="L352" si="566">IF(AND(K352&gt;$I$7,K352&lt;$I$8),1,0)</f>
        <v>1</v>
      </c>
      <c r="M352" s="24"/>
      <c r="N352" s="26"/>
      <c r="O352" s="26"/>
      <c r="P352" s="26"/>
      <c r="Q352" s="26"/>
      <c r="R352" s="26"/>
      <c r="S352" s="26"/>
      <c r="T352" s="26"/>
      <c r="U352" s="26"/>
      <c r="V352" s="26"/>
      <c r="W352" s="26">
        <f>MAX($C$8-VLOOKUP($C352,COS!$B$8:$H$991,3,FALSE),0)</f>
        <v>752.353515625</v>
      </c>
      <c r="X352" s="26">
        <f t="shared" si="562"/>
        <v>44.768143078512395</v>
      </c>
      <c r="Y352" s="26">
        <f>VLOOKUP($C352,COS!$B$8:$H$991,4,FALSE)</f>
        <v>162.466064453125</v>
      </c>
      <c r="Z352" s="26">
        <f t="shared" si="563"/>
        <v>9.66740218233471</v>
      </c>
      <c r="AA352" s="26">
        <f t="shared" si="564"/>
        <v>162.466064453125</v>
      </c>
      <c r="AB352" s="33">
        <f t="shared" si="548"/>
        <v>9.66740218233471</v>
      </c>
    </row>
    <row r="353" spans="1:28" x14ac:dyDescent="0.3">
      <c r="A353" s="32">
        <f>VLOOKUP(YEAR(C353),Flags!$A$13:$B$95,2,FALSE)</f>
        <v>3</v>
      </c>
      <c r="B353" s="24">
        <f t="shared" si="535"/>
        <v>1959</v>
      </c>
      <c r="C353" s="25">
        <v>21854</v>
      </c>
      <c r="D353" s="26"/>
      <c r="E353" s="24"/>
      <c r="F353" s="26"/>
      <c r="G353" s="26"/>
      <c r="H353" s="26"/>
      <c r="I353" s="26"/>
      <c r="J353" s="26"/>
      <c r="K353" s="26"/>
      <c r="L353" s="24"/>
      <c r="M353" s="24"/>
      <c r="N353" s="26"/>
      <c r="O353" s="26"/>
      <c r="P353" s="26"/>
      <c r="Q353" s="26"/>
      <c r="R353" s="26"/>
      <c r="S353" s="26"/>
      <c r="T353" s="26"/>
      <c r="U353" s="26"/>
      <c r="V353" s="26"/>
      <c r="W353" s="26">
        <f>MAX($C$9-VLOOKUP($C353,COS!$B$8:$H$991,3,FALSE),0)</f>
        <v>0</v>
      </c>
      <c r="X353" s="26">
        <f t="shared" si="562"/>
        <v>0</v>
      </c>
      <c r="Y353" s="26">
        <f>VLOOKUP($C353,COS!$B$8:$H$991,4,FALSE)</f>
        <v>1540.0111083984375</v>
      </c>
      <c r="Z353" s="26">
        <f t="shared" si="563"/>
        <v>94.691592119705575</v>
      </c>
      <c r="AA353" s="26">
        <f t="shared" si="564"/>
        <v>0</v>
      </c>
      <c r="AB353" s="33">
        <f t="shared" si="548"/>
        <v>0</v>
      </c>
    </row>
    <row r="354" spans="1:28" x14ac:dyDescent="0.3">
      <c r="A354" s="32">
        <f>VLOOKUP(YEAR(C354),Flags!$A$13:$B$95,2,FALSE)</f>
        <v>3</v>
      </c>
      <c r="B354" s="24">
        <f t="shared" si="535"/>
        <v>1959</v>
      </c>
      <c r="C354" s="25">
        <v>21884</v>
      </c>
      <c r="D354" s="26"/>
      <c r="E354" s="24"/>
      <c r="F354" s="26"/>
      <c r="G354" s="26"/>
      <c r="H354" s="26"/>
      <c r="I354" s="26"/>
      <c r="J354" s="26"/>
      <c r="K354" s="26"/>
      <c r="L354" s="24"/>
      <c r="M354" s="24"/>
      <c r="N354" s="26"/>
      <c r="O354" s="26"/>
      <c r="P354" s="26"/>
      <c r="Q354" s="26"/>
      <c r="R354" s="26"/>
      <c r="S354" s="26"/>
      <c r="T354" s="26"/>
      <c r="U354" s="26"/>
      <c r="V354" s="26"/>
      <c r="W354" s="26">
        <f>MAX($C$10-VLOOKUP($C354,COS!$B$8:$H$991,3,FALSE),0)</f>
        <v>0</v>
      </c>
      <c r="X354" s="26">
        <f t="shared" si="562"/>
        <v>0</v>
      </c>
      <c r="Y354" s="26">
        <f>VLOOKUP($C354,COS!$B$8:$H$991,4,FALSE)</f>
        <v>1347.0540771484375</v>
      </c>
      <c r="Z354" s="26">
        <f t="shared" si="563"/>
        <v>80.155283929493805</v>
      </c>
      <c r="AA354" s="26">
        <f t="shared" si="564"/>
        <v>0</v>
      </c>
      <c r="AB354" s="33">
        <f t="shared" si="548"/>
        <v>0</v>
      </c>
    </row>
    <row r="355" spans="1:28" x14ac:dyDescent="0.3">
      <c r="A355" s="34">
        <f>VLOOKUP(YEAR(C355),Flags!$A$13:$B$95,2,FALSE)</f>
        <v>3</v>
      </c>
      <c r="B355" s="35">
        <f t="shared" si="535"/>
        <v>1959</v>
      </c>
      <c r="C355" s="36">
        <v>21915</v>
      </c>
      <c r="D355" s="37"/>
      <c r="E355" s="35"/>
      <c r="F355" s="37"/>
      <c r="G355" s="37"/>
      <c r="H355" s="37"/>
      <c r="I355" s="37"/>
      <c r="J355" s="37"/>
      <c r="K355" s="37"/>
      <c r="L355" s="35"/>
      <c r="M355" s="35"/>
      <c r="N355" s="37"/>
      <c r="O355" s="37"/>
      <c r="P355" s="37"/>
      <c r="Q355" s="37"/>
      <c r="R355" s="37"/>
      <c r="S355" s="37"/>
      <c r="T355" s="37"/>
      <c r="U355" s="37"/>
      <c r="V355" s="37"/>
      <c r="W355" s="37">
        <f>MAX($C$11-VLOOKUP($C355,COS!$B$8:$H$991,3,FALSE),0)</f>
        <v>595.83935546875</v>
      </c>
      <c r="X355" s="37">
        <f t="shared" si="562"/>
        <v>36.636733923037184</v>
      </c>
      <c r="Y355" s="37">
        <f>VLOOKUP($C355,COS!$B$8:$H$991,4,FALSE)</f>
        <v>2025.1993408203125</v>
      </c>
      <c r="Z355" s="37">
        <f t="shared" si="563"/>
        <v>124.52465368349691</v>
      </c>
      <c r="AA355" s="37">
        <f t="shared" si="564"/>
        <v>595.83935546875</v>
      </c>
      <c r="AB355" s="38">
        <f t="shared" si="548"/>
        <v>36.636733923037184</v>
      </c>
    </row>
    <row r="356" spans="1:28" x14ac:dyDescent="0.3">
      <c r="A356" s="27">
        <f>VLOOKUP(YEAR(C356),Flags!$A$13:$B$95,2,FALSE)</f>
        <v>4</v>
      </c>
      <c r="B356" s="28">
        <f t="shared" si="535"/>
        <v>1960</v>
      </c>
      <c r="C356" s="29">
        <v>22036</v>
      </c>
      <c r="D356" s="30">
        <f>VLOOKUP($C356,COS!$B$8:$H$991,3,FALSE)</f>
        <v>7127.0625</v>
      </c>
      <c r="E356" s="28">
        <f>IF(D356&gt;=IF(MONTH($C356)=4,$C$3,IF(MONTH($C356)=5,$C$4,IF(MONTH($C356)=6,$C$5,IF(MONTH($C356)=7,$C$6,"ERROR")))),1,0)</f>
        <v>1</v>
      </c>
      <c r="F356" s="30">
        <f>VLOOKUP($C356,COS!$B$8:$H$991,7,FALSE)</f>
        <v>49.91119384765625</v>
      </c>
      <c r="G356" s="28">
        <f>IF(F356&lt;=IF(MONTH($C356)=4,$F$3,IF(MONTH($C356)=5,$F$4,IF(MONTH($C356)=6,$F$5,IF(MONTH($C356)=7,$F$6,"ERROR")))),1,0)</f>
        <v>1</v>
      </c>
      <c r="H356" s="30">
        <f>IF(J356=1,D356-$C$3,0)</f>
        <v>1127.0625</v>
      </c>
      <c r="I356" s="30">
        <f t="shared" si="558"/>
        <v>67.064876033057857</v>
      </c>
      <c r="J356" s="28">
        <f t="shared" ref="J356:J359" si="567">IF(AND(E356=1,G356=1),1,0)</f>
        <v>1</v>
      </c>
      <c r="K356" s="30">
        <f>VLOOKUP($C356,COS!$B$8:$H$991,2,FALSE)</f>
        <v>4172.98876953125</v>
      </c>
      <c r="L356" s="28">
        <f t="shared" ref="L356" si="568">IF(K356&lt;=IF(MONTH($C356)=4,$I$3,IF(MONTH($C356)=5,$I$4,IF(MONTH($C356)=6,$I$5,IF(MONTH($C356)=7,$I$6,"ERROR")))),1,0)</f>
        <v>1</v>
      </c>
      <c r="M356" s="28">
        <f t="shared" ref="M356" si="569">VLOOKUP($A356,$L$3:$M$7,2,FALSE)</f>
        <v>1</v>
      </c>
      <c r="N356" s="30">
        <f>VLOOKUP($C356,COS!$B$8:$H$991,5,FALSE)</f>
        <v>16.487361907958984</v>
      </c>
      <c r="O356" s="30">
        <f t="shared" ref="O356:O359" si="570">N356*DAY($C356)*86400/43560/1000</f>
        <v>0.98106616311822048</v>
      </c>
      <c r="P356" s="30">
        <f>VLOOKUP($C356,COS!$B$8:$H$991,6,FALSE)</f>
        <v>466.45590209960938</v>
      </c>
      <c r="Q356" s="30">
        <f t="shared" ref="Q356:Q359" si="571">P356*DAY($C356)*86400/43560/1000</f>
        <v>27.756053678654443</v>
      </c>
      <c r="R356" s="30">
        <f>MIN(IF(MONTH($C356)=4,$S$3,IF(MONTH($C356)=5,$S$4,IF(MONTH($C356)=6,$S$5,IF(MONTH($C356)=7,$S$6,"ERROR")))),MAX(VLOOKUP($C356,COS!$B$8:$K$991,10,FALSE)-IF(MONTH($C356)=4,$Y$3,IF(MONTH($C356)=5,$Y$4,IF(MONTH($C356)=6,$Y$5,IF(MONTH($C356)=7,$Y$6,"ERROR")))),0),MAX(VLOOKUP($C356,COS!$B$8:$K$991,9,FALSE)-IF(MONTH($C356)=4,$V$3,IF(MONTH($C356)=5,$V$4,IF(MONTH($C356)=6,$V$5,IF(MONTH($C356)=7,$V$6,"ERROR"))))-VLOOKUP($C356,COS!$B$8:$K$991,6,FALSE)/2,0))</f>
        <v>1500</v>
      </c>
      <c r="S356" s="30">
        <f t="shared" ref="S356:S359" si="572">R356*DAY($C356)*86400/43560/1000</f>
        <v>89.256198347107429</v>
      </c>
      <c r="T356" s="30">
        <f t="shared" ref="T356:T359" si="573">(O356+Q356)/2+S356</f>
        <v>103.62475826799376</v>
      </c>
      <c r="U356" s="30" t="str">
        <f>IF(VLOOKUP($C356,COS!$B$8:$I$991,8,FALSE)=1,"UWFE","IBU")</f>
        <v>UWFE</v>
      </c>
      <c r="V356" s="30">
        <f t="shared" ref="V356" si="574">MIN(IF(IF($AA$3=2,AND(E356=1,G356=1,L356=1,L361=1,M356=1,U356="IBU"),AND(E356=1,G356=1,L356=1,L361=1,M356=1)),T356,0),I356)</f>
        <v>0</v>
      </c>
      <c r="W356" s="30"/>
      <c r="X356" s="30"/>
      <c r="Y356" s="30"/>
      <c r="Z356" s="30"/>
      <c r="AA356" s="30"/>
      <c r="AB356" s="31"/>
    </row>
    <row r="357" spans="1:28" x14ac:dyDescent="0.3">
      <c r="A357" s="32">
        <f>VLOOKUP(YEAR(C357),Flags!$A$13:$B$95,2,FALSE)</f>
        <v>4</v>
      </c>
      <c r="B357" s="24">
        <f t="shared" si="535"/>
        <v>1960</v>
      </c>
      <c r="C357" s="25">
        <v>22067</v>
      </c>
      <c r="D357" s="26">
        <f>VLOOKUP($C357,COS!$B$8:$H$991,3,FALSE)</f>
        <v>4957.14453125</v>
      </c>
      <c r="E357" s="24">
        <f>IF(D357&gt;=IF(MONTH($C357)=4,$C$3,IF(MONTH($C357)=5,$C$4,IF(MONTH($C357)=6,$C$5,IF(MONTH($C357)=7,$C$6,"ERROR")))),1,0)</f>
        <v>0</v>
      </c>
      <c r="F357" s="26">
        <f>VLOOKUP($C357,COS!$B$8:$H$991,7,FALSE)</f>
        <v>52.527271270751953</v>
      </c>
      <c r="G357" s="24">
        <f>IF(F357&lt;=IF(MONTH($C357)=4,$F$3,IF(MONTH($C357)=5,$F$4,IF(MONTH($C357)=6,$F$5,IF(MONTH($C357)=7,$F$6,"ERROR")))),1,0)</f>
        <v>1</v>
      </c>
      <c r="H357" s="26">
        <f>IF(J357=1,D357-$C$4,0)</f>
        <v>0</v>
      </c>
      <c r="I357" s="26">
        <f t="shared" si="558"/>
        <v>0</v>
      </c>
      <c r="J357" s="24">
        <f t="shared" si="567"/>
        <v>0</v>
      </c>
      <c r="K357" s="26">
        <f>VLOOKUP($C357,COS!$B$8:$H$991,2,FALSE)</f>
        <v>4264.8515625</v>
      </c>
      <c r="L357" s="24">
        <f t="shared" si="537"/>
        <v>1</v>
      </c>
      <c r="M357" s="24">
        <f t="shared" si="538"/>
        <v>1</v>
      </c>
      <c r="N357" s="26">
        <f>VLOOKUP($C357,COS!$B$8:$H$991,5,FALSE)</f>
        <v>320.07254028320313</v>
      </c>
      <c r="O357" s="26">
        <f t="shared" si="570"/>
        <v>19.680493386008521</v>
      </c>
      <c r="P357" s="26">
        <f>VLOOKUP($C357,COS!$B$8:$H$991,6,FALSE)</f>
        <v>2099.86279296875</v>
      </c>
      <c r="Q357" s="26">
        <f t="shared" si="571"/>
        <v>129.1155304106405</v>
      </c>
      <c r="R357" s="26">
        <f>MIN(IF(MONTH($C357)=4,$S$3,IF(MONTH($C357)=5,$S$4,IF(MONTH($C357)=6,$S$5,IF(MONTH($C357)=7,$S$6,"ERROR")))),MAX(VLOOKUP($C357,COS!$B$8:$K$991,10,FALSE)-IF(MONTH($C357)=4,$Y$3,IF(MONTH($C357)=5,$Y$4,IF(MONTH($C357)=6,$Y$5,IF(MONTH($C357)=7,$Y$6,"ERROR")))),0),MAX(VLOOKUP($C357,COS!$B$8:$K$991,9,FALSE)-IF(MONTH($C357)=4,$V$3,IF(MONTH($C357)=5,$V$4,IF(MONTH($C357)=6,$V$5,IF(MONTH($C357)=7,$V$6,"ERROR"))))-VLOOKUP($C357,COS!$B$8:$K$991,6,FALSE)/2,0))</f>
        <v>998.0751953125</v>
      </c>
      <c r="S357" s="26">
        <f t="shared" si="572"/>
        <v>61.36925167871901</v>
      </c>
      <c r="T357" s="26">
        <f t="shared" si="573"/>
        <v>135.76726357704354</v>
      </c>
      <c r="U357" s="26" t="str">
        <f>IF(VLOOKUP($C357,COS!$B$8:$I$991,8,FALSE)=1,"UWFE","IBU")</f>
        <v>UWFE</v>
      </c>
      <c r="V357" s="26">
        <f t="shared" ref="V357" si="575">MIN(IF(IF($AA$3=2,AND(E357=1,G357=1,L357=1,L361=1,M357=1,U357="IBU"),AND(E357=1,G357=1,L357=1,L361=1,M357=1)),T357,0),I357)</f>
        <v>0</v>
      </c>
      <c r="W357" s="26"/>
      <c r="X357" s="26"/>
      <c r="Y357" s="26"/>
      <c r="Z357" s="26"/>
      <c r="AA357" s="26"/>
      <c r="AB357" s="33"/>
    </row>
    <row r="358" spans="1:28" x14ac:dyDescent="0.3">
      <c r="A358" s="32">
        <f>VLOOKUP(YEAR(C358),Flags!$A$13:$B$95,2,FALSE)</f>
        <v>4</v>
      </c>
      <c r="B358" s="24">
        <f t="shared" si="535"/>
        <v>1960</v>
      </c>
      <c r="C358" s="25">
        <v>22097</v>
      </c>
      <c r="D358" s="26">
        <f>VLOOKUP($C358,COS!$B$8:$H$991,3,FALSE)</f>
        <v>13233.97265625</v>
      </c>
      <c r="E358" s="24">
        <f>IF(D358&gt;=IF(MONTH($C358)=4,$C$3,IF(MONTH($C358)=5,$C$4,IF(MONTH($C358)=6,$C$5,IF(MONTH($C358)=7,$C$6,"ERROR")))),1,0)</f>
        <v>1</v>
      </c>
      <c r="F358" s="26">
        <f>VLOOKUP($C358,COS!$B$8:$H$991,7,FALSE)</f>
        <v>51.440536499023438</v>
      </c>
      <c r="G358" s="24">
        <f>IF(F358&lt;=IF(MONTH($C358)=4,$F$3,IF(MONTH($C358)=5,$F$4,IF(MONTH($C358)=6,$F$5,IF(MONTH($C358)=7,$F$6,"ERROR")))),1,0)</f>
        <v>1</v>
      </c>
      <c r="H358" s="26">
        <f>IF(J358=1,D358-$C$5,0)</f>
        <v>3233.97265625</v>
      </c>
      <c r="I358" s="26">
        <f t="shared" si="558"/>
        <v>192.43473657024794</v>
      </c>
      <c r="J358" s="24">
        <f t="shared" si="567"/>
        <v>1</v>
      </c>
      <c r="K358" s="26">
        <f>VLOOKUP($C358,COS!$B$8:$H$991,2,FALSE)</f>
        <v>3735.558837890625</v>
      </c>
      <c r="L358" s="24">
        <f t="shared" si="537"/>
        <v>1</v>
      </c>
      <c r="M358" s="24">
        <f t="shared" si="538"/>
        <v>1</v>
      </c>
      <c r="N358" s="26">
        <f>VLOOKUP($C358,COS!$B$8:$H$991,5,FALSE)</f>
        <v>457.70184326171875</v>
      </c>
      <c r="O358" s="26">
        <f t="shared" si="570"/>
        <v>27.2351510040031</v>
      </c>
      <c r="P358" s="26">
        <f>VLOOKUP($C358,COS!$B$8:$H$991,6,FALSE)</f>
        <v>2712.6806640625</v>
      </c>
      <c r="Q358" s="26">
        <f t="shared" si="571"/>
        <v>161.41570893595042</v>
      </c>
      <c r="R358" s="26">
        <f>MIN(IF(MONTH($C358)=4,$S$3,IF(MONTH($C358)=5,$S$4,IF(MONTH($C358)=6,$S$5,IF(MONTH($C358)=7,$S$6,"ERROR")))),MAX(VLOOKUP($C358,COS!$B$8:$K$991,10,FALSE)-IF(MONTH($C358)=4,$Y$3,IF(MONTH($C358)=5,$Y$4,IF(MONTH($C358)=6,$Y$5,IF(MONTH($C358)=7,$Y$6,"ERROR")))),0),MAX(VLOOKUP($C358,COS!$B$8:$K$991,9,FALSE)-IF(MONTH($C358)=4,$V$3,IF(MONTH($C358)=5,$V$4,IF(MONTH($C358)=6,$V$5,IF(MONTH($C358)=7,$V$6,"ERROR"))))-VLOOKUP($C358,COS!$B$8:$K$991,6,FALSE)/2,0))</f>
        <v>1500</v>
      </c>
      <c r="S358" s="26">
        <f t="shared" si="572"/>
        <v>89.256198347107429</v>
      </c>
      <c r="T358" s="26">
        <f t="shared" si="573"/>
        <v>183.58162831708421</v>
      </c>
      <c r="U358" s="26" t="str">
        <f>IF(VLOOKUP($C358,COS!$B$8:$I$991,8,FALSE)=1,"UWFE","IBU")</f>
        <v>IBU</v>
      </c>
      <c r="V358" s="26">
        <f t="shared" ref="V358" si="576">MIN(IF(IF($AA$3=2,AND(E358=1,G358=1,L358=1,L361=1,M358=1,U358="IBU"),AND(E358=1,G358=1,L358=1,L361=1,M358=1)),T358,0),I358)</f>
        <v>183.58162831708421</v>
      </c>
      <c r="W358" s="26"/>
      <c r="X358" s="26"/>
      <c r="Y358" s="26"/>
      <c r="Z358" s="26"/>
      <c r="AA358" s="26"/>
      <c r="AB358" s="33"/>
    </row>
    <row r="359" spans="1:28" x14ac:dyDescent="0.3">
      <c r="A359" s="32">
        <f>VLOOKUP(YEAR(C359),Flags!$A$13:$B$95,2,FALSE)</f>
        <v>4</v>
      </c>
      <c r="B359" s="24">
        <f t="shared" si="535"/>
        <v>1960</v>
      </c>
      <c r="C359" s="25">
        <v>22128</v>
      </c>
      <c r="D359" s="26">
        <f>VLOOKUP($C359,COS!$B$8:$H$991,3,FALSE)</f>
        <v>13995.5498046875</v>
      </c>
      <c r="E359" s="24">
        <f>IF(D359&gt;=IF(MONTH($C359)=4,$C$3,IF(MONTH($C359)=5,$C$4,IF(MONTH($C359)=6,$C$5,IF(MONTH($C359)=7,$C$6,"ERROR")))),1,0)</f>
        <v>1</v>
      </c>
      <c r="F359" s="26">
        <f>VLOOKUP($C359,COS!$B$8:$H$991,7,FALSE)</f>
        <v>52.7860107421875</v>
      </c>
      <c r="G359" s="24">
        <f>IF(F359&lt;=IF(MONTH($C359)=4,$F$3,IF(MONTH($C359)=5,$F$4,IF(MONTH($C359)=6,$F$5,IF(MONTH($C359)=7,$F$6,"ERROR")))),1,0)</f>
        <v>1</v>
      </c>
      <c r="H359" s="26">
        <f>IF(J359=1,D359-$C$6,0)</f>
        <v>1995.5498046875</v>
      </c>
      <c r="I359" s="26">
        <f t="shared" si="558"/>
        <v>122.70157476756198</v>
      </c>
      <c r="J359" s="24">
        <f t="shared" si="567"/>
        <v>1</v>
      </c>
      <c r="K359" s="26">
        <f>VLOOKUP($C359,COS!$B$8:$H$991,2,FALSE)</f>
        <v>3174.995361328125</v>
      </c>
      <c r="L359" s="24">
        <f t="shared" si="537"/>
        <v>1</v>
      </c>
      <c r="M359" s="24">
        <f t="shared" si="538"/>
        <v>1</v>
      </c>
      <c r="N359" s="26">
        <f>VLOOKUP($C359,COS!$B$8:$H$991,5,FALSE)</f>
        <v>499.1810302734375</v>
      </c>
      <c r="O359" s="26">
        <f t="shared" si="570"/>
        <v>30.69344516722624</v>
      </c>
      <c r="P359" s="26">
        <f>VLOOKUP($C359,COS!$B$8:$H$991,6,FALSE)</f>
        <v>2441.261474609375</v>
      </c>
      <c r="Q359" s="26">
        <f t="shared" si="571"/>
        <v>150.10731711647728</v>
      </c>
      <c r="R359" s="26">
        <f>MIN(IF(MONTH($C359)=4,$S$3,IF(MONTH($C359)=5,$S$4,IF(MONTH($C359)=6,$S$5,IF(MONTH($C359)=7,$S$6,"ERROR")))),MAX(VLOOKUP($C359,COS!$B$8:$K$991,10,FALSE)-IF(MONTH($C359)=4,$Y$3,IF(MONTH($C359)=5,$Y$4,IF(MONTH($C359)=6,$Y$5,IF(MONTH($C359)=7,$Y$6,"ERROR")))),0),MAX(VLOOKUP($C359,COS!$B$8:$K$991,9,FALSE)-IF(MONTH($C359)=4,$V$3,IF(MONTH($C359)=5,$V$4,IF(MONTH($C359)=6,$V$5,IF(MONTH($C359)=7,$V$6,"ERROR"))))-VLOOKUP($C359,COS!$B$8:$K$991,6,FALSE)/2,0))</f>
        <v>1500</v>
      </c>
      <c r="S359" s="26">
        <f t="shared" si="572"/>
        <v>92.231404958677686</v>
      </c>
      <c r="T359" s="26">
        <f t="shared" si="573"/>
        <v>182.63178610052944</v>
      </c>
      <c r="U359" s="26" t="str">
        <f>IF(VLOOKUP($C359,COS!$B$8:$I$991,8,FALSE)=1,"UWFE","IBU")</f>
        <v>IBU</v>
      </c>
      <c r="V359" s="26">
        <f t="shared" ref="V359" si="577">MIN(IF(IF($AA$3=2,AND(E359=1,G359=1,L359=1,L361=1,M359=1,U359="IBU"),AND(E359=1,G359=1,L359=1,L361=1,M359=1)),T359,0),I359)</f>
        <v>122.70157476756198</v>
      </c>
      <c r="W359" s="26"/>
      <c r="X359" s="26"/>
      <c r="Y359" s="26"/>
      <c r="Z359" s="26"/>
      <c r="AA359" s="26"/>
      <c r="AB359" s="33"/>
    </row>
    <row r="360" spans="1:28" x14ac:dyDescent="0.3">
      <c r="A360" s="32">
        <f>VLOOKUP(YEAR(C360),Flags!$A$13:$B$95,2,FALSE)</f>
        <v>4</v>
      </c>
      <c r="B360" s="24">
        <f t="shared" si="535"/>
        <v>1960</v>
      </c>
      <c r="C360" s="25">
        <v>22159</v>
      </c>
      <c r="D360" s="26"/>
      <c r="E360" s="24"/>
      <c r="F360" s="26"/>
      <c r="G360" s="24"/>
      <c r="H360" s="24"/>
      <c r="I360" s="26"/>
      <c r="J360" s="24"/>
      <c r="K360" s="26"/>
      <c r="L360" s="24"/>
      <c r="M360" s="24"/>
      <c r="N360" s="26"/>
      <c r="O360" s="26"/>
      <c r="P360" s="26"/>
      <c r="Q360" s="26"/>
      <c r="R360" s="26"/>
      <c r="S360" s="26"/>
      <c r="T360" s="26"/>
      <c r="U360" s="26"/>
      <c r="V360" s="26"/>
      <c r="W360" s="26">
        <f>MAX($C$7-VLOOKUP($C360,COS!$B$8:$H$991,3,FALSE),0)</f>
        <v>2377.2197265625</v>
      </c>
      <c r="X360" s="26">
        <f t="shared" si="562"/>
        <v>146.16954351756198</v>
      </c>
      <c r="Y360" s="26">
        <f>VLOOKUP($C360,COS!$B$8:$H$991,4,FALSE)</f>
        <v>1283.5350341796875</v>
      </c>
      <c r="Z360" s="26">
        <f t="shared" si="563"/>
        <v>78.921493010717967</v>
      </c>
      <c r="AA360" s="26">
        <f t="shared" ref="AA360:AA364" si="578">MIN(W360,Y360)</f>
        <v>1283.5350341796875</v>
      </c>
      <c r="AB360" s="33">
        <f t="shared" ref="AB360" si="579">AA360*DAY($C360)*86400/43560/1000*IF(MONTH($C360)=8,$P$3,IF(MONTH($C360)=9,$P$4,IF(MONTH($C360)=10,$P$5,IF(MONTH($C360)=11,$P$6,IF(MONTH($C360)=12,$P$7,NA())))))</f>
        <v>78.921493010717967</v>
      </c>
    </row>
    <row r="361" spans="1:28" x14ac:dyDescent="0.3">
      <c r="A361" s="32">
        <f>VLOOKUP(YEAR(C361),Flags!$A$13:$B$95,2,FALSE)</f>
        <v>4</v>
      </c>
      <c r="B361" s="24">
        <f t="shared" si="535"/>
        <v>1960</v>
      </c>
      <c r="C361" s="25">
        <v>22189</v>
      </c>
      <c r="D361" s="26"/>
      <c r="E361" s="24"/>
      <c r="F361" s="26"/>
      <c r="G361" s="24"/>
      <c r="H361" s="24"/>
      <c r="I361" s="26"/>
      <c r="J361" s="24"/>
      <c r="K361" s="26">
        <f>VLOOKUP($C361,COS!$B$8:$H$991,2,FALSE)</f>
        <v>2747.35986328125</v>
      </c>
      <c r="L361" s="24">
        <f t="shared" ref="L361" si="580">IF(AND(K361&gt;$I$7,K361&lt;$I$8),1,0)</f>
        <v>1</v>
      </c>
      <c r="M361" s="24"/>
      <c r="N361" s="26"/>
      <c r="O361" s="26"/>
      <c r="P361" s="26"/>
      <c r="Q361" s="26"/>
      <c r="R361" s="26"/>
      <c r="S361" s="26"/>
      <c r="T361" s="26"/>
      <c r="U361" s="26"/>
      <c r="V361" s="26"/>
      <c r="W361" s="26">
        <f>MAX($C$8-VLOOKUP($C361,COS!$B$8:$H$991,3,FALSE),0)</f>
        <v>0</v>
      </c>
      <c r="X361" s="26">
        <f t="shared" si="562"/>
        <v>0</v>
      </c>
      <c r="Y361" s="26">
        <f>VLOOKUP($C361,COS!$B$8:$H$991,4,FALSE)</f>
        <v>1185.9482421875</v>
      </c>
      <c r="Z361" s="26">
        <f t="shared" si="563"/>
        <v>70.568821022727278</v>
      </c>
      <c r="AA361" s="26">
        <f t="shared" si="578"/>
        <v>0</v>
      </c>
      <c r="AB361" s="33">
        <f t="shared" si="548"/>
        <v>0</v>
      </c>
    </row>
    <row r="362" spans="1:28" x14ac:dyDescent="0.3">
      <c r="A362" s="32">
        <f>VLOOKUP(YEAR(C362),Flags!$A$13:$B$95,2,FALSE)</f>
        <v>4</v>
      </c>
      <c r="B362" s="24">
        <f t="shared" si="535"/>
        <v>1960</v>
      </c>
      <c r="C362" s="25">
        <v>22220</v>
      </c>
      <c r="D362" s="26"/>
      <c r="E362" s="24"/>
      <c r="F362" s="26"/>
      <c r="G362" s="26"/>
      <c r="H362" s="26"/>
      <c r="I362" s="26"/>
      <c r="J362" s="26"/>
      <c r="K362" s="26"/>
      <c r="L362" s="24"/>
      <c r="M362" s="24"/>
      <c r="N362" s="26"/>
      <c r="O362" s="26"/>
      <c r="P362" s="26"/>
      <c r="Q362" s="26"/>
      <c r="R362" s="26"/>
      <c r="S362" s="26"/>
      <c r="T362" s="26"/>
      <c r="U362" s="26"/>
      <c r="V362" s="26"/>
      <c r="W362" s="26">
        <f>MAX($C$9-VLOOKUP($C362,COS!$B$8:$H$991,3,FALSE),0)</f>
        <v>0</v>
      </c>
      <c r="X362" s="26">
        <f t="shared" si="562"/>
        <v>0</v>
      </c>
      <c r="Y362" s="26">
        <f>VLOOKUP($C362,COS!$B$8:$H$991,4,FALSE)</f>
        <v>1660.7847900390625</v>
      </c>
      <c r="Z362" s="26">
        <f t="shared" si="563"/>
        <v>102.11767634620351</v>
      </c>
      <c r="AA362" s="26">
        <f t="shared" si="578"/>
        <v>0</v>
      </c>
      <c r="AB362" s="33">
        <f t="shared" si="548"/>
        <v>0</v>
      </c>
    </row>
    <row r="363" spans="1:28" x14ac:dyDescent="0.3">
      <c r="A363" s="32">
        <f>VLOOKUP(YEAR(C363),Flags!$A$13:$B$95,2,FALSE)</f>
        <v>4</v>
      </c>
      <c r="B363" s="24">
        <f t="shared" si="535"/>
        <v>1960</v>
      </c>
      <c r="C363" s="25">
        <v>22250</v>
      </c>
      <c r="D363" s="26"/>
      <c r="E363" s="24"/>
      <c r="F363" s="26"/>
      <c r="G363" s="26"/>
      <c r="H363" s="26"/>
      <c r="I363" s="26"/>
      <c r="J363" s="26"/>
      <c r="K363" s="26"/>
      <c r="L363" s="24"/>
      <c r="M363" s="24"/>
      <c r="N363" s="26"/>
      <c r="O363" s="26"/>
      <c r="P363" s="26"/>
      <c r="Q363" s="26"/>
      <c r="R363" s="26"/>
      <c r="S363" s="26"/>
      <c r="T363" s="26"/>
      <c r="U363" s="26"/>
      <c r="V363" s="26"/>
      <c r="W363" s="26">
        <f>MAX($C$10-VLOOKUP($C363,COS!$B$8:$H$991,3,FALSE),0)</f>
        <v>1750</v>
      </c>
      <c r="X363" s="26">
        <f t="shared" si="562"/>
        <v>104.13223140495867</v>
      </c>
      <c r="Y363" s="26">
        <f>VLOOKUP($C363,COS!$B$8:$H$991,4,FALSE)</f>
        <v>409.7125244140625</v>
      </c>
      <c r="Z363" s="26">
        <f t="shared" si="563"/>
        <v>24.379588229597108</v>
      </c>
      <c r="AA363" s="26">
        <f t="shared" si="578"/>
        <v>409.7125244140625</v>
      </c>
      <c r="AB363" s="33">
        <f t="shared" si="548"/>
        <v>24.379588229597108</v>
      </c>
    </row>
    <row r="364" spans="1:28" x14ac:dyDescent="0.3">
      <c r="A364" s="34">
        <f>VLOOKUP(YEAR(C364),Flags!$A$13:$B$95,2,FALSE)</f>
        <v>4</v>
      </c>
      <c r="B364" s="35">
        <f t="shared" si="535"/>
        <v>1960</v>
      </c>
      <c r="C364" s="36">
        <v>22281</v>
      </c>
      <c r="D364" s="37"/>
      <c r="E364" s="35"/>
      <c r="F364" s="37"/>
      <c r="G364" s="37"/>
      <c r="H364" s="37"/>
      <c r="I364" s="37"/>
      <c r="J364" s="37"/>
      <c r="K364" s="37"/>
      <c r="L364" s="35"/>
      <c r="M364" s="35"/>
      <c r="N364" s="37"/>
      <c r="O364" s="37"/>
      <c r="P364" s="37"/>
      <c r="Q364" s="37"/>
      <c r="R364" s="37"/>
      <c r="S364" s="37"/>
      <c r="T364" s="37"/>
      <c r="U364" s="37"/>
      <c r="V364" s="37"/>
      <c r="W364" s="37">
        <f>MAX($C$11-VLOOKUP($C364,COS!$B$8:$H$991,3,FALSE),0)</f>
        <v>1750</v>
      </c>
      <c r="X364" s="37">
        <f t="shared" si="562"/>
        <v>107.60330578512398</v>
      </c>
      <c r="Y364" s="37">
        <f>VLOOKUP($C364,COS!$B$8:$H$991,4,FALSE)</f>
        <v>2387.1279296875</v>
      </c>
      <c r="Z364" s="37">
        <f t="shared" si="563"/>
        <v>146.77877518078512</v>
      </c>
      <c r="AA364" s="37">
        <f t="shared" si="578"/>
        <v>1750</v>
      </c>
      <c r="AB364" s="38">
        <f t="shared" si="548"/>
        <v>107.60330578512398</v>
      </c>
    </row>
    <row r="365" spans="1:28" x14ac:dyDescent="0.3">
      <c r="A365" s="27">
        <f>VLOOKUP(YEAR(C365),Flags!$A$13:$B$95,2,FALSE)</f>
        <v>4</v>
      </c>
      <c r="B365" s="28">
        <f t="shared" si="535"/>
        <v>1961</v>
      </c>
      <c r="C365" s="29">
        <v>22401</v>
      </c>
      <c r="D365" s="30">
        <f>VLOOKUP($C365,COS!$B$8:$H$991,3,FALSE)</f>
        <v>3330.927978515625</v>
      </c>
      <c r="E365" s="28">
        <f>IF(D365&gt;=IF(MONTH($C365)=4,$C$3,IF(MONTH($C365)=5,$C$4,IF(MONTH($C365)=6,$C$5,IF(MONTH($C365)=7,$C$6,"ERROR")))),1,0)</f>
        <v>0</v>
      </c>
      <c r="F365" s="30">
        <f>VLOOKUP($C365,COS!$B$8:$H$991,7,FALSE)</f>
        <v>51.26251220703125</v>
      </c>
      <c r="G365" s="28">
        <f>IF(F365&lt;=IF(MONTH($C365)=4,$F$3,IF(MONTH($C365)=5,$F$4,IF(MONTH($C365)=6,$F$5,IF(MONTH($C365)=7,$F$6,"ERROR")))),1,0)</f>
        <v>1</v>
      </c>
      <c r="H365" s="30">
        <f>IF(J365=1,D365-$C$3,0)</f>
        <v>0</v>
      </c>
      <c r="I365" s="30">
        <f t="shared" si="558"/>
        <v>0</v>
      </c>
      <c r="J365" s="28">
        <f t="shared" ref="J365:J368" si="581">IF(AND(E365=1,G365=1),1,0)</f>
        <v>0</v>
      </c>
      <c r="K365" s="30">
        <f>VLOOKUP($C365,COS!$B$8:$H$991,2,FALSE)</f>
        <v>4552</v>
      </c>
      <c r="L365" s="28">
        <f t="shared" ref="L365" si="582">IF(K365&lt;=IF(MONTH($C365)=4,$I$3,IF(MONTH($C365)=5,$I$4,IF(MONTH($C365)=6,$I$5,IF(MONTH($C365)=7,$I$6,"ERROR")))),1,0)</f>
        <v>1</v>
      </c>
      <c r="M365" s="28">
        <f t="shared" ref="M365" si="583">VLOOKUP($A365,$L$3:$M$7,2,FALSE)</f>
        <v>1</v>
      </c>
      <c r="N365" s="30">
        <f>VLOOKUP($C365,COS!$B$8:$H$991,5,FALSE)</f>
        <v>224.14614868164063</v>
      </c>
      <c r="O365" s="30">
        <f t="shared" ref="O365:O368" si="584">N365*DAY($C365)*86400/43560/1000</f>
        <v>13.3376220703125</v>
      </c>
      <c r="P365" s="30">
        <f>VLOOKUP($C365,COS!$B$8:$H$991,6,FALSE)</f>
        <v>461.4332275390625</v>
      </c>
      <c r="Q365" s="30">
        <f t="shared" ref="Q365:Q368" si="585">P365*DAY($C365)*86400/43560/1000</f>
        <v>27.457183787448347</v>
      </c>
      <c r="R365" s="30">
        <f>MIN(IF(MONTH($C365)=4,$S$3,IF(MONTH($C365)=5,$S$4,IF(MONTH($C365)=6,$S$5,IF(MONTH($C365)=7,$S$6,"ERROR")))),MAX(VLOOKUP($C365,COS!$B$8:$K$991,10,FALSE)-IF(MONTH($C365)=4,$Y$3,IF(MONTH($C365)=5,$Y$4,IF(MONTH($C365)=6,$Y$5,IF(MONTH($C365)=7,$Y$6,"ERROR")))),0),MAX(VLOOKUP($C365,COS!$B$8:$K$991,9,FALSE)-IF(MONTH($C365)=4,$V$3,IF(MONTH($C365)=5,$V$4,IF(MONTH($C365)=6,$V$5,IF(MONTH($C365)=7,$V$6,"ERROR"))))-VLOOKUP($C365,COS!$B$8:$K$991,6,FALSE)/2,0))</f>
        <v>1500</v>
      </c>
      <c r="S365" s="30">
        <f t="shared" ref="S365:S368" si="586">R365*DAY($C365)*86400/43560/1000</f>
        <v>89.256198347107429</v>
      </c>
      <c r="T365" s="30">
        <f t="shared" ref="T365:T368" si="587">(O365+Q365)/2+S365</f>
        <v>109.65360127598785</v>
      </c>
      <c r="U365" s="30" t="str">
        <f>IF(VLOOKUP($C365,COS!$B$8:$I$991,8,FALSE)=1,"UWFE","IBU")</f>
        <v>UWFE</v>
      </c>
      <c r="V365" s="30">
        <f t="shared" ref="V365" si="588">MIN(IF(IF($AA$3=2,AND(E365=1,G365=1,L365=1,L370=1,M365=1,U365="IBU"),AND(E365=1,G365=1,L365=1,L370=1,M365=1)),T365,0),I365)</f>
        <v>0</v>
      </c>
      <c r="W365" s="30"/>
      <c r="X365" s="30"/>
      <c r="Y365" s="30"/>
      <c r="Z365" s="30"/>
      <c r="AA365" s="30"/>
      <c r="AB365" s="31"/>
    </row>
    <row r="366" spans="1:28" x14ac:dyDescent="0.3">
      <c r="A366" s="32">
        <f>VLOOKUP(YEAR(C366),Flags!$A$13:$B$95,2,FALSE)</f>
        <v>4</v>
      </c>
      <c r="B366" s="24">
        <f t="shared" si="535"/>
        <v>1961</v>
      </c>
      <c r="C366" s="25">
        <v>22432</v>
      </c>
      <c r="D366" s="26">
        <f>VLOOKUP($C366,COS!$B$8:$H$991,3,FALSE)</f>
        <v>7787.1884765625</v>
      </c>
      <c r="E366" s="24">
        <f>IF(D366&gt;=IF(MONTH($C366)=4,$C$3,IF(MONTH($C366)=5,$C$4,IF(MONTH($C366)=6,$C$5,IF(MONTH($C366)=7,$C$6,"ERROR")))),1,0)</f>
        <v>1</v>
      </c>
      <c r="F366" s="26">
        <f>VLOOKUP($C366,COS!$B$8:$H$991,7,FALSE)</f>
        <v>50.240604400634766</v>
      </c>
      <c r="G366" s="24">
        <f>IF(F366&lt;=IF(MONTH($C366)=4,$F$3,IF(MONTH($C366)=5,$F$4,IF(MONTH($C366)=6,$F$5,IF(MONTH($C366)=7,$F$6,"ERROR")))),1,0)</f>
        <v>1</v>
      </c>
      <c r="H366" s="26">
        <f>IF(J366=1,D366-$C$4,0)</f>
        <v>1787.1884765625</v>
      </c>
      <c r="I366" s="26">
        <f t="shared" si="558"/>
        <v>109.88993607954545</v>
      </c>
      <c r="J366" s="24">
        <f t="shared" si="581"/>
        <v>1</v>
      </c>
      <c r="K366" s="26">
        <f>VLOOKUP($C366,COS!$B$8:$H$991,2,FALSE)</f>
        <v>4502.27978515625</v>
      </c>
      <c r="L366" s="24">
        <f t="shared" si="537"/>
        <v>1</v>
      </c>
      <c r="M366" s="24">
        <f t="shared" si="538"/>
        <v>1</v>
      </c>
      <c r="N366" s="26">
        <f>VLOOKUP($C366,COS!$B$8:$H$991,5,FALSE)</f>
        <v>270.762451171875</v>
      </c>
      <c r="O366" s="26">
        <f t="shared" si="584"/>
        <v>16.648534187758266</v>
      </c>
      <c r="P366" s="26">
        <f>VLOOKUP($C366,COS!$B$8:$H$991,6,FALSE)</f>
        <v>2241.916259765625</v>
      </c>
      <c r="Q366" s="26">
        <f t="shared" si="585"/>
        <v>137.85005762525824</v>
      </c>
      <c r="R366" s="26">
        <f>MIN(IF(MONTH($C366)=4,$S$3,IF(MONTH($C366)=5,$S$4,IF(MONTH($C366)=6,$S$5,IF(MONTH($C366)=7,$S$6,"ERROR")))),MAX(VLOOKUP($C366,COS!$B$8:$K$991,10,FALSE)-IF(MONTH($C366)=4,$Y$3,IF(MONTH($C366)=5,$Y$4,IF(MONTH($C366)=6,$Y$5,IF(MONTH($C366)=7,$Y$6,"ERROR")))),0),MAX(VLOOKUP($C366,COS!$B$8:$K$991,9,FALSE)-IF(MONTH($C366)=4,$V$3,IF(MONTH($C366)=5,$V$4,IF(MONTH($C366)=6,$V$5,IF(MONTH($C366)=7,$V$6,"ERROR"))))-VLOOKUP($C366,COS!$B$8:$K$991,6,FALSE)/2,0))</f>
        <v>1500</v>
      </c>
      <c r="S366" s="26">
        <f t="shared" si="586"/>
        <v>92.231404958677686</v>
      </c>
      <c r="T366" s="26">
        <f t="shared" si="587"/>
        <v>169.48070086518595</v>
      </c>
      <c r="U366" s="26" t="str">
        <f>IF(VLOOKUP($C366,COS!$B$8:$I$991,8,FALSE)=1,"UWFE","IBU")</f>
        <v>UWFE</v>
      </c>
      <c r="V366" s="26">
        <f t="shared" ref="V366" si="589">MIN(IF(IF($AA$3=2,AND(E366=1,G366=1,L366=1,L370=1,M366=1,U366="IBU"),AND(E366=1,G366=1,L366=1,L370=1,M366=1)),T366,0),I366)</f>
        <v>0</v>
      </c>
      <c r="W366" s="26"/>
      <c r="X366" s="26"/>
      <c r="Y366" s="26"/>
      <c r="Z366" s="26"/>
      <c r="AA366" s="26"/>
      <c r="AB366" s="33"/>
    </row>
    <row r="367" spans="1:28" x14ac:dyDescent="0.3">
      <c r="A367" s="32">
        <f>VLOOKUP(YEAR(C367),Flags!$A$13:$B$95,2,FALSE)</f>
        <v>4</v>
      </c>
      <c r="B367" s="24">
        <f t="shared" si="535"/>
        <v>1961</v>
      </c>
      <c r="C367" s="25">
        <v>22462</v>
      </c>
      <c r="D367" s="26">
        <f>VLOOKUP($C367,COS!$B$8:$H$991,3,FALSE)</f>
        <v>10063.0751953125</v>
      </c>
      <c r="E367" s="24">
        <f>IF(D367&gt;=IF(MONTH($C367)=4,$C$3,IF(MONTH($C367)=5,$C$4,IF(MONTH($C367)=6,$C$5,IF(MONTH($C367)=7,$C$6,"ERROR")))),1,0)</f>
        <v>1</v>
      </c>
      <c r="F367" s="26">
        <f>VLOOKUP($C367,COS!$B$8:$H$991,7,FALSE)</f>
        <v>51.530010223388672</v>
      </c>
      <c r="G367" s="24">
        <f>IF(F367&lt;=IF(MONTH($C367)=4,$F$3,IF(MONTH($C367)=5,$F$4,IF(MONTH($C367)=6,$F$5,IF(MONTH($C367)=7,$F$6,"ERROR")))),1,0)</f>
        <v>1</v>
      </c>
      <c r="H367" s="26">
        <f>IF(J367=1,D367-$C$5,0)</f>
        <v>63.0751953125</v>
      </c>
      <c r="I367" s="26">
        <f t="shared" si="558"/>
        <v>3.7532347623966942</v>
      </c>
      <c r="J367" s="24">
        <f t="shared" si="581"/>
        <v>1</v>
      </c>
      <c r="K367" s="26">
        <f>VLOOKUP($C367,COS!$B$8:$H$991,2,FALSE)</f>
        <v>4143.28564453125</v>
      </c>
      <c r="L367" s="24">
        <f t="shared" si="537"/>
        <v>1</v>
      </c>
      <c r="M367" s="24">
        <f t="shared" si="538"/>
        <v>1</v>
      </c>
      <c r="N367" s="26">
        <f>VLOOKUP($C367,COS!$B$8:$H$991,5,FALSE)</f>
        <v>520.3306884765625</v>
      </c>
      <c r="O367" s="26">
        <f t="shared" si="584"/>
        <v>30.961826091167357</v>
      </c>
      <c r="P367" s="26">
        <f>VLOOKUP($C367,COS!$B$8:$H$991,6,FALSE)</f>
        <v>2605.465576171875</v>
      </c>
      <c r="Q367" s="26">
        <f t="shared" si="585"/>
        <v>155.03596816890496</v>
      </c>
      <c r="R367" s="26">
        <f>MIN(IF(MONTH($C367)=4,$S$3,IF(MONTH($C367)=5,$S$4,IF(MONTH($C367)=6,$S$5,IF(MONTH($C367)=7,$S$6,"ERROR")))),MAX(VLOOKUP($C367,COS!$B$8:$K$991,10,FALSE)-IF(MONTH($C367)=4,$Y$3,IF(MONTH($C367)=5,$Y$4,IF(MONTH($C367)=6,$Y$5,IF(MONTH($C367)=7,$Y$6,"ERROR")))),0),MAX(VLOOKUP($C367,COS!$B$8:$K$991,9,FALSE)-IF(MONTH($C367)=4,$V$3,IF(MONTH($C367)=5,$V$4,IF(MONTH($C367)=6,$V$5,IF(MONTH($C367)=7,$V$6,"ERROR"))))-VLOOKUP($C367,COS!$B$8:$K$991,6,FALSE)/2,0))</f>
        <v>1500</v>
      </c>
      <c r="S367" s="26">
        <f t="shared" si="586"/>
        <v>89.256198347107429</v>
      </c>
      <c r="T367" s="26">
        <f t="shared" si="587"/>
        <v>182.25509547714358</v>
      </c>
      <c r="U367" s="26" t="str">
        <f>IF(VLOOKUP($C367,COS!$B$8:$I$991,8,FALSE)=1,"UWFE","IBU")</f>
        <v>IBU</v>
      </c>
      <c r="V367" s="26">
        <f t="shared" ref="V367" si="590">MIN(IF(IF($AA$3=2,AND(E367=1,G367=1,L367=1,L370=1,M367=1,U367="IBU"),AND(E367=1,G367=1,L367=1,L370=1,M367=1)),T367,0),I367)</f>
        <v>3.7532347623966942</v>
      </c>
      <c r="W367" s="26"/>
      <c r="X367" s="26"/>
      <c r="Y367" s="26"/>
      <c r="Z367" s="26"/>
      <c r="AA367" s="26"/>
      <c r="AB367" s="33"/>
    </row>
    <row r="368" spans="1:28" x14ac:dyDescent="0.3">
      <c r="A368" s="32">
        <f>VLOOKUP(YEAR(C368),Flags!$A$13:$B$95,2,FALSE)</f>
        <v>4</v>
      </c>
      <c r="B368" s="24">
        <f t="shared" si="535"/>
        <v>1961</v>
      </c>
      <c r="C368" s="25">
        <v>22493</v>
      </c>
      <c r="D368" s="26">
        <f>VLOOKUP($C368,COS!$B$8:$H$991,3,FALSE)</f>
        <v>16000</v>
      </c>
      <c r="E368" s="24">
        <f>IF(D368&gt;=IF(MONTH($C368)=4,$C$3,IF(MONTH($C368)=5,$C$4,IF(MONTH($C368)=6,$C$5,IF(MONTH($C368)=7,$C$6,"ERROR")))),1,0)</f>
        <v>1</v>
      </c>
      <c r="F368" s="26">
        <f>VLOOKUP($C368,COS!$B$8:$H$991,7,FALSE)</f>
        <v>51.374370574951172</v>
      </c>
      <c r="G368" s="24">
        <f>IF(F368&lt;=IF(MONTH($C368)=4,$F$3,IF(MONTH($C368)=5,$F$4,IF(MONTH($C368)=6,$F$5,IF(MONTH($C368)=7,$F$6,"ERROR")))),1,0)</f>
        <v>1</v>
      </c>
      <c r="H368" s="26">
        <f>IF(J368=1,D368-$C$6,0)</f>
        <v>4000</v>
      </c>
      <c r="I368" s="26">
        <f t="shared" si="558"/>
        <v>245.95041322314049</v>
      </c>
      <c r="J368" s="24">
        <f t="shared" si="581"/>
        <v>1</v>
      </c>
      <c r="K368" s="26">
        <f>VLOOKUP($C368,COS!$B$8:$H$991,2,FALSE)</f>
        <v>3417.93798828125</v>
      </c>
      <c r="L368" s="24">
        <f t="shared" si="537"/>
        <v>1</v>
      </c>
      <c r="M368" s="24">
        <f t="shared" si="538"/>
        <v>1</v>
      </c>
      <c r="N368" s="26">
        <f>VLOOKUP($C368,COS!$B$8:$H$991,5,FALSE)</f>
        <v>610.17608642578125</v>
      </c>
      <c r="O368" s="26">
        <f t="shared" si="584"/>
        <v>37.518265148824895</v>
      </c>
      <c r="P368" s="26">
        <f>VLOOKUP($C368,COS!$B$8:$H$991,6,FALSE)</f>
        <v>2538.07568359375</v>
      </c>
      <c r="Q368" s="26">
        <f t="shared" si="585"/>
        <v>156.06019079287191</v>
      </c>
      <c r="R368" s="26">
        <f>MIN(IF(MONTH($C368)=4,$S$3,IF(MONTH($C368)=5,$S$4,IF(MONTH($C368)=6,$S$5,IF(MONTH($C368)=7,$S$6,"ERROR")))),MAX(VLOOKUP($C368,COS!$B$8:$K$991,10,FALSE)-IF(MONTH($C368)=4,$Y$3,IF(MONTH($C368)=5,$Y$4,IF(MONTH($C368)=6,$Y$5,IF(MONTH($C368)=7,$Y$6,"ERROR")))),0),MAX(VLOOKUP($C368,COS!$B$8:$K$991,9,FALSE)-IF(MONTH($C368)=4,$V$3,IF(MONTH($C368)=5,$V$4,IF(MONTH($C368)=6,$V$5,IF(MONTH($C368)=7,$V$6,"ERROR"))))-VLOOKUP($C368,COS!$B$8:$K$991,6,FALSE)/2,0))</f>
        <v>1500</v>
      </c>
      <c r="S368" s="26">
        <f t="shared" si="586"/>
        <v>92.231404958677686</v>
      </c>
      <c r="T368" s="26">
        <f t="shared" si="587"/>
        <v>189.02063292952607</v>
      </c>
      <c r="U368" s="26" t="str">
        <f>IF(VLOOKUP($C368,COS!$B$8:$I$991,8,FALSE)=1,"UWFE","IBU")</f>
        <v>IBU</v>
      </c>
      <c r="V368" s="26">
        <f t="shared" ref="V368" si="591">MIN(IF(IF($AA$3=2,AND(E368=1,G368=1,L368=1,L370=1,M368=1,U368="IBU"),AND(E368=1,G368=1,L368=1,L370=1,M368=1)),T368,0),I368)</f>
        <v>189.02063292952607</v>
      </c>
      <c r="W368" s="26"/>
      <c r="X368" s="26"/>
      <c r="Y368" s="26"/>
      <c r="Z368" s="26"/>
      <c r="AA368" s="26"/>
      <c r="AB368" s="33"/>
    </row>
    <row r="369" spans="1:28" x14ac:dyDescent="0.3">
      <c r="A369" s="32">
        <f>VLOOKUP(YEAR(C369),Flags!$A$13:$B$95,2,FALSE)</f>
        <v>4</v>
      </c>
      <c r="B369" s="24">
        <f t="shared" si="535"/>
        <v>1961</v>
      </c>
      <c r="C369" s="25">
        <v>22524</v>
      </c>
      <c r="D369" s="26"/>
      <c r="E369" s="24"/>
      <c r="F369" s="26"/>
      <c r="G369" s="24"/>
      <c r="H369" s="24"/>
      <c r="I369" s="26"/>
      <c r="J369" s="24"/>
      <c r="K369" s="26"/>
      <c r="L369" s="24"/>
      <c r="M369" s="24"/>
      <c r="N369" s="26"/>
      <c r="O369" s="26"/>
      <c r="P369" s="26"/>
      <c r="Q369" s="26"/>
      <c r="R369" s="26"/>
      <c r="S369" s="26"/>
      <c r="T369" s="26"/>
      <c r="U369" s="26"/>
      <c r="V369" s="26"/>
      <c r="W369" s="26">
        <f>MAX($C$7-VLOOKUP($C369,COS!$B$8:$H$991,3,FALSE),0)</f>
        <v>2141.421875</v>
      </c>
      <c r="X369" s="26">
        <f t="shared" si="562"/>
        <v>131.67089876033057</v>
      </c>
      <c r="Y369" s="26">
        <f>VLOOKUP($C369,COS!$B$8:$H$991,4,FALSE)</f>
        <v>3366.373779296875</v>
      </c>
      <c r="Z369" s="26">
        <f t="shared" si="563"/>
        <v>206.99025552040288</v>
      </c>
      <c r="AA369" s="26">
        <f t="shared" ref="AA369:AA373" si="592">MIN(W369,Y369)</f>
        <v>2141.421875</v>
      </c>
      <c r="AB369" s="33">
        <f t="shared" ref="AB369" si="593">AA369*DAY($C369)*86400/43560/1000*IF(MONTH($C369)=8,$P$3,IF(MONTH($C369)=9,$P$4,IF(MONTH($C369)=10,$P$5,IF(MONTH($C369)=11,$P$6,IF(MONTH($C369)=12,$P$7,NA())))))</f>
        <v>131.67089876033057</v>
      </c>
    </row>
    <row r="370" spans="1:28" x14ac:dyDescent="0.3">
      <c r="A370" s="32">
        <f>VLOOKUP(YEAR(C370),Flags!$A$13:$B$95,2,FALSE)</f>
        <v>4</v>
      </c>
      <c r="B370" s="24">
        <f t="shared" si="535"/>
        <v>1961</v>
      </c>
      <c r="C370" s="25">
        <v>22554</v>
      </c>
      <c r="D370" s="26"/>
      <c r="E370" s="24"/>
      <c r="F370" s="26"/>
      <c r="G370" s="24"/>
      <c r="H370" s="24"/>
      <c r="I370" s="26"/>
      <c r="J370" s="24"/>
      <c r="K370" s="26">
        <f>VLOOKUP($C370,COS!$B$8:$H$991,2,FALSE)</f>
        <v>3030.294189453125</v>
      </c>
      <c r="L370" s="24">
        <f t="shared" ref="L370" si="594">IF(AND(K370&gt;$I$7,K370&lt;$I$8),1,0)</f>
        <v>1</v>
      </c>
      <c r="M370" s="24"/>
      <c r="N370" s="26"/>
      <c r="O370" s="26"/>
      <c r="P370" s="26"/>
      <c r="Q370" s="26"/>
      <c r="R370" s="26"/>
      <c r="S370" s="26"/>
      <c r="T370" s="26"/>
      <c r="U370" s="26"/>
      <c r="V370" s="26"/>
      <c r="W370" s="26">
        <f>MAX($C$8-VLOOKUP($C370,COS!$B$8:$H$991,3,FALSE),0)</f>
        <v>543.38232421875</v>
      </c>
      <c r="X370" s="26">
        <f t="shared" si="562"/>
        <v>32.33349367252066</v>
      </c>
      <c r="Y370" s="26">
        <f>VLOOKUP($C370,COS!$B$8:$H$991,4,FALSE)</f>
        <v>1068.3673095703125</v>
      </c>
      <c r="Z370" s="26">
        <f t="shared" si="563"/>
        <v>63.572269660382233</v>
      </c>
      <c r="AA370" s="26">
        <f t="shared" si="592"/>
        <v>543.38232421875</v>
      </c>
      <c r="AB370" s="33">
        <f t="shared" si="548"/>
        <v>32.33349367252066</v>
      </c>
    </row>
    <row r="371" spans="1:28" x14ac:dyDescent="0.3">
      <c r="A371" s="32">
        <f>VLOOKUP(YEAR(C371),Flags!$A$13:$B$95,2,FALSE)</f>
        <v>4</v>
      </c>
      <c r="B371" s="24">
        <f t="shared" si="535"/>
        <v>1961</v>
      </c>
      <c r="C371" s="25">
        <v>22585</v>
      </c>
      <c r="D371" s="26"/>
      <c r="E371" s="24"/>
      <c r="F371" s="26"/>
      <c r="G371" s="26"/>
      <c r="H371" s="26"/>
      <c r="I371" s="26"/>
      <c r="J371" s="26"/>
      <c r="K371" s="26"/>
      <c r="L371" s="24"/>
      <c r="M371" s="24"/>
      <c r="N371" s="26"/>
      <c r="O371" s="26"/>
      <c r="P371" s="26"/>
      <c r="Q371" s="26"/>
      <c r="R371" s="26"/>
      <c r="S371" s="26"/>
      <c r="T371" s="26"/>
      <c r="U371" s="26"/>
      <c r="V371" s="26"/>
      <c r="W371" s="26">
        <f>MAX($C$9-VLOOKUP($C371,COS!$B$8:$H$991,3,FALSE),0)</f>
        <v>0</v>
      </c>
      <c r="X371" s="26">
        <f t="shared" si="562"/>
        <v>0</v>
      </c>
      <c r="Y371" s="26">
        <f>VLOOKUP($C371,COS!$B$8:$H$991,4,FALSE)</f>
        <v>2354.580322265625</v>
      </c>
      <c r="Z371" s="26">
        <f t="shared" si="563"/>
        <v>144.77750080707645</v>
      </c>
      <c r="AA371" s="26">
        <f t="shared" si="592"/>
        <v>0</v>
      </c>
      <c r="AB371" s="33">
        <f t="shared" si="548"/>
        <v>0</v>
      </c>
    </row>
    <row r="372" spans="1:28" x14ac:dyDescent="0.3">
      <c r="A372" s="32">
        <f>VLOOKUP(YEAR(C372),Flags!$A$13:$B$95,2,FALSE)</f>
        <v>4</v>
      </c>
      <c r="B372" s="24">
        <f t="shared" si="535"/>
        <v>1961</v>
      </c>
      <c r="C372" s="25">
        <v>22615</v>
      </c>
      <c r="D372" s="26"/>
      <c r="E372" s="24"/>
      <c r="F372" s="26"/>
      <c r="G372" s="26"/>
      <c r="H372" s="26"/>
      <c r="I372" s="26"/>
      <c r="J372" s="26"/>
      <c r="K372" s="26"/>
      <c r="L372" s="24"/>
      <c r="M372" s="24"/>
      <c r="N372" s="26"/>
      <c r="O372" s="26"/>
      <c r="P372" s="26"/>
      <c r="Q372" s="26"/>
      <c r="R372" s="26"/>
      <c r="S372" s="26"/>
      <c r="T372" s="26"/>
      <c r="U372" s="26"/>
      <c r="V372" s="26"/>
      <c r="W372" s="26">
        <f>MAX($C$10-VLOOKUP($C372,COS!$B$8:$H$991,3,FALSE),0)</f>
        <v>559.98876953125</v>
      </c>
      <c r="X372" s="26">
        <f t="shared" si="562"/>
        <v>33.32164579028926</v>
      </c>
      <c r="Y372" s="26">
        <f>VLOOKUP($C372,COS!$B$8:$H$991,4,FALSE)</f>
        <v>1388.96728515625</v>
      </c>
      <c r="Z372" s="26">
        <f t="shared" si="563"/>
        <v>82.649293001033058</v>
      </c>
      <c r="AA372" s="26">
        <f t="shared" si="592"/>
        <v>559.98876953125</v>
      </c>
      <c r="AB372" s="33">
        <f t="shared" si="548"/>
        <v>33.32164579028926</v>
      </c>
    </row>
    <row r="373" spans="1:28" x14ac:dyDescent="0.3">
      <c r="A373" s="34">
        <f>VLOOKUP(YEAR(C373),Flags!$A$13:$B$95,2,FALSE)</f>
        <v>4</v>
      </c>
      <c r="B373" s="35">
        <f t="shared" si="535"/>
        <v>1961</v>
      </c>
      <c r="C373" s="36">
        <v>22646</v>
      </c>
      <c r="D373" s="37"/>
      <c r="E373" s="35"/>
      <c r="F373" s="37"/>
      <c r="G373" s="37"/>
      <c r="H373" s="37"/>
      <c r="I373" s="37"/>
      <c r="J373" s="37"/>
      <c r="K373" s="37"/>
      <c r="L373" s="35"/>
      <c r="M373" s="35"/>
      <c r="N373" s="37"/>
      <c r="O373" s="37"/>
      <c r="P373" s="37"/>
      <c r="Q373" s="37"/>
      <c r="R373" s="37"/>
      <c r="S373" s="37"/>
      <c r="T373" s="37"/>
      <c r="U373" s="37"/>
      <c r="V373" s="37"/>
      <c r="W373" s="37">
        <f>MAX($C$11-VLOOKUP($C373,COS!$B$8:$H$991,3,FALSE),0)</f>
        <v>1631.4296875</v>
      </c>
      <c r="X373" s="37">
        <f t="shared" si="562"/>
        <v>100.31270144628098</v>
      </c>
      <c r="Y373" s="37">
        <f>VLOOKUP($C373,COS!$B$8:$H$991,4,FALSE)</f>
        <v>1553.054443359375</v>
      </c>
      <c r="Z373" s="37">
        <f t="shared" si="563"/>
        <v>95.493595525568182</v>
      </c>
      <c r="AA373" s="37">
        <f t="shared" si="592"/>
        <v>1553.054443359375</v>
      </c>
      <c r="AB373" s="38">
        <f t="shared" si="548"/>
        <v>95.493595525568182</v>
      </c>
    </row>
    <row r="374" spans="1:28" x14ac:dyDescent="0.3">
      <c r="A374" s="27">
        <f>VLOOKUP(YEAR(C374),Flags!$A$13:$B$95,2,FALSE)</f>
        <v>3</v>
      </c>
      <c r="B374" s="28">
        <f t="shared" si="535"/>
        <v>1962</v>
      </c>
      <c r="C374" s="29">
        <v>22766</v>
      </c>
      <c r="D374" s="30">
        <f>VLOOKUP($C374,COS!$B$8:$H$991,3,FALSE)</f>
        <v>3754.135009765625</v>
      </c>
      <c r="E374" s="28">
        <f>IF(D374&gt;=IF(MONTH($C374)=4,$C$3,IF(MONTH($C374)=5,$C$4,IF(MONTH($C374)=6,$C$5,IF(MONTH($C374)=7,$C$6,"ERROR")))),1,0)</f>
        <v>0</v>
      </c>
      <c r="F374" s="30">
        <f>VLOOKUP($C374,COS!$B$8:$H$991,7,FALSE)</f>
        <v>51.116634368896484</v>
      </c>
      <c r="G374" s="28">
        <f>IF(F374&lt;=IF(MONTH($C374)=4,$F$3,IF(MONTH($C374)=5,$F$4,IF(MONTH($C374)=6,$F$5,IF(MONTH($C374)=7,$F$6,"ERROR")))),1,0)</f>
        <v>1</v>
      </c>
      <c r="H374" s="30">
        <f>IF(J374=1,D374-$C$3,0)</f>
        <v>0</v>
      </c>
      <c r="I374" s="30">
        <f t="shared" si="558"/>
        <v>0</v>
      </c>
      <c r="J374" s="28">
        <f t="shared" ref="J374:J377" si="595">IF(AND(E374=1,G374=1),1,0)</f>
        <v>0</v>
      </c>
      <c r="K374" s="30">
        <f>VLOOKUP($C374,COS!$B$8:$H$991,2,FALSE)</f>
        <v>4552</v>
      </c>
      <c r="L374" s="28">
        <f t="shared" ref="L374" si="596">IF(K374&lt;=IF(MONTH($C374)=4,$I$3,IF(MONTH($C374)=5,$I$4,IF(MONTH($C374)=6,$I$5,IF(MONTH($C374)=7,$I$6,"ERROR")))),1,0)</f>
        <v>1</v>
      </c>
      <c r="M374" s="28">
        <f t="shared" ref="M374" si="597">VLOOKUP($A374,$L$3:$M$7,2,FALSE)</f>
        <v>0</v>
      </c>
      <c r="N374" s="30">
        <f>VLOOKUP($C374,COS!$B$8:$H$991,5,FALSE)</f>
        <v>412.55120849609375</v>
      </c>
      <c r="O374" s="30">
        <f t="shared" ref="O374:O377" si="598">N374*DAY($C374)*86400/43560/1000</f>
        <v>24.548501662577479</v>
      </c>
      <c r="P374" s="30">
        <f>VLOOKUP($C374,COS!$B$8:$H$991,6,FALSE)</f>
        <v>496.0894775390625</v>
      </c>
      <c r="Q374" s="30">
        <f t="shared" ref="Q374:Q377" si="599">P374*DAY($C374)*86400/43560/1000</f>
        <v>29.519373870092974</v>
      </c>
      <c r="R374" s="30">
        <f>MIN(IF(MONTH($C374)=4,$S$3,IF(MONTH($C374)=5,$S$4,IF(MONTH($C374)=6,$S$5,IF(MONTH($C374)=7,$S$6,"ERROR")))),MAX(VLOOKUP($C374,COS!$B$8:$K$991,10,FALSE)-IF(MONTH($C374)=4,$Y$3,IF(MONTH($C374)=5,$Y$4,IF(MONTH($C374)=6,$Y$5,IF(MONTH($C374)=7,$Y$6,"ERROR")))),0),MAX(VLOOKUP($C374,COS!$B$8:$K$991,9,FALSE)-IF(MONTH($C374)=4,$V$3,IF(MONTH($C374)=5,$V$4,IF(MONTH($C374)=6,$V$5,IF(MONTH($C374)=7,$V$6,"ERROR"))))-VLOOKUP($C374,COS!$B$8:$K$991,6,FALSE)/2,0))</f>
        <v>1500</v>
      </c>
      <c r="S374" s="30">
        <f t="shared" ref="S374:S377" si="600">R374*DAY($C374)*86400/43560/1000</f>
        <v>89.256198347107429</v>
      </c>
      <c r="T374" s="30">
        <f t="shared" ref="T374:T377" si="601">(O374+Q374)/2+S374</f>
        <v>116.29013611344266</v>
      </c>
      <c r="U374" s="30" t="str">
        <f>IF(VLOOKUP($C374,COS!$B$8:$I$991,8,FALSE)=1,"UWFE","IBU")</f>
        <v>UWFE</v>
      </c>
      <c r="V374" s="30">
        <f t="shared" ref="V374" si="602">MIN(IF(IF($AA$3=2,AND(E374=1,G374=1,L374=1,L379=1,M374=1,U374="IBU"),AND(E374=1,G374=1,L374=1,L379=1,M374=1)),T374,0),I374)</f>
        <v>0</v>
      </c>
      <c r="W374" s="30"/>
      <c r="X374" s="30"/>
      <c r="Y374" s="30"/>
      <c r="Z374" s="30"/>
      <c r="AA374" s="30"/>
      <c r="AB374" s="31"/>
    </row>
    <row r="375" spans="1:28" x14ac:dyDescent="0.3">
      <c r="A375" s="32">
        <f>VLOOKUP(YEAR(C375),Flags!$A$13:$B$95,2,FALSE)</f>
        <v>3</v>
      </c>
      <c r="B375" s="24">
        <f t="shared" si="535"/>
        <v>1962</v>
      </c>
      <c r="C375" s="25">
        <v>22797</v>
      </c>
      <c r="D375" s="26">
        <f>VLOOKUP($C375,COS!$B$8:$H$991,3,FALSE)</f>
        <v>8163.22021484375</v>
      </c>
      <c r="E375" s="24">
        <f>IF(D375&gt;=IF(MONTH($C375)=4,$C$3,IF(MONTH($C375)=5,$C$4,IF(MONTH($C375)=6,$C$5,IF(MONTH($C375)=7,$C$6,"ERROR")))),1,0)</f>
        <v>1</v>
      </c>
      <c r="F375" s="26">
        <f>VLOOKUP($C375,COS!$B$8:$H$991,7,FALSE)</f>
        <v>49.783451080322266</v>
      </c>
      <c r="G375" s="24">
        <f>IF(F375&lt;=IF(MONTH($C375)=4,$F$3,IF(MONTH($C375)=5,$F$4,IF(MONTH($C375)=6,$F$5,IF(MONTH($C375)=7,$F$6,"ERROR")))),1,0)</f>
        <v>1</v>
      </c>
      <c r="H375" s="26">
        <f>IF(J375=1,D375-$C$4,0)</f>
        <v>2163.22021484375</v>
      </c>
      <c r="I375" s="26">
        <f t="shared" si="558"/>
        <v>133.01122643336777</v>
      </c>
      <c r="J375" s="24">
        <f t="shared" si="595"/>
        <v>1</v>
      </c>
      <c r="K375" s="26">
        <f>VLOOKUP($C375,COS!$B$8:$H$991,2,FALSE)</f>
        <v>4418.89453125</v>
      </c>
      <c r="L375" s="24">
        <f t="shared" si="537"/>
        <v>1</v>
      </c>
      <c r="M375" s="24">
        <f t="shared" si="538"/>
        <v>0</v>
      </c>
      <c r="N375" s="26">
        <f>VLOOKUP($C375,COS!$B$8:$H$991,5,FALSE)</f>
        <v>657.1561279296875</v>
      </c>
      <c r="O375" s="26">
        <f t="shared" si="598"/>
        <v>40.406955304106404</v>
      </c>
      <c r="P375" s="26">
        <f>VLOOKUP($C375,COS!$B$8:$H$991,6,FALSE)</f>
        <v>2288.578369140625</v>
      </c>
      <c r="Q375" s="26">
        <f t="shared" si="599"/>
        <v>140.71919889591942</v>
      </c>
      <c r="R375" s="26">
        <f>MIN(IF(MONTH($C375)=4,$S$3,IF(MONTH($C375)=5,$S$4,IF(MONTH($C375)=6,$S$5,IF(MONTH($C375)=7,$S$6,"ERROR")))),MAX(VLOOKUP($C375,COS!$B$8:$K$991,10,FALSE)-IF(MONTH($C375)=4,$Y$3,IF(MONTH($C375)=5,$Y$4,IF(MONTH($C375)=6,$Y$5,IF(MONTH($C375)=7,$Y$6,"ERROR")))),0),MAX(VLOOKUP($C375,COS!$B$8:$K$991,9,FALSE)-IF(MONTH($C375)=4,$V$3,IF(MONTH($C375)=5,$V$4,IF(MONTH($C375)=6,$V$5,IF(MONTH($C375)=7,$V$6,"ERROR"))))-VLOOKUP($C375,COS!$B$8:$K$991,6,FALSE)/2,0))</f>
        <v>1500</v>
      </c>
      <c r="S375" s="26">
        <f t="shared" si="600"/>
        <v>92.231404958677686</v>
      </c>
      <c r="T375" s="26">
        <f t="shared" si="601"/>
        <v>182.79448205869062</v>
      </c>
      <c r="U375" s="26" t="str">
        <f>IF(VLOOKUP($C375,COS!$B$8:$I$991,8,FALSE)=1,"UWFE","IBU")</f>
        <v>UWFE</v>
      </c>
      <c r="V375" s="26">
        <f t="shared" ref="V375" si="603">MIN(IF(IF($AA$3=2,AND(E375=1,G375=1,L375=1,L379=1,M375=1,U375="IBU"),AND(E375=1,G375=1,L375=1,L379=1,M375=1)),T375,0),I375)</f>
        <v>0</v>
      </c>
      <c r="W375" s="26"/>
      <c r="X375" s="26"/>
      <c r="Y375" s="26"/>
      <c r="Z375" s="26"/>
      <c r="AA375" s="26"/>
      <c r="AB375" s="33"/>
    </row>
    <row r="376" spans="1:28" x14ac:dyDescent="0.3">
      <c r="A376" s="32">
        <f>VLOOKUP(YEAR(C376),Flags!$A$13:$B$95,2,FALSE)</f>
        <v>3</v>
      </c>
      <c r="B376" s="24">
        <f t="shared" si="535"/>
        <v>1962</v>
      </c>
      <c r="C376" s="25">
        <v>22827</v>
      </c>
      <c r="D376" s="26">
        <f>VLOOKUP($C376,COS!$B$8:$H$991,3,FALSE)</f>
        <v>9541.0107421875</v>
      </c>
      <c r="E376" s="24">
        <f>IF(D376&gt;=IF(MONTH($C376)=4,$C$3,IF(MONTH($C376)=5,$C$4,IF(MONTH($C376)=6,$C$5,IF(MONTH($C376)=7,$C$6,"ERROR")))),1,0)</f>
        <v>0</v>
      </c>
      <c r="F376" s="26">
        <f>VLOOKUP($C376,COS!$B$8:$H$991,7,FALSE)</f>
        <v>50.677501678466797</v>
      </c>
      <c r="G376" s="24">
        <f>IF(F376&lt;=IF(MONTH($C376)=4,$F$3,IF(MONTH($C376)=5,$F$4,IF(MONTH($C376)=6,$F$5,IF(MONTH($C376)=7,$F$6,"ERROR")))),1,0)</f>
        <v>1</v>
      </c>
      <c r="H376" s="26">
        <f>IF(J376=1,D376-$C$5,0)</f>
        <v>0</v>
      </c>
      <c r="I376" s="26">
        <f t="shared" si="558"/>
        <v>0</v>
      </c>
      <c r="J376" s="24">
        <f t="shared" si="595"/>
        <v>0</v>
      </c>
      <c r="K376" s="26">
        <f>VLOOKUP($C376,COS!$B$8:$H$991,2,FALSE)</f>
        <v>4081.933837890625</v>
      </c>
      <c r="L376" s="24">
        <f t="shared" si="537"/>
        <v>1</v>
      </c>
      <c r="M376" s="24">
        <f t="shared" si="538"/>
        <v>0</v>
      </c>
      <c r="N376" s="26">
        <f>VLOOKUP($C376,COS!$B$8:$H$991,5,FALSE)</f>
        <v>805.975830078125</v>
      </c>
      <c r="O376" s="26">
        <f t="shared" si="598"/>
        <v>47.95889236828512</v>
      </c>
      <c r="P376" s="26">
        <f>VLOOKUP($C376,COS!$B$8:$H$991,6,FALSE)</f>
        <v>2523.65283203125</v>
      </c>
      <c r="Q376" s="26">
        <f t="shared" si="599"/>
        <v>150.1677718233471</v>
      </c>
      <c r="R376" s="26">
        <f>MIN(IF(MONTH($C376)=4,$S$3,IF(MONTH($C376)=5,$S$4,IF(MONTH($C376)=6,$S$5,IF(MONTH($C376)=7,$S$6,"ERROR")))),MAX(VLOOKUP($C376,COS!$B$8:$K$991,10,FALSE)-IF(MONTH($C376)=4,$Y$3,IF(MONTH($C376)=5,$Y$4,IF(MONTH($C376)=6,$Y$5,IF(MONTH($C376)=7,$Y$6,"ERROR")))),0),MAX(VLOOKUP($C376,COS!$B$8:$K$991,9,FALSE)-IF(MONTH($C376)=4,$V$3,IF(MONTH($C376)=5,$V$4,IF(MONTH($C376)=6,$V$5,IF(MONTH($C376)=7,$V$6,"ERROR"))))-VLOOKUP($C376,COS!$B$8:$K$991,6,FALSE)/2,0))</f>
        <v>1500</v>
      </c>
      <c r="S376" s="26">
        <f t="shared" si="600"/>
        <v>89.256198347107429</v>
      </c>
      <c r="T376" s="26">
        <f t="shared" si="601"/>
        <v>188.31953044292354</v>
      </c>
      <c r="U376" s="26" t="str">
        <f>IF(VLOOKUP($C376,COS!$B$8:$I$991,8,FALSE)=1,"UWFE","IBU")</f>
        <v>IBU</v>
      </c>
      <c r="V376" s="26">
        <f t="shared" ref="V376" si="604">MIN(IF(IF($AA$3=2,AND(E376=1,G376=1,L376=1,L379=1,M376=1,U376="IBU"),AND(E376=1,G376=1,L376=1,L379=1,M376=1)),T376,0),I376)</f>
        <v>0</v>
      </c>
      <c r="W376" s="26"/>
      <c r="X376" s="26"/>
      <c r="Y376" s="26"/>
      <c r="Z376" s="26"/>
      <c r="AA376" s="26"/>
      <c r="AB376" s="33"/>
    </row>
    <row r="377" spans="1:28" x14ac:dyDescent="0.3">
      <c r="A377" s="32">
        <f>VLOOKUP(YEAR(C377),Flags!$A$13:$B$95,2,FALSE)</f>
        <v>3</v>
      </c>
      <c r="B377" s="24">
        <f t="shared" si="535"/>
        <v>1962</v>
      </c>
      <c r="C377" s="25">
        <v>22858</v>
      </c>
      <c r="D377" s="26">
        <f>VLOOKUP($C377,COS!$B$8:$H$991,3,FALSE)</f>
        <v>15542.783203125</v>
      </c>
      <c r="E377" s="24">
        <f>IF(D377&gt;=IF(MONTH($C377)=4,$C$3,IF(MONTH($C377)=5,$C$4,IF(MONTH($C377)=6,$C$5,IF(MONTH($C377)=7,$C$6,"ERROR")))),1,0)</f>
        <v>1</v>
      </c>
      <c r="F377" s="26">
        <f>VLOOKUP($C377,COS!$B$8:$H$991,7,FALSE)</f>
        <v>50.507843017578125</v>
      </c>
      <c r="G377" s="24">
        <f>IF(F377&lt;=IF(MONTH($C377)=4,$F$3,IF(MONTH($C377)=5,$F$4,IF(MONTH($C377)=6,$F$5,IF(MONTH($C377)=7,$F$6,"ERROR")))),1,0)</f>
        <v>1</v>
      </c>
      <c r="H377" s="26">
        <f>IF(J377=1,D377-$C$6,0)</f>
        <v>3542.783203125</v>
      </c>
      <c r="I377" s="26">
        <f t="shared" si="558"/>
        <v>217.83724819214873</v>
      </c>
      <c r="J377" s="24">
        <f t="shared" si="595"/>
        <v>1</v>
      </c>
      <c r="K377" s="26">
        <f>VLOOKUP($C377,COS!$B$8:$H$991,2,FALSE)</f>
        <v>3381.171142578125</v>
      </c>
      <c r="L377" s="24">
        <f t="shared" si="537"/>
        <v>1</v>
      </c>
      <c r="M377" s="24">
        <f t="shared" si="538"/>
        <v>0</v>
      </c>
      <c r="N377" s="26">
        <f>VLOOKUP($C377,COS!$B$8:$H$991,5,FALSE)</f>
        <v>930.34075927734375</v>
      </c>
      <c r="O377" s="26">
        <f t="shared" si="598"/>
        <v>57.20442354564824</v>
      </c>
      <c r="P377" s="26">
        <f>VLOOKUP($C377,COS!$B$8:$H$991,6,FALSE)</f>
        <v>2537.385498046875</v>
      </c>
      <c r="Q377" s="26">
        <f t="shared" si="599"/>
        <v>156.01775293775825</v>
      </c>
      <c r="R377" s="26">
        <f>MIN(IF(MONTH($C377)=4,$S$3,IF(MONTH($C377)=5,$S$4,IF(MONTH($C377)=6,$S$5,IF(MONTH($C377)=7,$S$6,"ERROR")))),MAX(VLOOKUP($C377,COS!$B$8:$K$991,10,FALSE)-IF(MONTH($C377)=4,$Y$3,IF(MONTH($C377)=5,$Y$4,IF(MONTH($C377)=6,$Y$5,IF(MONTH($C377)=7,$Y$6,"ERROR")))),0),MAX(VLOOKUP($C377,COS!$B$8:$K$991,9,FALSE)-IF(MONTH($C377)=4,$V$3,IF(MONTH($C377)=5,$V$4,IF(MONTH($C377)=6,$V$5,IF(MONTH($C377)=7,$V$6,"ERROR"))))-VLOOKUP($C377,COS!$B$8:$K$991,6,FALSE)/2,0))</f>
        <v>1500</v>
      </c>
      <c r="S377" s="26">
        <f t="shared" si="600"/>
        <v>92.231404958677686</v>
      </c>
      <c r="T377" s="26">
        <f t="shared" si="601"/>
        <v>198.84249320038094</v>
      </c>
      <c r="U377" s="26" t="str">
        <f>IF(VLOOKUP($C377,COS!$B$8:$I$991,8,FALSE)=1,"UWFE","IBU")</f>
        <v>IBU</v>
      </c>
      <c r="V377" s="26">
        <f t="shared" ref="V377" si="605">MIN(IF(IF($AA$3=2,AND(E377=1,G377=1,L377=1,L379=1,M377=1,U377="IBU"),AND(E377=1,G377=1,L377=1,L379=1,M377=1)),T377,0),I377)</f>
        <v>0</v>
      </c>
      <c r="W377" s="26"/>
      <c r="X377" s="26"/>
      <c r="Y377" s="26"/>
      <c r="Z377" s="26"/>
      <c r="AA377" s="26"/>
      <c r="AB377" s="33"/>
    </row>
    <row r="378" spans="1:28" x14ac:dyDescent="0.3">
      <c r="A378" s="32">
        <f>VLOOKUP(YEAR(C378),Flags!$A$13:$B$95,2,FALSE)</f>
        <v>3</v>
      </c>
      <c r="B378" s="24">
        <f t="shared" si="535"/>
        <v>1962</v>
      </c>
      <c r="C378" s="25">
        <v>22889</v>
      </c>
      <c r="D378" s="26"/>
      <c r="E378" s="24"/>
      <c r="F378" s="26"/>
      <c r="G378" s="24"/>
      <c r="H378" s="24"/>
      <c r="I378" s="26"/>
      <c r="J378" s="24"/>
      <c r="K378" s="26"/>
      <c r="L378" s="24"/>
      <c r="M378" s="24"/>
      <c r="N378" s="26"/>
      <c r="O378" s="26"/>
      <c r="P378" s="26"/>
      <c r="Q378" s="26"/>
      <c r="R378" s="26"/>
      <c r="S378" s="26"/>
      <c r="T378" s="26"/>
      <c r="U378" s="26"/>
      <c r="V378" s="26"/>
      <c r="W378" s="26">
        <f>MAX($C$7-VLOOKUP($C378,COS!$B$8:$H$991,3,FALSE),0)</f>
        <v>2502.505859375</v>
      </c>
      <c r="X378" s="26">
        <f t="shared" si="562"/>
        <v>153.8730875516529</v>
      </c>
      <c r="Y378" s="26">
        <f>VLOOKUP($C378,COS!$B$8:$H$991,4,FALSE)</f>
        <v>326.0140380859375</v>
      </c>
      <c r="Z378" s="26">
        <f t="shared" si="563"/>
        <v>20.045821845945248</v>
      </c>
      <c r="AA378" s="26">
        <f t="shared" ref="AA378:AA382" si="606">MIN(W378,Y378)</f>
        <v>326.0140380859375</v>
      </c>
      <c r="AB378" s="33">
        <f t="shared" ref="AB378" si="607">AA378*DAY($C378)*86400/43560/1000*IF(MONTH($C378)=8,$P$3,IF(MONTH($C378)=9,$P$4,IF(MONTH($C378)=10,$P$5,IF(MONTH($C378)=11,$P$6,IF(MONTH($C378)=12,$P$7,NA())))))</f>
        <v>20.045821845945248</v>
      </c>
    </row>
    <row r="379" spans="1:28" x14ac:dyDescent="0.3">
      <c r="A379" s="32">
        <f>VLOOKUP(YEAR(C379),Flags!$A$13:$B$95,2,FALSE)</f>
        <v>3</v>
      </c>
      <c r="B379" s="24">
        <f t="shared" si="535"/>
        <v>1962</v>
      </c>
      <c r="C379" s="25">
        <v>22919</v>
      </c>
      <c r="D379" s="26"/>
      <c r="E379" s="24"/>
      <c r="F379" s="26"/>
      <c r="G379" s="24"/>
      <c r="H379" s="24"/>
      <c r="I379" s="26"/>
      <c r="J379" s="24"/>
      <c r="K379" s="26">
        <f>VLOOKUP($C379,COS!$B$8:$H$991,2,FALSE)</f>
        <v>3012.717529296875</v>
      </c>
      <c r="L379" s="24">
        <f t="shared" ref="L379" si="608">IF(AND(K379&gt;$I$7,K379&lt;$I$8),1,0)</f>
        <v>1</v>
      </c>
      <c r="M379" s="24"/>
      <c r="N379" s="26"/>
      <c r="O379" s="26"/>
      <c r="P379" s="26"/>
      <c r="Q379" s="26"/>
      <c r="R379" s="26"/>
      <c r="S379" s="26"/>
      <c r="T379" s="26"/>
      <c r="U379" s="26"/>
      <c r="V379" s="26"/>
      <c r="W379" s="26">
        <f>MAX($C$8-VLOOKUP($C379,COS!$B$8:$H$991,3,FALSE),0)</f>
        <v>564.63525390625</v>
      </c>
      <c r="X379" s="26">
        <f t="shared" si="562"/>
        <v>33.598130810950408</v>
      </c>
      <c r="Y379" s="26">
        <f>VLOOKUP($C379,COS!$B$8:$H$991,4,FALSE)</f>
        <v>0</v>
      </c>
      <c r="Z379" s="26">
        <f t="shared" si="563"/>
        <v>0</v>
      </c>
      <c r="AA379" s="26">
        <f t="shared" si="606"/>
        <v>0</v>
      </c>
      <c r="AB379" s="33">
        <f t="shared" si="548"/>
        <v>0</v>
      </c>
    </row>
    <row r="380" spans="1:28" x14ac:dyDescent="0.3">
      <c r="A380" s="32">
        <f>VLOOKUP(YEAR(C380),Flags!$A$13:$B$95,2,FALSE)</f>
        <v>3</v>
      </c>
      <c r="B380" s="24">
        <f t="shared" si="535"/>
        <v>1962</v>
      </c>
      <c r="C380" s="25">
        <v>22950</v>
      </c>
      <c r="D380" s="26"/>
      <c r="E380" s="24"/>
      <c r="F380" s="26"/>
      <c r="G380" s="26"/>
      <c r="H380" s="26"/>
      <c r="I380" s="26"/>
      <c r="J380" s="26"/>
      <c r="K380" s="26"/>
      <c r="L380" s="24"/>
      <c r="M380" s="24"/>
      <c r="N380" s="26"/>
      <c r="O380" s="26"/>
      <c r="P380" s="26"/>
      <c r="Q380" s="26"/>
      <c r="R380" s="26"/>
      <c r="S380" s="26"/>
      <c r="T380" s="26"/>
      <c r="U380" s="26"/>
      <c r="V380" s="26"/>
      <c r="W380" s="26">
        <f>MAX($C$9-VLOOKUP($C380,COS!$B$8:$H$991,3,FALSE),0)</f>
        <v>0</v>
      </c>
      <c r="X380" s="26">
        <f t="shared" si="562"/>
        <v>0</v>
      </c>
      <c r="Y380" s="26">
        <f>VLOOKUP($C380,COS!$B$8:$H$991,4,FALSE)</f>
        <v>0</v>
      </c>
      <c r="Z380" s="26">
        <f t="shared" si="563"/>
        <v>0</v>
      </c>
      <c r="AA380" s="26">
        <f t="shared" si="606"/>
        <v>0</v>
      </c>
      <c r="AB380" s="33">
        <f t="shared" si="548"/>
        <v>0</v>
      </c>
    </row>
    <row r="381" spans="1:28" x14ac:dyDescent="0.3">
      <c r="A381" s="32">
        <f>VLOOKUP(YEAR(C381),Flags!$A$13:$B$95,2,FALSE)</f>
        <v>3</v>
      </c>
      <c r="B381" s="24">
        <f t="shared" si="535"/>
        <v>1962</v>
      </c>
      <c r="C381" s="25">
        <v>22980</v>
      </c>
      <c r="D381" s="26"/>
      <c r="E381" s="24"/>
      <c r="F381" s="26"/>
      <c r="G381" s="26"/>
      <c r="H381" s="26"/>
      <c r="I381" s="26"/>
      <c r="J381" s="26"/>
      <c r="K381" s="26"/>
      <c r="L381" s="24"/>
      <c r="M381" s="24"/>
      <c r="N381" s="26"/>
      <c r="O381" s="26"/>
      <c r="P381" s="26"/>
      <c r="Q381" s="26"/>
      <c r="R381" s="26"/>
      <c r="S381" s="26"/>
      <c r="T381" s="26"/>
      <c r="U381" s="26"/>
      <c r="V381" s="26"/>
      <c r="W381" s="26">
        <f>MAX($C$10-VLOOKUP($C381,COS!$B$8:$H$991,3,FALSE),0)</f>
        <v>0</v>
      </c>
      <c r="X381" s="26">
        <f t="shared" si="562"/>
        <v>0</v>
      </c>
      <c r="Y381" s="26">
        <f>VLOOKUP($C381,COS!$B$8:$H$991,4,FALSE)</f>
        <v>0</v>
      </c>
      <c r="Z381" s="26">
        <f t="shared" si="563"/>
        <v>0</v>
      </c>
      <c r="AA381" s="26">
        <f t="shared" si="606"/>
        <v>0</v>
      </c>
      <c r="AB381" s="33">
        <f t="shared" si="548"/>
        <v>0</v>
      </c>
    </row>
    <row r="382" spans="1:28" x14ac:dyDescent="0.3">
      <c r="A382" s="34">
        <f>VLOOKUP(YEAR(C382),Flags!$A$13:$B$95,2,FALSE)</f>
        <v>3</v>
      </c>
      <c r="B382" s="35">
        <f t="shared" si="535"/>
        <v>1962</v>
      </c>
      <c r="C382" s="36">
        <v>23011</v>
      </c>
      <c r="D382" s="37"/>
      <c r="E382" s="35"/>
      <c r="F382" s="37"/>
      <c r="G382" s="37"/>
      <c r="H382" s="37"/>
      <c r="I382" s="37"/>
      <c r="J382" s="37"/>
      <c r="K382" s="37"/>
      <c r="L382" s="35"/>
      <c r="M382" s="35"/>
      <c r="N382" s="37"/>
      <c r="O382" s="37"/>
      <c r="P382" s="37"/>
      <c r="Q382" s="37"/>
      <c r="R382" s="37"/>
      <c r="S382" s="37"/>
      <c r="T382" s="37"/>
      <c r="U382" s="37"/>
      <c r="V382" s="37"/>
      <c r="W382" s="37">
        <f>MAX($C$11-VLOOKUP($C382,COS!$B$8:$H$991,3,FALSE),0)</f>
        <v>0</v>
      </c>
      <c r="X382" s="37">
        <f t="shared" si="562"/>
        <v>0</v>
      </c>
      <c r="Y382" s="37">
        <f>VLOOKUP($C382,COS!$B$8:$H$991,4,FALSE)</f>
        <v>0</v>
      </c>
      <c r="Z382" s="37">
        <f t="shared" si="563"/>
        <v>0</v>
      </c>
      <c r="AA382" s="37">
        <f t="shared" si="606"/>
        <v>0</v>
      </c>
      <c r="AB382" s="38">
        <f t="shared" si="548"/>
        <v>0</v>
      </c>
    </row>
    <row r="383" spans="1:28" x14ac:dyDescent="0.3">
      <c r="A383" s="27">
        <f>VLOOKUP(YEAR(C383),Flags!$A$13:$B$95,2,FALSE)</f>
        <v>1</v>
      </c>
      <c r="B383" s="28">
        <f t="shared" si="535"/>
        <v>1963</v>
      </c>
      <c r="C383" s="29">
        <v>23131</v>
      </c>
      <c r="D383" s="30">
        <f>VLOOKUP($C383,COS!$B$8:$H$991,3,FALSE)</f>
        <v>30893.44921875</v>
      </c>
      <c r="E383" s="28">
        <f>IF(D383&gt;=IF(MONTH($C383)=4,$C$3,IF(MONTH($C383)=5,$C$4,IF(MONTH($C383)=6,$C$5,IF(MONTH($C383)=7,$C$6,"ERROR")))),1,0)</f>
        <v>1</v>
      </c>
      <c r="F383" s="30">
        <f>VLOOKUP($C383,COS!$B$8:$H$991,7,FALSE)</f>
        <v>48.021064758300781</v>
      </c>
      <c r="G383" s="28">
        <f>IF(F383&lt;=IF(MONTH($C383)=4,$F$3,IF(MONTH($C383)=5,$F$4,IF(MONTH($C383)=6,$F$5,IF(MONTH($C383)=7,$F$6,"ERROR")))),1,0)</f>
        <v>1</v>
      </c>
      <c r="H383" s="30">
        <f>IF(J383=1,D383-$C$3,0)</f>
        <v>24893.44921875</v>
      </c>
      <c r="I383" s="30">
        <f t="shared" si="558"/>
        <v>1481.2630940082643</v>
      </c>
      <c r="J383" s="28">
        <f t="shared" ref="J383:J386" si="609">IF(AND(E383=1,G383=1),1,0)</f>
        <v>1</v>
      </c>
      <c r="K383" s="30">
        <f>VLOOKUP($C383,COS!$B$8:$H$991,2,FALSE)</f>
        <v>4137</v>
      </c>
      <c r="L383" s="28">
        <f t="shared" ref="L383" si="610">IF(K383&lt;=IF(MONTH($C383)=4,$I$3,IF(MONTH($C383)=5,$I$4,IF(MONTH($C383)=6,$I$5,IF(MONTH($C383)=7,$I$6,"ERROR")))),1,0)</f>
        <v>1</v>
      </c>
      <c r="M383" s="28">
        <f t="shared" ref="M383" si="611">VLOOKUP($A383,$L$3:$M$7,2,FALSE)</f>
        <v>0</v>
      </c>
      <c r="N383" s="30">
        <f>VLOOKUP($C383,COS!$B$8:$H$991,5,FALSE)</f>
        <v>15.700532913208008</v>
      </c>
      <c r="O383" s="30">
        <f t="shared" ref="O383:O386" si="612">N383*DAY($C383)*86400/43560/1000</f>
        <v>0.93424658657105497</v>
      </c>
      <c r="P383" s="30">
        <f>VLOOKUP($C383,COS!$B$8:$H$991,6,FALSE)</f>
        <v>254.50013732910156</v>
      </c>
      <c r="Q383" s="30">
        <f t="shared" ref="Q383:Q386" si="613">P383*DAY($C383)*86400/43560/1000</f>
        <v>15.143809824541581</v>
      </c>
      <c r="R383" s="30">
        <f>MIN(IF(MONTH($C383)=4,$S$3,IF(MONTH($C383)=5,$S$4,IF(MONTH($C383)=6,$S$5,IF(MONTH($C383)=7,$S$6,"ERROR")))),MAX(VLOOKUP($C383,COS!$B$8:$K$991,10,FALSE)-IF(MONTH($C383)=4,$Y$3,IF(MONTH($C383)=5,$Y$4,IF(MONTH($C383)=6,$Y$5,IF(MONTH($C383)=7,$Y$6,"ERROR")))),0),MAX(VLOOKUP($C383,COS!$B$8:$K$991,9,FALSE)-IF(MONTH($C383)=4,$V$3,IF(MONTH($C383)=5,$V$4,IF(MONTH($C383)=6,$V$5,IF(MONTH($C383)=7,$V$6,"ERROR"))))-VLOOKUP($C383,COS!$B$8:$K$991,6,FALSE)/2,0))</f>
        <v>1500</v>
      </c>
      <c r="S383" s="30">
        <f t="shared" ref="S383:S386" si="614">R383*DAY($C383)*86400/43560/1000</f>
        <v>89.256198347107429</v>
      </c>
      <c r="T383" s="30">
        <f t="shared" ref="T383:T386" si="615">(O383+Q383)/2+S383</f>
        <v>97.295226552663749</v>
      </c>
      <c r="U383" s="30" t="str">
        <f>IF(VLOOKUP($C383,COS!$B$8:$I$991,8,FALSE)=1,"UWFE","IBU")</f>
        <v>UWFE</v>
      </c>
      <c r="V383" s="30">
        <f t="shared" ref="V383" si="616">MIN(IF(IF($AA$3=2,AND(E383=1,G383=1,L383=1,L388=1,M383=1,U383="IBU"),AND(E383=1,G383=1,L383=1,L388=1,M383=1)),T383,0),I383)</f>
        <v>0</v>
      </c>
      <c r="W383" s="30"/>
      <c r="X383" s="30"/>
      <c r="Y383" s="30"/>
      <c r="Z383" s="30"/>
      <c r="AA383" s="30"/>
      <c r="AB383" s="31"/>
    </row>
    <row r="384" spans="1:28" x14ac:dyDescent="0.3">
      <c r="A384" s="32">
        <f>VLOOKUP(YEAR(C384),Flags!$A$13:$B$95,2,FALSE)</f>
        <v>1</v>
      </c>
      <c r="B384" s="24">
        <f t="shared" si="535"/>
        <v>1963</v>
      </c>
      <c r="C384" s="25">
        <v>23162</v>
      </c>
      <c r="D384" s="26">
        <f>VLOOKUP($C384,COS!$B$8:$H$991,3,FALSE)</f>
        <v>4724.07177734375</v>
      </c>
      <c r="E384" s="24">
        <f>IF(D384&gt;=IF(MONTH($C384)=4,$C$3,IF(MONTH($C384)=5,$C$4,IF(MONTH($C384)=6,$C$5,IF(MONTH($C384)=7,$C$6,"ERROR")))),1,0)</f>
        <v>0</v>
      </c>
      <c r="F384" s="26">
        <f>VLOOKUP($C384,COS!$B$8:$H$991,7,FALSE)</f>
        <v>52.657608032226563</v>
      </c>
      <c r="G384" s="24">
        <f>IF(F384&lt;=IF(MONTH($C384)=4,$F$3,IF(MONTH($C384)=5,$F$4,IF(MONTH($C384)=6,$F$5,IF(MONTH($C384)=7,$F$6,"ERROR")))),1,0)</f>
        <v>1</v>
      </c>
      <c r="H384" s="26">
        <f>IF(J384=1,D384-$C$4,0)</f>
        <v>0</v>
      </c>
      <c r="I384" s="26">
        <f t="shared" si="558"/>
        <v>0</v>
      </c>
      <c r="J384" s="24">
        <f t="shared" si="609"/>
        <v>0</v>
      </c>
      <c r="K384" s="26">
        <f>VLOOKUP($C384,COS!$B$8:$H$991,2,FALSE)</f>
        <v>4552</v>
      </c>
      <c r="L384" s="24">
        <f t="shared" si="537"/>
        <v>1</v>
      </c>
      <c r="M384" s="24">
        <f t="shared" si="538"/>
        <v>0</v>
      </c>
      <c r="N384" s="26">
        <f>VLOOKUP($C384,COS!$B$8:$H$991,5,FALSE)</f>
        <v>528.83221435546875</v>
      </c>
      <c r="O384" s="26">
        <f t="shared" si="612"/>
        <v>32.516625411608985</v>
      </c>
      <c r="P384" s="26">
        <f>VLOOKUP($C384,COS!$B$8:$H$991,6,FALSE)</f>
        <v>2086.376220703125</v>
      </c>
      <c r="Q384" s="26">
        <f t="shared" si="613"/>
        <v>128.28627340521695</v>
      </c>
      <c r="R384" s="26">
        <f>MIN(IF(MONTH($C384)=4,$S$3,IF(MONTH($C384)=5,$S$4,IF(MONTH($C384)=6,$S$5,IF(MONTH($C384)=7,$S$6,"ERROR")))),MAX(VLOOKUP($C384,COS!$B$8:$K$991,10,FALSE)-IF(MONTH($C384)=4,$Y$3,IF(MONTH($C384)=5,$Y$4,IF(MONTH($C384)=6,$Y$5,IF(MONTH($C384)=7,$Y$6,"ERROR")))),0),MAX(VLOOKUP($C384,COS!$B$8:$K$991,9,FALSE)-IF(MONTH($C384)=4,$V$3,IF(MONTH($C384)=5,$V$4,IF(MONTH($C384)=6,$V$5,IF(MONTH($C384)=7,$V$6,"ERROR"))))-VLOOKUP($C384,COS!$B$8:$K$991,6,FALSE)/2,0))</f>
        <v>1500</v>
      </c>
      <c r="S384" s="26">
        <f t="shared" si="614"/>
        <v>92.231404958677686</v>
      </c>
      <c r="T384" s="26">
        <f t="shared" si="615"/>
        <v>172.63285436709066</v>
      </c>
      <c r="U384" s="26" t="str">
        <f>IF(VLOOKUP($C384,COS!$B$8:$I$991,8,FALSE)=1,"UWFE","IBU")</f>
        <v>UWFE</v>
      </c>
      <c r="V384" s="26">
        <f t="shared" ref="V384" si="617">MIN(IF(IF($AA$3=2,AND(E384=1,G384=1,L384=1,L388=1,M384=1,U384="IBU"),AND(E384=1,G384=1,L384=1,L388=1,M384=1)),T384,0),I384)</f>
        <v>0</v>
      </c>
      <c r="W384" s="26"/>
      <c r="X384" s="26"/>
      <c r="Y384" s="26"/>
      <c r="Z384" s="26"/>
      <c r="AA384" s="26"/>
      <c r="AB384" s="33"/>
    </row>
    <row r="385" spans="1:28" x14ac:dyDescent="0.3">
      <c r="A385" s="32">
        <f>VLOOKUP(YEAR(C385),Flags!$A$13:$B$95,2,FALSE)</f>
        <v>1</v>
      </c>
      <c r="B385" s="24">
        <f t="shared" si="535"/>
        <v>1963</v>
      </c>
      <c r="C385" s="25">
        <v>23192</v>
      </c>
      <c r="D385" s="26">
        <f>VLOOKUP($C385,COS!$B$8:$H$991,3,FALSE)</f>
        <v>8594.71875</v>
      </c>
      <c r="E385" s="24">
        <f>IF(D385&gt;=IF(MONTH($C385)=4,$C$3,IF(MONTH($C385)=5,$C$4,IF(MONTH($C385)=6,$C$5,IF(MONTH($C385)=7,$C$6,"ERROR")))),1,0)</f>
        <v>0</v>
      </c>
      <c r="F385" s="26">
        <f>VLOOKUP($C385,COS!$B$8:$H$991,7,FALSE)</f>
        <v>52.543663024902344</v>
      </c>
      <c r="G385" s="24">
        <f>IF(F385&lt;=IF(MONTH($C385)=4,$F$3,IF(MONTH($C385)=5,$F$4,IF(MONTH($C385)=6,$F$5,IF(MONTH($C385)=7,$F$6,"ERROR")))),1,0)</f>
        <v>1</v>
      </c>
      <c r="H385" s="26">
        <f>IF(J385=1,D385-$C$5,0)</f>
        <v>0</v>
      </c>
      <c r="I385" s="26">
        <f t="shared" si="558"/>
        <v>0</v>
      </c>
      <c r="J385" s="24">
        <f t="shared" si="609"/>
        <v>0</v>
      </c>
      <c r="K385" s="26">
        <f>VLOOKUP($C385,COS!$B$8:$H$991,2,FALSE)</f>
        <v>4318.48828125</v>
      </c>
      <c r="L385" s="24">
        <f t="shared" si="537"/>
        <v>1</v>
      </c>
      <c r="M385" s="24">
        <f t="shared" si="538"/>
        <v>0</v>
      </c>
      <c r="N385" s="26">
        <f>VLOOKUP($C385,COS!$B$8:$H$991,5,FALSE)</f>
        <v>1228.4559326171875</v>
      </c>
      <c r="O385" s="26">
        <f t="shared" si="612"/>
        <v>73.098204254907031</v>
      </c>
      <c r="P385" s="26">
        <f>VLOOKUP($C385,COS!$B$8:$H$991,6,FALSE)</f>
        <v>2324.6142578125</v>
      </c>
      <c r="Q385" s="26">
        <f t="shared" si="613"/>
        <v>138.3241541838843</v>
      </c>
      <c r="R385" s="26">
        <f>MIN(IF(MONTH($C385)=4,$S$3,IF(MONTH($C385)=5,$S$4,IF(MONTH($C385)=6,$S$5,IF(MONTH($C385)=7,$S$6,"ERROR")))),MAX(VLOOKUP($C385,COS!$B$8:$K$991,10,FALSE)-IF(MONTH($C385)=4,$Y$3,IF(MONTH($C385)=5,$Y$4,IF(MONTH($C385)=6,$Y$5,IF(MONTH($C385)=7,$Y$6,"ERROR")))),0),MAX(VLOOKUP($C385,COS!$B$8:$K$991,9,FALSE)-IF(MONTH($C385)=4,$V$3,IF(MONTH($C385)=5,$V$4,IF(MONTH($C385)=6,$V$5,IF(MONTH($C385)=7,$V$6,"ERROR"))))-VLOOKUP($C385,COS!$B$8:$K$991,6,FALSE)/2,0))</f>
        <v>1500</v>
      </c>
      <c r="S385" s="26">
        <f t="shared" si="614"/>
        <v>89.256198347107429</v>
      </c>
      <c r="T385" s="26">
        <f t="shared" si="615"/>
        <v>194.9673775665031</v>
      </c>
      <c r="U385" s="26" t="str">
        <f>IF(VLOOKUP($C385,COS!$B$8:$I$991,8,FALSE)=1,"UWFE","IBU")</f>
        <v>IBU</v>
      </c>
      <c r="V385" s="26">
        <f t="shared" ref="V385" si="618">MIN(IF(IF($AA$3=2,AND(E385=1,G385=1,L385=1,L388=1,M385=1,U385="IBU"),AND(E385=1,G385=1,L385=1,L388=1,M385=1)),T385,0),I385)</f>
        <v>0</v>
      </c>
      <c r="W385" s="26"/>
      <c r="X385" s="26"/>
      <c r="Y385" s="26"/>
      <c r="Z385" s="26"/>
      <c r="AA385" s="26"/>
      <c r="AB385" s="33"/>
    </row>
    <row r="386" spans="1:28" x14ac:dyDescent="0.3">
      <c r="A386" s="32">
        <f>VLOOKUP(YEAR(C386),Flags!$A$13:$B$95,2,FALSE)</f>
        <v>1</v>
      </c>
      <c r="B386" s="24">
        <f t="shared" si="535"/>
        <v>1963</v>
      </c>
      <c r="C386" s="25">
        <v>23223</v>
      </c>
      <c r="D386" s="26">
        <f>VLOOKUP($C386,COS!$B$8:$H$991,3,FALSE)</f>
        <v>16000</v>
      </c>
      <c r="E386" s="24">
        <f>IF(D386&gt;=IF(MONTH($C386)=4,$C$3,IF(MONTH($C386)=5,$C$4,IF(MONTH($C386)=6,$C$5,IF(MONTH($C386)=7,$C$6,"ERROR")))),1,0)</f>
        <v>1</v>
      </c>
      <c r="F386" s="26">
        <f>VLOOKUP($C386,COS!$B$8:$H$991,7,FALSE)</f>
        <v>52.109561920166016</v>
      </c>
      <c r="G386" s="24">
        <f>IF(F386&lt;=IF(MONTH($C386)=4,$F$3,IF(MONTH($C386)=5,$F$4,IF(MONTH($C386)=6,$F$5,IF(MONTH($C386)=7,$F$6,"ERROR")))),1,0)</f>
        <v>1</v>
      </c>
      <c r="H386" s="26">
        <f>IF(J386=1,D386-$C$6,0)</f>
        <v>4000</v>
      </c>
      <c r="I386" s="26">
        <f t="shared" si="558"/>
        <v>245.95041322314049</v>
      </c>
      <c r="J386" s="24">
        <f t="shared" si="609"/>
        <v>1</v>
      </c>
      <c r="K386" s="26">
        <f>VLOOKUP($C386,COS!$B$8:$H$991,2,FALSE)</f>
        <v>3649.526611328125</v>
      </c>
      <c r="L386" s="24">
        <f t="shared" si="537"/>
        <v>1</v>
      </c>
      <c r="M386" s="24">
        <f t="shared" si="538"/>
        <v>0</v>
      </c>
      <c r="N386" s="26">
        <f>VLOOKUP($C386,COS!$B$8:$H$991,5,FALSE)</f>
        <v>1381.7017822265625</v>
      </c>
      <c r="O386" s="26">
        <f t="shared" si="612"/>
        <v>84.957531072443174</v>
      </c>
      <c r="P386" s="26">
        <f>VLOOKUP($C386,COS!$B$8:$H$991,6,FALSE)</f>
        <v>2521.474853515625</v>
      </c>
      <c r="Q386" s="26">
        <f t="shared" si="613"/>
        <v>155.0394455384814</v>
      </c>
      <c r="R386" s="26">
        <f>MIN(IF(MONTH($C386)=4,$S$3,IF(MONTH($C386)=5,$S$4,IF(MONTH($C386)=6,$S$5,IF(MONTH($C386)=7,$S$6,"ERROR")))),MAX(VLOOKUP($C386,COS!$B$8:$K$991,10,FALSE)-IF(MONTH($C386)=4,$Y$3,IF(MONTH($C386)=5,$Y$4,IF(MONTH($C386)=6,$Y$5,IF(MONTH($C386)=7,$Y$6,"ERROR")))),0),MAX(VLOOKUP($C386,COS!$B$8:$K$991,9,FALSE)-IF(MONTH($C386)=4,$V$3,IF(MONTH($C386)=5,$V$4,IF(MONTH($C386)=6,$V$5,IF(MONTH($C386)=7,$V$6,"ERROR"))))-VLOOKUP($C386,COS!$B$8:$K$991,6,FALSE)/2,0))</f>
        <v>1500</v>
      </c>
      <c r="S386" s="26">
        <f t="shared" si="614"/>
        <v>92.231404958677686</v>
      </c>
      <c r="T386" s="26">
        <f t="shared" si="615"/>
        <v>212.22989326413997</v>
      </c>
      <c r="U386" s="26" t="str">
        <f>IF(VLOOKUP($C386,COS!$B$8:$I$991,8,FALSE)=1,"UWFE","IBU")</f>
        <v>IBU</v>
      </c>
      <c r="V386" s="26">
        <f t="shared" ref="V386" si="619">MIN(IF(IF($AA$3=2,AND(E386=1,G386=1,L386=1,L388=1,M386=1,U386="IBU"),AND(E386=1,G386=1,L386=1,L388=1,M386=1)),T386,0),I386)</f>
        <v>0</v>
      </c>
      <c r="W386" s="26"/>
      <c r="X386" s="26"/>
      <c r="Y386" s="26"/>
      <c r="Z386" s="26"/>
      <c r="AA386" s="26"/>
      <c r="AB386" s="33"/>
    </row>
    <row r="387" spans="1:28" x14ac:dyDescent="0.3">
      <c r="A387" s="32">
        <f>VLOOKUP(YEAR(C387),Flags!$A$13:$B$95,2,FALSE)</f>
        <v>1</v>
      </c>
      <c r="B387" s="24">
        <f t="shared" si="535"/>
        <v>1963</v>
      </c>
      <c r="C387" s="25">
        <v>23254</v>
      </c>
      <c r="D387" s="26"/>
      <c r="E387" s="24"/>
      <c r="F387" s="26"/>
      <c r="G387" s="24"/>
      <c r="H387" s="24"/>
      <c r="I387" s="26"/>
      <c r="J387" s="24"/>
      <c r="K387" s="26"/>
      <c r="L387" s="24"/>
      <c r="M387" s="24"/>
      <c r="N387" s="26"/>
      <c r="O387" s="26"/>
      <c r="P387" s="26"/>
      <c r="Q387" s="26"/>
      <c r="R387" s="26"/>
      <c r="S387" s="26"/>
      <c r="T387" s="26"/>
      <c r="U387" s="26"/>
      <c r="V387" s="26"/>
      <c r="W387" s="26">
        <f>MAX($C$7-VLOOKUP($C387,COS!$B$8:$H$991,3,FALSE),0)</f>
        <v>1287.853515625</v>
      </c>
      <c r="X387" s="26">
        <f t="shared" si="562"/>
        <v>79.187026084710737</v>
      </c>
      <c r="Y387" s="26">
        <f>VLOOKUP($C387,COS!$B$8:$H$991,4,FALSE)</f>
        <v>0</v>
      </c>
      <c r="Z387" s="26">
        <f t="shared" si="563"/>
        <v>0</v>
      </c>
      <c r="AA387" s="26">
        <f t="shared" ref="AA387:AA391" si="620">MIN(W387,Y387)</f>
        <v>0</v>
      </c>
      <c r="AB387" s="33">
        <f t="shared" ref="AB387" si="621">AA387*DAY($C387)*86400/43560/1000*IF(MONTH($C387)=8,$P$3,IF(MONTH($C387)=9,$P$4,IF(MONTH($C387)=10,$P$5,IF(MONTH($C387)=11,$P$6,IF(MONTH($C387)=12,$P$7,NA())))))</f>
        <v>0</v>
      </c>
    </row>
    <row r="388" spans="1:28" x14ac:dyDescent="0.3">
      <c r="A388" s="32">
        <f>VLOOKUP(YEAR(C388),Flags!$A$13:$B$95,2,FALSE)</f>
        <v>1</v>
      </c>
      <c r="B388" s="24">
        <f t="shared" si="535"/>
        <v>1963</v>
      </c>
      <c r="C388" s="25">
        <v>23284</v>
      </c>
      <c r="D388" s="26"/>
      <c r="E388" s="24"/>
      <c r="F388" s="26"/>
      <c r="G388" s="24"/>
      <c r="H388" s="24"/>
      <c r="I388" s="26"/>
      <c r="J388" s="24"/>
      <c r="K388" s="26">
        <f>VLOOKUP($C388,COS!$B$8:$H$991,2,FALSE)</f>
        <v>2718.105712890625</v>
      </c>
      <c r="L388" s="24">
        <f t="shared" ref="L388" si="622">IF(AND(K388&gt;$I$7,K388&lt;$I$8),1,0)</f>
        <v>1</v>
      </c>
      <c r="M388" s="24"/>
      <c r="N388" s="26"/>
      <c r="O388" s="26"/>
      <c r="P388" s="26"/>
      <c r="Q388" s="26"/>
      <c r="R388" s="26"/>
      <c r="S388" s="26"/>
      <c r="T388" s="26"/>
      <c r="U388" s="26"/>
      <c r="V388" s="26"/>
      <c r="W388" s="26">
        <f>MAX($C$8-VLOOKUP($C388,COS!$B$8:$H$991,3,FALSE),0)</f>
        <v>0</v>
      </c>
      <c r="X388" s="26">
        <f t="shared" si="562"/>
        <v>0</v>
      </c>
      <c r="Y388" s="26">
        <f>VLOOKUP($C388,COS!$B$8:$H$991,4,FALSE)</f>
        <v>0</v>
      </c>
      <c r="Z388" s="26">
        <f t="shared" si="563"/>
        <v>0</v>
      </c>
      <c r="AA388" s="26">
        <f t="shared" si="620"/>
        <v>0</v>
      </c>
      <c r="AB388" s="33">
        <f t="shared" si="548"/>
        <v>0</v>
      </c>
    </row>
    <row r="389" spans="1:28" x14ac:dyDescent="0.3">
      <c r="A389" s="32">
        <f>VLOOKUP(YEAR(C389),Flags!$A$13:$B$95,2,FALSE)</f>
        <v>1</v>
      </c>
      <c r="B389" s="24">
        <f t="shared" si="535"/>
        <v>1963</v>
      </c>
      <c r="C389" s="25">
        <v>23315</v>
      </c>
      <c r="D389" s="26"/>
      <c r="E389" s="24"/>
      <c r="F389" s="26"/>
      <c r="G389" s="26"/>
      <c r="H389" s="26"/>
      <c r="I389" s="26"/>
      <c r="J389" s="26"/>
      <c r="K389" s="26"/>
      <c r="L389" s="24"/>
      <c r="M389" s="24"/>
      <c r="N389" s="26"/>
      <c r="O389" s="26"/>
      <c r="P389" s="26"/>
      <c r="Q389" s="26"/>
      <c r="R389" s="26"/>
      <c r="S389" s="26"/>
      <c r="T389" s="26"/>
      <c r="U389" s="26"/>
      <c r="V389" s="26"/>
      <c r="W389" s="26">
        <f>MAX($C$9-VLOOKUP($C389,COS!$B$8:$H$991,3,FALSE),0)</f>
        <v>0</v>
      </c>
      <c r="X389" s="26">
        <f t="shared" si="562"/>
        <v>0</v>
      </c>
      <c r="Y389" s="26">
        <f>VLOOKUP($C389,COS!$B$8:$H$991,4,FALSE)</f>
        <v>1189.5572509765625</v>
      </c>
      <c r="Z389" s="26">
        <f t="shared" si="563"/>
        <v>73.143024357567143</v>
      </c>
      <c r="AA389" s="26">
        <f t="shared" si="620"/>
        <v>0</v>
      </c>
      <c r="AB389" s="33">
        <f t="shared" si="548"/>
        <v>0</v>
      </c>
    </row>
    <row r="390" spans="1:28" x14ac:dyDescent="0.3">
      <c r="A390" s="32">
        <f>VLOOKUP(YEAR(C390),Flags!$A$13:$B$95,2,FALSE)</f>
        <v>1</v>
      </c>
      <c r="B390" s="24">
        <f t="shared" si="535"/>
        <v>1963</v>
      </c>
      <c r="C390" s="25">
        <v>23345</v>
      </c>
      <c r="D390" s="26"/>
      <c r="E390" s="24"/>
      <c r="F390" s="26"/>
      <c r="G390" s="26"/>
      <c r="H390" s="26"/>
      <c r="I390" s="26"/>
      <c r="J390" s="26"/>
      <c r="K390" s="26"/>
      <c r="L390" s="24"/>
      <c r="M390" s="24"/>
      <c r="N390" s="26"/>
      <c r="O390" s="26"/>
      <c r="P390" s="26"/>
      <c r="Q390" s="26"/>
      <c r="R390" s="26"/>
      <c r="S390" s="26"/>
      <c r="T390" s="26"/>
      <c r="U390" s="26"/>
      <c r="V390" s="26"/>
      <c r="W390" s="26">
        <f>MAX($C$10-VLOOKUP($C390,COS!$B$8:$H$991,3,FALSE),0)</f>
        <v>0</v>
      </c>
      <c r="X390" s="26">
        <f t="shared" si="562"/>
        <v>0</v>
      </c>
      <c r="Y390" s="26">
        <f>VLOOKUP($C390,COS!$B$8:$H$991,4,FALSE)</f>
        <v>1109.0794677734375</v>
      </c>
      <c r="Z390" s="26">
        <f t="shared" si="563"/>
        <v>65.994811305526866</v>
      </c>
      <c r="AA390" s="26">
        <f t="shared" si="620"/>
        <v>0</v>
      </c>
      <c r="AB390" s="33">
        <f t="shared" si="548"/>
        <v>0</v>
      </c>
    </row>
    <row r="391" spans="1:28" x14ac:dyDescent="0.3">
      <c r="A391" s="34">
        <f>VLOOKUP(YEAR(C391),Flags!$A$13:$B$95,2,FALSE)</f>
        <v>1</v>
      </c>
      <c r="B391" s="35">
        <f t="shared" si="535"/>
        <v>1963</v>
      </c>
      <c r="C391" s="36">
        <v>23376</v>
      </c>
      <c r="D391" s="37"/>
      <c r="E391" s="35"/>
      <c r="F391" s="37"/>
      <c r="G391" s="37"/>
      <c r="H391" s="37"/>
      <c r="I391" s="37"/>
      <c r="J391" s="37"/>
      <c r="K391" s="37"/>
      <c r="L391" s="35"/>
      <c r="M391" s="35"/>
      <c r="N391" s="37"/>
      <c r="O391" s="37"/>
      <c r="P391" s="37"/>
      <c r="Q391" s="37"/>
      <c r="R391" s="37"/>
      <c r="S391" s="37"/>
      <c r="T391" s="37"/>
      <c r="U391" s="37"/>
      <c r="V391" s="37"/>
      <c r="W391" s="37">
        <f>MAX($C$11-VLOOKUP($C391,COS!$B$8:$H$991,3,FALSE),0)</f>
        <v>1750</v>
      </c>
      <c r="X391" s="37">
        <f t="shared" si="562"/>
        <v>107.60330578512398</v>
      </c>
      <c r="Y391" s="37">
        <f>VLOOKUP($C391,COS!$B$8:$H$991,4,FALSE)</f>
        <v>347.96035766601563</v>
      </c>
      <c r="Z391" s="37">
        <f t="shared" si="563"/>
        <v>21.395248438307078</v>
      </c>
      <c r="AA391" s="37">
        <f t="shared" si="620"/>
        <v>347.96035766601563</v>
      </c>
      <c r="AB391" s="38">
        <f t="shared" si="548"/>
        <v>21.395248438307078</v>
      </c>
    </row>
    <row r="392" spans="1:28" x14ac:dyDescent="0.3">
      <c r="A392" s="27">
        <f>VLOOKUP(YEAR(C392),Flags!$A$13:$B$95,2,FALSE)</f>
        <v>4</v>
      </c>
      <c r="B392" s="28">
        <f t="shared" si="535"/>
        <v>1964</v>
      </c>
      <c r="C392" s="29">
        <v>23497</v>
      </c>
      <c r="D392" s="30">
        <f>VLOOKUP($C392,COS!$B$8:$H$991,3,FALSE)</f>
        <v>6091.94580078125</v>
      </c>
      <c r="E392" s="28">
        <f>IF(D392&gt;=IF(MONTH($C392)=4,$C$3,IF(MONTH($C392)=5,$C$4,IF(MONTH($C392)=6,$C$5,IF(MONTH($C392)=7,$C$6,"ERROR")))),1,0)</f>
        <v>1</v>
      </c>
      <c r="F392" s="30">
        <f>VLOOKUP($C392,COS!$B$8:$H$991,7,FALSE)</f>
        <v>49.550472259521484</v>
      </c>
      <c r="G392" s="28">
        <f>IF(F392&lt;=IF(MONTH($C392)=4,$F$3,IF(MONTH($C392)=5,$F$4,IF(MONTH($C392)=6,$F$5,IF(MONTH($C392)=7,$F$6,"ERROR")))),1,0)</f>
        <v>1</v>
      </c>
      <c r="H392" s="30">
        <f>IF(J392=1,D392-$C$3,0)</f>
        <v>91.94580078125</v>
      </c>
      <c r="I392" s="30">
        <f t="shared" si="558"/>
        <v>5.4711550878099171</v>
      </c>
      <c r="J392" s="28">
        <f t="shared" ref="J392:J395" si="623">IF(AND(E392=1,G392=1),1,0)</f>
        <v>1</v>
      </c>
      <c r="K392" s="30">
        <f>VLOOKUP($C392,COS!$B$8:$H$991,2,FALSE)</f>
        <v>3746.64306640625</v>
      </c>
      <c r="L392" s="28">
        <f t="shared" ref="L392" si="624">IF(K392&lt;=IF(MONTH($C392)=4,$I$3,IF(MONTH($C392)=5,$I$4,IF(MONTH($C392)=6,$I$5,IF(MONTH($C392)=7,$I$6,"ERROR")))),1,0)</f>
        <v>1</v>
      </c>
      <c r="M392" s="28">
        <f t="shared" ref="M392" si="625">VLOOKUP($A392,$L$3:$M$7,2,FALSE)</f>
        <v>1</v>
      </c>
      <c r="N392" s="30">
        <f>VLOOKUP($C392,COS!$B$8:$H$991,5,FALSE)</f>
        <v>316.77880859375</v>
      </c>
      <c r="O392" s="30">
        <f t="shared" ref="O392:O395" si="626">N392*DAY($C392)*86400/43560/1000</f>
        <v>18.849648114669421</v>
      </c>
      <c r="P392" s="30">
        <f>VLOOKUP($C392,COS!$B$8:$H$991,6,FALSE)</f>
        <v>564.8997802734375</v>
      </c>
      <c r="Q392" s="30">
        <f t="shared" ref="Q392:Q395" si="627">P392*DAY($C392)*86400/43560/1000</f>
        <v>33.613871222882231</v>
      </c>
      <c r="R392" s="30">
        <f>MIN(IF(MONTH($C392)=4,$S$3,IF(MONTH($C392)=5,$S$4,IF(MONTH($C392)=6,$S$5,IF(MONTH($C392)=7,$S$6,"ERROR")))),MAX(VLOOKUP($C392,COS!$B$8:$K$991,10,FALSE)-IF(MONTH($C392)=4,$Y$3,IF(MONTH($C392)=5,$Y$4,IF(MONTH($C392)=6,$Y$5,IF(MONTH($C392)=7,$Y$6,"ERROR")))),0),MAX(VLOOKUP($C392,COS!$B$8:$K$991,9,FALSE)-IF(MONTH($C392)=4,$V$3,IF(MONTH($C392)=5,$V$4,IF(MONTH($C392)=6,$V$5,IF(MONTH($C392)=7,$V$6,"ERROR"))))-VLOOKUP($C392,COS!$B$8:$K$991,6,FALSE)/2,0))</f>
        <v>1500</v>
      </c>
      <c r="S392" s="30">
        <f t="shared" ref="S392:S395" si="628">R392*DAY($C392)*86400/43560/1000</f>
        <v>89.256198347107429</v>
      </c>
      <c r="T392" s="30">
        <f t="shared" ref="T392:T395" si="629">(O392+Q392)/2+S392</f>
        <v>115.48795801588325</v>
      </c>
      <c r="U392" s="30" t="str">
        <f>IF(VLOOKUP($C392,COS!$B$8:$I$991,8,FALSE)=1,"UWFE","IBU")</f>
        <v>UWFE</v>
      </c>
      <c r="V392" s="30">
        <f t="shared" ref="V392" si="630">MIN(IF(IF($AA$3=2,AND(E392=1,G392=1,L392=1,L397=1,M392=1,U392="IBU"),AND(E392=1,G392=1,L392=1,L397=1,M392=1)),T392,0),I392)</f>
        <v>0</v>
      </c>
      <c r="W392" s="30"/>
      <c r="X392" s="30"/>
      <c r="Y392" s="30"/>
      <c r="Z392" s="30"/>
      <c r="AA392" s="30"/>
      <c r="AB392" s="31"/>
    </row>
    <row r="393" spans="1:28" x14ac:dyDescent="0.3">
      <c r="A393" s="32">
        <f>VLOOKUP(YEAR(C393),Flags!$A$13:$B$95,2,FALSE)</f>
        <v>4</v>
      </c>
      <c r="B393" s="24">
        <f t="shared" si="535"/>
        <v>1964</v>
      </c>
      <c r="C393" s="25">
        <v>23528</v>
      </c>
      <c r="D393" s="26">
        <f>VLOOKUP($C393,COS!$B$8:$H$991,3,FALSE)</f>
        <v>6700.63427734375</v>
      </c>
      <c r="E393" s="24">
        <f>IF(D393&gt;=IF(MONTH($C393)=4,$C$3,IF(MONTH($C393)=5,$C$4,IF(MONTH($C393)=6,$C$5,IF(MONTH($C393)=7,$C$6,"ERROR")))),1,0)</f>
        <v>1</v>
      </c>
      <c r="F393" s="26">
        <f>VLOOKUP($C393,COS!$B$8:$H$991,7,FALSE)</f>
        <v>50.719039916992188</v>
      </c>
      <c r="G393" s="24">
        <f>IF(F393&lt;=IF(MONTH($C393)=4,$F$3,IF(MONTH($C393)=5,$F$4,IF(MONTH($C393)=6,$F$5,IF(MONTH($C393)=7,$F$6,"ERROR")))),1,0)</f>
        <v>1</v>
      </c>
      <c r="H393" s="26">
        <f>IF(J393=1,D393-$C$4,0)</f>
        <v>700.63427734375</v>
      </c>
      <c r="I393" s="26">
        <f t="shared" si="558"/>
        <v>43.080322507747937</v>
      </c>
      <c r="J393" s="24">
        <f t="shared" si="623"/>
        <v>1</v>
      </c>
      <c r="K393" s="26">
        <f>VLOOKUP($C393,COS!$B$8:$H$991,2,FALSE)</f>
        <v>3609.5830078125</v>
      </c>
      <c r="L393" s="24">
        <f t="shared" si="537"/>
        <v>1</v>
      </c>
      <c r="M393" s="24">
        <f t="shared" si="538"/>
        <v>1</v>
      </c>
      <c r="N393" s="26">
        <f>VLOOKUP($C393,COS!$B$8:$H$991,5,FALSE)</f>
        <v>332.74734497070313</v>
      </c>
      <c r="O393" s="26">
        <f t="shared" si="626"/>
        <v>20.459836748611828</v>
      </c>
      <c r="P393" s="26">
        <f>VLOOKUP($C393,COS!$B$8:$H$991,6,FALSE)</f>
        <v>2309.841796875</v>
      </c>
      <c r="Q393" s="26">
        <f t="shared" si="627"/>
        <v>142.02663610537189</v>
      </c>
      <c r="R393" s="26">
        <f>MIN(IF(MONTH($C393)=4,$S$3,IF(MONTH($C393)=5,$S$4,IF(MONTH($C393)=6,$S$5,IF(MONTH($C393)=7,$S$6,"ERROR")))),MAX(VLOOKUP($C393,COS!$B$8:$K$991,10,FALSE)-IF(MONTH($C393)=4,$Y$3,IF(MONTH($C393)=5,$Y$4,IF(MONTH($C393)=6,$Y$5,IF(MONTH($C393)=7,$Y$6,"ERROR")))),0),MAX(VLOOKUP($C393,COS!$B$8:$K$991,9,FALSE)-IF(MONTH($C393)=4,$V$3,IF(MONTH($C393)=5,$V$4,IF(MONTH($C393)=6,$V$5,IF(MONTH($C393)=7,$V$6,"ERROR"))))-VLOOKUP($C393,COS!$B$8:$K$991,6,FALSE)/2,0))</f>
        <v>1500</v>
      </c>
      <c r="S393" s="26">
        <f t="shared" si="628"/>
        <v>92.231404958677686</v>
      </c>
      <c r="T393" s="26">
        <f t="shared" si="629"/>
        <v>173.47464138566954</v>
      </c>
      <c r="U393" s="26" t="str">
        <f>IF(VLOOKUP($C393,COS!$B$8:$I$991,8,FALSE)=1,"UWFE","IBU")</f>
        <v>UWFE</v>
      </c>
      <c r="V393" s="26">
        <f t="shared" ref="V393" si="631">MIN(IF(IF($AA$3=2,AND(E393=1,G393=1,L393=1,L397=1,M393=1,U393="IBU"),AND(E393=1,G393=1,L393=1,L397=1,M393=1)),T393,0),I393)</f>
        <v>0</v>
      </c>
      <c r="W393" s="26"/>
      <c r="X393" s="26"/>
      <c r="Y393" s="26"/>
      <c r="Z393" s="26"/>
      <c r="AA393" s="26"/>
      <c r="AB393" s="33"/>
    </row>
    <row r="394" spans="1:28" x14ac:dyDescent="0.3">
      <c r="A394" s="32">
        <f>VLOOKUP(YEAR(C394),Flags!$A$13:$B$95,2,FALSE)</f>
        <v>4</v>
      </c>
      <c r="B394" s="24">
        <f t="shared" si="535"/>
        <v>1964</v>
      </c>
      <c r="C394" s="25">
        <v>23558</v>
      </c>
      <c r="D394" s="26">
        <f>VLOOKUP($C394,COS!$B$8:$H$991,3,FALSE)</f>
        <v>8947.9150390625</v>
      </c>
      <c r="E394" s="24">
        <f>IF(D394&gt;=IF(MONTH($C394)=4,$C$3,IF(MONTH($C394)=5,$C$4,IF(MONTH($C394)=6,$C$5,IF(MONTH($C394)=7,$C$6,"ERROR")))),1,0)</f>
        <v>0</v>
      </c>
      <c r="F394" s="26">
        <f>VLOOKUP($C394,COS!$B$8:$H$991,7,FALSE)</f>
        <v>51.899105072021484</v>
      </c>
      <c r="G394" s="24">
        <f>IF(F394&lt;=IF(MONTH($C394)=4,$F$3,IF(MONTH($C394)=5,$F$4,IF(MONTH($C394)=6,$F$5,IF(MONTH($C394)=7,$F$6,"ERROR")))),1,0)</f>
        <v>1</v>
      </c>
      <c r="H394" s="26">
        <f>IF(J394=1,D394-$C$5,0)</f>
        <v>0</v>
      </c>
      <c r="I394" s="26">
        <f t="shared" si="558"/>
        <v>0</v>
      </c>
      <c r="J394" s="24">
        <f t="shared" si="623"/>
        <v>0</v>
      </c>
      <c r="K394" s="26">
        <f>VLOOKUP($C394,COS!$B$8:$H$991,2,FALSE)</f>
        <v>3402.844970703125</v>
      </c>
      <c r="L394" s="24">
        <f t="shared" si="537"/>
        <v>1</v>
      </c>
      <c r="M394" s="24">
        <f t="shared" si="538"/>
        <v>1</v>
      </c>
      <c r="N394" s="26">
        <f>VLOOKUP($C394,COS!$B$8:$H$991,5,FALSE)</f>
        <v>359.117431640625</v>
      </c>
      <c r="O394" s="26">
        <f t="shared" si="626"/>
        <v>21.368971138946282</v>
      </c>
      <c r="P394" s="26">
        <f>VLOOKUP($C394,COS!$B$8:$H$991,6,FALSE)</f>
        <v>2607.746826171875</v>
      </c>
      <c r="Q394" s="26">
        <f t="shared" si="627"/>
        <v>155.17171197055785</v>
      </c>
      <c r="R394" s="26">
        <f>MIN(IF(MONTH($C394)=4,$S$3,IF(MONTH($C394)=5,$S$4,IF(MONTH($C394)=6,$S$5,IF(MONTH($C394)=7,$S$6,"ERROR")))),MAX(VLOOKUP($C394,COS!$B$8:$K$991,10,FALSE)-IF(MONTH($C394)=4,$Y$3,IF(MONTH($C394)=5,$Y$4,IF(MONTH($C394)=6,$Y$5,IF(MONTH($C394)=7,$Y$6,"ERROR")))),0),MAX(VLOOKUP($C394,COS!$B$8:$K$991,9,FALSE)-IF(MONTH($C394)=4,$V$3,IF(MONTH($C394)=5,$V$4,IF(MONTH($C394)=6,$V$5,IF(MONTH($C394)=7,$V$6,"ERROR"))))-VLOOKUP($C394,COS!$B$8:$K$991,6,FALSE)/2,0))</f>
        <v>1500</v>
      </c>
      <c r="S394" s="26">
        <f t="shared" si="628"/>
        <v>89.256198347107429</v>
      </c>
      <c r="T394" s="26">
        <f t="shared" si="629"/>
        <v>177.52653990185951</v>
      </c>
      <c r="U394" s="26" t="str">
        <f>IF(VLOOKUP($C394,COS!$B$8:$I$991,8,FALSE)=1,"UWFE","IBU")</f>
        <v>IBU</v>
      </c>
      <c r="V394" s="26">
        <f t="shared" ref="V394" si="632">MIN(IF(IF($AA$3=2,AND(E394=1,G394=1,L394=1,L397=1,M394=1,U394="IBU"),AND(E394=1,G394=1,L394=1,L397=1,M394=1)),T394,0),I394)</f>
        <v>0</v>
      </c>
      <c r="W394" s="26"/>
      <c r="X394" s="26"/>
      <c r="Y394" s="26"/>
      <c r="Z394" s="26"/>
      <c r="AA394" s="26"/>
      <c r="AB394" s="33"/>
    </row>
    <row r="395" spans="1:28" x14ac:dyDescent="0.3">
      <c r="A395" s="32">
        <f>VLOOKUP(YEAR(C395),Flags!$A$13:$B$95,2,FALSE)</f>
        <v>4</v>
      </c>
      <c r="B395" s="24">
        <f t="shared" si="535"/>
        <v>1964</v>
      </c>
      <c r="C395" s="25">
        <v>23589</v>
      </c>
      <c r="D395" s="26">
        <f>VLOOKUP($C395,COS!$B$8:$H$991,3,FALSE)</f>
        <v>14511.1044921875</v>
      </c>
      <c r="E395" s="24">
        <f>IF(D395&gt;=IF(MONTH($C395)=4,$C$3,IF(MONTH($C395)=5,$C$4,IF(MONTH($C395)=6,$C$5,IF(MONTH($C395)=7,$C$6,"ERROR")))),1,0)</f>
        <v>1</v>
      </c>
      <c r="F395" s="26">
        <f>VLOOKUP($C395,COS!$B$8:$H$991,7,FALSE)</f>
        <v>52.263500213623047</v>
      </c>
      <c r="G395" s="24">
        <f>IF(F395&lt;=IF(MONTH($C395)=4,$F$3,IF(MONTH($C395)=5,$F$4,IF(MONTH($C395)=6,$F$5,IF(MONTH($C395)=7,$F$6,"ERROR")))),1,0)</f>
        <v>1</v>
      </c>
      <c r="H395" s="26">
        <f>IF(J395=1,D395-$C$6,0)</f>
        <v>2511.1044921875</v>
      </c>
      <c r="I395" s="26">
        <f t="shared" si="558"/>
        <v>154.401796875</v>
      </c>
      <c r="J395" s="24">
        <f t="shared" si="623"/>
        <v>1</v>
      </c>
      <c r="K395" s="26">
        <f>VLOOKUP($C395,COS!$B$8:$H$991,2,FALSE)</f>
        <v>2786.120361328125</v>
      </c>
      <c r="L395" s="24">
        <f t="shared" si="537"/>
        <v>1</v>
      </c>
      <c r="M395" s="24">
        <f t="shared" si="538"/>
        <v>1</v>
      </c>
      <c r="N395" s="26">
        <f>VLOOKUP($C395,COS!$B$8:$H$991,5,FALSE)</f>
        <v>422.46829223632813</v>
      </c>
      <c r="O395" s="26">
        <f t="shared" si="626"/>
        <v>25.976562762299842</v>
      </c>
      <c r="P395" s="26">
        <f>VLOOKUP($C395,COS!$B$8:$H$991,6,FALSE)</f>
        <v>2533.61962890625</v>
      </c>
      <c r="Q395" s="26">
        <f t="shared" si="627"/>
        <v>155.78619866993802</v>
      </c>
      <c r="R395" s="26">
        <f>MIN(IF(MONTH($C395)=4,$S$3,IF(MONTH($C395)=5,$S$4,IF(MONTH($C395)=6,$S$5,IF(MONTH($C395)=7,$S$6,"ERROR")))),MAX(VLOOKUP($C395,COS!$B$8:$K$991,10,FALSE)-IF(MONTH($C395)=4,$Y$3,IF(MONTH($C395)=5,$Y$4,IF(MONTH($C395)=6,$Y$5,IF(MONTH($C395)=7,$Y$6,"ERROR")))),0),MAX(VLOOKUP($C395,COS!$B$8:$K$991,9,FALSE)-IF(MONTH($C395)=4,$V$3,IF(MONTH($C395)=5,$V$4,IF(MONTH($C395)=6,$V$5,IF(MONTH($C395)=7,$V$6,"ERROR"))))-VLOOKUP($C395,COS!$B$8:$K$991,6,FALSE)/2,0))</f>
        <v>1500</v>
      </c>
      <c r="S395" s="26">
        <f t="shared" si="628"/>
        <v>92.231404958677686</v>
      </c>
      <c r="T395" s="26">
        <f t="shared" si="629"/>
        <v>183.11278567479661</v>
      </c>
      <c r="U395" s="26" t="str">
        <f>IF(VLOOKUP($C395,COS!$B$8:$I$991,8,FALSE)=1,"UWFE","IBU")</f>
        <v>IBU</v>
      </c>
      <c r="V395" s="26">
        <f t="shared" ref="V395" si="633">MIN(IF(IF($AA$3=2,AND(E395=1,G395=1,L395=1,L397=1,M395=1,U395="IBU"),AND(E395=1,G395=1,L395=1,L397=1,M395=1)),T395,0),I395)</f>
        <v>154.401796875</v>
      </c>
      <c r="W395" s="26"/>
      <c r="X395" s="26"/>
      <c r="Y395" s="26"/>
      <c r="Z395" s="26"/>
      <c r="AA395" s="26"/>
      <c r="AB395" s="33"/>
    </row>
    <row r="396" spans="1:28" x14ac:dyDescent="0.3">
      <c r="A396" s="32">
        <f>VLOOKUP(YEAR(C396),Flags!$A$13:$B$95,2,FALSE)</f>
        <v>4</v>
      </c>
      <c r="B396" s="24">
        <f t="shared" si="535"/>
        <v>1964</v>
      </c>
      <c r="C396" s="25">
        <v>23620</v>
      </c>
      <c r="D396" s="26"/>
      <c r="E396" s="24"/>
      <c r="F396" s="26"/>
      <c r="G396" s="24"/>
      <c r="H396" s="24"/>
      <c r="I396" s="26"/>
      <c r="J396" s="24"/>
      <c r="K396" s="26"/>
      <c r="L396" s="24"/>
      <c r="M396" s="24"/>
      <c r="N396" s="26"/>
      <c r="O396" s="26"/>
      <c r="P396" s="26"/>
      <c r="Q396" s="26"/>
      <c r="R396" s="26"/>
      <c r="S396" s="26"/>
      <c r="T396" s="26"/>
      <c r="U396" s="26"/>
      <c r="V396" s="26"/>
      <c r="W396" s="26">
        <f>MAX($C$7-VLOOKUP($C396,COS!$B$8:$H$991,3,FALSE),0)</f>
        <v>3195.7255859375</v>
      </c>
      <c r="X396" s="26">
        <f t="shared" si="562"/>
        <v>196.49750710227275</v>
      </c>
      <c r="Y396" s="26">
        <f>VLOOKUP($C396,COS!$B$8:$H$991,4,FALSE)</f>
        <v>771.8970947265625</v>
      </c>
      <c r="Z396" s="26">
        <f t="shared" si="563"/>
        <v>47.462102353434915</v>
      </c>
      <c r="AA396" s="26">
        <f t="shared" ref="AA396:AA400" si="634">MIN(W396,Y396)</f>
        <v>771.8970947265625</v>
      </c>
      <c r="AB396" s="33">
        <f t="shared" ref="AB396" si="635">AA396*DAY($C396)*86400/43560/1000*IF(MONTH($C396)=8,$P$3,IF(MONTH($C396)=9,$P$4,IF(MONTH($C396)=10,$P$5,IF(MONTH($C396)=11,$P$6,IF(MONTH($C396)=12,$P$7,NA())))))</f>
        <v>47.462102353434915</v>
      </c>
    </row>
    <row r="397" spans="1:28" x14ac:dyDescent="0.3">
      <c r="A397" s="32">
        <f>VLOOKUP(YEAR(C397),Flags!$A$13:$B$95,2,FALSE)</f>
        <v>4</v>
      </c>
      <c r="B397" s="24">
        <f t="shared" si="535"/>
        <v>1964</v>
      </c>
      <c r="C397" s="25">
        <v>23650</v>
      </c>
      <c r="D397" s="26"/>
      <c r="E397" s="24"/>
      <c r="F397" s="26"/>
      <c r="G397" s="24"/>
      <c r="H397" s="24"/>
      <c r="I397" s="26"/>
      <c r="J397" s="24"/>
      <c r="K397" s="26">
        <f>VLOOKUP($C397,COS!$B$8:$H$991,2,FALSE)</f>
        <v>2475.959716796875</v>
      </c>
      <c r="L397" s="24">
        <f t="shared" ref="L397" si="636">IF(AND(K397&gt;$I$7,K397&lt;$I$8),1,0)</f>
        <v>1</v>
      </c>
      <c r="M397" s="24"/>
      <c r="N397" s="26"/>
      <c r="O397" s="26"/>
      <c r="P397" s="26"/>
      <c r="Q397" s="26"/>
      <c r="R397" s="26"/>
      <c r="S397" s="26"/>
      <c r="T397" s="26"/>
      <c r="U397" s="26"/>
      <c r="V397" s="26"/>
      <c r="W397" s="26">
        <f>MAX($C$8-VLOOKUP($C397,COS!$B$8:$H$991,3,FALSE),0)</f>
        <v>1001.587890625</v>
      </c>
      <c r="X397" s="26">
        <f t="shared" si="562"/>
        <v>59.598618285123962</v>
      </c>
      <c r="Y397" s="26">
        <f>VLOOKUP($C397,COS!$B$8:$H$991,4,FALSE)</f>
        <v>1010.355224609375</v>
      </c>
      <c r="Z397" s="26">
        <f t="shared" si="563"/>
        <v>60.120310885847111</v>
      </c>
      <c r="AA397" s="26">
        <f t="shared" si="634"/>
        <v>1001.587890625</v>
      </c>
      <c r="AB397" s="33">
        <f t="shared" si="548"/>
        <v>59.598618285123962</v>
      </c>
    </row>
    <row r="398" spans="1:28" x14ac:dyDescent="0.3">
      <c r="A398" s="32">
        <f>VLOOKUP(YEAR(C398),Flags!$A$13:$B$95,2,FALSE)</f>
        <v>4</v>
      </c>
      <c r="B398" s="24">
        <f t="shared" si="535"/>
        <v>1964</v>
      </c>
      <c r="C398" s="25">
        <v>23681</v>
      </c>
      <c r="D398" s="26"/>
      <c r="E398" s="24"/>
      <c r="F398" s="26"/>
      <c r="G398" s="26"/>
      <c r="H398" s="26"/>
      <c r="I398" s="26"/>
      <c r="J398" s="26"/>
      <c r="K398" s="26"/>
      <c r="L398" s="24"/>
      <c r="M398" s="24"/>
      <c r="N398" s="26"/>
      <c r="O398" s="26"/>
      <c r="P398" s="26"/>
      <c r="Q398" s="26"/>
      <c r="R398" s="26"/>
      <c r="S398" s="26"/>
      <c r="T398" s="26"/>
      <c r="U398" s="26"/>
      <c r="V398" s="26"/>
      <c r="W398" s="26">
        <f>MAX($C$9-VLOOKUP($C398,COS!$B$8:$H$991,3,FALSE),0)</f>
        <v>0</v>
      </c>
      <c r="X398" s="26">
        <f t="shared" si="562"/>
        <v>0</v>
      </c>
      <c r="Y398" s="26">
        <f>VLOOKUP($C398,COS!$B$8:$H$991,4,FALSE)</f>
        <v>1503.157470703125</v>
      </c>
      <c r="Z398" s="26">
        <f t="shared" si="563"/>
        <v>92.425550264721082</v>
      </c>
      <c r="AA398" s="26">
        <f t="shared" si="634"/>
        <v>0</v>
      </c>
      <c r="AB398" s="33">
        <f t="shared" si="548"/>
        <v>0</v>
      </c>
    </row>
    <row r="399" spans="1:28" x14ac:dyDescent="0.3">
      <c r="A399" s="32">
        <f>VLOOKUP(YEAR(C399),Flags!$A$13:$B$95,2,FALSE)</f>
        <v>4</v>
      </c>
      <c r="B399" s="24">
        <f t="shared" ref="B399:B462" si="637">YEAR(C399)</f>
        <v>1964</v>
      </c>
      <c r="C399" s="25">
        <v>23711</v>
      </c>
      <c r="D399" s="26"/>
      <c r="E399" s="24"/>
      <c r="F399" s="26"/>
      <c r="G399" s="26"/>
      <c r="H399" s="26"/>
      <c r="I399" s="26"/>
      <c r="J399" s="26"/>
      <c r="K399" s="26"/>
      <c r="L399" s="24"/>
      <c r="M399" s="24"/>
      <c r="N399" s="26"/>
      <c r="O399" s="26"/>
      <c r="P399" s="26"/>
      <c r="Q399" s="26"/>
      <c r="R399" s="26"/>
      <c r="S399" s="26"/>
      <c r="T399" s="26"/>
      <c r="U399" s="26"/>
      <c r="V399" s="26"/>
      <c r="W399" s="26">
        <f>MAX($C$10-VLOOKUP($C399,COS!$B$8:$H$991,3,FALSE),0)</f>
        <v>1750</v>
      </c>
      <c r="X399" s="26">
        <f t="shared" si="562"/>
        <v>104.13223140495867</v>
      </c>
      <c r="Y399" s="26">
        <f>VLOOKUP($C399,COS!$B$8:$H$991,4,FALSE)</f>
        <v>1991.6624755859375</v>
      </c>
      <c r="Z399" s="26">
        <f t="shared" si="563"/>
        <v>118.51214730759297</v>
      </c>
      <c r="AA399" s="26">
        <f t="shared" si="634"/>
        <v>1750</v>
      </c>
      <c r="AB399" s="33">
        <f t="shared" si="548"/>
        <v>104.13223140495867</v>
      </c>
    </row>
    <row r="400" spans="1:28" x14ac:dyDescent="0.3">
      <c r="A400" s="34">
        <f>VLOOKUP(YEAR(C400),Flags!$A$13:$B$95,2,FALSE)</f>
        <v>4</v>
      </c>
      <c r="B400" s="35">
        <f t="shared" si="637"/>
        <v>1964</v>
      </c>
      <c r="C400" s="36">
        <v>23742</v>
      </c>
      <c r="D400" s="37"/>
      <c r="E400" s="35"/>
      <c r="F400" s="37"/>
      <c r="G400" s="37"/>
      <c r="H400" s="37"/>
      <c r="I400" s="37"/>
      <c r="J400" s="37"/>
      <c r="K400" s="37"/>
      <c r="L400" s="35"/>
      <c r="M400" s="35"/>
      <c r="N400" s="37"/>
      <c r="O400" s="37"/>
      <c r="P400" s="37"/>
      <c r="Q400" s="37"/>
      <c r="R400" s="37"/>
      <c r="S400" s="37"/>
      <c r="T400" s="37"/>
      <c r="U400" s="37"/>
      <c r="V400" s="37"/>
      <c r="W400" s="37">
        <f>MAX($C$11-VLOOKUP($C400,COS!$B$8:$H$991,3,FALSE),0)</f>
        <v>0</v>
      </c>
      <c r="X400" s="37">
        <f t="shared" si="562"/>
        <v>0</v>
      </c>
      <c r="Y400" s="37">
        <f>VLOOKUP($C400,COS!$B$8:$H$991,4,FALSE)</f>
        <v>0</v>
      </c>
      <c r="Z400" s="37">
        <f t="shared" si="563"/>
        <v>0</v>
      </c>
      <c r="AA400" s="37">
        <f t="shared" si="634"/>
        <v>0</v>
      </c>
      <c r="AB400" s="38">
        <f t="shared" si="548"/>
        <v>0</v>
      </c>
    </row>
    <row r="401" spans="1:28" x14ac:dyDescent="0.3">
      <c r="A401" s="27">
        <f>VLOOKUP(YEAR(C401),Flags!$A$13:$B$95,2,FALSE)</f>
        <v>1</v>
      </c>
      <c r="B401" s="28">
        <f t="shared" si="637"/>
        <v>1965</v>
      </c>
      <c r="C401" s="29">
        <v>23862</v>
      </c>
      <c r="D401" s="30">
        <f>VLOOKUP($C401,COS!$B$8:$H$991,3,FALSE)</f>
        <v>6748.35888671875</v>
      </c>
      <c r="E401" s="28">
        <f>IF(D401&gt;=IF(MONTH($C401)=4,$C$3,IF(MONTH($C401)=5,$C$4,IF(MONTH($C401)=6,$C$5,IF(MONTH($C401)=7,$C$6,"ERROR")))),1,0)</f>
        <v>1</v>
      </c>
      <c r="F401" s="30">
        <f>VLOOKUP($C401,COS!$B$8:$H$991,7,FALSE)</f>
        <v>46.947509765625</v>
      </c>
      <c r="G401" s="28">
        <f>IF(F401&lt;=IF(MONTH($C401)=4,$F$3,IF(MONTH($C401)=5,$F$4,IF(MONTH($C401)=6,$F$5,IF(MONTH($C401)=7,$F$6,"ERROR")))),1,0)</f>
        <v>1</v>
      </c>
      <c r="H401" s="30">
        <f>IF(J401=1,D401-$C$3,0)</f>
        <v>748.35888671875</v>
      </c>
      <c r="I401" s="30">
        <f t="shared" si="558"/>
        <v>44.530446151859508</v>
      </c>
      <c r="J401" s="28">
        <f t="shared" ref="J401:J404" si="638">IF(AND(E401=1,G401=1),1,0)</f>
        <v>1</v>
      </c>
      <c r="K401" s="30">
        <f>VLOOKUP($C401,COS!$B$8:$H$991,2,FALSE)</f>
        <v>4500</v>
      </c>
      <c r="L401" s="28">
        <f t="shared" ref="L401:L458" si="639">IF(K401&lt;=IF(MONTH($C401)=4,$I$3,IF(MONTH($C401)=5,$I$4,IF(MONTH($C401)=6,$I$5,IF(MONTH($C401)=7,$I$6,"ERROR")))),1,0)</f>
        <v>1</v>
      </c>
      <c r="M401" s="28">
        <f t="shared" ref="M401:M458" si="640">VLOOKUP($A401,$L$3:$M$7,2,FALSE)</f>
        <v>0</v>
      </c>
      <c r="N401" s="30">
        <f>VLOOKUP($C401,COS!$B$8:$H$991,5,FALSE)</f>
        <v>15.99506664276123</v>
      </c>
      <c r="O401" s="30">
        <f t="shared" ref="O401:O404" si="641">N401*DAY($C401)*86400/43560/1000</f>
        <v>0.95177256056099879</v>
      </c>
      <c r="P401" s="30">
        <f>VLOOKUP($C401,COS!$B$8:$H$991,6,FALSE)</f>
        <v>409.699951171875</v>
      </c>
      <c r="Q401" s="30">
        <f t="shared" ref="Q401:Q404" si="642">P401*DAY($C401)*86400/43560/1000</f>
        <v>24.378840069731407</v>
      </c>
      <c r="R401" s="30">
        <f>MIN(IF(MONTH($C401)=4,$S$3,IF(MONTH($C401)=5,$S$4,IF(MONTH($C401)=6,$S$5,IF(MONTH($C401)=7,$S$6,"ERROR")))),MAX(VLOOKUP($C401,COS!$B$8:$K$991,10,FALSE)-IF(MONTH($C401)=4,$Y$3,IF(MONTH($C401)=5,$Y$4,IF(MONTH($C401)=6,$Y$5,IF(MONTH($C401)=7,$Y$6,"ERROR")))),0),MAX(VLOOKUP($C401,COS!$B$8:$K$991,9,FALSE)-IF(MONTH($C401)=4,$V$3,IF(MONTH($C401)=5,$V$4,IF(MONTH($C401)=6,$V$5,IF(MONTH($C401)=7,$V$6,"ERROR"))))-VLOOKUP($C401,COS!$B$8:$K$991,6,FALSE)/2,0))</f>
        <v>1500</v>
      </c>
      <c r="S401" s="30">
        <f t="shared" ref="S401:S404" si="643">R401*DAY($C401)*86400/43560/1000</f>
        <v>89.256198347107429</v>
      </c>
      <c r="T401" s="30">
        <f t="shared" ref="T401:T404" si="644">(O401+Q401)/2+S401</f>
        <v>101.92150466225362</v>
      </c>
      <c r="U401" s="30" t="str">
        <f>IF(VLOOKUP($C401,COS!$B$8:$I$991,8,FALSE)=1,"UWFE","IBU")</f>
        <v>UWFE</v>
      </c>
      <c r="V401" s="30">
        <f t="shared" ref="V401" si="645">MIN(IF(IF($AA$3=2,AND(E401=1,G401=1,L401=1,L406=1,M401=1,U401="IBU"),AND(E401=1,G401=1,L401=1,L406=1,M401=1)),T401,0),I401)</f>
        <v>0</v>
      </c>
      <c r="W401" s="30"/>
      <c r="X401" s="30"/>
      <c r="Y401" s="30"/>
      <c r="Z401" s="30"/>
      <c r="AA401" s="30"/>
      <c r="AB401" s="31"/>
    </row>
    <row r="402" spans="1:28" x14ac:dyDescent="0.3">
      <c r="A402" s="32">
        <f>VLOOKUP(YEAR(C402),Flags!$A$13:$B$95,2,FALSE)</f>
        <v>1</v>
      </c>
      <c r="B402" s="24">
        <f t="shared" si="637"/>
        <v>1965</v>
      </c>
      <c r="C402" s="25">
        <v>23893</v>
      </c>
      <c r="D402" s="26">
        <f>VLOOKUP($C402,COS!$B$8:$H$991,3,FALSE)</f>
        <v>6685.54638671875</v>
      </c>
      <c r="E402" s="24">
        <f>IF(D402&gt;=IF(MONTH($C402)=4,$C$3,IF(MONTH($C402)=5,$C$4,IF(MONTH($C402)=6,$C$5,IF(MONTH($C402)=7,$C$6,"ERROR")))),1,0)</f>
        <v>1</v>
      </c>
      <c r="F402" s="26">
        <f>VLOOKUP($C402,COS!$B$8:$H$991,7,FALSE)</f>
        <v>49.095413208007813</v>
      </c>
      <c r="G402" s="24">
        <f>IF(F402&lt;=IF(MONTH($C402)=4,$F$3,IF(MONTH($C402)=5,$F$4,IF(MONTH($C402)=6,$F$5,IF(MONTH($C402)=7,$F$6,"ERROR")))),1,0)</f>
        <v>1</v>
      </c>
      <c r="H402" s="26">
        <f>IF(J402=1,D402-$C$4,0)</f>
        <v>685.54638671875</v>
      </c>
      <c r="I402" s="26">
        <f t="shared" si="558"/>
        <v>42.152604274276861</v>
      </c>
      <c r="J402" s="24">
        <f t="shared" si="638"/>
        <v>1</v>
      </c>
      <c r="K402" s="26">
        <f>VLOOKUP($C402,COS!$B$8:$H$991,2,FALSE)</f>
        <v>4530.5419921875</v>
      </c>
      <c r="L402" s="24">
        <f t="shared" si="639"/>
        <v>1</v>
      </c>
      <c r="M402" s="24">
        <f t="shared" si="640"/>
        <v>0</v>
      </c>
      <c r="N402" s="26">
        <f>VLOOKUP($C402,COS!$B$8:$H$991,5,FALSE)</f>
        <v>633.97503662109375</v>
      </c>
      <c r="O402" s="26">
        <f t="shared" si="641"/>
        <v>38.981605557528411</v>
      </c>
      <c r="P402" s="26">
        <f>VLOOKUP($C402,COS!$B$8:$H$991,6,FALSE)</f>
        <v>2257.9951171875</v>
      </c>
      <c r="Q402" s="26">
        <f t="shared" si="642"/>
        <v>138.83870803202478</v>
      </c>
      <c r="R402" s="26">
        <f>MIN(IF(MONTH($C402)=4,$S$3,IF(MONTH($C402)=5,$S$4,IF(MONTH($C402)=6,$S$5,IF(MONTH($C402)=7,$S$6,"ERROR")))),MAX(VLOOKUP($C402,COS!$B$8:$K$991,10,FALSE)-IF(MONTH($C402)=4,$Y$3,IF(MONTH($C402)=5,$Y$4,IF(MONTH($C402)=6,$Y$5,IF(MONTH($C402)=7,$Y$6,"ERROR")))),0),MAX(VLOOKUP($C402,COS!$B$8:$K$991,9,FALSE)-IF(MONTH($C402)=4,$V$3,IF(MONTH($C402)=5,$V$4,IF(MONTH($C402)=6,$V$5,IF(MONTH($C402)=7,$V$6,"ERROR"))))-VLOOKUP($C402,COS!$B$8:$K$991,6,FALSE)/2,0))</f>
        <v>1500</v>
      </c>
      <c r="S402" s="26">
        <f t="shared" si="643"/>
        <v>92.231404958677686</v>
      </c>
      <c r="T402" s="26">
        <f t="shared" si="644"/>
        <v>181.14156175345428</v>
      </c>
      <c r="U402" s="26" t="str">
        <f>IF(VLOOKUP($C402,COS!$B$8:$I$991,8,FALSE)=1,"UWFE","IBU")</f>
        <v>UWFE</v>
      </c>
      <c r="V402" s="26">
        <f t="shared" ref="V402" si="646">MIN(IF(IF($AA$3=2,AND(E402=1,G402=1,L402=1,L406=1,M402=1,U402="IBU"),AND(E402=1,G402=1,L402=1,L406=1,M402=1)),T402,0),I402)</f>
        <v>0</v>
      </c>
      <c r="W402" s="26"/>
      <c r="X402" s="26"/>
      <c r="Y402" s="26"/>
      <c r="Z402" s="26"/>
      <c r="AA402" s="26"/>
      <c r="AB402" s="33"/>
    </row>
    <row r="403" spans="1:28" x14ac:dyDescent="0.3">
      <c r="A403" s="32">
        <f>VLOOKUP(YEAR(C403),Flags!$A$13:$B$95,2,FALSE)</f>
        <v>1</v>
      </c>
      <c r="B403" s="24">
        <f t="shared" si="637"/>
        <v>1965</v>
      </c>
      <c r="C403" s="25">
        <v>23923</v>
      </c>
      <c r="D403" s="26">
        <f>VLOOKUP($C403,COS!$B$8:$H$991,3,FALSE)</f>
        <v>8087.30908203125</v>
      </c>
      <c r="E403" s="24">
        <f>IF(D403&gt;=IF(MONTH($C403)=4,$C$3,IF(MONTH($C403)=5,$C$4,IF(MONTH($C403)=6,$C$5,IF(MONTH($C403)=7,$C$6,"ERROR")))),1,0)</f>
        <v>0</v>
      </c>
      <c r="F403" s="26">
        <f>VLOOKUP($C403,COS!$B$8:$H$991,7,FALSE)</f>
        <v>49.536151885986328</v>
      </c>
      <c r="G403" s="24">
        <f>IF(F403&lt;=IF(MONTH($C403)=4,$F$3,IF(MONTH($C403)=5,$F$4,IF(MONTH($C403)=6,$F$5,IF(MONTH($C403)=7,$F$6,"ERROR")))),1,0)</f>
        <v>1</v>
      </c>
      <c r="H403" s="26">
        <f>IF(J403=1,D403-$C$5,0)</f>
        <v>0</v>
      </c>
      <c r="I403" s="26">
        <f t="shared" si="558"/>
        <v>0</v>
      </c>
      <c r="J403" s="24">
        <f t="shared" si="638"/>
        <v>0</v>
      </c>
      <c r="K403" s="26">
        <f>VLOOKUP($C403,COS!$B$8:$H$991,2,FALSE)</f>
        <v>4283.341796875</v>
      </c>
      <c r="L403" s="24">
        <f t="shared" si="639"/>
        <v>1</v>
      </c>
      <c r="M403" s="24">
        <f t="shared" si="640"/>
        <v>0</v>
      </c>
      <c r="N403" s="26">
        <f>VLOOKUP($C403,COS!$B$8:$H$991,5,FALSE)</f>
        <v>838.3341064453125</v>
      </c>
      <c r="O403" s="26">
        <f t="shared" si="641"/>
        <v>49.884343524018597</v>
      </c>
      <c r="P403" s="26">
        <f>VLOOKUP($C403,COS!$B$8:$H$991,6,FALSE)</f>
        <v>2334.416015625</v>
      </c>
      <c r="Q403" s="26">
        <f t="shared" si="642"/>
        <v>138.90739927685951</v>
      </c>
      <c r="R403" s="26">
        <f>MIN(IF(MONTH($C403)=4,$S$3,IF(MONTH($C403)=5,$S$4,IF(MONTH($C403)=6,$S$5,IF(MONTH($C403)=7,$S$6,"ERROR")))),MAX(VLOOKUP($C403,COS!$B$8:$K$991,10,FALSE)-IF(MONTH($C403)=4,$Y$3,IF(MONTH($C403)=5,$Y$4,IF(MONTH($C403)=6,$Y$5,IF(MONTH($C403)=7,$Y$6,"ERROR")))),0),MAX(VLOOKUP($C403,COS!$B$8:$K$991,9,FALSE)-IF(MONTH($C403)=4,$V$3,IF(MONTH($C403)=5,$V$4,IF(MONTH($C403)=6,$V$5,IF(MONTH($C403)=7,$V$6,"ERROR"))))-VLOOKUP($C403,COS!$B$8:$K$991,6,FALSE)/2,0))</f>
        <v>1500</v>
      </c>
      <c r="S403" s="26">
        <f t="shared" si="643"/>
        <v>89.256198347107429</v>
      </c>
      <c r="T403" s="26">
        <f t="shared" si="644"/>
        <v>183.65206974754648</v>
      </c>
      <c r="U403" s="26" t="str">
        <f>IF(VLOOKUP($C403,COS!$B$8:$I$991,8,FALSE)=1,"UWFE","IBU")</f>
        <v>UWFE</v>
      </c>
      <c r="V403" s="26">
        <f t="shared" ref="V403" si="647">MIN(IF(IF($AA$3=2,AND(E403=1,G403=1,L403=1,L406=1,M403=1,U403="IBU"),AND(E403=1,G403=1,L403=1,L406=1,M403=1)),T403,0),I403)</f>
        <v>0</v>
      </c>
      <c r="W403" s="26"/>
      <c r="X403" s="26"/>
      <c r="Y403" s="26"/>
      <c r="Z403" s="26"/>
      <c r="AA403" s="26"/>
      <c r="AB403" s="33"/>
    </row>
    <row r="404" spans="1:28" x14ac:dyDescent="0.3">
      <c r="A404" s="32">
        <f>VLOOKUP(YEAR(C404),Flags!$A$13:$B$95,2,FALSE)</f>
        <v>1</v>
      </c>
      <c r="B404" s="24">
        <f t="shared" si="637"/>
        <v>1965</v>
      </c>
      <c r="C404" s="25">
        <v>23954</v>
      </c>
      <c r="D404" s="26">
        <f>VLOOKUP($C404,COS!$B$8:$H$991,3,FALSE)</f>
        <v>16000</v>
      </c>
      <c r="E404" s="24">
        <f>IF(D404&gt;=IF(MONTH($C404)=4,$C$3,IF(MONTH($C404)=5,$C$4,IF(MONTH($C404)=6,$C$5,IF(MONTH($C404)=7,$C$6,"ERROR")))),1,0)</f>
        <v>1</v>
      </c>
      <c r="F404" s="26">
        <f>VLOOKUP($C404,COS!$B$8:$H$991,7,FALSE)</f>
        <v>49.443107604980469</v>
      </c>
      <c r="G404" s="24">
        <f>IF(F404&lt;=IF(MONTH($C404)=4,$F$3,IF(MONTH($C404)=5,$F$4,IF(MONTH($C404)=6,$F$5,IF(MONTH($C404)=7,$F$6,"ERROR")))),1,0)</f>
        <v>1</v>
      </c>
      <c r="H404" s="26">
        <f>IF(J404=1,D404-$C$6,0)</f>
        <v>4000</v>
      </c>
      <c r="I404" s="26">
        <f t="shared" si="558"/>
        <v>245.95041322314049</v>
      </c>
      <c r="J404" s="24">
        <f t="shared" si="638"/>
        <v>1</v>
      </c>
      <c r="K404" s="26">
        <f>VLOOKUP($C404,COS!$B$8:$H$991,2,FALSE)</f>
        <v>3588.650146484375</v>
      </c>
      <c r="L404" s="24">
        <f t="shared" si="639"/>
        <v>1</v>
      </c>
      <c r="M404" s="24">
        <f t="shared" si="640"/>
        <v>0</v>
      </c>
      <c r="N404" s="26">
        <f>VLOOKUP($C404,COS!$B$8:$H$991,5,FALSE)</f>
        <v>922.08319091796875</v>
      </c>
      <c r="O404" s="26">
        <f t="shared" si="641"/>
        <v>56.696685458096589</v>
      </c>
      <c r="P404" s="26">
        <f>VLOOKUP($C404,COS!$B$8:$H$991,6,FALSE)</f>
        <v>2612.073486328125</v>
      </c>
      <c r="Q404" s="26">
        <f t="shared" si="642"/>
        <v>160.61013833290289</v>
      </c>
      <c r="R404" s="26">
        <f>MIN(IF(MONTH($C404)=4,$S$3,IF(MONTH($C404)=5,$S$4,IF(MONTH($C404)=6,$S$5,IF(MONTH($C404)=7,$S$6,"ERROR")))),MAX(VLOOKUP($C404,COS!$B$8:$K$991,10,FALSE)-IF(MONTH($C404)=4,$Y$3,IF(MONTH($C404)=5,$Y$4,IF(MONTH($C404)=6,$Y$5,IF(MONTH($C404)=7,$Y$6,"ERROR")))),0),MAX(VLOOKUP($C404,COS!$B$8:$K$991,9,FALSE)-IF(MONTH($C404)=4,$V$3,IF(MONTH($C404)=5,$V$4,IF(MONTH($C404)=6,$V$5,IF(MONTH($C404)=7,$V$6,"ERROR"))))-VLOOKUP($C404,COS!$B$8:$K$991,6,FALSE)/2,0))</f>
        <v>1500</v>
      </c>
      <c r="S404" s="26">
        <f t="shared" si="643"/>
        <v>92.231404958677686</v>
      </c>
      <c r="T404" s="26">
        <f t="shared" si="644"/>
        <v>200.88481685417742</v>
      </c>
      <c r="U404" s="26" t="str">
        <f>IF(VLOOKUP($C404,COS!$B$8:$I$991,8,FALSE)=1,"UWFE","IBU")</f>
        <v>IBU</v>
      </c>
      <c r="V404" s="26">
        <f t="shared" ref="V404" si="648">MIN(IF(IF($AA$3=2,AND(E404=1,G404=1,L404=1,L406=1,M404=1,U404="IBU"),AND(E404=1,G404=1,L404=1,L406=1,M404=1)),T404,0),I404)</f>
        <v>0</v>
      </c>
      <c r="W404" s="26"/>
      <c r="X404" s="26"/>
      <c r="Y404" s="26"/>
      <c r="Z404" s="26"/>
      <c r="AA404" s="26"/>
      <c r="AB404" s="33"/>
    </row>
    <row r="405" spans="1:28" x14ac:dyDescent="0.3">
      <c r="A405" s="32">
        <f>VLOOKUP(YEAR(C405),Flags!$A$13:$B$95,2,FALSE)</f>
        <v>1</v>
      </c>
      <c r="B405" s="24">
        <f t="shared" si="637"/>
        <v>1965</v>
      </c>
      <c r="C405" s="25">
        <v>23985</v>
      </c>
      <c r="D405" s="26"/>
      <c r="E405" s="24"/>
      <c r="F405" s="26"/>
      <c r="G405" s="24"/>
      <c r="H405" s="24"/>
      <c r="I405" s="26"/>
      <c r="J405" s="24"/>
      <c r="K405" s="26"/>
      <c r="L405" s="24"/>
      <c r="M405" s="24"/>
      <c r="N405" s="26"/>
      <c r="O405" s="26"/>
      <c r="P405" s="26"/>
      <c r="Q405" s="26"/>
      <c r="R405" s="26"/>
      <c r="S405" s="26"/>
      <c r="T405" s="26"/>
      <c r="U405" s="26"/>
      <c r="V405" s="26"/>
      <c r="W405" s="26">
        <f>MAX($C$7-VLOOKUP($C405,COS!$B$8:$H$991,3,FALSE),0)</f>
        <v>3046.6005859375</v>
      </c>
      <c r="X405" s="26">
        <f t="shared" si="562"/>
        <v>187.32816825929751</v>
      </c>
      <c r="Y405" s="26">
        <f>VLOOKUP($C405,COS!$B$8:$H$991,4,FALSE)</f>
        <v>0</v>
      </c>
      <c r="Z405" s="26">
        <f t="shared" si="563"/>
        <v>0</v>
      </c>
      <c r="AA405" s="26">
        <f t="shared" ref="AA405:AA409" si="649">MIN(W405,Y405)</f>
        <v>0</v>
      </c>
      <c r="AB405" s="33">
        <f t="shared" ref="AB405:AB463" si="650">AA405*DAY($C405)*86400/43560/1000*IF(MONTH($C405)=8,$P$3,IF(MONTH($C405)=9,$P$4,IF(MONTH($C405)=10,$P$5,IF(MONTH($C405)=11,$P$6,IF(MONTH($C405)=12,$P$7,NA())))))</f>
        <v>0</v>
      </c>
    </row>
    <row r="406" spans="1:28" x14ac:dyDescent="0.3">
      <c r="A406" s="32">
        <f>VLOOKUP(YEAR(C406),Flags!$A$13:$B$95,2,FALSE)</f>
        <v>1</v>
      </c>
      <c r="B406" s="24">
        <f t="shared" si="637"/>
        <v>1965</v>
      </c>
      <c r="C406" s="25">
        <v>24015</v>
      </c>
      <c r="D406" s="26"/>
      <c r="E406" s="24"/>
      <c r="F406" s="26"/>
      <c r="G406" s="24"/>
      <c r="H406" s="24"/>
      <c r="I406" s="26"/>
      <c r="J406" s="24"/>
      <c r="K406" s="26">
        <f>VLOOKUP($C406,COS!$B$8:$H$991,2,FALSE)</f>
        <v>2849.32861328125</v>
      </c>
      <c r="L406" s="24">
        <f t="shared" ref="L406" si="651">IF(AND(K406&gt;$I$7,K406&lt;$I$8),1,0)</f>
        <v>1</v>
      </c>
      <c r="M406" s="24"/>
      <c r="N406" s="26"/>
      <c r="O406" s="26"/>
      <c r="P406" s="26"/>
      <c r="Q406" s="26"/>
      <c r="R406" s="26"/>
      <c r="S406" s="26"/>
      <c r="T406" s="26"/>
      <c r="U406" s="26"/>
      <c r="V406" s="26"/>
      <c r="W406" s="26">
        <f>MAX($C$8-VLOOKUP($C406,COS!$B$8:$H$991,3,FALSE),0)</f>
        <v>0</v>
      </c>
      <c r="X406" s="26">
        <f t="shared" si="562"/>
        <v>0</v>
      </c>
      <c r="Y406" s="26">
        <f>VLOOKUP($C406,COS!$B$8:$H$991,4,FALSE)</f>
        <v>0</v>
      </c>
      <c r="Z406" s="26">
        <f t="shared" si="563"/>
        <v>0</v>
      </c>
      <c r="AA406" s="26">
        <f t="shared" si="649"/>
        <v>0</v>
      </c>
      <c r="AB406" s="33">
        <f t="shared" si="650"/>
        <v>0</v>
      </c>
    </row>
    <row r="407" spans="1:28" x14ac:dyDescent="0.3">
      <c r="A407" s="32">
        <f>VLOOKUP(YEAR(C407),Flags!$A$13:$B$95,2,FALSE)</f>
        <v>1</v>
      </c>
      <c r="B407" s="24">
        <f t="shared" si="637"/>
        <v>1965</v>
      </c>
      <c r="C407" s="25">
        <v>24046</v>
      </c>
      <c r="D407" s="26"/>
      <c r="E407" s="24"/>
      <c r="F407" s="26"/>
      <c r="G407" s="26"/>
      <c r="H407" s="26"/>
      <c r="I407" s="26"/>
      <c r="J407" s="26"/>
      <c r="K407" s="26"/>
      <c r="L407" s="24"/>
      <c r="M407" s="24"/>
      <c r="N407" s="26"/>
      <c r="O407" s="26"/>
      <c r="P407" s="26"/>
      <c r="Q407" s="26"/>
      <c r="R407" s="26"/>
      <c r="S407" s="26"/>
      <c r="T407" s="26"/>
      <c r="U407" s="26"/>
      <c r="V407" s="26"/>
      <c r="W407" s="26">
        <f>MAX($C$9-VLOOKUP($C407,COS!$B$8:$H$991,3,FALSE),0)</f>
        <v>0</v>
      </c>
      <c r="X407" s="26">
        <f t="shared" si="562"/>
        <v>0</v>
      </c>
      <c r="Y407" s="26">
        <f>VLOOKUP($C407,COS!$B$8:$H$991,4,FALSE)</f>
        <v>958.20550537109375</v>
      </c>
      <c r="Z407" s="26">
        <f t="shared" si="563"/>
        <v>58.917759999677166</v>
      </c>
      <c r="AA407" s="26">
        <f t="shared" si="649"/>
        <v>0</v>
      </c>
      <c r="AB407" s="33">
        <f t="shared" si="650"/>
        <v>0</v>
      </c>
    </row>
    <row r="408" spans="1:28" x14ac:dyDescent="0.3">
      <c r="A408" s="32">
        <f>VLOOKUP(YEAR(C408),Flags!$A$13:$B$95,2,FALSE)</f>
        <v>1</v>
      </c>
      <c r="B408" s="24">
        <f t="shared" si="637"/>
        <v>1965</v>
      </c>
      <c r="C408" s="25">
        <v>24076</v>
      </c>
      <c r="D408" s="26"/>
      <c r="E408" s="24"/>
      <c r="F408" s="26"/>
      <c r="G408" s="26"/>
      <c r="H408" s="26"/>
      <c r="I408" s="26"/>
      <c r="J408" s="26"/>
      <c r="K408" s="26"/>
      <c r="L408" s="24"/>
      <c r="M408" s="24"/>
      <c r="N408" s="26"/>
      <c r="O408" s="26"/>
      <c r="P408" s="26"/>
      <c r="Q408" s="26"/>
      <c r="R408" s="26"/>
      <c r="S408" s="26"/>
      <c r="T408" s="26"/>
      <c r="U408" s="26"/>
      <c r="V408" s="26"/>
      <c r="W408" s="26">
        <f>MAX($C$10-VLOOKUP($C408,COS!$B$8:$H$991,3,FALSE),0)</f>
        <v>0</v>
      </c>
      <c r="X408" s="26">
        <f t="shared" si="562"/>
        <v>0</v>
      </c>
      <c r="Y408" s="26">
        <f>VLOOKUP($C408,COS!$B$8:$H$991,4,FALSE)</f>
        <v>425.12249755859375</v>
      </c>
      <c r="Z408" s="26">
        <f t="shared" si="563"/>
        <v>25.296545309271693</v>
      </c>
      <c r="AA408" s="26">
        <f t="shared" si="649"/>
        <v>0</v>
      </c>
      <c r="AB408" s="33">
        <f t="shared" si="650"/>
        <v>0</v>
      </c>
    </row>
    <row r="409" spans="1:28" x14ac:dyDescent="0.3">
      <c r="A409" s="34">
        <f>VLOOKUP(YEAR(C409),Flags!$A$13:$B$95,2,FALSE)</f>
        <v>1</v>
      </c>
      <c r="B409" s="35">
        <f t="shared" si="637"/>
        <v>1965</v>
      </c>
      <c r="C409" s="36">
        <v>24107</v>
      </c>
      <c r="D409" s="37"/>
      <c r="E409" s="35"/>
      <c r="F409" s="37"/>
      <c r="G409" s="37"/>
      <c r="H409" s="37"/>
      <c r="I409" s="37"/>
      <c r="J409" s="37"/>
      <c r="K409" s="37"/>
      <c r="L409" s="35"/>
      <c r="M409" s="35"/>
      <c r="N409" s="37"/>
      <c r="O409" s="37"/>
      <c r="P409" s="37"/>
      <c r="Q409" s="37"/>
      <c r="R409" s="37"/>
      <c r="S409" s="37"/>
      <c r="T409" s="37"/>
      <c r="U409" s="37"/>
      <c r="V409" s="37"/>
      <c r="W409" s="37">
        <f>MAX($C$11-VLOOKUP($C409,COS!$B$8:$H$991,3,FALSE),0)</f>
        <v>1261.330078125</v>
      </c>
      <c r="X409" s="37">
        <f t="shared" si="562"/>
        <v>77.556163481404965</v>
      </c>
      <c r="Y409" s="37">
        <f>VLOOKUP($C409,COS!$B$8:$H$991,4,FALSE)</f>
        <v>0</v>
      </c>
      <c r="Z409" s="37">
        <f t="shared" si="563"/>
        <v>0</v>
      </c>
      <c r="AA409" s="37">
        <f t="shared" si="649"/>
        <v>0</v>
      </c>
      <c r="AB409" s="38">
        <f t="shared" si="650"/>
        <v>0</v>
      </c>
    </row>
    <row r="410" spans="1:28" x14ac:dyDescent="0.3">
      <c r="A410" s="27">
        <f>VLOOKUP(YEAR(C410),Flags!$A$13:$B$95,2,FALSE)</f>
        <v>3</v>
      </c>
      <c r="B410" s="28">
        <f t="shared" si="637"/>
        <v>1966</v>
      </c>
      <c r="C410" s="29">
        <v>24227</v>
      </c>
      <c r="D410" s="30">
        <f>VLOOKUP($C410,COS!$B$8:$H$991,3,FALSE)</f>
        <v>4292.888671875</v>
      </c>
      <c r="E410" s="28">
        <f>IF(D410&gt;=IF(MONTH($C410)=4,$C$3,IF(MONTH($C410)=5,$C$4,IF(MONTH($C410)=6,$C$5,IF(MONTH($C410)=7,$C$6,"ERROR")))),1,0)</f>
        <v>0</v>
      </c>
      <c r="F410" s="30">
        <f>VLOOKUP($C410,COS!$B$8:$H$991,7,FALSE)</f>
        <v>49.869205474853516</v>
      </c>
      <c r="G410" s="28">
        <f>IF(F410&lt;=IF(MONTH($C410)=4,$F$3,IF(MONTH($C410)=5,$F$4,IF(MONTH($C410)=6,$F$5,IF(MONTH($C410)=7,$F$6,"ERROR")))),1,0)</f>
        <v>1</v>
      </c>
      <c r="H410" s="30">
        <f>IF(J410=1,D410-$C$3,0)</f>
        <v>0</v>
      </c>
      <c r="I410" s="30">
        <f t="shared" si="558"/>
        <v>0</v>
      </c>
      <c r="J410" s="28">
        <f t="shared" ref="J410:J413" si="652">IF(AND(E410=1,G410=1),1,0)</f>
        <v>0</v>
      </c>
      <c r="K410" s="30">
        <f>VLOOKUP($C410,COS!$B$8:$H$991,2,FALSE)</f>
        <v>4552</v>
      </c>
      <c r="L410" s="28">
        <f t="shared" ref="L410" si="653">IF(K410&lt;=IF(MONTH($C410)=4,$I$3,IF(MONTH($C410)=5,$I$4,IF(MONTH($C410)=6,$I$5,IF(MONTH($C410)=7,$I$6,"ERROR")))),1,0)</f>
        <v>1</v>
      </c>
      <c r="M410" s="28">
        <f t="shared" ref="M410" si="654">VLOOKUP($A410,$L$3:$M$7,2,FALSE)</f>
        <v>0</v>
      </c>
      <c r="N410" s="30">
        <f>VLOOKUP($C410,COS!$B$8:$H$991,5,FALSE)</f>
        <v>529.82769775390625</v>
      </c>
      <c r="O410" s="30">
        <f t="shared" ref="O410:O413" si="655">N410*DAY($C410)*86400/43560/1000</f>
        <v>31.526937387009298</v>
      </c>
      <c r="P410" s="30">
        <f>VLOOKUP($C410,COS!$B$8:$H$991,6,FALSE)</f>
        <v>552.3431396484375</v>
      </c>
      <c r="Q410" s="30">
        <f t="shared" ref="Q410:Q413" si="656">P410*DAY($C410)*86400/43560/1000</f>
        <v>32.86669921875</v>
      </c>
      <c r="R410" s="30">
        <f>MIN(IF(MONTH($C410)=4,$S$3,IF(MONTH($C410)=5,$S$4,IF(MONTH($C410)=6,$S$5,IF(MONTH($C410)=7,$S$6,"ERROR")))),MAX(VLOOKUP($C410,COS!$B$8:$K$991,10,FALSE)-IF(MONTH($C410)=4,$Y$3,IF(MONTH($C410)=5,$Y$4,IF(MONTH($C410)=6,$Y$5,IF(MONTH($C410)=7,$Y$6,"ERROR")))),0),MAX(VLOOKUP($C410,COS!$B$8:$K$991,9,FALSE)-IF(MONTH($C410)=4,$V$3,IF(MONTH($C410)=5,$V$4,IF(MONTH($C410)=6,$V$5,IF(MONTH($C410)=7,$V$6,"ERROR"))))-VLOOKUP($C410,COS!$B$8:$K$991,6,FALSE)/2,0))</f>
        <v>1500</v>
      </c>
      <c r="S410" s="30">
        <f t="shared" ref="S410:S413" si="657">R410*DAY($C410)*86400/43560/1000</f>
        <v>89.256198347107429</v>
      </c>
      <c r="T410" s="30">
        <f t="shared" ref="T410:T413" si="658">(O410+Q410)/2+S410</f>
        <v>121.45301664998708</v>
      </c>
      <c r="U410" s="30" t="str">
        <f>IF(VLOOKUP($C410,COS!$B$8:$I$991,8,FALSE)=1,"UWFE","IBU")</f>
        <v>UWFE</v>
      </c>
      <c r="V410" s="30">
        <f t="shared" ref="V410" si="659">MIN(IF(IF($AA$3=2,AND(E410=1,G410=1,L410=1,L415=1,M410=1,U410="IBU"),AND(E410=1,G410=1,L410=1,L415=1,M410=1)),T410,0),I410)</f>
        <v>0</v>
      </c>
      <c r="W410" s="30"/>
      <c r="X410" s="30"/>
      <c r="Y410" s="30"/>
      <c r="Z410" s="30"/>
      <c r="AA410" s="30"/>
      <c r="AB410" s="31"/>
    </row>
    <row r="411" spans="1:28" x14ac:dyDescent="0.3">
      <c r="A411" s="32">
        <f>VLOOKUP(YEAR(C411),Flags!$A$13:$B$95,2,FALSE)</f>
        <v>3</v>
      </c>
      <c r="B411" s="24">
        <f t="shared" si="637"/>
        <v>1966</v>
      </c>
      <c r="C411" s="25">
        <v>24258</v>
      </c>
      <c r="D411" s="26">
        <f>VLOOKUP($C411,COS!$B$8:$H$991,3,FALSE)</f>
        <v>8730.6591796875</v>
      </c>
      <c r="E411" s="24">
        <f>IF(D411&gt;=IF(MONTH($C411)=4,$C$3,IF(MONTH($C411)=5,$C$4,IF(MONTH($C411)=6,$C$5,IF(MONTH($C411)=7,$C$6,"ERROR")))),1,0)</f>
        <v>1</v>
      </c>
      <c r="F411" s="26">
        <f>VLOOKUP($C411,COS!$B$8:$H$991,7,FALSE)</f>
        <v>49.472553253173828</v>
      </c>
      <c r="G411" s="24">
        <f>IF(F411&lt;=IF(MONTH($C411)=4,$F$3,IF(MONTH($C411)=5,$F$4,IF(MONTH($C411)=6,$F$5,IF(MONTH($C411)=7,$F$6,"ERROR")))),1,0)</f>
        <v>1</v>
      </c>
      <c r="H411" s="26">
        <f>IF(J411=1,D411-$C$4,0)</f>
        <v>2730.6591796875</v>
      </c>
      <c r="I411" s="26">
        <f t="shared" si="558"/>
        <v>167.90168840392562</v>
      </c>
      <c r="J411" s="24">
        <f t="shared" si="652"/>
        <v>1</v>
      </c>
      <c r="K411" s="26">
        <f>VLOOKUP($C411,COS!$B$8:$H$991,2,FALSE)</f>
        <v>4347.7724609375</v>
      </c>
      <c r="L411" s="24">
        <f t="shared" si="639"/>
        <v>1</v>
      </c>
      <c r="M411" s="24">
        <f t="shared" si="640"/>
        <v>0</v>
      </c>
      <c r="N411" s="26">
        <f>VLOOKUP($C411,COS!$B$8:$H$991,5,FALSE)</f>
        <v>640.74652099609375</v>
      </c>
      <c r="O411" s="26">
        <f t="shared" si="655"/>
        <v>39.397967902569732</v>
      </c>
      <c r="P411" s="26">
        <f>VLOOKUP($C411,COS!$B$8:$H$991,6,FALSE)</f>
        <v>2340.425048828125</v>
      </c>
      <c r="Q411" s="26">
        <f t="shared" si="656"/>
        <v>143.90712696926653</v>
      </c>
      <c r="R411" s="26">
        <f>MIN(IF(MONTH($C411)=4,$S$3,IF(MONTH($C411)=5,$S$4,IF(MONTH($C411)=6,$S$5,IF(MONTH($C411)=7,$S$6,"ERROR")))),MAX(VLOOKUP($C411,COS!$B$8:$K$991,10,FALSE)-IF(MONTH($C411)=4,$Y$3,IF(MONTH($C411)=5,$Y$4,IF(MONTH($C411)=6,$Y$5,IF(MONTH($C411)=7,$Y$6,"ERROR")))),0),MAX(VLOOKUP($C411,COS!$B$8:$K$991,9,FALSE)-IF(MONTH($C411)=4,$V$3,IF(MONTH($C411)=5,$V$4,IF(MONTH($C411)=6,$V$5,IF(MONTH($C411)=7,$V$6,"ERROR"))))-VLOOKUP($C411,COS!$B$8:$K$991,6,FALSE)/2,0))</f>
        <v>1500</v>
      </c>
      <c r="S411" s="26">
        <f t="shared" si="657"/>
        <v>92.231404958677686</v>
      </c>
      <c r="T411" s="26">
        <f t="shared" si="658"/>
        <v>183.88395239459584</v>
      </c>
      <c r="U411" s="26" t="str">
        <f>IF(VLOOKUP($C411,COS!$B$8:$I$991,8,FALSE)=1,"UWFE","IBU")</f>
        <v>IBU</v>
      </c>
      <c r="V411" s="26">
        <f t="shared" ref="V411" si="660">MIN(IF(IF($AA$3=2,AND(E411=1,G411=1,L411=1,L415=1,M411=1,U411="IBU"),AND(E411=1,G411=1,L411=1,L415=1,M411=1)),T411,0),I411)</f>
        <v>0</v>
      </c>
      <c r="W411" s="26"/>
      <c r="X411" s="26"/>
      <c r="Y411" s="26"/>
      <c r="Z411" s="26"/>
      <c r="AA411" s="26"/>
      <c r="AB411" s="33"/>
    </row>
    <row r="412" spans="1:28" x14ac:dyDescent="0.3">
      <c r="A412" s="32">
        <f>VLOOKUP(YEAR(C412),Flags!$A$13:$B$95,2,FALSE)</f>
        <v>3</v>
      </c>
      <c r="B412" s="24">
        <f t="shared" si="637"/>
        <v>1966</v>
      </c>
      <c r="C412" s="25">
        <v>24288</v>
      </c>
      <c r="D412" s="26">
        <f>VLOOKUP($C412,COS!$B$8:$H$991,3,FALSE)</f>
        <v>13508.86328125</v>
      </c>
      <c r="E412" s="24">
        <f>IF(D412&gt;=IF(MONTH($C412)=4,$C$3,IF(MONTH($C412)=5,$C$4,IF(MONTH($C412)=6,$C$5,IF(MONTH($C412)=7,$C$6,"ERROR")))),1,0)</f>
        <v>1</v>
      </c>
      <c r="F412" s="26">
        <f>VLOOKUP($C412,COS!$B$8:$H$991,7,FALSE)</f>
        <v>49.86444091796875</v>
      </c>
      <c r="G412" s="24">
        <f>IF(F412&lt;=IF(MONTH($C412)=4,$F$3,IF(MONTH($C412)=5,$F$4,IF(MONTH($C412)=6,$F$5,IF(MONTH($C412)=7,$F$6,"ERROR")))),1,0)</f>
        <v>1</v>
      </c>
      <c r="H412" s="26">
        <f>IF(J412=1,D412-$C$5,0)</f>
        <v>3508.86328125</v>
      </c>
      <c r="I412" s="26">
        <f t="shared" ref="I412:I475" si="661">H412*DAY($C412)*86400/43560/1000</f>
        <v>208.79186466942147</v>
      </c>
      <c r="J412" s="24">
        <f t="shared" si="652"/>
        <v>1</v>
      </c>
      <c r="K412" s="26">
        <f>VLOOKUP($C412,COS!$B$8:$H$991,2,FALSE)</f>
        <v>3800.234375</v>
      </c>
      <c r="L412" s="24">
        <f t="shared" si="639"/>
        <v>1</v>
      </c>
      <c r="M412" s="24">
        <f t="shared" si="640"/>
        <v>0</v>
      </c>
      <c r="N412" s="26">
        <f>VLOOKUP($C412,COS!$B$8:$H$991,5,FALSE)</f>
        <v>770.628173828125</v>
      </c>
      <c r="O412" s="26">
        <f t="shared" si="655"/>
        <v>45.85556075671488</v>
      </c>
      <c r="P412" s="26">
        <f>VLOOKUP($C412,COS!$B$8:$H$991,6,FALSE)</f>
        <v>2661.6142578125</v>
      </c>
      <c r="Q412" s="26">
        <f t="shared" si="656"/>
        <v>158.37704674586777</v>
      </c>
      <c r="R412" s="26">
        <f>MIN(IF(MONTH($C412)=4,$S$3,IF(MONTH($C412)=5,$S$4,IF(MONTH($C412)=6,$S$5,IF(MONTH($C412)=7,$S$6,"ERROR")))),MAX(VLOOKUP($C412,COS!$B$8:$K$991,10,FALSE)-IF(MONTH($C412)=4,$Y$3,IF(MONTH($C412)=5,$Y$4,IF(MONTH($C412)=6,$Y$5,IF(MONTH($C412)=7,$Y$6,"ERROR")))),0),MAX(VLOOKUP($C412,COS!$B$8:$K$991,9,FALSE)-IF(MONTH($C412)=4,$V$3,IF(MONTH($C412)=5,$V$4,IF(MONTH($C412)=6,$V$5,IF(MONTH($C412)=7,$V$6,"ERROR"))))-VLOOKUP($C412,COS!$B$8:$K$991,6,FALSE)/2,0))</f>
        <v>1500</v>
      </c>
      <c r="S412" s="26">
        <f t="shared" si="657"/>
        <v>89.256198347107429</v>
      </c>
      <c r="T412" s="26">
        <f t="shared" si="658"/>
        <v>191.37250209839874</v>
      </c>
      <c r="U412" s="26" t="str">
        <f>IF(VLOOKUP($C412,COS!$B$8:$I$991,8,FALSE)=1,"UWFE","IBU")</f>
        <v>IBU</v>
      </c>
      <c r="V412" s="26">
        <f t="shared" ref="V412" si="662">MIN(IF(IF($AA$3=2,AND(E412=1,G412=1,L412=1,L415=1,M412=1,U412="IBU"),AND(E412=1,G412=1,L412=1,L415=1,M412=1)),T412,0),I412)</f>
        <v>0</v>
      </c>
      <c r="W412" s="26"/>
      <c r="X412" s="26"/>
      <c r="Y412" s="26"/>
      <c r="Z412" s="26"/>
      <c r="AA412" s="26"/>
      <c r="AB412" s="33"/>
    </row>
    <row r="413" spans="1:28" x14ac:dyDescent="0.3">
      <c r="A413" s="32">
        <f>VLOOKUP(YEAR(C413),Flags!$A$13:$B$95,2,FALSE)</f>
        <v>3</v>
      </c>
      <c r="B413" s="24">
        <f t="shared" si="637"/>
        <v>1966</v>
      </c>
      <c r="C413" s="25">
        <v>24319</v>
      </c>
      <c r="D413" s="26">
        <f>VLOOKUP($C413,COS!$B$8:$H$991,3,FALSE)</f>
        <v>16000</v>
      </c>
      <c r="E413" s="24">
        <f>IF(D413&gt;=IF(MONTH($C413)=4,$C$3,IF(MONTH($C413)=5,$C$4,IF(MONTH($C413)=6,$C$5,IF(MONTH($C413)=7,$C$6,"ERROR")))),1,0)</f>
        <v>1</v>
      </c>
      <c r="F413" s="26">
        <f>VLOOKUP($C413,COS!$B$8:$H$991,7,FALSE)</f>
        <v>50.834873199462891</v>
      </c>
      <c r="G413" s="24">
        <f>IF(F413&lt;=IF(MONTH($C413)=4,$F$3,IF(MONTH($C413)=5,$F$4,IF(MONTH($C413)=6,$F$5,IF(MONTH($C413)=7,$F$6,"ERROR")))),1,0)</f>
        <v>1</v>
      </c>
      <c r="H413" s="26">
        <f>IF(J413=1,D413-$C$6,0)</f>
        <v>4000</v>
      </c>
      <c r="I413" s="26">
        <f t="shared" si="661"/>
        <v>245.95041322314049</v>
      </c>
      <c r="J413" s="24">
        <f t="shared" si="652"/>
        <v>1</v>
      </c>
      <c r="K413" s="26">
        <f>VLOOKUP($C413,COS!$B$8:$H$991,2,FALSE)</f>
        <v>3119.609375</v>
      </c>
      <c r="L413" s="24">
        <f t="shared" si="639"/>
        <v>1</v>
      </c>
      <c r="M413" s="24">
        <f t="shared" si="640"/>
        <v>0</v>
      </c>
      <c r="N413" s="26">
        <f>VLOOKUP($C413,COS!$B$8:$H$991,5,FALSE)</f>
        <v>838.9403076171875</v>
      </c>
      <c r="O413" s="26">
        <f t="shared" si="655"/>
        <v>51.584428831998963</v>
      </c>
      <c r="P413" s="26">
        <f>VLOOKUP($C413,COS!$B$8:$H$991,6,FALSE)</f>
        <v>2521.163330078125</v>
      </c>
      <c r="Q413" s="26">
        <f t="shared" si="656"/>
        <v>155.02029070893593</v>
      </c>
      <c r="R413" s="26">
        <f>MIN(IF(MONTH($C413)=4,$S$3,IF(MONTH($C413)=5,$S$4,IF(MONTH($C413)=6,$S$5,IF(MONTH($C413)=7,$S$6,"ERROR")))),MAX(VLOOKUP($C413,COS!$B$8:$K$991,10,FALSE)-IF(MONTH($C413)=4,$Y$3,IF(MONTH($C413)=5,$Y$4,IF(MONTH($C413)=6,$Y$5,IF(MONTH($C413)=7,$Y$6,"ERROR")))),0),MAX(VLOOKUP($C413,COS!$B$8:$K$991,9,FALSE)-IF(MONTH($C413)=4,$V$3,IF(MONTH($C413)=5,$V$4,IF(MONTH($C413)=6,$V$5,IF(MONTH($C413)=7,$V$6,"ERROR"))))-VLOOKUP($C413,COS!$B$8:$K$991,6,FALSE)/2,0))</f>
        <v>1500</v>
      </c>
      <c r="S413" s="26">
        <f t="shared" si="657"/>
        <v>92.231404958677686</v>
      </c>
      <c r="T413" s="26">
        <f t="shared" si="658"/>
        <v>195.53376472914513</v>
      </c>
      <c r="U413" s="26" t="str">
        <f>IF(VLOOKUP($C413,COS!$B$8:$I$991,8,FALSE)=1,"UWFE","IBU")</f>
        <v>IBU</v>
      </c>
      <c r="V413" s="26">
        <f t="shared" ref="V413" si="663">MIN(IF(IF($AA$3=2,AND(E413=1,G413=1,L413=1,L415=1,M413=1,U413="IBU"),AND(E413=1,G413=1,L413=1,L415=1,M413=1)),T413,0),I413)</f>
        <v>0</v>
      </c>
      <c r="W413" s="26"/>
      <c r="X413" s="26"/>
      <c r="Y413" s="26"/>
      <c r="Z413" s="26"/>
      <c r="AA413" s="26"/>
      <c r="AB413" s="33"/>
    </row>
    <row r="414" spans="1:28" x14ac:dyDescent="0.3">
      <c r="A414" s="32">
        <f>VLOOKUP(YEAR(C414),Flags!$A$13:$B$95,2,FALSE)</f>
        <v>3</v>
      </c>
      <c r="B414" s="24">
        <f t="shared" si="637"/>
        <v>1966</v>
      </c>
      <c r="C414" s="25">
        <v>24350</v>
      </c>
      <c r="D414" s="26"/>
      <c r="E414" s="24"/>
      <c r="F414" s="26"/>
      <c r="G414" s="24"/>
      <c r="H414" s="24"/>
      <c r="I414" s="26"/>
      <c r="J414" s="24"/>
      <c r="K414" s="26"/>
      <c r="L414" s="24"/>
      <c r="M414" s="24"/>
      <c r="N414" s="26"/>
      <c r="O414" s="26"/>
      <c r="P414" s="26"/>
      <c r="Q414" s="26"/>
      <c r="R414" s="26"/>
      <c r="S414" s="26"/>
      <c r="T414" s="26"/>
      <c r="U414" s="26"/>
      <c r="V414" s="26"/>
      <c r="W414" s="26">
        <f>MAX($C$7-VLOOKUP($C414,COS!$B$8:$H$991,3,FALSE),0)</f>
        <v>0</v>
      </c>
      <c r="X414" s="26">
        <f t="shared" si="562"/>
        <v>0</v>
      </c>
      <c r="Y414" s="26">
        <f>VLOOKUP($C414,COS!$B$8:$H$991,4,FALSE)</f>
        <v>442.35452270507813</v>
      </c>
      <c r="Z414" s="26">
        <f t="shared" si="563"/>
        <v>27.199319412609761</v>
      </c>
      <c r="AA414" s="26">
        <f t="shared" ref="AA414:AA418" si="664">MIN(W414,Y414)</f>
        <v>0</v>
      </c>
      <c r="AB414" s="33">
        <f t="shared" ref="AB414" si="665">AA414*DAY($C414)*86400/43560/1000*IF(MONTH($C414)=8,$P$3,IF(MONTH($C414)=9,$P$4,IF(MONTH($C414)=10,$P$5,IF(MONTH($C414)=11,$P$6,IF(MONTH($C414)=12,$P$7,NA())))))</f>
        <v>0</v>
      </c>
    </row>
    <row r="415" spans="1:28" x14ac:dyDescent="0.3">
      <c r="A415" s="32">
        <f>VLOOKUP(YEAR(C415),Flags!$A$13:$B$95,2,FALSE)</f>
        <v>3</v>
      </c>
      <c r="B415" s="24">
        <f t="shared" si="637"/>
        <v>1966</v>
      </c>
      <c r="C415" s="25">
        <v>24380</v>
      </c>
      <c r="D415" s="26"/>
      <c r="E415" s="24"/>
      <c r="F415" s="26"/>
      <c r="G415" s="24"/>
      <c r="H415" s="24"/>
      <c r="I415" s="26"/>
      <c r="J415" s="24"/>
      <c r="K415" s="26">
        <f>VLOOKUP($C415,COS!$B$8:$H$991,2,FALSE)</f>
        <v>2583.3671875</v>
      </c>
      <c r="L415" s="24">
        <f t="shared" ref="L415" si="666">IF(AND(K415&gt;$I$7,K415&lt;$I$8),1,0)</f>
        <v>1</v>
      </c>
      <c r="M415" s="24"/>
      <c r="N415" s="26"/>
      <c r="O415" s="26"/>
      <c r="P415" s="26"/>
      <c r="Q415" s="26"/>
      <c r="R415" s="26"/>
      <c r="S415" s="26"/>
      <c r="T415" s="26"/>
      <c r="U415" s="26"/>
      <c r="V415" s="26"/>
      <c r="W415" s="26">
        <f>MAX($C$8-VLOOKUP($C415,COS!$B$8:$H$991,3,FALSE),0)</f>
        <v>0</v>
      </c>
      <c r="X415" s="26">
        <f t="shared" ref="X415:X478" si="667">W415*DAY($C415)*86400/43560/1000</f>
        <v>0</v>
      </c>
      <c r="Y415" s="26">
        <f>VLOOKUP($C415,COS!$B$8:$H$991,4,FALSE)</f>
        <v>418.4725341796875</v>
      </c>
      <c r="Z415" s="26">
        <f t="shared" ref="Z415:Z478" si="668">Y415*DAY($C415)*86400/43560/1000</f>
        <v>24.900845009039259</v>
      </c>
      <c r="AA415" s="26">
        <f t="shared" si="664"/>
        <v>0</v>
      </c>
      <c r="AB415" s="33">
        <f t="shared" si="650"/>
        <v>0</v>
      </c>
    </row>
    <row r="416" spans="1:28" x14ac:dyDescent="0.3">
      <c r="A416" s="32">
        <f>VLOOKUP(YEAR(C416),Flags!$A$13:$B$95,2,FALSE)</f>
        <v>3</v>
      </c>
      <c r="B416" s="24">
        <f t="shared" si="637"/>
        <v>1966</v>
      </c>
      <c r="C416" s="25">
        <v>24411</v>
      </c>
      <c r="D416" s="26"/>
      <c r="E416" s="24"/>
      <c r="F416" s="26"/>
      <c r="G416" s="26"/>
      <c r="H416" s="26"/>
      <c r="I416" s="26"/>
      <c r="J416" s="26"/>
      <c r="K416" s="26"/>
      <c r="L416" s="24"/>
      <c r="M416" s="24"/>
      <c r="N416" s="26"/>
      <c r="O416" s="26"/>
      <c r="P416" s="26"/>
      <c r="Q416" s="26"/>
      <c r="R416" s="26"/>
      <c r="S416" s="26"/>
      <c r="T416" s="26"/>
      <c r="U416" s="26"/>
      <c r="V416" s="26"/>
      <c r="W416" s="26">
        <f>MAX($C$9-VLOOKUP($C416,COS!$B$8:$H$991,3,FALSE),0)</f>
        <v>0</v>
      </c>
      <c r="X416" s="26">
        <f t="shared" si="667"/>
        <v>0</v>
      </c>
      <c r="Y416" s="26">
        <f>VLOOKUP($C416,COS!$B$8:$H$991,4,FALSE)</f>
        <v>1319.8214111328125</v>
      </c>
      <c r="Z416" s="26">
        <f t="shared" si="668"/>
        <v>81.15265536221591</v>
      </c>
      <c r="AA416" s="26">
        <f t="shared" si="664"/>
        <v>0</v>
      </c>
      <c r="AB416" s="33">
        <f t="shared" si="650"/>
        <v>0</v>
      </c>
    </row>
    <row r="417" spans="1:28" x14ac:dyDescent="0.3">
      <c r="A417" s="32">
        <f>VLOOKUP(YEAR(C417),Flags!$A$13:$B$95,2,FALSE)</f>
        <v>3</v>
      </c>
      <c r="B417" s="24">
        <f t="shared" si="637"/>
        <v>1966</v>
      </c>
      <c r="C417" s="25">
        <v>24441</v>
      </c>
      <c r="D417" s="26"/>
      <c r="E417" s="24"/>
      <c r="F417" s="26"/>
      <c r="G417" s="26"/>
      <c r="H417" s="26"/>
      <c r="I417" s="26"/>
      <c r="J417" s="26"/>
      <c r="K417" s="26"/>
      <c r="L417" s="24"/>
      <c r="M417" s="24"/>
      <c r="N417" s="26"/>
      <c r="O417" s="26"/>
      <c r="P417" s="26"/>
      <c r="Q417" s="26"/>
      <c r="R417" s="26"/>
      <c r="S417" s="26"/>
      <c r="T417" s="26"/>
      <c r="U417" s="26"/>
      <c r="V417" s="26"/>
      <c r="W417" s="26">
        <f>MAX($C$10-VLOOKUP($C417,COS!$B$8:$H$991,3,FALSE),0)</f>
        <v>1750</v>
      </c>
      <c r="X417" s="26">
        <f t="shared" si="667"/>
        <v>104.13223140495867</v>
      </c>
      <c r="Y417" s="26">
        <f>VLOOKUP($C417,COS!$B$8:$H$991,4,FALSE)</f>
        <v>1161.37109375</v>
      </c>
      <c r="Z417" s="26">
        <f t="shared" si="668"/>
        <v>69.10637913223141</v>
      </c>
      <c r="AA417" s="26">
        <f t="shared" si="664"/>
        <v>1161.37109375</v>
      </c>
      <c r="AB417" s="33">
        <f t="shared" si="650"/>
        <v>69.10637913223141</v>
      </c>
    </row>
    <row r="418" spans="1:28" x14ac:dyDescent="0.3">
      <c r="A418" s="34">
        <f>VLOOKUP(YEAR(C418),Flags!$A$13:$B$95,2,FALSE)</f>
        <v>3</v>
      </c>
      <c r="B418" s="35">
        <f t="shared" si="637"/>
        <v>1966</v>
      </c>
      <c r="C418" s="36">
        <v>24472</v>
      </c>
      <c r="D418" s="37"/>
      <c r="E418" s="35"/>
      <c r="F418" s="37"/>
      <c r="G418" s="37"/>
      <c r="H418" s="37"/>
      <c r="I418" s="37"/>
      <c r="J418" s="37"/>
      <c r="K418" s="37"/>
      <c r="L418" s="35"/>
      <c r="M418" s="35"/>
      <c r="N418" s="37"/>
      <c r="O418" s="37"/>
      <c r="P418" s="37"/>
      <c r="Q418" s="37"/>
      <c r="R418" s="37"/>
      <c r="S418" s="37"/>
      <c r="T418" s="37"/>
      <c r="U418" s="37"/>
      <c r="V418" s="37"/>
      <c r="W418" s="37">
        <f>MAX($C$11-VLOOKUP($C418,COS!$B$8:$H$991,3,FALSE),0)</f>
        <v>0</v>
      </c>
      <c r="X418" s="37">
        <f t="shared" si="667"/>
        <v>0</v>
      </c>
      <c r="Y418" s="37">
        <f>VLOOKUP($C418,COS!$B$8:$H$991,4,FALSE)</f>
        <v>0</v>
      </c>
      <c r="Z418" s="37">
        <f t="shared" si="668"/>
        <v>0</v>
      </c>
      <c r="AA418" s="37">
        <f t="shared" si="664"/>
        <v>0</v>
      </c>
      <c r="AB418" s="38">
        <f t="shared" si="650"/>
        <v>0</v>
      </c>
    </row>
    <row r="419" spans="1:28" x14ac:dyDescent="0.3">
      <c r="A419" s="27">
        <f>VLOOKUP(YEAR(C419),Flags!$A$13:$B$95,2,FALSE)</f>
        <v>1</v>
      </c>
      <c r="B419" s="28">
        <f t="shared" si="637"/>
        <v>1967</v>
      </c>
      <c r="C419" s="29">
        <v>24592</v>
      </c>
      <c r="D419" s="30">
        <f>VLOOKUP($C419,COS!$B$8:$H$991,3,FALSE)</f>
        <v>10209.6708984375</v>
      </c>
      <c r="E419" s="28">
        <f>IF(D419&gt;=IF(MONTH($C419)=4,$C$3,IF(MONTH($C419)=5,$C$4,IF(MONTH($C419)=6,$C$5,IF(MONTH($C419)=7,$C$6,"ERROR")))),1,0)</f>
        <v>1</v>
      </c>
      <c r="F419" s="30">
        <f>VLOOKUP($C419,COS!$B$8:$H$991,7,FALSE)</f>
        <v>47.143501281738281</v>
      </c>
      <c r="G419" s="28">
        <f>IF(F419&lt;=IF(MONTH($C419)=4,$F$3,IF(MONTH($C419)=5,$F$4,IF(MONTH($C419)=6,$F$5,IF(MONTH($C419)=7,$F$6,"ERROR")))),1,0)</f>
        <v>1</v>
      </c>
      <c r="H419" s="30">
        <f>IF(J419=1,D419-$C$3,0)</f>
        <v>4209.6708984375</v>
      </c>
      <c r="I419" s="30">
        <f t="shared" si="661"/>
        <v>250.49281379132231</v>
      </c>
      <c r="J419" s="28">
        <f t="shared" ref="J419:J422" si="669">IF(AND(E419=1,G419=1),1,0)</f>
        <v>1</v>
      </c>
      <c r="K419" s="30">
        <f>VLOOKUP($C419,COS!$B$8:$H$991,2,FALSE)</f>
        <v>4479</v>
      </c>
      <c r="L419" s="28">
        <f t="shared" ref="L419" si="670">IF(K419&lt;=IF(MONTH($C419)=4,$I$3,IF(MONTH($C419)=5,$I$4,IF(MONTH($C419)=6,$I$5,IF(MONTH($C419)=7,$I$6,"ERROR")))),1,0)</f>
        <v>1</v>
      </c>
      <c r="M419" s="28">
        <f t="shared" ref="M419" si="671">VLOOKUP($A419,$L$3:$M$7,2,FALSE)</f>
        <v>0</v>
      </c>
      <c r="N419" s="30">
        <f>VLOOKUP($C419,COS!$B$8:$H$991,5,FALSE)</f>
        <v>39.870414733886719</v>
      </c>
      <c r="O419" s="30">
        <f t="shared" ref="O419:O422" si="672">N419*DAY($C419)*86400/43560/1000</f>
        <v>2.3724544304461519</v>
      </c>
      <c r="P419" s="30">
        <f>VLOOKUP($C419,COS!$B$8:$H$991,6,FALSE)</f>
        <v>237.42314147949219</v>
      </c>
      <c r="Q419" s="30">
        <f t="shared" ref="Q419:Q422" si="673">P419*DAY($C419)*86400/43560/1000</f>
        <v>14.127658005391272</v>
      </c>
      <c r="R419" s="30">
        <f>MIN(IF(MONTH($C419)=4,$S$3,IF(MONTH($C419)=5,$S$4,IF(MONTH($C419)=6,$S$5,IF(MONTH($C419)=7,$S$6,"ERROR")))),MAX(VLOOKUP($C419,COS!$B$8:$K$991,10,FALSE)-IF(MONTH($C419)=4,$Y$3,IF(MONTH($C419)=5,$Y$4,IF(MONTH($C419)=6,$Y$5,IF(MONTH($C419)=7,$Y$6,"ERROR")))),0),MAX(VLOOKUP($C419,COS!$B$8:$K$991,9,FALSE)-IF(MONTH($C419)=4,$V$3,IF(MONTH($C419)=5,$V$4,IF(MONTH($C419)=6,$V$5,IF(MONTH($C419)=7,$V$6,"ERROR"))))-VLOOKUP($C419,COS!$B$8:$K$991,6,FALSE)/2,0))</f>
        <v>1500</v>
      </c>
      <c r="S419" s="30">
        <f t="shared" ref="S419:S422" si="674">R419*DAY($C419)*86400/43560/1000</f>
        <v>89.256198347107429</v>
      </c>
      <c r="T419" s="30">
        <f t="shared" ref="T419:T422" si="675">(O419+Q419)/2+S419</f>
        <v>97.50625456502614</v>
      </c>
      <c r="U419" s="30" t="str">
        <f>IF(VLOOKUP($C419,COS!$B$8:$I$991,8,FALSE)=1,"UWFE","IBU")</f>
        <v>UWFE</v>
      </c>
      <c r="V419" s="30">
        <f t="shared" ref="V419" si="676">MIN(IF(IF($AA$3=2,AND(E419=1,G419=1,L419=1,L424=1,M419=1,U419="IBU"),AND(E419=1,G419=1,L419=1,L424=1,M419=1)),T419,0),I419)</f>
        <v>0</v>
      </c>
      <c r="W419" s="30"/>
      <c r="X419" s="30"/>
      <c r="Y419" s="30"/>
      <c r="Z419" s="30"/>
      <c r="AA419" s="30"/>
      <c r="AB419" s="31"/>
    </row>
    <row r="420" spans="1:28" x14ac:dyDescent="0.3">
      <c r="A420" s="32">
        <f>VLOOKUP(YEAR(C420),Flags!$A$13:$B$95,2,FALSE)</f>
        <v>1</v>
      </c>
      <c r="B420" s="24">
        <f t="shared" si="637"/>
        <v>1967</v>
      </c>
      <c r="C420" s="25">
        <v>24623</v>
      </c>
      <c r="D420" s="26">
        <f>VLOOKUP($C420,COS!$B$8:$H$991,3,FALSE)</f>
        <v>12507.45703125</v>
      </c>
      <c r="E420" s="24">
        <f>IF(D420&gt;=IF(MONTH($C420)=4,$C$3,IF(MONTH($C420)=5,$C$4,IF(MONTH($C420)=6,$C$5,IF(MONTH($C420)=7,$C$6,"ERROR")))),1,0)</f>
        <v>1</v>
      </c>
      <c r="F420" s="26">
        <f>VLOOKUP($C420,COS!$B$8:$H$991,7,FALSE)</f>
        <v>48.993885040283203</v>
      </c>
      <c r="G420" s="24">
        <f>IF(F420&lt;=IF(MONTH($C420)=4,$F$3,IF(MONTH($C420)=5,$F$4,IF(MONTH($C420)=6,$F$5,IF(MONTH($C420)=7,$F$6,"ERROR")))),1,0)</f>
        <v>1</v>
      </c>
      <c r="H420" s="26">
        <f>IF(J420=1,D420-$C$4,0)</f>
        <v>6507.45703125</v>
      </c>
      <c r="I420" s="26">
        <f t="shared" si="661"/>
        <v>400.12793646694212</v>
      </c>
      <c r="J420" s="24">
        <f t="shared" si="669"/>
        <v>1</v>
      </c>
      <c r="K420" s="26">
        <f>VLOOKUP($C420,COS!$B$8:$H$991,2,FALSE)</f>
        <v>4552</v>
      </c>
      <c r="L420" s="24">
        <f t="shared" si="639"/>
        <v>1</v>
      </c>
      <c r="M420" s="24">
        <f t="shared" si="640"/>
        <v>0</v>
      </c>
      <c r="N420" s="26">
        <f>VLOOKUP($C420,COS!$B$8:$H$991,5,FALSE)</f>
        <v>634.8349609375</v>
      </c>
      <c r="O420" s="26">
        <f t="shared" si="672"/>
        <v>39.034480242768595</v>
      </c>
      <c r="P420" s="26">
        <f>VLOOKUP($C420,COS!$B$8:$H$991,6,FALSE)</f>
        <v>2252.28564453125</v>
      </c>
      <c r="Q420" s="26">
        <f t="shared" si="673"/>
        <v>138.48764624225205</v>
      </c>
      <c r="R420" s="26">
        <f>MIN(IF(MONTH($C420)=4,$S$3,IF(MONTH($C420)=5,$S$4,IF(MONTH($C420)=6,$S$5,IF(MONTH($C420)=7,$S$6,"ERROR")))),MAX(VLOOKUP($C420,COS!$B$8:$K$991,10,FALSE)-IF(MONTH($C420)=4,$Y$3,IF(MONTH($C420)=5,$Y$4,IF(MONTH($C420)=6,$Y$5,IF(MONTH($C420)=7,$Y$6,"ERROR")))),0),MAX(VLOOKUP($C420,COS!$B$8:$K$991,9,FALSE)-IF(MONTH($C420)=4,$V$3,IF(MONTH($C420)=5,$V$4,IF(MONTH($C420)=6,$V$5,IF(MONTH($C420)=7,$V$6,"ERROR"))))-VLOOKUP($C420,COS!$B$8:$K$991,6,FALSE)/2,0))</f>
        <v>1500</v>
      </c>
      <c r="S420" s="26">
        <f t="shared" si="674"/>
        <v>92.231404958677686</v>
      </c>
      <c r="T420" s="26">
        <f t="shared" si="675"/>
        <v>180.99246820118799</v>
      </c>
      <c r="U420" s="26" t="str">
        <f>IF(VLOOKUP($C420,COS!$B$8:$I$991,8,FALSE)=1,"UWFE","IBU")</f>
        <v>UWFE</v>
      </c>
      <c r="V420" s="26">
        <f t="shared" ref="V420" si="677">MIN(IF(IF($AA$3=2,AND(E420=1,G420=1,L420=1,L424=1,M420=1,U420="IBU"),AND(E420=1,G420=1,L420=1,L424=1,M420=1)),T420,0),I420)</f>
        <v>0</v>
      </c>
      <c r="W420" s="26"/>
      <c r="X420" s="26"/>
      <c r="Y420" s="26"/>
      <c r="Z420" s="26"/>
      <c r="AA420" s="26"/>
      <c r="AB420" s="33"/>
    </row>
    <row r="421" spans="1:28" x14ac:dyDescent="0.3">
      <c r="A421" s="32">
        <f>VLOOKUP(YEAR(C421),Flags!$A$13:$B$95,2,FALSE)</f>
        <v>1</v>
      </c>
      <c r="B421" s="24">
        <f t="shared" si="637"/>
        <v>1967</v>
      </c>
      <c r="C421" s="25">
        <v>24653</v>
      </c>
      <c r="D421" s="26">
        <f>VLOOKUP($C421,COS!$B$8:$H$991,3,FALSE)</f>
        <v>8491.80078125</v>
      </c>
      <c r="E421" s="24">
        <f>IF(D421&gt;=IF(MONTH($C421)=4,$C$3,IF(MONTH($C421)=5,$C$4,IF(MONTH($C421)=6,$C$5,IF(MONTH($C421)=7,$C$6,"ERROR")))),1,0)</f>
        <v>0</v>
      </c>
      <c r="F421" s="26">
        <f>VLOOKUP($C421,COS!$B$8:$H$991,7,FALSE)</f>
        <v>51.173347473144531</v>
      </c>
      <c r="G421" s="24">
        <f>IF(F421&lt;=IF(MONTH($C421)=4,$F$3,IF(MONTH($C421)=5,$F$4,IF(MONTH($C421)=6,$F$5,IF(MONTH($C421)=7,$F$6,"ERROR")))),1,0)</f>
        <v>1</v>
      </c>
      <c r="H421" s="26">
        <f>IF(J421=1,D421-$C$5,0)</f>
        <v>0</v>
      </c>
      <c r="I421" s="26">
        <f t="shared" si="661"/>
        <v>0</v>
      </c>
      <c r="J421" s="24">
        <f t="shared" si="669"/>
        <v>0</v>
      </c>
      <c r="K421" s="26">
        <f>VLOOKUP($C421,COS!$B$8:$H$991,2,FALSE)</f>
        <v>4500</v>
      </c>
      <c r="L421" s="24">
        <f t="shared" si="639"/>
        <v>1</v>
      </c>
      <c r="M421" s="24">
        <f t="shared" si="640"/>
        <v>0</v>
      </c>
      <c r="N421" s="26">
        <f>VLOOKUP($C421,COS!$B$8:$H$991,5,FALSE)</f>
        <v>937.7822265625</v>
      </c>
      <c r="O421" s="26">
        <f t="shared" si="672"/>
        <v>55.801917613636363</v>
      </c>
      <c r="P421" s="26">
        <f>VLOOKUP($C421,COS!$B$8:$H$991,6,FALSE)</f>
        <v>2001.16455078125</v>
      </c>
      <c r="Q421" s="26">
        <f t="shared" si="673"/>
        <v>119.0775600464876</v>
      </c>
      <c r="R421" s="26">
        <f>MIN(IF(MONTH($C421)=4,$S$3,IF(MONTH($C421)=5,$S$4,IF(MONTH($C421)=6,$S$5,IF(MONTH($C421)=7,$S$6,"ERROR")))),MAX(VLOOKUP($C421,COS!$B$8:$K$991,10,FALSE)-IF(MONTH($C421)=4,$Y$3,IF(MONTH($C421)=5,$Y$4,IF(MONTH($C421)=6,$Y$5,IF(MONTH($C421)=7,$Y$6,"ERROR")))),0),MAX(VLOOKUP($C421,COS!$B$8:$K$991,9,FALSE)-IF(MONTH($C421)=4,$V$3,IF(MONTH($C421)=5,$V$4,IF(MONTH($C421)=6,$V$5,IF(MONTH($C421)=7,$V$6,"ERROR"))))-VLOOKUP($C421,COS!$B$8:$K$991,6,FALSE)/2,0))</f>
        <v>1500</v>
      </c>
      <c r="S421" s="26">
        <f t="shared" si="674"/>
        <v>89.256198347107429</v>
      </c>
      <c r="T421" s="26">
        <f t="shared" si="675"/>
        <v>176.69593717716941</v>
      </c>
      <c r="U421" s="26" t="str">
        <f>IF(VLOOKUP($C421,COS!$B$8:$I$991,8,FALSE)=1,"UWFE","IBU")</f>
        <v>UWFE</v>
      </c>
      <c r="V421" s="26">
        <f t="shared" ref="V421" si="678">MIN(IF(IF($AA$3=2,AND(E421=1,G421=1,L421=1,L424=1,M421=1,U421="IBU"),AND(E421=1,G421=1,L421=1,L424=1,M421=1)),T421,0),I421)</f>
        <v>0</v>
      </c>
      <c r="W421" s="26"/>
      <c r="X421" s="26"/>
      <c r="Y421" s="26"/>
      <c r="Z421" s="26"/>
      <c r="AA421" s="26"/>
      <c r="AB421" s="33"/>
    </row>
    <row r="422" spans="1:28" x14ac:dyDescent="0.3">
      <c r="A422" s="32">
        <f>VLOOKUP(YEAR(C422),Flags!$A$13:$B$95,2,FALSE)</f>
        <v>1</v>
      </c>
      <c r="B422" s="24">
        <f t="shared" si="637"/>
        <v>1967</v>
      </c>
      <c r="C422" s="25">
        <v>24684</v>
      </c>
      <c r="D422" s="26">
        <f>VLOOKUP($C422,COS!$B$8:$H$991,3,FALSE)</f>
        <v>11558.0478515625</v>
      </c>
      <c r="E422" s="24">
        <f>IF(D422&gt;=IF(MONTH($C422)=4,$C$3,IF(MONTH($C422)=5,$C$4,IF(MONTH($C422)=6,$C$5,IF(MONTH($C422)=7,$C$6,"ERROR")))),1,0)</f>
        <v>0</v>
      </c>
      <c r="F422" s="26">
        <f>VLOOKUP($C422,COS!$B$8:$H$991,7,FALSE)</f>
        <v>52.531658172607422</v>
      </c>
      <c r="G422" s="24">
        <f>IF(F422&lt;=IF(MONTH($C422)=4,$F$3,IF(MONTH($C422)=5,$F$4,IF(MONTH($C422)=6,$F$5,IF(MONTH($C422)=7,$F$6,"ERROR")))),1,0)</f>
        <v>1</v>
      </c>
      <c r="H422" s="26">
        <f>IF(J422=1,D422-$C$6,0)</f>
        <v>0</v>
      </c>
      <c r="I422" s="26">
        <f t="shared" si="661"/>
        <v>0</v>
      </c>
      <c r="J422" s="24">
        <f t="shared" si="669"/>
        <v>0</v>
      </c>
      <c r="K422" s="26">
        <f>VLOOKUP($C422,COS!$B$8:$H$991,2,FALSE)</f>
        <v>4019.93115234375</v>
      </c>
      <c r="L422" s="24">
        <f t="shared" si="639"/>
        <v>1</v>
      </c>
      <c r="M422" s="24">
        <f t="shared" si="640"/>
        <v>0</v>
      </c>
      <c r="N422" s="26">
        <f>VLOOKUP($C422,COS!$B$8:$H$991,5,FALSE)</f>
        <v>1366.88818359375</v>
      </c>
      <c r="O422" s="26">
        <f t="shared" si="672"/>
        <v>84.046678396177683</v>
      </c>
      <c r="P422" s="26">
        <f>VLOOKUP($C422,COS!$B$8:$H$991,6,FALSE)</f>
        <v>2516.8701171875</v>
      </c>
      <c r="Q422" s="26">
        <f t="shared" si="673"/>
        <v>154.75631133780993</v>
      </c>
      <c r="R422" s="26">
        <f>MIN(IF(MONTH($C422)=4,$S$3,IF(MONTH($C422)=5,$S$4,IF(MONTH($C422)=6,$S$5,IF(MONTH($C422)=7,$S$6,"ERROR")))),MAX(VLOOKUP($C422,COS!$B$8:$K$991,10,FALSE)-IF(MONTH($C422)=4,$Y$3,IF(MONTH($C422)=5,$Y$4,IF(MONTH($C422)=6,$Y$5,IF(MONTH($C422)=7,$Y$6,"ERROR")))),0),MAX(VLOOKUP($C422,COS!$B$8:$K$991,9,FALSE)-IF(MONTH($C422)=4,$V$3,IF(MONTH($C422)=5,$V$4,IF(MONTH($C422)=6,$V$5,IF(MONTH($C422)=7,$V$6,"ERROR"))))-VLOOKUP($C422,COS!$B$8:$K$991,6,FALSE)/2,0))</f>
        <v>1500</v>
      </c>
      <c r="S422" s="26">
        <f t="shared" si="674"/>
        <v>92.231404958677686</v>
      </c>
      <c r="T422" s="26">
        <f t="shared" si="675"/>
        <v>211.63289982567147</v>
      </c>
      <c r="U422" s="26" t="str">
        <f>IF(VLOOKUP($C422,COS!$B$8:$I$991,8,FALSE)=1,"UWFE","IBU")</f>
        <v>UWFE</v>
      </c>
      <c r="V422" s="26">
        <f t="shared" ref="V422" si="679">MIN(IF(IF($AA$3=2,AND(E422=1,G422=1,L422=1,L424=1,M422=1,U422="IBU"),AND(E422=1,G422=1,L422=1,L424=1,M422=1)),T422,0),I422)</f>
        <v>0</v>
      </c>
      <c r="W422" s="26"/>
      <c r="X422" s="26"/>
      <c r="Y422" s="26"/>
      <c r="Z422" s="26"/>
      <c r="AA422" s="26"/>
      <c r="AB422" s="33"/>
    </row>
    <row r="423" spans="1:28" x14ac:dyDescent="0.3">
      <c r="A423" s="32">
        <f>VLOOKUP(YEAR(C423),Flags!$A$13:$B$95,2,FALSE)</f>
        <v>1</v>
      </c>
      <c r="B423" s="24">
        <f t="shared" si="637"/>
        <v>1967</v>
      </c>
      <c r="C423" s="25">
        <v>24715</v>
      </c>
      <c r="D423" s="26"/>
      <c r="E423" s="24"/>
      <c r="F423" s="26"/>
      <c r="G423" s="24"/>
      <c r="H423" s="24"/>
      <c r="I423" s="26"/>
      <c r="J423" s="24"/>
      <c r="K423" s="26"/>
      <c r="L423" s="24"/>
      <c r="M423" s="24"/>
      <c r="N423" s="26"/>
      <c r="O423" s="26"/>
      <c r="P423" s="26"/>
      <c r="Q423" s="26"/>
      <c r="R423" s="26"/>
      <c r="S423" s="26"/>
      <c r="T423" s="26"/>
      <c r="U423" s="26"/>
      <c r="V423" s="26"/>
      <c r="W423" s="26">
        <f>MAX($C$7-VLOOKUP($C423,COS!$B$8:$H$991,3,FALSE),0)</f>
        <v>1941.6201171875</v>
      </c>
      <c r="X423" s="26">
        <f t="shared" si="667"/>
        <v>119.38556753615703</v>
      </c>
      <c r="Y423" s="26">
        <f>VLOOKUP($C423,COS!$B$8:$H$991,4,FALSE)</f>
        <v>0</v>
      </c>
      <c r="Z423" s="26">
        <f t="shared" si="668"/>
        <v>0</v>
      </c>
      <c r="AA423" s="26">
        <f t="shared" ref="AA423:AA427" si="680">MIN(W423,Y423)</f>
        <v>0</v>
      </c>
      <c r="AB423" s="33">
        <f t="shared" ref="AB423" si="681">AA423*DAY($C423)*86400/43560/1000*IF(MONTH($C423)=8,$P$3,IF(MONTH($C423)=9,$P$4,IF(MONTH($C423)=10,$P$5,IF(MONTH($C423)=11,$P$6,IF(MONTH($C423)=12,$P$7,NA())))))</f>
        <v>0</v>
      </c>
    </row>
    <row r="424" spans="1:28" x14ac:dyDescent="0.3">
      <c r="A424" s="32">
        <f>VLOOKUP(YEAR(C424),Flags!$A$13:$B$95,2,FALSE)</f>
        <v>1</v>
      </c>
      <c r="B424" s="24">
        <f t="shared" si="637"/>
        <v>1967</v>
      </c>
      <c r="C424" s="25">
        <v>24745</v>
      </c>
      <c r="D424" s="26"/>
      <c r="E424" s="24"/>
      <c r="F424" s="26"/>
      <c r="G424" s="24"/>
      <c r="H424" s="24"/>
      <c r="I424" s="26"/>
      <c r="J424" s="24"/>
      <c r="K424" s="26">
        <f>VLOOKUP($C424,COS!$B$8:$H$991,2,FALSE)</f>
        <v>3126.86767578125</v>
      </c>
      <c r="L424" s="24">
        <f t="shared" ref="L424" si="682">IF(AND(K424&gt;$I$7,K424&lt;$I$8),1,0)</f>
        <v>1</v>
      </c>
      <c r="M424" s="24"/>
      <c r="N424" s="26"/>
      <c r="O424" s="26"/>
      <c r="P424" s="26"/>
      <c r="Q424" s="26"/>
      <c r="R424" s="26"/>
      <c r="S424" s="26"/>
      <c r="T424" s="26"/>
      <c r="U424" s="26"/>
      <c r="V424" s="26"/>
      <c r="W424" s="26">
        <f>MAX($C$8-VLOOKUP($C424,COS!$B$8:$H$991,3,FALSE),0)</f>
        <v>0</v>
      </c>
      <c r="X424" s="26">
        <f t="shared" si="667"/>
        <v>0</v>
      </c>
      <c r="Y424" s="26">
        <f>VLOOKUP($C424,COS!$B$8:$H$991,4,FALSE)</f>
        <v>0</v>
      </c>
      <c r="Z424" s="26">
        <f t="shared" si="668"/>
        <v>0</v>
      </c>
      <c r="AA424" s="26">
        <f t="shared" si="680"/>
        <v>0</v>
      </c>
      <c r="AB424" s="33">
        <f t="shared" si="650"/>
        <v>0</v>
      </c>
    </row>
    <row r="425" spans="1:28" x14ac:dyDescent="0.3">
      <c r="A425" s="32">
        <f>VLOOKUP(YEAR(C425),Flags!$A$13:$B$95,2,FALSE)</f>
        <v>1</v>
      </c>
      <c r="B425" s="24">
        <f t="shared" si="637"/>
        <v>1967</v>
      </c>
      <c r="C425" s="25">
        <v>24776</v>
      </c>
      <c r="D425" s="26"/>
      <c r="E425" s="24"/>
      <c r="F425" s="26"/>
      <c r="G425" s="26"/>
      <c r="H425" s="26"/>
      <c r="I425" s="26"/>
      <c r="J425" s="26"/>
      <c r="K425" s="26"/>
      <c r="L425" s="24"/>
      <c r="M425" s="24"/>
      <c r="N425" s="26"/>
      <c r="O425" s="26"/>
      <c r="P425" s="26"/>
      <c r="Q425" s="26"/>
      <c r="R425" s="26"/>
      <c r="S425" s="26"/>
      <c r="T425" s="26"/>
      <c r="U425" s="26"/>
      <c r="V425" s="26"/>
      <c r="W425" s="26">
        <f>MAX($C$9-VLOOKUP($C425,COS!$B$8:$H$991,3,FALSE),0)</f>
        <v>0</v>
      </c>
      <c r="X425" s="26">
        <f t="shared" si="667"/>
        <v>0</v>
      </c>
      <c r="Y425" s="26">
        <f>VLOOKUP($C425,COS!$B$8:$H$991,4,FALSE)</f>
        <v>302.17996215820313</v>
      </c>
      <c r="Z425" s="26">
        <f t="shared" si="668"/>
        <v>18.580321640140756</v>
      </c>
      <c r="AA425" s="26">
        <f t="shared" si="680"/>
        <v>0</v>
      </c>
      <c r="AB425" s="33">
        <f t="shared" si="650"/>
        <v>0</v>
      </c>
    </row>
    <row r="426" spans="1:28" x14ac:dyDescent="0.3">
      <c r="A426" s="32">
        <f>VLOOKUP(YEAR(C426),Flags!$A$13:$B$95,2,FALSE)</f>
        <v>1</v>
      </c>
      <c r="B426" s="24">
        <f t="shared" si="637"/>
        <v>1967</v>
      </c>
      <c r="C426" s="25">
        <v>24806</v>
      </c>
      <c r="D426" s="26"/>
      <c r="E426" s="24"/>
      <c r="F426" s="26"/>
      <c r="G426" s="26"/>
      <c r="H426" s="26"/>
      <c r="I426" s="26"/>
      <c r="J426" s="26"/>
      <c r="K426" s="26"/>
      <c r="L426" s="24"/>
      <c r="M426" s="24"/>
      <c r="N426" s="26"/>
      <c r="O426" s="26"/>
      <c r="P426" s="26"/>
      <c r="Q426" s="26"/>
      <c r="R426" s="26"/>
      <c r="S426" s="26"/>
      <c r="T426" s="26"/>
      <c r="U426" s="26"/>
      <c r="V426" s="26"/>
      <c r="W426" s="26">
        <f>MAX($C$10-VLOOKUP($C426,COS!$B$8:$H$991,3,FALSE),0)</f>
        <v>0</v>
      </c>
      <c r="X426" s="26">
        <f t="shared" si="667"/>
        <v>0</v>
      </c>
      <c r="Y426" s="26">
        <f>VLOOKUP($C426,COS!$B$8:$H$991,4,FALSE)</f>
        <v>1725.1964111328125</v>
      </c>
      <c r="Z426" s="26">
        <f t="shared" si="668"/>
        <v>102.65631537319214</v>
      </c>
      <c r="AA426" s="26">
        <f t="shared" si="680"/>
        <v>0</v>
      </c>
      <c r="AB426" s="33">
        <f t="shared" si="650"/>
        <v>0</v>
      </c>
    </row>
    <row r="427" spans="1:28" x14ac:dyDescent="0.3">
      <c r="A427" s="34">
        <f>VLOOKUP(YEAR(C427),Flags!$A$13:$B$95,2,FALSE)</f>
        <v>1</v>
      </c>
      <c r="B427" s="35">
        <f t="shared" si="637"/>
        <v>1967</v>
      </c>
      <c r="C427" s="36">
        <v>24837</v>
      </c>
      <c r="D427" s="37"/>
      <c r="E427" s="35"/>
      <c r="F427" s="37"/>
      <c r="G427" s="37"/>
      <c r="H427" s="37"/>
      <c r="I427" s="37"/>
      <c r="J427" s="37"/>
      <c r="K427" s="37"/>
      <c r="L427" s="35"/>
      <c r="M427" s="35"/>
      <c r="N427" s="37"/>
      <c r="O427" s="37"/>
      <c r="P427" s="37"/>
      <c r="Q427" s="37"/>
      <c r="R427" s="37"/>
      <c r="S427" s="37"/>
      <c r="T427" s="37"/>
      <c r="U427" s="37"/>
      <c r="V427" s="37"/>
      <c r="W427" s="37">
        <f>MAX($C$11-VLOOKUP($C427,COS!$B$8:$H$991,3,FALSE),0)</f>
        <v>724.88818359375</v>
      </c>
      <c r="X427" s="37">
        <f t="shared" si="667"/>
        <v>44.571637073863641</v>
      </c>
      <c r="Y427" s="37">
        <f>VLOOKUP($C427,COS!$B$8:$H$991,4,FALSE)</f>
        <v>0</v>
      </c>
      <c r="Z427" s="37">
        <f t="shared" si="668"/>
        <v>0</v>
      </c>
      <c r="AA427" s="37">
        <f t="shared" si="680"/>
        <v>0</v>
      </c>
      <c r="AB427" s="38">
        <f t="shared" si="650"/>
        <v>0</v>
      </c>
    </row>
    <row r="428" spans="1:28" x14ac:dyDescent="0.3">
      <c r="A428" s="27">
        <f>VLOOKUP(YEAR(C428),Flags!$A$13:$B$95,2,FALSE)</f>
        <v>3</v>
      </c>
      <c r="B428" s="28">
        <f t="shared" si="637"/>
        <v>1968</v>
      </c>
      <c r="C428" s="29">
        <v>24958</v>
      </c>
      <c r="D428" s="30">
        <f>VLOOKUP($C428,COS!$B$8:$H$991,3,FALSE)</f>
        <v>3250</v>
      </c>
      <c r="E428" s="28">
        <f>IF(D428&gt;=IF(MONTH($C428)=4,$C$3,IF(MONTH($C428)=5,$C$4,IF(MONTH($C428)=6,$C$5,IF(MONTH($C428)=7,$C$6,"ERROR")))),1,0)</f>
        <v>0</v>
      </c>
      <c r="F428" s="30">
        <f>VLOOKUP($C428,COS!$B$8:$H$991,7,FALSE)</f>
        <v>51.910366058349609</v>
      </c>
      <c r="G428" s="28">
        <f>IF(F428&lt;=IF(MONTH($C428)=4,$F$3,IF(MONTH($C428)=5,$F$4,IF(MONTH($C428)=6,$F$5,IF(MONTH($C428)=7,$F$6,"ERROR")))),1,0)</f>
        <v>1</v>
      </c>
      <c r="H428" s="30">
        <f>IF(J428=1,D428-$C$3,0)</f>
        <v>0</v>
      </c>
      <c r="I428" s="30">
        <f t="shared" si="661"/>
        <v>0</v>
      </c>
      <c r="J428" s="28">
        <f t="shared" ref="J428:J431" si="683">IF(AND(E428=1,G428=1),1,0)</f>
        <v>0</v>
      </c>
      <c r="K428" s="30">
        <f>VLOOKUP($C428,COS!$B$8:$H$991,2,FALSE)</f>
        <v>4387.3369140625</v>
      </c>
      <c r="L428" s="28">
        <f t="shared" ref="L428" si="684">IF(K428&lt;=IF(MONTH($C428)=4,$I$3,IF(MONTH($C428)=5,$I$4,IF(MONTH($C428)=6,$I$5,IF(MONTH($C428)=7,$I$6,"ERROR")))),1,0)</f>
        <v>1</v>
      </c>
      <c r="M428" s="28">
        <f t="shared" ref="M428" si="685">VLOOKUP($A428,$L$3:$M$7,2,FALSE)</f>
        <v>0</v>
      </c>
      <c r="N428" s="30">
        <f>VLOOKUP($C428,COS!$B$8:$H$991,5,FALSE)</f>
        <v>372.8587646484375</v>
      </c>
      <c r="O428" s="30">
        <f t="shared" ref="O428:O431" si="686">N428*DAY($C428)*86400/43560/1000</f>
        <v>22.186637235278926</v>
      </c>
      <c r="P428" s="30">
        <f>VLOOKUP($C428,COS!$B$8:$H$991,6,FALSE)</f>
        <v>480.01702880859375</v>
      </c>
      <c r="Q428" s="30">
        <f t="shared" ref="Q428:Q431" si="687">P428*DAY($C428)*86400/43560/1000</f>
        <v>28.562996755552685</v>
      </c>
      <c r="R428" s="30">
        <f>MIN(IF(MONTH($C428)=4,$S$3,IF(MONTH($C428)=5,$S$4,IF(MONTH($C428)=6,$S$5,IF(MONTH($C428)=7,$S$6,"ERROR")))),MAX(VLOOKUP($C428,COS!$B$8:$K$991,10,FALSE)-IF(MONTH($C428)=4,$Y$3,IF(MONTH($C428)=5,$Y$4,IF(MONTH($C428)=6,$Y$5,IF(MONTH($C428)=7,$Y$6,"ERROR")))),0),MAX(VLOOKUP($C428,COS!$B$8:$K$991,9,FALSE)-IF(MONTH($C428)=4,$V$3,IF(MONTH($C428)=5,$V$4,IF(MONTH($C428)=6,$V$5,IF(MONTH($C428)=7,$V$6,"ERROR"))))-VLOOKUP($C428,COS!$B$8:$K$991,6,FALSE)/2,0))</f>
        <v>1012.0751953125</v>
      </c>
      <c r="S428" s="30">
        <f t="shared" ref="S428:S431" si="688">R428*DAY($C428)*86400/43560/1000</f>
        <v>60.22265625</v>
      </c>
      <c r="T428" s="30">
        <f t="shared" ref="T428:T431" si="689">(O428+Q428)/2+S428</f>
        <v>85.597473245415813</v>
      </c>
      <c r="U428" s="30" t="str">
        <f>IF(VLOOKUP($C428,COS!$B$8:$I$991,8,FALSE)=1,"UWFE","IBU")</f>
        <v>UWFE</v>
      </c>
      <c r="V428" s="30">
        <f t="shared" ref="V428" si="690">MIN(IF(IF($AA$3=2,AND(E428=1,G428=1,L428=1,L433=1,M428=1,U428="IBU"),AND(E428=1,G428=1,L428=1,L433=1,M428=1)),T428,0),I428)</f>
        <v>0</v>
      </c>
      <c r="W428" s="30"/>
      <c r="X428" s="30"/>
      <c r="Y428" s="30"/>
      <c r="Z428" s="30"/>
      <c r="AA428" s="30"/>
      <c r="AB428" s="31"/>
    </row>
    <row r="429" spans="1:28" x14ac:dyDescent="0.3">
      <c r="A429" s="32">
        <f>VLOOKUP(YEAR(C429),Flags!$A$13:$B$95,2,FALSE)</f>
        <v>3</v>
      </c>
      <c r="B429" s="24">
        <f t="shared" si="637"/>
        <v>1968</v>
      </c>
      <c r="C429" s="25">
        <v>24989</v>
      </c>
      <c r="D429" s="26">
        <f>VLOOKUP($C429,COS!$B$8:$H$991,3,FALSE)</f>
        <v>7092.59228515625</v>
      </c>
      <c r="E429" s="24">
        <f>IF(D429&gt;=IF(MONTH($C429)=4,$C$3,IF(MONTH($C429)=5,$C$4,IF(MONTH($C429)=6,$C$5,IF(MONTH($C429)=7,$C$6,"ERROR")))),1,0)</f>
        <v>1</v>
      </c>
      <c r="F429" s="26">
        <f>VLOOKUP($C429,COS!$B$8:$H$991,7,FALSE)</f>
        <v>51.028709411621094</v>
      </c>
      <c r="G429" s="24">
        <f>IF(F429&lt;=IF(MONTH($C429)=4,$F$3,IF(MONTH($C429)=5,$F$4,IF(MONTH($C429)=6,$F$5,IF(MONTH($C429)=7,$F$6,"ERROR")))),1,0)</f>
        <v>1</v>
      </c>
      <c r="H429" s="26">
        <f>IF(J429=1,D429-$C$4,0)</f>
        <v>1092.59228515625</v>
      </c>
      <c r="I429" s="26">
        <f t="shared" si="661"/>
        <v>67.180881004648768</v>
      </c>
      <c r="J429" s="24">
        <f t="shared" si="683"/>
        <v>1</v>
      </c>
      <c r="K429" s="26">
        <f>VLOOKUP($C429,COS!$B$8:$H$991,2,FALSE)</f>
        <v>4254.63671875</v>
      </c>
      <c r="L429" s="24">
        <f t="shared" si="639"/>
        <v>1</v>
      </c>
      <c r="M429" s="24">
        <f t="shared" si="640"/>
        <v>0</v>
      </c>
      <c r="N429" s="26">
        <f>VLOOKUP($C429,COS!$B$8:$H$991,5,FALSE)</f>
        <v>578.8367919921875</v>
      </c>
      <c r="O429" s="26">
        <f t="shared" si="686"/>
        <v>35.591287044808887</v>
      </c>
      <c r="P429" s="26">
        <f>VLOOKUP($C429,COS!$B$8:$H$991,6,FALSE)</f>
        <v>2198.37158203125</v>
      </c>
      <c r="Q429" s="26">
        <f t="shared" si="687"/>
        <v>135.17259975464876</v>
      </c>
      <c r="R429" s="26">
        <f>MIN(IF(MONTH($C429)=4,$S$3,IF(MONTH($C429)=5,$S$4,IF(MONTH($C429)=6,$S$5,IF(MONTH($C429)=7,$S$6,"ERROR")))),MAX(VLOOKUP($C429,COS!$B$8:$K$991,10,FALSE)-IF(MONTH($C429)=4,$Y$3,IF(MONTH($C429)=5,$Y$4,IF(MONTH($C429)=6,$Y$5,IF(MONTH($C429)=7,$Y$6,"ERROR")))),0),MAX(VLOOKUP($C429,COS!$B$8:$K$991,9,FALSE)-IF(MONTH($C429)=4,$V$3,IF(MONTH($C429)=5,$V$4,IF(MONTH($C429)=6,$V$5,IF(MONTH($C429)=7,$V$6,"ERROR"))))-VLOOKUP($C429,COS!$B$8:$K$991,6,FALSE)/2,0))</f>
        <v>1500</v>
      </c>
      <c r="S429" s="26">
        <f t="shared" si="688"/>
        <v>92.231404958677686</v>
      </c>
      <c r="T429" s="26">
        <f t="shared" si="689"/>
        <v>177.61334835840651</v>
      </c>
      <c r="U429" s="26" t="str">
        <f>IF(VLOOKUP($C429,COS!$B$8:$I$991,8,FALSE)=1,"UWFE","IBU")</f>
        <v>UWFE</v>
      </c>
      <c r="V429" s="26">
        <f t="shared" ref="V429" si="691">MIN(IF(IF($AA$3=2,AND(E429=1,G429=1,L429=1,L433=1,M429=1,U429="IBU"),AND(E429=1,G429=1,L429=1,L433=1,M429=1)),T429,0),I429)</f>
        <v>0</v>
      </c>
      <c r="W429" s="26"/>
      <c r="X429" s="26"/>
      <c r="Y429" s="26"/>
      <c r="Z429" s="26"/>
      <c r="AA429" s="26"/>
      <c r="AB429" s="33"/>
    </row>
    <row r="430" spans="1:28" x14ac:dyDescent="0.3">
      <c r="A430" s="32">
        <f>VLOOKUP(YEAR(C430),Flags!$A$13:$B$95,2,FALSE)</f>
        <v>3</v>
      </c>
      <c r="B430" s="24">
        <f t="shared" si="637"/>
        <v>1968</v>
      </c>
      <c r="C430" s="25">
        <v>25019</v>
      </c>
      <c r="D430" s="26">
        <f>VLOOKUP($C430,COS!$B$8:$H$991,3,FALSE)</f>
        <v>13090.2783203125</v>
      </c>
      <c r="E430" s="24">
        <f>IF(D430&gt;=IF(MONTH($C430)=4,$C$3,IF(MONTH($C430)=5,$C$4,IF(MONTH($C430)=6,$C$5,IF(MONTH($C430)=7,$C$6,"ERROR")))),1,0)</f>
        <v>1</v>
      </c>
      <c r="F430" s="26">
        <f>VLOOKUP($C430,COS!$B$8:$H$991,7,FALSE)</f>
        <v>50.739017486572266</v>
      </c>
      <c r="G430" s="24">
        <f>IF(F430&lt;=IF(MONTH($C430)=4,$F$3,IF(MONTH($C430)=5,$F$4,IF(MONTH($C430)=6,$F$5,IF(MONTH($C430)=7,$F$6,"ERROR")))),1,0)</f>
        <v>1</v>
      </c>
      <c r="H430" s="26">
        <f>IF(J430=1,D430-$C$5,0)</f>
        <v>3090.2783203125</v>
      </c>
      <c r="I430" s="26">
        <f t="shared" si="661"/>
        <v>183.884329803719</v>
      </c>
      <c r="J430" s="24">
        <f t="shared" si="683"/>
        <v>1</v>
      </c>
      <c r="K430" s="26">
        <f>VLOOKUP($C430,COS!$B$8:$H$991,2,FALSE)</f>
        <v>3698.470458984375</v>
      </c>
      <c r="L430" s="24">
        <f t="shared" si="639"/>
        <v>1</v>
      </c>
      <c r="M430" s="24">
        <f t="shared" si="640"/>
        <v>0</v>
      </c>
      <c r="N430" s="26">
        <f>VLOOKUP($C430,COS!$B$8:$H$991,5,FALSE)</f>
        <v>708.03900146484375</v>
      </c>
      <c r="O430" s="26">
        <f t="shared" si="686"/>
        <v>42.131246368155992</v>
      </c>
      <c r="P430" s="26">
        <f>VLOOKUP($C430,COS!$B$8:$H$991,6,FALSE)</f>
        <v>2497.662353515625</v>
      </c>
      <c r="Q430" s="26">
        <f t="shared" si="687"/>
        <v>148.62123095299586</v>
      </c>
      <c r="R430" s="26">
        <f>MIN(IF(MONTH($C430)=4,$S$3,IF(MONTH($C430)=5,$S$4,IF(MONTH($C430)=6,$S$5,IF(MONTH($C430)=7,$S$6,"ERROR")))),MAX(VLOOKUP($C430,COS!$B$8:$K$991,10,FALSE)-IF(MONTH($C430)=4,$Y$3,IF(MONTH($C430)=5,$Y$4,IF(MONTH($C430)=6,$Y$5,IF(MONTH($C430)=7,$Y$6,"ERROR")))),0),MAX(VLOOKUP($C430,COS!$B$8:$K$991,9,FALSE)-IF(MONTH($C430)=4,$V$3,IF(MONTH($C430)=5,$V$4,IF(MONTH($C430)=6,$V$5,IF(MONTH($C430)=7,$V$6,"ERROR"))))-VLOOKUP($C430,COS!$B$8:$K$991,6,FALSE)/2,0))</f>
        <v>1500</v>
      </c>
      <c r="S430" s="26">
        <f t="shared" si="688"/>
        <v>89.256198347107429</v>
      </c>
      <c r="T430" s="26">
        <f t="shared" si="689"/>
        <v>184.63243700768334</v>
      </c>
      <c r="U430" s="26" t="str">
        <f>IF(VLOOKUP($C430,COS!$B$8:$I$991,8,FALSE)=1,"UWFE","IBU")</f>
        <v>IBU</v>
      </c>
      <c r="V430" s="26">
        <f t="shared" ref="V430" si="692">MIN(IF(IF($AA$3=2,AND(E430=1,G430=1,L430=1,L433=1,M430=1,U430="IBU"),AND(E430=1,G430=1,L430=1,L433=1,M430=1)),T430,0),I430)</f>
        <v>0</v>
      </c>
      <c r="W430" s="26"/>
      <c r="X430" s="26"/>
      <c r="Y430" s="26"/>
      <c r="Z430" s="26"/>
      <c r="AA430" s="26"/>
      <c r="AB430" s="33"/>
    </row>
    <row r="431" spans="1:28" x14ac:dyDescent="0.3">
      <c r="A431" s="32">
        <f>VLOOKUP(YEAR(C431),Flags!$A$13:$B$95,2,FALSE)</f>
        <v>3</v>
      </c>
      <c r="B431" s="24">
        <f t="shared" si="637"/>
        <v>1968</v>
      </c>
      <c r="C431" s="25">
        <v>25050</v>
      </c>
      <c r="D431" s="26">
        <f>VLOOKUP($C431,COS!$B$8:$H$991,3,FALSE)</f>
        <v>16000</v>
      </c>
      <c r="E431" s="24">
        <f>IF(D431&gt;=IF(MONTH($C431)=4,$C$3,IF(MONTH($C431)=5,$C$4,IF(MONTH($C431)=6,$C$5,IF(MONTH($C431)=7,$C$6,"ERROR")))),1,0)</f>
        <v>1</v>
      </c>
      <c r="F431" s="26">
        <f>VLOOKUP($C431,COS!$B$8:$H$991,7,FALSE)</f>
        <v>51.892650604248047</v>
      </c>
      <c r="G431" s="24">
        <f>IF(F431&lt;=IF(MONTH($C431)=4,$F$3,IF(MONTH($C431)=5,$F$4,IF(MONTH($C431)=6,$F$5,IF(MONTH($C431)=7,$F$6,"ERROR")))),1,0)</f>
        <v>1</v>
      </c>
      <c r="H431" s="26">
        <f>IF(J431=1,D431-$C$6,0)</f>
        <v>4000</v>
      </c>
      <c r="I431" s="26">
        <f t="shared" si="661"/>
        <v>245.95041322314049</v>
      </c>
      <c r="J431" s="24">
        <f t="shared" si="683"/>
        <v>1</v>
      </c>
      <c r="K431" s="26">
        <f>VLOOKUP($C431,COS!$B$8:$H$991,2,FALSE)</f>
        <v>3020.87158203125</v>
      </c>
      <c r="L431" s="24">
        <f t="shared" si="639"/>
        <v>1</v>
      </c>
      <c r="M431" s="24">
        <f t="shared" si="640"/>
        <v>0</v>
      </c>
      <c r="N431" s="26">
        <f>VLOOKUP($C431,COS!$B$8:$H$991,5,FALSE)</f>
        <v>869.43463134765625</v>
      </c>
      <c r="O431" s="26">
        <f t="shared" si="686"/>
        <v>53.459451712616215</v>
      </c>
      <c r="P431" s="26">
        <f>VLOOKUP($C431,COS!$B$8:$H$991,6,FALSE)</f>
        <v>2537.385498046875</v>
      </c>
      <c r="Q431" s="26">
        <f t="shared" si="687"/>
        <v>156.01775293775825</v>
      </c>
      <c r="R431" s="26">
        <f>MIN(IF(MONTH($C431)=4,$S$3,IF(MONTH($C431)=5,$S$4,IF(MONTH($C431)=6,$S$5,IF(MONTH($C431)=7,$S$6,"ERROR")))),MAX(VLOOKUP($C431,COS!$B$8:$K$991,10,FALSE)-IF(MONTH($C431)=4,$Y$3,IF(MONTH($C431)=5,$Y$4,IF(MONTH($C431)=6,$Y$5,IF(MONTH($C431)=7,$Y$6,"ERROR")))),0),MAX(VLOOKUP($C431,COS!$B$8:$K$991,9,FALSE)-IF(MONTH($C431)=4,$V$3,IF(MONTH($C431)=5,$V$4,IF(MONTH($C431)=6,$V$5,IF(MONTH($C431)=7,$V$6,"ERROR"))))-VLOOKUP($C431,COS!$B$8:$K$991,6,FALSE)/2,0))</f>
        <v>1500</v>
      </c>
      <c r="S431" s="26">
        <f t="shared" si="688"/>
        <v>92.231404958677686</v>
      </c>
      <c r="T431" s="26">
        <f t="shared" si="689"/>
        <v>196.9700072838649</v>
      </c>
      <c r="U431" s="26" t="str">
        <f>IF(VLOOKUP($C431,COS!$B$8:$I$991,8,FALSE)=1,"UWFE","IBU")</f>
        <v>IBU</v>
      </c>
      <c r="V431" s="26">
        <f t="shared" ref="V431" si="693">MIN(IF(IF($AA$3=2,AND(E431=1,G431=1,L431=1,L433=1,M431=1,U431="IBU"),AND(E431=1,G431=1,L431=1,L433=1,M431=1)),T431,0),I431)</f>
        <v>0</v>
      </c>
      <c r="W431" s="26"/>
      <c r="X431" s="26"/>
      <c r="Y431" s="26"/>
      <c r="Z431" s="26"/>
      <c r="AA431" s="26"/>
      <c r="AB431" s="33"/>
    </row>
    <row r="432" spans="1:28" x14ac:dyDescent="0.3">
      <c r="A432" s="32">
        <f>VLOOKUP(YEAR(C432),Flags!$A$13:$B$95,2,FALSE)</f>
        <v>3</v>
      </c>
      <c r="B432" s="24">
        <f t="shared" si="637"/>
        <v>1968</v>
      </c>
      <c r="C432" s="25">
        <v>25081</v>
      </c>
      <c r="D432" s="26"/>
      <c r="E432" s="24"/>
      <c r="F432" s="26"/>
      <c r="G432" s="24"/>
      <c r="H432" s="24"/>
      <c r="I432" s="26"/>
      <c r="J432" s="24"/>
      <c r="K432" s="26"/>
      <c r="L432" s="24"/>
      <c r="M432" s="24"/>
      <c r="N432" s="26"/>
      <c r="O432" s="26"/>
      <c r="P432" s="26"/>
      <c r="Q432" s="26"/>
      <c r="R432" s="26"/>
      <c r="S432" s="26"/>
      <c r="T432" s="26"/>
      <c r="U432" s="26"/>
      <c r="V432" s="26"/>
      <c r="W432" s="26">
        <f>MAX($C$7-VLOOKUP($C432,COS!$B$8:$H$991,3,FALSE),0)</f>
        <v>3886.423828125</v>
      </c>
      <c r="X432" s="26">
        <f t="shared" si="667"/>
        <v>238.96688662190084</v>
      </c>
      <c r="Y432" s="26">
        <f>VLOOKUP($C432,COS!$B$8:$H$991,4,FALSE)</f>
        <v>520.4456787109375</v>
      </c>
      <c r="Z432" s="26">
        <f t="shared" si="668"/>
        <v>32.000957434788219</v>
      </c>
      <c r="AA432" s="26">
        <f t="shared" ref="AA432:AA436" si="694">MIN(W432,Y432)</f>
        <v>520.4456787109375</v>
      </c>
      <c r="AB432" s="33">
        <f t="shared" ref="AB432" si="695">AA432*DAY($C432)*86400/43560/1000*IF(MONTH($C432)=8,$P$3,IF(MONTH($C432)=9,$P$4,IF(MONTH($C432)=10,$P$5,IF(MONTH($C432)=11,$P$6,IF(MONTH($C432)=12,$P$7,NA())))))</f>
        <v>32.000957434788219</v>
      </c>
    </row>
    <row r="433" spans="1:28" x14ac:dyDescent="0.3">
      <c r="A433" s="32">
        <f>VLOOKUP(YEAR(C433),Flags!$A$13:$B$95,2,FALSE)</f>
        <v>3</v>
      </c>
      <c r="B433" s="24">
        <f t="shared" si="637"/>
        <v>1968</v>
      </c>
      <c r="C433" s="25">
        <v>25111</v>
      </c>
      <c r="D433" s="26"/>
      <c r="E433" s="24"/>
      <c r="F433" s="26"/>
      <c r="G433" s="24"/>
      <c r="H433" s="24"/>
      <c r="I433" s="26"/>
      <c r="J433" s="24"/>
      <c r="K433" s="26">
        <f>VLOOKUP($C433,COS!$B$8:$H$991,2,FALSE)</f>
        <v>2794.065185546875</v>
      </c>
      <c r="L433" s="24">
        <f t="shared" ref="L433" si="696">IF(AND(K433&gt;$I$7,K433&lt;$I$8),1,0)</f>
        <v>1</v>
      </c>
      <c r="M433" s="24"/>
      <c r="N433" s="26"/>
      <c r="O433" s="26"/>
      <c r="P433" s="26"/>
      <c r="Q433" s="26"/>
      <c r="R433" s="26"/>
      <c r="S433" s="26"/>
      <c r="T433" s="26"/>
      <c r="U433" s="26"/>
      <c r="V433" s="26"/>
      <c r="W433" s="26">
        <f>MAX($C$8-VLOOKUP($C433,COS!$B$8:$H$991,3,FALSE),0)</f>
        <v>0</v>
      </c>
      <c r="X433" s="26">
        <f t="shared" si="667"/>
        <v>0</v>
      </c>
      <c r="Y433" s="26">
        <f>VLOOKUP($C433,COS!$B$8:$H$991,4,FALSE)</f>
        <v>164.13697814941406</v>
      </c>
      <c r="Z433" s="26">
        <f t="shared" si="668"/>
        <v>9.76682845186596</v>
      </c>
      <c r="AA433" s="26">
        <f t="shared" si="694"/>
        <v>0</v>
      </c>
      <c r="AB433" s="33">
        <f t="shared" si="650"/>
        <v>0</v>
      </c>
    </row>
    <row r="434" spans="1:28" x14ac:dyDescent="0.3">
      <c r="A434" s="32">
        <f>VLOOKUP(YEAR(C434),Flags!$A$13:$B$95,2,FALSE)</f>
        <v>3</v>
      </c>
      <c r="B434" s="24">
        <f t="shared" si="637"/>
        <v>1968</v>
      </c>
      <c r="C434" s="25">
        <v>25142</v>
      </c>
      <c r="D434" s="26"/>
      <c r="E434" s="24"/>
      <c r="F434" s="26"/>
      <c r="G434" s="26"/>
      <c r="H434" s="26"/>
      <c r="I434" s="26"/>
      <c r="J434" s="26"/>
      <c r="K434" s="26"/>
      <c r="L434" s="24"/>
      <c r="M434" s="24"/>
      <c r="N434" s="26"/>
      <c r="O434" s="26"/>
      <c r="P434" s="26"/>
      <c r="Q434" s="26"/>
      <c r="R434" s="26"/>
      <c r="S434" s="26"/>
      <c r="T434" s="26"/>
      <c r="U434" s="26"/>
      <c r="V434" s="26"/>
      <c r="W434" s="26">
        <f>MAX($C$9-VLOOKUP($C434,COS!$B$8:$H$991,3,FALSE),0)</f>
        <v>0</v>
      </c>
      <c r="X434" s="26">
        <f t="shared" si="667"/>
        <v>0</v>
      </c>
      <c r="Y434" s="26">
        <f>VLOOKUP($C434,COS!$B$8:$H$991,4,FALSE)</f>
        <v>1019.0936889648438</v>
      </c>
      <c r="Z434" s="26">
        <f t="shared" si="668"/>
        <v>62.661628478499487</v>
      </c>
      <c r="AA434" s="26">
        <f t="shared" si="694"/>
        <v>0</v>
      </c>
      <c r="AB434" s="33">
        <f t="shared" si="650"/>
        <v>0</v>
      </c>
    </row>
    <row r="435" spans="1:28" x14ac:dyDescent="0.3">
      <c r="A435" s="32">
        <f>VLOOKUP(YEAR(C435),Flags!$A$13:$B$95,2,FALSE)</f>
        <v>3</v>
      </c>
      <c r="B435" s="24">
        <f t="shared" si="637"/>
        <v>1968</v>
      </c>
      <c r="C435" s="25">
        <v>25172</v>
      </c>
      <c r="D435" s="26"/>
      <c r="E435" s="24"/>
      <c r="F435" s="26"/>
      <c r="G435" s="26"/>
      <c r="H435" s="26"/>
      <c r="I435" s="26"/>
      <c r="J435" s="26"/>
      <c r="K435" s="26"/>
      <c r="L435" s="24"/>
      <c r="M435" s="24"/>
      <c r="N435" s="26"/>
      <c r="O435" s="26"/>
      <c r="P435" s="26"/>
      <c r="Q435" s="26"/>
      <c r="R435" s="26"/>
      <c r="S435" s="26"/>
      <c r="T435" s="26"/>
      <c r="U435" s="26"/>
      <c r="V435" s="26"/>
      <c r="W435" s="26">
        <f>MAX($C$10-VLOOKUP($C435,COS!$B$8:$H$991,3,FALSE),0)</f>
        <v>1750</v>
      </c>
      <c r="X435" s="26">
        <f t="shared" si="667"/>
        <v>104.13223140495867</v>
      </c>
      <c r="Y435" s="26">
        <f>VLOOKUP($C435,COS!$B$8:$H$991,4,FALSE)</f>
        <v>448.95883178710938</v>
      </c>
      <c r="Z435" s="26">
        <f t="shared" si="668"/>
        <v>26.714905693117252</v>
      </c>
      <c r="AA435" s="26">
        <f t="shared" si="694"/>
        <v>448.95883178710938</v>
      </c>
      <c r="AB435" s="33">
        <f t="shared" si="650"/>
        <v>26.714905693117252</v>
      </c>
    </row>
    <row r="436" spans="1:28" x14ac:dyDescent="0.3">
      <c r="A436" s="34">
        <f>VLOOKUP(YEAR(C436),Flags!$A$13:$B$95,2,FALSE)</f>
        <v>3</v>
      </c>
      <c r="B436" s="35">
        <f t="shared" si="637"/>
        <v>1968</v>
      </c>
      <c r="C436" s="36">
        <v>25203</v>
      </c>
      <c r="D436" s="37"/>
      <c r="E436" s="35"/>
      <c r="F436" s="37"/>
      <c r="G436" s="37"/>
      <c r="H436" s="37"/>
      <c r="I436" s="37"/>
      <c r="J436" s="37"/>
      <c r="K436" s="37"/>
      <c r="L436" s="35"/>
      <c r="M436" s="35"/>
      <c r="N436" s="37"/>
      <c r="O436" s="37"/>
      <c r="P436" s="37"/>
      <c r="Q436" s="37"/>
      <c r="R436" s="37"/>
      <c r="S436" s="37"/>
      <c r="T436" s="37"/>
      <c r="U436" s="37"/>
      <c r="V436" s="37"/>
      <c r="W436" s="37">
        <f>MAX($C$11-VLOOKUP($C436,COS!$B$8:$H$991,3,FALSE),0)</f>
        <v>1750</v>
      </c>
      <c r="X436" s="37">
        <f t="shared" si="667"/>
        <v>107.60330578512398</v>
      </c>
      <c r="Y436" s="37">
        <f>VLOOKUP($C436,COS!$B$8:$H$991,4,FALSE)</f>
        <v>0</v>
      </c>
      <c r="Z436" s="37">
        <f t="shared" si="668"/>
        <v>0</v>
      </c>
      <c r="AA436" s="37">
        <f t="shared" si="694"/>
        <v>0</v>
      </c>
      <c r="AB436" s="38">
        <f t="shared" si="650"/>
        <v>0</v>
      </c>
    </row>
    <row r="437" spans="1:28" x14ac:dyDescent="0.3">
      <c r="A437" s="27">
        <f>VLOOKUP(YEAR(C437),Flags!$A$13:$B$95,2,FALSE)</f>
        <v>1</v>
      </c>
      <c r="B437" s="28">
        <f t="shared" si="637"/>
        <v>1969</v>
      </c>
      <c r="C437" s="29">
        <v>25323</v>
      </c>
      <c r="D437" s="30">
        <f>VLOOKUP($C437,COS!$B$8:$H$991,3,FALSE)</f>
        <v>9669.7626953125</v>
      </c>
      <c r="E437" s="28">
        <f>IF(D437&gt;=IF(MONTH($C437)=4,$C$3,IF(MONTH($C437)=5,$C$4,IF(MONTH($C437)=6,$C$5,IF(MONTH($C437)=7,$C$6,"ERROR")))),1,0)</f>
        <v>1</v>
      </c>
      <c r="F437" s="30">
        <f>VLOOKUP($C437,COS!$B$8:$H$991,7,FALSE)</f>
        <v>46.990718841552734</v>
      </c>
      <c r="G437" s="28">
        <f>IF(F437&lt;=IF(MONTH($C437)=4,$F$3,IF(MONTH($C437)=5,$F$4,IF(MONTH($C437)=6,$F$5,IF(MONTH($C437)=7,$F$6,"ERROR")))),1,0)</f>
        <v>1</v>
      </c>
      <c r="H437" s="30">
        <f>IF(J437=1,D437-$C$3,0)</f>
        <v>3669.7626953125</v>
      </c>
      <c r="I437" s="30">
        <f t="shared" si="661"/>
        <v>218.36604467975206</v>
      </c>
      <c r="J437" s="28">
        <f t="shared" ref="J437:J440" si="697">IF(AND(E437=1,G437=1),1,0)</f>
        <v>1</v>
      </c>
      <c r="K437" s="30">
        <f>VLOOKUP($C437,COS!$B$8:$H$991,2,FALSE)</f>
        <v>4434</v>
      </c>
      <c r="L437" s="28">
        <f t="shared" ref="L437" si="698">IF(K437&lt;=IF(MONTH($C437)=4,$I$3,IF(MONTH($C437)=5,$I$4,IF(MONTH($C437)=6,$I$5,IF(MONTH($C437)=7,$I$6,"ERROR")))),1,0)</f>
        <v>1</v>
      </c>
      <c r="M437" s="28">
        <f t="shared" ref="M437" si="699">VLOOKUP($A437,$L$3:$M$7,2,FALSE)</f>
        <v>0</v>
      </c>
      <c r="N437" s="30">
        <f>VLOOKUP($C437,COS!$B$8:$H$991,5,FALSE)</f>
        <v>171.73318481445313</v>
      </c>
      <c r="O437" s="30">
        <f t="shared" ref="O437:O440" si="700">N437*DAY($C437)*86400/43560/1000</f>
        <v>10.218834137719524</v>
      </c>
      <c r="P437" s="30">
        <f>VLOOKUP($C437,COS!$B$8:$H$991,6,FALSE)</f>
        <v>463.4422607421875</v>
      </c>
      <c r="Q437" s="30">
        <f t="shared" ref="Q437:Q440" si="701">P437*DAY($C437)*86400/43560/1000</f>
        <v>27.576729564824383</v>
      </c>
      <c r="R437" s="30">
        <f>MIN(IF(MONTH($C437)=4,$S$3,IF(MONTH($C437)=5,$S$4,IF(MONTH($C437)=6,$S$5,IF(MONTH($C437)=7,$S$6,"ERROR")))),MAX(VLOOKUP($C437,COS!$B$8:$K$991,10,FALSE)-IF(MONTH($C437)=4,$Y$3,IF(MONTH($C437)=5,$Y$4,IF(MONTH($C437)=6,$Y$5,IF(MONTH($C437)=7,$Y$6,"ERROR")))),0),MAX(VLOOKUP($C437,COS!$B$8:$K$991,9,FALSE)-IF(MONTH($C437)=4,$V$3,IF(MONTH($C437)=5,$V$4,IF(MONTH($C437)=6,$V$5,IF(MONTH($C437)=7,$V$6,"ERROR"))))-VLOOKUP($C437,COS!$B$8:$K$991,6,FALSE)/2,0))</f>
        <v>1500</v>
      </c>
      <c r="S437" s="30">
        <f t="shared" ref="S437:S440" si="702">R437*DAY($C437)*86400/43560/1000</f>
        <v>89.256198347107429</v>
      </c>
      <c r="T437" s="30">
        <f t="shared" ref="T437:T440" si="703">(O437+Q437)/2+S437</f>
        <v>108.15398019837939</v>
      </c>
      <c r="U437" s="30" t="str">
        <f>IF(VLOOKUP($C437,COS!$B$8:$I$991,8,FALSE)=1,"UWFE","IBU")</f>
        <v>UWFE</v>
      </c>
      <c r="V437" s="30">
        <f t="shared" ref="V437" si="704">MIN(IF(IF($AA$3=2,AND(E437=1,G437=1,L437=1,L442=1,M437=1,U437="IBU"),AND(E437=1,G437=1,L437=1,L442=1,M437=1)),T437,0),I437)</f>
        <v>0</v>
      </c>
      <c r="W437" s="30"/>
      <c r="X437" s="30"/>
      <c r="Y437" s="30"/>
      <c r="Z437" s="30"/>
      <c r="AA437" s="30"/>
      <c r="AB437" s="31"/>
    </row>
    <row r="438" spans="1:28" x14ac:dyDescent="0.3">
      <c r="A438" s="32">
        <f>VLOOKUP(YEAR(C438),Flags!$A$13:$B$95,2,FALSE)</f>
        <v>1</v>
      </c>
      <c r="B438" s="24">
        <f t="shared" si="637"/>
        <v>1969</v>
      </c>
      <c r="C438" s="25">
        <v>25354</v>
      </c>
      <c r="D438" s="26">
        <f>VLOOKUP($C438,COS!$B$8:$H$991,3,FALSE)</f>
        <v>9579.4580078125</v>
      </c>
      <c r="E438" s="24">
        <f>IF(D438&gt;=IF(MONTH($C438)=4,$C$3,IF(MONTH($C438)=5,$C$4,IF(MONTH($C438)=6,$C$5,IF(MONTH($C438)=7,$C$6,"ERROR")))),1,0)</f>
        <v>1</v>
      </c>
      <c r="F438" s="26">
        <f>VLOOKUP($C438,COS!$B$8:$H$991,7,FALSE)</f>
        <v>48.872310638427734</v>
      </c>
      <c r="G438" s="24">
        <f>IF(F438&lt;=IF(MONTH($C438)=4,$F$3,IF(MONTH($C438)=5,$F$4,IF(MONTH($C438)=6,$F$5,IF(MONTH($C438)=7,$F$6,"ERROR")))),1,0)</f>
        <v>1</v>
      </c>
      <c r="H438" s="26">
        <f>IF(J438=1,D438-$C$4,0)</f>
        <v>3579.4580078125</v>
      </c>
      <c r="I438" s="26">
        <f t="shared" si="661"/>
        <v>220.09229403409091</v>
      </c>
      <c r="J438" s="24">
        <f t="shared" si="697"/>
        <v>1</v>
      </c>
      <c r="K438" s="26">
        <f>VLOOKUP($C438,COS!$B$8:$H$991,2,FALSE)</f>
        <v>4552</v>
      </c>
      <c r="L438" s="24">
        <f t="shared" si="639"/>
        <v>1</v>
      </c>
      <c r="M438" s="24">
        <f t="shared" si="640"/>
        <v>0</v>
      </c>
      <c r="N438" s="26">
        <f>VLOOKUP($C438,COS!$B$8:$H$991,5,FALSE)</f>
        <v>779.53582763671875</v>
      </c>
      <c r="O438" s="26">
        <f t="shared" si="700"/>
        <v>47.931789732373453</v>
      </c>
      <c r="P438" s="26">
        <f>VLOOKUP($C438,COS!$B$8:$H$991,6,FALSE)</f>
        <v>2345.609619140625</v>
      </c>
      <c r="Q438" s="26">
        <f t="shared" si="701"/>
        <v>144.22591377195246</v>
      </c>
      <c r="R438" s="26">
        <f>MIN(IF(MONTH($C438)=4,$S$3,IF(MONTH($C438)=5,$S$4,IF(MONTH($C438)=6,$S$5,IF(MONTH($C438)=7,$S$6,"ERROR")))),MAX(VLOOKUP($C438,COS!$B$8:$K$991,10,FALSE)-IF(MONTH($C438)=4,$Y$3,IF(MONTH($C438)=5,$Y$4,IF(MONTH($C438)=6,$Y$5,IF(MONTH($C438)=7,$Y$6,"ERROR")))),0),MAX(VLOOKUP($C438,COS!$B$8:$K$991,9,FALSE)-IF(MONTH($C438)=4,$V$3,IF(MONTH($C438)=5,$V$4,IF(MONTH($C438)=6,$V$5,IF(MONTH($C438)=7,$V$6,"ERROR"))))-VLOOKUP($C438,COS!$B$8:$K$991,6,FALSE)/2,0))</f>
        <v>1500</v>
      </c>
      <c r="S438" s="26">
        <f t="shared" si="702"/>
        <v>92.231404958677686</v>
      </c>
      <c r="T438" s="26">
        <f t="shared" si="703"/>
        <v>188.31025671084063</v>
      </c>
      <c r="U438" s="26" t="str">
        <f>IF(VLOOKUP($C438,COS!$B$8:$I$991,8,FALSE)=1,"UWFE","IBU")</f>
        <v>UWFE</v>
      </c>
      <c r="V438" s="26">
        <f t="shared" ref="V438" si="705">MIN(IF(IF($AA$3=2,AND(E438=1,G438=1,L438=1,L442=1,M438=1,U438="IBU"),AND(E438=1,G438=1,L438=1,L442=1,M438=1)),T438,0),I438)</f>
        <v>0</v>
      </c>
      <c r="W438" s="26"/>
      <c r="X438" s="26"/>
      <c r="Y438" s="26"/>
      <c r="Z438" s="26"/>
      <c r="AA438" s="26"/>
      <c r="AB438" s="33"/>
    </row>
    <row r="439" spans="1:28" x14ac:dyDescent="0.3">
      <c r="A439" s="32">
        <f>VLOOKUP(YEAR(C439),Flags!$A$13:$B$95,2,FALSE)</f>
        <v>1</v>
      </c>
      <c r="B439" s="24">
        <f t="shared" si="637"/>
        <v>1969</v>
      </c>
      <c r="C439" s="25">
        <v>25384</v>
      </c>
      <c r="D439" s="26">
        <f>VLOOKUP($C439,COS!$B$8:$H$991,3,FALSE)</f>
        <v>8011.47998046875</v>
      </c>
      <c r="E439" s="24">
        <f>IF(D439&gt;=IF(MONTH($C439)=4,$C$3,IF(MONTH($C439)=5,$C$4,IF(MONTH($C439)=6,$C$5,IF(MONTH($C439)=7,$C$6,"ERROR")))),1,0)</f>
        <v>0</v>
      </c>
      <c r="F439" s="26">
        <f>VLOOKUP($C439,COS!$B$8:$H$991,7,FALSE)</f>
        <v>50.501800537109375</v>
      </c>
      <c r="G439" s="24">
        <f>IF(F439&lt;=IF(MONTH($C439)=4,$F$3,IF(MONTH($C439)=5,$F$4,IF(MONTH($C439)=6,$F$5,IF(MONTH($C439)=7,$F$6,"ERROR")))),1,0)</f>
        <v>1</v>
      </c>
      <c r="H439" s="26">
        <f>IF(J439=1,D439-$C$5,0)</f>
        <v>0</v>
      </c>
      <c r="I439" s="26">
        <f t="shared" si="661"/>
        <v>0</v>
      </c>
      <c r="J439" s="24">
        <f t="shared" si="697"/>
        <v>0</v>
      </c>
      <c r="K439" s="26">
        <f>VLOOKUP($C439,COS!$B$8:$H$991,2,FALSE)</f>
        <v>4403.0791015625</v>
      </c>
      <c r="L439" s="24">
        <f t="shared" si="639"/>
        <v>1</v>
      </c>
      <c r="M439" s="24">
        <f t="shared" si="640"/>
        <v>0</v>
      </c>
      <c r="N439" s="26">
        <f>VLOOKUP($C439,COS!$B$8:$H$991,5,FALSE)</f>
        <v>1103.256591796875</v>
      </c>
      <c r="O439" s="26">
        <f t="shared" si="700"/>
        <v>65.648326123450417</v>
      </c>
      <c r="P439" s="26">
        <f>VLOOKUP($C439,COS!$B$8:$H$991,6,FALSE)</f>
        <v>2226.01513671875</v>
      </c>
      <c r="Q439" s="26">
        <f t="shared" si="701"/>
        <v>132.45709904442148</v>
      </c>
      <c r="R439" s="26">
        <f>MIN(IF(MONTH($C439)=4,$S$3,IF(MONTH($C439)=5,$S$4,IF(MONTH($C439)=6,$S$5,IF(MONTH($C439)=7,$S$6,"ERROR")))),MAX(VLOOKUP($C439,COS!$B$8:$K$991,10,FALSE)-IF(MONTH($C439)=4,$Y$3,IF(MONTH($C439)=5,$Y$4,IF(MONTH($C439)=6,$Y$5,IF(MONTH($C439)=7,$Y$6,"ERROR")))),0),MAX(VLOOKUP($C439,COS!$B$8:$K$991,9,FALSE)-IF(MONTH($C439)=4,$V$3,IF(MONTH($C439)=5,$V$4,IF(MONTH($C439)=6,$V$5,IF(MONTH($C439)=7,$V$6,"ERROR"))))-VLOOKUP($C439,COS!$B$8:$K$991,6,FALSE)/2,0))</f>
        <v>1500</v>
      </c>
      <c r="S439" s="26">
        <f t="shared" si="702"/>
        <v>89.256198347107429</v>
      </c>
      <c r="T439" s="26">
        <f t="shared" si="703"/>
        <v>188.30891093104339</v>
      </c>
      <c r="U439" s="26" t="str">
        <f>IF(VLOOKUP($C439,COS!$B$8:$I$991,8,FALSE)=1,"UWFE","IBU")</f>
        <v>UWFE</v>
      </c>
      <c r="V439" s="26">
        <f t="shared" ref="V439" si="706">MIN(IF(IF($AA$3=2,AND(E439=1,G439=1,L439=1,L442=1,M439=1,U439="IBU"),AND(E439=1,G439=1,L439=1,L442=1,M439=1)),T439,0),I439)</f>
        <v>0</v>
      </c>
      <c r="W439" s="26"/>
      <c r="X439" s="26"/>
      <c r="Y439" s="26"/>
      <c r="Z439" s="26"/>
      <c r="AA439" s="26"/>
      <c r="AB439" s="33"/>
    </row>
    <row r="440" spans="1:28" x14ac:dyDescent="0.3">
      <c r="A440" s="32">
        <f>VLOOKUP(YEAR(C440),Flags!$A$13:$B$95,2,FALSE)</f>
        <v>1</v>
      </c>
      <c r="B440" s="24">
        <f t="shared" si="637"/>
        <v>1969</v>
      </c>
      <c r="C440" s="25">
        <v>25415</v>
      </c>
      <c r="D440" s="26">
        <f>VLOOKUP($C440,COS!$B$8:$H$991,3,FALSE)</f>
        <v>11045.078125</v>
      </c>
      <c r="E440" s="24">
        <f>IF(D440&gt;=IF(MONTH($C440)=4,$C$3,IF(MONTH($C440)=5,$C$4,IF(MONTH($C440)=6,$C$5,IF(MONTH($C440)=7,$C$6,"ERROR")))),1,0)</f>
        <v>0</v>
      </c>
      <c r="F440" s="26">
        <f>VLOOKUP($C440,COS!$B$8:$H$991,7,FALSE)</f>
        <v>51.50872802734375</v>
      </c>
      <c r="G440" s="24">
        <f>IF(F440&lt;=IF(MONTH($C440)=4,$F$3,IF(MONTH($C440)=5,$F$4,IF(MONTH($C440)=6,$F$5,IF(MONTH($C440)=7,$F$6,"ERROR")))),1,0)</f>
        <v>1</v>
      </c>
      <c r="H440" s="26">
        <f>IF(J440=1,D440-$C$6,0)</f>
        <v>0</v>
      </c>
      <c r="I440" s="26">
        <f t="shared" si="661"/>
        <v>0</v>
      </c>
      <c r="J440" s="24">
        <f t="shared" si="697"/>
        <v>0</v>
      </c>
      <c r="K440" s="26">
        <f>VLOOKUP($C440,COS!$B$8:$H$991,2,FALSE)</f>
        <v>3947.457763671875</v>
      </c>
      <c r="L440" s="24">
        <f t="shared" si="639"/>
        <v>1</v>
      </c>
      <c r="M440" s="24">
        <f t="shared" si="640"/>
        <v>0</v>
      </c>
      <c r="N440" s="26">
        <f>VLOOKUP($C440,COS!$B$8:$H$991,5,FALSE)</f>
        <v>1249.15625</v>
      </c>
      <c r="O440" s="26">
        <f t="shared" si="700"/>
        <v>76.807623966942145</v>
      </c>
      <c r="P440" s="26">
        <f>VLOOKUP($C440,COS!$B$8:$H$991,6,FALSE)</f>
        <v>2516.8701171875</v>
      </c>
      <c r="Q440" s="26">
        <f t="shared" si="701"/>
        <v>154.75631133780993</v>
      </c>
      <c r="R440" s="26">
        <f>MIN(IF(MONTH($C440)=4,$S$3,IF(MONTH($C440)=5,$S$4,IF(MONTH($C440)=6,$S$5,IF(MONTH($C440)=7,$S$6,"ERROR")))),MAX(VLOOKUP($C440,COS!$B$8:$K$991,10,FALSE)-IF(MONTH($C440)=4,$Y$3,IF(MONTH($C440)=5,$Y$4,IF(MONTH($C440)=6,$Y$5,IF(MONTH($C440)=7,$Y$6,"ERROR")))),0),MAX(VLOOKUP($C440,COS!$B$8:$K$991,9,FALSE)-IF(MONTH($C440)=4,$V$3,IF(MONTH($C440)=5,$V$4,IF(MONTH($C440)=6,$V$5,IF(MONTH($C440)=7,$V$6,"ERROR"))))-VLOOKUP($C440,COS!$B$8:$K$991,6,FALSE)/2,0))</f>
        <v>1500</v>
      </c>
      <c r="S440" s="26">
        <f t="shared" si="702"/>
        <v>92.231404958677686</v>
      </c>
      <c r="T440" s="26">
        <f t="shared" si="703"/>
        <v>208.01337261105374</v>
      </c>
      <c r="U440" s="26" t="str">
        <f>IF(VLOOKUP($C440,COS!$B$8:$I$991,8,FALSE)=1,"UWFE","IBU")</f>
        <v>IBU</v>
      </c>
      <c r="V440" s="26">
        <f t="shared" ref="V440" si="707">MIN(IF(IF($AA$3=2,AND(E440=1,G440=1,L440=1,L442=1,M440=1,U440="IBU"),AND(E440=1,G440=1,L440=1,L442=1,M440=1)),T440,0),I440)</f>
        <v>0</v>
      </c>
      <c r="W440" s="26"/>
      <c r="X440" s="26"/>
      <c r="Y440" s="26"/>
      <c r="Z440" s="26"/>
      <c r="AA440" s="26"/>
      <c r="AB440" s="33"/>
    </row>
    <row r="441" spans="1:28" x14ac:dyDescent="0.3">
      <c r="A441" s="32">
        <f>VLOOKUP(YEAR(C441),Flags!$A$13:$B$95,2,FALSE)</f>
        <v>1</v>
      </c>
      <c r="B441" s="24">
        <f t="shared" si="637"/>
        <v>1969</v>
      </c>
      <c r="C441" s="25">
        <v>25446</v>
      </c>
      <c r="D441" s="26"/>
      <c r="E441" s="24"/>
      <c r="F441" s="26"/>
      <c r="G441" s="24"/>
      <c r="H441" s="24"/>
      <c r="I441" s="26"/>
      <c r="J441" s="24"/>
      <c r="K441" s="26"/>
      <c r="L441" s="24"/>
      <c r="M441" s="24"/>
      <c r="N441" s="26"/>
      <c r="O441" s="26"/>
      <c r="P441" s="26"/>
      <c r="Q441" s="26"/>
      <c r="R441" s="26"/>
      <c r="S441" s="26"/>
      <c r="T441" s="26"/>
      <c r="U441" s="26"/>
      <c r="V441" s="26"/>
      <c r="W441" s="26">
        <f>MAX($C$7-VLOOKUP($C441,COS!$B$8:$H$991,3,FALSE),0)</f>
        <v>1533.791015625</v>
      </c>
      <c r="X441" s="26">
        <f t="shared" si="667"/>
        <v>94.309133522727279</v>
      </c>
      <c r="Y441" s="26">
        <f>VLOOKUP($C441,COS!$B$8:$H$991,4,FALSE)</f>
        <v>0</v>
      </c>
      <c r="Z441" s="26">
        <f t="shared" si="668"/>
        <v>0</v>
      </c>
      <c r="AA441" s="26">
        <f t="shared" ref="AA441:AA445" si="708">MIN(W441,Y441)</f>
        <v>0</v>
      </c>
      <c r="AB441" s="33">
        <f t="shared" ref="AB441" si="709">AA441*DAY($C441)*86400/43560/1000*IF(MONTH($C441)=8,$P$3,IF(MONTH($C441)=9,$P$4,IF(MONTH($C441)=10,$P$5,IF(MONTH($C441)=11,$P$6,IF(MONTH($C441)=12,$P$7,NA())))))</f>
        <v>0</v>
      </c>
    </row>
    <row r="442" spans="1:28" x14ac:dyDescent="0.3">
      <c r="A442" s="32">
        <f>VLOOKUP(YEAR(C442),Flags!$A$13:$B$95,2,FALSE)</f>
        <v>1</v>
      </c>
      <c r="B442" s="24">
        <f t="shared" si="637"/>
        <v>1969</v>
      </c>
      <c r="C442" s="25">
        <v>25476</v>
      </c>
      <c r="D442" s="26"/>
      <c r="E442" s="24"/>
      <c r="F442" s="26"/>
      <c r="G442" s="24"/>
      <c r="H442" s="24"/>
      <c r="I442" s="26"/>
      <c r="J442" s="24"/>
      <c r="K442" s="26">
        <f>VLOOKUP($C442,COS!$B$8:$H$991,2,FALSE)</f>
        <v>3239.390869140625</v>
      </c>
      <c r="L442" s="24">
        <f t="shared" ref="L442" si="710">IF(AND(K442&gt;$I$7,K442&lt;$I$8),1,0)</f>
        <v>1</v>
      </c>
      <c r="M442" s="24"/>
      <c r="N442" s="26"/>
      <c r="O442" s="26"/>
      <c r="P442" s="26"/>
      <c r="Q442" s="26"/>
      <c r="R442" s="26"/>
      <c r="S442" s="26"/>
      <c r="T442" s="26"/>
      <c r="U442" s="26"/>
      <c r="V442" s="26"/>
      <c r="W442" s="26">
        <f>MAX($C$8-VLOOKUP($C442,COS!$B$8:$H$991,3,FALSE),0)</f>
        <v>0</v>
      </c>
      <c r="X442" s="26">
        <f t="shared" si="667"/>
        <v>0</v>
      </c>
      <c r="Y442" s="26">
        <f>VLOOKUP($C442,COS!$B$8:$H$991,4,FALSE)</f>
        <v>42.857669830322266</v>
      </c>
      <c r="Z442" s="26">
        <f t="shared" si="668"/>
        <v>2.5502084527133912</v>
      </c>
      <c r="AA442" s="26">
        <f t="shared" si="708"/>
        <v>0</v>
      </c>
      <c r="AB442" s="33">
        <f t="shared" si="650"/>
        <v>0</v>
      </c>
    </row>
    <row r="443" spans="1:28" x14ac:dyDescent="0.3">
      <c r="A443" s="32">
        <f>VLOOKUP(YEAR(C443),Flags!$A$13:$B$95,2,FALSE)</f>
        <v>1</v>
      </c>
      <c r="B443" s="24">
        <f t="shared" si="637"/>
        <v>1969</v>
      </c>
      <c r="C443" s="25">
        <v>25507</v>
      </c>
      <c r="D443" s="26"/>
      <c r="E443" s="24"/>
      <c r="F443" s="26"/>
      <c r="G443" s="26"/>
      <c r="H443" s="26"/>
      <c r="I443" s="26"/>
      <c r="J443" s="26"/>
      <c r="K443" s="26"/>
      <c r="L443" s="24"/>
      <c r="M443" s="24"/>
      <c r="N443" s="26"/>
      <c r="O443" s="26"/>
      <c r="P443" s="26"/>
      <c r="Q443" s="26"/>
      <c r="R443" s="26"/>
      <c r="S443" s="26"/>
      <c r="T443" s="26"/>
      <c r="U443" s="26"/>
      <c r="V443" s="26"/>
      <c r="W443" s="26">
        <f>MAX($C$9-VLOOKUP($C443,COS!$B$8:$H$991,3,FALSE),0)</f>
        <v>0</v>
      </c>
      <c r="X443" s="26">
        <f t="shared" si="667"/>
        <v>0</v>
      </c>
      <c r="Y443" s="26">
        <f>VLOOKUP($C443,COS!$B$8:$H$991,4,FALSE)</f>
        <v>245.98057556152344</v>
      </c>
      <c r="Z443" s="26">
        <f t="shared" si="668"/>
        <v>15.124756051055655</v>
      </c>
      <c r="AA443" s="26">
        <f t="shared" si="708"/>
        <v>0</v>
      </c>
      <c r="AB443" s="33">
        <f t="shared" si="650"/>
        <v>0</v>
      </c>
    </row>
    <row r="444" spans="1:28" x14ac:dyDescent="0.3">
      <c r="A444" s="32">
        <f>VLOOKUP(YEAR(C444),Flags!$A$13:$B$95,2,FALSE)</f>
        <v>1</v>
      </c>
      <c r="B444" s="24">
        <f t="shared" si="637"/>
        <v>1969</v>
      </c>
      <c r="C444" s="25">
        <v>25537</v>
      </c>
      <c r="D444" s="26"/>
      <c r="E444" s="24"/>
      <c r="F444" s="26"/>
      <c r="G444" s="26"/>
      <c r="H444" s="26"/>
      <c r="I444" s="26"/>
      <c r="J444" s="26"/>
      <c r="K444" s="26"/>
      <c r="L444" s="24"/>
      <c r="M444" s="24"/>
      <c r="N444" s="26"/>
      <c r="O444" s="26"/>
      <c r="P444" s="26"/>
      <c r="Q444" s="26"/>
      <c r="R444" s="26"/>
      <c r="S444" s="26"/>
      <c r="T444" s="26"/>
      <c r="U444" s="26"/>
      <c r="V444" s="26"/>
      <c r="W444" s="26">
        <f>MAX($C$10-VLOOKUP($C444,COS!$B$8:$H$991,3,FALSE),0)</f>
        <v>0</v>
      </c>
      <c r="X444" s="26">
        <f t="shared" si="667"/>
        <v>0</v>
      </c>
      <c r="Y444" s="26">
        <f>VLOOKUP($C444,COS!$B$8:$H$991,4,FALSE)</f>
        <v>0</v>
      </c>
      <c r="Z444" s="26">
        <f t="shared" si="668"/>
        <v>0</v>
      </c>
      <c r="AA444" s="26">
        <f t="shared" si="708"/>
        <v>0</v>
      </c>
      <c r="AB444" s="33">
        <f t="shared" si="650"/>
        <v>0</v>
      </c>
    </row>
    <row r="445" spans="1:28" x14ac:dyDescent="0.3">
      <c r="A445" s="34">
        <f>VLOOKUP(YEAR(C445),Flags!$A$13:$B$95,2,FALSE)</f>
        <v>1</v>
      </c>
      <c r="B445" s="35">
        <f t="shared" si="637"/>
        <v>1969</v>
      </c>
      <c r="C445" s="36">
        <v>25568</v>
      </c>
      <c r="D445" s="37"/>
      <c r="E445" s="35"/>
      <c r="F445" s="37"/>
      <c r="G445" s="37"/>
      <c r="H445" s="37"/>
      <c r="I445" s="37"/>
      <c r="J445" s="37"/>
      <c r="K445" s="37"/>
      <c r="L445" s="35"/>
      <c r="M445" s="35"/>
      <c r="N445" s="37"/>
      <c r="O445" s="37"/>
      <c r="P445" s="37"/>
      <c r="Q445" s="37"/>
      <c r="R445" s="37"/>
      <c r="S445" s="37"/>
      <c r="T445" s="37"/>
      <c r="U445" s="37"/>
      <c r="V445" s="37"/>
      <c r="W445" s="37">
        <f>MAX($C$11-VLOOKUP($C445,COS!$B$8:$H$991,3,FALSE),0)</f>
        <v>0</v>
      </c>
      <c r="X445" s="37">
        <f t="shared" si="667"/>
        <v>0</v>
      </c>
      <c r="Y445" s="37">
        <f>VLOOKUP($C445,COS!$B$8:$H$991,4,FALSE)</f>
        <v>0</v>
      </c>
      <c r="Z445" s="37">
        <f t="shared" si="668"/>
        <v>0</v>
      </c>
      <c r="AA445" s="37">
        <f t="shared" si="708"/>
        <v>0</v>
      </c>
      <c r="AB445" s="38">
        <f t="shared" si="650"/>
        <v>0</v>
      </c>
    </row>
    <row r="446" spans="1:28" x14ac:dyDescent="0.3">
      <c r="A446" s="27">
        <f>VLOOKUP(YEAR(C446),Flags!$A$13:$B$95,2,FALSE)</f>
        <v>1</v>
      </c>
      <c r="B446" s="28">
        <f t="shared" si="637"/>
        <v>1970</v>
      </c>
      <c r="C446" s="29">
        <v>25688</v>
      </c>
      <c r="D446" s="30">
        <f>VLOOKUP($C446,COS!$B$8:$H$991,3,FALSE)</f>
        <v>3250</v>
      </c>
      <c r="E446" s="28">
        <f>IF(D446&gt;=IF(MONTH($C446)=4,$C$3,IF(MONTH($C446)=5,$C$4,IF(MONTH($C446)=6,$C$5,IF(MONTH($C446)=7,$C$6,"ERROR")))),1,0)</f>
        <v>0</v>
      </c>
      <c r="F446" s="30">
        <f>VLOOKUP($C446,COS!$B$8:$H$991,7,FALSE)</f>
        <v>49.804428100585938</v>
      </c>
      <c r="G446" s="28">
        <f>IF(F446&lt;=IF(MONTH($C446)=4,$F$3,IF(MONTH($C446)=5,$F$4,IF(MONTH($C446)=6,$F$5,IF(MONTH($C446)=7,$F$6,"ERROR")))),1,0)</f>
        <v>1</v>
      </c>
      <c r="H446" s="30">
        <f>IF(J446=1,D446-$C$3,0)</f>
        <v>0</v>
      </c>
      <c r="I446" s="30">
        <f t="shared" si="661"/>
        <v>0</v>
      </c>
      <c r="J446" s="28">
        <f t="shared" ref="J446:J449" si="711">IF(AND(E446=1,G446=1),1,0)</f>
        <v>0</v>
      </c>
      <c r="K446" s="30">
        <f>VLOOKUP($C446,COS!$B$8:$H$991,2,FALSE)</f>
        <v>4291.064453125</v>
      </c>
      <c r="L446" s="28">
        <f t="shared" ref="L446" si="712">IF(K446&lt;=IF(MONTH($C446)=4,$I$3,IF(MONTH($C446)=5,$I$4,IF(MONTH($C446)=6,$I$5,IF(MONTH($C446)=7,$I$6,"ERROR")))),1,0)</f>
        <v>1</v>
      </c>
      <c r="M446" s="28">
        <f t="shared" ref="M446" si="713">VLOOKUP($A446,$L$3:$M$7,2,FALSE)</f>
        <v>0</v>
      </c>
      <c r="N446" s="30">
        <f>VLOOKUP($C446,COS!$B$8:$H$991,5,FALSE)</f>
        <v>73.196624755859375</v>
      </c>
      <c r="O446" s="30">
        <f t="shared" ref="O446:O449" si="714">N446*DAY($C446)*86400/43560/1000</f>
        <v>4.3555016383651859</v>
      </c>
      <c r="P446" s="30">
        <f>VLOOKUP($C446,COS!$B$8:$H$991,6,FALSE)</f>
        <v>508.6461181640625</v>
      </c>
      <c r="Q446" s="30">
        <f t="shared" ref="Q446:Q449" si="715">P446*DAY($C446)*86400/43560/1000</f>
        <v>30.266545874225205</v>
      </c>
      <c r="R446" s="30">
        <f>MIN(IF(MONTH($C446)=4,$S$3,IF(MONTH($C446)=5,$S$4,IF(MONTH($C446)=6,$S$5,IF(MONTH($C446)=7,$S$6,"ERROR")))),MAX(VLOOKUP($C446,COS!$B$8:$K$991,10,FALSE)-IF(MONTH($C446)=4,$Y$3,IF(MONTH($C446)=5,$Y$4,IF(MONTH($C446)=6,$Y$5,IF(MONTH($C446)=7,$Y$6,"ERROR")))),0),MAX(VLOOKUP($C446,COS!$B$8:$K$991,9,FALSE)-IF(MONTH($C446)=4,$V$3,IF(MONTH($C446)=5,$V$4,IF(MONTH($C446)=6,$V$5,IF(MONTH($C446)=7,$V$6,"ERROR"))))-VLOOKUP($C446,COS!$B$8:$K$991,6,FALSE)/2,0))</f>
        <v>713.98388671875</v>
      </c>
      <c r="S446" s="30">
        <f t="shared" ref="S446:S449" si="716">R446*DAY($C446)*86400/43560/1000</f>
        <v>42.484991606404961</v>
      </c>
      <c r="T446" s="30">
        <f t="shared" ref="T446:T449" si="717">(O446+Q446)/2+S446</f>
        <v>59.79601536270016</v>
      </c>
      <c r="U446" s="30" t="str">
        <f>IF(VLOOKUP($C446,COS!$B$8:$I$991,8,FALSE)=1,"UWFE","IBU")</f>
        <v>UWFE</v>
      </c>
      <c r="V446" s="30">
        <f t="shared" ref="V446" si="718">MIN(IF(IF($AA$3=2,AND(E446=1,G446=1,L446=1,L451=1,M446=1,U446="IBU"),AND(E446=1,G446=1,L446=1,L451=1,M446=1)),T446,0),I446)</f>
        <v>0</v>
      </c>
      <c r="W446" s="30"/>
      <c r="X446" s="30"/>
      <c r="Y446" s="30"/>
      <c r="Z446" s="30"/>
      <c r="AA446" s="30"/>
      <c r="AB446" s="31"/>
    </row>
    <row r="447" spans="1:28" x14ac:dyDescent="0.3">
      <c r="A447" s="32">
        <f>VLOOKUP(YEAR(C447),Flags!$A$13:$B$95,2,FALSE)</f>
        <v>1</v>
      </c>
      <c r="B447" s="24">
        <f t="shared" si="637"/>
        <v>1970</v>
      </c>
      <c r="C447" s="25">
        <v>25719</v>
      </c>
      <c r="D447" s="26">
        <f>VLOOKUP($C447,COS!$B$8:$H$991,3,FALSE)</f>
        <v>6423.0224609375</v>
      </c>
      <c r="E447" s="24">
        <f>IF(D447&gt;=IF(MONTH($C447)=4,$C$3,IF(MONTH($C447)=5,$C$4,IF(MONTH($C447)=6,$C$5,IF(MONTH($C447)=7,$C$6,"ERROR")))),1,0)</f>
        <v>1</v>
      </c>
      <c r="F447" s="26">
        <f>VLOOKUP($C447,COS!$B$8:$H$991,7,FALSE)</f>
        <v>49.899898529052734</v>
      </c>
      <c r="G447" s="24">
        <f>IF(F447&lt;=IF(MONTH($C447)=4,$F$3,IF(MONTH($C447)=5,$F$4,IF(MONTH($C447)=6,$F$5,IF(MONTH($C447)=7,$F$6,"ERROR")))),1,0)</f>
        <v>1</v>
      </c>
      <c r="H447" s="26">
        <f>IF(J447=1,D447-$C$4,0)</f>
        <v>423.0224609375</v>
      </c>
      <c r="I447" s="26">
        <f t="shared" si="661"/>
        <v>26.010637267561982</v>
      </c>
      <c r="J447" s="24">
        <f t="shared" si="711"/>
        <v>1</v>
      </c>
      <c r="K447" s="26">
        <f>VLOOKUP($C447,COS!$B$8:$H$991,2,FALSE)</f>
        <v>4231.88427734375</v>
      </c>
      <c r="L447" s="24">
        <f t="shared" si="639"/>
        <v>1</v>
      </c>
      <c r="M447" s="24">
        <f t="shared" si="640"/>
        <v>0</v>
      </c>
      <c r="N447" s="26">
        <f>VLOOKUP($C447,COS!$B$8:$H$991,5,FALSE)</f>
        <v>572.192626953125</v>
      </c>
      <c r="O447" s="26">
        <f t="shared" si="714"/>
        <v>35.182753260588839</v>
      </c>
      <c r="P447" s="26">
        <f>VLOOKUP($C447,COS!$B$8:$H$991,6,FALSE)</f>
        <v>2315.026611328125</v>
      </c>
      <c r="Q447" s="26">
        <f t="shared" si="715"/>
        <v>142.34543791967974</v>
      </c>
      <c r="R447" s="26">
        <f>MIN(IF(MONTH($C447)=4,$S$3,IF(MONTH($C447)=5,$S$4,IF(MONTH($C447)=6,$S$5,IF(MONTH($C447)=7,$S$6,"ERROR")))),MAX(VLOOKUP($C447,COS!$B$8:$K$991,10,FALSE)-IF(MONTH($C447)=4,$Y$3,IF(MONTH($C447)=5,$Y$4,IF(MONTH($C447)=6,$Y$5,IF(MONTH($C447)=7,$Y$6,"ERROR")))),0),MAX(VLOOKUP($C447,COS!$B$8:$K$991,9,FALSE)-IF(MONTH($C447)=4,$V$3,IF(MONTH($C447)=5,$V$4,IF(MONTH($C447)=6,$V$5,IF(MONTH($C447)=7,$V$6,"ERROR"))))-VLOOKUP($C447,COS!$B$8:$K$991,6,FALSE)/2,0))</f>
        <v>1500</v>
      </c>
      <c r="S447" s="26">
        <f t="shared" si="716"/>
        <v>92.231404958677686</v>
      </c>
      <c r="T447" s="26">
        <f t="shared" si="717"/>
        <v>180.99550054881198</v>
      </c>
      <c r="U447" s="26" t="str">
        <f>IF(VLOOKUP($C447,COS!$B$8:$I$991,8,FALSE)=1,"UWFE","IBU")</f>
        <v>UWFE</v>
      </c>
      <c r="V447" s="26">
        <f t="shared" ref="V447" si="719">MIN(IF(IF($AA$3=2,AND(E447=1,G447=1,L447=1,L451=1,M447=1,U447="IBU"),AND(E447=1,G447=1,L447=1,L451=1,M447=1)),T447,0),I447)</f>
        <v>0</v>
      </c>
      <c r="W447" s="26"/>
      <c r="X447" s="26"/>
      <c r="Y447" s="26"/>
      <c r="Z447" s="26"/>
      <c r="AA447" s="26"/>
      <c r="AB447" s="33"/>
    </row>
    <row r="448" spans="1:28" x14ac:dyDescent="0.3">
      <c r="A448" s="32">
        <f>VLOOKUP(YEAR(C448),Flags!$A$13:$B$95,2,FALSE)</f>
        <v>1</v>
      </c>
      <c r="B448" s="24">
        <f t="shared" si="637"/>
        <v>1970</v>
      </c>
      <c r="C448" s="25">
        <v>25749</v>
      </c>
      <c r="D448" s="26">
        <f>VLOOKUP($C448,COS!$B$8:$H$991,3,FALSE)</f>
        <v>11296.083984375</v>
      </c>
      <c r="E448" s="24">
        <f>IF(D448&gt;=IF(MONTH($C448)=4,$C$3,IF(MONTH($C448)=5,$C$4,IF(MONTH($C448)=6,$C$5,IF(MONTH($C448)=7,$C$6,"ERROR")))),1,0)</f>
        <v>1</v>
      </c>
      <c r="F448" s="26">
        <f>VLOOKUP($C448,COS!$B$8:$H$991,7,FALSE)</f>
        <v>49.374355316162109</v>
      </c>
      <c r="G448" s="24">
        <f>IF(F448&lt;=IF(MONTH($C448)=4,$F$3,IF(MONTH($C448)=5,$F$4,IF(MONTH($C448)=6,$F$5,IF(MONTH($C448)=7,$F$6,"ERROR")))),1,0)</f>
        <v>1</v>
      </c>
      <c r="H448" s="26">
        <f>IF(J448=1,D448-$C$5,0)</f>
        <v>1296.083984375</v>
      </c>
      <c r="I448" s="26">
        <f t="shared" si="661"/>
        <v>77.122352789256198</v>
      </c>
      <c r="J448" s="24">
        <f t="shared" si="711"/>
        <v>1</v>
      </c>
      <c r="K448" s="26">
        <f>VLOOKUP($C448,COS!$B$8:$H$991,2,FALSE)</f>
        <v>3804.720947265625</v>
      </c>
      <c r="L448" s="24">
        <f t="shared" si="639"/>
        <v>1</v>
      </c>
      <c r="M448" s="24">
        <f t="shared" si="640"/>
        <v>0</v>
      </c>
      <c r="N448" s="26">
        <f>VLOOKUP($C448,COS!$B$8:$H$991,5,FALSE)</f>
        <v>657.61016845703125</v>
      </c>
      <c r="O448" s="26">
        <f t="shared" si="714"/>
        <v>39.130522420583681</v>
      </c>
      <c r="P448" s="26">
        <f>VLOOKUP($C448,COS!$B$8:$H$991,6,FALSE)</f>
        <v>2256.00390625</v>
      </c>
      <c r="Q448" s="26">
        <f t="shared" si="715"/>
        <v>134.24155475206612</v>
      </c>
      <c r="R448" s="26">
        <f>MIN(IF(MONTH($C448)=4,$S$3,IF(MONTH($C448)=5,$S$4,IF(MONTH($C448)=6,$S$5,IF(MONTH($C448)=7,$S$6,"ERROR")))),MAX(VLOOKUP($C448,COS!$B$8:$K$991,10,FALSE)-IF(MONTH($C448)=4,$Y$3,IF(MONTH($C448)=5,$Y$4,IF(MONTH($C448)=6,$Y$5,IF(MONTH($C448)=7,$Y$6,"ERROR")))),0),MAX(VLOOKUP($C448,COS!$B$8:$K$991,9,FALSE)-IF(MONTH($C448)=4,$V$3,IF(MONTH($C448)=5,$V$4,IF(MONTH($C448)=6,$V$5,IF(MONTH($C448)=7,$V$6,"ERROR"))))-VLOOKUP($C448,COS!$B$8:$K$991,6,FALSE)/2,0))</f>
        <v>1500</v>
      </c>
      <c r="S448" s="26">
        <f t="shared" si="716"/>
        <v>89.256198347107429</v>
      </c>
      <c r="T448" s="26">
        <f t="shared" si="717"/>
        <v>175.94223693343233</v>
      </c>
      <c r="U448" s="26" t="str">
        <f>IF(VLOOKUP($C448,COS!$B$8:$I$991,8,FALSE)=1,"UWFE","IBU")</f>
        <v>IBU</v>
      </c>
      <c r="V448" s="26">
        <f t="shared" ref="V448" si="720">MIN(IF(IF($AA$3=2,AND(E448=1,G448=1,L448=1,L451=1,M448=1,U448="IBU"),AND(E448=1,G448=1,L448=1,L451=1,M448=1)),T448,0),I448)</f>
        <v>0</v>
      </c>
      <c r="W448" s="26"/>
      <c r="X448" s="26"/>
      <c r="Y448" s="26"/>
      <c r="Z448" s="26"/>
      <c r="AA448" s="26"/>
      <c r="AB448" s="33"/>
    </row>
    <row r="449" spans="1:28" x14ac:dyDescent="0.3">
      <c r="A449" s="32">
        <f>VLOOKUP(YEAR(C449),Flags!$A$13:$B$95,2,FALSE)</f>
        <v>1</v>
      </c>
      <c r="B449" s="24">
        <f t="shared" si="637"/>
        <v>1970</v>
      </c>
      <c r="C449" s="25">
        <v>25780</v>
      </c>
      <c r="D449" s="26">
        <f>VLOOKUP($C449,COS!$B$8:$H$991,3,FALSE)</f>
        <v>15933.296875</v>
      </c>
      <c r="E449" s="24">
        <f>IF(D449&gt;=IF(MONTH($C449)=4,$C$3,IF(MONTH($C449)=5,$C$4,IF(MONTH($C449)=6,$C$5,IF(MONTH($C449)=7,$C$6,"ERROR")))),1,0)</f>
        <v>1</v>
      </c>
      <c r="F449" s="26">
        <f>VLOOKUP($C449,COS!$B$8:$H$991,7,FALSE)</f>
        <v>50.264232635498047</v>
      </c>
      <c r="G449" s="24">
        <f>IF(F449&lt;=IF(MONTH($C449)=4,$F$3,IF(MONTH($C449)=5,$F$4,IF(MONTH($C449)=6,$F$5,IF(MONTH($C449)=7,$F$6,"ERROR")))),1,0)</f>
        <v>1</v>
      </c>
      <c r="H449" s="26">
        <f>IF(J449=1,D449-$C$6,0)</f>
        <v>3933.296875</v>
      </c>
      <c r="I449" s="26">
        <f t="shared" si="661"/>
        <v>241.84899793388431</v>
      </c>
      <c r="J449" s="24">
        <f t="shared" si="711"/>
        <v>1</v>
      </c>
      <c r="K449" s="26">
        <f>VLOOKUP($C449,COS!$B$8:$H$991,2,FALSE)</f>
        <v>3122.0966796875</v>
      </c>
      <c r="L449" s="24">
        <f t="shared" si="639"/>
        <v>1</v>
      </c>
      <c r="M449" s="24">
        <f t="shared" si="640"/>
        <v>0</v>
      </c>
      <c r="N449" s="26">
        <f>VLOOKUP($C449,COS!$B$8:$H$991,5,FALSE)</f>
        <v>784.4171142578125</v>
      </c>
      <c r="O449" s="26">
        <f t="shared" si="714"/>
        <v>48.231928347753097</v>
      </c>
      <c r="P449" s="26">
        <f>VLOOKUP($C449,COS!$B$8:$H$991,6,FALSE)</f>
        <v>2616.67822265625</v>
      </c>
      <c r="Q449" s="26">
        <f t="shared" si="715"/>
        <v>160.89327253357436</v>
      </c>
      <c r="R449" s="26">
        <f>MIN(IF(MONTH($C449)=4,$S$3,IF(MONTH($C449)=5,$S$4,IF(MONTH($C449)=6,$S$5,IF(MONTH($C449)=7,$S$6,"ERROR")))),MAX(VLOOKUP($C449,COS!$B$8:$K$991,10,FALSE)-IF(MONTH($C449)=4,$Y$3,IF(MONTH($C449)=5,$Y$4,IF(MONTH($C449)=6,$Y$5,IF(MONTH($C449)=7,$Y$6,"ERROR")))),0),MAX(VLOOKUP($C449,COS!$B$8:$K$991,9,FALSE)-IF(MONTH($C449)=4,$V$3,IF(MONTH($C449)=5,$V$4,IF(MONTH($C449)=6,$V$5,IF(MONTH($C449)=7,$V$6,"ERROR"))))-VLOOKUP($C449,COS!$B$8:$K$991,6,FALSE)/2,0))</f>
        <v>1500</v>
      </c>
      <c r="S449" s="26">
        <f t="shared" si="716"/>
        <v>92.231404958677686</v>
      </c>
      <c r="T449" s="26">
        <f t="shared" si="717"/>
        <v>196.79400539934142</v>
      </c>
      <c r="U449" s="26" t="str">
        <f>IF(VLOOKUP($C449,COS!$B$8:$I$991,8,FALSE)=1,"UWFE","IBU")</f>
        <v>IBU</v>
      </c>
      <c r="V449" s="26">
        <f t="shared" ref="V449" si="721">MIN(IF(IF($AA$3=2,AND(E449=1,G449=1,L449=1,L451=1,M449=1,U449="IBU"),AND(E449=1,G449=1,L449=1,L451=1,M449=1)),T449,0),I449)</f>
        <v>0</v>
      </c>
      <c r="W449" s="26"/>
      <c r="X449" s="26"/>
      <c r="Y449" s="26"/>
      <c r="Z449" s="26"/>
      <c r="AA449" s="26"/>
      <c r="AB449" s="33"/>
    </row>
    <row r="450" spans="1:28" x14ac:dyDescent="0.3">
      <c r="A450" s="32">
        <f>VLOOKUP(YEAR(C450),Flags!$A$13:$B$95,2,FALSE)</f>
        <v>1</v>
      </c>
      <c r="B450" s="24">
        <f t="shared" si="637"/>
        <v>1970</v>
      </c>
      <c r="C450" s="25">
        <v>25811</v>
      </c>
      <c r="D450" s="26"/>
      <c r="E450" s="24"/>
      <c r="F450" s="26"/>
      <c r="G450" s="24"/>
      <c r="H450" s="24"/>
      <c r="I450" s="26"/>
      <c r="J450" s="24"/>
      <c r="K450" s="26"/>
      <c r="L450" s="24"/>
      <c r="M450" s="24"/>
      <c r="N450" s="26"/>
      <c r="O450" s="26"/>
      <c r="P450" s="26"/>
      <c r="Q450" s="26"/>
      <c r="R450" s="26"/>
      <c r="S450" s="26"/>
      <c r="T450" s="26"/>
      <c r="U450" s="26"/>
      <c r="V450" s="26"/>
      <c r="W450" s="26">
        <f>MAX($C$7-VLOOKUP($C450,COS!$B$8:$H$991,3,FALSE),0)</f>
        <v>1360.1201171875</v>
      </c>
      <c r="X450" s="26">
        <f t="shared" si="667"/>
        <v>83.63052621384297</v>
      </c>
      <c r="Y450" s="26">
        <f>VLOOKUP($C450,COS!$B$8:$H$991,4,FALSE)</f>
        <v>0</v>
      </c>
      <c r="Z450" s="26">
        <f t="shared" si="668"/>
        <v>0</v>
      </c>
      <c r="AA450" s="26">
        <f t="shared" ref="AA450:AA454" si="722">MIN(W450,Y450)</f>
        <v>0</v>
      </c>
      <c r="AB450" s="33">
        <f t="shared" ref="AB450" si="723">AA450*DAY($C450)*86400/43560/1000*IF(MONTH($C450)=8,$P$3,IF(MONTH($C450)=9,$P$4,IF(MONTH($C450)=10,$P$5,IF(MONTH($C450)=11,$P$6,IF(MONTH($C450)=12,$P$7,NA())))))</f>
        <v>0</v>
      </c>
    </row>
    <row r="451" spans="1:28" x14ac:dyDescent="0.3">
      <c r="A451" s="32">
        <f>VLOOKUP(YEAR(C451),Flags!$A$13:$B$95,2,FALSE)</f>
        <v>1</v>
      </c>
      <c r="B451" s="24">
        <f t="shared" si="637"/>
        <v>1970</v>
      </c>
      <c r="C451" s="25">
        <v>25841</v>
      </c>
      <c r="D451" s="26"/>
      <c r="E451" s="24"/>
      <c r="F451" s="26"/>
      <c r="G451" s="24"/>
      <c r="H451" s="24"/>
      <c r="I451" s="26"/>
      <c r="J451" s="24"/>
      <c r="K451" s="26">
        <f>VLOOKUP($C451,COS!$B$8:$H$991,2,FALSE)</f>
        <v>2249.6484375</v>
      </c>
      <c r="L451" s="24">
        <f t="shared" ref="L451" si="724">IF(AND(K451&gt;$I$7,K451&lt;$I$8),1,0)</f>
        <v>1</v>
      </c>
      <c r="M451" s="24"/>
      <c r="N451" s="26"/>
      <c r="O451" s="26"/>
      <c r="P451" s="26"/>
      <c r="Q451" s="26"/>
      <c r="R451" s="26"/>
      <c r="S451" s="26"/>
      <c r="T451" s="26"/>
      <c r="U451" s="26"/>
      <c r="V451" s="26"/>
      <c r="W451" s="26">
        <f>MAX($C$8-VLOOKUP($C451,COS!$B$8:$H$991,3,FALSE),0)</f>
        <v>0</v>
      </c>
      <c r="X451" s="26">
        <f t="shared" si="667"/>
        <v>0</v>
      </c>
      <c r="Y451" s="26">
        <f>VLOOKUP($C451,COS!$B$8:$H$991,4,FALSE)</f>
        <v>762.34381103515625</v>
      </c>
      <c r="Z451" s="26">
        <f t="shared" si="668"/>
        <v>45.362606937629131</v>
      </c>
      <c r="AA451" s="26">
        <f t="shared" si="722"/>
        <v>0</v>
      </c>
      <c r="AB451" s="33">
        <f t="shared" si="650"/>
        <v>0</v>
      </c>
    </row>
    <row r="452" spans="1:28" x14ac:dyDescent="0.3">
      <c r="A452" s="32">
        <f>VLOOKUP(YEAR(C452),Flags!$A$13:$B$95,2,FALSE)</f>
        <v>1</v>
      </c>
      <c r="B452" s="24">
        <f t="shared" si="637"/>
        <v>1970</v>
      </c>
      <c r="C452" s="25">
        <v>25872</v>
      </c>
      <c r="D452" s="26"/>
      <c r="E452" s="24"/>
      <c r="F452" s="26"/>
      <c r="G452" s="26"/>
      <c r="H452" s="26"/>
      <c r="I452" s="26"/>
      <c r="J452" s="26"/>
      <c r="K452" s="26"/>
      <c r="L452" s="24"/>
      <c r="M452" s="24"/>
      <c r="N452" s="26"/>
      <c r="O452" s="26"/>
      <c r="P452" s="26"/>
      <c r="Q452" s="26"/>
      <c r="R452" s="26"/>
      <c r="S452" s="26"/>
      <c r="T452" s="26"/>
      <c r="U452" s="26"/>
      <c r="V452" s="26"/>
      <c r="W452" s="26">
        <f>MAX($C$9-VLOOKUP($C452,COS!$B$8:$H$991,3,FALSE),0)</f>
        <v>0</v>
      </c>
      <c r="X452" s="26">
        <f t="shared" si="667"/>
        <v>0</v>
      </c>
      <c r="Y452" s="26">
        <f>VLOOKUP($C452,COS!$B$8:$H$991,4,FALSE)</f>
        <v>958.85076904296875</v>
      </c>
      <c r="Z452" s="26">
        <f t="shared" si="668"/>
        <v>58.957435716361054</v>
      </c>
      <c r="AA452" s="26">
        <f t="shared" si="722"/>
        <v>0</v>
      </c>
      <c r="AB452" s="33">
        <f t="shared" si="650"/>
        <v>0</v>
      </c>
    </row>
    <row r="453" spans="1:28" x14ac:dyDescent="0.3">
      <c r="A453" s="32">
        <f>VLOOKUP(YEAR(C453),Flags!$A$13:$B$95,2,FALSE)</f>
        <v>1</v>
      </c>
      <c r="B453" s="24">
        <f t="shared" si="637"/>
        <v>1970</v>
      </c>
      <c r="C453" s="25">
        <v>25902</v>
      </c>
      <c r="D453" s="26"/>
      <c r="E453" s="24"/>
      <c r="F453" s="26"/>
      <c r="G453" s="26"/>
      <c r="H453" s="26"/>
      <c r="I453" s="26"/>
      <c r="J453" s="26"/>
      <c r="K453" s="26"/>
      <c r="L453" s="24"/>
      <c r="M453" s="24"/>
      <c r="N453" s="26"/>
      <c r="O453" s="26"/>
      <c r="P453" s="26"/>
      <c r="Q453" s="26"/>
      <c r="R453" s="26"/>
      <c r="S453" s="26"/>
      <c r="T453" s="26"/>
      <c r="U453" s="26"/>
      <c r="V453" s="26"/>
      <c r="W453" s="26">
        <f>MAX($C$10-VLOOKUP($C453,COS!$B$8:$H$991,3,FALSE),0)</f>
        <v>0</v>
      </c>
      <c r="X453" s="26">
        <f t="shared" si="667"/>
        <v>0</v>
      </c>
      <c r="Y453" s="26">
        <f>VLOOKUP($C453,COS!$B$8:$H$991,4,FALSE)</f>
        <v>1112.5506591796875</v>
      </c>
      <c r="Z453" s="26">
        <f t="shared" si="668"/>
        <v>66.201361537964871</v>
      </c>
      <c r="AA453" s="26">
        <f t="shared" si="722"/>
        <v>0</v>
      </c>
      <c r="AB453" s="33">
        <f t="shared" si="650"/>
        <v>0</v>
      </c>
    </row>
    <row r="454" spans="1:28" x14ac:dyDescent="0.3">
      <c r="A454" s="34">
        <f>VLOOKUP(YEAR(C454),Flags!$A$13:$B$95,2,FALSE)</f>
        <v>1</v>
      </c>
      <c r="B454" s="35">
        <f t="shared" si="637"/>
        <v>1970</v>
      </c>
      <c r="C454" s="36">
        <v>25933</v>
      </c>
      <c r="D454" s="37"/>
      <c r="E454" s="35"/>
      <c r="F454" s="37"/>
      <c r="G454" s="37"/>
      <c r="H454" s="37"/>
      <c r="I454" s="37"/>
      <c r="J454" s="37"/>
      <c r="K454" s="37"/>
      <c r="L454" s="35"/>
      <c r="M454" s="35"/>
      <c r="N454" s="37"/>
      <c r="O454" s="37"/>
      <c r="P454" s="37"/>
      <c r="Q454" s="37"/>
      <c r="R454" s="37"/>
      <c r="S454" s="37"/>
      <c r="T454" s="37"/>
      <c r="U454" s="37"/>
      <c r="V454" s="37"/>
      <c r="W454" s="37">
        <f>MAX($C$11-VLOOKUP($C454,COS!$B$8:$H$991,3,FALSE),0)</f>
        <v>0</v>
      </c>
      <c r="X454" s="37">
        <f t="shared" si="667"/>
        <v>0</v>
      </c>
      <c r="Y454" s="37">
        <f>VLOOKUP($C454,COS!$B$8:$H$991,4,FALSE)</f>
        <v>0</v>
      </c>
      <c r="Z454" s="37">
        <f t="shared" si="668"/>
        <v>0</v>
      </c>
      <c r="AA454" s="37">
        <f t="shared" si="722"/>
        <v>0</v>
      </c>
      <c r="AB454" s="38">
        <f t="shared" si="650"/>
        <v>0</v>
      </c>
    </row>
    <row r="455" spans="1:28" x14ac:dyDescent="0.3">
      <c r="A455" s="27">
        <f>VLOOKUP(YEAR(C455),Flags!$A$13:$B$95,2,FALSE)</f>
        <v>1</v>
      </c>
      <c r="B455" s="28">
        <f t="shared" si="637"/>
        <v>1971</v>
      </c>
      <c r="C455" s="29">
        <v>26053</v>
      </c>
      <c r="D455" s="30">
        <f>VLOOKUP($C455,COS!$B$8:$H$991,3,FALSE)</f>
        <v>3250</v>
      </c>
      <c r="E455" s="28">
        <f>IF(D455&gt;=IF(MONTH($C455)=4,$C$3,IF(MONTH($C455)=5,$C$4,IF(MONTH($C455)=6,$C$5,IF(MONTH($C455)=7,$C$6,"ERROR")))),1,0)</f>
        <v>0</v>
      </c>
      <c r="F455" s="30">
        <f>VLOOKUP($C455,COS!$B$8:$H$991,7,FALSE)</f>
        <v>50.101123809814453</v>
      </c>
      <c r="G455" s="28">
        <f>IF(F455&lt;=IF(MONTH($C455)=4,$F$3,IF(MONTH($C455)=5,$F$4,IF(MONTH($C455)=6,$F$5,IF(MONTH($C455)=7,$F$6,"ERROR")))),1,0)</f>
        <v>1</v>
      </c>
      <c r="H455" s="30">
        <f>IF(J455=1,D455-$C$3,0)</f>
        <v>0</v>
      </c>
      <c r="I455" s="30">
        <f t="shared" si="661"/>
        <v>0</v>
      </c>
      <c r="J455" s="28">
        <f t="shared" ref="J455:J458" si="725">IF(AND(E455=1,G455=1),1,0)</f>
        <v>0</v>
      </c>
      <c r="K455" s="30">
        <f>VLOOKUP($C455,COS!$B$8:$H$991,2,FALSE)</f>
        <v>4470.4140625</v>
      </c>
      <c r="L455" s="28">
        <f t="shared" ref="L455" si="726">IF(K455&lt;=IF(MONTH($C455)=4,$I$3,IF(MONTH($C455)=5,$I$4,IF(MONTH($C455)=6,$I$5,IF(MONTH($C455)=7,$I$6,"ERROR")))),1,0)</f>
        <v>1</v>
      </c>
      <c r="M455" s="28">
        <f t="shared" ref="M455" si="727">VLOOKUP($A455,$L$3:$M$7,2,FALSE)</f>
        <v>0</v>
      </c>
      <c r="N455" s="30">
        <f>VLOOKUP($C455,COS!$B$8:$H$991,5,FALSE)</f>
        <v>663.01629638671875</v>
      </c>
      <c r="O455" s="30">
        <f t="shared" ref="O455:O458" si="728">N455*DAY($C455)*86400/43560/1000</f>
        <v>39.452209371771694</v>
      </c>
      <c r="P455" s="30">
        <f>VLOOKUP($C455,COS!$B$8:$H$991,6,FALSE)</f>
        <v>563.3929443359375</v>
      </c>
      <c r="Q455" s="30">
        <f t="shared" ref="Q455:Q458" si="729">P455*DAY($C455)*86400/43560/1000</f>
        <v>33.524208258006198</v>
      </c>
      <c r="R455" s="30">
        <f>MIN(IF(MONTH($C455)=4,$S$3,IF(MONTH($C455)=5,$S$4,IF(MONTH($C455)=6,$S$5,IF(MONTH($C455)=7,$S$6,"ERROR")))),MAX(VLOOKUP($C455,COS!$B$8:$K$991,10,FALSE)-IF(MONTH($C455)=4,$Y$3,IF(MONTH($C455)=5,$Y$4,IF(MONTH($C455)=6,$Y$5,IF(MONTH($C455)=7,$Y$6,"ERROR")))),0),MAX(VLOOKUP($C455,COS!$B$8:$K$991,9,FALSE)-IF(MONTH($C455)=4,$V$3,IF(MONTH($C455)=5,$V$4,IF(MONTH($C455)=6,$V$5,IF(MONTH($C455)=7,$V$6,"ERROR"))))-VLOOKUP($C455,COS!$B$8:$K$991,6,FALSE)/2,0))</f>
        <v>1500</v>
      </c>
      <c r="S455" s="30">
        <f t="shared" ref="S455:S458" si="730">R455*DAY($C455)*86400/43560/1000</f>
        <v>89.256198347107429</v>
      </c>
      <c r="T455" s="30">
        <f t="shared" ref="T455:T458" si="731">(O455+Q455)/2+S455</f>
        <v>125.74440716199638</v>
      </c>
      <c r="U455" s="30" t="str">
        <f>IF(VLOOKUP($C455,COS!$B$8:$I$991,8,FALSE)=1,"UWFE","IBU")</f>
        <v>UWFE</v>
      </c>
      <c r="V455" s="30">
        <f t="shared" ref="V455" si="732">MIN(IF(IF($AA$3=2,AND(E455=1,G455=1,L455=1,L460=1,M455=1,U455="IBU"),AND(E455=1,G455=1,L455=1,L460=1,M455=1)),T455,0),I455)</f>
        <v>0</v>
      </c>
      <c r="W455" s="30"/>
      <c r="X455" s="30"/>
      <c r="Y455" s="30"/>
      <c r="Z455" s="30"/>
      <c r="AA455" s="30"/>
      <c r="AB455" s="31"/>
    </row>
    <row r="456" spans="1:28" x14ac:dyDescent="0.3">
      <c r="A456" s="32">
        <f>VLOOKUP(YEAR(C456),Flags!$A$13:$B$95,2,FALSE)</f>
        <v>1</v>
      </c>
      <c r="B456" s="24">
        <f t="shared" si="637"/>
        <v>1971</v>
      </c>
      <c r="C456" s="25">
        <v>26084</v>
      </c>
      <c r="D456" s="26">
        <f>VLOOKUP($C456,COS!$B$8:$H$991,3,FALSE)</f>
        <v>8956.8486328125</v>
      </c>
      <c r="E456" s="24">
        <f>IF(D456&gt;=IF(MONTH($C456)=4,$C$3,IF(MONTH($C456)=5,$C$4,IF(MONTH($C456)=6,$C$5,IF(MONTH($C456)=7,$C$6,"ERROR")))),1,0)</f>
        <v>1</v>
      </c>
      <c r="F456" s="26">
        <f>VLOOKUP($C456,COS!$B$8:$H$991,7,FALSE)</f>
        <v>49.074142456054688</v>
      </c>
      <c r="G456" s="24">
        <f>IF(F456&lt;=IF(MONTH($C456)=4,$F$3,IF(MONTH($C456)=5,$F$4,IF(MONTH($C456)=6,$F$5,IF(MONTH($C456)=7,$F$6,"ERROR")))),1,0)</f>
        <v>1</v>
      </c>
      <c r="H456" s="26">
        <f>IF(J456=1,D456-$C$4,0)</f>
        <v>2956.8486328125</v>
      </c>
      <c r="I456" s="26">
        <f t="shared" si="661"/>
        <v>181.8095357696281</v>
      </c>
      <c r="J456" s="24">
        <f t="shared" si="725"/>
        <v>1</v>
      </c>
      <c r="K456" s="26">
        <f>VLOOKUP($C456,COS!$B$8:$H$991,2,FALSE)</f>
        <v>4552</v>
      </c>
      <c r="L456" s="24">
        <f t="shared" si="639"/>
        <v>1</v>
      </c>
      <c r="M456" s="24">
        <f t="shared" si="640"/>
        <v>0</v>
      </c>
      <c r="N456" s="26">
        <f>VLOOKUP($C456,COS!$B$8:$H$991,5,FALSE)</f>
        <v>722.55084228515625</v>
      </c>
      <c r="O456" s="26">
        <f t="shared" si="728"/>
        <v>44.427919558690597</v>
      </c>
      <c r="P456" s="26">
        <f>VLOOKUP($C456,COS!$B$8:$H$991,6,FALSE)</f>
        <v>1990.4598388671875</v>
      </c>
      <c r="Q456" s="26">
        <f t="shared" si="729"/>
        <v>122.3886049683626</v>
      </c>
      <c r="R456" s="26">
        <f>MIN(IF(MONTH($C456)=4,$S$3,IF(MONTH($C456)=5,$S$4,IF(MONTH($C456)=6,$S$5,IF(MONTH($C456)=7,$S$6,"ERROR")))),MAX(VLOOKUP($C456,COS!$B$8:$K$991,10,FALSE)-IF(MONTH($C456)=4,$Y$3,IF(MONTH($C456)=5,$Y$4,IF(MONTH($C456)=6,$Y$5,IF(MONTH($C456)=7,$Y$6,"ERROR")))),0),MAX(VLOOKUP($C456,COS!$B$8:$K$991,9,FALSE)-IF(MONTH($C456)=4,$V$3,IF(MONTH($C456)=5,$V$4,IF(MONTH($C456)=6,$V$5,IF(MONTH($C456)=7,$V$6,"ERROR"))))-VLOOKUP($C456,COS!$B$8:$K$991,6,FALSE)/2,0))</f>
        <v>1500</v>
      </c>
      <c r="S456" s="26">
        <f t="shared" si="730"/>
        <v>92.231404958677686</v>
      </c>
      <c r="T456" s="26">
        <f t="shared" si="731"/>
        <v>175.63966722220428</v>
      </c>
      <c r="U456" s="26" t="str">
        <f>IF(VLOOKUP($C456,COS!$B$8:$I$991,8,FALSE)=1,"UWFE","IBU")</f>
        <v>UWFE</v>
      </c>
      <c r="V456" s="26">
        <f t="shared" ref="V456" si="733">MIN(IF(IF($AA$3=2,AND(E456=1,G456=1,L456=1,L460=1,M456=1,U456="IBU"),AND(E456=1,G456=1,L456=1,L460=1,M456=1)),T456,0),I456)</f>
        <v>0</v>
      </c>
      <c r="W456" s="26"/>
      <c r="X456" s="26"/>
      <c r="Y456" s="26"/>
      <c r="Z456" s="26"/>
      <c r="AA456" s="26"/>
      <c r="AB456" s="33"/>
    </row>
    <row r="457" spans="1:28" x14ac:dyDescent="0.3">
      <c r="A457" s="32">
        <f>VLOOKUP(YEAR(C457),Flags!$A$13:$B$95,2,FALSE)</f>
        <v>1</v>
      </c>
      <c r="B457" s="24">
        <f t="shared" si="637"/>
        <v>1971</v>
      </c>
      <c r="C457" s="25">
        <v>26114</v>
      </c>
      <c r="D457" s="26">
        <f>VLOOKUP($C457,COS!$B$8:$H$991,3,FALSE)</f>
        <v>7962.24658203125</v>
      </c>
      <c r="E457" s="24">
        <f>IF(D457&gt;=IF(MONTH($C457)=4,$C$3,IF(MONTH($C457)=5,$C$4,IF(MONTH($C457)=6,$C$5,IF(MONTH($C457)=7,$C$6,"ERROR")))),1,0)</f>
        <v>0</v>
      </c>
      <c r="F457" s="26">
        <f>VLOOKUP($C457,COS!$B$8:$H$991,7,FALSE)</f>
        <v>51.377964019775391</v>
      </c>
      <c r="G457" s="24">
        <f>IF(F457&lt;=IF(MONTH($C457)=4,$F$3,IF(MONTH($C457)=5,$F$4,IF(MONTH($C457)=6,$F$5,IF(MONTH($C457)=7,$F$6,"ERROR")))),1,0)</f>
        <v>1</v>
      </c>
      <c r="H457" s="26">
        <f>IF(J457=1,D457-$C$5,0)</f>
        <v>0</v>
      </c>
      <c r="I457" s="26">
        <f t="shared" si="661"/>
        <v>0</v>
      </c>
      <c r="J457" s="24">
        <f t="shared" si="725"/>
        <v>0</v>
      </c>
      <c r="K457" s="26">
        <f>VLOOKUP($C457,COS!$B$8:$H$991,2,FALSE)</f>
        <v>4500</v>
      </c>
      <c r="L457" s="24">
        <f t="shared" si="639"/>
        <v>1</v>
      </c>
      <c r="M457" s="24">
        <f t="shared" si="640"/>
        <v>0</v>
      </c>
      <c r="N457" s="26">
        <f>VLOOKUP($C457,COS!$B$8:$H$991,5,FALSE)</f>
        <v>865.0386962890625</v>
      </c>
      <c r="O457" s="26">
        <f t="shared" si="728"/>
        <v>51.473376969266532</v>
      </c>
      <c r="P457" s="26">
        <f>VLOOKUP($C457,COS!$B$8:$H$991,6,FALSE)</f>
        <v>2342.25732421875</v>
      </c>
      <c r="Q457" s="26">
        <f t="shared" si="729"/>
        <v>139.37398954028924</v>
      </c>
      <c r="R457" s="26">
        <f>MIN(IF(MONTH($C457)=4,$S$3,IF(MONTH($C457)=5,$S$4,IF(MONTH($C457)=6,$S$5,IF(MONTH($C457)=7,$S$6,"ERROR")))),MAX(VLOOKUP($C457,COS!$B$8:$K$991,10,FALSE)-IF(MONTH($C457)=4,$Y$3,IF(MONTH($C457)=5,$Y$4,IF(MONTH($C457)=6,$Y$5,IF(MONTH($C457)=7,$Y$6,"ERROR")))),0),MAX(VLOOKUP($C457,COS!$B$8:$K$991,9,FALSE)-IF(MONTH($C457)=4,$V$3,IF(MONTH($C457)=5,$V$4,IF(MONTH($C457)=6,$V$5,IF(MONTH($C457)=7,$V$6,"ERROR"))))-VLOOKUP($C457,COS!$B$8:$K$991,6,FALSE)/2,0))</f>
        <v>1500</v>
      </c>
      <c r="S457" s="26">
        <f t="shared" si="730"/>
        <v>89.256198347107429</v>
      </c>
      <c r="T457" s="26">
        <f t="shared" si="731"/>
        <v>184.67988160188531</v>
      </c>
      <c r="U457" s="26" t="str">
        <f>IF(VLOOKUP($C457,COS!$B$8:$I$991,8,FALSE)=1,"UWFE","IBU")</f>
        <v>UWFE</v>
      </c>
      <c r="V457" s="26">
        <f t="shared" ref="V457" si="734">MIN(IF(IF($AA$3=2,AND(E457=1,G457=1,L457=1,L460=1,M457=1,U457="IBU"),AND(E457=1,G457=1,L457=1,L460=1,M457=1)),T457,0),I457)</f>
        <v>0</v>
      </c>
      <c r="W457" s="26"/>
      <c r="X457" s="26"/>
      <c r="Y457" s="26"/>
      <c r="Z457" s="26"/>
      <c r="AA457" s="26"/>
      <c r="AB457" s="33"/>
    </row>
    <row r="458" spans="1:28" x14ac:dyDescent="0.3">
      <c r="A458" s="32">
        <f>VLOOKUP(YEAR(C458),Flags!$A$13:$B$95,2,FALSE)</f>
        <v>1</v>
      </c>
      <c r="B458" s="24">
        <f t="shared" si="637"/>
        <v>1971</v>
      </c>
      <c r="C458" s="25">
        <v>26145</v>
      </c>
      <c r="D458" s="26">
        <f>VLOOKUP($C458,COS!$B$8:$H$991,3,FALSE)</f>
        <v>15771.30859375</v>
      </c>
      <c r="E458" s="24">
        <f>IF(D458&gt;=IF(MONTH($C458)=4,$C$3,IF(MONTH($C458)=5,$C$4,IF(MONTH($C458)=6,$C$5,IF(MONTH($C458)=7,$C$6,"ERROR")))),1,0)</f>
        <v>1</v>
      </c>
      <c r="F458" s="26">
        <f>VLOOKUP($C458,COS!$B$8:$H$991,7,FALSE)</f>
        <v>51.168178558349609</v>
      </c>
      <c r="G458" s="24">
        <f>IF(F458&lt;=IF(MONTH($C458)=4,$F$3,IF(MONTH($C458)=5,$F$4,IF(MONTH($C458)=6,$F$5,IF(MONTH($C458)=7,$F$6,"ERROR")))),1,0)</f>
        <v>1</v>
      </c>
      <c r="H458" s="26">
        <f>IF(J458=1,D458-$C$6,0)</f>
        <v>3771.30859375</v>
      </c>
      <c r="I458" s="26">
        <f t="shared" si="661"/>
        <v>231.88872675619837</v>
      </c>
      <c r="J458" s="24">
        <f t="shared" si="725"/>
        <v>1</v>
      </c>
      <c r="K458" s="26">
        <f>VLOOKUP($C458,COS!$B$8:$H$991,2,FALSE)</f>
        <v>3763.6337890625</v>
      </c>
      <c r="L458" s="24">
        <f t="shared" si="639"/>
        <v>1</v>
      </c>
      <c r="M458" s="24">
        <f t="shared" si="640"/>
        <v>0</v>
      </c>
      <c r="N458" s="26">
        <f>VLOOKUP($C458,COS!$B$8:$H$991,5,FALSE)</f>
        <v>964.21917724609375</v>
      </c>
      <c r="O458" s="26">
        <f t="shared" si="728"/>
        <v>59.287526270338326</v>
      </c>
      <c r="P458" s="26">
        <f>VLOOKUP($C458,COS!$B$8:$H$991,6,FALSE)</f>
        <v>2521.474853515625</v>
      </c>
      <c r="Q458" s="26">
        <f t="shared" si="729"/>
        <v>155.0394455384814</v>
      </c>
      <c r="R458" s="26">
        <f>MIN(IF(MONTH($C458)=4,$S$3,IF(MONTH($C458)=5,$S$4,IF(MONTH($C458)=6,$S$5,IF(MONTH($C458)=7,$S$6,"ERROR")))),MAX(VLOOKUP($C458,COS!$B$8:$K$991,10,FALSE)-IF(MONTH($C458)=4,$Y$3,IF(MONTH($C458)=5,$Y$4,IF(MONTH($C458)=6,$Y$5,IF(MONTH($C458)=7,$Y$6,"ERROR")))),0),MAX(VLOOKUP($C458,COS!$B$8:$K$991,9,FALSE)-IF(MONTH($C458)=4,$V$3,IF(MONTH($C458)=5,$V$4,IF(MONTH($C458)=6,$V$5,IF(MONTH($C458)=7,$V$6,"ERROR"))))-VLOOKUP($C458,COS!$B$8:$K$991,6,FALSE)/2,0))</f>
        <v>1500</v>
      </c>
      <c r="S458" s="26">
        <f t="shared" si="730"/>
        <v>92.231404958677686</v>
      </c>
      <c r="T458" s="26">
        <f t="shared" si="731"/>
        <v>199.39489086308754</v>
      </c>
      <c r="U458" s="26" t="str">
        <f>IF(VLOOKUP($C458,COS!$B$8:$I$991,8,FALSE)=1,"UWFE","IBU")</f>
        <v>IBU</v>
      </c>
      <c r="V458" s="26">
        <f t="shared" ref="V458" si="735">MIN(IF(IF($AA$3=2,AND(E458=1,G458=1,L458=1,L460=1,M458=1,U458="IBU"),AND(E458=1,G458=1,L458=1,L460=1,M458=1)),T458,0),I458)</f>
        <v>0</v>
      </c>
      <c r="W458" s="26"/>
      <c r="X458" s="26"/>
      <c r="Y458" s="26"/>
      <c r="Z458" s="26"/>
      <c r="AA458" s="26"/>
      <c r="AB458" s="33"/>
    </row>
    <row r="459" spans="1:28" x14ac:dyDescent="0.3">
      <c r="A459" s="32">
        <f>VLOOKUP(YEAR(C459),Flags!$A$13:$B$95,2,FALSE)</f>
        <v>1</v>
      </c>
      <c r="B459" s="24">
        <f t="shared" si="637"/>
        <v>1971</v>
      </c>
      <c r="C459" s="25">
        <v>26176</v>
      </c>
      <c r="D459" s="26"/>
      <c r="E459" s="24"/>
      <c r="F459" s="26"/>
      <c r="G459" s="24"/>
      <c r="H459" s="24"/>
      <c r="I459" s="26"/>
      <c r="J459" s="24"/>
      <c r="K459" s="26"/>
      <c r="L459" s="24"/>
      <c r="M459" s="24"/>
      <c r="N459" s="26"/>
      <c r="O459" s="26"/>
      <c r="P459" s="26"/>
      <c r="Q459" s="26"/>
      <c r="R459" s="26"/>
      <c r="S459" s="26"/>
      <c r="T459" s="26"/>
      <c r="U459" s="26"/>
      <c r="V459" s="26"/>
      <c r="W459" s="26">
        <f>MAX($C$7-VLOOKUP($C459,COS!$B$8:$H$991,3,FALSE),0)</f>
        <v>2535.529296875</v>
      </c>
      <c r="X459" s="26">
        <f t="shared" si="667"/>
        <v>155.90361957644629</v>
      </c>
      <c r="Y459" s="26">
        <f>VLOOKUP($C459,COS!$B$8:$H$991,4,FALSE)</f>
        <v>367.70223999023438</v>
      </c>
      <c r="Z459" s="26">
        <f t="shared" si="668"/>
        <v>22.609129467168131</v>
      </c>
      <c r="AA459" s="26">
        <f t="shared" ref="AA459:AA463" si="736">MIN(W459,Y459)</f>
        <v>367.70223999023438</v>
      </c>
      <c r="AB459" s="33">
        <f t="shared" ref="AB459" si="737">AA459*DAY($C459)*86400/43560/1000*IF(MONTH($C459)=8,$P$3,IF(MONTH($C459)=9,$P$4,IF(MONTH($C459)=10,$P$5,IF(MONTH($C459)=11,$P$6,IF(MONTH($C459)=12,$P$7,NA())))))</f>
        <v>22.609129467168131</v>
      </c>
    </row>
    <row r="460" spans="1:28" x14ac:dyDescent="0.3">
      <c r="A460" s="32">
        <f>VLOOKUP(YEAR(C460),Flags!$A$13:$B$95,2,FALSE)</f>
        <v>1</v>
      </c>
      <c r="B460" s="24">
        <f t="shared" si="637"/>
        <v>1971</v>
      </c>
      <c r="C460" s="25">
        <v>26206</v>
      </c>
      <c r="D460" s="26"/>
      <c r="E460" s="24"/>
      <c r="F460" s="26"/>
      <c r="G460" s="24"/>
      <c r="H460" s="24"/>
      <c r="I460" s="26"/>
      <c r="J460" s="24"/>
      <c r="K460" s="26">
        <f>VLOOKUP($C460,COS!$B$8:$H$991,2,FALSE)</f>
        <v>2942.9580078125</v>
      </c>
      <c r="L460" s="24">
        <f t="shared" ref="L460" si="738">IF(AND(K460&gt;$I$7,K460&lt;$I$8),1,0)</f>
        <v>1</v>
      </c>
      <c r="M460" s="24"/>
      <c r="N460" s="26"/>
      <c r="O460" s="26"/>
      <c r="P460" s="26"/>
      <c r="Q460" s="26"/>
      <c r="R460" s="26"/>
      <c r="S460" s="26"/>
      <c r="T460" s="26"/>
      <c r="U460" s="26"/>
      <c r="V460" s="26"/>
      <c r="W460" s="26">
        <f>MAX($C$8-VLOOKUP($C460,COS!$B$8:$H$991,3,FALSE),0)</f>
        <v>0</v>
      </c>
      <c r="X460" s="26">
        <f t="shared" si="667"/>
        <v>0</v>
      </c>
      <c r="Y460" s="26">
        <f>VLOOKUP($C460,COS!$B$8:$H$991,4,FALSE)</f>
        <v>0</v>
      </c>
      <c r="Z460" s="26">
        <f t="shared" si="668"/>
        <v>0</v>
      </c>
      <c r="AA460" s="26">
        <f t="shared" si="736"/>
        <v>0</v>
      </c>
      <c r="AB460" s="33">
        <f t="shared" si="650"/>
        <v>0</v>
      </c>
    </row>
    <row r="461" spans="1:28" x14ac:dyDescent="0.3">
      <c r="A461" s="32">
        <f>VLOOKUP(YEAR(C461),Flags!$A$13:$B$95,2,FALSE)</f>
        <v>1</v>
      </c>
      <c r="B461" s="24">
        <f t="shared" si="637"/>
        <v>1971</v>
      </c>
      <c r="C461" s="25">
        <v>26237</v>
      </c>
      <c r="D461" s="26"/>
      <c r="E461" s="24"/>
      <c r="F461" s="26"/>
      <c r="G461" s="26"/>
      <c r="H461" s="26"/>
      <c r="I461" s="26"/>
      <c r="J461" s="26"/>
      <c r="K461" s="26"/>
      <c r="L461" s="24"/>
      <c r="M461" s="24"/>
      <c r="N461" s="26"/>
      <c r="O461" s="26"/>
      <c r="P461" s="26"/>
      <c r="Q461" s="26"/>
      <c r="R461" s="26"/>
      <c r="S461" s="26"/>
      <c r="T461" s="26"/>
      <c r="U461" s="26"/>
      <c r="V461" s="26"/>
      <c r="W461" s="26">
        <f>MAX($C$9-VLOOKUP($C461,COS!$B$8:$H$991,3,FALSE),0)</f>
        <v>0</v>
      </c>
      <c r="X461" s="26">
        <f t="shared" si="667"/>
        <v>0</v>
      </c>
      <c r="Y461" s="26">
        <f>VLOOKUP($C461,COS!$B$8:$H$991,4,FALSE)</f>
        <v>1216.479248046875</v>
      </c>
      <c r="Z461" s="26">
        <f t="shared" si="668"/>
        <v>74.798393433626032</v>
      </c>
      <c r="AA461" s="26">
        <f t="shared" si="736"/>
        <v>0</v>
      </c>
      <c r="AB461" s="33">
        <f t="shared" si="650"/>
        <v>0</v>
      </c>
    </row>
    <row r="462" spans="1:28" x14ac:dyDescent="0.3">
      <c r="A462" s="32">
        <f>VLOOKUP(YEAR(C462),Flags!$A$13:$B$95,2,FALSE)</f>
        <v>1</v>
      </c>
      <c r="B462" s="24">
        <f t="shared" si="637"/>
        <v>1971</v>
      </c>
      <c r="C462" s="25">
        <v>26267</v>
      </c>
      <c r="D462" s="26"/>
      <c r="E462" s="24"/>
      <c r="F462" s="26"/>
      <c r="G462" s="26"/>
      <c r="H462" s="26"/>
      <c r="I462" s="26"/>
      <c r="J462" s="26"/>
      <c r="K462" s="26"/>
      <c r="L462" s="24"/>
      <c r="M462" s="24"/>
      <c r="N462" s="26"/>
      <c r="O462" s="26"/>
      <c r="P462" s="26"/>
      <c r="Q462" s="26"/>
      <c r="R462" s="26"/>
      <c r="S462" s="26"/>
      <c r="T462" s="26"/>
      <c r="U462" s="26"/>
      <c r="V462" s="26"/>
      <c r="W462" s="26">
        <f>MAX($C$10-VLOOKUP($C462,COS!$B$8:$H$991,3,FALSE),0)</f>
        <v>0</v>
      </c>
      <c r="X462" s="26">
        <f t="shared" si="667"/>
        <v>0</v>
      </c>
      <c r="Y462" s="26">
        <f>VLOOKUP($C462,COS!$B$8:$H$991,4,FALSE)</f>
        <v>1703.5538330078125</v>
      </c>
      <c r="Z462" s="26">
        <f t="shared" si="668"/>
        <v>101.36849254261364</v>
      </c>
      <c r="AA462" s="26">
        <f t="shared" si="736"/>
        <v>0</v>
      </c>
      <c r="AB462" s="33">
        <f t="shared" si="650"/>
        <v>0</v>
      </c>
    </row>
    <row r="463" spans="1:28" x14ac:dyDescent="0.3">
      <c r="A463" s="34">
        <f>VLOOKUP(YEAR(C463),Flags!$A$13:$B$95,2,FALSE)</f>
        <v>1</v>
      </c>
      <c r="B463" s="35">
        <f t="shared" ref="B463:B526" si="739">YEAR(C463)</f>
        <v>1971</v>
      </c>
      <c r="C463" s="36">
        <v>26298</v>
      </c>
      <c r="D463" s="37"/>
      <c r="E463" s="35"/>
      <c r="F463" s="37"/>
      <c r="G463" s="37"/>
      <c r="H463" s="37"/>
      <c r="I463" s="37"/>
      <c r="J463" s="37"/>
      <c r="K463" s="37"/>
      <c r="L463" s="35"/>
      <c r="M463" s="35"/>
      <c r="N463" s="37"/>
      <c r="O463" s="37"/>
      <c r="P463" s="37"/>
      <c r="Q463" s="37"/>
      <c r="R463" s="37"/>
      <c r="S463" s="37"/>
      <c r="T463" s="37"/>
      <c r="U463" s="37"/>
      <c r="V463" s="37"/>
      <c r="W463" s="37">
        <f>MAX($C$11-VLOOKUP($C463,COS!$B$8:$H$991,3,FALSE),0)</f>
        <v>1750</v>
      </c>
      <c r="X463" s="37">
        <f t="shared" si="667"/>
        <v>107.60330578512398</v>
      </c>
      <c r="Y463" s="37">
        <f>VLOOKUP($C463,COS!$B$8:$H$991,4,FALSE)</f>
        <v>0</v>
      </c>
      <c r="Z463" s="37">
        <f t="shared" si="668"/>
        <v>0</v>
      </c>
      <c r="AA463" s="37">
        <f t="shared" si="736"/>
        <v>0</v>
      </c>
      <c r="AB463" s="38">
        <f t="shared" si="650"/>
        <v>0</v>
      </c>
    </row>
    <row r="464" spans="1:28" x14ac:dyDescent="0.3">
      <c r="A464" s="27">
        <f>VLOOKUP(YEAR(C464),Flags!$A$13:$B$95,2,FALSE)</f>
        <v>3</v>
      </c>
      <c r="B464" s="28">
        <f t="shared" si="739"/>
        <v>1972</v>
      </c>
      <c r="C464" s="29">
        <v>26419</v>
      </c>
      <c r="D464" s="30">
        <f>VLOOKUP($C464,COS!$B$8:$H$991,3,FALSE)</f>
        <v>4466.64501953125</v>
      </c>
      <c r="E464" s="28">
        <f>IF(D464&gt;=IF(MONTH($C464)=4,$C$3,IF(MONTH($C464)=5,$C$4,IF(MONTH($C464)=6,$C$5,IF(MONTH($C464)=7,$C$6,"ERROR")))),1,0)</f>
        <v>0</v>
      </c>
      <c r="F464" s="30">
        <f>VLOOKUP($C464,COS!$B$8:$H$991,7,FALSE)</f>
        <v>50.082248687744141</v>
      </c>
      <c r="G464" s="28">
        <f>IF(F464&lt;=IF(MONTH($C464)=4,$F$3,IF(MONTH($C464)=5,$F$4,IF(MONTH($C464)=6,$F$5,IF(MONTH($C464)=7,$F$6,"ERROR")))),1,0)</f>
        <v>1</v>
      </c>
      <c r="H464" s="30">
        <f>IF(J464=1,D464-$C$3,0)</f>
        <v>0</v>
      </c>
      <c r="I464" s="30">
        <f t="shared" si="661"/>
        <v>0</v>
      </c>
      <c r="J464" s="28">
        <f t="shared" ref="J464:J467" si="740">IF(AND(E464=1,G464=1),1,0)</f>
        <v>0</v>
      </c>
      <c r="K464" s="30">
        <f>VLOOKUP($C464,COS!$B$8:$H$991,2,FALSE)</f>
        <v>4552</v>
      </c>
      <c r="L464" s="28">
        <f t="shared" ref="L464:L521" si="741">IF(K464&lt;=IF(MONTH($C464)=4,$I$3,IF(MONTH($C464)=5,$I$4,IF(MONTH($C464)=6,$I$5,IF(MONTH($C464)=7,$I$6,"ERROR")))),1,0)</f>
        <v>1</v>
      </c>
      <c r="M464" s="28">
        <f t="shared" ref="M464:M521" si="742">VLOOKUP($A464,$L$3:$M$7,2,FALSE)</f>
        <v>0</v>
      </c>
      <c r="N464" s="30">
        <f>VLOOKUP($C464,COS!$B$8:$H$991,5,FALSE)</f>
        <v>323.25350952148438</v>
      </c>
      <c r="O464" s="30">
        <f t="shared" ref="O464:O467" si="743">N464*DAY($C464)*86400/43560/1000</f>
        <v>19.23491957483213</v>
      </c>
      <c r="P464" s="30">
        <f>VLOOKUP($C464,COS!$B$8:$H$991,6,FALSE)</f>
        <v>539.28424072265625</v>
      </c>
      <c r="Q464" s="30">
        <f t="shared" ref="Q464:Q467" si="744">P464*DAY($C464)*86400/43560/1000</f>
        <v>32.08964077027376</v>
      </c>
      <c r="R464" s="30">
        <f>MIN(IF(MONTH($C464)=4,$S$3,IF(MONTH($C464)=5,$S$4,IF(MONTH($C464)=6,$S$5,IF(MONTH($C464)=7,$S$6,"ERROR")))),MAX(VLOOKUP($C464,COS!$B$8:$K$991,10,FALSE)-IF(MONTH($C464)=4,$Y$3,IF(MONTH($C464)=5,$Y$4,IF(MONTH($C464)=6,$Y$5,IF(MONTH($C464)=7,$Y$6,"ERROR")))),0),MAX(VLOOKUP($C464,COS!$B$8:$K$991,9,FALSE)-IF(MONTH($C464)=4,$V$3,IF(MONTH($C464)=5,$V$4,IF(MONTH($C464)=6,$V$5,IF(MONTH($C464)=7,$V$6,"ERROR"))))-VLOOKUP($C464,COS!$B$8:$K$991,6,FALSE)/2,0))</f>
        <v>1500</v>
      </c>
      <c r="S464" s="30">
        <f t="shared" ref="S464:S467" si="745">R464*DAY($C464)*86400/43560/1000</f>
        <v>89.256198347107429</v>
      </c>
      <c r="T464" s="30">
        <f t="shared" ref="T464:T467" si="746">(O464+Q464)/2+S464</f>
        <v>114.91847851966037</v>
      </c>
      <c r="U464" s="30" t="str">
        <f>IF(VLOOKUP($C464,COS!$B$8:$I$991,8,FALSE)=1,"UWFE","IBU")</f>
        <v>UWFE</v>
      </c>
      <c r="V464" s="30">
        <f t="shared" ref="V464" si="747">MIN(IF(IF($AA$3=2,AND(E464=1,G464=1,L464=1,L469=1,M464=1,U464="IBU"),AND(E464=1,G464=1,L464=1,L469=1,M464=1)),T464,0),I464)</f>
        <v>0</v>
      </c>
      <c r="W464" s="30"/>
      <c r="X464" s="30"/>
      <c r="Y464" s="30"/>
      <c r="Z464" s="30"/>
      <c r="AA464" s="30"/>
      <c r="AB464" s="31"/>
    </row>
    <row r="465" spans="1:28" x14ac:dyDescent="0.3">
      <c r="A465" s="32">
        <f>VLOOKUP(YEAR(C465),Flags!$A$13:$B$95,2,FALSE)</f>
        <v>3</v>
      </c>
      <c r="B465" s="24">
        <f t="shared" si="739"/>
        <v>1972</v>
      </c>
      <c r="C465" s="25">
        <v>26450</v>
      </c>
      <c r="D465" s="26">
        <f>VLOOKUP($C465,COS!$B$8:$H$991,3,FALSE)</f>
        <v>7295.134765625</v>
      </c>
      <c r="E465" s="24">
        <f>IF(D465&gt;=IF(MONTH($C465)=4,$C$3,IF(MONTH($C465)=5,$C$4,IF(MONTH($C465)=6,$C$5,IF(MONTH($C465)=7,$C$6,"ERROR")))),1,0)</f>
        <v>1</v>
      </c>
      <c r="F465" s="26">
        <f>VLOOKUP($C465,COS!$B$8:$H$991,7,FALSE)</f>
        <v>50.610748291015625</v>
      </c>
      <c r="G465" s="24">
        <f>IF(F465&lt;=IF(MONTH($C465)=4,$F$3,IF(MONTH($C465)=5,$F$4,IF(MONTH($C465)=6,$F$5,IF(MONTH($C465)=7,$F$6,"ERROR")))),1,0)</f>
        <v>1</v>
      </c>
      <c r="H465" s="26">
        <f>IF(J465=1,D465-$C$4,0)</f>
        <v>1295.134765625</v>
      </c>
      <c r="I465" s="26">
        <f t="shared" si="661"/>
        <v>79.634732696280992</v>
      </c>
      <c r="J465" s="24">
        <f t="shared" si="740"/>
        <v>1</v>
      </c>
      <c r="K465" s="26">
        <f>VLOOKUP($C465,COS!$B$8:$H$991,2,FALSE)</f>
        <v>4444.4248046875</v>
      </c>
      <c r="L465" s="24">
        <f t="shared" si="741"/>
        <v>1</v>
      </c>
      <c r="M465" s="24">
        <f t="shared" si="742"/>
        <v>0</v>
      </c>
      <c r="N465" s="26">
        <f>VLOOKUP($C465,COS!$B$8:$H$991,5,FALSE)</f>
        <v>214.1783447265625</v>
      </c>
      <c r="O465" s="26">
        <f t="shared" si="743"/>
        <v>13.169313097236572</v>
      </c>
      <c r="P465" s="26">
        <f>VLOOKUP($C465,COS!$B$8:$H$991,6,FALSE)</f>
        <v>2237.25634765625</v>
      </c>
      <c r="Q465" s="26">
        <f t="shared" si="744"/>
        <v>137.56353079803719</v>
      </c>
      <c r="R465" s="26">
        <f>MIN(IF(MONTH($C465)=4,$S$3,IF(MONTH($C465)=5,$S$4,IF(MONTH($C465)=6,$S$5,IF(MONTH($C465)=7,$S$6,"ERROR")))),MAX(VLOOKUP($C465,COS!$B$8:$K$991,10,FALSE)-IF(MONTH($C465)=4,$Y$3,IF(MONTH($C465)=5,$Y$4,IF(MONTH($C465)=6,$Y$5,IF(MONTH($C465)=7,$Y$6,"ERROR")))),0),MAX(VLOOKUP($C465,COS!$B$8:$K$991,9,FALSE)-IF(MONTH($C465)=4,$V$3,IF(MONTH($C465)=5,$V$4,IF(MONTH($C465)=6,$V$5,IF(MONTH($C465)=7,$V$6,"ERROR"))))-VLOOKUP($C465,COS!$B$8:$K$991,6,FALSE)/2,0))</f>
        <v>1500</v>
      </c>
      <c r="S465" s="26">
        <f t="shared" si="745"/>
        <v>92.231404958677686</v>
      </c>
      <c r="T465" s="26">
        <f t="shared" si="746"/>
        <v>167.59782690631457</v>
      </c>
      <c r="U465" s="26" t="str">
        <f>IF(VLOOKUP($C465,COS!$B$8:$I$991,8,FALSE)=1,"UWFE","IBU")</f>
        <v>UWFE</v>
      </c>
      <c r="V465" s="26">
        <f t="shared" ref="V465" si="748">MIN(IF(IF($AA$3=2,AND(E465=1,G465=1,L465=1,L469=1,M465=1,U465="IBU"),AND(E465=1,G465=1,L465=1,L469=1,M465=1)),T465,0),I465)</f>
        <v>0</v>
      </c>
      <c r="W465" s="26"/>
      <c r="X465" s="26"/>
      <c r="Y465" s="26"/>
      <c r="Z465" s="26"/>
      <c r="AA465" s="26"/>
      <c r="AB465" s="33"/>
    </row>
    <row r="466" spans="1:28" x14ac:dyDescent="0.3">
      <c r="A466" s="32">
        <f>VLOOKUP(YEAR(C466),Flags!$A$13:$B$95,2,FALSE)</f>
        <v>3</v>
      </c>
      <c r="B466" s="24">
        <f t="shared" si="739"/>
        <v>1972</v>
      </c>
      <c r="C466" s="25">
        <v>26480</v>
      </c>
      <c r="D466" s="26">
        <f>VLOOKUP($C466,COS!$B$8:$H$991,3,FALSE)</f>
        <v>13446.5849609375</v>
      </c>
      <c r="E466" s="24">
        <f>IF(D466&gt;=IF(MONTH($C466)=4,$C$3,IF(MONTH($C466)=5,$C$4,IF(MONTH($C466)=6,$C$5,IF(MONTH($C466)=7,$C$6,"ERROR")))),1,0)</f>
        <v>1</v>
      </c>
      <c r="F466" s="26">
        <f>VLOOKUP($C466,COS!$B$8:$H$991,7,FALSE)</f>
        <v>50.5291748046875</v>
      </c>
      <c r="G466" s="24">
        <f>IF(F466&lt;=IF(MONTH($C466)=4,$F$3,IF(MONTH($C466)=5,$F$4,IF(MONTH($C466)=6,$F$5,IF(MONTH($C466)=7,$F$6,"ERROR")))),1,0)</f>
        <v>1</v>
      </c>
      <c r="H466" s="26">
        <f>IF(J466=1,D466-$C$5,0)</f>
        <v>3446.5849609375</v>
      </c>
      <c r="I466" s="26">
        <f t="shared" si="661"/>
        <v>205.0860472623967</v>
      </c>
      <c r="J466" s="24">
        <f t="shared" si="740"/>
        <v>1</v>
      </c>
      <c r="K466" s="26">
        <f>VLOOKUP($C466,COS!$B$8:$H$991,2,FALSE)</f>
        <v>3879.44091796875</v>
      </c>
      <c r="L466" s="24">
        <f t="shared" si="741"/>
        <v>1</v>
      </c>
      <c r="M466" s="24">
        <f t="shared" si="742"/>
        <v>0</v>
      </c>
      <c r="N466" s="26">
        <f>VLOOKUP($C466,COS!$B$8:$H$991,5,FALSE)</f>
        <v>428.46661376953125</v>
      </c>
      <c r="O466" s="26">
        <f t="shared" si="743"/>
        <v>25.495534042484504</v>
      </c>
      <c r="P466" s="26">
        <f>VLOOKUP($C466,COS!$B$8:$H$991,6,FALSE)</f>
        <v>2616.696044921875</v>
      </c>
      <c r="Q466" s="26">
        <f t="shared" si="744"/>
        <v>155.70422746642564</v>
      </c>
      <c r="R466" s="26">
        <f>MIN(IF(MONTH($C466)=4,$S$3,IF(MONTH($C466)=5,$S$4,IF(MONTH($C466)=6,$S$5,IF(MONTH($C466)=7,$S$6,"ERROR")))),MAX(VLOOKUP($C466,COS!$B$8:$K$991,10,FALSE)-IF(MONTH($C466)=4,$Y$3,IF(MONTH($C466)=5,$Y$4,IF(MONTH($C466)=6,$Y$5,IF(MONTH($C466)=7,$Y$6,"ERROR")))),0),MAX(VLOOKUP($C466,COS!$B$8:$K$991,9,FALSE)-IF(MONTH($C466)=4,$V$3,IF(MONTH($C466)=5,$V$4,IF(MONTH($C466)=6,$V$5,IF(MONTH($C466)=7,$V$6,"ERROR"))))-VLOOKUP($C466,COS!$B$8:$K$991,6,FALSE)/2,0))</f>
        <v>1500</v>
      </c>
      <c r="S466" s="26">
        <f t="shared" si="745"/>
        <v>89.256198347107429</v>
      </c>
      <c r="T466" s="26">
        <f t="shared" si="746"/>
        <v>179.8560791015625</v>
      </c>
      <c r="U466" s="26" t="str">
        <f>IF(VLOOKUP($C466,COS!$B$8:$I$991,8,FALSE)=1,"UWFE","IBU")</f>
        <v>IBU</v>
      </c>
      <c r="V466" s="26">
        <f t="shared" ref="V466" si="749">MIN(IF(IF($AA$3=2,AND(E466=1,G466=1,L466=1,L469=1,M466=1,U466="IBU"),AND(E466=1,G466=1,L466=1,L469=1,M466=1)),T466,0),I466)</f>
        <v>0</v>
      </c>
      <c r="W466" s="26"/>
      <c r="X466" s="26"/>
      <c r="Y466" s="26"/>
      <c r="Z466" s="26"/>
      <c r="AA466" s="26"/>
      <c r="AB466" s="33"/>
    </row>
    <row r="467" spans="1:28" x14ac:dyDescent="0.3">
      <c r="A467" s="32">
        <f>VLOOKUP(YEAR(C467),Flags!$A$13:$B$95,2,FALSE)</f>
        <v>3</v>
      </c>
      <c r="B467" s="24">
        <f t="shared" si="739"/>
        <v>1972</v>
      </c>
      <c r="C467" s="25">
        <v>26511</v>
      </c>
      <c r="D467" s="26">
        <f>VLOOKUP($C467,COS!$B$8:$H$991,3,FALSE)</f>
        <v>15975.8271484375</v>
      </c>
      <c r="E467" s="24">
        <f>IF(D467&gt;=IF(MONTH($C467)=4,$C$3,IF(MONTH($C467)=5,$C$4,IF(MONTH($C467)=6,$C$5,IF(MONTH($C467)=7,$C$6,"ERROR")))),1,0)</f>
        <v>1</v>
      </c>
      <c r="F467" s="26">
        <f>VLOOKUP($C467,COS!$B$8:$H$991,7,FALSE)</f>
        <v>51.616970062255859</v>
      </c>
      <c r="G467" s="24">
        <f>IF(F467&lt;=IF(MONTH($C467)=4,$F$3,IF(MONTH($C467)=5,$F$4,IF(MONTH($C467)=6,$F$5,IF(MONTH($C467)=7,$F$6,"ERROR")))),1,0)</f>
        <v>1</v>
      </c>
      <c r="H467" s="26">
        <f>IF(J467=1,D467-$C$6,0)</f>
        <v>3975.8271484375</v>
      </c>
      <c r="I467" s="26">
        <f t="shared" si="661"/>
        <v>244.46408251549585</v>
      </c>
      <c r="J467" s="24">
        <f t="shared" si="740"/>
        <v>1</v>
      </c>
      <c r="K467" s="26">
        <f>VLOOKUP($C467,COS!$B$8:$H$991,2,FALSE)</f>
        <v>3200</v>
      </c>
      <c r="L467" s="24">
        <f t="shared" si="741"/>
        <v>1</v>
      </c>
      <c r="M467" s="24">
        <f t="shared" si="742"/>
        <v>0</v>
      </c>
      <c r="N467" s="26">
        <f>VLOOKUP($C467,COS!$B$8:$H$991,5,FALSE)</f>
        <v>484.07479858398438</v>
      </c>
      <c r="O467" s="26">
        <f t="shared" si="743"/>
        <v>29.764599185659868</v>
      </c>
      <c r="P467" s="26">
        <f>VLOOKUP($C467,COS!$B$8:$H$991,6,FALSE)</f>
        <v>2537.385498046875</v>
      </c>
      <c r="Q467" s="26">
        <f t="shared" si="744"/>
        <v>156.01775293775825</v>
      </c>
      <c r="R467" s="26">
        <f>MIN(IF(MONTH($C467)=4,$S$3,IF(MONTH($C467)=5,$S$4,IF(MONTH($C467)=6,$S$5,IF(MONTH($C467)=7,$S$6,"ERROR")))),MAX(VLOOKUP($C467,COS!$B$8:$K$991,10,FALSE)-IF(MONTH($C467)=4,$Y$3,IF(MONTH($C467)=5,$Y$4,IF(MONTH($C467)=6,$Y$5,IF(MONTH($C467)=7,$Y$6,"ERROR")))),0),MAX(VLOOKUP($C467,COS!$B$8:$K$991,9,FALSE)-IF(MONTH($C467)=4,$V$3,IF(MONTH($C467)=5,$V$4,IF(MONTH($C467)=6,$V$5,IF(MONTH($C467)=7,$V$6,"ERROR"))))-VLOOKUP($C467,COS!$B$8:$K$991,6,FALSE)/2,0))</f>
        <v>1500</v>
      </c>
      <c r="S467" s="26">
        <f t="shared" si="745"/>
        <v>92.231404958677686</v>
      </c>
      <c r="T467" s="26">
        <f t="shared" si="746"/>
        <v>185.12258102038675</v>
      </c>
      <c r="U467" s="26" t="str">
        <f>IF(VLOOKUP($C467,COS!$B$8:$I$991,8,FALSE)=1,"UWFE","IBU")</f>
        <v>IBU</v>
      </c>
      <c r="V467" s="26">
        <f t="shared" ref="V467" si="750">MIN(IF(IF($AA$3=2,AND(E467=1,G467=1,L467=1,L469=1,M467=1,U467="IBU"),AND(E467=1,G467=1,L467=1,L469=1,M467=1)),T467,0),I467)</f>
        <v>0</v>
      </c>
      <c r="W467" s="26"/>
      <c r="X467" s="26"/>
      <c r="Y467" s="26"/>
      <c r="Z467" s="26"/>
      <c r="AA467" s="26"/>
      <c r="AB467" s="33"/>
    </row>
    <row r="468" spans="1:28" x14ac:dyDescent="0.3">
      <c r="A468" s="32">
        <f>VLOOKUP(YEAR(C468),Flags!$A$13:$B$95,2,FALSE)</f>
        <v>3</v>
      </c>
      <c r="B468" s="24">
        <f t="shared" si="739"/>
        <v>1972</v>
      </c>
      <c r="C468" s="25">
        <v>26542</v>
      </c>
      <c r="D468" s="26"/>
      <c r="E468" s="24"/>
      <c r="F468" s="26"/>
      <c r="G468" s="24"/>
      <c r="H468" s="24"/>
      <c r="I468" s="26"/>
      <c r="J468" s="24"/>
      <c r="K468" s="26"/>
      <c r="L468" s="24"/>
      <c r="M468" s="24"/>
      <c r="N468" s="26"/>
      <c r="O468" s="26"/>
      <c r="P468" s="26"/>
      <c r="Q468" s="26"/>
      <c r="R468" s="26"/>
      <c r="S468" s="26"/>
      <c r="T468" s="26"/>
      <c r="U468" s="26"/>
      <c r="V468" s="26"/>
      <c r="W468" s="26">
        <f>MAX($C$7-VLOOKUP($C468,COS!$B$8:$H$991,3,FALSE),0)</f>
        <v>1879.541015625</v>
      </c>
      <c r="X468" s="26">
        <f t="shared" si="667"/>
        <v>115.56847236570248</v>
      </c>
      <c r="Y468" s="26">
        <f>VLOOKUP($C468,COS!$B$8:$H$991,4,FALSE)</f>
        <v>1250.875732421875</v>
      </c>
      <c r="Z468" s="26">
        <f t="shared" si="668"/>
        <v>76.913350819989674</v>
      </c>
      <c r="AA468" s="26">
        <f t="shared" ref="AA468:AA472" si="751">MIN(W468,Y468)</f>
        <v>1250.875732421875</v>
      </c>
      <c r="AB468" s="33">
        <f t="shared" ref="AB468:AB526" si="752">AA468*DAY($C468)*86400/43560/1000*IF(MONTH($C468)=8,$P$3,IF(MONTH($C468)=9,$P$4,IF(MONTH($C468)=10,$P$5,IF(MONTH($C468)=11,$P$6,IF(MONTH($C468)=12,$P$7,NA())))))</f>
        <v>76.913350819989674</v>
      </c>
    </row>
    <row r="469" spans="1:28" x14ac:dyDescent="0.3">
      <c r="A469" s="32">
        <f>VLOOKUP(YEAR(C469),Flags!$A$13:$B$95,2,FALSE)</f>
        <v>3</v>
      </c>
      <c r="B469" s="24">
        <f t="shared" si="739"/>
        <v>1972</v>
      </c>
      <c r="C469" s="25">
        <v>26572</v>
      </c>
      <c r="D469" s="26"/>
      <c r="E469" s="24"/>
      <c r="F469" s="26"/>
      <c r="G469" s="24"/>
      <c r="H469" s="24"/>
      <c r="I469" s="26"/>
      <c r="J469" s="24"/>
      <c r="K469" s="26">
        <f>VLOOKUP($C469,COS!$B$8:$H$991,2,FALSE)</f>
        <v>2958.29638671875</v>
      </c>
      <c r="L469" s="24">
        <f t="shared" ref="L469" si="753">IF(AND(K469&gt;$I$7,K469&lt;$I$8),1,0)</f>
        <v>1</v>
      </c>
      <c r="M469" s="24"/>
      <c r="N469" s="26"/>
      <c r="O469" s="26"/>
      <c r="P469" s="26"/>
      <c r="Q469" s="26"/>
      <c r="R469" s="26"/>
      <c r="S469" s="26"/>
      <c r="T469" s="26"/>
      <c r="U469" s="26"/>
      <c r="V469" s="26"/>
      <c r="W469" s="26">
        <f>MAX($C$8-VLOOKUP($C469,COS!$B$8:$H$991,3,FALSE),0)</f>
        <v>1243.72265625</v>
      </c>
      <c r="X469" s="26">
        <f t="shared" si="667"/>
        <v>74.006637396694217</v>
      </c>
      <c r="Y469" s="26">
        <f>VLOOKUP($C469,COS!$B$8:$H$991,4,FALSE)</f>
        <v>954.7808837890625</v>
      </c>
      <c r="Z469" s="26">
        <f t="shared" si="668"/>
        <v>56.813407961002063</v>
      </c>
      <c r="AA469" s="26">
        <f t="shared" si="751"/>
        <v>954.7808837890625</v>
      </c>
      <c r="AB469" s="33">
        <f t="shared" si="752"/>
        <v>56.813407961002063</v>
      </c>
    </row>
    <row r="470" spans="1:28" x14ac:dyDescent="0.3">
      <c r="A470" s="32">
        <f>VLOOKUP(YEAR(C470),Flags!$A$13:$B$95,2,FALSE)</f>
        <v>3</v>
      </c>
      <c r="B470" s="24">
        <f t="shared" si="739"/>
        <v>1972</v>
      </c>
      <c r="C470" s="25">
        <v>26603</v>
      </c>
      <c r="D470" s="26"/>
      <c r="E470" s="24"/>
      <c r="F470" s="26"/>
      <c r="G470" s="26"/>
      <c r="H470" s="26"/>
      <c r="I470" s="26"/>
      <c r="J470" s="26"/>
      <c r="K470" s="26"/>
      <c r="L470" s="24"/>
      <c r="M470" s="24"/>
      <c r="N470" s="26"/>
      <c r="O470" s="26"/>
      <c r="P470" s="26"/>
      <c r="Q470" s="26"/>
      <c r="R470" s="26"/>
      <c r="S470" s="26"/>
      <c r="T470" s="26"/>
      <c r="U470" s="26"/>
      <c r="V470" s="26"/>
      <c r="W470" s="26">
        <f>MAX($C$9-VLOOKUP($C470,COS!$B$8:$H$991,3,FALSE),0)</f>
        <v>129.9990234375</v>
      </c>
      <c r="X470" s="26">
        <f t="shared" si="667"/>
        <v>7.9933283832644628</v>
      </c>
      <c r="Y470" s="26">
        <f>VLOOKUP($C470,COS!$B$8:$H$991,4,FALSE)</f>
        <v>439.72247314453125</v>
      </c>
      <c r="Z470" s="26">
        <f t="shared" si="668"/>
        <v>27.037480993349689</v>
      </c>
      <c r="AA470" s="26">
        <f t="shared" si="751"/>
        <v>129.9990234375</v>
      </c>
      <c r="AB470" s="33">
        <f t="shared" si="752"/>
        <v>7.9933283832644628</v>
      </c>
    </row>
    <row r="471" spans="1:28" x14ac:dyDescent="0.3">
      <c r="A471" s="32">
        <f>VLOOKUP(YEAR(C471),Flags!$A$13:$B$95,2,FALSE)</f>
        <v>3</v>
      </c>
      <c r="B471" s="24">
        <f t="shared" si="739"/>
        <v>1972</v>
      </c>
      <c r="C471" s="25">
        <v>26633</v>
      </c>
      <c r="D471" s="26"/>
      <c r="E471" s="24"/>
      <c r="F471" s="26"/>
      <c r="G471" s="26"/>
      <c r="H471" s="26"/>
      <c r="I471" s="26"/>
      <c r="J471" s="26"/>
      <c r="K471" s="26"/>
      <c r="L471" s="24"/>
      <c r="M471" s="24"/>
      <c r="N471" s="26"/>
      <c r="O471" s="26"/>
      <c r="P471" s="26"/>
      <c r="Q471" s="26"/>
      <c r="R471" s="26"/>
      <c r="S471" s="26"/>
      <c r="T471" s="26"/>
      <c r="U471" s="26"/>
      <c r="V471" s="26"/>
      <c r="W471" s="26">
        <f>MAX($C$10-VLOOKUP($C471,COS!$B$8:$H$991,3,FALSE),0)</f>
        <v>1244.074462890625</v>
      </c>
      <c r="X471" s="26">
        <f t="shared" si="667"/>
        <v>74.027571345557845</v>
      </c>
      <c r="Y471" s="26">
        <f>VLOOKUP($C471,COS!$B$8:$H$991,4,FALSE)</f>
        <v>2301.576171875</v>
      </c>
      <c r="Z471" s="26">
        <f t="shared" si="668"/>
        <v>136.95329287190083</v>
      </c>
      <c r="AA471" s="26">
        <f t="shared" si="751"/>
        <v>1244.074462890625</v>
      </c>
      <c r="AB471" s="33">
        <f t="shared" si="752"/>
        <v>74.027571345557845</v>
      </c>
    </row>
    <row r="472" spans="1:28" x14ac:dyDescent="0.3">
      <c r="A472" s="34">
        <f>VLOOKUP(YEAR(C472),Flags!$A$13:$B$95,2,FALSE)</f>
        <v>3</v>
      </c>
      <c r="B472" s="35">
        <f t="shared" si="739"/>
        <v>1972</v>
      </c>
      <c r="C472" s="36">
        <v>26664</v>
      </c>
      <c r="D472" s="37"/>
      <c r="E472" s="35"/>
      <c r="F472" s="37"/>
      <c r="G472" s="37"/>
      <c r="H472" s="37"/>
      <c r="I472" s="37"/>
      <c r="J472" s="37"/>
      <c r="K472" s="37"/>
      <c r="L472" s="35"/>
      <c r="M472" s="35"/>
      <c r="N472" s="37"/>
      <c r="O472" s="37"/>
      <c r="P472" s="37"/>
      <c r="Q472" s="37"/>
      <c r="R472" s="37"/>
      <c r="S472" s="37"/>
      <c r="T472" s="37"/>
      <c r="U472" s="37"/>
      <c r="V472" s="37"/>
      <c r="W472" s="37">
        <f>MAX($C$11-VLOOKUP($C472,COS!$B$8:$H$991,3,FALSE),0)</f>
        <v>0</v>
      </c>
      <c r="X472" s="37">
        <f t="shared" si="667"/>
        <v>0</v>
      </c>
      <c r="Y472" s="37">
        <f>VLOOKUP($C472,COS!$B$8:$H$991,4,FALSE)</f>
        <v>0</v>
      </c>
      <c r="Z472" s="37">
        <f t="shared" si="668"/>
        <v>0</v>
      </c>
      <c r="AA472" s="37">
        <f t="shared" si="751"/>
        <v>0</v>
      </c>
      <c r="AB472" s="38">
        <f t="shared" si="752"/>
        <v>0</v>
      </c>
    </row>
    <row r="473" spans="1:28" x14ac:dyDescent="0.3">
      <c r="A473" s="27">
        <f>VLOOKUP(YEAR(C473),Flags!$A$13:$B$95,2,FALSE)</f>
        <v>2</v>
      </c>
      <c r="B473" s="28">
        <f t="shared" si="739"/>
        <v>1973</v>
      </c>
      <c r="C473" s="29">
        <v>26784</v>
      </c>
      <c r="D473" s="30">
        <f>VLOOKUP($C473,COS!$B$8:$H$991,3,FALSE)</f>
        <v>3250</v>
      </c>
      <c r="E473" s="28">
        <f>IF(D473&gt;=IF(MONTH($C473)=4,$C$3,IF(MONTH($C473)=5,$C$4,IF(MONTH($C473)=6,$C$5,IF(MONTH($C473)=7,$C$6,"ERROR")))),1,0)</f>
        <v>0</v>
      </c>
      <c r="F473" s="30">
        <f>VLOOKUP($C473,COS!$B$8:$H$991,7,FALSE)</f>
        <v>50.581394195556641</v>
      </c>
      <c r="G473" s="28">
        <f>IF(F473&lt;=IF(MONTH($C473)=4,$F$3,IF(MONTH($C473)=5,$F$4,IF(MONTH($C473)=6,$F$5,IF(MONTH($C473)=7,$F$6,"ERROR")))),1,0)</f>
        <v>1</v>
      </c>
      <c r="H473" s="30">
        <f>IF(J473=1,D473-$C$3,0)</f>
        <v>0</v>
      </c>
      <c r="I473" s="30">
        <f t="shared" si="661"/>
        <v>0</v>
      </c>
      <c r="J473" s="28">
        <f t="shared" ref="J473:J476" si="754">IF(AND(E473=1,G473=1),1,0)</f>
        <v>0</v>
      </c>
      <c r="K473" s="30">
        <f>VLOOKUP($C473,COS!$B$8:$H$991,2,FALSE)</f>
        <v>4464.4716796875</v>
      </c>
      <c r="L473" s="28">
        <f t="shared" ref="L473" si="755">IF(K473&lt;=IF(MONTH($C473)=4,$I$3,IF(MONTH($C473)=5,$I$4,IF(MONTH($C473)=6,$I$5,IF(MONTH($C473)=7,$I$6,"ERROR")))),1,0)</f>
        <v>1</v>
      </c>
      <c r="M473" s="28">
        <f t="shared" ref="M473" si="756">VLOOKUP($A473,$L$3:$M$7,2,FALSE)</f>
        <v>0</v>
      </c>
      <c r="N473" s="30">
        <f>VLOOKUP($C473,COS!$B$8:$H$991,5,FALSE)</f>
        <v>411.989013671875</v>
      </c>
      <c r="O473" s="30">
        <f t="shared" ref="O473:O476" si="757">N473*DAY($C473)*86400/43560/1000</f>
        <v>24.515048747417357</v>
      </c>
      <c r="P473" s="30">
        <f>VLOOKUP($C473,COS!$B$8:$H$991,6,FALSE)</f>
        <v>453.39697265625</v>
      </c>
      <c r="Q473" s="30">
        <f t="shared" ref="Q473:Q476" si="758">P473*DAY($C473)*86400/43560/1000</f>
        <v>26.978993414256198</v>
      </c>
      <c r="R473" s="30">
        <f>MIN(IF(MONTH($C473)=4,$S$3,IF(MONTH($C473)=5,$S$4,IF(MONTH($C473)=6,$S$5,IF(MONTH($C473)=7,$S$6,"ERROR")))),MAX(VLOOKUP($C473,COS!$B$8:$K$991,10,FALSE)-IF(MONTH($C473)=4,$Y$3,IF(MONTH($C473)=5,$Y$4,IF(MONTH($C473)=6,$Y$5,IF(MONTH($C473)=7,$Y$6,"ERROR")))),0),MAX(VLOOKUP($C473,COS!$B$8:$K$991,9,FALSE)-IF(MONTH($C473)=4,$V$3,IF(MONTH($C473)=5,$V$4,IF(MONTH($C473)=6,$V$5,IF(MONTH($C473)=7,$V$6,"ERROR"))))-VLOOKUP($C473,COS!$B$8:$K$991,6,FALSE)/2,0))</f>
        <v>1500</v>
      </c>
      <c r="S473" s="30">
        <f t="shared" ref="S473:S476" si="759">R473*DAY($C473)*86400/43560/1000</f>
        <v>89.256198347107429</v>
      </c>
      <c r="T473" s="30">
        <f t="shared" ref="T473:T476" si="760">(O473+Q473)/2+S473</f>
        <v>115.0032194279442</v>
      </c>
      <c r="U473" s="30" t="str">
        <f>IF(VLOOKUP($C473,COS!$B$8:$I$991,8,FALSE)=1,"UWFE","IBU")</f>
        <v>UWFE</v>
      </c>
      <c r="V473" s="30">
        <f t="shared" ref="V473" si="761">MIN(IF(IF($AA$3=2,AND(E473=1,G473=1,L473=1,L478=1,M473=1,U473="IBU"),AND(E473=1,G473=1,L473=1,L478=1,M473=1)),T473,0),I473)</f>
        <v>0</v>
      </c>
      <c r="W473" s="30"/>
      <c r="X473" s="30"/>
      <c r="Y473" s="30"/>
      <c r="Z473" s="30"/>
      <c r="AA473" s="30"/>
      <c r="AB473" s="31"/>
    </row>
    <row r="474" spans="1:28" x14ac:dyDescent="0.3">
      <c r="A474" s="32">
        <f>VLOOKUP(YEAR(C474),Flags!$A$13:$B$95,2,FALSE)</f>
        <v>2</v>
      </c>
      <c r="B474" s="24">
        <f t="shared" si="739"/>
        <v>1973</v>
      </c>
      <c r="C474" s="25">
        <v>26815</v>
      </c>
      <c r="D474" s="26">
        <f>VLOOKUP($C474,COS!$B$8:$H$991,3,FALSE)</f>
        <v>6365.75537109375</v>
      </c>
      <c r="E474" s="24">
        <f>IF(D474&gt;=IF(MONTH($C474)=4,$C$3,IF(MONTH($C474)=5,$C$4,IF(MONTH($C474)=6,$C$5,IF(MONTH($C474)=7,$C$6,"ERROR")))),1,0)</f>
        <v>1</v>
      </c>
      <c r="F474" s="26">
        <f>VLOOKUP($C474,COS!$B$8:$H$991,7,FALSE)</f>
        <v>51.265758514404297</v>
      </c>
      <c r="G474" s="24">
        <f>IF(F474&lt;=IF(MONTH($C474)=4,$F$3,IF(MONTH($C474)=5,$F$4,IF(MONTH($C474)=6,$F$5,IF(MONTH($C474)=7,$F$6,"ERROR")))),1,0)</f>
        <v>1</v>
      </c>
      <c r="H474" s="26">
        <f>IF(J474=1,D474-$C$4,0)</f>
        <v>365.75537109375</v>
      </c>
      <c r="I474" s="26">
        <f t="shared" si="661"/>
        <v>22.489421164772729</v>
      </c>
      <c r="J474" s="24">
        <f t="shared" si="754"/>
        <v>1</v>
      </c>
      <c r="K474" s="26">
        <f>VLOOKUP($C474,COS!$B$8:$H$991,2,FALSE)</f>
        <v>4489.771484375</v>
      </c>
      <c r="L474" s="24">
        <f t="shared" si="741"/>
        <v>1</v>
      </c>
      <c r="M474" s="24">
        <f t="shared" si="742"/>
        <v>0</v>
      </c>
      <c r="N474" s="26">
        <f>VLOOKUP($C474,COS!$B$8:$H$991,5,FALSE)</f>
        <v>753.90789794921875</v>
      </c>
      <c r="O474" s="26">
        <f t="shared" si="757"/>
        <v>46.355989758199897</v>
      </c>
      <c r="P474" s="26">
        <f>VLOOKUP($C474,COS!$B$8:$H$991,6,FALSE)</f>
        <v>2250.21826171875</v>
      </c>
      <c r="Q474" s="26">
        <f t="shared" si="758"/>
        <v>138.36052782799587</v>
      </c>
      <c r="R474" s="26">
        <f>MIN(IF(MONTH($C474)=4,$S$3,IF(MONTH($C474)=5,$S$4,IF(MONTH($C474)=6,$S$5,IF(MONTH($C474)=7,$S$6,"ERROR")))),MAX(VLOOKUP($C474,COS!$B$8:$K$991,10,FALSE)-IF(MONTH($C474)=4,$Y$3,IF(MONTH($C474)=5,$Y$4,IF(MONTH($C474)=6,$Y$5,IF(MONTH($C474)=7,$Y$6,"ERROR")))),0),MAX(VLOOKUP($C474,COS!$B$8:$K$991,9,FALSE)-IF(MONTH($C474)=4,$V$3,IF(MONTH($C474)=5,$V$4,IF(MONTH($C474)=6,$V$5,IF(MONTH($C474)=7,$V$6,"ERROR"))))-VLOOKUP($C474,COS!$B$8:$K$991,6,FALSE)/2,0))</f>
        <v>1500</v>
      </c>
      <c r="S474" s="26">
        <f t="shared" si="759"/>
        <v>92.231404958677686</v>
      </c>
      <c r="T474" s="26">
        <f t="shared" si="760"/>
        <v>184.58966375177556</v>
      </c>
      <c r="U474" s="26" t="str">
        <f>IF(VLOOKUP($C474,COS!$B$8:$I$991,8,FALSE)=1,"UWFE","IBU")</f>
        <v>UWFE</v>
      </c>
      <c r="V474" s="26">
        <f t="shared" ref="V474" si="762">MIN(IF(IF($AA$3=2,AND(E474=1,G474=1,L474=1,L478=1,M474=1,U474="IBU"),AND(E474=1,G474=1,L474=1,L478=1,M474=1)),T474,0),I474)</f>
        <v>0</v>
      </c>
      <c r="W474" s="26"/>
      <c r="X474" s="26"/>
      <c r="Y474" s="26"/>
      <c r="Z474" s="26"/>
      <c r="AA474" s="26"/>
      <c r="AB474" s="33"/>
    </row>
    <row r="475" spans="1:28" x14ac:dyDescent="0.3">
      <c r="A475" s="32">
        <f>VLOOKUP(YEAR(C475),Flags!$A$13:$B$95,2,FALSE)</f>
        <v>2</v>
      </c>
      <c r="B475" s="24">
        <f t="shared" si="739"/>
        <v>1973</v>
      </c>
      <c r="C475" s="25">
        <v>26845</v>
      </c>
      <c r="D475" s="26">
        <f>VLOOKUP($C475,COS!$B$8:$H$991,3,FALSE)</f>
        <v>13158.140625</v>
      </c>
      <c r="E475" s="24">
        <f>IF(D475&gt;=IF(MONTH($C475)=4,$C$3,IF(MONTH($C475)=5,$C$4,IF(MONTH($C475)=6,$C$5,IF(MONTH($C475)=7,$C$6,"ERROR")))),1,0)</f>
        <v>1</v>
      </c>
      <c r="F475" s="26">
        <f>VLOOKUP($C475,COS!$B$8:$H$991,7,FALSE)</f>
        <v>49.900630950927734</v>
      </c>
      <c r="G475" s="24">
        <f>IF(F475&lt;=IF(MONTH($C475)=4,$F$3,IF(MONTH($C475)=5,$F$4,IF(MONTH($C475)=6,$F$5,IF(MONTH($C475)=7,$F$6,"ERROR")))),1,0)</f>
        <v>1</v>
      </c>
      <c r="H475" s="26">
        <f>IF(J475=1,D475-$C$5,0)</f>
        <v>3158.140625</v>
      </c>
      <c r="I475" s="26">
        <f t="shared" si="661"/>
        <v>187.92241735537189</v>
      </c>
      <c r="J475" s="24">
        <f t="shared" si="754"/>
        <v>1</v>
      </c>
      <c r="K475" s="26">
        <f>VLOOKUP($C475,COS!$B$8:$H$991,2,FALSE)</f>
        <v>3919.55078125</v>
      </c>
      <c r="L475" s="24">
        <f t="shared" si="741"/>
        <v>1</v>
      </c>
      <c r="M475" s="24">
        <f t="shared" si="742"/>
        <v>0</v>
      </c>
      <c r="N475" s="26">
        <f>VLOOKUP($C475,COS!$B$8:$H$991,5,FALSE)</f>
        <v>1050.899658203125</v>
      </c>
      <c r="O475" s="26">
        <f t="shared" si="757"/>
        <v>62.532872223657023</v>
      </c>
      <c r="P475" s="26">
        <f>VLOOKUP($C475,COS!$B$8:$H$991,6,FALSE)</f>
        <v>2424.520751953125</v>
      </c>
      <c r="Q475" s="26">
        <f t="shared" si="758"/>
        <v>144.26900342200415</v>
      </c>
      <c r="R475" s="26">
        <f>MIN(IF(MONTH($C475)=4,$S$3,IF(MONTH($C475)=5,$S$4,IF(MONTH($C475)=6,$S$5,IF(MONTH($C475)=7,$S$6,"ERROR")))),MAX(VLOOKUP($C475,COS!$B$8:$K$991,10,FALSE)-IF(MONTH($C475)=4,$Y$3,IF(MONTH($C475)=5,$Y$4,IF(MONTH($C475)=6,$Y$5,IF(MONTH($C475)=7,$Y$6,"ERROR")))),0),MAX(VLOOKUP($C475,COS!$B$8:$K$991,9,FALSE)-IF(MONTH($C475)=4,$V$3,IF(MONTH($C475)=5,$V$4,IF(MONTH($C475)=6,$V$5,IF(MONTH($C475)=7,$V$6,"ERROR"))))-VLOOKUP($C475,COS!$B$8:$K$991,6,FALSE)/2,0))</f>
        <v>1500</v>
      </c>
      <c r="S475" s="26">
        <f t="shared" si="759"/>
        <v>89.256198347107429</v>
      </c>
      <c r="T475" s="26">
        <f t="shared" si="760"/>
        <v>192.65713616993801</v>
      </c>
      <c r="U475" s="26" t="str">
        <f>IF(VLOOKUP($C475,COS!$B$8:$I$991,8,FALSE)=1,"UWFE","IBU")</f>
        <v>IBU</v>
      </c>
      <c r="V475" s="26">
        <f t="shared" ref="V475" si="763">MIN(IF(IF($AA$3=2,AND(E475=1,G475=1,L475=1,L478=1,M475=1,U475="IBU"),AND(E475=1,G475=1,L475=1,L478=1,M475=1)),T475,0),I475)</f>
        <v>0</v>
      </c>
      <c r="W475" s="26"/>
      <c r="X475" s="26"/>
      <c r="Y475" s="26"/>
      <c r="Z475" s="26"/>
      <c r="AA475" s="26"/>
      <c r="AB475" s="33"/>
    </row>
    <row r="476" spans="1:28" x14ac:dyDescent="0.3">
      <c r="A476" s="32">
        <f>VLOOKUP(YEAR(C476),Flags!$A$13:$B$95,2,FALSE)</f>
        <v>2</v>
      </c>
      <c r="B476" s="24">
        <f t="shared" si="739"/>
        <v>1973</v>
      </c>
      <c r="C476" s="25">
        <v>26876</v>
      </c>
      <c r="D476" s="26">
        <f>VLOOKUP($C476,COS!$B$8:$H$991,3,FALSE)</f>
        <v>16000</v>
      </c>
      <c r="E476" s="24">
        <f>IF(D476&gt;=IF(MONTH($C476)=4,$C$3,IF(MONTH($C476)=5,$C$4,IF(MONTH($C476)=6,$C$5,IF(MONTH($C476)=7,$C$6,"ERROR")))),1,0)</f>
        <v>1</v>
      </c>
      <c r="F476" s="26">
        <f>VLOOKUP($C476,COS!$B$8:$H$991,7,FALSE)</f>
        <v>50.579265594482422</v>
      </c>
      <c r="G476" s="24">
        <f>IF(F476&lt;=IF(MONTH($C476)=4,$F$3,IF(MONTH($C476)=5,$F$4,IF(MONTH($C476)=6,$F$5,IF(MONTH($C476)=7,$F$6,"ERROR")))),1,0)</f>
        <v>1</v>
      </c>
      <c r="H476" s="26">
        <f>IF(J476=1,D476-$C$6,0)</f>
        <v>4000</v>
      </c>
      <c r="I476" s="26">
        <f t="shared" ref="I476:I539" si="764">H476*DAY($C476)*86400/43560/1000</f>
        <v>245.95041322314049</v>
      </c>
      <c r="J476" s="24">
        <f t="shared" si="754"/>
        <v>1</v>
      </c>
      <c r="K476" s="26">
        <f>VLOOKUP($C476,COS!$B$8:$H$991,2,FALSE)</f>
        <v>3219.93359375</v>
      </c>
      <c r="L476" s="24">
        <f t="shared" si="741"/>
        <v>1</v>
      </c>
      <c r="M476" s="24">
        <f t="shared" si="742"/>
        <v>0</v>
      </c>
      <c r="N476" s="26">
        <f>VLOOKUP($C476,COS!$B$8:$H$991,5,FALSE)</f>
        <v>1148.61376953125</v>
      </c>
      <c r="O476" s="26">
        <f t="shared" si="757"/>
        <v>70.625507812500004</v>
      </c>
      <c r="P476" s="26">
        <f>VLOOKUP($C476,COS!$B$8:$H$991,6,FALSE)</f>
        <v>2522.65771484375</v>
      </c>
      <c r="Q476" s="26">
        <f t="shared" si="758"/>
        <v>155.1121768465909</v>
      </c>
      <c r="R476" s="26">
        <f>MIN(IF(MONTH($C476)=4,$S$3,IF(MONTH($C476)=5,$S$4,IF(MONTH($C476)=6,$S$5,IF(MONTH($C476)=7,$S$6,"ERROR")))),MAX(VLOOKUP($C476,COS!$B$8:$K$991,10,FALSE)-IF(MONTH($C476)=4,$Y$3,IF(MONTH($C476)=5,$Y$4,IF(MONTH($C476)=6,$Y$5,IF(MONTH($C476)=7,$Y$6,"ERROR")))),0),MAX(VLOOKUP($C476,COS!$B$8:$K$991,9,FALSE)-IF(MONTH($C476)=4,$V$3,IF(MONTH($C476)=5,$V$4,IF(MONTH($C476)=6,$V$5,IF(MONTH($C476)=7,$V$6,"ERROR"))))-VLOOKUP($C476,COS!$B$8:$K$991,6,FALSE)/2,0))</f>
        <v>1500</v>
      </c>
      <c r="S476" s="26">
        <f t="shared" si="759"/>
        <v>92.231404958677686</v>
      </c>
      <c r="T476" s="26">
        <f t="shared" si="760"/>
        <v>205.10024728822316</v>
      </c>
      <c r="U476" s="26" t="str">
        <f>IF(VLOOKUP($C476,COS!$B$8:$I$991,8,FALSE)=1,"UWFE","IBU")</f>
        <v>IBU</v>
      </c>
      <c r="V476" s="26">
        <f t="shared" ref="V476" si="765">MIN(IF(IF($AA$3=2,AND(E476=1,G476=1,L476=1,L478=1,M476=1,U476="IBU"),AND(E476=1,G476=1,L476=1,L478=1,M476=1)),T476,0),I476)</f>
        <v>0</v>
      </c>
      <c r="W476" s="26"/>
      <c r="X476" s="26"/>
      <c r="Y476" s="26"/>
      <c r="Z476" s="26"/>
      <c r="AA476" s="26"/>
      <c r="AB476" s="33"/>
    </row>
    <row r="477" spans="1:28" x14ac:dyDescent="0.3">
      <c r="A477" s="32">
        <f>VLOOKUP(YEAR(C477),Flags!$A$13:$B$95,2,FALSE)</f>
        <v>2</v>
      </c>
      <c r="B477" s="24">
        <f t="shared" si="739"/>
        <v>1973</v>
      </c>
      <c r="C477" s="25">
        <v>26907</v>
      </c>
      <c r="D477" s="26"/>
      <c r="E477" s="24"/>
      <c r="F477" s="26"/>
      <c r="G477" s="24"/>
      <c r="H477" s="24"/>
      <c r="I477" s="26"/>
      <c r="J477" s="24"/>
      <c r="K477" s="26"/>
      <c r="L477" s="24"/>
      <c r="M477" s="24"/>
      <c r="N477" s="26"/>
      <c r="O477" s="26"/>
      <c r="P477" s="26"/>
      <c r="Q477" s="26"/>
      <c r="R477" s="26"/>
      <c r="S477" s="26"/>
      <c r="T477" s="26"/>
      <c r="U477" s="26"/>
      <c r="V477" s="26"/>
      <c r="W477" s="26">
        <f>MAX($C$7-VLOOKUP($C477,COS!$B$8:$H$991,3,FALSE),0)</f>
        <v>3232.0947265625</v>
      </c>
      <c r="X477" s="26">
        <f t="shared" si="667"/>
        <v>198.73375839359505</v>
      </c>
      <c r="Y477" s="26">
        <f>VLOOKUP($C477,COS!$B$8:$H$991,4,FALSE)</f>
        <v>266.08578491210938</v>
      </c>
      <c r="Z477" s="26">
        <f t="shared" si="668"/>
        <v>16.360977187984247</v>
      </c>
      <c r="AA477" s="26">
        <f t="shared" ref="AA477:AA481" si="766">MIN(W477,Y477)</f>
        <v>266.08578491210938</v>
      </c>
      <c r="AB477" s="33">
        <f t="shared" ref="AB477" si="767">AA477*DAY($C477)*86400/43560/1000*IF(MONTH($C477)=8,$P$3,IF(MONTH($C477)=9,$P$4,IF(MONTH($C477)=10,$P$5,IF(MONTH($C477)=11,$P$6,IF(MONTH($C477)=12,$P$7,NA())))))</f>
        <v>16.360977187984247</v>
      </c>
    </row>
    <row r="478" spans="1:28" x14ac:dyDescent="0.3">
      <c r="A478" s="32">
        <f>VLOOKUP(YEAR(C478),Flags!$A$13:$B$95,2,FALSE)</f>
        <v>2</v>
      </c>
      <c r="B478" s="24">
        <f t="shared" si="739"/>
        <v>1973</v>
      </c>
      <c r="C478" s="25">
        <v>26937</v>
      </c>
      <c r="D478" s="26"/>
      <c r="E478" s="24"/>
      <c r="F478" s="26"/>
      <c r="G478" s="24"/>
      <c r="H478" s="24"/>
      <c r="I478" s="26"/>
      <c r="J478" s="24"/>
      <c r="K478" s="26">
        <f>VLOOKUP($C478,COS!$B$8:$H$991,2,FALSE)</f>
        <v>2805.609619140625</v>
      </c>
      <c r="L478" s="24">
        <f t="shared" ref="L478" si="768">IF(AND(K478&gt;$I$7,K478&lt;$I$8),1,0)</f>
        <v>1</v>
      </c>
      <c r="M478" s="24"/>
      <c r="N478" s="26"/>
      <c r="O478" s="26"/>
      <c r="P478" s="26"/>
      <c r="Q478" s="26"/>
      <c r="R478" s="26"/>
      <c r="S478" s="26"/>
      <c r="T478" s="26"/>
      <c r="U478" s="26"/>
      <c r="V478" s="26"/>
      <c r="W478" s="26">
        <f>MAX($C$8-VLOOKUP($C478,COS!$B$8:$H$991,3,FALSE),0)</f>
        <v>0</v>
      </c>
      <c r="X478" s="26">
        <f t="shared" si="667"/>
        <v>0</v>
      </c>
      <c r="Y478" s="26">
        <f>VLOOKUP($C478,COS!$B$8:$H$991,4,FALSE)</f>
        <v>632.89453125</v>
      </c>
      <c r="Z478" s="26">
        <f t="shared" si="668"/>
        <v>37.659839876033061</v>
      </c>
      <c r="AA478" s="26">
        <f t="shared" si="766"/>
        <v>0</v>
      </c>
      <c r="AB478" s="33">
        <f t="shared" si="752"/>
        <v>0</v>
      </c>
    </row>
    <row r="479" spans="1:28" x14ac:dyDescent="0.3">
      <c r="A479" s="32">
        <f>VLOOKUP(YEAR(C479),Flags!$A$13:$B$95,2,FALSE)</f>
        <v>2</v>
      </c>
      <c r="B479" s="24">
        <f t="shared" si="739"/>
        <v>1973</v>
      </c>
      <c r="C479" s="25">
        <v>26968</v>
      </c>
      <c r="D479" s="26"/>
      <c r="E479" s="24"/>
      <c r="F479" s="26"/>
      <c r="G479" s="26"/>
      <c r="H479" s="26"/>
      <c r="I479" s="26"/>
      <c r="J479" s="26"/>
      <c r="K479" s="26"/>
      <c r="L479" s="24"/>
      <c r="M479" s="24"/>
      <c r="N479" s="26"/>
      <c r="O479" s="26"/>
      <c r="P479" s="26"/>
      <c r="Q479" s="26"/>
      <c r="R479" s="26"/>
      <c r="S479" s="26"/>
      <c r="T479" s="26"/>
      <c r="U479" s="26"/>
      <c r="V479" s="26"/>
      <c r="W479" s="26">
        <f>MAX($C$9-VLOOKUP($C479,COS!$B$8:$H$991,3,FALSE),0)</f>
        <v>0</v>
      </c>
      <c r="X479" s="26">
        <f t="shared" ref="X479:X542" si="769">W479*DAY($C479)*86400/43560/1000</f>
        <v>0</v>
      </c>
      <c r="Y479" s="26">
        <f>VLOOKUP($C479,COS!$B$8:$H$991,4,FALSE)</f>
        <v>827.64825439453125</v>
      </c>
      <c r="Z479" s="26">
        <f t="shared" ref="Z479:Z542" si="770">Y479*DAY($C479)*86400/43560/1000</f>
        <v>50.890107542936462</v>
      </c>
      <c r="AA479" s="26">
        <f t="shared" si="766"/>
        <v>0</v>
      </c>
      <c r="AB479" s="33">
        <f t="shared" si="752"/>
        <v>0</v>
      </c>
    </row>
    <row r="480" spans="1:28" x14ac:dyDescent="0.3">
      <c r="A480" s="32">
        <f>VLOOKUP(YEAR(C480),Flags!$A$13:$B$95,2,FALSE)</f>
        <v>2</v>
      </c>
      <c r="B480" s="24">
        <f t="shared" si="739"/>
        <v>1973</v>
      </c>
      <c r="C480" s="25">
        <v>26998</v>
      </c>
      <c r="D480" s="26"/>
      <c r="E480" s="24"/>
      <c r="F480" s="26"/>
      <c r="G480" s="26"/>
      <c r="H480" s="26"/>
      <c r="I480" s="26"/>
      <c r="J480" s="26"/>
      <c r="K480" s="26"/>
      <c r="L480" s="24"/>
      <c r="M480" s="24"/>
      <c r="N480" s="26"/>
      <c r="O480" s="26"/>
      <c r="P480" s="26"/>
      <c r="Q480" s="26"/>
      <c r="R480" s="26"/>
      <c r="S480" s="26"/>
      <c r="T480" s="26"/>
      <c r="U480" s="26"/>
      <c r="V480" s="26"/>
      <c r="W480" s="26">
        <f>MAX($C$10-VLOOKUP($C480,COS!$B$8:$H$991,3,FALSE),0)</f>
        <v>0</v>
      </c>
      <c r="X480" s="26">
        <f t="shared" si="769"/>
        <v>0</v>
      </c>
      <c r="Y480" s="26">
        <f>VLOOKUP($C480,COS!$B$8:$H$991,4,FALSE)</f>
        <v>0</v>
      </c>
      <c r="Z480" s="26">
        <f t="shared" si="770"/>
        <v>0</v>
      </c>
      <c r="AA480" s="26">
        <f t="shared" si="766"/>
        <v>0</v>
      </c>
      <c r="AB480" s="33">
        <f t="shared" si="752"/>
        <v>0</v>
      </c>
    </row>
    <row r="481" spans="1:28" x14ac:dyDescent="0.3">
      <c r="A481" s="34">
        <f>VLOOKUP(YEAR(C481),Flags!$A$13:$B$95,2,FALSE)</f>
        <v>2</v>
      </c>
      <c r="B481" s="35">
        <f t="shared" si="739"/>
        <v>1973</v>
      </c>
      <c r="C481" s="36">
        <v>27029</v>
      </c>
      <c r="D481" s="37"/>
      <c r="E481" s="35"/>
      <c r="F481" s="37"/>
      <c r="G481" s="37"/>
      <c r="H481" s="37"/>
      <c r="I481" s="37"/>
      <c r="J481" s="37"/>
      <c r="K481" s="37"/>
      <c r="L481" s="35"/>
      <c r="M481" s="35"/>
      <c r="N481" s="37"/>
      <c r="O481" s="37"/>
      <c r="P481" s="37"/>
      <c r="Q481" s="37"/>
      <c r="R481" s="37"/>
      <c r="S481" s="37"/>
      <c r="T481" s="37"/>
      <c r="U481" s="37"/>
      <c r="V481" s="37"/>
      <c r="W481" s="37">
        <f>MAX($C$11-VLOOKUP($C481,COS!$B$8:$H$991,3,FALSE),0)</f>
        <v>0</v>
      </c>
      <c r="X481" s="37">
        <f t="shared" si="769"/>
        <v>0</v>
      </c>
      <c r="Y481" s="37">
        <f>VLOOKUP($C481,COS!$B$8:$H$991,4,FALSE)</f>
        <v>0</v>
      </c>
      <c r="Z481" s="37">
        <f t="shared" si="770"/>
        <v>0</v>
      </c>
      <c r="AA481" s="37">
        <f t="shared" si="766"/>
        <v>0</v>
      </c>
      <c r="AB481" s="38">
        <f t="shared" si="752"/>
        <v>0</v>
      </c>
    </row>
    <row r="482" spans="1:28" x14ac:dyDescent="0.3">
      <c r="A482" s="27">
        <f>VLOOKUP(YEAR(C482),Flags!$A$13:$B$95,2,FALSE)</f>
        <v>1</v>
      </c>
      <c r="B482" s="28">
        <f t="shared" si="739"/>
        <v>1974</v>
      </c>
      <c r="C482" s="29">
        <v>27149</v>
      </c>
      <c r="D482" s="30">
        <f>VLOOKUP($C482,COS!$B$8:$H$991,3,FALSE)</f>
        <v>5857.21484375</v>
      </c>
      <c r="E482" s="28">
        <f>IF(D482&gt;=IF(MONTH($C482)=4,$C$3,IF(MONTH($C482)=5,$C$4,IF(MONTH($C482)=6,$C$5,IF(MONTH($C482)=7,$C$6,"ERROR")))),1,0)</f>
        <v>0</v>
      </c>
      <c r="F482" s="30">
        <f>VLOOKUP($C482,COS!$B$8:$H$991,7,FALSE)</f>
        <v>48.415458679199219</v>
      </c>
      <c r="G482" s="28">
        <f>IF(F482&lt;=IF(MONTH($C482)=4,$F$3,IF(MONTH($C482)=5,$F$4,IF(MONTH($C482)=6,$F$5,IF(MONTH($C482)=7,$F$6,"ERROR")))),1,0)</f>
        <v>1</v>
      </c>
      <c r="H482" s="30">
        <f>IF(J482=1,D482-$C$3,0)</f>
        <v>0</v>
      </c>
      <c r="I482" s="30">
        <f t="shared" si="764"/>
        <v>0</v>
      </c>
      <c r="J482" s="28">
        <f t="shared" ref="J482:J485" si="771">IF(AND(E482=1,G482=1),1,0)</f>
        <v>0</v>
      </c>
      <c r="K482" s="30">
        <f>VLOOKUP($C482,COS!$B$8:$H$991,2,FALSE)</f>
        <v>4289</v>
      </c>
      <c r="L482" s="28">
        <f t="shared" ref="L482" si="772">IF(K482&lt;=IF(MONTH($C482)=4,$I$3,IF(MONTH($C482)=5,$I$4,IF(MONTH($C482)=6,$I$5,IF(MONTH($C482)=7,$I$6,"ERROR")))),1,0)</f>
        <v>1</v>
      </c>
      <c r="M482" s="28">
        <f t="shared" ref="M482" si="773">VLOOKUP($A482,$L$3:$M$7,2,FALSE)</f>
        <v>0</v>
      </c>
      <c r="N482" s="30">
        <f>VLOOKUP($C482,COS!$B$8:$H$991,5,FALSE)</f>
        <v>44.716442108154297</v>
      </c>
      <c r="O482" s="30">
        <f t="shared" ref="O482:O485" si="774">N482*DAY($C482)*86400/43560/1000</f>
        <v>2.6608130841215778</v>
      </c>
      <c r="P482" s="30">
        <f>VLOOKUP($C482,COS!$B$8:$H$991,6,FALSE)</f>
        <v>403.17050170898438</v>
      </c>
      <c r="Q482" s="30">
        <f t="shared" ref="Q482:Q485" si="775">P482*DAY($C482)*86400/43560/1000</f>
        <v>23.990310845493283</v>
      </c>
      <c r="R482" s="30">
        <f>MIN(IF(MONTH($C482)=4,$S$3,IF(MONTH($C482)=5,$S$4,IF(MONTH($C482)=6,$S$5,IF(MONTH($C482)=7,$S$6,"ERROR")))),MAX(VLOOKUP($C482,COS!$B$8:$K$991,10,FALSE)-IF(MONTH($C482)=4,$Y$3,IF(MONTH($C482)=5,$Y$4,IF(MONTH($C482)=6,$Y$5,IF(MONTH($C482)=7,$Y$6,"ERROR")))),0),MAX(VLOOKUP($C482,COS!$B$8:$K$991,9,FALSE)-IF(MONTH($C482)=4,$V$3,IF(MONTH($C482)=5,$V$4,IF(MONTH($C482)=6,$V$5,IF(MONTH($C482)=7,$V$6,"ERROR"))))-VLOOKUP($C482,COS!$B$8:$K$991,6,FALSE)/2,0))</f>
        <v>1500</v>
      </c>
      <c r="S482" s="30">
        <f t="shared" ref="S482:S485" si="776">R482*DAY($C482)*86400/43560/1000</f>
        <v>89.256198347107429</v>
      </c>
      <c r="T482" s="30">
        <f t="shared" ref="T482:T485" si="777">(O482+Q482)/2+S482</f>
        <v>102.58176031191486</v>
      </c>
      <c r="U482" s="30" t="str">
        <f>IF(VLOOKUP($C482,COS!$B$8:$I$991,8,FALSE)=1,"UWFE","IBU")</f>
        <v>UWFE</v>
      </c>
      <c r="V482" s="30">
        <f t="shared" ref="V482" si="778">MIN(IF(IF($AA$3=2,AND(E482=1,G482=1,L482=1,L487=1,M482=1,U482="IBU"),AND(E482=1,G482=1,L482=1,L487=1,M482=1)),T482,0),I482)</f>
        <v>0</v>
      </c>
      <c r="W482" s="30"/>
      <c r="X482" s="30"/>
      <c r="Y482" s="30"/>
      <c r="Z482" s="30"/>
      <c r="AA482" s="30"/>
      <c r="AB482" s="31"/>
    </row>
    <row r="483" spans="1:28" x14ac:dyDescent="0.3">
      <c r="A483" s="32">
        <f>VLOOKUP(YEAR(C483),Flags!$A$13:$B$95,2,FALSE)</f>
        <v>1</v>
      </c>
      <c r="B483" s="24">
        <f t="shared" si="739"/>
        <v>1974</v>
      </c>
      <c r="C483" s="25">
        <v>27180</v>
      </c>
      <c r="D483" s="26">
        <f>VLOOKUP($C483,COS!$B$8:$H$991,3,FALSE)</f>
        <v>5594.63427734375</v>
      </c>
      <c r="E483" s="24">
        <f>IF(D483&gt;=IF(MONTH($C483)=4,$C$3,IF(MONTH($C483)=5,$C$4,IF(MONTH($C483)=6,$C$5,IF(MONTH($C483)=7,$C$6,"ERROR")))),1,0)</f>
        <v>0</v>
      </c>
      <c r="F483" s="26">
        <f>VLOOKUP($C483,COS!$B$8:$H$991,7,FALSE)</f>
        <v>50.93426513671875</v>
      </c>
      <c r="G483" s="24">
        <f>IF(F483&lt;=IF(MONTH($C483)=4,$F$3,IF(MONTH($C483)=5,$F$4,IF(MONTH($C483)=6,$F$5,IF(MONTH($C483)=7,$F$6,"ERROR")))),1,0)</f>
        <v>1</v>
      </c>
      <c r="H483" s="26">
        <f>IF(J483=1,D483-$C$4,0)</f>
        <v>0</v>
      </c>
      <c r="I483" s="26">
        <f t="shared" si="764"/>
        <v>0</v>
      </c>
      <c r="J483" s="24">
        <f t="shared" si="771"/>
        <v>0</v>
      </c>
      <c r="K483" s="26">
        <f>VLOOKUP($C483,COS!$B$8:$H$991,2,FALSE)</f>
        <v>4515.02880859375</v>
      </c>
      <c r="L483" s="24">
        <f t="shared" si="741"/>
        <v>1</v>
      </c>
      <c r="M483" s="24">
        <f t="shared" si="742"/>
        <v>0</v>
      </c>
      <c r="N483" s="26">
        <f>VLOOKUP($C483,COS!$B$8:$H$991,5,FALSE)</f>
        <v>762.792724609375</v>
      </c>
      <c r="O483" s="26">
        <f t="shared" si="774"/>
        <v>46.902296455320247</v>
      </c>
      <c r="P483" s="26">
        <f>VLOOKUP($C483,COS!$B$8:$H$991,6,FALSE)</f>
        <v>2255.40283203125</v>
      </c>
      <c r="Q483" s="26">
        <f t="shared" si="775"/>
        <v>138.67931463068183</v>
      </c>
      <c r="R483" s="26">
        <f>MIN(IF(MONTH($C483)=4,$S$3,IF(MONTH($C483)=5,$S$4,IF(MONTH($C483)=6,$S$5,IF(MONTH($C483)=7,$S$6,"ERROR")))),MAX(VLOOKUP($C483,COS!$B$8:$K$991,10,FALSE)-IF(MONTH($C483)=4,$Y$3,IF(MONTH($C483)=5,$Y$4,IF(MONTH($C483)=6,$Y$5,IF(MONTH($C483)=7,$Y$6,"ERROR")))),0),MAX(VLOOKUP($C483,COS!$B$8:$K$991,9,FALSE)-IF(MONTH($C483)=4,$V$3,IF(MONTH($C483)=5,$V$4,IF(MONTH($C483)=6,$V$5,IF(MONTH($C483)=7,$V$6,"ERROR"))))-VLOOKUP($C483,COS!$B$8:$K$991,6,FALSE)/2,0))</f>
        <v>1500</v>
      </c>
      <c r="S483" s="26">
        <f t="shared" si="776"/>
        <v>92.231404958677686</v>
      </c>
      <c r="T483" s="26">
        <f t="shared" si="777"/>
        <v>185.02221050167873</v>
      </c>
      <c r="U483" s="26" t="str">
        <f>IF(VLOOKUP($C483,COS!$B$8:$I$991,8,FALSE)=1,"UWFE","IBU")</f>
        <v>UWFE</v>
      </c>
      <c r="V483" s="26">
        <f t="shared" ref="V483" si="779">MIN(IF(IF($AA$3=2,AND(E483=1,G483=1,L483=1,L487=1,M483=1,U483="IBU"),AND(E483=1,G483=1,L483=1,L487=1,M483=1)),T483,0),I483)</f>
        <v>0</v>
      </c>
      <c r="W483" s="26"/>
      <c r="X483" s="26"/>
      <c r="Y483" s="26"/>
      <c r="Z483" s="26"/>
      <c r="AA483" s="26"/>
      <c r="AB483" s="33"/>
    </row>
    <row r="484" spans="1:28" x14ac:dyDescent="0.3">
      <c r="A484" s="32">
        <f>VLOOKUP(YEAR(C484),Flags!$A$13:$B$95,2,FALSE)</f>
        <v>1</v>
      </c>
      <c r="B484" s="24">
        <f t="shared" si="739"/>
        <v>1974</v>
      </c>
      <c r="C484" s="25">
        <v>27210</v>
      </c>
      <c r="D484" s="26">
        <f>VLOOKUP($C484,COS!$B$8:$H$991,3,FALSE)</f>
        <v>8124.50732421875</v>
      </c>
      <c r="E484" s="24">
        <f>IF(D484&gt;=IF(MONTH($C484)=4,$C$3,IF(MONTH($C484)=5,$C$4,IF(MONTH($C484)=6,$C$5,IF(MONTH($C484)=7,$C$6,"ERROR")))),1,0)</f>
        <v>0</v>
      </c>
      <c r="F484" s="26">
        <f>VLOOKUP($C484,COS!$B$8:$H$991,7,FALSE)</f>
        <v>51.255088806152344</v>
      </c>
      <c r="G484" s="24">
        <f>IF(F484&lt;=IF(MONTH($C484)=4,$F$3,IF(MONTH($C484)=5,$F$4,IF(MONTH($C484)=6,$F$5,IF(MONTH($C484)=7,$F$6,"ERROR")))),1,0)</f>
        <v>1</v>
      </c>
      <c r="H484" s="26">
        <f>IF(J484=1,D484-$C$5,0)</f>
        <v>0</v>
      </c>
      <c r="I484" s="26">
        <f t="shared" si="764"/>
        <v>0</v>
      </c>
      <c r="J484" s="24">
        <f t="shared" si="771"/>
        <v>0</v>
      </c>
      <c r="K484" s="26">
        <f>VLOOKUP($C484,COS!$B$8:$H$991,2,FALSE)</f>
        <v>4359.88232421875</v>
      </c>
      <c r="L484" s="24">
        <f t="shared" si="741"/>
        <v>1</v>
      </c>
      <c r="M484" s="24">
        <f t="shared" si="742"/>
        <v>0</v>
      </c>
      <c r="N484" s="26">
        <f>VLOOKUP($C484,COS!$B$8:$H$991,5,FALSE)</f>
        <v>1221.2120361328125</v>
      </c>
      <c r="O484" s="26">
        <f t="shared" si="774"/>
        <v>72.667162480630168</v>
      </c>
      <c r="P484" s="26">
        <f>VLOOKUP($C484,COS!$B$8:$H$991,6,FALSE)</f>
        <v>2328.534912109375</v>
      </c>
      <c r="Q484" s="26">
        <f t="shared" si="775"/>
        <v>138.55744931559917</v>
      </c>
      <c r="R484" s="26">
        <f>MIN(IF(MONTH($C484)=4,$S$3,IF(MONTH($C484)=5,$S$4,IF(MONTH($C484)=6,$S$5,IF(MONTH($C484)=7,$S$6,"ERROR")))),MAX(VLOOKUP($C484,COS!$B$8:$K$991,10,FALSE)-IF(MONTH($C484)=4,$Y$3,IF(MONTH($C484)=5,$Y$4,IF(MONTH($C484)=6,$Y$5,IF(MONTH($C484)=7,$Y$6,"ERROR")))),0),MAX(VLOOKUP($C484,COS!$B$8:$K$991,9,FALSE)-IF(MONTH($C484)=4,$V$3,IF(MONTH($C484)=5,$V$4,IF(MONTH($C484)=6,$V$5,IF(MONTH($C484)=7,$V$6,"ERROR"))))-VLOOKUP($C484,COS!$B$8:$K$991,6,FALSE)/2,0))</f>
        <v>1500</v>
      </c>
      <c r="S484" s="26">
        <f t="shared" si="776"/>
        <v>89.256198347107429</v>
      </c>
      <c r="T484" s="26">
        <f t="shared" si="777"/>
        <v>194.86850424522208</v>
      </c>
      <c r="U484" s="26" t="str">
        <f>IF(VLOOKUP($C484,COS!$B$8:$I$991,8,FALSE)=1,"UWFE","IBU")</f>
        <v>UWFE</v>
      </c>
      <c r="V484" s="26">
        <f t="shared" ref="V484" si="780">MIN(IF(IF($AA$3=2,AND(E484=1,G484=1,L484=1,L487=1,M484=1,U484="IBU"),AND(E484=1,G484=1,L484=1,L487=1,M484=1)),T484,0),I484)</f>
        <v>0</v>
      </c>
      <c r="W484" s="26"/>
      <c r="X484" s="26"/>
      <c r="Y484" s="26"/>
      <c r="Z484" s="26"/>
      <c r="AA484" s="26"/>
      <c r="AB484" s="33"/>
    </row>
    <row r="485" spans="1:28" x14ac:dyDescent="0.3">
      <c r="A485" s="32">
        <f>VLOOKUP(YEAR(C485),Flags!$A$13:$B$95,2,FALSE)</f>
        <v>1</v>
      </c>
      <c r="B485" s="24">
        <f t="shared" si="739"/>
        <v>1974</v>
      </c>
      <c r="C485" s="25">
        <v>27241</v>
      </c>
      <c r="D485" s="26">
        <f>VLOOKUP($C485,COS!$B$8:$H$991,3,FALSE)</f>
        <v>12602.3798828125</v>
      </c>
      <c r="E485" s="24">
        <f>IF(D485&gt;=IF(MONTH($C485)=4,$C$3,IF(MONTH($C485)=5,$C$4,IF(MONTH($C485)=6,$C$5,IF(MONTH($C485)=7,$C$6,"ERROR")))),1,0)</f>
        <v>1</v>
      </c>
      <c r="F485" s="26">
        <f>VLOOKUP($C485,COS!$B$8:$H$991,7,FALSE)</f>
        <v>51.680782318115234</v>
      </c>
      <c r="G485" s="24">
        <f>IF(F485&lt;=IF(MONTH($C485)=4,$F$3,IF(MONTH($C485)=5,$F$4,IF(MONTH($C485)=6,$F$5,IF(MONTH($C485)=7,$F$6,"ERROR")))),1,0)</f>
        <v>1</v>
      </c>
      <c r="H485" s="26">
        <f>IF(J485=1,D485-$C$6,0)</f>
        <v>602.3798828125</v>
      </c>
      <c r="I485" s="26">
        <f t="shared" si="764"/>
        <v>37.038895273760332</v>
      </c>
      <c r="J485" s="24">
        <f t="shared" si="771"/>
        <v>1</v>
      </c>
      <c r="K485" s="26">
        <f>VLOOKUP($C485,COS!$B$8:$H$991,2,FALSE)</f>
        <v>3927.6494140625</v>
      </c>
      <c r="L485" s="24">
        <f t="shared" si="741"/>
        <v>1</v>
      </c>
      <c r="M485" s="24">
        <f t="shared" si="742"/>
        <v>0</v>
      </c>
      <c r="N485" s="26">
        <f>VLOOKUP($C485,COS!$B$8:$H$991,5,FALSE)</f>
        <v>1157.809326171875</v>
      </c>
      <c r="O485" s="26">
        <f t="shared" si="774"/>
        <v>71.190920551394626</v>
      </c>
      <c r="P485" s="26">
        <f>VLOOKUP($C485,COS!$B$8:$H$991,6,FALSE)</f>
        <v>2265.91064453125</v>
      </c>
      <c r="Q485" s="26">
        <f t="shared" si="775"/>
        <v>139.32541483729338</v>
      </c>
      <c r="R485" s="26">
        <f>MIN(IF(MONTH($C485)=4,$S$3,IF(MONTH($C485)=5,$S$4,IF(MONTH($C485)=6,$S$5,IF(MONTH($C485)=7,$S$6,"ERROR")))),MAX(VLOOKUP($C485,COS!$B$8:$K$991,10,FALSE)-IF(MONTH($C485)=4,$Y$3,IF(MONTH($C485)=5,$Y$4,IF(MONTH($C485)=6,$Y$5,IF(MONTH($C485)=7,$Y$6,"ERROR")))),0),MAX(VLOOKUP($C485,COS!$B$8:$K$991,9,FALSE)-IF(MONTH($C485)=4,$V$3,IF(MONTH($C485)=5,$V$4,IF(MONTH($C485)=6,$V$5,IF(MONTH($C485)=7,$V$6,"ERROR"))))-VLOOKUP($C485,COS!$B$8:$K$991,6,FALSE)/2,0))</f>
        <v>1500</v>
      </c>
      <c r="S485" s="26">
        <f t="shared" si="776"/>
        <v>92.231404958677686</v>
      </c>
      <c r="T485" s="26">
        <f t="shared" si="777"/>
        <v>197.4895726530217</v>
      </c>
      <c r="U485" s="26" t="str">
        <f>IF(VLOOKUP($C485,COS!$B$8:$I$991,8,FALSE)=1,"UWFE","IBU")</f>
        <v>IBU</v>
      </c>
      <c r="V485" s="26">
        <f t="shared" ref="V485" si="781">MIN(IF(IF($AA$3=2,AND(E485=1,G485=1,L485=1,L487=1,M485=1,U485="IBU"),AND(E485=1,G485=1,L485=1,L487=1,M485=1)),T485,0),I485)</f>
        <v>0</v>
      </c>
      <c r="W485" s="26"/>
      <c r="X485" s="26"/>
      <c r="Y485" s="26"/>
      <c r="Z485" s="26"/>
      <c r="AA485" s="26"/>
      <c r="AB485" s="33"/>
    </row>
    <row r="486" spans="1:28" x14ac:dyDescent="0.3">
      <c r="A486" s="32">
        <f>VLOOKUP(YEAR(C486),Flags!$A$13:$B$95,2,FALSE)</f>
        <v>1</v>
      </c>
      <c r="B486" s="24">
        <f t="shared" si="739"/>
        <v>1974</v>
      </c>
      <c r="C486" s="25">
        <v>27272</v>
      </c>
      <c r="D486" s="26"/>
      <c r="E486" s="24"/>
      <c r="F486" s="26"/>
      <c r="G486" s="24"/>
      <c r="H486" s="24"/>
      <c r="I486" s="26"/>
      <c r="J486" s="24"/>
      <c r="K486" s="26"/>
      <c r="L486" s="24"/>
      <c r="M486" s="24"/>
      <c r="N486" s="26"/>
      <c r="O486" s="26"/>
      <c r="P486" s="26"/>
      <c r="Q486" s="26"/>
      <c r="R486" s="26"/>
      <c r="S486" s="26"/>
      <c r="T486" s="26"/>
      <c r="U486" s="26"/>
      <c r="V486" s="26"/>
      <c r="W486" s="26">
        <f>MAX($C$7-VLOOKUP($C486,COS!$B$8:$H$991,3,FALSE),0)</f>
        <v>2404.6591796875</v>
      </c>
      <c r="X486" s="26">
        <f t="shared" si="769"/>
        <v>147.85672972623965</v>
      </c>
      <c r="Y486" s="26">
        <f>VLOOKUP($C486,COS!$B$8:$H$991,4,FALSE)</f>
        <v>0</v>
      </c>
      <c r="Z486" s="26">
        <f t="shared" si="770"/>
        <v>0</v>
      </c>
      <c r="AA486" s="26">
        <f t="shared" ref="AA486:AA490" si="782">MIN(W486,Y486)</f>
        <v>0</v>
      </c>
      <c r="AB486" s="33">
        <f t="shared" ref="AB486" si="783">AA486*DAY($C486)*86400/43560/1000*IF(MONTH($C486)=8,$P$3,IF(MONTH($C486)=9,$P$4,IF(MONTH($C486)=10,$P$5,IF(MONTH($C486)=11,$P$6,IF(MONTH($C486)=12,$P$7,NA())))))</f>
        <v>0</v>
      </c>
    </row>
    <row r="487" spans="1:28" x14ac:dyDescent="0.3">
      <c r="A487" s="32">
        <f>VLOOKUP(YEAR(C487),Flags!$A$13:$B$95,2,FALSE)</f>
        <v>1</v>
      </c>
      <c r="B487" s="24">
        <f t="shared" si="739"/>
        <v>1974</v>
      </c>
      <c r="C487" s="25">
        <v>27302</v>
      </c>
      <c r="D487" s="26"/>
      <c r="E487" s="24"/>
      <c r="F487" s="26"/>
      <c r="G487" s="24"/>
      <c r="H487" s="24"/>
      <c r="I487" s="26"/>
      <c r="J487" s="24"/>
      <c r="K487" s="26">
        <f>VLOOKUP($C487,COS!$B$8:$H$991,2,FALSE)</f>
        <v>3201.753173828125</v>
      </c>
      <c r="L487" s="24">
        <f t="shared" ref="L487" si="784">IF(AND(K487&gt;$I$7,K487&lt;$I$8),1,0)</f>
        <v>1</v>
      </c>
      <c r="M487" s="24"/>
      <c r="N487" s="26"/>
      <c r="O487" s="26"/>
      <c r="P487" s="26"/>
      <c r="Q487" s="26"/>
      <c r="R487" s="26"/>
      <c r="S487" s="26"/>
      <c r="T487" s="26"/>
      <c r="U487" s="26"/>
      <c r="V487" s="26"/>
      <c r="W487" s="26">
        <f>MAX($C$8-VLOOKUP($C487,COS!$B$8:$H$991,3,FALSE),0)</f>
        <v>0</v>
      </c>
      <c r="X487" s="26">
        <f t="shared" si="769"/>
        <v>0</v>
      </c>
      <c r="Y487" s="26">
        <f>VLOOKUP($C487,COS!$B$8:$H$991,4,FALSE)</f>
        <v>0</v>
      </c>
      <c r="Z487" s="26">
        <f t="shared" si="770"/>
        <v>0</v>
      </c>
      <c r="AA487" s="26">
        <f t="shared" si="782"/>
        <v>0</v>
      </c>
      <c r="AB487" s="33">
        <f t="shared" si="752"/>
        <v>0</v>
      </c>
    </row>
    <row r="488" spans="1:28" x14ac:dyDescent="0.3">
      <c r="A488" s="32">
        <f>VLOOKUP(YEAR(C488),Flags!$A$13:$B$95,2,FALSE)</f>
        <v>1</v>
      </c>
      <c r="B488" s="24">
        <f t="shared" si="739"/>
        <v>1974</v>
      </c>
      <c r="C488" s="25">
        <v>27333</v>
      </c>
      <c r="D488" s="26"/>
      <c r="E488" s="24"/>
      <c r="F488" s="26"/>
      <c r="G488" s="26"/>
      <c r="H488" s="26"/>
      <c r="I488" s="26"/>
      <c r="J488" s="26"/>
      <c r="K488" s="26"/>
      <c r="L488" s="24"/>
      <c r="M488" s="24"/>
      <c r="N488" s="26"/>
      <c r="O488" s="26"/>
      <c r="P488" s="26"/>
      <c r="Q488" s="26"/>
      <c r="R488" s="26"/>
      <c r="S488" s="26"/>
      <c r="T488" s="26"/>
      <c r="U488" s="26"/>
      <c r="V488" s="26"/>
      <c r="W488" s="26">
        <f>MAX($C$9-VLOOKUP($C488,COS!$B$8:$H$991,3,FALSE),0)</f>
        <v>0</v>
      </c>
      <c r="X488" s="26">
        <f t="shared" si="769"/>
        <v>0</v>
      </c>
      <c r="Y488" s="26">
        <f>VLOOKUP($C488,COS!$B$8:$H$991,4,FALSE)</f>
        <v>1233.3179931640625</v>
      </c>
      <c r="Z488" s="26">
        <f t="shared" si="770"/>
        <v>75.833767513558882</v>
      </c>
      <c r="AA488" s="26">
        <f t="shared" si="782"/>
        <v>0</v>
      </c>
      <c r="AB488" s="33">
        <f t="shared" si="752"/>
        <v>0</v>
      </c>
    </row>
    <row r="489" spans="1:28" x14ac:dyDescent="0.3">
      <c r="A489" s="32">
        <f>VLOOKUP(YEAR(C489),Flags!$A$13:$B$95,2,FALSE)</f>
        <v>1</v>
      </c>
      <c r="B489" s="24">
        <f t="shared" si="739"/>
        <v>1974</v>
      </c>
      <c r="C489" s="25">
        <v>27363</v>
      </c>
      <c r="D489" s="26"/>
      <c r="E489" s="24"/>
      <c r="F489" s="26"/>
      <c r="G489" s="26"/>
      <c r="H489" s="26"/>
      <c r="I489" s="26"/>
      <c r="J489" s="26"/>
      <c r="K489" s="26"/>
      <c r="L489" s="24"/>
      <c r="M489" s="24"/>
      <c r="N489" s="26"/>
      <c r="O489" s="26"/>
      <c r="P489" s="26"/>
      <c r="Q489" s="26"/>
      <c r="R489" s="26"/>
      <c r="S489" s="26"/>
      <c r="T489" s="26"/>
      <c r="U489" s="26"/>
      <c r="V489" s="26"/>
      <c r="W489" s="26">
        <f>MAX($C$10-VLOOKUP($C489,COS!$B$8:$H$991,3,FALSE),0)</f>
        <v>0</v>
      </c>
      <c r="X489" s="26">
        <f t="shared" si="769"/>
        <v>0</v>
      </c>
      <c r="Y489" s="26">
        <f>VLOOKUP($C489,COS!$B$8:$H$991,4,FALSE)</f>
        <v>1391.8277587890625</v>
      </c>
      <c r="Z489" s="26">
        <f t="shared" si="770"/>
        <v>82.819503002324367</v>
      </c>
      <c r="AA489" s="26">
        <f t="shared" si="782"/>
        <v>0</v>
      </c>
      <c r="AB489" s="33">
        <f t="shared" si="752"/>
        <v>0</v>
      </c>
    </row>
    <row r="490" spans="1:28" x14ac:dyDescent="0.3">
      <c r="A490" s="34">
        <f>VLOOKUP(YEAR(C490),Flags!$A$13:$B$95,2,FALSE)</f>
        <v>1</v>
      </c>
      <c r="B490" s="35">
        <f t="shared" si="739"/>
        <v>1974</v>
      </c>
      <c r="C490" s="36">
        <v>27394</v>
      </c>
      <c r="D490" s="37"/>
      <c r="E490" s="35"/>
      <c r="F490" s="37"/>
      <c r="G490" s="37"/>
      <c r="H490" s="37"/>
      <c r="I490" s="37"/>
      <c r="J490" s="37"/>
      <c r="K490" s="37"/>
      <c r="L490" s="35"/>
      <c r="M490" s="35"/>
      <c r="N490" s="37"/>
      <c r="O490" s="37"/>
      <c r="P490" s="37"/>
      <c r="Q490" s="37"/>
      <c r="R490" s="37"/>
      <c r="S490" s="37"/>
      <c r="T490" s="37"/>
      <c r="U490" s="37"/>
      <c r="V490" s="37"/>
      <c r="W490" s="37">
        <f>MAX($C$11-VLOOKUP($C490,COS!$B$8:$H$991,3,FALSE),0)</f>
        <v>1750</v>
      </c>
      <c r="X490" s="37">
        <f t="shared" si="769"/>
        <v>107.60330578512398</v>
      </c>
      <c r="Y490" s="37">
        <f>VLOOKUP($C490,COS!$B$8:$H$991,4,FALSE)</f>
        <v>0</v>
      </c>
      <c r="Z490" s="37">
        <f t="shared" si="770"/>
        <v>0</v>
      </c>
      <c r="AA490" s="37">
        <f t="shared" si="782"/>
        <v>0</v>
      </c>
      <c r="AB490" s="38">
        <f t="shared" si="752"/>
        <v>0</v>
      </c>
    </row>
    <row r="491" spans="1:28" x14ac:dyDescent="0.3">
      <c r="A491" s="27">
        <f>VLOOKUP(YEAR(C491),Flags!$A$13:$B$95,2,FALSE)</f>
        <v>1</v>
      </c>
      <c r="B491" s="28">
        <f t="shared" si="739"/>
        <v>1975</v>
      </c>
      <c r="C491" s="29">
        <v>27514</v>
      </c>
      <c r="D491" s="30">
        <f>VLOOKUP($C491,COS!$B$8:$H$991,3,FALSE)</f>
        <v>3250</v>
      </c>
      <c r="E491" s="28">
        <f>IF(D491&gt;=IF(MONTH($C491)=4,$C$3,IF(MONTH($C491)=5,$C$4,IF(MONTH($C491)=6,$C$5,IF(MONTH($C491)=7,$C$6,"ERROR")))),1,0)</f>
        <v>0</v>
      </c>
      <c r="F491" s="30">
        <f>VLOOKUP($C491,COS!$B$8:$H$991,7,FALSE)</f>
        <v>50.470378875732422</v>
      </c>
      <c r="G491" s="28">
        <f>IF(F491&lt;=IF(MONTH($C491)=4,$F$3,IF(MONTH($C491)=5,$F$4,IF(MONTH($C491)=6,$F$5,IF(MONTH($C491)=7,$F$6,"ERROR")))),1,0)</f>
        <v>1</v>
      </c>
      <c r="H491" s="30">
        <f>IF(J491=1,D491-$C$3,0)</f>
        <v>0</v>
      </c>
      <c r="I491" s="30">
        <f t="shared" si="764"/>
        <v>0</v>
      </c>
      <c r="J491" s="28">
        <f t="shared" ref="J491:J494" si="785">IF(AND(E491=1,G491=1),1,0)</f>
        <v>0</v>
      </c>
      <c r="K491" s="30">
        <f>VLOOKUP($C491,COS!$B$8:$H$991,2,FALSE)</f>
        <v>4449.69873046875</v>
      </c>
      <c r="L491" s="28">
        <f t="shared" ref="L491" si="786">IF(K491&lt;=IF(MONTH($C491)=4,$I$3,IF(MONTH($C491)=5,$I$4,IF(MONTH($C491)=6,$I$5,IF(MONTH($C491)=7,$I$6,"ERROR")))),1,0)</f>
        <v>1</v>
      </c>
      <c r="M491" s="28">
        <f t="shared" ref="M491" si="787">VLOOKUP($A491,$L$3:$M$7,2,FALSE)</f>
        <v>0</v>
      </c>
      <c r="N491" s="30">
        <f>VLOOKUP($C491,COS!$B$8:$H$991,5,FALSE)</f>
        <v>348.71612548828125</v>
      </c>
      <c r="O491" s="30">
        <f t="shared" ref="O491:O494" si="788">N491*DAY($C491)*86400/43560/1000</f>
        <v>20.750050442277892</v>
      </c>
      <c r="P491" s="30">
        <f>VLOOKUP($C491,COS!$B$8:$H$991,6,FALSE)</f>
        <v>422.25656127929688</v>
      </c>
      <c r="Q491" s="30">
        <f t="shared" ref="Q491:Q494" si="789">P491*DAY($C491)*86400/43560/1000</f>
        <v>25.12601025794163</v>
      </c>
      <c r="R491" s="30">
        <f>MIN(IF(MONTH($C491)=4,$S$3,IF(MONTH($C491)=5,$S$4,IF(MONTH($C491)=6,$S$5,IF(MONTH($C491)=7,$S$6,"ERROR")))),MAX(VLOOKUP($C491,COS!$B$8:$K$991,10,FALSE)-IF(MONTH($C491)=4,$Y$3,IF(MONTH($C491)=5,$Y$4,IF(MONTH($C491)=6,$Y$5,IF(MONTH($C491)=7,$Y$6,"ERROR")))),0),MAX(VLOOKUP($C491,COS!$B$8:$K$991,9,FALSE)-IF(MONTH($C491)=4,$V$3,IF(MONTH($C491)=5,$V$4,IF(MONTH($C491)=6,$V$5,IF(MONTH($C491)=7,$V$6,"ERROR"))))-VLOOKUP($C491,COS!$B$8:$K$991,6,FALSE)/2,0))</f>
        <v>1500</v>
      </c>
      <c r="S491" s="30">
        <f t="shared" ref="S491:S494" si="790">R491*DAY($C491)*86400/43560/1000</f>
        <v>89.256198347107429</v>
      </c>
      <c r="T491" s="30">
        <f t="shared" ref="T491:T494" si="791">(O491+Q491)/2+S491</f>
        <v>112.1942286972172</v>
      </c>
      <c r="U491" s="30" t="str">
        <f>IF(VLOOKUP($C491,COS!$B$8:$I$991,8,FALSE)=1,"UWFE","IBU")</f>
        <v>UWFE</v>
      </c>
      <c r="V491" s="30">
        <f t="shared" ref="V491" si="792">MIN(IF(IF($AA$3=2,AND(E491=1,G491=1,L491=1,L496=1,M491=1,U491="IBU"),AND(E491=1,G491=1,L491=1,L496=1,M491=1)),T491,0),I491)</f>
        <v>0</v>
      </c>
      <c r="W491" s="30"/>
      <c r="X491" s="30"/>
      <c r="Y491" s="30"/>
      <c r="Z491" s="30"/>
      <c r="AA491" s="30"/>
      <c r="AB491" s="31"/>
    </row>
    <row r="492" spans="1:28" x14ac:dyDescent="0.3">
      <c r="A492" s="32">
        <f>VLOOKUP(YEAR(C492),Flags!$A$13:$B$95,2,FALSE)</f>
        <v>1</v>
      </c>
      <c r="B492" s="24">
        <f t="shared" si="739"/>
        <v>1975</v>
      </c>
      <c r="C492" s="25">
        <v>27545</v>
      </c>
      <c r="D492" s="26">
        <f>VLOOKUP($C492,COS!$B$8:$H$991,3,FALSE)</f>
        <v>9954.1455078125</v>
      </c>
      <c r="E492" s="24">
        <f>IF(D492&gt;=IF(MONTH($C492)=4,$C$3,IF(MONTH($C492)=5,$C$4,IF(MONTH($C492)=6,$C$5,IF(MONTH($C492)=7,$C$6,"ERROR")))),1,0)</f>
        <v>1</v>
      </c>
      <c r="F492" s="26">
        <f>VLOOKUP($C492,COS!$B$8:$H$991,7,FALSE)</f>
        <v>50.279342651367188</v>
      </c>
      <c r="G492" s="24">
        <f>IF(F492&lt;=IF(MONTH($C492)=4,$F$3,IF(MONTH($C492)=5,$F$4,IF(MONTH($C492)=6,$F$5,IF(MONTH($C492)=7,$F$6,"ERROR")))),1,0)</f>
        <v>1</v>
      </c>
      <c r="H492" s="26">
        <f>IF(J492=1,D492-$C$4,0)</f>
        <v>3954.1455078125</v>
      </c>
      <c r="I492" s="26">
        <f t="shared" si="764"/>
        <v>243.13093039772727</v>
      </c>
      <c r="J492" s="24">
        <f t="shared" si="785"/>
        <v>1</v>
      </c>
      <c r="K492" s="26">
        <f>VLOOKUP($C492,COS!$B$8:$H$991,2,FALSE)</f>
        <v>4552</v>
      </c>
      <c r="L492" s="24">
        <f t="shared" si="741"/>
        <v>1</v>
      </c>
      <c r="M492" s="24">
        <f t="shared" si="742"/>
        <v>0</v>
      </c>
      <c r="N492" s="26">
        <f>VLOOKUP($C492,COS!$B$8:$H$991,5,FALSE)</f>
        <v>880.44073486328125</v>
      </c>
      <c r="O492" s="26">
        <f t="shared" si="788"/>
        <v>54.136190639527378</v>
      </c>
      <c r="P492" s="26">
        <f>VLOOKUP($C492,COS!$B$8:$H$991,6,FALSE)</f>
        <v>2314.501708984375</v>
      </c>
      <c r="Q492" s="26">
        <f t="shared" si="789"/>
        <v>142.31316293259297</v>
      </c>
      <c r="R492" s="26">
        <f>MIN(IF(MONTH($C492)=4,$S$3,IF(MONTH($C492)=5,$S$4,IF(MONTH($C492)=6,$S$5,IF(MONTH($C492)=7,$S$6,"ERROR")))),MAX(VLOOKUP($C492,COS!$B$8:$K$991,10,FALSE)-IF(MONTH($C492)=4,$Y$3,IF(MONTH($C492)=5,$Y$4,IF(MONTH($C492)=6,$Y$5,IF(MONTH($C492)=7,$Y$6,"ERROR")))),0),MAX(VLOOKUP($C492,COS!$B$8:$K$991,9,FALSE)-IF(MONTH($C492)=4,$V$3,IF(MONTH($C492)=5,$V$4,IF(MONTH($C492)=6,$V$5,IF(MONTH($C492)=7,$V$6,"ERROR"))))-VLOOKUP($C492,COS!$B$8:$K$991,6,FALSE)/2,0))</f>
        <v>1500</v>
      </c>
      <c r="S492" s="26">
        <f t="shared" si="790"/>
        <v>92.231404958677686</v>
      </c>
      <c r="T492" s="26">
        <f t="shared" si="791"/>
        <v>190.45608174473784</v>
      </c>
      <c r="U492" s="26" t="str">
        <f>IF(VLOOKUP($C492,COS!$B$8:$I$991,8,FALSE)=1,"UWFE","IBU")</f>
        <v>UWFE</v>
      </c>
      <c r="V492" s="26">
        <f t="shared" ref="V492" si="793">MIN(IF(IF($AA$3=2,AND(E492=1,G492=1,L492=1,L496=1,M492=1,U492="IBU"),AND(E492=1,G492=1,L492=1,L496=1,M492=1)),T492,0),I492)</f>
        <v>0</v>
      </c>
      <c r="W492" s="26"/>
      <c r="X492" s="26"/>
      <c r="Y492" s="26"/>
      <c r="Z492" s="26"/>
      <c r="AA492" s="26"/>
      <c r="AB492" s="33"/>
    </row>
    <row r="493" spans="1:28" x14ac:dyDescent="0.3">
      <c r="A493" s="32">
        <f>VLOOKUP(YEAR(C493),Flags!$A$13:$B$95,2,FALSE)</f>
        <v>1</v>
      </c>
      <c r="B493" s="24">
        <f t="shared" si="739"/>
        <v>1975</v>
      </c>
      <c r="C493" s="25">
        <v>27575</v>
      </c>
      <c r="D493" s="26">
        <f>VLOOKUP($C493,COS!$B$8:$H$991,3,FALSE)</f>
        <v>8908.6064453125</v>
      </c>
      <c r="E493" s="24">
        <f>IF(D493&gt;=IF(MONTH($C493)=4,$C$3,IF(MONTH($C493)=5,$C$4,IF(MONTH($C493)=6,$C$5,IF(MONTH($C493)=7,$C$6,"ERROR")))),1,0)</f>
        <v>0</v>
      </c>
      <c r="F493" s="26">
        <f>VLOOKUP($C493,COS!$B$8:$H$991,7,FALSE)</f>
        <v>51.962612152099609</v>
      </c>
      <c r="G493" s="24">
        <f>IF(F493&lt;=IF(MONTH($C493)=4,$F$3,IF(MONTH($C493)=5,$F$4,IF(MONTH($C493)=6,$F$5,IF(MONTH($C493)=7,$F$6,"ERROR")))),1,0)</f>
        <v>1</v>
      </c>
      <c r="H493" s="26">
        <f>IF(J493=1,D493-$C$5,0)</f>
        <v>0</v>
      </c>
      <c r="I493" s="26">
        <f t="shared" si="764"/>
        <v>0</v>
      </c>
      <c r="J493" s="24">
        <f t="shared" si="785"/>
        <v>0</v>
      </c>
      <c r="K493" s="26">
        <f>VLOOKUP($C493,COS!$B$8:$H$991,2,FALSE)</f>
        <v>4422.015625</v>
      </c>
      <c r="L493" s="24">
        <f t="shared" si="741"/>
        <v>1</v>
      </c>
      <c r="M493" s="24">
        <f t="shared" si="742"/>
        <v>0</v>
      </c>
      <c r="N493" s="26">
        <f>VLOOKUP($C493,COS!$B$8:$H$991,5,FALSE)</f>
        <v>1191.22607421875</v>
      </c>
      <c r="O493" s="26">
        <f t="shared" si="788"/>
        <v>70.882873837809925</v>
      </c>
      <c r="P493" s="26">
        <f>VLOOKUP($C493,COS!$B$8:$H$991,6,FALSE)</f>
        <v>2278.943359375</v>
      </c>
      <c r="Q493" s="26">
        <f t="shared" si="789"/>
        <v>135.60654700413224</v>
      </c>
      <c r="R493" s="26">
        <f>MIN(IF(MONTH($C493)=4,$S$3,IF(MONTH($C493)=5,$S$4,IF(MONTH($C493)=6,$S$5,IF(MONTH($C493)=7,$S$6,"ERROR")))),MAX(VLOOKUP($C493,COS!$B$8:$K$991,10,FALSE)-IF(MONTH($C493)=4,$Y$3,IF(MONTH($C493)=5,$Y$4,IF(MONTH($C493)=6,$Y$5,IF(MONTH($C493)=7,$Y$6,"ERROR")))),0),MAX(VLOOKUP($C493,COS!$B$8:$K$991,9,FALSE)-IF(MONTH($C493)=4,$V$3,IF(MONTH($C493)=5,$V$4,IF(MONTH($C493)=6,$V$5,IF(MONTH($C493)=7,$V$6,"ERROR"))))-VLOOKUP($C493,COS!$B$8:$K$991,6,FALSE)/2,0))</f>
        <v>1500</v>
      </c>
      <c r="S493" s="26">
        <f t="shared" si="790"/>
        <v>89.256198347107429</v>
      </c>
      <c r="T493" s="26">
        <f t="shared" si="791"/>
        <v>192.50090876807849</v>
      </c>
      <c r="U493" s="26" t="str">
        <f>IF(VLOOKUP($C493,COS!$B$8:$I$991,8,FALSE)=1,"UWFE","IBU")</f>
        <v>UWFE</v>
      </c>
      <c r="V493" s="26">
        <f t="shared" ref="V493" si="794">MIN(IF(IF($AA$3=2,AND(E493=1,G493=1,L493=1,L496=1,M493=1,U493="IBU"),AND(E493=1,G493=1,L493=1,L496=1,M493=1)),T493,0),I493)</f>
        <v>0</v>
      </c>
      <c r="W493" s="26"/>
      <c r="X493" s="26"/>
      <c r="Y493" s="26"/>
      <c r="Z493" s="26"/>
      <c r="AA493" s="26"/>
      <c r="AB493" s="33"/>
    </row>
    <row r="494" spans="1:28" x14ac:dyDescent="0.3">
      <c r="A494" s="32">
        <f>VLOOKUP(YEAR(C494),Flags!$A$13:$B$95,2,FALSE)</f>
        <v>1</v>
      </c>
      <c r="B494" s="24">
        <f t="shared" si="739"/>
        <v>1975</v>
      </c>
      <c r="C494" s="25">
        <v>27606</v>
      </c>
      <c r="D494" s="26">
        <f>VLOOKUP($C494,COS!$B$8:$H$991,3,FALSE)</f>
        <v>13871.7421875</v>
      </c>
      <c r="E494" s="24">
        <f>IF(D494&gt;=IF(MONTH($C494)=4,$C$3,IF(MONTH($C494)=5,$C$4,IF(MONTH($C494)=6,$C$5,IF(MONTH($C494)=7,$C$6,"ERROR")))),1,0)</f>
        <v>1</v>
      </c>
      <c r="F494" s="26">
        <f>VLOOKUP($C494,COS!$B$8:$H$991,7,FALSE)</f>
        <v>52.175071716308594</v>
      </c>
      <c r="G494" s="24">
        <f>IF(F494&lt;=IF(MONTH($C494)=4,$F$3,IF(MONTH($C494)=5,$F$4,IF(MONTH($C494)=6,$F$5,IF(MONTH($C494)=7,$F$6,"ERROR")))),1,0)</f>
        <v>1</v>
      </c>
      <c r="H494" s="26">
        <f>IF(J494=1,D494-$C$6,0)</f>
        <v>1871.7421875</v>
      </c>
      <c r="I494" s="26">
        <f t="shared" si="764"/>
        <v>115.08894111570247</v>
      </c>
      <c r="J494" s="24">
        <f t="shared" si="785"/>
        <v>1</v>
      </c>
      <c r="K494" s="26">
        <f>VLOOKUP($C494,COS!$B$8:$H$991,2,FALSE)</f>
        <v>3940.190673828125</v>
      </c>
      <c r="L494" s="24">
        <f t="shared" si="741"/>
        <v>1</v>
      </c>
      <c r="M494" s="24">
        <f t="shared" si="742"/>
        <v>0</v>
      </c>
      <c r="N494" s="26">
        <f>VLOOKUP($C494,COS!$B$8:$H$991,5,FALSE)</f>
        <v>1259.2373046875</v>
      </c>
      <c r="O494" s="26">
        <f t="shared" si="788"/>
        <v>77.427483858471078</v>
      </c>
      <c r="P494" s="26">
        <f>VLOOKUP($C494,COS!$B$8:$H$991,6,FALSE)</f>
        <v>2566.025634765625</v>
      </c>
      <c r="Q494" s="26">
        <f t="shared" si="789"/>
        <v>157.77876630294421</v>
      </c>
      <c r="R494" s="26">
        <f>MIN(IF(MONTH($C494)=4,$S$3,IF(MONTH($C494)=5,$S$4,IF(MONTH($C494)=6,$S$5,IF(MONTH($C494)=7,$S$6,"ERROR")))),MAX(VLOOKUP($C494,COS!$B$8:$K$991,10,FALSE)-IF(MONTH($C494)=4,$Y$3,IF(MONTH($C494)=5,$Y$4,IF(MONTH($C494)=6,$Y$5,IF(MONTH($C494)=7,$Y$6,"ERROR")))),0),MAX(VLOOKUP($C494,COS!$B$8:$K$991,9,FALSE)-IF(MONTH($C494)=4,$V$3,IF(MONTH($C494)=5,$V$4,IF(MONTH($C494)=6,$V$5,IF(MONTH($C494)=7,$V$6,"ERROR"))))-VLOOKUP($C494,COS!$B$8:$K$991,6,FALSE)/2,0))</f>
        <v>1500</v>
      </c>
      <c r="S494" s="26">
        <f t="shared" si="790"/>
        <v>92.231404958677686</v>
      </c>
      <c r="T494" s="26">
        <f t="shared" si="791"/>
        <v>209.83453003938533</v>
      </c>
      <c r="U494" s="26" t="str">
        <f>IF(VLOOKUP($C494,COS!$B$8:$I$991,8,FALSE)=1,"UWFE","IBU")</f>
        <v>IBU</v>
      </c>
      <c r="V494" s="26">
        <f t="shared" ref="V494" si="795">MIN(IF(IF($AA$3=2,AND(E494=1,G494=1,L494=1,L496=1,M494=1,U494="IBU"),AND(E494=1,G494=1,L494=1,L496=1,M494=1)),T494,0),I494)</f>
        <v>0</v>
      </c>
      <c r="W494" s="26"/>
      <c r="X494" s="26"/>
      <c r="Y494" s="26"/>
      <c r="Z494" s="26"/>
      <c r="AA494" s="26"/>
      <c r="AB494" s="33"/>
    </row>
    <row r="495" spans="1:28" x14ac:dyDescent="0.3">
      <c r="A495" s="32">
        <f>VLOOKUP(YEAR(C495),Flags!$A$13:$B$95,2,FALSE)</f>
        <v>1</v>
      </c>
      <c r="B495" s="24">
        <f t="shared" si="739"/>
        <v>1975</v>
      </c>
      <c r="C495" s="25">
        <v>27637</v>
      </c>
      <c r="D495" s="26"/>
      <c r="E495" s="24"/>
      <c r="F495" s="26"/>
      <c r="G495" s="24"/>
      <c r="H495" s="24"/>
      <c r="I495" s="26"/>
      <c r="J495" s="24"/>
      <c r="K495" s="26"/>
      <c r="L495" s="24"/>
      <c r="M495" s="24"/>
      <c r="N495" s="26"/>
      <c r="O495" s="26"/>
      <c r="P495" s="26"/>
      <c r="Q495" s="26"/>
      <c r="R495" s="26"/>
      <c r="S495" s="26"/>
      <c r="T495" s="26"/>
      <c r="U495" s="26"/>
      <c r="V495" s="26"/>
      <c r="W495" s="26">
        <f>MAX($C$7-VLOOKUP($C495,COS!$B$8:$H$991,3,FALSE),0)</f>
        <v>2236.9765625</v>
      </c>
      <c r="X495" s="26">
        <f t="shared" si="769"/>
        <v>137.54632747933886</v>
      </c>
      <c r="Y495" s="26">
        <f>VLOOKUP($C495,COS!$B$8:$H$991,4,FALSE)</f>
        <v>0</v>
      </c>
      <c r="Z495" s="26">
        <f t="shared" si="770"/>
        <v>0</v>
      </c>
      <c r="AA495" s="26">
        <f t="shared" ref="AA495:AA499" si="796">MIN(W495,Y495)</f>
        <v>0</v>
      </c>
      <c r="AB495" s="33">
        <f t="shared" ref="AB495" si="797">AA495*DAY($C495)*86400/43560/1000*IF(MONTH($C495)=8,$P$3,IF(MONTH($C495)=9,$P$4,IF(MONTH($C495)=10,$P$5,IF(MONTH($C495)=11,$P$6,IF(MONTH($C495)=12,$P$7,NA())))))</f>
        <v>0</v>
      </c>
    </row>
    <row r="496" spans="1:28" x14ac:dyDescent="0.3">
      <c r="A496" s="32">
        <f>VLOOKUP(YEAR(C496),Flags!$A$13:$B$95,2,FALSE)</f>
        <v>1</v>
      </c>
      <c r="B496" s="24">
        <f t="shared" si="739"/>
        <v>1975</v>
      </c>
      <c r="C496" s="25">
        <v>27667</v>
      </c>
      <c r="D496" s="26"/>
      <c r="E496" s="24"/>
      <c r="F496" s="26"/>
      <c r="G496" s="24"/>
      <c r="H496" s="24"/>
      <c r="I496" s="26"/>
      <c r="J496" s="24"/>
      <c r="K496" s="26">
        <f>VLOOKUP($C496,COS!$B$8:$H$991,2,FALSE)</f>
        <v>3139.902587890625</v>
      </c>
      <c r="L496" s="24">
        <f t="shared" ref="L496" si="798">IF(AND(K496&gt;$I$7,K496&lt;$I$8),1,0)</f>
        <v>1</v>
      </c>
      <c r="M496" s="24"/>
      <c r="N496" s="26"/>
      <c r="O496" s="26"/>
      <c r="P496" s="26"/>
      <c r="Q496" s="26"/>
      <c r="R496" s="26"/>
      <c r="S496" s="26"/>
      <c r="T496" s="26"/>
      <c r="U496" s="26"/>
      <c r="V496" s="26"/>
      <c r="W496" s="26">
        <f>MAX($C$8-VLOOKUP($C496,COS!$B$8:$H$991,3,FALSE),0)</f>
        <v>0</v>
      </c>
      <c r="X496" s="26">
        <f t="shared" si="769"/>
        <v>0</v>
      </c>
      <c r="Y496" s="26">
        <f>VLOOKUP($C496,COS!$B$8:$H$991,4,FALSE)</f>
        <v>0</v>
      </c>
      <c r="Z496" s="26">
        <f t="shared" si="770"/>
        <v>0</v>
      </c>
      <c r="AA496" s="26">
        <f t="shared" si="796"/>
        <v>0</v>
      </c>
      <c r="AB496" s="33">
        <f t="shared" si="752"/>
        <v>0</v>
      </c>
    </row>
    <row r="497" spans="1:28" x14ac:dyDescent="0.3">
      <c r="A497" s="32">
        <f>VLOOKUP(YEAR(C497),Flags!$A$13:$B$95,2,FALSE)</f>
        <v>1</v>
      </c>
      <c r="B497" s="24">
        <f t="shared" si="739"/>
        <v>1975</v>
      </c>
      <c r="C497" s="25">
        <v>27698</v>
      </c>
      <c r="D497" s="26"/>
      <c r="E497" s="24"/>
      <c r="F497" s="26"/>
      <c r="G497" s="26"/>
      <c r="H497" s="26"/>
      <c r="I497" s="26"/>
      <c r="J497" s="26"/>
      <c r="K497" s="26"/>
      <c r="L497" s="24"/>
      <c r="M497" s="24"/>
      <c r="N497" s="26"/>
      <c r="O497" s="26"/>
      <c r="P497" s="26"/>
      <c r="Q497" s="26"/>
      <c r="R497" s="26"/>
      <c r="S497" s="26"/>
      <c r="T497" s="26"/>
      <c r="U497" s="26"/>
      <c r="V497" s="26"/>
      <c r="W497" s="26">
        <f>MAX($C$9-VLOOKUP($C497,COS!$B$8:$H$991,3,FALSE),0)</f>
        <v>0</v>
      </c>
      <c r="X497" s="26">
        <f t="shared" si="769"/>
        <v>0</v>
      </c>
      <c r="Y497" s="26">
        <f>VLOOKUP($C497,COS!$B$8:$H$991,4,FALSE)</f>
        <v>935.7257080078125</v>
      </c>
      <c r="Z497" s="26">
        <f t="shared" si="770"/>
        <v>57.535531137009293</v>
      </c>
      <c r="AA497" s="26">
        <f t="shared" si="796"/>
        <v>0</v>
      </c>
      <c r="AB497" s="33">
        <f t="shared" si="752"/>
        <v>0</v>
      </c>
    </row>
    <row r="498" spans="1:28" x14ac:dyDescent="0.3">
      <c r="A498" s="32">
        <f>VLOOKUP(YEAR(C498),Flags!$A$13:$B$95,2,FALSE)</f>
        <v>1</v>
      </c>
      <c r="B498" s="24">
        <f t="shared" si="739"/>
        <v>1975</v>
      </c>
      <c r="C498" s="25">
        <v>27728</v>
      </c>
      <c r="D498" s="26"/>
      <c r="E498" s="24"/>
      <c r="F498" s="26"/>
      <c r="G498" s="26"/>
      <c r="H498" s="26"/>
      <c r="I498" s="26"/>
      <c r="J498" s="26"/>
      <c r="K498" s="26"/>
      <c r="L498" s="24"/>
      <c r="M498" s="24"/>
      <c r="N498" s="26"/>
      <c r="O498" s="26"/>
      <c r="P498" s="26"/>
      <c r="Q498" s="26"/>
      <c r="R498" s="26"/>
      <c r="S498" s="26"/>
      <c r="T498" s="26"/>
      <c r="U498" s="26"/>
      <c r="V498" s="26"/>
      <c r="W498" s="26">
        <f>MAX($C$10-VLOOKUP($C498,COS!$B$8:$H$991,3,FALSE),0)</f>
        <v>0</v>
      </c>
      <c r="X498" s="26">
        <f t="shared" si="769"/>
        <v>0</v>
      </c>
      <c r="Y498" s="26">
        <f>VLOOKUP($C498,COS!$B$8:$H$991,4,FALSE)</f>
        <v>1105.79541015625</v>
      </c>
      <c r="Z498" s="26">
        <f t="shared" si="770"/>
        <v>65.799396306818181</v>
      </c>
      <c r="AA498" s="26">
        <f t="shared" si="796"/>
        <v>0</v>
      </c>
      <c r="AB498" s="33">
        <f t="shared" si="752"/>
        <v>0</v>
      </c>
    </row>
    <row r="499" spans="1:28" x14ac:dyDescent="0.3">
      <c r="A499" s="34">
        <f>VLOOKUP(YEAR(C499),Flags!$A$13:$B$95,2,FALSE)</f>
        <v>1</v>
      </c>
      <c r="B499" s="35">
        <f t="shared" si="739"/>
        <v>1975</v>
      </c>
      <c r="C499" s="36">
        <v>27759</v>
      </c>
      <c r="D499" s="37"/>
      <c r="E499" s="35"/>
      <c r="F499" s="37"/>
      <c r="G499" s="37"/>
      <c r="H499" s="37"/>
      <c r="I499" s="37"/>
      <c r="J499" s="37"/>
      <c r="K499" s="37"/>
      <c r="L499" s="35"/>
      <c r="M499" s="35"/>
      <c r="N499" s="37"/>
      <c r="O499" s="37"/>
      <c r="P499" s="37"/>
      <c r="Q499" s="37"/>
      <c r="R499" s="37"/>
      <c r="S499" s="37"/>
      <c r="T499" s="37"/>
      <c r="U499" s="37"/>
      <c r="V499" s="37"/>
      <c r="W499" s="37">
        <f>MAX($C$11-VLOOKUP($C499,COS!$B$8:$H$991,3,FALSE),0)</f>
        <v>1750</v>
      </c>
      <c r="X499" s="37">
        <f t="shared" si="769"/>
        <v>107.60330578512398</v>
      </c>
      <c r="Y499" s="37">
        <f>VLOOKUP($C499,COS!$B$8:$H$991,4,FALSE)</f>
        <v>0</v>
      </c>
      <c r="Z499" s="37">
        <f t="shared" si="770"/>
        <v>0</v>
      </c>
      <c r="AA499" s="37">
        <f t="shared" si="796"/>
        <v>0</v>
      </c>
      <c r="AB499" s="38">
        <f t="shared" si="752"/>
        <v>0</v>
      </c>
    </row>
    <row r="500" spans="1:28" x14ac:dyDescent="0.3">
      <c r="A500" s="27">
        <f>VLOOKUP(YEAR(C500),Flags!$A$13:$B$95,2,FALSE)</f>
        <v>4</v>
      </c>
      <c r="B500" s="28">
        <f t="shared" si="739"/>
        <v>1976</v>
      </c>
      <c r="C500" s="29">
        <v>27880</v>
      </c>
      <c r="D500" s="30">
        <f>VLOOKUP($C500,COS!$B$8:$H$991,3,FALSE)</f>
        <v>3250</v>
      </c>
      <c r="E500" s="28">
        <f>IF(D500&gt;=IF(MONTH($C500)=4,$C$3,IF(MONTH($C500)=5,$C$4,IF(MONTH($C500)=6,$C$5,IF(MONTH($C500)=7,$C$6,"ERROR")))),1,0)</f>
        <v>0</v>
      </c>
      <c r="F500" s="30">
        <f>VLOOKUP($C500,COS!$B$8:$H$991,7,FALSE)</f>
        <v>51.587924957275391</v>
      </c>
      <c r="G500" s="28">
        <f>IF(F500&lt;=IF(MONTH($C500)=4,$F$3,IF(MONTH($C500)=5,$F$4,IF(MONTH($C500)=6,$F$5,IF(MONTH($C500)=7,$F$6,"ERROR")))),1,0)</f>
        <v>1</v>
      </c>
      <c r="H500" s="30">
        <f>IF(J500=1,D500-$C$3,0)</f>
        <v>0</v>
      </c>
      <c r="I500" s="30">
        <f t="shared" si="764"/>
        <v>0</v>
      </c>
      <c r="J500" s="28">
        <f t="shared" ref="J500:J503" si="799">IF(AND(E500=1,G500=1),1,0)</f>
        <v>0</v>
      </c>
      <c r="K500" s="30">
        <f>VLOOKUP($C500,COS!$B$8:$H$991,2,FALSE)</f>
        <v>3878.489990234375</v>
      </c>
      <c r="L500" s="28">
        <f t="shared" ref="L500" si="800">IF(K500&lt;=IF(MONTH($C500)=4,$I$3,IF(MONTH($C500)=5,$I$4,IF(MONTH($C500)=6,$I$5,IF(MONTH($C500)=7,$I$6,"ERROR")))),1,0)</f>
        <v>1</v>
      </c>
      <c r="M500" s="28">
        <f t="shared" ref="M500" si="801">VLOOKUP($A500,$L$3:$M$7,2,FALSE)</f>
        <v>1</v>
      </c>
      <c r="N500" s="30">
        <f>VLOOKUP($C500,COS!$B$8:$H$991,5,FALSE)</f>
        <v>162.41636657714844</v>
      </c>
      <c r="O500" s="30">
        <f t="shared" ref="O500:O503" si="802">N500*DAY($C500)*86400/43560/1000</f>
        <v>9.6644449533509817</v>
      </c>
      <c r="P500" s="30">
        <f>VLOOKUP($C500,COS!$B$8:$H$991,6,FALSE)</f>
        <v>525.2208251953125</v>
      </c>
      <c r="Q500" s="30">
        <f t="shared" ref="Q500:Q503" si="803">P500*DAY($C500)*86400/43560/1000</f>
        <v>31.252809433109505</v>
      </c>
      <c r="R500" s="30">
        <f>MIN(IF(MONTH($C500)=4,$S$3,IF(MONTH($C500)=5,$S$4,IF(MONTH($C500)=6,$S$5,IF(MONTH($C500)=7,$S$6,"ERROR")))),MAX(VLOOKUP($C500,COS!$B$8:$K$991,10,FALSE)-IF(MONTH($C500)=4,$Y$3,IF(MONTH($C500)=5,$Y$4,IF(MONTH($C500)=6,$Y$5,IF(MONTH($C500)=7,$Y$6,"ERROR")))),0),MAX(VLOOKUP($C500,COS!$B$8:$K$991,9,FALSE)-IF(MONTH($C500)=4,$V$3,IF(MONTH($C500)=5,$V$4,IF(MONTH($C500)=6,$V$5,IF(MONTH($C500)=7,$V$6,"ERROR"))))-VLOOKUP($C500,COS!$B$8:$K$991,6,FALSE)/2,0))</f>
        <v>1238.28173828125</v>
      </c>
      <c r="S500" s="30">
        <f t="shared" ref="S500:S503" si="804">R500*DAY($C500)*86400/43560/1000</f>
        <v>73.68288029442148</v>
      </c>
      <c r="T500" s="30">
        <f t="shared" ref="T500:T503" si="805">(O500+Q500)/2+S500</f>
        <v>94.141507487651722</v>
      </c>
      <c r="U500" s="30" t="str">
        <f>IF(VLOOKUP($C500,COS!$B$8:$I$991,8,FALSE)=1,"UWFE","IBU")</f>
        <v>UWFE</v>
      </c>
      <c r="V500" s="30">
        <f t="shared" ref="V500" si="806">MIN(IF(IF($AA$3=2,AND(E500=1,G500=1,L500=1,L505=1,M500=1,U500="IBU"),AND(E500=1,G500=1,L500=1,L505=1,M500=1)),T500,0),I500)</f>
        <v>0</v>
      </c>
      <c r="W500" s="30"/>
      <c r="X500" s="30"/>
      <c r="Y500" s="30"/>
      <c r="Z500" s="30"/>
      <c r="AA500" s="30"/>
      <c r="AB500" s="31"/>
    </row>
    <row r="501" spans="1:28" x14ac:dyDescent="0.3">
      <c r="A501" s="32">
        <f>VLOOKUP(YEAR(C501),Flags!$A$13:$B$95,2,FALSE)</f>
        <v>4</v>
      </c>
      <c r="B501" s="24">
        <f t="shared" si="739"/>
        <v>1976</v>
      </c>
      <c r="C501" s="25">
        <v>27911</v>
      </c>
      <c r="D501" s="26">
        <f>VLOOKUP($C501,COS!$B$8:$H$991,3,FALSE)</f>
        <v>10081.5947265625</v>
      </c>
      <c r="E501" s="24">
        <f>IF(D501&gt;=IF(MONTH($C501)=4,$C$3,IF(MONTH($C501)=5,$C$4,IF(MONTH($C501)=6,$C$5,IF(MONTH($C501)=7,$C$6,"ERROR")))),1,0)</f>
        <v>1</v>
      </c>
      <c r="F501" s="26">
        <f>VLOOKUP($C501,COS!$B$8:$H$991,7,FALSE)</f>
        <v>51.443138122558594</v>
      </c>
      <c r="G501" s="24">
        <f>IF(F501&lt;=IF(MONTH($C501)=4,$F$3,IF(MONTH($C501)=5,$F$4,IF(MONTH($C501)=6,$F$5,IF(MONTH($C501)=7,$F$6,"ERROR")))),1,0)</f>
        <v>1</v>
      </c>
      <c r="H501" s="26">
        <f>IF(J501=1,D501-$C$4,0)</f>
        <v>4081.5947265625</v>
      </c>
      <c r="I501" s="26">
        <f t="shared" si="764"/>
        <v>250.9674774018595</v>
      </c>
      <c r="J501" s="24">
        <f t="shared" si="799"/>
        <v>1</v>
      </c>
      <c r="K501" s="26">
        <f>VLOOKUP($C501,COS!$B$8:$H$991,2,FALSE)</f>
        <v>3615.4599609375</v>
      </c>
      <c r="L501" s="24">
        <f t="shared" si="741"/>
        <v>1</v>
      </c>
      <c r="M501" s="24">
        <f t="shared" si="742"/>
        <v>1</v>
      </c>
      <c r="N501" s="26">
        <f>VLOOKUP($C501,COS!$B$8:$H$991,5,FALSE)</f>
        <v>197.63545227050781</v>
      </c>
      <c r="O501" s="26">
        <f t="shared" si="802"/>
        <v>12.152130288368415</v>
      </c>
      <c r="P501" s="26">
        <f>VLOOKUP($C501,COS!$B$8:$H$991,6,FALSE)</f>
        <v>2397.456298828125</v>
      </c>
      <c r="Q501" s="26">
        <f t="shared" si="803"/>
        <v>147.41384184529957</v>
      </c>
      <c r="R501" s="26">
        <f>MIN(IF(MONTH($C501)=4,$S$3,IF(MONTH($C501)=5,$S$4,IF(MONTH($C501)=6,$S$5,IF(MONTH($C501)=7,$S$6,"ERROR")))),MAX(VLOOKUP($C501,COS!$B$8:$K$991,10,FALSE)-IF(MONTH($C501)=4,$Y$3,IF(MONTH($C501)=5,$Y$4,IF(MONTH($C501)=6,$Y$5,IF(MONTH($C501)=7,$Y$6,"ERROR")))),0),MAX(VLOOKUP($C501,COS!$B$8:$K$991,9,FALSE)-IF(MONTH($C501)=4,$V$3,IF(MONTH($C501)=5,$V$4,IF(MONTH($C501)=6,$V$5,IF(MONTH($C501)=7,$V$6,"ERROR"))))-VLOOKUP($C501,COS!$B$8:$K$991,6,FALSE)/2,0))</f>
        <v>1500</v>
      </c>
      <c r="S501" s="26">
        <f t="shared" si="804"/>
        <v>92.231404958677686</v>
      </c>
      <c r="T501" s="26">
        <f t="shared" si="805"/>
        <v>172.01439102551169</v>
      </c>
      <c r="U501" s="26" t="str">
        <f>IF(VLOOKUP($C501,COS!$B$8:$I$991,8,FALSE)=1,"UWFE","IBU")</f>
        <v>IBU</v>
      </c>
      <c r="V501" s="26">
        <f t="shared" ref="V501" si="807">MIN(IF(IF($AA$3=2,AND(E501=1,G501=1,L501=1,L505=1,M501=1,U501="IBU"),AND(E501=1,G501=1,L501=1,L505=1,M501=1)),T501,0),I501)</f>
        <v>172.01439102551169</v>
      </c>
      <c r="W501" s="26"/>
      <c r="X501" s="26"/>
      <c r="Y501" s="26"/>
      <c r="Z501" s="26"/>
      <c r="AA501" s="26"/>
      <c r="AB501" s="33"/>
    </row>
    <row r="502" spans="1:28" x14ac:dyDescent="0.3">
      <c r="A502" s="32">
        <f>VLOOKUP(YEAR(C502),Flags!$A$13:$B$95,2,FALSE)</f>
        <v>4</v>
      </c>
      <c r="B502" s="24">
        <f t="shared" si="739"/>
        <v>1976</v>
      </c>
      <c r="C502" s="25">
        <v>27941</v>
      </c>
      <c r="D502" s="26">
        <f>VLOOKUP($C502,COS!$B$8:$H$991,3,FALSE)</f>
        <v>9693.1298828125</v>
      </c>
      <c r="E502" s="24">
        <f>IF(D502&gt;=IF(MONTH($C502)=4,$C$3,IF(MONTH($C502)=5,$C$4,IF(MONTH($C502)=6,$C$5,IF(MONTH($C502)=7,$C$6,"ERROR")))),1,0)</f>
        <v>0</v>
      </c>
      <c r="F502" s="26">
        <f>VLOOKUP($C502,COS!$B$8:$H$991,7,FALSE)</f>
        <v>52.964691162109375</v>
      </c>
      <c r="G502" s="24">
        <f>IF(F502&lt;=IF(MONTH($C502)=4,$F$3,IF(MONTH($C502)=5,$F$4,IF(MONTH($C502)=6,$F$5,IF(MONTH($C502)=7,$F$6,"ERROR")))),1,0)</f>
        <v>1</v>
      </c>
      <c r="H502" s="26">
        <f>IF(J502=1,D502-$C$5,0)</f>
        <v>0</v>
      </c>
      <c r="I502" s="26">
        <f t="shared" si="764"/>
        <v>0</v>
      </c>
      <c r="J502" s="24">
        <f t="shared" si="799"/>
        <v>0</v>
      </c>
      <c r="K502" s="26">
        <f>VLOOKUP($C502,COS!$B$8:$H$991,2,FALSE)</f>
        <v>3290.374755859375</v>
      </c>
      <c r="L502" s="24">
        <f t="shared" si="741"/>
        <v>1</v>
      </c>
      <c r="M502" s="24">
        <f t="shared" si="742"/>
        <v>1</v>
      </c>
      <c r="N502" s="26">
        <f>VLOOKUP($C502,COS!$B$8:$H$991,5,FALSE)</f>
        <v>220.81330871582031</v>
      </c>
      <c r="O502" s="26">
        <f t="shared" si="802"/>
        <v>13.139304320280216</v>
      </c>
      <c r="P502" s="26">
        <f>VLOOKUP($C502,COS!$B$8:$H$991,6,FALSE)</f>
        <v>2496.31787109375</v>
      </c>
      <c r="Q502" s="26">
        <f t="shared" si="803"/>
        <v>148.54122869318184</v>
      </c>
      <c r="R502" s="26">
        <f>MIN(IF(MONTH($C502)=4,$S$3,IF(MONTH($C502)=5,$S$4,IF(MONTH($C502)=6,$S$5,IF(MONTH($C502)=7,$S$6,"ERROR")))),MAX(VLOOKUP($C502,COS!$B$8:$K$991,10,FALSE)-IF(MONTH($C502)=4,$Y$3,IF(MONTH($C502)=5,$Y$4,IF(MONTH($C502)=6,$Y$5,IF(MONTH($C502)=7,$Y$6,"ERROR")))),0),MAX(VLOOKUP($C502,COS!$B$8:$K$991,9,FALSE)-IF(MONTH($C502)=4,$V$3,IF(MONTH($C502)=5,$V$4,IF(MONTH($C502)=6,$V$5,IF(MONTH($C502)=7,$V$6,"ERROR"))))-VLOOKUP($C502,COS!$B$8:$K$991,6,FALSE)/2,0))</f>
        <v>1500</v>
      </c>
      <c r="S502" s="26">
        <f t="shared" si="804"/>
        <v>89.256198347107429</v>
      </c>
      <c r="T502" s="26">
        <f t="shared" si="805"/>
        <v>170.09646485383846</v>
      </c>
      <c r="U502" s="26" t="str">
        <f>IF(VLOOKUP($C502,COS!$B$8:$I$991,8,FALSE)=1,"UWFE","IBU")</f>
        <v>IBU</v>
      </c>
      <c r="V502" s="26">
        <f t="shared" ref="V502" si="808">MIN(IF(IF($AA$3=2,AND(E502=1,G502=1,L502=1,L505=1,M502=1,U502="IBU"),AND(E502=1,G502=1,L502=1,L505=1,M502=1)),T502,0),I502)</f>
        <v>0</v>
      </c>
      <c r="W502" s="26"/>
      <c r="X502" s="26"/>
      <c r="Y502" s="26"/>
      <c r="Z502" s="26"/>
      <c r="AA502" s="26"/>
      <c r="AB502" s="33"/>
    </row>
    <row r="503" spans="1:28" x14ac:dyDescent="0.3">
      <c r="A503" s="32">
        <f>VLOOKUP(YEAR(C503),Flags!$A$13:$B$95,2,FALSE)</f>
        <v>4</v>
      </c>
      <c r="B503" s="24">
        <f t="shared" si="739"/>
        <v>1976</v>
      </c>
      <c r="C503" s="25">
        <v>27972</v>
      </c>
      <c r="D503" s="26">
        <f>VLOOKUP($C503,COS!$B$8:$H$991,3,FALSE)</f>
        <v>13307.634765625</v>
      </c>
      <c r="E503" s="24">
        <f>IF(D503&gt;=IF(MONTH($C503)=4,$C$3,IF(MONTH($C503)=5,$C$4,IF(MONTH($C503)=6,$C$5,IF(MONTH($C503)=7,$C$6,"ERROR")))),1,0)</f>
        <v>1</v>
      </c>
      <c r="F503" s="26">
        <f>VLOOKUP($C503,COS!$B$8:$H$991,7,FALSE)</f>
        <v>54.076438903808594</v>
      </c>
      <c r="G503" s="24">
        <f>IF(F503&lt;=IF(MONTH($C503)=4,$F$3,IF(MONTH($C503)=5,$F$4,IF(MONTH($C503)=6,$F$5,IF(MONTH($C503)=7,$F$6,"ERROR")))),1,0)</f>
        <v>0</v>
      </c>
      <c r="H503" s="26">
        <f>IF(J503=1,D503-$C$6,0)</f>
        <v>0</v>
      </c>
      <c r="I503" s="26">
        <f t="shared" si="764"/>
        <v>0</v>
      </c>
      <c r="J503" s="24">
        <f t="shared" si="799"/>
        <v>0</v>
      </c>
      <c r="K503" s="26">
        <f>VLOOKUP($C503,COS!$B$8:$H$991,2,FALSE)</f>
        <v>2839.34033203125</v>
      </c>
      <c r="L503" s="24">
        <f t="shared" si="741"/>
        <v>1</v>
      </c>
      <c r="M503" s="24">
        <f t="shared" si="742"/>
        <v>1</v>
      </c>
      <c r="N503" s="26">
        <f>VLOOKUP($C503,COS!$B$8:$H$991,5,FALSE)</f>
        <v>243.29853820800781</v>
      </c>
      <c r="O503" s="26">
        <f t="shared" si="802"/>
        <v>14.959844002211391</v>
      </c>
      <c r="P503" s="26">
        <f>VLOOKUP($C503,COS!$B$8:$H$991,6,FALSE)</f>
        <v>2326.644775390625</v>
      </c>
      <c r="Q503" s="26">
        <f t="shared" si="803"/>
        <v>143.05981098269626</v>
      </c>
      <c r="R503" s="26">
        <f>MIN(IF(MONTH($C503)=4,$S$3,IF(MONTH($C503)=5,$S$4,IF(MONTH($C503)=6,$S$5,IF(MONTH($C503)=7,$S$6,"ERROR")))),MAX(VLOOKUP($C503,COS!$B$8:$K$991,10,FALSE)-IF(MONTH($C503)=4,$Y$3,IF(MONTH($C503)=5,$Y$4,IF(MONTH($C503)=6,$Y$5,IF(MONTH($C503)=7,$Y$6,"ERROR")))),0),MAX(VLOOKUP($C503,COS!$B$8:$K$991,9,FALSE)-IF(MONTH($C503)=4,$V$3,IF(MONTH($C503)=5,$V$4,IF(MONTH($C503)=6,$V$5,IF(MONTH($C503)=7,$V$6,"ERROR"))))-VLOOKUP($C503,COS!$B$8:$K$991,6,FALSE)/2,0))</f>
        <v>1500</v>
      </c>
      <c r="S503" s="26">
        <f t="shared" si="804"/>
        <v>92.231404958677686</v>
      </c>
      <c r="T503" s="26">
        <f t="shared" si="805"/>
        <v>171.24123245113151</v>
      </c>
      <c r="U503" s="26" t="str">
        <f>IF(VLOOKUP($C503,COS!$B$8:$I$991,8,FALSE)=1,"UWFE","IBU")</f>
        <v>IBU</v>
      </c>
      <c r="V503" s="26">
        <f t="shared" ref="V503" si="809">MIN(IF(IF($AA$3=2,AND(E503=1,G503=1,L503=1,L505=1,M503=1,U503="IBU"),AND(E503=1,G503=1,L503=1,L505=1,M503=1)),T503,0),I503)</f>
        <v>0</v>
      </c>
      <c r="W503" s="26"/>
      <c r="X503" s="26"/>
      <c r="Y503" s="26"/>
      <c r="Z503" s="26"/>
      <c r="AA503" s="26"/>
      <c r="AB503" s="33"/>
    </row>
    <row r="504" spans="1:28" x14ac:dyDescent="0.3">
      <c r="A504" s="32">
        <f>VLOOKUP(YEAR(C504),Flags!$A$13:$B$95,2,FALSE)</f>
        <v>4</v>
      </c>
      <c r="B504" s="24">
        <f t="shared" si="739"/>
        <v>1976</v>
      </c>
      <c r="C504" s="25">
        <v>28003</v>
      </c>
      <c r="D504" s="26"/>
      <c r="E504" s="24"/>
      <c r="F504" s="26"/>
      <c r="G504" s="24"/>
      <c r="H504" s="24"/>
      <c r="I504" s="26"/>
      <c r="J504" s="24"/>
      <c r="K504" s="26"/>
      <c r="L504" s="24"/>
      <c r="M504" s="24"/>
      <c r="N504" s="26"/>
      <c r="O504" s="26"/>
      <c r="P504" s="26"/>
      <c r="Q504" s="26"/>
      <c r="R504" s="26"/>
      <c r="S504" s="26"/>
      <c r="T504" s="26"/>
      <c r="U504" s="26"/>
      <c r="V504" s="26"/>
      <c r="W504" s="26">
        <f>MAX($C$7-VLOOKUP($C504,COS!$B$8:$H$991,3,FALSE),0)</f>
        <v>5361.21484375</v>
      </c>
      <c r="X504" s="26">
        <f t="shared" si="769"/>
        <v>329.64825154958675</v>
      </c>
      <c r="Y504" s="26">
        <f>VLOOKUP($C504,COS!$B$8:$H$991,4,FALSE)</f>
        <v>1948.8914794921875</v>
      </c>
      <c r="Z504" s="26">
        <f t="shared" si="770"/>
        <v>119.83266617704028</v>
      </c>
      <c r="AA504" s="26">
        <f t="shared" ref="AA504:AA508" si="810">MIN(W504,Y504)</f>
        <v>1948.8914794921875</v>
      </c>
      <c r="AB504" s="33">
        <f t="shared" ref="AB504" si="811">AA504*DAY($C504)*86400/43560/1000*IF(MONTH($C504)=8,$P$3,IF(MONTH($C504)=9,$P$4,IF(MONTH($C504)=10,$P$5,IF(MONTH($C504)=11,$P$6,IF(MONTH($C504)=12,$P$7,NA())))))</f>
        <v>119.83266617704028</v>
      </c>
    </row>
    <row r="505" spans="1:28" x14ac:dyDescent="0.3">
      <c r="A505" s="32">
        <f>VLOOKUP(YEAR(C505),Flags!$A$13:$B$95,2,FALSE)</f>
        <v>4</v>
      </c>
      <c r="B505" s="24">
        <f t="shared" si="739"/>
        <v>1976</v>
      </c>
      <c r="C505" s="25">
        <v>28033</v>
      </c>
      <c r="D505" s="26"/>
      <c r="E505" s="24"/>
      <c r="F505" s="26"/>
      <c r="G505" s="24"/>
      <c r="H505" s="24"/>
      <c r="I505" s="26"/>
      <c r="J505" s="24"/>
      <c r="K505" s="26">
        <f>VLOOKUP($C505,COS!$B$8:$H$991,2,FALSE)</f>
        <v>2776.3486328125</v>
      </c>
      <c r="L505" s="24">
        <f t="shared" ref="L505" si="812">IF(AND(K505&gt;$I$7,K505&lt;$I$8),1,0)</f>
        <v>1</v>
      </c>
      <c r="M505" s="24"/>
      <c r="N505" s="26"/>
      <c r="O505" s="26"/>
      <c r="P505" s="26"/>
      <c r="Q505" s="26"/>
      <c r="R505" s="26"/>
      <c r="S505" s="26"/>
      <c r="T505" s="26"/>
      <c r="U505" s="26"/>
      <c r="V505" s="26"/>
      <c r="W505" s="26">
        <f>MAX($C$8-VLOOKUP($C505,COS!$B$8:$H$991,3,FALSE),0)</f>
        <v>1119.068359375</v>
      </c>
      <c r="X505" s="26">
        <f t="shared" si="769"/>
        <v>66.589191632231405</v>
      </c>
      <c r="Y505" s="26">
        <f>VLOOKUP($C505,COS!$B$8:$H$991,4,FALSE)</f>
        <v>1649.7568359375</v>
      </c>
      <c r="Z505" s="26">
        <f t="shared" si="770"/>
        <v>98.167348915289253</v>
      </c>
      <c r="AA505" s="26">
        <f t="shared" si="810"/>
        <v>1119.068359375</v>
      </c>
      <c r="AB505" s="33">
        <f t="shared" si="752"/>
        <v>66.589191632231405</v>
      </c>
    </row>
    <row r="506" spans="1:28" x14ac:dyDescent="0.3">
      <c r="A506" s="32">
        <f>VLOOKUP(YEAR(C506),Flags!$A$13:$B$95,2,FALSE)</f>
        <v>4</v>
      </c>
      <c r="B506" s="24">
        <f t="shared" si="739"/>
        <v>1976</v>
      </c>
      <c r="C506" s="25">
        <v>28064</v>
      </c>
      <c r="D506" s="26"/>
      <c r="E506" s="24"/>
      <c r="F506" s="26"/>
      <c r="G506" s="26"/>
      <c r="H506" s="26"/>
      <c r="I506" s="26"/>
      <c r="J506" s="26"/>
      <c r="K506" s="26"/>
      <c r="L506" s="24"/>
      <c r="M506" s="24"/>
      <c r="N506" s="26"/>
      <c r="O506" s="26"/>
      <c r="P506" s="26"/>
      <c r="Q506" s="26"/>
      <c r="R506" s="26"/>
      <c r="S506" s="26"/>
      <c r="T506" s="26"/>
      <c r="U506" s="26"/>
      <c r="V506" s="26"/>
      <c r="W506" s="26">
        <f>MAX($C$9-VLOOKUP($C506,COS!$B$8:$H$991,3,FALSE),0)</f>
        <v>0</v>
      </c>
      <c r="X506" s="26">
        <f t="shared" si="769"/>
        <v>0</v>
      </c>
      <c r="Y506" s="26">
        <f>VLOOKUP($C506,COS!$B$8:$H$991,4,FALSE)</f>
        <v>1735.9190673828125</v>
      </c>
      <c r="Z506" s="26">
        <f t="shared" si="770"/>
        <v>106.73750298618285</v>
      </c>
      <c r="AA506" s="26">
        <f t="shared" si="810"/>
        <v>0</v>
      </c>
      <c r="AB506" s="33">
        <f t="shared" si="752"/>
        <v>0</v>
      </c>
    </row>
    <row r="507" spans="1:28" x14ac:dyDescent="0.3">
      <c r="A507" s="32">
        <f>VLOOKUP(YEAR(C507),Flags!$A$13:$B$95,2,FALSE)</f>
        <v>4</v>
      </c>
      <c r="B507" s="24">
        <f t="shared" si="739"/>
        <v>1976</v>
      </c>
      <c r="C507" s="25">
        <v>28094</v>
      </c>
      <c r="D507" s="26"/>
      <c r="E507" s="24"/>
      <c r="F507" s="26"/>
      <c r="G507" s="26"/>
      <c r="H507" s="26"/>
      <c r="I507" s="26"/>
      <c r="J507" s="26"/>
      <c r="K507" s="26"/>
      <c r="L507" s="24"/>
      <c r="M507" s="24"/>
      <c r="N507" s="26"/>
      <c r="O507" s="26"/>
      <c r="P507" s="26"/>
      <c r="Q507" s="26"/>
      <c r="R507" s="26"/>
      <c r="S507" s="26"/>
      <c r="T507" s="26"/>
      <c r="U507" s="26"/>
      <c r="V507" s="26"/>
      <c r="W507" s="26">
        <f>MAX($C$10-VLOOKUP($C507,COS!$B$8:$H$991,3,FALSE),0)</f>
        <v>0</v>
      </c>
      <c r="X507" s="26">
        <f t="shared" si="769"/>
        <v>0</v>
      </c>
      <c r="Y507" s="26">
        <f>VLOOKUP($C507,COS!$B$8:$H$991,4,FALSE)</f>
        <v>1444.778564453125</v>
      </c>
      <c r="Z507" s="26">
        <f t="shared" si="770"/>
        <v>85.970294744318181</v>
      </c>
      <c r="AA507" s="26">
        <f t="shared" si="810"/>
        <v>0</v>
      </c>
      <c r="AB507" s="33">
        <f t="shared" si="752"/>
        <v>0</v>
      </c>
    </row>
    <row r="508" spans="1:28" x14ac:dyDescent="0.3">
      <c r="A508" s="34">
        <f>VLOOKUP(YEAR(C508),Flags!$A$13:$B$95,2,FALSE)</f>
        <v>4</v>
      </c>
      <c r="B508" s="35">
        <f t="shared" si="739"/>
        <v>1976</v>
      </c>
      <c r="C508" s="36">
        <v>28125</v>
      </c>
      <c r="D508" s="37"/>
      <c r="E508" s="35"/>
      <c r="F508" s="37"/>
      <c r="G508" s="37"/>
      <c r="H508" s="37"/>
      <c r="I508" s="37"/>
      <c r="J508" s="37"/>
      <c r="K508" s="37"/>
      <c r="L508" s="35"/>
      <c r="M508" s="35"/>
      <c r="N508" s="37"/>
      <c r="O508" s="37"/>
      <c r="P508" s="37"/>
      <c r="Q508" s="37"/>
      <c r="R508" s="37"/>
      <c r="S508" s="37"/>
      <c r="T508" s="37"/>
      <c r="U508" s="37"/>
      <c r="V508" s="37"/>
      <c r="W508" s="37">
        <f>MAX($C$11-VLOOKUP($C508,COS!$B$8:$H$991,3,FALSE),0)</f>
        <v>0</v>
      </c>
      <c r="X508" s="37">
        <f t="shared" si="769"/>
        <v>0</v>
      </c>
      <c r="Y508" s="37">
        <f>VLOOKUP($C508,COS!$B$8:$H$991,4,FALSE)</f>
        <v>2446.426025390625</v>
      </c>
      <c r="Z508" s="37">
        <f t="shared" si="770"/>
        <v>150.42487296616736</v>
      </c>
      <c r="AA508" s="37">
        <f t="shared" si="810"/>
        <v>0</v>
      </c>
      <c r="AB508" s="38">
        <f t="shared" si="752"/>
        <v>0</v>
      </c>
    </row>
    <row r="509" spans="1:28" x14ac:dyDescent="0.3">
      <c r="A509" s="27">
        <f>VLOOKUP(YEAR(C509),Flags!$A$13:$B$95,2,FALSE)</f>
        <v>5</v>
      </c>
      <c r="B509" s="28">
        <f t="shared" si="739"/>
        <v>1977</v>
      </c>
      <c r="C509" s="29">
        <v>28245</v>
      </c>
      <c r="D509" s="30">
        <f>VLOOKUP($C509,COS!$B$8:$H$991,3,FALSE)</f>
        <v>7071.7509765625</v>
      </c>
      <c r="E509" s="28">
        <f>IF(D509&gt;=IF(MONTH($C509)=4,$C$3,IF(MONTH($C509)=5,$C$4,IF(MONTH($C509)=6,$C$5,IF(MONTH($C509)=7,$C$6,"ERROR")))),1,0)</f>
        <v>1</v>
      </c>
      <c r="F509" s="30">
        <f>VLOOKUP($C509,COS!$B$8:$H$991,7,FALSE)</f>
        <v>50.791873931884766</v>
      </c>
      <c r="G509" s="28">
        <f>IF(F509&lt;=IF(MONTH($C509)=4,$F$3,IF(MONTH($C509)=5,$F$4,IF(MONTH($C509)=6,$F$5,IF(MONTH($C509)=7,$F$6,"ERROR")))),1,0)</f>
        <v>1</v>
      </c>
      <c r="H509" s="30">
        <f>IF(J509=1,D509-$C$3,0)</f>
        <v>1071.7509765625</v>
      </c>
      <c r="I509" s="30">
        <f t="shared" si="764"/>
        <v>63.773611828512394</v>
      </c>
      <c r="J509" s="28">
        <f t="shared" ref="J509:J512" si="813">IF(AND(E509=1,G509=1),1,0)</f>
        <v>1</v>
      </c>
      <c r="K509" s="30">
        <f>VLOOKUP($C509,COS!$B$8:$H$991,2,FALSE)</f>
        <v>1944.6558837890625</v>
      </c>
      <c r="L509" s="28">
        <f t="shared" ref="L509" si="814">IF(K509&lt;=IF(MONTH($C509)=4,$I$3,IF(MONTH($C509)=5,$I$4,IF(MONTH($C509)=6,$I$5,IF(MONTH($C509)=7,$I$6,"ERROR")))),1,0)</f>
        <v>1</v>
      </c>
      <c r="M509" s="28">
        <f t="shared" ref="M509" si="815">VLOOKUP($A509,$L$3:$M$7,2,FALSE)</f>
        <v>1</v>
      </c>
      <c r="N509" s="30">
        <f>VLOOKUP($C509,COS!$B$8:$H$991,5,FALSE)</f>
        <v>201.60958862304688</v>
      </c>
      <c r="O509" s="30">
        <f t="shared" ref="O509:O512" si="816">N509*DAY($C509)*86400/43560/1000</f>
        <v>11.996603620544938</v>
      </c>
      <c r="P509" s="30">
        <f>VLOOKUP($C509,COS!$B$8:$H$991,6,FALSE)</f>
        <v>581.802490234375</v>
      </c>
      <c r="Q509" s="30">
        <f t="shared" ref="Q509:Q512" si="817">P509*DAY($C509)*86400/43560/1000</f>
        <v>34.619652311466943</v>
      </c>
      <c r="R509" s="30">
        <f>MIN(IF(MONTH($C509)=4,$S$3,IF(MONTH($C509)=5,$S$4,IF(MONTH($C509)=6,$S$5,IF(MONTH($C509)=7,$S$6,"ERROR")))),MAX(VLOOKUP($C509,COS!$B$8:$K$991,10,FALSE)-IF(MONTH($C509)=4,$Y$3,IF(MONTH($C509)=5,$Y$4,IF(MONTH($C509)=6,$Y$5,IF(MONTH($C509)=7,$Y$6,"ERROR")))),0),MAX(VLOOKUP($C509,COS!$B$8:$K$991,9,FALSE)-IF(MONTH($C509)=4,$V$3,IF(MONTH($C509)=5,$V$4,IF(MONTH($C509)=6,$V$5,IF(MONTH($C509)=7,$V$6,"ERROR"))))-VLOOKUP($C509,COS!$B$8:$K$991,6,FALSE)/2,0))</f>
        <v>1500</v>
      </c>
      <c r="S509" s="30">
        <f t="shared" ref="S509:S512" si="818">R509*DAY($C509)*86400/43560/1000</f>
        <v>89.256198347107429</v>
      </c>
      <c r="T509" s="30">
        <f t="shared" ref="T509:T512" si="819">(O509+Q509)/2+S509</f>
        <v>112.56432631311337</v>
      </c>
      <c r="U509" s="30" t="str">
        <f>IF(VLOOKUP($C509,COS!$B$8:$I$991,8,FALSE)=1,"UWFE","IBU")</f>
        <v>IBU</v>
      </c>
      <c r="V509" s="30">
        <f t="shared" ref="V509" si="820">MIN(IF(IF($AA$3=2,AND(E509=1,G509=1,L509=1,L514=1,M509=1,U509="IBU"),AND(E509=1,G509=1,L509=1,L514=1,M509=1)),T509,0),I509)</f>
        <v>63.773611828512394</v>
      </c>
      <c r="W509" s="30"/>
      <c r="X509" s="30"/>
      <c r="Y509" s="30"/>
      <c r="Z509" s="30"/>
      <c r="AA509" s="30"/>
      <c r="AB509" s="31"/>
    </row>
    <row r="510" spans="1:28" x14ac:dyDescent="0.3">
      <c r="A510" s="32">
        <f>VLOOKUP(YEAR(C510),Flags!$A$13:$B$95,2,FALSE)</f>
        <v>5</v>
      </c>
      <c r="B510" s="24">
        <f t="shared" si="739"/>
        <v>1977</v>
      </c>
      <c r="C510" s="25">
        <v>28276</v>
      </c>
      <c r="D510" s="26">
        <f>VLOOKUP($C510,COS!$B$8:$H$991,3,FALSE)</f>
        <v>5902.6396484375</v>
      </c>
      <c r="E510" s="24">
        <f>IF(D510&gt;=IF(MONTH($C510)=4,$C$3,IF(MONTH($C510)=5,$C$4,IF(MONTH($C510)=6,$C$5,IF(MONTH($C510)=7,$C$6,"ERROR")))),1,0)</f>
        <v>0</v>
      </c>
      <c r="F510" s="26">
        <f>VLOOKUP($C510,COS!$B$8:$H$991,7,FALSE)</f>
        <v>52.327152252197266</v>
      </c>
      <c r="G510" s="24">
        <f>IF(F510&lt;=IF(MONTH($C510)=4,$F$3,IF(MONTH($C510)=5,$F$4,IF(MONTH($C510)=6,$F$5,IF(MONTH($C510)=7,$F$6,"ERROR")))),1,0)</f>
        <v>1</v>
      </c>
      <c r="H510" s="26">
        <f>IF(J510=1,D510-$C$4,0)</f>
        <v>0</v>
      </c>
      <c r="I510" s="26">
        <f t="shared" si="764"/>
        <v>0</v>
      </c>
      <c r="J510" s="24">
        <f t="shared" si="813"/>
        <v>0</v>
      </c>
      <c r="K510" s="26">
        <f>VLOOKUP($C510,COS!$B$8:$H$991,2,FALSE)</f>
        <v>1775.2607421875</v>
      </c>
      <c r="L510" s="24">
        <f t="shared" si="741"/>
        <v>1</v>
      </c>
      <c r="M510" s="24">
        <f t="shared" si="742"/>
        <v>1</v>
      </c>
      <c r="N510" s="26">
        <f>VLOOKUP($C510,COS!$B$8:$H$991,5,FALSE)</f>
        <v>129.15513610839844</v>
      </c>
      <c r="O510" s="26">
        <f t="shared" si="816"/>
        <v>7.941439773937887</v>
      </c>
      <c r="P510" s="26">
        <f>VLOOKUP($C510,COS!$B$8:$H$991,6,FALSE)</f>
        <v>1768.8984375</v>
      </c>
      <c r="Q510" s="26">
        <f t="shared" si="817"/>
        <v>108.76532541322314</v>
      </c>
      <c r="R510" s="26">
        <f>MIN(IF(MONTH($C510)=4,$S$3,IF(MONTH($C510)=5,$S$4,IF(MONTH($C510)=6,$S$5,IF(MONTH($C510)=7,$S$6,"ERROR")))),MAX(VLOOKUP($C510,COS!$B$8:$K$991,10,FALSE)-IF(MONTH($C510)=4,$Y$3,IF(MONTH($C510)=5,$Y$4,IF(MONTH($C510)=6,$Y$5,IF(MONTH($C510)=7,$Y$6,"ERROR")))),0),MAX(VLOOKUP($C510,COS!$B$8:$K$991,9,FALSE)-IF(MONTH($C510)=4,$V$3,IF(MONTH($C510)=5,$V$4,IF(MONTH($C510)=6,$V$5,IF(MONTH($C510)=7,$V$6,"ERROR"))))-VLOOKUP($C510,COS!$B$8:$K$991,6,FALSE)/2,0))</f>
        <v>1500</v>
      </c>
      <c r="S510" s="26">
        <f t="shared" si="818"/>
        <v>92.231404958677686</v>
      </c>
      <c r="T510" s="26">
        <f t="shared" si="819"/>
        <v>150.58478755225821</v>
      </c>
      <c r="U510" s="26" t="str">
        <f>IF(VLOOKUP($C510,COS!$B$8:$I$991,8,FALSE)=1,"UWFE","IBU")</f>
        <v>IBU</v>
      </c>
      <c r="V510" s="26">
        <f t="shared" ref="V510" si="821">MIN(IF(IF($AA$3=2,AND(E510=1,G510=1,L510=1,L514=1,M510=1,U510="IBU"),AND(E510=1,G510=1,L510=1,L514=1,M510=1)),T510,0),I510)</f>
        <v>0</v>
      </c>
      <c r="W510" s="26"/>
      <c r="X510" s="26"/>
      <c r="Y510" s="26"/>
      <c r="Z510" s="26"/>
      <c r="AA510" s="26"/>
      <c r="AB510" s="33"/>
    </row>
    <row r="511" spans="1:28" x14ac:dyDescent="0.3">
      <c r="A511" s="32">
        <f>VLOOKUP(YEAR(C511),Flags!$A$13:$B$95,2,FALSE)</f>
        <v>5</v>
      </c>
      <c r="B511" s="24">
        <f t="shared" si="739"/>
        <v>1977</v>
      </c>
      <c r="C511" s="25">
        <v>28306</v>
      </c>
      <c r="D511" s="26">
        <f>VLOOKUP($C511,COS!$B$8:$H$991,3,FALSE)</f>
        <v>12227.62890625</v>
      </c>
      <c r="E511" s="24">
        <f>IF(D511&gt;=IF(MONTH($C511)=4,$C$3,IF(MONTH($C511)=5,$C$4,IF(MONTH($C511)=6,$C$5,IF(MONTH($C511)=7,$C$6,"ERROR")))),1,0)</f>
        <v>1</v>
      </c>
      <c r="F511" s="26">
        <f>VLOOKUP($C511,COS!$B$8:$H$991,7,FALSE)</f>
        <v>54.287090301513672</v>
      </c>
      <c r="G511" s="24">
        <f>IF(F511&lt;=IF(MONTH($C511)=4,$F$3,IF(MONTH($C511)=5,$F$4,IF(MONTH($C511)=6,$F$5,IF(MONTH($C511)=7,$F$6,"ERROR")))),1,0)</f>
        <v>1</v>
      </c>
      <c r="H511" s="26">
        <f>IF(J511=1,D511-$C$5,0)</f>
        <v>2227.62890625</v>
      </c>
      <c r="I511" s="26">
        <f t="shared" si="764"/>
        <v>132.55312499999999</v>
      </c>
      <c r="J511" s="24">
        <f t="shared" si="813"/>
        <v>1</v>
      </c>
      <c r="K511" s="26">
        <f>VLOOKUP($C511,COS!$B$8:$H$991,2,FALSE)</f>
        <v>1227.3997802734375</v>
      </c>
      <c r="L511" s="24">
        <f t="shared" si="741"/>
        <v>1</v>
      </c>
      <c r="M511" s="24">
        <f t="shared" si="742"/>
        <v>1</v>
      </c>
      <c r="N511" s="26">
        <f>VLOOKUP($C511,COS!$B$8:$H$991,5,FALSE)</f>
        <v>215.26878356933594</v>
      </c>
      <c r="O511" s="26">
        <f t="shared" si="816"/>
        <v>12.809382162803461</v>
      </c>
      <c r="P511" s="26">
        <f>VLOOKUP($C511,COS!$B$8:$H$991,6,FALSE)</f>
        <v>2477.72265625</v>
      </c>
      <c r="Q511" s="26">
        <f t="shared" si="817"/>
        <v>147.43473657024794</v>
      </c>
      <c r="R511" s="26">
        <f>MIN(IF(MONTH($C511)=4,$S$3,IF(MONTH($C511)=5,$S$4,IF(MONTH($C511)=6,$S$5,IF(MONTH($C511)=7,$S$6,"ERROR")))),MAX(VLOOKUP($C511,COS!$B$8:$K$991,10,FALSE)-IF(MONTH($C511)=4,$Y$3,IF(MONTH($C511)=5,$Y$4,IF(MONTH($C511)=6,$Y$5,IF(MONTH($C511)=7,$Y$6,"ERROR")))),0),MAX(VLOOKUP($C511,COS!$B$8:$K$991,9,FALSE)-IF(MONTH($C511)=4,$V$3,IF(MONTH($C511)=5,$V$4,IF(MONTH($C511)=6,$V$5,IF(MONTH($C511)=7,$V$6,"ERROR"))))-VLOOKUP($C511,COS!$B$8:$K$991,6,FALSE)/2,0))</f>
        <v>1500</v>
      </c>
      <c r="S511" s="26">
        <f t="shared" si="818"/>
        <v>89.256198347107429</v>
      </c>
      <c r="T511" s="26">
        <f t="shared" si="819"/>
        <v>169.37825771363313</v>
      </c>
      <c r="U511" s="26" t="str">
        <f>IF(VLOOKUP($C511,COS!$B$8:$I$991,8,FALSE)=1,"UWFE","IBU")</f>
        <v>IBU</v>
      </c>
      <c r="V511" s="26">
        <f t="shared" ref="V511" si="822">MIN(IF(IF($AA$3=2,AND(E511=1,G511=1,L511=1,L514=1,M511=1,U511="IBU"),AND(E511=1,G511=1,L511=1,L514=1,M511=1)),T511,0),I511)</f>
        <v>132.55312499999999</v>
      </c>
      <c r="W511" s="26"/>
      <c r="X511" s="26"/>
      <c r="Y511" s="26"/>
      <c r="Z511" s="26"/>
      <c r="AA511" s="26"/>
      <c r="AB511" s="33"/>
    </row>
    <row r="512" spans="1:28" x14ac:dyDescent="0.3">
      <c r="A512" s="32">
        <f>VLOOKUP(YEAR(C512),Flags!$A$13:$B$95,2,FALSE)</f>
        <v>5</v>
      </c>
      <c r="B512" s="24">
        <f t="shared" si="739"/>
        <v>1977</v>
      </c>
      <c r="C512" s="25">
        <v>28337</v>
      </c>
      <c r="D512" s="26">
        <f>VLOOKUP($C512,COS!$B$8:$H$991,3,FALSE)</f>
        <v>12847.9814453125</v>
      </c>
      <c r="E512" s="24">
        <f>IF(D512&gt;=IF(MONTH($C512)=4,$C$3,IF(MONTH($C512)=5,$C$4,IF(MONTH($C512)=6,$C$5,IF(MONTH($C512)=7,$C$6,"ERROR")))),1,0)</f>
        <v>1</v>
      </c>
      <c r="F512" s="26">
        <f>VLOOKUP($C512,COS!$B$8:$H$991,7,FALSE)</f>
        <v>56.79901123046875</v>
      </c>
      <c r="G512" s="24">
        <f>IF(F512&lt;=IF(MONTH($C512)=4,$F$3,IF(MONTH($C512)=5,$F$4,IF(MONTH($C512)=6,$F$5,IF(MONTH($C512)=7,$F$6,"ERROR")))),1,0)</f>
        <v>0</v>
      </c>
      <c r="H512" s="26">
        <f>IF(J512=1,D512-$C$6,0)</f>
        <v>0</v>
      </c>
      <c r="I512" s="26">
        <f t="shared" si="764"/>
        <v>0</v>
      </c>
      <c r="J512" s="24">
        <f t="shared" si="813"/>
        <v>0</v>
      </c>
      <c r="K512" s="26">
        <f>VLOOKUP($C512,COS!$B$8:$H$991,2,FALSE)</f>
        <v>674.0113525390625</v>
      </c>
      <c r="L512" s="24">
        <f t="shared" si="741"/>
        <v>1</v>
      </c>
      <c r="M512" s="24">
        <f t="shared" si="742"/>
        <v>1</v>
      </c>
      <c r="N512" s="26">
        <f>VLOOKUP($C512,COS!$B$8:$H$991,5,FALSE)</f>
        <v>236.5211181640625</v>
      </c>
      <c r="O512" s="26">
        <f t="shared" si="816"/>
        <v>14.543116687112603</v>
      </c>
      <c r="P512" s="26">
        <f>VLOOKUP($C512,COS!$B$8:$H$991,6,FALSE)</f>
        <v>2273.37158203125</v>
      </c>
      <c r="Q512" s="26">
        <f t="shared" si="817"/>
        <v>139.78417000258267</v>
      </c>
      <c r="R512" s="26">
        <f>MIN(IF(MONTH($C512)=4,$S$3,IF(MONTH($C512)=5,$S$4,IF(MONTH($C512)=6,$S$5,IF(MONTH($C512)=7,$S$6,"ERROR")))),MAX(VLOOKUP($C512,COS!$B$8:$K$991,10,FALSE)-IF(MONTH($C512)=4,$Y$3,IF(MONTH($C512)=5,$Y$4,IF(MONTH($C512)=6,$Y$5,IF(MONTH($C512)=7,$Y$6,"ERROR")))),0),MAX(VLOOKUP($C512,COS!$B$8:$K$991,9,FALSE)-IF(MONTH($C512)=4,$V$3,IF(MONTH($C512)=5,$V$4,IF(MONTH($C512)=6,$V$5,IF(MONTH($C512)=7,$V$6,"ERROR"))))-VLOOKUP($C512,COS!$B$8:$K$991,6,FALSE)/2,0))</f>
        <v>1500</v>
      </c>
      <c r="S512" s="26">
        <f t="shared" si="818"/>
        <v>92.231404958677686</v>
      </c>
      <c r="T512" s="26">
        <f t="shared" si="819"/>
        <v>169.39504830352533</v>
      </c>
      <c r="U512" s="26" t="str">
        <f>IF(VLOOKUP($C512,COS!$B$8:$I$991,8,FALSE)=1,"UWFE","IBU")</f>
        <v>IBU</v>
      </c>
      <c r="V512" s="26">
        <f t="shared" ref="V512" si="823">MIN(IF(IF($AA$3=2,AND(E512=1,G512=1,L512=1,L514=1,M512=1,U512="IBU"),AND(E512=1,G512=1,L512=1,L514=1,M512=1)),T512,0),I512)</f>
        <v>0</v>
      </c>
      <c r="W512" s="26"/>
      <c r="X512" s="26"/>
      <c r="Y512" s="26"/>
      <c r="Z512" s="26"/>
      <c r="AA512" s="26"/>
      <c r="AB512" s="33"/>
    </row>
    <row r="513" spans="1:28" x14ac:dyDescent="0.3">
      <c r="A513" s="32">
        <f>VLOOKUP(YEAR(C513),Flags!$A$13:$B$95,2,FALSE)</f>
        <v>5</v>
      </c>
      <c r="B513" s="24">
        <f t="shared" si="739"/>
        <v>1977</v>
      </c>
      <c r="C513" s="25">
        <v>28368</v>
      </c>
      <c r="D513" s="26"/>
      <c r="E513" s="24"/>
      <c r="F513" s="26"/>
      <c r="G513" s="24"/>
      <c r="H513" s="24"/>
      <c r="I513" s="26"/>
      <c r="J513" s="24"/>
      <c r="K513" s="26"/>
      <c r="L513" s="24"/>
      <c r="M513" s="24"/>
      <c r="N513" s="26"/>
      <c r="O513" s="26"/>
      <c r="P513" s="26"/>
      <c r="Q513" s="26"/>
      <c r="R513" s="26"/>
      <c r="S513" s="26"/>
      <c r="T513" s="26"/>
      <c r="U513" s="26"/>
      <c r="V513" s="26"/>
      <c r="W513" s="26">
        <f>MAX($C$7-VLOOKUP($C513,COS!$B$8:$H$991,3,FALSE),0)</f>
        <v>2812.39453125</v>
      </c>
      <c r="X513" s="26">
        <f t="shared" si="769"/>
        <v>172.92739927685952</v>
      </c>
      <c r="Y513" s="26">
        <f>VLOOKUP($C513,COS!$B$8:$H$991,4,FALSE)</f>
        <v>3103.3232421875</v>
      </c>
      <c r="Z513" s="26">
        <f t="shared" si="770"/>
        <v>190.81590844524794</v>
      </c>
      <c r="AA513" s="26">
        <f t="shared" ref="AA513:AA517" si="824">MIN(W513,Y513)</f>
        <v>2812.39453125</v>
      </c>
      <c r="AB513" s="33">
        <f t="shared" ref="AB513" si="825">AA513*DAY($C513)*86400/43560/1000*IF(MONTH($C513)=8,$P$3,IF(MONTH($C513)=9,$P$4,IF(MONTH($C513)=10,$P$5,IF(MONTH($C513)=11,$P$6,IF(MONTH($C513)=12,$P$7,NA())))))</f>
        <v>172.92739927685952</v>
      </c>
    </row>
    <row r="514" spans="1:28" x14ac:dyDescent="0.3">
      <c r="A514" s="32">
        <f>VLOOKUP(YEAR(C514),Flags!$A$13:$B$95,2,FALSE)</f>
        <v>5</v>
      </c>
      <c r="B514" s="24">
        <f t="shared" si="739"/>
        <v>1977</v>
      </c>
      <c r="C514" s="25">
        <v>28398</v>
      </c>
      <c r="D514" s="26"/>
      <c r="E514" s="24"/>
      <c r="F514" s="26"/>
      <c r="G514" s="24"/>
      <c r="H514" s="24"/>
      <c r="I514" s="26"/>
      <c r="J514" s="24"/>
      <c r="K514" s="26">
        <f>VLOOKUP($C514,COS!$B$8:$H$991,2,FALSE)</f>
        <v>550</v>
      </c>
      <c r="L514" s="24">
        <f t="shared" ref="L514" si="826">IF(AND(K514&gt;$I$7,K514&lt;$I$8),1,0)</f>
        <v>1</v>
      </c>
      <c r="M514" s="24"/>
      <c r="N514" s="26"/>
      <c r="O514" s="26"/>
      <c r="P514" s="26"/>
      <c r="Q514" s="26"/>
      <c r="R514" s="26"/>
      <c r="S514" s="26"/>
      <c r="T514" s="26"/>
      <c r="U514" s="26"/>
      <c r="V514" s="26"/>
      <c r="W514" s="26">
        <f>MAX($C$8-VLOOKUP($C514,COS!$B$8:$H$991,3,FALSE),0)</f>
        <v>2011.7861328125</v>
      </c>
      <c r="X514" s="26">
        <f t="shared" si="769"/>
        <v>119.70958806818183</v>
      </c>
      <c r="Y514" s="26">
        <f>VLOOKUP($C514,COS!$B$8:$H$991,4,FALSE)</f>
        <v>2002.165283203125</v>
      </c>
      <c r="Z514" s="26">
        <f t="shared" si="770"/>
        <v>119.13710776084712</v>
      </c>
      <c r="AA514" s="26">
        <f t="shared" si="824"/>
        <v>2002.165283203125</v>
      </c>
      <c r="AB514" s="33">
        <f t="shared" si="752"/>
        <v>119.13710776084712</v>
      </c>
    </row>
    <row r="515" spans="1:28" x14ac:dyDescent="0.3">
      <c r="A515" s="32">
        <f>VLOOKUP(YEAR(C515),Flags!$A$13:$B$95,2,FALSE)</f>
        <v>5</v>
      </c>
      <c r="B515" s="24">
        <f t="shared" si="739"/>
        <v>1977</v>
      </c>
      <c r="C515" s="25">
        <v>28429</v>
      </c>
      <c r="D515" s="26"/>
      <c r="E515" s="24"/>
      <c r="F515" s="26"/>
      <c r="G515" s="26"/>
      <c r="H515" s="26"/>
      <c r="I515" s="26"/>
      <c r="J515" s="26"/>
      <c r="K515" s="26"/>
      <c r="L515" s="24"/>
      <c r="M515" s="24"/>
      <c r="N515" s="26"/>
      <c r="O515" s="26"/>
      <c r="P515" s="26"/>
      <c r="Q515" s="26"/>
      <c r="R515" s="26"/>
      <c r="S515" s="26"/>
      <c r="T515" s="26"/>
      <c r="U515" s="26"/>
      <c r="V515" s="26"/>
      <c r="W515" s="26">
        <f>MAX($C$9-VLOOKUP($C515,COS!$B$8:$H$991,3,FALSE),0)</f>
        <v>0</v>
      </c>
      <c r="X515" s="26">
        <f t="shared" si="769"/>
        <v>0</v>
      </c>
      <c r="Y515" s="26">
        <f>VLOOKUP($C515,COS!$B$8:$H$991,4,FALSE)</f>
        <v>1799.302734375</v>
      </c>
      <c r="Z515" s="26">
        <f t="shared" si="770"/>
        <v>110.63481275826447</v>
      </c>
      <c r="AA515" s="26">
        <f t="shared" si="824"/>
        <v>0</v>
      </c>
      <c r="AB515" s="33">
        <f t="shared" si="752"/>
        <v>0</v>
      </c>
    </row>
    <row r="516" spans="1:28" x14ac:dyDescent="0.3">
      <c r="A516" s="32">
        <f>VLOOKUP(YEAR(C516),Flags!$A$13:$B$95,2,FALSE)</f>
        <v>5</v>
      </c>
      <c r="B516" s="24">
        <f t="shared" si="739"/>
        <v>1977</v>
      </c>
      <c r="C516" s="25">
        <v>28459</v>
      </c>
      <c r="D516" s="26"/>
      <c r="E516" s="24"/>
      <c r="F516" s="26"/>
      <c r="G516" s="26"/>
      <c r="H516" s="26"/>
      <c r="I516" s="26"/>
      <c r="J516" s="26"/>
      <c r="K516" s="26"/>
      <c r="L516" s="24"/>
      <c r="M516" s="24"/>
      <c r="N516" s="26"/>
      <c r="O516" s="26"/>
      <c r="P516" s="26"/>
      <c r="Q516" s="26"/>
      <c r="R516" s="26"/>
      <c r="S516" s="26"/>
      <c r="T516" s="26"/>
      <c r="U516" s="26"/>
      <c r="V516" s="26"/>
      <c r="W516" s="26">
        <f>MAX($C$10-VLOOKUP($C516,COS!$B$8:$H$991,3,FALSE),0)</f>
        <v>1635.680419921875</v>
      </c>
      <c r="X516" s="26">
        <f t="shared" si="769"/>
        <v>97.329743995351237</v>
      </c>
      <c r="Y516" s="26">
        <f>VLOOKUP($C516,COS!$B$8:$H$991,4,FALSE)</f>
        <v>1647.787109375</v>
      </c>
      <c r="Z516" s="26">
        <f t="shared" si="770"/>
        <v>98.05014204545455</v>
      </c>
      <c r="AA516" s="26">
        <f t="shared" si="824"/>
        <v>1635.680419921875</v>
      </c>
      <c r="AB516" s="33">
        <f t="shared" si="752"/>
        <v>97.329743995351237</v>
      </c>
    </row>
    <row r="517" spans="1:28" x14ac:dyDescent="0.3">
      <c r="A517" s="34">
        <f>VLOOKUP(YEAR(C517),Flags!$A$13:$B$95,2,FALSE)</f>
        <v>5</v>
      </c>
      <c r="B517" s="35">
        <f t="shared" si="739"/>
        <v>1977</v>
      </c>
      <c r="C517" s="36">
        <v>28490</v>
      </c>
      <c r="D517" s="37"/>
      <c r="E517" s="35"/>
      <c r="F517" s="37"/>
      <c r="G517" s="37"/>
      <c r="H517" s="37"/>
      <c r="I517" s="37"/>
      <c r="J517" s="37"/>
      <c r="K517" s="37"/>
      <c r="L517" s="35"/>
      <c r="M517" s="35"/>
      <c r="N517" s="37"/>
      <c r="O517" s="37"/>
      <c r="P517" s="37"/>
      <c r="Q517" s="37"/>
      <c r="R517" s="37"/>
      <c r="S517" s="37"/>
      <c r="T517" s="37"/>
      <c r="U517" s="37"/>
      <c r="V517" s="37"/>
      <c r="W517" s="37">
        <f>MAX($C$11-VLOOKUP($C517,COS!$B$8:$H$991,3,FALSE),0)</f>
        <v>1750</v>
      </c>
      <c r="X517" s="37">
        <f t="shared" si="769"/>
        <v>107.60330578512398</v>
      </c>
      <c r="Y517" s="37">
        <f>VLOOKUP($C517,COS!$B$8:$H$991,4,FALSE)</f>
        <v>1898.17529296875</v>
      </c>
      <c r="Z517" s="37">
        <f t="shared" si="770"/>
        <v>116.71424941890496</v>
      </c>
      <c r="AA517" s="37">
        <f t="shared" si="824"/>
        <v>1750</v>
      </c>
      <c r="AB517" s="38">
        <f t="shared" si="752"/>
        <v>107.60330578512398</v>
      </c>
    </row>
    <row r="518" spans="1:28" x14ac:dyDescent="0.3">
      <c r="A518" s="27">
        <f>VLOOKUP(YEAR(C518),Flags!$A$13:$B$95,2,FALSE)</f>
        <v>2</v>
      </c>
      <c r="B518" s="28">
        <f t="shared" si="739"/>
        <v>1978</v>
      </c>
      <c r="C518" s="29">
        <v>28610</v>
      </c>
      <c r="D518" s="30">
        <f>VLOOKUP($C518,COS!$B$8:$H$991,3,FALSE)</f>
        <v>5366.947265625</v>
      </c>
      <c r="E518" s="28">
        <f>IF(D518&gt;=IF(MONTH($C518)=4,$C$3,IF(MONTH($C518)=5,$C$4,IF(MONTH($C518)=6,$C$5,IF(MONTH($C518)=7,$C$6,"ERROR")))),1,0)</f>
        <v>0</v>
      </c>
      <c r="F518" s="30">
        <f>VLOOKUP($C518,COS!$B$8:$H$991,7,FALSE)</f>
        <v>47.174221038818359</v>
      </c>
      <c r="G518" s="28">
        <f>IF(F518&lt;=IF(MONTH($C518)=4,$F$3,IF(MONTH($C518)=5,$F$4,IF(MONTH($C518)=6,$F$5,IF(MONTH($C518)=7,$F$6,"ERROR")))),1,0)</f>
        <v>1</v>
      </c>
      <c r="H518" s="30">
        <f>IF(J518=1,D518-$C$3,0)</f>
        <v>0</v>
      </c>
      <c r="I518" s="30">
        <f t="shared" si="764"/>
        <v>0</v>
      </c>
      <c r="J518" s="28">
        <f t="shared" ref="J518:J521" si="827">IF(AND(E518=1,G518=1),1,0)</f>
        <v>0</v>
      </c>
      <c r="K518" s="30">
        <f>VLOOKUP($C518,COS!$B$8:$H$991,2,FALSE)</f>
        <v>4552</v>
      </c>
      <c r="L518" s="28">
        <f t="shared" ref="L518" si="828">IF(K518&lt;=IF(MONTH($C518)=4,$I$3,IF(MONTH($C518)=5,$I$4,IF(MONTH($C518)=6,$I$5,IF(MONTH($C518)=7,$I$6,"ERROR")))),1,0)</f>
        <v>1</v>
      </c>
      <c r="M518" s="28">
        <f t="shared" ref="M518" si="829">VLOOKUP($A518,$L$3:$M$7,2,FALSE)</f>
        <v>0</v>
      </c>
      <c r="N518" s="30">
        <f>VLOOKUP($C518,COS!$B$8:$H$991,5,FALSE)</f>
        <v>14.349928855895996</v>
      </c>
      <c r="O518" s="30">
        <f t="shared" ref="O518:O521" si="830">N518*DAY($C518)*86400/43560/1000</f>
        <v>0.85388006415248896</v>
      </c>
      <c r="P518" s="30">
        <f>VLOOKUP($C518,COS!$B$8:$H$991,6,FALSE)</f>
        <v>353.44631958007813</v>
      </c>
      <c r="Q518" s="30">
        <f t="shared" ref="Q518:Q521" si="831">P518*DAY($C518)*86400/43560/1000</f>
        <v>21.031516536996385</v>
      </c>
      <c r="R518" s="30">
        <f>MIN(IF(MONTH($C518)=4,$S$3,IF(MONTH($C518)=5,$S$4,IF(MONTH($C518)=6,$S$5,IF(MONTH($C518)=7,$S$6,"ERROR")))),MAX(VLOOKUP($C518,COS!$B$8:$K$991,10,FALSE)-IF(MONTH($C518)=4,$Y$3,IF(MONTH($C518)=5,$Y$4,IF(MONTH($C518)=6,$Y$5,IF(MONTH($C518)=7,$Y$6,"ERROR")))),0),MAX(VLOOKUP($C518,COS!$B$8:$K$991,9,FALSE)-IF(MONTH($C518)=4,$V$3,IF(MONTH($C518)=5,$V$4,IF(MONTH($C518)=6,$V$5,IF(MONTH($C518)=7,$V$6,"ERROR"))))-VLOOKUP($C518,COS!$B$8:$K$991,6,FALSE)/2,0))</f>
        <v>1500</v>
      </c>
      <c r="S518" s="30">
        <f t="shared" ref="S518:S521" si="832">R518*DAY($C518)*86400/43560/1000</f>
        <v>89.256198347107429</v>
      </c>
      <c r="T518" s="30">
        <f t="shared" ref="T518:T521" si="833">(O518+Q518)/2+S518</f>
        <v>100.19889664768186</v>
      </c>
      <c r="U518" s="30" t="str">
        <f>IF(VLOOKUP($C518,COS!$B$8:$I$991,8,FALSE)=1,"UWFE","IBU")</f>
        <v>UWFE</v>
      </c>
      <c r="V518" s="30">
        <f t="shared" ref="V518" si="834">MIN(IF(IF($AA$3=2,AND(E518=1,G518=1,L518=1,L523=1,M518=1,U518="IBU"),AND(E518=1,G518=1,L518=1,L523=1,M518=1)),T518,0),I518)</f>
        <v>0</v>
      </c>
      <c r="W518" s="30"/>
      <c r="X518" s="30"/>
      <c r="Y518" s="30"/>
      <c r="Z518" s="30"/>
      <c r="AA518" s="30"/>
      <c r="AB518" s="31"/>
    </row>
    <row r="519" spans="1:28" x14ac:dyDescent="0.3">
      <c r="A519" s="32">
        <f>VLOOKUP(YEAR(C519),Flags!$A$13:$B$95,2,FALSE)</f>
        <v>2</v>
      </c>
      <c r="B519" s="24">
        <f t="shared" si="739"/>
        <v>1978</v>
      </c>
      <c r="C519" s="25">
        <v>28641</v>
      </c>
      <c r="D519" s="26">
        <f>VLOOKUP($C519,COS!$B$8:$H$991,3,FALSE)</f>
        <v>8295.84765625</v>
      </c>
      <c r="E519" s="24">
        <f>IF(D519&gt;=IF(MONTH($C519)=4,$C$3,IF(MONTH($C519)=5,$C$4,IF(MONTH($C519)=6,$C$5,IF(MONTH($C519)=7,$C$6,"ERROR")))),1,0)</f>
        <v>1</v>
      </c>
      <c r="F519" s="26">
        <f>VLOOKUP($C519,COS!$B$8:$H$991,7,FALSE)</f>
        <v>48.754131317138672</v>
      </c>
      <c r="G519" s="24">
        <f>IF(F519&lt;=IF(MONTH($C519)=4,$F$3,IF(MONTH($C519)=5,$F$4,IF(MONTH($C519)=6,$F$5,IF(MONTH($C519)=7,$F$6,"ERROR")))),1,0)</f>
        <v>1</v>
      </c>
      <c r="H519" s="26">
        <f>IF(J519=1,D519-$C$4,0)</f>
        <v>2295.84765625</v>
      </c>
      <c r="I519" s="26">
        <f t="shared" si="764"/>
        <v>141.16616993801654</v>
      </c>
      <c r="J519" s="24">
        <f t="shared" si="827"/>
        <v>1</v>
      </c>
      <c r="K519" s="26">
        <f>VLOOKUP($C519,COS!$B$8:$H$991,2,FALSE)</f>
        <v>4552</v>
      </c>
      <c r="L519" s="24">
        <f t="shared" si="741"/>
        <v>1</v>
      </c>
      <c r="M519" s="24">
        <f t="shared" si="742"/>
        <v>0</v>
      </c>
      <c r="N519" s="26">
        <f>VLOOKUP($C519,COS!$B$8:$H$991,5,FALSE)</f>
        <v>802.34027099609375</v>
      </c>
      <c r="O519" s="26">
        <f t="shared" si="830"/>
        <v>49.333980299263942</v>
      </c>
      <c r="P519" s="26">
        <f>VLOOKUP($C519,COS!$B$8:$H$991,6,FALSE)</f>
        <v>2254.8779296875</v>
      </c>
      <c r="Q519" s="26">
        <f t="shared" si="831"/>
        <v>138.64703964359506</v>
      </c>
      <c r="R519" s="26">
        <f>MIN(IF(MONTH($C519)=4,$S$3,IF(MONTH($C519)=5,$S$4,IF(MONTH($C519)=6,$S$5,IF(MONTH($C519)=7,$S$6,"ERROR")))),MAX(VLOOKUP($C519,COS!$B$8:$K$991,10,FALSE)-IF(MONTH($C519)=4,$Y$3,IF(MONTH($C519)=5,$Y$4,IF(MONTH($C519)=6,$Y$5,IF(MONTH($C519)=7,$Y$6,"ERROR")))),0),MAX(VLOOKUP($C519,COS!$B$8:$K$991,9,FALSE)-IF(MONTH($C519)=4,$V$3,IF(MONTH($C519)=5,$V$4,IF(MONTH($C519)=6,$V$5,IF(MONTH($C519)=7,$V$6,"ERROR"))))-VLOOKUP($C519,COS!$B$8:$K$991,6,FALSE)/2,0))</f>
        <v>1500</v>
      </c>
      <c r="S519" s="26">
        <f t="shared" si="832"/>
        <v>92.231404958677686</v>
      </c>
      <c r="T519" s="26">
        <f t="shared" si="833"/>
        <v>186.22191493010718</v>
      </c>
      <c r="U519" s="26" t="str">
        <f>IF(VLOOKUP($C519,COS!$B$8:$I$991,8,FALSE)=1,"UWFE","IBU")</f>
        <v>UWFE</v>
      </c>
      <c r="V519" s="26">
        <f t="shared" ref="V519" si="835">MIN(IF(IF($AA$3=2,AND(E519=1,G519=1,L519=1,L523=1,M519=1,U519="IBU"),AND(E519=1,G519=1,L519=1,L523=1,M519=1)),T519,0),I519)</f>
        <v>0</v>
      </c>
      <c r="W519" s="26"/>
      <c r="X519" s="26"/>
      <c r="Y519" s="26"/>
      <c r="Z519" s="26"/>
      <c r="AA519" s="26"/>
      <c r="AB519" s="33"/>
    </row>
    <row r="520" spans="1:28" x14ac:dyDescent="0.3">
      <c r="A520" s="32">
        <f>VLOOKUP(YEAR(C520),Flags!$A$13:$B$95,2,FALSE)</f>
        <v>2</v>
      </c>
      <c r="B520" s="24">
        <f t="shared" si="739"/>
        <v>1978</v>
      </c>
      <c r="C520" s="25">
        <v>28671</v>
      </c>
      <c r="D520" s="26">
        <f>VLOOKUP($C520,COS!$B$8:$H$991,3,FALSE)</f>
        <v>9561.716796875</v>
      </c>
      <c r="E520" s="24">
        <f>IF(D520&gt;=IF(MONTH($C520)=4,$C$3,IF(MONTH($C520)=5,$C$4,IF(MONTH($C520)=6,$C$5,IF(MONTH($C520)=7,$C$6,"ERROR")))),1,0)</f>
        <v>0</v>
      </c>
      <c r="F520" s="26">
        <f>VLOOKUP($C520,COS!$B$8:$H$991,7,FALSE)</f>
        <v>49.9637451171875</v>
      </c>
      <c r="G520" s="24">
        <f>IF(F520&lt;=IF(MONTH($C520)=4,$F$3,IF(MONTH($C520)=5,$F$4,IF(MONTH($C520)=6,$F$5,IF(MONTH($C520)=7,$F$6,"ERROR")))),1,0)</f>
        <v>1</v>
      </c>
      <c r="H520" s="26">
        <f>IF(J520=1,D520-$C$5,0)</f>
        <v>0</v>
      </c>
      <c r="I520" s="26">
        <f t="shared" si="764"/>
        <v>0</v>
      </c>
      <c r="J520" s="24">
        <f t="shared" si="827"/>
        <v>0</v>
      </c>
      <c r="K520" s="26">
        <f>VLOOKUP($C520,COS!$B$8:$H$991,2,FALSE)</f>
        <v>4231.4814453125</v>
      </c>
      <c r="L520" s="24">
        <f t="shared" si="741"/>
        <v>1</v>
      </c>
      <c r="M520" s="24">
        <f t="shared" si="742"/>
        <v>0</v>
      </c>
      <c r="N520" s="26">
        <f>VLOOKUP($C520,COS!$B$8:$H$991,5,FALSE)</f>
        <v>1242.423828125</v>
      </c>
      <c r="O520" s="26">
        <f t="shared" si="830"/>
        <v>73.929351756198344</v>
      </c>
      <c r="P520" s="26">
        <f>VLOOKUP($C520,COS!$B$8:$H$991,6,FALSE)</f>
        <v>2349.44482421875</v>
      </c>
      <c r="Q520" s="26">
        <f t="shared" si="831"/>
        <v>139.80167549070248</v>
      </c>
      <c r="R520" s="26">
        <f>MIN(IF(MONTH($C520)=4,$S$3,IF(MONTH($C520)=5,$S$4,IF(MONTH($C520)=6,$S$5,IF(MONTH($C520)=7,$S$6,"ERROR")))),MAX(VLOOKUP($C520,COS!$B$8:$K$991,10,FALSE)-IF(MONTH($C520)=4,$Y$3,IF(MONTH($C520)=5,$Y$4,IF(MONTH($C520)=6,$Y$5,IF(MONTH($C520)=7,$Y$6,"ERROR")))),0),MAX(VLOOKUP($C520,COS!$B$8:$K$991,9,FALSE)-IF(MONTH($C520)=4,$V$3,IF(MONTH($C520)=5,$V$4,IF(MONTH($C520)=6,$V$5,IF(MONTH($C520)=7,$V$6,"ERROR"))))-VLOOKUP($C520,COS!$B$8:$K$991,6,FALSE)/2,0))</f>
        <v>1500</v>
      </c>
      <c r="S520" s="26">
        <f t="shared" si="832"/>
        <v>89.256198347107429</v>
      </c>
      <c r="T520" s="26">
        <f t="shared" si="833"/>
        <v>196.12171197055784</v>
      </c>
      <c r="U520" s="26" t="str">
        <f>IF(VLOOKUP($C520,COS!$B$8:$I$991,8,FALSE)=1,"UWFE","IBU")</f>
        <v>UWFE</v>
      </c>
      <c r="V520" s="26">
        <f t="shared" ref="V520" si="836">MIN(IF(IF($AA$3=2,AND(E520=1,G520=1,L520=1,L523=1,M520=1,U520="IBU"),AND(E520=1,G520=1,L520=1,L523=1,M520=1)),T520,0),I520)</f>
        <v>0</v>
      </c>
      <c r="W520" s="26"/>
      <c r="X520" s="26"/>
      <c r="Y520" s="26"/>
      <c r="Z520" s="26"/>
      <c r="AA520" s="26"/>
      <c r="AB520" s="33"/>
    </row>
    <row r="521" spans="1:28" x14ac:dyDescent="0.3">
      <c r="A521" s="32">
        <f>VLOOKUP(YEAR(C521),Flags!$A$13:$B$95,2,FALSE)</f>
        <v>2</v>
      </c>
      <c r="B521" s="24">
        <f t="shared" si="739"/>
        <v>1978</v>
      </c>
      <c r="C521" s="25">
        <v>28702</v>
      </c>
      <c r="D521" s="26">
        <f>VLOOKUP($C521,COS!$B$8:$H$991,3,FALSE)</f>
        <v>13248.9892578125</v>
      </c>
      <c r="E521" s="24">
        <f>IF(D521&gt;=IF(MONTH($C521)=4,$C$3,IF(MONTH($C521)=5,$C$4,IF(MONTH($C521)=6,$C$5,IF(MONTH($C521)=7,$C$6,"ERROR")))),1,0)</f>
        <v>1</v>
      </c>
      <c r="F521" s="26">
        <f>VLOOKUP($C521,COS!$B$8:$H$991,7,FALSE)</f>
        <v>50.877964019775391</v>
      </c>
      <c r="G521" s="24">
        <f>IF(F521&lt;=IF(MONTH($C521)=4,$F$3,IF(MONTH($C521)=5,$F$4,IF(MONTH($C521)=6,$F$5,IF(MONTH($C521)=7,$F$6,"ERROR")))),1,0)</f>
        <v>1</v>
      </c>
      <c r="H521" s="26">
        <f>IF(J521=1,D521-$C$6,0)</f>
        <v>1248.9892578125</v>
      </c>
      <c r="I521" s="26">
        <f t="shared" si="764"/>
        <v>76.797356017561981</v>
      </c>
      <c r="J521" s="24">
        <f t="shared" si="827"/>
        <v>1</v>
      </c>
      <c r="K521" s="26">
        <f>VLOOKUP($C521,COS!$B$8:$H$991,2,FALSE)</f>
        <v>3678.985107421875</v>
      </c>
      <c r="L521" s="24">
        <f t="shared" si="741"/>
        <v>1</v>
      </c>
      <c r="M521" s="24">
        <f t="shared" si="742"/>
        <v>0</v>
      </c>
      <c r="N521" s="26">
        <f>VLOOKUP($C521,COS!$B$8:$H$991,5,FALSE)</f>
        <v>1355.9876708984375</v>
      </c>
      <c r="O521" s="26">
        <f t="shared" si="830"/>
        <v>83.376431995738628</v>
      </c>
      <c r="P521" s="26">
        <f>VLOOKUP($C521,COS!$B$8:$H$991,6,FALSE)</f>
        <v>2562.892822265625</v>
      </c>
      <c r="Q521" s="26">
        <f t="shared" si="831"/>
        <v>157.58613717071282</v>
      </c>
      <c r="R521" s="26">
        <f>MIN(IF(MONTH($C521)=4,$S$3,IF(MONTH($C521)=5,$S$4,IF(MONTH($C521)=6,$S$5,IF(MONTH($C521)=7,$S$6,"ERROR")))),MAX(VLOOKUP($C521,COS!$B$8:$K$991,10,FALSE)-IF(MONTH($C521)=4,$Y$3,IF(MONTH($C521)=5,$Y$4,IF(MONTH($C521)=6,$Y$5,IF(MONTH($C521)=7,$Y$6,"ERROR")))),0),MAX(VLOOKUP($C521,COS!$B$8:$K$991,9,FALSE)-IF(MONTH($C521)=4,$V$3,IF(MONTH($C521)=5,$V$4,IF(MONTH($C521)=6,$V$5,IF(MONTH($C521)=7,$V$6,"ERROR"))))-VLOOKUP($C521,COS!$B$8:$K$991,6,FALSE)/2,0))</f>
        <v>1500</v>
      </c>
      <c r="S521" s="26">
        <f t="shared" si="832"/>
        <v>92.231404958677686</v>
      </c>
      <c r="T521" s="26">
        <f t="shared" si="833"/>
        <v>212.71268954190339</v>
      </c>
      <c r="U521" s="26" t="str">
        <f>IF(VLOOKUP($C521,COS!$B$8:$I$991,8,FALSE)=1,"UWFE","IBU")</f>
        <v>IBU</v>
      </c>
      <c r="V521" s="26">
        <f t="shared" ref="V521" si="837">MIN(IF(IF($AA$3=2,AND(E521=1,G521=1,L521=1,L523=1,M521=1,U521="IBU"),AND(E521=1,G521=1,L521=1,L523=1,M521=1)),T521,0),I521)</f>
        <v>0</v>
      </c>
      <c r="W521" s="26"/>
      <c r="X521" s="26"/>
      <c r="Y521" s="26"/>
      <c r="Z521" s="26"/>
      <c r="AA521" s="26"/>
      <c r="AB521" s="33"/>
    </row>
    <row r="522" spans="1:28" x14ac:dyDescent="0.3">
      <c r="A522" s="32">
        <f>VLOOKUP(YEAR(C522),Flags!$A$13:$B$95,2,FALSE)</f>
        <v>2</v>
      </c>
      <c r="B522" s="24">
        <f t="shared" si="739"/>
        <v>1978</v>
      </c>
      <c r="C522" s="25">
        <v>28733</v>
      </c>
      <c r="D522" s="26"/>
      <c r="E522" s="24"/>
      <c r="F522" s="26"/>
      <c r="G522" s="24"/>
      <c r="H522" s="24"/>
      <c r="I522" s="26"/>
      <c r="J522" s="24"/>
      <c r="K522" s="26"/>
      <c r="L522" s="24"/>
      <c r="M522" s="24"/>
      <c r="N522" s="26"/>
      <c r="O522" s="26"/>
      <c r="P522" s="26"/>
      <c r="Q522" s="26"/>
      <c r="R522" s="26"/>
      <c r="S522" s="26"/>
      <c r="T522" s="26"/>
      <c r="U522" s="26"/>
      <c r="V522" s="26"/>
      <c r="W522" s="26">
        <f>MAX($C$7-VLOOKUP($C522,COS!$B$8:$H$991,3,FALSE),0)</f>
        <v>2312.0869140625</v>
      </c>
      <c r="X522" s="26">
        <f t="shared" si="769"/>
        <v>142.16468298037191</v>
      </c>
      <c r="Y522" s="26">
        <f>VLOOKUP($C522,COS!$B$8:$H$991,4,FALSE)</f>
        <v>138.08555603027344</v>
      </c>
      <c r="Z522" s="26">
        <f t="shared" si="770"/>
        <v>8.490549891448218</v>
      </c>
      <c r="AA522" s="26">
        <f t="shared" ref="AA522:AA526" si="838">MIN(W522,Y522)</f>
        <v>138.08555603027344</v>
      </c>
      <c r="AB522" s="33">
        <f t="shared" ref="AB522" si="839">AA522*DAY($C522)*86400/43560/1000*IF(MONTH($C522)=8,$P$3,IF(MONTH($C522)=9,$P$4,IF(MONTH($C522)=10,$P$5,IF(MONTH($C522)=11,$P$6,IF(MONTH($C522)=12,$P$7,NA())))))</f>
        <v>8.490549891448218</v>
      </c>
    </row>
    <row r="523" spans="1:28" x14ac:dyDescent="0.3">
      <c r="A523" s="32">
        <f>VLOOKUP(YEAR(C523),Flags!$A$13:$B$95,2,FALSE)</f>
        <v>2</v>
      </c>
      <c r="B523" s="24">
        <f t="shared" si="739"/>
        <v>1978</v>
      </c>
      <c r="C523" s="25">
        <v>28763</v>
      </c>
      <c r="D523" s="26"/>
      <c r="E523" s="24"/>
      <c r="F523" s="26"/>
      <c r="G523" s="24"/>
      <c r="H523" s="24"/>
      <c r="I523" s="26"/>
      <c r="J523" s="24"/>
      <c r="K523" s="26">
        <f>VLOOKUP($C523,COS!$B$8:$H$991,2,FALSE)</f>
        <v>3233.942626953125</v>
      </c>
      <c r="L523" s="24">
        <f t="shared" ref="L523" si="840">IF(AND(K523&gt;$I$7,K523&lt;$I$8),1,0)</f>
        <v>1</v>
      </c>
      <c r="M523" s="24"/>
      <c r="N523" s="26"/>
      <c r="O523" s="26"/>
      <c r="P523" s="26"/>
      <c r="Q523" s="26"/>
      <c r="R523" s="26"/>
      <c r="S523" s="26"/>
      <c r="T523" s="26"/>
      <c r="U523" s="26"/>
      <c r="V523" s="26"/>
      <c r="W523" s="26">
        <f>MAX($C$8-VLOOKUP($C523,COS!$B$8:$H$991,3,FALSE),0)</f>
        <v>0</v>
      </c>
      <c r="X523" s="26">
        <f t="shared" si="769"/>
        <v>0</v>
      </c>
      <c r="Y523" s="26">
        <f>VLOOKUP($C523,COS!$B$8:$H$991,4,FALSE)</f>
        <v>124.30649566650391</v>
      </c>
      <c r="Z523" s="26">
        <f t="shared" si="770"/>
        <v>7.3967501553622164</v>
      </c>
      <c r="AA523" s="26">
        <f t="shared" si="838"/>
        <v>0</v>
      </c>
      <c r="AB523" s="33">
        <f t="shared" si="752"/>
        <v>0</v>
      </c>
    </row>
    <row r="524" spans="1:28" x14ac:dyDescent="0.3">
      <c r="A524" s="32">
        <f>VLOOKUP(YEAR(C524),Flags!$A$13:$B$95,2,FALSE)</f>
        <v>2</v>
      </c>
      <c r="B524" s="24">
        <f t="shared" si="739"/>
        <v>1978</v>
      </c>
      <c r="C524" s="25">
        <v>28794</v>
      </c>
      <c r="D524" s="26"/>
      <c r="E524" s="24"/>
      <c r="F524" s="26"/>
      <c r="G524" s="26"/>
      <c r="H524" s="26"/>
      <c r="I524" s="26"/>
      <c r="J524" s="26"/>
      <c r="K524" s="26"/>
      <c r="L524" s="24"/>
      <c r="M524" s="24"/>
      <c r="N524" s="26"/>
      <c r="O524" s="26"/>
      <c r="P524" s="26"/>
      <c r="Q524" s="26"/>
      <c r="R524" s="26"/>
      <c r="S524" s="26"/>
      <c r="T524" s="26"/>
      <c r="U524" s="26"/>
      <c r="V524" s="26"/>
      <c r="W524" s="26">
        <f>MAX($C$9-VLOOKUP($C524,COS!$B$8:$H$991,3,FALSE),0)</f>
        <v>0</v>
      </c>
      <c r="X524" s="26">
        <f t="shared" si="769"/>
        <v>0</v>
      </c>
      <c r="Y524" s="26">
        <f>VLOOKUP($C524,COS!$B$8:$H$991,4,FALSE)</f>
        <v>308.338623046875</v>
      </c>
      <c r="Z524" s="26">
        <f t="shared" si="770"/>
        <v>18.959002937758264</v>
      </c>
      <c r="AA524" s="26">
        <f t="shared" si="838"/>
        <v>0</v>
      </c>
      <c r="AB524" s="33">
        <f t="shared" si="752"/>
        <v>0</v>
      </c>
    </row>
    <row r="525" spans="1:28" x14ac:dyDescent="0.3">
      <c r="A525" s="32">
        <f>VLOOKUP(YEAR(C525),Flags!$A$13:$B$95,2,FALSE)</f>
        <v>2</v>
      </c>
      <c r="B525" s="24">
        <f t="shared" si="739"/>
        <v>1978</v>
      </c>
      <c r="C525" s="25">
        <v>28824</v>
      </c>
      <c r="D525" s="26"/>
      <c r="E525" s="24"/>
      <c r="F525" s="26"/>
      <c r="G525" s="26"/>
      <c r="H525" s="26"/>
      <c r="I525" s="26"/>
      <c r="J525" s="26"/>
      <c r="K525" s="26"/>
      <c r="L525" s="24"/>
      <c r="M525" s="24"/>
      <c r="N525" s="26"/>
      <c r="O525" s="26"/>
      <c r="P525" s="26"/>
      <c r="Q525" s="26"/>
      <c r="R525" s="26"/>
      <c r="S525" s="26"/>
      <c r="T525" s="26"/>
      <c r="U525" s="26"/>
      <c r="V525" s="26"/>
      <c r="W525" s="26">
        <f>MAX($C$10-VLOOKUP($C525,COS!$B$8:$H$991,3,FALSE),0)</f>
        <v>0</v>
      </c>
      <c r="X525" s="26">
        <f t="shared" si="769"/>
        <v>0</v>
      </c>
      <c r="Y525" s="26">
        <f>VLOOKUP($C525,COS!$B$8:$H$991,4,FALSE)</f>
        <v>283.46884155273438</v>
      </c>
      <c r="Z525" s="26">
        <f t="shared" si="770"/>
        <v>16.867567431237088</v>
      </c>
      <c r="AA525" s="26">
        <f t="shared" si="838"/>
        <v>0</v>
      </c>
      <c r="AB525" s="33">
        <f t="shared" si="752"/>
        <v>0</v>
      </c>
    </row>
    <row r="526" spans="1:28" x14ac:dyDescent="0.3">
      <c r="A526" s="34">
        <f>VLOOKUP(YEAR(C526),Flags!$A$13:$B$95,2,FALSE)</f>
        <v>2</v>
      </c>
      <c r="B526" s="35">
        <f t="shared" si="739"/>
        <v>1978</v>
      </c>
      <c r="C526" s="36">
        <v>28855</v>
      </c>
      <c r="D526" s="37"/>
      <c r="E526" s="35"/>
      <c r="F526" s="37"/>
      <c r="G526" s="37"/>
      <c r="H526" s="37"/>
      <c r="I526" s="37"/>
      <c r="J526" s="37"/>
      <c r="K526" s="37"/>
      <c r="L526" s="35"/>
      <c r="M526" s="35"/>
      <c r="N526" s="37"/>
      <c r="O526" s="37"/>
      <c r="P526" s="37"/>
      <c r="Q526" s="37"/>
      <c r="R526" s="37"/>
      <c r="S526" s="37"/>
      <c r="T526" s="37"/>
      <c r="U526" s="37"/>
      <c r="V526" s="37"/>
      <c r="W526" s="37">
        <f>MAX($C$11-VLOOKUP($C526,COS!$B$8:$H$991,3,FALSE),0)</f>
        <v>84.77880859375</v>
      </c>
      <c r="X526" s="37">
        <f t="shared" si="769"/>
        <v>5.2128457515495867</v>
      </c>
      <c r="Y526" s="37">
        <f>VLOOKUP($C526,COS!$B$8:$H$991,4,FALSE)</f>
        <v>569.04254150390625</v>
      </c>
      <c r="Z526" s="37">
        <f t="shared" si="770"/>
        <v>34.989062056107954</v>
      </c>
      <c r="AA526" s="37">
        <f t="shared" si="838"/>
        <v>84.77880859375</v>
      </c>
      <c r="AB526" s="38">
        <f t="shared" si="752"/>
        <v>5.2128457515495867</v>
      </c>
    </row>
    <row r="527" spans="1:28" x14ac:dyDescent="0.3">
      <c r="A527" s="27">
        <f>VLOOKUP(YEAR(C527),Flags!$A$13:$B$95,2,FALSE)</f>
        <v>4</v>
      </c>
      <c r="B527" s="28">
        <f t="shared" ref="B527:B590" si="841">YEAR(C527)</f>
        <v>1979</v>
      </c>
      <c r="C527" s="29">
        <v>28975</v>
      </c>
      <c r="D527" s="30">
        <f>VLOOKUP($C527,COS!$B$8:$H$991,3,FALSE)</f>
        <v>3250</v>
      </c>
      <c r="E527" s="28">
        <f>IF(D527&gt;=IF(MONTH($C527)=4,$C$3,IF(MONTH($C527)=5,$C$4,IF(MONTH($C527)=6,$C$5,IF(MONTH($C527)=7,$C$6,"ERROR")))),1,0)</f>
        <v>0</v>
      </c>
      <c r="F527" s="30">
        <f>VLOOKUP($C527,COS!$B$8:$H$991,7,FALSE)</f>
        <v>51.270172119140625</v>
      </c>
      <c r="G527" s="28">
        <f>IF(F527&lt;=IF(MONTH($C527)=4,$F$3,IF(MONTH($C527)=5,$F$4,IF(MONTH($C527)=6,$F$5,IF(MONTH($C527)=7,$F$6,"ERROR")))),1,0)</f>
        <v>1</v>
      </c>
      <c r="H527" s="30">
        <f>IF(J527=1,D527-$C$3,0)</f>
        <v>0</v>
      </c>
      <c r="I527" s="30">
        <f t="shared" si="764"/>
        <v>0</v>
      </c>
      <c r="J527" s="28">
        <f t="shared" ref="J527:J530" si="842">IF(AND(E527=1,G527=1),1,0)</f>
        <v>0</v>
      </c>
      <c r="K527" s="30">
        <f>VLOOKUP($C527,COS!$B$8:$H$991,2,FALSE)</f>
        <v>4053.44189453125</v>
      </c>
      <c r="L527" s="28">
        <f t="shared" ref="L527:L584" si="843">IF(K527&lt;=IF(MONTH($C527)=4,$I$3,IF(MONTH($C527)=5,$I$4,IF(MONTH($C527)=6,$I$5,IF(MONTH($C527)=7,$I$6,"ERROR")))),1,0)</f>
        <v>1</v>
      </c>
      <c r="M527" s="28">
        <f t="shared" ref="M527:M584" si="844">VLOOKUP($A527,$L$3:$M$7,2,FALSE)</f>
        <v>1</v>
      </c>
      <c r="N527" s="30">
        <f>VLOOKUP($C527,COS!$B$8:$H$991,5,FALSE)</f>
        <v>214.24491882324219</v>
      </c>
      <c r="O527" s="30">
        <f t="shared" ref="O527:O530" si="845">N527*DAY($C527)*86400/43560/1000</f>
        <v>12.748457979564824</v>
      </c>
      <c r="P527" s="30">
        <f>VLOOKUP($C527,COS!$B$8:$H$991,6,FALSE)</f>
        <v>439.33358764648438</v>
      </c>
      <c r="Q527" s="30">
        <f t="shared" ref="Q527:Q530" si="846">P527*DAY($C527)*86400/43560/1000</f>
        <v>26.142163893013944</v>
      </c>
      <c r="R527" s="30">
        <f>MIN(IF(MONTH($C527)=4,$S$3,IF(MONTH($C527)=5,$S$4,IF(MONTH($C527)=6,$S$5,IF(MONTH($C527)=7,$S$6,"ERROR")))),MAX(VLOOKUP($C527,COS!$B$8:$K$991,10,FALSE)-IF(MONTH($C527)=4,$Y$3,IF(MONTH($C527)=5,$Y$4,IF(MONTH($C527)=6,$Y$5,IF(MONTH($C527)=7,$Y$6,"ERROR")))),0),MAX(VLOOKUP($C527,COS!$B$8:$K$991,9,FALSE)-IF(MONTH($C527)=4,$V$3,IF(MONTH($C527)=5,$V$4,IF(MONTH($C527)=6,$V$5,IF(MONTH($C527)=7,$V$6,"ERROR"))))-VLOOKUP($C527,COS!$B$8:$K$991,6,FALSE)/2,0))</f>
        <v>1500</v>
      </c>
      <c r="S527" s="30">
        <f t="shared" ref="S527:S530" si="847">R527*DAY($C527)*86400/43560/1000</f>
        <v>89.256198347107429</v>
      </c>
      <c r="T527" s="30">
        <f t="shared" ref="T527:T530" si="848">(O527+Q527)/2+S527</f>
        <v>108.70150928339682</v>
      </c>
      <c r="U527" s="30" t="str">
        <f>IF(VLOOKUP($C527,COS!$B$8:$I$991,8,FALSE)=1,"UWFE","IBU")</f>
        <v>UWFE</v>
      </c>
      <c r="V527" s="30">
        <f t="shared" ref="V527" si="849">MIN(IF(IF($AA$3=2,AND(E527=1,G527=1,L527=1,L532=1,M527=1,U527="IBU"),AND(E527=1,G527=1,L527=1,L532=1,M527=1)),T527,0),I527)</f>
        <v>0</v>
      </c>
      <c r="W527" s="30"/>
      <c r="X527" s="30"/>
      <c r="Y527" s="30"/>
      <c r="Z527" s="30"/>
      <c r="AA527" s="30"/>
      <c r="AB527" s="31"/>
    </row>
    <row r="528" spans="1:28" x14ac:dyDescent="0.3">
      <c r="A528" s="32">
        <f>VLOOKUP(YEAR(C528),Flags!$A$13:$B$95,2,FALSE)</f>
        <v>4</v>
      </c>
      <c r="B528" s="24">
        <f t="shared" si="841"/>
        <v>1979</v>
      </c>
      <c r="C528" s="25">
        <v>29006</v>
      </c>
      <c r="D528" s="26">
        <f>VLOOKUP($C528,COS!$B$8:$H$991,3,FALSE)</f>
        <v>4739.0380859375</v>
      </c>
      <c r="E528" s="24">
        <f>IF(D528&gt;=IF(MONTH($C528)=4,$C$3,IF(MONTH($C528)=5,$C$4,IF(MONTH($C528)=6,$C$5,IF(MONTH($C528)=7,$C$6,"ERROR")))),1,0)</f>
        <v>0</v>
      </c>
      <c r="F528" s="26">
        <f>VLOOKUP($C528,COS!$B$8:$H$991,7,FALSE)</f>
        <v>53.222888946533203</v>
      </c>
      <c r="G528" s="24">
        <f>IF(F528&lt;=IF(MONTH($C528)=4,$F$3,IF(MONTH($C528)=5,$F$4,IF(MONTH($C528)=6,$F$5,IF(MONTH($C528)=7,$F$6,"ERROR")))),1,0)</f>
        <v>1</v>
      </c>
      <c r="H528" s="26">
        <f>IF(J528=1,D528-$C$4,0)</f>
        <v>0</v>
      </c>
      <c r="I528" s="26">
        <f t="shared" si="764"/>
        <v>0</v>
      </c>
      <c r="J528" s="24">
        <f t="shared" si="842"/>
        <v>0</v>
      </c>
      <c r="K528" s="26">
        <f>VLOOKUP($C528,COS!$B$8:$H$991,2,FALSE)</f>
        <v>4220.81298828125</v>
      </c>
      <c r="L528" s="24">
        <f t="shared" si="843"/>
        <v>1</v>
      </c>
      <c r="M528" s="24">
        <f t="shared" si="844"/>
        <v>1</v>
      </c>
      <c r="N528" s="26">
        <f>VLOOKUP($C528,COS!$B$8:$H$991,5,FALSE)</f>
        <v>321.92453002929688</v>
      </c>
      <c r="O528" s="26">
        <f t="shared" si="845"/>
        <v>19.794367796842717</v>
      </c>
      <c r="P528" s="26">
        <f>VLOOKUP($C528,COS!$B$8:$H$991,6,FALSE)</f>
        <v>2260.58740234375</v>
      </c>
      <c r="Q528" s="26">
        <f t="shared" si="846"/>
        <v>138.99810143336776</v>
      </c>
      <c r="R528" s="26">
        <f>MIN(IF(MONTH($C528)=4,$S$3,IF(MONTH($C528)=5,$S$4,IF(MONTH($C528)=6,$S$5,IF(MONTH($C528)=7,$S$6,"ERROR")))),MAX(VLOOKUP($C528,COS!$B$8:$K$991,10,FALSE)-IF(MONTH($C528)=4,$Y$3,IF(MONTH($C528)=5,$Y$4,IF(MONTH($C528)=6,$Y$5,IF(MONTH($C528)=7,$Y$6,"ERROR")))),0),MAX(VLOOKUP($C528,COS!$B$8:$K$991,9,FALSE)-IF(MONTH($C528)=4,$V$3,IF(MONTH($C528)=5,$V$4,IF(MONTH($C528)=6,$V$5,IF(MONTH($C528)=7,$V$6,"ERROR"))))-VLOOKUP($C528,COS!$B$8:$K$991,6,FALSE)/2,0))</f>
        <v>1374.939453125</v>
      </c>
      <c r="S528" s="26">
        <f t="shared" si="847"/>
        <v>84.541731663223132</v>
      </c>
      <c r="T528" s="26">
        <f t="shared" si="848"/>
        <v>163.93796627832836</v>
      </c>
      <c r="U528" s="26" t="str">
        <f>IF(VLOOKUP($C528,COS!$B$8:$I$991,8,FALSE)=1,"UWFE","IBU")</f>
        <v>UWFE</v>
      </c>
      <c r="V528" s="26">
        <f t="shared" ref="V528" si="850">MIN(IF(IF($AA$3=2,AND(E528=1,G528=1,L528=1,L532=1,M528=1,U528="IBU"),AND(E528=1,G528=1,L528=1,L532=1,M528=1)),T528,0),I528)</f>
        <v>0</v>
      </c>
      <c r="W528" s="26"/>
      <c r="X528" s="26"/>
      <c r="Y528" s="26"/>
      <c r="Z528" s="26"/>
      <c r="AA528" s="26"/>
      <c r="AB528" s="33"/>
    </row>
    <row r="529" spans="1:28" x14ac:dyDescent="0.3">
      <c r="A529" s="32">
        <f>VLOOKUP(YEAR(C529),Flags!$A$13:$B$95,2,FALSE)</f>
        <v>4</v>
      </c>
      <c r="B529" s="24">
        <f t="shared" si="841"/>
        <v>1979</v>
      </c>
      <c r="C529" s="25">
        <v>29036</v>
      </c>
      <c r="D529" s="26">
        <f>VLOOKUP($C529,COS!$B$8:$H$991,3,FALSE)</f>
        <v>10586.1376953125</v>
      </c>
      <c r="E529" s="24">
        <f>IF(D529&gt;=IF(MONTH($C529)=4,$C$3,IF(MONTH($C529)=5,$C$4,IF(MONTH($C529)=6,$C$5,IF(MONTH($C529)=7,$C$6,"ERROR")))),1,0)</f>
        <v>1</v>
      </c>
      <c r="F529" s="26">
        <f>VLOOKUP($C529,COS!$B$8:$H$991,7,FALSE)</f>
        <v>51.544940948486328</v>
      </c>
      <c r="G529" s="24">
        <f>IF(F529&lt;=IF(MONTH($C529)=4,$F$3,IF(MONTH($C529)=5,$F$4,IF(MONTH($C529)=6,$F$5,IF(MONTH($C529)=7,$F$6,"ERROR")))),1,0)</f>
        <v>1</v>
      </c>
      <c r="H529" s="26">
        <f>IF(J529=1,D529-$C$5,0)</f>
        <v>586.1376953125</v>
      </c>
      <c r="I529" s="26">
        <f t="shared" si="764"/>
        <v>34.877614927685947</v>
      </c>
      <c r="J529" s="24">
        <f t="shared" si="842"/>
        <v>1</v>
      </c>
      <c r="K529" s="26">
        <f>VLOOKUP($C529,COS!$B$8:$H$991,2,FALSE)</f>
        <v>3800.5693359375</v>
      </c>
      <c r="L529" s="24">
        <f t="shared" si="843"/>
        <v>1</v>
      </c>
      <c r="M529" s="24">
        <f t="shared" si="844"/>
        <v>1</v>
      </c>
      <c r="N529" s="26">
        <f>VLOOKUP($C529,COS!$B$8:$H$991,5,FALSE)</f>
        <v>618.16412353515625</v>
      </c>
      <c r="O529" s="26">
        <f t="shared" si="845"/>
        <v>36.783319747546486</v>
      </c>
      <c r="P529" s="26">
        <f>VLOOKUP($C529,COS!$B$8:$H$991,6,FALSE)</f>
        <v>2677.335693359375</v>
      </c>
      <c r="Q529" s="26">
        <f t="shared" si="846"/>
        <v>159.31253712551654</v>
      </c>
      <c r="R529" s="26">
        <f>MIN(IF(MONTH($C529)=4,$S$3,IF(MONTH($C529)=5,$S$4,IF(MONTH($C529)=6,$S$5,IF(MONTH($C529)=7,$S$6,"ERROR")))),MAX(VLOOKUP($C529,COS!$B$8:$K$991,10,FALSE)-IF(MONTH($C529)=4,$Y$3,IF(MONTH($C529)=5,$Y$4,IF(MONTH($C529)=6,$Y$5,IF(MONTH($C529)=7,$Y$6,"ERROR")))),0),MAX(VLOOKUP($C529,COS!$B$8:$K$991,9,FALSE)-IF(MONTH($C529)=4,$V$3,IF(MONTH($C529)=5,$V$4,IF(MONTH($C529)=6,$V$5,IF(MONTH($C529)=7,$V$6,"ERROR"))))-VLOOKUP($C529,COS!$B$8:$K$991,6,FALSE)/2,0))</f>
        <v>1500</v>
      </c>
      <c r="S529" s="26">
        <f t="shared" si="847"/>
        <v>89.256198347107429</v>
      </c>
      <c r="T529" s="26">
        <f t="shared" si="848"/>
        <v>187.30412678363894</v>
      </c>
      <c r="U529" s="26" t="str">
        <f>IF(VLOOKUP($C529,COS!$B$8:$I$991,8,FALSE)=1,"UWFE","IBU")</f>
        <v>IBU</v>
      </c>
      <c r="V529" s="26">
        <f t="shared" ref="V529" si="851">MIN(IF(IF($AA$3=2,AND(E529=1,G529=1,L529=1,L532=1,M529=1,U529="IBU"),AND(E529=1,G529=1,L529=1,L532=1,M529=1)),T529,0),I529)</f>
        <v>34.877614927685947</v>
      </c>
      <c r="W529" s="26"/>
      <c r="X529" s="26"/>
      <c r="Y529" s="26"/>
      <c r="Z529" s="26"/>
      <c r="AA529" s="26"/>
      <c r="AB529" s="33"/>
    </row>
    <row r="530" spans="1:28" x14ac:dyDescent="0.3">
      <c r="A530" s="32">
        <f>VLOOKUP(YEAR(C530),Flags!$A$13:$B$95,2,FALSE)</f>
        <v>4</v>
      </c>
      <c r="B530" s="24">
        <f t="shared" si="841"/>
        <v>1979</v>
      </c>
      <c r="C530" s="25">
        <v>29067</v>
      </c>
      <c r="D530" s="26">
        <f>VLOOKUP($C530,COS!$B$8:$H$991,3,FALSE)</f>
        <v>10198.0205078125</v>
      </c>
      <c r="E530" s="24">
        <f>IF(D530&gt;=IF(MONTH($C530)=4,$C$3,IF(MONTH($C530)=5,$C$4,IF(MONTH($C530)=6,$C$5,IF(MONTH($C530)=7,$C$6,"ERROR")))),1,0)</f>
        <v>0</v>
      </c>
      <c r="F530" s="26">
        <f>VLOOKUP($C530,COS!$B$8:$H$991,7,FALSE)</f>
        <v>52.837936401367188</v>
      </c>
      <c r="G530" s="24">
        <f>IF(F530&lt;=IF(MONTH($C530)=4,$F$3,IF(MONTH($C530)=5,$F$4,IF(MONTH($C530)=6,$F$5,IF(MONTH($C530)=7,$F$6,"ERROR")))),1,0)</f>
        <v>1</v>
      </c>
      <c r="H530" s="26">
        <f>IF(J530=1,D530-$C$6,0)</f>
        <v>0</v>
      </c>
      <c r="I530" s="26">
        <f t="shared" si="764"/>
        <v>0</v>
      </c>
      <c r="J530" s="24">
        <f t="shared" si="842"/>
        <v>0</v>
      </c>
      <c r="K530" s="26">
        <f>VLOOKUP($C530,COS!$B$8:$H$991,2,FALSE)</f>
        <v>3407.86474609375</v>
      </c>
      <c r="L530" s="24">
        <f t="shared" si="843"/>
        <v>1</v>
      </c>
      <c r="M530" s="24">
        <f t="shared" si="844"/>
        <v>1</v>
      </c>
      <c r="N530" s="26">
        <f>VLOOKUP($C530,COS!$B$8:$H$991,5,FALSE)</f>
        <v>673.1793212890625</v>
      </c>
      <c r="O530" s="26">
        <f t="shared" si="845"/>
        <v>41.392183061079542</v>
      </c>
      <c r="P530" s="26">
        <f>VLOOKUP($C530,COS!$B$8:$H$991,6,FALSE)</f>
        <v>2632.5888671875</v>
      </c>
      <c r="Q530" s="26">
        <f t="shared" si="846"/>
        <v>161.87157993285126</v>
      </c>
      <c r="R530" s="26">
        <f>MIN(IF(MONTH($C530)=4,$S$3,IF(MONTH($C530)=5,$S$4,IF(MONTH($C530)=6,$S$5,IF(MONTH($C530)=7,$S$6,"ERROR")))),MAX(VLOOKUP($C530,COS!$B$8:$K$991,10,FALSE)-IF(MONTH($C530)=4,$Y$3,IF(MONTH($C530)=5,$Y$4,IF(MONTH($C530)=6,$Y$5,IF(MONTH($C530)=7,$Y$6,"ERROR")))),0),MAX(VLOOKUP($C530,COS!$B$8:$K$991,9,FALSE)-IF(MONTH($C530)=4,$V$3,IF(MONTH($C530)=5,$V$4,IF(MONTH($C530)=6,$V$5,IF(MONTH($C530)=7,$V$6,"ERROR"))))-VLOOKUP($C530,COS!$B$8:$K$991,6,FALSE)/2,0))</f>
        <v>1500</v>
      </c>
      <c r="S530" s="26">
        <f t="shared" si="847"/>
        <v>92.231404958677686</v>
      </c>
      <c r="T530" s="26">
        <f t="shared" si="848"/>
        <v>193.86328645564311</v>
      </c>
      <c r="U530" s="26" t="str">
        <f>IF(VLOOKUP($C530,COS!$B$8:$I$991,8,FALSE)=1,"UWFE","IBU")</f>
        <v>IBU</v>
      </c>
      <c r="V530" s="26">
        <f t="shared" ref="V530" si="852">MIN(IF(IF($AA$3=2,AND(E530=1,G530=1,L530=1,L532=1,M530=1,U530="IBU"),AND(E530=1,G530=1,L530=1,L532=1,M530=1)),T530,0),I530)</f>
        <v>0</v>
      </c>
      <c r="W530" s="26"/>
      <c r="X530" s="26"/>
      <c r="Y530" s="26"/>
      <c r="Z530" s="26"/>
      <c r="AA530" s="26"/>
      <c r="AB530" s="33"/>
    </row>
    <row r="531" spans="1:28" x14ac:dyDescent="0.3">
      <c r="A531" s="32">
        <f>VLOOKUP(YEAR(C531),Flags!$A$13:$B$95,2,FALSE)</f>
        <v>4</v>
      </c>
      <c r="B531" s="24">
        <f t="shared" si="841"/>
        <v>1979</v>
      </c>
      <c r="C531" s="25">
        <v>29098</v>
      </c>
      <c r="D531" s="26"/>
      <c r="E531" s="24"/>
      <c r="F531" s="26"/>
      <c r="G531" s="24"/>
      <c r="H531" s="24"/>
      <c r="I531" s="26"/>
      <c r="J531" s="24"/>
      <c r="K531" s="26"/>
      <c r="L531" s="24"/>
      <c r="M531" s="24"/>
      <c r="N531" s="26"/>
      <c r="O531" s="26"/>
      <c r="P531" s="26"/>
      <c r="Q531" s="26"/>
      <c r="R531" s="26"/>
      <c r="S531" s="26"/>
      <c r="T531" s="26"/>
      <c r="U531" s="26"/>
      <c r="V531" s="26"/>
      <c r="W531" s="26">
        <f>MAX($C$7-VLOOKUP($C531,COS!$B$8:$H$991,3,FALSE),0)</f>
        <v>3696.837890625</v>
      </c>
      <c r="X531" s="26">
        <f t="shared" si="769"/>
        <v>227.30970170454543</v>
      </c>
      <c r="Y531" s="26">
        <f>VLOOKUP($C531,COS!$B$8:$H$991,4,FALSE)</f>
        <v>53.124755859375</v>
      </c>
      <c r="Z531" s="26">
        <f t="shared" si="770"/>
        <v>3.2665139139979336</v>
      </c>
      <c r="AA531" s="26">
        <f t="shared" ref="AA531:AA535" si="853">MIN(W531,Y531)</f>
        <v>53.124755859375</v>
      </c>
      <c r="AB531" s="33">
        <f t="shared" ref="AB531:AB589" si="854">AA531*DAY($C531)*86400/43560/1000*IF(MONTH($C531)=8,$P$3,IF(MONTH($C531)=9,$P$4,IF(MONTH($C531)=10,$P$5,IF(MONTH($C531)=11,$P$6,IF(MONTH($C531)=12,$P$7,NA())))))</f>
        <v>3.2665139139979336</v>
      </c>
    </row>
    <row r="532" spans="1:28" x14ac:dyDescent="0.3">
      <c r="A532" s="32">
        <f>VLOOKUP(YEAR(C532),Flags!$A$13:$B$95,2,FALSE)</f>
        <v>4</v>
      </c>
      <c r="B532" s="24">
        <f t="shared" si="841"/>
        <v>1979</v>
      </c>
      <c r="C532" s="25">
        <v>29128</v>
      </c>
      <c r="D532" s="26"/>
      <c r="E532" s="24"/>
      <c r="F532" s="26"/>
      <c r="G532" s="24"/>
      <c r="H532" s="24"/>
      <c r="I532" s="26"/>
      <c r="J532" s="24"/>
      <c r="K532" s="26">
        <f>VLOOKUP($C532,COS!$B$8:$H$991,2,FALSE)</f>
        <v>3119.8076171875</v>
      </c>
      <c r="L532" s="24">
        <f t="shared" ref="L532" si="855">IF(AND(K532&gt;$I$7,K532&lt;$I$8),1,0)</f>
        <v>1</v>
      </c>
      <c r="M532" s="24"/>
      <c r="N532" s="26"/>
      <c r="O532" s="26"/>
      <c r="P532" s="26"/>
      <c r="Q532" s="26"/>
      <c r="R532" s="26"/>
      <c r="S532" s="26"/>
      <c r="T532" s="26"/>
      <c r="U532" s="26"/>
      <c r="V532" s="26"/>
      <c r="W532" s="26">
        <f>MAX($C$8-VLOOKUP($C532,COS!$B$8:$H$991,3,FALSE),0)</f>
        <v>1204.8974609375</v>
      </c>
      <c r="X532" s="26">
        <f t="shared" si="769"/>
        <v>71.696377840909093</v>
      </c>
      <c r="Y532" s="26">
        <f>VLOOKUP($C532,COS!$B$8:$H$991,4,FALSE)</f>
        <v>0</v>
      </c>
      <c r="Z532" s="26">
        <f t="shared" si="770"/>
        <v>0</v>
      </c>
      <c r="AA532" s="26">
        <f t="shared" si="853"/>
        <v>0</v>
      </c>
      <c r="AB532" s="33">
        <f t="shared" si="854"/>
        <v>0</v>
      </c>
    </row>
    <row r="533" spans="1:28" x14ac:dyDescent="0.3">
      <c r="A533" s="32">
        <f>VLOOKUP(YEAR(C533),Flags!$A$13:$B$95,2,FALSE)</f>
        <v>4</v>
      </c>
      <c r="B533" s="24">
        <f t="shared" si="841"/>
        <v>1979</v>
      </c>
      <c r="C533" s="25">
        <v>29159</v>
      </c>
      <c r="D533" s="26"/>
      <c r="E533" s="24"/>
      <c r="F533" s="26"/>
      <c r="G533" s="26"/>
      <c r="H533" s="26"/>
      <c r="I533" s="26"/>
      <c r="J533" s="26"/>
      <c r="K533" s="26"/>
      <c r="L533" s="24"/>
      <c r="M533" s="24"/>
      <c r="N533" s="26"/>
      <c r="O533" s="26"/>
      <c r="P533" s="26"/>
      <c r="Q533" s="26"/>
      <c r="R533" s="26"/>
      <c r="S533" s="26"/>
      <c r="T533" s="26"/>
      <c r="U533" s="26"/>
      <c r="V533" s="26"/>
      <c r="W533" s="26">
        <f>MAX($C$9-VLOOKUP($C533,COS!$B$8:$H$991,3,FALSE),0)</f>
        <v>851.04736328125</v>
      </c>
      <c r="X533" s="26">
        <f t="shared" si="769"/>
        <v>52.328862667871903</v>
      </c>
      <c r="Y533" s="26">
        <f>VLOOKUP($C533,COS!$B$8:$H$991,4,FALSE)</f>
        <v>801.079833984375</v>
      </c>
      <c r="Z533" s="26">
        <f t="shared" si="770"/>
        <v>49.256479048295454</v>
      </c>
      <c r="AA533" s="26">
        <f t="shared" si="853"/>
        <v>801.079833984375</v>
      </c>
      <c r="AB533" s="33">
        <f t="shared" si="854"/>
        <v>49.256479048295454</v>
      </c>
    </row>
    <row r="534" spans="1:28" x14ac:dyDescent="0.3">
      <c r="A534" s="32">
        <f>VLOOKUP(YEAR(C534),Flags!$A$13:$B$95,2,FALSE)</f>
        <v>4</v>
      </c>
      <c r="B534" s="24">
        <f t="shared" si="841"/>
        <v>1979</v>
      </c>
      <c r="C534" s="25">
        <v>29189</v>
      </c>
      <c r="D534" s="26"/>
      <c r="E534" s="24"/>
      <c r="F534" s="26"/>
      <c r="G534" s="26"/>
      <c r="H534" s="26"/>
      <c r="I534" s="26"/>
      <c r="J534" s="26"/>
      <c r="K534" s="26"/>
      <c r="L534" s="24"/>
      <c r="M534" s="24"/>
      <c r="N534" s="26"/>
      <c r="O534" s="26"/>
      <c r="P534" s="26"/>
      <c r="Q534" s="26"/>
      <c r="R534" s="26"/>
      <c r="S534" s="26"/>
      <c r="T534" s="26"/>
      <c r="U534" s="26"/>
      <c r="V534" s="26"/>
      <c r="W534" s="26">
        <f>MAX($C$10-VLOOKUP($C534,COS!$B$8:$H$991,3,FALSE),0)</f>
        <v>0</v>
      </c>
      <c r="X534" s="26">
        <f t="shared" si="769"/>
        <v>0</v>
      </c>
      <c r="Y534" s="26">
        <f>VLOOKUP($C534,COS!$B$8:$H$991,4,FALSE)</f>
        <v>1226.431884765625</v>
      </c>
      <c r="Z534" s="26">
        <f t="shared" si="770"/>
        <v>72.977765043904967</v>
      </c>
      <c r="AA534" s="26">
        <f t="shared" si="853"/>
        <v>0</v>
      </c>
      <c r="AB534" s="33">
        <f t="shared" si="854"/>
        <v>0</v>
      </c>
    </row>
    <row r="535" spans="1:28" x14ac:dyDescent="0.3">
      <c r="A535" s="34">
        <f>VLOOKUP(YEAR(C535),Flags!$A$13:$B$95,2,FALSE)</f>
        <v>4</v>
      </c>
      <c r="B535" s="35">
        <f t="shared" si="841"/>
        <v>1979</v>
      </c>
      <c r="C535" s="36">
        <v>29220</v>
      </c>
      <c r="D535" s="37"/>
      <c r="E535" s="35"/>
      <c r="F535" s="37"/>
      <c r="G535" s="37"/>
      <c r="H535" s="37"/>
      <c r="I535" s="37"/>
      <c r="J535" s="37"/>
      <c r="K535" s="37"/>
      <c r="L535" s="35"/>
      <c r="M535" s="35"/>
      <c r="N535" s="37"/>
      <c r="O535" s="37"/>
      <c r="P535" s="37"/>
      <c r="Q535" s="37"/>
      <c r="R535" s="37"/>
      <c r="S535" s="37"/>
      <c r="T535" s="37"/>
      <c r="U535" s="37"/>
      <c r="V535" s="37"/>
      <c r="W535" s="37">
        <f>MAX($C$11-VLOOKUP($C535,COS!$B$8:$H$991,3,FALSE),0)</f>
        <v>725.72412109375</v>
      </c>
      <c r="X535" s="37">
        <f t="shared" si="769"/>
        <v>44.623036867252061</v>
      </c>
      <c r="Y535" s="37">
        <f>VLOOKUP($C535,COS!$B$8:$H$991,4,FALSE)</f>
        <v>0</v>
      </c>
      <c r="Z535" s="37">
        <f t="shared" si="770"/>
        <v>0</v>
      </c>
      <c r="AA535" s="37">
        <f t="shared" si="853"/>
        <v>0</v>
      </c>
      <c r="AB535" s="38">
        <f t="shared" si="854"/>
        <v>0</v>
      </c>
    </row>
    <row r="536" spans="1:28" x14ac:dyDescent="0.3">
      <c r="A536" s="27">
        <f>VLOOKUP(YEAR(C536),Flags!$A$13:$B$95,2,FALSE)</f>
        <v>2</v>
      </c>
      <c r="B536" s="28">
        <f t="shared" si="841"/>
        <v>1980</v>
      </c>
      <c r="C536" s="29">
        <v>29341</v>
      </c>
      <c r="D536" s="30">
        <f>VLOOKUP($C536,COS!$B$8:$H$991,3,FALSE)</f>
        <v>3250</v>
      </c>
      <c r="E536" s="28">
        <f>IF(D536&gt;=IF(MONTH($C536)=4,$C$3,IF(MONTH($C536)=5,$C$4,IF(MONTH($C536)=6,$C$5,IF(MONTH($C536)=7,$C$6,"ERROR")))),1,0)</f>
        <v>0</v>
      </c>
      <c r="F536" s="30">
        <f>VLOOKUP($C536,COS!$B$8:$H$991,7,FALSE)</f>
        <v>50.949337005615234</v>
      </c>
      <c r="G536" s="28">
        <f>IF(F536&lt;=IF(MONTH($C536)=4,$F$3,IF(MONTH($C536)=5,$F$4,IF(MONTH($C536)=6,$F$5,IF(MONTH($C536)=7,$F$6,"ERROR")))),1,0)</f>
        <v>1</v>
      </c>
      <c r="H536" s="30">
        <f>IF(J536=1,D536-$C$3,0)</f>
        <v>0</v>
      </c>
      <c r="I536" s="30">
        <f t="shared" si="764"/>
        <v>0</v>
      </c>
      <c r="J536" s="28">
        <f t="shared" ref="J536:J539" si="856">IF(AND(E536=1,G536=1),1,0)</f>
        <v>0</v>
      </c>
      <c r="K536" s="30">
        <f>VLOOKUP($C536,COS!$B$8:$H$991,2,FALSE)</f>
        <v>4390.5458984375</v>
      </c>
      <c r="L536" s="28">
        <f t="shared" ref="L536" si="857">IF(K536&lt;=IF(MONTH($C536)=4,$I$3,IF(MONTH($C536)=5,$I$4,IF(MONTH($C536)=6,$I$5,IF(MONTH($C536)=7,$I$6,"ERROR")))),1,0)</f>
        <v>1</v>
      </c>
      <c r="M536" s="28">
        <f t="shared" ref="M536" si="858">VLOOKUP($A536,$L$3:$M$7,2,FALSE)</f>
        <v>0</v>
      </c>
      <c r="N536" s="30">
        <f>VLOOKUP($C536,COS!$B$8:$H$991,5,FALSE)</f>
        <v>343.85354614257813</v>
      </c>
      <c r="O536" s="30">
        <f t="shared" ref="O536:O539" si="859">N536*DAY($C536)*86400/43560/1000</f>
        <v>20.460706877905476</v>
      </c>
      <c r="P536" s="30">
        <f>VLOOKUP($C536,COS!$B$8:$H$991,6,FALSE)</f>
        <v>435.81771850585938</v>
      </c>
      <c r="Q536" s="30">
        <f t="shared" ref="Q536:Q539" si="860">P536*DAY($C536)*86400/43560/1000</f>
        <v>25.932955150761881</v>
      </c>
      <c r="R536" s="30">
        <f>MIN(IF(MONTH($C536)=4,$S$3,IF(MONTH($C536)=5,$S$4,IF(MONTH($C536)=6,$S$5,IF(MONTH($C536)=7,$S$6,"ERROR")))),MAX(VLOOKUP($C536,COS!$B$8:$K$991,10,FALSE)-IF(MONTH($C536)=4,$Y$3,IF(MONTH($C536)=5,$Y$4,IF(MONTH($C536)=6,$Y$5,IF(MONTH($C536)=7,$Y$6,"ERROR")))),0),MAX(VLOOKUP($C536,COS!$B$8:$K$991,9,FALSE)-IF(MONTH($C536)=4,$V$3,IF(MONTH($C536)=5,$V$4,IF(MONTH($C536)=6,$V$5,IF(MONTH($C536)=7,$V$6,"ERROR"))))-VLOOKUP($C536,COS!$B$8:$K$991,6,FALSE)/2,0))</f>
        <v>1500</v>
      </c>
      <c r="S536" s="30">
        <f t="shared" ref="S536:S539" si="861">R536*DAY($C536)*86400/43560/1000</f>
        <v>89.256198347107429</v>
      </c>
      <c r="T536" s="30">
        <f t="shared" ref="T536:T539" si="862">(O536+Q536)/2+S536</f>
        <v>112.45302936144111</v>
      </c>
      <c r="U536" s="30" t="str">
        <f>IF(VLOOKUP($C536,COS!$B$8:$I$991,8,FALSE)=1,"UWFE","IBU")</f>
        <v>UWFE</v>
      </c>
      <c r="V536" s="30">
        <f t="shared" ref="V536" si="863">MIN(IF(IF($AA$3=2,AND(E536=1,G536=1,L536=1,L541=1,M536=1,U536="IBU"),AND(E536=1,G536=1,L536=1,L541=1,M536=1)),T536,0),I536)</f>
        <v>0</v>
      </c>
      <c r="W536" s="30"/>
      <c r="X536" s="30"/>
      <c r="Y536" s="30"/>
      <c r="Z536" s="30"/>
      <c r="AA536" s="30"/>
      <c r="AB536" s="31"/>
    </row>
    <row r="537" spans="1:28" x14ac:dyDescent="0.3">
      <c r="A537" s="32">
        <f>VLOOKUP(YEAR(C537),Flags!$A$13:$B$95,2,FALSE)</f>
        <v>2</v>
      </c>
      <c r="B537" s="24">
        <f t="shared" si="841"/>
        <v>1980</v>
      </c>
      <c r="C537" s="25">
        <v>29372</v>
      </c>
      <c r="D537" s="26">
        <f>VLOOKUP($C537,COS!$B$8:$H$991,3,FALSE)</f>
        <v>6651.8935546875</v>
      </c>
      <c r="E537" s="24">
        <f>IF(D537&gt;=IF(MONTH($C537)=4,$C$3,IF(MONTH($C537)=5,$C$4,IF(MONTH($C537)=6,$C$5,IF(MONTH($C537)=7,$C$6,"ERROR")))),1,0)</f>
        <v>1</v>
      </c>
      <c r="F537" s="26">
        <f>VLOOKUP($C537,COS!$B$8:$H$991,7,FALSE)</f>
        <v>50.088848114013672</v>
      </c>
      <c r="G537" s="24">
        <f>IF(F537&lt;=IF(MONTH($C537)=4,$F$3,IF(MONTH($C537)=5,$F$4,IF(MONTH($C537)=6,$F$5,IF(MONTH($C537)=7,$F$6,"ERROR")))),1,0)</f>
        <v>1</v>
      </c>
      <c r="H537" s="26">
        <f>IF(J537=1,D537-$C$4,0)</f>
        <v>651.8935546875</v>
      </c>
      <c r="I537" s="26">
        <f t="shared" si="764"/>
        <v>40.083372288223138</v>
      </c>
      <c r="J537" s="24">
        <f t="shared" si="856"/>
        <v>1</v>
      </c>
      <c r="K537" s="26">
        <f>VLOOKUP($C537,COS!$B$8:$H$991,2,FALSE)</f>
        <v>4360.00341796875</v>
      </c>
      <c r="L537" s="24">
        <f t="shared" si="843"/>
        <v>1</v>
      </c>
      <c r="M537" s="24">
        <f t="shared" si="844"/>
        <v>0</v>
      </c>
      <c r="N537" s="26">
        <f>VLOOKUP($C537,COS!$B$8:$H$991,5,FALSE)</f>
        <v>671.396728515625</v>
      </c>
      <c r="O537" s="26">
        <f t="shared" si="859"/>
        <v>41.282575703770661</v>
      </c>
      <c r="P537" s="26">
        <f>VLOOKUP($C537,COS!$B$8:$H$991,6,FALSE)</f>
        <v>2141.340087890625</v>
      </c>
      <c r="Q537" s="26">
        <f t="shared" si="860"/>
        <v>131.6658698669938</v>
      </c>
      <c r="R537" s="26">
        <f>MIN(IF(MONTH($C537)=4,$S$3,IF(MONTH($C537)=5,$S$4,IF(MONTH($C537)=6,$S$5,IF(MONTH($C537)=7,$S$6,"ERROR")))),MAX(VLOOKUP($C537,COS!$B$8:$K$991,10,FALSE)-IF(MONTH($C537)=4,$Y$3,IF(MONTH($C537)=5,$Y$4,IF(MONTH($C537)=6,$Y$5,IF(MONTH($C537)=7,$Y$6,"ERROR")))),0),MAX(VLOOKUP($C537,COS!$B$8:$K$991,9,FALSE)-IF(MONTH($C537)=4,$V$3,IF(MONTH($C537)=5,$V$4,IF(MONTH($C537)=6,$V$5,IF(MONTH($C537)=7,$V$6,"ERROR"))))-VLOOKUP($C537,COS!$B$8:$K$991,6,FALSE)/2,0))</f>
        <v>1500</v>
      </c>
      <c r="S537" s="26">
        <f t="shared" si="861"/>
        <v>92.231404958677686</v>
      </c>
      <c r="T537" s="26">
        <f t="shared" si="862"/>
        <v>178.70562774405994</v>
      </c>
      <c r="U537" s="26" t="str">
        <f>IF(VLOOKUP($C537,COS!$B$8:$I$991,8,FALSE)=1,"UWFE","IBU")</f>
        <v>UWFE</v>
      </c>
      <c r="V537" s="26">
        <f t="shared" ref="V537" si="864">MIN(IF(IF($AA$3=2,AND(E537=1,G537=1,L537=1,L541=1,M537=1,U537="IBU"),AND(E537=1,G537=1,L537=1,L541=1,M537=1)),T537,0),I537)</f>
        <v>0</v>
      </c>
      <c r="W537" s="26"/>
      <c r="X537" s="26"/>
      <c r="Y537" s="26"/>
      <c r="Z537" s="26"/>
      <c r="AA537" s="26"/>
      <c r="AB537" s="33"/>
    </row>
    <row r="538" spans="1:28" x14ac:dyDescent="0.3">
      <c r="A538" s="32">
        <f>VLOOKUP(YEAR(C538),Flags!$A$13:$B$95,2,FALSE)</f>
        <v>2</v>
      </c>
      <c r="B538" s="24">
        <f t="shared" si="841"/>
        <v>1980</v>
      </c>
      <c r="C538" s="25">
        <v>29402</v>
      </c>
      <c r="D538" s="26">
        <f>VLOOKUP($C538,COS!$B$8:$H$991,3,FALSE)</f>
        <v>9056.001953125</v>
      </c>
      <c r="E538" s="24">
        <f>IF(D538&gt;=IF(MONTH($C538)=4,$C$3,IF(MONTH($C538)=5,$C$4,IF(MONTH($C538)=6,$C$5,IF(MONTH($C538)=7,$C$6,"ERROR")))),1,0)</f>
        <v>0</v>
      </c>
      <c r="F538" s="26">
        <f>VLOOKUP($C538,COS!$B$8:$H$991,7,FALSE)</f>
        <v>51.123935699462891</v>
      </c>
      <c r="G538" s="24">
        <f>IF(F538&lt;=IF(MONTH($C538)=4,$F$3,IF(MONTH($C538)=5,$F$4,IF(MONTH($C538)=6,$F$5,IF(MONTH($C538)=7,$F$6,"ERROR")))),1,0)</f>
        <v>1</v>
      </c>
      <c r="H538" s="26">
        <f>IF(J538=1,D538-$C$5,0)</f>
        <v>0</v>
      </c>
      <c r="I538" s="26">
        <f t="shared" si="764"/>
        <v>0</v>
      </c>
      <c r="J538" s="24">
        <f t="shared" si="856"/>
        <v>0</v>
      </c>
      <c r="K538" s="26">
        <f>VLOOKUP($C538,COS!$B$8:$H$991,2,FALSE)</f>
        <v>4114.19091796875</v>
      </c>
      <c r="L538" s="24">
        <f t="shared" si="843"/>
        <v>1</v>
      </c>
      <c r="M538" s="24">
        <f t="shared" si="844"/>
        <v>0</v>
      </c>
      <c r="N538" s="26">
        <f>VLOOKUP($C538,COS!$B$8:$H$991,5,FALSE)</f>
        <v>914.7728271484375</v>
      </c>
      <c r="O538" s="26">
        <f t="shared" si="859"/>
        <v>54.432763268336778</v>
      </c>
      <c r="P538" s="26">
        <f>VLOOKUP($C538,COS!$B$8:$H$991,6,FALSE)</f>
        <v>2280.555419921875</v>
      </c>
      <c r="Q538" s="26">
        <f t="shared" si="860"/>
        <v>135.70247126807851</v>
      </c>
      <c r="R538" s="26">
        <f>MIN(IF(MONTH($C538)=4,$S$3,IF(MONTH($C538)=5,$S$4,IF(MONTH($C538)=6,$S$5,IF(MONTH($C538)=7,$S$6,"ERROR")))),MAX(VLOOKUP($C538,COS!$B$8:$K$991,10,FALSE)-IF(MONTH($C538)=4,$Y$3,IF(MONTH($C538)=5,$Y$4,IF(MONTH($C538)=6,$Y$5,IF(MONTH($C538)=7,$Y$6,"ERROR")))),0),MAX(VLOOKUP($C538,COS!$B$8:$K$991,9,FALSE)-IF(MONTH($C538)=4,$V$3,IF(MONTH($C538)=5,$V$4,IF(MONTH($C538)=6,$V$5,IF(MONTH($C538)=7,$V$6,"ERROR"))))-VLOOKUP($C538,COS!$B$8:$K$991,6,FALSE)/2,0))</f>
        <v>1500</v>
      </c>
      <c r="S538" s="26">
        <f t="shared" si="861"/>
        <v>89.256198347107429</v>
      </c>
      <c r="T538" s="26">
        <f t="shared" si="862"/>
        <v>184.32381561531508</v>
      </c>
      <c r="U538" s="26" t="str">
        <f>IF(VLOOKUP($C538,COS!$B$8:$I$991,8,FALSE)=1,"UWFE","IBU")</f>
        <v>UWFE</v>
      </c>
      <c r="V538" s="26">
        <f t="shared" ref="V538" si="865">MIN(IF(IF($AA$3=2,AND(E538=1,G538=1,L538=1,L541=1,M538=1,U538="IBU"),AND(E538=1,G538=1,L538=1,L541=1,M538=1)),T538,0),I538)</f>
        <v>0</v>
      </c>
      <c r="W538" s="26"/>
      <c r="X538" s="26"/>
      <c r="Y538" s="26"/>
      <c r="Z538" s="26"/>
      <c r="AA538" s="26"/>
      <c r="AB538" s="33"/>
    </row>
    <row r="539" spans="1:28" x14ac:dyDescent="0.3">
      <c r="A539" s="32">
        <f>VLOOKUP(YEAR(C539),Flags!$A$13:$B$95,2,FALSE)</f>
        <v>2</v>
      </c>
      <c r="B539" s="24">
        <f t="shared" si="841"/>
        <v>1980</v>
      </c>
      <c r="C539" s="25">
        <v>29433</v>
      </c>
      <c r="D539" s="26">
        <f>VLOOKUP($C539,COS!$B$8:$H$991,3,FALSE)</f>
        <v>11086.111328125</v>
      </c>
      <c r="E539" s="24">
        <f>IF(D539&gt;=IF(MONTH($C539)=4,$C$3,IF(MONTH($C539)=5,$C$4,IF(MONTH($C539)=6,$C$5,IF(MONTH($C539)=7,$C$6,"ERROR")))),1,0)</f>
        <v>0</v>
      </c>
      <c r="F539" s="26">
        <f>VLOOKUP($C539,COS!$B$8:$H$991,7,FALSE)</f>
        <v>51.426025390625</v>
      </c>
      <c r="G539" s="24">
        <f>IF(F539&lt;=IF(MONTH($C539)=4,$F$3,IF(MONTH($C539)=5,$F$4,IF(MONTH($C539)=6,$F$5,IF(MONTH($C539)=7,$F$6,"ERROR")))),1,0)</f>
        <v>1</v>
      </c>
      <c r="H539" s="26">
        <f>IF(J539=1,D539-$C$6,0)</f>
        <v>0</v>
      </c>
      <c r="I539" s="26">
        <f t="shared" si="764"/>
        <v>0</v>
      </c>
      <c r="J539" s="24">
        <f t="shared" si="856"/>
        <v>0</v>
      </c>
      <c r="K539" s="26">
        <f>VLOOKUP($C539,COS!$B$8:$H$991,2,FALSE)</f>
        <v>3708.154052734375</v>
      </c>
      <c r="L539" s="24">
        <f t="shared" si="843"/>
        <v>1</v>
      </c>
      <c r="M539" s="24">
        <f t="shared" si="844"/>
        <v>0</v>
      </c>
      <c r="N539" s="26">
        <f>VLOOKUP($C539,COS!$B$8:$H$991,5,FALSE)</f>
        <v>1062.265380859375</v>
      </c>
      <c r="O539" s="26">
        <f t="shared" si="859"/>
        <v>65.316152343750005</v>
      </c>
      <c r="P539" s="26">
        <f>VLOOKUP($C539,COS!$B$8:$H$991,6,FALSE)</f>
        <v>2538.12646484375</v>
      </c>
      <c r="Q539" s="26">
        <f t="shared" si="860"/>
        <v>156.06331321022728</v>
      </c>
      <c r="R539" s="26">
        <f>MIN(IF(MONTH($C539)=4,$S$3,IF(MONTH($C539)=5,$S$4,IF(MONTH($C539)=6,$S$5,IF(MONTH($C539)=7,$S$6,"ERROR")))),MAX(VLOOKUP($C539,COS!$B$8:$K$991,10,FALSE)-IF(MONTH($C539)=4,$Y$3,IF(MONTH($C539)=5,$Y$4,IF(MONTH($C539)=6,$Y$5,IF(MONTH($C539)=7,$Y$6,"ERROR")))),0),MAX(VLOOKUP($C539,COS!$B$8:$K$991,9,FALSE)-IF(MONTH($C539)=4,$V$3,IF(MONTH($C539)=5,$V$4,IF(MONTH($C539)=6,$V$5,IF(MONTH($C539)=7,$V$6,"ERROR"))))-VLOOKUP($C539,COS!$B$8:$K$991,6,FALSE)/2,0))</f>
        <v>1500</v>
      </c>
      <c r="S539" s="26">
        <f t="shared" si="861"/>
        <v>92.231404958677686</v>
      </c>
      <c r="T539" s="26">
        <f t="shared" si="862"/>
        <v>202.92113773566632</v>
      </c>
      <c r="U539" s="26" t="str">
        <f>IF(VLOOKUP($C539,COS!$B$8:$I$991,8,FALSE)=1,"UWFE","IBU")</f>
        <v>IBU</v>
      </c>
      <c r="V539" s="26">
        <f t="shared" ref="V539" si="866">MIN(IF(IF($AA$3=2,AND(E539=1,G539=1,L539=1,L541=1,M539=1,U539="IBU"),AND(E539=1,G539=1,L539=1,L541=1,M539=1)),T539,0),I539)</f>
        <v>0</v>
      </c>
      <c r="W539" s="26"/>
      <c r="X539" s="26"/>
      <c r="Y539" s="26"/>
      <c r="Z539" s="26"/>
      <c r="AA539" s="26"/>
      <c r="AB539" s="33"/>
    </row>
    <row r="540" spans="1:28" x14ac:dyDescent="0.3">
      <c r="A540" s="32">
        <f>VLOOKUP(YEAR(C540),Flags!$A$13:$B$95,2,FALSE)</f>
        <v>2</v>
      </c>
      <c r="B540" s="24">
        <f t="shared" si="841"/>
        <v>1980</v>
      </c>
      <c r="C540" s="25">
        <v>29464</v>
      </c>
      <c r="D540" s="26"/>
      <c r="E540" s="24"/>
      <c r="F540" s="26"/>
      <c r="G540" s="24"/>
      <c r="H540" s="24"/>
      <c r="I540" s="26"/>
      <c r="J540" s="24"/>
      <c r="K540" s="26"/>
      <c r="L540" s="24"/>
      <c r="M540" s="24"/>
      <c r="N540" s="26"/>
      <c r="O540" s="26"/>
      <c r="P540" s="26"/>
      <c r="Q540" s="26"/>
      <c r="R540" s="26"/>
      <c r="S540" s="26"/>
      <c r="T540" s="26"/>
      <c r="U540" s="26"/>
      <c r="V540" s="26"/>
      <c r="W540" s="26">
        <f>MAX($C$7-VLOOKUP($C540,COS!$B$8:$H$991,3,FALSE),0)</f>
        <v>2860.5693359375</v>
      </c>
      <c r="X540" s="26">
        <f t="shared" si="769"/>
        <v>175.88955255681819</v>
      </c>
      <c r="Y540" s="26">
        <f>VLOOKUP($C540,COS!$B$8:$H$991,4,FALSE)</f>
        <v>0</v>
      </c>
      <c r="Z540" s="26">
        <f t="shared" si="770"/>
        <v>0</v>
      </c>
      <c r="AA540" s="26">
        <f t="shared" ref="AA540:AA544" si="867">MIN(W540,Y540)</f>
        <v>0</v>
      </c>
      <c r="AB540" s="33">
        <f t="shared" ref="AB540" si="868">AA540*DAY($C540)*86400/43560/1000*IF(MONTH($C540)=8,$P$3,IF(MONTH($C540)=9,$P$4,IF(MONTH($C540)=10,$P$5,IF(MONTH($C540)=11,$P$6,IF(MONTH($C540)=12,$P$7,NA())))))</f>
        <v>0</v>
      </c>
    </row>
    <row r="541" spans="1:28" x14ac:dyDescent="0.3">
      <c r="A541" s="32">
        <f>VLOOKUP(YEAR(C541),Flags!$A$13:$B$95,2,FALSE)</f>
        <v>2</v>
      </c>
      <c r="B541" s="24">
        <f t="shared" si="841"/>
        <v>1980</v>
      </c>
      <c r="C541" s="25">
        <v>29494</v>
      </c>
      <c r="D541" s="26"/>
      <c r="E541" s="24"/>
      <c r="F541" s="26"/>
      <c r="G541" s="24"/>
      <c r="H541" s="24"/>
      <c r="I541" s="26"/>
      <c r="J541" s="24"/>
      <c r="K541" s="26">
        <f>VLOOKUP($C541,COS!$B$8:$H$991,2,FALSE)</f>
        <v>3161.38623046875</v>
      </c>
      <c r="L541" s="24">
        <f t="shared" ref="L541" si="869">IF(AND(K541&gt;$I$7,K541&lt;$I$8),1,0)</f>
        <v>1</v>
      </c>
      <c r="M541" s="24"/>
      <c r="N541" s="26"/>
      <c r="O541" s="26"/>
      <c r="P541" s="26"/>
      <c r="Q541" s="26"/>
      <c r="R541" s="26"/>
      <c r="S541" s="26"/>
      <c r="T541" s="26"/>
      <c r="U541" s="26"/>
      <c r="V541" s="26"/>
      <c r="W541" s="26">
        <f>MAX($C$8-VLOOKUP($C541,COS!$B$8:$H$991,3,FALSE),0)</f>
        <v>0</v>
      </c>
      <c r="X541" s="26">
        <f t="shared" si="769"/>
        <v>0</v>
      </c>
      <c r="Y541" s="26">
        <f>VLOOKUP($C541,COS!$B$8:$H$991,4,FALSE)</f>
        <v>103.58695983886719</v>
      </c>
      <c r="Z541" s="26">
        <f t="shared" si="770"/>
        <v>6.1638521557011883</v>
      </c>
      <c r="AA541" s="26">
        <f t="shared" si="867"/>
        <v>0</v>
      </c>
      <c r="AB541" s="33">
        <f t="shared" si="854"/>
        <v>0</v>
      </c>
    </row>
    <row r="542" spans="1:28" x14ac:dyDescent="0.3">
      <c r="A542" s="32">
        <f>VLOOKUP(YEAR(C542),Flags!$A$13:$B$95,2,FALSE)</f>
        <v>2</v>
      </c>
      <c r="B542" s="24">
        <f t="shared" si="841"/>
        <v>1980</v>
      </c>
      <c r="C542" s="25">
        <v>29525</v>
      </c>
      <c r="D542" s="26"/>
      <c r="E542" s="24"/>
      <c r="F542" s="26"/>
      <c r="G542" s="26"/>
      <c r="H542" s="26"/>
      <c r="I542" s="26"/>
      <c r="J542" s="26"/>
      <c r="K542" s="26"/>
      <c r="L542" s="24"/>
      <c r="M542" s="24"/>
      <c r="N542" s="26"/>
      <c r="O542" s="26"/>
      <c r="P542" s="26"/>
      <c r="Q542" s="26"/>
      <c r="R542" s="26"/>
      <c r="S542" s="26"/>
      <c r="T542" s="26"/>
      <c r="U542" s="26"/>
      <c r="V542" s="26"/>
      <c r="W542" s="26">
        <f>MAX($C$9-VLOOKUP($C542,COS!$B$8:$H$991,3,FALSE),0)</f>
        <v>0</v>
      </c>
      <c r="X542" s="26">
        <f t="shared" si="769"/>
        <v>0</v>
      </c>
      <c r="Y542" s="26">
        <f>VLOOKUP($C542,COS!$B$8:$H$991,4,FALSE)</f>
        <v>295.8243408203125</v>
      </c>
      <c r="Z542" s="26">
        <f t="shared" si="770"/>
        <v>18.189529716554752</v>
      </c>
      <c r="AA542" s="26">
        <f t="shared" si="867"/>
        <v>0</v>
      </c>
      <c r="AB542" s="33">
        <f t="shared" si="854"/>
        <v>0</v>
      </c>
    </row>
    <row r="543" spans="1:28" x14ac:dyDescent="0.3">
      <c r="A543" s="32">
        <f>VLOOKUP(YEAR(C543),Flags!$A$13:$B$95,2,FALSE)</f>
        <v>2</v>
      </c>
      <c r="B543" s="24">
        <f t="shared" si="841"/>
        <v>1980</v>
      </c>
      <c r="C543" s="25">
        <v>29555</v>
      </c>
      <c r="D543" s="26"/>
      <c r="E543" s="24"/>
      <c r="F543" s="26"/>
      <c r="G543" s="26"/>
      <c r="H543" s="26"/>
      <c r="I543" s="26"/>
      <c r="J543" s="26"/>
      <c r="K543" s="26"/>
      <c r="L543" s="24"/>
      <c r="M543" s="24"/>
      <c r="N543" s="26"/>
      <c r="O543" s="26"/>
      <c r="P543" s="26"/>
      <c r="Q543" s="26"/>
      <c r="R543" s="26"/>
      <c r="S543" s="26"/>
      <c r="T543" s="26"/>
      <c r="U543" s="26"/>
      <c r="V543" s="26"/>
      <c r="W543" s="26">
        <f>MAX($C$10-VLOOKUP($C543,COS!$B$8:$H$991,3,FALSE),0)</f>
        <v>0</v>
      </c>
      <c r="X543" s="26">
        <f t="shared" ref="X543:X606" si="870">W543*DAY($C543)*86400/43560/1000</f>
        <v>0</v>
      </c>
      <c r="Y543" s="26">
        <f>VLOOKUP($C543,COS!$B$8:$H$991,4,FALSE)</f>
        <v>250.89311218261719</v>
      </c>
      <c r="Z543" s="26">
        <f t="shared" ref="Z543:Z606" si="871">Y543*DAY($C543)*86400/43560/1000</f>
        <v>14.929176923263173</v>
      </c>
      <c r="AA543" s="26">
        <f t="shared" si="867"/>
        <v>0</v>
      </c>
      <c r="AB543" s="33">
        <f t="shared" si="854"/>
        <v>0</v>
      </c>
    </row>
    <row r="544" spans="1:28" x14ac:dyDescent="0.3">
      <c r="A544" s="34">
        <f>VLOOKUP(YEAR(C544),Flags!$A$13:$B$95,2,FALSE)</f>
        <v>2</v>
      </c>
      <c r="B544" s="35">
        <f t="shared" si="841"/>
        <v>1980</v>
      </c>
      <c r="C544" s="36">
        <v>29586</v>
      </c>
      <c r="D544" s="37"/>
      <c r="E544" s="35"/>
      <c r="F544" s="37"/>
      <c r="G544" s="37"/>
      <c r="H544" s="37"/>
      <c r="I544" s="37"/>
      <c r="J544" s="37"/>
      <c r="K544" s="37"/>
      <c r="L544" s="35"/>
      <c r="M544" s="35"/>
      <c r="N544" s="37"/>
      <c r="O544" s="37"/>
      <c r="P544" s="37"/>
      <c r="Q544" s="37"/>
      <c r="R544" s="37"/>
      <c r="S544" s="37"/>
      <c r="T544" s="37"/>
      <c r="U544" s="37"/>
      <c r="V544" s="37"/>
      <c r="W544" s="37">
        <f>MAX($C$11-VLOOKUP($C544,COS!$B$8:$H$991,3,FALSE),0)</f>
        <v>1750</v>
      </c>
      <c r="X544" s="37">
        <f t="shared" si="870"/>
        <v>107.60330578512398</v>
      </c>
      <c r="Y544" s="37">
        <f>VLOOKUP($C544,COS!$B$8:$H$991,4,FALSE)</f>
        <v>0</v>
      </c>
      <c r="Z544" s="37">
        <f t="shared" si="871"/>
        <v>0</v>
      </c>
      <c r="AA544" s="37">
        <f t="shared" si="867"/>
        <v>0</v>
      </c>
      <c r="AB544" s="38">
        <f t="shared" si="854"/>
        <v>0</v>
      </c>
    </row>
    <row r="545" spans="1:28" x14ac:dyDescent="0.3">
      <c r="A545" s="27">
        <f>VLOOKUP(YEAR(C545),Flags!$A$13:$B$95,2,FALSE)</f>
        <v>4</v>
      </c>
      <c r="B545" s="28">
        <f t="shared" si="841"/>
        <v>1981</v>
      </c>
      <c r="C545" s="29">
        <v>29706</v>
      </c>
      <c r="D545" s="30">
        <f>VLOOKUP($C545,COS!$B$8:$H$991,3,FALSE)</f>
        <v>3250</v>
      </c>
      <c r="E545" s="28">
        <f>IF(D545&gt;=IF(MONTH($C545)=4,$C$3,IF(MONTH($C545)=5,$C$4,IF(MONTH($C545)=6,$C$5,IF(MONTH($C545)=7,$C$6,"ERROR")))),1,0)</f>
        <v>0</v>
      </c>
      <c r="F545" s="30">
        <f>VLOOKUP($C545,COS!$B$8:$H$991,7,FALSE)</f>
        <v>51.835830688476563</v>
      </c>
      <c r="G545" s="28">
        <f>IF(F545&lt;=IF(MONTH($C545)=4,$F$3,IF(MONTH($C545)=5,$F$4,IF(MONTH($C545)=6,$F$5,IF(MONTH($C545)=7,$F$6,"ERROR")))),1,0)</f>
        <v>1</v>
      </c>
      <c r="H545" s="30">
        <f>IF(J545=1,D545-$C$3,0)</f>
        <v>0</v>
      </c>
      <c r="I545" s="30">
        <f t="shared" ref="I545:I608" si="872">H545*DAY($C545)*86400/43560/1000</f>
        <v>0</v>
      </c>
      <c r="J545" s="28">
        <f t="shared" ref="J545:J548" si="873">IF(AND(E545=1,G545=1),1,0)</f>
        <v>0</v>
      </c>
      <c r="K545" s="30">
        <f>VLOOKUP($C545,COS!$B$8:$H$991,2,FALSE)</f>
        <v>4273.45361328125</v>
      </c>
      <c r="L545" s="28">
        <f t="shared" ref="L545" si="874">IF(K545&lt;=IF(MONTH($C545)=4,$I$3,IF(MONTH($C545)=5,$I$4,IF(MONTH($C545)=6,$I$5,IF(MONTH($C545)=7,$I$6,"ERROR")))),1,0)</f>
        <v>1</v>
      </c>
      <c r="M545" s="28">
        <f t="shared" ref="M545" si="875">VLOOKUP($A545,$L$3:$M$7,2,FALSE)</f>
        <v>1</v>
      </c>
      <c r="N545" s="30">
        <f>VLOOKUP($C545,COS!$B$8:$H$991,5,FALSE)</f>
        <v>216.92788696289063</v>
      </c>
      <c r="O545" s="30">
        <f t="shared" ref="O545:O548" si="876">N545*DAY($C545)*86400/43560/1000</f>
        <v>12.908105670519111</v>
      </c>
      <c r="P545" s="30">
        <f>VLOOKUP($C545,COS!$B$8:$H$991,6,FALSE)</f>
        <v>405.1795654296875</v>
      </c>
      <c r="Q545" s="30">
        <f t="shared" ref="Q545:Q548" si="877">P545*DAY($C545)*86400/43560/1000</f>
        <v>24.109858438791321</v>
      </c>
      <c r="R545" s="30">
        <f>MIN(IF(MONTH($C545)=4,$S$3,IF(MONTH($C545)=5,$S$4,IF(MONTH($C545)=6,$S$5,IF(MONTH($C545)=7,$S$6,"ERROR")))),MAX(VLOOKUP($C545,COS!$B$8:$K$991,10,FALSE)-IF(MONTH($C545)=4,$Y$3,IF(MONTH($C545)=5,$Y$4,IF(MONTH($C545)=6,$Y$5,IF(MONTH($C545)=7,$Y$6,"ERROR")))),0),MAX(VLOOKUP($C545,COS!$B$8:$K$991,9,FALSE)-IF(MONTH($C545)=4,$V$3,IF(MONTH($C545)=5,$V$4,IF(MONTH($C545)=6,$V$5,IF(MONTH($C545)=7,$V$6,"ERROR"))))-VLOOKUP($C545,COS!$B$8:$K$991,6,FALSE)/2,0))</f>
        <v>1500</v>
      </c>
      <c r="S545" s="30">
        <f t="shared" ref="S545:S548" si="878">R545*DAY($C545)*86400/43560/1000</f>
        <v>89.256198347107429</v>
      </c>
      <c r="T545" s="30">
        <f t="shared" ref="T545:T548" si="879">(O545+Q545)/2+S545</f>
        <v>107.76518040176265</v>
      </c>
      <c r="U545" s="30" t="str">
        <f>IF(VLOOKUP($C545,COS!$B$8:$I$991,8,FALSE)=1,"UWFE","IBU")</f>
        <v>UWFE</v>
      </c>
      <c r="V545" s="30">
        <f t="shared" ref="V545" si="880">MIN(IF(IF($AA$3=2,AND(E545=1,G545=1,L545=1,L550=1,M545=1,U545="IBU"),AND(E545=1,G545=1,L545=1,L550=1,M545=1)),T545,0),I545)</f>
        <v>0</v>
      </c>
      <c r="W545" s="30"/>
      <c r="X545" s="30"/>
      <c r="Y545" s="30"/>
      <c r="Z545" s="30"/>
      <c r="AA545" s="30"/>
      <c r="AB545" s="31"/>
    </row>
    <row r="546" spans="1:28" x14ac:dyDescent="0.3">
      <c r="A546" s="32">
        <f>VLOOKUP(YEAR(C546),Flags!$A$13:$B$95,2,FALSE)</f>
        <v>4</v>
      </c>
      <c r="B546" s="24">
        <f t="shared" si="841"/>
        <v>1981</v>
      </c>
      <c r="C546" s="25">
        <v>29737</v>
      </c>
      <c r="D546" s="26">
        <f>VLOOKUP($C546,COS!$B$8:$H$991,3,FALSE)</f>
        <v>7636.04248046875</v>
      </c>
      <c r="E546" s="24">
        <f>IF(D546&gt;=IF(MONTH($C546)=4,$C$3,IF(MONTH($C546)=5,$C$4,IF(MONTH($C546)=6,$C$5,IF(MONTH($C546)=7,$C$6,"ERROR")))),1,0)</f>
        <v>1</v>
      </c>
      <c r="F546" s="26">
        <f>VLOOKUP($C546,COS!$B$8:$H$991,7,FALSE)</f>
        <v>50.98291015625</v>
      </c>
      <c r="G546" s="24">
        <f>IF(F546&lt;=IF(MONTH($C546)=4,$F$3,IF(MONTH($C546)=5,$F$4,IF(MONTH($C546)=6,$F$5,IF(MONTH($C546)=7,$F$6,"ERROR")))),1,0)</f>
        <v>1</v>
      </c>
      <c r="H546" s="26">
        <f>IF(J546=1,D546-$C$4,0)</f>
        <v>1636.04248046875</v>
      </c>
      <c r="I546" s="26">
        <f t="shared" si="872"/>
        <v>100.59633103047521</v>
      </c>
      <c r="J546" s="24">
        <f t="shared" si="873"/>
        <v>1</v>
      </c>
      <c r="K546" s="26">
        <f>VLOOKUP($C546,COS!$B$8:$H$991,2,FALSE)</f>
        <v>4072.649658203125</v>
      </c>
      <c r="L546" s="24">
        <f t="shared" si="843"/>
        <v>1</v>
      </c>
      <c r="M546" s="24">
        <f t="shared" si="844"/>
        <v>1</v>
      </c>
      <c r="N546" s="26">
        <f>VLOOKUP($C546,COS!$B$8:$H$991,5,FALSE)</f>
        <v>512.199951171875</v>
      </c>
      <c r="O546" s="26">
        <f t="shared" si="876"/>
        <v>31.493947410898759</v>
      </c>
      <c r="P546" s="26">
        <f>VLOOKUP($C546,COS!$B$8:$H$991,6,FALSE)</f>
        <v>2162.07861328125</v>
      </c>
      <c r="Q546" s="26">
        <f t="shared" si="877"/>
        <v>132.94103208935951</v>
      </c>
      <c r="R546" s="26">
        <f>MIN(IF(MONTH($C546)=4,$S$3,IF(MONTH($C546)=5,$S$4,IF(MONTH($C546)=6,$S$5,IF(MONTH($C546)=7,$S$6,"ERROR")))),MAX(VLOOKUP($C546,COS!$B$8:$K$991,10,FALSE)-IF(MONTH($C546)=4,$Y$3,IF(MONTH($C546)=5,$Y$4,IF(MONTH($C546)=6,$Y$5,IF(MONTH($C546)=7,$Y$6,"ERROR")))),0),MAX(VLOOKUP($C546,COS!$B$8:$K$991,9,FALSE)-IF(MONTH($C546)=4,$V$3,IF(MONTH($C546)=5,$V$4,IF(MONTH($C546)=6,$V$5,IF(MONTH($C546)=7,$V$6,"ERROR"))))-VLOOKUP($C546,COS!$B$8:$K$991,6,FALSE)/2,0))</f>
        <v>1500</v>
      </c>
      <c r="S546" s="26">
        <f t="shared" si="878"/>
        <v>92.231404958677686</v>
      </c>
      <c r="T546" s="26">
        <f t="shared" si="879"/>
        <v>174.44889470880682</v>
      </c>
      <c r="U546" s="26" t="str">
        <f>IF(VLOOKUP($C546,COS!$B$8:$I$991,8,FALSE)=1,"UWFE","IBU")</f>
        <v>IBU</v>
      </c>
      <c r="V546" s="26">
        <f t="shared" ref="V546" si="881">MIN(IF(IF($AA$3=2,AND(E546=1,G546=1,L546=1,L550=1,M546=1,U546="IBU"),AND(E546=1,G546=1,L546=1,L550=1,M546=1)),T546,0),I546)</f>
        <v>100.59633103047521</v>
      </c>
      <c r="W546" s="26"/>
      <c r="X546" s="26"/>
      <c r="Y546" s="26"/>
      <c r="Z546" s="26"/>
      <c r="AA546" s="26"/>
      <c r="AB546" s="33"/>
    </row>
    <row r="547" spans="1:28" x14ac:dyDescent="0.3">
      <c r="A547" s="32">
        <f>VLOOKUP(YEAR(C547),Flags!$A$13:$B$95,2,FALSE)</f>
        <v>4</v>
      </c>
      <c r="B547" s="24">
        <f t="shared" si="841"/>
        <v>1981</v>
      </c>
      <c r="C547" s="25">
        <v>29767</v>
      </c>
      <c r="D547" s="26">
        <f>VLOOKUP($C547,COS!$B$8:$H$991,3,FALSE)</f>
        <v>14118.259765625</v>
      </c>
      <c r="E547" s="24">
        <f>IF(D547&gt;=IF(MONTH($C547)=4,$C$3,IF(MONTH($C547)=5,$C$4,IF(MONTH($C547)=6,$C$5,IF(MONTH($C547)=7,$C$6,"ERROR")))),1,0)</f>
        <v>1</v>
      </c>
      <c r="F547" s="26">
        <f>VLOOKUP($C547,COS!$B$8:$H$991,7,FALSE)</f>
        <v>50.939315795898438</v>
      </c>
      <c r="G547" s="24">
        <f>IF(F547&lt;=IF(MONTH($C547)=4,$F$3,IF(MONTH($C547)=5,$F$4,IF(MONTH($C547)=6,$F$5,IF(MONTH($C547)=7,$F$6,"ERROR")))),1,0)</f>
        <v>1</v>
      </c>
      <c r="H547" s="26">
        <f>IF(J547=1,D547-$C$5,0)</f>
        <v>4118.259765625</v>
      </c>
      <c r="I547" s="26">
        <f t="shared" si="872"/>
        <v>245.0534736570248</v>
      </c>
      <c r="J547" s="24">
        <f t="shared" si="873"/>
        <v>1</v>
      </c>
      <c r="K547" s="26">
        <f>VLOOKUP($C547,COS!$B$8:$H$991,2,FALSE)</f>
        <v>3447.17138671875</v>
      </c>
      <c r="L547" s="24">
        <f t="shared" si="843"/>
        <v>1</v>
      </c>
      <c r="M547" s="24">
        <f t="shared" si="844"/>
        <v>1</v>
      </c>
      <c r="N547" s="26">
        <f>VLOOKUP($C547,COS!$B$8:$H$991,5,FALSE)</f>
        <v>824.02752685546875</v>
      </c>
      <c r="O547" s="26">
        <f t="shared" si="876"/>
        <v>49.033042920325407</v>
      </c>
      <c r="P547" s="26">
        <f>VLOOKUP($C547,COS!$B$8:$H$991,6,FALSE)</f>
        <v>2714.961669921875</v>
      </c>
      <c r="Q547" s="26">
        <f t="shared" si="877"/>
        <v>161.55143821022727</v>
      </c>
      <c r="R547" s="26">
        <f>MIN(IF(MONTH($C547)=4,$S$3,IF(MONTH($C547)=5,$S$4,IF(MONTH($C547)=6,$S$5,IF(MONTH($C547)=7,$S$6,"ERROR")))),MAX(VLOOKUP($C547,COS!$B$8:$K$991,10,FALSE)-IF(MONTH($C547)=4,$Y$3,IF(MONTH($C547)=5,$Y$4,IF(MONTH($C547)=6,$Y$5,IF(MONTH($C547)=7,$Y$6,"ERROR")))),0),MAX(VLOOKUP($C547,COS!$B$8:$K$991,9,FALSE)-IF(MONTH($C547)=4,$V$3,IF(MONTH($C547)=5,$V$4,IF(MONTH($C547)=6,$V$5,IF(MONTH($C547)=7,$V$6,"ERROR"))))-VLOOKUP($C547,COS!$B$8:$K$991,6,FALSE)/2,0))</f>
        <v>1500</v>
      </c>
      <c r="S547" s="26">
        <f t="shared" si="878"/>
        <v>89.256198347107429</v>
      </c>
      <c r="T547" s="26">
        <f t="shared" si="879"/>
        <v>194.54843891238377</v>
      </c>
      <c r="U547" s="26" t="str">
        <f>IF(VLOOKUP($C547,COS!$B$8:$I$991,8,FALSE)=1,"UWFE","IBU")</f>
        <v>IBU</v>
      </c>
      <c r="V547" s="26">
        <f t="shared" ref="V547" si="882">MIN(IF(IF($AA$3=2,AND(E547=1,G547=1,L547=1,L550=1,M547=1,U547="IBU"),AND(E547=1,G547=1,L547=1,L550=1,M547=1)),T547,0),I547)</f>
        <v>194.54843891238377</v>
      </c>
      <c r="W547" s="26"/>
      <c r="X547" s="26"/>
      <c r="Y547" s="26"/>
      <c r="Z547" s="26"/>
      <c r="AA547" s="26"/>
      <c r="AB547" s="33"/>
    </row>
    <row r="548" spans="1:28" x14ac:dyDescent="0.3">
      <c r="A548" s="32">
        <f>VLOOKUP(YEAR(C548),Flags!$A$13:$B$95,2,FALSE)</f>
        <v>4</v>
      </c>
      <c r="B548" s="24">
        <f t="shared" si="841"/>
        <v>1981</v>
      </c>
      <c r="C548" s="25">
        <v>29798</v>
      </c>
      <c r="D548" s="26">
        <f>VLOOKUP($C548,COS!$B$8:$H$991,3,FALSE)</f>
        <v>16000</v>
      </c>
      <c r="E548" s="24">
        <f>IF(D548&gt;=IF(MONTH($C548)=4,$C$3,IF(MONTH($C548)=5,$C$4,IF(MONTH($C548)=6,$C$5,IF(MONTH($C548)=7,$C$6,"ERROR")))),1,0)</f>
        <v>1</v>
      </c>
      <c r="F548" s="26">
        <f>VLOOKUP($C548,COS!$B$8:$H$991,7,FALSE)</f>
        <v>52.245452880859375</v>
      </c>
      <c r="G548" s="24">
        <f>IF(F548&lt;=IF(MONTH($C548)=4,$F$3,IF(MONTH($C548)=5,$F$4,IF(MONTH($C548)=6,$F$5,IF(MONTH($C548)=7,$F$6,"ERROR")))),1,0)</f>
        <v>1</v>
      </c>
      <c r="H548" s="26">
        <f>IF(J548=1,D548-$C$6,0)</f>
        <v>4000</v>
      </c>
      <c r="I548" s="26">
        <f t="shared" si="872"/>
        <v>245.95041322314049</v>
      </c>
      <c r="J548" s="24">
        <f t="shared" si="873"/>
        <v>1</v>
      </c>
      <c r="K548" s="26">
        <f>VLOOKUP($C548,COS!$B$8:$H$991,2,FALSE)</f>
        <v>2809.813720703125</v>
      </c>
      <c r="L548" s="24">
        <f t="shared" si="843"/>
        <v>1</v>
      </c>
      <c r="M548" s="24">
        <f t="shared" si="844"/>
        <v>1</v>
      </c>
      <c r="N548" s="26">
        <f>VLOOKUP($C548,COS!$B$8:$H$991,5,FALSE)</f>
        <v>902.334716796875</v>
      </c>
      <c r="O548" s="26">
        <f t="shared" si="876"/>
        <v>55.48239911544421</v>
      </c>
      <c r="P548" s="26">
        <f>VLOOKUP($C548,COS!$B$8:$H$991,6,FALSE)</f>
        <v>2538.07568359375</v>
      </c>
      <c r="Q548" s="26">
        <f t="shared" si="877"/>
        <v>156.06019079287191</v>
      </c>
      <c r="R548" s="26">
        <f>MIN(IF(MONTH($C548)=4,$S$3,IF(MONTH($C548)=5,$S$4,IF(MONTH($C548)=6,$S$5,IF(MONTH($C548)=7,$S$6,"ERROR")))),MAX(VLOOKUP($C548,COS!$B$8:$K$991,10,FALSE)-IF(MONTH($C548)=4,$Y$3,IF(MONTH($C548)=5,$Y$4,IF(MONTH($C548)=6,$Y$5,IF(MONTH($C548)=7,$Y$6,"ERROR")))),0),MAX(VLOOKUP($C548,COS!$B$8:$K$991,9,FALSE)-IF(MONTH($C548)=4,$V$3,IF(MONTH($C548)=5,$V$4,IF(MONTH($C548)=6,$V$5,IF(MONTH($C548)=7,$V$6,"ERROR"))))-VLOOKUP($C548,COS!$B$8:$K$991,6,FALSE)/2,0))</f>
        <v>1500</v>
      </c>
      <c r="S548" s="26">
        <f t="shared" si="878"/>
        <v>92.231404958677686</v>
      </c>
      <c r="T548" s="26">
        <f t="shared" si="879"/>
        <v>198.00269991283574</v>
      </c>
      <c r="U548" s="26" t="str">
        <f>IF(VLOOKUP($C548,COS!$B$8:$I$991,8,FALSE)=1,"UWFE","IBU")</f>
        <v>IBU</v>
      </c>
      <c r="V548" s="26">
        <f t="shared" ref="V548" si="883">MIN(IF(IF($AA$3=2,AND(E548=1,G548=1,L548=1,L550=1,M548=1,U548="IBU"),AND(E548=1,G548=1,L548=1,L550=1,M548=1)),T548,0),I548)</f>
        <v>198.00269991283574</v>
      </c>
      <c r="W548" s="26"/>
      <c r="X548" s="26"/>
      <c r="Y548" s="26"/>
      <c r="Z548" s="26"/>
      <c r="AA548" s="26"/>
      <c r="AB548" s="33"/>
    </row>
    <row r="549" spans="1:28" x14ac:dyDescent="0.3">
      <c r="A549" s="32">
        <f>VLOOKUP(YEAR(C549),Flags!$A$13:$B$95,2,FALSE)</f>
        <v>4</v>
      </c>
      <c r="B549" s="24">
        <f t="shared" si="841"/>
        <v>1981</v>
      </c>
      <c r="C549" s="25">
        <v>29829</v>
      </c>
      <c r="D549" s="26"/>
      <c r="E549" s="24"/>
      <c r="F549" s="26"/>
      <c r="G549" s="24"/>
      <c r="H549" s="24"/>
      <c r="I549" s="26"/>
      <c r="J549" s="24"/>
      <c r="K549" s="26"/>
      <c r="L549" s="24"/>
      <c r="M549" s="24"/>
      <c r="N549" s="26"/>
      <c r="O549" s="26"/>
      <c r="P549" s="26"/>
      <c r="Q549" s="26"/>
      <c r="R549" s="26"/>
      <c r="S549" s="26"/>
      <c r="T549" s="26"/>
      <c r="U549" s="26"/>
      <c r="V549" s="26"/>
      <c r="W549" s="26">
        <f>MAX($C$7-VLOOKUP($C549,COS!$B$8:$H$991,3,FALSE),0)</f>
        <v>3032.4130859375</v>
      </c>
      <c r="X549" s="26">
        <f t="shared" si="870"/>
        <v>186.45581288739669</v>
      </c>
      <c r="Y549" s="26">
        <f>VLOOKUP($C549,COS!$B$8:$H$991,4,FALSE)</f>
        <v>3055.62109375</v>
      </c>
      <c r="Z549" s="26">
        <f t="shared" si="871"/>
        <v>187.88281766528925</v>
      </c>
      <c r="AA549" s="26">
        <f t="shared" ref="AA549:AA553" si="884">MIN(W549,Y549)</f>
        <v>3032.4130859375</v>
      </c>
      <c r="AB549" s="33">
        <f t="shared" ref="AB549" si="885">AA549*DAY($C549)*86400/43560/1000*IF(MONTH($C549)=8,$P$3,IF(MONTH($C549)=9,$P$4,IF(MONTH($C549)=10,$P$5,IF(MONTH($C549)=11,$P$6,IF(MONTH($C549)=12,$P$7,NA())))))</f>
        <v>186.45581288739669</v>
      </c>
    </row>
    <row r="550" spans="1:28" x14ac:dyDescent="0.3">
      <c r="A550" s="32">
        <f>VLOOKUP(YEAR(C550),Flags!$A$13:$B$95,2,FALSE)</f>
        <v>4</v>
      </c>
      <c r="B550" s="24">
        <f t="shared" si="841"/>
        <v>1981</v>
      </c>
      <c r="C550" s="25">
        <v>29859</v>
      </c>
      <c r="D550" s="26"/>
      <c r="E550" s="24"/>
      <c r="F550" s="26"/>
      <c r="G550" s="24"/>
      <c r="H550" s="24"/>
      <c r="I550" s="26"/>
      <c r="J550" s="24"/>
      <c r="K550" s="26">
        <f>VLOOKUP($C550,COS!$B$8:$H$991,2,FALSE)</f>
        <v>2475.966796875</v>
      </c>
      <c r="L550" s="24">
        <f t="shared" ref="L550" si="886">IF(AND(K550&gt;$I$7,K550&lt;$I$8),1,0)</f>
        <v>1</v>
      </c>
      <c r="M550" s="24"/>
      <c r="N550" s="26"/>
      <c r="O550" s="26"/>
      <c r="P550" s="26"/>
      <c r="Q550" s="26"/>
      <c r="R550" s="26"/>
      <c r="S550" s="26"/>
      <c r="T550" s="26"/>
      <c r="U550" s="26"/>
      <c r="V550" s="26"/>
      <c r="W550" s="26">
        <f>MAX($C$8-VLOOKUP($C550,COS!$B$8:$H$991,3,FALSE),0)</f>
        <v>646.4052734375</v>
      </c>
      <c r="X550" s="26">
        <f t="shared" si="870"/>
        <v>38.463784865702479</v>
      </c>
      <c r="Y550" s="26">
        <f>VLOOKUP($C550,COS!$B$8:$H$991,4,FALSE)</f>
        <v>917.53326416015625</v>
      </c>
      <c r="Z550" s="26">
        <f t="shared" si="871"/>
        <v>54.597020677298552</v>
      </c>
      <c r="AA550" s="26">
        <f t="shared" si="884"/>
        <v>646.4052734375</v>
      </c>
      <c r="AB550" s="33">
        <f t="shared" si="854"/>
        <v>38.463784865702479</v>
      </c>
    </row>
    <row r="551" spans="1:28" x14ac:dyDescent="0.3">
      <c r="A551" s="32">
        <f>VLOOKUP(YEAR(C551),Flags!$A$13:$B$95,2,FALSE)</f>
        <v>4</v>
      </c>
      <c r="B551" s="24">
        <f t="shared" si="841"/>
        <v>1981</v>
      </c>
      <c r="C551" s="25">
        <v>29890</v>
      </c>
      <c r="D551" s="26"/>
      <c r="E551" s="24"/>
      <c r="F551" s="26"/>
      <c r="G551" s="26"/>
      <c r="H551" s="26"/>
      <c r="I551" s="26"/>
      <c r="J551" s="26"/>
      <c r="K551" s="26"/>
      <c r="L551" s="24"/>
      <c r="M551" s="24"/>
      <c r="N551" s="26"/>
      <c r="O551" s="26"/>
      <c r="P551" s="26"/>
      <c r="Q551" s="26"/>
      <c r="R551" s="26"/>
      <c r="S551" s="26"/>
      <c r="T551" s="26"/>
      <c r="U551" s="26"/>
      <c r="V551" s="26"/>
      <c r="W551" s="26">
        <f>MAX($C$9-VLOOKUP($C551,COS!$B$8:$H$991,3,FALSE),0)</f>
        <v>1680.089599609375</v>
      </c>
      <c r="X551" s="26">
        <f t="shared" si="870"/>
        <v>103.30468281895662</v>
      </c>
      <c r="Y551" s="26">
        <f>VLOOKUP($C551,COS!$B$8:$H$991,4,FALSE)</f>
        <v>1399.4996337890625</v>
      </c>
      <c r="Z551" s="26">
        <f t="shared" si="871"/>
        <v>86.051878309013418</v>
      </c>
      <c r="AA551" s="26">
        <f t="shared" si="884"/>
        <v>1399.4996337890625</v>
      </c>
      <c r="AB551" s="33">
        <f t="shared" si="854"/>
        <v>86.051878309013418</v>
      </c>
    </row>
    <row r="552" spans="1:28" x14ac:dyDescent="0.3">
      <c r="A552" s="32">
        <f>VLOOKUP(YEAR(C552),Flags!$A$13:$B$95,2,FALSE)</f>
        <v>4</v>
      </c>
      <c r="B552" s="24">
        <f t="shared" si="841"/>
        <v>1981</v>
      </c>
      <c r="C552" s="25">
        <v>29920</v>
      </c>
      <c r="D552" s="26"/>
      <c r="E552" s="24"/>
      <c r="F552" s="26"/>
      <c r="G552" s="26"/>
      <c r="H552" s="26"/>
      <c r="I552" s="26"/>
      <c r="J552" s="26"/>
      <c r="K552" s="26"/>
      <c r="L552" s="24"/>
      <c r="M552" s="24"/>
      <c r="N552" s="26"/>
      <c r="O552" s="26"/>
      <c r="P552" s="26"/>
      <c r="Q552" s="26"/>
      <c r="R552" s="26"/>
      <c r="S552" s="26"/>
      <c r="T552" s="26"/>
      <c r="U552" s="26"/>
      <c r="V552" s="26"/>
      <c r="W552" s="26">
        <f>MAX($C$10-VLOOKUP($C552,COS!$B$8:$H$991,3,FALSE),0)</f>
        <v>0</v>
      </c>
      <c r="X552" s="26">
        <f t="shared" si="870"/>
        <v>0</v>
      </c>
      <c r="Y552" s="26">
        <f>VLOOKUP($C552,COS!$B$8:$H$991,4,FALSE)</f>
        <v>0</v>
      </c>
      <c r="Z552" s="26">
        <f t="shared" si="871"/>
        <v>0</v>
      </c>
      <c r="AA552" s="26">
        <f t="shared" si="884"/>
        <v>0</v>
      </c>
      <c r="AB552" s="33">
        <f t="shared" si="854"/>
        <v>0</v>
      </c>
    </row>
    <row r="553" spans="1:28" x14ac:dyDescent="0.3">
      <c r="A553" s="34">
        <f>VLOOKUP(YEAR(C553),Flags!$A$13:$B$95,2,FALSE)</f>
        <v>4</v>
      </c>
      <c r="B553" s="35">
        <f t="shared" si="841"/>
        <v>1981</v>
      </c>
      <c r="C553" s="36">
        <v>29951</v>
      </c>
      <c r="D553" s="37"/>
      <c r="E553" s="35"/>
      <c r="F553" s="37"/>
      <c r="G553" s="37"/>
      <c r="H553" s="37"/>
      <c r="I553" s="37"/>
      <c r="J553" s="37"/>
      <c r="K553" s="37"/>
      <c r="L553" s="35"/>
      <c r="M553" s="35"/>
      <c r="N553" s="37"/>
      <c r="O553" s="37"/>
      <c r="P553" s="37"/>
      <c r="Q553" s="37"/>
      <c r="R553" s="37"/>
      <c r="S553" s="37"/>
      <c r="T553" s="37"/>
      <c r="U553" s="37"/>
      <c r="V553" s="37"/>
      <c r="W553" s="37">
        <f>MAX($C$11-VLOOKUP($C553,COS!$B$8:$H$991,3,FALSE),0)</f>
        <v>0</v>
      </c>
      <c r="X553" s="37">
        <f t="shared" si="870"/>
        <v>0</v>
      </c>
      <c r="Y553" s="37">
        <f>VLOOKUP($C553,COS!$B$8:$H$991,4,FALSE)</f>
        <v>0</v>
      </c>
      <c r="Z553" s="37">
        <f t="shared" si="871"/>
        <v>0</v>
      </c>
      <c r="AA553" s="37">
        <f t="shared" si="884"/>
        <v>0</v>
      </c>
      <c r="AB553" s="38">
        <f t="shared" si="854"/>
        <v>0</v>
      </c>
    </row>
    <row r="554" spans="1:28" x14ac:dyDescent="0.3">
      <c r="A554" s="27">
        <f>VLOOKUP(YEAR(C554),Flags!$A$13:$B$95,2,FALSE)</f>
        <v>1</v>
      </c>
      <c r="B554" s="28">
        <f t="shared" si="841"/>
        <v>1982</v>
      </c>
      <c r="C554" s="29">
        <v>30071</v>
      </c>
      <c r="D554" s="30">
        <f>VLOOKUP($C554,COS!$B$8:$H$991,3,FALSE)</f>
        <v>24913.6875</v>
      </c>
      <c r="E554" s="28">
        <f>IF(D554&gt;=IF(MONTH($C554)=4,$C$3,IF(MONTH($C554)=5,$C$4,IF(MONTH($C554)=6,$C$5,IF(MONTH($C554)=7,$C$6,"ERROR")))),1,0)</f>
        <v>1</v>
      </c>
      <c r="F554" s="30">
        <f>VLOOKUP($C554,COS!$B$8:$H$991,7,FALSE)</f>
        <v>46.657176971435547</v>
      </c>
      <c r="G554" s="28">
        <f>IF(F554&lt;=IF(MONTH($C554)=4,$F$3,IF(MONTH($C554)=5,$F$4,IF(MONTH($C554)=6,$F$5,IF(MONTH($C554)=7,$F$6,"ERROR")))),1,0)</f>
        <v>1</v>
      </c>
      <c r="H554" s="30">
        <f>IF(J554=1,D554-$C$3,0)</f>
        <v>18913.6875</v>
      </c>
      <c r="I554" s="30">
        <f t="shared" si="872"/>
        <v>1125.442561983471</v>
      </c>
      <c r="J554" s="28">
        <f t="shared" ref="J554:J557" si="887">IF(AND(E554=1,G554=1),1,0)</f>
        <v>1</v>
      </c>
      <c r="K554" s="30">
        <f>VLOOKUP($C554,COS!$B$8:$H$991,2,FALSE)</f>
        <v>4094</v>
      </c>
      <c r="L554" s="28">
        <f t="shared" ref="L554" si="888">IF(K554&lt;=IF(MONTH($C554)=4,$I$3,IF(MONTH($C554)=5,$I$4,IF(MONTH($C554)=6,$I$5,IF(MONTH($C554)=7,$I$6,"ERROR")))),1,0)</f>
        <v>1</v>
      </c>
      <c r="M554" s="28">
        <f t="shared" ref="M554" si="889">VLOOKUP($A554,$L$3:$M$7,2,FALSE)</f>
        <v>0</v>
      </c>
      <c r="N554" s="30">
        <f>VLOOKUP($C554,COS!$B$8:$H$991,5,FALSE)</f>
        <v>47.432540893554688</v>
      </c>
      <c r="O554" s="30">
        <f t="shared" ref="O554:O557" si="890">N554*DAY($C554)*86400/43560/1000</f>
        <v>2.8224321854016012</v>
      </c>
      <c r="P554" s="30">
        <f>VLOOKUP($C554,COS!$B$8:$H$991,6,FALSE)</f>
        <v>305.73114013671875</v>
      </c>
      <c r="Q554" s="30">
        <f t="shared" ref="Q554:Q557" si="891">P554*DAY($C554)*86400/43560/1000</f>
        <v>18.192266189953511</v>
      </c>
      <c r="R554" s="30">
        <f>MIN(IF(MONTH($C554)=4,$S$3,IF(MONTH($C554)=5,$S$4,IF(MONTH($C554)=6,$S$5,IF(MONTH($C554)=7,$S$6,"ERROR")))),MAX(VLOOKUP($C554,COS!$B$8:$K$991,10,FALSE)-IF(MONTH($C554)=4,$Y$3,IF(MONTH($C554)=5,$Y$4,IF(MONTH($C554)=6,$Y$5,IF(MONTH($C554)=7,$Y$6,"ERROR")))),0),MAX(VLOOKUP($C554,COS!$B$8:$K$991,9,FALSE)-IF(MONTH($C554)=4,$V$3,IF(MONTH($C554)=5,$V$4,IF(MONTH($C554)=6,$V$5,IF(MONTH($C554)=7,$V$6,"ERROR"))))-VLOOKUP($C554,COS!$B$8:$K$991,6,FALSE)/2,0))</f>
        <v>1500</v>
      </c>
      <c r="S554" s="30">
        <f t="shared" ref="S554:S557" si="892">R554*DAY($C554)*86400/43560/1000</f>
        <v>89.256198347107429</v>
      </c>
      <c r="T554" s="30">
        <f t="shared" ref="T554:T557" si="893">(O554+Q554)/2+S554</f>
        <v>99.76354753478499</v>
      </c>
      <c r="U554" s="30" t="str">
        <f>IF(VLOOKUP($C554,COS!$B$8:$I$991,8,FALSE)=1,"UWFE","IBU")</f>
        <v>UWFE</v>
      </c>
      <c r="V554" s="30">
        <f t="shared" ref="V554" si="894">MIN(IF(IF($AA$3=2,AND(E554=1,G554=1,L554=1,L559=1,M554=1,U554="IBU"),AND(E554=1,G554=1,L554=1,L559=1,M554=1)),T554,0),I554)</f>
        <v>0</v>
      </c>
      <c r="W554" s="30"/>
      <c r="X554" s="30"/>
      <c r="Y554" s="30"/>
      <c r="Z554" s="30"/>
      <c r="AA554" s="30"/>
      <c r="AB554" s="31"/>
    </row>
    <row r="555" spans="1:28" x14ac:dyDescent="0.3">
      <c r="A555" s="32">
        <f>VLOOKUP(YEAR(C555),Flags!$A$13:$B$95,2,FALSE)</f>
        <v>1</v>
      </c>
      <c r="B555" s="24">
        <f t="shared" si="841"/>
        <v>1982</v>
      </c>
      <c r="C555" s="25">
        <v>30102</v>
      </c>
      <c r="D555" s="26">
        <f>VLOOKUP($C555,COS!$B$8:$H$991,3,FALSE)</f>
        <v>3472.723876953125</v>
      </c>
      <c r="E555" s="24">
        <f>IF(D555&gt;=IF(MONTH($C555)=4,$C$3,IF(MONTH($C555)=5,$C$4,IF(MONTH($C555)=6,$C$5,IF(MONTH($C555)=7,$C$6,"ERROR")))),1,0)</f>
        <v>0</v>
      </c>
      <c r="F555" s="26">
        <f>VLOOKUP($C555,COS!$B$8:$H$991,7,FALSE)</f>
        <v>53.570789337158203</v>
      </c>
      <c r="G555" s="24">
        <f>IF(F555&lt;=IF(MONTH($C555)=4,$F$3,IF(MONTH($C555)=5,$F$4,IF(MONTH($C555)=6,$F$5,IF(MONTH($C555)=7,$F$6,"ERROR")))),1,0)</f>
        <v>1</v>
      </c>
      <c r="H555" s="26">
        <f>IF(J555=1,D555-$C$4,0)</f>
        <v>0</v>
      </c>
      <c r="I555" s="26">
        <f t="shared" si="872"/>
        <v>0</v>
      </c>
      <c r="J555" s="24">
        <f t="shared" si="887"/>
        <v>0</v>
      </c>
      <c r="K555" s="26">
        <f>VLOOKUP($C555,COS!$B$8:$H$991,2,FALSE)</f>
        <v>4481.19091796875</v>
      </c>
      <c r="L555" s="24">
        <f t="shared" si="843"/>
        <v>1</v>
      </c>
      <c r="M555" s="24">
        <f t="shared" si="844"/>
        <v>0</v>
      </c>
      <c r="N555" s="26">
        <f>VLOOKUP($C555,COS!$B$8:$H$991,5,FALSE)</f>
        <v>674.9888916015625</v>
      </c>
      <c r="O555" s="26">
        <f t="shared" si="890"/>
        <v>41.503449202608472</v>
      </c>
      <c r="P555" s="26">
        <f>VLOOKUP($C555,COS!$B$8:$H$991,6,FALSE)</f>
        <v>2221.702392578125</v>
      </c>
      <c r="Q555" s="26">
        <f t="shared" si="891"/>
        <v>136.60715537835745</v>
      </c>
      <c r="R555" s="26">
        <f>MIN(IF(MONTH($C555)=4,$S$3,IF(MONTH($C555)=5,$S$4,IF(MONTH($C555)=6,$S$5,IF(MONTH($C555)=7,$S$6,"ERROR")))),MAX(VLOOKUP($C555,COS!$B$8:$K$991,10,FALSE)-IF(MONTH($C555)=4,$Y$3,IF(MONTH($C555)=5,$Y$4,IF(MONTH($C555)=6,$Y$5,IF(MONTH($C555)=7,$Y$6,"ERROR")))),0),MAX(VLOOKUP($C555,COS!$B$8:$K$991,9,FALSE)-IF(MONTH($C555)=4,$V$3,IF(MONTH($C555)=5,$V$4,IF(MONTH($C555)=6,$V$5,IF(MONTH($C555)=7,$V$6,"ERROR"))))-VLOOKUP($C555,COS!$B$8:$K$991,6,FALSE)/2,0))</f>
        <v>858.08984375</v>
      </c>
      <c r="S555" s="26">
        <f t="shared" si="892"/>
        <v>52.761887913223134</v>
      </c>
      <c r="T555" s="26">
        <f t="shared" si="893"/>
        <v>141.8171902037061</v>
      </c>
      <c r="U555" s="26" t="str">
        <f>IF(VLOOKUP($C555,COS!$B$8:$I$991,8,FALSE)=1,"UWFE","IBU")</f>
        <v>UWFE</v>
      </c>
      <c r="V555" s="26">
        <f t="shared" ref="V555" si="895">MIN(IF(IF($AA$3=2,AND(E555=1,G555=1,L555=1,L559=1,M555=1,U555="IBU"),AND(E555=1,G555=1,L555=1,L559=1,M555=1)),T555,0),I555)</f>
        <v>0</v>
      </c>
      <c r="W555" s="26"/>
      <c r="X555" s="26"/>
      <c r="Y555" s="26"/>
      <c r="Z555" s="26"/>
      <c r="AA555" s="26"/>
      <c r="AB555" s="33"/>
    </row>
    <row r="556" spans="1:28" x14ac:dyDescent="0.3">
      <c r="A556" s="32">
        <f>VLOOKUP(YEAR(C556),Flags!$A$13:$B$95,2,FALSE)</f>
        <v>1</v>
      </c>
      <c r="B556" s="24">
        <f t="shared" si="841"/>
        <v>1982</v>
      </c>
      <c r="C556" s="25">
        <v>30132</v>
      </c>
      <c r="D556" s="26">
        <f>VLOOKUP($C556,COS!$B$8:$H$991,3,FALSE)</f>
        <v>6372.11962890625</v>
      </c>
      <c r="E556" s="24">
        <f>IF(D556&gt;=IF(MONTH($C556)=4,$C$3,IF(MONTH($C556)=5,$C$4,IF(MONTH($C556)=6,$C$5,IF(MONTH($C556)=7,$C$6,"ERROR")))),1,0)</f>
        <v>0</v>
      </c>
      <c r="F556" s="26">
        <f>VLOOKUP($C556,COS!$B$8:$H$991,7,FALSE)</f>
        <v>52.376934051513672</v>
      </c>
      <c r="G556" s="24">
        <f>IF(F556&lt;=IF(MONTH($C556)=4,$F$3,IF(MONTH($C556)=5,$F$4,IF(MONTH($C556)=6,$F$5,IF(MONTH($C556)=7,$F$6,"ERROR")))),1,0)</f>
        <v>1</v>
      </c>
      <c r="H556" s="26">
        <f>IF(J556=1,D556-$C$5,0)</f>
        <v>0</v>
      </c>
      <c r="I556" s="26">
        <f t="shared" si="872"/>
        <v>0</v>
      </c>
      <c r="J556" s="24">
        <f t="shared" si="887"/>
        <v>0</v>
      </c>
      <c r="K556" s="26">
        <f>VLOOKUP($C556,COS!$B$8:$H$991,2,FALSE)</f>
        <v>4397.3564453125</v>
      </c>
      <c r="L556" s="24">
        <f t="shared" si="843"/>
        <v>1</v>
      </c>
      <c r="M556" s="24">
        <f t="shared" si="844"/>
        <v>0</v>
      </c>
      <c r="N556" s="26">
        <f>VLOOKUP($C556,COS!$B$8:$H$991,5,FALSE)</f>
        <v>1084.0577392578125</v>
      </c>
      <c r="O556" s="26">
        <f t="shared" si="890"/>
        <v>64.505915063274784</v>
      </c>
      <c r="P556" s="26">
        <f>VLOOKUP($C556,COS!$B$8:$H$991,6,FALSE)</f>
        <v>2094.6748046875</v>
      </c>
      <c r="Q556" s="26">
        <f t="shared" si="891"/>
        <v>124.64180655991736</v>
      </c>
      <c r="R556" s="26">
        <f>MIN(IF(MONTH($C556)=4,$S$3,IF(MONTH($C556)=5,$S$4,IF(MONTH($C556)=6,$S$5,IF(MONTH($C556)=7,$S$6,"ERROR")))),MAX(VLOOKUP($C556,COS!$B$8:$K$991,10,FALSE)-IF(MONTH($C556)=4,$Y$3,IF(MONTH($C556)=5,$Y$4,IF(MONTH($C556)=6,$Y$5,IF(MONTH($C556)=7,$Y$6,"ERROR")))),0),MAX(VLOOKUP($C556,COS!$B$8:$K$991,9,FALSE)-IF(MONTH($C556)=4,$V$3,IF(MONTH($C556)=5,$V$4,IF(MONTH($C556)=6,$V$5,IF(MONTH($C556)=7,$V$6,"ERROR"))))-VLOOKUP($C556,COS!$B$8:$K$991,6,FALSE)/2,0))</f>
        <v>1500</v>
      </c>
      <c r="S556" s="26">
        <f t="shared" si="892"/>
        <v>89.256198347107429</v>
      </c>
      <c r="T556" s="26">
        <f t="shared" si="893"/>
        <v>183.83005915870348</v>
      </c>
      <c r="U556" s="26" t="str">
        <f>IF(VLOOKUP($C556,COS!$B$8:$I$991,8,FALSE)=1,"UWFE","IBU")</f>
        <v>UWFE</v>
      </c>
      <c r="V556" s="26">
        <f t="shared" ref="V556" si="896">MIN(IF(IF($AA$3=2,AND(E556=1,G556=1,L556=1,L559=1,M556=1,U556="IBU"),AND(E556=1,G556=1,L556=1,L559=1,M556=1)),T556,0),I556)</f>
        <v>0</v>
      </c>
      <c r="W556" s="26"/>
      <c r="X556" s="26"/>
      <c r="Y556" s="26"/>
      <c r="Z556" s="26"/>
      <c r="AA556" s="26"/>
      <c r="AB556" s="33"/>
    </row>
    <row r="557" spans="1:28" x14ac:dyDescent="0.3">
      <c r="A557" s="32">
        <f>VLOOKUP(YEAR(C557),Flags!$A$13:$B$95,2,FALSE)</f>
        <v>1</v>
      </c>
      <c r="B557" s="24">
        <f t="shared" si="841"/>
        <v>1982</v>
      </c>
      <c r="C557" s="25">
        <v>30163</v>
      </c>
      <c r="D557" s="26">
        <f>VLOOKUP($C557,COS!$B$8:$H$991,3,FALSE)</f>
        <v>10502.37890625</v>
      </c>
      <c r="E557" s="24">
        <f>IF(D557&gt;=IF(MONTH($C557)=4,$C$3,IF(MONTH($C557)=5,$C$4,IF(MONTH($C557)=6,$C$5,IF(MONTH($C557)=7,$C$6,"ERROR")))),1,0)</f>
        <v>0</v>
      </c>
      <c r="F557" s="26">
        <f>VLOOKUP($C557,COS!$B$8:$H$991,7,FALSE)</f>
        <v>52.655227661132813</v>
      </c>
      <c r="G557" s="24">
        <f>IF(F557&lt;=IF(MONTH($C557)=4,$F$3,IF(MONTH($C557)=5,$F$4,IF(MONTH($C557)=6,$F$5,IF(MONTH($C557)=7,$F$6,"ERROR")))),1,0)</f>
        <v>1</v>
      </c>
      <c r="H557" s="26">
        <f>IF(J557=1,D557-$C$6,0)</f>
        <v>0</v>
      </c>
      <c r="I557" s="26">
        <f t="shared" si="872"/>
        <v>0</v>
      </c>
      <c r="J557" s="24">
        <f t="shared" si="887"/>
        <v>0</v>
      </c>
      <c r="K557" s="26">
        <f>VLOOKUP($C557,COS!$B$8:$H$991,2,FALSE)</f>
        <v>4071.590576171875</v>
      </c>
      <c r="L557" s="24">
        <f t="shared" si="843"/>
        <v>1</v>
      </c>
      <c r="M557" s="24">
        <f t="shared" si="844"/>
        <v>0</v>
      </c>
      <c r="N557" s="26">
        <f>VLOOKUP($C557,COS!$B$8:$H$991,5,FALSE)</f>
        <v>1375.2449951171875</v>
      </c>
      <c r="O557" s="26">
        <f t="shared" si="890"/>
        <v>84.560518708032035</v>
      </c>
      <c r="P557" s="26">
        <f>VLOOKUP($C557,COS!$B$8:$H$991,6,FALSE)</f>
        <v>2616.67822265625</v>
      </c>
      <c r="Q557" s="26">
        <f t="shared" si="891"/>
        <v>160.89327253357436</v>
      </c>
      <c r="R557" s="26">
        <f>MIN(IF(MONTH($C557)=4,$S$3,IF(MONTH($C557)=5,$S$4,IF(MONTH($C557)=6,$S$5,IF(MONTH($C557)=7,$S$6,"ERROR")))),MAX(VLOOKUP($C557,COS!$B$8:$K$991,10,FALSE)-IF(MONTH($C557)=4,$Y$3,IF(MONTH($C557)=5,$Y$4,IF(MONTH($C557)=6,$Y$5,IF(MONTH($C557)=7,$Y$6,"ERROR")))),0),MAX(VLOOKUP($C557,COS!$B$8:$K$991,9,FALSE)-IF(MONTH($C557)=4,$V$3,IF(MONTH($C557)=5,$V$4,IF(MONTH($C557)=6,$V$5,IF(MONTH($C557)=7,$V$6,"ERROR"))))-VLOOKUP($C557,COS!$B$8:$K$991,6,FALSE)/2,0))</f>
        <v>1500</v>
      </c>
      <c r="S557" s="26">
        <f t="shared" si="892"/>
        <v>92.231404958677686</v>
      </c>
      <c r="T557" s="26">
        <f t="shared" si="893"/>
        <v>214.95830057948086</v>
      </c>
      <c r="U557" s="26" t="str">
        <f>IF(VLOOKUP($C557,COS!$B$8:$I$991,8,FALSE)=1,"UWFE","IBU")</f>
        <v>IBU</v>
      </c>
      <c r="V557" s="26">
        <f t="shared" ref="V557" si="897">MIN(IF(IF($AA$3=2,AND(E557=1,G557=1,L557=1,L559=1,M557=1,U557="IBU"),AND(E557=1,G557=1,L557=1,L559=1,M557=1)),T557,0),I557)</f>
        <v>0</v>
      </c>
      <c r="W557" s="26"/>
      <c r="X557" s="26"/>
      <c r="Y557" s="26"/>
      <c r="Z557" s="26"/>
      <c r="AA557" s="26"/>
      <c r="AB557" s="33"/>
    </row>
    <row r="558" spans="1:28" x14ac:dyDescent="0.3">
      <c r="A558" s="32">
        <f>VLOOKUP(YEAR(C558),Flags!$A$13:$B$95,2,FALSE)</f>
        <v>1</v>
      </c>
      <c r="B558" s="24">
        <f t="shared" si="841"/>
        <v>1982</v>
      </c>
      <c r="C558" s="25">
        <v>30194</v>
      </c>
      <c r="D558" s="26"/>
      <c r="E558" s="24"/>
      <c r="F558" s="26"/>
      <c r="G558" s="24"/>
      <c r="H558" s="24"/>
      <c r="I558" s="26"/>
      <c r="J558" s="24"/>
      <c r="K558" s="26"/>
      <c r="L558" s="24"/>
      <c r="M558" s="24"/>
      <c r="N558" s="26"/>
      <c r="O558" s="26"/>
      <c r="P558" s="26"/>
      <c r="Q558" s="26"/>
      <c r="R558" s="26"/>
      <c r="S558" s="26"/>
      <c r="T558" s="26"/>
      <c r="U558" s="26"/>
      <c r="V558" s="26"/>
      <c r="W558" s="26">
        <f>MAX($C$7-VLOOKUP($C558,COS!$B$8:$H$991,3,FALSE),0)</f>
        <v>2772.0556640625</v>
      </c>
      <c r="X558" s="26">
        <f t="shared" si="870"/>
        <v>170.44705901342974</v>
      </c>
      <c r="Y558" s="26">
        <f>VLOOKUP($C558,COS!$B$8:$H$991,4,FALSE)</f>
        <v>0</v>
      </c>
      <c r="Z558" s="26">
        <f t="shared" si="871"/>
        <v>0</v>
      </c>
      <c r="AA558" s="26">
        <f t="shared" ref="AA558:AA562" si="898">MIN(W558,Y558)</f>
        <v>0</v>
      </c>
      <c r="AB558" s="33">
        <f t="shared" ref="AB558" si="899">AA558*DAY($C558)*86400/43560/1000*IF(MONTH($C558)=8,$P$3,IF(MONTH($C558)=9,$P$4,IF(MONTH($C558)=10,$P$5,IF(MONTH($C558)=11,$P$6,IF(MONTH($C558)=12,$P$7,NA())))))</f>
        <v>0</v>
      </c>
    </row>
    <row r="559" spans="1:28" x14ac:dyDescent="0.3">
      <c r="A559" s="32">
        <f>VLOOKUP(YEAR(C559),Flags!$A$13:$B$95,2,FALSE)</f>
        <v>1</v>
      </c>
      <c r="B559" s="24">
        <f t="shared" si="841"/>
        <v>1982</v>
      </c>
      <c r="C559" s="25">
        <v>30224</v>
      </c>
      <c r="D559" s="26"/>
      <c r="E559" s="24"/>
      <c r="F559" s="26"/>
      <c r="G559" s="24"/>
      <c r="H559" s="24"/>
      <c r="I559" s="26"/>
      <c r="J559" s="24"/>
      <c r="K559" s="26">
        <f>VLOOKUP($C559,COS!$B$8:$H$991,2,FALSE)</f>
        <v>3400</v>
      </c>
      <c r="L559" s="24">
        <f t="shared" ref="L559" si="900">IF(AND(K559&gt;$I$7,K559&lt;$I$8),1,0)</f>
        <v>1</v>
      </c>
      <c r="M559" s="24"/>
      <c r="N559" s="26"/>
      <c r="O559" s="26"/>
      <c r="P559" s="26"/>
      <c r="Q559" s="26"/>
      <c r="R559" s="26"/>
      <c r="S559" s="26"/>
      <c r="T559" s="26"/>
      <c r="U559" s="26"/>
      <c r="V559" s="26"/>
      <c r="W559" s="26">
        <f>MAX($C$8-VLOOKUP($C559,COS!$B$8:$H$991,3,FALSE),0)</f>
        <v>0</v>
      </c>
      <c r="X559" s="26">
        <f t="shared" si="870"/>
        <v>0</v>
      </c>
      <c r="Y559" s="26">
        <f>VLOOKUP($C559,COS!$B$8:$H$991,4,FALSE)</f>
        <v>0</v>
      </c>
      <c r="Z559" s="26">
        <f t="shared" si="871"/>
        <v>0</v>
      </c>
      <c r="AA559" s="26">
        <f t="shared" si="898"/>
        <v>0</v>
      </c>
      <c r="AB559" s="33">
        <f t="shared" si="854"/>
        <v>0</v>
      </c>
    </row>
    <row r="560" spans="1:28" x14ac:dyDescent="0.3">
      <c r="A560" s="32">
        <f>VLOOKUP(YEAR(C560),Flags!$A$13:$B$95,2,FALSE)</f>
        <v>1</v>
      </c>
      <c r="B560" s="24">
        <f t="shared" si="841"/>
        <v>1982</v>
      </c>
      <c r="C560" s="25">
        <v>30255</v>
      </c>
      <c r="D560" s="26"/>
      <c r="E560" s="24"/>
      <c r="F560" s="26"/>
      <c r="G560" s="26"/>
      <c r="H560" s="26"/>
      <c r="I560" s="26"/>
      <c r="J560" s="26"/>
      <c r="K560" s="26"/>
      <c r="L560" s="24"/>
      <c r="M560" s="24"/>
      <c r="N560" s="26"/>
      <c r="O560" s="26"/>
      <c r="P560" s="26"/>
      <c r="Q560" s="26"/>
      <c r="R560" s="26"/>
      <c r="S560" s="26"/>
      <c r="T560" s="26"/>
      <c r="U560" s="26"/>
      <c r="V560" s="26"/>
      <c r="W560" s="26">
        <f>MAX($C$9-VLOOKUP($C560,COS!$B$8:$H$991,3,FALSE),0)</f>
        <v>0</v>
      </c>
      <c r="X560" s="26">
        <f t="shared" si="870"/>
        <v>0</v>
      </c>
      <c r="Y560" s="26">
        <f>VLOOKUP($C560,COS!$B$8:$H$991,4,FALSE)</f>
        <v>0</v>
      </c>
      <c r="Z560" s="26">
        <f t="shared" si="871"/>
        <v>0</v>
      </c>
      <c r="AA560" s="26">
        <f t="shared" si="898"/>
        <v>0</v>
      </c>
      <c r="AB560" s="33">
        <f t="shared" si="854"/>
        <v>0</v>
      </c>
    </row>
    <row r="561" spans="1:28" x14ac:dyDescent="0.3">
      <c r="A561" s="32">
        <f>VLOOKUP(YEAR(C561),Flags!$A$13:$B$95,2,FALSE)</f>
        <v>1</v>
      </c>
      <c r="B561" s="24">
        <f t="shared" si="841"/>
        <v>1982</v>
      </c>
      <c r="C561" s="25">
        <v>30285</v>
      </c>
      <c r="D561" s="26"/>
      <c r="E561" s="24"/>
      <c r="F561" s="26"/>
      <c r="G561" s="26"/>
      <c r="H561" s="26"/>
      <c r="I561" s="26"/>
      <c r="J561" s="26"/>
      <c r="K561" s="26"/>
      <c r="L561" s="24"/>
      <c r="M561" s="24"/>
      <c r="N561" s="26"/>
      <c r="O561" s="26"/>
      <c r="P561" s="26"/>
      <c r="Q561" s="26"/>
      <c r="R561" s="26"/>
      <c r="S561" s="26"/>
      <c r="T561" s="26"/>
      <c r="U561" s="26"/>
      <c r="V561" s="26"/>
      <c r="W561" s="26">
        <f>MAX($C$10-VLOOKUP($C561,COS!$B$8:$H$991,3,FALSE),0)</f>
        <v>0</v>
      </c>
      <c r="X561" s="26">
        <f t="shared" si="870"/>
        <v>0</v>
      </c>
      <c r="Y561" s="26">
        <f>VLOOKUP($C561,COS!$B$8:$H$991,4,FALSE)</f>
        <v>0</v>
      </c>
      <c r="Z561" s="26">
        <f t="shared" si="871"/>
        <v>0</v>
      </c>
      <c r="AA561" s="26">
        <f t="shared" si="898"/>
        <v>0</v>
      </c>
      <c r="AB561" s="33">
        <f t="shared" si="854"/>
        <v>0</v>
      </c>
    </row>
    <row r="562" spans="1:28" x14ac:dyDescent="0.3">
      <c r="A562" s="34">
        <f>VLOOKUP(YEAR(C562),Flags!$A$13:$B$95,2,FALSE)</f>
        <v>1</v>
      </c>
      <c r="B562" s="35">
        <f t="shared" si="841"/>
        <v>1982</v>
      </c>
      <c r="C562" s="36">
        <v>30316</v>
      </c>
      <c r="D562" s="37"/>
      <c r="E562" s="35"/>
      <c r="F562" s="37"/>
      <c r="G562" s="37"/>
      <c r="H562" s="37"/>
      <c r="I562" s="37"/>
      <c r="J562" s="37"/>
      <c r="K562" s="37"/>
      <c r="L562" s="35"/>
      <c r="M562" s="35"/>
      <c r="N562" s="37"/>
      <c r="O562" s="37"/>
      <c r="P562" s="37"/>
      <c r="Q562" s="37"/>
      <c r="R562" s="37"/>
      <c r="S562" s="37"/>
      <c r="T562" s="37"/>
      <c r="U562" s="37"/>
      <c r="V562" s="37"/>
      <c r="W562" s="37">
        <f>MAX($C$11-VLOOKUP($C562,COS!$B$8:$H$991,3,FALSE),0)</f>
        <v>0</v>
      </c>
      <c r="X562" s="37">
        <f t="shared" si="870"/>
        <v>0</v>
      </c>
      <c r="Y562" s="37">
        <f>VLOOKUP($C562,COS!$B$8:$H$991,4,FALSE)</f>
        <v>0</v>
      </c>
      <c r="Z562" s="37">
        <f t="shared" si="871"/>
        <v>0</v>
      </c>
      <c r="AA562" s="37">
        <f t="shared" si="898"/>
        <v>0</v>
      </c>
      <c r="AB562" s="38">
        <f t="shared" si="854"/>
        <v>0</v>
      </c>
    </row>
    <row r="563" spans="1:28" x14ac:dyDescent="0.3">
      <c r="A563" s="27">
        <f>VLOOKUP(YEAR(C563),Flags!$A$13:$B$95,2,FALSE)</f>
        <v>1</v>
      </c>
      <c r="B563" s="28">
        <f t="shared" si="841"/>
        <v>1983</v>
      </c>
      <c r="C563" s="29">
        <v>30436</v>
      </c>
      <c r="D563" s="30">
        <f>VLOOKUP($C563,COS!$B$8:$H$991,3,FALSE)</f>
        <v>21283.287109375</v>
      </c>
      <c r="E563" s="28">
        <f>IF(D563&gt;=IF(MONTH($C563)=4,$C$3,IF(MONTH($C563)=5,$C$4,IF(MONTH($C563)=6,$C$5,IF(MONTH($C563)=7,$C$6,"ERROR")))),1,0)</f>
        <v>1</v>
      </c>
      <c r="F563" s="30">
        <f>VLOOKUP($C563,COS!$B$8:$H$991,7,FALSE)</f>
        <v>47.246109008789063</v>
      </c>
      <c r="G563" s="28">
        <f>IF(F563&lt;=IF(MONTH($C563)=4,$F$3,IF(MONTH($C563)=5,$F$4,IF(MONTH($C563)=6,$F$5,IF(MONTH($C563)=7,$F$6,"ERROR")))),1,0)</f>
        <v>1</v>
      </c>
      <c r="H563" s="30">
        <f>IF(J563=1,D563-$C$3,0)</f>
        <v>15283.287109375</v>
      </c>
      <c r="I563" s="30">
        <f t="shared" si="872"/>
        <v>909.4187370867769</v>
      </c>
      <c r="J563" s="28">
        <f t="shared" ref="J563:J566" si="901">IF(AND(E563=1,G563=1),1,0)</f>
        <v>1</v>
      </c>
      <c r="K563" s="30">
        <f>VLOOKUP($C563,COS!$B$8:$H$991,2,FALSE)</f>
        <v>4074</v>
      </c>
      <c r="L563" s="28">
        <f t="shared" ref="L563" si="902">IF(K563&lt;=IF(MONTH($C563)=4,$I$3,IF(MONTH($C563)=5,$I$4,IF(MONTH($C563)=6,$I$5,IF(MONTH($C563)=7,$I$6,"ERROR")))),1,0)</f>
        <v>1</v>
      </c>
      <c r="M563" s="28">
        <f t="shared" ref="M563" si="903">VLOOKUP($A563,$L$3:$M$7,2,FALSE)</f>
        <v>0</v>
      </c>
      <c r="N563" s="30">
        <f>VLOOKUP($C563,COS!$B$8:$H$991,5,FALSE)</f>
        <v>21.902835845947266</v>
      </c>
      <c r="O563" s="30">
        <f t="shared" ref="O563:O566" si="904">N563*DAY($C563)*86400/43560/1000</f>
        <v>1.3033092404200026</v>
      </c>
      <c r="P563" s="30">
        <f>VLOOKUP($C563,COS!$B$8:$H$991,6,FALSE)</f>
        <v>283.12924194335938</v>
      </c>
      <c r="Q563" s="30">
        <f t="shared" ref="Q563:Q566" si="905">P563*DAY($C563)*86400/43560/1000</f>
        <v>16.847359851175103</v>
      </c>
      <c r="R563" s="30">
        <f>MIN(IF(MONTH($C563)=4,$S$3,IF(MONTH($C563)=5,$S$4,IF(MONTH($C563)=6,$S$5,IF(MONTH($C563)=7,$S$6,"ERROR")))),MAX(VLOOKUP($C563,COS!$B$8:$K$991,10,FALSE)-IF(MONTH($C563)=4,$Y$3,IF(MONTH($C563)=5,$Y$4,IF(MONTH($C563)=6,$Y$5,IF(MONTH($C563)=7,$Y$6,"ERROR")))),0),MAX(VLOOKUP($C563,COS!$B$8:$K$991,9,FALSE)-IF(MONTH($C563)=4,$V$3,IF(MONTH($C563)=5,$V$4,IF(MONTH($C563)=6,$V$5,IF(MONTH($C563)=7,$V$6,"ERROR"))))-VLOOKUP($C563,COS!$B$8:$K$991,6,FALSE)/2,0))</f>
        <v>1500</v>
      </c>
      <c r="S563" s="30">
        <f t="shared" ref="S563:S566" si="906">R563*DAY($C563)*86400/43560/1000</f>
        <v>89.256198347107429</v>
      </c>
      <c r="T563" s="30">
        <f t="shared" ref="T563:T566" si="907">(O563+Q563)/2+S563</f>
        <v>98.331532892904988</v>
      </c>
      <c r="U563" s="30" t="str">
        <f>IF(VLOOKUP($C563,COS!$B$8:$I$991,8,FALSE)=1,"UWFE","IBU")</f>
        <v>UWFE</v>
      </c>
      <c r="V563" s="30">
        <f t="shared" ref="V563" si="908">MIN(IF(IF($AA$3=2,AND(E563=1,G563=1,L563=1,L568=1,M563=1,U563="IBU"),AND(E563=1,G563=1,L563=1,L568=1,M563=1)),T563,0),I563)</f>
        <v>0</v>
      </c>
      <c r="W563" s="30"/>
      <c r="X563" s="30"/>
      <c r="Y563" s="30"/>
      <c r="Z563" s="30"/>
      <c r="AA563" s="30"/>
      <c r="AB563" s="31"/>
    </row>
    <row r="564" spans="1:28" x14ac:dyDescent="0.3">
      <c r="A564" s="32">
        <f>VLOOKUP(YEAR(C564),Flags!$A$13:$B$95,2,FALSE)</f>
        <v>1</v>
      </c>
      <c r="B564" s="24">
        <f t="shared" si="841"/>
        <v>1983</v>
      </c>
      <c r="C564" s="25">
        <v>30467</v>
      </c>
      <c r="D564" s="26">
        <f>VLOOKUP($C564,COS!$B$8:$H$991,3,FALSE)</f>
        <v>9426.208984375</v>
      </c>
      <c r="E564" s="24">
        <f>IF(D564&gt;=IF(MONTH($C564)=4,$C$3,IF(MONTH($C564)=5,$C$4,IF(MONTH($C564)=6,$C$5,IF(MONTH($C564)=7,$C$6,"ERROR")))),1,0)</f>
        <v>1</v>
      </c>
      <c r="F564" s="26">
        <f>VLOOKUP($C564,COS!$B$8:$H$991,7,FALSE)</f>
        <v>51.257026672363281</v>
      </c>
      <c r="G564" s="24">
        <f>IF(F564&lt;=IF(MONTH($C564)=4,$F$3,IF(MONTH($C564)=5,$F$4,IF(MONTH($C564)=6,$F$5,IF(MONTH($C564)=7,$F$6,"ERROR")))),1,0)</f>
        <v>1</v>
      </c>
      <c r="H564" s="26">
        <f>IF(J564=1,D564-$C$4,0)</f>
        <v>3426.208984375</v>
      </c>
      <c r="I564" s="26">
        <f t="shared" si="872"/>
        <v>210.66937887396696</v>
      </c>
      <c r="J564" s="24">
        <f t="shared" si="901"/>
        <v>1</v>
      </c>
      <c r="K564" s="26">
        <f>VLOOKUP($C564,COS!$B$8:$H$991,2,FALSE)</f>
        <v>4552</v>
      </c>
      <c r="L564" s="24">
        <f t="shared" si="843"/>
        <v>1</v>
      </c>
      <c r="M564" s="24">
        <f t="shared" si="844"/>
        <v>0</v>
      </c>
      <c r="N564" s="26">
        <f>VLOOKUP($C564,COS!$B$8:$H$991,5,FALSE)</f>
        <v>574.8585205078125</v>
      </c>
      <c r="O564" s="26">
        <f t="shared" si="904"/>
        <v>35.346672665934918</v>
      </c>
      <c r="P564" s="26">
        <f>VLOOKUP($C564,COS!$B$8:$H$991,6,FALSE)</f>
        <v>2133.038330078125</v>
      </c>
      <c r="Q564" s="26">
        <f t="shared" si="905"/>
        <v>131.15541467587809</v>
      </c>
      <c r="R564" s="26">
        <f>MIN(IF(MONTH($C564)=4,$S$3,IF(MONTH($C564)=5,$S$4,IF(MONTH($C564)=6,$S$5,IF(MONTH($C564)=7,$S$6,"ERROR")))),MAX(VLOOKUP($C564,COS!$B$8:$K$991,10,FALSE)-IF(MONTH($C564)=4,$Y$3,IF(MONTH($C564)=5,$Y$4,IF(MONTH($C564)=6,$Y$5,IF(MONTH($C564)=7,$Y$6,"ERROR")))),0),MAX(VLOOKUP($C564,COS!$B$8:$K$991,9,FALSE)-IF(MONTH($C564)=4,$V$3,IF(MONTH($C564)=5,$V$4,IF(MONTH($C564)=6,$V$5,IF(MONTH($C564)=7,$V$6,"ERROR"))))-VLOOKUP($C564,COS!$B$8:$K$991,6,FALSE)/2,0))</f>
        <v>1500</v>
      </c>
      <c r="S564" s="26">
        <f t="shared" si="906"/>
        <v>92.231404958677686</v>
      </c>
      <c r="T564" s="26">
        <f t="shared" si="907"/>
        <v>175.48244862958421</v>
      </c>
      <c r="U564" s="26" t="str">
        <f>IF(VLOOKUP($C564,COS!$B$8:$I$991,8,FALSE)=1,"UWFE","IBU")</f>
        <v>UWFE</v>
      </c>
      <c r="V564" s="26">
        <f t="shared" ref="V564" si="909">MIN(IF(IF($AA$3=2,AND(E564=1,G564=1,L564=1,L568=1,M564=1,U564="IBU"),AND(E564=1,G564=1,L564=1,L568=1,M564=1)),T564,0),I564)</f>
        <v>0</v>
      </c>
      <c r="W564" s="26"/>
      <c r="X564" s="26"/>
      <c r="Y564" s="26"/>
      <c r="Z564" s="26"/>
      <c r="AA564" s="26"/>
      <c r="AB564" s="33"/>
    </row>
    <row r="565" spans="1:28" x14ac:dyDescent="0.3">
      <c r="A565" s="32">
        <f>VLOOKUP(YEAR(C565),Flags!$A$13:$B$95,2,FALSE)</f>
        <v>1</v>
      </c>
      <c r="B565" s="24">
        <f t="shared" si="841"/>
        <v>1983</v>
      </c>
      <c r="C565" s="25">
        <v>30497</v>
      </c>
      <c r="D565" s="26">
        <f>VLOOKUP($C565,COS!$B$8:$H$991,3,FALSE)</f>
        <v>12851.6533203125</v>
      </c>
      <c r="E565" s="24">
        <f>IF(D565&gt;=IF(MONTH($C565)=4,$C$3,IF(MONTH($C565)=5,$C$4,IF(MONTH($C565)=6,$C$5,IF(MONTH($C565)=7,$C$6,"ERROR")))),1,0)</f>
        <v>1</v>
      </c>
      <c r="F565" s="26">
        <f>VLOOKUP($C565,COS!$B$8:$H$991,7,FALSE)</f>
        <v>52.077590942382813</v>
      </c>
      <c r="G565" s="24">
        <f>IF(F565&lt;=IF(MONTH($C565)=4,$F$3,IF(MONTH($C565)=5,$F$4,IF(MONTH($C565)=6,$F$5,IF(MONTH($C565)=7,$F$6,"ERROR")))),1,0)</f>
        <v>1</v>
      </c>
      <c r="H565" s="26">
        <f>IF(J565=1,D565-$C$5,0)</f>
        <v>2851.6533203125</v>
      </c>
      <c r="I565" s="26">
        <f t="shared" si="872"/>
        <v>169.68515625000001</v>
      </c>
      <c r="J565" s="24">
        <f t="shared" si="901"/>
        <v>1</v>
      </c>
      <c r="K565" s="26">
        <f>VLOOKUP($C565,COS!$B$8:$H$991,2,FALSE)</f>
        <v>4500</v>
      </c>
      <c r="L565" s="24">
        <f t="shared" si="843"/>
        <v>1</v>
      </c>
      <c r="M565" s="24">
        <f t="shared" si="844"/>
        <v>0</v>
      </c>
      <c r="N565" s="26">
        <f>VLOOKUP($C565,COS!$B$8:$H$991,5,FALSE)</f>
        <v>1170.465087890625</v>
      </c>
      <c r="O565" s="26">
        <f t="shared" si="904"/>
        <v>69.647509362086765</v>
      </c>
      <c r="P565" s="26">
        <f>VLOOKUP($C565,COS!$B$8:$H$991,6,FALSE)</f>
        <v>2257.964111328125</v>
      </c>
      <c r="Q565" s="26">
        <f t="shared" si="905"/>
        <v>134.35819505423555</v>
      </c>
      <c r="R565" s="26">
        <f>MIN(IF(MONTH($C565)=4,$S$3,IF(MONTH($C565)=5,$S$4,IF(MONTH($C565)=6,$S$5,IF(MONTH($C565)=7,$S$6,"ERROR")))),MAX(VLOOKUP($C565,COS!$B$8:$K$991,10,FALSE)-IF(MONTH($C565)=4,$Y$3,IF(MONTH($C565)=5,$Y$4,IF(MONTH($C565)=6,$Y$5,IF(MONTH($C565)=7,$Y$6,"ERROR")))),0),MAX(VLOOKUP($C565,COS!$B$8:$K$991,9,FALSE)-IF(MONTH($C565)=4,$V$3,IF(MONTH($C565)=5,$V$4,IF(MONTH($C565)=6,$V$5,IF(MONTH($C565)=7,$V$6,"ERROR"))))-VLOOKUP($C565,COS!$B$8:$K$991,6,FALSE)/2,0))</f>
        <v>1500</v>
      </c>
      <c r="S565" s="26">
        <f t="shared" si="906"/>
        <v>89.256198347107429</v>
      </c>
      <c r="T565" s="26">
        <f t="shared" si="907"/>
        <v>191.25905055526857</v>
      </c>
      <c r="U565" s="26" t="str">
        <f>IF(VLOOKUP($C565,COS!$B$8:$I$991,8,FALSE)=1,"UWFE","IBU")</f>
        <v>UWFE</v>
      </c>
      <c r="V565" s="26">
        <f t="shared" ref="V565" si="910">MIN(IF(IF($AA$3=2,AND(E565=1,G565=1,L565=1,L568=1,M565=1,U565="IBU"),AND(E565=1,G565=1,L565=1,L568=1,M565=1)),T565,0),I565)</f>
        <v>0</v>
      </c>
      <c r="W565" s="26"/>
      <c r="X565" s="26"/>
      <c r="Y565" s="26"/>
      <c r="Z565" s="26"/>
      <c r="AA565" s="26"/>
      <c r="AB565" s="33"/>
    </row>
    <row r="566" spans="1:28" x14ac:dyDescent="0.3">
      <c r="A566" s="32">
        <f>VLOOKUP(YEAR(C566),Flags!$A$13:$B$95,2,FALSE)</f>
        <v>1</v>
      </c>
      <c r="B566" s="24">
        <f t="shared" si="841"/>
        <v>1983</v>
      </c>
      <c r="C566" s="25">
        <v>30528</v>
      </c>
      <c r="D566" s="26">
        <f>VLOOKUP($C566,COS!$B$8:$H$991,3,FALSE)</f>
        <v>13464.8525390625</v>
      </c>
      <c r="E566" s="24">
        <f>IF(D566&gt;=IF(MONTH($C566)=4,$C$3,IF(MONTH($C566)=5,$C$4,IF(MONTH($C566)=6,$C$5,IF(MONTH($C566)=7,$C$6,"ERROR")))),1,0)</f>
        <v>1</v>
      </c>
      <c r="F566" s="26">
        <f>VLOOKUP($C566,COS!$B$8:$H$991,7,FALSE)</f>
        <v>52.801334381103516</v>
      </c>
      <c r="G566" s="24">
        <f>IF(F566&lt;=IF(MONTH($C566)=4,$F$3,IF(MONTH($C566)=5,$F$4,IF(MONTH($C566)=6,$F$5,IF(MONTH($C566)=7,$F$6,"ERROR")))),1,0)</f>
        <v>1</v>
      </c>
      <c r="H566" s="26">
        <f>IF(J566=1,D566-$C$6,0)</f>
        <v>1464.8525390625</v>
      </c>
      <c r="I566" s="26">
        <f t="shared" si="872"/>
        <v>90.070271823347113</v>
      </c>
      <c r="J566" s="24">
        <f t="shared" si="901"/>
        <v>1</v>
      </c>
      <c r="K566" s="26">
        <f>VLOOKUP($C566,COS!$B$8:$H$991,2,FALSE)</f>
        <v>4150</v>
      </c>
      <c r="L566" s="24">
        <f t="shared" si="843"/>
        <v>1</v>
      </c>
      <c r="M566" s="24">
        <f t="shared" si="844"/>
        <v>0</v>
      </c>
      <c r="N566" s="26">
        <f>VLOOKUP($C566,COS!$B$8:$H$991,5,FALSE)</f>
        <v>1382.7108154296875</v>
      </c>
      <c r="O566" s="26">
        <f t="shared" si="904"/>
        <v>85.01957410575929</v>
      </c>
      <c r="P566" s="26">
        <f>VLOOKUP($C566,COS!$B$8:$H$991,6,FALSE)</f>
        <v>2616.67822265625</v>
      </c>
      <c r="Q566" s="26">
        <f t="shared" si="905"/>
        <v>160.89327253357436</v>
      </c>
      <c r="R566" s="26">
        <f>MIN(IF(MONTH($C566)=4,$S$3,IF(MONTH($C566)=5,$S$4,IF(MONTH($C566)=6,$S$5,IF(MONTH($C566)=7,$S$6,"ERROR")))),MAX(VLOOKUP($C566,COS!$B$8:$K$991,10,FALSE)-IF(MONTH($C566)=4,$Y$3,IF(MONTH($C566)=5,$Y$4,IF(MONTH($C566)=6,$Y$5,IF(MONTH($C566)=7,$Y$6,"ERROR")))),0),MAX(VLOOKUP($C566,COS!$B$8:$K$991,9,FALSE)-IF(MONTH($C566)=4,$V$3,IF(MONTH($C566)=5,$V$4,IF(MONTH($C566)=6,$V$5,IF(MONTH($C566)=7,$V$6,"ERROR"))))-VLOOKUP($C566,COS!$B$8:$K$991,6,FALSE)/2,0))</f>
        <v>1500</v>
      </c>
      <c r="S566" s="26">
        <f t="shared" si="906"/>
        <v>92.231404958677686</v>
      </c>
      <c r="T566" s="26">
        <f t="shared" si="907"/>
        <v>215.18782827834451</v>
      </c>
      <c r="U566" s="26" t="str">
        <f>IF(VLOOKUP($C566,COS!$B$8:$I$991,8,FALSE)=1,"UWFE","IBU")</f>
        <v>UWFE</v>
      </c>
      <c r="V566" s="26">
        <f t="shared" ref="V566" si="911">MIN(IF(IF($AA$3=2,AND(E566=1,G566=1,L566=1,L568=1,M566=1,U566="IBU"),AND(E566=1,G566=1,L566=1,L568=1,M566=1)),T566,0),I566)</f>
        <v>0</v>
      </c>
      <c r="W566" s="26"/>
      <c r="X566" s="26"/>
      <c r="Y566" s="26"/>
      <c r="Z566" s="26"/>
      <c r="AA566" s="26"/>
      <c r="AB566" s="33"/>
    </row>
    <row r="567" spans="1:28" x14ac:dyDescent="0.3">
      <c r="A567" s="32">
        <f>VLOOKUP(YEAR(C567),Flags!$A$13:$B$95,2,FALSE)</f>
        <v>1</v>
      </c>
      <c r="B567" s="24">
        <f t="shared" si="841"/>
        <v>1983</v>
      </c>
      <c r="C567" s="25">
        <v>30559</v>
      </c>
      <c r="D567" s="26"/>
      <c r="E567" s="24"/>
      <c r="F567" s="26"/>
      <c r="G567" s="24"/>
      <c r="H567" s="24"/>
      <c r="I567" s="26"/>
      <c r="J567" s="24"/>
      <c r="K567" s="26"/>
      <c r="L567" s="24"/>
      <c r="M567" s="24"/>
      <c r="N567" s="26"/>
      <c r="O567" s="26"/>
      <c r="P567" s="26"/>
      <c r="Q567" s="26"/>
      <c r="R567" s="26"/>
      <c r="S567" s="26"/>
      <c r="T567" s="26"/>
      <c r="U567" s="26"/>
      <c r="V567" s="26"/>
      <c r="W567" s="26">
        <f>MAX($C$7-VLOOKUP($C567,COS!$B$8:$H$991,3,FALSE),0)</f>
        <v>0</v>
      </c>
      <c r="X567" s="26">
        <f t="shared" si="870"/>
        <v>0</v>
      </c>
      <c r="Y567" s="26">
        <f>VLOOKUP($C567,COS!$B$8:$H$991,4,FALSE)</f>
        <v>0</v>
      </c>
      <c r="Z567" s="26">
        <f t="shared" si="871"/>
        <v>0</v>
      </c>
      <c r="AA567" s="26">
        <f t="shared" ref="AA567:AA571" si="912">MIN(W567,Y567)</f>
        <v>0</v>
      </c>
      <c r="AB567" s="33">
        <f t="shared" ref="AB567" si="913">AA567*DAY($C567)*86400/43560/1000*IF(MONTH($C567)=8,$P$3,IF(MONTH($C567)=9,$P$4,IF(MONTH($C567)=10,$P$5,IF(MONTH($C567)=11,$P$6,IF(MONTH($C567)=12,$P$7,NA())))))</f>
        <v>0</v>
      </c>
    </row>
    <row r="568" spans="1:28" x14ac:dyDescent="0.3">
      <c r="A568" s="32">
        <f>VLOOKUP(YEAR(C568),Flags!$A$13:$B$95,2,FALSE)</f>
        <v>1</v>
      </c>
      <c r="B568" s="24">
        <f t="shared" si="841"/>
        <v>1983</v>
      </c>
      <c r="C568" s="25">
        <v>30589</v>
      </c>
      <c r="D568" s="26"/>
      <c r="E568" s="24"/>
      <c r="F568" s="26"/>
      <c r="G568" s="24"/>
      <c r="H568" s="24"/>
      <c r="I568" s="26"/>
      <c r="J568" s="24"/>
      <c r="K568" s="26">
        <f>VLOOKUP($C568,COS!$B$8:$H$991,2,FALSE)</f>
        <v>3400</v>
      </c>
      <c r="L568" s="24">
        <f t="shared" ref="L568" si="914">IF(AND(K568&gt;$I$7,K568&lt;$I$8),1,0)</f>
        <v>1</v>
      </c>
      <c r="M568" s="24"/>
      <c r="N568" s="26"/>
      <c r="O568" s="26"/>
      <c r="P568" s="26"/>
      <c r="Q568" s="26"/>
      <c r="R568" s="26"/>
      <c r="S568" s="26"/>
      <c r="T568" s="26"/>
      <c r="U568" s="26"/>
      <c r="V568" s="26"/>
      <c r="W568" s="26">
        <f>MAX($C$8-VLOOKUP($C568,COS!$B$8:$H$991,3,FALSE),0)</f>
        <v>0</v>
      </c>
      <c r="X568" s="26">
        <f t="shared" si="870"/>
        <v>0</v>
      </c>
      <c r="Y568" s="26">
        <f>VLOOKUP($C568,COS!$B$8:$H$991,4,FALSE)</f>
        <v>0</v>
      </c>
      <c r="Z568" s="26">
        <f t="shared" si="871"/>
        <v>0</v>
      </c>
      <c r="AA568" s="26">
        <f t="shared" si="912"/>
        <v>0</v>
      </c>
      <c r="AB568" s="33">
        <f t="shared" si="854"/>
        <v>0</v>
      </c>
    </row>
    <row r="569" spans="1:28" x14ac:dyDescent="0.3">
      <c r="A569" s="32">
        <f>VLOOKUP(YEAR(C569),Flags!$A$13:$B$95,2,FALSE)</f>
        <v>1</v>
      </c>
      <c r="B569" s="24">
        <f t="shared" si="841"/>
        <v>1983</v>
      </c>
      <c r="C569" s="25">
        <v>30620</v>
      </c>
      <c r="D569" s="26"/>
      <c r="E569" s="24"/>
      <c r="F569" s="26"/>
      <c r="G569" s="26"/>
      <c r="H569" s="26"/>
      <c r="I569" s="26"/>
      <c r="J569" s="26"/>
      <c r="K569" s="26"/>
      <c r="L569" s="24"/>
      <c r="M569" s="24"/>
      <c r="N569" s="26"/>
      <c r="O569" s="26"/>
      <c r="P569" s="26"/>
      <c r="Q569" s="26"/>
      <c r="R569" s="26"/>
      <c r="S569" s="26"/>
      <c r="T569" s="26"/>
      <c r="U569" s="26"/>
      <c r="V569" s="26"/>
      <c r="W569" s="26">
        <f>MAX($C$9-VLOOKUP($C569,COS!$B$8:$H$991,3,FALSE),0)</f>
        <v>0</v>
      </c>
      <c r="X569" s="26">
        <f t="shared" si="870"/>
        <v>0</v>
      </c>
      <c r="Y569" s="26">
        <f>VLOOKUP($C569,COS!$B$8:$H$991,4,FALSE)</f>
        <v>322.68313598632813</v>
      </c>
      <c r="Z569" s="26">
        <f t="shared" si="871"/>
        <v>19.84101265899406</v>
      </c>
      <c r="AA569" s="26">
        <f t="shared" si="912"/>
        <v>0</v>
      </c>
      <c r="AB569" s="33">
        <f t="shared" si="854"/>
        <v>0</v>
      </c>
    </row>
    <row r="570" spans="1:28" x14ac:dyDescent="0.3">
      <c r="A570" s="32">
        <f>VLOOKUP(YEAR(C570),Flags!$A$13:$B$95,2,FALSE)</f>
        <v>1</v>
      </c>
      <c r="B570" s="24">
        <f t="shared" si="841"/>
        <v>1983</v>
      </c>
      <c r="C570" s="25">
        <v>30650</v>
      </c>
      <c r="D570" s="26"/>
      <c r="E570" s="24"/>
      <c r="F570" s="26"/>
      <c r="G570" s="26"/>
      <c r="H570" s="26"/>
      <c r="I570" s="26"/>
      <c r="J570" s="26"/>
      <c r="K570" s="26"/>
      <c r="L570" s="24"/>
      <c r="M570" s="24"/>
      <c r="N570" s="26"/>
      <c r="O570" s="26"/>
      <c r="P570" s="26"/>
      <c r="Q570" s="26"/>
      <c r="R570" s="26"/>
      <c r="S570" s="26"/>
      <c r="T570" s="26"/>
      <c r="U570" s="26"/>
      <c r="V570" s="26"/>
      <c r="W570" s="26">
        <f>MAX($C$10-VLOOKUP($C570,COS!$B$8:$H$991,3,FALSE),0)</f>
        <v>0</v>
      </c>
      <c r="X570" s="26">
        <f t="shared" si="870"/>
        <v>0</v>
      </c>
      <c r="Y570" s="26">
        <f>VLOOKUP($C570,COS!$B$8:$H$991,4,FALSE)</f>
        <v>0</v>
      </c>
      <c r="Z570" s="26">
        <f t="shared" si="871"/>
        <v>0</v>
      </c>
      <c r="AA570" s="26">
        <f t="shared" si="912"/>
        <v>0</v>
      </c>
      <c r="AB570" s="33">
        <f t="shared" si="854"/>
        <v>0</v>
      </c>
    </row>
    <row r="571" spans="1:28" x14ac:dyDescent="0.3">
      <c r="A571" s="34">
        <f>VLOOKUP(YEAR(C571),Flags!$A$13:$B$95,2,FALSE)</f>
        <v>1</v>
      </c>
      <c r="B571" s="35">
        <f t="shared" si="841"/>
        <v>1983</v>
      </c>
      <c r="C571" s="36">
        <v>30681</v>
      </c>
      <c r="D571" s="37"/>
      <c r="E571" s="35"/>
      <c r="F571" s="37"/>
      <c r="G571" s="37"/>
      <c r="H571" s="37"/>
      <c r="I571" s="37"/>
      <c r="J571" s="37"/>
      <c r="K571" s="37"/>
      <c r="L571" s="35"/>
      <c r="M571" s="35"/>
      <c r="N571" s="37"/>
      <c r="O571" s="37"/>
      <c r="P571" s="37"/>
      <c r="Q571" s="37"/>
      <c r="R571" s="37"/>
      <c r="S571" s="37"/>
      <c r="T571" s="37"/>
      <c r="U571" s="37"/>
      <c r="V571" s="37"/>
      <c r="W571" s="37">
        <f>MAX($C$11-VLOOKUP($C571,COS!$B$8:$H$991,3,FALSE),0)</f>
        <v>0</v>
      </c>
      <c r="X571" s="37">
        <f t="shared" si="870"/>
        <v>0</v>
      </c>
      <c r="Y571" s="37">
        <f>VLOOKUP($C571,COS!$B$8:$H$991,4,FALSE)</f>
        <v>0</v>
      </c>
      <c r="Z571" s="37">
        <f t="shared" si="871"/>
        <v>0</v>
      </c>
      <c r="AA571" s="37">
        <f t="shared" si="912"/>
        <v>0</v>
      </c>
      <c r="AB571" s="38">
        <f t="shared" si="854"/>
        <v>0</v>
      </c>
    </row>
    <row r="572" spans="1:28" x14ac:dyDescent="0.3">
      <c r="A572" s="27">
        <f>VLOOKUP(YEAR(C572),Flags!$A$13:$B$95,2,FALSE)</f>
        <v>1</v>
      </c>
      <c r="B572" s="28">
        <f t="shared" si="841"/>
        <v>1984</v>
      </c>
      <c r="C572" s="29">
        <v>30802</v>
      </c>
      <c r="D572" s="30">
        <f>VLOOKUP($C572,COS!$B$8:$H$991,3,FALSE)</f>
        <v>3741.849609375</v>
      </c>
      <c r="E572" s="28">
        <f>IF(D572&gt;=IF(MONTH($C572)=4,$C$3,IF(MONTH($C572)=5,$C$4,IF(MONTH($C572)=6,$C$5,IF(MONTH($C572)=7,$C$6,"ERROR")))),1,0)</f>
        <v>0</v>
      </c>
      <c r="F572" s="30">
        <f>VLOOKUP($C572,COS!$B$8:$H$991,7,FALSE)</f>
        <v>49.945255279541016</v>
      </c>
      <c r="G572" s="28">
        <f>IF(F572&lt;=IF(MONTH($C572)=4,$F$3,IF(MONTH($C572)=5,$F$4,IF(MONTH($C572)=6,$F$5,IF(MONTH($C572)=7,$F$6,"ERROR")))),1,0)</f>
        <v>1</v>
      </c>
      <c r="H572" s="30">
        <f>IF(J572=1,D572-$C$3,0)</f>
        <v>0</v>
      </c>
      <c r="I572" s="30">
        <f t="shared" si="872"/>
        <v>0</v>
      </c>
      <c r="J572" s="28">
        <f t="shared" ref="J572:J575" si="915">IF(AND(E572=1,G572=1),1,0)</f>
        <v>0</v>
      </c>
      <c r="K572" s="30">
        <f>VLOOKUP($C572,COS!$B$8:$H$991,2,FALSE)</f>
        <v>4552</v>
      </c>
      <c r="L572" s="28">
        <f t="shared" ref="L572" si="916">IF(K572&lt;=IF(MONTH($C572)=4,$I$3,IF(MONTH($C572)=5,$I$4,IF(MONTH($C572)=6,$I$5,IF(MONTH($C572)=7,$I$6,"ERROR")))),1,0)</f>
        <v>1</v>
      </c>
      <c r="M572" s="28">
        <f t="shared" ref="M572" si="917">VLOOKUP($A572,$L$3:$M$7,2,FALSE)</f>
        <v>0</v>
      </c>
      <c r="N572" s="30">
        <f>VLOOKUP($C572,COS!$B$8:$H$991,5,FALSE)</f>
        <v>325.60305786132813</v>
      </c>
      <c r="O572" s="30">
        <f t="shared" ref="O572:O575" si="918">N572*DAY($C572)*86400/43560/1000</f>
        <v>19.374727409930269</v>
      </c>
      <c r="P572" s="30">
        <f>VLOOKUP($C572,COS!$B$8:$H$991,6,FALSE)</f>
        <v>551.338623046875</v>
      </c>
      <c r="Q572" s="30">
        <f t="shared" ref="Q572:Q575" si="919">P572*DAY($C572)*86400/43560/1000</f>
        <v>32.806926330061984</v>
      </c>
      <c r="R572" s="30">
        <f>MIN(IF(MONTH($C572)=4,$S$3,IF(MONTH($C572)=5,$S$4,IF(MONTH($C572)=6,$S$5,IF(MONTH($C572)=7,$S$6,"ERROR")))),MAX(VLOOKUP($C572,COS!$B$8:$K$991,10,FALSE)-IF(MONTH($C572)=4,$Y$3,IF(MONTH($C572)=5,$Y$4,IF(MONTH($C572)=6,$Y$5,IF(MONTH($C572)=7,$Y$6,"ERROR")))),0),MAX(VLOOKUP($C572,COS!$B$8:$K$991,9,FALSE)-IF(MONTH($C572)=4,$V$3,IF(MONTH($C572)=5,$V$4,IF(MONTH($C572)=6,$V$5,IF(MONTH($C572)=7,$V$6,"ERROR"))))-VLOOKUP($C572,COS!$B$8:$K$991,6,FALSE)/2,0))</f>
        <v>1500</v>
      </c>
      <c r="S572" s="30">
        <f t="shared" ref="S572:S575" si="920">R572*DAY($C572)*86400/43560/1000</f>
        <v>89.256198347107429</v>
      </c>
      <c r="T572" s="30">
        <f t="shared" ref="T572:T575" si="921">(O572+Q572)/2+S572</f>
        <v>115.34702521710355</v>
      </c>
      <c r="U572" s="30" t="str">
        <f>IF(VLOOKUP($C572,COS!$B$8:$I$991,8,FALSE)=1,"UWFE","IBU")</f>
        <v>UWFE</v>
      </c>
      <c r="V572" s="30">
        <f t="shared" ref="V572" si="922">MIN(IF(IF($AA$3=2,AND(E572=1,G572=1,L572=1,L577=1,M572=1,U572="IBU"),AND(E572=1,G572=1,L572=1,L577=1,M572=1)),T572,0),I572)</f>
        <v>0</v>
      </c>
      <c r="W572" s="30"/>
      <c r="X572" s="30"/>
      <c r="Y572" s="30"/>
      <c r="Z572" s="30"/>
      <c r="AA572" s="30"/>
      <c r="AB572" s="31"/>
    </row>
    <row r="573" spans="1:28" x14ac:dyDescent="0.3">
      <c r="A573" s="32">
        <f>VLOOKUP(YEAR(C573),Flags!$A$13:$B$95,2,FALSE)</f>
        <v>1</v>
      </c>
      <c r="B573" s="24">
        <f t="shared" si="841"/>
        <v>1984</v>
      </c>
      <c r="C573" s="25">
        <v>30833</v>
      </c>
      <c r="D573" s="26">
        <f>VLOOKUP($C573,COS!$B$8:$H$991,3,FALSE)</f>
        <v>7339.09130859375</v>
      </c>
      <c r="E573" s="24">
        <f>IF(D573&gt;=IF(MONTH($C573)=4,$C$3,IF(MONTH($C573)=5,$C$4,IF(MONTH($C573)=6,$C$5,IF(MONTH($C573)=7,$C$6,"ERROR")))),1,0)</f>
        <v>1</v>
      </c>
      <c r="F573" s="26">
        <f>VLOOKUP($C573,COS!$B$8:$H$991,7,FALSE)</f>
        <v>50.413700103759766</v>
      </c>
      <c r="G573" s="24">
        <f>IF(F573&lt;=IF(MONTH($C573)=4,$F$3,IF(MONTH($C573)=5,$F$4,IF(MONTH($C573)=6,$F$5,IF(MONTH($C573)=7,$F$6,"ERROR")))),1,0)</f>
        <v>1</v>
      </c>
      <c r="H573" s="26">
        <f>IF(J573=1,D573-$C$4,0)</f>
        <v>1339.09130859375</v>
      </c>
      <c r="I573" s="26">
        <f t="shared" si="872"/>
        <v>82.33751517303719</v>
      </c>
      <c r="J573" s="24">
        <f t="shared" si="915"/>
        <v>1</v>
      </c>
      <c r="K573" s="26">
        <f>VLOOKUP($C573,COS!$B$8:$H$991,2,FALSE)</f>
        <v>4539.20361328125</v>
      </c>
      <c r="L573" s="24">
        <f t="shared" si="843"/>
        <v>1</v>
      </c>
      <c r="M573" s="24">
        <f t="shared" si="844"/>
        <v>0</v>
      </c>
      <c r="N573" s="26">
        <f>VLOOKUP($C573,COS!$B$8:$H$991,5,FALSE)</f>
        <v>787.246337890625</v>
      </c>
      <c r="O573" s="26">
        <f t="shared" si="918"/>
        <v>48.405890528150827</v>
      </c>
      <c r="P573" s="26">
        <f>VLOOKUP($C573,COS!$B$8:$H$991,6,FALSE)</f>
        <v>2330.58056640625</v>
      </c>
      <c r="Q573" s="26">
        <f t="shared" si="919"/>
        <v>143.30181333935951</v>
      </c>
      <c r="R573" s="26">
        <f>MIN(IF(MONTH($C573)=4,$S$3,IF(MONTH($C573)=5,$S$4,IF(MONTH($C573)=6,$S$5,IF(MONTH($C573)=7,$S$6,"ERROR")))),MAX(VLOOKUP($C573,COS!$B$8:$K$991,10,FALSE)-IF(MONTH($C573)=4,$Y$3,IF(MONTH($C573)=5,$Y$4,IF(MONTH($C573)=6,$Y$5,IF(MONTH($C573)=7,$Y$6,"ERROR")))),0),MAX(VLOOKUP($C573,COS!$B$8:$K$991,9,FALSE)-IF(MONTH($C573)=4,$V$3,IF(MONTH($C573)=5,$V$4,IF(MONTH($C573)=6,$V$5,IF(MONTH($C573)=7,$V$6,"ERROR"))))-VLOOKUP($C573,COS!$B$8:$K$991,6,FALSE)/2,0))</f>
        <v>1500</v>
      </c>
      <c r="S573" s="26">
        <f t="shared" si="920"/>
        <v>92.231404958677686</v>
      </c>
      <c r="T573" s="26">
        <f t="shared" si="921"/>
        <v>188.08525689243285</v>
      </c>
      <c r="U573" s="26" t="str">
        <f>IF(VLOOKUP($C573,COS!$B$8:$I$991,8,FALSE)=1,"UWFE","IBU")</f>
        <v>UWFE</v>
      </c>
      <c r="V573" s="26">
        <f t="shared" ref="V573" si="923">MIN(IF(IF($AA$3=2,AND(E573=1,G573=1,L573=1,L577=1,M573=1,U573="IBU"),AND(E573=1,G573=1,L573=1,L577=1,M573=1)),T573,0),I573)</f>
        <v>0</v>
      </c>
      <c r="W573" s="26"/>
      <c r="X573" s="26"/>
      <c r="Y573" s="26"/>
      <c r="Z573" s="26"/>
      <c r="AA573" s="26"/>
      <c r="AB573" s="33"/>
    </row>
    <row r="574" spans="1:28" x14ac:dyDescent="0.3">
      <c r="A574" s="32">
        <f>VLOOKUP(YEAR(C574),Flags!$A$13:$B$95,2,FALSE)</f>
        <v>1</v>
      </c>
      <c r="B574" s="24">
        <f t="shared" si="841"/>
        <v>1984</v>
      </c>
      <c r="C574" s="25">
        <v>30863</v>
      </c>
      <c r="D574" s="26">
        <f>VLOOKUP($C574,COS!$B$8:$H$991,3,FALSE)</f>
        <v>11324.5849609375</v>
      </c>
      <c r="E574" s="24">
        <f>IF(D574&gt;=IF(MONTH($C574)=4,$C$3,IF(MONTH($C574)=5,$C$4,IF(MONTH($C574)=6,$C$5,IF(MONTH($C574)=7,$C$6,"ERROR")))),1,0)</f>
        <v>1</v>
      </c>
      <c r="F574" s="26">
        <f>VLOOKUP($C574,COS!$B$8:$H$991,7,FALSE)</f>
        <v>50.518535614013672</v>
      </c>
      <c r="G574" s="24">
        <f>IF(F574&lt;=IF(MONTH($C574)=4,$F$3,IF(MONTH($C574)=5,$F$4,IF(MONTH($C574)=6,$F$5,IF(MONTH($C574)=7,$F$6,"ERROR")))),1,0)</f>
        <v>1</v>
      </c>
      <c r="H574" s="26">
        <f>IF(J574=1,D574-$C$5,0)</f>
        <v>1324.5849609375</v>
      </c>
      <c r="I574" s="26">
        <f t="shared" si="872"/>
        <v>78.818278667355372</v>
      </c>
      <c r="J574" s="24">
        <f t="shared" si="915"/>
        <v>1</v>
      </c>
      <c r="K574" s="26">
        <f>VLOOKUP($C574,COS!$B$8:$H$991,2,FALSE)</f>
        <v>4156.24755859375</v>
      </c>
      <c r="L574" s="24">
        <f t="shared" si="843"/>
        <v>1</v>
      </c>
      <c r="M574" s="24">
        <f t="shared" si="844"/>
        <v>0</v>
      </c>
      <c r="N574" s="26">
        <f>VLOOKUP($C574,COS!$B$8:$H$991,5,FALSE)</f>
        <v>904.4803466796875</v>
      </c>
      <c r="O574" s="26">
        <f t="shared" si="918"/>
        <v>53.820318149535126</v>
      </c>
      <c r="P574" s="26">
        <f>VLOOKUP($C574,COS!$B$8:$H$991,6,FALSE)</f>
        <v>2326.57470703125</v>
      </c>
      <c r="Q574" s="26">
        <f t="shared" si="919"/>
        <v>138.44080901342974</v>
      </c>
      <c r="R574" s="26">
        <f>MIN(IF(MONTH($C574)=4,$S$3,IF(MONTH($C574)=5,$S$4,IF(MONTH($C574)=6,$S$5,IF(MONTH($C574)=7,$S$6,"ERROR")))),MAX(VLOOKUP($C574,COS!$B$8:$K$991,10,FALSE)-IF(MONTH($C574)=4,$Y$3,IF(MONTH($C574)=5,$Y$4,IF(MONTH($C574)=6,$Y$5,IF(MONTH($C574)=7,$Y$6,"ERROR")))),0),MAX(VLOOKUP($C574,COS!$B$8:$K$991,9,FALSE)-IF(MONTH($C574)=4,$V$3,IF(MONTH($C574)=5,$V$4,IF(MONTH($C574)=6,$V$5,IF(MONTH($C574)=7,$V$6,"ERROR"))))-VLOOKUP($C574,COS!$B$8:$K$991,6,FALSE)/2,0))</f>
        <v>1500</v>
      </c>
      <c r="S574" s="26">
        <f t="shared" si="920"/>
        <v>89.256198347107429</v>
      </c>
      <c r="T574" s="26">
        <f t="shared" si="921"/>
        <v>185.38676192858986</v>
      </c>
      <c r="U574" s="26" t="str">
        <f>IF(VLOOKUP($C574,COS!$B$8:$I$991,8,FALSE)=1,"UWFE","IBU")</f>
        <v>IBU</v>
      </c>
      <c r="V574" s="26">
        <f t="shared" ref="V574" si="924">MIN(IF(IF($AA$3=2,AND(E574=1,G574=1,L574=1,L577=1,M574=1,U574="IBU"),AND(E574=1,G574=1,L574=1,L577=1,M574=1)),T574,0),I574)</f>
        <v>0</v>
      </c>
      <c r="W574" s="26"/>
      <c r="X574" s="26"/>
      <c r="Y574" s="26"/>
      <c r="Z574" s="26"/>
      <c r="AA574" s="26"/>
      <c r="AB574" s="33"/>
    </row>
    <row r="575" spans="1:28" x14ac:dyDescent="0.3">
      <c r="A575" s="32">
        <f>VLOOKUP(YEAR(C575),Flags!$A$13:$B$95,2,FALSE)</f>
        <v>1</v>
      </c>
      <c r="B575" s="24">
        <f t="shared" si="841"/>
        <v>1984</v>
      </c>
      <c r="C575" s="25">
        <v>30894</v>
      </c>
      <c r="D575" s="26">
        <f>VLOOKUP($C575,COS!$B$8:$H$991,3,FALSE)</f>
        <v>16000</v>
      </c>
      <c r="E575" s="24">
        <f>IF(D575&gt;=IF(MONTH($C575)=4,$C$3,IF(MONTH($C575)=5,$C$4,IF(MONTH($C575)=6,$C$5,IF(MONTH($C575)=7,$C$6,"ERROR")))),1,0)</f>
        <v>1</v>
      </c>
      <c r="F575" s="26">
        <f>VLOOKUP($C575,COS!$B$8:$H$991,7,FALSE)</f>
        <v>51.311916351318359</v>
      </c>
      <c r="G575" s="24">
        <f>IF(F575&lt;=IF(MONTH($C575)=4,$F$3,IF(MONTH($C575)=5,$F$4,IF(MONTH($C575)=6,$F$5,IF(MONTH($C575)=7,$F$6,"ERROR")))),1,0)</f>
        <v>1</v>
      </c>
      <c r="H575" s="26">
        <f>IF(J575=1,D575-$C$6,0)</f>
        <v>4000</v>
      </c>
      <c r="I575" s="26">
        <f t="shared" si="872"/>
        <v>245.95041322314049</v>
      </c>
      <c r="J575" s="24">
        <f t="shared" si="915"/>
        <v>1</v>
      </c>
      <c r="K575" s="26">
        <f>VLOOKUP($C575,COS!$B$8:$H$991,2,FALSE)</f>
        <v>3457.78173828125</v>
      </c>
      <c r="L575" s="24">
        <f t="shared" si="843"/>
        <v>1</v>
      </c>
      <c r="M575" s="24">
        <f t="shared" si="844"/>
        <v>0</v>
      </c>
      <c r="N575" s="26">
        <f>VLOOKUP($C575,COS!$B$8:$H$991,5,FALSE)</f>
        <v>1002.6513061523438</v>
      </c>
      <c r="O575" s="26">
        <f t="shared" si="918"/>
        <v>61.650625766722627</v>
      </c>
      <c r="P575" s="26">
        <f>VLOOKUP($C575,COS!$B$8:$H$991,6,FALSE)</f>
        <v>2616.67822265625</v>
      </c>
      <c r="Q575" s="26">
        <f t="shared" si="919"/>
        <v>160.89327253357436</v>
      </c>
      <c r="R575" s="26">
        <f>MIN(IF(MONTH($C575)=4,$S$3,IF(MONTH($C575)=5,$S$4,IF(MONTH($C575)=6,$S$5,IF(MONTH($C575)=7,$S$6,"ERROR")))),MAX(VLOOKUP($C575,COS!$B$8:$K$991,10,FALSE)-IF(MONTH($C575)=4,$Y$3,IF(MONTH($C575)=5,$Y$4,IF(MONTH($C575)=6,$Y$5,IF(MONTH($C575)=7,$Y$6,"ERROR")))),0),MAX(VLOOKUP($C575,COS!$B$8:$K$991,9,FALSE)-IF(MONTH($C575)=4,$V$3,IF(MONTH($C575)=5,$V$4,IF(MONTH($C575)=6,$V$5,IF(MONTH($C575)=7,$V$6,"ERROR"))))-VLOOKUP($C575,COS!$B$8:$K$991,6,FALSE)/2,0))</f>
        <v>1500</v>
      </c>
      <c r="S575" s="26">
        <f t="shared" si="920"/>
        <v>92.231404958677686</v>
      </c>
      <c r="T575" s="26">
        <f t="shared" si="921"/>
        <v>203.50335410882616</v>
      </c>
      <c r="U575" s="26" t="str">
        <f>IF(VLOOKUP($C575,COS!$B$8:$I$991,8,FALSE)=1,"UWFE","IBU")</f>
        <v>IBU</v>
      </c>
      <c r="V575" s="26">
        <f t="shared" ref="V575" si="925">MIN(IF(IF($AA$3=2,AND(E575=1,G575=1,L575=1,L577=1,M575=1,U575="IBU"),AND(E575=1,G575=1,L575=1,L577=1,M575=1)),T575,0),I575)</f>
        <v>0</v>
      </c>
      <c r="W575" s="26"/>
      <c r="X575" s="26"/>
      <c r="Y575" s="26"/>
      <c r="Z575" s="26"/>
      <c r="AA575" s="26"/>
      <c r="AB575" s="33"/>
    </row>
    <row r="576" spans="1:28" x14ac:dyDescent="0.3">
      <c r="A576" s="32">
        <f>VLOOKUP(YEAR(C576),Flags!$A$13:$B$95,2,FALSE)</f>
        <v>1</v>
      </c>
      <c r="B576" s="24">
        <f t="shared" si="841"/>
        <v>1984</v>
      </c>
      <c r="C576" s="25">
        <v>30925</v>
      </c>
      <c r="D576" s="26"/>
      <c r="E576" s="24"/>
      <c r="F576" s="26"/>
      <c r="G576" s="24"/>
      <c r="H576" s="24"/>
      <c r="I576" s="26"/>
      <c r="J576" s="24"/>
      <c r="K576" s="26"/>
      <c r="L576" s="24"/>
      <c r="M576" s="24"/>
      <c r="N576" s="26"/>
      <c r="O576" s="26"/>
      <c r="P576" s="26"/>
      <c r="Q576" s="26"/>
      <c r="R576" s="26"/>
      <c r="S576" s="26"/>
      <c r="T576" s="26"/>
      <c r="U576" s="26"/>
      <c r="V576" s="26"/>
      <c r="W576" s="26">
        <f>MAX($C$7-VLOOKUP($C576,COS!$B$8:$H$991,3,FALSE),0)</f>
        <v>3392.3505859375</v>
      </c>
      <c r="X576" s="26">
        <f t="shared" si="870"/>
        <v>208.58750710227272</v>
      </c>
      <c r="Y576" s="26">
        <f>VLOOKUP($C576,COS!$B$8:$H$991,4,FALSE)</f>
        <v>0</v>
      </c>
      <c r="Z576" s="26">
        <f t="shared" si="871"/>
        <v>0</v>
      </c>
      <c r="AA576" s="26">
        <f t="shared" ref="AA576:AA580" si="926">MIN(W576,Y576)</f>
        <v>0</v>
      </c>
      <c r="AB576" s="33">
        <f t="shared" ref="AB576" si="927">AA576*DAY($C576)*86400/43560/1000*IF(MONTH($C576)=8,$P$3,IF(MONTH($C576)=9,$P$4,IF(MONTH($C576)=10,$P$5,IF(MONTH($C576)=11,$P$6,IF(MONTH($C576)=12,$P$7,NA())))))</f>
        <v>0</v>
      </c>
    </row>
    <row r="577" spans="1:28" x14ac:dyDescent="0.3">
      <c r="A577" s="32">
        <f>VLOOKUP(YEAR(C577),Flags!$A$13:$B$95,2,FALSE)</f>
        <v>1</v>
      </c>
      <c r="B577" s="24">
        <f t="shared" si="841"/>
        <v>1984</v>
      </c>
      <c r="C577" s="25">
        <v>30955</v>
      </c>
      <c r="D577" s="26"/>
      <c r="E577" s="24"/>
      <c r="F577" s="26"/>
      <c r="G577" s="24"/>
      <c r="H577" s="24"/>
      <c r="I577" s="26"/>
      <c r="J577" s="24"/>
      <c r="K577" s="26">
        <f>VLOOKUP($C577,COS!$B$8:$H$991,2,FALSE)</f>
        <v>2599.457763671875</v>
      </c>
      <c r="L577" s="24">
        <f t="shared" ref="L577" si="928">IF(AND(K577&gt;$I$7,K577&lt;$I$8),1,0)</f>
        <v>1</v>
      </c>
      <c r="M577" s="24"/>
      <c r="N577" s="26"/>
      <c r="O577" s="26"/>
      <c r="P577" s="26"/>
      <c r="Q577" s="26"/>
      <c r="R577" s="26"/>
      <c r="S577" s="26"/>
      <c r="T577" s="26"/>
      <c r="U577" s="26"/>
      <c r="V577" s="26"/>
      <c r="W577" s="26">
        <f>MAX($C$8-VLOOKUP($C577,COS!$B$8:$H$991,3,FALSE),0)</f>
        <v>0</v>
      </c>
      <c r="X577" s="26">
        <f t="shared" si="870"/>
        <v>0</v>
      </c>
      <c r="Y577" s="26">
        <f>VLOOKUP($C577,COS!$B$8:$H$991,4,FALSE)</f>
        <v>489.46258544921875</v>
      </c>
      <c r="Z577" s="26">
        <f t="shared" si="871"/>
        <v>29.12504640689566</v>
      </c>
      <c r="AA577" s="26">
        <f t="shared" si="926"/>
        <v>0</v>
      </c>
      <c r="AB577" s="33">
        <f t="shared" si="854"/>
        <v>0</v>
      </c>
    </row>
    <row r="578" spans="1:28" x14ac:dyDescent="0.3">
      <c r="A578" s="32">
        <f>VLOOKUP(YEAR(C578),Flags!$A$13:$B$95,2,FALSE)</f>
        <v>1</v>
      </c>
      <c r="B578" s="24">
        <f t="shared" si="841"/>
        <v>1984</v>
      </c>
      <c r="C578" s="25">
        <v>30986</v>
      </c>
      <c r="D578" s="26"/>
      <c r="E578" s="24"/>
      <c r="F578" s="26"/>
      <c r="G578" s="26"/>
      <c r="H578" s="26"/>
      <c r="I578" s="26"/>
      <c r="J578" s="26"/>
      <c r="K578" s="26"/>
      <c r="L578" s="24"/>
      <c r="M578" s="24"/>
      <c r="N578" s="26"/>
      <c r="O578" s="26"/>
      <c r="P578" s="26"/>
      <c r="Q578" s="26"/>
      <c r="R578" s="26"/>
      <c r="S578" s="26"/>
      <c r="T578" s="26"/>
      <c r="U578" s="26"/>
      <c r="V578" s="26"/>
      <c r="W578" s="26">
        <f>MAX($C$9-VLOOKUP($C578,COS!$B$8:$H$991,3,FALSE),0)</f>
        <v>0</v>
      </c>
      <c r="X578" s="26">
        <f t="shared" si="870"/>
        <v>0</v>
      </c>
      <c r="Y578" s="26">
        <f>VLOOKUP($C578,COS!$B$8:$H$991,4,FALSE)</f>
        <v>692.67999267578125</v>
      </c>
      <c r="Z578" s="26">
        <f t="shared" si="871"/>
        <v>42.591232607502583</v>
      </c>
      <c r="AA578" s="26">
        <f t="shared" si="926"/>
        <v>0</v>
      </c>
      <c r="AB578" s="33">
        <f t="shared" si="854"/>
        <v>0</v>
      </c>
    </row>
    <row r="579" spans="1:28" x14ac:dyDescent="0.3">
      <c r="A579" s="32">
        <f>VLOOKUP(YEAR(C579),Flags!$A$13:$B$95,2,FALSE)</f>
        <v>1</v>
      </c>
      <c r="B579" s="24">
        <f t="shared" si="841"/>
        <v>1984</v>
      </c>
      <c r="C579" s="25">
        <v>31016</v>
      </c>
      <c r="D579" s="26"/>
      <c r="E579" s="24"/>
      <c r="F579" s="26"/>
      <c r="G579" s="26"/>
      <c r="H579" s="26"/>
      <c r="I579" s="26"/>
      <c r="J579" s="26"/>
      <c r="K579" s="26"/>
      <c r="L579" s="24"/>
      <c r="M579" s="24"/>
      <c r="N579" s="26"/>
      <c r="O579" s="26"/>
      <c r="P579" s="26"/>
      <c r="Q579" s="26"/>
      <c r="R579" s="26"/>
      <c r="S579" s="26"/>
      <c r="T579" s="26"/>
      <c r="U579" s="26"/>
      <c r="V579" s="26"/>
      <c r="W579" s="26">
        <f>MAX($C$10-VLOOKUP($C579,COS!$B$8:$H$991,3,FALSE),0)</f>
        <v>1750</v>
      </c>
      <c r="X579" s="26">
        <f t="shared" si="870"/>
        <v>104.13223140495867</v>
      </c>
      <c r="Y579" s="26">
        <f>VLOOKUP($C579,COS!$B$8:$H$991,4,FALSE)</f>
        <v>0</v>
      </c>
      <c r="Z579" s="26">
        <f t="shared" si="871"/>
        <v>0</v>
      </c>
      <c r="AA579" s="26">
        <f t="shared" si="926"/>
        <v>0</v>
      </c>
      <c r="AB579" s="33">
        <f t="shared" si="854"/>
        <v>0</v>
      </c>
    </row>
    <row r="580" spans="1:28" x14ac:dyDescent="0.3">
      <c r="A580" s="34">
        <f>VLOOKUP(YEAR(C580),Flags!$A$13:$B$95,2,FALSE)</f>
        <v>1</v>
      </c>
      <c r="B580" s="35">
        <f t="shared" si="841"/>
        <v>1984</v>
      </c>
      <c r="C580" s="36">
        <v>31047</v>
      </c>
      <c r="D580" s="37"/>
      <c r="E580" s="35"/>
      <c r="F580" s="37"/>
      <c r="G580" s="37"/>
      <c r="H580" s="37"/>
      <c r="I580" s="37"/>
      <c r="J580" s="37"/>
      <c r="K580" s="37"/>
      <c r="L580" s="35"/>
      <c r="M580" s="35"/>
      <c r="N580" s="37"/>
      <c r="O580" s="37"/>
      <c r="P580" s="37"/>
      <c r="Q580" s="37"/>
      <c r="R580" s="37"/>
      <c r="S580" s="37"/>
      <c r="T580" s="37"/>
      <c r="U580" s="37"/>
      <c r="V580" s="37"/>
      <c r="W580" s="37">
        <f>MAX($C$11-VLOOKUP($C580,COS!$B$8:$H$991,3,FALSE),0)</f>
        <v>1750</v>
      </c>
      <c r="X580" s="37">
        <f t="shared" si="870"/>
        <v>107.60330578512398</v>
      </c>
      <c r="Y580" s="37">
        <f>VLOOKUP($C580,COS!$B$8:$H$991,4,FALSE)</f>
        <v>0</v>
      </c>
      <c r="Z580" s="37">
        <f t="shared" si="871"/>
        <v>0</v>
      </c>
      <c r="AA580" s="37">
        <f t="shared" si="926"/>
        <v>0</v>
      </c>
      <c r="AB580" s="38">
        <f t="shared" si="854"/>
        <v>0</v>
      </c>
    </row>
    <row r="581" spans="1:28" x14ac:dyDescent="0.3">
      <c r="A581" s="27">
        <f>VLOOKUP(YEAR(C581),Flags!$A$13:$B$95,2,FALSE)</f>
        <v>3</v>
      </c>
      <c r="B581" s="28">
        <f t="shared" si="841"/>
        <v>1985</v>
      </c>
      <c r="C581" s="29">
        <v>31167</v>
      </c>
      <c r="D581" s="30">
        <f>VLOOKUP($C581,COS!$B$8:$H$991,3,FALSE)</f>
        <v>3250</v>
      </c>
      <c r="E581" s="28">
        <f>IF(D581&gt;=IF(MONTH($C581)=4,$C$3,IF(MONTH($C581)=5,$C$4,IF(MONTH($C581)=6,$C$5,IF(MONTH($C581)=7,$C$6,"ERROR")))),1,0)</f>
        <v>0</v>
      </c>
      <c r="F581" s="30">
        <f>VLOOKUP($C581,COS!$B$8:$H$991,7,FALSE)</f>
        <v>52.461292266845703</v>
      </c>
      <c r="G581" s="28">
        <f>IF(F581&lt;=IF(MONTH($C581)=4,$F$3,IF(MONTH($C581)=5,$F$4,IF(MONTH($C581)=6,$F$5,IF(MONTH($C581)=7,$F$6,"ERROR")))),1,0)</f>
        <v>1</v>
      </c>
      <c r="H581" s="30">
        <f>IF(J581=1,D581-$C$3,0)</f>
        <v>0</v>
      </c>
      <c r="I581" s="30">
        <f t="shared" si="872"/>
        <v>0</v>
      </c>
      <c r="J581" s="28">
        <f t="shared" ref="J581:J584" si="929">IF(AND(E581=1,G581=1),1,0)</f>
        <v>0</v>
      </c>
      <c r="K581" s="30">
        <f>VLOOKUP($C581,COS!$B$8:$H$991,2,FALSE)</f>
        <v>3952.674072265625</v>
      </c>
      <c r="L581" s="28">
        <f t="shared" ref="L581" si="930">IF(K581&lt;=IF(MONTH($C581)=4,$I$3,IF(MONTH($C581)=5,$I$4,IF(MONTH($C581)=6,$I$5,IF(MONTH($C581)=7,$I$6,"ERROR")))),1,0)</f>
        <v>1</v>
      </c>
      <c r="M581" s="28">
        <f t="shared" ref="M581" si="931">VLOOKUP($A581,$L$3:$M$7,2,FALSE)</f>
        <v>0</v>
      </c>
      <c r="N581" s="30">
        <f>VLOOKUP($C581,COS!$B$8:$H$991,5,FALSE)</f>
        <v>325.05386352539063</v>
      </c>
      <c r="O581" s="30">
        <f t="shared" ref="O581:O584" si="932">N581*DAY($C581)*86400/43560/1000</f>
        <v>19.342048077543907</v>
      </c>
      <c r="P581" s="30">
        <f>VLOOKUP($C581,COS!$B$8:$H$991,6,FALSE)</f>
        <v>469.97174072265625</v>
      </c>
      <c r="Q581" s="30">
        <f t="shared" ref="Q581:Q584" si="933">P581*DAY($C581)*86400/43560/1000</f>
        <v>27.965260604984504</v>
      </c>
      <c r="R581" s="30">
        <f>MIN(IF(MONTH($C581)=4,$S$3,IF(MONTH($C581)=5,$S$4,IF(MONTH($C581)=6,$S$5,IF(MONTH($C581)=7,$S$6,"ERROR")))),MAX(VLOOKUP($C581,COS!$B$8:$K$991,10,FALSE)-IF(MONTH($C581)=4,$Y$3,IF(MONTH($C581)=5,$Y$4,IF(MONTH($C581)=6,$Y$5,IF(MONTH($C581)=7,$Y$6,"ERROR")))),0),MAX(VLOOKUP($C581,COS!$B$8:$K$991,9,FALSE)-IF(MONTH($C581)=4,$V$3,IF(MONTH($C581)=5,$V$4,IF(MONTH($C581)=6,$V$5,IF(MONTH($C581)=7,$V$6,"ERROR"))))-VLOOKUP($C581,COS!$B$8:$K$991,6,FALSE)/2,0))</f>
        <v>1164.9433288574219</v>
      </c>
      <c r="S581" s="30">
        <f t="shared" ref="S581:S584" si="934">R581*DAY($C581)*86400/43560/1000</f>
        <v>69.318941882425108</v>
      </c>
      <c r="T581" s="30">
        <f t="shared" ref="T581:T584" si="935">(O581+Q581)/2+S581</f>
        <v>92.972596223689322</v>
      </c>
      <c r="U581" s="30" t="str">
        <f>IF(VLOOKUP($C581,COS!$B$8:$I$991,8,FALSE)=1,"UWFE","IBU")</f>
        <v>UWFE</v>
      </c>
      <c r="V581" s="30">
        <f t="shared" ref="V581" si="936">MIN(IF(IF($AA$3=2,AND(E581=1,G581=1,L581=1,L586=1,M581=1,U581="IBU"),AND(E581=1,G581=1,L581=1,L586=1,M581=1)),T581,0),I581)</f>
        <v>0</v>
      </c>
      <c r="W581" s="30"/>
      <c r="X581" s="30"/>
      <c r="Y581" s="30"/>
      <c r="Z581" s="30"/>
      <c r="AA581" s="30"/>
      <c r="AB581" s="31"/>
    </row>
    <row r="582" spans="1:28" x14ac:dyDescent="0.3">
      <c r="A582" s="32">
        <f>VLOOKUP(YEAR(C582),Flags!$A$13:$B$95,2,FALSE)</f>
        <v>3</v>
      </c>
      <c r="B582" s="24">
        <f t="shared" si="841"/>
        <v>1985</v>
      </c>
      <c r="C582" s="25">
        <v>31198</v>
      </c>
      <c r="D582" s="26">
        <f>VLOOKUP($C582,COS!$B$8:$H$991,3,FALSE)</f>
        <v>8077.96923828125</v>
      </c>
      <c r="E582" s="24">
        <f>IF(D582&gt;=IF(MONTH($C582)=4,$C$3,IF(MONTH($C582)=5,$C$4,IF(MONTH($C582)=6,$C$5,IF(MONTH($C582)=7,$C$6,"ERROR")))),1,0)</f>
        <v>1</v>
      </c>
      <c r="F582" s="26">
        <f>VLOOKUP($C582,COS!$B$8:$H$991,7,FALSE)</f>
        <v>50.861595153808594</v>
      </c>
      <c r="G582" s="24">
        <f>IF(F582&lt;=IF(MONTH($C582)=4,$F$3,IF(MONTH($C582)=5,$F$4,IF(MONTH($C582)=6,$F$5,IF(MONTH($C582)=7,$F$6,"ERROR")))),1,0)</f>
        <v>1</v>
      </c>
      <c r="H582" s="26">
        <f>IF(J582=1,D582-$C$4,0)</f>
        <v>2077.96923828125</v>
      </c>
      <c r="I582" s="26">
        <f t="shared" si="872"/>
        <v>127.76934820506197</v>
      </c>
      <c r="J582" s="24">
        <f t="shared" si="929"/>
        <v>1</v>
      </c>
      <c r="K582" s="26">
        <f>VLOOKUP($C582,COS!$B$8:$H$991,2,FALSE)</f>
        <v>3694.770751953125</v>
      </c>
      <c r="L582" s="24">
        <f t="shared" si="843"/>
        <v>1</v>
      </c>
      <c r="M582" s="24">
        <f t="shared" si="844"/>
        <v>0</v>
      </c>
      <c r="N582" s="26">
        <f>VLOOKUP($C582,COS!$B$8:$H$991,5,FALSE)</f>
        <v>497.94390869140625</v>
      </c>
      <c r="O582" s="26">
        <f t="shared" si="932"/>
        <v>30.617377526149276</v>
      </c>
      <c r="P582" s="26">
        <f>VLOOKUP($C582,COS!$B$8:$H$991,6,FALSE)</f>
        <v>2340.425048828125</v>
      </c>
      <c r="Q582" s="26">
        <f t="shared" si="933"/>
        <v>143.90712696926653</v>
      </c>
      <c r="R582" s="26">
        <f>MIN(IF(MONTH($C582)=4,$S$3,IF(MONTH($C582)=5,$S$4,IF(MONTH($C582)=6,$S$5,IF(MONTH($C582)=7,$S$6,"ERROR")))),MAX(VLOOKUP($C582,COS!$B$8:$K$991,10,FALSE)-IF(MONTH($C582)=4,$Y$3,IF(MONTH($C582)=5,$Y$4,IF(MONTH($C582)=6,$Y$5,IF(MONTH($C582)=7,$Y$6,"ERROR")))),0),MAX(VLOOKUP($C582,COS!$B$8:$K$991,9,FALSE)-IF(MONTH($C582)=4,$V$3,IF(MONTH($C582)=5,$V$4,IF(MONTH($C582)=6,$V$5,IF(MONTH($C582)=7,$V$6,"ERROR"))))-VLOOKUP($C582,COS!$B$8:$K$991,6,FALSE)/2,0))</f>
        <v>1500</v>
      </c>
      <c r="S582" s="26">
        <f t="shared" si="934"/>
        <v>92.231404958677686</v>
      </c>
      <c r="T582" s="26">
        <f t="shared" si="935"/>
        <v>179.49365720638559</v>
      </c>
      <c r="U582" s="26" t="str">
        <f>IF(VLOOKUP($C582,COS!$B$8:$I$991,8,FALSE)=1,"UWFE","IBU")</f>
        <v>IBU</v>
      </c>
      <c r="V582" s="26">
        <f t="shared" ref="V582" si="937">MIN(IF(IF($AA$3=2,AND(E582=1,G582=1,L582=1,L586=1,M582=1,U582="IBU"),AND(E582=1,G582=1,L582=1,L586=1,M582=1)),T582,0),I582)</f>
        <v>0</v>
      </c>
      <c r="W582" s="26"/>
      <c r="X582" s="26"/>
      <c r="Y582" s="26"/>
      <c r="Z582" s="26"/>
      <c r="AA582" s="26"/>
      <c r="AB582" s="33"/>
    </row>
    <row r="583" spans="1:28" x14ac:dyDescent="0.3">
      <c r="A583" s="32">
        <f>VLOOKUP(YEAR(C583),Flags!$A$13:$B$95,2,FALSE)</f>
        <v>3</v>
      </c>
      <c r="B583" s="24">
        <f t="shared" si="841"/>
        <v>1985</v>
      </c>
      <c r="C583" s="25">
        <v>31228</v>
      </c>
      <c r="D583" s="26">
        <f>VLOOKUP($C583,COS!$B$8:$H$991,3,FALSE)</f>
        <v>12637.884765625</v>
      </c>
      <c r="E583" s="24">
        <f>IF(D583&gt;=IF(MONTH($C583)=4,$C$3,IF(MONTH($C583)=5,$C$4,IF(MONTH($C583)=6,$C$5,IF(MONTH($C583)=7,$C$6,"ERROR")))),1,0)</f>
        <v>1</v>
      </c>
      <c r="F583" s="26">
        <f>VLOOKUP($C583,COS!$B$8:$H$991,7,FALSE)</f>
        <v>51.714122772216797</v>
      </c>
      <c r="G583" s="24">
        <f>IF(F583&lt;=IF(MONTH($C583)=4,$F$3,IF(MONTH($C583)=5,$F$4,IF(MONTH($C583)=6,$F$5,IF(MONTH($C583)=7,$F$6,"ERROR")))),1,0)</f>
        <v>1</v>
      </c>
      <c r="H583" s="26">
        <f>IF(J583=1,D583-$C$5,0)</f>
        <v>2637.884765625</v>
      </c>
      <c r="I583" s="26">
        <f t="shared" si="872"/>
        <v>156.96504390495866</v>
      </c>
      <c r="J583" s="24">
        <f t="shared" si="929"/>
        <v>1</v>
      </c>
      <c r="K583" s="26">
        <f>VLOOKUP($C583,COS!$B$8:$H$991,2,FALSE)</f>
        <v>3196.5283203125</v>
      </c>
      <c r="L583" s="24">
        <f t="shared" si="843"/>
        <v>1</v>
      </c>
      <c r="M583" s="24">
        <f t="shared" si="844"/>
        <v>0</v>
      </c>
      <c r="N583" s="26">
        <f>VLOOKUP($C583,COS!$B$8:$H$991,5,FALSE)</f>
        <v>737.8311767578125</v>
      </c>
      <c r="O583" s="26">
        <f t="shared" si="932"/>
        <v>43.904003906249997</v>
      </c>
      <c r="P583" s="26">
        <f>VLOOKUP($C583,COS!$B$8:$H$991,6,FALSE)</f>
        <v>2708.118408203125</v>
      </c>
      <c r="Q583" s="26">
        <f t="shared" si="933"/>
        <v>161.14423586002064</v>
      </c>
      <c r="R583" s="26">
        <f>MIN(IF(MONTH($C583)=4,$S$3,IF(MONTH($C583)=5,$S$4,IF(MONTH($C583)=6,$S$5,IF(MONTH($C583)=7,$S$6,"ERROR")))),MAX(VLOOKUP($C583,COS!$B$8:$K$991,10,FALSE)-IF(MONTH($C583)=4,$Y$3,IF(MONTH($C583)=5,$Y$4,IF(MONTH($C583)=6,$Y$5,IF(MONTH($C583)=7,$Y$6,"ERROR")))),0),MAX(VLOOKUP($C583,COS!$B$8:$K$991,9,FALSE)-IF(MONTH($C583)=4,$V$3,IF(MONTH($C583)=5,$V$4,IF(MONTH($C583)=6,$V$5,IF(MONTH($C583)=7,$V$6,"ERROR"))))-VLOOKUP($C583,COS!$B$8:$K$991,6,FALSE)/2,0))</f>
        <v>1500</v>
      </c>
      <c r="S583" s="26">
        <f t="shared" si="934"/>
        <v>89.256198347107429</v>
      </c>
      <c r="T583" s="26">
        <f t="shared" si="935"/>
        <v>191.78031823024276</v>
      </c>
      <c r="U583" s="26" t="str">
        <f>IF(VLOOKUP($C583,COS!$B$8:$I$991,8,FALSE)=1,"UWFE","IBU")</f>
        <v>IBU</v>
      </c>
      <c r="V583" s="26">
        <f t="shared" ref="V583" si="938">MIN(IF(IF($AA$3=2,AND(E583=1,G583=1,L583=1,L586=1,M583=1,U583="IBU"),AND(E583=1,G583=1,L583=1,L586=1,M583=1)),T583,0),I583)</f>
        <v>0</v>
      </c>
      <c r="W583" s="26"/>
      <c r="X583" s="26"/>
      <c r="Y583" s="26"/>
      <c r="Z583" s="26"/>
      <c r="AA583" s="26"/>
      <c r="AB583" s="33"/>
    </row>
    <row r="584" spans="1:28" x14ac:dyDescent="0.3">
      <c r="A584" s="32">
        <f>VLOOKUP(YEAR(C584),Flags!$A$13:$B$95,2,FALSE)</f>
        <v>3</v>
      </c>
      <c r="B584" s="24">
        <f t="shared" si="841"/>
        <v>1985</v>
      </c>
      <c r="C584" s="25">
        <v>31259</v>
      </c>
      <c r="D584" s="26">
        <f>VLOOKUP($C584,COS!$B$8:$H$991,3,FALSE)</f>
        <v>15330.47265625</v>
      </c>
      <c r="E584" s="24">
        <f>IF(D584&gt;=IF(MONTH($C584)=4,$C$3,IF(MONTH($C584)=5,$C$4,IF(MONTH($C584)=6,$C$5,IF(MONTH($C584)=7,$C$6,"ERROR")))),1,0)</f>
        <v>1</v>
      </c>
      <c r="F584" s="26">
        <f>VLOOKUP($C584,COS!$B$8:$H$991,7,FALSE)</f>
        <v>53.327499389648438</v>
      </c>
      <c r="G584" s="24">
        <f>IF(F584&lt;=IF(MONTH($C584)=4,$F$3,IF(MONTH($C584)=5,$F$4,IF(MONTH($C584)=6,$F$5,IF(MONTH($C584)=7,$F$6,"ERROR")))),1,0)</f>
        <v>1</v>
      </c>
      <c r="H584" s="26">
        <f>IF(J584=1,D584-$C$6,0)</f>
        <v>3330.47265625</v>
      </c>
      <c r="I584" s="26">
        <f t="shared" si="872"/>
        <v>204.78278150826446</v>
      </c>
      <c r="J584" s="24">
        <f t="shared" si="929"/>
        <v>1</v>
      </c>
      <c r="K584" s="26">
        <f>VLOOKUP($C584,COS!$B$8:$H$991,2,FALSE)</f>
        <v>2582.746337890625</v>
      </c>
      <c r="L584" s="24">
        <f t="shared" si="843"/>
        <v>1</v>
      </c>
      <c r="M584" s="24">
        <f t="shared" si="844"/>
        <v>0</v>
      </c>
      <c r="N584" s="26">
        <f>VLOOKUP($C584,COS!$B$8:$H$991,5,FALSE)</f>
        <v>805.3907470703125</v>
      </c>
      <c r="O584" s="26">
        <f t="shared" si="932"/>
        <v>49.521546762009294</v>
      </c>
      <c r="P584" s="26">
        <f>VLOOKUP($C584,COS!$B$8:$H$991,6,FALSE)</f>
        <v>2442.872314453125</v>
      </c>
      <c r="Q584" s="26">
        <f t="shared" si="933"/>
        <v>150.20636379777892</v>
      </c>
      <c r="R584" s="26">
        <f>MIN(IF(MONTH($C584)=4,$S$3,IF(MONTH($C584)=5,$S$4,IF(MONTH($C584)=6,$S$5,IF(MONTH($C584)=7,$S$6,"ERROR")))),MAX(VLOOKUP($C584,COS!$B$8:$K$991,10,FALSE)-IF(MONTH($C584)=4,$Y$3,IF(MONTH($C584)=5,$Y$4,IF(MONTH($C584)=6,$Y$5,IF(MONTH($C584)=7,$Y$6,"ERROR")))),0),MAX(VLOOKUP($C584,COS!$B$8:$K$991,9,FALSE)-IF(MONTH($C584)=4,$V$3,IF(MONTH($C584)=5,$V$4,IF(MONTH($C584)=6,$V$5,IF(MONTH($C584)=7,$V$6,"ERROR"))))-VLOOKUP($C584,COS!$B$8:$K$991,6,FALSE)/2,0))</f>
        <v>1500</v>
      </c>
      <c r="S584" s="26">
        <f t="shared" si="934"/>
        <v>92.231404958677686</v>
      </c>
      <c r="T584" s="26">
        <f t="shared" si="935"/>
        <v>192.0953602385718</v>
      </c>
      <c r="U584" s="26" t="str">
        <f>IF(VLOOKUP($C584,COS!$B$8:$I$991,8,FALSE)=1,"UWFE","IBU")</f>
        <v>IBU</v>
      </c>
      <c r="V584" s="26">
        <f t="shared" ref="V584" si="939">MIN(IF(IF($AA$3=2,AND(E584=1,G584=1,L584=1,L586=1,M584=1,U584="IBU"),AND(E584=1,G584=1,L584=1,L586=1,M584=1)),T584,0),I584)</f>
        <v>0</v>
      </c>
      <c r="W584" s="26"/>
      <c r="X584" s="26"/>
      <c r="Y584" s="26"/>
      <c r="Z584" s="26"/>
      <c r="AA584" s="26"/>
      <c r="AB584" s="33"/>
    </row>
    <row r="585" spans="1:28" x14ac:dyDescent="0.3">
      <c r="A585" s="32">
        <f>VLOOKUP(YEAR(C585),Flags!$A$13:$B$95,2,FALSE)</f>
        <v>3</v>
      </c>
      <c r="B585" s="24">
        <f t="shared" si="841"/>
        <v>1985</v>
      </c>
      <c r="C585" s="25">
        <v>31290</v>
      </c>
      <c r="D585" s="26"/>
      <c r="E585" s="24"/>
      <c r="F585" s="26"/>
      <c r="G585" s="24"/>
      <c r="H585" s="24"/>
      <c r="I585" s="26"/>
      <c r="J585" s="24"/>
      <c r="K585" s="26"/>
      <c r="L585" s="24"/>
      <c r="M585" s="24"/>
      <c r="N585" s="26"/>
      <c r="O585" s="26"/>
      <c r="P585" s="26"/>
      <c r="Q585" s="26"/>
      <c r="R585" s="26"/>
      <c r="S585" s="26"/>
      <c r="T585" s="26"/>
      <c r="U585" s="26"/>
      <c r="V585" s="26"/>
      <c r="W585" s="26">
        <f>MAX($C$7-VLOOKUP($C585,COS!$B$8:$H$991,3,FALSE),0)</f>
        <v>181.107421875</v>
      </c>
      <c r="X585" s="26">
        <f t="shared" si="870"/>
        <v>11.135861311983472</v>
      </c>
      <c r="Y585" s="26">
        <f>VLOOKUP($C585,COS!$B$8:$H$991,4,FALSE)</f>
        <v>2388.483154296875</v>
      </c>
      <c r="Z585" s="26">
        <f t="shared" si="871"/>
        <v>146.86210469395661</v>
      </c>
      <c r="AA585" s="26">
        <f t="shared" ref="AA585:AA589" si="940">MIN(W585,Y585)</f>
        <v>181.107421875</v>
      </c>
      <c r="AB585" s="33">
        <f t="shared" ref="AB585" si="941">AA585*DAY($C585)*86400/43560/1000*IF(MONTH($C585)=8,$P$3,IF(MONTH($C585)=9,$P$4,IF(MONTH($C585)=10,$P$5,IF(MONTH($C585)=11,$P$6,IF(MONTH($C585)=12,$P$7,NA())))))</f>
        <v>11.135861311983472</v>
      </c>
    </row>
    <row r="586" spans="1:28" x14ac:dyDescent="0.3">
      <c r="A586" s="32">
        <f>VLOOKUP(YEAR(C586),Flags!$A$13:$B$95,2,FALSE)</f>
        <v>3</v>
      </c>
      <c r="B586" s="24">
        <f t="shared" si="841"/>
        <v>1985</v>
      </c>
      <c r="C586" s="25">
        <v>31320</v>
      </c>
      <c r="D586" s="26"/>
      <c r="E586" s="24"/>
      <c r="F586" s="26"/>
      <c r="G586" s="24"/>
      <c r="H586" s="24"/>
      <c r="I586" s="26"/>
      <c r="J586" s="24"/>
      <c r="K586" s="26">
        <f>VLOOKUP($C586,COS!$B$8:$H$991,2,FALSE)</f>
        <v>2217.799560546875</v>
      </c>
      <c r="L586" s="24">
        <f t="shared" ref="L586" si="942">IF(AND(K586&gt;$I$7,K586&lt;$I$8),1,0)</f>
        <v>1</v>
      </c>
      <c r="M586" s="24"/>
      <c r="N586" s="26"/>
      <c r="O586" s="26"/>
      <c r="P586" s="26"/>
      <c r="Q586" s="26"/>
      <c r="R586" s="26"/>
      <c r="S586" s="26"/>
      <c r="T586" s="26"/>
      <c r="U586" s="26"/>
      <c r="V586" s="26"/>
      <c r="W586" s="26">
        <f>MAX($C$8-VLOOKUP($C586,COS!$B$8:$H$991,3,FALSE),0)</f>
        <v>425.607421875</v>
      </c>
      <c r="X586" s="26">
        <f t="shared" si="870"/>
        <v>25.325400309917356</v>
      </c>
      <c r="Y586" s="26">
        <f>VLOOKUP($C586,COS!$B$8:$H$991,4,FALSE)</f>
        <v>202.43043518066406</v>
      </c>
      <c r="Z586" s="26">
        <f t="shared" si="871"/>
        <v>12.045447382651084</v>
      </c>
      <c r="AA586" s="26">
        <f t="shared" si="940"/>
        <v>202.43043518066406</v>
      </c>
      <c r="AB586" s="33">
        <f t="shared" si="854"/>
        <v>12.045447382651084</v>
      </c>
    </row>
    <row r="587" spans="1:28" x14ac:dyDescent="0.3">
      <c r="A587" s="32">
        <f>VLOOKUP(YEAR(C587),Flags!$A$13:$B$95,2,FALSE)</f>
        <v>3</v>
      </c>
      <c r="B587" s="24">
        <f t="shared" si="841"/>
        <v>1985</v>
      </c>
      <c r="C587" s="25">
        <v>31351</v>
      </c>
      <c r="D587" s="26"/>
      <c r="E587" s="24"/>
      <c r="F587" s="26"/>
      <c r="G587" s="26"/>
      <c r="H587" s="26"/>
      <c r="I587" s="26"/>
      <c r="J587" s="26"/>
      <c r="K587" s="26"/>
      <c r="L587" s="24"/>
      <c r="M587" s="24"/>
      <c r="N587" s="26"/>
      <c r="O587" s="26"/>
      <c r="P587" s="26"/>
      <c r="Q587" s="26"/>
      <c r="R587" s="26"/>
      <c r="S587" s="26"/>
      <c r="T587" s="26"/>
      <c r="U587" s="26"/>
      <c r="V587" s="26"/>
      <c r="W587" s="26">
        <f>MAX($C$9-VLOOKUP($C587,COS!$B$8:$H$991,3,FALSE),0)</f>
        <v>206.248046875</v>
      </c>
      <c r="X587" s="26">
        <f t="shared" si="870"/>
        <v>12.681698088842975</v>
      </c>
      <c r="Y587" s="26">
        <f>VLOOKUP($C587,COS!$B$8:$H$991,4,FALSE)</f>
        <v>1064.7911376953125</v>
      </c>
      <c r="Z587" s="26">
        <f t="shared" si="871"/>
        <v>65.471455078125004</v>
      </c>
      <c r="AA587" s="26">
        <f t="shared" si="940"/>
        <v>206.248046875</v>
      </c>
      <c r="AB587" s="33">
        <f t="shared" si="854"/>
        <v>12.681698088842975</v>
      </c>
    </row>
    <row r="588" spans="1:28" x14ac:dyDescent="0.3">
      <c r="A588" s="32">
        <f>VLOOKUP(YEAR(C588),Flags!$A$13:$B$95,2,FALSE)</f>
        <v>3</v>
      </c>
      <c r="B588" s="24">
        <f t="shared" si="841"/>
        <v>1985</v>
      </c>
      <c r="C588" s="25">
        <v>31381</v>
      </c>
      <c r="D588" s="26"/>
      <c r="E588" s="24"/>
      <c r="F588" s="26"/>
      <c r="G588" s="26"/>
      <c r="H588" s="26"/>
      <c r="I588" s="26"/>
      <c r="J588" s="26"/>
      <c r="K588" s="26"/>
      <c r="L588" s="24"/>
      <c r="M588" s="24"/>
      <c r="N588" s="26"/>
      <c r="O588" s="26"/>
      <c r="P588" s="26"/>
      <c r="Q588" s="26"/>
      <c r="R588" s="26"/>
      <c r="S588" s="26"/>
      <c r="T588" s="26"/>
      <c r="U588" s="26"/>
      <c r="V588" s="26"/>
      <c r="W588" s="26">
        <f>MAX($C$10-VLOOKUP($C588,COS!$B$8:$H$991,3,FALSE),0)</f>
        <v>1374.38037109375</v>
      </c>
      <c r="X588" s="26">
        <f t="shared" si="870"/>
        <v>81.781311337809925</v>
      </c>
      <c r="Y588" s="26">
        <f>VLOOKUP($C588,COS!$B$8:$H$991,4,FALSE)</f>
        <v>110.72906494140625</v>
      </c>
      <c r="Z588" s="26">
        <f t="shared" si="871"/>
        <v>6.5888369221332646</v>
      </c>
      <c r="AA588" s="26">
        <f t="shared" si="940"/>
        <v>110.72906494140625</v>
      </c>
      <c r="AB588" s="33">
        <f t="shared" si="854"/>
        <v>6.5888369221332646</v>
      </c>
    </row>
    <row r="589" spans="1:28" x14ac:dyDescent="0.3">
      <c r="A589" s="34">
        <f>VLOOKUP(YEAR(C589),Flags!$A$13:$B$95,2,FALSE)</f>
        <v>3</v>
      </c>
      <c r="B589" s="35">
        <f t="shared" si="841"/>
        <v>1985</v>
      </c>
      <c r="C589" s="36">
        <v>31412</v>
      </c>
      <c r="D589" s="37"/>
      <c r="E589" s="35"/>
      <c r="F589" s="37"/>
      <c r="G589" s="37"/>
      <c r="H589" s="37"/>
      <c r="I589" s="37"/>
      <c r="J589" s="37"/>
      <c r="K589" s="37"/>
      <c r="L589" s="35"/>
      <c r="M589" s="35"/>
      <c r="N589" s="37"/>
      <c r="O589" s="37"/>
      <c r="P589" s="37"/>
      <c r="Q589" s="37"/>
      <c r="R589" s="37"/>
      <c r="S589" s="37"/>
      <c r="T589" s="37"/>
      <c r="U589" s="37"/>
      <c r="V589" s="37"/>
      <c r="W589" s="37">
        <f>MAX($C$11-VLOOKUP($C589,COS!$B$8:$H$991,3,FALSE),0)</f>
        <v>1750</v>
      </c>
      <c r="X589" s="37">
        <f t="shared" si="870"/>
        <v>107.60330578512398</v>
      </c>
      <c r="Y589" s="37">
        <f>VLOOKUP($C589,COS!$B$8:$H$991,4,FALSE)</f>
        <v>364.45733642578125</v>
      </c>
      <c r="Z589" s="37">
        <f t="shared" si="871"/>
        <v>22.409608124031507</v>
      </c>
      <c r="AA589" s="37">
        <f t="shared" si="940"/>
        <v>364.45733642578125</v>
      </c>
      <c r="AB589" s="38">
        <f t="shared" si="854"/>
        <v>22.409608124031507</v>
      </c>
    </row>
    <row r="590" spans="1:28" x14ac:dyDescent="0.3">
      <c r="A590" s="27">
        <f>VLOOKUP(YEAR(C590),Flags!$A$13:$B$95,2,FALSE)</f>
        <v>1</v>
      </c>
      <c r="B590" s="28">
        <f t="shared" si="841"/>
        <v>1986</v>
      </c>
      <c r="C590" s="29">
        <v>31532</v>
      </c>
      <c r="D590" s="30">
        <f>VLOOKUP($C590,COS!$B$8:$H$991,3,FALSE)</f>
        <v>3250</v>
      </c>
      <c r="E590" s="28">
        <f>IF(D590&gt;=IF(MONTH($C590)=4,$C$3,IF(MONTH($C590)=5,$C$4,IF(MONTH($C590)=6,$C$5,IF(MONTH($C590)=7,$C$6,"ERROR")))),1,0)</f>
        <v>0</v>
      </c>
      <c r="F590" s="30">
        <f>VLOOKUP($C590,COS!$B$8:$H$991,7,FALSE)</f>
        <v>51.891460418701172</v>
      </c>
      <c r="G590" s="28">
        <f>IF(F590&lt;=IF(MONTH($C590)=4,$F$3,IF(MONTH($C590)=5,$F$4,IF(MONTH($C590)=6,$F$5,IF(MONTH($C590)=7,$F$6,"ERROR")))),1,0)</f>
        <v>1</v>
      </c>
      <c r="H590" s="30">
        <f>IF(J590=1,D590-$C$3,0)</f>
        <v>0</v>
      </c>
      <c r="I590" s="30">
        <f t="shared" si="872"/>
        <v>0</v>
      </c>
      <c r="J590" s="28">
        <f t="shared" ref="J590:J593" si="943">IF(AND(E590=1,G590=1),1,0)</f>
        <v>0</v>
      </c>
      <c r="K590" s="30">
        <f>VLOOKUP($C590,COS!$B$8:$H$991,2,FALSE)</f>
        <v>4012.635986328125</v>
      </c>
      <c r="L590" s="28">
        <f t="shared" ref="L590:L647" si="944">IF(K590&lt;=IF(MONTH($C590)=4,$I$3,IF(MONTH($C590)=5,$I$4,IF(MONTH($C590)=6,$I$5,IF(MONTH($C590)=7,$I$6,"ERROR")))),1,0)</f>
        <v>1</v>
      </c>
      <c r="M590" s="28">
        <f t="shared" ref="M590:M647" si="945">VLOOKUP($A590,$L$3:$M$7,2,FALSE)</f>
        <v>0</v>
      </c>
      <c r="N590" s="30">
        <f>VLOOKUP($C590,COS!$B$8:$H$991,5,FALSE)</f>
        <v>174.09121704101563</v>
      </c>
      <c r="O590" s="30">
        <f t="shared" ref="O590:O593" si="946">N590*DAY($C590)*86400/43560/1000</f>
        <v>10.359146799134814</v>
      </c>
      <c r="P590" s="30">
        <f>VLOOKUP($C590,COS!$B$8:$H$991,6,FALSE)</f>
        <v>419.7452392578125</v>
      </c>
      <c r="Q590" s="30">
        <f t="shared" ref="Q590:Q593" si="947">P590*DAY($C590)*86400/43560/1000</f>
        <v>24.976576220299588</v>
      </c>
      <c r="R590" s="30">
        <f>MIN(IF(MONTH($C590)=4,$S$3,IF(MONTH($C590)=5,$S$4,IF(MONTH($C590)=6,$S$5,IF(MONTH($C590)=7,$S$6,"ERROR")))),MAX(VLOOKUP($C590,COS!$B$8:$K$991,10,FALSE)-IF(MONTH($C590)=4,$Y$3,IF(MONTH($C590)=5,$Y$4,IF(MONTH($C590)=6,$Y$5,IF(MONTH($C590)=7,$Y$6,"ERROR")))),0),MAX(VLOOKUP($C590,COS!$B$8:$K$991,9,FALSE)-IF(MONTH($C590)=4,$V$3,IF(MONTH($C590)=5,$V$4,IF(MONTH($C590)=6,$V$5,IF(MONTH($C590)=7,$V$6,"ERROR"))))-VLOOKUP($C590,COS!$B$8:$K$991,6,FALSE)/2,0))</f>
        <v>1500</v>
      </c>
      <c r="S590" s="30">
        <f t="shared" ref="S590:S593" si="948">R590*DAY($C590)*86400/43560/1000</f>
        <v>89.256198347107429</v>
      </c>
      <c r="T590" s="30">
        <f t="shared" ref="T590:T593" si="949">(O590+Q590)/2+S590</f>
        <v>106.92405985682463</v>
      </c>
      <c r="U590" s="30" t="str">
        <f>IF(VLOOKUP($C590,COS!$B$8:$I$991,8,FALSE)=1,"UWFE","IBU")</f>
        <v>UWFE</v>
      </c>
      <c r="V590" s="30">
        <f t="shared" ref="V590" si="950">MIN(IF(IF($AA$3=2,AND(E590=1,G590=1,L590=1,L595=1,M590=1,U590="IBU"),AND(E590=1,G590=1,L590=1,L595=1,M590=1)),T590,0),I590)</f>
        <v>0</v>
      </c>
      <c r="W590" s="30"/>
      <c r="X590" s="30"/>
      <c r="Y590" s="30"/>
      <c r="Z590" s="30"/>
      <c r="AA590" s="30"/>
      <c r="AB590" s="31"/>
    </row>
    <row r="591" spans="1:28" x14ac:dyDescent="0.3">
      <c r="A591" s="32">
        <f>VLOOKUP(YEAR(C591),Flags!$A$13:$B$95,2,FALSE)</f>
        <v>1</v>
      </c>
      <c r="B591" s="24">
        <f t="shared" ref="B591:B654" si="951">YEAR(C591)</f>
        <v>1986</v>
      </c>
      <c r="C591" s="25">
        <v>31563</v>
      </c>
      <c r="D591" s="26">
        <f>VLOOKUP($C591,COS!$B$8:$H$991,3,FALSE)</f>
        <v>6404.04443359375</v>
      </c>
      <c r="E591" s="24">
        <f>IF(D591&gt;=IF(MONTH($C591)=4,$C$3,IF(MONTH($C591)=5,$C$4,IF(MONTH($C591)=6,$C$5,IF(MONTH($C591)=7,$C$6,"ERROR")))),1,0)</f>
        <v>1</v>
      </c>
      <c r="F591" s="26">
        <f>VLOOKUP($C591,COS!$B$8:$H$991,7,FALSE)</f>
        <v>50.922679901123047</v>
      </c>
      <c r="G591" s="24">
        <f>IF(F591&lt;=IF(MONTH($C591)=4,$F$3,IF(MONTH($C591)=5,$F$4,IF(MONTH($C591)=6,$F$5,IF(MONTH($C591)=7,$F$6,"ERROR")))),1,0)</f>
        <v>1</v>
      </c>
      <c r="H591" s="26">
        <f>IF(J591=1,D591-$C$4,0)</f>
        <v>404.04443359375</v>
      </c>
      <c r="I591" s="26">
        <f t="shared" si="872"/>
        <v>24.843723850723141</v>
      </c>
      <c r="J591" s="24">
        <f t="shared" si="943"/>
        <v>1</v>
      </c>
      <c r="K591" s="26">
        <f>VLOOKUP($C591,COS!$B$8:$H$991,2,FALSE)</f>
        <v>4026.975341796875</v>
      </c>
      <c r="L591" s="24">
        <f t="shared" si="944"/>
        <v>1</v>
      </c>
      <c r="M591" s="24">
        <f t="shared" si="945"/>
        <v>0</v>
      </c>
      <c r="N591" s="26">
        <f>VLOOKUP($C591,COS!$B$8:$H$991,5,FALSE)</f>
        <v>294.54061889648438</v>
      </c>
      <c r="O591" s="26">
        <f t="shared" si="946"/>
        <v>18.110596732147467</v>
      </c>
      <c r="P591" s="26">
        <f>VLOOKUP($C591,COS!$B$8:$H$991,6,FALSE)</f>
        <v>2245.033447265625</v>
      </c>
      <c r="Q591" s="26">
        <f t="shared" si="947"/>
        <v>138.04172601368802</v>
      </c>
      <c r="R591" s="26">
        <f>MIN(IF(MONTH($C591)=4,$S$3,IF(MONTH($C591)=5,$S$4,IF(MONTH($C591)=6,$S$5,IF(MONTH($C591)=7,$S$6,"ERROR")))),MAX(VLOOKUP($C591,COS!$B$8:$K$991,10,FALSE)-IF(MONTH($C591)=4,$Y$3,IF(MONTH($C591)=5,$Y$4,IF(MONTH($C591)=6,$Y$5,IF(MONTH($C591)=7,$Y$6,"ERROR")))),0),MAX(VLOOKUP($C591,COS!$B$8:$K$991,9,FALSE)-IF(MONTH($C591)=4,$V$3,IF(MONTH($C591)=5,$V$4,IF(MONTH($C591)=6,$V$5,IF(MONTH($C591)=7,$V$6,"ERROR"))))-VLOOKUP($C591,COS!$B$8:$K$991,6,FALSE)/2,0))</f>
        <v>1500</v>
      </c>
      <c r="S591" s="26">
        <f t="shared" si="948"/>
        <v>92.231404958677686</v>
      </c>
      <c r="T591" s="26">
        <f t="shared" si="949"/>
        <v>170.30756633159541</v>
      </c>
      <c r="U591" s="26" t="str">
        <f>IF(VLOOKUP($C591,COS!$B$8:$I$991,8,FALSE)=1,"UWFE","IBU")</f>
        <v>UWFE</v>
      </c>
      <c r="V591" s="26">
        <f t="shared" ref="V591" si="952">MIN(IF(IF($AA$3=2,AND(E591=1,G591=1,L591=1,L595=1,M591=1,U591="IBU"),AND(E591=1,G591=1,L591=1,L595=1,M591=1)),T591,0),I591)</f>
        <v>0</v>
      </c>
      <c r="W591" s="26"/>
      <c r="X591" s="26"/>
      <c r="Y591" s="26"/>
      <c r="Z591" s="26"/>
      <c r="AA591" s="26"/>
      <c r="AB591" s="33"/>
    </row>
    <row r="592" spans="1:28" x14ac:dyDescent="0.3">
      <c r="A592" s="32">
        <f>VLOOKUP(YEAR(C592),Flags!$A$13:$B$95,2,FALSE)</f>
        <v>1</v>
      </c>
      <c r="B592" s="24">
        <f t="shared" si="951"/>
        <v>1986</v>
      </c>
      <c r="C592" s="25">
        <v>31593</v>
      </c>
      <c r="D592" s="26">
        <f>VLOOKUP($C592,COS!$B$8:$H$991,3,FALSE)</f>
        <v>8645.5615234375</v>
      </c>
      <c r="E592" s="24">
        <f>IF(D592&gt;=IF(MONTH($C592)=4,$C$3,IF(MONTH($C592)=5,$C$4,IF(MONTH($C592)=6,$C$5,IF(MONTH($C592)=7,$C$6,"ERROR")))),1,0)</f>
        <v>0</v>
      </c>
      <c r="F592" s="26">
        <f>VLOOKUP($C592,COS!$B$8:$H$991,7,FALSE)</f>
        <v>51.637722015380859</v>
      </c>
      <c r="G592" s="24">
        <f>IF(F592&lt;=IF(MONTH($C592)=4,$F$3,IF(MONTH($C592)=5,$F$4,IF(MONTH($C592)=6,$F$5,IF(MONTH($C592)=7,$F$6,"ERROR")))),1,0)</f>
        <v>1</v>
      </c>
      <c r="H592" s="26">
        <f>IF(J592=1,D592-$C$5,0)</f>
        <v>0</v>
      </c>
      <c r="I592" s="26">
        <f t="shared" si="872"/>
        <v>0</v>
      </c>
      <c r="J592" s="24">
        <f t="shared" si="943"/>
        <v>0</v>
      </c>
      <c r="K592" s="26">
        <f>VLOOKUP($C592,COS!$B$8:$H$991,2,FALSE)</f>
        <v>3745.956298828125</v>
      </c>
      <c r="L592" s="24">
        <f t="shared" si="944"/>
        <v>1</v>
      </c>
      <c r="M592" s="24">
        <f t="shared" si="945"/>
        <v>0</v>
      </c>
      <c r="N592" s="26">
        <f>VLOOKUP($C592,COS!$B$8:$H$991,5,FALSE)</f>
        <v>616.0546875</v>
      </c>
      <c r="O592" s="26">
        <f t="shared" si="946"/>
        <v>36.657799586776861</v>
      </c>
      <c r="P592" s="26">
        <f>VLOOKUP($C592,COS!$B$8:$H$991,6,FALSE)</f>
        <v>2278.943359375</v>
      </c>
      <c r="Q592" s="26">
        <f t="shared" si="947"/>
        <v>135.60654700413224</v>
      </c>
      <c r="R592" s="26">
        <f>MIN(IF(MONTH($C592)=4,$S$3,IF(MONTH($C592)=5,$S$4,IF(MONTH($C592)=6,$S$5,IF(MONTH($C592)=7,$S$6,"ERROR")))),MAX(VLOOKUP($C592,COS!$B$8:$K$991,10,FALSE)-IF(MONTH($C592)=4,$Y$3,IF(MONTH($C592)=5,$Y$4,IF(MONTH($C592)=6,$Y$5,IF(MONTH($C592)=7,$Y$6,"ERROR")))),0),MAX(VLOOKUP($C592,COS!$B$8:$K$991,9,FALSE)-IF(MONTH($C592)=4,$V$3,IF(MONTH($C592)=5,$V$4,IF(MONTH($C592)=6,$V$5,IF(MONTH($C592)=7,$V$6,"ERROR"))))-VLOOKUP($C592,COS!$B$8:$K$991,6,FALSE)/2,0))</f>
        <v>1500</v>
      </c>
      <c r="S592" s="26">
        <f t="shared" si="948"/>
        <v>89.256198347107429</v>
      </c>
      <c r="T592" s="26">
        <f t="shared" si="949"/>
        <v>175.38837164256199</v>
      </c>
      <c r="U592" s="26" t="str">
        <f>IF(VLOOKUP($C592,COS!$B$8:$I$991,8,FALSE)=1,"UWFE","IBU")</f>
        <v>IBU</v>
      </c>
      <c r="V592" s="26">
        <f t="shared" ref="V592" si="953">MIN(IF(IF($AA$3=2,AND(E592=1,G592=1,L592=1,L595=1,M592=1,U592="IBU"),AND(E592=1,G592=1,L592=1,L595=1,M592=1)),T592,0),I592)</f>
        <v>0</v>
      </c>
      <c r="W592" s="26"/>
      <c r="X592" s="26"/>
      <c r="Y592" s="26"/>
      <c r="Z592" s="26"/>
      <c r="AA592" s="26"/>
      <c r="AB592" s="33"/>
    </row>
    <row r="593" spans="1:28" x14ac:dyDescent="0.3">
      <c r="A593" s="32">
        <f>VLOOKUP(YEAR(C593),Flags!$A$13:$B$95,2,FALSE)</f>
        <v>1</v>
      </c>
      <c r="B593" s="24">
        <f t="shared" si="951"/>
        <v>1986</v>
      </c>
      <c r="C593" s="25">
        <v>31624</v>
      </c>
      <c r="D593" s="26">
        <f>VLOOKUP($C593,COS!$B$8:$H$991,3,FALSE)</f>
        <v>12633.615234375</v>
      </c>
      <c r="E593" s="24">
        <f>IF(D593&gt;=IF(MONTH($C593)=4,$C$3,IF(MONTH($C593)=5,$C$4,IF(MONTH($C593)=6,$C$5,IF(MONTH($C593)=7,$C$6,"ERROR")))),1,0)</f>
        <v>1</v>
      </c>
      <c r="F593" s="26">
        <f>VLOOKUP($C593,COS!$B$8:$H$991,7,FALSE)</f>
        <v>51.914817810058594</v>
      </c>
      <c r="G593" s="24">
        <f>IF(F593&lt;=IF(MONTH($C593)=4,$F$3,IF(MONTH($C593)=5,$F$4,IF(MONTH($C593)=6,$F$5,IF(MONTH($C593)=7,$F$6,"ERROR")))),1,0)</f>
        <v>1</v>
      </c>
      <c r="H593" s="26">
        <f>IF(J593=1,D593-$C$6,0)</f>
        <v>633.615234375</v>
      </c>
      <c r="I593" s="26">
        <f t="shared" si="872"/>
        <v>38.959482179752065</v>
      </c>
      <c r="J593" s="24">
        <f t="shared" si="943"/>
        <v>1</v>
      </c>
      <c r="K593" s="26">
        <f>VLOOKUP($C593,COS!$B$8:$H$991,2,FALSE)</f>
        <v>3301.90478515625</v>
      </c>
      <c r="L593" s="24">
        <f t="shared" si="944"/>
        <v>1</v>
      </c>
      <c r="M593" s="24">
        <f t="shared" si="945"/>
        <v>0</v>
      </c>
      <c r="N593" s="26">
        <f>VLOOKUP($C593,COS!$B$8:$H$991,5,FALSE)</f>
        <v>673.447265625</v>
      </c>
      <c r="O593" s="26">
        <f t="shared" si="946"/>
        <v>41.408658316115705</v>
      </c>
      <c r="P593" s="26">
        <f>VLOOKUP($C593,COS!$B$8:$H$991,6,FALSE)</f>
        <v>2521.474853515625</v>
      </c>
      <c r="Q593" s="26">
        <f t="shared" si="947"/>
        <v>155.0394455384814</v>
      </c>
      <c r="R593" s="26">
        <f>MIN(IF(MONTH($C593)=4,$S$3,IF(MONTH($C593)=5,$S$4,IF(MONTH($C593)=6,$S$5,IF(MONTH($C593)=7,$S$6,"ERROR")))),MAX(VLOOKUP($C593,COS!$B$8:$K$991,10,FALSE)-IF(MONTH($C593)=4,$Y$3,IF(MONTH($C593)=5,$Y$4,IF(MONTH($C593)=6,$Y$5,IF(MONTH($C593)=7,$Y$6,"ERROR")))),0),MAX(VLOOKUP($C593,COS!$B$8:$K$991,9,FALSE)-IF(MONTH($C593)=4,$V$3,IF(MONTH($C593)=5,$V$4,IF(MONTH($C593)=6,$V$5,IF(MONTH($C593)=7,$V$6,"ERROR"))))-VLOOKUP($C593,COS!$B$8:$K$991,6,FALSE)/2,0))</f>
        <v>1500</v>
      </c>
      <c r="S593" s="26">
        <f t="shared" si="948"/>
        <v>92.231404958677686</v>
      </c>
      <c r="T593" s="26">
        <f t="shared" si="949"/>
        <v>190.45545688597622</v>
      </c>
      <c r="U593" s="26" t="str">
        <f>IF(VLOOKUP($C593,COS!$B$8:$I$991,8,FALSE)=1,"UWFE","IBU")</f>
        <v>IBU</v>
      </c>
      <c r="V593" s="26">
        <f t="shared" ref="V593" si="954">MIN(IF(IF($AA$3=2,AND(E593=1,G593=1,L593=1,L595=1,M593=1,U593="IBU"),AND(E593=1,G593=1,L593=1,L595=1,M593=1)),T593,0),I593)</f>
        <v>0</v>
      </c>
      <c r="W593" s="26"/>
      <c r="X593" s="26"/>
      <c r="Y593" s="26"/>
      <c r="Z593" s="26"/>
      <c r="AA593" s="26"/>
      <c r="AB593" s="33"/>
    </row>
    <row r="594" spans="1:28" x14ac:dyDescent="0.3">
      <c r="A594" s="32">
        <f>VLOOKUP(YEAR(C594),Flags!$A$13:$B$95,2,FALSE)</f>
        <v>1</v>
      </c>
      <c r="B594" s="24">
        <f t="shared" si="951"/>
        <v>1986</v>
      </c>
      <c r="C594" s="25">
        <v>31655</v>
      </c>
      <c r="D594" s="26"/>
      <c r="E594" s="24"/>
      <c r="F594" s="26"/>
      <c r="G594" s="24"/>
      <c r="H594" s="24"/>
      <c r="I594" s="26"/>
      <c r="J594" s="24"/>
      <c r="K594" s="26"/>
      <c r="L594" s="24"/>
      <c r="M594" s="24"/>
      <c r="N594" s="26"/>
      <c r="O594" s="26"/>
      <c r="P594" s="26"/>
      <c r="Q594" s="26"/>
      <c r="R594" s="26"/>
      <c r="S594" s="26"/>
      <c r="T594" s="26"/>
      <c r="U594" s="26"/>
      <c r="V594" s="26"/>
      <c r="W594" s="26">
        <f>MAX($C$7-VLOOKUP($C594,COS!$B$8:$H$991,3,FALSE),0)</f>
        <v>2770.2431640625</v>
      </c>
      <c r="X594" s="26">
        <f t="shared" si="870"/>
        <v>170.33561273243802</v>
      </c>
      <c r="Y594" s="26">
        <f>VLOOKUP($C594,COS!$B$8:$H$991,4,FALSE)</f>
        <v>387.97982788085938</v>
      </c>
      <c r="Z594" s="26">
        <f t="shared" si="871"/>
        <v>23.855949747385072</v>
      </c>
      <c r="AA594" s="26">
        <f t="shared" ref="AA594:AA598" si="955">MIN(W594,Y594)</f>
        <v>387.97982788085938</v>
      </c>
      <c r="AB594" s="33">
        <f t="shared" ref="AB594:AB652" si="956">AA594*DAY($C594)*86400/43560/1000*IF(MONTH($C594)=8,$P$3,IF(MONTH($C594)=9,$P$4,IF(MONTH($C594)=10,$P$5,IF(MONTH($C594)=11,$P$6,IF(MONTH($C594)=12,$P$7,NA())))))</f>
        <v>23.855949747385072</v>
      </c>
    </row>
    <row r="595" spans="1:28" x14ac:dyDescent="0.3">
      <c r="A595" s="32">
        <f>VLOOKUP(YEAR(C595),Flags!$A$13:$B$95,2,FALSE)</f>
        <v>1</v>
      </c>
      <c r="B595" s="24">
        <f t="shared" si="951"/>
        <v>1986</v>
      </c>
      <c r="C595" s="25">
        <v>31685</v>
      </c>
      <c r="D595" s="26"/>
      <c r="E595" s="24"/>
      <c r="F595" s="26"/>
      <c r="G595" s="24"/>
      <c r="H595" s="24"/>
      <c r="I595" s="26"/>
      <c r="J595" s="24"/>
      <c r="K595" s="26">
        <f>VLOOKUP($C595,COS!$B$8:$H$991,2,FALSE)</f>
        <v>2914.57763671875</v>
      </c>
      <c r="L595" s="24">
        <f t="shared" ref="L595" si="957">IF(AND(K595&gt;$I$7,K595&lt;$I$8),1,0)</f>
        <v>1</v>
      </c>
      <c r="M595" s="24"/>
      <c r="N595" s="26"/>
      <c r="O595" s="26"/>
      <c r="P595" s="26"/>
      <c r="Q595" s="26"/>
      <c r="R595" s="26"/>
      <c r="S595" s="26"/>
      <c r="T595" s="26"/>
      <c r="U595" s="26"/>
      <c r="V595" s="26"/>
      <c r="W595" s="26">
        <f>MAX($C$8-VLOOKUP($C595,COS!$B$8:$H$991,3,FALSE),0)</f>
        <v>0</v>
      </c>
      <c r="X595" s="26">
        <f t="shared" si="870"/>
        <v>0</v>
      </c>
      <c r="Y595" s="26">
        <f>VLOOKUP($C595,COS!$B$8:$H$991,4,FALSE)</f>
        <v>343.38613891601563</v>
      </c>
      <c r="Z595" s="26">
        <f t="shared" si="871"/>
        <v>20.432894216490187</v>
      </c>
      <c r="AA595" s="26">
        <f t="shared" si="955"/>
        <v>0</v>
      </c>
      <c r="AB595" s="33">
        <f t="shared" si="956"/>
        <v>0</v>
      </c>
    </row>
    <row r="596" spans="1:28" x14ac:dyDescent="0.3">
      <c r="A596" s="32">
        <f>VLOOKUP(YEAR(C596),Flags!$A$13:$B$95,2,FALSE)</f>
        <v>1</v>
      </c>
      <c r="B596" s="24">
        <f t="shared" si="951"/>
        <v>1986</v>
      </c>
      <c r="C596" s="25">
        <v>31716</v>
      </c>
      <c r="D596" s="26"/>
      <c r="E596" s="24"/>
      <c r="F596" s="26"/>
      <c r="G596" s="26"/>
      <c r="H596" s="26"/>
      <c r="I596" s="26"/>
      <c r="J596" s="26"/>
      <c r="K596" s="26"/>
      <c r="L596" s="24"/>
      <c r="M596" s="24"/>
      <c r="N596" s="26"/>
      <c r="O596" s="26"/>
      <c r="P596" s="26"/>
      <c r="Q596" s="26"/>
      <c r="R596" s="26"/>
      <c r="S596" s="26"/>
      <c r="T596" s="26"/>
      <c r="U596" s="26"/>
      <c r="V596" s="26"/>
      <c r="W596" s="26">
        <f>MAX($C$9-VLOOKUP($C596,COS!$B$8:$H$991,3,FALSE),0)</f>
        <v>0</v>
      </c>
      <c r="X596" s="26">
        <f t="shared" si="870"/>
        <v>0</v>
      </c>
      <c r="Y596" s="26">
        <f>VLOOKUP($C596,COS!$B$8:$H$991,4,FALSE)</f>
        <v>539.67193603515625</v>
      </c>
      <c r="Z596" s="26">
        <f t="shared" si="871"/>
        <v>33.183133918194734</v>
      </c>
      <c r="AA596" s="26">
        <f t="shared" si="955"/>
        <v>0</v>
      </c>
      <c r="AB596" s="33">
        <f t="shared" si="956"/>
        <v>0</v>
      </c>
    </row>
    <row r="597" spans="1:28" x14ac:dyDescent="0.3">
      <c r="A597" s="32">
        <f>VLOOKUP(YEAR(C597),Flags!$A$13:$B$95,2,FALSE)</f>
        <v>1</v>
      </c>
      <c r="B597" s="24">
        <f t="shared" si="951"/>
        <v>1986</v>
      </c>
      <c r="C597" s="25">
        <v>31746</v>
      </c>
      <c r="D597" s="26"/>
      <c r="E597" s="24"/>
      <c r="F597" s="26"/>
      <c r="G597" s="26"/>
      <c r="H597" s="26"/>
      <c r="I597" s="26"/>
      <c r="J597" s="26"/>
      <c r="K597" s="26"/>
      <c r="L597" s="24"/>
      <c r="M597" s="24"/>
      <c r="N597" s="26"/>
      <c r="O597" s="26"/>
      <c r="P597" s="26"/>
      <c r="Q597" s="26"/>
      <c r="R597" s="26"/>
      <c r="S597" s="26"/>
      <c r="T597" s="26"/>
      <c r="U597" s="26"/>
      <c r="V597" s="26"/>
      <c r="W597" s="26">
        <f>MAX($C$10-VLOOKUP($C597,COS!$B$8:$H$991,3,FALSE),0)</f>
        <v>0</v>
      </c>
      <c r="X597" s="26">
        <f t="shared" si="870"/>
        <v>0</v>
      </c>
      <c r="Y597" s="26">
        <f>VLOOKUP($C597,COS!$B$8:$H$991,4,FALSE)</f>
        <v>3081.6455078125</v>
      </c>
      <c r="Z597" s="26">
        <f t="shared" si="871"/>
        <v>183.37064178719007</v>
      </c>
      <c r="AA597" s="26">
        <f t="shared" si="955"/>
        <v>0</v>
      </c>
      <c r="AB597" s="33">
        <f t="shared" si="956"/>
        <v>0</v>
      </c>
    </row>
    <row r="598" spans="1:28" x14ac:dyDescent="0.3">
      <c r="A598" s="34">
        <f>VLOOKUP(YEAR(C598),Flags!$A$13:$B$95,2,FALSE)</f>
        <v>1</v>
      </c>
      <c r="B598" s="35">
        <f t="shared" si="951"/>
        <v>1986</v>
      </c>
      <c r="C598" s="36">
        <v>31777</v>
      </c>
      <c r="D598" s="37"/>
      <c r="E598" s="35"/>
      <c r="F598" s="37"/>
      <c r="G598" s="37"/>
      <c r="H598" s="37"/>
      <c r="I598" s="37"/>
      <c r="J598" s="37"/>
      <c r="K598" s="37"/>
      <c r="L598" s="35"/>
      <c r="M598" s="35"/>
      <c r="N598" s="37"/>
      <c r="O598" s="37"/>
      <c r="P598" s="37"/>
      <c r="Q598" s="37"/>
      <c r="R598" s="37"/>
      <c r="S598" s="37"/>
      <c r="T598" s="37"/>
      <c r="U598" s="37"/>
      <c r="V598" s="37"/>
      <c r="W598" s="37">
        <f>MAX($C$11-VLOOKUP($C598,COS!$B$8:$H$991,3,FALSE),0)</f>
        <v>664.515625</v>
      </c>
      <c r="X598" s="37">
        <f t="shared" si="870"/>
        <v>40.859473140495865</v>
      </c>
      <c r="Y598" s="37">
        <f>VLOOKUP($C598,COS!$B$8:$H$991,4,FALSE)</f>
        <v>442.69561767578125</v>
      </c>
      <c r="Z598" s="37">
        <f t="shared" si="871"/>
        <v>27.220292524857957</v>
      </c>
      <c r="AA598" s="37">
        <f t="shared" si="955"/>
        <v>442.69561767578125</v>
      </c>
      <c r="AB598" s="38">
        <f t="shared" si="956"/>
        <v>27.220292524857957</v>
      </c>
    </row>
    <row r="599" spans="1:28" x14ac:dyDescent="0.3">
      <c r="A599" s="27">
        <f>VLOOKUP(YEAR(C599),Flags!$A$13:$B$95,2,FALSE)</f>
        <v>4</v>
      </c>
      <c r="B599" s="28">
        <f t="shared" si="951"/>
        <v>1987</v>
      </c>
      <c r="C599" s="29">
        <v>31897</v>
      </c>
      <c r="D599" s="30">
        <f>VLOOKUP($C599,COS!$B$8:$H$991,3,FALSE)</f>
        <v>5294.4443359375</v>
      </c>
      <c r="E599" s="28">
        <f>IF(D599&gt;=IF(MONTH($C599)=4,$C$3,IF(MONTH($C599)=5,$C$4,IF(MONTH($C599)=6,$C$5,IF(MONTH($C599)=7,$C$6,"ERROR")))),1,0)</f>
        <v>0</v>
      </c>
      <c r="F599" s="30">
        <f>VLOOKUP($C599,COS!$B$8:$H$991,7,FALSE)</f>
        <v>50.914810180664063</v>
      </c>
      <c r="G599" s="28">
        <f>IF(F599&lt;=IF(MONTH($C599)=4,$F$3,IF(MONTH($C599)=5,$F$4,IF(MONTH($C599)=6,$F$5,IF(MONTH($C599)=7,$F$6,"ERROR")))),1,0)</f>
        <v>1</v>
      </c>
      <c r="H599" s="30">
        <f>IF(J599=1,D599-$C$3,0)</f>
        <v>0</v>
      </c>
      <c r="I599" s="30">
        <f t="shared" si="872"/>
        <v>0</v>
      </c>
      <c r="J599" s="28">
        <f t="shared" ref="J599:J602" si="958">IF(AND(E599=1,G599=1),1,0)</f>
        <v>0</v>
      </c>
      <c r="K599" s="30">
        <f>VLOOKUP($C599,COS!$B$8:$H$991,2,FALSE)</f>
        <v>3623.035888671875</v>
      </c>
      <c r="L599" s="28">
        <f t="shared" ref="L599" si="959">IF(K599&lt;=IF(MONTH($C599)=4,$I$3,IF(MONTH($C599)=5,$I$4,IF(MONTH($C599)=6,$I$5,IF(MONTH($C599)=7,$I$6,"ERROR")))),1,0)</f>
        <v>1</v>
      </c>
      <c r="M599" s="28">
        <f t="shared" ref="M599" si="960">VLOOKUP($A599,$L$3:$M$7,2,FALSE)</f>
        <v>1</v>
      </c>
      <c r="N599" s="30">
        <f>VLOOKUP($C599,COS!$B$8:$H$991,5,FALSE)</f>
        <v>182.17179870605469</v>
      </c>
      <c r="O599" s="30">
        <f t="shared" ref="O599:O602" si="961">N599*DAY($C599)*86400/43560/1000</f>
        <v>10.839974799037966</v>
      </c>
      <c r="P599" s="30">
        <f>VLOOKUP($C599,COS!$B$8:$H$991,6,FALSE)</f>
        <v>465.95361328125</v>
      </c>
      <c r="Q599" s="30">
        <f t="shared" ref="Q599:Q602" si="962">P599*DAY($C599)*86400/43560/1000</f>
        <v>27.72616541838843</v>
      </c>
      <c r="R599" s="30">
        <f>MIN(IF(MONTH($C599)=4,$S$3,IF(MONTH($C599)=5,$S$4,IF(MONTH($C599)=6,$S$5,IF(MONTH($C599)=7,$S$6,"ERROR")))),MAX(VLOOKUP($C599,COS!$B$8:$K$991,10,FALSE)-IF(MONTH($C599)=4,$Y$3,IF(MONTH($C599)=5,$Y$4,IF(MONTH($C599)=6,$Y$5,IF(MONTH($C599)=7,$Y$6,"ERROR")))),0),MAX(VLOOKUP($C599,COS!$B$8:$K$991,9,FALSE)-IF(MONTH($C599)=4,$V$3,IF(MONTH($C599)=5,$V$4,IF(MONTH($C599)=6,$V$5,IF(MONTH($C599)=7,$V$6,"ERROR"))))-VLOOKUP($C599,COS!$B$8:$K$991,6,FALSE)/2,0))</f>
        <v>1500</v>
      </c>
      <c r="S599" s="30">
        <f t="shared" ref="S599:S602" si="963">R599*DAY($C599)*86400/43560/1000</f>
        <v>89.256198347107429</v>
      </c>
      <c r="T599" s="30">
        <f t="shared" ref="T599:T602" si="964">(O599+Q599)/2+S599</f>
        <v>108.53926845582063</v>
      </c>
      <c r="U599" s="30" t="str">
        <f>IF(VLOOKUP($C599,COS!$B$8:$I$991,8,FALSE)=1,"UWFE","IBU")</f>
        <v>UWFE</v>
      </c>
      <c r="V599" s="30">
        <f t="shared" ref="V599" si="965">MIN(IF(IF($AA$3=2,AND(E599=1,G599=1,L599=1,L604=1,M599=1,U599="IBU"),AND(E599=1,G599=1,L599=1,L604=1,M599=1)),T599,0),I599)</f>
        <v>0</v>
      </c>
      <c r="W599" s="30"/>
      <c r="X599" s="30"/>
      <c r="Y599" s="30"/>
      <c r="Z599" s="30"/>
      <c r="AA599" s="30"/>
      <c r="AB599" s="31"/>
    </row>
    <row r="600" spans="1:28" x14ac:dyDescent="0.3">
      <c r="A600" s="32">
        <f>VLOOKUP(YEAR(C600),Flags!$A$13:$B$95,2,FALSE)</f>
        <v>4</v>
      </c>
      <c r="B600" s="24">
        <f t="shared" si="951"/>
        <v>1987</v>
      </c>
      <c r="C600" s="25">
        <v>31928</v>
      </c>
      <c r="D600" s="26">
        <f>VLOOKUP($C600,COS!$B$8:$H$991,3,FALSE)</f>
        <v>9427.30078125</v>
      </c>
      <c r="E600" s="24">
        <f>IF(D600&gt;=IF(MONTH($C600)=4,$C$3,IF(MONTH($C600)=5,$C$4,IF(MONTH($C600)=6,$C$5,IF(MONTH($C600)=7,$C$6,"ERROR")))),1,0)</f>
        <v>1</v>
      </c>
      <c r="F600" s="26">
        <f>VLOOKUP($C600,COS!$B$8:$H$991,7,FALSE)</f>
        <v>50.738330841064453</v>
      </c>
      <c r="G600" s="24">
        <f>IF(F600&lt;=IF(MONTH($C600)=4,$F$3,IF(MONTH($C600)=5,$F$4,IF(MONTH($C600)=6,$F$5,IF(MONTH($C600)=7,$F$6,"ERROR")))),1,0)</f>
        <v>1</v>
      </c>
      <c r="H600" s="26">
        <f>IF(J600=1,D600-$C$4,0)</f>
        <v>3427.30078125</v>
      </c>
      <c r="I600" s="26">
        <f t="shared" si="872"/>
        <v>210.73651084710744</v>
      </c>
      <c r="J600" s="24">
        <f t="shared" si="958"/>
        <v>1</v>
      </c>
      <c r="K600" s="26">
        <f>VLOOKUP($C600,COS!$B$8:$H$991,2,FALSE)</f>
        <v>3278.966796875</v>
      </c>
      <c r="L600" s="24">
        <f t="shared" si="944"/>
        <v>1</v>
      </c>
      <c r="M600" s="24">
        <f t="shared" si="945"/>
        <v>1</v>
      </c>
      <c r="N600" s="26">
        <f>VLOOKUP($C600,COS!$B$8:$H$991,5,FALSE)</f>
        <v>250.50456237792969</v>
      </c>
      <c r="O600" s="26">
        <f t="shared" si="961"/>
        <v>15.402925157783447</v>
      </c>
      <c r="P600" s="26">
        <f>VLOOKUP($C600,COS!$B$8:$H$991,6,FALSE)</f>
        <v>2345.609619140625</v>
      </c>
      <c r="Q600" s="26">
        <f t="shared" si="962"/>
        <v>144.22591377195246</v>
      </c>
      <c r="R600" s="26">
        <f>MIN(IF(MONTH($C600)=4,$S$3,IF(MONTH($C600)=5,$S$4,IF(MONTH($C600)=6,$S$5,IF(MONTH($C600)=7,$S$6,"ERROR")))),MAX(VLOOKUP($C600,COS!$B$8:$K$991,10,FALSE)-IF(MONTH($C600)=4,$Y$3,IF(MONTH($C600)=5,$Y$4,IF(MONTH($C600)=6,$Y$5,IF(MONTH($C600)=7,$Y$6,"ERROR")))),0),MAX(VLOOKUP($C600,COS!$B$8:$K$991,9,FALSE)-IF(MONTH($C600)=4,$V$3,IF(MONTH($C600)=5,$V$4,IF(MONTH($C600)=6,$V$5,IF(MONTH($C600)=7,$V$6,"ERROR"))))-VLOOKUP($C600,COS!$B$8:$K$991,6,FALSE)/2,0))</f>
        <v>1500</v>
      </c>
      <c r="S600" s="26">
        <f t="shared" si="963"/>
        <v>92.231404958677686</v>
      </c>
      <c r="T600" s="26">
        <f t="shared" si="964"/>
        <v>172.04582442354564</v>
      </c>
      <c r="U600" s="26" t="str">
        <f>IF(VLOOKUP($C600,COS!$B$8:$I$991,8,FALSE)=1,"UWFE","IBU")</f>
        <v>IBU</v>
      </c>
      <c r="V600" s="26">
        <f t="shared" ref="V600" si="966">MIN(IF(IF($AA$3=2,AND(E600=1,G600=1,L600=1,L604=1,M600=1,U600="IBU"),AND(E600=1,G600=1,L600=1,L604=1,M600=1)),T600,0),I600)</f>
        <v>172.04582442354564</v>
      </c>
      <c r="W600" s="26"/>
      <c r="X600" s="26"/>
      <c r="Y600" s="26"/>
      <c r="Z600" s="26"/>
      <c r="AA600" s="26"/>
      <c r="AB600" s="33"/>
    </row>
    <row r="601" spans="1:28" x14ac:dyDescent="0.3">
      <c r="A601" s="32">
        <f>VLOOKUP(YEAR(C601),Flags!$A$13:$B$95,2,FALSE)</f>
        <v>4</v>
      </c>
      <c r="B601" s="24">
        <f t="shared" si="951"/>
        <v>1987</v>
      </c>
      <c r="C601" s="25">
        <v>31958</v>
      </c>
      <c r="D601" s="26">
        <f>VLOOKUP($C601,COS!$B$8:$H$991,3,FALSE)</f>
        <v>12915.80859375</v>
      </c>
      <c r="E601" s="24">
        <f>IF(D601&gt;=IF(MONTH($C601)=4,$C$3,IF(MONTH($C601)=5,$C$4,IF(MONTH($C601)=6,$C$5,IF(MONTH($C601)=7,$C$6,"ERROR")))),1,0)</f>
        <v>1</v>
      </c>
      <c r="F601" s="26">
        <f>VLOOKUP($C601,COS!$B$8:$H$991,7,FALSE)</f>
        <v>52.064525604248047</v>
      </c>
      <c r="G601" s="24">
        <f>IF(F601&lt;=IF(MONTH($C601)=4,$F$3,IF(MONTH($C601)=5,$F$4,IF(MONTH($C601)=6,$F$5,IF(MONTH($C601)=7,$F$6,"ERROR")))),1,0)</f>
        <v>1</v>
      </c>
      <c r="H601" s="26">
        <f>IF(J601=1,D601-$C$5,0)</f>
        <v>2915.80859375</v>
      </c>
      <c r="I601" s="26">
        <f t="shared" si="872"/>
        <v>173.50266012396696</v>
      </c>
      <c r="J601" s="24">
        <f t="shared" si="958"/>
        <v>1</v>
      </c>
      <c r="K601" s="26">
        <f>VLOOKUP($C601,COS!$B$8:$H$991,2,FALSE)</f>
        <v>2849.214111328125</v>
      </c>
      <c r="L601" s="24">
        <f t="shared" si="944"/>
        <v>1</v>
      </c>
      <c r="M601" s="24">
        <f t="shared" si="945"/>
        <v>1</v>
      </c>
      <c r="N601" s="26">
        <f>VLOOKUP($C601,COS!$B$8:$H$991,5,FALSE)</f>
        <v>294.71493530273438</v>
      </c>
      <c r="O601" s="26">
        <f t="shared" si="961"/>
        <v>17.536756480823865</v>
      </c>
      <c r="P601" s="26">
        <f>VLOOKUP($C601,COS!$B$8:$H$991,6,FALSE)</f>
        <v>2714.961669921875</v>
      </c>
      <c r="Q601" s="26">
        <f t="shared" si="962"/>
        <v>161.55143821022727</v>
      </c>
      <c r="R601" s="26">
        <f>MIN(IF(MONTH($C601)=4,$S$3,IF(MONTH($C601)=5,$S$4,IF(MONTH($C601)=6,$S$5,IF(MONTH($C601)=7,$S$6,"ERROR")))),MAX(VLOOKUP($C601,COS!$B$8:$K$991,10,FALSE)-IF(MONTH($C601)=4,$Y$3,IF(MONTH($C601)=5,$Y$4,IF(MONTH($C601)=6,$Y$5,IF(MONTH($C601)=7,$Y$6,"ERROR")))),0),MAX(VLOOKUP($C601,COS!$B$8:$K$991,9,FALSE)-IF(MONTH($C601)=4,$V$3,IF(MONTH($C601)=5,$V$4,IF(MONTH($C601)=6,$V$5,IF(MONTH($C601)=7,$V$6,"ERROR"))))-VLOOKUP($C601,COS!$B$8:$K$991,6,FALSE)/2,0))</f>
        <v>1500</v>
      </c>
      <c r="S601" s="26">
        <f t="shared" si="963"/>
        <v>89.256198347107429</v>
      </c>
      <c r="T601" s="26">
        <f t="shared" si="964"/>
        <v>178.800295692633</v>
      </c>
      <c r="U601" s="26" t="str">
        <f>IF(VLOOKUP($C601,COS!$B$8:$I$991,8,FALSE)=1,"UWFE","IBU")</f>
        <v>IBU</v>
      </c>
      <c r="V601" s="26">
        <f t="shared" ref="V601" si="967">MIN(IF(IF($AA$3=2,AND(E601=1,G601=1,L601=1,L604=1,M601=1,U601="IBU"),AND(E601=1,G601=1,L601=1,L604=1,M601=1)),T601,0),I601)</f>
        <v>173.50266012396696</v>
      </c>
      <c r="W601" s="26"/>
      <c r="X601" s="26"/>
      <c r="Y601" s="26"/>
      <c r="Z601" s="26"/>
      <c r="AA601" s="26"/>
      <c r="AB601" s="33"/>
    </row>
    <row r="602" spans="1:28" x14ac:dyDescent="0.3">
      <c r="A602" s="32">
        <f>VLOOKUP(YEAR(C602),Flags!$A$13:$B$95,2,FALSE)</f>
        <v>4</v>
      </c>
      <c r="B602" s="24">
        <f t="shared" si="951"/>
        <v>1987</v>
      </c>
      <c r="C602" s="25">
        <v>31989</v>
      </c>
      <c r="D602" s="26">
        <f>VLOOKUP($C602,COS!$B$8:$H$991,3,FALSE)</f>
        <v>12279.78515625</v>
      </c>
      <c r="E602" s="24">
        <f>IF(D602&gt;=IF(MONTH($C602)=4,$C$3,IF(MONTH($C602)=5,$C$4,IF(MONTH($C602)=6,$C$5,IF(MONTH($C602)=7,$C$6,"ERROR")))),1,0)</f>
        <v>1</v>
      </c>
      <c r="F602" s="26">
        <f>VLOOKUP($C602,COS!$B$8:$H$991,7,FALSE)</f>
        <v>53.705059051513672</v>
      </c>
      <c r="G602" s="24">
        <f>IF(F602&lt;=IF(MONTH($C602)=4,$F$3,IF(MONTH($C602)=5,$F$4,IF(MONTH($C602)=6,$F$5,IF(MONTH($C602)=7,$F$6,"ERROR")))),1,0)</f>
        <v>0</v>
      </c>
      <c r="H602" s="26">
        <f>IF(J602=1,D602-$C$6,0)</f>
        <v>0</v>
      </c>
      <c r="I602" s="26">
        <f t="shared" si="872"/>
        <v>0</v>
      </c>
      <c r="J602" s="24">
        <f t="shared" si="958"/>
        <v>0</v>
      </c>
      <c r="K602" s="26">
        <f>VLOOKUP($C602,COS!$B$8:$H$991,2,FALSE)</f>
        <v>2473.188232421875</v>
      </c>
      <c r="L602" s="24">
        <f t="shared" si="944"/>
        <v>1</v>
      </c>
      <c r="M602" s="24">
        <f t="shared" si="945"/>
        <v>1</v>
      </c>
      <c r="N602" s="26">
        <f>VLOOKUP($C602,COS!$B$8:$H$991,5,FALSE)</f>
        <v>320.8253173828125</v>
      </c>
      <c r="O602" s="26">
        <f t="shared" si="961"/>
        <v>19.726779845686984</v>
      </c>
      <c r="P602" s="26">
        <f>VLOOKUP($C602,COS!$B$8:$H$991,6,FALSE)</f>
        <v>2538.07568359375</v>
      </c>
      <c r="Q602" s="26">
        <f t="shared" si="962"/>
        <v>156.06019079287191</v>
      </c>
      <c r="R602" s="26">
        <f>MIN(IF(MONTH($C602)=4,$S$3,IF(MONTH($C602)=5,$S$4,IF(MONTH($C602)=6,$S$5,IF(MONTH($C602)=7,$S$6,"ERROR")))),MAX(VLOOKUP($C602,COS!$B$8:$K$991,10,FALSE)-IF(MONTH($C602)=4,$Y$3,IF(MONTH($C602)=5,$Y$4,IF(MONTH($C602)=6,$Y$5,IF(MONTH($C602)=7,$Y$6,"ERROR")))),0),MAX(VLOOKUP($C602,COS!$B$8:$K$991,9,FALSE)-IF(MONTH($C602)=4,$V$3,IF(MONTH($C602)=5,$V$4,IF(MONTH($C602)=6,$V$5,IF(MONTH($C602)=7,$V$6,"ERROR"))))-VLOOKUP($C602,COS!$B$8:$K$991,6,FALSE)/2,0))</f>
        <v>1500</v>
      </c>
      <c r="S602" s="26">
        <f t="shared" si="963"/>
        <v>92.231404958677686</v>
      </c>
      <c r="T602" s="26">
        <f t="shared" si="964"/>
        <v>180.12489027795715</v>
      </c>
      <c r="U602" s="26" t="str">
        <f>IF(VLOOKUP($C602,COS!$B$8:$I$991,8,FALSE)=1,"UWFE","IBU")</f>
        <v>IBU</v>
      </c>
      <c r="V602" s="26">
        <f t="shared" ref="V602" si="968">MIN(IF(IF($AA$3=2,AND(E602=1,G602=1,L602=1,L604=1,M602=1,U602="IBU"),AND(E602=1,G602=1,L602=1,L604=1,M602=1)),T602,0),I602)</f>
        <v>0</v>
      </c>
      <c r="W602" s="26"/>
      <c r="X602" s="26"/>
      <c r="Y602" s="26"/>
      <c r="Z602" s="26"/>
      <c r="AA602" s="26"/>
      <c r="AB602" s="33"/>
    </row>
    <row r="603" spans="1:28" x14ac:dyDescent="0.3">
      <c r="A603" s="32">
        <f>VLOOKUP(YEAR(C603),Flags!$A$13:$B$95,2,FALSE)</f>
        <v>4</v>
      </c>
      <c r="B603" s="24">
        <f t="shared" si="951"/>
        <v>1987</v>
      </c>
      <c r="C603" s="25">
        <v>32020</v>
      </c>
      <c r="D603" s="26"/>
      <c r="E603" s="24"/>
      <c r="F603" s="26"/>
      <c r="G603" s="24"/>
      <c r="H603" s="24"/>
      <c r="I603" s="26"/>
      <c r="J603" s="24"/>
      <c r="K603" s="26"/>
      <c r="L603" s="24"/>
      <c r="M603" s="24"/>
      <c r="N603" s="26"/>
      <c r="O603" s="26"/>
      <c r="P603" s="26"/>
      <c r="Q603" s="26"/>
      <c r="R603" s="26"/>
      <c r="S603" s="26"/>
      <c r="T603" s="26"/>
      <c r="U603" s="26"/>
      <c r="V603" s="26"/>
      <c r="W603" s="26">
        <f>MAX($C$7-VLOOKUP($C603,COS!$B$8:$H$991,3,FALSE),0)</f>
        <v>4402.0830078125</v>
      </c>
      <c r="X603" s="26">
        <f t="shared" si="870"/>
        <v>270.67353370351242</v>
      </c>
      <c r="Y603" s="26">
        <f>VLOOKUP($C603,COS!$B$8:$H$991,4,FALSE)</f>
        <v>2881.91650390625</v>
      </c>
      <c r="Z603" s="26">
        <f t="shared" si="871"/>
        <v>177.20213875258267</v>
      </c>
      <c r="AA603" s="26">
        <f t="shared" ref="AA603:AA607" si="969">MIN(W603,Y603)</f>
        <v>2881.91650390625</v>
      </c>
      <c r="AB603" s="33">
        <f t="shared" ref="AB603" si="970">AA603*DAY($C603)*86400/43560/1000*IF(MONTH($C603)=8,$P$3,IF(MONTH($C603)=9,$P$4,IF(MONTH($C603)=10,$P$5,IF(MONTH($C603)=11,$P$6,IF(MONTH($C603)=12,$P$7,NA())))))</f>
        <v>177.20213875258267</v>
      </c>
    </row>
    <row r="604" spans="1:28" x14ac:dyDescent="0.3">
      <c r="A604" s="32">
        <f>VLOOKUP(YEAR(C604),Flags!$A$13:$B$95,2,FALSE)</f>
        <v>4</v>
      </c>
      <c r="B604" s="24">
        <f t="shared" si="951"/>
        <v>1987</v>
      </c>
      <c r="C604" s="25">
        <v>32050</v>
      </c>
      <c r="D604" s="26"/>
      <c r="E604" s="24"/>
      <c r="F604" s="26"/>
      <c r="G604" s="24"/>
      <c r="H604" s="24"/>
      <c r="I604" s="26"/>
      <c r="J604" s="24"/>
      <c r="K604" s="26">
        <f>VLOOKUP($C604,COS!$B$8:$H$991,2,FALSE)</f>
        <v>2192.67578125</v>
      </c>
      <c r="L604" s="24">
        <f t="shared" ref="L604" si="971">IF(AND(K604&gt;$I$7,K604&lt;$I$8),1,0)</f>
        <v>1</v>
      </c>
      <c r="M604" s="24"/>
      <c r="N604" s="26"/>
      <c r="O604" s="26"/>
      <c r="P604" s="26"/>
      <c r="Q604" s="26"/>
      <c r="R604" s="26"/>
      <c r="S604" s="26"/>
      <c r="T604" s="26"/>
      <c r="U604" s="26"/>
      <c r="V604" s="26"/>
      <c r="W604" s="26">
        <f>MAX($C$8-VLOOKUP($C604,COS!$B$8:$H$991,3,FALSE),0)</f>
        <v>662.54638671875</v>
      </c>
      <c r="X604" s="26">
        <f t="shared" si="870"/>
        <v>39.424247804752063</v>
      </c>
      <c r="Y604" s="26">
        <f>VLOOKUP($C604,COS!$B$8:$H$991,4,FALSE)</f>
        <v>1887.955078125</v>
      </c>
      <c r="Z604" s="26">
        <f t="shared" si="871"/>
        <v>112.34112861570247</v>
      </c>
      <c r="AA604" s="26">
        <f t="shared" si="969"/>
        <v>662.54638671875</v>
      </c>
      <c r="AB604" s="33">
        <f t="shared" si="956"/>
        <v>39.424247804752063</v>
      </c>
    </row>
    <row r="605" spans="1:28" x14ac:dyDescent="0.3">
      <c r="A605" s="32">
        <f>VLOOKUP(YEAR(C605),Flags!$A$13:$B$95,2,FALSE)</f>
        <v>4</v>
      </c>
      <c r="B605" s="24">
        <f t="shared" si="951"/>
        <v>1987</v>
      </c>
      <c r="C605" s="25">
        <v>32081</v>
      </c>
      <c r="D605" s="26"/>
      <c r="E605" s="24"/>
      <c r="F605" s="26"/>
      <c r="G605" s="26"/>
      <c r="H605" s="26"/>
      <c r="I605" s="26"/>
      <c r="J605" s="26"/>
      <c r="K605" s="26"/>
      <c r="L605" s="24"/>
      <c r="M605" s="24"/>
      <c r="N605" s="26"/>
      <c r="O605" s="26"/>
      <c r="P605" s="26"/>
      <c r="Q605" s="26"/>
      <c r="R605" s="26"/>
      <c r="S605" s="26"/>
      <c r="T605" s="26"/>
      <c r="U605" s="26"/>
      <c r="V605" s="26"/>
      <c r="W605" s="26">
        <f>MAX($C$9-VLOOKUP($C605,COS!$B$8:$H$991,3,FALSE),0)</f>
        <v>0</v>
      </c>
      <c r="X605" s="26">
        <f t="shared" si="870"/>
        <v>0</v>
      </c>
      <c r="Y605" s="26">
        <f>VLOOKUP($C605,COS!$B$8:$H$991,4,FALSE)</f>
        <v>1710.297119140625</v>
      </c>
      <c r="Z605" s="26">
        <f t="shared" si="871"/>
        <v>105.16207079674588</v>
      </c>
      <c r="AA605" s="26">
        <f t="shared" si="969"/>
        <v>0</v>
      </c>
      <c r="AB605" s="33">
        <f t="shared" si="956"/>
        <v>0</v>
      </c>
    </row>
    <row r="606" spans="1:28" x14ac:dyDescent="0.3">
      <c r="A606" s="32">
        <f>VLOOKUP(YEAR(C606),Flags!$A$13:$B$95,2,FALSE)</f>
        <v>4</v>
      </c>
      <c r="B606" s="24">
        <f t="shared" si="951"/>
        <v>1987</v>
      </c>
      <c r="C606" s="25">
        <v>32111</v>
      </c>
      <c r="D606" s="26"/>
      <c r="E606" s="24"/>
      <c r="F606" s="26"/>
      <c r="G606" s="26"/>
      <c r="H606" s="26"/>
      <c r="I606" s="26"/>
      <c r="J606" s="26"/>
      <c r="K606" s="26"/>
      <c r="L606" s="24"/>
      <c r="M606" s="24"/>
      <c r="N606" s="26"/>
      <c r="O606" s="26"/>
      <c r="P606" s="26"/>
      <c r="Q606" s="26"/>
      <c r="R606" s="26"/>
      <c r="S606" s="26"/>
      <c r="T606" s="26"/>
      <c r="U606" s="26"/>
      <c r="V606" s="26"/>
      <c r="W606" s="26">
        <f>MAX($C$10-VLOOKUP($C606,COS!$B$8:$H$991,3,FALSE),0)</f>
        <v>804.09228515625</v>
      </c>
      <c r="X606" s="26">
        <f t="shared" si="870"/>
        <v>47.846813662190087</v>
      </c>
      <c r="Y606" s="26">
        <f>VLOOKUP($C606,COS!$B$8:$H$991,4,FALSE)</f>
        <v>1824.783935546875</v>
      </c>
      <c r="Z606" s="26">
        <f t="shared" si="871"/>
        <v>108.58218459452479</v>
      </c>
      <c r="AA606" s="26">
        <f t="shared" si="969"/>
        <v>804.09228515625</v>
      </c>
      <c r="AB606" s="33">
        <f t="shared" si="956"/>
        <v>47.846813662190087</v>
      </c>
    </row>
    <row r="607" spans="1:28" x14ac:dyDescent="0.3">
      <c r="A607" s="34">
        <f>VLOOKUP(YEAR(C607),Flags!$A$13:$B$95,2,FALSE)</f>
        <v>4</v>
      </c>
      <c r="B607" s="35">
        <f t="shared" si="951"/>
        <v>1987</v>
      </c>
      <c r="C607" s="36">
        <v>32142</v>
      </c>
      <c r="D607" s="37"/>
      <c r="E607" s="35"/>
      <c r="F607" s="37"/>
      <c r="G607" s="37"/>
      <c r="H607" s="37"/>
      <c r="I607" s="37"/>
      <c r="J607" s="37"/>
      <c r="K607" s="37"/>
      <c r="L607" s="35"/>
      <c r="M607" s="35"/>
      <c r="N607" s="37"/>
      <c r="O607" s="37"/>
      <c r="P607" s="37"/>
      <c r="Q607" s="37"/>
      <c r="R607" s="37"/>
      <c r="S607" s="37"/>
      <c r="T607" s="37"/>
      <c r="U607" s="37"/>
      <c r="V607" s="37"/>
      <c r="W607" s="37">
        <f>MAX($C$11-VLOOKUP($C607,COS!$B$8:$H$991,3,FALSE),0)</f>
        <v>1750</v>
      </c>
      <c r="X607" s="37">
        <f t="shared" ref="X607:X670" si="972">W607*DAY($C607)*86400/43560/1000</f>
        <v>107.60330578512398</v>
      </c>
      <c r="Y607" s="37">
        <f>VLOOKUP($C607,COS!$B$8:$H$991,4,FALSE)</f>
        <v>906.1927490234375</v>
      </c>
      <c r="Z607" s="37">
        <f t="shared" ref="Z607:Z670" si="973">Y607*DAY($C607)*86400/43560/1000</f>
        <v>55.719620270532026</v>
      </c>
      <c r="AA607" s="37">
        <f t="shared" si="969"/>
        <v>906.1927490234375</v>
      </c>
      <c r="AB607" s="38">
        <f t="shared" si="956"/>
        <v>55.719620270532026</v>
      </c>
    </row>
    <row r="608" spans="1:28" x14ac:dyDescent="0.3">
      <c r="A608" s="27">
        <f>VLOOKUP(YEAR(C608),Flags!$A$13:$B$95,2,FALSE)</f>
        <v>5</v>
      </c>
      <c r="B608" s="28">
        <f t="shared" si="951"/>
        <v>1988</v>
      </c>
      <c r="C608" s="29">
        <v>32263</v>
      </c>
      <c r="D608" s="30">
        <f>VLOOKUP($C608,COS!$B$8:$H$991,3,FALSE)</f>
        <v>3250</v>
      </c>
      <c r="E608" s="28">
        <f>IF(D608&gt;=IF(MONTH($C608)=4,$C$3,IF(MONTH($C608)=5,$C$4,IF(MONTH($C608)=6,$C$5,IF(MONTH($C608)=7,$C$6,"ERROR")))),1,0)</f>
        <v>0</v>
      </c>
      <c r="F608" s="30">
        <f>VLOOKUP($C608,COS!$B$8:$H$991,7,FALSE)</f>
        <v>51.376628875732422</v>
      </c>
      <c r="G608" s="28">
        <f>IF(F608&lt;=IF(MONTH($C608)=4,$F$3,IF(MONTH($C608)=5,$F$4,IF(MONTH($C608)=6,$F$5,IF(MONTH($C608)=7,$F$6,"ERROR")))),1,0)</f>
        <v>1</v>
      </c>
      <c r="H608" s="30">
        <f>IF(J608=1,D608-$C$3,0)</f>
        <v>0</v>
      </c>
      <c r="I608" s="30">
        <f t="shared" si="872"/>
        <v>0</v>
      </c>
      <c r="J608" s="28">
        <f t="shared" ref="J608:J611" si="974">IF(AND(E608=1,G608=1),1,0)</f>
        <v>0</v>
      </c>
      <c r="K608" s="30">
        <f>VLOOKUP($C608,COS!$B$8:$H$991,2,FALSE)</f>
        <v>3432.6455078125</v>
      </c>
      <c r="L608" s="28">
        <f t="shared" ref="L608" si="975">IF(K608&lt;=IF(MONTH($C608)=4,$I$3,IF(MONTH($C608)=5,$I$4,IF(MONTH($C608)=6,$I$5,IF(MONTH($C608)=7,$I$6,"ERROR")))),1,0)</f>
        <v>1</v>
      </c>
      <c r="M608" s="28">
        <f t="shared" ref="M608" si="976">VLOOKUP($A608,$L$3:$M$7,2,FALSE)</f>
        <v>1</v>
      </c>
      <c r="N608" s="30">
        <f>VLOOKUP($C608,COS!$B$8:$H$991,5,FALSE)</f>
        <v>119.56303405761719</v>
      </c>
      <c r="O608" s="30">
        <f t="shared" ref="O608:O611" si="977">N608*DAY($C608)*86400/43560/1000</f>
        <v>7.1144945885524278</v>
      </c>
      <c r="P608" s="30">
        <f>VLOOKUP($C608,COS!$B$8:$H$991,6,FALSE)</f>
        <v>472.98532104492188</v>
      </c>
      <c r="Q608" s="30">
        <f t="shared" ref="Q608:Q611" si="978">P608*DAY($C608)*86400/43560/1000</f>
        <v>28.144581086970557</v>
      </c>
      <c r="R608" s="30">
        <f>MIN(IF(MONTH($C608)=4,$S$3,IF(MONTH($C608)=5,$S$4,IF(MONTH($C608)=6,$S$5,IF(MONTH($C608)=7,$S$6,"ERROR")))),MAX(VLOOKUP($C608,COS!$B$8:$K$991,10,FALSE)-IF(MONTH($C608)=4,$Y$3,IF(MONTH($C608)=5,$Y$4,IF(MONTH($C608)=6,$Y$5,IF(MONTH($C608)=7,$Y$6,"ERROR")))),0),MAX(VLOOKUP($C608,COS!$B$8:$K$991,9,FALSE)-IF(MONTH($C608)=4,$V$3,IF(MONTH($C608)=5,$V$4,IF(MONTH($C608)=6,$V$5,IF(MONTH($C608)=7,$V$6,"ERROR"))))-VLOOKUP($C608,COS!$B$8:$K$991,6,FALSE)/2,0))</f>
        <v>764.98193359375</v>
      </c>
      <c r="S608" s="30">
        <f t="shared" ref="S608:S611" si="979">R608*DAY($C608)*86400/43560/1000</f>
        <v>45.519586131198345</v>
      </c>
      <c r="T608" s="30">
        <f t="shared" ref="T608:T611" si="980">(O608+Q608)/2+S608</f>
        <v>63.149123968959842</v>
      </c>
      <c r="U608" s="30" t="str">
        <f>IF(VLOOKUP($C608,COS!$B$8:$I$991,8,FALSE)=1,"UWFE","IBU")</f>
        <v>UWFE</v>
      </c>
      <c r="V608" s="30">
        <f t="shared" ref="V608" si="981">MIN(IF(IF($AA$3=2,AND(E608=1,G608=1,L608=1,L613=1,M608=1,U608="IBU"),AND(E608=1,G608=1,L608=1,L613=1,M608=1)),T608,0),I608)</f>
        <v>0</v>
      </c>
      <c r="W608" s="30"/>
      <c r="X608" s="30"/>
      <c r="Y608" s="30"/>
      <c r="Z608" s="30"/>
      <c r="AA608" s="30"/>
      <c r="AB608" s="31"/>
    </row>
    <row r="609" spans="1:28" x14ac:dyDescent="0.3">
      <c r="A609" s="32">
        <f>VLOOKUP(YEAR(C609),Flags!$A$13:$B$95,2,FALSE)</f>
        <v>5</v>
      </c>
      <c r="B609" s="24">
        <f t="shared" si="951"/>
        <v>1988</v>
      </c>
      <c r="C609" s="25">
        <v>32294</v>
      </c>
      <c r="D609" s="26">
        <f>VLOOKUP($C609,COS!$B$8:$H$991,3,FALSE)</f>
        <v>6883.46142578125</v>
      </c>
      <c r="E609" s="24">
        <f>IF(D609&gt;=IF(MONTH($C609)=4,$C$3,IF(MONTH($C609)=5,$C$4,IF(MONTH($C609)=6,$C$5,IF(MONTH($C609)=7,$C$6,"ERROR")))),1,0)</f>
        <v>1</v>
      </c>
      <c r="F609" s="26">
        <f>VLOOKUP($C609,COS!$B$8:$H$991,7,FALSE)</f>
        <v>51.008148193359375</v>
      </c>
      <c r="G609" s="24">
        <f>IF(F609&lt;=IF(MONTH($C609)=4,$F$3,IF(MONTH($C609)=5,$F$4,IF(MONTH($C609)=6,$F$5,IF(MONTH($C609)=7,$F$6,"ERROR")))),1,0)</f>
        <v>1</v>
      </c>
      <c r="H609" s="26">
        <f>IF(J609=1,D609-$C$4,0)</f>
        <v>883.46142578125</v>
      </c>
      <c r="I609" s="26">
        <f t="shared" ref="I609:I672" si="982">H609*DAY($C609)*86400/43560/1000</f>
        <v>54.321925684400824</v>
      </c>
      <c r="J609" s="24">
        <f t="shared" si="974"/>
        <v>1</v>
      </c>
      <c r="K609" s="26">
        <f>VLOOKUP($C609,COS!$B$8:$H$991,2,FALSE)</f>
        <v>3330.71044921875</v>
      </c>
      <c r="L609" s="24">
        <f t="shared" si="944"/>
        <v>1</v>
      </c>
      <c r="M609" s="24">
        <f t="shared" si="945"/>
        <v>1</v>
      </c>
      <c r="N609" s="26">
        <f>VLOOKUP($C609,COS!$B$8:$H$991,5,FALSE)</f>
        <v>152.79158020019531</v>
      </c>
      <c r="O609" s="26">
        <f t="shared" si="977"/>
        <v>9.3947880718136627</v>
      </c>
      <c r="P609" s="26">
        <f>VLOOKUP($C609,COS!$B$8:$H$991,6,FALSE)</f>
        <v>2086.376220703125</v>
      </c>
      <c r="Q609" s="26">
        <f t="shared" si="978"/>
        <v>128.28627340521695</v>
      </c>
      <c r="R609" s="26">
        <f>MIN(IF(MONTH($C609)=4,$S$3,IF(MONTH($C609)=5,$S$4,IF(MONTH($C609)=6,$S$5,IF(MONTH($C609)=7,$S$6,"ERROR")))),MAX(VLOOKUP($C609,COS!$B$8:$K$991,10,FALSE)-IF(MONTH($C609)=4,$Y$3,IF(MONTH($C609)=5,$Y$4,IF(MONTH($C609)=6,$Y$5,IF(MONTH($C609)=7,$Y$6,"ERROR")))),0),MAX(VLOOKUP($C609,COS!$B$8:$K$991,9,FALSE)-IF(MONTH($C609)=4,$V$3,IF(MONTH($C609)=5,$V$4,IF(MONTH($C609)=6,$V$5,IF(MONTH($C609)=7,$V$6,"ERROR"))))-VLOOKUP($C609,COS!$B$8:$K$991,6,FALSE)/2,0))</f>
        <v>1500</v>
      </c>
      <c r="S609" s="26">
        <f t="shared" si="979"/>
        <v>92.231404958677686</v>
      </c>
      <c r="T609" s="26">
        <f t="shared" si="980"/>
        <v>161.071935697193</v>
      </c>
      <c r="U609" s="26" t="str">
        <f>IF(VLOOKUP($C609,COS!$B$8:$I$991,8,FALSE)=1,"UWFE","IBU")</f>
        <v>IBU</v>
      </c>
      <c r="V609" s="26">
        <f t="shared" ref="V609" si="983">MIN(IF(IF($AA$3=2,AND(E609=1,G609=1,L609=1,L613=1,M609=1,U609="IBU"),AND(E609=1,G609=1,L609=1,L613=1,M609=1)),T609,0),I609)</f>
        <v>54.321925684400824</v>
      </c>
      <c r="W609" s="26"/>
      <c r="X609" s="26"/>
      <c r="Y609" s="26"/>
      <c r="Z609" s="26"/>
      <c r="AA609" s="26"/>
      <c r="AB609" s="33"/>
    </row>
    <row r="610" spans="1:28" x14ac:dyDescent="0.3">
      <c r="A610" s="32">
        <f>VLOOKUP(YEAR(C610),Flags!$A$13:$B$95,2,FALSE)</f>
        <v>5</v>
      </c>
      <c r="B610" s="24">
        <f t="shared" si="951"/>
        <v>1988</v>
      </c>
      <c r="C610" s="25">
        <v>32324</v>
      </c>
      <c r="D610" s="26">
        <f>VLOOKUP($C610,COS!$B$8:$H$991,3,FALSE)</f>
        <v>10946.3818359375</v>
      </c>
      <c r="E610" s="24">
        <f>IF(D610&gt;=IF(MONTH($C610)=4,$C$3,IF(MONTH($C610)=5,$C$4,IF(MONTH($C610)=6,$C$5,IF(MONTH($C610)=7,$C$6,"ERROR")))),1,0)</f>
        <v>1</v>
      </c>
      <c r="F610" s="26">
        <f>VLOOKUP($C610,COS!$B$8:$H$991,7,FALSE)</f>
        <v>51.772979736328125</v>
      </c>
      <c r="G610" s="24">
        <f>IF(F610&lt;=IF(MONTH($C610)=4,$F$3,IF(MONTH($C610)=5,$F$4,IF(MONTH($C610)=6,$F$5,IF(MONTH($C610)=7,$F$6,"ERROR")))),1,0)</f>
        <v>1</v>
      </c>
      <c r="H610" s="26">
        <f>IF(J610=1,D610-$C$5,0)</f>
        <v>946.3818359375</v>
      </c>
      <c r="I610" s="26">
        <f t="shared" si="982"/>
        <v>56.31362990702479</v>
      </c>
      <c r="J610" s="24">
        <f t="shared" si="974"/>
        <v>1</v>
      </c>
      <c r="K610" s="26">
        <f>VLOOKUP($C610,COS!$B$8:$H$991,2,FALSE)</f>
        <v>2960.935791015625</v>
      </c>
      <c r="L610" s="24">
        <f t="shared" si="944"/>
        <v>1</v>
      </c>
      <c r="M610" s="24">
        <f t="shared" si="945"/>
        <v>1</v>
      </c>
      <c r="N610" s="26">
        <f>VLOOKUP($C610,COS!$B$8:$H$991,5,FALSE)</f>
        <v>203.79988098144531</v>
      </c>
      <c r="O610" s="26">
        <f t="shared" si="977"/>
        <v>12.126935066664515</v>
      </c>
      <c r="P610" s="26">
        <f>VLOOKUP($C610,COS!$B$8:$H$991,6,FALSE)</f>
        <v>2416.343017578125</v>
      </c>
      <c r="Q610" s="26">
        <f t="shared" si="978"/>
        <v>143.78239443440083</v>
      </c>
      <c r="R610" s="26">
        <f>MIN(IF(MONTH($C610)=4,$S$3,IF(MONTH($C610)=5,$S$4,IF(MONTH($C610)=6,$S$5,IF(MONTH($C610)=7,$S$6,"ERROR")))),MAX(VLOOKUP($C610,COS!$B$8:$K$991,10,FALSE)-IF(MONTH($C610)=4,$Y$3,IF(MONTH($C610)=5,$Y$4,IF(MONTH($C610)=6,$Y$5,IF(MONTH($C610)=7,$Y$6,"ERROR")))),0),MAX(VLOOKUP($C610,COS!$B$8:$K$991,9,FALSE)-IF(MONTH($C610)=4,$V$3,IF(MONTH($C610)=5,$V$4,IF(MONTH($C610)=6,$V$5,IF(MONTH($C610)=7,$V$6,"ERROR"))))-VLOOKUP($C610,COS!$B$8:$K$991,6,FALSE)/2,0))</f>
        <v>1500</v>
      </c>
      <c r="S610" s="26">
        <f t="shared" si="979"/>
        <v>89.256198347107429</v>
      </c>
      <c r="T610" s="26">
        <f t="shared" si="980"/>
        <v>167.2108630976401</v>
      </c>
      <c r="U610" s="26" t="str">
        <f>IF(VLOOKUP($C610,COS!$B$8:$I$991,8,FALSE)=1,"UWFE","IBU")</f>
        <v>IBU</v>
      </c>
      <c r="V610" s="26">
        <f t="shared" ref="V610" si="984">MIN(IF(IF($AA$3=2,AND(E610=1,G610=1,L610=1,L613=1,M610=1,U610="IBU"),AND(E610=1,G610=1,L610=1,L613=1,M610=1)),T610,0),I610)</f>
        <v>56.31362990702479</v>
      </c>
      <c r="W610" s="26"/>
      <c r="X610" s="26"/>
      <c r="Y610" s="26"/>
      <c r="Z610" s="26"/>
      <c r="AA610" s="26"/>
      <c r="AB610" s="33"/>
    </row>
    <row r="611" spans="1:28" x14ac:dyDescent="0.3">
      <c r="A611" s="32">
        <f>VLOOKUP(YEAR(C611),Flags!$A$13:$B$95,2,FALSE)</f>
        <v>5</v>
      </c>
      <c r="B611" s="24">
        <f t="shared" si="951"/>
        <v>1988</v>
      </c>
      <c r="C611" s="25">
        <v>32355</v>
      </c>
      <c r="D611" s="26">
        <f>VLOOKUP($C611,COS!$B$8:$H$991,3,FALSE)</f>
        <v>11770.708984375</v>
      </c>
      <c r="E611" s="24">
        <f>IF(D611&gt;=IF(MONTH($C611)=4,$C$3,IF(MONTH($C611)=5,$C$4,IF(MONTH($C611)=6,$C$5,IF(MONTH($C611)=7,$C$6,"ERROR")))),1,0)</f>
        <v>0</v>
      </c>
      <c r="F611" s="26">
        <f>VLOOKUP($C611,COS!$B$8:$H$991,7,FALSE)</f>
        <v>53.894107818603516</v>
      </c>
      <c r="G611" s="24">
        <f>IF(F611&lt;=IF(MONTH($C611)=4,$F$3,IF(MONTH($C611)=5,$F$4,IF(MONTH($C611)=6,$F$5,IF(MONTH($C611)=7,$F$6,"ERROR")))),1,0)</f>
        <v>0</v>
      </c>
      <c r="H611" s="26">
        <f>IF(J611=1,D611-$C$6,0)</f>
        <v>0</v>
      </c>
      <c r="I611" s="26">
        <f t="shared" si="982"/>
        <v>0</v>
      </c>
      <c r="J611" s="24">
        <f t="shared" si="974"/>
        <v>0</v>
      </c>
      <c r="K611" s="26">
        <f>VLOOKUP($C611,COS!$B$8:$H$991,2,FALSE)</f>
        <v>2490.652587890625</v>
      </c>
      <c r="L611" s="24">
        <f t="shared" si="944"/>
        <v>1</v>
      </c>
      <c r="M611" s="24">
        <f t="shared" si="945"/>
        <v>1</v>
      </c>
      <c r="N611" s="26">
        <f>VLOOKUP($C611,COS!$B$8:$H$991,5,FALSE)</f>
        <v>242.14094543457031</v>
      </c>
      <c r="O611" s="26">
        <f t="shared" si="977"/>
        <v>14.888666396968622</v>
      </c>
      <c r="P611" s="26">
        <f>VLOOKUP($C611,COS!$B$8:$H$991,6,FALSE)</f>
        <v>2326.644775390625</v>
      </c>
      <c r="Q611" s="26">
        <f t="shared" si="978"/>
        <v>143.05981098269626</v>
      </c>
      <c r="R611" s="26">
        <f>MIN(IF(MONTH($C611)=4,$S$3,IF(MONTH($C611)=5,$S$4,IF(MONTH($C611)=6,$S$5,IF(MONTH($C611)=7,$S$6,"ERROR")))),MAX(VLOOKUP($C611,COS!$B$8:$K$991,10,FALSE)-IF(MONTH($C611)=4,$Y$3,IF(MONTH($C611)=5,$Y$4,IF(MONTH($C611)=6,$Y$5,IF(MONTH($C611)=7,$Y$6,"ERROR")))),0),MAX(VLOOKUP($C611,COS!$B$8:$K$991,9,FALSE)-IF(MONTH($C611)=4,$V$3,IF(MONTH($C611)=5,$V$4,IF(MONTH($C611)=6,$V$5,IF(MONTH($C611)=7,$V$6,"ERROR"))))-VLOOKUP($C611,COS!$B$8:$K$991,6,FALSE)/2,0))</f>
        <v>1500</v>
      </c>
      <c r="S611" s="26">
        <f t="shared" si="979"/>
        <v>92.231404958677686</v>
      </c>
      <c r="T611" s="26">
        <f t="shared" si="980"/>
        <v>171.20564364851015</v>
      </c>
      <c r="U611" s="26" t="str">
        <f>IF(VLOOKUP($C611,COS!$B$8:$I$991,8,FALSE)=1,"UWFE","IBU")</f>
        <v>IBU</v>
      </c>
      <c r="V611" s="26">
        <f t="shared" ref="V611" si="985">MIN(IF(IF($AA$3=2,AND(E611=1,G611=1,L611=1,L613=1,M611=1,U611="IBU"),AND(E611=1,G611=1,L611=1,L613=1,M611=1)),T611,0),I611)</f>
        <v>0</v>
      </c>
      <c r="W611" s="26"/>
      <c r="X611" s="26"/>
      <c r="Y611" s="26"/>
      <c r="Z611" s="26"/>
      <c r="AA611" s="26"/>
      <c r="AB611" s="33"/>
    </row>
    <row r="612" spans="1:28" x14ac:dyDescent="0.3">
      <c r="A612" s="32">
        <f>VLOOKUP(YEAR(C612),Flags!$A$13:$B$95,2,FALSE)</f>
        <v>5</v>
      </c>
      <c r="B612" s="24">
        <f t="shared" si="951"/>
        <v>1988</v>
      </c>
      <c r="C612" s="25">
        <v>32386</v>
      </c>
      <c r="D612" s="26"/>
      <c r="E612" s="24"/>
      <c r="F612" s="26"/>
      <c r="G612" s="24"/>
      <c r="H612" s="24"/>
      <c r="I612" s="26"/>
      <c r="J612" s="24"/>
      <c r="K612" s="26"/>
      <c r="L612" s="24"/>
      <c r="M612" s="24"/>
      <c r="N612" s="26"/>
      <c r="O612" s="26"/>
      <c r="P612" s="26"/>
      <c r="Q612" s="26"/>
      <c r="R612" s="26"/>
      <c r="S612" s="26"/>
      <c r="T612" s="26"/>
      <c r="U612" s="26"/>
      <c r="V612" s="26"/>
      <c r="W612" s="26">
        <f>MAX($C$7-VLOOKUP($C612,COS!$B$8:$H$991,3,FALSE),0)</f>
        <v>4408.8330078125</v>
      </c>
      <c r="X612" s="26">
        <f t="shared" si="972"/>
        <v>271.08857502582646</v>
      </c>
      <c r="Y612" s="26">
        <f>VLOOKUP($C612,COS!$B$8:$H$991,4,FALSE)</f>
        <v>2363.936279296875</v>
      </c>
      <c r="Z612" s="26">
        <f t="shared" si="973"/>
        <v>145.35277618155993</v>
      </c>
      <c r="AA612" s="26">
        <f t="shared" ref="AA612:AA616" si="986">MIN(W612,Y612)</f>
        <v>2363.936279296875</v>
      </c>
      <c r="AB612" s="33">
        <f t="shared" ref="AB612" si="987">AA612*DAY($C612)*86400/43560/1000*IF(MONTH($C612)=8,$P$3,IF(MONTH($C612)=9,$P$4,IF(MONTH($C612)=10,$P$5,IF(MONTH($C612)=11,$P$6,IF(MONTH($C612)=12,$P$7,NA())))))</f>
        <v>145.35277618155993</v>
      </c>
    </row>
    <row r="613" spans="1:28" x14ac:dyDescent="0.3">
      <c r="A613" s="32">
        <f>VLOOKUP(YEAR(C613),Flags!$A$13:$B$95,2,FALSE)</f>
        <v>5</v>
      </c>
      <c r="B613" s="24">
        <f t="shared" si="951"/>
        <v>1988</v>
      </c>
      <c r="C613" s="25">
        <v>32416</v>
      </c>
      <c r="D613" s="26"/>
      <c r="E613" s="24"/>
      <c r="F613" s="26"/>
      <c r="G613" s="24"/>
      <c r="H613" s="24"/>
      <c r="I613" s="26"/>
      <c r="J613" s="24"/>
      <c r="K613" s="26">
        <f>VLOOKUP($C613,COS!$B$8:$H$991,2,FALSE)</f>
        <v>2110.7509765625</v>
      </c>
      <c r="L613" s="24">
        <f t="shared" ref="L613" si="988">IF(AND(K613&gt;$I$7,K613&lt;$I$8),1,0)</f>
        <v>1</v>
      </c>
      <c r="M613" s="24"/>
      <c r="N613" s="26"/>
      <c r="O613" s="26"/>
      <c r="P613" s="26"/>
      <c r="Q613" s="26"/>
      <c r="R613" s="26"/>
      <c r="S613" s="26"/>
      <c r="T613" s="26"/>
      <c r="U613" s="26"/>
      <c r="V613" s="26"/>
      <c r="W613" s="26">
        <f>MAX($C$8-VLOOKUP($C613,COS!$B$8:$H$991,3,FALSE),0)</f>
        <v>116.951171875</v>
      </c>
      <c r="X613" s="26">
        <f t="shared" si="972"/>
        <v>6.9590779958677684</v>
      </c>
      <c r="Y613" s="26">
        <f>VLOOKUP($C613,COS!$B$8:$H$991,4,FALSE)</f>
        <v>1955.6697998046875</v>
      </c>
      <c r="Z613" s="26">
        <f t="shared" si="973"/>
        <v>116.37043436854339</v>
      </c>
      <c r="AA613" s="26">
        <f t="shared" si="986"/>
        <v>116.951171875</v>
      </c>
      <c r="AB613" s="33">
        <f t="shared" si="956"/>
        <v>6.9590779958677684</v>
      </c>
    </row>
    <row r="614" spans="1:28" x14ac:dyDescent="0.3">
      <c r="A614" s="32">
        <f>VLOOKUP(YEAR(C614),Flags!$A$13:$B$95,2,FALSE)</f>
        <v>5</v>
      </c>
      <c r="B614" s="24">
        <f t="shared" si="951"/>
        <v>1988</v>
      </c>
      <c r="C614" s="25">
        <v>32447</v>
      </c>
      <c r="D614" s="26"/>
      <c r="E614" s="24"/>
      <c r="F614" s="26"/>
      <c r="G614" s="26"/>
      <c r="H614" s="26"/>
      <c r="I614" s="26"/>
      <c r="J614" s="26"/>
      <c r="K614" s="26"/>
      <c r="L614" s="24"/>
      <c r="M614" s="24"/>
      <c r="N614" s="26"/>
      <c r="O614" s="26"/>
      <c r="P614" s="26"/>
      <c r="Q614" s="26"/>
      <c r="R614" s="26"/>
      <c r="S614" s="26"/>
      <c r="T614" s="26"/>
      <c r="U614" s="26"/>
      <c r="V614" s="26"/>
      <c r="W614" s="26">
        <f>MAX($C$9-VLOOKUP($C614,COS!$B$8:$H$991,3,FALSE),0)</f>
        <v>0</v>
      </c>
      <c r="X614" s="26">
        <f t="shared" si="972"/>
        <v>0</v>
      </c>
      <c r="Y614" s="26">
        <f>VLOOKUP($C614,COS!$B$8:$H$991,4,FALSE)</f>
        <v>1615.891357421875</v>
      </c>
      <c r="Z614" s="26">
        <f t="shared" si="973"/>
        <v>99.357286770402894</v>
      </c>
      <c r="AA614" s="26">
        <f t="shared" si="986"/>
        <v>0</v>
      </c>
      <c r="AB614" s="33">
        <f t="shared" si="956"/>
        <v>0</v>
      </c>
    </row>
    <row r="615" spans="1:28" x14ac:dyDescent="0.3">
      <c r="A615" s="32">
        <f>VLOOKUP(YEAR(C615),Flags!$A$13:$B$95,2,FALSE)</f>
        <v>5</v>
      </c>
      <c r="B615" s="24">
        <f t="shared" si="951"/>
        <v>1988</v>
      </c>
      <c r="C615" s="25">
        <v>32477</v>
      </c>
      <c r="D615" s="26"/>
      <c r="E615" s="24"/>
      <c r="F615" s="26"/>
      <c r="G615" s="26"/>
      <c r="H615" s="26"/>
      <c r="I615" s="26"/>
      <c r="J615" s="26"/>
      <c r="K615" s="26"/>
      <c r="L615" s="24"/>
      <c r="M615" s="24"/>
      <c r="N615" s="26"/>
      <c r="O615" s="26"/>
      <c r="P615" s="26"/>
      <c r="Q615" s="26"/>
      <c r="R615" s="26"/>
      <c r="S615" s="26"/>
      <c r="T615" s="26"/>
      <c r="U615" s="26"/>
      <c r="V615" s="26"/>
      <c r="W615" s="26">
        <f>MAX($C$10-VLOOKUP($C615,COS!$B$8:$H$991,3,FALSE),0)</f>
        <v>1750</v>
      </c>
      <c r="X615" s="26">
        <f t="shared" si="972"/>
        <v>104.13223140495867</v>
      </c>
      <c r="Y615" s="26">
        <f>VLOOKUP($C615,COS!$B$8:$H$991,4,FALSE)</f>
        <v>1854.902587890625</v>
      </c>
      <c r="Z615" s="26">
        <f t="shared" si="973"/>
        <v>110.37436886621902</v>
      </c>
      <c r="AA615" s="26">
        <f t="shared" si="986"/>
        <v>1750</v>
      </c>
      <c r="AB615" s="33">
        <f t="shared" si="956"/>
        <v>104.13223140495867</v>
      </c>
    </row>
    <row r="616" spans="1:28" x14ac:dyDescent="0.3">
      <c r="A616" s="34">
        <f>VLOOKUP(YEAR(C616),Flags!$A$13:$B$95,2,FALSE)</f>
        <v>5</v>
      </c>
      <c r="B616" s="35">
        <f t="shared" si="951"/>
        <v>1988</v>
      </c>
      <c r="C616" s="36">
        <v>32508</v>
      </c>
      <c r="D616" s="37"/>
      <c r="E616" s="35"/>
      <c r="F616" s="37"/>
      <c r="G616" s="37"/>
      <c r="H616" s="37"/>
      <c r="I616" s="37"/>
      <c r="J616" s="37"/>
      <c r="K616" s="37"/>
      <c r="L616" s="35"/>
      <c r="M616" s="35"/>
      <c r="N616" s="37"/>
      <c r="O616" s="37"/>
      <c r="P616" s="37"/>
      <c r="Q616" s="37"/>
      <c r="R616" s="37"/>
      <c r="S616" s="37"/>
      <c r="T616" s="37"/>
      <c r="U616" s="37"/>
      <c r="V616" s="37"/>
      <c r="W616" s="37">
        <f>MAX($C$11-VLOOKUP($C616,COS!$B$8:$H$991,3,FALSE),0)</f>
        <v>1750</v>
      </c>
      <c r="X616" s="37">
        <f t="shared" si="972"/>
        <v>107.60330578512398</v>
      </c>
      <c r="Y616" s="37">
        <f>VLOOKUP($C616,COS!$B$8:$H$991,4,FALSE)</f>
        <v>1030.474853515625</v>
      </c>
      <c r="Z616" s="37">
        <f t="shared" si="973"/>
        <v>63.361429009555785</v>
      </c>
      <c r="AA616" s="37">
        <f t="shared" si="986"/>
        <v>1030.474853515625</v>
      </c>
      <c r="AB616" s="38">
        <f t="shared" si="956"/>
        <v>63.361429009555785</v>
      </c>
    </row>
    <row r="617" spans="1:28" x14ac:dyDescent="0.3">
      <c r="A617" s="27">
        <f>VLOOKUP(YEAR(C617),Flags!$A$13:$B$95,2,FALSE)</f>
        <v>4</v>
      </c>
      <c r="B617" s="28">
        <f t="shared" si="951"/>
        <v>1989</v>
      </c>
      <c r="C617" s="29">
        <v>32628</v>
      </c>
      <c r="D617" s="30">
        <f>VLOOKUP($C617,COS!$B$8:$H$991,3,FALSE)</f>
        <v>3250</v>
      </c>
      <c r="E617" s="28">
        <f>IF(D617&gt;=IF(MONTH($C617)=4,$C$3,IF(MONTH($C617)=5,$C$4,IF(MONTH($C617)=6,$C$5,IF(MONTH($C617)=7,$C$6,"ERROR")))),1,0)</f>
        <v>0</v>
      </c>
      <c r="F617" s="30">
        <f>VLOOKUP($C617,COS!$B$8:$H$991,7,FALSE)</f>
        <v>52.776580810546875</v>
      </c>
      <c r="G617" s="28">
        <f>IF(F617&lt;=IF(MONTH($C617)=4,$F$3,IF(MONTH($C617)=5,$F$4,IF(MONTH($C617)=6,$F$5,IF(MONTH($C617)=7,$F$6,"ERROR")))),1,0)</f>
        <v>1</v>
      </c>
      <c r="H617" s="30">
        <f>IF(J617=1,D617-$C$3,0)</f>
        <v>0</v>
      </c>
      <c r="I617" s="30">
        <f t="shared" si="982"/>
        <v>0</v>
      </c>
      <c r="J617" s="28">
        <f t="shared" ref="J617:J620" si="989">IF(AND(E617=1,G617=1),1,0)</f>
        <v>0</v>
      </c>
      <c r="K617" s="30">
        <f>VLOOKUP($C617,COS!$B$8:$H$991,2,FALSE)</f>
        <v>4257.525390625</v>
      </c>
      <c r="L617" s="28">
        <f t="shared" ref="L617" si="990">IF(K617&lt;=IF(MONTH($C617)=4,$I$3,IF(MONTH($C617)=5,$I$4,IF(MONTH($C617)=6,$I$5,IF(MONTH($C617)=7,$I$6,"ERROR")))),1,0)</f>
        <v>1</v>
      </c>
      <c r="M617" s="28">
        <f t="shared" ref="M617" si="991">VLOOKUP($A617,$L$3:$M$7,2,FALSE)</f>
        <v>1</v>
      </c>
      <c r="N617" s="30">
        <f>VLOOKUP($C617,COS!$B$8:$H$991,5,FALSE)</f>
        <v>278.56231689453125</v>
      </c>
      <c r="O617" s="30">
        <f t="shared" ref="O617:O620" si="992">N617*DAY($C617)*86400/43560/1000</f>
        <v>16.575608939178718</v>
      </c>
      <c r="P617" s="30">
        <f>VLOOKUP($C617,COS!$B$8:$H$991,6,FALSE)</f>
        <v>448.37432861328125</v>
      </c>
      <c r="Q617" s="30">
        <f t="shared" ref="Q617:Q620" si="993">P617*DAY($C617)*86400/43560/1000</f>
        <v>26.680125338972108</v>
      </c>
      <c r="R617" s="30">
        <f>MIN(IF(MONTH($C617)=4,$S$3,IF(MONTH($C617)=5,$S$4,IF(MONTH($C617)=6,$S$5,IF(MONTH($C617)=7,$S$6,"ERROR")))),MAX(VLOOKUP($C617,COS!$B$8:$K$991,10,FALSE)-IF(MONTH($C617)=4,$Y$3,IF(MONTH($C617)=5,$Y$4,IF(MONTH($C617)=6,$Y$5,IF(MONTH($C617)=7,$Y$6,"ERROR")))),0),MAX(VLOOKUP($C617,COS!$B$8:$K$991,9,FALSE)-IF(MONTH($C617)=4,$V$3,IF(MONTH($C617)=5,$V$4,IF(MONTH($C617)=6,$V$5,IF(MONTH($C617)=7,$V$6,"ERROR"))))-VLOOKUP($C617,COS!$B$8:$K$991,6,FALSE)/2,0))</f>
        <v>1500</v>
      </c>
      <c r="S617" s="30">
        <f t="shared" ref="S617:S620" si="994">R617*DAY($C617)*86400/43560/1000</f>
        <v>89.256198347107429</v>
      </c>
      <c r="T617" s="30">
        <f t="shared" ref="T617:T620" si="995">(O617+Q617)/2+S617</f>
        <v>110.88406548618283</v>
      </c>
      <c r="U617" s="30" t="str">
        <f>IF(VLOOKUP($C617,COS!$B$8:$I$991,8,FALSE)=1,"UWFE","IBU")</f>
        <v>UWFE</v>
      </c>
      <c r="V617" s="30">
        <f t="shared" ref="V617" si="996">MIN(IF(IF($AA$3=2,AND(E617=1,G617=1,L617=1,L622=1,M617=1,U617="IBU"),AND(E617=1,G617=1,L617=1,L622=1,M617=1)),T617,0),I617)</f>
        <v>0</v>
      </c>
      <c r="W617" s="30"/>
      <c r="X617" s="30"/>
      <c r="Y617" s="30"/>
      <c r="Z617" s="30"/>
      <c r="AA617" s="30"/>
      <c r="AB617" s="31"/>
    </row>
    <row r="618" spans="1:28" x14ac:dyDescent="0.3">
      <c r="A618" s="32">
        <f>VLOOKUP(YEAR(C618),Flags!$A$13:$B$95,2,FALSE)</f>
        <v>4</v>
      </c>
      <c r="B618" s="24">
        <f t="shared" si="951"/>
        <v>1989</v>
      </c>
      <c r="C618" s="25">
        <v>32659</v>
      </c>
      <c r="D618" s="26">
        <f>VLOOKUP($C618,COS!$B$8:$H$991,3,FALSE)</f>
        <v>10011.177734375</v>
      </c>
      <c r="E618" s="24">
        <f>IF(D618&gt;=IF(MONTH($C618)=4,$C$3,IF(MONTH($C618)=5,$C$4,IF(MONTH($C618)=6,$C$5,IF(MONTH($C618)=7,$C$6,"ERROR")))),1,0)</f>
        <v>1</v>
      </c>
      <c r="F618" s="26">
        <f>VLOOKUP($C618,COS!$B$8:$H$991,7,FALSE)</f>
        <v>50.918426513671875</v>
      </c>
      <c r="G618" s="24">
        <f>IF(F618&lt;=IF(MONTH($C618)=4,$F$3,IF(MONTH($C618)=5,$F$4,IF(MONTH($C618)=6,$F$5,IF(MONTH($C618)=7,$F$6,"ERROR")))),1,0)</f>
        <v>1</v>
      </c>
      <c r="H618" s="26">
        <f>IF(J618=1,D618-$C$4,0)</f>
        <v>4011.177734375</v>
      </c>
      <c r="I618" s="26">
        <f t="shared" si="982"/>
        <v>246.63770532024793</v>
      </c>
      <c r="J618" s="24">
        <f t="shared" si="989"/>
        <v>1</v>
      </c>
      <c r="K618" s="26">
        <f>VLOOKUP($C618,COS!$B$8:$H$991,2,FALSE)</f>
        <v>3934.481689453125</v>
      </c>
      <c r="L618" s="24">
        <f t="shared" si="944"/>
        <v>1</v>
      </c>
      <c r="M618" s="24">
        <f t="shared" si="945"/>
        <v>1</v>
      </c>
      <c r="N618" s="26">
        <f>VLOOKUP($C618,COS!$B$8:$H$991,5,FALSE)</f>
        <v>317.6539306640625</v>
      </c>
      <c r="O618" s="26">
        <f t="shared" si="992"/>
        <v>19.531778877195247</v>
      </c>
      <c r="P618" s="26">
        <f>VLOOKUP($C618,COS!$B$8:$H$991,6,FALSE)</f>
        <v>2368.940673828125</v>
      </c>
      <c r="Q618" s="26">
        <f t="shared" si="993"/>
        <v>145.66048440728304</v>
      </c>
      <c r="R618" s="26">
        <f>MIN(IF(MONTH($C618)=4,$S$3,IF(MONTH($C618)=5,$S$4,IF(MONTH($C618)=6,$S$5,IF(MONTH($C618)=7,$S$6,"ERROR")))),MAX(VLOOKUP($C618,COS!$B$8:$K$991,10,FALSE)-IF(MONTH($C618)=4,$Y$3,IF(MONTH($C618)=5,$Y$4,IF(MONTH($C618)=6,$Y$5,IF(MONTH($C618)=7,$Y$6,"ERROR")))),0),MAX(VLOOKUP($C618,COS!$B$8:$K$991,9,FALSE)-IF(MONTH($C618)=4,$V$3,IF(MONTH($C618)=5,$V$4,IF(MONTH($C618)=6,$V$5,IF(MONTH($C618)=7,$V$6,"ERROR"))))-VLOOKUP($C618,COS!$B$8:$K$991,6,FALSE)/2,0))</f>
        <v>1500</v>
      </c>
      <c r="S618" s="26">
        <f t="shared" si="994"/>
        <v>92.231404958677686</v>
      </c>
      <c r="T618" s="26">
        <f t="shared" si="995"/>
        <v>174.82753660091683</v>
      </c>
      <c r="U618" s="26" t="str">
        <f>IF(VLOOKUP($C618,COS!$B$8:$I$991,8,FALSE)=1,"UWFE","IBU")</f>
        <v>IBU</v>
      </c>
      <c r="V618" s="26">
        <f t="shared" ref="V618" si="997">MIN(IF(IF($AA$3=2,AND(E618=1,G618=1,L618=1,L622=1,M618=1,U618="IBU"),AND(E618=1,G618=1,L618=1,L622=1,M618=1)),T618,0),I618)</f>
        <v>174.82753660091683</v>
      </c>
      <c r="W618" s="26"/>
      <c r="X618" s="26"/>
      <c r="Y618" s="26"/>
      <c r="Z618" s="26"/>
      <c r="AA618" s="26"/>
      <c r="AB618" s="33"/>
    </row>
    <row r="619" spans="1:28" x14ac:dyDescent="0.3">
      <c r="A619" s="32">
        <f>VLOOKUP(YEAR(C619),Flags!$A$13:$B$95,2,FALSE)</f>
        <v>4</v>
      </c>
      <c r="B619" s="24">
        <f t="shared" si="951"/>
        <v>1989</v>
      </c>
      <c r="C619" s="25">
        <v>32689</v>
      </c>
      <c r="D619" s="26">
        <f>VLOOKUP($C619,COS!$B$8:$H$991,3,FALSE)</f>
        <v>11206.92578125</v>
      </c>
      <c r="E619" s="24">
        <f>IF(D619&gt;=IF(MONTH($C619)=4,$C$3,IF(MONTH($C619)=5,$C$4,IF(MONTH($C619)=6,$C$5,IF(MONTH($C619)=7,$C$6,"ERROR")))),1,0)</f>
        <v>1</v>
      </c>
      <c r="F619" s="26">
        <f>VLOOKUP($C619,COS!$B$8:$H$991,7,FALSE)</f>
        <v>51.800579071044922</v>
      </c>
      <c r="G619" s="24">
        <f>IF(F619&lt;=IF(MONTH($C619)=4,$F$3,IF(MONTH($C619)=5,$F$4,IF(MONTH($C619)=6,$F$5,IF(MONTH($C619)=7,$F$6,"ERROR")))),1,0)</f>
        <v>1</v>
      </c>
      <c r="H619" s="26">
        <f>IF(J619=1,D619-$C$5,0)</f>
        <v>1206.92578125</v>
      </c>
      <c r="I619" s="26">
        <f t="shared" si="982"/>
        <v>71.817071280991726</v>
      </c>
      <c r="J619" s="24">
        <f t="shared" si="989"/>
        <v>1</v>
      </c>
      <c r="K619" s="26">
        <f>VLOOKUP($C619,COS!$B$8:$H$991,2,FALSE)</f>
        <v>3457.87646484375</v>
      </c>
      <c r="L619" s="24">
        <f t="shared" si="944"/>
        <v>1</v>
      </c>
      <c r="M619" s="24">
        <f t="shared" si="945"/>
        <v>1</v>
      </c>
      <c r="N619" s="26">
        <f>VLOOKUP($C619,COS!$B$8:$H$991,5,FALSE)</f>
        <v>517.07537841796875</v>
      </c>
      <c r="O619" s="26">
        <f t="shared" si="992"/>
        <v>30.768121690986568</v>
      </c>
      <c r="P619" s="26">
        <f>VLOOKUP($C619,COS!$B$8:$H$991,6,FALSE)</f>
        <v>2621.433837890625</v>
      </c>
      <c r="Q619" s="26">
        <f t="shared" si="993"/>
        <v>155.98614572572316</v>
      </c>
      <c r="R619" s="26">
        <f>MIN(IF(MONTH($C619)=4,$S$3,IF(MONTH($C619)=5,$S$4,IF(MONTH($C619)=6,$S$5,IF(MONTH($C619)=7,$S$6,"ERROR")))),MAX(VLOOKUP($C619,COS!$B$8:$K$991,10,FALSE)-IF(MONTH($C619)=4,$Y$3,IF(MONTH($C619)=5,$Y$4,IF(MONTH($C619)=6,$Y$5,IF(MONTH($C619)=7,$Y$6,"ERROR")))),0),MAX(VLOOKUP($C619,COS!$B$8:$K$991,9,FALSE)-IF(MONTH($C619)=4,$V$3,IF(MONTH($C619)=5,$V$4,IF(MONTH($C619)=6,$V$5,IF(MONTH($C619)=7,$V$6,"ERROR"))))-VLOOKUP($C619,COS!$B$8:$K$991,6,FALSE)/2,0))</f>
        <v>1500</v>
      </c>
      <c r="S619" s="26">
        <f t="shared" si="994"/>
        <v>89.256198347107429</v>
      </c>
      <c r="T619" s="26">
        <f t="shared" si="995"/>
        <v>182.63333205546229</v>
      </c>
      <c r="U619" s="26" t="str">
        <f>IF(VLOOKUP($C619,COS!$B$8:$I$991,8,FALSE)=1,"UWFE","IBU")</f>
        <v>IBU</v>
      </c>
      <c r="V619" s="26">
        <f t="shared" ref="V619" si="998">MIN(IF(IF($AA$3=2,AND(E619=1,G619=1,L619=1,L622=1,M619=1,U619="IBU"),AND(E619=1,G619=1,L619=1,L622=1,M619=1)),T619,0),I619)</f>
        <v>71.817071280991726</v>
      </c>
      <c r="W619" s="26"/>
      <c r="X619" s="26"/>
      <c r="Y619" s="26"/>
      <c r="Z619" s="26"/>
      <c r="AA619" s="26"/>
      <c r="AB619" s="33"/>
    </row>
    <row r="620" spans="1:28" x14ac:dyDescent="0.3">
      <c r="A620" s="32">
        <f>VLOOKUP(YEAR(C620),Flags!$A$13:$B$95,2,FALSE)</f>
        <v>4</v>
      </c>
      <c r="B620" s="24">
        <f t="shared" si="951"/>
        <v>1989</v>
      </c>
      <c r="C620" s="25">
        <v>32720</v>
      </c>
      <c r="D620" s="26">
        <f>VLOOKUP($C620,COS!$B$8:$H$991,3,FALSE)</f>
        <v>12592.146484375</v>
      </c>
      <c r="E620" s="24">
        <f>IF(D620&gt;=IF(MONTH($C620)=4,$C$3,IF(MONTH($C620)=5,$C$4,IF(MONTH($C620)=6,$C$5,IF(MONTH($C620)=7,$C$6,"ERROR")))),1,0)</f>
        <v>1</v>
      </c>
      <c r="F620" s="26">
        <f>VLOOKUP($C620,COS!$B$8:$H$991,7,FALSE)</f>
        <v>53.21966552734375</v>
      </c>
      <c r="G620" s="24">
        <f>IF(F620&lt;=IF(MONTH($C620)=4,$F$3,IF(MONTH($C620)=5,$F$4,IF(MONTH($C620)=6,$F$5,IF(MONTH($C620)=7,$F$6,"ERROR")))),1,0)</f>
        <v>1</v>
      </c>
      <c r="H620" s="26">
        <f>IF(J620=1,D620-$C$6,0)</f>
        <v>592.146484375</v>
      </c>
      <c r="I620" s="26">
        <f t="shared" si="982"/>
        <v>36.409668130165286</v>
      </c>
      <c r="J620" s="24">
        <f t="shared" si="989"/>
        <v>1</v>
      </c>
      <c r="K620" s="26">
        <f>VLOOKUP($C620,COS!$B$8:$H$991,2,FALSE)</f>
        <v>2918.839599609375</v>
      </c>
      <c r="L620" s="24">
        <f t="shared" si="944"/>
        <v>1</v>
      </c>
      <c r="M620" s="24">
        <f t="shared" si="945"/>
        <v>1</v>
      </c>
      <c r="N620" s="26">
        <f>VLOOKUP($C620,COS!$B$8:$H$991,5,FALSE)</f>
        <v>602.97808837890625</v>
      </c>
      <c r="O620" s="26">
        <f t="shared" si="992"/>
        <v>37.075677500322833</v>
      </c>
      <c r="P620" s="26">
        <f>VLOOKUP($C620,COS!$B$8:$H$991,6,FALSE)</f>
        <v>2442.872314453125</v>
      </c>
      <c r="Q620" s="26">
        <f t="shared" si="993"/>
        <v>150.20636379777892</v>
      </c>
      <c r="R620" s="26">
        <f>MIN(IF(MONTH($C620)=4,$S$3,IF(MONTH($C620)=5,$S$4,IF(MONTH($C620)=6,$S$5,IF(MONTH($C620)=7,$S$6,"ERROR")))),MAX(VLOOKUP($C620,COS!$B$8:$K$991,10,FALSE)-IF(MONTH($C620)=4,$Y$3,IF(MONTH($C620)=5,$Y$4,IF(MONTH($C620)=6,$Y$5,IF(MONTH($C620)=7,$Y$6,"ERROR")))),0),MAX(VLOOKUP($C620,COS!$B$8:$K$991,9,FALSE)-IF(MONTH($C620)=4,$V$3,IF(MONTH($C620)=5,$V$4,IF(MONTH($C620)=6,$V$5,IF(MONTH($C620)=7,$V$6,"ERROR"))))-VLOOKUP($C620,COS!$B$8:$K$991,6,FALSE)/2,0))</f>
        <v>1500</v>
      </c>
      <c r="S620" s="26">
        <f t="shared" si="994"/>
        <v>92.231404958677686</v>
      </c>
      <c r="T620" s="26">
        <f t="shared" si="995"/>
        <v>185.87242560772856</v>
      </c>
      <c r="U620" s="26" t="str">
        <f>IF(VLOOKUP($C620,COS!$B$8:$I$991,8,FALSE)=1,"UWFE","IBU")</f>
        <v>IBU</v>
      </c>
      <c r="V620" s="26">
        <f t="shared" ref="V620" si="999">MIN(IF(IF($AA$3=2,AND(E620=1,G620=1,L620=1,L622=1,M620=1,U620="IBU"),AND(E620=1,G620=1,L620=1,L622=1,M620=1)),T620,0),I620)</f>
        <v>36.409668130165286</v>
      </c>
      <c r="W620" s="26"/>
      <c r="X620" s="26"/>
      <c r="Y620" s="26"/>
      <c r="Z620" s="26"/>
      <c r="AA620" s="26"/>
      <c r="AB620" s="33"/>
    </row>
    <row r="621" spans="1:28" x14ac:dyDescent="0.3">
      <c r="A621" s="32">
        <f>VLOOKUP(YEAR(C621),Flags!$A$13:$B$95,2,FALSE)</f>
        <v>4</v>
      </c>
      <c r="B621" s="24">
        <f t="shared" si="951"/>
        <v>1989</v>
      </c>
      <c r="C621" s="25">
        <v>32751</v>
      </c>
      <c r="D621" s="26"/>
      <c r="E621" s="24"/>
      <c r="F621" s="26"/>
      <c r="G621" s="24"/>
      <c r="H621" s="24"/>
      <c r="I621" s="26"/>
      <c r="J621" s="24"/>
      <c r="K621" s="26"/>
      <c r="L621" s="24"/>
      <c r="M621" s="24"/>
      <c r="N621" s="26"/>
      <c r="O621" s="26"/>
      <c r="P621" s="26"/>
      <c r="Q621" s="26"/>
      <c r="R621" s="26"/>
      <c r="S621" s="26"/>
      <c r="T621" s="26"/>
      <c r="U621" s="26"/>
      <c r="V621" s="26"/>
      <c r="W621" s="26">
        <f>MAX($C$7-VLOOKUP($C621,COS!$B$8:$H$991,3,FALSE),0)</f>
        <v>3857.2431640625</v>
      </c>
      <c r="X621" s="26">
        <f t="shared" si="972"/>
        <v>237.17263752582647</v>
      </c>
      <c r="Y621" s="26">
        <f>VLOOKUP($C621,COS!$B$8:$H$991,4,FALSE)</f>
        <v>2140.86328125</v>
      </c>
      <c r="Z621" s="26">
        <f t="shared" si="973"/>
        <v>131.63655216942149</v>
      </c>
      <c r="AA621" s="26">
        <f t="shared" ref="AA621:AA625" si="1000">MIN(W621,Y621)</f>
        <v>2140.86328125</v>
      </c>
      <c r="AB621" s="33">
        <f t="shared" ref="AB621" si="1001">AA621*DAY($C621)*86400/43560/1000*IF(MONTH($C621)=8,$P$3,IF(MONTH($C621)=9,$P$4,IF(MONTH($C621)=10,$P$5,IF(MONTH($C621)=11,$P$6,IF(MONTH($C621)=12,$P$7,NA())))))</f>
        <v>131.63655216942149</v>
      </c>
    </row>
    <row r="622" spans="1:28" x14ac:dyDescent="0.3">
      <c r="A622" s="32">
        <f>VLOOKUP(YEAR(C622),Flags!$A$13:$B$95,2,FALSE)</f>
        <v>4</v>
      </c>
      <c r="B622" s="24">
        <f t="shared" si="951"/>
        <v>1989</v>
      </c>
      <c r="C622" s="25">
        <v>32781</v>
      </c>
      <c r="D622" s="26"/>
      <c r="E622" s="24"/>
      <c r="F622" s="26"/>
      <c r="G622" s="24"/>
      <c r="H622" s="24"/>
      <c r="I622" s="26"/>
      <c r="J622" s="24"/>
      <c r="K622" s="26">
        <f>VLOOKUP($C622,COS!$B$8:$H$991,2,FALSE)</f>
        <v>2659.4970703125</v>
      </c>
      <c r="L622" s="24">
        <f t="shared" ref="L622" si="1002">IF(AND(K622&gt;$I$7,K622&lt;$I$8),1,0)</f>
        <v>1</v>
      </c>
      <c r="M622" s="24"/>
      <c r="N622" s="26"/>
      <c r="O622" s="26"/>
      <c r="P622" s="26"/>
      <c r="Q622" s="26"/>
      <c r="R622" s="26"/>
      <c r="S622" s="26"/>
      <c r="T622" s="26"/>
      <c r="U622" s="26"/>
      <c r="V622" s="26"/>
      <c r="W622" s="26">
        <f>MAX($C$8-VLOOKUP($C622,COS!$B$8:$H$991,3,FALSE),0)</f>
        <v>2572.319580078125</v>
      </c>
      <c r="X622" s="26">
        <f t="shared" si="972"/>
        <v>153.06364443440083</v>
      </c>
      <c r="Y622" s="26">
        <f>VLOOKUP($C622,COS!$B$8:$H$991,4,FALSE)</f>
        <v>447.037109375</v>
      </c>
      <c r="Z622" s="26">
        <f t="shared" si="973"/>
        <v>26.600555268595041</v>
      </c>
      <c r="AA622" s="26">
        <f t="shared" si="1000"/>
        <v>447.037109375</v>
      </c>
      <c r="AB622" s="33">
        <f t="shared" si="956"/>
        <v>26.600555268595041</v>
      </c>
    </row>
    <row r="623" spans="1:28" x14ac:dyDescent="0.3">
      <c r="A623" s="32">
        <f>VLOOKUP(YEAR(C623),Flags!$A$13:$B$95,2,FALSE)</f>
        <v>4</v>
      </c>
      <c r="B623" s="24">
        <f t="shared" si="951"/>
        <v>1989</v>
      </c>
      <c r="C623" s="25">
        <v>32812</v>
      </c>
      <c r="D623" s="26"/>
      <c r="E623" s="24"/>
      <c r="F623" s="26"/>
      <c r="G623" s="26"/>
      <c r="H623" s="26"/>
      <c r="I623" s="26"/>
      <c r="J623" s="26"/>
      <c r="K623" s="26"/>
      <c r="L623" s="24"/>
      <c r="M623" s="24"/>
      <c r="N623" s="26"/>
      <c r="O623" s="26"/>
      <c r="P623" s="26"/>
      <c r="Q623" s="26"/>
      <c r="R623" s="26"/>
      <c r="S623" s="26"/>
      <c r="T623" s="26"/>
      <c r="U623" s="26"/>
      <c r="V623" s="26"/>
      <c r="W623" s="26">
        <f>MAX($C$9-VLOOKUP($C623,COS!$B$8:$H$991,3,FALSE),0)</f>
        <v>861.29296875</v>
      </c>
      <c r="X623" s="26">
        <f t="shared" si="972"/>
        <v>52.958840392561989</v>
      </c>
      <c r="Y623" s="26">
        <f>VLOOKUP($C623,COS!$B$8:$H$991,4,FALSE)</f>
        <v>977.87164306640625</v>
      </c>
      <c r="Z623" s="26">
        <f t="shared" si="973"/>
        <v>60.126983672843487</v>
      </c>
      <c r="AA623" s="26">
        <f t="shared" si="1000"/>
        <v>861.29296875</v>
      </c>
      <c r="AB623" s="33">
        <f t="shared" si="956"/>
        <v>52.958840392561989</v>
      </c>
    </row>
    <row r="624" spans="1:28" x14ac:dyDescent="0.3">
      <c r="A624" s="32">
        <f>VLOOKUP(YEAR(C624),Flags!$A$13:$B$95,2,FALSE)</f>
        <v>4</v>
      </c>
      <c r="B624" s="24">
        <f t="shared" si="951"/>
        <v>1989</v>
      </c>
      <c r="C624" s="25">
        <v>32842</v>
      </c>
      <c r="D624" s="26"/>
      <c r="E624" s="24"/>
      <c r="F624" s="26"/>
      <c r="G624" s="26"/>
      <c r="H624" s="26"/>
      <c r="I624" s="26"/>
      <c r="J624" s="26"/>
      <c r="K624" s="26"/>
      <c r="L624" s="24"/>
      <c r="M624" s="24"/>
      <c r="N624" s="26"/>
      <c r="O624" s="26"/>
      <c r="P624" s="26"/>
      <c r="Q624" s="26"/>
      <c r="R624" s="26"/>
      <c r="S624" s="26"/>
      <c r="T624" s="26"/>
      <c r="U624" s="26"/>
      <c r="V624" s="26"/>
      <c r="W624" s="26">
        <f>MAX($C$10-VLOOKUP($C624,COS!$B$8:$H$991,3,FALSE),0)</f>
        <v>0</v>
      </c>
      <c r="X624" s="26">
        <f t="shared" si="972"/>
        <v>0</v>
      </c>
      <c r="Y624" s="26">
        <f>VLOOKUP($C624,COS!$B$8:$H$991,4,FALSE)</f>
        <v>1557.039306640625</v>
      </c>
      <c r="Z624" s="26">
        <f t="shared" si="973"/>
        <v>92.650272791838844</v>
      </c>
      <c r="AA624" s="26">
        <f t="shared" si="1000"/>
        <v>0</v>
      </c>
      <c r="AB624" s="33">
        <f t="shared" si="956"/>
        <v>0</v>
      </c>
    </row>
    <row r="625" spans="1:28" x14ac:dyDescent="0.3">
      <c r="A625" s="34">
        <f>VLOOKUP(YEAR(C625),Flags!$A$13:$B$95,2,FALSE)</f>
        <v>4</v>
      </c>
      <c r="B625" s="35">
        <f t="shared" si="951"/>
        <v>1989</v>
      </c>
      <c r="C625" s="36">
        <v>32873</v>
      </c>
      <c r="D625" s="37"/>
      <c r="E625" s="35"/>
      <c r="F625" s="37"/>
      <c r="G625" s="37"/>
      <c r="H625" s="37"/>
      <c r="I625" s="37"/>
      <c r="J625" s="37"/>
      <c r="K625" s="37"/>
      <c r="L625" s="35"/>
      <c r="M625" s="35"/>
      <c r="N625" s="37"/>
      <c r="O625" s="37"/>
      <c r="P625" s="37"/>
      <c r="Q625" s="37"/>
      <c r="R625" s="37"/>
      <c r="S625" s="37"/>
      <c r="T625" s="37"/>
      <c r="U625" s="37"/>
      <c r="V625" s="37"/>
      <c r="W625" s="37">
        <f>MAX($C$11-VLOOKUP($C625,COS!$B$8:$H$991,3,FALSE),0)</f>
        <v>814.19921875</v>
      </c>
      <c r="X625" s="37">
        <f t="shared" si="972"/>
        <v>50.063158574380161</v>
      </c>
      <c r="Y625" s="37">
        <f>VLOOKUP($C625,COS!$B$8:$H$991,4,FALSE)</f>
        <v>2009.1300048828125</v>
      </c>
      <c r="Z625" s="37">
        <f t="shared" si="973"/>
        <v>123.5365887299845</v>
      </c>
      <c r="AA625" s="37">
        <f t="shared" si="1000"/>
        <v>814.19921875</v>
      </c>
      <c r="AB625" s="38">
        <f t="shared" si="956"/>
        <v>50.063158574380161</v>
      </c>
    </row>
    <row r="626" spans="1:28" x14ac:dyDescent="0.3">
      <c r="A626" s="27">
        <f>VLOOKUP(YEAR(C626),Flags!$A$13:$B$95,2,FALSE)</f>
        <v>5</v>
      </c>
      <c r="B626" s="28">
        <f t="shared" si="951"/>
        <v>1990</v>
      </c>
      <c r="C626" s="29">
        <v>32993</v>
      </c>
      <c r="D626" s="30">
        <f>VLOOKUP($C626,COS!$B$8:$H$991,3,FALSE)</f>
        <v>3250</v>
      </c>
      <c r="E626" s="28">
        <f>IF(D626&gt;=IF(MONTH($C626)=4,$C$3,IF(MONTH($C626)=5,$C$4,IF(MONTH($C626)=6,$C$5,IF(MONTH($C626)=7,$C$6,"ERROR")))),1,0)</f>
        <v>0</v>
      </c>
      <c r="F626" s="30">
        <f>VLOOKUP($C626,COS!$B$8:$H$991,7,FALSE)</f>
        <v>52.837333679199219</v>
      </c>
      <c r="G626" s="28">
        <f>IF(F626&lt;=IF(MONTH($C626)=4,$F$3,IF(MONTH($C626)=5,$F$4,IF(MONTH($C626)=6,$F$5,IF(MONTH($C626)=7,$F$6,"ERROR")))),1,0)</f>
        <v>1</v>
      </c>
      <c r="H626" s="30">
        <f>IF(J626=1,D626-$C$3,0)</f>
        <v>0</v>
      </c>
      <c r="I626" s="30">
        <f t="shared" si="982"/>
        <v>0</v>
      </c>
      <c r="J626" s="28">
        <f t="shared" ref="J626:J629" si="1003">IF(AND(E626=1,G626=1),1,0)</f>
        <v>0</v>
      </c>
      <c r="K626" s="30">
        <f>VLOOKUP($C626,COS!$B$8:$H$991,2,FALSE)</f>
        <v>3255.982421875</v>
      </c>
      <c r="L626" s="28">
        <f t="shared" ref="L626" si="1004">IF(K626&lt;=IF(MONTH($C626)=4,$I$3,IF(MONTH($C626)=5,$I$4,IF(MONTH($C626)=6,$I$5,IF(MONTH($C626)=7,$I$6,"ERROR")))),1,0)</f>
        <v>1</v>
      </c>
      <c r="M626" s="28">
        <f t="shared" ref="M626" si="1005">VLOOKUP($A626,$L$3:$M$7,2,FALSE)</f>
        <v>1</v>
      </c>
      <c r="N626" s="30">
        <f>VLOOKUP($C626,COS!$B$8:$H$991,5,FALSE)</f>
        <v>164.3074951171875</v>
      </c>
      <c r="O626" s="30">
        <f t="shared" ref="O626:O629" si="1006">N626*DAY($C626)*86400/43560/1000</f>
        <v>9.7769749160640487</v>
      </c>
      <c r="P626" s="30">
        <f>VLOOKUP($C626,COS!$B$8:$H$991,6,FALSE)</f>
        <v>546.31597900390625</v>
      </c>
      <c r="Q626" s="30">
        <f t="shared" ref="Q626:Q629" si="1007">P626*DAY($C626)*86400/43560/1000</f>
        <v>32.508058254777893</v>
      </c>
      <c r="R626" s="30">
        <f>MIN(IF(MONTH($C626)=4,$S$3,IF(MONTH($C626)=5,$S$4,IF(MONTH($C626)=6,$S$5,IF(MONTH($C626)=7,$S$6,"ERROR")))),MAX(VLOOKUP($C626,COS!$B$8:$K$991,10,FALSE)-IF(MONTH($C626)=4,$Y$3,IF(MONTH($C626)=5,$Y$4,IF(MONTH($C626)=6,$Y$5,IF(MONTH($C626)=7,$Y$6,"ERROR")))),0),MAX(VLOOKUP($C626,COS!$B$8:$K$991,9,FALSE)-IF(MONTH($C626)=4,$V$3,IF(MONTH($C626)=5,$V$4,IF(MONTH($C626)=6,$V$5,IF(MONTH($C626)=7,$V$6,"ERROR"))))-VLOOKUP($C626,COS!$B$8:$K$991,6,FALSE)/2,0))</f>
        <v>0</v>
      </c>
      <c r="S626" s="30">
        <f t="shared" ref="S626:S629" si="1008">R626*DAY($C626)*86400/43560/1000</f>
        <v>0</v>
      </c>
      <c r="T626" s="30">
        <f t="shared" ref="T626:T629" si="1009">(O626+Q626)/2+S626</f>
        <v>21.142516585420971</v>
      </c>
      <c r="U626" s="30" t="str">
        <f>IF(VLOOKUP($C626,COS!$B$8:$I$991,8,FALSE)=1,"UWFE","IBU")</f>
        <v>UWFE</v>
      </c>
      <c r="V626" s="30">
        <f t="shared" ref="V626" si="1010">MIN(IF(IF($AA$3=2,AND(E626=1,G626=1,L626=1,L631=1,M626=1,U626="IBU"),AND(E626=1,G626=1,L626=1,L631=1,M626=1)),T626,0),I626)</f>
        <v>0</v>
      </c>
      <c r="W626" s="30"/>
      <c r="X626" s="30"/>
      <c r="Y626" s="30"/>
      <c r="Z626" s="30"/>
      <c r="AA626" s="30"/>
      <c r="AB626" s="31"/>
    </row>
    <row r="627" spans="1:28" x14ac:dyDescent="0.3">
      <c r="A627" s="32">
        <f>VLOOKUP(YEAR(C627),Flags!$A$13:$B$95,2,FALSE)</f>
        <v>5</v>
      </c>
      <c r="B627" s="24">
        <f t="shared" si="951"/>
        <v>1990</v>
      </c>
      <c r="C627" s="25">
        <v>33024</v>
      </c>
      <c r="D627" s="26">
        <f>VLOOKUP($C627,COS!$B$8:$H$991,3,FALSE)</f>
        <v>5630.49853515625</v>
      </c>
      <c r="E627" s="24">
        <f>IF(D627&gt;=IF(MONTH($C627)=4,$C$3,IF(MONTH($C627)=5,$C$4,IF(MONTH($C627)=6,$C$5,IF(MONTH($C627)=7,$C$6,"ERROR")))),1,0)</f>
        <v>0</v>
      </c>
      <c r="F627" s="26">
        <f>VLOOKUP($C627,COS!$B$8:$H$991,7,FALSE)</f>
        <v>52.459934234619141</v>
      </c>
      <c r="G627" s="24">
        <f>IF(F627&lt;=IF(MONTH($C627)=4,$F$3,IF(MONTH($C627)=5,$F$4,IF(MONTH($C627)=6,$F$5,IF(MONTH($C627)=7,$F$6,"ERROR")))),1,0)</f>
        <v>1</v>
      </c>
      <c r="H627" s="26">
        <f>IF(J627=1,D627-$C$4,0)</f>
        <v>0</v>
      </c>
      <c r="I627" s="26">
        <f t="shared" si="982"/>
        <v>0</v>
      </c>
      <c r="J627" s="24">
        <f t="shared" si="1003"/>
        <v>0</v>
      </c>
      <c r="K627" s="26">
        <f>VLOOKUP($C627,COS!$B$8:$H$991,2,FALSE)</f>
        <v>3362.06884765625</v>
      </c>
      <c r="L627" s="24">
        <f t="shared" si="944"/>
        <v>1</v>
      </c>
      <c r="M627" s="24">
        <f t="shared" si="945"/>
        <v>1</v>
      </c>
      <c r="N627" s="26">
        <f>VLOOKUP($C627,COS!$B$8:$H$991,5,FALSE)</f>
        <v>102.29715728759766</v>
      </c>
      <c r="O627" s="26">
        <f t="shared" si="1006"/>
        <v>6.2900070266093104</v>
      </c>
      <c r="P627" s="26">
        <f>VLOOKUP($C627,COS!$B$8:$H$991,6,FALSE)</f>
        <v>1666.94287109375</v>
      </c>
      <c r="Q627" s="26">
        <f t="shared" si="1007"/>
        <v>102.49632199121901</v>
      </c>
      <c r="R627" s="26">
        <f>MIN(IF(MONTH($C627)=4,$S$3,IF(MONTH($C627)=5,$S$4,IF(MONTH($C627)=6,$S$5,IF(MONTH($C627)=7,$S$6,"ERROR")))),MAX(VLOOKUP($C627,COS!$B$8:$K$991,10,FALSE)-IF(MONTH($C627)=4,$Y$3,IF(MONTH($C627)=5,$Y$4,IF(MONTH($C627)=6,$Y$5,IF(MONTH($C627)=7,$Y$6,"ERROR")))),0),MAX(VLOOKUP($C627,COS!$B$8:$K$991,9,FALSE)-IF(MONTH($C627)=4,$V$3,IF(MONTH($C627)=5,$V$4,IF(MONTH($C627)=6,$V$5,IF(MONTH($C627)=7,$V$6,"ERROR"))))-VLOOKUP($C627,COS!$B$8:$K$991,6,FALSE)/2,0))</f>
        <v>1500</v>
      </c>
      <c r="S627" s="26">
        <f t="shared" si="1008"/>
        <v>92.231404958677686</v>
      </c>
      <c r="T627" s="26">
        <f t="shared" si="1009"/>
        <v>146.62456946759184</v>
      </c>
      <c r="U627" s="26" t="str">
        <f>IF(VLOOKUP($C627,COS!$B$8:$I$991,8,FALSE)=1,"UWFE","IBU")</f>
        <v>UWFE</v>
      </c>
      <c r="V627" s="26">
        <f t="shared" ref="V627" si="1011">MIN(IF(IF($AA$3=2,AND(E627=1,G627=1,L627=1,L631=1,M627=1,U627="IBU"),AND(E627=1,G627=1,L627=1,L631=1,M627=1)),T627,0),I627)</f>
        <v>0</v>
      </c>
      <c r="W627" s="26"/>
      <c r="X627" s="26"/>
      <c r="Y627" s="26"/>
      <c r="Z627" s="26"/>
      <c r="AA627" s="26"/>
      <c r="AB627" s="33"/>
    </row>
    <row r="628" spans="1:28" x14ac:dyDescent="0.3">
      <c r="A628" s="32">
        <f>VLOOKUP(YEAR(C628),Flags!$A$13:$B$95,2,FALSE)</f>
        <v>5</v>
      </c>
      <c r="B628" s="24">
        <f t="shared" si="951"/>
        <v>1990</v>
      </c>
      <c r="C628" s="25">
        <v>33054</v>
      </c>
      <c r="D628" s="26">
        <f>VLOOKUP($C628,COS!$B$8:$H$991,3,FALSE)</f>
        <v>8063.263671875</v>
      </c>
      <c r="E628" s="24">
        <f>IF(D628&gt;=IF(MONTH($C628)=4,$C$3,IF(MONTH($C628)=5,$C$4,IF(MONTH($C628)=6,$C$5,IF(MONTH($C628)=7,$C$6,"ERROR")))),1,0)</f>
        <v>0</v>
      </c>
      <c r="F628" s="26">
        <f>VLOOKUP($C628,COS!$B$8:$H$991,7,FALSE)</f>
        <v>53.181201934814453</v>
      </c>
      <c r="G628" s="24">
        <f>IF(F628&lt;=IF(MONTH($C628)=4,$F$3,IF(MONTH($C628)=5,$F$4,IF(MONTH($C628)=6,$F$5,IF(MONTH($C628)=7,$F$6,"ERROR")))),1,0)</f>
        <v>1</v>
      </c>
      <c r="H628" s="26">
        <f>IF(J628=1,D628-$C$5,0)</f>
        <v>0</v>
      </c>
      <c r="I628" s="26">
        <f t="shared" si="982"/>
        <v>0</v>
      </c>
      <c r="J628" s="24">
        <f t="shared" si="1003"/>
        <v>0</v>
      </c>
      <c r="K628" s="26">
        <f>VLOOKUP($C628,COS!$B$8:$H$991,2,FALSE)</f>
        <v>3180.568359375</v>
      </c>
      <c r="L628" s="24">
        <f t="shared" si="944"/>
        <v>1</v>
      </c>
      <c r="M628" s="24">
        <f t="shared" si="945"/>
        <v>1</v>
      </c>
      <c r="N628" s="26">
        <f>VLOOKUP($C628,COS!$B$8:$H$991,5,FALSE)</f>
        <v>206.65235900878906</v>
      </c>
      <c r="O628" s="26">
        <f t="shared" si="1006"/>
        <v>12.296669296390753</v>
      </c>
      <c r="P628" s="26">
        <f>VLOOKUP($C628,COS!$B$8:$H$991,6,FALSE)</f>
        <v>2506.8408203125</v>
      </c>
      <c r="Q628" s="26">
        <f t="shared" si="1007"/>
        <v>149.16738765495867</v>
      </c>
      <c r="R628" s="26">
        <f>MIN(IF(MONTH($C628)=4,$S$3,IF(MONTH($C628)=5,$S$4,IF(MONTH($C628)=6,$S$5,IF(MONTH($C628)=7,$S$6,"ERROR")))),MAX(VLOOKUP($C628,COS!$B$8:$K$991,10,FALSE)-IF(MONTH($C628)=4,$Y$3,IF(MONTH($C628)=5,$Y$4,IF(MONTH($C628)=6,$Y$5,IF(MONTH($C628)=7,$Y$6,"ERROR")))),0),MAX(VLOOKUP($C628,COS!$B$8:$K$991,9,FALSE)-IF(MONTH($C628)=4,$V$3,IF(MONTH($C628)=5,$V$4,IF(MONTH($C628)=6,$V$5,IF(MONTH($C628)=7,$V$6,"ERROR"))))-VLOOKUP($C628,COS!$B$8:$K$991,6,FALSE)/2,0))</f>
        <v>1500</v>
      </c>
      <c r="S628" s="26">
        <f t="shared" si="1008"/>
        <v>89.256198347107429</v>
      </c>
      <c r="T628" s="26">
        <f t="shared" si="1009"/>
        <v>169.98822682278214</v>
      </c>
      <c r="U628" s="26" t="str">
        <f>IF(VLOOKUP($C628,COS!$B$8:$I$991,8,FALSE)=1,"UWFE","IBU")</f>
        <v>IBU</v>
      </c>
      <c r="V628" s="26">
        <f t="shared" ref="V628" si="1012">MIN(IF(IF($AA$3=2,AND(E628=1,G628=1,L628=1,L631=1,M628=1,U628="IBU"),AND(E628=1,G628=1,L628=1,L631=1,M628=1)),T628,0),I628)</f>
        <v>0</v>
      </c>
      <c r="W628" s="26"/>
      <c r="X628" s="26"/>
      <c r="Y628" s="26"/>
      <c r="Z628" s="26"/>
      <c r="AA628" s="26"/>
      <c r="AB628" s="33"/>
    </row>
    <row r="629" spans="1:28" x14ac:dyDescent="0.3">
      <c r="A629" s="32">
        <f>VLOOKUP(YEAR(C629),Flags!$A$13:$B$95,2,FALSE)</f>
        <v>5</v>
      </c>
      <c r="B629" s="24">
        <f t="shared" si="951"/>
        <v>1990</v>
      </c>
      <c r="C629" s="25">
        <v>33085</v>
      </c>
      <c r="D629" s="26">
        <f>VLOOKUP($C629,COS!$B$8:$H$991,3,FALSE)</f>
        <v>12447.279296875</v>
      </c>
      <c r="E629" s="24">
        <f>IF(D629&gt;=IF(MONTH($C629)=4,$C$3,IF(MONTH($C629)=5,$C$4,IF(MONTH($C629)=6,$C$5,IF(MONTH($C629)=7,$C$6,"ERROR")))),1,0)</f>
        <v>1</v>
      </c>
      <c r="F629" s="26">
        <f>VLOOKUP($C629,COS!$B$8:$H$991,7,FALSE)</f>
        <v>53.944061279296875</v>
      </c>
      <c r="G629" s="24">
        <f>IF(F629&lt;=IF(MONTH($C629)=4,$F$3,IF(MONTH($C629)=5,$F$4,IF(MONTH($C629)=6,$F$5,IF(MONTH($C629)=7,$F$6,"ERROR")))),1,0)</f>
        <v>0</v>
      </c>
      <c r="H629" s="26">
        <f>IF(J629=1,D629-$C$6,0)</f>
        <v>0</v>
      </c>
      <c r="I629" s="26">
        <f t="shared" si="982"/>
        <v>0</v>
      </c>
      <c r="J629" s="24">
        <f t="shared" si="1003"/>
        <v>0</v>
      </c>
      <c r="K629" s="26">
        <f>VLOOKUP($C629,COS!$B$8:$H$991,2,FALSE)</f>
        <v>2634.774169921875</v>
      </c>
      <c r="L629" s="24">
        <f t="shared" si="944"/>
        <v>1</v>
      </c>
      <c r="M629" s="24">
        <f t="shared" si="945"/>
        <v>1</v>
      </c>
      <c r="N629" s="26">
        <f>VLOOKUP($C629,COS!$B$8:$H$991,5,FALSE)</f>
        <v>227.43785095214844</v>
      </c>
      <c r="O629" s="26">
        <f t="shared" si="1006"/>
        <v>13.984608356065987</v>
      </c>
      <c r="P629" s="26">
        <f>VLOOKUP($C629,COS!$B$8:$H$991,6,FALSE)</f>
        <v>2326.644775390625</v>
      </c>
      <c r="Q629" s="26">
        <f t="shared" si="1007"/>
        <v>143.05981098269626</v>
      </c>
      <c r="R629" s="26">
        <f>MIN(IF(MONTH($C629)=4,$S$3,IF(MONTH($C629)=5,$S$4,IF(MONTH($C629)=6,$S$5,IF(MONTH($C629)=7,$S$6,"ERROR")))),MAX(VLOOKUP($C629,COS!$B$8:$K$991,10,FALSE)-IF(MONTH($C629)=4,$Y$3,IF(MONTH($C629)=5,$Y$4,IF(MONTH($C629)=6,$Y$5,IF(MONTH($C629)=7,$Y$6,"ERROR")))),0),MAX(VLOOKUP($C629,COS!$B$8:$K$991,9,FALSE)-IF(MONTH($C629)=4,$V$3,IF(MONTH($C629)=5,$V$4,IF(MONTH($C629)=6,$V$5,IF(MONTH($C629)=7,$V$6,"ERROR"))))-VLOOKUP($C629,COS!$B$8:$K$991,6,FALSE)/2,0))</f>
        <v>1500</v>
      </c>
      <c r="S629" s="26">
        <f t="shared" si="1008"/>
        <v>92.231404958677686</v>
      </c>
      <c r="T629" s="26">
        <f t="shared" si="1009"/>
        <v>170.75361462805881</v>
      </c>
      <c r="U629" s="26" t="str">
        <f>IF(VLOOKUP($C629,COS!$B$8:$I$991,8,FALSE)=1,"UWFE","IBU")</f>
        <v>IBU</v>
      </c>
      <c r="V629" s="26">
        <f t="shared" ref="V629" si="1013">MIN(IF(IF($AA$3=2,AND(E629=1,G629=1,L629=1,L631=1,M629=1,U629="IBU"),AND(E629=1,G629=1,L629=1,L631=1,M629=1)),T629,0),I629)</f>
        <v>0</v>
      </c>
      <c r="W629" s="26"/>
      <c r="X629" s="26"/>
      <c r="Y629" s="26"/>
      <c r="Z629" s="26"/>
      <c r="AA629" s="26"/>
      <c r="AB629" s="33"/>
    </row>
    <row r="630" spans="1:28" x14ac:dyDescent="0.3">
      <c r="A630" s="32">
        <f>VLOOKUP(YEAR(C630),Flags!$A$13:$B$95,2,FALSE)</f>
        <v>5</v>
      </c>
      <c r="B630" s="24">
        <f t="shared" si="951"/>
        <v>1990</v>
      </c>
      <c r="C630" s="25">
        <v>33116</v>
      </c>
      <c r="D630" s="26"/>
      <c r="E630" s="24"/>
      <c r="F630" s="26"/>
      <c r="G630" s="24"/>
      <c r="H630" s="24"/>
      <c r="I630" s="26"/>
      <c r="J630" s="24"/>
      <c r="K630" s="26"/>
      <c r="L630" s="24"/>
      <c r="M630" s="24"/>
      <c r="N630" s="26"/>
      <c r="O630" s="26"/>
      <c r="P630" s="26"/>
      <c r="Q630" s="26"/>
      <c r="R630" s="26"/>
      <c r="S630" s="26"/>
      <c r="T630" s="26"/>
      <c r="U630" s="26"/>
      <c r="V630" s="26"/>
      <c r="W630" s="26">
        <f>MAX($C$7-VLOOKUP($C630,COS!$B$8:$H$991,3,FALSE),0)</f>
        <v>3988.85546875</v>
      </c>
      <c r="X630" s="26">
        <f t="shared" si="972"/>
        <v>245.26516270661156</v>
      </c>
      <c r="Y630" s="26">
        <f>VLOOKUP($C630,COS!$B$8:$H$991,4,FALSE)</f>
        <v>3233.810302734375</v>
      </c>
      <c r="Z630" s="26">
        <f t="shared" si="973"/>
        <v>198.83924506069215</v>
      </c>
      <c r="AA630" s="26">
        <f t="shared" ref="AA630:AA634" si="1014">MIN(W630,Y630)</f>
        <v>3233.810302734375</v>
      </c>
      <c r="AB630" s="33">
        <f t="shared" ref="AB630" si="1015">AA630*DAY($C630)*86400/43560/1000*IF(MONTH($C630)=8,$P$3,IF(MONTH($C630)=9,$P$4,IF(MONTH($C630)=10,$P$5,IF(MONTH($C630)=11,$P$6,IF(MONTH($C630)=12,$P$7,NA())))))</f>
        <v>198.83924506069215</v>
      </c>
    </row>
    <row r="631" spans="1:28" x14ac:dyDescent="0.3">
      <c r="A631" s="32">
        <f>VLOOKUP(YEAR(C631),Flags!$A$13:$B$95,2,FALSE)</f>
        <v>5</v>
      </c>
      <c r="B631" s="24">
        <f t="shared" si="951"/>
        <v>1990</v>
      </c>
      <c r="C631" s="25">
        <v>33146</v>
      </c>
      <c r="D631" s="26"/>
      <c r="E631" s="24"/>
      <c r="F631" s="26"/>
      <c r="G631" s="24"/>
      <c r="H631" s="24"/>
      <c r="I631" s="26"/>
      <c r="J631" s="24"/>
      <c r="K631" s="26">
        <f>VLOOKUP($C631,COS!$B$8:$H$991,2,FALSE)</f>
        <v>2239.517822265625</v>
      </c>
      <c r="L631" s="24">
        <f t="shared" ref="L631" si="1016">IF(AND(K631&gt;$I$7,K631&lt;$I$8),1,0)</f>
        <v>1</v>
      </c>
      <c r="M631" s="24"/>
      <c r="N631" s="26"/>
      <c r="O631" s="26"/>
      <c r="P631" s="26"/>
      <c r="Q631" s="26"/>
      <c r="R631" s="26"/>
      <c r="S631" s="26"/>
      <c r="T631" s="26"/>
      <c r="U631" s="26"/>
      <c r="V631" s="26"/>
      <c r="W631" s="26">
        <f>MAX($C$8-VLOOKUP($C631,COS!$B$8:$H$991,3,FALSE),0)</f>
        <v>346.31689453125</v>
      </c>
      <c r="X631" s="26">
        <f t="shared" si="972"/>
        <v>20.607286286157024</v>
      </c>
      <c r="Y631" s="26">
        <f>VLOOKUP($C631,COS!$B$8:$H$991,4,FALSE)</f>
        <v>1878.513671875</v>
      </c>
      <c r="Z631" s="26">
        <f t="shared" si="973"/>
        <v>111.77932592975208</v>
      </c>
      <c r="AA631" s="26">
        <f t="shared" si="1014"/>
        <v>346.31689453125</v>
      </c>
      <c r="AB631" s="33">
        <f t="shared" si="956"/>
        <v>20.607286286157024</v>
      </c>
    </row>
    <row r="632" spans="1:28" x14ac:dyDescent="0.3">
      <c r="A632" s="32">
        <f>VLOOKUP(YEAR(C632),Flags!$A$13:$B$95,2,FALSE)</f>
        <v>5</v>
      </c>
      <c r="B632" s="24">
        <f t="shared" si="951"/>
        <v>1990</v>
      </c>
      <c r="C632" s="25">
        <v>33177</v>
      </c>
      <c r="D632" s="26"/>
      <c r="E632" s="24"/>
      <c r="F632" s="26"/>
      <c r="G632" s="26"/>
      <c r="H632" s="26"/>
      <c r="I632" s="26"/>
      <c r="J632" s="26"/>
      <c r="K632" s="26"/>
      <c r="L632" s="24"/>
      <c r="M632" s="24"/>
      <c r="N632" s="26"/>
      <c r="O632" s="26"/>
      <c r="P632" s="26"/>
      <c r="Q632" s="26"/>
      <c r="R632" s="26"/>
      <c r="S632" s="26"/>
      <c r="T632" s="26"/>
      <c r="U632" s="26"/>
      <c r="V632" s="26"/>
      <c r="W632" s="26">
        <f>MAX($C$9-VLOOKUP($C632,COS!$B$8:$H$991,3,FALSE),0)</f>
        <v>0</v>
      </c>
      <c r="X632" s="26">
        <f t="shared" si="972"/>
        <v>0</v>
      </c>
      <c r="Y632" s="26">
        <f>VLOOKUP($C632,COS!$B$8:$H$991,4,FALSE)</f>
        <v>1555.8990478515625</v>
      </c>
      <c r="Z632" s="26">
        <f t="shared" si="973"/>
        <v>95.668503438145663</v>
      </c>
      <c r="AA632" s="26">
        <f t="shared" si="1014"/>
        <v>0</v>
      </c>
      <c r="AB632" s="33">
        <f t="shared" si="956"/>
        <v>0</v>
      </c>
    </row>
    <row r="633" spans="1:28" x14ac:dyDescent="0.3">
      <c r="A633" s="32">
        <f>VLOOKUP(YEAR(C633),Flags!$A$13:$B$95,2,FALSE)</f>
        <v>5</v>
      </c>
      <c r="B633" s="24">
        <f t="shared" si="951"/>
        <v>1990</v>
      </c>
      <c r="C633" s="25">
        <v>33207</v>
      </c>
      <c r="D633" s="26"/>
      <c r="E633" s="24"/>
      <c r="F633" s="26"/>
      <c r="G633" s="26"/>
      <c r="H633" s="26"/>
      <c r="I633" s="26"/>
      <c r="J633" s="26"/>
      <c r="K633" s="26"/>
      <c r="L633" s="24"/>
      <c r="M633" s="24"/>
      <c r="N633" s="26"/>
      <c r="O633" s="26"/>
      <c r="P633" s="26"/>
      <c r="Q633" s="26"/>
      <c r="R633" s="26"/>
      <c r="S633" s="26"/>
      <c r="T633" s="26"/>
      <c r="U633" s="26"/>
      <c r="V633" s="26"/>
      <c r="W633" s="26">
        <f>MAX($C$10-VLOOKUP($C633,COS!$B$8:$H$991,3,FALSE),0)</f>
        <v>914.387451171875</v>
      </c>
      <c r="X633" s="26">
        <f t="shared" si="972"/>
        <v>54.409831805268595</v>
      </c>
      <c r="Y633" s="26">
        <f>VLOOKUP($C633,COS!$B$8:$H$991,4,FALSE)</f>
        <v>1488.062255859375</v>
      </c>
      <c r="Z633" s="26">
        <f t="shared" si="973"/>
        <v>88.545853241219007</v>
      </c>
      <c r="AA633" s="26">
        <f t="shared" si="1014"/>
        <v>914.387451171875</v>
      </c>
      <c r="AB633" s="33">
        <f t="shared" si="956"/>
        <v>54.409831805268595</v>
      </c>
    </row>
    <row r="634" spans="1:28" x14ac:dyDescent="0.3">
      <c r="A634" s="34">
        <f>VLOOKUP(YEAR(C634),Flags!$A$13:$B$95,2,FALSE)</f>
        <v>5</v>
      </c>
      <c r="B634" s="35">
        <f t="shared" si="951"/>
        <v>1990</v>
      </c>
      <c r="C634" s="36">
        <v>33238</v>
      </c>
      <c r="D634" s="37"/>
      <c r="E634" s="35"/>
      <c r="F634" s="37"/>
      <c r="G634" s="37"/>
      <c r="H634" s="37"/>
      <c r="I634" s="37"/>
      <c r="J634" s="37"/>
      <c r="K634" s="37"/>
      <c r="L634" s="35"/>
      <c r="M634" s="35"/>
      <c r="N634" s="37"/>
      <c r="O634" s="37"/>
      <c r="P634" s="37"/>
      <c r="Q634" s="37"/>
      <c r="R634" s="37"/>
      <c r="S634" s="37"/>
      <c r="T634" s="37"/>
      <c r="U634" s="37"/>
      <c r="V634" s="37"/>
      <c r="W634" s="37">
        <f>MAX($C$11-VLOOKUP($C634,COS!$B$8:$H$991,3,FALSE),0)</f>
        <v>1740.13525390625</v>
      </c>
      <c r="X634" s="37">
        <f t="shared" si="972"/>
        <v>106.99674619059918</v>
      </c>
      <c r="Y634" s="37">
        <f>VLOOKUP($C634,COS!$B$8:$H$991,4,FALSE)</f>
        <v>3086.0771484375</v>
      </c>
      <c r="Z634" s="37">
        <f t="shared" si="973"/>
        <v>189.75548747417355</v>
      </c>
      <c r="AA634" s="37">
        <f t="shared" si="1014"/>
        <v>1740.13525390625</v>
      </c>
      <c r="AB634" s="38">
        <f t="shared" si="956"/>
        <v>106.99674619059918</v>
      </c>
    </row>
    <row r="635" spans="1:28" x14ac:dyDescent="0.3">
      <c r="A635" s="27">
        <f>VLOOKUP(YEAR(C635),Flags!$A$13:$B$95,2,FALSE)</f>
        <v>5</v>
      </c>
      <c r="B635" s="28">
        <f t="shared" si="951"/>
        <v>1991</v>
      </c>
      <c r="C635" s="29">
        <v>33358</v>
      </c>
      <c r="D635" s="30">
        <f>VLOOKUP($C635,COS!$B$8:$H$991,3,FALSE)</f>
        <v>3250</v>
      </c>
      <c r="E635" s="28">
        <f>IF(D635&gt;=IF(MONTH($C635)=4,$C$3,IF(MONTH($C635)=5,$C$4,IF(MONTH($C635)=6,$C$5,IF(MONTH($C635)=7,$C$6,"ERROR")))),1,0)</f>
        <v>0</v>
      </c>
      <c r="F635" s="30">
        <f>VLOOKUP($C635,COS!$B$8:$H$991,7,FALSE)</f>
        <v>52.174777984619141</v>
      </c>
      <c r="G635" s="28">
        <f>IF(F635&lt;=IF(MONTH($C635)=4,$F$3,IF(MONTH($C635)=5,$F$4,IF(MONTH($C635)=6,$F$5,IF(MONTH($C635)=7,$F$6,"ERROR")))),1,0)</f>
        <v>1</v>
      </c>
      <c r="H635" s="30">
        <f>IF(J635=1,D635-$C$3,0)</f>
        <v>0</v>
      </c>
      <c r="I635" s="30">
        <f t="shared" si="982"/>
        <v>0</v>
      </c>
      <c r="J635" s="28">
        <f t="shared" ref="J635:J638" si="1017">IF(AND(E635=1,G635=1),1,0)</f>
        <v>0</v>
      </c>
      <c r="K635" s="30">
        <f>VLOOKUP($C635,COS!$B$8:$H$991,2,FALSE)</f>
        <v>2608.74365234375</v>
      </c>
      <c r="L635" s="28">
        <f t="shared" ref="L635" si="1018">IF(K635&lt;=IF(MONTH($C635)=4,$I$3,IF(MONTH($C635)=5,$I$4,IF(MONTH($C635)=6,$I$5,IF(MONTH($C635)=7,$I$6,"ERROR")))),1,0)</f>
        <v>1</v>
      </c>
      <c r="M635" s="28">
        <f t="shared" ref="M635" si="1019">VLOOKUP($A635,$L$3:$M$7,2,FALSE)</f>
        <v>1</v>
      </c>
      <c r="N635" s="30">
        <f>VLOOKUP($C635,COS!$B$8:$H$991,5,FALSE)</f>
        <v>99.786216735839844</v>
      </c>
      <c r="O635" s="30">
        <f t="shared" ref="O635:O638" si="1020">N635*DAY($C635)*86400/43560/1000</f>
        <v>5.9376922355210482</v>
      </c>
      <c r="P635" s="30">
        <f>VLOOKUP($C635,COS!$B$8:$H$991,6,FALSE)</f>
        <v>390.43963623046875</v>
      </c>
      <c r="Q635" s="30">
        <f t="shared" ref="Q635:Q638" si="1021">P635*DAY($C635)*86400/43560/1000</f>
        <v>23.232771742639464</v>
      </c>
      <c r="R635" s="30">
        <f>MIN(IF(MONTH($C635)=4,$S$3,IF(MONTH($C635)=5,$S$4,IF(MONTH($C635)=6,$S$5,IF(MONTH($C635)=7,$S$6,"ERROR")))),MAX(VLOOKUP($C635,COS!$B$8:$K$991,10,FALSE)-IF(MONTH($C635)=4,$Y$3,IF(MONTH($C635)=5,$Y$4,IF(MONTH($C635)=6,$Y$5,IF(MONTH($C635)=7,$Y$6,"ERROR")))),0),MAX(VLOOKUP($C635,COS!$B$8:$K$991,9,FALSE)-IF(MONTH($C635)=4,$V$3,IF(MONTH($C635)=5,$V$4,IF(MONTH($C635)=6,$V$5,IF(MONTH($C635)=7,$V$6,"ERROR"))))-VLOOKUP($C635,COS!$B$8:$K$991,6,FALSE)/2,0))</f>
        <v>1454.1971740722656</v>
      </c>
      <c r="S635" s="30">
        <f t="shared" ref="S635:S638" si="1022">R635*DAY($C635)*86400/43560/1000</f>
        <v>86.530740936531515</v>
      </c>
      <c r="T635" s="30">
        <f t="shared" ref="T635:T638" si="1023">(O635+Q635)/2+S635</f>
        <v>101.11597292561177</v>
      </c>
      <c r="U635" s="30" t="str">
        <f>IF(VLOOKUP($C635,COS!$B$8:$I$991,8,FALSE)=1,"UWFE","IBU")</f>
        <v>UWFE</v>
      </c>
      <c r="V635" s="30">
        <f t="shared" ref="V635" si="1024">MIN(IF(IF($AA$3=2,AND(E635=1,G635=1,L635=1,L640=1,M635=1,U635="IBU"),AND(E635=1,G635=1,L635=1,L640=1,M635=1)),T635,0),I635)</f>
        <v>0</v>
      </c>
      <c r="W635" s="30"/>
      <c r="X635" s="30"/>
      <c r="Y635" s="30"/>
      <c r="Z635" s="30"/>
      <c r="AA635" s="30"/>
      <c r="AB635" s="31"/>
    </row>
    <row r="636" spans="1:28" x14ac:dyDescent="0.3">
      <c r="A636" s="32">
        <f>VLOOKUP(YEAR(C636),Flags!$A$13:$B$95,2,FALSE)</f>
        <v>5</v>
      </c>
      <c r="B636" s="24">
        <f t="shared" si="951"/>
        <v>1991</v>
      </c>
      <c r="C636" s="25">
        <v>33389</v>
      </c>
      <c r="D636" s="26">
        <f>VLOOKUP($C636,COS!$B$8:$H$991,3,FALSE)</f>
        <v>6746.265625</v>
      </c>
      <c r="E636" s="24">
        <f>IF(D636&gt;=IF(MONTH($C636)=4,$C$3,IF(MONTH($C636)=5,$C$4,IF(MONTH($C636)=6,$C$5,IF(MONTH($C636)=7,$C$6,"ERROR")))),1,0)</f>
        <v>1</v>
      </c>
      <c r="F636" s="26">
        <f>VLOOKUP($C636,COS!$B$8:$H$991,7,FALSE)</f>
        <v>52.1820068359375</v>
      </c>
      <c r="G636" s="24">
        <f>IF(F636&lt;=IF(MONTH($C636)=4,$F$3,IF(MONTH($C636)=5,$F$4,IF(MONTH($C636)=6,$F$5,IF(MONTH($C636)=7,$F$6,"ERROR")))),1,0)</f>
        <v>1</v>
      </c>
      <c r="H636" s="26">
        <f>IF(J636=1,D636-$C$4,0)</f>
        <v>746.265625</v>
      </c>
      <c r="I636" s="26">
        <f t="shared" si="982"/>
        <v>45.886084710743802</v>
      </c>
      <c r="J636" s="24">
        <f t="shared" si="1017"/>
        <v>1</v>
      </c>
      <c r="K636" s="26">
        <f>VLOOKUP($C636,COS!$B$8:$H$991,2,FALSE)</f>
        <v>2510.05419921875</v>
      </c>
      <c r="L636" s="24">
        <f t="shared" si="944"/>
        <v>1</v>
      </c>
      <c r="M636" s="24">
        <f t="shared" si="945"/>
        <v>1</v>
      </c>
      <c r="N636" s="26">
        <f>VLOOKUP($C636,COS!$B$8:$H$991,5,FALSE)</f>
        <v>265.20388793945313</v>
      </c>
      <c r="O636" s="26">
        <f t="shared" si="1020"/>
        <v>16.306751456772986</v>
      </c>
      <c r="P636" s="26">
        <f>VLOOKUP($C636,COS!$B$8:$H$991,6,FALSE)</f>
        <v>2166.270751953125</v>
      </c>
      <c r="Q636" s="26">
        <f t="shared" si="1021"/>
        <v>133.19879664901859</v>
      </c>
      <c r="R636" s="26">
        <f>MIN(IF(MONTH($C636)=4,$S$3,IF(MONTH($C636)=5,$S$4,IF(MONTH($C636)=6,$S$5,IF(MONTH($C636)=7,$S$6,"ERROR")))),MAX(VLOOKUP($C636,COS!$B$8:$K$991,10,FALSE)-IF(MONTH($C636)=4,$Y$3,IF(MONTH($C636)=5,$Y$4,IF(MONTH($C636)=6,$Y$5,IF(MONTH($C636)=7,$Y$6,"ERROR")))),0),MAX(VLOOKUP($C636,COS!$B$8:$K$991,9,FALSE)-IF(MONTH($C636)=4,$V$3,IF(MONTH($C636)=5,$V$4,IF(MONTH($C636)=6,$V$5,IF(MONTH($C636)=7,$V$6,"ERROR"))))-VLOOKUP($C636,COS!$B$8:$K$991,6,FALSE)/2,0))</f>
        <v>1500</v>
      </c>
      <c r="S636" s="26">
        <f t="shared" si="1022"/>
        <v>92.231404958677686</v>
      </c>
      <c r="T636" s="26">
        <f t="shared" si="1023"/>
        <v>166.98417901157347</v>
      </c>
      <c r="U636" s="26" t="str">
        <f>IF(VLOOKUP($C636,COS!$B$8:$I$991,8,FALSE)=1,"UWFE","IBU")</f>
        <v>UWFE</v>
      </c>
      <c r="V636" s="26">
        <f t="shared" ref="V636" si="1025">MIN(IF(IF($AA$3=2,AND(E636=1,G636=1,L636=1,L640=1,M636=1,U636="IBU"),AND(E636=1,G636=1,L636=1,L640=1,M636=1)),T636,0),I636)</f>
        <v>0</v>
      </c>
      <c r="W636" s="26"/>
      <c r="X636" s="26"/>
      <c r="Y636" s="26"/>
      <c r="Z636" s="26"/>
      <c r="AA636" s="26"/>
      <c r="AB636" s="33"/>
    </row>
    <row r="637" spans="1:28" x14ac:dyDescent="0.3">
      <c r="A637" s="32">
        <f>VLOOKUP(YEAR(C637),Flags!$A$13:$B$95,2,FALSE)</f>
        <v>5</v>
      </c>
      <c r="B637" s="24">
        <f t="shared" si="951"/>
        <v>1991</v>
      </c>
      <c r="C637" s="25">
        <v>33419</v>
      </c>
      <c r="D637" s="26">
        <f>VLOOKUP($C637,COS!$B$8:$H$991,3,FALSE)</f>
        <v>7646.2861328125</v>
      </c>
      <c r="E637" s="24">
        <f>IF(D637&gt;=IF(MONTH($C637)=4,$C$3,IF(MONTH($C637)=5,$C$4,IF(MONTH($C637)=6,$C$5,IF(MONTH($C637)=7,$C$6,"ERROR")))),1,0)</f>
        <v>0</v>
      </c>
      <c r="F637" s="26">
        <f>VLOOKUP($C637,COS!$B$8:$H$991,7,FALSE)</f>
        <v>53.892311096191406</v>
      </c>
      <c r="G637" s="24">
        <f>IF(F637&lt;=IF(MONTH($C637)=4,$F$3,IF(MONTH($C637)=5,$F$4,IF(MONTH($C637)=6,$F$5,IF(MONTH($C637)=7,$F$6,"ERROR")))),1,0)</f>
        <v>1</v>
      </c>
      <c r="H637" s="26">
        <f>IF(J637=1,D637-$C$5,0)</f>
        <v>0</v>
      </c>
      <c r="I637" s="26">
        <f t="shared" si="982"/>
        <v>0</v>
      </c>
      <c r="J637" s="24">
        <f t="shared" si="1017"/>
        <v>0</v>
      </c>
      <c r="K637" s="26">
        <f>VLOOKUP($C637,COS!$B$8:$H$991,2,FALSE)</f>
        <v>2234.704833984375</v>
      </c>
      <c r="L637" s="24">
        <f t="shared" si="944"/>
        <v>1</v>
      </c>
      <c r="M637" s="24">
        <f t="shared" si="945"/>
        <v>1</v>
      </c>
      <c r="N637" s="26">
        <f>VLOOKUP($C637,COS!$B$8:$H$991,5,FALSE)</f>
        <v>362.696044921875</v>
      </c>
      <c r="O637" s="26">
        <f t="shared" si="1020"/>
        <v>21.581913416838844</v>
      </c>
      <c r="P637" s="26">
        <f>VLOOKUP($C637,COS!$B$8:$H$991,6,FALSE)</f>
        <v>2380.910888671875</v>
      </c>
      <c r="Q637" s="26">
        <f t="shared" si="1021"/>
        <v>141.67403635072316</v>
      </c>
      <c r="R637" s="26">
        <f>MIN(IF(MONTH($C637)=4,$S$3,IF(MONTH($C637)=5,$S$4,IF(MONTH($C637)=6,$S$5,IF(MONTH($C637)=7,$S$6,"ERROR")))),MAX(VLOOKUP($C637,COS!$B$8:$K$991,10,FALSE)-IF(MONTH($C637)=4,$Y$3,IF(MONTH($C637)=5,$Y$4,IF(MONTH($C637)=6,$Y$5,IF(MONTH($C637)=7,$Y$6,"ERROR")))),0),MAX(VLOOKUP($C637,COS!$B$8:$K$991,9,FALSE)-IF(MONTH($C637)=4,$V$3,IF(MONTH($C637)=5,$V$4,IF(MONTH($C637)=6,$V$5,IF(MONTH($C637)=7,$V$6,"ERROR"))))-VLOOKUP($C637,COS!$B$8:$K$991,6,FALSE)/2,0))</f>
        <v>1289.97314453125</v>
      </c>
      <c r="S637" s="26">
        <f t="shared" si="1022"/>
        <v>76.758732567148769</v>
      </c>
      <c r="T637" s="26">
        <f t="shared" si="1023"/>
        <v>158.38670745092978</v>
      </c>
      <c r="U637" s="26" t="str">
        <f>IF(VLOOKUP($C637,COS!$B$8:$I$991,8,FALSE)=1,"UWFE","IBU")</f>
        <v>IBU</v>
      </c>
      <c r="V637" s="26">
        <f t="shared" ref="V637" si="1026">MIN(IF(IF($AA$3=2,AND(E637=1,G637=1,L637=1,L640=1,M637=1,U637="IBU"),AND(E637=1,G637=1,L637=1,L640=1,M637=1)),T637,0),I637)</f>
        <v>0</v>
      </c>
      <c r="W637" s="26"/>
      <c r="X637" s="26"/>
      <c r="Y637" s="26"/>
      <c r="Z637" s="26"/>
      <c r="AA637" s="26"/>
      <c r="AB637" s="33"/>
    </row>
    <row r="638" spans="1:28" x14ac:dyDescent="0.3">
      <c r="A638" s="32">
        <f>VLOOKUP(YEAR(C638),Flags!$A$13:$B$95,2,FALSE)</f>
        <v>5</v>
      </c>
      <c r="B638" s="24">
        <f t="shared" si="951"/>
        <v>1991</v>
      </c>
      <c r="C638" s="25">
        <v>33450</v>
      </c>
      <c r="D638" s="26">
        <f>VLOOKUP($C638,COS!$B$8:$H$991,3,FALSE)</f>
        <v>8667.65625</v>
      </c>
      <c r="E638" s="24">
        <f>IF(D638&gt;=IF(MONTH($C638)=4,$C$3,IF(MONTH($C638)=5,$C$4,IF(MONTH($C638)=6,$C$5,IF(MONTH($C638)=7,$C$6,"ERROR")))),1,0)</f>
        <v>0</v>
      </c>
      <c r="F638" s="26">
        <f>VLOOKUP($C638,COS!$B$8:$H$991,7,FALSE)</f>
        <v>56.067035675048828</v>
      </c>
      <c r="G638" s="24">
        <f>IF(F638&lt;=IF(MONTH($C638)=4,$F$3,IF(MONTH($C638)=5,$F$4,IF(MONTH($C638)=6,$F$5,IF(MONTH($C638)=7,$F$6,"ERROR")))),1,0)</f>
        <v>0</v>
      </c>
      <c r="H638" s="26">
        <f>IF(J638=1,D638-$C$6,0)</f>
        <v>0</v>
      </c>
      <c r="I638" s="26">
        <f t="shared" si="982"/>
        <v>0</v>
      </c>
      <c r="J638" s="24">
        <f t="shared" si="1017"/>
        <v>0</v>
      </c>
      <c r="K638" s="26">
        <f>VLOOKUP($C638,COS!$B$8:$H$991,2,FALSE)</f>
        <v>1917.2408447265625</v>
      </c>
      <c r="L638" s="24">
        <f t="shared" si="944"/>
        <v>1</v>
      </c>
      <c r="M638" s="24">
        <f t="shared" si="945"/>
        <v>1</v>
      </c>
      <c r="N638" s="26">
        <f>VLOOKUP($C638,COS!$B$8:$H$991,5,FALSE)</f>
        <v>424.0916748046875</v>
      </c>
      <c r="O638" s="26">
        <f t="shared" si="1020"/>
        <v>26.076380665676655</v>
      </c>
      <c r="P638" s="26">
        <f>VLOOKUP($C638,COS!$B$8:$H$991,6,FALSE)</f>
        <v>2281.4833984375</v>
      </c>
      <c r="Q638" s="26">
        <f t="shared" si="1021"/>
        <v>140.28294615185951</v>
      </c>
      <c r="R638" s="26">
        <f>MIN(IF(MONTH($C638)=4,$S$3,IF(MONTH($C638)=5,$S$4,IF(MONTH($C638)=6,$S$5,IF(MONTH($C638)=7,$S$6,"ERROR")))),MAX(VLOOKUP($C638,COS!$B$8:$K$991,10,FALSE)-IF(MONTH($C638)=4,$Y$3,IF(MONTH($C638)=5,$Y$4,IF(MONTH($C638)=6,$Y$5,IF(MONTH($C638)=7,$Y$6,"ERROR")))),0),MAX(VLOOKUP($C638,COS!$B$8:$K$991,9,FALSE)-IF(MONTH($C638)=4,$V$3,IF(MONTH($C638)=5,$V$4,IF(MONTH($C638)=6,$V$5,IF(MONTH($C638)=7,$V$6,"ERROR"))))-VLOOKUP($C638,COS!$B$8:$K$991,6,FALSE)/2,0))</f>
        <v>1500</v>
      </c>
      <c r="S638" s="26">
        <f t="shared" si="1022"/>
        <v>92.231404958677686</v>
      </c>
      <c r="T638" s="26">
        <f t="shared" si="1023"/>
        <v>175.41106836744575</v>
      </c>
      <c r="U638" s="26" t="str">
        <f>IF(VLOOKUP($C638,COS!$B$8:$I$991,8,FALSE)=1,"UWFE","IBU")</f>
        <v>IBU</v>
      </c>
      <c r="V638" s="26">
        <f t="shared" ref="V638" si="1027">MIN(IF(IF($AA$3=2,AND(E638=1,G638=1,L638=1,L640=1,M638=1,U638="IBU"),AND(E638=1,G638=1,L638=1,L640=1,M638=1)),T638,0),I638)</f>
        <v>0</v>
      </c>
      <c r="W638" s="26"/>
      <c r="X638" s="26"/>
      <c r="Y638" s="26"/>
      <c r="Z638" s="26"/>
      <c r="AA638" s="26"/>
      <c r="AB638" s="33"/>
    </row>
    <row r="639" spans="1:28" x14ac:dyDescent="0.3">
      <c r="A639" s="32">
        <f>VLOOKUP(YEAR(C639),Flags!$A$13:$B$95,2,FALSE)</f>
        <v>5</v>
      </c>
      <c r="B639" s="24">
        <f t="shared" si="951"/>
        <v>1991</v>
      </c>
      <c r="C639" s="25">
        <v>33481</v>
      </c>
      <c r="D639" s="26"/>
      <c r="E639" s="24"/>
      <c r="F639" s="26"/>
      <c r="G639" s="24"/>
      <c r="H639" s="24"/>
      <c r="I639" s="26"/>
      <c r="J639" s="24"/>
      <c r="K639" s="26"/>
      <c r="L639" s="24"/>
      <c r="M639" s="24"/>
      <c r="N639" s="26"/>
      <c r="O639" s="26"/>
      <c r="P639" s="26"/>
      <c r="Q639" s="26"/>
      <c r="R639" s="26"/>
      <c r="S639" s="26"/>
      <c r="T639" s="26"/>
      <c r="U639" s="26"/>
      <c r="V639" s="26"/>
      <c r="W639" s="26">
        <f>MAX($C$7-VLOOKUP($C639,COS!$B$8:$H$991,3,FALSE),0)</f>
        <v>5271.849609375</v>
      </c>
      <c r="X639" s="26">
        <f t="shared" si="972"/>
        <v>324.15339746900827</v>
      </c>
      <c r="Y639" s="26">
        <f>VLOOKUP($C639,COS!$B$8:$H$991,4,FALSE)</f>
        <v>3158.24462890625</v>
      </c>
      <c r="Z639" s="26">
        <f t="shared" si="973"/>
        <v>194.19289288481406</v>
      </c>
      <c r="AA639" s="26">
        <f t="shared" ref="AA639:AA643" si="1028">MIN(W639,Y639)</f>
        <v>3158.24462890625</v>
      </c>
      <c r="AB639" s="33">
        <f t="shared" ref="AB639" si="1029">AA639*DAY($C639)*86400/43560/1000*IF(MONTH($C639)=8,$P$3,IF(MONTH($C639)=9,$P$4,IF(MONTH($C639)=10,$P$5,IF(MONTH($C639)=11,$P$6,IF(MONTH($C639)=12,$P$7,NA())))))</f>
        <v>194.19289288481406</v>
      </c>
    </row>
    <row r="640" spans="1:28" x14ac:dyDescent="0.3">
      <c r="A640" s="32">
        <f>VLOOKUP(YEAR(C640),Flags!$A$13:$B$95,2,FALSE)</f>
        <v>5</v>
      </c>
      <c r="B640" s="24">
        <f t="shared" si="951"/>
        <v>1991</v>
      </c>
      <c r="C640" s="25">
        <v>33511</v>
      </c>
      <c r="D640" s="26"/>
      <c r="E640" s="24"/>
      <c r="F640" s="26"/>
      <c r="G640" s="24"/>
      <c r="H640" s="24"/>
      <c r="I640" s="26"/>
      <c r="J640" s="24"/>
      <c r="K640" s="26">
        <f>VLOOKUP($C640,COS!$B$8:$H$991,2,FALSE)</f>
        <v>1656.5145263671875</v>
      </c>
      <c r="L640" s="24">
        <f t="shared" ref="L640" si="1030">IF(AND(K640&gt;$I$7,K640&lt;$I$8),1,0)</f>
        <v>1</v>
      </c>
      <c r="M640" s="24"/>
      <c r="N640" s="26"/>
      <c r="O640" s="26"/>
      <c r="P640" s="26"/>
      <c r="Q640" s="26"/>
      <c r="R640" s="26"/>
      <c r="S640" s="26"/>
      <c r="T640" s="26"/>
      <c r="U640" s="26"/>
      <c r="V640" s="26"/>
      <c r="W640" s="26">
        <f>MAX($C$8-VLOOKUP($C640,COS!$B$8:$H$991,3,FALSE),0)</f>
        <v>1646.72998046875</v>
      </c>
      <c r="X640" s="26">
        <f t="shared" si="972"/>
        <v>97.98723850723141</v>
      </c>
      <c r="Y640" s="26">
        <f>VLOOKUP($C640,COS!$B$8:$H$991,4,FALSE)</f>
        <v>2165.95703125</v>
      </c>
      <c r="Z640" s="26">
        <f t="shared" si="973"/>
        <v>128.88339359504133</v>
      </c>
      <c r="AA640" s="26">
        <f t="shared" si="1028"/>
        <v>1646.72998046875</v>
      </c>
      <c r="AB640" s="33">
        <f t="shared" si="956"/>
        <v>97.98723850723141</v>
      </c>
    </row>
    <row r="641" spans="1:28" x14ac:dyDescent="0.3">
      <c r="A641" s="32">
        <f>VLOOKUP(YEAR(C641),Flags!$A$13:$B$95,2,FALSE)</f>
        <v>5</v>
      </c>
      <c r="B641" s="24">
        <f t="shared" si="951"/>
        <v>1991</v>
      </c>
      <c r="C641" s="25">
        <v>33542</v>
      </c>
      <c r="D641" s="26"/>
      <c r="E641" s="24"/>
      <c r="F641" s="26"/>
      <c r="G641" s="26"/>
      <c r="H641" s="26"/>
      <c r="I641" s="26"/>
      <c r="J641" s="26"/>
      <c r="K641" s="26"/>
      <c r="L641" s="24"/>
      <c r="M641" s="24"/>
      <c r="N641" s="26"/>
      <c r="O641" s="26"/>
      <c r="P641" s="26"/>
      <c r="Q641" s="26"/>
      <c r="R641" s="26"/>
      <c r="S641" s="26"/>
      <c r="T641" s="26"/>
      <c r="U641" s="26"/>
      <c r="V641" s="26"/>
      <c r="W641" s="26">
        <f>MAX($C$9-VLOOKUP($C641,COS!$B$8:$H$991,3,FALSE),0)</f>
        <v>0</v>
      </c>
      <c r="X641" s="26">
        <f t="shared" si="972"/>
        <v>0</v>
      </c>
      <c r="Y641" s="26">
        <f>VLOOKUP($C641,COS!$B$8:$H$991,4,FALSE)</f>
        <v>1365.7271728515625</v>
      </c>
      <c r="Z641" s="26">
        <f t="shared" si="973"/>
        <v>83.975290628228308</v>
      </c>
      <c r="AA641" s="26">
        <f t="shared" si="1028"/>
        <v>0</v>
      </c>
      <c r="AB641" s="33">
        <f t="shared" si="956"/>
        <v>0</v>
      </c>
    </row>
    <row r="642" spans="1:28" x14ac:dyDescent="0.3">
      <c r="A642" s="32">
        <f>VLOOKUP(YEAR(C642),Flags!$A$13:$B$95,2,FALSE)</f>
        <v>5</v>
      </c>
      <c r="B642" s="24">
        <f t="shared" si="951"/>
        <v>1991</v>
      </c>
      <c r="C642" s="25">
        <v>33572</v>
      </c>
      <c r="D642" s="26"/>
      <c r="E642" s="24"/>
      <c r="F642" s="26"/>
      <c r="G642" s="26"/>
      <c r="H642" s="26"/>
      <c r="I642" s="26"/>
      <c r="J642" s="26"/>
      <c r="K642" s="26"/>
      <c r="L642" s="24"/>
      <c r="M642" s="24"/>
      <c r="N642" s="26"/>
      <c r="O642" s="26"/>
      <c r="P642" s="26"/>
      <c r="Q642" s="26"/>
      <c r="R642" s="26"/>
      <c r="S642" s="26"/>
      <c r="T642" s="26"/>
      <c r="U642" s="26"/>
      <c r="V642" s="26"/>
      <c r="W642" s="26">
        <f>MAX($C$10-VLOOKUP($C642,COS!$B$8:$H$991,3,FALSE),0)</f>
        <v>0</v>
      </c>
      <c r="X642" s="26">
        <f t="shared" si="972"/>
        <v>0</v>
      </c>
      <c r="Y642" s="26">
        <f>VLOOKUP($C642,COS!$B$8:$H$991,4,FALSE)</f>
        <v>1633.0859375</v>
      </c>
      <c r="Z642" s="26">
        <f t="shared" si="973"/>
        <v>97.175361570247929</v>
      </c>
      <c r="AA642" s="26">
        <f t="shared" si="1028"/>
        <v>0</v>
      </c>
      <c r="AB642" s="33">
        <f t="shared" si="956"/>
        <v>0</v>
      </c>
    </row>
    <row r="643" spans="1:28" x14ac:dyDescent="0.3">
      <c r="A643" s="34">
        <f>VLOOKUP(YEAR(C643),Flags!$A$13:$B$95,2,FALSE)</f>
        <v>5</v>
      </c>
      <c r="B643" s="35">
        <f t="shared" si="951"/>
        <v>1991</v>
      </c>
      <c r="C643" s="36">
        <v>33603</v>
      </c>
      <c r="D643" s="37"/>
      <c r="E643" s="35"/>
      <c r="F643" s="37"/>
      <c r="G643" s="37"/>
      <c r="H643" s="37"/>
      <c r="I643" s="37"/>
      <c r="J643" s="37"/>
      <c r="K643" s="37"/>
      <c r="L643" s="35"/>
      <c r="M643" s="35"/>
      <c r="N643" s="37"/>
      <c r="O643" s="37"/>
      <c r="P643" s="37"/>
      <c r="Q643" s="37"/>
      <c r="R643" s="37"/>
      <c r="S643" s="37"/>
      <c r="T643" s="37"/>
      <c r="U643" s="37"/>
      <c r="V643" s="37"/>
      <c r="W643" s="37">
        <f>MAX($C$11-VLOOKUP($C643,COS!$B$8:$H$991,3,FALSE),0)</f>
        <v>1750</v>
      </c>
      <c r="X643" s="37">
        <f t="shared" si="972"/>
        <v>107.60330578512398</v>
      </c>
      <c r="Y643" s="37">
        <f>VLOOKUP($C643,COS!$B$8:$H$991,4,FALSE)</f>
        <v>3048.85693359375</v>
      </c>
      <c r="Z643" s="37">
        <f t="shared" si="973"/>
        <v>187.46690566890496</v>
      </c>
      <c r="AA643" s="37">
        <f t="shared" si="1028"/>
        <v>1750</v>
      </c>
      <c r="AB643" s="38">
        <f t="shared" si="956"/>
        <v>107.60330578512398</v>
      </c>
    </row>
    <row r="644" spans="1:28" x14ac:dyDescent="0.3">
      <c r="A644" s="27">
        <f>VLOOKUP(YEAR(C644),Flags!$A$13:$B$95,2,FALSE)</f>
        <v>5</v>
      </c>
      <c r="B644" s="28">
        <f t="shared" si="951"/>
        <v>1992</v>
      </c>
      <c r="C644" s="29">
        <v>33724</v>
      </c>
      <c r="D644" s="30">
        <f>VLOOKUP($C644,COS!$B$8:$H$991,3,FALSE)</f>
        <v>3250</v>
      </c>
      <c r="E644" s="28">
        <f>IF(D644&gt;=IF(MONTH($C644)=4,$C$3,IF(MONTH($C644)=5,$C$4,IF(MONTH($C644)=6,$C$5,IF(MONTH($C644)=7,$C$6,"ERROR")))),1,0)</f>
        <v>0</v>
      </c>
      <c r="F644" s="30">
        <f>VLOOKUP($C644,COS!$B$8:$H$991,7,FALSE)</f>
        <v>52.492954254150391</v>
      </c>
      <c r="G644" s="28">
        <f>IF(F644&lt;=IF(MONTH($C644)=4,$F$3,IF(MONTH($C644)=5,$F$4,IF(MONTH($C644)=6,$F$5,IF(MONTH($C644)=7,$F$6,"ERROR")))),1,0)</f>
        <v>1</v>
      </c>
      <c r="H644" s="30">
        <f>IF(J644=1,D644-$C$3,0)</f>
        <v>0</v>
      </c>
      <c r="I644" s="30">
        <f t="shared" si="982"/>
        <v>0</v>
      </c>
      <c r="J644" s="28">
        <f t="shared" ref="J644:J647" si="1031">IF(AND(E644=1,G644=1),1,0)</f>
        <v>0</v>
      </c>
      <c r="K644" s="30">
        <f>VLOOKUP($C644,COS!$B$8:$H$991,2,FALSE)</f>
        <v>2746.148681640625</v>
      </c>
      <c r="L644" s="28">
        <f t="shared" ref="L644" si="1032">IF(K644&lt;=IF(MONTH($C644)=4,$I$3,IF(MONTH($C644)=5,$I$4,IF(MONTH($C644)=6,$I$5,IF(MONTH($C644)=7,$I$6,"ERROR")))),1,0)</f>
        <v>1</v>
      </c>
      <c r="M644" s="28">
        <f t="shared" ref="M644" si="1033">VLOOKUP($A644,$L$3:$M$7,2,FALSE)</f>
        <v>1</v>
      </c>
      <c r="N644" s="30">
        <f>VLOOKUP($C644,COS!$B$8:$H$991,5,FALSE)</f>
        <v>32.692440032958984</v>
      </c>
      <c r="O644" s="30">
        <f t="shared" ref="O644:O647" si="1034">N644*DAY($C644)*86400/43560/1000</f>
        <v>1.9453352746884685</v>
      </c>
      <c r="P644" s="30">
        <f>VLOOKUP($C644,COS!$B$8:$H$991,6,FALSE)</f>
        <v>421.25204467773438</v>
      </c>
      <c r="Q644" s="30">
        <f t="shared" ref="Q644:Q647" si="1035">P644*DAY($C644)*86400/43560/1000</f>
        <v>25.066237369253617</v>
      </c>
      <c r="R644" s="30">
        <f>MIN(IF(MONTH($C644)=4,$S$3,IF(MONTH($C644)=5,$S$4,IF(MONTH($C644)=6,$S$5,IF(MONTH($C644)=7,$S$6,"ERROR")))),MAX(VLOOKUP($C644,COS!$B$8:$K$991,10,FALSE)-IF(MONTH($C644)=4,$Y$3,IF(MONTH($C644)=5,$Y$4,IF(MONTH($C644)=6,$Y$5,IF(MONTH($C644)=7,$Y$6,"ERROR")))),0),MAX(VLOOKUP($C644,COS!$B$8:$K$991,9,FALSE)-IF(MONTH($C644)=4,$V$3,IF(MONTH($C644)=5,$V$4,IF(MONTH($C644)=6,$V$5,IF(MONTH($C644)=7,$V$6,"ERROR"))))-VLOOKUP($C644,COS!$B$8:$K$991,6,FALSE)/2,0))</f>
        <v>1500</v>
      </c>
      <c r="S644" s="30">
        <f t="shared" ref="S644:S647" si="1036">R644*DAY($C644)*86400/43560/1000</f>
        <v>89.256198347107429</v>
      </c>
      <c r="T644" s="30">
        <f t="shared" ref="T644:T647" si="1037">(O644+Q644)/2+S644</f>
        <v>102.76198466907847</v>
      </c>
      <c r="U644" s="30" t="str">
        <f>IF(VLOOKUP($C644,COS!$B$8:$I$991,8,FALSE)=1,"UWFE","IBU")</f>
        <v>UWFE</v>
      </c>
      <c r="V644" s="30">
        <f t="shared" ref="V644" si="1038">MIN(IF(IF($AA$3=2,AND(E644=1,G644=1,L644=1,L649=1,M644=1,U644="IBU"),AND(E644=1,G644=1,L644=1,L649=1,M644=1)),T644,0),I644)</f>
        <v>0</v>
      </c>
      <c r="W644" s="30"/>
      <c r="X644" s="30"/>
      <c r="Y644" s="30"/>
      <c r="Z644" s="30"/>
      <c r="AA644" s="30"/>
      <c r="AB644" s="31"/>
    </row>
    <row r="645" spans="1:28" x14ac:dyDescent="0.3">
      <c r="A645" s="32">
        <f>VLOOKUP(YEAR(C645),Flags!$A$13:$B$95,2,FALSE)</f>
        <v>5</v>
      </c>
      <c r="B645" s="24">
        <f t="shared" si="951"/>
        <v>1992</v>
      </c>
      <c r="C645" s="25">
        <v>33755</v>
      </c>
      <c r="D645" s="26">
        <f>VLOOKUP($C645,COS!$B$8:$H$991,3,FALSE)</f>
        <v>8644.7744140625</v>
      </c>
      <c r="E645" s="24">
        <f>IF(D645&gt;=IF(MONTH($C645)=4,$C$3,IF(MONTH($C645)=5,$C$4,IF(MONTH($C645)=6,$C$5,IF(MONTH($C645)=7,$C$6,"ERROR")))),1,0)</f>
        <v>1</v>
      </c>
      <c r="F645" s="26">
        <f>VLOOKUP($C645,COS!$B$8:$H$991,7,FALSE)</f>
        <v>52.123382568359375</v>
      </c>
      <c r="G645" s="24">
        <f>IF(F645&lt;=IF(MONTH($C645)=4,$F$3,IF(MONTH($C645)=5,$F$4,IF(MONTH($C645)=6,$F$5,IF(MONTH($C645)=7,$F$6,"ERROR")))),1,0)</f>
        <v>1</v>
      </c>
      <c r="H645" s="26">
        <f>IF(J645=1,D645-$C$4,0)</f>
        <v>2644.7744140625</v>
      </c>
      <c r="I645" s="26">
        <f t="shared" si="982"/>
        <v>162.62084000516529</v>
      </c>
      <c r="J645" s="24">
        <f t="shared" si="1031"/>
        <v>1</v>
      </c>
      <c r="K645" s="26">
        <f>VLOOKUP($C645,COS!$B$8:$H$991,2,FALSE)</f>
        <v>2460.489501953125</v>
      </c>
      <c r="L645" s="24">
        <f t="shared" si="944"/>
        <v>1</v>
      </c>
      <c r="M645" s="24">
        <f t="shared" si="945"/>
        <v>1</v>
      </c>
      <c r="N645" s="26">
        <f>VLOOKUP($C645,COS!$B$8:$H$991,5,FALSE)</f>
        <v>10.813337326049805</v>
      </c>
      <c r="O645" s="26">
        <f t="shared" si="1034"/>
        <v>0.66488619591578968</v>
      </c>
      <c r="P645" s="26">
        <f>VLOOKUP($C645,COS!$B$8:$H$991,6,FALSE)</f>
        <v>2317.093994140625</v>
      </c>
      <c r="Q645" s="26">
        <f t="shared" si="1035"/>
        <v>142.47255633393593</v>
      </c>
      <c r="R645" s="26">
        <f>MIN(IF(MONTH($C645)=4,$S$3,IF(MONTH($C645)=5,$S$4,IF(MONTH($C645)=6,$S$5,IF(MONTH($C645)=7,$S$6,"ERROR")))),MAX(VLOOKUP($C645,COS!$B$8:$K$991,10,FALSE)-IF(MONTH($C645)=4,$Y$3,IF(MONTH($C645)=5,$Y$4,IF(MONTH($C645)=6,$Y$5,IF(MONTH($C645)=7,$Y$6,"ERROR")))),0),MAX(VLOOKUP($C645,COS!$B$8:$K$991,9,FALSE)-IF(MONTH($C645)=4,$V$3,IF(MONTH($C645)=5,$V$4,IF(MONTH($C645)=6,$V$5,IF(MONTH($C645)=7,$V$6,"ERROR"))))-VLOOKUP($C645,COS!$B$8:$K$991,6,FALSE)/2,0))</f>
        <v>1500</v>
      </c>
      <c r="S645" s="26">
        <f t="shared" si="1036"/>
        <v>92.231404958677686</v>
      </c>
      <c r="T645" s="26">
        <f t="shared" si="1037"/>
        <v>163.80012622360354</v>
      </c>
      <c r="U645" s="26" t="str">
        <f>IF(VLOOKUP($C645,COS!$B$8:$I$991,8,FALSE)=1,"UWFE","IBU")</f>
        <v>IBU</v>
      </c>
      <c r="V645" s="26">
        <f t="shared" ref="V645" si="1039">MIN(IF(IF($AA$3=2,AND(E645=1,G645=1,L645=1,L649=1,M645=1,U645="IBU"),AND(E645=1,G645=1,L645=1,L649=1,M645=1)),T645,0),I645)</f>
        <v>162.62084000516529</v>
      </c>
      <c r="W645" s="26"/>
      <c r="X645" s="26"/>
      <c r="Y645" s="26"/>
      <c r="Z645" s="26"/>
      <c r="AA645" s="26"/>
      <c r="AB645" s="33"/>
    </row>
    <row r="646" spans="1:28" x14ac:dyDescent="0.3">
      <c r="A646" s="32">
        <f>VLOOKUP(YEAR(C646),Flags!$A$13:$B$95,2,FALSE)</f>
        <v>5</v>
      </c>
      <c r="B646" s="24">
        <f t="shared" si="951"/>
        <v>1992</v>
      </c>
      <c r="C646" s="25">
        <v>33785</v>
      </c>
      <c r="D646" s="26">
        <f>VLOOKUP($C646,COS!$B$8:$H$991,3,FALSE)</f>
        <v>10366.1689453125</v>
      </c>
      <c r="E646" s="24">
        <f>IF(D646&gt;=IF(MONTH($C646)=4,$C$3,IF(MONTH($C646)=5,$C$4,IF(MONTH($C646)=6,$C$5,IF(MONTH($C646)=7,$C$6,"ERROR")))),1,0)</f>
        <v>1</v>
      </c>
      <c r="F646" s="26">
        <f>VLOOKUP($C646,COS!$B$8:$H$991,7,FALSE)</f>
        <v>53.589008331298828</v>
      </c>
      <c r="G646" s="24">
        <f>IF(F646&lt;=IF(MONTH($C646)=4,$F$3,IF(MONTH($C646)=5,$F$4,IF(MONTH($C646)=6,$F$5,IF(MONTH($C646)=7,$F$6,"ERROR")))),1,0)</f>
        <v>1</v>
      </c>
      <c r="H646" s="26">
        <f>IF(J646=1,D646-$C$5,0)</f>
        <v>366.1689453125</v>
      </c>
      <c r="I646" s="26">
        <f t="shared" si="982"/>
        <v>21.788565340909091</v>
      </c>
      <c r="J646" s="24">
        <f t="shared" si="1031"/>
        <v>1</v>
      </c>
      <c r="K646" s="26">
        <f>VLOOKUP($C646,COS!$B$8:$H$991,2,FALSE)</f>
        <v>2027.753173828125</v>
      </c>
      <c r="L646" s="24">
        <f t="shared" si="944"/>
        <v>1</v>
      </c>
      <c r="M646" s="24">
        <f t="shared" si="945"/>
        <v>1</v>
      </c>
      <c r="N646" s="26">
        <f>VLOOKUP($C646,COS!$B$8:$H$991,5,FALSE)</f>
        <v>98.261642456054688</v>
      </c>
      <c r="O646" s="26">
        <f t="shared" si="1034"/>
        <v>5.8469737659801142</v>
      </c>
      <c r="P646" s="26">
        <f>VLOOKUP($C646,COS!$B$8:$H$991,6,FALSE)</f>
        <v>2327.949951171875</v>
      </c>
      <c r="Q646" s="26">
        <f t="shared" si="1035"/>
        <v>138.52264172262394</v>
      </c>
      <c r="R646" s="26">
        <f>MIN(IF(MONTH($C646)=4,$S$3,IF(MONTH($C646)=5,$S$4,IF(MONTH($C646)=6,$S$5,IF(MONTH($C646)=7,$S$6,"ERROR")))),MAX(VLOOKUP($C646,COS!$B$8:$K$991,10,FALSE)-IF(MONTH($C646)=4,$Y$3,IF(MONTH($C646)=5,$Y$4,IF(MONTH($C646)=6,$Y$5,IF(MONTH($C646)=7,$Y$6,"ERROR")))),0),MAX(VLOOKUP($C646,COS!$B$8:$K$991,9,FALSE)-IF(MONTH($C646)=4,$V$3,IF(MONTH($C646)=5,$V$4,IF(MONTH($C646)=6,$V$5,IF(MONTH($C646)=7,$V$6,"ERROR"))))-VLOOKUP($C646,COS!$B$8:$K$991,6,FALSE)/2,0))</f>
        <v>1500</v>
      </c>
      <c r="S646" s="26">
        <f t="shared" si="1036"/>
        <v>89.256198347107429</v>
      </c>
      <c r="T646" s="26">
        <f t="shared" si="1037"/>
        <v>161.44100609140946</v>
      </c>
      <c r="U646" s="26" t="str">
        <f>IF(VLOOKUP($C646,COS!$B$8:$I$991,8,FALSE)=1,"UWFE","IBU")</f>
        <v>IBU</v>
      </c>
      <c r="V646" s="26">
        <f t="shared" ref="V646" si="1040">MIN(IF(IF($AA$3=2,AND(E646=1,G646=1,L646=1,L649=1,M646=1,U646="IBU"),AND(E646=1,G646=1,L646=1,L649=1,M646=1)),T646,0),I646)</f>
        <v>21.788565340909091</v>
      </c>
      <c r="W646" s="26"/>
      <c r="X646" s="26"/>
      <c r="Y646" s="26"/>
      <c r="Z646" s="26"/>
      <c r="AA646" s="26"/>
      <c r="AB646" s="33"/>
    </row>
    <row r="647" spans="1:28" x14ac:dyDescent="0.3">
      <c r="A647" s="32">
        <f>VLOOKUP(YEAR(C647),Flags!$A$13:$B$95,2,FALSE)</f>
        <v>5</v>
      </c>
      <c r="B647" s="24">
        <f t="shared" si="951"/>
        <v>1992</v>
      </c>
      <c r="C647" s="25">
        <v>33816</v>
      </c>
      <c r="D647" s="26">
        <f>VLOOKUP($C647,COS!$B$8:$H$991,3,FALSE)</f>
        <v>9934.8115234375</v>
      </c>
      <c r="E647" s="24">
        <f>IF(D647&gt;=IF(MONTH($C647)=4,$C$3,IF(MONTH($C647)=5,$C$4,IF(MONTH($C647)=6,$C$5,IF(MONTH($C647)=7,$C$6,"ERROR")))),1,0)</f>
        <v>0</v>
      </c>
      <c r="F647" s="26">
        <f>VLOOKUP($C647,COS!$B$8:$H$991,7,FALSE)</f>
        <v>55.741245269775391</v>
      </c>
      <c r="G647" s="24">
        <f>IF(F647&lt;=IF(MONTH($C647)=4,$F$3,IF(MONTH($C647)=5,$F$4,IF(MONTH($C647)=6,$F$5,IF(MONTH($C647)=7,$F$6,"ERROR")))),1,0)</f>
        <v>0</v>
      </c>
      <c r="H647" s="26">
        <f>IF(J647=1,D647-$C$6,0)</f>
        <v>0</v>
      </c>
      <c r="I647" s="26">
        <f t="shared" si="982"/>
        <v>0</v>
      </c>
      <c r="J647" s="24">
        <f t="shared" si="1031"/>
        <v>0</v>
      </c>
      <c r="K647" s="26">
        <f>VLOOKUP($C647,COS!$B$8:$H$991,2,FALSE)</f>
        <v>1648.2286376953125</v>
      </c>
      <c r="L647" s="24">
        <f t="shared" si="944"/>
        <v>1</v>
      </c>
      <c r="M647" s="24">
        <f t="shared" si="945"/>
        <v>1</v>
      </c>
      <c r="N647" s="26">
        <f>VLOOKUP($C647,COS!$B$8:$H$991,5,FALSE)</f>
        <v>123.65061187744141</v>
      </c>
      <c r="O647" s="26">
        <f t="shared" si="1034"/>
        <v>7.6029797716377194</v>
      </c>
      <c r="P647" s="26">
        <f>VLOOKUP($C647,COS!$B$8:$H$991,6,FALSE)</f>
        <v>2316.5048828125</v>
      </c>
      <c r="Q647" s="26">
        <f t="shared" si="1035"/>
        <v>142.43633329028924</v>
      </c>
      <c r="R647" s="26">
        <f>MIN(IF(MONTH($C647)=4,$S$3,IF(MONTH($C647)=5,$S$4,IF(MONTH($C647)=6,$S$5,IF(MONTH($C647)=7,$S$6,"ERROR")))),MAX(VLOOKUP($C647,COS!$B$8:$K$991,10,FALSE)-IF(MONTH($C647)=4,$Y$3,IF(MONTH($C647)=5,$Y$4,IF(MONTH($C647)=6,$Y$5,IF(MONTH($C647)=7,$Y$6,"ERROR")))),0),MAX(VLOOKUP($C647,COS!$B$8:$K$991,9,FALSE)-IF(MONTH($C647)=4,$V$3,IF(MONTH($C647)=5,$V$4,IF(MONTH($C647)=6,$V$5,IF(MONTH($C647)=7,$V$6,"ERROR"))))-VLOOKUP($C647,COS!$B$8:$K$991,6,FALSE)/2,0))</f>
        <v>1500</v>
      </c>
      <c r="S647" s="26">
        <f t="shared" si="1036"/>
        <v>92.231404958677686</v>
      </c>
      <c r="T647" s="26">
        <f t="shared" si="1037"/>
        <v>167.25106148964116</v>
      </c>
      <c r="U647" s="26" t="str">
        <f>IF(VLOOKUP($C647,COS!$B$8:$I$991,8,FALSE)=1,"UWFE","IBU")</f>
        <v>IBU</v>
      </c>
      <c r="V647" s="26">
        <f t="shared" ref="V647" si="1041">MIN(IF(IF($AA$3=2,AND(E647=1,G647=1,L647=1,L649=1,M647=1,U647="IBU"),AND(E647=1,G647=1,L647=1,L649=1,M647=1)),T647,0),I647)</f>
        <v>0</v>
      </c>
      <c r="W647" s="26"/>
      <c r="X647" s="26"/>
      <c r="Y647" s="26"/>
      <c r="Z647" s="26"/>
      <c r="AA647" s="26"/>
      <c r="AB647" s="33"/>
    </row>
    <row r="648" spans="1:28" x14ac:dyDescent="0.3">
      <c r="A648" s="32">
        <f>VLOOKUP(YEAR(C648),Flags!$A$13:$B$95,2,FALSE)</f>
        <v>5</v>
      </c>
      <c r="B648" s="24">
        <f t="shared" si="951"/>
        <v>1992</v>
      </c>
      <c r="C648" s="25">
        <v>33847</v>
      </c>
      <c r="D648" s="26"/>
      <c r="E648" s="24"/>
      <c r="F648" s="26"/>
      <c r="G648" s="24"/>
      <c r="H648" s="24"/>
      <c r="I648" s="26"/>
      <c r="J648" s="24"/>
      <c r="K648" s="26"/>
      <c r="L648" s="24"/>
      <c r="M648" s="24"/>
      <c r="N648" s="26"/>
      <c r="O648" s="26"/>
      <c r="P648" s="26"/>
      <c r="Q648" s="26"/>
      <c r="R648" s="26"/>
      <c r="S648" s="26"/>
      <c r="T648" s="26"/>
      <c r="U648" s="26"/>
      <c r="V648" s="26"/>
      <c r="W648" s="26">
        <f>MAX($C$7-VLOOKUP($C648,COS!$B$8:$H$991,3,FALSE),0)</f>
        <v>4620.11181640625</v>
      </c>
      <c r="X648" s="26">
        <f t="shared" si="972"/>
        <v>284.07960259555784</v>
      </c>
      <c r="Y648" s="26">
        <f>VLOOKUP($C648,COS!$B$8:$H$991,4,FALSE)</f>
        <v>2159.716552734375</v>
      </c>
      <c r="Z648" s="26">
        <f t="shared" si="973"/>
        <v>132.79579464746902</v>
      </c>
      <c r="AA648" s="26">
        <f t="shared" ref="AA648:AA652" si="1042">MIN(W648,Y648)</f>
        <v>2159.716552734375</v>
      </c>
      <c r="AB648" s="33">
        <f t="shared" ref="AB648" si="1043">AA648*DAY($C648)*86400/43560/1000*IF(MONTH($C648)=8,$P$3,IF(MONTH($C648)=9,$P$4,IF(MONTH($C648)=10,$P$5,IF(MONTH($C648)=11,$P$6,IF(MONTH($C648)=12,$P$7,NA())))))</f>
        <v>132.79579464746902</v>
      </c>
    </row>
    <row r="649" spans="1:28" x14ac:dyDescent="0.3">
      <c r="A649" s="32">
        <f>VLOOKUP(YEAR(C649),Flags!$A$13:$B$95,2,FALSE)</f>
        <v>5</v>
      </c>
      <c r="B649" s="24">
        <f t="shared" si="951"/>
        <v>1992</v>
      </c>
      <c r="C649" s="25">
        <v>33877</v>
      </c>
      <c r="D649" s="26"/>
      <c r="E649" s="24"/>
      <c r="F649" s="26"/>
      <c r="G649" s="24"/>
      <c r="H649" s="24"/>
      <c r="I649" s="26"/>
      <c r="J649" s="24"/>
      <c r="K649" s="26">
        <f>VLOOKUP($C649,COS!$B$8:$H$991,2,FALSE)</f>
        <v>1352.76123046875</v>
      </c>
      <c r="L649" s="24">
        <f t="shared" ref="L649" si="1044">IF(AND(K649&gt;$I$7,K649&lt;$I$8),1,0)</f>
        <v>1</v>
      </c>
      <c r="M649" s="24"/>
      <c r="N649" s="26"/>
      <c r="O649" s="26"/>
      <c r="P649" s="26"/>
      <c r="Q649" s="26"/>
      <c r="R649" s="26"/>
      <c r="S649" s="26"/>
      <c r="T649" s="26"/>
      <c r="U649" s="26"/>
      <c r="V649" s="26"/>
      <c r="W649" s="26">
        <f>MAX($C$8-VLOOKUP($C649,COS!$B$8:$H$991,3,FALSE),0)</f>
        <v>1769.34130859375</v>
      </c>
      <c r="X649" s="26">
        <f t="shared" si="972"/>
        <v>105.28311918904959</v>
      </c>
      <c r="Y649" s="26">
        <f>VLOOKUP($C649,COS!$B$8:$H$991,4,FALSE)</f>
        <v>1930.2186279296875</v>
      </c>
      <c r="Z649" s="26">
        <f t="shared" si="973"/>
        <v>114.85598447184918</v>
      </c>
      <c r="AA649" s="26">
        <f t="shared" si="1042"/>
        <v>1769.34130859375</v>
      </c>
      <c r="AB649" s="33">
        <f t="shared" si="956"/>
        <v>105.28311918904959</v>
      </c>
    </row>
    <row r="650" spans="1:28" x14ac:dyDescent="0.3">
      <c r="A650" s="32">
        <f>VLOOKUP(YEAR(C650),Flags!$A$13:$B$95,2,FALSE)</f>
        <v>5</v>
      </c>
      <c r="B650" s="24">
        <f t="shared" si="951"/>
        <v>1992</v>
      </c>
      <c r="C650" s="25">
        <v>33908</v>
      </c>
      <c r="D650" s="26"/>
      <c r="E650" s="24"/>
      <c r="F650" s="26"/>
      <c r="G650" s="26"/>
      <c r="H650" s="26"/>
      <c r="I650" s="26"/>
      <c r="J650" s="26"/>
      <c r="K650" s="26"/>
      <c r="L650" s="24"/>
      <c r="M650" s="24"/>
      <c r="N650" s="26"/>
      <c r="O650" s="26"/>
      <c r="P650" s="26"/>
      <c r="Q650" s="26"/>
      <c r="R650" s="26"/>
      <c r="S650" s="26"/>
      <c r="T650" s="26"/>
      <c r="U650" s="26"/>
      <c r="V650" s="26"/>
      <c r="W650" s="26">
        <f>MAX($C$9-VLOOKUP($C650,COS!$B$8:$H$991,3,FALSE),0)</f>
        <v>0</v>
      </c>
      <c r="X650" s="26">
        <f t="shared" si="972"/>
        <v>0</v>
      </c>
      <c r="Y650" s="26">
        <f>VLOOKUP($C650,COS!$B$8:$H$991,4,FALSE)</f>
        <v>1311.4129638671875</v>
      </c>
      <c r="Z650" s="26">
        <f t="shared" si="973"/>
        <v>80.635640092329538</v>
      </c>
      <c r="AA650" s="26">
        <f t="shared" si="1042"/>
        <v>0</v>
      </c>
      <c r="AB650" s="33">
        <f t="shared" si="956"/>
        <v>0</v>
      </c>
    </row>
    <row r="651" spans="1:28" x14ac:dyDescent="0.3">
      <c r="A651" s="32">
        <f>VLOOKUP(YEAR(C651),Flags!$A$13:$B$95,2,FALSE)</f>
        <v>5</v>
      </c>
      <c r="B651" s="24">
        <f t="shared" si="951"/>
        <v>1992</v>
      </c>
      <c r="C651" s="25">
        <v>33938</v>
      </c>
      <c r="D651" s="26"/>
      <c r="E651" s="24"/>
      <c r="F651" s="26"/>
      <c r="G651" s="26"/>
      <c r="H651" s="26"/>
      <c r="I651" s="26"/>
      <c r="J651" s="26"/>
      <c r="K651" s="26"/>
      <c r="L651" s="24"/>
      <c r="M651" s="24"/>
      <c r="N651" s="26"/>
      <c r="O651" s="26"/>
      <c r="P651" s="26"/>
      <c r="Q651" s="26"/>
      <c r="R651" s="26"/>
      <c r="S651" s="26"/>
      <c r="T651" s="26"/>
      <c r="U651" s="26"/>
      <c r="V651" s="26"/>
      <c r="W651" s="26">
        <f>MAX($C$10-VLOOKUP($C651,COS!$B$8:$H$991,3,FALSE),0)</f>
        <v>168.818359375</v>
      </c>
      <c r="X651" s="26">
        <f t="shared" si="972"/>
        <v>10.045389979338843</v>
      </c>
      <c r="Y651" s="26">
        <f>VLOOKUP($C651,COS!$B$8:$H$991,4,FALSE)</f>
        <v>1543.501953125</v>
      </c>
      <c r="Z651" s="26">
        <f t="shared" si="973"/>
        <v>91.844744318181824</v>
      </c>
      <c r="AA651" s="26">
        <f t="shared" si="1042"/>
        <v>168.818359375</v>
      </c>
      <c r="AB651" s="33">
        <f t="shared" si="956"/>
        <v>10.045389979338843</v>
      </c>
    </row>
    <row r="652" spans="1:28" x14ac:dyDescent="0.3">
      <c r="A652" s="34">
        <f>VLOOKUP(YEAR(C652),Flags!$A$13:$B$95,2,FALSE)</f>
        <v>5</v>
      </c>
      <c r="B652" s="35">
        <f t="shared" si="951"/>
        <v>1992</v>
      </c>
      <c r="C652" s="36">
        <v>33969</v>
      </c>
      <c r="D652" s="37"/>
      <c r="E652" s="35"/>
      <c r="F652" s="37"/>
      <c r="G652" s="37"/>
      <c r="H652" s="37"/>
      <c r="I652" s="37"/>
      <c r="J652" s="37"/>
      <c r="K652" s="37"/>
      <c r="L652" s="35"/>
      <c r="M652" s="35"/>
      <c r="N652" s="37"/>
      <c r="O652" s="37"/>
      <c r="P652" s="37"/>
      <c r="Q652" s="37"/>
      <c r="R652" s="37"/>
      <c r="S652" s="37"/>
      <c r="T652" s="37"/>
      <c r="U652" s="37"/>
      <c r="V652" s="37"/>
      <c r="W652" s="37">
        <f>MAX($C$11-VLOOKUP($C652,COS!$B$8:$H$991,3,FALSE),0)</f>
        <v>1750</v>
      </c>
      <c r="X652" s="37">
        <f t="shared" si="972"/>
        <v>107.60330578512398</v>
      </c>
      <c r="Y652" s="37">
        <f>VLOOKUP($C652,COS!$B$8:$H$991,4,FALSE)</f>
        <v>1778.0540771484375</v>
      </c>
      <c r="Z652" s="37">
        <f t="shared" si="973"/>
        <v>109.32828375193698</v>
      </c>
      <c r="AA652" s="37">
        <f t="shared" si="1042"/>
        <v>1750</v>
      </c>
      <c r="AB652" s="38">
        <f t="shared" si="956"/>
        <v>107.60330578512398</v>
      </c>
    </row>
    <row r="653" spans="1:28" x14ac:dyDescent="0.3">
      <c r="A653" s="27">
        <f>VLOOKUP(YEAR(C653),Flags!$A$13:$B$95,2,FALSE)</f>
        <v>2</v>
      </c>
      <c r="B653" s="28">
        <f t="shared" si="951"/>
        <v>1993</v>
      </c>
      <c r="C653" s="29">
        <v>34089</v>
      </c>
      <c r="D653" s="30">
        <f>VLOOKUP($C653,COS!$B$8:$H$991,3,FALSE)</f>
        <v>4509.7060546875</v>
      </c>
      <c r="E653" s="28">
        <f>IF(D653&gt;=IF(MONTH($C653)=4,$C$3,IF(MONTH($C653)=5,$C$4,IF(MONTH($C653)=6,$C$5,IF(MONTH($C653)=7,$C$6,"ERROR")))),1,0)</f>
        <v>0</v>
      </c>
      <c r="F653" s="30">
        <f>VLOOKUP($C653,COS!$B$8:$H$991,7,FALSE)</f>
        <v>48.90673828125</v>
      </c>
      <c r="G653" s="28">
        <f>IF(F653&lt;=IF(MONTH($C653)=4,$F$3,IF(MONTH($C653)=5,$F$4,IF(MONTH($C653)=6,$F$5,IF(MONTH($C653)=7,$F$6,"ERROR")))),1,0)</f>
        <v>1</v>
      </c>
      <c r="H653" s="30">
        <f>IF(J653=1,D653-$C$3,0)</f>
        <v>0</v>
      </c>
      <c r="I653" s="30">
        <f t="shared" si="982"/>
        <v>0</v>
      </c>
      <c r="J653" s="28">
        <f t="shared" ref="J653:J656" si="1045">IF(AND(E653=1,G653=1),1,0)</f>
        <v>0</v>
      </c>
      <c r="K653" s="30">
        <f>VLOOKUP($C653,COS!$B$8:$H$991,2,FALSE)</f>
        <v>4552</v>
      </c>
      <c r="L653" s="28">
        <f t="shared" ref="L653:L710" si="1046">IF(K653&lt;=IF(MONTH($C653)=4,$I$3,IF(MONTH($C653)=5,$I$4,IF(MONTH($C653)=6,$I$5,IF(MONTH($C653)=7,$I$6,"ERROR")))),1,0)</f>
        <v>1</v>
      </c>
      <c r="M653" s="28">
        <f t="shared" ref="M653:M710" si="1047">VLOOKUP($A653,$L$3:$M$7,2,FALSE)</f>
        <v>0</v>
      </c>
      <c r="N653" s="30">
        <f>VLOOKUP($C653,COS!$B$8:$H$991,5,FALSE)</f>
        <v>455.07608032226563</v>
      </c>
      <c r="O653" s="30">
        <f t="shared" ref="O653:O656" si="1048">N653*DAY($C653)*86400/43560/1000</f>
        <v>27.078907258845557</v>
      </c>
      <c r="P653" s="30">
        <f>VLOOKUP($C653,COS!$B$8:$H$991,6,FALSE)</f>
        <v>445.36074829101563</v>
      </c>
      <c r="Q653" s="30">
        <f t="shared" ref="Q653:Q656" si="1049">P653*DAY($C653)*86400/43560/1000</f>
        <v>26.500804856986054</v>
      </c>
      <c r="R653" s="30">
        <f>MIN(IF(MONTH($C653)=4,$S$3,IF(MONTH($C653)=5,$S$4,IF(MONTH($C653)=6,$S$5,IF(MONTH($C653)=7,$S$6,"ERROR")))),MAX(VLOOKUP($C653,COS!$B$8:$K$991,10,FALSE)-IF(MONTH($C653)=4,$Y$3,IF(MONTH($C653)=5,$Y$4,IF(MONTH($C653)=6,$Y$5,IF(MONTH($C653)=7,$Y$6,"ERROR")))),0),MAX(VLOOKUP($C653,COS!$B$8:$K$991,9,FALSE)-IF(MONTH($C653)=4,$V$3,IF(MONTH($C653)=5,$V$4,IF(MONTH($C653)=6,$V$5,IF(MONTH($C653)=7,$V$6,"ERROR"))))-VLOOKUP($C653,COS!$B$8:$K$991,6,FALSE)/2,0))</f>
        <v>1500</v>
      </c>
      <c r="S653" s="30">
        <f t="shared" ref="S653:S656" si="1050">R653*DAY($C653)*86400/43560/1000</f>
        <v>89.256198347107429</v>
      </c>
      <c r="T653" s="30">
        <f t="shared" ref="T653:T656" si="1051">(O653+Q653)/2+S653</f>
        <v>116.04605440502323</v>
      </c>
      <c r="U653" s="30" t="str">
        <f>IF(VLOOKUP($C653,COS!$B$8:$I$991,8,FALSE)=1,"UWFE","IBU")</f>
        <v>UWFE</v>
      </c>
      <c r="V653" s="30">
        <f t="shared" ref="V653" si="1052">MIN(IF(IF($AA$3=2,AND(E653=1,G653=1,L653=1,L658=1,M653=1,U653="IBU"),AND(E653=1,G653=1,L653=1,L658=1,M653=1)),T653,0),I653)</f>
        <v>0</v>
      </c>
      <c r="W653" s="30"/>
      <c r="X653" s="30"/>
      <c r="Y653" s="30"/>
      <c r="Z653" s="30"/>
      <c r="AA653" s="30"/>
      <c r="AB653" s="31"/>
    </row>
    <row r="654" spans="1:28" x14ac:dyDescent="0.3">
      <c r="A654" s="32">
        <f>VLOOKUP(YEAR(C654),Flags!$A$13:$B$95,2,FALSE)</f>
        <v>2</v>
      </c>
      <c r="B654" s="24">
        <f t="shared" si="951"/>
        <v>1993</v>
      </c>
      <c r="C654" s="25">
        <v>34120</v>
      </c>
      <c r="D654" s="26">
        <f>VLOOKUP($C654,COS!$B$8:$H$991,3,FALSE)</f>
        <v>9188.9970703125</v>
      </c>
      <c r="E654" s="24">
        <f>IF(D654&gt;=IF(MONTH($C654)=4,$C$3,IF(MONTH($C654)=5,$C$4,IF(MONTH($C654)=6,$C$5,IF(MONTH($C654)=7,$C$6,"ERROR")))),1,0)</f>
        <v>1</v>
      </c>
      <c r="F654" s="26">
        <f>VLOOKUP($C654,COS!$B$8:$H$991,7,FALSE)</f>
        <v>49.416866302490234</v>
      </c>
      <c r="G654" s="24">
        <f>IF(F654&lt;=IF(MONTH($C654)=4,$F$3,IF(MONTH($C654)=5,$F$4,IF(MONTH($C654)=6,$F$5,IF(MONTH($C654)=7,$F$6,"ERROR")))),1,0)</f>
        <v>1</v>
      </c>
      <c r="H654" s="26">
        <f>IF(J654=1,D654-$C$4,0)</f>
        <v>3188.9970703125</v>
      </c>
      <c r="I654" s="26">
        <f t="shared" si="982"/>
        <v>196.08378680268595</v>
      </c>
      <c r="J654" s="24">
        <f t="shared" si="1045"/>
        <v>1</v>
      </c>
      <c r="K654" s="26">
        <f>VLOOKUP($C654,COS!$B$8:$H$991,2,FALSE)</f>
        <v>4552</v>
      </c>
      <c r="L654" s="24">
        <f t="shared" si="1046"/>
        <v>1</v>
      </c>
      <c r="M654" s="24">
        <f t="shared" si="1047"/>
        <v>0</v>
      </c>
      <c r="N654" s="26">
        <f>VLOOKUP($C654,COS!$B$8:$H$991,5,FALSE)</f>
        <v>533.46905517578125</v>
      </c>
      <c r="O654" s="26">
        <f t="shared" si="1048"/>
        <v>32.801733640560435</v>
      </c>
      <c r="P654" s="26">
        <f>VLOOKUP($C654,COS!$B$8:$H$991,6,FALSE)</f>
        <v>1840.1044921875</v>
      </c>
      <c r="Q654" s="26">
        <f t="shared" si="1049"/>
        <v>113.14361505681818</v>
      </c>
      <c r="R654" s="26">
        <f>MIN(IF(MONTH($C654)=4,$S$3,IF(MONTH($C654)=5,$S$4,IF(MONTH($C654)=6,$S$5,IF(MONTH($C654)=7,$S$6,"ERROR")))),MAX(VLOOKUP($C654,COS!$B$8:$K$991,10,FALSE)-IF(MONTH($C654)=4,$Y$3,IF(MONTH($C654)=5,$Y$4,IF(MONTH($C654)=6,$Y$5,IF(MONTH($C654)=7,$Y$6,"ERROR")))),0),MAX(VLOOKUP($C654,COS!$B$8:$K$991,9,FALSE)-IF(MONTH($C654)=4,$V$3,IF(MONTH($C654)=5,$V$4,IF(MONTH($C654)=6,$V$5,IF(MONTH($C654)=7,$V$6,"ERROR"))))-VLOOKUP($C654,COS!$B$8:$K$991,6,FALSE)/2,0))</f>
        <v>1500</v>
      </c>
      <c r="S654" s="26">
        <f t="shared" si="1050"/>
        <v>92.231404958677686</v>
      </c>
      <c r="T654" s="26">
        <f t="shared" si="1051"/>
        <v>165.20407930736701</v>
      </c>
      <c r="U654" s="26" t="str">
        <f>IF(VLOOKUP($C654,COS!$B$8:$I$991,8,FALSE)=1,"UWFE","IBU")</f>
        <v>UWFE</v>
      </c>
      <c r="V654" s="26">
        <f t="shared" ref="V654" si="1053">MIN(IF(IF($AA$3=2,AND(E654=1,G654=1,L654=1,L658=1,M654=1,U654="IBU"),AND(E654=1,G654=1,L654=1,L658=1,M654=1)),T654,0),I654)</f>
        <v>0</v>
      </c>
      <c r="W654" s="26"/>
      <c r="X654" s="26"/>
      <c r="Y654" s="26"/>
      <c r="Z654" s="26"/>
      <c r="AA654" s="26"/>
      <c r="AB654" s="33"/>
    </row>
    <row r="655" spans="1:28" x14ac:dyDescent="0.3">
      <c r="A655" s="32">
        <f>VLOOKUP(YEAR(C655),Flags!$A$13:$B$95,2,FALSE)</f>
        <v>2</v>
      </c>
      <c r="B655" s="24">
        <f t="shared" ref="B655:B718" si="1054">YEAR(C655)</f>
        <v>1993</v>
      </c>
      <c r="C655" s="25">
        <v>34150</v>
      </c>
      <c r="D655" s="26">
        <f>VLOOKUP($C655,COS!$B$8:$H$991,3,FALSE)</f>
        <v>8366.6103515625</v>
      </c>
      <c r="E655" s="24">
        <f>IF(D655&gt;=IF(MONTH($C655)=4,$C$3,IF(MONTH($C655)=5,$C$4,IF(MONTH($C655)=6,$C$5,IF(MONTH($C655)=7,$C$6,"ERROR")))),1,0)</f>
        <v>0</v>
      </c>
      <c r="F655" s="26">
        <f>VLOOKUP($C655,COS!$B$8:$H$991,7,FALSE)</f>
        <v>51.333587646484375</v>
      </c>
      <c r="G655" s="24">
        <f>IF(F655&lt;=IF(MONTH($C655)=4,$F$3,IF(MONTH($C655)=5,$F$4,IF(MONTH($C655)=6,$F$5,IF(MONTH($C655)=7,$F$6,"ERROR")))),1,0)</f>
        <v>1</v>
      </c>
      <c r="H655" s="26">
        <f>IF(J655=1,D655-$C$5,0)</f>
        <v>0</v>
      </c>
      <c r="I655" s="26">
        <f t="shared" si="982"/>
        <v>0</v>
      </c>
      <c r="J655" s="24">
        <f t="shared" si="1045"/>
        <v>0</v>
      </c>
      <c r="K655" s="26">
        <f>VLOOKUP($C655,COS!$B$8:$H$991,2,FALSE)</f>
        <v>4500</v>
      </c>
      <c r="L655" s="24">
        <f t="shared" si="1046"/>
        <v>1</v>
      </c>
      <c r="M655" s="24">
        <f t="shared" si="1047"/>
        <v>0</v>
      </c>
      <c r="N655" s="26">
        <f>VLOOKUP($C655,COS!$B$8:$H$991,5,FALSE)</f>
        <v>1014.9423828125</v>
      </c>
      <c r="O655" s="26">
        <f t="shared" si="1048"/>
        <v>60.39326575413223</v>
      </c>
      <c r="P655" s="26">
        <f>VLOOKUP($C655,COS!$B$8:$H$991,6,FALSE)</f>
        <v>2171.25048828125</v>
      </c>
      <c r="Q655" s="26">
        <f t="shared" si="1049"/>
        <v>129.19837616219007</v>
      </c>
      <c r="R655" s="26">
        <f>MIN(IF(MONTH($C655)=4,$S$3,IF(MONTH($C655)=5,$S$4,IF(MONTH($C655)=6,$S$5,IF(MONTH($C655)=7,$S$6,"ERROR")))),MAX(VLOOKUP($C655,COS!$B$8:$K$991,10,FALSE)-IF(MONTH($C655)=4,$Y$3,IF(MONTH($C655)=5,$Y$4,IF(MONTH($C655)=6,$Y$5,IF(MONTH($C655)=7,$Y$6,"ERROR")))),0),MAX(VLOOKUP($C655,COS!$B$8:$K$991,9,FALSE)-IF(MONTH($C655)=4,$V$3,IF(MONTH($C655)=5,$V$4,IF(MONTH($C655)=6,$V$5,IF(MONTH($C655)=7,$V$6,"ERROR"))))-VLOOKUP($C655,COS!$B$8:$K$991,6,FALSE)/2,0))</f>
        <v>1500</v>
      </c>
      <c r="S655" s="26">
        <f t="shared" si="1050"/>
        <v>89.256198347107429</v>
      </c>
      <c r="T655" s="26">
        <f t="shared" si="1051"/>
        <v>184.05201930526857</v>
      </c>
      <c r="U655" s="26" t="str">
        <f>IF(VLOOKUP($C655,COS!$B$8:$I$991,8,FALSE)=1,"UWFE","IBU")</f>
        <v>UWFE</v>
      </c>
      <c r="V655" s="26">
        <f t="shared" ref="V655" si="1055">MIN(IF(IF($AA$3=2,AND(E655=1,G655=1,L655=1,L658=1,M655=1,U655="IBU"),AND(E655=1,G655=1,L655=1,L658=1,M655=1)),T655,0),I655)</f>
        <v>0</v>
      </c>
      <c r="W655" s="26"/>
      <c r="X655" s="26"/>
      <c r="Y655" s="26"/>
      <c r="Z655" s="26"/>
      <c r="AA655" s="26"/>
      <c r="AB655" s="33"/>
    </row>
    <row r="656" spans="1:28" x14ac:dyDescent="0.3">
      <c r="A656" s="32">
        <f>VLOOKUP(YEAR(C656),Flags!$A$13:$B$95,2,FALSE)</f>
        <v>2</v>
      </c>
      <c r="B656" s="24">
        <f t="shared" si="1054"/>
        <v>1993</v>
      </c>
      <c r="C656" s="25">
        <v>34181</v>
      </c>
      <c r="D656" s="26">
        <f>VLOOKUP($C656,COS!$B$8:$H$991,3,FALSE)</f>
        <v>14804.357421875</v>
      </c>
      <c r="E656" s="24">
        <f>IF(D656&gt;=IF(MONTH($C656)=4,$C$3,IF(MONTH($C656)=5,$C$4,IF(MONTH($C656)=6,$C$5,IF(MONTH($C656)=7,$C$6,"ERROR")))),1,0)</f>
        <v>1</v>
      </c>
      <c r="F656" s="26">
        <f>VLOOKUP($C656,COS!$B$8:$H$991,7,FALSE)</f>
        <v>51.517642974853516</v>
      </c>
      <c r="G656" s="24">
        <f>IF(F656&lt;=IF(MONTH($C656)=4,$F$3,IF(MONTH($C656)=5,$F$4,IF(MONTH($C656)=6,$F$5,IF(MONTH($C656)=7,$F$6,"ERROR")))),1,0)</f>
        <v>1</v>
      </c>
      <c r="H656" s="26">
        <f>IF(J656=1,D656-$C$6,0)</f>
        <v>2804.357421875</v>
      </c>
      <c r="I656" s="26">
        <f t="shared" si="982"/>
        <v>172.4332166838843</v>
      </c>
      <c r="J656" s="24">
        <f t="shared" si="1045"/>
        <v>1</v>
      </c>
      <c r="K656" s="26">
        <f>VLOOKUP($C656,COS!$B$8:$H$991,2,FALSE)</f>
        <v>3787.8994140625</v>
      </c>
      <c r="L656" s="24">
        <f t="shared" si="1046"/>
        <v>1</v>
      </c>
      <c r="M656" s="24">
        <f t="shared" si="1047"/>
        <v>0</v>
      </c>
      <c r="N656" s="26">
        <f>VLOOKUP($C656,COS!$B$8:$H$991,5,FALSE)</f>
        <v>1376.93798828125</v>
      </c>
      <c r="O656" s="26">
        <f t="shared" si="1048"/>
        <v>84.664616800103303</v>
      </c>
      <c r="P656" s="26">
        <f>VLOOKUP($C656,COS!$B$8:$H$991,6,FALSE)</f>
        <v>2562.892822265625</v>
      </c>
      <c r="Q656" s="26">
        <f t="shared" si="1049"/>
        <v>157.58613717071282</v>
      </c>
      <c r="R656" s="26">
        <f>MIN(IF(MONTH($C656)=4,$S$3,IF(MONTH($C656)=5,$S$4,IF(MONTH($C656)=6,$S$5,IF(MONTH($C656)=7,$S$6,"ERROR")))),MAX(VLOOKUP($C656,COS!$B$8:$K$991,10,FALSE)-IF(MONTH($C656)=4,$Y$3,IF(MONTH($C656)=5,$Y$4,IF(MONTH($C656)=6,$Y$5,IF(MONTH($C656)=7,$Y$6,"ERROR")))),0),MAX(VLOOKUP($C656,COS!$B$8:$K$991,9,FALSE)-IF(MONTH($C656)=4,$V$3,IF(MONTH($C656)=5,$V$4,IF(MONTH($C656)=6,$V$5,IF(MONTH($C656)=7,$V$6,"ERROR"))))-VLOOKUP($C656,COS!$B$8:$K$991,6,FALSE)/2,0))</f>
        <v>1500</v>
      </c>
      <c r="S656" s="26">
        <f t="shared" si="1050"/>
        <v>92.231404958677686</v>
      </c>
      <c r="T656" s="26">
        <f t="shared" si="1051"/>
        <v>213.35678194408575</v>
      </c>
      <c r="U656" s="26" t="str">
        <f>IF(VLOOKUP($C656,COS!$B$8:$I$991,8,FALSE)=1,"UWFE","IBU")</f>
        <v>IBU</v>
      </c>
      <c r="V656" s="26">
        <f t="shared" ref="V656" si="1056">MIN(IF(IF($AA$3=2,AND(E656=1,G656=1,L656=1,L658=1,M656=1,U656="IBU"),AND(E656=1,G656=1,L656=1,L658=1,M656=1)),T656,0),I656)</f>
        <v>0</v>
      </c>
      <c r="W656" s="26"/>
      <c r="X656" s="26"/>
      <c r="Y656" s="26"/>
      <c r="Z656" s="26"/>
      <c r="AA656" s="26"/>
      <c r="AB656" s="33"/>
    </row>
    <row r="657" spans="1:28" x14ac:dyDescent="0.3">
      <c r="A657" s="32">
        <f>VLOOKUP(YEAR(C657),Flags!$A$13:$B$95,2,FALSE)</f>
        <v>2</v>
      </c>
      <c r="B657" s="24">
        <f t="shared" si="1054"/>
        <v>1993</v>
      </c>
      <c r="C657" s="25">
        <v>34212</v>
      </c>
      <c r="D657" s="26"/>
      <c r="E657" s="24"/>
      <c r="F657" s="26"/>
      <c r="G657" s="24"/>
      <c r="H657" s="24"/>
      <c r="I657" s="26"/>
      <c r="J657" s="24"/>
      <c r="K657" s="26"/>
      <c r="L657" s="24"/>
      <c r="M657" s="24"/>
      <c r="N657" s="26"/>
      <c r="O657" s="26"/>
      <c r="P657" s="26"/>
      <c r="Q657" s="26"/>
      <c r="R657" s="26"/>
      <c r="S657" s="26"/>
      <c r="T657" s="26"/>
      <c r="U657" s="26"/>
      <c r="V657" s="26"/>
      <c r="W657" s="26">
        <f>MAX($C$7-VLOOKUP($C657,COS!$B$8:$H$991,3,FALSE),0)</f>
        <v>2623.63671875</v>
      </c>
      <c r="X657" s="26">
        <f t="shared" si="972"/>
        <v>161.32113378099174</v>
      </c>
      <c r="Y657" s="26">
        <f>VLOOKUP($C657,COS!$B$8:$H$991,4,FALSE)</f>
        <v>168.43087768554688</v>
      </c>
      <c r="Z657" s="26">
        <f t="shared" si="973"/>
        <v>10.356410991574121</v>
      </c>
      <c r="AA657" s="26">
        <f t="shared" ref="AA657:AA661" si="1057">MIN(W657,Y657)</f>
        <v>168.43087768554688</v>
      </c>
      <c r="AB657" s="33">
        <f t="shared" ref="AB657:AB715" si="1058">AA657*DAY($C657)*86400/43560/1000*IF(MONTH($C657)=8,$P$3,IF(MONTH($C657)=9,$P$4,IF(MONTH($C657)=10,$P$5,IF(MONTH($C657)=11,$P$6,IF(MONTH($C657)=12,$P$7,NA())))))</f>
        <v>10.356410991574121</v>
      </c>
    </row>
    <row r="658" spans="1:28" x14ac:dyDescent="0.3">
      <c r="A658" s="32">
        <f>VLOOKUP(YEAR(C658),Flags!$A$13:$B$95,2,FALSE)</f>
        <v>2</v>
      </c>
      <c r="B658" s="24">
        <f t="shared" si="1054"/>
        <v>1993</v>
      </c>
      <c r="C658" s="25">
        <v>34242</v>
      </c>
      <c r="D658" s="26"/>
      <c r="E658" s="24"/>
      <c r="F658" s="26"/>
      <c r="G658" s="24"/>
      <c r="H658" s="24"/>
      <c r="I658" s="26"/>
      <c r="J658" s="24"/>
      <c r="K658" s="26">
        <f>VLOOKUP($C658,COS!$B$8:$H$991,2,FALSE)</f>
        <v>3136.02685546875</v>
      </c>
      <c r="L658" s="24">
        <f t="shared" ref="L658" si="1059">IF(AND(K658&gt;$I$7,K658&lt;$I$8),1,0)</f>
        <v>1</v>
      </c>
      <c r="M658" s="24"/>
      <c r="N658" s="26"/>
      <c r="O658" s="26"/>
      <c r="P658" s="26"/>
      <c r="Q658" s="26"/>
      <c r="R658" s="26"/>
      <c r="S658" s="26"/>
      <c r="T658" s="26"/>
      <c r="U658" s="26"/>
      <c r="V658" s="26"/>
      <c r="W658" s="26">
        <f>MAX($C$8-VLOOKUP($C658,COS!$B$8:$H$991,3,FALSE),0)</f>
        <v>0</v>
      </c>
      <c r="X658" s="26">
        <f t="shared" si="972"/>
        <v>0</v>
      </c>
      <c r="Y658" s="26">
        <f>VLOOKUP($C658,COS!$B$8:$H$991,4,FALSE)</f>
        <v>0</v>
      </c>
      <c r="Z658" s="26">
        <f t="shared" si="973"/>
        <v>0</v>
      </c>
      <c r="AA658" s="26">
        <f t="shared" si="1057"/>
        <v>0</v>
      </c>
      <c r="AB658" s="33">
        <f t="shared" si="1058"/>
        <v>0</v>
      </c>
    </row>
    <row r="659" spans="1:28" x14ac:dyDescent="0.3">
      <c r="A659" s="32">
        <f>VLOOKUP(YEAR(C659),Flags!$A$13:$B$95,2,FALSE)</f>
        <v>2</v>
      </c>
      <c r="B659" s="24">
        <f t="shared" si="1054"/>
        <v>1993</v>
      </c>
      <c r="C659" s="25">
        <v>34273</v>
      </c>
      <c r="D659" s="26"/>
      <c r="E659" s="24"/>
      <c r="F659" s="26"/>
      <c r="G659" s="26"/>
      <c r="H659" s="26"/>
      <c r="I659" s="26"/>
      <c r="J659" s="26"/>
      <c r="K659" s="26"/>
      <c r="L659" s="24"/>
      <c r="M659" s="24"/>
      <c r="N659" s="26"/>
      <c r="O659" s="26"/>
      <c r="P659" s="26"/>
      <c r="Q659" s="26"/>
      <c r="R659" s="26"/>
      <c r="S659" s="26"/>
      <c r="T659" s="26"/>
      <c r="U659" s="26"/>
      <c r="V659" s="26"/>
      <c r="W659" s="26">
        <f>MAX($C$9-VLOOKUP($C659,COS!$B$8:$H$991,3,FALSE),0)</f>
        <v>0</v>
      </c>
      <c r="X659" s="26">
        <f t="shared" si="972"/>
        <v>0</v>
      </c>
      <c r="Y659" s="26">
        <f>VLOOKUP($C659,COS!$B$8:$H$991,4,FALSE)</f>
        <v>766.87762451171875</v>
      </c>
      <c r="Z659" s="26">
        <f t="shared" si="973"/>
        <v>47.1534671600594</v>
      </c>
      <c r="AA659" s="26">
        <f t="shared" si="1057"/>
        <v>0</v>
      </c>
      <c r="AB659" s="33">
        <f t="shared" si="1058"/>
        <v>0</v>
      </c>
    </row>
    <row r="660" spans="1:28" x14ac:dyDescent="0.3">
      <c r="A660" s="32">
        <f>VLOOKUP(YEAR(C660),Flags!$A$13:$B$95,2,FALSE)</f>
        <v>2</v>
      </c>
      <c r="B660" s="24">
        <f t="shared" si="1054"/>
        <v>1993</v>
      </c>
      <c r="C660" s="25">
        <v>34303</v>
      </c>
      <c r="D660" s="26"/>
      <c r="E660" s="24"/>
      <c r="F660" s="26"/>
      <c r="G660" s="26"/>
      <c r="H660" s="26"/>
      <c r="I660" s="26"/>
      <c r="J660" s="26"/>
      <c r="K660" s="26"/>
      <c r="L660" s="24"/>
      <c r="M660" s="24"/>
      <c r="N660" s="26"/>
      <c r="O660" s="26"/>
      <c r="P660" s="26"/>
      <c r="Q660" s="26"/>
      <c r="R660" s="26"/>
      <c r="S660" s="26"/>
      <c r="T660" s="26"/>
      <c r="U660" s="26"/>
      <c r="V660" s="26"/>
      <c r="W660" s="26">
        <f>MAX($C$10-VLOOKUP($C660,COS!$B$8:$H$991,3,FALSE),0)</f>
        <v>0</v>
      </c>
      <c r="X660" s="26">
        <f t="shared" si="972"/>
        <v>0</v>
      </c>
      <c r="Y660" s="26">
        <f>VLOOKUP($C660,COS!$B$8:$H$991,4,FALSE)</f>
        <v>1359.887451171875</v>
      </c>
      <c r="Z660" s="26">
        <f t="shared" si="973"/>
        <v>80.91892271435951</v>
      </c>
      <c r="AA660" s="26">
        <f t="shared" si="1057"/>
        <v>0</v>
      </c>
      <c r="AB660" s="33">
        <f t="shared" si="1058"/>
        <v>0</v>
      </c>
    </row>
    <row r="661" spans="1:28" x14ac:dyDescent="0.3">
      <c r="A661" s="34">
        <f>VLOOKUP(YEAR(C661),Flags!$A$13:$B$95,2,FALSE)</f>
        <v>2</v>
      </c>
      <c r="B661" s="35">
        <f t="shared" si="1054"/>
        <v>1993</v>
      </c>
      <c r="C661" s="36">
        <v>34334</v>
      </c>
      <c r="D661" s="37"/>
      <c r="E661" s="35"/>
      <c r="F661" s="37"/>
      <c r="G661" s="37"/>
      <c r="H661" s="37"/>
      <c r="I661" s="37"/>
      <c r="J661" s="37"/>
      <c r="K661" s="37"/>
      <c r="L661" s="35"/>
      <c r="M661" s="35"/>
      <c r="N661" s="37"/>
      <c r="O661" s="37"/>
      <c r="P661" s="37"/>
      <c r="Q661" s="37"/>
      <c r="R661" s="37"/>
      <c r="S661" s="37"/>
      <c r="T661" s="37"/>
      <c r="U661" s="37"/>
      <c r="V661" s="37"/>
      <c r="W661" s="37">
        <f>MAX($C$11-VLOOKUP($C661,COS!$B$8:$H$991,3,FALSE),0)</f>
        <v>1750</v>
      </c>
      <c r="X661" s="37">
        <f t="shared" si="972"/>
        <v>107.60330578512398</v>
      </c>
      <c r="Y661" s="37">
        <f>VLOOKUP($C661,COS!$B$8:$H$991,4,FALSE)</f>
        <v>188.46723937988281</v>
      </c>
      <c r="Z661" s="37">
        <f t="shared" si="973"/>
        <v>11.588398851126678</v>
      </c>
      <c r="AA661" s="37">
        <f t="shared" si="1057"/>
        <v>188.46723937988281</v>
      </c>
      <c r="AB661" s="38">
        <f t="shared" si="1058"/>
        <v>11.588398851126678</v>
      </c>
    </row>
    <row r="662" spans="1:28" x14ac:dyDescent="0.3">
      <c r="A662" s="27">
        <f>VLOOKUP(YEAR(C662),Flags!$A$13:$B$95,2,FALSE)</f>
        <v>5</v>
      </c>
      <c r="B662" s="28">
        <f t="shared" si="1054"/>
        <v>1994</v>
      </c>
      <c r="C662" s="29">
        <v>34454</v>
      </c>
      <c r="D662" s="30">
        <f>VLOOKUP($C662,COS!$B$8:$H$991,3,FALSE)</f>
        <v>3250</v>
      </c>
      <c r="E662" s="28">
        <f>IF(D662&gt;=IF(MONTH($C662)=4,$C$3,IF(MONTH($C662)=5,$C$4,IF(MONTH($C662)=6,$C$5,IF(MONTH($C662)=7,$C$6,"ERROR")))),1,0)</f>
        <v>0</v>
      </c>
      <c r="F662" s="30">
        <f>VLOOKUP($C662,COS!$B$8:$H$991,7,FALSE)</f>
        <v>52.782566070556641</v>
      </c>
      <c r="G662" s="28">
        <f>IF(F662&lt;=IF(MONTH($C662)=4,$F$3,IF(MONTH($C662)=5,$F$4,IF(MONTH($C662)=6,$F$5,IF(MONTH($C662)=7,$F$6,"ERROR")))),1,0)</f>
        <v>1</v>
      </c>
      <c r="H662" s="30">
        <f>IF(J662=1,D662-$C$3,0)</f>
        <v>0</v>
      </c>
      <c r="I662" s="30">
        <f t="shared" si="982"/>
        <v>0</v>
      </c>
      <c r="J662" s="28">
        <f t="shared" ref="J662:J665" si="1060">IF(AND(E662=1,G662=1),1,0)</f>
        <v>0</v>
      </c>
      <c r="K662" s="30">
        <f>VLOOKUP($C662,COS!$B$8:$H$991,2,FALSE)</f>
        <v>3428.306884765625</v>
      </c>
      <c r="L662" s="28">
        <f t="shared" ref="L662" si="1061">IF(K662&lt;=IF(MONTH($C662)=4,$I$3,IF(MONTH($C662)=5,$I$4,IF(MONTH($C662)=6,$I$5,IF(MONTH($C662)=7,$I$6,"ERROR")))),1,0)</f>
        <v>1</v>
      </c>
      <c r="M662" s="28">
        <f t="shared" ref="M662" si="1062">VLOOKUP($A662,$L$3:$M$7,2,FALSE)</f>
        <v>1</v>
      </c>
      <c r="N662" s="30">
        <f>VLOOKUP($C662,COS!$B$8:$H$991,5,FALSE)</f>
        <v>498.4775390625</v>
      </c>
      <c r="O662" s="30">
        <f t="shared" ref="O662:O665" si="1063">N662*DAY($C662)*86400/43560/1000</f>
        <v>29.661473398760332</v>
      </c>
      <c r="P662" s="30">
        <f>VLOOKUP($C662,COS!$B$8:$H$991,6,FALSE)</f>
        <v>517.51263427734375</v>
      </c>
      <c r="Q662" s="30">
        <f t="shared" ref="Q662:Q665" si="1064">P662*DAY($C662)*86400/43560/1000</f>
        <v>30.794140221461777</v>
      </c>
      <c r="R662" s="30">
        <f>MIN(IF(MONTH($C662)=4,$S$3,IF(MONTH($C662)=5,$S$4,IF(MONTH($C662)=6,$S$5,IF(MONTH($C662)=7,$S$6,"ERROR")))),MAX(VLOOKUP($C662,COS!$B$8:$K$991,10,FALSE)-IF(MONTH($C662)=4,$Y$3,IF(MONTH($C662)=5,$Y$4,IF(MONTH($C662)=6,$Y$5,IF(MONTH($C662)=7,$Y$6,"ERROR")))),0),MAX(VLOOKUP($C662,COS!$B$8:$K$991,9,FALSE)-IF(MONTH($C662)=4,$V$3,IF(MONTH($C662)=5,$V$4,IF(MONTH($C662)=6,$V$5,IF(MONTH($C662)=7,$V$6,"ERROR"))))-VLOOKUP($C662,COS!$B$8:$K$991,6,FALSE)/2,0))</f>
        <v>84.6376953125</v>
      </c>
      <c r="S662" s="30">
        <f t="shared" ref="S662:S665" si="1065">R662*DAY($C662)*86400/43560/1000</f>
        <v>5.0362926136363644</v>
      </c>
      <c r="T662" s="30">
        <f t="shared" ref="T662:T665" si="1066">(O662+Q662)/2+S662</f>
        <v>35.264099423747417</v>
      </c>
      <c r="U662" s="30" t="str">
        <f>IF(VLOOKUP($C662,COS!$B$8:$I$991,8,FALSE)=1,"UWFE","IBU")</f>
        <v>UWFE</v>
      </c>
      <c r="V662" s="30">
        <f t="shared" ref="V662" si="1067">MIN(IF(IF($AA$3=2,AND(E662=1,G662=1,L662=1,L667=1,M662=1,U662="IBU"),AND(E662=1,G662=1,L662=1,L667=1,M662=1)),T662,0),I662)</f>
        <v>0</v>
      </c>
      <c r="W662" s="30"/>
      <c r="X662" s="30"/>
      <c r="Y662" s="30"/>
      <c r="Z662" s="30"/>
      <c r="AA662" s="30"/>
      <c r="AB662" s="31"/>
    </row>
    <row r="663" spans="1:28" x14ac:dyDescent="0.3">
      <c r="A663" s="32">
        <f>VLOOKUP(YEAR(C663),Flags!$A$13:$B$95,2,FALSE)</f>
        <v>5</v>
      </c>
      <c r="B663" s="24">
        <f t="shared" si="1054"/>
        <v>1994</v>
      </c>
      <c r="C663" s="25">
        <v>34485</v>
      </c>
      <c r="D663" s="26">
        <f>VLOOKUP($C663,COS!$B$8:$H$991,3,FALSE)</f>
        <v>5763.49560546875</v>
      </c>
      <c r="E663" s="24">
        <f>IF(D663&gt;=IF(MONTH($C663)=4,$C$3,IF(MONTH($C663)=5,$C$4,IF(MONTH($C663)=6,$C$5,IF(MONTH($C663)=7,$C$6,"ERROR")))),1,0)</f>
        <v>0</v>
      </c>
      <c r="F663" s="26">
        <f>VLOOKUP($C663,COS!$B$8:$H$991,7,FALSE)</f>
        <v>52.981971740722656</v>
      </c>
      <c r="G663" s="24">
        <f>IF(F663&lt;=IF(MONTH($C663)=4,$F$3,IF(MONTH($C663)=5,$F$4,IF(MONTH($C663)=6,$F$5,IF(MONTH($C663)=7,$F$6,"ERROR")))),1,0)</f>
        <v>1</v>
      </c>
      <c r="H663" s="26">
        <f>IF(J663=1,D663-$C$4,0)</f>
        <v>0</v>
      </c>
      <c r="I663" s="26">
        <f t="shared" si="982"/>
        <v>0</v>
      </c>
      <c r="J663" s="24">
        <f t="shared" si="1060"/>
        <v>0</v>
      </c>
      <c r="K663" s="26">
        <f>VLOOKUP($C663,COS!$B$8:$H$991,2,FALSE)</f>
        <v>3315.498291015625</v>
      </c>
      <c r="L663" s="24">
        <f t="shared" si="1046"/>
        <v>1</v>
      </c>
      <c r="M663" s="24">
        <f t="shared" si="1047"/>
        <v>1</v>
      </c>
      <c r="N663" s="26">
        <f>VLOOKUP($C663,COS!$B$8:$H$991,5,FALSE)</f>
        <v>494.24356079101563</v>
      </c>
      <c r="O663" s="26">
        <f t="shared" si="1063"/>
        <v>30.389852002356662</v>
      </c>
      <c r="P663" s="26">
        <f>VLOOKUP($C663,COS!$B$8:$H$991,6,FALSE)</f>
        <v>1839.63671875</v>
      </c>
      <c r="Q663" s="26">
        <f t="shared" si="1064"/>
        <v>113.1148527892562</v>
      </c>
      <c r="R663" s="26">
        <f>MIN(IF(MONTH($C663)=4,$S$3,IF(MONTH($C663)=5,$S$4,IF(MONTH($C663)=6,$S$5,IF(MONTH($C663)=7,$S$6,"ERROR")))),MAX(VLOOKUP($C663,COS!$B$8:$K$991,10,FALSE)-IF(MONTH($C663)=4,$Y$3,IF(MONTH($C663)=5,$Y$4,IF(MONTH($C663)=6,$Y$5,IF(MONTH($C663)=7,$Y$6,"ERROR")))),0),MAX(VLOOKUP($C663,COS!$B$8:$K$991,9,FALSE)-IF(MONTH($C663)=4,$V$3,IF(MONTH($C663)=5,$V$4,IF(MONTH($C663)=6,$V$5,IF(MONTH($C663)=7,$V$6,"ERROR"))))-VLOOKUP($C663,COS!$B$8:$K$991,6,FALSE)/2,0))</f>
        <v>1248.31787109375</v>
      </c>
      <c r="S663" s="26">
        <f t="shared" si="1065"/>
        <v>76.756074057334715</v>
      </c>
      <c r="T663" s="26">
        <f t="shared" si="1066"/>
        <v>148.50842645314117</v>
      </c>
      <c r="U663" s="26" t="str">
        <f>IF(VLOOKUP($C663,COS!$B$8:$I$991,8,FALSE)=1,"UWFE","IBU")</f>
        <v>UWFE</v>
      </c>
      <c r="V663" s="26">
        <f t="shared" ref="V663" si="1068">MIN(IF(IF($AA$3=2,AND(E663=1,G663=1,L663=1,L667=1,M663=1,U663="IBU"),AND(E663=1,G663=1,L663=1,L667=1,M663=1)),T663,0),I663)</f>
        <v>0</v>
      </c>
      <c r="W663" s="26"/>
      <c r="X663" s="26"/>
      <c r="Y663" s="26"/>
      <c r="Z663" s="26"/>
      <c r="AA663" s="26"/>
      <c r="AB663" s="33"/>
    </row>
    <row r="664" spans="1:28" x14ac:dyDescent="0.3">
      <c r="A664" s="32">
        <f>VLOOKUP(YEAR(C664),Flags!$A$13:$B$95,2,FALSE)</f>
        <v>5</v>
      </c>
      <c r="B664" s="24">
        <f t="shared" si="1054"/>
        <v>1994</v>
      </c>
      <c r="C664" s="25">
        <v>34515</v>
      </c>
      <c r="D664" s="26">
        <f>VLOOKUP($C664,COS!$B$8:$H$991,3,FALSE)</f>
        <v>10365.828125</v>
      </c>
      <c r="E664" s="24">
        <f>IF(D664&gt;=IF(MONTH($C664)=4,$C$3,IF(MONTH($C664)=5,$C$4,IF(MONTH($C664)=6,$C$5,IF(MONTH($C664)=7,$C$6,"ERROR")))),1,0)</f>
        <v>1</v>
      </c>
      <c r="F664" s="26">
        <f>VLOOKUP($C664,COS!$B$8:$H$991,7,FALSE)</f>
        <v>52.776744842529297</v>
      </c>
      <c r="G664" s="24">
        <f>IF(F664&lt;=IF(MONTH($C664)=4,$F$3,IF(MONTH($C664)=5,$F$4,IF(MONTH($C664)=6,$F$5,IF(MONTH($C664)=7,$F$6,"ERROR")))),1,0)</f>
        <v>1</v>
      </c>
      <c r="H664" s="26">
        <f>IF(J664=1,D664-$C$5,0)</f>
        <v>365.828125</v>
      </c>
      <c r="I664" s="26">
        <f t="shared" si="982"/>
        <v>21.768285123966944</v>
      </c>
      <c r="J664" s="24">
        <f t="shared" si="1060"/>
        <v>1</v>
      </c>
      <c r="K664" s="26">
        <f>VLOOKUP($C664,COS!$B$8:$H$991,2,FALSE)</f>
        <v>2912.7509765625</v>
      </c>
      <c r="L664" s="24">
        <f t="shared" si="1046"/>
        <v>1</v>
      </c>
      <c r="M664" s="24">
        <f t="shared" si="1047"/>
        <v>1</v>
      </c>
      <c r="N664" s="26">
        <f>VLOOKUP($C664,COS!$B$8:$H$991,5,FALSE)</f>
        <v>825.04803466796875</v>
      </c>
      <c r="O664" s="26">
        <f t="shared" si="1063"/>
        <v>49.093767352143594</v>
      </c>
      <c r="P664" s="26">
        <f>VLOOKUP($C664,COS!$B$8:$H$991,6,FALSE)</f>
        <v>2477.72265625</v>
      </c>
      <c r="Q664" s="26">
        <f t="shared" si="1064"/>
        <v>147.43473657024794</v>
      </c>
      <c r="R664" s="26">
        <f>MIN(IF(MONTH($C664)=4,$S$3,IF(MONTH($C664)=5,$S$4,IF(MONTH($C664)=6,$S$5,IF(MONTH($C664)=7,$S$6,"ERROR")))),MAX(VLOOKUP($C664,COS!$B$8:$K$991,10,FALSE)-IF(MONTH($C664)=4,$Y$3,IF(MONTH($C664)=5,$Y$4,IF(MONTH($C664)=6,$Y$5,IF(MONTH($C664)=7,$Y$6,"ERROR")))),0),MAX(VLOOKUP($C664,COS!$B$8:$K$991,9,FALSE)-IF(MONTH($C664)=4,$V$3,IF(MONTH($C664)=5,$V$4,IF(MONTH($C664)=6,$V$5,IF(MONTH($C664)=7,$V$6,"ERROR"))))-VLOOKUP($C664,COS!$B$8:$K$991,6,FALSE)/2,0))</f>
        <v>1500</v>
      </c>
      <c r="S664" s="26">
        <f t="shared" si="1065"/>
        <v>89.256198347107429</v>
      </c>
      <c r="T664" s="26">
        <f t="shared" si="1066"/>
        <v>187.5204503083032</v>
      </c>
      <c r="U664" s="26" t="str">
        <f>IF(VLOOKUP($C664,COS!$B$8:$I$991,8,FALSE)=1,"UWFE","IBU")</f>
        <v>IBU</v>
      </c>
      <c r="V664" s="26">
        <f t="shared" ref="V664" si="1069">MIN(IF(IF($AA$3=2,AND(E664=1,G664=1,L664=1,L667=1,M664=1,U664="IBU"),AND(E664=1,G664=1,L664=1,L667=1,M664=1)),T664,0),I664)</f>
        <v>21.768285123966944</v>
      </c>
      <c r="W664" s="26"/>
      <c r="X664" s="26"/>
      <c r="Y664" s="26"/>
      <c r="Z664" s="26"/>
      <c r="AA664" s="26"/>
      <c r="AB664" s="33"/>
    </row>
    <row r="665" spans="1:28" x14ac:dyDescent="0.3">
      <c r="A665" s="32">
        <f>VLOOKUP(YEAR(C665),Flags!$A$13:$B$95,2,FALSE)</f>
        <v>5</v>
      </c>
      <c r="B665" s="24">
        <f t="shared" si="1054"/>
        <v>1994</v>
      </c>
      <c r="C665" s="25">
        <v>34546</v>
      </c>
      <c r="D665" s="26">
        <f>VLOOKUP($C665,COS!$B$8:$H$991,3,FALSE)</f>
        <v>14755.16796875</v>
      </c>
      <c r="E665" s="24">
        <f>IF(D665&gt;=IF(MONTH($C665)=4,$C$3,IF(MONTH($C665)=5,$C$4,IF(MONTH($C665)=6,$C$5,IF(MONTH($C665)=7,$C$6,"ERROR")))),1,0)</f>
        <v>1</v>
      </c>
      <c r="F665" s="26">
        <f>VLOOKUP($C665,COS!$B$8:$H$991,7,FALSE)</f>
        <v>54.302021026611328</v>
      </c>
      <c r="G665" s="24">
        <f>IF(F665&lt;=IF(MONTH($C665)=4,$F$3,IF(MONTH($C665)=5,$F$4,IF(MONTH($C665)=6,$F$5,IF(MONTH($C665)=7,$F$6,"ERROR")))),1,0)</f>
        <v>0</v>
      </c>
      <c r="H665" s="26">
        <f>IF(J665=1,D665-$C$6,0)</f>
        <v>0</v>
      </c>
      <c r="I665" s="26">
        <f t="shared" si="982"/>
        <v>0</v>
      </c>
      <c r="J665" s="24">
        <f t="shared" si="1060"/>
        <v>0</v>
      </c>
      <c r="K665" s="26">
        <f>VLOOKUP($C665,COS!$B$8:$H$991,2,FALSE)</f>
        <v>2260.914306640625</v>
      </c>
      <c r="L665" s="24">
        <f t="shared" si="1046"/>
        <v>1</v>
      </c>
      <c r="M665" s="24">
        <f t="shared" si="1047"/>
        <v>1</v>
      </c>
      <c r="N665" s="26">
        <f>VLOOKUP($C665,COS!$B$8:$H$991,5,FALSE)</f>
        <v>905.84417724609375</v>
      </c>
      <c r="O665" s="26">
        <f t="shared" si="1063"/>
        <v>55.698187427363116</v>
      </c>
      <c r="P665" s="26">
        <f>VLOOKUP($C665,COS!$B$8:$H$991,6,FALSE)</f>
        <v>2281.4833984375</v>
      </c>
      <c r="Q665" s="26">
        <f t="shared" si="1064"/>
        <v>140.28294615185951</v>
      </c>
      <c r="R665" s="26">
        <f>MIN(IF(MONTH($C665)=4,$S$3,IF(MONTH($C665)=5,$S$4,IF(MONTH($C665)=6,$S$5,IF(MONTH($C665)=7,$S$6,"ERROR")))),MAX(VLOOKUP($C665,COS!$B$8:$K$991,10,FALSE)-IF(MONTH($C665)=4,$Y$3,IF(MONTH($C665)=5,$Y$4,IF(MONTH($C665)=6,$Y$5,IF(MONTH($C665)=7,$Y$6,"ERROR")))),0),MAX(VLOOKUP($C665,COS!$B$8:$K$991,9,FALSE)-IF(MONTH($C665)=4,$V$3,IF(MONTH($C665)=5,$V$4,IF(MONTH($C665)=6,$V$5,IF(MONTH($C665)=7,$V$6,"ERROR"))))-VLOOKUP($C665,COS!$B$8:$K$991,6,FALSE)/2,0))</f>
        <v>1500</v>
      </c>
      <c r="S665" s="26">
        <f t="shared" si="1065"/>
        <v>92.231404958677686</v>
      </c>
      <c r="T665" s="26">
        <f t="shared" si="1066"/>
        <v>190.22197174828898</v>
      </c>
      <c r="U665" s="26" t="str">
        <f>IF(VLOOKUP($C665,COS!$B$8:$I$991,8,FALSE)=1,"UWFE","IBU")</f>
        <v>IBU</v>
      </c>
      <c r="V665" s="26">
        <f t="shared" ref="V665" si="1070">MIN(IF(IF($AA$3=2,AND(E665=1,G665=1,L665=1,L667=1,M665=1,U665="IBU"),AND(E665=1,G665=1,L665=1,L667=1,M665=1)),T665,0),I665)</f>
        <v>0</v>
      </c>
      <c r="W665" s="26"/>
      <c r="X665" s="26"/>
      <c r="Y665" s="26"/>
      <c r="Z665" s="26"/>
      <c r="AA665" s="26"/>
      <c r="AB665" s="33"/>
    </row>
    <row r="666" spans="1:28" x14ac:dyDescent="0.3">
      <c r="A666" s="32">
        <f>VLOOKUP(YEAR(C666),Flags!$A$13:$B$95,2,FALSE)</f>
        <v>5</v>
      </c>
      <c r="B666" s="24">
        <f t="shared" si="1054"/>
        <v>1994</v>
      </c>
      <c r="C666" s="25">
        <v>34577</v>
      </c>
      <c r="D666" s="26"/>
      <c r="E666" s="24"/>
      <c r="F666" s="26"/>
      <c r="G666" s="24"/>
      <c r="H666" s="24"/>
      <c r="I666" s="26"/>
      <c r="J666" s="24"/>
      <c r="K666" s="26"/>
      <c r="L666" s="24"/>
      <c r="M666" s="24"/>
      <c r="N666" s="26"/>
      <c r="O666" s="26"/>
      <c r="P666" s="26"/>
      <c r="Q666" s="26"/>
      <c r="R666" s="26"/>
      <c r="S666" s="26"/>
      <c r="T666" s="26"/>
      <c r="U666" s="26"/>
      <c r="V666" s="26"/>
      <c r="W666" s="26">
        <f>MAX($C$7-VLOOKUP($C666,COS!$B$8:$H$991,3,FALSE),0)</f>
        <v>3435.9501953125</v>
      </c>
      <c r="X666" s="26">
        <f t="shared" si="972"/>
        <v>211.26834258780991</v>
      </c>
      <c r="Y666" s="26">
        <f>VLOOKUP($C666,COS!$B$8:$H$991,4,FALSE)</f>
        <v>3456.213134765625</v>
      </c>
      <c r="Z666" s="26">
        <f t="shared" si="973"/>
        <v>212.51426217071281</v>
      </c>
      <c r="AA666" s="26">
        <f t="shared" ref="AA666:AA670" si="1071">MIN(W666,Y666)</f>
        <v>3435.9501953125</v>
      </c>
      <c r="AB666" s="33">
        <f t="shared" ref="AB666" si="1072">AA666*DAY($C666)*86400/43560/1000*IF(MONTH($C666)=8,$P$3,IF(MONTH($C666)=9,$P$4,IF(MONTH($C666)=10,$P$5,IF(MONTH($C666)=11,$P$6,IF(MONTH($C666)=12,$P$7,NA())))))</f>
        <v>211.26834258780991</v>
      </c>
    </row>
    <row r="667" spans="1:28" x14ac:dyDescent="0.3">
      <c r="A667" s="32">
        <f>VLOOKUP(YEAR(C667),Flags!$A$13:$B$95,2,FALSE)</f>
        <v>5</v>
      </c>
      <c r="B667" s="24">
        <f t="shared" si="1054"/>
        <v>1994</v>
      </c>
      <c r="C667" s="25">
        <v>34607</v>
      </c>
      <c r="D667" s="26"/>
      <c r="E667" s="24"/>
      <c r="F667" s="26"/>
      <c r="G667" s="24"/>
      <c r="H667" s="24"/>
      <c r="I667" s="26"/>
      <c r="J667" s="24"/>
      <c r="K667" s="26">
        <f>VLOOKUP($C667,COS!$B$8:$H$991,2,FALSE)</f>
        <v>1881.7786865234375</v>
      </c>
      <c r="L667" s="24">
        <f t="shared" ref="L667" si="1073">IF(AND(K667&gt;$I$7,K667&lt;$I$8),1,0)</f>
        <v>1</v>
      </c>
      <c r="M667" s="24"/>
      <c r="N667" s="26"/>
      <c r="O667" s="26"/>
      <c r="P667" s="26"/>
      <c r="Q667" s="26"/>
      <c r="R667" s="26"/>
      <c r="S667" s="26"/>
      <c r="T667" s="26"/>
      <c r="U667" s="26"/>
      <c r="V667" s="26"/>
      <c r="W667" s="26">
        <f>MAX($C$8-VLOOKUP($C667,COS!$B$8:$H$991,3,FALSE),0)</f>
        <v>1593.1025390625</v>
      </c>
      <c r="X667" s="26">
        <f t="shared" si="972"/>
        <v>94.796184142561984</v>
      </c>
      <c r="Y667" s="26">
        <f>VLOOKUP($C667,COS!$B$8:$H$991,4,FALSE)</f>
        <v>676.519775390625</v>
      </c>
      <c r="Z667" s="26">
        <f t="shared" si="973"/>
        <v>40.255722172004134</v>
      </c>
      <c r="AA667" s="26">
        <f t="shared" si="1071"/>
        <v>676.519775390625</v>
      </c>
      <c r="AB667" s="33">
        <f t="shared" si="1058"/>
        <v>40.255722172004134</v>
      </c>
    </row>
    <row r="668" spans="1:28" x14ac:dyDescent="0.3">
      <c r="A668" s="32">
        <f>VLOOKUP(YEAR(C668),Flags!$A$13:$B$95,2,FALSE)</f>
        <v>5</v>
      </c>
      <c r="B668" s="24">
        <f t="shared" si="1054"/>
        <v>1994</v>
      </c>
      <c r="C668" s="25">
        <v>34638</v>
      </c>
      <c r="D668" s="26"/>
      <c r="E668" s="24"/>
      <c r="F668" s="26"/>
      <c r="G668" s="26"/>
      <c r="H668" s="26"/>
      <c r="I668" s="26"/>
      <c r="J668" s="26"/>
      <c r="K668" s="26"/>
      <c r="L668" s="24"/>
      <c r="M668" s="24"/>
      <c r="N668" s="26"/>
      <c r="O668" s="26"/>
      <c r="P668" s="26"/>
      <c r="Q668" s="26"/>
      <c r="R668" s="26"/>
      <c r="S668" s="26"/>
      <c r="T668" s="26"/>
      <c r="U668" s="26"/>
      <c r="V668" s="26"/>
      <c r="W668" s="26">
        <f>MAX($C$9-VLOOKUP($C668,COS!$B$8:$H$991,3,FALSE),0)</f>
        <v>462.50390625</v>
      </c>
      <c r="X668" s="26">
        <f t="shared" si="972"/>
        <v>28.438256714876033</v>
      </c>
      <c r="Y668" s="26">
        <f>VLOOKUP($C668,COS!$B$8:$H$991,4,FALSE)</f>
        <v>1343.8326416015625</v>
      </c>
      <c r="Z668" s="26">
        <f t="shared" si="973"/>
        <v>82.629048376162189</v>
      </c>
      <c r="AA668" s="26">
        <f t="shared" si="1071"/>
        <v>462.50390625</v>
      </c>
      <c r="AB668" s="33">
        <f t="shared" si="1058"/>
        <v>28.438256714876033</v>
      </c>
    </row>
    <row r="669" spans="1:28" x14ac:dyDescent="0.3">
      <c r="A669" s="32">
        <f>VLOOKUP(YEAR(C669),Flags!$A$13:$B$95,2,FALSE)</f>
        <v>5</v>
      </c>
      <c r="B669" s="24">
        <f t="shared" si="1054"/>
        <v>1994</v>
      </c>
      <c r="C669" s="25">
        <v>34668</v>
      </c>
      <c r="D669" s="26"/>
      <c r="E669" s="24"/>
      <c r="F669" s="26"/>
      <c r="G669" s="26"/>
      <c r="H669" s="26"/>
      <c r="I669" s="26"/>
      <c r="J669" s="26"/>
      <c r="K669" s="26"/>
      <c r="L669" s="24"/>
      <c r="M669" s="24"/>
      <c r="N669" s="26"/>
      <c r="O669" s="26"/>
      <c r="P669" s="26"/>
      <c r="Q669" s="26"/>
      <c r="R669" s="26"/>
      <c r="S669" s="26"/>
      <c r="T669" s="26"/>
      <c r="U669" s="26"/>
      <c r="V669" s="26"/>
      <c r="W669" s="26">
        <f>MAX($C$10-VLOOKUP($C669,COS!$B$8:$H$991,3,FALSE),0)</f>
        <v>1750</v>
      </c>
      <c r="X669" s="26">
        <f t="shared" si="972"/>
        <v>104.13223140495867</v>
      </c>
      <c r="Y669" s="26">
        <f>VLOOKUP($C669,COS!$B$8:$H$991,4,FALSE)</f>
        <v>1050.6527099609375</v>
      </c>
      <c r="Z669" s="26">
        <f t="shared" si="973"/>
        <v>62.51817778279959</v>
      </c>
      <c r="AA669" s="26">
        <f t="shared" si="1071"/>
        <v>1050.6527099609375</v>
      </c>
      <c r="AB669" s="33">
        <f t="shared" si="1058"/>
        <v>62.51817778279959</v>
      </c>
    </row>
    <row r="670" spans="1:28" x14ac:dyDescent="0.3">
      <c r="A670" s="34">
        <f>VLOOKUP(YEAR(C670),Flags!$A$13:$B$95,2,FALSE)</f>
        <v>5</v>
      </c>
      <c r="B670" s="35">
        <f t="shared" si="1054"/>
        <v>1994</v>
      </c>
      <c r="C670" s="36">
        <v>34699</v>
      </c>
      <c r="D670" s="37"/>
      <c r="E670" s="35"/>
      <c r="F670" s="37"/>
      <c r="G670" s="37"/>
      <c r="H670" s="37"/>
      <c r="I670" s="37"/>
      <c r="J670" s="37"/>
      <c r="K670" s="37"/>
      <c r="L670" s="35"/>
      <c r="M670" s="35"/>
      <c r="N670" s="37"/>
      <c r="O670" s="37"/>
      <c r="P670" s="37"/>
      <c r="Q670" s="37"/>
      <c r="R670" s="37"/>
      <c r="S670" s="37"/>
      <c r="T670" s="37"/>
      <c r="U670" s="37"/>
      <c r="V670" s="37"/>
      <c r="W670" s="37">
        <f>MAX($C$11-VLOOKUP($C670,COS!$B$8:$H$991,3,FALSE),0)</f>
        <v>1750</v>
      </c>
      <c r="X670" s="37">
        <f t="shared" si="972"/>
        <v>107.60330578512398</v>
      </c>
      <c r="Y670" s="37">
        <f>VLOOKUP($C670,COS!$B$8:$H$991,4,FALSE)</f>
        <v>2007.343505859375</v>
      </c>
      <c r="Z670" s="37">
        <f t="shared" si="973"/>
        <v>123.42674118672521</v>
      </c>
      <c r="AA670" s="37">
        <f t="shared" si="1071"/>
        <v>1750</v>
      </c>
      <c r="AB670" s="38">
        <f t="shared" si="1058"/>
        <v>107.60330578512398</v>
      </c>
    </row>
    <row r="671" spans="1:28" x14ac:dyDescent="0.3">
      <c r="A671" s="27">
        <f>VLOOKUP(YEAR(C671),Flags!$A$13:$B$95,2,FALSE)</f>
        <v>1</v>
      </c>
      <c r="B671" s="28">
        <f t="shared" si="1054"/>
        <v>1995</v>
      </c>
      <c r="C671" s="29">
        <v>34819</v>
      </c>
      <c r="D671" s="30">
        <f>VLOOKUP($C671,COS!$B$8:$H$991,3,FALSE)</f>
        <v>7633.5703125</v>
      </c>
      <c r="E671" s="28">
        <f>IF(D671&gt;=IF(MONTH($C671)=4,$C$3,IF(MONTH($C671)=5,$C$4,IF(MONTH($C671)=6,$C$5,IF(MONTH($C671)=7,$C$6,"ERROR")))),1,0)</f>
        <v>1</v>
      </c>
      <c r="F671" s="30">
        <f>VLOOKUP($C671,COS!$B$8:$H$991,7,FALSE)</f>
        <v>49.096889495849609</v>
      </c>
      <c r="G671" s="28">
        <f>IF(F671&lt;=IF(MONTH($C671)=4,$F$3,IF(MONTH($C671)=5,$F$4,IF(MONTH($C671)=6,$F$5,IF(MONTH($C671)=7,$F$6,"ERROR")))),1,0)</f>
        <v>1</v>
      </c>
      <c r="H671" s="30">
        <f>IF(J671=1,D671-$C$3,0)</f>
        <v>1633.5703125</v>
      </c>
      <c r="I671" s="30">
        <f t="shared" si="982"/>
        <v>97.204183884297521</v>
      </c>
      <c r="J671" s="28">
        <f t="shared" ref="J671:J674" si="1074">IF(AND(E671=1,G671=1),1,0)</f>
        <v>1</v>
      </c>
      <c r="K671" s="30">
        <f>VLOOKUP($C671,COS!$B$8:$H$991,2,FALSE)</f>
        <v>4216.7998046875</v>
      </c>
      <c r="L671" s="28">
        <f t="shared" ref="L671" si="1075">IF(K671&lt;=IF(MONTH($C671)=4,$I$3,IF(MONTH($C671)=5,$I$4,IF(MONTH($C671)=6,$I$5,IF(MONTH($C671)=7,$I$6,"ERROR")))),1,0)</f>
        <v>1</v>
      </c>
      <c r="M671" s="28">
        <f t="shared" ref="M671" si="1076">VLOOKUP($A671,$L$3:$M$7,2,FALSE)</f>
        <v>0</v>
      </c>
      <c r="N671" s="30">
        <f>VLOOKUP($C671,COS!$B$8:$H$991,5,FALSE)</f>
        <v>350.99301147460938</v>
      </c>
      <c r="O671" s="30">
        <f t="shared" ref="O671:O674" si="1077">N671*DAY($C671)*86400/43560/1000</f>
        <v>20.885534567084193</v>
      </c>
      <c r="P671" s="30">
        <f>VLOOKUP($C671,COS!$B$8:$H$991,6,FALSE)</f>
        <v>420.74978637695313</v>
      </c>
      <c r="Q671" s="30">
        <f t="shared" ref="Q671:Q674" si="1078">P671*DAY($C671)*86400/43560/1000</f>
        <v>25.036350924909605</v>
      </c>
      <c r="R671" s="30">
        <f>MIN(IF(MONTH($C671)=4,$S$3,IF(MONTH($C671)=5,$S$4,IF(MONTH($C671)=6,$S$5,IF(MONTH($C671)=7,$S$6,"ERROR")))),MAX(VLOOKUP($C671,COS!$B$8:$K$991,10,FALSE)-IF(MONTH($C671)=4,$Y$3,IF(MONTH($C671)=5,$Y$4,IF(MONTH($C671)=6,$Y$5,IF(MONTH($C671)=7,$Y$6,"ERROR")))),0),MAX(VLOOKUP($C671,COS!$B$8:$K$991,9,FALSE)-IF(MONTH($C671)=4,$V$3,IF(MONTH($C671)=5,$V$4,IF(MONTH($C671)=6,$V$5,IF(MONTH($C671)=7,$V$6,"ERROR"))))-VLOOKUP($C671,COS!$B$8:$K$991,6,FALSE)/2,0))</f>
        <v>1500</v>
      </c>
      <c r="S671" s="30">
        <f t="shared" ref="S671:S674" si="1079">R671*DAY($C671)*86400/43560/1000</f>
        <v>89.256198347107429</v>
      </c>
      <c r="T671" s="30">
        <f t="shared" ref="T671:T674" si="1080">(O671+Q671)/2+S671</f>
        <v>112.21714109310433</v>
      </c>
      <c r="U671" s="30" t="str">
        <f>IF(VLOOKUP($C671,COS!$B$8:$I$991,8,FALSE)=1,"UWFE","IBU")</f>
        <v>UWFE</v>
      </c>
      <c r="V671" s="30">
        <f t="shared" ref="V671" si="1081">MIN(IF(IF($AA$3=2,AND(E671=1,G671=1,L671=1,L676=1,M671=1,U671="IBU"),AND(E671=1,G671=1,L671=1,L676=1,M671=1)),T671,0),I671)</f>
        <v>0</v>
      </c>
      <c r="W671" s="30"/>
      <c r="X671" s="30"/>
      <c r="Y671" s="30"/>
      <c r="Z671" s="30"/>
      <c r="AA671" s="30"/>
      <c r="AB671" s="31"/>
    </row>
    <row r="672" spans="1:28" x14ac:dyDescent="0.3">
      <c r="A672" s="32">
        <f>VLOOKUP(YEAR(C672),Flags!$A$13:$B$95,2,FALSE)</f>
        <v>1</v>
      </c>
      <c r="B672" s="24">
        <f t="shared" si="1054"/>
        <v>1995</v>
      </c>
      <c r="C672" s="25">
        <v>34850</v>
      </c>
      <c r="D672" s="26">
        <f>VLOOKUP($C672,COS!$B$8:$H$991,3,FALSE)</f>
        <v>10509.75390625</v>
      </c>
      <c r="E672" s="24">
        <f>IF(D672&gt;=IF(MONTH($C672)=4,$C$3,IF(MONTH($C672)=5,$C$4,IF(MONTH($C672)=6,$C$5,IF(MONTH($C672)=7,$C$6,"ERROR")))),1,0)</f>
        <v>1</v>
      </c>
      <c r="F672" s="26">
        <f>VLOOKUP($C672,COS!$B$8:$H$991,7,FALSE)</f>
        <v>50.252239227294922</v>
      </c>
      <c r="G672" s="24">
        <f>IF(F672&lt;=IF(MONTH($C672)=4,$F$3,IF(MONTH($C672)=5,$F$4,IF(MONTH($C672)=6,$F$5,IF(MONTH($C672)=7,$F$6,"ERROR")))),1,0)</f>
        <v>1</v>
      </c>
      <c r="H672" s="26">
        <f>IF(J672=1,D672-$C$4,0)</f>
        <v>4509.75390625</v>
      </c>
      <c r="I672" s="26">
        <f t="shared" si="982"/>
        <v>277.29395919421489</v>
      </c>
      <c r="J672" s="24">
        <f t="shared" si="1074"/>
        <v>1</v>
      </c>
      <c r="K672" s="26">
        <f>VLOOKUP($C672,COS!$B$8:$H$991,2,FALSE)</f>
        <v>4552</v>
      </c>
      <c r="L672" s="24">
        <f t="shared" si="1046"/>
        <v>1</v>
      </c>
      <c r="M672" s="24">
        <f t="shared" si="1047"/>
        <v>0</v>
      </c>
      <c r="N672" s="26">
        <f>VLOOKUP($C672,COS!$B$8:$H$991,5,FALSE)</f>
        <v>475.432861328125</v>
      </c>
      <c r="O672" s="26">
        <f t="shared" si="1077"/>
        <v>29.233227175878099</v>
      </c>
      <c r="P672" s="26">
        <f>VLOOKUP($C672,COS!$B$8:$H$991,6,FALSE)</f>
        <v>1824.550537109375</v>
      </c>
      <c r="Q672" s="26">
        <f t="shared" si="1078"/>
        <v>112.18723963713842</v>
      </c>
      <c r="R672" s="26">
        <f>MIN(IF(MONTH($C672)=4,$S$3,IF(MONTH($C672)=5,$S$4,IF(MONTH($C672)=6,$S$5,IF(MONTH($C672)=7,$S$6,"ERROR")))),MAX(VLOOKUP($C672,COS!$B$8:$K$991,10,FALSE)-IF(MONTH($C672)=4,$Y$3,IF(MONTH($C672)=5,$Y$4,IF(MONTH($C672)=6,$Y$5,IF(MONTH($C672)=7,$Y$6,"ERROR")))),0),MAX(VLOOKUP($C672,COS!$B$8:$K$991,9,FALSE)-IF(MONTH($C672)=4,$V$3,IF(MONTH($C672)=5,$V$4,IF(MONTH($C672)=6,$V$5,IF(MONTH($C672)=7,$V$6,"ERROR"))))-VLOOKUP($C672,COS!$B$8:$K$991,6,FALSE)/2,0))</f>
        <v>1500</v>
      </c>
      <c r="S672" s="26">
        <f t="shared" si="1079"/>
        <v>92.231404958677686</v>
      </c>
      <c r="T672" s="26">
        <f t="shared" si="1080"/>
        <v>162.94163836518595</v>
      </c>
      <c r="U672" s="26" t="str">
        <f>IF(VLOOKUP($C672,COS!$B$8:$I$991,8,FALSE)=1,"UWFE","IBU")</f>
        <v>UWFE</v>
      </c>
      <c r="V672" s="26">
        <f t="shared" ref="V672" si="1082">MIN(IF(IF($AA$3=2,AND(E672=1,G672=1,L672=1,L676=1,M672=1,U672="IBU"),AND(E672=1,G672=1,L672=1,L676=1,M672=1)),T672,0),I672)</f>
        <v>0</v>
      </c>
      <c r="W672" s="26"/>
      <c r="X672" s="26"/>
      <c r="Y672" s="26"/>
      <c r="Z672" s="26"/>
      <c r="AA672" s="26"/>
      <c r="AB672" s="33"/>
    </row>
    <row r="673" spans="1:28" x14ac:dyDescent="0.3">
      <c r="A673" s="32">
        <f>VLOOKUP(YEAR(C673),Flags!$A$13:$B$95,2,FALSE)</f>
        <v>1</v>
      </c>
      <c r="B673" s="24">
        <f t="shared" si="1054"/>
        <v>1995</v>
      </c>
      <c r="C673" s="25">
        <v>34880</v>
      </c>
      <c r="D673" s="26">
        <f>VLOOKUP($C673,COS!$B$8:$H$991,3,FALSE)</f>
        <v>8446.6552734375</v>
      </c>
      <c r="E673" s="24">
        <f>IF(D673&gt;=IF(MONTH($C673)=4,$C$3,IF(MONTH($C673)=5,$C$4,IF(MONTH($C673)=6,$C$5,IF(MONTH($C673)=7,$C$6,"ERROR")))),1,0)</f>
        <v>0</v>
      </c>
      <c r="F673" s="26">
        <f>VLOOKUP($C673,COS!$B$8:$H$991,7,FALSE)</f>
        <v>52.693340301513672</v>
      </c>
      <c r="G673" s="24">
        <f>IF(F673&lt;=IF(MONTH($C673)=4,$F$3,IF(MONTH($C673)=5,$F$4,IF(MONTH($C673)=6,$F$5,IF(MONTH($C673)=7,$F$6,"ERROR")))),1,0)</f>
        <v>1</v>
      </c>
      <c r="H673" s="26">
        <f>IF(J673=1,D673-$C$5,0)</f>
        <v>0</v>
      </c>
      <c r="I673" s="26">
        <f t="shared" ref="I673:I736" si="1083">H673*DAY($C673)*86400/43560/1000</f>
        <v>0</v>
      </c>
      <c r="J673" s="24">
        <f t="shared" si="1074"/>
        <v>0</v>
      </c>
      <c r="K673" s="26">
        <f>VLOOKUP($C673,COS!$B$8:$H$991,2,FALSE)</f>
        <v>4500</v>
      </c>
      <c r="L673" s="24">
        <f t="shared" si="1046"/>
        <v>1</v>
      </c>
      <c r="M673" s="24">
        <f t="shared" si="1047"/>
        <v>0</v>
      </c>
      <c r="N673" s="26">
        <f>VLOOKUP($C673,COS!$B$8:$H$991,5,FALSE)</f>
        <v>1088.7784423828125</v>
      </c>
      <c r="O673" s="26">
        <f t="shared" si="1077"/>
        <v>64.786816406249997</v>
      </c>
      <c r="P673" s="26">
        <f>VLOOKUP($C673,COS!$B$8:$H$991,6,FALSE)</f>
        <v>2195.234619140625</v>
      </c>
      <c r="Q673" s="26">
        <f t="shared" si="1078"/>
        <v>130.62553105630167</v>
      </c>
      <c r="R673" s="26">
        <f>MIN(IF(MONTH($C673)=4,$S$3,IF(MONTH($C673)=5,$S$4,IF(MONTH($C673)=6,$S$5,IF(MONTH($C673)=7,$S$6,"ERROR")))),MAX(VLOOKUP($C673,COS!$B$8:$K$991,10,FALSE)-IF(MONTH($C673)=4,$Y$3,IF(MONTH($C673)=5,$Y$4,IF(MONTH($C673)=6,$Y$5,IF(MONTH($C673)=7,$Y$6,"ERROR")))),0),MAX(VLOOKUP($C673,COS!$B$8:$K$991,9,FALSE)-IF(MONTH($C673)=4,$V$3,IF(MONTH($C673)=5,$V$4,IF(MONTH($C673)=6,$V$5,IF(MONTH($C673)=7,$V$6,"ERROR"))))-VLOOKUP($C673,COS!$B$8:$K$991,6,FALSE)/2,0))</f>
        <v>1500</v>
      </c>
      <c r="S673" s="26">
        <f t="shared" si="1079"/>
        <v>89.256198347107429</v>
      </c>
      <c r="T673" s="26">
        <f t="shared" si="1080"/>
        <v>186.96237207838328</v>
      </c>
      <c r="U673" s="26" t="str">
        <f>IF(VLOOKUP($C673,COS!$B$8:$I$991,8,FALSE)=1,"UWFE","IBU")</f>
        <v>UWFE</v>
      </c>
      <c r="V673" s="26">
        <f t="shared" ref="V673" si="1084">MIN(IF(IF($AA$3=2,AND(E673=1,G673=1,L673=1,L676=1,M673=1,U673="IBU"),AND(E673=1,G673=1,L673=1,L676=1,M673=1)),T673,0),I673)</f>
        <v>0</v>
      </c>
      <c r="W673" s="26"/>
      <c r="X673" s="26"/>
      <c r="Y673" s="26"/>
      <c r="Z673" s="26"/>
      <c r="AA673" s="26"/>
      <c r="AB673" s="33"/>
    </row>
    <row r="674" spans="1:28" x14ac:dyDescent="0.3">
      <c r="A674" s="32">
        <f>VLOOKUP(YEAR(C674),Flags!$A$13:$B$95,2,FALSE)</f>
        <v>1</v>
      </c>
      <c r="B674" s="24">
        <f t="shared" si="1054"/>
        <v>1995</v>
      </c>
      <c r="C674" s="25">
        <v>34911</v>
      </c>
      <c r="D674" s="26">
        <f>VLOOKUP($C674,COS!$B$8:$H$991,3,FALSE)</f>
        <v>9700.0400390625</v>
      </c>
      <c r="E674" s="24">
        <f>IF(D674&gt;=IF(MONTH($C674)=4,$C$3,IF(MONTH($C674)=5,$C$4,IF(MONTH($C674)=6,$C$5,IF(MONTH($C674)=7,$C$6,"ERROR")))),1,0)</f>
        <v>0</v>
      </c>
      <c r="F674" s="26">
        <f>VLOOKUP($C674,COS!$B$8:$H$991,7,FALSE)</f>
        <v>53.995834350585938</v>
      </c>
      <c r="G674" s="24">
        <f>IF(F674&lt;=IF(MONTH($C674)=4,$F$3,IF(MONTH($C674)=5,$F$4,IF(MONTH($C674)=6,$F$5,IF(MONTH($C674)=7,$F$6,"ERROR")))),1,0)</f>
        <v>0</v>
      </c>
      <c r="H674" s="26">
        <f>IF(J674=1,D674-$C$6,0)</f>
        <v>0</v>
      </c>
      <c r="I674" s="26">
        <f t="shared" si="1083"/>
        <v>0</v>
      </c>
      <c r="J674" s="24">
        <f t="shared" si="1074"/>
        <v>0</v>
      </c>
      <c r="K674" s="26">
        <f>VLOOKUP($C674,COS!$B$8:$H$991,2,FALSE)</f>
        <v>4150</v>
      </c>
      <c r="L674" s="24">
        <f t="shared" si="1046"/>
        <v>1</v>
      </c>
      <c r="M674" s="24">
        <f t="shared" si="1047"/>
        <v>0</v>
      </c>
      <c r="N674" s="26">
        <f>VLOOKUP($C674,COS!$B$8:$H$991,5,FALSE)</f>
        <v>1360.538818359375</v>
      </c>
      <c r="O674" s="26">
        <f t="shared" si="1077"/>
        <v>83.656271145402897</v>
      </c>
      <c r="P674" s="26">
        <f>VLOOKUP($C674,COS!$B$8:$H$991,6,FALSE)</f>
        <v>2616.67822265625</v>
      </c>
      <c r="Q674" s="26">
        <f t="shared" si="1078"/>
        <v>160.89327253357436</v>
      </c>
      <c r="R674" s="26">
        <f>MIN(IF(MONTH($C674)=4,$S$3,IF(MONTH($C674)=5,$S$4,IF(MONTH($C674)=6,$S$5,IF(MONTH($C674)=7,$S$6,"ERROR")))),MAX(VLOOKUP($C674,COS!$B$8:$K$991,10,FALSE)-IF(MONTH($C674)=4,$Y$3,IF(MONTH($C674)=5,$Y$4,IF(MONTH($C674)=6,$Y$5,IF(MONTH($C674)=7,$Y$6,"ERROR")))),0),MAX(VLOOKUP($C674,COS!$B$8:$K$991,9,FALSE)-IF(MONTH($C674)=4,$V$3,IF(MONTH($C674)=5,$V$4,IF(MONTH($C674)=6,$V$5,IF(MONTH($C674)=7,$V$6,"ERROR"))))-VLOOKUP($C674,COS!$B$8:$K$991,6,FALSE)/2,0))</f>
        <v>1500</v>
      </c>
      <c r="S674" s="26">
        <f t="shared" si="1079"/>
        <v>92.231404958677686</v>
      </c>
      <c r="T674" s="26">
        <f t="shared" si="1080"/>
        <v>214.50617679816634</v>
      </c>
      <c r="U674" s="26" t="str">
        <f>IF(VLOOKUP($C674,COS!$B$8:$I$991,8,FALSE)=1,"UWFE","IBU")</f>
        <v>UWFE</v>
      </c>
      <c r="V674" s="26">
        <f t="shared" ref="V674" si="1085">MIN(IF(IF($AA$3=2,AND(E674=1,G674=1,L674=1,L676=1,M674=1,U674="IBU"),AND(E674=1,G674=1,L674=1,L676=1,M674=1)),T674,0),I674)</f>
        <v>0</v>
      </c>
      <c r="W674" s="26"/>
      <c r="X674" s="26"/>
      <c r="Y674" s="26"/>
      <c r="Z674" s="26"/>
      <c r="AA674" s="26"/>
      <c r="AB674" s="33"/>
    </row>
    <row r="675" spans="1:28" x14ac:dyDescent="0.3">
      <c r="A675" s="32">
        <f>VLOOKUP(YEAR(C675),Flags!$A$13:$B$95,2,FALSE)</f>
        <v>1</v>
      </c>
      <c r="B675" s="24">
        <f t="shared" si="1054"/>
        <v>1995</v>
      </c>
      <c r="C675" s="25">
        <v>34942</v>
      </c>
      <c r="D675" s="26"/>
      <c r="E675" s="24"/>
      <c r="F675" s="26"/>
      <c r="G675" s="24"/>
      <c r="H675" s="24"/>
      <c r="I675" s="26"/>
      <c r="J675" s="24"/>
      <c r="K675" s="26"/>
      <c r="L675" s="24"/>
      <c r="M675" s="24"/>
      <c r="N675" s="26"/>
      <c r="O675" s="26"/>
      <c r="P675" s="26"/>
      <c r="Q675" s="26"/>
      <c r="R675" s="26"/>
      <c r="S675" s="26"/>
      <c r="T675" s="26"/>
      <c r="U675" s="26"/>
      <c r="V675" s="26"/>
      <c r="W675" s="26">
        <f>MAX($C$7-VLOOKUP($C675,COS!$B$8:$H$991,3,FALSE),0)</f>
        <v>0</v>
      </c>
      <c r="X675" s="26">
        <f t="shared" ref="X675:X738" si="1086">W675*DAY($C675)*86400/43560/1000</f>
        <v>0</v>
      </c>
      <c r="Y675" s="26">
        <f>VLOOKUP($C675,COS!$B$8:$H$991,4,FALSE)</f>
        <v>0</v>
      </c>
      <c r="Z675" s="26">
        <f t="shared" ref="Z675:Z738" si="1087">Y675*DAY($C675)*86400/43560/1000</f>
        <v>0</v>
      </c>
      <c r="AA675" s="26">
        <f t="shared" ref="AA675:AA679" si="1088">MIN(W675,Y675)</f>
        <v>0</v>
      </c>
      <c r="AB675" s="33">
        <f t="shared" ref="AB675" si="1089">AA675*DAY($C675)*86400/43560/1000*IF(MONTH($C675)=8,$P$3,IF(MONTH($C675)=9,$P$4,IF(MONTH($C675)=10,$P$5,IF(MONTH($C675)=11,$P$6,IF(MONTH($C675)=12,$P$7,NA())))))</f>
        <v>0</v>
      </c>
    </row>
    <row r="676" spans="1:28" x14ac:dyDescent="0.3">
      <c r="A676" s="32">
        <f>VLOOKUP(YEAR(C676),Flags!$A$13:$B$95,2,FALSE)</f>
        <v>1</v>
      </c>
      <c r="B676" s="24">
        <f t="shared" si="1054"/>
        <v>1995</v>
      </c>
      <c r="C676" s="25">
        <v>34972</v>
      </c>
      <c r="D676" s="26"/>
      <c r="E676" s="24"/>
      <c r="F676" s="26"/>
      <c r="G676" s="24"/>
      <c r="H676" s="24"/>
      <c r="I676" s="26"/>
      <c r="J676" s="24"/>
      <c r="K676" s="26">
        <f>VLOOKUP($C676,COS!$B$8:$H$991,2,FALSE)</f>
        <v>3358.360595703125</v>
      </c>
      <c r="L676" s="24">
        <f t="shared" ref="L676" si="1090">IF(AND(K676&gt;$I$7,K676&lt;$I$8),1,0)</f>
        <v>1</v>
      </c>
      <c r="M676" s="24"/>
      <c r="N676" s="26"/>
      <c r="O676" s="26"/>
      <c r="P676" s="26"/>
      <c r="Q676" s="26"/>
      <c r="R676" s="26"/>
      <c r="S676" s="26"/>
      <c r="T676" s="26"/>
      <c r="U676" s="26"/>
      <c r="V676" s="26"/>
      <c r="W676" s="26">
        <f>MAX($C$8-VLOOKUP($C676,COS!$B$8:$H$991,3,FALSE),0)</f>
        <v>0</v>
      </c>
      <c r="X676" s="26">
        <f t="shared" si="1086"/>
        <v>0</v>
      </c>
      <c r="Y676" s="26">
        <f>VLOOKUP($C676,COS!$B$8:$H$991,4,FALSE)</f>
        <v>0</v>
      </c>
      <c r="Z676" s="26">
        <f t="shared" si="1087"/>
        <v>0</v>
      </c>
      <c r="AA676" s="26">
        <f t="shared" si="1088"/>
        <v>0</v>
      </c>
      <c r="AB676" s="33">
        <f t="shared" si="1058"/>
        <v>0</v>
      </c>
    </row>
    <row r="677" spans="1:28" x14ac:dyDescent="0.3">
      <c r="A677" s="32">
        <f>VLOOKUP(YEAR(C677),Flags!$A$13:$B$95,2,FALSE)</f>
        <v>1</v>
      </c>
      <c r="B677" s="24">
        <f t="shared" si="1054"/>
        <v>1995</v>
      </c>
      <c r="C677" s="25">
        <v>35003</v>
      </c>
      <c r="D677" s="26"/>
      <c r="E677" s="24"/>
      <c r="F677" s="26"/>
      <c r="G677" s="26"/>
      <c r="H677" s="26"/>
      <c r="I677" s="26"/>
      <c r="J677" s="26"/>
      <c r="K677" s="26"/>
      <c r="L677" s="24"/>
      <c r="M677" s="24"/>
      <c r="N677" s="26"/>
      <c r="O677" s="26"/>
      <c r="P677" s="26"/>
      <c r="Q677" s="26"/>
      <c r="R677" s="26"/>
      <c r="S677" s="26"/>
      <c r="T677" s="26"/>
      <c r="U677" s="26"/>
      <c r="V677" s="26"/>
      <c r="W677" s="26">
        <f>MAX($C$9-VLOOKUP($C677,COS!$B$8:$H$991,3,FALSE),0)</f>
        <v>0</v>
      </c>
      <c r="X677" s="26">
        <f t="shared" si="1086"/>
        <v>0</v>
      </c>
      <c r="Y677" s="26">
        <f>VLOOKUP($C677,COS!$B$8:$H$991,4,FALSE)</f>
        <v>122.30811309814453</v>
      </c>
      <c r="Z677" s="26">
        <f t="shared" si="1087"/>
        <v>7.5204327392578127</v>
      </c>
      <c r="AA677" s="26">
        <f t="shared" si="1088"/>
        <v>0</v>
      </c>
      <c r="AB677" s="33">
        <f t="shared" si="1058"/>
        <v>0</v>
      </c>
    </row>
    <row r="678" spans="1:28" x14ac:dyDescent="0.3">
      <c r="A678" s="32">
        <f>VLOOKUP(YEAR(C678),Flags!$A$13:$B$95,2,FALSE)</f>
        <v>1</v>
      </c>
      <c r="B678" s="24">
        <f t="shared" si="1054"/>
        <v>1995</v>
      </c>
      <c r="C678" s="25">
        <v>35033</v>
      </c>
      <c r="D678" s="26"/>
      <c r="E678" s="24"/>
      <c r="F678" s="26"/>
      <c r="G678" s="26"/>
      <c r="H678" s="26"/>
      <c r="I678" s="26"/>
      <c r="J678" s="26"/>
      <c r="K678" s="26"/>
      <c r="L678" s="24"/>
      <c r="M678" s="24"/>
      <c r="N678" s="26"/>
      <c r="O678" s="26"/>
      <c r="P678" s="26"/>
      <c r="Q678" s="26"/>
      <c r="R678" s="26"/>
      <c r="S678" s="26"/>
      <c r="T678" s="26"/>
      <c r="U678" s="26"/>
      <c r="V678" s="26"/>
      <c r="W678" s="26">
        <f>MAX($C$10-VLOOKUP($C678,COS!$B$8:$H$991,3,FALSE),0)</f>
        <v>0</v>
      </c>
      <c r="X678" s="26">
        <f t="shared" si="1086"/>
        <v>0</v>
      </c>
      <c r="Y678" s="26">
        <f>VLOOKUP($C678,COS!$B$8:$H$991,4,FALSE)</f>
        <v>1767.1361083984375</v>
      </c>
      <c r="Z678" s="26">
        <f t="shared" si="1087"/>
        <v>105.15190066503099</v>
      </c>
      <c r="AA678" s="26">
        <f t="shared" si="1088"/>
        <v>0</v>
      </c>
      <c r="AB678" s="33">
        <f t="shared" si="1058"/>
        <v>0</v>
      </c>
    </row>
    <row r="679" spans="1:28" x14ac:dyDescent="0.3">
      <c r="A679" s="34">
        <f>VLOOKUP(YEAR(C679),Flags!$A$13:$B$95,2,FALSE)</f>
        <v>1</v>
      </c>
      <c r="B679" s="35">
        <f t="shared" si="1054"/>
        <v>1995</v>
      </c>
      <c r="C679" s="36">
        <v>35064</v>
      </c>
      <c r="D679" s="37"/>
      <c r="E679" s="35"/>
      <c r="F679" s="37"/>
      <c r="G679" s="37"/>
      <c r="H679" s="37"/>
      <c r="I679" s="37"/>
      <c r="J679" s="37"/>
      <c r="K679" s="37"/>
      <c r="L679" s="35"/>
      <c r="M679" s="35"/>
      <c r="N679" s="37"/>
      <c r="O679" s="37"/>
      <c r="P679" s="37"/>
      <c r="Q679" s="37"/>
      <c r="R679" s="37"/>
      <c r="S679" s="37"/>
      <c r="T679" s="37"/>
      <c r="U679" s="37"/>
      <c r="V679" s="37"/>
      <c r="W679" s="37">
        <f>MAX($C$11-VLOOKUP($C679,COS!$B$8:$H$991,3,FALSE),0)</f>
        <v>1576.743408203125</v>
      </c>
      <c r="X679" s="37">
        <f t="shared" si="1086"/>
        <v>96.950173198605384</v>
      </c>
      <c r="Y679" s="37">
        <f>VLOOKUP($C679,COS!$B$8:$H$991,4,FALSE)</f>
        <v>0</v>
      </c>
      <c r="Z679" s="37">
        <f t="shared" si="1087"/>
        <v>0</v>
      </c>
      <c r="AA679" s="37">
        <f t="shared" si="1088"/>
        <v>0</v>
      </c>
      <c r="AB679" s="38">
        <f t="shared" si="1058"/>
        <v>0</v>
      </c>
    </row>
    <row r="680" spans="1:28" x14ac:dyDescent="0.3">
      <c r="A680" s="27">
        <f>VLOOKUP(YEAR(C680),Flags!$A$13:$B$95,2,FALSE)</f>
        <v>1</v>
      </c>
      <c r="B680" s="28">
        <f t="shared" si="1054"/>
        <v>1996</v>
      </c>
      <c r="C680" s="29">
        <v>35185</v>
      </c>
      <c r="D680" s="30">
        <f>VLOOKUP($C680,COS!$B$8:$H$991,3,FALSE)</f>
        <v>3250</v>
      </c>
      <c r="E680" s="28">
        <f>IF(D680&gt;=IF(MONTH($C680)=4,$C$3,IF(MONTH($C680)=5,$C$4,IF(MONTH($C680)=6,$C$5,IF(MONTH($C680)=7,$C$6,"ERROR")))),1,0)</f>
        <v>0</v>
      </c>
      <c r="F680" s="30">
        <f>VLOOKUP($C680,COS!$B$8:$H$991,7,FALSE)</f>
        <v>52.729835510253906</v>
      </c>
      <c r="G680" s="28">
        <f>IF(F680&lt;=IF(MONTH($C680)=4,$F$3,IF(MONTH($C680)=5,$F$4,IF(MONTH($C680)=6,$F$5,IF(MONTH($C680)=7,$F$6,"ERROR")))),1,0)</f>
        <v>1</v>
      </c>
      <c r="H680" s="30">
        <f>IF(J680=1,D680-$C$3,0)</f>
        <v>0</v>
      </c>
      <c r="I680" s="30">
        <f t="shared" si="1083"/>
        <v>0</v>
      </c>
      <c r="J680" s="28">
        <f t="shared" ref="J680:J683" si="1091">IF(AND(E680=1,G680=1),1,0)</f>
        <v>0</v>
      </c>
      <c r="K680" s="30">
        <f>VLOOKUP($C680,COS!$B$8:$H$991,2,FALSE)</f>
        <v>4477.14208984375</v>
      </c>
      <c r="L680" s="28">
        <f t="shared" ref="L680" si="1092">IF(K680&lt;=IF(MONTH($C680)=4,$I$3,IF(MONTH($C680)=5,$I$4,IF(MONTH($C680)=6,$I$5,IF(MONTH($C680)=7,$I$6,"ERROR")))),1,0)</f>
        <v>1</v>
      </c>
      <c r="M680" s="28">
        <f t="shared" ref="M680" si="1093">VLOOKUP($A680,$L$3:$M$7,2,FALSE)</f>
        <v>0</v>
      </c>
      <c r="N680" s="30">
        <f>VLOOKUP($C680,COS!$B$8:$H$991,5,FALSE)</f>
        <v>334.49749755859375</v>
      </c>
      <c r="O680" s="30">
        <f t="shared" ref="O680:O683" si="1094">N680*DAY($C680)*86400/43560/1000</f>
        <v>19.903983325800617</v>
      </c>
      <c r="P680" s="30">
        <f>VLOOKUP($C680,COS!$B$8:$H$991,6,FALSE)</f>
        <v>392.12069702148438</v>
      </c>
      <c r="Q680" s="30">
        <f t="shared" ref="Q680:Q683" si="1095">P680*DAY($C680)*86400/43560/1000</f>
        <v>23.332801806237086</v>
      </c>
      <c r="R680" s="30">
        <f>MIN(IF(MONTH($C680)=4,$S$3,IF(MONTH($C680)=5,$S$4,IF(MONTH($C680)=6,$S$5,IF(MONTH($C680)=7,$S$6,"ERROR")))),MAX(VLOOKUP($C680,COS!$B$8:$K$991,10,FALSE)-IF(MONTH($C680)=4,$Y$3,IF(MONTH($C680)=5,$Y$4,IF(MONTH($C680)=6,$Y$5,IF(MONTH($C680)=7,$Y$6,"ERROR")))),0),MAX(VLOOKUP($C680,COS!$B$8:$K$991,9,FALSE)-IF(MONTH($C680)=4,$V$3,IF(MONTH($C680)=5,$V$4,IF(MONTH($C680)=6,$V$5,IF(MONTH($C680)=7,$V$6,"ERROR"))))-VLOOKUP($C680,COS!$B$8:$K$991,6,FALSE)/2,0))</f>
        <v>1500</v>
      </c>
      <c r="S680" s="30">
        <f t="shared" ref="S680:S683" si="1096">R680*DAY($C680)*86400/43560/1000</f>
        <v>89.256198347107429</v>
      </c>
      <c r="T680" s="30">
        <f t="shared" ref="T680:T683" si="1097">(O680+Q680)/2+S680</f>
        <v>110.87459091312628</v>
      </c>
      <c r="U680" s="30" t="str">
        <f>IF(VLOOKUP($C680,COS!$B$8:$I$991,8,FALSE)=1,"UWFE","IBU")</f>
        <v>UWFE</v>
      </c>
      <c r="V680" s="30">
        <f t="shared" ref="V680" si="1098">MIN(IF(IF($AA$3=2,AND(E680=1,G680=1,L680=1,L685=1,M680=1,U680="IBU"),AND(E680=1,G680=1,L680=1,L685=1,M680=1)),T680,0),I680)</f>
        <v>0</v>
      </c>
      <c r="W680" s="30"/>
      <c r="X680" s="30"/>
      <c r="Y680" s="30"/>
      <c r="Z680" s="30"/>
      <c r="AA680" s="30"/>
      <c r="AB680" s="31"/>
    </row>
    <row r="681" spans="1:28" x14ac:dyDescent="0.3">
      <c r="A681" s="32">
        <f>VLOOKUP(YEAR(C681),Flags!$A$13:$B$95,2,FALSE)</f>
        <v>1</v>
      </c>
      <c r="B681" s="24">
        <f t="shared" si="1054"/>
        <v>1996</v>
      </c>
      <c r="C681" s="25">
        <v>35216</v>
      </c>
      <c r="D681" s="26">
        <f>VLOOKUP($C681,COS!$B$8:$H$991,3,FALSE)</f>
        <v>10559.1572265625</v>
      </c>
      <c r="E681" s="24">
        <f>IF(D681&gt;=IF(MONTH($C681)=4,$C$3,IF(MONTH($C681)=5,$C$4,IF(MONTH($C681)=6,$C$5,IF(MONTH($C681)=7,$C$6,"ERROR")))),1,0)</f>
        <v>1</v>
      </c>
      <c r="F681" s="26">
        <f>VLOOKUP($C681,COS!$B$8:$H$991,7,FALSE)</f>
        <v>51.389583587646484</v>
      </c>
      <c r="G681" s="24">
        <f>IF(F681&lt;=IF(MONTH($C681)=4,$F$3,IF(MONTH($C681)=5,$F$4,IF(MONTH($C681)=6,$F$5,IF(MONTH($C681)=7,$F$6,"ERROR")))),1,0)</f>
        <v>1</v>
      </c>
      <c r="H681" s="26">
        <f>IF(J681=1,D681-$C$4,0)</f>
        <v>4559.1572265625</v>
      </c>
      <c r="I681" s="26">
        <f t="shared" si="1083"/>
        <v>280.33165095557848</v>
      </c>
      <c r="J681" s="24">
        <f t="shared" si="1091"/>
        <v>1</v>
      </c>
      <c r="K681" s="26">
        <f>VLOOKUP($C681,COS!$B$8:$H$991,2,FALSE)</f>
        <v>4552</v>
      </c>
      <c r="L681" s="24">
        <f t="shared" si="1046"/>
        <v>1</v>
      </c>
      <c r="M681" s="24">
        <f t="shared" si="1047"/>
        <v>0</v>
      </c>
      <c r="N681" s="26">
        <f>VLOOKUP($C681,COS!$B$8:$H$991,5,FALSE)</f>
        <v>391.34814453125</v>
      </c>
      <c r="O681" s="26">
        <f t="shared" si="1094"/>
        <v>24.063059465392563</v>
      </c>
      <c r="P681" s="26">
        <f>VLOOKUP($C681,COS!$B$8:$H$991,6,FALSE)</f>
        <v>1692.3414306640625</v>
      </c>
      <c r="Q681" s="26">
        <f t="shared" si="1095"/>
        <v>104.05801854661674</v>
      </c>
      <c r="R681" s="26">
        <f>MIN(IF(MONTH($C681)=4,$S$3,IF(MONTH($C681)=5,$S$4,IF(MONTH($C681)=6,$S$5,IF(MONTH($C681)=7,$S$6,"ERROR")))),MAX(VLOOKUP($C681,COS!$B$8:$K$991,10,FALSE)-IF(MONTH($C681)=4,$Y$3,IF(MONTH($C681)=5,$Y$4,IF(MONTH($C681)=6,$Y$5,IF(MONTH($C681)=7,$Y$6,"ERROR")))),0),MAX(VLOOKUP($C681,COS!$B$8:$K$991,9,FALSE)-IF(MONTH($C681)=4,$V$3,IF(MONTH($C681)=5,$V$4,IF(MONTH($C681)=6,$V$5,IF(MONTH($C681)=7,$V$6,"ERROR"))))-VLOOKUP($C681,COS!$B$8:$K$991,6,FALSE)/2,0))</f>
        <v>1500</v>
      </c>
      <c r="S681" s="26">
        <f t="shared" si="1096"/>
        <v>92.231404958677686</v>
      </c>
      <c r="T681" s="26">
        <f t="shared" si="1097"/>
        <v>156.29194396468233</v>
      </c>
      <c r="U681" s="26" t="str">
        <f>IF(VLOOKUP($C681,COS!$B$8:$I$991,8,FALSE)=1,"UWFE","IBU")</f>
        <v>UWFE</v>
      </c>
      <c r="V681" s="26">
        <f t="shared" ref="V681" si="1099">MIN(IF(IF($AA$3=2,AND(E681=1,G681=1,L681=1,L685=1,M681=1,U681="IBU"),AND(E681=1,G681=1,L681=1,L685=1,M681=1)),T681,0),I681)</f>
        <v>0</v>
      </c>
      <c r="W681" s="26"/>
      <c r="X681" s="26"/>
      <c r="Y681" s="26"/>
      <c r="Z681" s="26"/>
      <c r="AA681" s="26"/>
      <c r="AB681" s="33"/>
    </row>
    <row r="682" spans="1:28" x14ac:dyDescent="0.3">
      <c r="A682" s="32">
        <f>VLOOKUP(YEAR(C682),Flags!$A$13:$B$95,2,FALSE)</f>
        <v>1</v>
      </c>
      <c r="B682" s="24">
        <f t="shared" si="1054"/>
        <v>1996</v>
      </c>
      <c r="C682" s="25">
        <v>35246</v>
      </c>
      <c r="D682" s="26">
        <f>VLOOKUP($C682,COS!$B$8:$H$991,3,FALSE)</f>
        <v>7585.73583984375</v>
      </c>
      <c r="E682" s="24">
        <f>IF(D682&gt;=IF(MONTH($C682)=4,$C$3,IF(MONTH($C682)=5,$C$4,IF(MONTH($C682)=6,$C$5,IF(MONTH($C682)=7,$C$6,"ERROR")))),1,0)</f>
        <v>0</v>
      </c>
      <c r="F682" s="26">
        <f>VLOOKUP($C682,COS!$B$8:$H$991,7,FALSE)</f>
        <v>53.900276184082031</v>
      </c>
      <c r="G682" s="24">
        <f>IF(F682&lt;=IF(MONTH($C682)=4,$F$3,IF(MONTH($C682)=5,$F$4,IF(MONTH($C682)=6,$F$5,IF(MONTH($C682)=7,$F$6,"ERROR")))),1,0)</f>
        <v>1</v>
      </c>
      <c r="H682" s="26">
        <f>IF(J682=1,D682-$C$5,0)</f>
        <v>0</v>
      </c>
      <c r="I682" s="26">
        <f t="shared" si="1083"/>
        <v>0</v>
      </c>
      <c r="J682" s="24">
        <f t="shared" si="1091"/>
        <v>0</v>
      </c>
      <c r="K682" s="26">
        <f>VLOOKUP($C682,COS!$B$8:$H$991,2,FALSE)</f>
        <v>4421.00390625</v>
      </c>
      <c r="L682" s="24">
        <f t="shared" si="1046"/>
        <v>1</v>
      </c>
      <c r="M682" s="24">
        <f t="shared" si="1047"/>
        <v>0</v>
      </c>
      <c r="N682" s="26">
        <f>VLOOKUP($C682,COS!$B$8:$H$991,5,FALSE)</f>
        <v>1206.450439453125</v>
      </c>
      <c r="O682" s="26">
        <f t="shared" si="1094"/>
        <v>71.788786479855375</v>
      </c>
      <c r="P682" s="26">
        <f>VLOOKUP($C682,COS!$B$8:$H$991,6,FALSE)</f>
        <v>2328.534912109375</v>
      </c>
      <c r="Q682" s="26">
        <f t="shared" si="1095"/>
        <v>138.55744931559917</v>
      </c>
      <c r="R682" s="26">
        <f>MIN(IF(MONTH($C682)=4,$S$3,IF(MONTH($C682)=5,$S$4,IF(MONTH($C682)=6,$S$5,IF(MONTH($C682)=7,$S$6,"ERROR")))),MAX(VLOOKUP($C682,COS!$B$8:$K$991,10,FALSE)-IF(MONTH($C682)=4,$Y$3,IF(MONTH($C682)=5,$Y$4,IF(MONTH($C682)=6,$Y$5,IF(MONTH($C682)=7,$Y$6,"ERROR")))),0),MAX(VLOOKUP($C682,COS!$B$8:$K$991,9,FALSE)-IF(MONTH($C682)=4,$V$3,IF(MONTH($C682)=5,$V$4,IF(MONTH($C682)=6,$V$5,IF(MONTH($C682)=7,$V$6,"ERROR"))))-VLOOKUP($C682,COS!$B$8:$K$991,6,FALSE)/2,0))</f>
        <v>1500</v>
      </c>
      <c r="S682" s="26">
        <f t="shared" si="1096"/>
        <v>89.256198347107429</v>
      </c>
      <c r="T682" s="26">
        <f t="shared" si="1097"/>
        <v>194.42931624483469</v>
      </c>
      <c r="U682" s="26" t="str">
        <f>IF(VLOOKUP($C682,COS!$B$8:$I$991,8,FALSE)=1,"UWFE","IBU")</f>
        <v>UWFE</v>
      </c>
      <c r="V682" s="26">
        <f t="shared" ref="V682" si="1100">MIN(IF(IF($AA$3=2,AND(E682=1,G682=1,L682=1,L685=1,M682=1,U682="IBU"),AND(E682=1,G682=1,L682=1,L685=1,M682=1)),T682,0),I682)</f>
        <v>0</v>
      </c>
      <c r="W682" s="26"/>
      <c r="X682" s="26"/>
      <c r="Y682" s="26"/>
      <c r="Z682" s="26"/>
      <c r="AA682" s="26"/>
      <c r="AB682" s="33"/>
    </row>
    <row r="683" spans="1:28" x14ac:dyDescent="0.3">
      <c r="A683" s="32">
        <f>VLOOKUP(YEAR(C683),Flags!$A$13:$B$95,2,FALSE)</f>
        <v>1</v>
      </c>
      <c r="B683" s="24">
        <f t="shared" si="1054"/>
        <v>1996</v>
      </c>
      <c r="C683" s="25">
        <v>35277</v>
      </c>
      <c r="D683" s="26">
        <f>VLOOKUP($C683,COS!$B$8:$H$991,3,FALSE)</f>
        <v>15098.107421875</v>
      </c>
      <c r="E683" s="24">
        <f>IF(D683&gt;=IF(MONTH($C683)=4,$C$3,IF(MONTH($C683)=5,$C$4,IF(MONTH($C683)=6,$C$5,IF(MONTH($C683)=7,$C$6,"ERROR")))),1,0)</f>
        <v>1</v>
      </c>
      <c r="F683" s="26">
        <f>VLOOKUP($C683,COS!$B$8:$H$991,7,FALSE)</f>
        <v>53.102745056152344</v>
      </c>
      <c r="G683" s="24">
        <f>IF(F683&lt;=IF(MONTH($C683)=4,$F$3,IF(MONTH($C683)=5,$F$4,IF(MONTH($C683)=6,$F$5,IF(MONTH($C683)=7,$F$6,"ERROR")))),1,0)</f>
        <v>1</v>
      </c>
      <c r="H683" s="26">
        <f>IF(J683=1,D683-$C$6,0)</f>
        <v>3098.107421875</v>
      </c>
      <c r="I683" s="26">
        <f t="shared" si="1083"/>
        <v>190.49520015495867</v>
      </c>
      <c r="J683" s="24">
        <f t="shared" si="1091"/>
        <v>1</v>
      </c>
      <c r="K683" s="26">
        <f>VLOOKUP($C683,COS!$B$8:$H$991,2,FALSE)</f>
        <v>3708.637451171875</v>
      </c>
      <c r="L683" s="24">
        <f t="shared" si="1046"/>
        <v>1</v>
      </c>
      <c r="M683" s="24">
        <f t="shared" si="1047"/>
        <v>0</v>
      </c>
      <c r="N683" s="26">
        <f>VLOOKUP($C683,COS!$B$8:$H$991,5,FALSE)</f>
        <v>1377.7275390625</v>
      </c>
      <c r="O683" s="26">
        <f t="shared" si="1094"/>
        <v>84.713164385330572</v>
      </c>
      <c r="P683" s="26">
        <f>VLOOKUP($C683,COS!$B$8:$H$991,6,FALSE)</f>
        <v>2521.474853515625</v>
      </c>
      <c r="Q683" s="26">
        <f t="shared" si="1095"/>
        <v>155.0394455384814</v>
      </c>
      <c r="R683" s="26">
        <f>MIN(IF(MONTH($C683)=4,$S$3,IF(MONTH($C683)=5,$S$4,IF(MONTH($C683)=6,$S$5,IF(MONTH($C683)=7,$S$6,"ERROR")))),MAX(VLOOKUP($C683,COS!$B$8:$K$991,10,FALSE)-IF(MONTH($C683)=4,$Y$3,IF(MONTH($C683)=5,$Y$4,IF(MONTH($C683)=6,$Y$5,IF(MONTH($C683)=7,$Y$6,"ERROR")))),0),MAX(VLOOKUP($C683,COS!$B$8:$K$991,9,FALSE)-IF(MONTH($C683)=4,$V$3,IF(MONTH($C683)=5,$V$4,IF(MONTH($C683)=6,$V$5,IF(MONTH($C683)=7,$V$6,"ERROR"))))-VLOOKUP($C683,COS!$B$8:$K$991,6,FALSE)/2,0))</f>
        <v>1500</v>
      </c>
      <c r="S683" s="26">
        <f t="shared" si="1096"/>
        <v>92.231404958677686</v>
      </c>
      <c r="T683" s="26">
        <f t="shared" si="1097"/>
        <v>212.10770992058366</v>
      </c>
      <c r="U683" s="26" t="str">
        <f>IF(VLOOKUP($C683,COS!$B$8:$I$991,8,FALSE)=1,"UWFE","IBU")</f>
        <v>IBU</v>
      </c>
      <c r="V683" s="26">
        <f t="shared" ref="V683" si="1101">MIN(IF(IF($AA$3=2,AND(E683=1,G683=1,L683=1,L685=1,M683=1,U683="IBU"),AND(E683=1,G683=1,L683=1,L685=1,M683=1)),T683,0),I683)</f>
        <v>0</v>
      </c>
      <c r="W683" s="26"/>
      <c r="X683" s="26"/>
      <c r="Y683" s="26"/>
      <c r="Z683" s="26"/>
      <c r="AA683" s="26"/>
      <c r="AB683" s="33"/>
    </row>
    <row r="684" spans="1:28" x14ac:dyDescent="0.3">
      <c r="A684" s="32">
        <f>VLOOKUP(YEAR(C684),Flags!$A$13:$B$95,2,FALSE)</f>
        <v>1</v>
      </c>
      <c r="B684" s="24">
        <f t="shared" si="1054"/>
        <v>1996</v>
      </c>
      <c r="C684" s="25">
        <v>35308</v>
      </c>
      <c r="D684" s="26"/>
      <c r="E684" s="24"/>
      <c r="F684" s="26"/>
      <c r="G684" s="24"/>
      <c r="H684" s="24"/>
      <c r="I684" s="26"/>
      <c r="J684" s="24"/>
      <c r="K684" s="26"/>
      <c r="L684" s="24"/>
      <c r="M684" s="24"/>
      <c r="N684" s="26"/>
      <c r="O684" s="26"/>
      <c r="P684" s="26"/>
      <c r="Q684" s="26"/>
      <c r="R684" s="26"/>
      <c r="S684" s="26"/>
      <c r="T684" s="26"/>
      <c r="U684" s="26"/>
      <c r="V684" s="26"/>
      <c r="W684" s="26">
        <f>MAX($C$7-VLOOKUP($C684,COS!$B$8:$H$991,3,FALSE),0)</f>
        <v>2643.01953125</v>
      </c>
      <c r="X684" s="26">
        <f t="shared" si="1086"/>
        <v>162.51293646694216</v>
      </c>
      <c r="Y684" s="26">
        <f>VLOOKUP($C684,COS!$B$8:$H$991,4,FALSE)</f>
        <v>0</v>
      </c>
      <c r="Z684" s="26">
        <f t="shared" si="1087"/>
        <v>0</v>
      </c>
      <c r="AA684" s="26">
        <f t="shared" ref="AA684:AA688" si="1102">MIN(W684,Y684)</f>
        <v>0</v>
      </c>
      <c r="AB684" s="33">
        <f t="shared" ref="AB684" si="1103">AA684*DAY($C684)*86400/43560/1000*IF(MONTH($C684)=8,$P$3,IF(MONTH($C684)=9,$P$4,IF(MONTH($C684)=10,$P$5,IF(MONTH($C684)=11,$P$6,IF(MONTH($C684)=12,$P$7,NA())))))</f>
        <v>0</v>
      </c>
    </row>
    <row r="685" spans="1:28" x14ac:dyDescent="0.3">
      <c r="A685" s="32">
        <f>VLOOKUP(YEAR(C685),Flags!$A$13:$B$95,2,FALSE)</f>
        <v>1</v>
      </c>
      <c r="B685" s="24">
        <f t="shared" si="1054"/>
        <v>1996</v>
      </c>
      <c r="C685" s="25">
        <v>35338</v>
      </c>
      <c r="D685" s="26"/>
      <c r="E685" s="24"/>
      <c r="F685" s="26"/>
      <c r="G685" s="24"/>
      <c r="H685" s="24"/>
      <c r="I685" s="26"/>
      <c r="J685" s="24"/>
      <c r="K685" s="26">
        <f>VLOOKUP($C685,COS!$B$8:$H$991,2,FALSE)</f>
        <v>3012.986572265625</v>
      </c>
      <c r="L685" s="24">
        <f t="shared" ref="L685" si="1104">IF(AND(K685&gt;$I$7,K685&lt;$I$8),1,0)</f>
        <v>1</v>
      </c>
      <c r="M685" s="24"/>
      <c r="N685" s="26"/>
      <c r="O685" s="26"/>
      <c r="P685" s="26"/>
      <c r="Q685" s="26"/>
      <c r="R685" s="26"/>
      <c r="S685" s="26"/>
      <c r="T685" s="26"/>
      <c r="U685" s="26"/>
      <c r="V685" s="26"/>
      <c r="W685" s="26">
        <f>MAX($C$8-VLOOKUP($C685,COS!$B$8:$H$991,3,FALSE),0)</f>
        <v>0</v>
      </c>
      <c r="X685" s="26">
        <f t="shared" si="1086"/>
        <v>0</v>
      </c>
      <c r="Y685" s="26">
        <f>VLOOKUP($C685,COS!$B$8:$H$991,4,FALSE)</f>
        <v>0</v>
      </c>
      <c r="Z685" s="26">
        <f t="shared" si="1087"/>
        <v>0</v>
      </c>
      <c r="AA685" s="26">
        <f t="shared" si="1102"/>
        <v>0</v>
      </c>
      <c r="AB685" s="33">
        <f t="shared" si="1058"/>
        <v>0</v>
      </c>
    </row>
    <row r="686" spans="1:28" x14ac:dyDescent="0.3">
      <c r="A686" s="32">
        <f>VLOOKUP(YEAR(C686),Flags!$A$13:$B$95,2,FALSE)</f>
        <v>1</v>
      </c>
      <c r="B686" s="24">
        <f t="shared" si="1054"/>
        <v>1996</v>
      </c>
      <c r="C686" s="25">
        <v>35369</v>
      </c>
      <c r="D686" s="26"/>
      <c r="E686" s="24"/>
      <c r="F686" s="26"/>
      <c r="G686" s="26"/>
      <c r="H686" s="26"/>
      <c r="I686" s="26"/>
      <c r="J686" s="26"/>
      <c r="K686" s="26"/>
      <c r="L686" s="24"/>
      <c r="M686" s="24"/>
      <c r="N686" s="26"/>
      <c r="O686" s="26"/>
      <c r="P686" s="26"/>
      <c r="Q686" s="26"/>
      <c r="R686" s="26"/>
      <c r="S686" s="26"/>
      <c r="T686" s="26"/>
      <c r="U686" s="26"/>
      <c r="V686" s="26"/>
      <c r="W686" s="26">
        <f>MAX($C$9-VLOOKUP($C686,COS!$B$8:$H$991,3,FALSE),0)</f>
        <v>0</v>
      </c>
      <c r="X686" s="26">
        <f t="shared" si="1086"/>
        <v>0</v>
      </c>
      <c r="Y686" s="26">
        <f>VLOOKUP($C686,COS!$B$8:$H$991,4,FALSE)</f>
        <v>729.4923095703125</v>
      </c>
      <c r="Z686" s="26">
        <f t="shared" si="1087"/>
        <v>44.854733745480374</v>
      </c>
      <c r="AA686" s="26">
        <f t="shared" si="1102"/>
        <v>0</v>
      </c>
      <c r="AB686" s="33">
        <f t="shared" si="1058"/>
        <v>0</v>
      </c>
    </row>
    <row r="687" spans="1:28" x14ac:dyDescent="0.3">
      <c r="A687" s="32">
        <f>VLOOKUP(YEAR(C687),Flags!$A$13:$B$95,2,FALSE)</f>
        <v>1</v>
      </c>
      <c r="B687" s="24">
        <f t="shared" si="1054"/>
        <v>1996</v>
      </c>
      <c r="C687" s="25">
        <v>35399</v>
      </c>
      <c r="D687" s="26"/>
      <c r="E687" s="24"/>
      <c r="F687" s="26"/>
      <c r="G687" s="26"/>
      <c r="H687" s="26"/>
      <c r="I687" s="26"/>
      <c r="J687" s="26"/>
      <c r="K687" s="26"/>
      <c r="L687" s="24"/>
      <c r="M687" s="24"/>
      <c r="N687" s="26"/>
      <c r="O687" s="26"/>
      <c r="P687" s="26"/>
      <c r="Q687" s="26"/>
      <c r="R687" s="26"/>
      <c r="S687" s="26"/>
      <c r="T687" s="26"/>
      <c r="U687" s="26"/>
      <c r="V687" s="26"/>
      <c r="W687" s="26">
        <f>MAX($C$10-VLOOKUP($C687,COS!$B$8:$H$991,3,FALSE),0)</f>
        <v>0</v>
      </c>
      <c r="X687" s="26">
        <f t="shared" si="1086"/>
        <v>0</v>
      </c>
      <c r="Y687" s="26">
        <f>VLOOKUP($C687,COS!$B$8:$H$991,4,FALSE)</f>
        <v>1822.423095703125</v>
      </c>
      <c r="Z687" s="26">
        <f t="shared" si="1087"/>
        <v>108.44170486828513</v>
      </c>
      <c r="AA687" s="26">
        <f t="shared" si="1102"/>
        <v>0</v>
      </c>
      <c r="AB687" s="33">
        <f t="shared" si="1058"/>
        <v>0</v>
      </c>
    </row>
    <row r="688" spans="1:28" x14ac:dyDescent="0.3">
      <c r="A688" s="34">
        <f>VLOOKUP(YEAR(C688),Flags!$A$13:$B$95,2,FALSE)</f>
        <v>1</v>
      </c>
      <c r="B688" s="35">
        <f t="shared" si="1054"/>
        <v>1996</v>
      </c>
      <c r="C688" s="36">
        <v>35430</v>
      </c>
      <c r="D688" s="37"/>
      <c r="E688" s="35"/>
      <c r="F688" s="37"/>
      <c r="G688" s="37"/>
      <c r="H688" s="37"/>
      <c r="I688" s="37"/>
      <c r="J688" s="37"/>
      <c r="K688" s="37"/>
      <c r="L688" s="35"/>
      <c r="M688" s="35"/>
      <c r="N688" s="37"/>
      <c r="O688" s="37"/>
      <c r="P688" s="37"/>
      <c r="Q688" s="37"/>
      <c r="R688" s="37"/>
      <c r="S688" s="37"/>
      <c r="T688" s="37"/>
      <c r="U688" s="37"/>
      <c r="V688" s="37"/>
      <c r="W688" s="37">
        <f>MAX($C$11-VLOOKUP($C688,COS!$B$8:$H$991,3,FALSE),0)</f>
        <v>0</v>
      </c>
      <c r="X688" s="37">
        <f t="shared" si="1086"/>
        <v>0</v>
      </c>
      <c r="Y688" s="37">
        <f>VLOOKUP($C688,COS!$B$8:$H$991,4,FALSE)</f>
        <v>0</v>
      </c>
      <c r="Z688" s="37">
        <f t="shared" si="1087"/>
        <v>0</v>
      </c>
      <c r="AA688" s="37">
        <f t="shared" si="1102"/>
        <v>0</v>
      </c>
      <c r="AB688" s="38">
        <f t="shared" si="1058"/>
        <v>0</v>
      </c>
    </row>
    <row r="689" spans="1:28" x14ac:dyDescent="0.3">
      <c r="A689" s="27">
        <f>VLOOKUP(YEAR(C689),Flags!$A$13:$B$95,2,FALSE)</f>
        <v>1</v>
      </c>
      <c r="B689" s="28">
        <f t="shared" si="1054"/>
        <v>1997</v>
      </c>
      <c r="C689" s="29">
        <v>35550</v>
      </c>
      <c r="D689" s="30">
        <f>VLOOKUP($C689,COS!$B$8:$H$991,3,FALSE)</f>
        <v>3250</v>
      </c>
      <c r="E689" s="28">
        <f>IF(D689&gt;=IF(MONTH($C689)=4,$C$3,IF(MONTH($C689)=5,$C$4,IF(MONTH($C689)=6,$C$5,IF(MONTH($C689)=7,$C$6,"ERROR")))),1,0)</f>
        <v>0</v>
      </c>
      <c r="F689" s="30">
        <f>VLOOKUP($C689,COS!$B$8:$H$991,7,FALSE)</f>
        <v>50.800266265869141</v>
      </c>
      <c r="G689" s="28">
        <f>IF(F689&lt;=IF(MONTH($C689)=4,$F$3,IF(MONTH($C689)=5,$F$4,IF(MONTH($C689)=6,$F$5,IF(MONTH($C689)=7,$F$6,"ERROR")))),1,0)</f>
        <v>1</v>
      </c>
      <c r="H689" s="30">
        <f>IF(J689=1,D689-$C$3,0)</f>
        <v>0</v>
      </c>
      <c r="I689" s="30">
        <f t="shared" si="1083"/>
        <v>0</v>
      </c>
      <c r="J689" s="28">
        <f t="shared" ref="J689:J692" si="1105">IF(AND(E689=1,G689=1),1,0)</f>
        <v>0</v>
      </c>
      <c r="K689" s="30">
        <f>VLOOKUP($C689,COS!$B$8:$H$991,2,FALSE)</f>
        <v>4284.2431640625</v>
      </c>
      <c r="L689" s="28">
        <f t="shared" ref="L689" si="1106">IF(K689&lt;=IF(MONTH($C689)=4,$I$3,IF(MONTH($C689)=5,$I$4,IF(MONTH($C689)=6,$I$5,IF(MONTH($C689)=7,$I$6,"ERROR")))),1,0)</f>
        <v>1</v>
      </c>
      <c r="M689" s="28">
        <f t="shared" ref="M689" si="1107">VLOOKUP($A689,$L$3:$M$7,2,FALSE)</f>
        <v>0</v>
      </c>
      <c r="N689" s="30">
        <f>VLOOKUP($C689,COS!$B$8:$H$991,5,FALSE)</f>
        <v>312.31362915039063</v>
      </c>
      <c r="O689" s="30">
        <f t="shared" ref="O689:O692" si="1108">N689*DAY($C689)*86400/43560/1000</f>
        <v>18.583951486634813</v>
      </c>
      <c r="P689" s="30">
        <f>VLOOKUP($C689,COS!$B$8:$H$991,6,FALSE)</f>
        <v>564.39752197265625</v>
      </c>
      <c r="Q689" s="30">
        <f t="shared" ref="Q689:Q692" si="1109">P689*DAY($C689)*86400/43560/1000</f>
        <v>33.583984778538223</v>
      </c>
      <c r="R689" s="30">
        <f>MIN(IF(MONTH($C689)=4,$S$3,IF(MONTH($C689)=5,$S$4,IF(MONTH($C689)=6,$S$5,IF(MONTH($C689)=7,$S$6,"ERROR")))),MAX(VLOOKUP($C689,COS!$B$8:$K$991,10,FALSE)-IF(MONTH($C689)=4,$Y$3,IF(MONTH($C689)=5,$Y$4,IF(MONTH($C689)=6,$Y$5,IF(MONTH($C689)=7,$Y$6,"ERROR")))),0),MAX(VLOOKUP($C689,COS!$B$8:$K$991,9,FALSE)-IF(MONTH($C689)=4,$V$3,IF(MONTH($C689)=5,$V$4,IF(MONTH($C689)=6,$V$5,IF(MONTH($C689)=7,$V$6,"ERROR"))))-VLOOKUP($C689,COS!$B$8:$K$991,6,FALSE)/2,0))</f>
        <v>1500</v>
      </c>
      <c r="S689" s="30">
        <f t="shared" ref="S689:S692" si="1110">R689*DAY($C689)*86400/43560/1000</f>
        <v>89.256198347107429</v>
      </c>
      <c r="T689" s="30">
        <f t="shared" ref="T689:T692" si="1111">(O689+Q689)/2+S689</f>
        <v>115.34016647969395</v>
      </c>
      <c r="U689" s="30" t="str">
        <f>IF(VLOOKUP($C689,COS!$B$8:$I$991,8,FALSE)=1,"UWFE","IBU")</f>
        <v>UWFE</v>
      </c>
      <c r="V689" s="30">
        <f t="shared" ref="V689" si="1112">MIN(IF(IF($AA$3=2,AND(E689=1,G689=1,L689=1,L694=1,M689=1,U689="IBU"),AND(E689=1,G689=1,L689=1,L694=1,M689=1)),T689,0),I689)</f>
        <v>0</v>
      </c>
      <c r="W689" s="30"/>
      <c r="X689" s="30"/>
      <c r="Y689" s="30"/>
      <c r="Z689" s="30"/>
      <c r="AA689" s="30"/>
      <c r="AB689" s="31"/>
    </row>
    <row r="690" spans="1:28" x14ac:dyDescent="0.3">
      <c r="A690" s="32">
        <f>VLOOKUP(YEAR(C690),Flags!$A$13:$B$95,2,FALSE)</f>
        <v>1</v>
      </c>
      <c r="B690" s="24">
        <f t="shared" si="1054"/>
        <v>1997</v>
      </c>
      <c r="C690" s="25">
        <v>35581</v>
      </c>
      <c r="D690" s="26">
        <f>VLOOKUP($C690,COS!$B$8:$H$991,3,FALSE)</f>
        <v>8600.0205078125</v>
      </c>
      <c r="E690" s="24">
        <f>IF(D690&gt;=IF(MONTH($C690)=4,$C$3,IF(MONTH($C690)=5,$C$4,IF(MONTH($C690)=6,$C$5,IF(MONTH($C690)=7,$C$6,"ERROR")))),1,0)</f>
        <v>1</v>
      </c>
      <c r="F690" s="26">
        <f>VLOOKUP($C690,COS!$B$8:$H$991,7,FALSE)</f>
        <v>50.114212036132813</v>
      </c>
      <c r="G690" s="24">
        <f>IF(F690&lt;=IF(MONTH($C690)=4,$F$3,IF(MONTH($C690)=5,$F$4,IF(MONTH($C690)=6,$F$5,IF(MONTH($C690)=7,$F$6,"ERROR")))),1,0)</f>
        <v>1</v>
      </c>
      <c r="H690" s="26">
        <f>IF(J690=1,D690-$C$4,0)</f>
        <v>2600.0205078125</v>
      </c>
      <c r="I690" s="26">
        <f t="shared" si="1083"/>
        <v>159.86902957128098</v>
      </c>
      <c r="J690" s="24">
        <f t="shared" si="1105"/>
        <v>1</v>
      </c>
      <c r="K690" s="26">
        <f>VLOOKUP($C690,COS!$B$8:$H$991,2,FALSE)</f>
        <v>4051.203369140625</v>
      </c>
      <c r="L690" s="24">
        <f t="shared" si="1046"/>
        <v>1</v>
      </c>
      <c r="M690" s="24">
        <f t="shared" si="1047"/>
        <v>0</v>
      </c>
      <c r="N690" s="26">
        <f>VLOOKUP($C690,COS!$B$8:$H$991,5,FALSE)</f>
        <v>869.624755859375</v>
      </c>
      <c r="O690" s="26">
        <f t="shared" si="1108"/>
        <v>53.471142013171487</v>
      </c>
      <c r="P690" s="26">
        <f>VLOOKUP($C690,COS!$B$8:$H$991,6,FALSE)</f>
        <v>2219.110107421875</v>
      </c>
      <c r="Q690" s="26">
        <f t="shared" si="1109"/>
        <v>136.44776197701447</v>
      </c>
      <c r="R690" s="26">
        <f>MIN(IF(MONTH($C690)=4,$S$3,IF(MONTH($C690)=5,$S$4,IF(MONTH($C690)=6,$S$5,IF(MONTH($C690)=7,$S$6,"ERROR")))),MAX(VLOOKUP($C690,COS!$B$8:$K$991,10,FALSE)-IF(MONTH($C690)=4,$Y$3,IF(MONTH($C690)=5,$Y$4,IF(MONTH($C690)=6,$Y$5,IF(MONTH($C690)=7,$Y$6,"ERROR")))),0),MAX(VLOOKUP($C690,COS!$B$8:$K$991,9,FALSE)-IF(MONTH($C690)=4,$V$3,IF(MONTH($C690)=5,$V$4,IF(MONTH($C690)=6,$V$5,IF(MONTH($C690)=7,$V$6,"ERROR"))))-VLOOKUP($C690,COS!$B$8:$K$991,6,FALSE)/2,0))</f>
        <v>1500</v>
      </c>
      <c r="S690" s="26">
        <f t="shared" si="1110"/>
        <v>92.231404958677686</v>
      </c>
      <c r="T690" s="26">
        <f t="shared" si="1111"/>
        <v>187.19085695377066</v>
      </c>
      <c r="U690" s="26" t="str">
        <f>IF(VLOOKUP($C690,COS!$B$8:$I$991,8,FALSE)=1,"UWFE","IBU")</f>
        <v>UWFE</v>
      </c>
      <c r="V690" s="26">
        <f t="shared" ref="V690" si="1113">MIN(IF(IF($AA$3=2,AND(E690=1,G690=1,L690=1,L694=1,M690=1,U690="IBU"),AND(E690=1,G690=1,L690=1,L694=1,M690=1)),T690,0),I690)</f>
        <v>0</v>
      </c>
      <c r="W690" s="26"/>
      <c r="X690" s="26"/>
      <c r="Y690" s="26"/>
      <c r="Z690" s="26"/>
      <c r="AA690" s="26"/>
      <c r="AB690" s="33"/>
    </row>
    <row r="691" spans="1:28" x14ac:dyDescent="0.3">
      <c r="A691" s="32">
        <f>VLOOKUP(YEAR(C691),Flags!$A$13:$B$95,2,FALSE)</f>
        <v>1</v>
      </c>
      <c r="B691" s="24">
        <f t="shared" si="1054"/>
        <v>1997</v>
      </c>
      <c r="C691" s="25">
        <v>35611</v>
      </c>
      <c r="D691" s="26">
        <f>VLOOKUP($C691,COS!$B$8:$H$991,3,FALSE)</f>
        <v>8785.2919921875</v>
      </c>
      <c r="E691" s="24">
        <f>IF(D691&gt;=IF(MONTH($C691)=4,$C$3,IF(MONTH($C691)=5,$C$4,IF(MONTH($C691)=6,$C$5,IF(MONTH($C691)=7,$C$6,"ERROR")))),1,0)</f>
        <v>0</v>
      </c>
      <c r="F691" s="26">
        <f>VLOOKUP($C691,COS!$B$8:$H$991,7,FALSE)</f>
        <v>50.868202209472656</v>
      </c>
      <c r="G691" s="24">
        <f>IF(F691&lt;=IF(MONTH($C691)=4,$F$3,IF(MONTH($C691)=5,$F$4,IF(MONTH($C691)=6,$F$5,IF(MONTH($C691)=7,$F$6,"ERROR")))),1,0)</f>
        <v>1</v>
      </c>
      <c r="H691" s="26">
        <f>IF(J691=1,D691-$C$5,0)</f>
        <v>0</v>
      </c>
      <c r="I691" s="26">
        <f t="shared" si="1083"/>
        <v>0</v>
      </c>
      <c r="J691" s="24">
        <f t="shared" si="1105"/>
        <v>0</v>
      </c>
      <c r="K691" s="26">
        <f>VLOOKUP($C691,COS!$B$8:$H$991,2,FALSE)</f>
        <v>3776.169677734375</v>
      </c>
      <c r="L691" s="24">
        <f t="shared" si="1046"/>
        <v>1</v>
      </c>
      <c r="M691" s="24">
        <f t="shared" si="1047"/>
        <v>0</v>
      </c>
      <c r="N691" s="26">
        <f>VLOOKUP($C691,COS!$B$8:$H$991,5,FALSE)</f>
        <v>771.67578125</v>
      </c>
      <c r="O691" s="26">
        <f t="shared" si="1108"/>
        <v>45.917897727272731</v>
      </c>
      <c r="P691" s="26">
        <f>VLOOKUP($C691,COS!$B$8:$H$991,6,FALSE)</f>
        <v>2299.130615234375</v>
      </c>
      <c r="Q691" s="26">
        <f t="shared" si="1109"/>
        <v>136.80777214617768</v>
      </c>
      <c r="R691" s="26">
        <f>MIN(IF(MONTH($C691)=4,$S$3,IF(MONTH($C691)=5,$S$4,IF(MONTH($C691)=6,$S$5,IF(MONTH($C691)=7,$S$6,"ERROR")))),MAX(VLOOKUP($C691,COS!$B$8:$K$991,10,FALSE)-IF(MONTH($C691)=4,$Y$3,IF(MONTH($C691)=5,$Y$4,IF(MONTH($C691)=6,$Y$5,IF(MONTH($C691)=7,$Y$6,"ERROR")))),0),MAX(VLOOKUP($C691,COS!$B$8:$K$991,9,FALSE)-IF(MONTH($C691)=4,$V$3,IF(MONTH($C691)=5,$V$4,IF(MONTH($C691)=6,$V$5,IF(MONTH($C691)=7,$V$6,"ERROR"))))-VLOOKUP($C691,COS!$B$8:$K$991,6,FALSE)/2,0))</f>
        <v>1500</v>
      </c>
      <c r="S691" s="26">
        <f t="shared" si="1110"/>
        <v>89.256198347107429</v>
      </c>
      <c r="T691" s="26">
        <f t="shared" si="1111"/>
        <v>180.61903328383264</v>
      </c>
      <c r="U691" s="26" t="str">
        <f>IF(VLOOKUP($C691,COS!$B$8:$I$991,8,FALSE)=1,"UWFE","IBU")</f>
        <v>IBU</v>
      </c>
      <c r="V691" s="26">
        <f t="shared" ref="V691" si="1114">MIN(IF(IF($AA$3=2,AND(E691=1,G691=1,L691=1,L694=1,M691=1,U691="IBU"),AND(E691=1,G691=1,L691=1,L694=1,M691=1)),T691,0),I691)</f>
        <v>0</v>
      </c>
      <c r="W691" s="26"/>
      <c r="X691" s="26"/>
      <c r="Y691" s="26"/>
      <c r="Z691" s="26"/>
      <c r="AA691" s="26"/>
      <c r="AB691" s="33"/>
    </row>
    <row r="692" spans="1:28" x14ac:dyDescent="0.3">
      <c r="A692" s="32">
        <f>VLOOKUP(YEAR(C692),Flags!$A$13:$B$95,2,FALSE)</f>
        <v>1</v>
      </c>
      <c r="B692" s="24">
        <f t="shared" si="1054"/>
        <v>1997</v>
      </c>
      <c r="C692" s="25">
        <v>35642</v>
      </c>
      <c r="D692" s="26">
        <f>VLOOKUP($C692,COS!$B$8:$H$991,3,FALSE)</f>
        <v>15565.1083984375</v>
      </c>
      <c r="E692" s="24">
        <f>IF(D692&gt;=IF(MONTH($C692)=4,$C$3,IF(MONTH($C692)=5,$C$4,IF(MONTH($C692)=6,$C$5,IF(MONTH($C692)=7,$C$6,"ERROR")))),1,0)</f>
        <v>1</v>
      </c>
      <c r="F692" s="26">
        <f>VLOOKUP($C692,COS!$B$8:$H$991,7,FALSE)</f>
        <v>51.028911590576172</v>
      </c>
      <c r="G692" s="24">
        <f>IF(F692&lt;=IF(MONTH($C692)=4,$F$3,IF(MONTH($C692)=5,$F$4,IF(MONTH($C692)=6,$F$5,IF(MONTH($C692)=7,$F$6,"ERROR")))),1,0)</f>
        <v>1</v>
      </c>
      <c r="H692" s="26">
        <f>IF(J692=1,D692-$C$6,0)</f>
        <v>3565.1083984375</v>
      </c>
      <c r="I692" s="26">
        <f t="shared" si="1083"/>
        <v>219.20997094524793</v>
      </c>
      <c r="J692" s="24">
        <f t="shared" si="1105"/>
        <v>1</v>
      </c>
      <c r="K692" s="26">
        <f>VLOOKUP($C692,COS!$B$8:$H$991,2,FALSE)</f>
        <v>3132.19189453125</v>
      </c>
      <c r="L692" s="24">
        <f t="shared" si="1046"/>
        <v>1</v>
      </c>
      <c r="M692" s="24">
        <f t="shared" si="1047"/>
        <v>0</v>
      </c>
      <c r="N692" s="26">
        <f>VLOOKUP($C692,COS!$B$8:$H$991,5,FALSE)</f>
        <v>889.0089111328125</v>
      </c>
      <c r="O692" s="26">
        <f t="shared" si="1108"/>
        <v>54.663027263042359</v>
      </c>
      <c r="P692" s="26">
        <f>VLOOKUP($C692,COS!$B$8:$H$991,6,FALSE)</f>
        <v>2607.468505859375</v>
      </c>
      <c r="Q692" s="26">
        <f t="shared" si="1109"/>
        <v>160.32698912060951</v>
      </c>
      <c r="R692" s="26">
        <f>MIN(IF(MONTH($C692)=4,$S$3,IF(MONTH($C692)=5,$S$4,IF(MONTH($C692)=6,$S$5,IF(MONTH($C692)=7,$S$6,"ERROR")))),MAX(VLOOKUP($C692,COS!$B$8:$K$991,10,FALSE)-IF(MONTH($C692)=4,$Y$3,IF(MONTH($C692)=5,$Y$4,IF(MONTH($C692)=6,$Y$5,IF(MONTH($C692)=7,$Y$6,"ERROR")))),0),MAX(VLOOKUP($C692,COS!$B$8:$K$991,9,FALSE)-IF(MONTH($C692)=4,$V$3,IF(MONTH($C692)=5,$V$4,IF(MONTH($C692)=6,$V$5,IF(MONTH($C692)=7,$V$6,"ERROR"))))-VLOOKUP($C692,COS!$B$8:$K$991,6,FALSE)/2,0))</f>
        <v>1500</v>
      </c>
      <c r="S692" s="26">
        <f t="shared" si="1110"/>
        <v>92.231404958677686</v>
      </c>
      <c r="T692" s="26">
        <f t="shared" si="1111"/>
        <v>199.72641315050362</v>
      </c>
      <c r="U692" s="26" t="str">
        <f>IF(VLOOKUP($C692,COS!$B$8:$I$991,8,FALSE)=1,"UWFE","IBU")</f>
        <v>IBU</v>
      </c>
      <c r="V692" s="26">
        <f t="shared" ref="V692" si="1115">MIN(IF(IF($AA$3=2,AND(E692=1,G692=1,L692=1,L694=1,M692=1,U692="IBU"),AND(E692=1,G692=1,L692=1,L694=1,M692=1)),T692,0),I692)</f>
        <v>0</v>
      </c>
      <c r="W692" s="26"/>
      <c r="X692" s="26"/>
      <c r="Y692" s="26"/>
      <c r="Z692" s="26"/>
      <c r="AA692" s="26"/>
      <c r="AB692" s="33"/>
    </row>
    <row r="693" spans="1:28" x14ac:dyDescent="0.3">
      <c r="A693" s="32">
        <f>VLOOKUP(YEAR(C693),Flags!$A$13:$B$95,2,FALSE)</f>
        <v>1</v>
      </c>
      <c r="B693" s="24">
        <f t="shared" si="1054"/>
        <v>1997</v>
      </c>
      <c r="C693" s="25">
        <v>35673</v>
      </c>
      <c r="D693" s="26"/>
      <c r="E693" s="24"/>
      <c r="F693" s="26"/>
      <c r="G693" s="24"/>
      <c r="H693" s="24"/>
      <c r="I693" s="26"/>
      <c r="J693" s="24"/>
      <c r="K693" s="26"/>
      <c r="L693" s="24"/>
      <c r="M693" s="24"/>
      <c r="N693" s="26"/>
      <c r="O693" s="26"/>
      <c r="P693" s="26"/>
      <c r="Q693" s="26"/>
      <c r="R693" s="26"/>
      <c r="S693" s="26"/>
      <c r="T693" s="26"/>
      <c r="U693" s="26"/>
      <c r="V693" s="26"/>
      <c r="W693" s="26">
        <f>MAX($C$7-VLOOKUP($C693,COS!$B$8:$H$991,3,FALSE),0)</f>
        <v>3755.5810546875</v>
      </c>
      <c r="X693" s="26">
        <f t="shared" si="1086"/>
        <v>230.9216780733471</v>
      </c>
      <c r="Y693" s="26">
        <f>VLOOKUP($C693,COS!$B$8:$H$991,4,FALSE)</f>
        <v>0</v>
      </c>
      <c r="Z693" s="26">
        <f t="shared" si="1087"/>
        <v>0</v>
      </c>
      <c r="AA693" s="26">
        <f t="shared" ref="AA693:AA697" si="1116">MIN(W693,Y693)</f>
        <v>0</v>
      </c>
      <c r="AB693" s="33">
        <f t="shared" ref="AB693" si="1117">AA693*DAY($C693)*86400/43560/1000*IF(MONTH($C693)=8,$P$3,IF(MONTH($C693)=9,$P$4,IF(MONTH($C693)=10,$P$5,IF(MONTH($C693)=11,$P$6,IF(MONTH($C693)=12,$P$7,NA())))))</f>
        <v>0</v>
      </c>
    </row>
    <row r="694" spans="1:28" x14ac:dyDescent="0.3">
      <c r="A694" s="32">
        <f>VLOOKUP(YEAR(C694),Flags!$A$13:$B$95,2,FALSE)</f>
        <v>1</v>
      </c>
      <c r="B694" s="24">
        <f t="shared" si="1054"/>
        <v>1997</v>
      </c>
      <c r="C694" s="25">
        <v>35703</v>
      </c>
      <c r="D694" s="26"/>
      <c r="E694" s="24"/>
      <c r="F694" s="26"/>
      <c r="G694" s="24"/>
      <c r="H694" s="24"/>
      <c r="I694" s="26"/>
      <c r="J694" s="24"/>
      <c r="K694" s="26">
        <f>VLOOKUP($C694,COS!$B$8:$H$991,2,FALSE)</f>
        <v>2308.70703125</v>
      </c>
      <c r="L694" s="24">
        <f t="shared" ref="L694" si="1118">IF(AND(K694&gt;$I$7,K694&lt;$I$8),1,0)</f>
        <v>1</v>
      </c>
      <c r="M694" s="24"/>
      <c r="N694" s="26"/>
      <c r="O694" s="26"/>
      <c r="P694" s="26"/>
      <c r="Q694" s="26"/>
      <c r="R694" s="26"/>
      <c r="S694" s="26"/>
      <c r="T694" s="26"/>
      <c r="U694" s="26"/>
      <c r="V694" s="26"/>
      <c r="W694" s="26">
        <f>MAX($C$8-VLOOKUP($C694,COS!$B$8:$H$991,3,FALSE),0)</f>
        <v>0</v>
      </c>
      <c r="X694" s="26">
        <f t="shared" si="1086"/>
        <v>0</v>
      </c>
      <c r="Y694" s="26">
        <f>VLOOKUP($C694,COS!$B$8:$H$991,4,FALSE)</f>
        <v>0</v>
      </c>
      <c r="Z694" s="26">
        <f t="shared" si="1087"/>
        <v>0</v>
      </c>
      <c r="AA694" s="26">
        <f t="shared" si="1116"/>
        <v>0</v>
      </c>
      <c r="AB694" s="33">
        <f t="shared" si="1058"/>
        <v>0</v>
      </c>
    </row>
    <row r="695" spans="1:28" x14ac:dyDescent="0.3">
      <c r="A695" s="32">
        <f>VLOOKUP(YEAR(C695),Flags!$A$13:$B$95,2,FALSE)</f>
        <v>1</v>
      </c>
      <c r="B695" s="24">
        <f t="shared" si="1054"/>
        <v>1997</v>
      </c>
      <c r="C695" s="25">
        <v>35734</v>
      </c>
      <c r="D695" s="26"/>
      <c r="E695" s="24"/>
      <c r="F695" s="26"/>
      <c r="G695" s="26"/>
      <c r="H695" s="26"/>
      <c r="I695" s="26"/>
      <c r="J695" s="26"/>
      <c r="K695" s="26"/>
      <c r="L695" s="24"/>
      <c r="M695" s="24"/>
      <c r="N695" s="26"/>
      <c r="O695" s="26"/>
      <c r="P695" s="26"/>
      <c r="Q695" s="26"/>
      <c r="R695" s="26"/>
      <c r="S695" s="26"/>
      <c r="T695" s="26"/>
      <c r="U695" s="26"/>
      <c r="V695" s="26"/>
      <c r="W695" s="26">
        <f>MAX($C$9-VLOOKUP($C695,COS!$B$8:$H$991,3,FALSE),0)</f>
        <v>0</v>
      </c>
      <c r="X695" s="26">
        <f t="shared" si="1086"/>
        <v>0</v>
      </c>
      <c r="Y695" s="26">
        <f>VLOOKUP($C695,COS!$B$8:$H$991,4,FALSE)</f>
        <v>1005.2962646484375</v>
      </c>
      <c r="Z695" s="26">
        <f t="shared" si="1087"/>
        <v>61.813257925490703</v>
      </c>
      <c r="AA695" s="26">
        <f t="shared" si="1116"/>
        <v>0</v>
      </c>
      <c r="AB695" s="33">
        <f t="shared" si="1058"/>
        <v>0</v>
      </c>
    </row>
    <row r="696" spans="1:28" x14ac:dyDescent="0.3">
      <c r="A696" s="32">
        <f>VLOOKUP(YEAR(C696),Flags!$A$13:$B$95,2,FALSE)</f>
        <v>1</v>
      </c>
      <c r="B696" s="24">
        <f t="shared" si="1054"/>
        <v>1997</v>
      </c>
      <c r="C696" s="25">
        <v>35764</v>
      </c>
      <c r="D696" s="26"/>
      <c r="E696" s="24"/>
      <c r="F696" s="26"/>
      <c r="G696" s="26"/>
      <c r="H696" s="26"/>
      <c r="I696" s="26"/>
      <c r="J696" s="26"/>
      <c r="K696" s="26"/>
      <c r="L696" s="24"/>
      <c r="M696" s="24"/>
      <c r="N696" s="26"/>
      <c r="O696" s="26"/>
      <c r="P696" s="26"/>
      <c r="Q696" s="26"/>
      <c r="R696" s="26"/>
      <c r="S696" s="26"/>
      <c r="T696" s="26"/>
      <c r="U696" s="26"/>
      <c r="V696" s="26"/>
      <c r="W696" s="26">
        <f>MAX($C$10-VLOOKUP($C696,COS!$B$8:$H$991,3,FALSE),0)</f>
        <v>0</v>
      </c>
      <c r="X696" s="26">
        <f t="shared" si="1086"/>
        <v>0</v>
      </c>
      <c r="Y696" s="26">
        <f>VLOOKUP($C696,COS!$B$8:$H$991,4,FALSE)</f>
        <v>1155.107177734375</v>
      </c>
      <c r="Z696" s="26">
        <f t="shared" si="1087"/>
        <v>68.733650245351242</v>
      </c>
      <c r="AA696" s="26">
        <f t="shared" si="1116"/>
        <v>0</v>
      </c>
      <c r="AB696" s="33">
        <f t="shared" si="1058"/>
        <v>0</v>
      </c>
    </row>
    <row r="697" spans="1:28" x14ac:dyDescent="0.3">
      <c r="A697" s="34">
        <f>VLOOKUP(YEAR(C697),Flags!$A$13:$B$95,2,FALSE)</f>
        <v>1</v>
      </c>
      <c r="B697" s="35">
        <f t="shared" si="1054"/>
        <v>1997</v>
      </c>
      <c r="C697" s="36">
        <v>35795</v>
      </c>
      <c r="D697" s="37"/>
      <c r="E697" s="35"/>
      <c r="F697" s="37"/>
      <c r="G697" s="37"/>
      <c r="H697" s="37"/>
      <c r="I697" s="37"/>
      <c r="J697" s="37"/>
      <c r="K697" s="37"/>
      <c r="L697" s="35"/>
      <c r="M697" s="35"/>
      <c r="N697" s="37"/>
      <c r="O697" s="37"/>
      <c r="P697" s="37"/>
      <c r="Q697" s="37"/>
      <c r="R697" s="37"/>
      <c r="S697" s="37"/>
      <c r="T697" s="37"/>
      <c r="U697" s="37"/>
      <c r="V697" s="37"/>
      <c r="W697" s="37">
        <f>MAX($C$11-VLOOKUP($C697,COS!$B$8:$H$991,3,FALSE),0)</f>
        <v>1750</v>
      </c>
      <c r="X697" s="37">
        <f t="shared" si="1086"/>
        <v>107.60330578512398</v>
      </c>
      <c r="Y697" s="37">
        <f>VLOOKUP($C697,COS!$B$8:$H$991,4,FALSE)</f>
        <v>0</v>
      </c>
      <c r="Z697" s="37">
        <f t="shared" si="1087"/>
        <v>0</v>
      </c>
      <c r="AA697" s="37">
        <f t="shared" si="1116"/>
        <v>0</v>
      </c>
      <c r="AB697" s="38">
        <f t="shared" si="1058"/>
        <v>0</v>
      </c>
    </row>
    <row r="698" spans="1:28" x14ac:dyDescent="0.3">
      <c r="A698" s="27">
        <f>VLOOKUP(YEAR(C698),Flags!$A$13:$B$95,2,FALSE)</f>
        <v>1</v>
      </c>
      <c r="B698" s="28">
        <f t="shared" si="1054"/>
        <v>1998</v>
      </c>
      <c r="C698" s="29">
        <v>35915</v>
      </c>
      <c r="D698" s="30">
        <f>VLOOKUP($C698,COS!$B$8:$H$991,3,FALSE)</f>
        <v>3250</v>
      </c>
      <c r="E698" s="28">
        <f>IF(D698&gt;=IF(MONTH($C698)=4,$C$3,IF(MONTH($C698)=5,$C$4,IF(MONTH($C698)=6,$C$5,IF(MONTH($C698)=7,$C$6,"ERROR")))),1,0)</f>
        <v>0</v>
      </c>
      <c r="F698" s="30">
        <f>VLOOKUP($C698,COS!$B$8:$H$991,7,FALSE)</f>
        <v>51.311630249023438</v>
      </c>
      <c r="G698" s="28">
        <f>IF(F698&lt;=IF(MONTH($C698)=4,$F$3,IF(MONTH($C698)=5,$F$4,IF(MONTH($C698)=6,$F$5,IF(MONTH($C698)=7,$F$6,"ERROR")))),1,0)</f>
        <v>1</v>
      </c>
      <c r="H698" s="30">
        <f>IF(J698=1,D698-$C$3,0)</f>
        <v>0</v>
      </c>
      <c r="I698" s="30">
        <f t="shared" si="1083"/>
        <v>0</v>
      </c>
      <c r="J698" s="28">
        <f t="shared" ref="J698:J701" si="1119">IF(AND(E698=1,G698=1),1,0)</f>
        <v>0</v>
      </c>
      <c r="K698" s="30">
        <f>VLOOKUP($C698,COS!$B$8:$H$991,2,FALSE)</f>
        <v>4367.82666015625</v>
      </c>
      <c r="L698" s="28">
        <f t="shared" ref="L698" si="1120">IF(K698&lt;=IF(MONTH($C698)=4,$I$3,IF(MONTH($C698)=5,$I$4,IF(MONTH($C698)=6,$I$5,IF(MONTH($C698)=7,$I$6,"ERROR")))),1,0)</f>
        <v>1</v>
      </c>
      <c r="M698" s="28">
        <f t="shared" ref="M698" si="1121">VLOOKUP($A698,$L$3:$M$7,2,FALSE)</f>
        <v>0</v>
      </c>
      <c r="N698" s="30">
        <f>VLOOKUP($C698,COS!$B$8:$H$991,5,FALSE)</f>
        <v>36.427017211914063</v>
      </c>
      <c r="O698" s="30">
        <f t="shared" ref="O698:O701" si="1122">N698*DAY($C698)*86400/43560/1000</f>
        <v>2.1675580489733988</v>
      </c>
      <c r="P698" s="30">
        <f>VLOOKUP($C698,COS!$B$8:$H$991,6,FALSE)</f>
        <v>359.47348022460938</v>
      </c>
      <c r="Q698" s="30">
        <f t="shared" ref="Q698:Q701" si="1123">P698*DAY($C698)*86400/43560/1000</f>
        <v>21.390157500968492</v>
      </c>
      <c r="R698" s="30">
        <f>MIN(IF(MONTH($C698)=4,$S$3,IF(MONTH($C698)=5,$S$4,IF(MONTH($C698)=6,$S$5,IF(MONTH($C698)=7,$S$6,"ERROR")))),MAX(VLOOKUP($C698,COS!$B$8:$K$991,10,FALSE)-IF(MONTH($C698)=4,$Y$3,IF(MONTH($C698)=5,$Y$4,IF(MONTH($C698)=6,$Y$5,IF(MONTH($C698)=7,$Y$6,"ERROR")))),0),MAX(VLOOKUP($C698,COS!$B$8:$K$991,9,FALSE)-IF(MONTH($C698)=4,$V$3,IF(MONTH($C698)=5,$V$4,IF(MONTH($C698)=6,$V$5,IF(MONTH($C698)=7,$V$6,"ERROR"))))-VLOOKUP($C698,COS!$B$8:$K$991,6,FALSE)/2,0))</f>
        <v>1500</v>
      </c>
      <c r="S698" s="30">
        <f t="shared" ref="S698:S701" si="1124">R698*DAY($C698)*86400/43560/1000</f>
        <v>89.256198347107429</v>
      </c>
      <c r="T698" s="30">
        <f t="shared" ref="T698:T701" si="1125">(O698+Q698)/2+S698</f>
        <v>101.03505612207837</v>
      </c>
      <c r="U698" s="30" t="str">
        <f>IF(VLOOKUP($C698,COS!$B$8:$I$991,8,FALSE)=1,"UWFE","IBU")</f>
        <v>UWFE</v>
      </c>
      <c r="V698" s="30">
        <f t="shared" ref="V698" si="1126">MIN(IF(IF($AA$3=2,AND(E698=1,G698=1,L698=1,L703=1,M698=1,U698="IBU"),AND(E698=1,G698=1,L698=1,L703=1,M698=1)),T698,0),I698)</f>
        <v>0</v>
      </c>
      <c r="W698" s="30"/>
      <c r="X698" s="30"/>
      <c r="Y698" s="30"/>
      <c r="Z698" s="30"/>
      <c r="AA698" s="30"/>
      <c r="AB698" s="31"/>
    </row>
    <row r="699" spans="1:28" x14ac:dyDescent="0.3">
      <c r="A699" s="32">
        <f>VLOOKUP(YEAR(C699),Flags!$A$13:$B$95,2,FALSE)</f>
        <v>1</v>
      </c>
      <c r="B699" s="24">
        <f t="shared" si="1054"/>
        <v>1998</v>
      </c>
      <c r="C699" s="25">
        <v>35946</v>
      </c>
      <c r="D699" s="26">
        <f>VLOOKUP($C699,COS!$B$8:$H$991,3,FALSE)</f>
        <v>14100.6455078125</v>
      </c>
      <c r="E699" s="24">
        <f>IF(D699&gt;=IF(MONTH($C699)=4,$C$3,IF(MONTH($C699)=5,$C$4,IF(MONTH($C699)=6,$C$5,IF(MONTH($C699)=7,$C$6,"ERROR")))),1,0)</f>
        <v>1</v>
      </c>
      <c r="F699" s="26">
        <f>VLOOKUP($C699,COS!$B$8:$H$991,7,FALSE)</f>
        <v>48.434772491455078</v>
      </c>
      <c r="G699" s="24">
        <f>IF(F699&lt;=IF(MONTH($C699)=4,$F$3,IF(MONTH($C699)=5,$F$4,IF(MONTH($C699)=6,$F$5,IF(MONTH($C699)=7,$F$6,"ERROR")))),1,0)</f>
        <v>1</v>
      </c>
      <c r="H699" s="26">
        <f>IF(J699=1,D699-$C$4,0)</f>
        <v>8100.6455078125</v>
      </c>
      <c r="I699" s="26">
        <f t="shared" si="1083"/>
        <v>498.08927750516534</v>
      </c>
      <c r="J699" s="24">
        <f t="shared" si="1119"/>
        <v>1</v>
      </c>
      <c r="K699" s="26">
        <f>VLOOKUP($C699,COS!$B$8:$H$991,2,FALSE)</f>
        <v>4552</v>
      </c>
      <c r="L699" s="24">
        <f t="shared" si="1046"/>
        <v>1</v>
      </c>
      <c r="M699" s="24">
        <f t="shared" si="1047"/>
        <v>0</v>
      </c>
      <c r="N699" s="26">
        <f>VLOOKUP($C699,COS!$B$8:$H$991,5,FALSE)</f>
        <v>95.197517395019531</v>
      </c>
      <c r="O699" s="26">
        <f t="shared" si="1122"/>
        <v>5.8534671852805396</v>
      </c>
      <c r="P699" s="26">
        <f>VLOOKUP($C699,COS!$B$8:$H$991,6,FALSE)</f>
        <v>1202.3902587890625</v>
      </c>
      <c r="Q699" s="26">
        <f t="shared" si="1123"/>
        <v>73.932095251162181</v>
      </c>
      <c r="R699" s="26">
        <f>MIN(IF(MONTH($C699)=4,$S$3,IF(MONTH($C699)=5,$S$4,IF(MONTH($C699)=6,$S$5,IF(MONTH($C699)=7,$S$6,"ERROR")))),MAX(VLOOKUP($C699,COS!$B$8:$K$991,10,FALSE)-IF(MONTH($C699)=4,$Y$3,IF(MONTH($C699)=5,$Y$4,IF(MONTH($C699)=6,$Y$5,IF(MONTH($C699)=7,$Y$6,"ERROR")))),0),MAX(VLOOKUP($C699,COS!$B$8:$K$991,9,FALSE)-IF(MONTH($C699)=4,$V$3,IF(MONTH($C699)=5,$V$4,IF(MONTH($C699)=6,$V$5,IF(MONTH($C699)=7,$V$6,"ERROR"))))-VLOOKUP($C699,COS!$B$8:$K$991,6,FALSE)/2,0))</f>
        <v>1500</v>
      </c>
      <c r="S699" s="26">
        <f t="shared" si="1124"/>
        <v>92.231404958677686</v>
      </c>
      <c r="T699" s="26">
        <f t="shared" si="1125"/>
        <v>132.12418617689906</v>
      </c>
      <c r="U699" s="26" t="str">
        <f>IF(VLOOKUP($C699,COS!$B$8:$I$991,8,FALSE)=1,"UWFE","IBU")</f>
        <v>UWFE</v>
      </c>
      <c r="V699" s="26">
        <f t="shared" ref="V699" si="1127">MIN(IF(IF($AA$3=2,AND(E699=1,G699=1,L699=1,L703=1,M699=1,U699="IBU"),AND(E699=1,G699=1,L699=1,L703=1,M699=1)),T699,0),I699)</f>
        <v>0</v>
      </c>
      <c r="W699" s="26"/>
      <c r="X699" s="26"/>
      <c r="Y699" s="26"/>
      <c r="Z699" s="26"/>
      <c r="AA699" s="26"/>
      <c r="AB699" s="33"/>
    </row>
    <row r="700" spans="1:28" x14ac:dyDescent="0.3">
      <c r="A700" s="32">
        <f>VLOOKUP(YEAR(C700),Flags!$A$13:$B$95,2,FALSE)</f>
        <v>1</v>
      </c>
      <c r="B700" s="24">
        <f t="shared" si="1054"/>
        <v>1998</v>
      </c>
      <c r="C700" s="25">
        <v>35976</v>
      </c>
      <c r="D700" s="26">
        <f>VLOOKUP($C700,COS!$B$8:$H$991,3,FALSE)</f>
        <v>16775.65625</v>
      </c>
      <c r="E700" s="24">
        <f>IF(D700&gt;=IF(MONTH($C700)=4,$C$3,IF(MONTH($C700)=5,$C$4,IF(MONTH($C700)=6,$C$5,IF(MONTH($C700)=7,$C$6,"ERROR")))),1,0)</f>
        <v>1</v>
      </c>
      <c r="F700" s="26">
        <f>VLOOKUP($C700,COS!$B$8:$H$991,7,FALSE)</f>
        <v>50.810955047607422</v>
      </c>
      <c r="G700" s="24">
        <f>IF(F700&lt;=IF(MONTH($C700)=4,$F$3,IF(MONTH($C700)=5,$F$4,IF(MONTH($C700)=6,$F$5,IF(MONTH($C700)=7,$F$6,"ERROR")))),1,0)</f>
        <v>1</v>
      </c>
      <c r="H700" s="26">
        <f>IF(J700=1,D700-$C$5,0)</f>
        <v>6775.65625</v>
      </c>
      <c r="I700" s="26">
        <f t="shared" si="1083"/>
        <v>403.17954545454546</v>
      </c>
      <c r="J700" s="24">
        <f t="shared" si="1119"/>
        <v>1</v>
      </c>
      <c r="K700" s="26">
        <f>VLOOKUP($C700,COS!$B$8:$H$991,2,FALSE)</f>
        <v>4500</v>
      </c>
      <c r="L700" s="24">
        <f t="shared" si="1046"/>
        <v>1</v>
      </c>
      <c r="M700" s="24">
        <f t="shared" si="1047"/>
        <v>0</v>
      </c>
      <c r="N700" s="26">
        <f>VLOOKUP($C700,COS!$B$8:$H$991,5,FALSE)</f>
        <v>1109.75537109375</v>
      </c>
      <c r="O700" s="26">
        <f t="shared" si="1122"/>
        <v>66.035030346074379</v>
      </c>
      <c r="P700" s="26">
        <f>VLOOKUP($C700,COS!$B$8:$H$991,6,FALSE)</f>
        <v>2242.28173828125</v>
      </c>
      <c r="Q700" s="26">
        <f t="shared" si="1123"/>
        <v>133.42502905475206</v>
      </c>
      <c r="R700" s="26">
        <f>MIN(IF(MONTH($C700)=4,$S$3,IF(MONTH($C700)=5,$S$4,IF(MONTH($C700)=6,$S$5,IF(MONTH($C700)=7,$S$6,"ERROR")))),MAX(VLOOKUP($C700,COS!$B$8:$K$991,10,FALSE)-IF(MONTH($C700)=4,$Y$3,IF(MONTH($C700)=5,$Y$4,IF(MONTH($C700)=6,$Y$5,IF(MONTH($C700)=7,$Y$6,"ERROR")))),0),MAX(VLOOKUP($C700,COS!$B$8:$K$991,9,FALSE)-IF(MONTH($C700)=4,$V$3,IF(MONTH($C700)=5,$V$4,IF(MONTH($C700)=6,$V$5,IF(MONTH($C700)=7,$V$6,"ERROR"))))-VLOOKUP($C700,COS!$B$8:$K$991,6,FALSE)/2,0))</f>
        <v>1500</v>
      </c>
      <c r="S700" s="26">
        <f t="shared" si="1124"/>
        <v>89.256198347107429</v>
      </c>
      <c r="T700" s="26">
        <f t="shared" si="1125"/>
        <v>188.98622804752063</v>
      </c>
      <c r="U700" s="26" t="str">
        <f>IF(VLOOKUP($C700,COS!$B$8:$I$991,8,FALSE)=1,"UWFE","IBU")</f>
        <v>UWFE</v>
      </c>
      <c r="V700" s="26">
        <f t="shared" ref="V700" si="1128">MIN(IF(IF($AA$3=2,AND(E700=1,G700=1,L700=1,L703=1,M700=1,U700="IBU"),AND(E700=1,G700=1,L700=1,L703=1,M700=1)),T700,0),I700)</f>
        <v>0</v>
      </c>
      <c r="W700" s="26"/>
      <c r="X700" s="26"/>
      <c r="Y700" s="26"/>
      <c r="Z700" s="26"/>
      <c r="AA700" s="26"/>
      <c r="AB700" s="33"/>
    </row>
    <row r="701" spans="1:28" x14ac:dyDescent="0.3">
      <c r="A701" s="32">
        <f>VLOOKUP(YEAR(C701),Flags!$A$13:$B$95,2,FALSE)</f>
        <v>1</v>
      </c>
      <c r="B701" s="24">
        <f t="shared" si="1054"/>
        <v>1998</v>
      </c>
      <c r="C701" s="25">
        <v>36007</v>
      </c>
      <c r="D701" s="26">
        <f>VLOOKUP($C701,COS!$B$8:$H$991,3,FALSE)</f>
        <v>14362.4873046875</v>
      </c>
      <c r="E701" s="24">
        <f>IF(D701&gt;=IF(MONTH($C701)=4,$C$3,IF(MONTH($C701)=5,$C$4,IF(MONTH($C701)=6,$C$5,IF(MONTH($C701)=7,$C$6,"ERROR")))),1,0)</f>
        <v>1</v>
      </c>
      <c r="F701" s="26">
        <f>VLOOKUP($C701,COS!$B$8:$H$991,7,FALSE)</f>
        <v>53.361946105957031</v>
      </c>
      <c r="G701" s="24">
        <f>IF(F701&lt;=IF(MONTH($C701)=4,$F$3,IF(MONTH($C701)=5,$F$4,IF(MONTH($C701)=6,$F$5,IF(MONTH($C701)=7,$F$6,"ERROR")))),1,0)</f>
        <v>1</v>
      </c>
      <c r="H701" s="26">
        <f>IF(J701=1,D701-$C$6,0)</f>
        <v>2362.4873046875</v>
      </c>
      <c r="I701" s="26">
        <f t="shared" si="1083"/>
        <v>145.2636822055785</v>
      </c>
      <c r="J701" s="24">
        <f t="shared" si="1119"/>
        <v>1</v>
      </c>
      <c r="K701" s="26">
        <f>VLOOKUP($C701,COS!$B$8:$H$991,2,FALSE)</f>
        <v>4150</v>
      </c>
      <c r="L701" s="24">
        <f t="shared" si="1046"/>
        <v>1</v>
      </c>
      <c r="M701" s="24">
        <f t="shared" si="1047"/>
        <v>0</v>
      </c>
      <c r="N701" s="26">
        <f>VLOOKUP($C701,COS!$B$8:$H$991,5,FALSE)</f>
        <v>1396.974609375</v>
      </c>
      <c r="O701" s="26">
        <f t="shared" si="1122"/>
        <v>85.896620609504126</v>
      </c>
      <c r="P701" s="26">
        <f>VLOOKUP($C701,COS!$B$8:$H$991,6,FALSE)</f>
        <v>2616.67822265625</v>
      </c>
      <c r="Q701" s="26">
        <f t="shared" si="1123"/>
        <v>160.89327253357436</v>
      </c>
      <c r="R701" s="26">
        <f>MIN(IF(MONTH($C701)=4,$S$3,IF(MONTH($C701)=5,$S$4,IF(MONTH($C701)=6,$S$5,IF(MONTH($C701)=7,$S$6,"ERROR")))),MAX(VLOOKUP($C701,COS!$B$8:$K$991,10,FALSE)-IF(MONTH($C701)=4,$Y$3,IF(MONTH($C701)=5,$Y$4,IF(MONTH($C701)=6,$Y$5,IF(MONTH($C701)=7,$Y$6,"ERROR")))),0),MAX(VLOOKUP($C701,COS!$B$8:$K$991,9,FALSE)-IF(MONTH($C701)=4,$V$3,IF(MONTH($C701)=5,$V$4,IF(MONTH($C701)=6,$V$5,IF(MONTH($C701)=7,$V$6,"ERROR"))))-VLOOKUP($C701,COS!$B$8:$K$991,6,FALSE)/2,0))</f>
        <v>1500</v>
      </c>
      <c r="S701" s="26">
        <f t="shared" si="1124"/>
        <v>92.231404958677686</v>
      </c>
      <c r="T701" s="26">
        <f t="shared" si="1125"/>
        <v>215.62635153021694</v>
      </c>
      <c r="U701" s="26" t="str">
        <f>IF(VLOOKUP($C701,COS!$B$8:$I$991,8,FALSE)=1,"UWFE","IBU")</f>
        <v>UWFE</v>
      </c>
      <c r="V701" s="26">
        <f t="shared" ref="V701" si="1129">MIN(IF(IF($AA$3=2,AND(E701=1,G701=1,L701=1,L703=1,M701=1,U701="IBU"),AND(E701=1,G701=1,L701=1,L703=1,M701=1)),T701,0),I701)</f>
        <v>0</v>
      </c>
      <c r="W701" s="26"/>
      <c r="X701" s="26"/>
      <c r="Y701" s="26"/>
      <c r="Z701" s="26"/>
      <c r="AA701" s="26"/>
      <c r="AB701" s="33"/>
    </row>
    <row r="702" spans="1:28" x14ac:dyDescent="0.3">
      <c r="A702" s="32">
        <f>VLOOKUP(YEAR(C702),Flags!$A$13:$B$95,2,FALSE)</f>
        <v>1</v>
      </c>
      <c r="B702" s="24">
        <f t="shared" si="1054"/>
        <v>1998</v>
      </c>
      <c r="C702" s="25">
        <v>36038</v>
      </c>
      <c r="D702" s="26"/>
      <c r="E702" s="24"/>
      <c r="F702" s="26"/>
      <c r="G702" s="24"/>
      <c r="H702" s="24"/>
      <c r="I702" s="26"/>
      <c r="J702" s="24"/>
      <c r="K702" s="26"/>
      <c r="L702" s="24"/>
      <c r="M702" s="24"/>
      <c r="N702" s="26"/>
      <c r="O702" s="26"/>
      <c r="P702" s="26"/>
      <c r="Q702" s="26"/>
      <c r="R702" s="26"/>
      <c r="S702" s="26"/>
      <c r="T702" s="26"/>
      <c r="U702" s="26"/>
      <c r="V702" s="26"/>
      <c r="W702" s="26">
        <f>MAX($C$7-VLOOKUP($C702,COS!$B$8:$H$991,3,FALSE),0)</f>
        <v>0</v>
      </c>
      <c r="X702" s="26">
        <f t="shared" si="1086"/>
        <v>0</v>
      </c>
      <c r="Y702" s="26">
        <f>VLOOKUP($C702,COS!$B$8:$H$991,4,FALSE)</f>
        <v>0</v>
      </c>
      <c r="Z702" s="26">
        <f t="shared" si="1087"/>
        <v>0</v>
      </c>
      <c r="AA702" s="26">
        <f t="shared" ref="AA702:AA706" si="1130">MIN(W702,Y702)</f>
        <v>0</v>
      </c>
      <c r="AB702" s="33">
        <f t="shared" ref="AB702" si="1131">AA702*DAY($C702)*86400/43560/1000*IF(MONTH($C702)=8,$P$3,IF(MONTH($C702)=9,$P$4,IF(MONTH($C702)=10,$P$5,IF(MONTH($C702)=11,$P$6,IF(MONTH($C702)=12,$P$7,NA())))))</f>
        <v>0</v>
      </c>
    </row>
    <row r="703" spans="1:28" x14ac:dyDescent="0.3">
      <c r="A703" s="32">
        <f>VLOOKUP(YEAR(C703),Flags!$A$13:$B$95,2,FALSE)</f>
        <v>1</v>
      </c>
      <c r="B703" s="24">
        <f t="shared" si="1054"/>
        <v>1998</v>
      </c>
      <c r="C703" s="25">
        <v>36068</v>
      </c>
      <c r="D703" s="26"/>
      <c r="E703" s="24"/>
      <c r="F703" s="26"/>
      <c r="G703" s="24"/>
      <c r="H703" s="24"/>
      <c r="I703" s="26"/>
      <c r="J703" s="24"/>
      <c r="K703" s="26">
        <f>VLOOKUP($C703,COS!$B$8:$H$991,2,FALSE)</f>
        <v>3400</v>
      </c>
      <c r="L703" s="24">
        <f t="shared" ref="L703" si="1132">IF(AND(K703&gt;$I$7,K703&lt;$I$8),1,0)</f>
        <v>1</v>
      </c>
      <c r="M703" s="24"/>
      <c r="N703" s="26"/>
      <c r="O703" s="26"/>
      <c r="P703" s="26"/>
      <c r="Q703" s="26"/>
      <c r="R703" s="26"/>
      <c r="S703" s="26"/>
      <c r="T703" s="26"/>
      <c r="U703" s="26"/>
      <c r="V703" s="26"/>
      <c r="W703" s="26">
        <f>MAX($C$8-VLOOKUP($C703,COS!$B$8:$H$991,3,FALSE),0)</f>
        <v>0</v>
      </c>
      <c r="X703" s="26">
        <f t="shared" si="1086"/>
        <v>0</v>
      </c>
      <c r="Y703" s="26">
        <f>VLOOKUP($C703,COS!$B$8:$H$991,4,FALSE)</f>
        <v>0</v>
      </c>
      <c r="Z703" s="26">
        <f t="shared" si="1087"/>
        <v>0</v>
      </c>
      <c r="AA703" s="26">
        <f t="shared" si="1130"/>
        <v>0</v>
      </c>
      <c r="AB703" s="33">
        <f t="shared" si="1058"/>
        <v>0</v>
      </c>
    </row>
    <row r="704" spans="1:28" x14ac:dyDescent="0.3">
      <c r="A704" s="32">
        <f>VLOOKUP(YEAR(C704),Flags!$A$13:$B$95,2,FALSE)</f>
        <v>1</v>
      </c>
      <c r="B704" s="24">
        <f t="shared" si="1054"/>
        <v>1998</v>
      </c>
      <c r="C704" s="25">
        <v>36099</v>
      </c>
      <c r="D704" s="26"/>
      <c r="E704" s="24"/>
      <c r="F704" s="26"/>
      <c r="G704" s="26"/>
      <c r="H704" s="26"/>
      <c r="I704" s="26"/>
      <c r="J704" s="26"/>
      <c r="K704" s="26"/>
      <c r="L704" s="24"/>
      <c r="M704" s="24"/>
      <c r="N704" s="26"/>
      <c r="O704" s="26"/>
      <c r="P704" s="26"/>
      <c r="Q704" s="26"/>
      <c r="R704" s="26"/>
      <c r="S704" s="26"/>
      <c r="T704" s="26"/>
      <c r="U704" s="26"/>
      <c r="V704" s="26"/>
      <c r="W704" s="26">
        <f>MAX($C$9-VLOOKUP($C704,COS!$B$8:$H$991,3,FALSE),0)</f>
        <v>0</v>
      </c>
      <c r="X704" s="26">
        <f t="shared" si="1086"/>
        <v>0</v>
      </c>
      <c r="Y704" s="26">
        <f>VLOOKUP($C704,COS!$B$8:$H$991,4,FALSE)</f>
        <v>53.249282836914063</v>
      </c>
      <c r="Z704" s="26">
        <f t="shared" si="1087"/>
        <v>3.2741707793937245</v>
      </c>
      <c r="AA704" s="26">
        <f t="shared" si="1130"/>
        <v>0</v>
      </c>
      <c r="AB704" s="33">
        <f t="shared" si="1058"/>
        <v>0</v>
      </c>
    </row>
    <row r="705" spans="1:28" x14ac:dyDescent="0.3">
      <c r="A705" s="32">
        <f>VLOOKUP(YEAR(C705),Flags!$A$13:$B$95,2,FALSE)</f>
        <v>1</v>
      </c>
      <c r="B705" s="24">
        <f t="shared" si="1054"/>
        <v>1998</v>
      </c>
      <c r="C705" s="25">
        <v>36129</v>
      </c>
      <c r="D705" s="26"/>
      <c r="E705" s="24"/>
      <c r="F705" s="26"/>
      <c r="G705" s="26"/>
      <c r="H705" s="26"/>
      <c r="I705" s="26"/>
      <c r="J705" s="26"/>
      <c r="K705" s="26"/>
      <c r="L705" s="24"/>
      <c r="M705" s="24"/>
      <c r="N705" s="26"/>
      <c r="O705" s="26"/>
      <c r="P705" s="26"/>
      <c r="Q705" s="26"/>
      <c r="R705" s="26"/>
      <c r="S705" s="26"/>
      <c r="T705" s="26"/>
      <c r="U705" s="26"/>
      <c r="V705" s="26"/>
      <c r="W705" s="26">
        <f>MAX($C$10-VLOOKUP($C705,COS!$B$8:$H$991,3,FALSE),0)</f>
        <v>0</v>
      </c>
      <c r="X705" s="26">
        <f t="shared" si="1086"/>
        <v>0</v>
      </c>
      <c r="Y705" s="26">
        <f>VLOOKUP($C705,COS!$B$8:$H$991,4,FALSE)</f>
        <v>0</v>
      </c>
      <c r="Z705" s="26">
        <f t="shared" si="1087"/>
        <v>0</v>
      </c>
      <c r="AA705" s="26">
        <f t="shared" si="1130"/>
        <v>0</v>
      </c>
      <c r="AB705" s="33">
        <f t="shared" si="1058"/>
        <v>0</v>
      </c>
    </row>
    <row r="706" spans="1:28" x14ac:dyDescent="0.3">
      <c r="A706" s="34">
        <f>VLOOKUP(YEAR(C706),Flags!$A$13:$B$95,2,FALSE)</f>
        <v>1</v>
      </c>
      <c r="B706" s="35">
        <f t="shared" si="1054"/>
        <v>1998</v>
      </c>
      <c r="C706" s="36">
        <v>36160</v>
      </c>
      <c r="D706" s="37"/>
      <c r="E706" s="35"/>
      <c r="F706" s="37"/>
      <c r="G706" s="37"/>
      <c r="H706" s="37"/>
      <c r="I706" s="37"/>
      <c r="J706" s="37"/>
      <c r="K706" s="37"/>
      <c r="L706" s="35"/>
      <c r="M706" s="35"/>
      <c r="N706" s="37"/>
      <c r="O706" s="37"/>
      <c r="P706" s="37"/>
      <c r="Q706" s="37"/>
      <c r="R706" s="37"/>
      <c r="S706" s="37"/>
      <c r="T706" s="37"/>
      <c r="U706" s="37"/>
      <c r="V706" s="37"/>
      <c r="W706" s="37">
        <f>MAX($C$11-VLOOKUP($C706,COS!$B$8:$H$991,3,FALSE),0)</f>
        <v>0</v>
      </c>
      <c r="X706" s="37">
        <f t="shared" si="1086"/>
        <v>0</v>
      </c>
      <c r="Y706" s="37">
        <f>VLOOKUP($C706,COS!$B$8:$H$991,4,FALSE)</f>
        <v>0</v>
      </c>
      <c r="Z706" s="37">
        <f t="shared" si="1087"/>
        <v>0</v>
      </c>
      <c r="AA706" s="37">
        <f t="shared" si="1130"/>
        <v>0</v>
      </c>
      <c r="AB706" s="38">
        <f t="shared" si="1058"/>
        <v>0</v>
      </c>
    </row>
    <row r="707" spans="1:28" x14ac:dyDescent="0.3">
      <c r="A707" s="27">
        <f>VLOOKUP(YEAR(C707),Flags!$A$13:$B$95,2,FALSE)</f>
        <v>1</v>
      </c>
      <c r="B707" s="28">
        <f t="shared" si="1054"/>
        <v>1999</v>
      </c>
      <c r="C707" s="29">
        <v>36280</v>
      </c>
      <c r="D707" s="30">
        <f>VLOOKUP($C707,COS!$B$8:$H$991,3,FALSE)</f>
        <v>3438.072509765625</v>
      </c>
      <c r="E707" s="28">
        <f>IF(D707&gt;=IF(MONTH($C707)=4,$C$3,IF(MONTH($C707)=5,$C$4,IF(MONTH($C707)=6,$C$5,IF(MONTH($C707)=7,$C$6,"ERROR")))),1,0)</f>
        <v>0</v>
      </c>
      <c r="F707" s="30">
        <f>VLOOKUP($C707,COS!$B$8:$H$991,7,FALSE)</f>
        <v>51.189750671386719</v>
      </c>
      <c r="G707" s="28">
        <f>IF(F707&lt;=IF(MONTH($C707)=4,$F$3,IF(MONTH($C707)=5,$F$4,IF(MONTH($C707)=6,$F$5,IF(MONTH($C707)=7,$F$6,"ERROR")))),1,0)</f>
        <v>1</v>
      </c>
      <c r="H707" s="30">
        <f>IF(J707=1,D707-$C$3,0)</f>
        <v>0</v>
      </c>
      <c r="I707" s="30">
        <f t="shared" si="1083"/>
        <v>0</v>
      </c>
      <c r="J707" s="28">
        <f t="shared" ref="J707:J710" si="1133">IF(AND(E707=1,G707=1),1,0)</f>
        <v>0</v>
      </c>
      <c r="K707" s="30">
        <f>VLOOKUP($C707,COS!$B$8:$H$991,2,FALSE)</f>
        <v>4552.10009765625</v>
      </c>
      <c r="L707" s="28">
        <f t="shared" ref="L707" si="1134">IF(K707&lt;=IF(MONTH($C707)=4,$I$3,IF(MONTH($C707)=5,$I$4,IF(MONTH($C707)=6,$I$5,IF(MONTH($C707)=7,$I$6,"ERROR")))),1,0)</f>
        <v>1</v>
      </c>
      <c r="M707" s="28">
        <f t="shared" ref="M707" si="1135">VLOOKUP($A707,$L$3:$M$7,2,FALSE)</f>
        <v>0</v>
      </c>
      <c r="N707" s="30">
        <f>VLOOKUP($C707,COS!$B$8:$H$991,5,FALSE)</f>
        <v>141.06893920898438</v>
      </c>
      <c r="O707" s="30">
        <f t="shared" ref="O707:O710" si="1136">N707*DAY($C707)*86400/43560/1000</f>
        <v>8.3941848124354355</v>
      </c>
      <c r="P707" s="30">
        <f>VLOOKUP($C707,COS!$B$8:$H$991,6,FALSE)</f>
        <v>412.21127319335938</v>
      </c>
      <c r="Q707" s="30">
        <f t="shared" ref="Q707:Q710" si="1137">P707*DAY($C707)*86400/43560/1000</f>
        <v>24.528274107373452</v>
      </c>
      <c r="R707" s="30">
        <f>MIN(IF(MONTH($C707)=4,$S$3,IF(MONTH($C707)=5,$S$4,IF(MONTH($C707)=6,$S$5,IF(MONTH($C707)=7,$S$6,"ERROR")))),MAX(VLOOKUP($C707,COS!$B$8:$K$991,10,FALSE)-IF(MONTH($C707)=4,$Y$3,IF(MONTH($C707)=5,$Y$4,IF(MONTH($C707)=6,$Y$5,IF(MONTH($C707)=7,$Y$6,"ERROR")))),0),MAX(VLOOKUP($C707,COS!$B$8:$K$991,9,FALSE)-IF(MONTH($C707)=4,$V$3,IF(MONTH($C707)=5,$V$4,IF(MONTH($C707)=6,$V$5,IF(MONTH($C707)=7,$V$6,"ERROR"))))-VLOOKUP($C707,COS!$B$8:$K$991,6,FALSE)/2,0))</f>
        <v>1500</v>
      </c>
      <c r="S707" s="30">
        <f t="shared" ref="S707:S710" si="1138">R707*DAY($C707)*86400/43560/1000</f>
        <v>89.256198347107429</v>
      </c>
      <c r="T707" s="30">
        <f t="shared" ref="T707:T710" si="1139">(O707+Q707)/2+S707</f>
        <v>105.71742780701187</v>
      </c>
      <c r="U707" s="30" t="str">
        <f>IF(VLOOKUP($C707,COS!$B$8:$I$991,8,FALSE)=1,"UWFE","IBU")</f>
        <v>UWFE</v>
      </c>
      <c r="V707" s="30">
        <f t="shared" ref="V707" si="1140">MIN(IF(IF($AA$3=2,AND(E707=1,G707=1,L707=1,L712=1,M707=1,U707="IBU"),AND(E707=1,G707=1,L707=1,L712=1,M707=1)),T707,0),I707)</f>
        <v>0</v>
      </c>
      <c r="W707" s="30"/>
      <c r="X707" s="30"/>
      <c r="Y707" s="30"/>
      <c r="Z707" s="30"/>
      <c r="AA707" s="30"/>
      <c r="AB707" s="31"/>
    </row>
    <row r="708" spans="1:28" x14ac:dyDescent="0.3">
      <c r="A708" s="32">
        <f>VLOOKUP(YEAR(C708),Flags!$A$13:$B$95,2,FALSE)</f>
        <v>1</v>
      </c>
      <c r="B708" s="24">
        <f t="shared" si="1054"/>
        <v>1999</v>
      </c>
      <c r="C708" s="25">
        <v>36311</v>
      </c>
      <c r="D708" s="26">
        <f>VLOOKUP($C708,COS!$B$8:$H$991,3,FALSE)</f>
        <v>8437.2080078125</v>
      </c>
      <c r="E708" s="24">
        <f>IF(D708&gt;=IF(MONTH($C708)=4,$C$3,IF(MONTH($C708)=5,$C$4,IF(MONTH($C708)=6,$C$5,IF(MONTH($C708)=7,$C$6,"ERROR")))),1,0)</f>
        <v>1</v>
      </c>
      <c r="F708" s="26">
        <f>VLOOKUP($C708,COS!$B$8:$H$991,7,FALSE)</f>
        <v>50.693416595458984</v>
      </c>
      <c r="G708" s="24">
        <f>IF(F708&lt;=IF(MONTH($C708)=4,$F$3,IF(MONTH($C708)=5,$F$4,IF(MONTH($C708)=6,$F$5,IF(MONTH($C708)=7,$F$6,"ERROR")))),1,0)</f>
        <v>1</v>
      </c>
      <c r="H708" s="26">
        <f>IF(J708=1,D708-$C$4,0)</f>
        <v>2437.2080078125</v>
      </c>
      <c r="I708" s="26">
        <f t="shared" si="1083"/>
        <v>149.85807915805785</v>
      </c>
      <c r="J708" s="24">
        <f t="shared" si="1133"/>
        <v>1</v>
      </c>
      <c r="K708" s="26">
        <f>VLOOKUP($C708,COS!$B$8:$H$991,2,FALSE)</f>
        <v>4552</v>
      </c>
      <c r="L708" s="24">
        <f t="shared" si="1046"/>
        <v>1</v>
      </c>
      <c r="M708" s="24">
        <f t="shared" si="1047"/>
        <v>0</v>
      </c>
      <c r="N708" s="26">
        <f>VLOOKUP($C708,COS!$B$8:$H$991,5,FALSE)</f>
        <v>838.45135498046875</v>
      </c>
      <c r="O708" s="26">
        <f t="shared" si="1136"/>
        <v>51.55436430623709</v>
      </c>
      <c r="P708" s="26">
        <f>VLOOKUP($C708,COS!$B$8:$H$991,6,FALSE)</f>
        <v>2288.578369140625</v>
      </c>
      <c r="Q708" s="26">
        <f t="shared" si="1137"/>
        <v>140.71919889591942</v>
      </c>
      <c r="R708" s="26">
        <f>MIN(IF(MONTH($C708)=4,$S$3,IF(MONTH($C708)=5,$S$4,IF(MONTH($C708)=6,$S$5,IF(MONTH($C708)=7,$S$6,"ERROR")))),MAX(VLOOKUP($C708,COS!$B$8:$K$991,10,FALSE)-IF(MONTH($C708)=4,$Y$3,IF(MONTH($C708)=5,$Y$4,IF(MONTH($C708)=6,$Y$5,IF(MONTH($C708)=7,$Y$6,"ERROR")))),0),MAX(VLOOKUP($C708,COS!$B$8:$K$991,9,FALSE)-IF(MONTH($C708)=4,$V$3,IF(MONTH($C708)=5,$V$4,IF(MONTH($C708)=6,$V$5,IF(MONTH($C708)=7,$V$6,"ERROR"))))-VLOOKUP($C708,COS!$B$8:$K$991,6,FALSE)/2,0))</f>
        <v>1500</v>
      </c>
      <c r="S708" s="26">
        <f t="shared" si="1138"/>
        <v>92.231404958677686</v>
      </c>
      <c r="T708" s="26">
        <f t="shared" si="1139"/>
        <v>188.36818655975594</v>
      </c>
      <c r="U708" s="26" t="str">
        <f>IF(VLOOKUP($C708,COS!$B$8:$I$991,8,FALSE)=1,"UWFE","IBU")</f>
        <v>UWFE</v>
      </c>
      <c r="V708" s="26">
        <f t="shared" ref="V708" si="1141">MIN(IF(IF($AA$3=2,AND(E708=1,G708=1,L708=1,L712=1,M708=1,U708="IBU"),AND(E708=1,G708=1,L708=1,L712=1,M708=1)),T708,0),I708)</f>
        <v>0</v>
      </c>
      <c r="W708" s="26"/>
      <c r="X708" s="26"/>
      <c r="Y708" s="26"/>
      <c r="Z708" s="26"/>
      <c r="AA708" s="26"/>
      <c r="AB708" s="33"/>
    </row>
    <row r="709" spans="1:28" x14ac:dyDescent="0.3">
      <c r="A709" s="32">
        <f>VLOOKUP(YEAR(C709),Flags!$A$13:$B$95,2,FALSE)</f>
        <v>1</v>
      </c>
      <c r="B709" s="24">
        <f t="shared" si="1054"/>
        <v>1999</v>
      </c>
      <c r="C709" s="25">
        <v>36341</v>
      </c>
      <c r="D709" s="26">
        <f>VLOOKUP($C709,COS!$B$8:$H$991,3,FALSE)</f>
        <v>8144.7666015625</v>
      </c>
      <c r="E709" s="24">
        <f>IF(D709&gt;=IF(MONTH($C709)=4,$C$3,IF(MONTH($C709)=5,$C$4,IF(MONTH($C709)=6,$C$5,IF(MONTH($C709)=7,$C$6,"ERROR")))),1,0)</f>
        <v>0</v>
      </c>
      <c r="F709" s="26">
        <f>VLOOKUP($C709,COS!$B$8:$H$991,7,FALSE)</f>
        <v>51.85150146484375</v>
      </c>
      <c r="G709" s="24">
        <f>IF(F709&lt;=IF(MONTH($C709)=4,$F$3,IF(MONTH($C709)=5,$F$4,IF(MONTH($C709)=6,$F$5,IF(MONTH($C709)=7,$F$6,"ERROR")))),1,0)</f>
        <v>1</v>
      </c>
      <c r="H709" s="26">
        <f>IF(J709=1,D709-$C$5,0)</f>
        <v>0</v>
      </c>
      <c r="I709" s="26">
        <f t="shared" si="1083"/>
        <v>0</v>
      </c>
      <c r="J709" s="24">
        <f t="shared" si="1133"/>
        <v>0</v>
      </c>
      <c r="K709" s="26">
        <f>VLOOKUP($C709,COS!$B$8:$H$991,2,FALSE)</f>
        <v>4382.97265625</v>
      </c>
      <c r="L709" s="24">
        <f t="shared" si="1046"/>
        <v>1</v>
      </c>
      <c r="M709" s="24">
        <f t="shared" si="1047"/>
        <v>0</v>
      </c>
      <c r="N709" s="26">
        <f>VLOOKUP($C709,COS!$B$8:$H$991,5,FALSE)</f>
        <v>1060.0843505859375</v>
      </c>
      <c r="O709" s="26">
        <f t="shared" si="1136"/>
        <v>63.079399373708675</v>
      </c>
      <c r="P709" s="26">
        <f>VLOOKUP($C709,COS!$B$8:$H$991,6,FALSE)</f>
        <v>2226.599365234375</v>
      </c>
      <c r="Q709" s="26">
        <f t="shared" si="1137"/>
        <v>132.4918630552686</v>
      </c>
      <c r="R709" s="26">
        <f>MIN(IF(MONTH($C709)=4,$S$3,IF(MONTH($C709)=5,$S$4,IF(MONTH($C709)=6,$S$5,IF(MONTH($C709)=7,$S$6,"ERROR")))),MAX(VLOOKUP($C709,COS!$B$8:$K$991,10,FALSE)-IF(MONTH($C709)=4,$Y$3,IF(MONTH($C709)=5,$Y$4,IF(MONTH($C709)=6,$Y$5,IF(MONTH($C709)=7,$Y$6,"ERROR")))),0),MAX(VLOOKUP($C709,COS!$B$8:$K$991,9,FALSE)-IF(MONTH($C709)=4,$V$3,IF(MONTH($C709)=5,$V$4,IF(MONTH($C709)=6,$V$5,IF(MONTH($C709)=7,$V$6,"ERROR"))))-VLOOKUP($C709,COS!$B$8:$K$991,6,FALSE)/2,0))</f>
        <v>1500</v>
      </c>
      <c r="S709" s="26">
        <f t="shared" si="1138"/>
        <v>89.256198347107429</v>
      </c>
      <c r="T709" s="26">
        <f t="shared" si="1139"/>
        <v>187.04182956159605</v>
      </c>
      <c r="U709" s="26" t="str">
        <f>IF(VLOOKUP($C709,COS!$B$8:$I$991,8,FALSE)=1,"UWFE","IBU")</f>
        <v>UWFE</v>
      </c>
      <c r="V709" s="26">
        <f t="shared" ref="V709" si="1142">MIN(IF(IF($AA$3=2,AND(E709=1,G709=1,L709=1,L712=1,M709=1,U709="IBU"),AND(E709=1,G709=1,L709=1,L712=1,M709=1)),T709,0),I709)</f>
        <v>0</v>
      </c>
      <c r="W709" s="26"/>
      <c r="X709" s="26"/>
      <c r="Y709" s="26"/>
      <c r="Z709" s="26"/>
      <c r="AA709" s="26"/>
      <c r="AB709" s="33"/>
    </row>
    <row r="710" spans="1:28" x14ac:dyDescent="0.3">
      <c r="A710" s="32">
        <f>VLOOKUP(YEAR(C710),Flags!$A$13:$B$95,2,FALSE)</f>
        <v>1</v>
      </c>
      <c r="B710" s="24">
        <f t="shared" si="1054"/>
        <v>1999</v>
      </c>
      <c r="C710" s="25">
        <v>36372</v>
      </c>
      <c r="D710" s="26">
        <f>VLOOKUP($C710,COS!$B$8:$H$991,3,FALSE)</f>
        <v>16000</v>
      </c>
      <c r="E710" s="24">
        <f>IF(D710&gt;=IF(MONTH($C710)=4,$C$3,IF(MONTH($C710)=5,$C$4,IF(MONTH($C710)=6,$C$5,IF(MONTH($C710)=7,$C$6,"ERROR")))),1,0)</f>
        <v>1</v>
      </c>
      <c r="F710" s="26">
        <f>VLOOKUP($C710,COS!$B$8:$H$991,7,FALSE)</f>
        <v>51.293598175048828</v>
      </c>
      <c r="G710" s="24">
        <f>IF(F710&lt;=IF(MONTH($C710)=4,$F$3,IF(MONTH($C710)=5,$F$4,IF(MONTH($C710)=6,$F$5,IF(MONTH($C710)=7,$F$6,"ERROR")))),1,0)</f>
        <v>1</v>
      </c>
      <c r="H710" s="26">
        <f>IF(J710=1,D710-$C$6,0)</f>
        <v>4000</v>
      </c>
      <c r="I710" s="26">
        <f t="shared" si="1083"/>
        <v>245.95041322314049</v>
      </c>
      <c r="J710" s="24">
        <f t="shared" si="1133"/>
        <v>1</v>
      </c>
      <c r="K710" s="26">
        <f>VLOOKUP($C710,COS!$B$8:$H$991,2,FALSE)</f>
        <v>3724.72216796875</v>
      </c>
      <c r="L710" s="24">
        <f t="shared" si="1046"/>
        <v>1</v>
      </c>
      <c r="M710" s="24">
        <f t="shared" si="1047"/>
        <v>0</v>
      </c>
      <c r="N710" s="26">
        <f>VLOOKUP($C710,COS!$B$8:$H$991,5,FALSE)</f>
        <v>1277.9014892578125</v>
      </c>
      <c r="O710" s="26">
        <f t="shared" si="1136"/>
        <v>78.575099835356411</v>
      </c>
      <c r="P710" s="26">
        <f>VLOOKUP($C710,COS!$B$8:$H$991,6,FALSE)</f>
        <v>2616.67822265625</v>
      </c>
      <c r="Q710" s="26">
        <f t="shared" si="1137"/>
        <v>160.89327253357436</v>
      </c>
      <c r="R710" s="26">
        <f>MIN(IF(MONTH($C710)=4,$S$3,IF(MONTH($C710)=5,$S$4,IF(MONTH($C710)=6,$S$5,IF(MONTH($C710)=7,$S$6,"ERROR")))),MAX(VLOOKUP($C710,COS!$B$8:$K$991,10,FALSE)-IF(MONTH($C710)=4,$Y$3,IF(MONTH($C710)=5,$Y$4,IF(MONTH($C710)=6,$Y$5,IF(MONTH($C710)=7,$Y$6,"ERROR")))),0),MAX(VLOOKUP($C710,COS!$B$8:$K$991,9,FALSE)-IF(MONTH($C710)=4,$V$3,IF(MONTH($C710)=5,$V$4,IF(MONTH($C710)=6,$V$5,IF(MONTH($C710)=7,$V$6,"ERROR"))))-VLOOKUP($C710,COS!$B$8:$K$991,6,FALSE)/2,0))</f>
        <v>1500</v>
      </c>
      <c r="S710" s="26">
        <f t="shared" si="1138"/>
        <v>92.231404958677686</v>
      </c>
      <c r="T710" s="26">
        <f t="shared" si="1139"/>
        <v>211.96559114314306</v>
      </c>
      <c r="U710" s="26" t="str">
        <f>IF(VLOOKUP($C710,COS!$B$8:$I$991,8,FALSE)=1,"UWFE","IBU")</f>
        <v>IBU</v>
      </c>
      <c r="V710" s="26">
        <f t="shared" ref="V710" si="1143">MIN(IF(IF($AA$3=2,AND(E710=1,G710=1,L710=1,L712=1,M710=1,U710="IBU"),AND(E710=1,G710=1,L710=1,L712=1,M710=1)),T710,0),I710)</f>
        <v>0</v>
      </c>
      <c r="W710" s="26"/>
      <c r="X710" s="26"/>
      <c r="Y710" s="26"/>
      <c r="Z710" s="26"/>
      <c r="AA710" s="26"/>
      <c r="AB710" s="33"/>
    </row>
    <row r="711" spans="1:28" x14ac:dyDescent="0.3">
      <c r="A711" s="32">
        <f>VLOOKUP(YEAR(C711),Flags!$A$13:$B$95,2,FALSE)</f>
        <v>1</v>
      </c>
      <c r="B711" s="24">
        <f t="shared" si="1054"/>
        <v>1999</v>
      </c>
      <c r="C711" s="25">
        <v>36403</v>
      </c>
      <c r="D711" s="26"/>
      <c r="E711" s="24"/>
      <c r="F711" s="26"/>
      <c r="G711" s="24"/>
      <c r="H711" s="24"/>
      <c r="I711" s="26"/>
      <c r="J711" s="24"/>
      <c r="K711" s="26"/>
      <c r="L711" s="24"/>
      <c r="M711" s="24"/>
      <c r="N711" s="26"/>
      <c r="O711" s="26"/>
      <c r="P711" s="26"/>
      <c r="Q711" s="26"/>
      <c r="R711" s="26"/>
      <c r="S711" s="26"/>
      <c r="T711" s="26"/>
      <c r="U711" s="26"/>
      <c r="V711" s="26"/>
      <c r="W711" s="26">
        <f>MAX($C$7-VLOOKUP($C711,COS!$B$8:$H$991,3,FALSE),0)</f>
        <v>2286.5068359375</v>
      </c>
      <c r="X711" s="26">
        <f t="shared" si="1086"/>
        <v>140.5918252840909</v>
      </c>
      <c r="Y711" s="26">
        <f>VLOOKUP($C711,COS!$B$8:$H$991,4,FALSE)</f>
        <v>0</v>
      </c>
      <c r="Z711" s="26">
        <f t="shared" si="1087"/>
        <v>0</v>
      </c>
      <c r="AA711" s="26">
        <f t="shared" ref="AA711:AA715" si="1144">MIN(W711,Y711)</f>
        <v>0</v>
      </c>
      <c r="AB711" s="33">
        <f t="shared" ref="AB711" si="1145">AA711*DAY($C711)*86400/43560/1000*IF(MONTH($C711)=8,$P$3,IF(MONTH($C711)=9,$P$4,IF(MONTH($C711)=10,$P$5,IF(MONTH($C711)=11,$P$6,IF(MONTH($C711)=12,$P$7,NA())))))</f>
        <v>0</v>
      </c>
    </row>
    <row r="712" spans="1:28" x14ac:dyDescent="0.3">
      <c r="A712" s="32">
        <f>VLOOKUP(YEAR(C712),Flags!$A$13:$B$95,2,FALSE)</f>
        <v>1</v>
      </c>
      <c r="B712" s="24">
        <f t="shared" si="1054"/>
        <v>1999</v>
      </c>
      <c r="C712" s="25">
        <v>36433</v>
      </c>
      <c r="D712" s="26"/>
      <c r="E712" s="24"/>
      <c r="F712" s="26"/>
      <c r="G712" s="24"/>
      <c r="H712" s="24"/>
      <c r="I712" s="26"/>
      <c r="J712" s="24"/>
      <c r="K712" s="26">
        <f>VLOOKUP($C712,COS!$B$8:$H$991,2,FALSE)</f>
        <v>2879.5078125</v>
      </c>
      <c r="L712" s="24">
        <f t="shared" ref="L712" si="1146">IF(AND(K712&gt;$I$7,K712&lt;$I$8),1,0)</f>
        <v>1</v>
      </c>
      <c r="M712" s="24"/>
      <c r="N712" s="26"/>
      <c r="O712" s="26"/>
      <c r="P712" s="26"/>
      <c r="Q712" s="26"/>
      <c r="R712" s="26"/>
      <c r="S712" s="26"/>
      <c r="T712" s="26"/>
      <c r="U712" s="26"/>
      <c r="V712" s="26"/>
      <c r="W712" s="26">
        <f>MAX($C$8-VLOOKUP($C712,COS!$B$8:$H$991,3,FALSE),0)</f>
        <v>0</v>
      </c>
      <c r="X712" s="26">
        <f t="shared" si="1086"/>
        <v>0</v>
      </c>
      <c r="Y712" s="26">
        <f>VLOOKUP($C712,COS!$B$8:$H$991,4,FALSE)</f>
        <v>0</v>
      </c>
      <c r="Z712" s="26">
        <f t="shared" si="1087"/>
        <v>0</v>
      </c>
      <c r="AA712" s="26">
        <f t="shared" si="1144"/>
        <v>0</v>
      </c>
      <c r="AB712" s="33">
        <f t="shared" si="1058"/>
        <v>0</v>
      </c>
    </row>
    <row r="713" spans="1:28" x14ac:dyDescent="0.3">
      <c r="A713" s="32">
        <f>VLOOKUP(YEAR(C713),Flags!$A$13:$B$95,2,FALSE)</f>
        <v>1</v>
      </c>
      <c r="B713" s="24">
        <f t="shared" si="1054"/>
        <v>1999</v>
      </c>
      <c r="C713" s="25">
        <v>36464</v>
      </c>
      <c r="D713" s="26"/>
      <c r="E713" s="24"/>
      <c r="F713" s="26"/>
      <c r="G713" s="26"/>
      <c r="H713" s="26"/>
      <c r="I713" s="26"/>
      <c r="J713" s="26"/>
      <c r="K713" s="26"/>
      <c r="L713" s="24"/>
      <c r="M713" s="24"/>
      <c r="N713" s="26"/>
      <c r="O713" s="26"/>
      <c r="P713" s="26"/>
      <c r="Q713" s="26"/>
      <c r="R713" s="26"/>
      <c r="S713" s="26"/>
      <c r="T713" s="26"/>
      <c r="U713" s="26"/>
      <c r="V713" s="26"/>
      <c r="W713" s="26">
        <f>MAX($C$9-VLOOKUP($C713,COS!$B$8:$H$991,3,FALSE),0)</f>
        <v>0</v>
      </c>
      <c r="X713" s="26">
        <f t="shared" si="1086"/>
        <v>0</v>
      </c>
      <c r="Y713" s="26">
        <f>VLOOKUP($C713,COS!$B$8:$H$991,4,FALSE)</f>
        <v>1020.4207763671875</v>
      </c>
      <c r="Z713" s="26">
        <f t="shared" si="1087"/>
        <v>62.7432279022469</v>
      </c>
      <c r="AA713" s="26">
        <f t="shared" si="1144"/>
        <v>0</v>
      </c>
      <c r="AB713" s="33">
        <f t="shared" si="1058"/>
        <v>0</v>
      </c>
    </row>
    <row r="714" spans="1:28" x14ac:dyDescent="0.3">
      <c r="A714" s="32">
        <f>VLOOKUP(YEAR(C714),Flags!$A$13:$B$95,2,FALSE)</f>
        <v>1</v>
      </c>
      <c r="B714" s="24">
        <f t="shared" si="1054"/>
        <v>1999</v>
      </c>
      <c r="C714" s="25">
        <v>36494</v>
      </c>
      <c r="D714" s="26"/>
      <c r="E714" s="24"/>
      <c r="F714" s="26"/>
      <c r="G714" s="26"/>
      <c r="H714" s="26"/>
      <c r="I714" s="26"/>
      <c r="J714" s="26"/>
      <c r="K714" s="26"/>
      <c r="L714" s="24"/>
      <c r="M714" s="24"/>
      <c r="N714" s="26"/>
      <c r="O714" s="26"/>
      <c r="P714" s="26"/>
      <c r="Q714" s="26"/>
      <c r="R714" s="26"/>
      <c r="S714" s="26"/>
      <c r="T714" s="26"/>
      <c r="U714" s="26"/>
      <c r="V714" s="26"/>
      <c r="W714" s="26">
        <f>MAX($C$10-VLOOKUP($C714,COS!$B$8:$H$991,3,FALSE),0)</f>
        <v>0</v>
      </c>
      <c r="X714" s="26">
        <f t="shared" si="1086"/>
        <v>0</v>
      </c>
      <c r="Y714" s="26">
        <f>VLOOKUP($C714,COS!$B$8:$H$991,4,FALSE)</f>
        <v>1214.3294677734375</v>
      </c>
      <c r="Z714" s="26">
        <f t="shared" si="1087"/>
        <v>72.257621222882221</v>
      </c>
      <c r="AA714" s="26">
        <f t="shared" si="1144"/>
        <v>0</v>
      </c>
      <c r="AB714" s="33">
        <f t="shared" si="1058"/>
        <v>0</v>
      </c>
    </row>
    <row r="715" spans="1:28" x14ac:dyDescent="0.3">
      <c r="A715" s="34">
        <f>VLOOKUP(YEAR(C715),Flags!$A$13:$B$95,2,FALSE)</f>
        <v>1</v>
      </c>
      <c r="B715" s="35">
        <f t="shared" si="1054"/>
        <v>1999</v>
      </c>
      <c r="C715" s="36">
        <v>36525</v>
      </c>
      <c r="D715" s="37"/>
      <c r="E715" s="35"/>
      <c r="F715" s="37"/>
      <c r="G715" s="37"/>
      <c r="H715" s="37"/>
      <c r="I715" s="37"/>
      <c r="J715" s="37"/>
      <c r="K715" s="37"/>
      <c r="L715" s="35"/>
      <c r="M715" s="35"/>
      <c r="N715" s="37"/>
      <c r="O715" s="37"/>
      <c r="P715" s="37"/>
      <c r="Q715" s="37"/>
      <c r="R715" s="37"/>
      <c r="S715" s="37"/>
      <c r="T715" s="37"/>
      <c r="U715" s="37"/>
      <c r="V715" s="37"/>
      <c r="W715" s="37">
        <f>MAX($C$11-VLOOKUP($C715,COS!$B$8:$H$991,3,FALSE),0)</f>
        <v>0</v>
      </c>
      <c r="X715" s="37">
        <f t="shared" si="1086"/>
        <v>0</v>
      </c>
      <c r="Y715" s="37">
        <f>VLOOKUP($C715,COS!$B$8:$H$991,4,FALSE)</f>
        <v>0</v>
      </c>
      <c r="Z715" s="37">
        <f t="shared" si="1087"/>
        <v>0</v>
      </c>
      <c r="AA715" s="37">
        <f t="shared" si="1144"/>
        <v>0</v>
      </c>
      <c r="AB715" s="38">
        <f t="shared" si="1058"/>
        <v>0</v>
      </c>
    </row>
    <row r="716" spans="1:28" x14ac:dyDescent="0.3">
      <c r="A716" s="27">
        <f>VLOOKUP(YEAR(C716),Flags!$A$13:$B$95,2,FALSE)</f>
        <v>2</v>
      </c>
      <c r="B716" s="28">
        <f t="shared" si="1054"/>
        <v>2000</v>
      </c>
      <c r="C716" s="29">
        <v>36646</v>
      </c>
      <c r="D716" s="30">
        <f>VLOOKUP($C716,COS!$B$8:$H$991,3,FALSE)</f>
        <v>3250</v>
      </c>
      <c r="E716" s="28">
        <f>IF(D716&gt;=IF(MONTH($C716)=4,$C$3,IF(MONTH($C716)=5,$C$4,IF(MONTH($C716)=6,$C$5,IF(MONTH($C716)=7,$C$6,"ERROR")))),1,0)</f>
        <v>0</v>
      </c>
      <c r="F716" s="30">
        <f>VLOOKUP($C716,COS!$B$8:$H$991,7,FALSE)</f>
        <v>53.549808502197266</v>
      </c>
      <c r="G716" s="28">
        <f>IF(F716&lt;=IF(MONTH($C716)=4,$F$3,IF(MONTH($C716)=5,$F$4,IF(MONTH($C716)=6,$F$5,IF(MONTH($C716)=7,$F$6,"ERROR")))),1,0)</f>
        <v>1</v>
      </c>
      <c r="H716" s="30">
        <f>IF(J716=1,D716-$C$3,0)</f>
        <v>0</v>
      </c>
      <c r="I716" s="30">
        <f t="shared" si="1083"/>
        <v>0</v>
      </c>
      <c r="J716" s="28">
        <f t="shared" ref="J716:J719" si="1147">IF(AND(E716=1,G716=1),1,0)</f>
        <v>0</v>
      </c>
      <c r="K716" s="30">
        <f>VLOOKUP($C716,COS!$B$8:$H$991,2,FALSE)</f>
        <v>4550.50927734375</v>
      </c>
      <c r="L716" s="28">
        <f t="shared" ref="L716:L737" si="1148">IF(K716&lt;=IF(MONTH($C716)=4,$I$3,IF(MONTH($C716)=5,$I$4,IF(MONTH($C716)=6,$I$5,IF(MONTH($C716)=7,$I$6,"ERROR")))),1,0)</f>
        <v>1</v>
      </c>
      <c r="M716" s="28">
        <f t="shared" ref="M716:M737" si="1149">VLOOKUP($A716,$L$3:$M$7,2,FALSE)</f>
        <v>0</v>
      </c>
      <c r="N716" s="30">
        <f>VLOOKUP($C716,COS!$B$8:$H$991,5,FALSE)</f>
        <v>37.464950561523438</v>
      </c>
      <c r="O716" s="30">
        <f t="shared" ref="O716:O719" si="1150">N716*DAY($C716)*86400/43560/1000</f>
        <v>2.2293193722559401</v>
      </c>
      <c r="P716" s="30">
        <f>VLOOKUP($C716,COS!$B$8:$H$991,6,FALSE)</f>
        <v>403.17050170898438</v>
      </c>
      <c r="Q716" s="30">
        <f t="shared" ref="Q716:Q719" si="1151">P716*DAY($C716)*86400/43560/1000</f>
        <v>23.990310845493283</v>
      </c>
      <c r="R716" s="30">
        <f>MIN(IF(MONTH($C716)=4,$S$3,IF(MONTH($C716)=5,$S$4,IF(MONTH($C716)=6,$S$5,IF(MONTH($C716)=7,$S$6,"ERROR")))),MAX(VLOOKUP($C716,COS!$B$8:$K$991,10,FALSE)-IF(MONTH($C716)=4,$Y$3,IF(MONTH($C716)=5,$Y$4,IF(MONTH($C716)=6,$Y$5,IF(MONTH($C716)=7,$Y$6,"ERROR")))),0),MAX(VLOOKUP($C716,COS!$B$8:$K$991,9,FALSE)-IF(MONTH($C716)=4,$V$3,IF(MONTH($C716)=5,$V$4,IF(MONTH($C716)=6,$V$5,IF(MONTH($C716)=7,$V$6,"ERROR"))))-VLOOKUP($C716,COS!$B$8:$K$991,6,FALSE)/2,0))</f>
        <v>1500</v>
      </c>
      <c r="S716" s="30">
        <f t="shared" ref="S716:S719" si="1152">R716*DAY($C716)*86400/43560/1000</f>
        <v>89.256198347107429</v>
      </c>
      <c r="T716" s="30">
        <f t="shared" ref="T716:T719" si="1153">(O716+Q716)/2+S716</f>
        <v>102.36601345598204</v>
      </c>
      <c r="U716" s="30" t="str">
        <f>IF(VLOOKUP($C716,COS!$B$8:$I$991,8,FALSE)=1,"UWFE","IBU")</f>
        <v>UWFE</v>
      </c>
      <c r="V716" s="30">
        <f t="shared" ref="V716" si="1154">MIN(IF(IF($AA$3=2,AND(E716=1,G716=1,L716=1,L721=1,M716=1,U716="IBU"),AND(E716=1,G716=1,L716=1,L721=1,M716=1)),T716,0),I716)</f>
        <v>0</v>
      </c>
      <c r="W716" s="30"/>
      <c r="X716" s="30"/>
      <c r="Y716" s="30"/>
      <c r="Z716" s="30"/>
      <c r="AA716" s="30"/>
      <c r="AB716" s="31"/>
    </row>
    <row r="717" spans="1:28" x14ac:dyDescent="0.3">
      <c r="A717" s="32">
        <f>VLOOKUP(YEAR(C717),Flags!$A$13:$B$95,2,FALSE)</f>
        <v>2</v>
      </c>
      <c r="B717" s="24">
        <f t="shared" si="1054"/>
        <v>2000</v>
      </c>
      <c r="C717" s="25">
        <v>36677</v>
      </c>
      <c r="D717" s="26">
        <f>VLOOKUP($C717,COS!$B$8:$H$991,3,FALSE)</f>
        <v>7298.4775390625</v>
      </c>
      <c r="E717" s="24">
        <f>IF(D717&gt;=IF(MONTH($C717)=4,$C$3,IF(MONTH($C717)=5,$C$4,IF(MONTH($C717)=6,$C$5,IF(MONTH($C717)=7,$C$6,"ERROR")))),1,0)</f>
        <v>1</v>
      </c>
      <c r="F717" s="26">
        <f>VLOOKUP($C717,COS!$B$8:$H$991,7,FALSE)</f>
        <v>51.98187255859375</v>
      </c>
      <c r="G717" s="24">
        <f>IF(F717&lt;=IF(MONTH($C717)=4,$F$3,IF(MONTH($C717)=5,$F$4,IF(MONTH($C717)=6,$F$5,IF(MONTH($C717)=7,$F$6,"ERROR")))),1,0)</f>
        <v>1</v>
      </c>
      <c r="H717" s="26">
        <f>IF(J717=1,D717-$C$4,0)</f>
        <v>1298.4775390625</v>
      </c>
      <c r="I717" s="26">
        <f t="shared" si="1083"/>
        <v>79.840271823347109</v>
      </c>
      <c r="J717" s="24">
        <f t="shared" si="1147"/>
        <v>1</v>
      </c>
      <c r="K717" s="26">
        <f>VLOOKUP($C717,COS!$B$8:$H$991,2,FALSE)</f>
        <v>4552</v>
      </c>
      <c r="L717" s="24">
        <f t="shared" si="1148"/>
        <v>1</v>
      </c>
      <c r="M717" s="24">
        <f t="shared" si="1149"/>
        <v>0</v>
      </c>
      <c r="N717" s="26">
        <f>VLOOKUP($C717,COS!$B$8:$H$991,5,FALSE)</f>
        <v>651.51641845703125</v>
      </c>
      <c r="O717" s="26">
        <f t="shared" si="1150"/>
        <v>40.060183085291833</v>
      </c>
      <c r="P717" s="26">
        <f>VLOOKUP($C717,COS!$B$8:$H$991,6,FALSE)</f>
        <v>1855.6585693359375</v>
      </c>
      <c r="Q717" s="26">
        <f t="shared" si="1151"/>
        <v>114.09999798230888</v>
      </c>
      <c r="R717" s="26">
        <f>MIN(IF(MONTH($C717)=4,$S$3,IF(MONTH($C717)=5,$S$4,IF(MONTH($C717)=6,$S$5,IF(MONTH($C717)=7,$S$6,"ERROR")))),MAX(VLOOKUP($C717,COS!$B$8:$K$991,10,FALSE)-IF(MONTH($C717)=4,$Y$3,IF(MONTH($C717)=5,$Y$4,IF(MONTH($C717)=6,$Y$5,IF(MONTH($C717)=7,$Y$6,"ERROR")))),0),MAX(VLOOKUP($C717,COS!$B$8:$K$991,9,FALSE)-IF(MONTH($C717)=4,$V$3,IF(MONTH($C717)=5,$V$4,IF(MONTH($C717)=6,$V$5,IF(MONTH($C717)=7,$V$6,"ERROR"))))-VLOOKUP($C717,COS!$B$8:$K$991,6,FALSE)/2,0))</f>
        <v>1500</v>
      </c>
      <c r="S717" s="26">
        <f t="shared" si="1152"/>
        <v>92.231404958677686</v>
      </c>
      <c r="T717" s="26">
        <f t="shared" si="1153"/>
        <v>169.31149549247806</v>
      </c>
      <c r="U717" s="26" t="str">
        <f>IF(VLOOKUP($C717,COS!$B$8:$I$991,8,FALSE)=1,"UWFE","IBU")</f>
        <v>UWFE</v>
      </c>
      <c r="V717" s="26">
        <f t="shared" ref="V717" si="1155">MIN(IF(IF($AA$3=2,AND(E717=1,G717=1,L717=1,L721=1,M717=1,U717="IBU"),AND(E717=1,G717=1,L717=1,L721=1,M717=1)),T717,0),I717)</f>
        <v>0</v>
      </c>
      <c r="W717" s="26"/>
      <c r="X717" s="26"/>
      <c r="Y717" s="26"/>
      <c r="Z717" s="26"/>
      <c r="AA717" s="26"/>
      <c r="AB717" s="33"/>
    </row>
    <row r="718" spans="1:28" x14ac:dyDescent="0.3">
      <c r="A718" s="32">
        <f>VLOOKUP(YEAR(C718),Flags!$A$13:$B$95,2,FALSE)</f>
        <v>2</v>
      </c>
      <c r="B718" s="24">
        <f t="shared" si="1054"/>
        <v>2000</v>
      </c>
      <c r="C718" s="25">
        <v>36707</v>
      </c>
      <c r="D718" s="26">
        <f>VLOOKUP($C718,COS!$B$8:$H$991,3,FALSE)</f>
        <v>12915.84765625</v>
      </c>
      <c r="E718" s="24">
        <f>IF(D718&gt;=IF(MONTH($C718)=4,$C$3,IF(MONTH($C718)=5,$C$4,IF(MONTH($C718)=6,$C$5,IF(MONTH($C718)=7,$C$6,"ERROR")))),1,0)</f>
        <v>1</v>
      </c>
      <c r="F718" s="26">
        <f>VLOOKUP($C718,COS!$B$8:$H$991,7,FALSE)</f>
        <v>51.933616638183594</v>
      </c>
      <c r="G718" s="24">
        <f>IF(F718&lt;=IF(MONTH($C718)=4,$F$3,IF(MONTH($C718)=5,$F$4,IF(MONTH($C718)=6,$F$5,IF(MONTH($C718)=7,$F$6,"ERROR")))),1,0)</f>
        <v>1</v>
      </c>
      <c r="H718" s="26">
        <f>IF(J718=1,D718-$C$5,0)</f>
        <v>2915.84765625</v>
      </c>
      <c r="I718" s="26">
        <f t="shared" si="1083"/>
        <v>173.50498450413224</v>
      </c>
      <c r="J718" s="24">
        <f t="shared" si="1147"/>
        <v>1</v>
      </c>
      <c r="K718" s="26">
        <f>VLOOKUP($C718,COS!$B$8:$H$991,2,FALSE)</f>
        <v>4064.68359375</v>
      </c>
      <c r="L718" s="24">
        <f t="shared" si="1148"/>
        <v>1</v>
      </c>
      <c r="M718" s="24">
        <f t="shared" si="1149"/>
        <v>0</v>
      </c>
      <c r="N718" s="26">
        <f>VLOOKUP($C718,COS!$B$8:$H$991,5,FALSE)</f>
        <v>1133.98681640625</v>
      </c>
      <c r="O718" s="26">
        <f t="shared" si="1150"/>
        <v>67.476901472107429</v>
      </c>
      <c r="P718" s="26">
        <f>VLOOKUP($C718,COS!$B$8:$H$991,6,FALSE)</f>
        <v>2300.9248046875</v>
      </c>
      <c r="Q718" s="26">
        <f t="shared" si="1151"/>
        <v>136.91453383264462</v>
      </c>
      <c r="R718" s="26">
        <f>MIN(IF(MONTH($C718)=4,$S$3,IF(MONTH($C718)=5,$S$4,IF(MONTH($C718)=6,$S$5,IF(MONTH($C718)=7,$S$6,"ERROR")))),MAX(VLOOKUP($C718,COS!$B$8:$K$991,10,FALSE)-IF(MONTH($C718)=4,$Y$3,IF(MONTH($C718)=5,$Y$4,IF(MONTH($C718)=6,$Y$5,IF(MONTH($C718)=7,$Y$6,"ERROR")))),0),MAX(VLOOKUP($C718,COS!$B$8:$K$991,9,FALSE)-IF(MONTH($C718)=4,$V$3,IF(MONTH($C718)=5,$V$4,IF(MONTH($C718)=6,$V$5,IF(MONTH($C718)=7,$V$6,"ERROR"))))-VLOOKUP($C718,COS!$B$8:$K$991,6,FALSE)/2,0))</f>
        <v>1500</v>
      </c>
      <c r="S718" s="26">
        <f t="shared" si="1152"/>
        <v>89.256198347107429</v>
      </c>
      <c r="T718" s="26">
        <f t="shared" si="1153"/>
        <v>191.45191599948345</v>
      </c>
      <c r="U718" s="26" t="str">
        <f>IF(VLOOKUP($C718,COS!$B$8:$I$991,8,FALSE)=1,"UWFE","IBU")</f>
        <v>IBU</v>
      </c>
      <c r="V718" s="26">
        <f t="shared" ref="V718" si="1156">MIN(IF(IF($AA$3=2,AND(E718=1,G718=1,L718=1,L721=1,M718=1,U718="IBU"),AND(E718=1,G718=1,L718=1,L721=1,M718=1)),T718,0),I718)</f>
        <v>0</v>
      </c>
      <c r="W718" s="26"/>
      <c r="X718" s="26"/>
      <c r="Y718" s="26"/>
      <c r="Z718" s="26"/>
      <c r="AA718" s="26"/>
      <c r="AB718" s="33"/>
    </row>
    <row r="719" spans="1:28" x14ac:dyDescent="0.3">
      <c r="A719" s="32">
        <f>VLOOKUP(YEAR(C719),Flags!$A$13:$B$95,2,FALSE)</f>
        <v>2</v>
      </c>
      <c r="B719" s="24">
        <f t="shared" ref="B719:B742" si="1157">YEAR(C719)</f>
        <v>2000</v>
      </c>
      <c r="C719" s="25">
        <v>36738</v>
      </c>
      <c r="D719" s="26">
        <f>VLOOKUP($C719,COS!$B$8:$H$991,3,FALSE)</f>
        <v>16243.5498046875</v>
      </c>
      <c r="E719" s="24">
        <f>IF(D719&gt;=IF(MONTH($C719)=4,$C$3,IF(MONTH($C719)=5,$C$4,IF(MONTH($C719)=6,$C$5,IF(MONTH($C719)=7,$C$6,"ERROR")))),1,0)</f>
        <v>1</v>
      </c>
      <c r="F719" s="26">
        <f>VLOOKUP($C719,COS!$B$8:$H$991,7,FALSE)</f>
        <v>51.968482971191406</v>
      </c>
      <c r="G719" s="24">
        <f>IF(F719&lt;=IF(MONTH($C719)=4,$F$3,IF(MONTH($C719)=5,$F$4,IF(MONTH($C719)=6,$F$5,IF(MONTH($C719)=7,$F$6,"ERROR")))),1,0)</f>
        <v>1</v>
      </c>
      <c r="H719" s="26">
        <f>IF(J719=1,D719-$C$6,0)</f>
        <v>4243.5498046875</v>
      </c>
      <c r="I719" s="26">
        <f t="shared" si="1083"/>
        <v>260.92570699896697</v>
      </c>
      <c r="J719" s="24">
        <f t="shared" si="1147"/>
        <v>1</v>
      </c>
      <c r="K719" s="26">
        <f>VLOOKUP($C719,COS!$B$8:$H$991,2,FALSE)</f>
        <v>3391.262451171875</v>
      </c>
      <c r="L719" s="24">
        <f t="shared" si="1148"/>
        <v>1</v>
      </c>
      <c r="M719" s="24">
        <f t="shared" si="1149"/>
        <v>0</v>
      </c>
      <c r="N719" s="26">
        <f>VLOOKUP($C719,COS!$B$8:$H$991,5,FALSE)</f>
        <v>1372.8363037109375</v>
      </c>
      <c r="O719" s="26">
        <f t="shared" si="1150"/>
        <v>84.412414046358478</v>
      </c>
      <c r="P719" s="26">
        <f>VLOOKUP($C719,COS!$B$8:$H$991,6,FALSE)</f>
        <v>2562.892822265625</v>
      </c>
      <c r="Q719" s="26">
        <f t="shared" si="1151"/>
        <v>157.58613717071282</v>
      </c>
      <c r="R719" s="26">
        <f>MIN(IF(MONTH($C719)=4,$S$3,IF(MONTH($C719)=5,$S$4,IF(MONTH($C719)=6,$S$5,IF(MONTH($C719)=7,$S$6,"ERROR")))),MAX(VLOOKUP($C719,COS!$B$8:$K$991,10,FALSE)-IF(MONTH($C719)=4,$Y$3,IF(MONTH($C719)=5,$Y$4,IF(MONTH($C719)=6,$Y$5,IF(MONTH($C719)=7,$Y$6,"ERROR")))),0),MAX(VLOOKUP($C719,COS!$B$8:$K$991,9,FALSE)-IF(MONTH($C719)=4,$V$3,IF(MONTH($C719)=5,$V$4,IF(MONTH($C719)=6,$V$5,IF(MONTH($C719)=7,$V$6,"ERROR"))))-VLOOKUP($C719,COS!$B$8:$K$991,6,FALSE)/2,0))</f>
        <v>1500</v>
      </c>
      <c r="S719" s="26">
        <f t="shared" si="1152"/>
        <v>92.231404958677686</v>
      </c>
      <c r="T719" s="26">
        <f t="shared" si="1153"/>
        <v>213.23068056721331</v>
      </c>
      <c r="U719" s="26" t="str">
        <f>IF(VLOOKUP($C719,COS!$B$8:$I$991,8,FALSE)=1,"UWFE","IBU")</f>
        <v>IBU</v>
      </c>
      <c r="V719" s="26">
        <f t="shared" ref="V719" si="1158">MIN(IF(IF($AA$3=2,AND(E719=1,G719=1,L719=1,L721=1,M719=1,U719="IBU"),AND(E719=1,G719=1,L719=1,L721=1,M719=1)),T719,0),I719)</f>
        <v>0</v>
      </c>
      <c r="W719" s="26"/>
      <c r="X719" s="26"/>
      <c r="Y719" s="26"/>
      <c r="Z719" s="26"/>
      <c r="AA719" s="26"/>
      <c r="AB719" s="33"/>
    </row>
    <row r="720" spans="1:28" x14ac:dyDescent="0.3">
      <c r="A720" s="32">
        <f>VLOOKUP(YEAR(C720),Flags!$A$13:$B$95,2,FALSE)</f>
        <v>2</v>
      </c>
      <c r="B720" s="24">
        <f t="shared" si="1157"/>
        <v>2000</v>
      </c>
      <c r="C720" s="25">
        <v>36769</v>
      </c>
      <c r="D720" s="26"/>
      <c r="E720" s="24"/>
      <c r="F720" s="26"/>
      <c r="G720" s="24"/>
      <c r="H720" s="24"/>
      <c r="I720" s="26"/>
      <c r="J720" s="24"/>
      <c r="K720" s="26"/>
      <c r="L720" s="24"/>
      <c r="M720" s="24"/>
      <c r="N720" s="26"/>
      <c r="O720" s="26"/>
      <c r="P720" s="26"/>
      <c r="Q720" s="26"/>
      <c r="R720" s="26"/>
      <c r="S720" s="26"/>
      <c r="T720" s="26"/>
      <c r="U720" s="26"/>
      <c r="V720" s="26"/>
      <c r="W720" s="26">
        <f>MAX($C$7-VLOOKUP($C720,COS!$B$8:$H$991,3,FALSE),0)</f>
        <v>1269.6640625</v>
      </c>
      <c r="X720" s="26">
        <f t="shared" si="1086"/>
        <v>78.068600206611578</v>
      </c>
      <c r="Y720" s="26">
        <f>VLOOKUP($C720,COS!$B$8:$H$991,4,FALSE)</f>
        <v>0</v>
      </c>
      <c r="Z720" s="26">
        <f t="shared" si="1087"/>
        <v>0</v>
      </c>
      <c r="AA720" s="26">
        <f t="shared" ref="AA720:AA724" si="1159">MIN(W720,Y720)</f>
        <v>0</v>
      </c>
      <c r="AB720" s="33">
        <f t="shared" ref="AB720:AB742" si="1160">AA720*DAY($C720)*86400/43560/1000*IF(MONTH($C720)=8,$P$3,IF(MONTH($C720)=9,$P$4,IF(MONTH($C720)=10,$P$5,IF(MONTH($C720)=11,$P$6,IF(MONTH($C720)=12,$P$7,NA())))))</f>
        <v>0</v>
      </c>
    </row>
    <row r="721" spans="1:28" x14ac:dyDescent="0.3">
      <c r="A721" s="32">
        <f>VLOOKUP(YEAR(C721),Flags!$A$13:$B$95,2,FALSE)</f>
        <v>2</v>
      </c>
      <c r="B721" s="24">
        <f t="shared" si="1157"/>
        <v>2000</v>
      </c>
      <c r="C721" s="25">
        <v>36799</v>
      </c>
      <c r="D721" s="26"/>
      <c r="E721" s="24"/>
      <c r="F721" s="26"/>
      <c r="G721" s="24"/>
      <c r="H721" s="24"/>
      <c r="I721" s="26"/>
      <c r="J721" s="24"/>
      <c r="K721" s="26">
        <f>VLOOKUP($C721,COS!$B$8:$H$991,2,FALSE)</f>
        <v>2897.057861328125</v>
      </c>
      <c r="L721" s="24">
        <f t="shared" ref="L721" si="1161">IF(AND(K721&gt;$I$7,K721&lt;$I$8),1,0)</f>
        <v>1</v>
      </c>
      <c r="M721" s="24"/>
      <c r="N721" s="26"/>
      <c r="O721" s="26"/>
      <c r="P721" s="26"/>
      <c r="Q721" s="26"/>
      <c r="R721" s="26"/>
      <c r="S721" s="26"/>
      <c r="T721" s="26"/>
      <c r="U721" s="26"/>
      <c r="V721" s="26"/>
      <c r="W721" s="26">
        <f>MAX($C$8-VLOOKUP($C721,COS!$B$8:$H$991,3,FALSE),0)</f>
        <v>0</v>
      </c>
      <c r="X721" s="26">
        <f t="shared" si="1086"/>
        <v>0</v>
      </c>
      <c r="Y721" s="26">
        <f>VLOOKUP($C721,COS!$B$8:$H$991,4,FALSE)</f>
        <v>0</v>
      </c>
      <c r="Z721" s="26">
        <f t="shared" si="1087"/>
        <v>0</v>
      </c>
      <c r="AA721" s="26">
        <f t="shared" si="1159"/>
        <v>0</v>
      </c>
      <c r="AB721" s="33">
        <f t="shared" si="1160"/>
        <v>0</v>
      </c>
    </row>
    <row r="722" spans="1:28" x14ac:dyDescent="0.3">
      <c r="A722" s="32">
        <f>VLOOKUP(YEAR(C722),Flags!$A$13:$B$95,2,FALSE)</f>
        <v>2</v>
      </c>
      <c r="B722" s="24">
        <f t="shared" si="1157"/>
        <v>2000</v>
      </c>
      <c r="C722" s="25">
        <v>36830</v>
      </c>
      <c r="D722" s="26"/>
      <c r="E722" s="24"/>
      <c r="F722" s="26"/>
      <c r="G722" s="26"/>
      <c r="H722" s="26"/>
      <c r="I722" s="26"/>
      <c r="J722" s="26"/>
      <c r="K722" s="26"/>
      <c r="L722" s="24"/>
      <c r="M722" s="24"/>
      <c r="N722" s="26"/>
      <c r="O722" s="26"/>
      <c r="P722" s="26"/>
      <c r="Q722" s="26"/>
      <c r="R722" s="26"/>
      <c r="S722" s="26"/>
      <c r="T722" s="26"/>
      <c r="U722" s="26"/>
      <c r="V722" s="26"/>
      <c r="W722" s="26">
        <f>MAX($C$9-VLOOKUP($C722,COS!$B$8:$H$991,3,FALSE),0)</f>
        <v>0</v>
      </c>
      <c r="X722" s="26">
        <f t="shared" si="1086"/>
        <v>0</v>
      </c>
      <c r="Y722" s="26">
        <f>VLOOKUP($C722,COS!$B$8:$H$991,4,FALSE)</f>
        <v>877.78619384765625</v>
      </c>
      <c r="Z722" s="26">
        <f t="shared" si="1087"/>
        <v>53.972969274599684</v>
      </c>
      <c r="AA722" s="26">
        <f t="shared" si="1159"/>
        <v>0</v>
      </c>
      <c r="AB722" s="33">
        <f t="shared" si="1160"/>
        <v>0</v>
      </c>
    </row>
    <row r="723" spans="1:28" x14ac:dyDescent="0.3">
      <c r="A723" s="32">
        <f>VLOOKUP(YEAR(C723),Flags!$A$13:$B$95,2,FALSE)</f>
        <v>2</v>
      </c>
      <c r="B723" s="24">
        <f t="shared" si="1157"/>
        <v>2000</v>
      </c>
      <c r="C723" s="25">
        <v>36860</v>
      </c>
      <c r="D723" s="26"/>
      <c r="E723" s="24"/>
      <c r="F723" s="26"/>
      <c r="G723" s="26"/>
      <c r="H723" s="26"/>
      <c r="I723" s="26"/>
      <c r="J723" s="26"/>
      <c r="K723" s="26"/>
      <c r="L723" s="24"/>
      <c r="M723" s="24"/>
      <c r="N723" s="26"/>
      <c r="O723" s="26"/>
      <c r="P723" s="26"/>
      <c r="Q723" s="26"/>
      <c r="R723" s="26"/>
      <c r="S723" s="26"/>
      <c r="T723" s="26"/>
      <c r="U723" s="26"/>
      <c r="V723" s="26"/>
      <c r="W723" s="26">
        <f>MAX($C$10-VLOOKUP($C723,COS!$B$8:$H$991,3,FALSE),0)</f>
        <v>0</v>
      </c>
      <c r="X723" s="26">
        <f t="shared" si="1086"/>
        <v>0</v>
      </c>
      <c r="Y723" s="26">
        <f>VLOOKUP($C723,COS!$B$8:$H$991,4,FALSE)</f>
        <v>1047.9903564453125</v>
      </c>
      <c r="Z723" s="26">
        <f t="shared" si="1087"/>
        <v>62.359756747159089</v>
      </c>
      <c r="AA723" s="26">
        <f t="shared" si="1159"/>
        <v>0</v>
      </c>
      <c r="AB723" s="33">
        <f t="shared" si="1160"/>
        <v>0</v>
      </c>
    </row>
    <row r="724" spans="1:28" x14ac:dyDescent="0.3">
      <c r="A724" s="34">
        <f>VLOOKUP(YEAR(C724),Flags!$A$13:$B$95,2,FALSE)</f>
        <v>2</v>
      </c>
      <c r="B724" s="35">
        <f t="shared" si="1157"/>
        <v>2000</v>
      </c>
      <c r="C724" s="36">
        <v>36891</v>
      </c>
      <c r="D724" s="37"/>
      <c r="E724" s="35"/>
      <c r="F724" s="37"/>
      <c r="G724" s="37"/>
      <c r="H724" s="37"/>
      <c r="I724" s="37"/>
      <c r="J724" s="37"/>
      <c r="K724" s="37"/>
      <c r="L724" s="35"/>
      <c r="M724" s="35"/>
      <c r="N724" s="37"/>
      <c r="O724" s="37"/>
      <c r="P724" s="37"/>
      <c r="Q724" s="37"/>
      <c r="R724" s="37"/>
      <c r="S724" s="37"/>
      <c r="T724" s="37"/>
      <c r="U724" s="37"/>
      <c r="V724" s="37"/>
      <c r="W724" s="37">
        <f>MAX($C$11-VLOOKUP($C724,COS!$B$8:$H$991,3,FALSE),0)</f>
        <v>0</v>
      </c>
      <c r="X724" s="37">
        <f t="shared" si="1086"/>
        <v>0</v>
      </c>
      <c r="Y724" s="37">
        <f>VLOOKUP($C724,COS!$B$8:$H$991,4,FALSE)</f>
        <v>1045.7059326171875</v>
      </c>
      <c r="Z724" s="37">
        <f t="shared" si="1087"/>
        <v>64.297951559271695</v>
      </c>
      <c r="AA724" s="37">
        <f t="shared" si="1159"/>
        <v>0</v>
      </c>
      <c r="AB724" s="38">
        <f t="shared" si="1160"/>
        <v>0</v>
      </c>
    </row>
    <row r="725" spans="1:28" x14ac:dyDescent="0.3">
      <c r="A725" s="27">
        <f>VLOOKUP(YEAR(C725),Flags!$A$13:$B$95,2,FALSE)</f>
        <v>4</v>
      </c>
      <c r="B725" s="28">
        <f t="shared" si="1157"/>
        <v>2001</v>
      </c>
      <c r="C725" s="29">
        <v>37011</v>
      </c>
      <c r="D725" s="30">
        <f>VLOOKUP($C725,COS!$B$8:$H$991,3,FALSE)</f>
        <v>3250</v>
      </c>
      <c r="E725" s="28">
        <f>IF(D725&gt;=IF(MONTH($C725)=4,$C$3,IF(MONTH($C725)=5,$C$4,IF(MONTH($C725)=6,$C$5,IF(MONTH($C725)=7,$C$6,"ERROR")))),1,0)</f>
        <v>0</v>
      </c>
      <c r="F725" s="30">
        <f>VLOOKUP($C725,COS!$B$8:$H$991,7,FALSE)</f>
        <v>51.856029510498047</v>
      </c>
      <c r="G725" s="28">
        <f>IF(F725&lt;=IF(MONTH($C725)=4,$F$3,IF(MONTH($C725)=5,$F$4,IF(MONTH($C725)=6,$F$5,IF(MONTH($C725)=7,$F$6,"ERROR")))),1,0)</f>
        <v>1</v>
      </c>
      <c r="H725" s="30">
        <f>IF(J725=1,D725-$C$3,0)</f>
        <v>0</v>
      </c>
      <c r="I725" s="30">
        <f t="shared" si="1083"/>
        <v>0</v>
      </c>
      <c r="J725" s="28">
        <f t="shared" ref="J725:J728" si="1162">IF(AND(E725=1,G725=1),1,0)</f>
        <v>0</v>
      </c>
      <c r="K725" s="30">
        <f>VLOOKUP($C725,COS!$B$8:$H$991,2,FALSE)</f>
        <v>3754.83837890625</v>
      </c>
      <c r="L725" s="28">
        <f t="shared" ref="L725" si="1163">IF(K725&lt;=IF(MONTH($C725)=4,$I$3,IF(MONTH($C725)=5,$I$4,IF(MONTH($C725)=6,$I$5,IF(MONTH($C725)=7,$I$6,"ERROR")))),1,0)</f>
        <v>1</v>
      </c>
      <c r="M725" s="28">
        <f t="shared" ref="M725" si="1164">VLOOKUP($A725,$L$3:$M$7,2,FALSE)</f>
        <v>1</v>
      </c>
      <c r="N725" s="30">
        <f>VLOOKUP($C725,COS!$B$8:$H$991,5,FALSE)</f>
        <v>153.87185668945313</v>
      </c>
      <c r="O725" s="30">
        <f t="shared" ref="O725:O728" si="1165">N725*DAY($C725)*86400/43560/1000</f>
        <v>9.1560113071410125</v>
      </c>
      <c r="P725" s="30">
        <f>VLOOKUP($C725,COS!$B$8:$H$991,6,FALSE)</f>
        <v>425.27017211914063</v>
      </c>
      <c r="Q725" s="30">
        <f t="shared" ref="Q725:Q728" si="1166">P725*DAY($C725)*86400/43560/1000</f>
        <v>25.305332555849692</v>
      </c>
      <c r="R725" s="30">
        <f>MIN(IF(MONTH($C725)=4,$S$3,IF(MONTH($C725)=5,$S$4,IF(MONTH($C725)=6,$S$5,IF(MONTH($C725)=7,$S$6,"ERROR")))),MAX(VLOOKUP($C725,COS!$B$8:$K$991,10,FALSE)-IF(MONTH($C725)=4,$Y$3,IF(MONTH($C725)=5,$Y$4,IF(MONTH($C725)=6,$Y$5,IF(MONTH($C725)=7,$Y$6,"ERROR")))),0),MAX(VLOOKUP($C725,COS!$B$8:$K$991,9,FALSE)-IF(MONTH($C725)=4,$V$3,IF(MONTH($C725)=5,$V$4,IF(MONTH($C725)=6,$V$5,IF(MONTH($C725)=7,$V$6,"ERROR"))))-VLOOKUP($C725,COS!$B$8:$K$991,6,FALSE)/2,0))</f>
        <v>1418.6572265625</v>
      </c>
      <c r="S725" s="30">
        <f t="shared" ref="S725:S728" si="1167">R725*DAY($C725)*86400/43560/1000</f>
        <v>84.415967200413235</v>
      </c>
      <c r="T725" s="30">
        <f t="shared" ref="T725:T728" si="1168">(O725+Q725)/2+S725</f>
        <v>101.64663913190859</v>
      </c>
      <c r="U725" s="30" t="str">
        <f>IF(VLOOKUP($C725,COS!$B$8:$I$991,8,FALSE)=1,"UWFE","IBU")</f>
        <v>UWFE</v>
      </c>
      <c r="V725" s="30">
        <f t="shared" ref="V725" si="1169">MIN(IF(IF($AA$3=2,AND(E725=1,G725=1,L725=1,L730=1,M725=1,U725="IBU"),AND(E725=1,G725=1,L725=1,L730=1,M725=1)),T725,0),I725)</f>
        <v>0</v>
      </c>
      <c r="W725" s="30"/>
      <c r="X725" s="30"/>
      <c r="Y725" s="30"/>
      <c r="Z725" s="30"/>
      <c r="AA725" s="30"/>
      <c r="AB725" s="31"/>
    </row>
    <row r="726" spans="1:28" x14ac:dyDescent="0.3">
      <c r="A726" s="32">
        <f>VLOOKUP(YEAR(C726),Flags!$A$13:$B$95,2,FALSE)</f>
        <v>4</v>
      </c>
      <c r="B726" s="24">
        <f t="shared" si="1157"/>
        <v>2001</v>
      </c>
      <c r="C726" s="25">
        <v>37042</v>
      </c>
      <c r="D726" s="26">
        <f>VLOOKUP($C726,COS!$B$8:$H$991,3,FALSE)</f>
        <v>9349.091796875</v>
      </c>
      <c r="E726" s="24">
        <f>IF(D726&gt;=IF(MONTH($C726)=4,$C$3,IF(MONTH($C726)=5,$C$4,IF(MONTH($C726)=6,$C$5,IF(MONTH($C726)=7,$C$6,"ERROR")))),1,0)</f>
        <v>1</v>
      </c>
      <c r="F726" s="26">
        <f>VLOOKUP($C726,COS!$B$8:$H$991,7,FALSE)</f>
        <v>51.669788360595703</v>
      </c>
      <c r="G726" s="24">
        <f>IF(F726&lt;=IF(MONTH($C726)=4,$F$3,IF(MONTH($C726)=5,$F$4,IF(MONTH($C726)=6,$F$5,IF(MONTH($C726)=7,$F$6,"ERROR")))),1,0)</f>
        <v>1</v>
      </c>
      <c r="H726" s="26">
        <f>IF(J726=1,D726-$C$4,0)</f>
        <v>3349.091796875</v>
      </c>
      <c r="I726" s="26">
        <f t="shared" si="1083"/>
        <v>205.92762784090908</v>
      </c>
      <c r="J726" s="24">
        <f t="shared" si="1162"/>
        <v>1</v>
      </c>
      <c r="K726" s="26">
        <f>VLOOKUP($C726,COS!$B$8:$H$991,2,FALSE)</f>
        <v>3513.1181640625</v>
      </c>
      <c r="L726" s="24">
        <f t="shared" si="1148"/>
        <v>1</v>
      </c>
      <c r="M726" s="24">
        <f t="shared" si="1149"/>
        <v>1</v>
      </c>
      <c r="N726" s="26">
        <f>VLOOKUP($C726,COS!$B$8:$H$991,5,FALSE)</f>
        <v>131.51080322265625</v>
      </c>
      <c r="O726" s="26">
        <f t="shared" si="1165"/>
        <v>8.0862840989798546</v>
      </c>
      <c r="P726" s="26">
        <f>VLOOKUP($C726,COS!$B$8:$H$991,6,FALSE)</f>
        <v>2330.0556640625</v>
      </c>
      <c r="Q726" s="26">
        <f t="shared" si="1166"/>
        <v>143.26953835227275</v>
      </c>
      <c r="R726" s="26">
        <f>MIN(IF(MONTH($C726)=4,$S$3,IF(MONTH($C726)=5,$S$4,IF(MONTH($C726)=6,$S$5,IF(MONTH($C726)=7,$S$6,"ERROR")))),MAX(VLOOKUP($C726,COS!$B$8:$K$991,10,FALSE)-IF(MONTH($C726)=4,$Y$3,IF(MONTH($C726)=5,$Y$4,IF(MONTH($C726)=6,$Y$5,IF(MONTH($C726)=7,$Y$6,"ERROR")))),0),MAX(VLOOKUP($C726,COS!$B$8:$K$991,9,FALSE)-IF(MONTH($C726)=4,$V$3,IF(MONTH($C726)=5,$V$4,IF(MONTH($C726)=6,$V$5,IF(MONTH($C726)=7,$V$6,"ERROR"))))-VLOOKUP($C726,COS!$B$8:$K$991,6,FALSE)/2,0))</f>
        <v>1500</v>
      </c>
      <c r="S726" s="26">
        <f t="shared" si="1167"/>
        <v>92.231404958677686</v>
      </c>
      <c r="T726" s="26">
        <f t="shared" si="1168"/>
        <v>167.90931618430398</v>
      </c>
      <c r="U726" s="26" t="str">
        <f>IF(VLOOKUP($C726,COS!$B$8:$I$991,8,FALSE)=1,"UWFE","IBU")</f>
        <v>IBU</v>
      </c>
      <c r="V726" s="26">
        <f t="shared" ref="V726" si="1170">MIN(IF(IF($AA$3=2,AND(E726=1,G726=1,L726=1,L730=1,M726=1,U726="IBU"),AND(E726=1,G726=1,L726=1,L730=1,M726=1)),T726,0),I726)</f>
        <v>167.90931618430398</v>
      </c>
      <c r="W726" s="26"/>
      <c r="X726" s="26"/>
      <c r="Y726" s="26"/>
      <c r="Z726" s="26"/>
      <c r="AA726" s="26"/>
      <c r="AB726" s="33"/>
    </row>
    <row r="727" spans="1:28" x14ac:dyDescent="0.3">
      <c r="A727" s="32">
        <f>VLOOKUP(YEAR(C727),Flags!$A$13:$B$95,2,FALSE)</f>
        <v>4</v>
      </c>
      <c r="B727" s="24">
        <f t="shared" si="1157"/>
        <v>2001</v>
      </c>
      <c r="C727" s="25">
        <v>37072</v>
      </c>
      <c r="D727" s="26">
        <f>VLOOKUP($C727,COS!$B$8:$H$991,3,FALSE)</f>
        <v>13580.42578125</v>
      </c>
      <c r="E727" s="24">
        <f>IF(D727&gt;=IF(MONTH($C727)=4,$C$3,IF(MONTH($C727)=5,$C$4,IF(MONTH($C727)=6,$C$5,IF(MONTH($C727)=7,$C$6,"ERROR")))),1,0)</f>
        <v>1</v>
      </c>
      <c r="F727" s="26">
        <f>VLOOKUP($C727,COS!$B$8:$H$991,7,FALSE)</f>
        <v>52.129489898681641</v>
      </c>
      <c r="G727" s="24">
        <f>IF(F727&lt;=IF(MONTH($C727)=4,$F$3,IF(MONTH($C727)=5,$F$4,IF(MONTH($C727)=6,$F$5,IF(MONTH($C727)=7,$F$6,"ERROR")))),1,0)</f>
        <v>1</v>
      </c>
      <c r="H727" s="26">
        <f>IF(J727=1,D727-$C$5,0)</f>
        <v>3580.42578125</v>
      </c>
      <c r="I727" s="26">
        <f t="shared" si="1083"/>
        <v>213.0501291322314</v>
      </c>
      <c r="J727" s="24">
        <f t="shared" si="1162"/>
        <v>1</v>
      </c>
      <c r="K727" s="26">
        <f>VLOOKUP($C727,COS!$B$8:$H$991,2,FALSE)</f>
        <v>3084.426025390625</v>
      </c>
      <c r="L727" s="24">
        <f t="shared" si="1148"/>
        <v>1</v>
      </c>
      <c r="M727" s="24">
        <f t="shared" si="1149"/>
        <v>1</v>
      </c>
      <c r="N727" s="26">
        <f>VLOOKUP($C727,COS!$B$8:$H$991,5,FALSE)</f>
        <v>341.73458862304688</v>
      </c>
      <c r="O727" s="26">
        <f t="shared" si="1165"/>
        <v>20.334620149470556</v>
      </c>
      <c r="P727" s="26">
        <f>VLOOKUP($C727,COS!$B$8:$H$991,6,FALSE)</f>
        <v>2635.120849609375</v>
      </c>
      <c r="Q727" s="26">
        <f t="shared" si="1166"/>
        <v>156.80057948088844</v>
      </c>
      <c r="R727" s="26">
        <f>MIN(IF(MONTH($C727)=4,$S$3,IF(MONTH($C727)=5,$S$4,IF(MONTH($C727)=6,$S$5,IF(MONTH($C727)=7,$S$6,"ERROR")))),MAX(VLOOKUP($C727,COS!$B$8:$K$991,10,FALSE)-IF(MONTH($C727)=4,$Y$3,IF(MONTH($C727)=5,$Y$4,IF(MONTH($C727)=6,$Y$5,IF(MONTH($C727)=7,$Y$6,"ERROR")))),0),MAX(VLOOKUP($C727,COS!$B$8:$K$991,9,FALSE)-IF(MONTH($C727)=4,$V$3,IF(MONTH($C727)=5,$V$4,IF(MONTH($C727)=6,$V$5,IF(MONTH($C727)=7,$V$6,"ERROR"))))-VLOOKUP($C727,COS!$B$8:$K$991,6,FALSE)/2,0))</f>
        <v>1500</v>
      </c>
      <c r="S727" s="26">
        <f t="shared" si="1167"/>
        <v>89.256198347107429</v>
      </c>
      <c r="T727" s="26">
        <f t="shared" si="1168"/>
        <v>177.82379816228695</v>
      </c>
      <c r="U727" s="26" t="str">
        <f>IF(VLOOKUP($C727,COS!$B$8:$I$991,8,FALSE)=1,"UWFE","IBU")</f>
        <v>IBU</v>
      </c>
      <c r="V727" s="26">
        <f t="shared" ref="V727" si="1171">MIN(IF(IF($AA$3=2,AND(E727=1,G727=1,L727=1,L730=1,M727=1,U727="IBU"),AND(E727=1,G727=1,L727=1,L730=1,M727=1)),T727,0),I727)</f>
        <v>177.82379816228695</v>
      </c>
      <c r="W727" s="26"/>
      <c r="X727" s="26"/>
      <c r="Y727" s="26"/>
      <c r="Z727" s="26"/>
      <c r="AA727" s="26"/>
      <c r="AB727" s="33"/>
    </row>
    <row r="728" spans="1:28" x14ac:dyDescent="0.3">
      <c r="A728" s="32">
        <f>VLOOKUP(YEAR(C728),Flags!$A$13:$B$95,2,FALSE)</f>
        <v>4</v>
      </c>
      <c r="B728" s="24">
        <f t="shared" si="1157"/>
        <v>2001</v>
      </c>
      <c r="C728" s="25">
        <v>37103</v>
      </c>
      <c r="D728" s="26">
        <f>VLOOKUP($C728,COS!$B$8:$H$991,3,FALSE)</f>
        <v>11758.25</v>
      </c>
      <c r="E728" s="24">
        <f>IF(D728&gt;=IF(MONTH($C728)=4,$C$3,IF(MONTH($C728)=5,$C$4,IF(MONTH($C728)=6,$C$5,IF(MONTH($C728)=7,$C$6,"ERROR")))),1,0)</f>
        <v>0</v>
      </c>
      <c r="F728" s="26">
        <f>VLOOKUP($C728,COS!$B$8:$H$991,7,FALSE)</f>
        <v>54.356548309326172</v>
      </c>
      <c r="G728" s="24">
        <f>IF(F728&lt;=IF(MONTH($C728)=4,$F$3,IF(MONTH($C728)=5,$F$4,IF(MONTH($C728)=6,$F$5,IF(MONTH($C728)=7,$F$6,"ERROR")))),1,0)</f>
        <v>0</v>
      </c>
      <c r="H728" s="26">
        <f>IF(J728=1,D728-$C$6,0)</f>
        <v>0</v>
      </c>
      <c r="I728" s="26">
        <f t="shared" si="1083"/>
        <v>0</v>
      </c>
      <c r="J728" s="24">
        <f t="shared" si="1162"/>
        <v>0</v>
      </c>
      <c r="K728" s="26">
        <f>VLOOKUP($C728,COS!$B$8:$H$991,2,FALSE)</f>
        <v>2758.937255859375</v>
      </c>
      <c r="L728" s="24">
        <f t="shared" si="1148"/>
        <v>1</v>
      </c>
      <c r="M728" s="24">
        <f t="shared" si="1149"/>
        <v>1</v>
      </c>
      <c r="N728" s="26">
        <f>VLOOKUP($C728,COS!$B$8:$H$991,5,FALSE)</f>
        <v>395.15768432617188</v>
      </c>
      <c r="O728" s="26">
        <f t="shared" si="1165"/>
        <v>24.297298937080321</v>
      </c>
      <c r="P728" s="26">
        <f>VLOOKUP($C728,COS!$B$8:$H$991,6,FALSE)</f>
        <v>2538.07568359375</v>
      </c>
      <c r="Q728" s="26">
        <f t="shared" si="1166"/>
        <v>156.06019079287191</v>
      </c>
      <c r="R728" s="26">
        <f>MIN(IF(MONTH($C728)=4,$S$3,IF(MONTH($C728)=5,$S$4,IF(MONTH($C728)=6,$S$5,IF(MONTH($C728)=7,$S$6,"ERROR")))),MAX(VLOOKUP($C728,COS!$B$8:$K$991,10,FALSE)-IF(MONTH($C728)=4,$Y$3,IF(MONTH($C728)=5,$Y$4,IF(MONTH($C728)=6,$Y$5,IF(MONTH($C728)=7,$Y$6,"ERROR")))),0),MAX(VLOOKUP($C728,COS!$B$8:$K$991,9,FALSE)-IF(MONTH($C728)=4,$V$3,IF(MONTH($C728)=5,$V$4,IF(MONTH($C728)=6,$V$5,IF(MONTH($C728)=7,$V$6,"ERROR"))))-VLOOKUP($C728,COS!$B$8:$K$991,6,FALSE)/2,0))</f>
        <v>1500</v>
      </c>
      <c r="S728" s="26">
        <f t="shared" si="1167"/>
        <v>92.231404958677686</v>
      </c>
      <c r="T728" s="26">
        <f t="shared" si="1168"/>
        <v>182.4101498236538</v>
      </c>
      <c r="U728" s="26" t="str">
        <f>IF(VLOOKUP($C728,COS!$B$8:$I$991,8,FALSE)=1,"UWFE","IBU")</f>
        <v>IBU</v>
      </c>
      <c r="V728" s="26">
        <f t="shared" ref="V728" si="1172">MIN(IF(IF($AA$3=2,AND(E728=1,G728=1,L728=1,L730=1,M728=1,U728="IBU"),AND(E728=1,G728=1,L728=1,L730=1,M728=1)),T728,0),I728)</f>
        <v>0</v>
      </c>
      <c r="W728" s="26"/>
      <c r="X728" s="26"/>
      <c r="Y728" s="26"/>
      <c r="Z728" s="26"/>
      <c r="AA728" s="26"/>
      <c r="AB728" s="33"/>
    </row>
    <row r="729" spans="1:28" x14ac:dyDescent="0.3">
      <c r="A729" s="32">
        <f>VLOOKUP(YEAR(C729),Flags!$A$13:$B$95,2,FALSE)</f>
        <v>4</v>
      </c>
      <c r="B729" s="24">
        <f t="shared" si="1157"/>
        <v>2001</v>
      </c>
      <c r="C729" s="25">
        <v>37134</v>
      </c>
      <c r="D729" s="26"/>
      <c r="E729" s="24"/>
      <c r="F729" s="26"/>
      <c r="G729" s="24"/>
      <c r="H729" s="24"/>
      <c r="I729" s="26"/>
      <c r="J729" s="24"/>
      <c r="K729" s="26"/>
      <c r="L729" s="24"/>
      <c r="M729" s="24"/>
      <c r="N729" s="26"/>
      <c r="O729" s="26"/>
      <c r="P729" s="26"/>
      <c r="Q729" s="26"/>
      <c r="R729" s="26"/>
      <c r="S729" s="26"/>
      <c r="T729" s="26"/>
      <c r="U729" s="26"/>
      <c r="V729" s="26"/>
      <c r="W729" s="26">
        <f>MAX($C$7-VLOOKUP($C729,COS!$B$8:$H$991,3,FALSE),0)</f>
        <v>4243.5517578125</v>
      </c>
      <c r="X729" s="26">
        <f t="shared" si="1086"/>
        <v>260.92582709194215</v>
      </c>
      <c r="Y729" s="26">
        <f>VLOOKUP($C729,COS!$B$8:$H$991,4,FALSE)</f>
        <v>2668.290283203125</v>
      </c>
      <c r="Z729" s="26">
        <f t="shared" si="1087"/>
        <v>164.06677443827479</v>
      </c>
      <c r="AA729" s="26">
        <f t="shared" ref="AA729:AA733" si="1173">MIN(W729,Y729)</f>
        <v>2668.290283203125</v>
      </c>
      <c r="AB729" s="33">
        <f t="shared" ref="AB729" si="1174">AA729*DAY($C729)*86400/43560/1000*IF(MONTH($C729)=8,$P$3,IF(MONTH($C729)=9,$P$4,IF(MONTH($C729)=10,$P$5,IF(MONTH($C729)=11,$P$6,IF(MONTH($C729)=12,$P$7,NA())))))</f>
        <v>164.06677443827479</v>
      </c>
    </row>
    <row r="730" spans="1:28" x14ac:dyDescent="0.3">
      <c r="A730" s="32">
        <f>VLOOKUP(YEAR(C730),Flags!$A$13:$B$95,2,FALSE)</f>
        <v>4</v>
      </c>
      <c r="B730" s="24">
        <f t="shared" si="1157"/>
        <v>2001</v>
      </c>
      <c r="C730" s="25">
        <v>37164</v>
      </c>
      <c r="D730" s="26"/>
      <c r="E730" s="24"/>
      <c r="F730" s="26"/>
      <c r="G730" s="24"/>
      <c r="H730" s="24"/>
      <c r="I730" s="26"/>
      <c r="J730" s="24"/>
      <c r="K730" s="26">
        <f>VLOOKUP($C730,COS!$B$8:$H$991,2,FALSE)</f>
        <v>2536.139892578125</v>
      </c>
      <c r="L730" s="24">
        <f t="shared" ref="L730" si="1175">IF(AND(K730&gt;$I$7,K730&lt;$I$8),1,0)</f>
        <v>1</v>
      </c>
      <c r="M730" s="24"/>
      <c r="N730" s="26"/>
      <c r="O730" s="26"/>
      <c r="P730" s="26"/>
      <c r="Q730" s="26"/>
      <c r="R730" s="26"/>
      <c r="S730" s="26"/>
      <c r="T730" s="26"/>
      <c r="U730" s="26"/>
      <c r="V730" s="26"/>
      <c r="W730" s="26">
        <f>MAX($C$8-VLOOKUP($C730,COS!$B$8:$H$991,3,FALSE),0)</f>
        <v>658.2197265625</v>
      </c>
      <c r="X730" s="26">
        <f t="shared" si="1086"/>
        <v>39.166793646694209</v>
      </c>
      <c r="Y730" s="26">
        <f>VLOOKUP($C730,COS!$B$8:$H$991,4,FALSE)</f>
        <v>1212.2628173828125</v>
      </c>
      <c r="Z730" s="26">
        <f t="shared" si="1087"/>
        <v>72.134646984762398</v>
      </c>
      <c r="AA730" s="26">
        <f t="shared" si="1173"/>
        <v>658.2197265625</v>
      </c>
      <c r="AB730" s="33">
        <f t="shared" si="1160"/>
        <v>39.166793646694209</v>
      </c>
    </row>
    <row r="731" spans="1:28" x14ac:dyDescent="0.3">
      <c r="A731" s="32">
        <f>VLOOKUP(YEAR(C731),Flags!$A$13:$B$95,2,FALSE)</f>
        <v>4</v>
      </c>
      <c r="B731" s="24">
        <f t="shared" si="1157"/>
        <v>2001</v>
      </c>
      <c r="C731" s="25">
        <v>37195</v>
      </c>
      <c r="D731" s="26"/>
      <c r="E731" s="24"/>
      <c r="F731" s="26"/>
      <c r="G731" s="26"/>
      <c r="H731" s="26"/>
      <c r="I731" s="26"/>
      <c r="J731" s="26"/>
      <c r="K731" s="26"/>
      <c r="L731" s="24"/>
      <c r="M731" s="24"/>
      <c r="N731" s="26"/>
      <c r="O731" s="26"/>
      <c r="P731" s="26"/>
      <c r="Q731" s="26"/>
      <c r="R731" s="26"/>
      <c r="S731" s="26"/>
      <c r="T731" s="26"/>
      <c r="U731" s="26"/>
      <c r="V731" s="26"/>
      <c r="W731" s="26">
        <f>MAX($C$9-VLOOKUP($C731,COS!$B$8:$H$991,3,FALSE),0)</f>
        <v>0</v>
      </c>
      <c r="X731" s="26">
        <f t="shared" si="1086"/>
        <v>0</v>
      </c>
      <c r="Y731" s="26">
        <f>VLOOKUP($C731,COS!$B$8:$H$991,4,FALSE)</f>
        <v>1937.2271728515625</v>
      </c>
      <c r="Z731" s="26">
        <f t="shared" si="1087"/>
        <v>119.11545591748451</v>
      </c>
      <c r="AA731" s="26">
        <f t="shared" si="1173"/>
        <v>0</v>
      </c>
      <c r="AB731" s="33">
        <f t="shared" si="1160"/>
        <v>0</v>
      </c>
    </row>
    <row r="732" spans="1:28" x14ac:dyDescent="0.3">
      <c r="A732" s="32">
        <f>VLOOKUP(YEAR(C732),Flags!$A$13:$B$95,2,FALSE)</f>
        <v>4</v>
      </c>
      <c r="B732" s="24">
        <f t="shared" si="1157"/>
        <v>2001</v>
      </c>
      <c r="C732" s="25">
        <v>37225</v>
      </c>
      <c r="D732" s="26"/>
      <c r="E732" s="24"/>
      <c r="F732" s="26"/>
      <c r="G732" s="26"/>
      <c r="H732" s="26"/>
      <c r="I732" s="26"/>
      <c r="J732" s="26"/>
      <c r="K732" s="26"/>
      <c r="L732" s="24"/>
      <c r="M732" s="24"/>
      <c r="N732" s="26"/>
      <c r="O732" s="26"/>
      <c r="P732" s="26"/>
      <c r="Q732" s="26"/>
      <c r="R732" s="26"/>
      <c r="S732" s="26"/>
      <c r="T732" s="26"/>
      <c r="U732" s="26"/>
      <c r="V732" s="26"/>
      <c r="W732" s="26">
        <f>MAX($C$10-VLOOKUP($C732,COS!$B$8:$H$991,3,FALSE),0)</f>
        <v>1750</v>
      </c>
      <c r="X732" s="26">
        <f t="shared" si="1086"/>
        <v>104.13223140495867</v>
      </c>
      <c r="Y732" s="26">
        <f>VLOOKUP($C732,COS!$B$8:$H$991,4,FALSE)</f>
        <v>1367.04638671875</v>
      </c>
      <c r="Z732" s="26">
        <f t="shared" si="1087"/>
        <v>81.344908961776866</v>
      </c>
      <c r="AA732" s="26">
        <f t="shared" si="1173"/>
        <v>1367.04638671875</v>
      </c>
      <c r="AB732" s="33">
        <f t="shared" si="1160"/>
        <v>81.344908961776866</v>
      </c>
    </row>
    <row r="733" spans="1:28" x14ac:dyDescent="0.3">
      <c r="A733" s="34">
        <f>VLOOKUP(YEAR(C733),Flags!$A$13:$B$95,2,FALSE)</f>
        <v>4</v>
      </c>
      <c r="B733" s="35">
        <f t="shared" si="1157"/>
        <v>2001</v>
      </c>
      <c r="C733" s="36">
        <v>37256</v>
      </c>
      <c r="D733" s="37"/>
      <c r="E733" s="35"/>
      <c r="F733" s="37"/>
      <c r="G733" s="37"/>
      <c r="H733" s="37"/>
      <c r="I733" s="37"/>
      <c r="J733" s="37"/>
      <c r="K733" s="37"/>
      <c r="L733" s="35"/>
      <c r="M733" s="35"/>
      <c r="N733" s="37"/>
      <c r="O733" s="37"/>
      <c r="P733" s="37"/>
      <c r="Q733" s="37"/>
      <c r="R733" s="37"/>
      <c r="S733" s="37"/>
      <c r="T733" s="37"/>
      <c r="U733" s="37"/>
      <c r="V733" s="37"/>
      <c r="W733" s="37">
        <f>MAX($C$11-VLOOKUP($C733,COS!$B$8:$H$991,3,FALSE),0)</f>
        <v>0</v>
      </c>
      <c r="X733" s="37">
        <f t="shared" si="1086"/>
        <v>0</v>
      </c>
      <c r="Y733" s="37">
        <f>VLOOKUP($C733,COS!$B$8:$H$991,4,FALSE)</f>
        <v>0</v>
      </c>
      <c r="Z733" s="37">
        <f t="shared" si="1087"/>
        <v>0</v>
      </c>
      <c r="AA733" s="37">
        <f t="shared" si="1173"/>
        <v>0</v>
      </c>
      <c r="AB733" s="38">
        <f t="shared" si="1160"/>
        <v>0</v>
      </c>
    </row>
    <row r="734" spans="1:28" x14ac:dyDescent="0.3">
      <c r="A734" s="27">
        <f>VLOOKUP(YEAR(C734),Flags!$A$13:$B$95,2,FALSE)</f>
        <v>4</v>
      </c>
      <c r="B734" s="28">
        <f t="shared" si="1157"/>
        <v>2002</v>
      </c>
      <c r="C734" s="29">
        <v>37376</v>
      </c>
      <c r="D734" s="30">
        <f>VLOOKUP($C734,COS!$B$8:$H$991,3,FALSE)</f>
        <v>3790.32568359375</v>
      </c>
      <c r="E734" s="28">
        <f>IF(D734&gt;=IF(MONTH($C734)=4,$C$3,IF(MONTH($C734)=5,$C$4,IF(MONTH($C734)=6,$C$5,IF(MONTH($C734)=7,$C$6,"ERROR")))),1,0)</f>
        <v>0</v>
      </c>
      <c r="F734" s="30">
        <f>VLOOKUP($C734,COS!$B$8:$H$991,7,FALSE)</f>
        <v>51.393619537353516</v>
      </c>
      <c r="G734" s="28">
        <f>IF(F734&lt;=IF(MONTH($C734)=4,$F$3,IF(MONTH($C734)=5,$F$4,IF(MONTH($C734)=6,$F$5,IF(MONTH($C734)=7,$F$6,"ERROR")))),1,0)</f>
        <v>1</v>
      </c>
      <c r="H734" s="30">
        <f>IF(J734=1,D734-$C$3,0)</f>
        <v>0</v>
      </c>
      <c r="I734" s="30">
        <f t="shared" si="1083"/>
        <v>0</v>
      </c>
      <c r="J734" s="28">
        <f t="shared" ref="J734:J737" si="1176">IF(AND(E734=1,G734=1),1,0)</f>
        <v>0</v>
      </c>
      <c r="K734" s="30">
        <f>VLOOKUP($C734,COS!$B$8:$H$991,2,FALSE)</f>
        <v>4552.10009765625</v>
      </c>
      <c r="L734" s="28">
        <f t="shared" ref="L734" si="1177">IF(K734&lt;=IF(MONTH($C734)=4,$I$3,IF(MONTH($C734)=5,$I$4,IF(MONTH($C734)=6,$I$5,IF(MONTH($C734)=7,$I$6,"ERROR")))),1,0)</f>
        <v>1</v>
      </c>
      <c r="M734" s="28">
        <f t="shared" ref="M734" si="1178">VLOOKUP($A734,$L$3:$M$7,2,FALSE)</f>
        <v>1</v>
      </c>
      <c r="N734" s="30">
        <f>VLOOKUP($C734,COS!$B$8:$H$991,5,FALSE)</f>
        <v>592.5997314453125</v>
      </c>
      <c r="O734" s="30">
        <f t="shared" ref="O734:O737" si="1179">N734*DAY($C734)*86400/43560/1000</f>
        <v>35.262132780216938</v>
      </c>
      <c r="P734" s="30">
        <f>VLOOKUP($C734,COS!$B$8:$H$991,6,FALSE)</f>
        <v>570.92694091796875</v>
      </c>
      <c r="Q734" s="30">
        <f t="shared" ref="Q734:Q737" si="1180">P734*DAY($C734)*86400/43560/1000</f>
        <v>33.972512186854338</v>
      </c>
      <c r="R734" s="30">
        <f>MIN(IF(MONTH($C734)=4,$S$3,IF(MONTH($C734)=5,$S$4,IF(MONTH($C734)=6,$S$5,IF(MONTH($C734)=7,$S$6,"ERROR")))),MAX(VLOOKUP($C734,COS!$B$8:$K$991,10,FALSE)-IF(MONTH($C734)=4,$Y$3,IF(MONTH($C734)=5,$Y$4,IF(MONTH($C734)=6,$Y$5,IF(MONTH($C734)=7,$Y$6,"ERROR")))),0),MAX(VLOOKUP($C734,COS!$B$8:$K$991,9,FALSE)-IF(MONTH($C734)=4,$V$3,IF(MONTH($C734)=5,$V$4,IF(MONTH($C734)=6,$V$5,IF(MONTH($C734)=7,$V$6,"ERROR"))))-VLOOKUP($C734,COS!$B$8:$K$991,6,FALSE)/2,0))</f>
        <v>1500</v>
      </c>
      <c r="S734" s="30">
        <f t="shared" ref="S734:S737" si="1181">R734*DAY($C734)*86400/43560/1000</f>
        <v>89.256198347107429</v>
      </c>
      <c r="T734" s="30">
        <f t="shared" ref="T734:T737" si="1182">(O734+Q734)/2+S734</f>
        <v>123.87352083064306</v>
      </c>
      <c r="U734" s="30" t="str">
        <f>IF(VLOOKUP($C734,COS!$B$8:$I$991,8,FALSE)=1,"UWFE","IBU")</f>
        <v>UWFE</v>
      </c>
      <c r="V734" s="30">
        <f t="shared" ref="V734" si="1183">MIN(IF(IF($AA$3=2,AND(E734=1,G734=1,L734=1,L739=1,M734=1,U734="IBU"),AND(E734=1,G734=1,L734=1,L739=1,M734=1)),T734,0),I734)</f>
        <v>0</v>
      </c>
      <c r="W734" s="30"/>
      <c r="X734" s="30"/>
      <c r="Y734" s="30"/>
      <c r="Z734" s="30"/>
      <c r="AA734" s="30"/>
      <c r="AB734" s="31"/>
    </row>
    <row r="735" spans="1:28" x14ac:dyDescent="0.3">
      <c r="A735" s="32">
        <f>VLOOKUP(YEAR(C735),Flags!$A$13:$B$95,2,FALSE)</f>
        <v>4</v>
      </c>
      <c r="B735" s="24">
        <f t="shared" si="1157"/>
        <v>2002</v>
      </c>
      <c r="C735" s="25">
        <v>37407</v>
      </c>
      <c r="D735" s="26">
        <f>VLOOKUP($C735,COS!$B$8:$H$991,3,FALSE)</f>
        <v>8129.60498046875</v>
      </c>
      <c r="E735" s="24">
        <f>IF(D735&gt;=IF(MONTH($C735)=4,$C$3,IF(MONTH($C735)=5,$C$4,IF(MONTH($C735)=6,$C$5,IF(MONTH($C735)=7,$C$6,"ERROR")))),1,0)</f>
        <v>1</v>
      </c>
      <c r="F735" s="26">
        <f>VLOOKUP($C735,COS!$B$8:$H$991,7,FALSE)</f>
        <v>50.423126220703125</v>
      </c>
      <c r="G735" s="24">
        <f>IF(F735&lt;=IF(MONTH($C735)=4,$F$3,IF(MONTH($C735)=5,$F$4,IF(MONTH($C735)=6,$F$5,IF(MONTH($C735)=7,$F$6,"ERROR")))),1,0)</f>
        <v>1</v>
      </c>
      <c r="H735" s="26">
        <f>IF(J735=1,D735-$C$4,0)</f>
        <v>2129.60498046875</v>
      </c>
      <c r="I735" s="26">
        <f t="shared" si="1083"/>
        <v>130.94430623708678</v>
      </c>
      <c r="J735" s="24">
        <f t="shared" si="1176"/>
        <v>1</v>
      </c>
      <c r="K735" s="26">
        <f>VLOOKUP($C735,COS!$B$8:$H$991,2,FALSE)</f>
        <v>4345.9794921875</v>
      </c>
      <c r="L735" s="24">
        <f t="shared" si="1148"/>
        <v>1</v>
      </c>
      <c r="M735" s="24">
        <f t="shared" si="1149"/>
        <v>1</v>
      </c>
      <c r="N735" s="26">
        <f>VLOOKUP($C735,COS!$B$8:$H$991,5,FALSE)</f>
        <v>512.00897216796875</v>
      </c>
      <c r="O735" s="26">
        <f t="shared" si="1179"/>
        <v>31.482204569666838</v>
      </c>
      <c r="P735" s="26">
        <f>VLOOKUP($C735,COS!$B$8:$H$991,6,FALSE)</f>
        <v>2032.4620361328125</v>
      </c>
      <c r="Q735" s="26">
        <f t="shared" si="1180"/>
        <v>124.97121941180268</v>
      </c>
      <c r="R735" s="26">
        <f>MIN(IF(MONTH($C735)=4,$S$3,IF(MONTH($C735)=5,$S$4,IF(MONTH($C735)=6,$S$5,IF(MONTH($C735)=7,$S$6,"ERROR")))),MAX(VLOOKUP($C735,COS!$B$8:$K$991,10,FALSE)-IF(MONTH($C735)=4,$Y$3,IF(MONTH($C735)=5,$Y$4,IF(MONTH($C735)=6,$Y$5,IF(MONTH($C735)=7,$Y$6,"ERROR")))),0),MAX(VLOOKUP($C735,COS!$B$8:$K$991,9,FALSE)-IF(MONTH($C735)=4,$V$3,IF(MONTH($C735)=5,$V$4,IF(MONTH($C735)=6,$V$5,IF(MONTH($C735)=7,$V$6,"ERROR"))))-VLOOKUP($C735,COS!$B$8:$K$991,6,FALSE)/2,0))</f>
        <v>1500</v>
      </c>
      <c r="S735" s="26">
        <f t="shared" si="1181"/>
        <v>92.231404958677686</v>
      </c>
      <c r="T735" s="26">
        <f t="shared" si="1182"/>
        <v>170.45811694941244</v>
      </c>
      <c r="U735" s="26" t="str">
        <f>IF(VLOOKUP($C735,COS!$B$8:$I$991,8,FALSE)=1,"UWFE","IBU")</f>
        <v>UWFE</v>
      </c>
      <c r="V735" s="26">
        <f t="shared" ref="V735" si="1184">MIN(IF(IF($AA$3=2,AND(E735=1,G735=1,L735=1,L739=1,M735=1,U735="IBU"),AND(E735=1,G735=1,L735=1,L739=1,M735=1)),T735,0),I735)</f>
        <v>0</v>
      </c>
      <c r="W735" s="26"/>
      <c r="X735" s="26"/>
      <c r="Y735" s="26"/>
      <c r="Z735" s="26"/>
      <c r="AA735" s="26"/>
      <c r="AB735" s="33"/>
    </row>
    <row r="736" spans="1:28" x14ac:dyDescent="0.3">
      <c r="A736" s="32">
        <f>VLOOKUP(YEAR(C736),Flags!$A$13:$B$95,2,FALSE)</f>
        <v>4</v>
      </c>
      <c r="B736" s="24">
        <f t="shared" si="1157"/>
        <v>2002</v>
      </c>
      <c r="C736" s="25">
        <v>37437</v>
      </c>
      <c r="D736" s="26">
        <f>VLOOKUP($C736,COS!$B$8:$H$991,3,FALSE)</f>
        <v>11090.05078125</v>
      </c>
      <c r="E736" s="24">
        <f>IF(D736&gt;=IF(MONTH($C736)=4,$C$3,IF(MONTH($C736)=5,$C$4,IF(MONTH($C736)=6,$C$5,IF(MONTH($C736)=7,$C$6,"ERROR")))),1,0)</f>
        <v>1</v>
      </c>
      <c r="F736" s="26">
        <f>VLOOKUP($C736,COS!$B$8:$H$991,7,FALSE)</f>
        <v>51.078281402587891</v>
      </c>
      <c r="G736" s="24">
        <f>IF(F736&lt;=IF(MONTH($C736)=4,$F$3,IF(MONTH($C736)=5,$F$4,IF(MONTH($C736)=6,$F$5,IF(MONTH($C736)=7,$F$6,"ERROR")))),1,0)</f>
        <v>1</v>
      </c>
      <c r="H736" s="26">
        <f>IF(J736=1,D736-$C$5,0)</f>
        <v>1090.05078125</v>
      </c>
      <c r="I736" s="26">
        <f t="shared" si="1083"/>
        <v>64.862525826446287</v>
      </c>
      <c r="J736" s="24">
        <f t="shared" si="1176"/>
        <v>1</v>
      </c>
      <c r="K736" s="26">
        <f>VLOOKUP($C736,COS!$B$8:$H$991,2,FALSE)</f>
        <v>3872.047119140625</v>
      </c>
      <c r="L736" s="24">
        <f t="shared" si="1148"/>
        <v>1</v>
      </c>
      <c r="M736" s="24">
        <f t="shared" si="1149"/>
        <v>1</v>
      </c>
      <c r="N736" s="26">
        <f>VLOOKUP($C736,COS!$B$8:$H$991,5,FALSE)</f>
        <v>765.88287353515625</v>
      </c>
      <c r="O736" s="26">
        <f t="shared" si="1179"/>
        <v>45.573195780604337</v>
      </c>
      <c r="P736" s="26">
        <f>VLOOKUP($C736,COS!$B$8:$H$991,6,FALSE)</f>
        <v>2710.3994140625</v>
      </c>
      <c r="Q736" s="26">
        <f t="shared" si="1180"/>
        <v>161.27996513429753</v>
      </c>
      <c r="R736" s="26">
        <f>MIN(IF(MONTH($C736)=4,$S$3,IF(MONTH($C736)=5,$S$4,IF(MONTH($C736)=6,$S$5,IF(MONTH($C736)=7,$S$6,"ERROR")))),MAX(VLOOKUP($C736,COS!$B$8:$K$991,10,FALSE)-IF(MONTH($C736)=4,$Y$3,IF(MONTH($C736)=5,$Y$4,IF(MONTH($C736)=6,$Y$5,IF(MONTH($C736)=7,$Y$6,"ERROR")))),0),MAX(VLOOKUP($C736,COS!$B$8:$K$991,9,FALSE)-IF(MONTH($C736)=4,$V$3,IF(MONTH($C736)=5,$V$4,IF(MONTH($C736)=6,$V$5,IF(MONTH($C736)=7,$V$6,"ERROR"))))-VLOOKUP($C736,COS!$B$8:$K$991,6,FALSE)/2,0))</f>
        <v>1500</v>
      </c>
      <c r="S736" s="26">
        <f t="shared" si="1181"/>
        <v>89.256198347107429</v>
      </c>
      <c r="T736" s="26">
        <f t="shared" si="1182"/>
        <v>192.68277880455838</v>
      </c>
      <c r="U736" s="26" t="str">
        <f>IF(VLOOKUP($C736,COS!$B$8:$I$991,8,FALSE)=1,"UWFE","IBU")</f>
        <v>IBU</v>
      </c>
      <c r="V736" s="26">
        <f t="shared" ref="V736" si="1185">MIN(IF(IF($AA$3=2,AND(E736=1,G736=1,L736=1,L739=1,M736=1,U736="IBU"),AND(E736=1,G736=1,L736=1,L739=1,M736=1)),T736,0),I736)</f>
        <v>64.862525826446287</v>
      </c>
      <c r="W736" s="26"/>
      <c r="X736" s="26"/>
      <c r="Y736" s="26"/>
      <c r="Z736" s="26"/>
      <c r="AA736" s="26"/>
      <c r="AB736" s="33"/>
    </row>
    <row r="737" spans="1:28" x14ac:dyDescent="0.3">
      <c r="A737" s="32">
        <f>VLOOKUP(YEAR(C737),Flags!$A$13:$B$95,2,FALSE)</f>
        <v>4</v>
      </c>
      <c r="B737" s="24">
        <f t="shared" si="1157"/>
        <v>2002</v>
      </c>
      <c r="C737" s="25">
        <v>37468</v>
      </c>
      <c r="D737" s="26">
        <f>VLOOKUP($C737,COS!$B$8:$H$991,3,FALSE)</f>
        <v>14797.642578125</v>
      </c>
      <c r="E737" s="24">
        <f>IF(D737&gt;=IF(MONTH($C737)=4,$C$3,IF(MONTH($C737)=5,$C$4,IF(MONTH($C737)=6,$C$5,IF(MONTH($C737)=7,$C$6,"ERROR")))),1,0)</f>
        <v>1</v>
      </c>
      <c r="F737" s="26">
        <f>VLOOKUP($C737,COS!$B$8:$H$991,7,FALSE)</f>
        <v>51.499664306640625</v>
      </c>
      <c r="G737" s="24">
        <f>IF(F737&lt;=IF(MONTH($C737)=4,$F$3,IF(MONTH($C737)=5,$F$4,IF(MONTH($C737)=6,$F$5,IF(MONTH($C737)=7,$F$6,"ERROR")))),1,0)</f>
        <v>1</v>
      </c>
      <c r="H737" s="26">
        <f>IF(J737=1,D737-$C$6,0)</f>
        <v>2797.642578125</v>
      </c>
      <c r="I737" s="26">
        <f t="shared" ref="I737" si="1186">H737*DAY($C737)*86400/43560/1000</f>
        <v>172.02033703512396</v>
      </c>
      <c r="J737" s="24">
        <f t="shared" si="1176"/>
        <v>1</v>
      </c>
      <c r="K737" s="26">
        <f>VLOOKUP($C737,COS!$B$8:$H$991,2,FALSE)</f>
        <v>3213.63134765625</v>
      </c>
      <c r="L737" s="24">
        <f t="shared" si="1148"/>
        <v>1</v>
      </c>
      <c r="M737" s="24">
        <f t="shared" si="1149"/>
        <v>1</v>
      </c>
      <c r="N737" s="26">
        <f>VLOOKUP($C737,COS!$B$8:$H$991,5,FALSE)</f>
        <v>838.20123291015625</v>
      </c>
      <c r="O737" s="26">
        <f t="shared" si="1179"/>
        <v>51.53898489959969</v>
      </c>
      <c r="P737" s="26">
        <f>VLOOKUP($C737,COS!$B$8:$H$991,6,FALSE)</f>
        <v>2538.07568359375</v>
      </c>
      <c r="Q737" s="26">
        <f t="shared" si="1180"/>
        <v>156.06019079287191</v>
      </c>
      <c r="R737" s="26">
        <f>MIN(IF(MONTH($C737)=4,$S$3,IF(MONTH($C737)=5,$S$4,IF(MONTH($C737)=6,$S$5,IF(MONTH($C737)=7,$S$6,"ERROR")))),MAX(VLOOKUP($C737,COS!$B$8:$K$991,10,FALSE)-IF(MONTH($C737)=4,$Y$3,IF(MONTH($C737)=5,$Y$4,IF(MONTH($C737)=6,$Y$5,IF(MONTH($C737)=7,$Y$6,"ERROR")))),0),MAX(VLOOKUP($C737,COS!$B$8:$K$991,9,FALSE)-IF(MONTH($C737)=4,$V$3,IF(MONTH($C737)=5,$V$4,IF(MONTH($C737)=6,$V$5,IF(MONTH($C737)=7,$V$6,"ERROR"))))-VLOOKUP($C737,COS!$B$8:$K$991,6,FALSE)/2,0))</f>
        <v>1500</v>
      </c>
      <c r="S737" s="26">
        <f t="shared" si="1181"/>
        <v>92.231404958677686</v>
      </c>
      <c r="T737" s="26">
        <f t="shared" si="1182"/>
        <v>196.03099280491347</v>
      </c>
      <c r="U737" s="26" t="str">
        <f>IF(VLOOKUP($C737,COS!$B$8:$I$991,8,FALSE)=1,"UWFE","IBU")</f>
        <v>IBU</v>
      </c>
      <c r="V737" s="26">
        <f t="shared" ref="V737" si="1187">MIN(IF(IF($AA$3=2,AND(E737=1,G737=1,L737=1,L739=1,M737=1,U737="IBU"),AND(E737=1,G737=1,L737=1,L739=1,M737=1)),T737,0),I737)</f>
        <v>172.02033703512396</v>
      </c>
      <c r="W737" s="26"/>
      <c r="X737" s="26"/>
      <c r="Y737" s="26"/>
      <c r="Z737" s="26"/>
      <c r="AA737" s="26"/>
      <c r="AB737" s="33"/>
    </row>
    <row r="738" spans="1:28" x14ac:dyDescent="0.3">
      <c r="A738" s="32">
        <f>VLOOKUP(YEAR(C738),Flags!$A$13:$B$95,2,FALSE)</f>
        <v>4</v>
      </c>
      <c r="B738" s="24">
        <f t="shared" si="1157"/>
        <v>2002</v>
      </c>
      <c r="C738" s="25">
        <v>37499</v>
      </c>
      <c r="D738" s="26"/>
      <c r="E738" s="24"/>
      <c r="F738" s="26"/>
      <c r="G738" s="24"/>
      <c r="H738" s="24"/>
      <c r="I738" s="26"/>
      <c r="J738" s="24"/>
      <c r="K738" s="26"/>
      <c r="L738" s="24"/>
      <c r="M738" s="24"/>
      <c r="N738" s="26"/>
      <c r="O738" s="26"/>
      <c r="P738" s="26"/>
      <c r="Q738" s="26"/>
      <c r="R738" s="26"/>
      <c r="S738" s="26"/>
      <c r="T738" s="26"/>
      <c r="U738" s="26"/>
      <c r="V738" s="26"/>
      <c r="W738" s="26">
        <f>MAX($C$7-VLOOKUP($C738,COS!$B$8:$H$991,3,FALSE),0)</f>
        <v>4012.7978515625</v>
      </c>
      <c r="X738" s="26">
        <f t="shared" si="1086"/>
        <v>246.73732244318182</v>
      </c>
      <c r="Y738" s="26">
        <f>VLOOKUP($C738,COS!$B$8:$H$991,4,FALSE)</f>
        <v>1265.3411865234375</v>
      </c>
      <c r="Z738" s="26">
        <f t="shared" si="1087"/>
        <v>77.80279692342458</v>
      </c>
      <c r="AA738" s="26">
        <f t="shared" ref="AA738:AA742" si="1188">MIN(W738,Y738)</f>
        <v>1265.3411865234375</v>
      </c>
      <c r="AB738" s="33">
        <f t="shared" ref="AB738" si="1189">AA738*DAY($C738)*86400/43560/1000*IF(MONTH($C738)=8,$P$3,IF(MONTH($C738)=9,$P$4,IF(MONTH($C738)=10,$P$5,IF(MONTH($C738)=11,$P$6,IF(MONTH($C738)=12,$P$7,NA())))))</f>
        <v>77.80279692342458</v>
      </c>
    </row>
    <row r="739" spans="1:28" x14ac:dyDescent="0.3">
      <c r="A739" s="32">
        <f>VLOOKUP(YEAR(C739),Flags!$A$13:$B$95,2,FALSE)</f>
        <v>4</v>
      </c>
      <c r="B739" s="24">
        <f t="shared" si="1157"/>
        <v>2002</v>
      </c>
      <c r="C739" s="25">
        <v>37529</v>
      </c>
      <c r="D739" s="26"/>
      <c r="E739" s="24"/>
      <c r="F739" s="26"/>
      <c r="G739" s="24"/>
      <c r="H739" s="24"/>
      <c r="I739" s="26"/>
      <c r="J739" s="24"/>
      <c r="K739" s="26">
        <f>VLOOKUP($C739,COS!$B$8:$H$991,2,FALSE)</f>
        <v>2964.52880859375</v>
      </c>
      <c r="L739" s="24">
        <f t="shared" ref="L739" si="1190">IF(AND(K739&gt;$I$7,K739&lt;$I$8),1,0)</f>
        <v>1</v>
      </c>
      <c r="M739" s="24"/>
      <c r="N739" s="26"/>
      <c r="O739" s="26"/>
      <c r="P739" s="26"/>
      <c r="Q739" s="26"/>
      <c r="R739" s="26"/>
      <c r="S739" s="26"/>
      <c r="T739" s="26"/>
      <c r="U739" s="26"/>
      <c r="V739" s="26"/>
      <c r="W739" s="26">
        <f>MAX($C$8-VLOOKUP($C739,COS!$B$8:$H$991,3,FALSE),0)</f>
        <v>1017.09326171875</v>
      </c>
      <c r="X739" s="26">
        <f t="shared" ref="X739:X742" si="1191">W739*DAY($C739)*86400/43560/1000</f>
        <v>60.521251936983468</v>
      </c>
      <c r="Y739" s="26">
        <f>VLOOKUP($C739,COS!$B$8:$H$991,4,FALSE)</f>
        <v>1150.0072021484375</v>
      </c>
      <c r="Z739" s="26">
        <f t="shared" ref="Z739:Z742" si="1192">Y739*DAY($C739)*86400/43560/1000</f>
        <v>68.430180623708665</v>
      </c>
      <c r="AA739" s="26">
        <f t="shared" si="1188"/>
        <v>1017.09326171875</v>
      </c>
      <c r="AB739" s="33">
        <f t="shared" si="1160"/>
        <v>60.521251936983468</v>
      </c>
    </row>
    <row r="740" spans="1:28" x14ac:dyDescent="0.3">
      <c r="A740" s="32">
        <f>VLOOKUP(YEAR(C740),Flags!$A$13:$B$95,2,FALSE)</f>
        <v>4</v>
      </c>
      <c r="B740" s="24">
        <f t="shared" si="1157"/>
        <v>2002</v>
      </c>
      <c r="C740" s="25">
        <v>37560</v>
      </c>
      <c r="D740" s="26"/>
      <c r="E740" s="24"/>
      <c r="F740" s="26"/>
      <c r="G740" s="26"/>
      <c r="H740" s="26"/>
      <c r="I740" s="26"/>
      <c r="J740" s="26"/>
      <c r="K740" s="26"/>
      <c r="L740" s="24"/>
      <c r="M740" s="24"/>
      <c r="N740" s="26"/>
      <c r="O740" s="26"/>
      <c r="P740" s="26"/>
      <c r="Q740" s="26"/>
      <c r="R740" s="26"/>
      <c r="S740" s="26"/>
      <c r="T740" s="26"/>
      <c r="U740" s="26"/>
      <c r="V740" s="26"/>
      <c r="W740" s="26">
        <f>MAX($C$9-VLOOKUP($C740,COS!$B$8:$H$991,3,FALSE),0)</f>
        <v>0</v>
      </c>
      <c r="X740" s="26">
        <f t="shared" si="1191"/>
        <v>0</v>
      </c>
      <c r="Y740" s="26">
        <f>VLOOKUP($C740,COS!$B$8:$H$991,4,FALSE)</f>
        <v>1966.750244140625</v>
      </c>
      <c r="Z740" s="26">
        <f t="shared" si="1192"/>
        <v>120.93075881327479</v>
      </c>
      <c r="AA740" s="26">
        <f t="shared" si="1188"/>
        <v>0</v>
      </c>
      <c r="AB740" s="33">
        <f t="shared" si="1160"/>
        <v>0</v>
      </c>
    </row>
    <row r="741" spans="1:28" x14ac:dyDescent="0.3">
      <c r="A741" s="32">
        <f>VLOOKUP(YEAR(C741),Flags!$A$13:$B$95,2,FALSE)</f>
        <v>4</v>
      </c>
      <c r="B741" s="24">
        <f t="shared" si="1157"/>
        <v>2002</v>
      </c>
      <c r="C741" s="25">
        <v>37590</v>
      </c>
      <c r="D741" s="26"/>
      <c r="E741" s="24"/>
      <c r="F741" s="26"/>
      <c r="G741" s="26"/>
      <c r="H741" s="26"/>
      <c r="I741" s="26"/>
      <c r="J741" s="26"/>
      <c r="K741" s="26"/>
      <c r="L741" s="24"/>
      <c r="M741" s="24"/>
      <c r="N741" s="26"/>
      <c r="O741" s="26"/>
      <c r="P741" s="26"/>
      <c r="Q741" s="26"/>
      <c r="R741" s="26"/>
      <c r="S741" s="26"/>
      <c r="T741" s="26"/>
      <c r="U741" s="26"/>
      <c r="V741" s="26"/>
      <c r="W741" s="26">
        <f>MAX($C$10-VLOOKUP($C741,COS!$B$8:$H$991,3,FALSE),0)</f>
        <v>0</v>
      </c>
      <c r="X741" s="26">
        <f t="shared" si="1191"/>
        <v>0</v>
      </c>
      <c r="Y741" s="26">
        <f>VLOOKUP($C741,COS!$B$8:$H$991,4,FALSE)</f>
        <v>797.55865478515625</v>
      </c>
      <c r="Z741" s="26">
        <f t="shared" si="1192"/>
        <v>47.458035656637392</v>
      </c>
      <c r="AA741" s="26">
        <f t="shared" si="1188"/>
        <v>0</v>
      </c>
      <c r="AB741" s="33">
        <f t="shared" si="1160"/>
        <v>0</v>
      </c>
    </row>
    <row r="742" spans="1:28" x14ac:dyDescent="0.3">
      <c r="A742" s="34">
        <f>VLOOKUP(YEAR(C742),Flags!$A$13:$B$95,2,FALSE)</f>
        <v>4</v>
      </c>
      <c r="B742" s="35">
        <f t="shared" si="1157"/>
        <v>2002</v>
      </c>
      <c r="C742" s="36">
        <v>37621</v>
      </c>
      <c r="D742" s="37"/>
      <c r="E742" s="35"/>
      <c r="F742" s="37"/>
      <c r="G742" s="37"/>
      <c r="H742" s="37"/>
      <c r="I742" s="37"/>
      <c r="J742" s="37"/>
      <c r="K742" s="37"/>
      <c r="L742" s="35"/>
      <c r="M742" s="35"/>
      <c r="N742" s="37"/>
      <c r="O742" s="37"/>
      <c r="P742" s="37"/>
      <c r="Q742" s="37"/>
      <c r="R742" s="37"/>
      <c r="S742" s="37"/>
      <c r="T742" s="37"/>
      <c r="U742" s="37"/>
      <c r="V742" s="37"/>
      <c r="W742" s="37">
        <f>MAX($C$11-VLOOKUP($C742,COS!$B$8:$H$991,3,FALSE),0)</f>
        <v>0</v>
      </c>
      <c r="X742" s="37">
        <f t="shared" si="1191"/>
        <v>0</v>
      </c>
      <c r="Y742" s="37">
        <f>VLOOKUP($C742,COS!$B$8:$H$991,4,FALSE)</f>
        <v>0</v>
      </c>
      <c r="Z742" s="37">
        <f t="shared" si="1192"/>
        <v>0</v>
      </c>
      <c r="AA742" s="37">
        <f t="shared" si="1188"/>
        <v>0</v>
      </c>
      <c r="AB742" s="38">
        <f t="shared" si="1160"/>
        <v>0</v>
      </c>
    </row>
  </sheetData>
  <mergeCells count="20">
    <mergeCell ref="P12:Q12"/>
    <mergeCell ref="R12:S12"/>
    <mergeCell ref="A2:A11"/>
    <mergeCell ref="B2:C2"/>
    <mergeCell ref="E2:F2"/>
    <mergeCell ref="H2:I2"/>
    <mergeCell ref="K2:M2"/>
    <mergeCell ref="O2:P2"/>
    <mergeCell ref="D12:E12"/>
    <mergeCell ref="F12:G12"/>
    <mergeCell ref="H12:J12"/>
    <mergeCell ref="K12:L12"/>
    <mergeCell ref="N12:O12"/>
    <mergeCell ref="W12:X12"/>
    <mergeCell ref="Y12:Z12"/>
    <mergeCell ref="AA12:AB12"/>
    <mergeCell ref="AN14:AO14"/>
    <mergeCell ref="R2:S2"/>
    <mergeCell ref="U2:V2"/>
    <mergeCell ref="X2:Y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 moveWithCells="1">
                  <from>
                    <xdr:col>25</xdr:col>
                    <xdr:colOff>792480</xdr:colOff>
                    <xdr:row>1</xdr:row>
                    <xdr:rowOff>175260</xdr:rowOff>
                  </from>
                  <to>
                    <xdr:col>26</xdr:col>
                    <xdr:colOff>868680</xdr:colOff>
                    <xdr:row>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 moveWithCells="1">
                  <from>
                    <xdr:col>25</xdr:col>
                    <xdr:colOff>800100</xdr:colOff>
                    <xdr:row>2</xdr:row>
                    <xdr:rowOff>175260</xdr:rowOff>
                  </from>
                  <to>
                    <xdr:col>26</xdr:col>
                    <xdr:colOff>876300</xdr:colOff>
                    <xdr:row>4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B7FD9-7B0A-4A82-BC67-752EF9D17E6C}">
  <dimension ref="A1:AP742"/>
  <sheetViews>
    <sheetView workbookViewId="0">
      <selection activeCell="N17" sqref="N17"/>
    </sheetView>
  </sheetViews>
  <sheetFormatPr defaultRowHeight="14.4" x14ac:dyDescent="0.3"/>
  <cols>
    <col min="1" max="1" width="9.109375" bestFit="1" customWidth="1"/>
    <col min="3" max="3" width="10.5546875" bestFit="1" customWidth="1"/>
    <col min="4" max="4" width="11.77734375" style="6" bestFit="1" customWidth="1"/>
    <col min="5" max="5" width="8" customWidth="1"/>
    <col min="6" max="6" width="8.5546875" bestFit="1" customWidth="1"/>
    <col min="7" max="8" width="8.5546875" customWidth="1"/>
    <col min="9" max="9" width="8.5546875" style="6" customWidth="1"/>
    <col min="10" max="10" width="10.33203125" customWidth="1"/>
    <col min="11" max="11" width="8.5546875" bestFit="1" customWidth="1"/>
    <col min="12" max="13" width="8.5546875" customWidth="1"/>
    <col min="14" max="14" width="11" customWidth="1"/>
    <col min="15" max="15" width="12.6640625" customWidth="1"/>
    <col min="16" max="16" width="10.33203125" customWidth="1"/>
    <col min="17" max="17" width="13.109375" bestFit="1" customWidth="1"/>
    <col min="18" max="21" width="13.109375" customWidth="1"/>
    <col min="22" max="26" width="12.109375" customWidth="1"/>
    <col min="27" max="28" width="13.109375" customWidth="1"/>
    <col min="33" max="33" width="11.44140625" bestFit="1" customWidth="1"/>
    <col min="34" max="34" width="12.109375" bestFit="1" customWidth="1"/>
    <col min="35" max="36" width="12.109375" customWidth="1"/>
    <col min="41" max="41" width="12.109375" bestFit="1" customWidth="1"/>
  </cols>
  <sheetData>
    <row r="1" spans="1:41" x14ac:dyDescent="0.3">
      <c r="D1"/>
      <c r="F1" s="6"/>
      <c r="I1"/>
    </row>
    <row r="2" spans="1:41" ht="14.4" customHeight="1" x14ac:dyDescent="0.3">
      <c r="A2" s="124" t="s">
        <v>45</v>
      </c>
      <c r="B2" s="126" t="s">
        <v>58</v>
      </c>
      <c r="C2" s="127"/>
      <c r="D2"/>
      <c r="E2" s="126" t="s">
        <v>49</v>
      </c>
      <c r="F2" s="127"/>
      <c r="H2" s="126" t="s">
        <v>36</v>
      </c>
      <c r="I2" s="127"/>
      <c r="K2" s="126" t="s">
        <v>88</v>
      </c>
      <c r="L2" s="128"/>
      <c r="M2" s="127"/>
      <c r="N2" s="51"/>
      <c r="O2" s="126" t="s">
        <v>89</v>
      </c>
      <c r="P2" s="127"/>
      <c r="R2" s="122" t="s">
        <v>121</v>
      </c>
      <c r="S2" s="122"/>
      <c r="U2" s="122" t="s">
        <v>129</v>
      </c>
      <c r="V2" s="122"/>
      <c r="X2" s="122" t="s">
        <v>130</v>
      </c>
      <c r="Y2" s="122"/>
      <c r="AA2" s="20" t="s">
        <v>132</v>
      </c>
    </row>
    <row r="3" spans="1:41" x14ac:dyDescent="0.3">
      <c r="A3" s="124"/>
      <c r="B3" s="21" t="s">
        <v>46</v>
      </c>
      <c r="C3" s="22">
        <v>6000</v>
      </c>
      <c r="D3" t="s">
        <v>71</v>
      </c>
      <c r="E3" s="48" t="s">
        <v>46</v>
      </c>
      <c r="F3" s="20">
        <v>99999</v>
      </c>
      <c r="G3" t="s">
        <v>67</v>
      </c>
      <c r="H3" s="21" t="s">
        <v>46</v>
      </c>
      <c r="I3" s="20">
        <v>99999</v>
      </c>
      <c r="J3" t="s">
        <v>67</v>
      </c>
      <c r="K3" s="20" t="s">
        <v>30</v>
      </c>
      <c r="L3" s="20">
        <v>1</v>
      </c>
      <c r="M3" s="20">
        <v>0</v>
      </c>
      <c r="N3" s="52"/>
      <c r="O3" s="48" t="s">
        <v>62</v>
      </c>
      <c r="P3" s="20">
        <v>1</v>
      </c>
      <c r="R3" s="21" t="s">
        <v>46</v>
      </c>
      <c r="S3" s="20">
        <v>1500</v>
      </c>
      <c r="U3" s="21" t="s">
        <v>46</v>
      </c>
      <c r="V3" s="20">
        <v>3250</v>
      </c>
      <c r="X3" s="21" t="s">
        <v>46</v>
      </c>
      <c r="Y3" s="20">
        <v>4000</v>
      </c>
      <c r="AA3" s="90">
        <v>2</v>
      </c>
    </row>
    <row r="4" spans="1:41" ht="14.4" customHeight="1" x14ac:dyDescent="0.3">
      <c r="A4" s="124"/>
      <c r="B4" s="20" t="s">
        <v>37</v>
      </c>
      <c r="C4" s="20">
        <v>6000</v>
      </c>
      <c r="D4" t="s">
        <v>71</v>
      </c>
      <c r="E4" s="49" t="s">
        <v>37</v>
      </c>
      <c r="F4" s="20">
        <v>56</v>
      </c>
      <c r="G4" t="s">
        <v>70</v>
      </c>
      <c r="H4" s="20" t="s">
        <v>37</v>
      </c>
      <c r="I4" s="20">
        <v>99999</v>
      </c>
      <c r="J4" t="s">
        <v>67</v>
      </c>
      <c r="K4" s="20" t="s">
        <v>42</v>
      </c>
      <c r="L4" s="20">
        <v>2</v>
      </c>
      <c r="M4" s="20">
        <v>0</v>
      </c>
      <c r="N4" s="52"/>
      <c r="O4" s="48" t="s">
        <v>63</v>
      </c>
      <c r="P4" s="20">
        <v>1</v>
      </c>
      <c r="R4" s="20" t="s">
        <v>37</v>
      </c>
      <c r="S4" s="20">
        <v>1500</v>
      </c>
      <c r="U4" s="20" t="s">
        <v>37</v>
      </c>
      <c r="V4" s="20">
        <v>3250</v>
      </c>
      <c r="X4" s="20" t="s">
        <v>37</v>
      </c>
      <c r="Y4" s="20">
        <v>4000</v>
      </c>
      <c r="AA4" s="20"/>
    </row>
    <row r="5" spans="1:41" x14ac:dyDescent="0.3">
      <c r="A5" s="124"/>
      <c r="B5" s="20" t="s">
        <v>38</v>
      </c>
      <c r="C5" s="20">
        <v>10000</v>
      </c>
      <c r="D5" t="s">
        <v>71</v>
      </c>
      <c r="E5" s="49" t="s">
        <v>38</v>
      </c>
      <c r="F5" s="20">
        <v>56</v>
      </c>
      <c r="G5" t="s">
        <v>70</v>
      </c>
      <c r="H5" s="20" t="s">
        <v>38</v>
      </c>
      <c r="I5" s="20">
        <v>99999</v>
      </c>
      <c r="J5" t="s">
        <v>67</v>
      </c>
      <c r="K5" s="20" t="s">
        <v>32</v>
      </c>
      <c r="L5" s="20">
        <v>3</v>
      </c>
      <c r="M5" s="20">
        <v>0</v>
      </c>
      <c r="N5" s="52"/>
      <c r="O5" s="48" t="s">
        <v>64</v>
      </c>
      <c r="P5" s="20">
        <v>1</v>
      </c>
      <c r="R5" s="20" t="s">
        <v>38</v>
      </c>
      <c r="S5" s="20">
        <v>1500</v>
      </c>
      <c r="U5" s="20" t="s">
        <v>38</v>
      </c>
      <c r="V5" s="20">
        <v>3250</v>
      </c>
      <c r="X5" s="20" t="s">
        <v>38</v>
      </c>
      <c r="Y5" s="20">
        <v>4000</v>
      </c>
    </row>
    <row r="6" spans="1:41" x14ac:dyDescent="0.3">
      <c r="A6" s="124"/>
      <c r="B6" s="20" t="s">
        <v>39</v>
      </c>
      <c r="C6" s="20">
        <v>12000</v>
      </c>
      <c r="D6" t="s">
        <v>71</v>
      </c>
      <c r="E6" s="49" t="s">
        <v>39</v>
      </c>
      <c r="F6" s="20">
        <v>53.5</v>
      </c>
      <c r="G6" t="s">
        <v>69</v>
      </c>
      <c r="H6" s="20" t="s">
        <v>39</v>
      </c>
      <c r="I6" s="20">
        <v>99999</v>
      </c>
      <c r="J6" t="s">
        <v>67</v>
      </c>
      <c r="K6" s="20" t="s">
        <v>33</v>
      </c>
      <c r="L6" s="20">
        <v>4</v>
      </c>
      <c r="M6" s="20">
        <v>1</v>
      </c>
      <c r="N6" s="52"/>
      <c r="O6" s="48" t="s">
        <v>65</v>
      </c>
      <c r="P6" s="20">
        <v>1</v>
      </c>
      <c r="R6" s="20" t="s">
        <v>39</v>
      </c>
      <c r="S6" s="20">
        <v>1500</v>
      </c>
      <c r="U6" s="20" t="s">
        <v>39</v>
      </c>
      <c r="V6" s="20">
        <v>3250</v>
      </c>
      <c r="X6" s="20" t="s">
        <v>39</v>
      </c>
      <c r="Y6" s="20">
        <v>4000</v>
      </c>
    </row>
    <row r="7" spans="1:41" x14ac:dyDescent="0.3">
      <c r="A7" s="124"/>
      <c r="B7" s="47" t="s">
        <v>62</v>
      </c>
      <c r="C7" s="47">
        <v>12000</v>
      </c>
      <c r="D7" t="s">
        <v>72</v>
      </c>
      <c r="E7" s="6"/>
      <c r="H7" s="20" t="s">
        <v>136</v>
      </c>
      <c r="I7" s="20">
        <v>1900</v>
      </c>
      <c r="J7" t="s">
        <v>68</v>
      </c>
      <c r="K7" s="20" t="s">
        <v>10</v>
      </c>
      <c r="L7" s="20">
        <v>5</v>
      </c>
      <c r="M7" s="20">
        <v>1</v>
      </c>
      <c r="N7" s="52"/>
      <c r="O7" s="48" t="s">
        <v>66</v>
      </c>
      <c r="P7" s="20">
        <v>1</v>
      </c>
    </row>
    <row r="8" spans="1:41" x14ac:dyDescent="0.3">
      <c r="A8" s="124"/>
      <c r="B8" s="47" t="s">
        <v>63</v>
      </c>
      <c r="C8" s="47">
        <v>6000</v>
      </c>
      <c r="D8" t="s">
        <v>72</v>
      </c>
      <c r="E8" s="6"/>
      <c r="H8" s="20" t="s">
        <v>137</v>
      </c>
      <c r="I8" s="20">
        <v>99999</v>
      </c>
    </row>
    <row r="9" spans="1:41" x14ac:dyDescent="0.3">
      <c r="A9" s="124"/>
      <c r="B9" s="47" t="s">
        <v>64</v>
      </c>
      <c r="C9" s="47">
        <v>5000</v>
      </c>
      <c r="D9" t="s">
        <v>72</v>
      </c>
      <c r="E9" s="6"/>
      <c r="H9" s="46"/>
      <c r="I9" s="46"/>
    </row>
    <row r="10" spans="1:41" x14ac:dyDescent="0.3">
      <c r="A10" s="124"/>
      <c r="B10" s="47" t="s">
        <v>65</v>
      </c>
      <c r="C10" s="47">
        <v>5000</v>
      </c>
      <c r="D10" t="s">
        <v>73</v>
      </c>
      <c r="E10" s="6"/>
      <c r="H10" s="46"/>
      <c r="I10" s="46"/>
    </row>
    <row r="11" spans="1:41" x14ac:dyDescent="0.3">
      <c r="A11" s="125"/>
      <c r="B11" s="47" t="s">
        <v>66</v>
      </c>
      <c r="C11" s="47">
        <v>5000</v>
      </c>
      <c r="D11" t="s">
        <v>73</v>
      </c>
      <c r="E11" s="6"/>
      <c r="I11"/>
      <c r="AF11" t="s">
        <v>83</v>
      </c>
      <c r="AG11" t="s">
        <v>83</v>
      </c>
      <c r="AH11" t="s">
        <v>83</v>
      </c>
      <c r="AI11" t="s">
        <v>84</v>
      </c>
      <c r="AJ11" t="s">
        <v>84</v>
      </c>
      <c r="AK11" t="s">
        <v>84</v>
      </c>
      <c r="AL11" t="s">
        <v>85</v>
      </c>
    </row>
    <row r="12" spans="1:41" s="23" customFormat="1" ht="28.8" x14ac:dyDescent="0.3">
      <c r="A12" s="85"/>
      <c r="B12" s="86"/>
      <c r="C12" s="86"/>
      <c r="D12" s="129" t="s">
        <v>34</v>
      </c>
      <c r="E12" s="129"/>
      <c r="F12" s="123" t="s">
        <v>49</v>
      </c>
      <c r="G12" s="123"/>
      <c r="H12" s="123" t="s">
        <v>76</v>
      </c>
      <c r="I12" s="123"/>
      <c r="J12" s="123"/>
      <c r="K12" s="123" t="s">
        <v>36</v>
      </c>
      <c r="L12" s="123"/>
      <c r="M12" s="88" t="s">
        <v>88</v>
      </c>
      <c r="N12" s="130" t="s">
        <v>47</v>
      </c>
      <c r="O12" s="130"/>
      <c r="P12" s="123" t="s">
        <v>48</v>
      </c>
      <c r="Q12" s="123"/>
      <c r="R12" s="123" t="s">
        <v>131</v>
      </c>
      <c r="S12" s="123"/>
      <c r="T12" s="88" t="s">
        <v>122</v>
      </c>
      <c r="U12" s="88" t="s">
        <v>126</v>
      </c>
      <c r="V12" s="88" t="s">
        <v>61</v>
      </c>
      <c r="W12" s="116" t="s">
        <v>74</v>
      </c>
      <c r="X12" s="117"/>
      <c r="Y12" s="118" t="s">
        <v>35</v>
      </c>
      <c r="Z12" s="119"/>
      <c r="AA12" s="120" t="s">
        <v>75</v>
      </c>
      <c r="AB12" s="118"/>
      <c r="AC12" s="19"/>
      <c r="AF12" s="23">
        <v>1</v>
      </c>
      <c r="AG12" s="23">
        <v>2</v>
      </c>
      <c r="AH12" s="23" t="s">
        <v>80</v>
      </c>
      <c r="AI12" s="23">
        <v>3</v>
      </c>
      <c r="AJ12" s="23">
        <v>4</v>
      </c>
      <c r="AK12" s="23" t="s">
        <v>81</v>
      </c>
      <c r="AL12" s="50" t="s">
        <v>82</v>
      </c>
    </row>
    <row r="13" spans="1:41" s="89" customFormat="1" ht="28.8" x14ac:dyDescent="0.3">
      <c r="A13" s="39" t="s">
        <v>44</v>
      </c>
      <c r="B13" s="40"/>
      <c r="C13" s="40"/>
      <c r="D13" s="41" t="s">
        <v>18</v>
      </c>
      <c r="E13" s="40" t="s">
        <v>59</v>
      </c>
      <c r="F13" s="40" t="s">
        <v>15</v>
      </c>
      <c r="G13" s="40" t="s">
        <v>59</v>
      </c>
      <c r="H13" s="40" t="s">
        <v>18</v>
      </c>
      <c r="I13" s="41" t="s">
        <v>2</v>
      </c>
      <c r="J13" s="41" t="s">
        <v>59</v>
      </c>
      <c r="K13" s="40" t="s">
        <v>2</v>
      </c>
      <c r="L13" s="40" t="s">
        <v>59</v>
      </c>
      <c r="M13" s="40" t="s">
        <v>59</v>
      </c>
      <c r="N13" s="40" t="s">
        <v>18</v>
      </c>
      <c r="O13" s="40" t="s">
        <v>2</v>
      </c>
      <c r="P13" s="40" t="s">
        <v>18</v>
      </c>
      <c r="Q13" s="40" t="s">
        <v>2</v>
      </c>
      <c r="R13" s="40" t="s">
        <v>18</v>
      </c>
      <c r="S13" s="40" t="s">
        <v>2</v>
      </c>
      <c r="T13" s="40" t="s">
        <v>2</v>
      </c>
      <c r="U13" s="40"/>
      <c r="V13" s="40" t="s">
        <v>2</v>
      </c>
      <c r="W13" s="40" t="s">
        <v>18</v>
      </c>
      <c r="X13" s="40" t="s">
        <v>2</v>
      </c>
      <c r="Y13" s="40" t="s">
        <v>18</v>
      </c>
      <c r="Z13" s="40" t="s">
        <v>2</v>
      </c>
      <c r="AA13" s="40" t="s">
        <v>18</v>
      </c>
      <c r="AB13" s="42" t="s">
        <v>2</v>
      </c>
      <c r="AD13" s="87"/>
      <c r="AE13" s="87" t="s">
        <v>40</v>
      </c>
      <c r="AF13" s="87" t="s">
        <v>77</v>
      </c>
      <c r="AG13" s="87" t="s">
        <v>79</v>
      </c>
      <c r="AH13" s="87" t="s">
        <v>61</v>
      </c>
      <c r="AI13" s="87" t="s">
        <v>78</v>
      </c>
      <c r="AJ13" s="87" t="s">
        <v>35</v>
      </c>
      <c r="AK13" s="87" t="s">
        <v>75</v>
      </c>
      <c r="AL13" s="87" t="s">
        <v>60</v>
      </c>
    </row>
    <row r="14" spans="1:41" x14ac:dyDescent="0.3">
      <c r="A14" s="27">
        <f>VLOOKUP(YEAR(C14),Flags!$A$13:$B$95,2,FALSE)</f>
        <v>1</v>
      </c>
      <c r="B14" s="28">
        <f>YEAR(C14)</f>
        <v>1922</v>
      </c>
      <c r="C14" s="29">
        <v>8156</v>
      </c>
      <c r="D14" s="30">
        <f>VLOOKUP($C14,COS!$B$8:$H$991,3,FALSE)</f>
        <v>4490.92138671875</v>
      </c>
      <c r="E14" s="28">
        <f>IF(D14&gt;=IF(MONTH($C14)=4,$C$3,IF(MONTH($C14)=5,$C$4,IF(MONTH($C14)=6,$C$5,IF(MONTH($C14)=7,$C$6,"ERROR")))),1,0)</f>
        <v>0</v>
      </c>
      <c r="F14" s="30">
        <f>VLOOKUP($C14,COS!$B$8:$H$991,7,FALSE)</f>
        <v>53.804779052734375</v>
      </c>
      <c r="G14" s="28">
        <f>IF(F14&lt;=IF(MONTH($C14)=4,$F$3,IF(MONTH($C14)=5,$F$4,IF(MONTH($C14)=6,$F$5,IF(MONTH($C14)=7,$F$6,"ERROR")))),1,0)</f>
        <v>1</v>
      </c>
      <c r="H14" s="30">
        <f>IF(J14=1,D14-$C$3,0)</f>
        <v>0</v>
      </c>
      <c r="I14" s="30">
        <f t="shared" ref="I14:I17" si="0">H14*DAY($C14)*86400/43560/1000</f>
        <v>0</v>
      </c>
      <c r="J14" s="28">
        <f>IF(AND(E14=1,G14=1),1,0)</f>
        <v>0</v>
      </c>
      <c r="K14" s="30">
        <f>VLOOKUP($C14,COS!$B$8:$H$991,2,FALSE)</f>
        <v>4552</v>
      </c>
      <c r="L14" s="28">
        <f>IF(K14&lt;=IF(MONTH($C14)=4,$I$3,IF(MONTH($C14)=5,$I$4,IF(MONTH($C14)=6,$I$5,IF(MONTH($C14)=7,$I$6,"ERROR")))),1,0)</f>
        <v>1</v>
      </c>
      <c r="M14" s="28">
        <f>VLOOKUP($A14,$L$3:$M$7,2,FALSE)</f>
        <v>0</v>
      </c>
      <c r="N14" s="30">
        <f>VLOOKUP($C14,COS!$B$8:$H$991,5,FALSE)</f>
        <v>373.61062622070313</v>
      </c>
      <c r="O14" s="30">
        <f>N14*DAY($C14)*86400/43560/1000</f>
        <v>22.231376105694729</v>
      </c>
      <c r="P14" s="30">
        <f>VLOOKUP($C14,COS!$B$8:$H$991,6,FALSE)</f>
        <v>533.257080078125</v>
      </c>
      <c r="Q14" s="30">
        <f>P14*DAY($C14)*86400/43560/1000</f>
        <v>31.730999806301654</v>
      </c>
      <c r="R14" s="30">
        <f>MIN(IF(MONTH($C14)=4,$S$3,IF(MONTH($C14)=5,$S$4,IF(MONTH($C14)=6,$S$5,IF(MONTH($C14)=7,$S$6,"ERROR")))),MAX(VLOOKUP($C14,COS!$B$8:$K$991,10,FALSE)-IF(MONTH($C14)=4,$Y$3,IF(MONTH($C14)=5,$Y$4,IF(MONTH($C14)=6,$Y$5,IF(MONTH($C14)=7,$Y$6,"ERROR")))),0),MAX(VLOOKUP($C14,COS!$B$8:$K$991,9,FALSE)-IF(MONTH($C14)=4,$V$3,IF(MONTH($C14)=5,$V$4,IF(MONTH($C14)=6,$V$5,IF(MONTH($C14)=7,$V$6,"ERROR"))))-VLOOKUP($C14,COS!$B$8:$K$991,6,FALSE)/2,0))</f>
        <v>1500</v>
      </c>
      <c r="S14" s="30">
        <f>R14*DAY($C14)*86400/43560/1000</f>
        <v>89.256198347107429</v>
      </c>
      <c r="T14" s="30">
        <f>(O14+Q14)/2+S14</f>
        <v>116.23738630310562</v>
      </c>
      <c r="U14" s="30" t="str">
        <f>IF(VLOOKUP($C14,COS!$B$8:$I$991,8,FALSE)=1,"UWFE","IBU")</f>
        <v>UWFE</v>
      </c>
      <c r="V14" s="30">
        <f>MIN(IF(IF($AA$3=2,AND(E14=1,G14=1,L14=1,L19=1,M14=1,U14="IBU"),AND(E14=1,G14=1,L14=1,L19=1,M14=1)),T14,0),I14)</f>
        <v>0</v>
      </c>
      <c r="W14" s="30"/>
      <c r="X14" s="30"/>
      <c r="Y14" s="30"/>
      <c r="Z14" s="30"/>
      <c r="AA14" s="30"/>
      <c r="AB14" s="31"/>
      <c r="AC14" s="6"/>
      <c r="AD14" s="43">
        <v>1922</v>
      </c>
      <c r="AE14" s="1">
        <f>VLOOKUP(AD14,Flags!$A$13:$B$95,2,FALSE)</f>
        <v>1</v>
      </c>
      <c r="AF14" s="43">
        <f>SUMIF($B$14:$B$742,$AD14,$I$14:$I$742)</f>
        <v>375.87902827995867</v>
      </c>
      <c r="AG14" s="43">
        <f>SUMIF($B$14:$B$742,$AD14,$T$14:$T$742)</f>
        <v>704.36979855371897</v>
      </c>
      <c r="AH14" s="43">
        <f>SUMIF($B$14:$B$742,$AD14,$V$14:$V$742)</f>
        <v>0</v>
      </c>
      <c r="AI14" s="43">
        <f>SUMIF($B$14:$B$742,$AD14,$X$14:$X$742)</f>
        <v>208.70850077479338</v>
      </c>
      <c r="AJ14" s="43">
        <f>SUMIF($B$14:$B$742,$AD14,$Z$14:$Z$742)</f>
        <v>131.72308775342202</v>
      </c>
      <c r="AK14" s="43">
        <f t="shared" ref="AK14:AK77" si="1">SUMIF($B$14:$B$742,$AD14,$AB$14:$AB$742)</f>
        <v>24.97447507747934</v>
      </c>
      <c r="AL14" s="43">
        <f>MIN(AH14,AK14)</f>
        <v>0</v>
      </c>
      <c r="AN14" s="121" t="s">
        <v>60</v>
      </c>
      <c r="AO14" s="121"/>
    </row>
    <row r="15" spans="1:41" x14ac:dyDescent="0.3">
      <c r="A15" s="32">
        <f>VLOOKUP(YEAR(C15),Flags!$A$13:$B$95,2,FALSE)</f>
        <v>1</v>
      </c>
      <c r="B15" s="24">
        <f t="shared" ref="B15:B78" si="2">YEAR(C15)</f>
        <v>1922</v>
      </c>
      <c r="C15" s="25">
        <v>8187</v>
      </c>
      <c r="D15" s="26">
        <f>VLOOKUP($C15,COS!$B$8:$H$991,3,FALSE)</f>
        <v>11232.6396484375</v>
      </c>
      <c r="E15" s="24">
        <f>IF(D15&gt;=IF(MONTH($C15)=4,$C$3,IF(MONTH($C15)=5,$C$4,IF(MONTH($C15)=6,$C$5,IF(MONTH($C15)=7,$C$6,"ERROR")))),1,0)</f>
        <v>1</v>
      </c>
      <c r="F15" s="26">
        <f>VLOOKUP($C15,COS!$B$8:$H$991,7,FALSE)</f>
        <v>55.40838623046875</v>
      </c>
      <c r="G15" s="24">
        <f>IF(F15&lt;=IF(MONTH($C15)=4,$F$3,IF(MONTH($C15)=5,$F$4,IF(MONTH($C15)=6,$F$5,IF(MONTH($C15)=7,$F$6,"ERROR")))),1,0)</f>
        <v>1</v>
      </c>
      <c r="H15" s="26">
        <f>IF(J15=1,D15-$C$4,0)</f>
        <v>5232.6396484375</v>
      </c>
      <c r="I15" s="26">
        <f t="shared" si="0"/>
        <v>321.74247094524793</v>
      </c>
      <c r="J15" s="24">
        <f t="shared" ref="J15:J17" si="3">IF(AND(E15=1,G15=1),1,0)</f>
        <v>1</v>
      </c>
      <c r="K15" s="26">
        <f>VLOOKUP($C15,COS!$B$8:$H$991,2,FALSE)</f>
        <v>4552</v>
      </c>
      <c r="L15" s="24">
        <f t="shared" ref="L15:L17" si="4">IF(K15&lt;=IF(MONTH($C15)=4,$I$3,IF(MONTH($C15)=5,$I$4,IF(MONTH($C15)=6,$I$5,IF(MONTH($C15)=7,$I$6,"ERROR")))),1,0)</f>
        <v>1</v>
      </c>
      <c r="M15" s="24">
        <f t="shared" ref="M15:M17" si="5">VLOOKUP($A15,$L$3:$M$7,2,FALSE)</f>
        <v>0</v>
      </c>
      <c r="N15" s="26">
        <f>VLOOKUP($C15,COS!$B$8:$H$991,5,FALSE)</f>
        <v>868.27056884765625</v>
      </c>
      <c r="O15" s="26">
        <f>N15*DAY($C15)*86400/43560/1000</f>
        <v>53.387876299393078</v>
      </c>
      <c r="P15" s="26">
        <f>VLOOKUP($C15,COS!$B$8:$H$991,6,FALSE)</f>
        <v>2241.916259765625</v>
      </c>
      <c r="Q15" s="26">
        <f>P15*DAY($C15)*86400/43560/1000</f>
        <v>137.85005762525824</v>
      </c>
      <c r="R15" s="26">
        <f>MIN(IF(MONTH($C15)=4,$S$3,IF(MONTH($C15)=5,$S$4,IF(MONTH($C15)=6,$S$5,IF(MONTH($C15)=7,$S$6,"ERROR")))),MAX(VLOOKUP($C15,COS!$B$8:$K$991,10,FALSE)-IF(MONTH($C15)=4,$Y$3,IF(MONTH($C15)=5,$Y$4,IF(MONTH($C15)=6,$Y$5,IF(MONTH($C15)=7,$Y$6,"ERROR")))),0),MAX(VLOOKUP($C15,COS!$B$8:$K$991,9,FALSE)-IF(MONTH($C15)=4,$V$3,IF(MONTH($C15)=5,$V$4,IF(MONTH($C15)=6,$V$5,IF(MONTH($C15)=7,$V$6,"ERROR"))))-VLOOKUP($C15,COS!$B$8:$K$991,6,FALSE)/2,0))</f>
        <v>1500</v>
      </c>
      <c r="S15" s="26">
        <f>R15*DAY($C15)*86400/43560/1000</f>
        <v>92.231404958677686</v>
      </c>
      <c r="T15" s="26">
        <f>(O15+Q15)/2+S15</f>
        <v>187.85037192100333</v>
      </c>
      <c r="U15" s="26" t="str">
        <f>IF(VLOOKUP($C15,COS!$B$8:$I$991,8,FALSE)=1,"UWFE","IBU")</f>
        <v>UWFE</v>
      </c>
      <c r="V15" s="26">
        <f>MIN(IF(IF($AA$3=2,AND(E15=1,G15=1,L15=1,L19=1,M15=1,U15="IBU"),AND(E15=1,G15=1,L15=1,L19=1,M15=1)),T15,0),I15)</f>
        <v>0</v>
      </c>
      <c r="W15" s="26"/>
      <c r="X15" s="26"/>
      <c r="Y15" s="26"/>
      <c r="Z15" s="26"/>
      <c r="AA15" s="26"/>
      <c r="AB15" s="33"/>
      <c r="AC15" s="6"/>
      <c r="AD15" s="43">
        <v>1923</v>
      </c>
      <c r="AE15" s="1">
        <f>VLOOKUP(AD15,Flags!$A$13:$B$95,2,FALSE)</f>
        <v>3</v>
      </c>
      <c r="AF15" s="43">
        <f t="shared" ref="AF15:AF78" si="6">SUMIF($B$14:$B$742,$AD15,$I$14:$I$742)</f>
        <v>198.67443246384298</v>
      </c>
      <c r="AG15" s="43">
        <f t="shared" ref="AG15:AG78" si="7">SUMIF($B$14:$B$742,$AD15,$T$14:$T$742)</f>
        <v>652.53447745835479</v>
      </c>
      <c r="AH15" s="43">
        <f t="shared" ref="AH15:AH78" si="8">SUMIF($B$14:$B$742,$AD15,$V$14:$V$742)</f>
        <v>0</v>
      </c>
      <c r="AI15" s="43">
        <f t="shared" ref="AI15:AI78" si="9">SUMIF($B$14:$B$742,$AD15,$X$14:$X$742)</f>
        <v>308.10129874741733</v>
      </c>
      <c r="AJ15" s="43">
        <f t="shared" ref="AJ15:AJ78" si="10">SUMIF($B$14:$B$742,$AD15,$Z$14:$Z$742)</f>
        <v>218.30497927831226</v>
      </c>
      <c r="AK15" s="43">
        <f t="shared" si="1"/>
        <v>44.252127836873711</v>
      </c>
      <c r="AL15" s="43">
        <f t="shared" ref="AL15:AL78" si="11">MIN(AH15,AK15)</f>
        <v>0</v>
      </c>
      <c r="AN15" s="1" t="s">
        <v>41</v>
      </c>
      <c r="AO15" s="43">
        <f>AVERAGE($AL$14:$AL$94)</f>
        <v>36.61105064894177</v>
      </c>
    </row>
    <row r="16" spans="1:41" x14ac:dyDescent="0.3">
      <c r="A16" s="32">
        <f>VLOOKUP(YEAR(C16),Flags!$A$13:$B$95,2,FALSE)</f>
        <v>1</v>
      </c>
      <c r="B16" s="24">
        <f t="shared" si="2"/>
        <v>1922</v>
      </c>
      <c r="C16" s="25">
        <v>8217</v>
      </c>
      <c r="D16" s="26">
        <f>VLOOKUP($C16,COS!$B$8:$H$991,3,FALSE)</f>
        <v>10909.794921875</v>
      </c>
      <c r="E16" s="24">
        <f>IF(D16&gt;=IF(MONTH($C16)=4,$C$3,IF(MONTH($C16)=5,$C$4,IF(MONTH($C16)=6,$C$5,IF(MONTH($C16)=7,$C$6,"ERROR")))),1,0)</f>
        <v>1</v>
      </c>
      <c r="F16" s="26">
        <f>VLOOKUP($C16,COS!$B$8:$H$991,7,FALSE)</f>
        <v>53.329750061035156</v>
      </c>
      <c r="G16" s="24">
        <f>IF(F16&lt;=IF(MONTH($C16)=4,$F$3,IF(MONTH($C16)=5,$F$4,IF(MONTH($C16)=6,$F$5,IF(MONTH($C16)=7,$F$6,"ERROR")))),1,0)</f>
        <v>1</v>
      </c>
      <c r="H16" s="26">
        <f>IF(J16=1,D16-$C$5,0)</f>
        <v>909.794921875</v>
      </c>
      <c r="I16" s="26">
        <f t="shared" si="0"/>
        <v>54.136557334710744</v>
      </c>
      <c r="J16" s="24">
        <f t="shared" si="3"/>
        <v>1</v>
      </c>
      <c r="K16" s="26">
        <f>VLOOKUP($C16,COS!$B$8:$H$991,2,FALSE)</f>
        <v>4241.47265625</v>
      </c>
      <c r="L16" s="24">
        <f t="shared" si="4"/>
        <v>1</v>
      </c>
      <c r="M16" s="24">
        <f t="shared" si="5"/>
        <v>0</v>
      </c>
      <c r="N16" s="26">
        <f>VLOOKUP($C16,COS!$B$8:$H$991,5,FALSE)</f>
        <v>1108.1929931640625</v>
      </c>
      <c r="O16" s="26">
        <f>N16*DAY($C16)*86400/43560/1000</f>
        <v>65.942062403150814</v>
      </c>
      <c r="P16" s="26">
        <f>VLOOKUP($C16,COS!$B$8:$H$991,6,FALSE)</f>
        <v>2347.418701171875</v>
      </c>
      <c r="Q16" s="26">
        <f>P16*DAY($C16)*86400/43560/1000</f>
        <v>139.68111279700415</v>
      </c>
      <c r="R16" s="26">
        <f>MIN(IF(MONTH($C16)=4,$S$3,IF(MONTH($C16)=5,$S$4,IF(MONTH($C16)=6,$S$5,IF(MONTH($C16)=7,$S$6,"ERROR")))),MAX(VLOOKUP($C16,COS!$B$8:$K$991,10,FALSE)-IF(MONTH($C16)=4,$Y$3,IF(MONTH($C16)=5,$Y$4,IF(MONTH($C16)=6,$Y$5,IF(MONTH($C16)=7,$Y$6,"ERROR")))),0),MAX(VLOOKUP($C16,COS!$B$8:$K$991,9,FALSE)-IF(MONTH($C16)=4,$V$3,IF(MONTH($C16)=5,$V$4,IF(MONTH($C16)=6,$V$5,IF(MONTH($C16)=7,$V$6,"ERROR"))))-VLOOKUP($C16,COS!$B$8:$K$991,6,FALSE)/2,0))</f>
        <v>1500</v>
      </c>
      <c r="S16" s="26">
        <f>R16*DAY($C16)*86400/43560/1000</f>
        <v>89.256198347107429</v>
      </c>
      <c r="T16" s="26">
        <f t="shared" ref="T16:T17" si="12">(O16+Q16)/2+S16</f>
        <v>192.06778594718492</v>
      </c>
      <c r="U16" s="26" t="str">
        <f>IF(VLOOKUP($C16,COS!$B$8:$I$991,8,FALSE)=1,"UWFE","IBU")</f>
        <v>UWFE</v>
      </c>
      <c r="V16" s="26">
        <f>MIN(IF(IF($AA$3=2,AND(E16=1,G16=1,L16=1,L19=1,M16=1,U16="IBU"),AND(E16=1,G16=1,L16=1,L19=1,M16=1)),T16,0),I16)</f>
        <v>0</v>
      </c>
      <c r="W16" s="26"/>
      <c r="X16" s="26"/>
      <c r="Y16" s="26"/>
      <c r="Z16" s="26"/>
      <c r="AA16" s="26"/>
      <c r="AB16" s="33"/>
      <c r="AC16" s="6"/>
      <c r="AD16" s="43">
        <v>1924</v>
      </c>
      <c r="AE16" s="1">
        <f>VLOOKUP(AD16,Flags!$A$13:$B$95,2,FALSE)</f>
        <v>5</v>
      </c>
      <c r="AF16" s="43">
        <f t="shared" si="6"/>
        <v>161.14381650309917</v>
      </c>
      <c r="AG16" s="43">
        <f t="shared" si="7"/>
        <v>617.91795171059857</v>
      </c>
      <c r="AH16" s="43">
        <f t="shared" si="8"/>
        <v>0</v>
      </c>
      <c r="AI16" s="43">
        <f t="shared" si="9"/>
        <v>509.46418678977273</v>
      </c>
      <c r="AJ16" s="43">
        <f t="shared" si="10"/>
        <v>598.65797722430273</v>
      </c>
      <c r="AK16" s="43">
        <f t="shared" si="1"/>
        <v>394.84584815663743</v>
      </c>
      <c r="AL16" s="43">
        <f t="shared" si="11"/>
        <v>0</v>
      </c>
      <c r="AN16" s="1" t="s">
        <v>43</v>
      </c>
      <c r="AO16" s="43">
        <f>AVERAGEIF(Flags!$G$14:$G$94,1,$AL$14:$AL$94)</f>
        <v>61.721562393710919</v>
      </c>
    </row>
    <row r="17" spans="1:42" x14ac:dyDescent="0.3">
      <c r="A17" s="32">
        <f>VLOOKUP(YEAR(C17),Flags!$A$13:$B$95,2,FALSE)</f>
        <v>1</v>
      </c>
      <c r="B17" s="24">
        <f t="shared" si="2"/>
        <v>1922</v>
      </c>
      <c r="C17" s="25">
        <v>8248</v>
      </c>
      <c r="D17" s="26">
        <f>VLOOKUP($C17,COS!$B$8:$H$991,3,FALSE)</f>
        <v>12170.349609375</v>
      </c>
      <c r="E17" s="24">
        <f>IF(D17&gt;=IF(MONTH($C17)=4,$C$3,IF(MONTH($C17)=5,$C$4,IF(MONTH($C17)=6,$C$5,IF(MONTH($C17)=7,$C$6,"ERROR")))),1,0)</f>
        <v>1</v>
      </c>
      <c r="F17" s="26">
        <f>VLOOKUP($C17,COS!$B$8:$H$991,7,FALSE)</f>
        <v>54.132045745849609</v>
      </c>
      <c r="G17" s="24">
        <f>IF(F17&lt;=IF(MONTH($C17)=4,$F$3,IF(MONTH($C17)=5,$F$4,IF(MONTH($C17)=6,$F$5,IF(MONTH($C17)=7,$F$6,"ERROR")))),1,0)</f>
        <v>0</v>
      </c>
      <c r="H17" s="26">
        <f>IF(J17=1,D17-$C$6,0)</f>
        <v>0</v>
      </c>
      <c r="I17" s="26">
        <f t="shared" si="0"/>
        <v>0</v>
      </c>
      <c r="J17" s="24">
        <f t="shared" si="3"/>
        <v>0</v>
      </c>
      <c r="K17" s="26">
        <f>VLOOKUP($C17,COS!$B$8:$H$991,2,FALSE)</f>
        <v>3788.69091796875</v>
      </c>
      <c r="L17" s="24">
        <f t="shared" si="4"/>
        <v>1</v>
      </c>
      <c r="M17" s="24">
        <f t="shared" si="5"/>
        <v>0</v>
      </c>
      <c r="N17" s="26">
        <f>VLOOKUP($C17,COS!$B$8:$H$991,5,FALSE)</f>
        <v>1209.6676025390625</v>
      </c>
      <c r="O17" s="26">
        <f>N17*DAY($C17)*86400/43560/1000</f>
        <v>74.379561676782032</v>
      </c>
      <c r="P17" s="26">
        <f>VLOOKUP($C17,COS!$B$8:$H$991,6,FALSE)</f>
        <v>2562.892822265625</v>
      </c>
      <c r="Q17" s="26">
        <f>P17*DAY($C17)*86400/43560/1000</f>
        <v>157.58613717071282</v>
      </c>
      <c r="R17" s="26">
        <f>MIN(IF(MONTH($C17)=4,$S$3,IF(MONTH($C17)=5,$S$4,IF(MONTH($C17)=6,$S$5,IF(MONTH($C17)=7,$S$6,"ERROR")))),MAX(VLOOKUP($C17,COS!$B$8:$K$991,10,FALSE)-IF(MONTH($C17)=4,$Y$3,IF(MONTH($C17)=5,$Y$4,IF(MONTH($C17)=6,$Y$5,IF(MONTH($C17)=7,$Y$6,"ERROR")))),0),MAX(VLOOKUP($C17,COS!$B$8:$K$991,9,FALSE)-IF(MONTH($C17)=4,$V$3,IF(MONTH($C17)=5,$V$4,IF(MONTH($C17)=6,$V$5,IF(MONTH($C17)=7,$V$6,"ERROR"))))-VLOOKUP($C17,COS!$B$8:$K$991,6,FALSE)/2,0))</f>
        <v>1500</v>
      </c>
      <c r="S17" s="26">
        <f>R17*DAY($C17)*86400/43560/1000</f>
        <v>92.231404958677686</v>
      </c>
      <c r="T17" s="26">
        <f t="shared" si="12"/>
        <v>208.21425438242511</v>
      </c>
      <c r="U17" s="26" t="str">
        <f>IF(VLOOKUP($C17,COS!$B$8:$I$991,8,FALSE)=1,"UWFE","IBU")</f>
        <v>IBU</v>
      </c>
      <c r="V17" s="26">
        <f>MIN(IF(IF($AA$3=2,AND(E17=1,G17=1,L17=1,L19=1,M17=1,U17="IBU"),AND(E17=1,G17=1,L17=1,L19=1,M17=1)),T17,0),I17)</f>
        <v>0</v>
      </c>
      <c r="W17" s="26"/>
      <c r="X17" s="26"/>
      <c r="Y17" s="26"/>
      <c r="Z17" s="26"/>
      <c r="AA17" s="26"/>
      <c r="AB17" s="33"/>
      <c r="AC17" s="6"/>
      <c r="AD17" s="43">
        <v>1925</v>
      </c>
      <c r="AE17" s="1">
        <f>VLOOKUP(AD17,Flags!$A$13:$B$95,2,FALSE)</f>
        <v>4</v>
      </c>
      <c r="AF17" s="43">
        <f t="shared" si="6"/>
        <v>43.79148308367769</v>
      </c>
      <c r="AG17" s="43">
        <f t="shared" si="7"/>
        <v>654.4869609132877</v>
      </c>
      <c r="AH17" s="43">
        <f t="shared" si="8"/>
        <v>42.764748192148765</v>
      </c>
      <c r="AI17" s="43">
        <f t="shared" si="9"/>
        <v>228.30093120480373</v>
      </c>
      <c r="AJ17" s="43">
        <f t="shared" si="10"/>
        <v>376.96743043001032</v>
      </c>
      <c r="AK17" s="43">
        <f t="shared" si="1"/>
        <v>194.00220485214362</v>
      </c>
      <c r="AL17" s="43">
        <f>MIN(AH17,AK17)</f>
        <v>42.764748192148765</v>
      </c>
      <c r="AN17" s="1" t="s">
        <v>30</v>
      </c>
      <c r="AO17" s="43">
        <f>AVERAGEIF($AE$14:$AE$94,1,$AL$14:$AL$94)</f>
        <v>0</v>
      </c>
    </row>
    <row r="18" spans="1:42" x14ac:dyDescent="0.3">
      <c r="A18" s="32">
        <f>VLOOKUP(YEAR(C18),Flags!$A$13:$B$95,2,FALSE)</f>
        <v>1</v>
      </c>
      <c r="B18" s="24">
        <f t="shared" si="2"/>
        <v>1922</v>
      </c>
      <c r="C18" s="25">
        <v>8279</v>
      </c>
      <c r="D18" s="26"/>
      <c r="E18" s="24"/>
      <c r="F18" s="26"/>
      <c r="G18" s="24"/>
      <c r="H18" s="24"/>
      <c r="I18" s="26"/>
      <c r="J18" s="24"/>
      <c r="K18" s="26"/>
      <c r="L18" s="24"/>
      <c r="M18" s="24"/>
      <c r="N18" s="26"/>
      <c r="O18" s="26"/>
      <c r="P18" s="26"/>
      <c r="Q18" s="26"/>
      <c r="R18" s="26"/>
      <c r="S18" s="26"/>
      <c r="T18" s="26"/>
      <c r="U18" s="26"/>
      <c r="V18" s="26"/>
      <c r="W18" s="26">
        <f>MAX($C$7-VLOOKUP($C18,COS!$B$8:$H$991,3,FALSE),0)</f>
        <v>1238.1474609375</v>
      </c>
      <c r="X18" s="26">
        <f t="shared" ref="X18:X22" si="13">W18*DAY($C18)*86400/43560/1000</f>
        <v>76.130719912190074</v>
      </c>
      <c r="Y18" s="26">
        <f>VLOOKUP($C18,COS!$B$8:$H$991,4,FALSE)</f>
        <v>0</v>
      </c>
      <c r="Z18" s="26">
        <f t="shared" ref="Z18:Z22" si="14">Y18*DAY($C18)*86400/43560/1000</f>
        <v>0</v>
      </c>
      <c r="AA18" s="26">
        <f>MIN(W18,Y18)</f>
        <v>0</v>
      </c>
      <c r="AB18" s="33">
        <f>AA18*DAY($C18)*86400/43560/1000*IF(MONTH($C18)=8,$P$3,IF(MONTH($C18)=9,$P$4,IF(MONTH($C18)=10,$P$5,IF(MONTH($C18)=11,$P$6,IF(MONTH($C18)=12,$P$7,NA())))))</f>
        <v>0</v>
      </c>
      <c r="AC18" s="6"/>
      <c r="AD18" s="43">
        <v>1926</v>
      </c>
      <c r="AE18" s="1">
        <f>VLOOKUP(AD18,Flags!$A$13:$B$95,2,FALSE)</f>
        <v>4</v>
      </c>
      <c r="AF18" s="43">
        <f t="shared" si="6"/>
        <v>194.10762009297522</v>
      </c>
      <c r="AG18" s="43">
        <f t="shared" si="7"/>
        <v>628.74933393746369</v>
      </c>
      <c r="AH18" s="43">
        <f t="shared" si="8"/>
        <v>173.3633407870206</v>
      </c>
      <c r="AI18" s="43">
        <f t="shared" si="9"/>
        <v>529.45677040289252</v>
      </c>
      <c r="AJ18" s="43">
        <f t="shared" si="10"/>
        <v>222.87584847946798</v>
      </c>
      <c r="AK18" s="43">
        <f t="shared" si="1"/>
        <v>151.4505739927686</v>
      </c>
      <c r="AL18" s="43">
        <f t="shared" si="11"/>
        <v>151.4505739927686</v>
      </c>
      <c r="AN18" s="1" t="s">
        <v>42</v>
      </c>
      <c r="AO18" s="43">
        <f>AVERAGEIF($AE$14:$AE$94,2,$AL$14:$AL$94)</f>
        <v>0</v>
      </c>
    </row>
    <row r="19" spans="1:42" x14ac:dyDescent="0.3">
      <c r="A19" s="32">
        <f>VLOOKUP(YEAR(C19),Flags!$A$13:$B$95,2,FALSE)</f>
        <v>1</v>
      </c>
      <c r="B19" s="24">
        <f t="shared" si="2"/>
        <v>1922</v>
      </c>
      <c r="C19" s="25">
        <v>8309</v>
      </c>
      <c r="D19" s="26"/>
      <c r="E19" s="24"/>
      <c r="F19" s="26"/>
      <c r="G19" s="24"/>
      <c r="H19" s="24"/>
      <c r="I19" s="26"/>
      <c r="J19" s="24"/>
      <c r="K19" s="26">
        <f>VLOOKUP($C19,COS!$B$8:$H$991,2,FALSE)</f>
        <v>2693.51513671875</v>
      </c>
      <c r="L19" s="24">
        <f>IF(AND(K19&gt;$I$7,K19&lt;$I$8),1,0)</f>
        <v>1</v>
      </c>
      <c r="M19" s="24"/>
      <c r="N19" s="26"/>
      <c r="O19" s="26"/>
      <c r="P19" s="26"/>
      <c r="Q19" s="26"/>
      <c r="R19" s="26"/>
      <c r="S19" s="26"/>
      <c r="T19" s="26"/>
      <c r="U19" s="26"/>
      <c r="V19" s="26"/>
      <c r="W19" s="26">
        <f>MAX($C$8-VLOOKUP($C19,COS!$B$8:$H$991,3,FALSE),0)</f>
        <v>0</v>
      </c>
      <c r="X19" s="26">
        <f t="shared" si="13"/>
        <v>0</v>
      </c>
      <c r="Y19" s="26">
        <f>VLOOKUP($C19,COS!$B$8:$H$991,4,FALSE)</f>
        <v>136.41513061523438</v>
      </c>
      <c r="Z19" s="26">
        <f t="shared" si="14"/>
        <v>8.1172639704932852</v>
      </c>
      <c r="AA19" s="26">
        <f t="shared" ref="AA19:AA22" si="15">MIN(W19,Y19)</f>
        <v>0</v>
      </c>
      <c r="AB19" s="33">
        <f t="shared" ref="AB19:AB22" si="16">AA19*DAY($C19)*86400/43560/1000*IF(MONTH($C19)=8,$P$3,IF(MONTH($C19)=9,$P$4,IF(MONTH($C19)=10,$P$5,IF(MONTH($C19)=11,$P$6,IF(MONTH($C19)=12,$P$7,NA())))))</f>
        <v>0</v>
      </c>
      <c r="AC19" s="6"/>
      <c r="AD19" s="43">
        <v>1927</v>
      </c>
      <c r="AE19" s="1">
        <f>VLOOKUP(AD19,Flags!$A$13:$B$95,2,FALSE)</f>
        <v>2</v>
      </c>
      <c r="AF19" s="43">
        <f t="shared" si="6"/>
        <v>577.17067019628098</v>
      </c>
      <c r="AG19" s="43">
        <f t="shared" si="7"/>
        <v>702.40231152747288</v>
      </c>
      <c r="AH19" s="43">
        <f t="shared" si="8"/>
        <v>0</v>
      </c>
      <c r="AI19" s="43">
        <f t="shared" si="9"/>
        <v>137.62503341296488</v>
      </c>
      <c r="AJ19" s="43">
        <f t="shared" si="10"/>
        <v>102.32853633659931</v>
      </c>
      <c r="AK19" s="43">
        <f t="shared" si="1"/>
        <v>8.0681397392336009</v>
      </c>
      <c r="AL19" s="43">
        <f t="shared" si="11"/>
        <v>0</v>
      </c>
      <c r="AN19" s="1" t="s">
        <v>32</v>
      </c>
      <c r="AO19" s="43">
        <f>AVERAGEIF($AE$14:$AE$94,3,$AL$14:$AL$94)</f>
        <v>0</v>
      </c>
    </row>
    <row r="20" spans="1:42" x14ac:dyDescent="0.3">
      <c r="A20" s="32">
        <f>VLOOKUP(YEAR(C20),Flags!$A$13:$B$95,2,FALSE)</f>
        <v>1</v>
      </c>
      <c r="B20" s="24">
        <f t="shared" si="2"/>
        <v>1922</v>
      </c>
      <c r="C20" s="25">
        <v>8340</v>
      </c>
      <c r="D20" s="26"/>
      <c r="E20" s="24"/>
      <c r="F20" s="26"/>
      <c r="G20" s="26"/>
      <c r="H20" s="26"/>
      <c r="I20" s="26"/>
      <c r="J20" s="26"/>
      <c r="K20" s="26"/>
      <c r="L20" s="24"/>
      <c r="M20" s="24"/>
      <c r="N20" s="26"/>
      <c r="O20" s="26"/>
      <c r="P20" s="26"/>
      <c r="Q20" s="26"/>
      <c r="R20" s="26"/>
      <c r="S20" s="26"/>
      <c r="T20" s="26"/>
      <c r="U20" s="26"/>
      <c r="V20" s="26"/>
      <c r="W20" s="26">
        <f>MAX($C$9-VLOOKUP($C20,COS!$B$8:$H$991,3,FALSE),0)</f>
        <v>406.1708984375</v>
      </c>
      <c r="X20" s="26">
        <f t="shared" si="13"/>
        <v>24.97447507747934</v>
      </c>
      <c r="Y20" s="26">
        <f>VLOOKUP($C20,COS!$B$8:$H$991,4,FALSE)</f>
        <v>940.9134521484375</v>
      </c>
      <c r="Z20" s="26">
        <f t="shared" si="14"/>
        <v>57.85451309077996</v>
      </c>
      <c r="AA20" s="26">
        <f t="shared" si="15"/>
        <v>406.1708984375</v>
      </c>
      <c r="AB20" s="33">
        <f t="shared" si="16"/>
        <v>24.97447507747934</v>
      </c>
      <c r="AC20" s="6"/>
      <c r="AD20" s="44">
        <v>1928</v>
      </c>
      <c r="AE20" s="45">
        <f>VLOOKUP(AD20,Flags!$A$13:$B$95,2,FALSE)</f>
        <v>2</v>
      </c>
      <c r="AF20" s="44">
        <f t="shared" si="6"/>
        <v>530.64339456353309</v>
      </c>
      <c r="AG20" s="44">
        <f t="shared" si="7"/>
        <v>653.27225191478885</v>
      </c>
      <c r="AH20" s="44">
        <f t="shared" si="8"/>
        <v>0</v>
      </c>
      <c r="AI20" s="44">
        <f t="shared" si="9"/>
        <v>107.60330578512398</v>
      </c>
      <c r="AJ20" s="44">
        <f t="shared" si="10"/>
        <v>112.69071519394552</v>
      </c>
      <c r="AK20" s="44">
        <f t="shared" si="1"/>
        <v>0</v>
      </c>
      <c r="AL20" s="44">
        <f t="shared" si="11"/>
        <v>0</v>
      </c>
      <c r="AN20" s="1" t="s">
        <v>33</v>
      </c>
      <c r="AO20" s="43">
        <f>AVERAGEIF($AE$14:$AE$94,4,$AL$14:$AL$94)</f>
        <v>142.74297734864291</v>
      </c>
    </row>
    <row r="21" spans="1:42" x14ac:dyDescent="0.3">
      <c r="A21" s="32">
        <f>VLOOKUP(YEAR(C21),Flags!$A$13:$B$95,2,FALSE)</f>
        <v>1</v>
      </c>
      <c r="B21" s="24">
        <f t="shared" si="2"/>
        <v>1922</v>
      </c>
      <c r="C21" s="25">
        <v>8370</v>
      </c>
      <c r="D21" s="26"/>
      <c r="E21" s="24"/>
      <c r="F21" s="26"/>
      <c r="G21" s="26"/>
      <c r="H21" s="26"/>
      <c r="I21" s="26"/>
      <c r="J21" s="26"/>
      <c r="K21" s="26"/>
      <c r="L21" s="24"/>
      <c r="M21" s="24"/>
      <c r="N21" s="26"/>
      <c r="O21" s="26"/>
      <c r="P21" s="26"/>
      <c r="Q21" s="26"/>
      <c r="R21" s="26"/>
      <c r="S21" s="26"/>
      <c r="T21" s="26"/>
      <c r="U21" s="26"/>
      <c r="V21" s="26"/>
      <c r="W21" s="26">
        <f>MAX($C$10-VLOOKUP($C21,COS!$B$8:$H$991,3,FALSE),0)</f>
        <v>0</v>
      </c>
      <c r="X21" s="26">
        <f t="shared" si="13"/>
        <v>0</v>
      </c>
      <c r="Y21" s="26">
        <f>VLOOKUP($C21,COS!$B$8:$H$991,4,FALSE)</f>
        <v>1104.9873046875</v>
      </c>
      <c r="Z21" s="26">
        <f t="shared" si="14"/>
        <v>65.751310692148763</v>
      </c>
      <c r="AA21" s="26">
        <f t="shared" si="15"/>
        <v>0</v>
      </c>
      <c r="AB21" s="33">
        <f t="shared" si="16"/>
        <v>0</v>
      </c>
      <c r="AC21" s="6"/>
      <c r="AD21" s="44">
        <v>1929</v>
      </c>
      <c r="AE21" s="45">
        <f>VLOOKUP(AD21,Flags!$A$13:$B$95,2,FALSE)</f>
        <v>5</v>
      </c>
      <c r="AF21" s="44">
        <f t="shared" si="6"/>
        <v>127.9222265625</v>
      </c>
      <c r="AG21" s="44">
        <f t="shared" si="7"/>
        <v>580.13305915265039</v>
      </c>
      <c r="AH21" s="44">
        <f t="shared" si="8"/>
        <v>0</v>
      </c>
      <c r="AI21" s="44">
        <f t="shared" si="9"/>
        <v>444.8070160769629</v>
      </c>
      <c r="AJ21" s="44">
        <f t="shared" si="10"/>
        <v>547.35015011621897</v>
      </c>
      <c r="AK21" s="44">
        <f t="shared" si="1"/>
        <v>342.58238943052686</v>
      </c>
      <c r="AL21" s="44">
        <f t="shared" si="11"/>
        <v>0</v>
      </c>
      <c r="AN21" s="1" t="s">
        <v>10</v>
      </c>
      <c r="AO21" s="43">
        <f>AVERAGEIF($AE$14:$AE$94,5,$AL$14:$AL$94)</f>
        <v>9.2196296326188012</v>
      </c>
    </row>
    <row r="22" spans="1:42" x14ac:dyDescent="0.3">
      <c r="A22" s="34">
        <f>VLOOKUP(YEAR(C22),Flags!$A$13:$B$95,2,FALSE)</f>
        <v>1</v>
      </c>
      <c r="B22" s="35">
        <f t="shared" si="2"/>
        <v>1922</v>
      </c>
      <c r="C22" s="36">
        <v>8401</v>
      </c>
      <c r="D22" s="37"/>
      <c r="E22" s="35"/>
      <c r="F22" s="37"/>
      <c r="G22" s="37"/>
      <c r="H22" s="37"/>
      <c r="I22" s="37"/>
      <c r="J22" s="37"/>
      <c r="K22" s="37"/>
      <c r="L22" s="35"/>
      <c r="M22" s="35"/>
      <c r="N22" s="37"/>
      <c r="O22" s="37"/>
      <c r="P22" s="37"/>
      <c r="Q22" s="37"/>
      <c r="R22" s="37"/>
      <c r="S22" s="37"/>
      <c r="T22" s="37"/>
      <c r="U22" s="37"/>
      <c r="V22" s="37"/>
      <c r="W22" s="37">
        <f>MAX($C$11-VLOOKUP($C22,COS!$B$8:$H$991,3,FALSE),0)</f>
        <v>1750</v>
      </c>
      <c r="X22" s="37">
        <f t="shared" si="13"/>
        <v>107.60330578512398</v>
      </c>
      <c r="Y22" s="37">
        <f>VLOOKUP($C22,COS!$B$8:$H$991,4,FALSE)</f>
        <v>0</v>
      </c>
      <c r="Z22" s="37">
        <f t="shared" si="14"/>
        <v>0</v>
      </c>
      <c r="AA22" s="37">
        <f t="shared" si="15"/>
        <v>0</v>
      </c>
      <c r="AB22" s="38">
        <f t="shared" si="16"/>
        <v>0</v>
      </c>
      <c r="AC22" s="6"/>
      <c r="AD22" s="44">
        <v>1930</v>
      </c>
      <c r="AE22" s="45">
        <f>VLOOKUP(AD22,Flags!$A$13:$B$95,2,FALSE)</f>
        <v>4</v>
      </c>
      <c r="AF22" s="44">
        <f t="shared" si="6"/>
        <v>0</v>
      </c>
      <c r="AG22" s="44">
        <f t="shared" si="7"/>
        <v>613.88301786690704</v>
      </c>
      <c r="AH22" s="44">
        <f t="shared" si="8"/>
        <v>0</v>
      </c>
      <c r="AI22" s="44">
        <f t="shared" si="9"/>
        <v>575.74670260847108</v>
      </c>
      <c r="AJ22" s="44">
        <f t="shared" si="10"/>
        <v>529.99753042678208</v>
      </c>
      <c r="AK22" s="44">
        <f t="shared" si="1"/>
        <v>406.8180105565599</v>
      </c>
      <c r="AL22" s="44">
        <f t="shared" si="11"/>
        <v>0</v>
      </c>
    </row>
    <row r="23" spans="1:42" x14ac:dyDescent="0.3">
      <c r="A23" s="27">
        <f>VLOOKUP(YEAR(C23),Flags!$A$13:$B$95,2,FALSE)</f>
        <v>3</v>
      </c>
      <c r="B23" s="28">
        <f t="shared" si="2"/>
        <v>1923</v>
      </c>
      <c r="C23" s="29">
        <v>8521</v>
      </c>
      <c r="D23" s="30">
        <f>VLOOKUP($C23,COS!$B$8:$H$991,3,FALSE)</f>
        <v>3250</v>
      </c>
      <c r="E23" s="28">
        <f>IF(D23&gt;=IF(MONTH($C23)=4,$C$3,IF(MONTH($C23)=5,$C$4,IF(MONTH($C23)=6,$C$5,IF(MONTH($C23)=7,$C$6,"ERROR")))),1,0)</f>
        <v>0</v>
      </c>
      <c r="F23" s="30">
        <f>VLOOKUP($C23,COS!$B$8:$H$991,7,FALSE)</f>
        <v>52.349773406982422</v>
      </c>
      <c r="G23" s="28">
        <f>IF(F23&lt;=IF(MONTH($C23)=4,$F$3,IF(MONTH($C23)=5,$F$4,IF(MONTH($C23)=6,$F$5,IF(MONTH($C23)=7,$F$6,"ERROR")))),1,0)</f>
        <v>1</v>
      </c>
      <c r="H23" s="30">
        <f>IF(J23=1,D23-$C$3,0)</f>
        <v>0</v>
      </c>
      <c r="I23" s="30">
        <f t="shared" ref="I23:I86" si="17">H23*DAY($C23)*86400/43560/1000</f>
        <v>0</v>
      </c>
      <c r="J23" s="28">
        <f t="shared" ref="J23:J26" si="18">IF(AND(E23=1,G23=1),1,0)</f>
        <v>0</v>
      </c>
      <c r="K23" s="30">
        <f>VLOOKUP($C23,COS!$B$8:$H$991,2,FALSE)</f>
        <v>3743.0517578125</v>
      </c>
      <c r="L23" s="28">
        <f t="shared" ref="L23:L80" si="19">IF(K23&lt;=IF(MONTH($C23)=4,$I$3,IF(MONTH($C23)=5,$I$4,IF(MONTH($C23)=6,$I$5,IF(MONTH($C23)=7,$I$6,"ERROR")))),1,0)</f>
        <v>1</v>
      </c>
      <c r="M23" s="28">
        <f t="shared" ref="M23:M80" si="20">VLOOKUP($A23,$L$3:$M$7,2,FALSE)</f>
        <v>0</v>
      </c>
      <c r="N23" s="30">
        <f>VLOOKUP($C23,COS!$B$8:$H$991,5,FALSE)</f>
        <v>244.48347473144531</v>
      </c>
      <c r="O23" s="30">
        <f t="shared" ref="O23:O26" si="21">N23*DAY($C23)*86400/43560/1000</f>
        <v>14.547777008813275</v>
      </c>
      <c r="P23" s="30">
        <f>VLOOKUP($C23,COS!$B$8:$H$991,6,FALSE)</f>
        <v>427.781494140625</v>
      </c>
      <c r="Q23" s="30">
        <f t="shared" ref="Q23:Q26" si="22">P23*DAY($C23)*86400/43560/1000</f>
        <v>25.454766593491733</v>
      </c>
      <c r="R23" s="30">
        <f>MIN(IF(MONTH($C23)=4,$S$3,IF(MONTH($C23)=5,$S$4,IF(MONTH($C23)=6,$S$5,IF(MONTH($C23)=7,$S$6,"ERROR")))),MAX(VLOOKUP($C23,COS!$B$8:$K$991,10,FALSE)-IF(MONTH($C23)=4,$Y$3,IF(MONTH($C23)=5,$Y$4,IF(MONTH($C23)=6,$Y$5,IF(MONTH($C23)=7,$Y$6,"ERROR")))),0),MAX(VLOOKUP($C23,COS!$B$8:$K$991,9,FALSE)-IF(MONTH($C23)=4,$V$3,IF(MONTH($C23)=5,$V$4,IF(MONTH($C23)=6,$V$5,IF(MONTH($C23)=7,$V$6,"ERROR"))))-VLOOKUP($C23,COS!$B$8:$K$991,6,FALSE)/2,0))</f>
        <v>1500</v>
      </c>
      <c r="S23" s="30">
        <f t="shared" ref="S23:S26" si="23">R23*DAY($C23)*86400/43560/1000</f>
        <v>89.256198347107429</v>
      </c>
      <c r="T23" s="30">
        <f t="shared" ref="T23:T26" si="24">(O23+Q23)/2+S23</f>
        <v>109.25747014825993</v>
      </c>
      <c r="U23" s="30" t="str">
        <f>IF(VLOOKUP($C23,COS!$B$8:$I$991,8,FALSE)=1,"UWFE","IBU")</f>
        <v>UWFE</v>
      </c>
      <c r="V23" s="30">
        <f t="shared" ref="V23" si="25">MIN(IF(IF($AA$3=2,AND(E23=1,G23=1,L23=1,L28=1,M23=1,U23="IBU"),AND(E23=1,G23=1,L23=1,L28=1,M23=1)),T23,0),I23)</f>
        <v>0</v>
      </c>
      <c r="W23" s="30"/>
      <c r="X23" s="30"/>
      <c r="Y23" s="30"/>
      <c r="Z23" s="30"/>
      <c r="AA23" s="30"/>
      <c r="AB23" s="31"/>
      <c r="AC23" s="6"/>
      <c r="AD23" s="44">
        <v>1931</v>
      </c>
      <c r="AE23" s="45">
        <f>VLOOKUP(AD23,Flags!$A$13:$B$95,2,FALSE)</f>
        <v>5</v>
      </c>
      <c r="AF23" s="44">
        <f t="shared" si="6"/>
        <v>174.23468879132233</v>
      </c>
      <c r="AG23" s="44">
        <f t="shared" si="7"/>
        <v>600.06150887985859</v>
      </c>
      <c r="AH23" s="44">
        <f t="shared" si="8"/>
        <v>0</v>
      </c>
      <c r="AI23" s="44">
        <f t="shared" si="9"/>
        <v>608.122954222624</v>
      </c>
      <c r="AJ23" s="44">
        <f t="shared" si="10"/>
        <v>417.20645168840394</v>
      </c>
      <c r="AK23" s="44">
        <f t="shared" si="1"/>
        <v>318.64129116089873</v>
      </c>
      <c r="AL23" s="44">
        <f t="shared" si="11"/>
        <v>0</v>
      </c>
      <c r="AN23" s="6">
        <f>AO15</f>
        <v>36.61105064894177</v>
      </c>
      <c r="AO23">
        <f t="shared" ref="AO23:AO33" si="26">COUNTIF($AL$14:$AL$94,"&gt;"&amp;AN23)</f>
        <v>15</v>
      </c>
      <c r="AP23">
        <f>AVERAGEIF($AL$14:$AL$94,"&gt;"&amp;AN23)</f>
        <v>195.37449917577317</v>
      </c>
    </row>
    <row r="24" spans="1:42" x14ac:dyDescent="0.3">
      <c r="A24" s="32">
        <f>VLOOKUP(YEAR(C24),Flags!$A$13:$B$95,2,FALSE)</f>
        <v>3</v>
      </c>
      <c r="B24" s="24">
        <f t="shared" si="2"/>
        <v>1923</v>
      </c>
      <c r="C24" s="25">
        <v>8552</v>
      </c>
      <c r="D24" s="26">
        <f>VLOOKUP($C24,COS!$B$8:$H$991,3,FALSE)</f>
        <v>9231.1298828125</v>
      </c>
      <c r="E24" s="24">
        <f>IF(D24&gt;=IF(MONTH($C24)=4,$C$3,IF(MONTH($C24)=5,$C$4,IF(MONTH($C24)=6,$C$5,IF(MONTH($C24)=7,$C$6,"ERROR")))),1,0)</f>
        <v>1</v>
      </c>
      <c r="F24" s="26">
        <f>VLOOKUP($C24,COS!$B$8:$H$991,7,FALSE)</f>
        <v>55.448532104492188</v>
      </c>
      <c r="G24" s="24">
        <f>IF(F24&lt;=IF(MONTH($C24)=4,$F$3,IF(MONTH($C24)=5,$F$4,IF(MONTH($C24)=6,$F$5,IF(MONTH($C24)=7,$F$6,"ERROR")))),1,0)</f>
        <v>1</v>
      </c>
      <c r="H24" s="26">
        <f>IF(J24=1,D24-$C$4,0)</f>
        <v>3231.1298828125</v>
      </c>
      <c r="I24" s="26">
        <f t="shared" si="17"/>
        <v>198.67443246384298</v>
      </c>
      <c r="J24" s="24">
        <f t="shared" si="18"/>
        <v>1</v>
      </c>
      <c r="K24" s="26">
        <f>VLOOKUP($C24,COS!$B$8:$H$991,2,FALSE)</f>
        <v>3524.205322265625</v>
      </c>
      <c r="L24" s="24">
        <f t="shared" si="19"/>
        <v>1</v>
      </c>
      <c r="M24" s="24">
        <f t="shared" si="20"/>
        <v>0</v>
      </c>
      <c r="N24" s="26">
        <f>VLOOKUP($C24,COS!$B$8:$H$991,5,FALSE)</f>
        <v>301.41696166992188</v>
      </c>
      <c r="O24" s="26">
        <f t="shared" si="21"/>
        <v>18.533406568795193</v>
      </c>
      <c r="P24" s="26">
        <f>VLOOKUP($C24,COS!$B$8:$H$991,6,FALSE)</f>
        <v>2265.772216796875</v>
      </c>
      <c r="Q24" s="26">
        <f t="shared" si="22"/>
        <v>139.31690324767561</v>
      </c>
      <c r="R24" s="26">
        <f>MIN(IF(MONTH($C24)=4,$S$3,IF(MONTH($C24)=5,$S$4,IF(MONTH($C24)=6,$S$5,IF(MONTH($C24)=7,$S$6,"ERROR")))),MAX(VLOOKUP($C24,COS!$B$8:$K$991,10,FALSE)-IF(MONTH($C24)=4,$Y$3,IF(MONTH($C24)=5,$Y$4,IF(MONTH($C24)=6,$Y$5,IF(MONTH($C24)=7,$Y$6,"ERROR")))),0),MAX(VLOOKUP($C24,COS!$B$8:$K$991,9,FALSE)-IF(MONTH($C24)=4,$V$3,IF(MONTH($C24)=5,$V$4,IF(MONTH($C24)=6,$V$5,IF(MONTH($C24)=7,$V$6,"ERROR"))))-VLOOKUP($C24,COS!$B$8:$K$991,6,FALSE)/2,0))</f>
        <v>1500</v>
      </c>
      <c r="S24" s="26">
        <f t="shared" si="23"/>
        <v>92.231404958677686</v>
      </c>
      <c r="T24" s="26">
        <f t="shared" si="24"/>
        <v>171.15655986691308</v>
      </c>
      <c r="U24" s="26" t="str">
        <f>IF(VLOOKUP($C24,COS!$B$8:$I$991,8,FALSE)=1,"UWFE","IBU")</f>
        <v>UWFE</v>
      </c>
      <c r="V24" s="26">
        <f t="shared" ref="V24" si="27">MIN(IF(IF($AA$3=2,AND(E24=1,G24=1,L24=1,L28=1,M24=1,U24="IBU"),AND(E24=1,G24=1,L24=1,L28=1,M24=1)),T24,0),I24)</f>
        <v>0</v>
      </c>
      <c r="W24" s="26"/>
      <c r="X24" s="26"/>
      <c r="Y24" s="26"/>
      <c r="Z24" s="26"/>
      <c r="AA24" s="26"/>
      <c r="AB24" s="33"/>
      <c r="AC24" s="6"/>
      <c r="AD24" s="44">
        <v>1932</v>
      </c>
      <c r="AE24" s="45">
        <f>VLOOKUP(AD24,Flags!$A$13:$B$95,2,FALSE)</f>
        <v>5</v>
      </c>
      <c r="AF24" s="44">
        <f t="shared" si="6"/>
        <v>0</v>
      </c>
      <c r="AG24" s="44">
        <f t="shared" si="7"/>
        <v>577.67348919324638</v>
      </c>
      <c r="AH24" s="44">
        <f t="shared" si="8"/>
        <v>0</v>
      </c>
      <c r="AI24" s="44">
        <f t="shared" si="9"/>
        <v>603.29687370867759</v>
      </c>
      <c r="AJ24" s="44">
        <f t="shared" si="10"/>
        <v>468.21170793517558</v>
      </c>
      <c r="AK24" s="44">
        <f t="shared" si="1"/>
        <v>361.72280491348135</v>
      </c>
      <c r="AL24" s="44">
        <f t="shared" si="11"/>
        <v>0</v>
      </c>
      <c r="AN24" s="6">
        <v>15</v>
      </c>
      <c r="AO24">
        <f t="shared" si="26"/>
        <v>16</v>
      </c>
      <c r="AP24">
        <f>AVERAGEIF($AL$14:$AL$94,"&gt;"&amp;AN24)</f>
        <v>185.34344391026772</v>
      </c>
    </row>
    <row r="25" spans="1:42" x14ac:dyDescent="0.3">
      <c r="A25" s="32">
        <f>VLOOKUP(YEAR(C25),Flags!$A$13:$B$95,2,FALSE)</f>
        <v>3</v>
      </c>
      <c r="B25" s="24">
        <f t="shared" si="2"/>
        <v>1923</v>
      </c>
      <c r="C25" s="25">
        <v>8582</v>
      </c>
      <c r="D25" s="26">
        <f>VLOOKUP($C25,COS!$B$8:$H$991,3,FALSE)</f>
        <v>9187.771484375</v>
      </c>
      <c r="E25" s="24">
        <f>IF(D25&gt;=IF(MONTH($C25)=4,$C$3,IF(MONTH($C25)=5,$C$4,IF(MONTH($C25)=6,$C$5,IF(MONTH($C25)=7,$C$6,"ERROR")))),1,0)</f>
        <v>0</v>
      </c>
      <c r="F25" s="26">
        <f>VLOOKUP($C25,COS!$B$8:$H$991,7,FALSE)</f>
        <v>53.151496887207031</v>
      </c>
      <c r="G25" s="24">
        <f>IF(F25&lt;=IF(MONTH($C25)=4,$F$3,IF(MONTH($C25)=5,$F$4,IF(MONTH($C25)=6,$F$5,IF(MONTH($C25)=7,$F$6,"ERROR")))),1,0)</f>
        <v>1</v>
      </c>
      <c r="H25" s="26">
        <f>IF(J25=1,D25-$C$5,0)</f>
        <v>0</v>
      </c>
      <c r="I25" s="26">
        <f t="shared" si="17"/>
        <v>0</v>
      </c>
      <c r="J25" s="24">
        <f t="shared" si="18"/>
        <v>0</v>
      </c>
      <c r="K25" s="26">
        <f>VLOOKUP($C25,COS!$B$8:$H$991,2,FALSE)</f>
        <v>3273.186279296875</v>
      </c>
      <c r="L25" s="24">
        <f t="shared" si="19"/>
        <v>1</v>
      </c>
      <c r="M25" s="24">
        <f t="shared" si="20"/>
        <v>0</v>
      </c>
      <c r="N25" s="26">
        <f>VLOOKUP($C25,COS!$B$8:$H$991,5,FALSE)</f>
        <v>530.37872314453125</v>
      </c>
      <c r="O25" s="26">
        <f t="shared" si="21"/>
        <v>31.559725674715907</v>
      </c>
      <c r="P25" s="26">
        <f>VLOOKUP($C25,COS!$B$8:$H$991,6,FALSE)</f>
        <v>2621.187744140625</v>
      </c>
      <c r="Q25" s="26">
        <f t="shared" si="22"/>
        <v>155.97150213068181</v>
      </c>
      <c r="R25" s="26">
        <f>MIN(IF(MONTH($C25)=4,$S$3,IF(MONTH($C25)=5,$S$4,IF(MONTH($C25)=6,$S$5,IF(MONTH($C25)=7,$S$6,"ERROR")))),MAX(VLOOKUP($C25,COS!$B$8:$K$991,10,FALSE)-IF(MONTH($C25)=4,$Y$3,IF(MONTH($C25)=5,$Y$4,IF(MONTH($C25)=6,$Y$5,IF(MONTH($C25)=7,$Y$6,"ERROR")))),0),MAX(VLOOKUP($C25,COS!$B$8:$K$991,9,FALSE)-IF(MONTH($C25)=4,$V$3,IF(MONTH($C25)=5,$V$4,IF(MONTH($C25)=6,$V$5,IF(MONTH($C25)=7,$V$6,"ERROR"))))-VLOOKUP($C25,COS!$B$8:$K$991,6,FALSE)/2,0))</f>
        <v>1500</v>
      </c>
      <c r="S25" s="26">
        <f t="shared" si="23"/>
        <v>89.256198347107429</v>
      </c>
      <c r="T25" s="26">
        <f t="shared" si="24"/>
        <v>183.02181224980629</v>
      </c>
      <c r="U25" s="26" t="str">
        <f>IF(VLOOKUP($C25,COS!$B$8:$I$991,8,FALSE)=1,"UWFE","IBU")</f>
        <v>IBU</v>
      </c>
      <c r="V25" s="26">
        <f t="shared" ref="V25" si="28">MIN(IF(IF($AA$3=2,AND(E25=1,G25=1,L25=1,L28=1,M25=1,U25="IBU"),AND(E25=1,G25=1,L25=1,L28=1,M25=1)),T25,0),I25)</f>
        <v>0</v>
      </c>
      <c r="W25" s="26"/>
      <c r="X25" s="26"/>
      <c r="Y25" s="26"/>
      <c r="Z25" s="26"/>
      <c r="AA25" s="26"/>
      <c r="AB25" s="33"/>
      <c r="AC25" s="6"/>
      <c r="AD25" s="44">
        <v>1933</v>
      </c>
      <c r="AE25" s="45">
        <f>VLOOKUP(AD25,Flags!$A$13:$B$95,2,FALSE)</f>
        <v>5</v>
      </c>
      <c r="AF25" s="44">
        <f t="shared" si="6"/>
        <v>30.825164643595041</v>
      </c>
      <c r="AG25" s="44">
        <f t="shared" si="7"/>
        <v>581.39606733337905</v>
      </c>
      <c r="AH25" s="44">
        <f t="shared" si="8"/>
        <v>0</v>
      </c>
      <c r="AI25" s="44">
        <f t="shared" si="9"/>
        <v>605.13671552169433</v>
      </c>
      <c r="AJ25" s="44">
        <f t="shared" si="10"/>
        <v>364.82492195570762</v>
      </c>
      <c r="AK25" s="44">
        <f t="shared" si="1"/>
        <v>323.66046519886368</v>
      </c>
      <c r="AL25" s="44">
        <f t="shared" si="11"/>
        <v>0</v>
      </c>
      <c r="AN25" s="6">
        <v>30</v>
      </c>
      <c r="AO25">
        <f t="shared" si="26"/>
        <v>16</v>
      </c>
      <c r="AP25">
        <f t="shared" ref="AP25:AP33" si="29">AVERAGEIF($AL$14:$AL$94,"&gt;"&amp;AN25)</f>
        <v>185.34344391026772</v>
      </c>
    </row>
    <row r="26" spans="1:42" x14ac:dyDescent="0.3">
      <c r="A26" s="32">
        <f>VLOOKUP(YEAR(C26),Flags!$A$13:$B$95,2,FALSE)</f>
        <v>3</v>
      </c>
      <c r="B26" s="24">
        <f t="shared" si="2"/>
        <v>1923</v>
      </c>
      <c r="C26" s="25">
        <v>8613</v>
      </c>
      <c r="D26" s="26">
        <f>VLOOKUP($C26,COS!$B$8:$H$991,3,FALSE)</f>
        <v>11611.94921875</v>
      </c>
      <c r="E26" s="24">
        <f>IF(D26&gt;=IF(MONTH($C26)=4,$C$3,IF(MONTH($C26)=5,$C$4,IF(MONTH($C26)=6,$C$5,IF(MONTH($C26)=7,$C$6,"ERROR")))),1,0)</f>
        <v>0</v>
      </c>
      <c r="F26" s="26">
        <f>VLOOKUP($C26,COS!$B$8:$H$991,7,FALSE)</f>
        <v>55.377204895019531</v>
      </c>
      <c r="G26" s="24">
        <f>IF(F26&lt;=IF(MONTH($C26)=4,$F$3,IF(MONTH($C26)=5,$F$4,IF(MONTH($C26)=6,$F$5,IF(MONTH($C26)=7,$F$6,"ERROR")))),1,0)</f>
        <v>0</v>
      </c>
      <c r="H26" s="26">
        <f>IF(J26=1,D26-$C$6,0)</f>
        <v>0</v>
      </c>
      <c r="I26" s="26">
        <f t="shared" si="17"/>
        <v>0</v>
      </c>
      <c r="J26" s="24">
        <f t="shared" si="18"/>
        <v>0</v>
      </c>
      <c r="K26" s="26">
        <f>VLOOKUP($C26,COS!$B$8:$H$991,2,FALSE)</f>
        <v>2867.132080078125</v>
      </c>
      <c r="L26" s="24">
        <f t="shared" si="19"/>
        <v>1</v>
      </c>
      <c r="M26" s="24">
        <f t="shared" si="20"/>
        <v>0</v>
      </c>
      <c r="N26" s="26">
        <f>VLOOKUP($C26,COS!$B$8:$H$991,5,FALSE)</f>
        <v>613.4034423828125</v>
      </c>
      <c r="O26" s="26">
        <f t="shared" si="21"/>
        <v>37.716707531637397</v>
      </c>
      <c r="P26" s="26">
        <f>VLOOKUP($C26,COS!$B$8:$H$991,6,FALSE)</f>
        <v>2537.385498046875</v>
      </c>
      <c r="Q26" s="26">
        <f t="shared" si="22"/>
        <v>156.01775293775825</v>
      </c>
      <c r="R26" s="26">
        <f>MIN(IF(MONTH($C26)=4,$S$3,IF(MONTH($C26)=5,$S$4,IF(MONTH($C26)=6,$S$5,IF(MONTH($C26)=7,$S$6,"ERROR")))),MAX(VLOOKUP($C26,COS!$B$8:$K$991,10,FALSE)-IF(MONTH($C26)=4,$Y$3,IF(MONTH($C26)=5,$Y$4,IF(MONTH($C26)=6,$Y$5,IF(MONTH($C26)=7,$Y$6,"ERROR")))),0),MAX(VLOOKUP($C26,COS!$B$8:$K$991,9,FALSE)-IF(MONTH($C26)=4,$V$3,IF(MONTH($C26)=5,$V$4,IF(MONTH($C26)=6,$V$5,IF(MONTH($C26)=7,$V$6,"ERROR"))))-VLOOKUP($C26,COS!$B$8:$K$991,6,FALSE)/2,0))</f>
        <v>1500</v>
      </c>
      <c r="S26" s="26">
        <f t="shared" si="23"/>
        <v>92.231404958677686</v>
      </c>
      <c r="T26" s="26">
        <f t="shared" si="24"/>
        <v>189.09863519337551</v>
      </c>
      <c r="U26" s="26" t="str">
        <f>IF(VLOOKUP($C26,COS!$B$8:$I$991,8,FALSE)=1,"UWFE","IBU")</f>
        <v>IBU</v>
      </c>
      <c r="V26" s="26">
        <f t="shared" ref="V26" si="30">MIN(IF(IF($AA$3=2,AND(E26=1,G26=1,L26=1,L28=1,M26=1,U26="IBU"),AND(E26=1,G26=1,L26=1,L28=1,M26=1)),T26,0),I26)</f>
        <v>0</v>
      </c>
      <c r="W26" s="26"/>
      <c r="X26" s="26"/>
      <c r="Y26" s="26"/>
      <c r="Z26" s="26"/>
      <c r="AA26" s="26"/>
      <c r="AB26" s="33"/>
      <c r="AC26" s="6"/>
      <c r="AD26" s="44">
        <v>1934</v>
      </c>
      <c r="AE26" s="45">
        <f>VLOOKUP(AD26,Flags!$A$13:$B$95,2,FALSE)</f>
        <v>5</v>
      </c>
      <c r="AF26" s="44">
        <f t="shared" si="6"/>
        <v>61.140804816632233</v>
      </c>
      <c r="AG26" s="44">
        <f t="shared" si="7"/>
        <v>586.09518616227069</v>
      </c>
      <c r="AH26" s="44">
        <f t="shared" si="8"/>
        <v>0</v>
      </c>
      <c r="AI26" s="44">
        <f t="shared" si="9"/>
        <v>772.67474544808897</v>
      </c>
      <c r="AJ26" s="44">
        <f t="shared" si="10"/>
        <v>541.70656306495357</v>
      </c>
      <c r="AK26" s="44">
        <f t="shared" si="1"/>
        <v>492.34191462745355</v>
      </c>
      <c r="AL26" s="44">
        <f t="shared" si="11"/>
        <v>0</v>
      </c>
      <c r="AN26" s="6">
        <v>60</v>
      </c>
      <c r="AO26">
        <f t="shared" si="26"/>
        <v>14</v>
      </c>
      <c r="AP26">
        <f t="shared" si="29"/>
        <v>206.27519567460348</v>
      </c>
    </row>
    <row r="27" spans="1:42" x14ac:dyDescent="0.3">
      <c r="A27" s="32">
        <f>VLOOKUP(YEAR(C27),Flags!$A$13:$B$95,2,FALSE)</f>
        <v>3</v>
      </c>
      <c r="B27" s="24">
        <f t="shared" si="2"/>
        <v>1923</v>
      </c>
      <c r="C27" s="25">
        <v>8644</v>
      </c>
      <c r="D27" s="26"/>
      <c r="E27" s="24"/>
      <c r="F27" s="26"/>
      <c r="G27" s="24"/>
      <c r="H27" s="24"/>
      <c r="I27" s="26"/>
      <c r="J27" s="24"/>
      <c r="K27" s="26"/>
      <c r="L27" s="24"/>
      <c r="M27" s="24"/>
      <c r="N27" s="26"/>
      <c r="O27" s="26"/>
      <c r="P27" s="26"/>
      <c r="Q27" s="26"/>
      <c r="R27" s="26"/>
      <c r="S27" s="26"/>
      <c r="T27" s="26"/>
      <c r="U27" s="26"/>
      <c r="V27" s="26"/>
      <c r="W27" s="26">
        <f>MAX($C$7-VLOOKUP($C27,COS!$B$8:$H$991,3,FALSE),0)</f>
        <v>2981.109375</v>
      </c>
      <c r="X27" s="26">
        <f t="shared" ref="X27:X90" si="31">W27*DAY($C27)*86400/43560/1000</f>
        <v>183.30127066115702</v>
      </c>
      <c r="Y27" s="26">
        <f>VLOOKUP($C27,COS!$B$8:$H$991,4,FALSE)</f>
        <v>223.26168823242188</v>
      </c>
      <c r="Z27" s="26">
        <f t="shared" ref="Z27:Z90" si="32">Y27*DAY($C27)*86400/43560/1000</f>
        <v>13.727826119415031</v>
      </c>
      <c r="AA27" s="26">
        <f t="shared" ref="AA27:AA31" si="33">MIN(W27,Y27)</f>
        <v>223.26168823242188</v>
      </c>
      <c r="AB27" s="33">
        <f t="shared" ref="AB27:AB85" si="34">AA27*DAY($C27)*86400/43560/1000*IF(MONTH($C27)=8,$P$3,IF(MONTH($C27)=9,$P$4,IF(MONTH($C27)=10,$P$5,IF(MONTH($C27)=11,$P$6,IF(MONTH($C27)=12,$P$7,NA())))))</f>
        <v>13.727826119415031</v>
      </c>
      <c r="AC27" s="6"/>
      <c r="AD27" s="43">
        <v>1935</v>
      </c>
      <c r="AE27" s="1">
        <f>VLOOKUP(AD27,Flags!$A$13:$B$95,2,FALSE)</f>
        <v>4</v>
      </c>
      <c r="AF27" s="43">
        <f t="shared" si="6"/>
        <v>0</v>
      </c>
      <c r="AG27" s="43">
        <f t="shared" si="7"/>
        <v>621.9039977995817</v>
      </c>
      <c r="AH27" s="43">
        <f t="shared" si="8"/>
        <v>0</v>
      </c>
      <c r="AI27" s="43">
        <f t="shared" si="9"/>
        <v>621.52562855113638</v>
      </c>
      <c r="AJ27" s="43">
        <f t="shared" si="10"/>
        <v>121.23425982388584</v>
      </c>
      <c r="AK27" s="43">
        <f t="shared" si="1"/>
        <v>121.23425982388584</v>
      </c>
      <c r="AL27" s="43">
        <f t="shared" si="11"/>
        <v>0</v>
      </c>
      <c r="AN27" s="6">
        <v>90</v>
      </c>
      <c r="AO27">
        <f t="shared" si="26"/>
        <v>14</v>
      </c>
      <c r="AP27">
        <f t="shared" si="29"/>
        <v>206.27519567460348</v>
      </c>
    </row>
    <row r="28" spans="1:42" x14ac:dyDescent="0.3">
      <c r="A28" s="32">
        <f>VLOOKUP(YEAR(C28),Flags!$A$13:$B$95,2,FALSE)</f>
        <v>3</v>
      </c>
      <c r="B28" s="24">
        <f t="shared" si="2"/>
        <v>1923</v>
      </c>
      <c r="C28" s="25">
        <v>8674</v>
      </c>
      <c r="D28" s="26"/>
      <c r="E28" s="24"/>
      <c r="F28" s="26"/>
      <c r="G28" s="24"/>
      <c r="H28" s="24"/>
      <c r="I28" s="26"/>
      <c r="J28" s="24"/>
      <c r="K28" s="26">
        <f>VLOOKUP($C28,COS!$B$8:$H$991,2,FALSE)</f>
        <v>2596.2392578125</v>
      </c>
      <c r="L28" s="24">
        <f t="shared" ref="L28" si="35">IF(AND(K28&gt;$I$7,K28&lt;$I$8),1,0)</f>
        <v>1</v>
      </c>
      <c r="M28" s="24"/>
      <c r="N28" s="26"/>
      <c r="O28" s="26"/>
      <c r="P28" s="26"/>
      <c r="Q28" s="26"/>
      <c r="R28" s="26"/>
      <c r="S28" s="26"/>
      <c r="T28" s="26"/>
      <c r="U28" s="26"/>
      <c r="V28" s="26"/>
      <c r="W28" s="26">
        <f>MAX($C$8-VLOOKUP($C28,COS!$B$8:$H$991,3,FALSE),0)</f>
        <v>1584.35595703125</v>
      </c>
      <c r="X28" s="26">
        <f t="shared" si="31"/>
        <v>94.275726368801656</v>
      </c>
      <c r="Y28" s="26">
        <f>VLOOKUP($C28,COS!$B$8:$H$991,4,FALSE)</f>
        <v>0</v>
      </c>
      <c r="Z28" s="26">
        <f t="shared" si="32"/>
        <v>0</v>
      </c>
      <c r="AA28" s="26">
        <f t="shared" si="33"/>
        <v>0</v>
      </c>
      <c r="AB28" s="33">
        <f t="shared" si="34"/>
        <v>0</v>
      </c>
      <c r="AC28" s="6"/>
      <c r="AD28" s="43">
        <v>1936</v>
      </c>
      <c r="AE28" s="1">
        <f>VLOOKUP(AD28,Flags!$A$13:$B$95,2,FALSE)</f>
        <v>3</v>
      </c>
      <c r="AF28" s="43">
        <f t="shared" si="6"/>
        <v>0</v>
      </c>
      <c r="AG28" s="43">
        <f t="shared" si="7"/>
        <v>640.065817921536</v>
      </c>
      <c r="AH28" s="43">
        <f t="shared" si="8"/>
        <v>0</v>
      </c>
      <c r="AI28" s="43">
        <f t="shared" si="9"/>
        <v>350.64837115831608</v>
      </c>
      <c r="AJ28" s="43">
        <f t="shared" si="10"/>
        <v>178.08673882602659</v>
      </c>
      <c r="AK28" s="43">
        <f t="shared" si="1"/>
        <v>59.2499840804171</v>
      </c>
      <c r="AL28" s="43">
        <f t="shared" si="11"/>
        <v>0</v>
      </c>
      <c r="AN28" s="6">
        <v>100</v>
      </c>
      <c r="AO28">
        <f t="shared" si="26"/>
        <v>14</v>
      </c>
      <c r="AP28">
        <f t="shared" si="29"/>
        <v>206.27519567460348</v>
      </c>
    </row>
    <row r="29" spans="1:42" x14ac:dyDescent="0.3">
      <c r="A29" s="32">
        <f>VLOOKUP(YEAR(C29),Flags!$A$13:$B$95,2,FALSE)</f>
        <v>3</v>
      </c>
      <c r="B29" s="24">
        <f t="shared" si="2"/>
        <v>1923</v>
      </c>
      <c r="C29" s="25">
        <v>8705</v>
      </c>
      <c r="D29" s="26"/>
      <c r="E29" s="24"/>
      <c r="F29" s="26"/>
      <c r="G29" s="26"/>
      <c r="H29" s="26"/>
      <c r="I29" s="26"/>
      <c r="J29" s="26"/>
      <c r="K29" s="26"/>
      <c r="L29" s="24"/>
      <c r="M29" s="24"/>
      <c r="N29" s="26"/>
      <c r="O29" s="26"/>
      <c r="P29" s="26"/>
      <c r="Q29" s="26"/>
      <c r="R29" s="26"/>
      <c r="S29" s="26"/>
      <c r="T29" s="26"/>
      <c r="U29" s="26"/>
      <c r="V29" s="26"/>
      <c r="W29" s="26">
        <f>MAX($C$9-VLOOKUP($C29,COS!$B$8:$H$991,3,FALSE),0)</f>
        <v>393.662109375</v>
      </c>
      <c r="X29" s="26">
        <f t="shared" si="31"/>
        <v>24.205339617768594</v>
      </c>
      <c r="Y29" s="26">
        <f>VLOOKUP($C29,COS!$B$8:$H$991,4,FALSE)</f>
        <v>906.51263427734375</v>
      </c>
      <c r="Z29" s="26">
        <f t="shared" si="32"/>
        <v>55.739289248127584</v>
      </c>
      <c r="AA29" s="26">
        <f t="shared" si="33"/>
        <v>393.662109375</v>
      </c>
      <c r="AB29" s="33">
        <f t="shared" si="34"/>
        <v>24.205339617768594</v>
      </c>
      <c r="AC29" s="6"/>
      <c r="AD29" s="43">
        <v>1937</v>
      </c>
      <c r="AE29" s="1">
        <f>VLOOKUP(AD29,Flags!$A$13:$B$95,2,FALSE)</f>
        <v>4</v>
      </c>
      <c r="AF29" s="43">
        <f t="shared" si="6"/>
        <v>0</v>
      </c>
      <c r="AG29" s="43">
        <f t="shared" si="7"/>
        <v>644.85532843345459</v>
      </c>
      <c r="AH29" s="43">
        <f t="shared" si="8"/>
        <v>0</v>
      </c>
      <c r="AI29" s="43">
        <f t="shared" si="9"/>
        <v>207.04632392820247</v>
      </c>
      <c r="AJ29" s="43">
        <f t="shared" si="10"/>
        <v>104.74674873288998</v>
      </c>
      <c r="AK29" s="43">
        <f t="shared" si="1"/>
        <v>93.683336534736583</v>
      </c>
      <c r="AL29" s="43">
        <f t="shared" si="11"/>
        <v>0</v>
      </c>
      <c r="AN29" s="6">
        <v>120</v>
      </c>
      <c r="AO29">
        <f t="shared" si="26"/>
        <v>13</v>
      </c>
      <c r="AP29">
        <f t="shared" si="29"/>
        <v>213.63209106561715</v>
      </c>
    </row>
    <row r="30" spans="1:42" x14ac:dyDescent="0.3">
      <c r="A30" s="32">
        <f>VLOOKUP(YEAR(C30),Flags!$A$13:$B$95,2,FALSE)</f>
        <v>3</v>
      </c>
      <c r="B30" s="24">
        <f t="shared" si="2"/>
        <v>1923</v>
      </c>
      <c r="C30" s="25">
        <v>8735</v>
      </c>
      <c r="D30" s="26"/>
      <c r="E30" s="24"/>
      <c r="F30" s="26"/>
      <c r="G30" s="26"/>
      <c r="H30" s="26"/>
      <c r="I30" s="26"/>
      <c r="J30" s="26"/>
      <c r="K30" s="26"/>
      <c r="L30" s="24"/>
      <c r="M30" s="24"/>
      <c r="N30" s="26"/>
      <c r="O30" s="26"/>
      <c r="P30" s="26"/>
      <c r="Q30" s="26"/>
      <c r="R30" s="26"/>
      <c r="S30" s="26"/>
      <c r="T30" s="26"/>
      <c r="U30" s="26"/>
      <c r="V30" s="26"/>
      <c r="W30" s="26">
        <f>MAX($C$10-VLOOKUP($C30,COS!$B$8:$H$991,3,FALSE),0)</f>
        <v>0</v>
      </c>
      <c r="X30" s="26">
        <f t="shared" si="31"/>
        <v>0</v>
      </c>
      <c r="Y30" s="26">
        <f>VLOOKUP($C30,COS!$B$8:$H$991,4,FALSE)</f>
        <v>1181.566162109375</v>
      </c>
      <c r="Z30" s="26">
        <f t="shared" si="32"/>
        <v>70.308069150309919</v>
      </c>
      <c r="AA30" s="26">
        <f t="shared" si="33"/>
        <v>0</v>
      </c>
      <c r="AB30" s="33">
        <f>AA30*DAY($C30)*86400/43560/1000*IF(MONTH($C30)=8,$P$3,IF(MONTH($C30)=9,$P$4,IF(MONTH($C30)=10,$P$5,IF(MONTH($C30)=11,$P$6,IF(MONTH($C30)=12,$P$7,NA())))))</f>
        <v>0</v>
      </c>
      <c r="AC30" s="6"/>
      <c r="AD30" s="43">
        <v>1938</v>
      </c>
      <c r="AE30" s="1">
        <f>VLOOKUP(AD30,Flags!$A$13:$B$95,2,FALSE)</f>
        <v>1</v>
      </c>
      <c r="AF30" s="43">
        <f t="shared" si="6"/>
        <v>467.85146435950412</v>
      </c>
      <c r="AG30" s="43">
        <f t="shared" si="7"/>
        <v>685.29858967426389</v>
      </c>
      <c r="AH30" s="43">
        <f t="shared" si="8"/>
        <v>0</v>
      </c>
      <c r="AI30" s="43">
        <f t="shared" si="9"/>
        <v>113.19564533832646</v>
      </c>
      <c r="AJ30" s="43">
        <f t="shared" si="10"/>
        <v>2.9732576581466295</v>
      </c>
      <c r="AK30" s="43">
        <f t="shared" si="1"/>
        <v>0</v>
      </c>
      <c r="AL30" s="43">
        <f t="shared" si="11"/>
        <v>0</v>
      </c>
      <c r="AN30" s="6">
        <v>150</v>
      </c>
      <c r="AO30">
        <f t="shared" si="26"/>
        <v>11</v>
      </c>
      <c r="AP30">
        <f t="shared" si="29"/>
        <v>226.59035032849843</v>
      </c>
    </row>
    <row r="31" spans="1:42" x14ac:dyDescent="0.3">
      <c r="A31" s="34">
        <f>VLOOKUP(YEAR(C31),Flags!$A$13:$B$95,2,FALSE)</f>
        <v>3</v>
      </c>
      <c r="B31" s="35">
        <f t="shared" si="2"/>
        <v>1923</v>
      </c>
      <c r="C31" s="36">
        <v>8766</v>
      </c>
      <c r="D31" s="37"/>
      <c r="E31" s="35"/>
      <c r="F31" s="37"/>
      <c r="G31" s="37"/>
      <c r="H31" s="37"/>
      <c r="I31" s="37"/>
      <c r="J31" s="37"/>
      <c r="K31" s="37"/>
      <c r="L31" s="35"/>
      <c r="M31" s="35"/>
      <c r="N31" s="37"/>
      <c r="O31" s="37"/>
      <c r="P31" s="37"/>
      <c r="Q31" s="37"/>
      <c r="R31" s="37"/>
      <c r="S31" s="37"/>
      <c r="T31" s="37"/>
      <c r="U31" s="37"/>
      <c r="V31" s="37"/>
      <c r="W31" s="37">
        <f>MAX($C$11-VLOOKUP($C31,COS!$B$8:$H$991,3,FALSE),0)</f>
        <v>102.76806640625</v>
      </c>
      <c r="X31" s="37">
        <f t="shared" si="31"/>
        <v>6.3189620996900828</v>
      </c>
      <c r="Y31" s="37">
        <f>VLOOKUP($C31,COS!$B$8:$H$991,4,FALSE)</f>
        <v>1277.1646728515625</v>
      </c>
      <c r="Z31" s="37">
        <f t="shared" si="32"/>
        <v>78.529794760459708</v>
      </c>
      <c r="AA31" s="37">
        <f t="shared" si="33"/>
        <v>102.76806640625</v>
      </c>
      <c r="AB31" s="38">
        <f t="shared" si="34"/>
        <v>6.3189620996900828</v>
      </c>
      <c r="AC31" s="6"/>
      <c r="AD31" s="43">
        <v>1939</v>
      </c>
      <c r="AE31" s="1">
        <f>VLOOKUP(AD31,Flags!$A$13:$B$95,2,FALSE)</f>
        <v>3</v>
      </c>
      <c r="AF31" s="43">
        <f t="shared" si="6"/>
        <v>397.28989733987601</v>
      </c>
      <c r="AG31" s="43">
        <f t="shared" si="7"/>
        <v>676.80928974246194</v>
      </c>
      <c r="AH31" s="43">
        <f t="shared" si="8"/>
        <v>0</v>
      </c>
      <c r="AI31" s="43">
        <f t="shared" si="9"/>
        <v>138.90544292355372</v>
      </c>
      <c r="AJ31" s="43">
        <f t="shared" si="10"/>
        <v>623.40796705513947</v>
      </c>
      <c r="AK31" s="43">
        <f t="shared" si="1"/>
        <v>136.1349580320248</v>
      </c>
      <c r="AL31" s="43">
        <f t="shared" si="11"/>
        <v>0</v>
      </c>
      <c r="AN31" s="6">
        <v>180</v>
      </c>
      <c r="AO31">
        <f t="shared" si="26"/>
        <v>7</v>
      </c>
      <c r="AP31">
        <f t="shared" si="29"/>
        <v>265.46274246017657</v>
      </c>
    </row>
    <row r="32" spans="1:42" x14ac:dyDescent="0.3">
      <c r="A32" s="27">
        <f>VLOOKUP(YEAR(C32),Flags!$A$13:$B$95,2,FALSE)</f>
        <v>5</v>
      </c>
      <c r="B32" s="28">
        <f t="shared" si="2"/>
        <v>1924</v>
      </c>
      <c r="C32" s="29">
        <v>8887</v>
      </c>
      <c r="D32" s="30">
        <f>VLOOKUP($C32,COS!$B$8:$H$991,3,FALSE)</f>
        <v>5624.3779296875</v>
      </c>
      <c r="E32" s="28">
        <f>IF(D32&gt;=IF(MONTH($C32)=4,$C$3,IF(MONTH($C32)=5,$C$4,IF(MONTH($C32)=6,$C$5,IF(MONTH($C32)=7,$C$6,"ERROR")))),1,0)</f>
        <v>0</v>
      </c>
      <c r="F32" s="30">
        <f>VLOOKUP($C32,COS!$B$8:$H$991,7,FALSE)</f>
        <v>51.900558471679688</v>
      </c>
      <c r="G32" s="28">
        <f>IF(F32&lt;=IF(MONTH($C32)=4,$F$3,IF(MONTH($C32)=5,$F$4,IF(MONTH($C32)=6,$F$5,IF(MONTH($C32)=7,$F$6,"ERROR")))),1,0)</f>
        <v>1</v>
      </c>
      <c r="H32" s="30">
        <f>IF(J32=1,D32-$C$3,0)</f>
        <v>0</v>
      </c>
      <c r="I32" s="30">
        <f t="shared" si="17"/>
        <v>0</v>
      </c>
      <c r="J32" s="28">
        <f t="shared" ref="J32:J35" si="36">IF(AND(E32=1,G32=1),1,0)</f>
        <v>0</v>
      </c>
      <c r="K32" s="30">
        <f>VLOOKUP($C32,COS!$B$8:$H$991,2,FALSE)</f>
        <v>2500</v>
      </c>
      <c r="L32" s="28">
        <f t="shared" ref="L32" si="37">IF(K32&lt;=IF(MONTH($C32)=4,$I$3,IF(MONTH($C32)=5,$I$4,IF(MONTH($C32)=6,$I$5,IF(MONTH($C32)=7,$I$6,"ERROR")))),1,0)</f>
        <v>1</v>
      </c>
      <c r="M32" s="28">
        <f t="shared" ref="M32" si="38">VLOOKUP($A32,$L$3:$M$7,2,FALSE)</f>
        <v>1</v>
      </c>
      <c r="N32" s="30">
        <f>VLOOKUP($C32,COS!$B$8:$H$991,5,FALSE)</f>
        <v>202.00408935546875</v>
      </c>
      <c r="O32" s="30">
        <f t="shared" ref="O32:O35" si="39">N32*DAY($C32)*86400/43560/1000</f>
        <v>12.020078044292354</v>
      </c>
      <c r="P32" s="30">
        <f>VLOOKUP($C32,COS!$B$8:$H$991,6,FALSE)</f>
        <v>537.10101318359375</v>
      </c>
      <c r="Q32" s="30">
        <f t="shared" ref="Q32:Q35" si="40">P32*DAY($C32)*86400/43560/1000</f>
        <v>31.959729710098141</v>
      </c>
      <c r="R32" s="30">
        <f>MIN(IF(MONTH($C32)=4,$S$3,IF(MONTH($C32)=5,$S$4,IF(MONTH($C32)=6,$S$5,IF(MONTH($C32)=7,$S$6,"ERROR")))),MAX(VLOOKUP($C32,COS!$B$8:$K$991,10,FALSE)-IF(MONTH($C32)=4,$Y$3,IF(MONTH($C32)=5,$Y$4,IF(MONTH($C32)=6,$Y$5,IF(MONTH($C32)=7,$Y$6,"ERROR")))),0),MAX(VLOOKUP($C32,COS!$B$8:$K$991,9,FALSE)-IF(MONTH($C32)=4,$V$3,IF(MONTH($C32)=5,$V$4,IF(MONTH($C32)=6,$V$5,IF(MONTH($C32)=7,$V$6,"ERROR"))))-VLOOKUP($C32,COS!$B$8:$K$991,6,FALSE)/2,0))</f>
        <v>1411.9501953125</v>
      </c>
      <c r="S32" s="30">
        <f t="shared" ref="S32:S35" si="41">R32*DAY($C32)*86400/43560/1000</f>
        <v>84.016871126033067</v>
      </c>
      <c r="T32" s="30">
        <f t="shared" ref="T32:T35" si="42">(O32+Q32)/2+S32</f>
        <v>106.00677500322831</v>
      </c>
      <c r="U32" s="30" t="str">
        <f>IF(VLOOKUP($C32,COS!$B$8:$I$991,8,FALSE)=1,"UWFE","IBU")</f>
        <v>IBU</v>
      </c>
      <c r="V32" s="30">
        <f t="shared" ref="V32" si="43">MIN(IF(IF($AA$3=2,AND(E32=1,G32=1,L32=1,L37=1,M32=1,U32="IBU"),AND(E32=1,G32=1,L32=1,L37=1,M32=1)),T32,0),I32)</f>
        <v>0</v>
      </c>
      <c r="W32" s="30"/>
      <c r="X32" s="30"/>
      <c r="Y32" s="30"/>
      <c r="Z32" s="30"/>
      <c r="AA32" s="30"/>
      <c r="AB32" s="31"/>
      <c r="AC32" s="6"/>
      <c r="AD32" s="43">
        <v>1940</v>
      </c>
      <c r="AE32" s="1">
        <f>VLOOKUP(AD32,Flags!$A$13:$B$95,2,FALSE)</f>
        <v>2</v>
      </c>
      <c r="AF32" s="43">
        <f t="shared" si="6"/>
        <v>229.39817858987604</v>
      </c>
      <c r="AG32" s="43">
        <f t="shared" si="7"/>
        <v>663.77439249338204</v>
      </c>
      <c r="AH32" s="43">
        <f t="shared" si="8"/>
        <v>0</v>
      </c>
      <c r="AI32" s="43">
        <f t="shared" si="9"/>
        <v>28.528686725206612</v>
      </c>
      <c r="AJ32" s="43">
        <f t="shared" si="10"/>
        <v>129.20468558319345</v>
      </c>
      <c r="AK32" s="43">
        <f t="shared" si="1"/>
        <v>0</v>
      </c>
      <c r="AL32" s="43">
        <f t="shared" si="11"/>
        <v>0</v>
      </c>
      <c r="AN32" s="6">
        <v>210</v>
      </c>
      <c r="AO32">
        <f t="shared" si="26"/>
        <v>6</v>
      </c>
      <c r="AP32">
        <f t="shared" si="29"/>
        <v>277.57755492155212</v>
      </c>
    </row>
    <row r="33" spans="1:42" x14ac:dyDescent="0.3">
      <c r="A33" s="32">
        <f>VLOOKUP(YEAR(C33),Flags!$A$13:$B$95,2,FALSE)</f>
        <v>5</v>
      </c>
      <c r="B33" s="24">
        <f t="shared" si="2"/>
        <v>1924</v>
      </c>
      <c r="C33" s="25">
        <v>8918</v>
      </c>
      <c r="D33" s="26">
        <f>VLOOKUP($C33,COS!$B$8:$H$991,3,FALSE)</f>
        <v>8620.7529296875</v>
      </c>
      <c r="E33" s="24">
        <f>IF(D33&gt;=IF(MONTH($C33)=4,$C$3,IF(MONTH($C33)=5,$C$4,IF(MONTH($C33)=6,$C$5,IF(MONTH($C33)=7,$C$6,"ERROR")))),1,0)</f>
        <v>1</v>
      </c>
      <c r="F33" s="26">
        <f>VLOOKUP($C33,COS!$B$8:$H$991,7,FALSE)</f>
        <v>55.089752197265625</v>
      </c>
      <c r="G33" s="24">
        <f>IF(F33&lt;=IF(MONTH($C33)=4,$F$3,IF(MONTH($C33)=5,$F$4,IF(MONTH($C33)=6,$F$5,IF(MONTH($C33)=7,$F$6,"ERROR")))),1,0)</f>
        <v>1</v>
      </c>
      <c r="H33" s="26">
        <f>IF(J33=1,D33-$C$4,0)</f>
        <v>2620.7529296875</v>
      </c>
      <c r="I33" s="26">
        <f t="shared" si="17"/>
        <v>161.14381650309917</v>
      </c>
      <c r="J33" s="24">
        <f t="shared" si="36"/>
        <v>1</v>
      </c>
      <c r="K33" s="26">
        <f>VLOOKUP($C33,COS!$B$8:$H$991,2,FALSE)</f>
        <v>2135.375732421875</v>
      </c>
      <c r="L33" s="24">
        <f t="shared" si="19"/>
        <v>1</v>
      </c>
      <c r="M33" s="24">
        <f t="shared" si="20"/>
        <v>1</v>
      </c>
      <c r="N33" s="26">
        <f>VLOOKUP($C33,COS!$B$8:$H$991,5,FALSE)</f>
        <v>220.09066772460938</v>
      </c>
      <c r="O33" s="26">
        <f t="shared" si="39"/>
        <v>13.532847668356148</v>
      </c>
      <c r="P33" s="26">
        <f>VLOOKUP($C33,COS!$B$8:$H$991,6,FALSE)</f>
        <v>2324.4033203125</v>
      </c>
      <c r="Q33" s="26">
        <f t="shared" si="40"/>
        <v>142.92198928202478</v>
      </c>
      <c r="R33" s="26">
        <f>MIN(IF(MONTH($C33)=4,$S$3,IF(MONTH($C33)=5,$S$4,IF(MONTH($C33)=6,$S$5,IF(MONTH($C33)=7,$S$6,"ERROR")))),MAX(VLOOKUP($C33,COS!$B$8:$K$991,10,FALSE)-IF(MONTH($C33)=4,$Y$3,IF(MONTH($C33)=5,$Y$4,IF(MONTH($C33)=6,$Y$5,IF(MONTH($C33)=7,$Y$6,"ERROR")))),0),MAX(VLOOKUP($C33,COS!$B$8:$K$991,9,FALSE)-IF(MONTH($C33)=4,$V$3,IF(MONTH($C33)=5,$V$4,IF(MONTH($C33)=6,$V$5,IF(MONTH($C33)=7,$V$6,"ERROR"))))-VLOOKUP($C33,COS!$B$8:$K$991,6,FALSE)/2,0))</f>
        <v>1500</v>
      </c>
      <c r="S33" s="26">
        <f t="shared" si="41"/>
        <v>92.231404958677686</v>
      </c>
      <c r="T33" s="26">
        <f t="shared" si="42"/>
        <v>170.45882343386813</v>
      </c>
      <c r="U33" s="26" t="str">
        <f>IF(VLOOKUP($C33,COS!$B$8:$I$991,8,FALSE)=1,"UWFE","IBU")</f>
        <v>IBU</v>
      </c>
      <c r="V33" s="26">
        <f t="shared" ref="V33" si="44">MIN(IF(IF($AA$3=2,AND(E33=1,G33=1,L33=1,L37=1,M33=1,U33="IBU"),AND(E33=1,G33=1,L33=1,L37=1,M33=1)),T33,0),I33)</f>
        <v>0</v>
      </c>
      <c r="W33" s="26"/>
      <c r="X33" s="26"/>
      <c r="Y33" s="26"/>
      <c r="Z33" s="26"/>
      <c r="AA33" s="26"/>
      <c r="AB33" s="33"/>
      <c r="AC33" s="6"/>
      <c r="AD33" s="43">
        <v>1941</v>
      </c>
      <c r="AE33" s="1">
        <f>VLOOKUP(AD33,Flags!$A$13:$B$95,2,FALSE)</f>
        <v>1</v>
      </c>
      <c r="AF33" s="43">
        <f t="shared" si="6"/>
        <v>840.21232050619835</v>
      </c>
      <c r="AG33" s="43">
        <f t="shared" si="7"/>
        <v>667.11986649820619</v>
      </c>
      <c r="AH33" s="43">
        <f t="shared" si="8"/>
        <v>0</v>
      </c>
      <c r="AI33" s="43">
        <f t="shared" si="9"/>
        <v>7.8196138946280991</v>
      </c>
      <c r="AJ33" s="43">
        <f t="shared" si="10"/>
        <v>62.00514242377163</v>
      </c>
      <c r="AK33" s="43">
        <f t="shared" si="1"/>
        <v>2.5745574244979985</v>
      </c>
      <c r="AL33" s="43">
        <f t="shared" si="11"/>
        <v>0</v>
      </c>
      <c r="AN33" s="6">
        <v>240</v>
      </c>
      <c r="AO33">
        <f t="shared" si="26"/>
        <v>5</v>
      </c>
      <c r="AP33">
        <f t="shared" si="29"/>
        <v>290.91218850077473</v>
      </c>
    </row>
    <row r="34" spans="1:42" x14ac:dyDescent="0.3">
      <c r="A34" s="32">
        <f>VLOOKUP(YEAR(C34),Flags!$A$13:$B$95,2,FALSE)</f>
        <v>5</v>
      </c>
      <c r="B34" s="24">
        <f t="shared" si="2"/>
        <v>1924</v>
      </c>
      <c r="C34" s="25">
        <v>8948</v>
      </c>
      <c r="D34" s="26">
        <f>VLOOKUP($C34,COS!$B$8:$H$991,3,FALSE)</f>
        <v>8906.197265625</v>
      </c>
      <c r="E34" s="24">
        <f>IF(D34&gt;=IF(MONTH($C34)=4,$C$3,IF(MONTH($C34)=5,$C$4,IF(MONTH($C34)=6,$C$5,IF(MONTH($C34)=7,$C$6,"ERROR")))),1,0)</f>
        <v>0</v>
      </c>
      <c r="F34" s="26">
        <f>VLOOKUP($C34,COS!$B$8:$H$991,7,FALSE)</f>
        <v>56.186325073242188</v>
      </c>
      <c r="G34" s="24">
        <f>IF(F34&lt;=IF(MONTH($C34)=4,$F$3,IF(MONTH($C34)=5,$F$4,IF(MONTH($C34)=6,$F$5,IF(MONTH($C34)=7,$F$6,"ERROR")))),1,0)</f>
        <v>0</v>
      </c>
      <c r="H34" s="26">
        <f>IF(J34=1,D34-$C$5,0)</f>
        <v>0</v>
      </c>
      <c r="I34" s="26">
        <f t="shared" si="17"/>
        <v>0</v>
      </c>
      <c r="J34" s="24">
        <f t="shared" si="36"/>
        <v>0</v>
      </c>
      <c r="K34" s="26">
        <f>VLOOKUP($C34,COS!$B$8:$H$991,2,FALSE)</f>
        <v>1764.862060546875</v>
      </c>
      <c r="L34" s="24">
        <f t="shared" si="19"/>
        <v>1</v>
      </c>
      <c r="M34" s="24">
        <f t="shared" si="20"/>
        <v>1</v>
      </c>
      <c r="N34" s="26">
        <f>VLOOKUP($C34,COS!$B$8:$H$991,5,FALSE)</f>
        <v>251.78248596191406</v>
      </c>
      <c r="O34" s="26">
        <f t="shared" si="39"/>
        <v>14.982098338229596</v>
      </c>
      <c r="P34" s="26">
        <f>VLOOKUP($C34,COS!$B$8:$H$991,6,FALSE)</f>
        <v>2484.036376953125</v>
      </c>
      <c r="Q34" s="26">
        <f t="shared" si="40"/>
        <v>147.81042904183886</v>
      </c>
      <c r="R34" s="26">
        <f>MIN(IF(MONTH($C34)=4,$S$3,IF(MONTH($C34)=5,$S$4,IF(MONTH($C34)=6,$S$5,IF(MONTH($C34)=7,$S$6,"ERROR")))),MAX(VLOOKUP($C34,COS!$B$8:$K$991,10,FALSE)-IF(MONTH($C34)=4,$Y$3,IF(MONTH($C34)=5,$Y$4,IF(MONTH($C34)=6,$Y$5,IF(MONTH($C34)=7,$Y$6,"ERROR")))),0),MAX(VLOOKUP($C34,COS!$B$8:$K$991,9,FALSE)-IF(MONTH($C34)=4,$V$3,IF(MONTH($C34)=5,$V$4,IF(MONTH($C34)=6,$V$5,IF(MONTH($C34)=7,$V$6,"ERROR"))))-VLOOKUP($C34,COS!$B$8:$K$991,6,FALSE)/2,0))</f>
        <v>1500</v>
      </c>
      <c r="S34" s="26">
        <f t="shared" si="41"/>
        <v>89.256198347107429</v>
      </c>
      <c r="T34" s="26">
        <f t="shared" si="42"/>
        <v>170.65246203714167</v>
      </c>
      <c r="U34" s="26" t="str">
        <f>IF(VLOOKUP($C34,COS!$B$8:$I$991,8,FALSE)=1,"UWFE","IBU")</f>
        <v>IBU</v>
      </c>
      <c r="V34" s="26">
        <f t="shared" ref="V34" si="45">MIN(IF(IF($AA$3=2,AND(E34=1,G34=1,L34=1,L37=1,M34=1,U34="IBU"),AND(E34=1,G34=1,L34=1,L37=1,M34=1)),T34,0),I34)</f>
        <v>0</v>
      </c>
      <c r="W34" s="26"/>
      <c r="X34" s="26"/>
      <c r="Y34" s="26"/>
      <c r="Z34" s="26"/>
      <c r="AA34" s="26"/>
      <c r="AB34" s="33"/>
      <c r="AC34" s="6"/>
      <c r="AD34" s="43">
        <v>1942</v>
      </c>
      <c r="AE34" s="1">
        <f>VLOOKUP(AD34,Flags!$A$13:$B$95,2,FALSE)</f>
        <v>1</v>
      </c>
      <c r="AF34" s="43">
        <f t="shared" si="6"/>
        <v>277.68167936466938</v>
      </c>
      <c r="AG34" s="43">
        <f t="shared" si="7"/>
        <v>681.46334333435561</v>
      </c>
      <c r="AH34" s="43">
        <f t="shared" si="8"/>
        <v>0</v>
      </c>
      <c r="AI34" s="43">
        <f t="shared" si="9"/>
        <v>176.70108083677687</v>
      </c>
      <c r="AJ34" s="43">
        <f t="shared" si="10"/>
        <v>142.97065114927688</v>
      </c>
      <c r="AK34" s="43">
        <f t="shared" si="1"/>
        <v>0</v>
      </c>
      <c r="AL34" s="43">
        <f t="shared" si="11"/>
        <v>0</v>
      </c>
      <c r="AN34" s="6"/>
    </row>
    <row r="35" spans="1:42" x14ac:dyDescent="0.3">
      <c r="A35" s="32">
        <f>VLOOKUP(YEAR(C35),Flags!$A$13:$B$95,2,FALSE)</f>
        <v>5</v>
      </c>
      <c r="B35" s="24">
        <f t="shared" si="2"/>
        <v>1924</v>
      </c>
      <c r="C35" s="25">
        <v>8979</v>
      </c>
      <c r="D35" s="26">
        <f>VLOOKUP($C35,COS!$B$8:$H$991,3,FALSE)</f>
        <v>9371.8037109375</v>
      </c>
      <c r="E35" s="24">
        <f>IF(D35&gt;=IF(MONTH($C35)=4,$C$3,IF(MONTH($C35)=5,$C$4,IF(MONTH($C35)=6,$C$5,IF(MONTH($C35)=7,$C$6,"ERROR")))),1,0)</f>
        <v>0</v>
      </c>
      <c r="F35" s="26">
        <f>VLOOKUP($C35,COS!$B$8:$H$991,7,FALSE)</f>
        <v>55.104015350341797</v>
      </c>
      <c r="G35" s="24">
        <f>IF(F35&lt;=IF(MONTH($C35)=4,$F$3,IF(MONTH($C35)=5,$F$4,IF(MONTH($C35)=6,$F$5,IF(MONTH($C35)=7,$F$6,"ERROR")))),1,0)</f>
        <v>0</v>
      </c>
      <c r="H35" s="26">
        <f>IF(J35=1,D35-$C$6,0)</f>
        <v>0</v>
      </c>
      <c r="I35" s="26">
        <f t="shared" si="17"/>
        <v>0</v>
      </c>
      <c r="J35" s="24">
        <f t="shared" si="36"/>
        <v>0</v>
      </c>
      <c r="K35" s="26">
        <f>VLOOKUP($C35,COS!$B$8:$H$991,2,FALSE)</f>
        <v>1413.5540771484375</v>
      </c>
      <c r="L35" s="24">
        <f t="shared" si="19"/>
        <v>1</v>
      </c>
      <c r="M35" s="24">
        <f t="shared" si="20"/>
        <v>1</v>
      </c>
      <c r="N35" s="26">
        <f>VLOOKUP($C35,COS!$B$8:$H$991,5,FALSE)</f>
        <v>274.10446166992188</v>
      </c>
      <c r="O35" s="26">
        <f t="shared" si="39"/>
        <v>16.854026403505941</v>
      </c>
      <c r="P35" s="26">
        <f>VLOOKUP($C35,COS!$B$8:$H$991,6,FALSE)</f>
        <v>2281.4833984375</v>
      </c>
      <c r="Q35" s="26">
        <f t="shared" si="40"/>
        <v>140.28294615185951</v>
      </c>
      <c r="R35" s="26">
        <f>MIN(IF(MONTH($C35)=4,$S$3,IF(MONTH($C35)=5,$S$4,IF(MONTH($C35)=6,$S$5,IF(MONTH($C35)=7,$S$6,"ERROR")))),MAX(VLOOKUP($C35,COS!$B$8:$K$991,10,FALSE)-IF(MONTH($C35)=4,$Y$3,IF(MONTH($C35)=5,$Y$4,IF(MONTH($C35)=6,$Y$5,IF(MONTH($C35)=7,$Y$6,"ERROR")))),0),MAX(VLOOKUP($C35,COS!$B$8:$K$991,9,FALSE)-IF(MONTH($C35)=4,$V$3,IF(MONTH($C35)=5,$V$4,IF(MONTH($C35)=6,$V$5,IF(MONTH($C35)=7,$V$6,"ERROR"))))-VLOOKUP($C35,COS!$B$8:$K$991,6,FALSE)/2,0))</f>
        <v>1500</v>
      </c>
      <c r="S35" s="26">
        <f t="shared" si="41"/>
        <v>92.231404958677686</v>
      </c>
      <c r="T35" s="26">
        <f t="shared" si="42"/>
        <v>170.79989123636039</v>
      </c>
      <c r="U35" s="26" t="str">
        <f>IF(VLOOKUP($C35,COS!$B$8:$I$991,8,FALSE)=1,"UWFE","IBU")</f>
        <v>IBU</v>
      </c>
      <c r="V35" s="26">
        <f t="shared" ref="V35" si="46">MIN(IF(IF($AA$3=2,AND(E35=1,G35=1,L35=1,L37=1,M35=1,U35="IBU"),AND(E35=1,G35=1,L35=1,L37=1,M35=1)),T35,0),I35)</f>
        <v>0</v>
      </c>
      <c r="W35" s="26"/>
      <c r="X35" s="26"/>
      <c r="Y35" s="26"/>
      <c r="Z35" s="26"/>
      <c r="AA35" s="26"/>
      <c r="AB35" s="33"/>
      <c r="AC35" s="6"/>
      <c r="AD35" s="43">
        <v>1943</v>
      </c>
      <c r="AE35" s="1">
        <f>VLOOKUP(AD35,Flags!$A$13:$B$95,2,FALSE)</f>
        <v>1</v>
      </c>
      <c r="AF35" s="43">
        <f t="shared" si="6"/>
        <v>317.65369544163224</v>
      </c>
      <c r="AG35" s="43">
        <f t="shared" si="7"/>
        <v>677.93526625451966</v>
      </c>
      <c r="AH35" s="43">
        <f t="shared" si="8"/>
        <v>0</v>
      </c>
      <c r="AI35" s="43">
        <f t="shared" si="9"/>
        <v>140.52494850852275</v>
      </c>
      <c r="AJ35" s="43">
        <f t="shared" si="10"/>
        <v>283.83824287855919</v>
      </c>
      <c r="AK35" s="43">
        <f t="shared" si="1"/>
        <v>21.004597717789579</v>
      </c>
      <c r="AL35" s="43">
        <f t="shared" si="11"/>
        <v>0</v>
      </c>
    </row>
    <row r="36" spans="1:42" x14ac:dyDescent="0.3">
      <c r="A36" s="32">
        <f>VLOOKUP(YEAR(C36),Flags!$A$13:$B$95,2,FALSE)</f>
        <v>5</v>
      </c>
      <c r="B36" s="24">
        <f t="shared" si="2"/>
        <v>1924</v>
      </c>
      <c r="C36" s="25">
        <v>9010</v>
      </c>
      <c r="D36" s="26"/>
      <c r="E36" s="24"/>
      <c r="F36" s="26"/>
      <c r="G36" s="24"/>
      <c r="H36" s="24"/>
      <c r="I36" s="26"/>
      <c r="J36" s="24"/>
      <c r="K36" s="26"/>
      <c r="L36" s="24"/>
      <c r="M36" s="24"/>
      <c r="N36" s="26"/>
      <c r="O36" s="26"/>
      <c r="P36" s="26"/>
      <c r="Q36" s="26"/>
      <c r="R36" s="26"/>
      <c r="S36" s="26"/>
      <c r="T36" s="26"/>
      <c r="U36" s="26"/>
      <c r="V36" s="26"/>
      <c r="W36" s="26">
        <f>MAX($C$7-VLOOKUP($C36,COS!$B$8:$H$991,3,FALSE),0)</f>
        <v>3865.53125</v>
      </c>
      <c r="X36" s="26">
        <f t="shared" si="31"/>
        <v>237.68225206611569</v>
      </c>
      <c r="Y36" s="26">
        <f>VLOOKUP($C36,COS!$B$8:$H$991,4,FALSE)</f>
        <v>3013.011474609375</v>
      </c>
      <c r="Z36" s="26">
        <f t="shared" si="32"/>
        <v>185.26285430655992</v>
      </c>
      <c r="AA36" s="26">
        <f t="shared" ref="AA36:AA40" si="47">MIN(W36,Y36)</f>
        <v>3013.011474609375</v>
      </c>
      <c r="AB36" s="33">
        <f t="shared" ref="AB36" si="48">AA36*DAY($C36)*86400/43560/1000*IF(MONTH($C36)=8,$P$3,IF(MONTH($C36)=9,$P$4,IF(MONTH($C36)=10,$P$5,IF(MONTH($C36)=11,$P$6,IF(MONTH($C36)=12,$P$7,NA())))))</f>
        <v>185.26285430655992</v>
      </c>
      <c r="AC36" s="6"/>
      <c r="AD36" s="43">
        <v>1944</v>
      </c>
      <c r="AE36" s="1">
        <f>VLOOKUP(AD36,Flags!$A$13:$B$95,2,FALSE)</f>
        <v>4</v>
      </c>
      <c r="AF36" s="43">
        <f t="shared" si="6"/>
        <v>0</v>
      </c>
      <c r="AG36" s="43">
        <f t="shared" si="7"/>
        <v>536.4356380027582</v>
      </c>
      <c r="AH36" s="43">
        <f t="shared" si="8"/>
        <v>0</v>
      </c>
      <c r="AI36" s="43">
        <f t="shared" si="9"/>
        <v>469.34412125516531</v>
      </c>
      <c r="AJ36" s="43">
        <f t="shared" si="10"/>
        <v>425.35607502582639</v>
      </c>
      <c r="AK36" s="43">
        <f t="shared" si="1"/>
        <v>259.73199299457644</v>
      </c>
      <c r="AL36" s="43">
        <f t="shared" si="11"/>
        <v>0</v>
      </c>
    </row>
    <row r="37" spans="1:42" x14ac:dyDescent="0.3">
      <c r="A37" s="32">
        <f>VLOOKUP(YEAR(C37),Flags!$A$13:$B$95,2,FALSE)</f>
        <v>5</v>
      </c>
      <c r="B37" s="24">
        <f t="shared" si="2"/>
        <v>1924</v>
      </c>
      <c r="C37" s="25">
        <v>9040</v>
      </c>
      <c r="D37" s="26"/>
      <c r="E37" s="24"/>
      <c r="F37" s="26"/>
      <c r="G37" s="24"/>
      <c r="H37" s="24"/>
      <c r="I37" s="26"/>
      <c r="J37" s="24"/>
      <c r="K37" s="26">
        <f>VLOOKUP($C37,COS!$B$8:$H$991,2,FALSE)</f>
        <v>953.81658935546875</v>
      </c>
      <c r="L37" s="24">
        <f t="shared" ref="L37" si="49">IF(AND(K37&gt;$I$7,K37&lt;$I$8),1,0)</f>
        <v>0</v>
      </c>
      <c r="M37" s="24"/>
      <c r="N37" s="26"/>
      <c r="O37" s="26"/>
      <c r="P37" s="26"/>
      <c r="Q37" s="26"/>
      <c r="R37" s="26"/>
      <c r="S37" s="26"/>
      <c r="T37" s="26"/>
      <c r="U37" s="26"/>
      <c r="V37" s="26"/>
      <c r="W37" s="26">
        <f>MAX($C$8-VLOOKUP($C37,COS!$B$8:$H$991,3,FALSE),0)</f>
        <v>0</v>
      </c>
      <c r="X37" s="26">
        <f t="shared" si="31"/>
        <v>0</v>
      </c>
      <c r="Y37" s="26">
        <f>VLOOKUP($C37,COS!$B$8:$H$991,4,FALSE)</f>
        <v>1832.2586669921875</v>
      </c>
      <c r="Z37" s="26">
        <f t="shared" si="32"/>
        <v>109.02696200284092</v>
      </c>
      <c r="AA37" s="26">
        <f t="shared" si="47"/>
        <v>0</v>
      </c>
      <c r="AB37" s="33">
        <f t="shared" si="34"/>
        <v>0</v>
      </c>
      <c r="AC37" s="6"/>
      <c r="AD37" s="43">
        <v>1945</v>
      </c>
      <c r="AE37" s="1">
        <f>VLOOKUP(AD37,Flags!$A$13:$B$95,2,FALSE)</f>
        <v>3</v>
      </c>
      <c r="AF37" s="43">
        <f t="shared" si="6"/>
        <v>114.73130423553718</v>
      </c>
      <c r="AG37" s="43">
        <f t="shared" si="7"/>
        <v>638.10357915200473</v>
      </c>
      <c r="AH37" s="43">
        <f t="shared" si="8"/>
        <v>0</v>
      </c>
      <c r="AI37" s="43">
        <f t="shared" si="9"/>
        <v>151.19810563016529</v>
      </c>
      <c r="AJ37" s="43">
        <f t="shared" si="10"/>
        <v>122.39421326188017</v>
      </c>
      <c r="AK37" s="43">
        <f t="shared" si="1"/>
        <v>48.501172318892046</v>
      </c>
      <c r="AL37" s="43">
        <f t="shared" si="11"/>
        <v>0</v>
      </c>
    </row>
    <row r="38" spans="1:42" x14ac:dyDescent="0.3">
      <c r="A38" s="32">
        <f>VLOOKUP(YEAR(C38),Flags!$A$13:$B$95,2,FALSE)</f>
        <v>5</v>
      </c>
      <c r="B38" s="24">
        <f t="shared" si="2"/>
        <v>1924</v>
      </c>
      <c r="C38" s="25">
        <v>9071</v>
      </c>
      <c r="D38" s="26"/>
      <c r="E38" s="24"/>
      <c r="F38" s="26"/>
      <c r="G38" s="26"/>
      <c r="H38" s="26"/>
      <c r="I38" s="26"/>
      <c r="J38" s="26"/>
      <c r="K38" s="26"/>
      <c r="L38" s="24"/>
      <c r="M38" s="24"/>
      <c r="N38" s="26"/>
      <c r="O38" s="26"/>
      <c r="P38" s="26"/>
      <c r="Q38" s="26"/>
      <c r="R38" s="26"/>
      <c r="S38" s="26"/>
      <c r="T38" s="26"/>
      <c r="U38" s="26"/>
      <c r="V38" s="26"/>
      <c r="W38" s="26">
        <f>MAX($C$9-VLOOKUP($C38,COS!$B$8:$H$991,3,FALSE),0)</f>
        <v>976.56103515625</v>
      </c>
      <c r="X38" s="26">
        <f t="shared" si="31"/>
        <v>60.046397533574378</v>
      </c>
      <c r="Y38" s="26">
        <f>VLOOKUP($C38,COS!$B$8:$H$991,4,FALSE)</f>
        <v>661.1058349609375</v>
      </c>
      <c r="Z38" s="26">
        <f t="shared" si="32"/>
        <v>40.649813323217977</v>
      </c>
      <c r="AA38" s="26">
        <f t="shared" si="47"/>
        <v>661.1058349609375</v>
      </c>
      <c r="AB38" s="33">
        <f t="shared" si="34"/>
        <v>40.649813323217977</v>
      </c>
      <c r="AC38" s="6"/>
      <c r="AD38" s="43">
        <v>1946</v>
      </c>
      <c r="AE38" s="1">
        <f>VLOOKUP(AD38,Flags!$A$13:$B$95,2,FALSE)</f>
        <v>2</v>
      </c>
      <c r="AF38" s="43">
        <f t="shared" si="6"/>
        <v>407.88433400051656</v>
      </c>
      <c r="AG38" s="43">
        <f t="shared" si="7"/>
        <v>703.64850392239146</v>
      </c>
      <c r="AH38" s="43">
        <f t="shared" si="8"/>
        <v>0</v>
      </c>
      <c r="AI38" s="43">
        <f t="shared" si="9"/>
        <v>125.16402117768595</v>
      </c>
      <c r="AJ38" s="43">
        <f t="shared" si="10"/>
        <v>168.4989415192407</v>
      </c>
      <c r="AK38" s="43">
        <f t="shared" si="1"/>
        <v>0</v>
      </c>
      <c r="AL38" s="43">
        <f t="shared" si="11"/>
        <v>0</v>
      </c>
    </row>
    <row r="39" spans="1:42" x14ac:dyDescent="0.3">
      <c r="A39" s="32">
        <f>VLOOKUP(YEAR(C39),Flags!$A$13:$B$95,2,FALSE)</f>
        <v>5</v>
      </c>
      <c r="B39" s="24">
        <f t="shared" si="2"/>
        <v>1924</v>
      </c>
      <c r="C39" s="25">
        <v>9101</v>
      </c>
      <c r="D39" s="26"/>
      <c r="E39" s="24"/>
      <c r="F39" s="26"/>
      <c r="G39" s="26"/>
      <c r="H39" s="26"/>
      <c r="I39" s="26"/>
      <c r="J39" s="26"/>
      <c r="K39" s="26"/>
      <c r="L39" s="24"/>
      <c r="M39" s="24"/>
      <c r="N39" s="26"/>
      <c r="O39" s="26"/>
      <c r="P39" s="26"/>
      <c r="Q39" s="26"/>
      <c r="R39" s="26"/>
      <c r="S39" s="26"/>
      <c r="T39" s="26"/>
      <c r="U39" s="26"/>
      <c r="V39" s="26"/>
      <c r="W39" s="26">
        <f>MAX($C$10-VLOOKUP($C39,COS!$B$8:$H$991,3,FALSE),0)</f>
        <v>1750</v>
      </c>
      <c r="X39" s="26">
        <f t="shared" si="31"/>
        <v>104.13223140495867</v>
      </c>
      <c r="Y39" s="26">
        <f>VLOOKUP($C39,COS!$B$8:$H$991,4,FALSE)</f>
        <v>1030.6826171875</v>
      </c>
      <c r="Z39" s="26">
        <f t="shared" si="32"/>
        <v>61.329874741735537</v>
      </c>
      <c r="AA39" s="26">
        <f t="shared" si="47"/>
        <v>1030.6826171875</v>
      </c>
      <c r="AB39" s="33">
        <f t="shared" si="34"/>
        <v>61.329874741735537</v>
      </c>
      <c r="AC39" s="6"/>
      <c r="AD39" s="43">
        <v>1947</v>
      </c>
      <c r="AE39" s="1">
        <f>VLOOKUP(AD39,Flags!$A$13:$B$95,2,FALSE)</f>
        <v>4</v>
      </c>
      <c r="AF39" s="43">
        <f t="shared" si="6"/>
        <v>277.55906249999998</v>
      </c>
      <c r="AG39" s="43">
        <f t="shared" si="7"/>
        <v>637.84218946724877</v>
      </c>
      <c r="AH39" s="43">
        <f t="shared" si="8"/>
        <v>277.55906249999998</v>
      </c>
      <c r="AI39" s="43">
        <f t="shared" si="9"/>
        <v>503.6050297004133</v>
      </c>
      <c r="AJ39" s="43">
        <f t="shared" si="10"/>
        <v>397.17103701252586</v>
      </c>
      <c r="AK39" s="43">
        <f t="shared" si="1"/>
        <v>333.07468499806305</v>
      </c>
      <c r="AL39" s="43">
        <f t="shared" si="11"/>
        <v>277.55906249999998</v>
      </c>
    </row>
    <row r="40" spans="1:42" x14ac:dyDescent="0.3">
      <c r="A40" s="34">
        <f>VLOOKUP(YEAR(C40),Flags!$A$13:$B$95,2,FALSE)</f>
        <v>5</v>
      </c>
      <c r="B40" s="35">
        <f t="shared" si="2"/>
        <v>1924</v>
      </c>
      <c r="C40" s="36">
        <v>9132</v>
      </c>
      <c r="D40" s="37"/>
      <c r="E40" s="35"/>
      <c r="F40" s="37"/>
      <c r="G40" s="37"/>
      <c r="H40" s="37"/>
      <c r="I40" s="37"/>
      <c r="J40" s="37"/>
      <c r="K40" s="37"/>
      <c r="L40" s="35"/>
      <c r="M40" s="35"/>
      <c r="N40" s="37"/>
      <c r="O40" s="37"/>
      <c r="P40" s="37"/>
      <c r="Q40" s="37"/>
      <c r="R40" s="37"/>
      <c r="S40" s="37"/>
      <c r="T40" s="37"/>
      <c r="U40" s="37"/>
      <c r="V40" s="37"/>
      <c r="W40" s="37">
        <f>MAX($C$11-VLOOKUP($C40,COS!$B$8:$H$991,3,FALSE),0)</f>
        <v>1750</v>
      </c>
      <c r="X40" s="37">
        <f t="shared" si="31"/>
        <v>107.60330578512398</v>
      </c>
      <c r="Y40" s="37">
        <f>VLOOKUP($C40,COS!$B$8:$H$991,4,FALSE)</f>
        <v>3291.532958984375</v>
      </c>
      <c r="Z40" s="37">
        <f t="shared" si="32"/>
        <v>202.38847284994836</v>
      </c>
      <c r="AA40" s="37">
        <f t="shared" si="47"/>
        <v>1750</v>
      </c>
      <c r="AB40" s="38">
        <f t="shared" si="34"/>
        <v>107.60330578512398</v>
      </c>
      <c r="AC40" s="6"/>
      <c r="AD40" s="43">
        <v>1948</v>
      </c>
      <c r="AE40" s="1">
        <f>VLOOKUP(AD40,Flags!$A$13:$B$95,2,FALSE)</f>
        <v>3</v>
      </c>
      <c r="AF40" s="43">
        <f t="shared" si="6"/>
        <v>208.57675878099175</v>
      </c>
      <c r="AG40" s="43">
        <f t="shared" si="7"/>
        <v>636.59657708538452</v>
      </c>
      <c r="AH40" s="43">
        <f t="shared" si="8"/>
        <v>0</v>
      </c>
      <c r="AI40" s="43">
        <f t="shared" si="9"/>
        <v>310.65927040289262</v>
      </c>
      <c r="AJ40" s="43">
        <f t="shared" si="10"/>
        <v>206.49819967474818</v>
      </c>
      <c r="AK40" s="43">
        <f t="shared" si="1"/>
        <v>138.64135005730242</v>
      </c>
      <c r="AL40" s="43">
        <f t="shared" si="11"/>
        <v>0</v>
      </c>
    </row>
    <row r="41" spans="1:42" x14ac:dyDescent="0.3">
      <c r="A41" s="27">
        <f>VLOOKUP(YEAR(C41),Flags!$A$13:$B$95,2,FALSE)</f>
        <v>4</v>
      </c>
      <c r="B41" s="28">
        <f t="shared" si="2"/>
        <v>1925</v>
      </c>
      <c r="C41" s="29">
        <v>9252</v>
      </c>
      <c r="D41" s="30">
        <f>VLOOKUP($C41,COS!$B$8:$H$991,3,FALSE)</f>
        <v>3250</v>
      </c>
      <c r="E41" s="28">
        <f>IF(D41&gt;=IF(MONTH($C41)=4,$C$3,IF(MONTH($C41)=5,$C$4,IF(MONTH($C41)=6,$C$5,IF(MONTH($C41)=7,$C$6,"ERROR")))),1,0)</f>
        <v>0</v>
      </c>
      <c r="F41" s="30">
        <f>VLOOKUP($C41,COS!$B$8:$H$991,7,FALSE)</f>
        <v>49.611015319824219</v>
      </c>
      <c r="G41" s="28">
        <f>IF(F41&lt;=IF(MONTH($C41)=4,$F$3,IF(MONTH($C41)=5,$F$4,IF(MONTH($C41)=6,$F$5,IF(MONTH($C41)=7,$F$6,"ERROR")))),1,0)</f>
        <v>1</v>
      </c>
      <c r="H41" s="30">
        <f>IF(J41=1,D41-$C$3,0)</f>
        <v>0</v>
      </c>
      <c r="I41" s="30">
        <f t="shared" si="17"/>
        <v>0</v>
      </c>
      <c r="J41" s="28">
        <f t="shared" ref="J41:J44" si="50">IF(AND(E41=1,G41=1),1,0)</f>
        <v>0</v>
      </c>
      <c r="K41" s="30">
        <f>VLOOKUP($C41,COS!$B$8:$H$991,2,FALSE)</f>
        <v>4202.82470703125</v>
      </c>
      <c r="L41" s="28">
        <f t="shared" ref="L41" si="51">IF(K41&lt;=IF(MONTH($C41)=4,$I$3,IF(MONTH($C41)=5,$I$4,IF(MONTH($C41)=6,$I$5,IF(MONTH($C41)=7,$I$6,"ERROR")))),1,0)</f>
        <v>1</v>
      </c>
      <c r="M41" s="28">
        <f t="shared" ref="M41" si="52">VLOOKUP($A41,$L$3:$M$7,2,FALSE)</f>
        <v>1</v>
      </c>
      <c r="N41" s="30">
        <f>VLOOKUP($C41,COS!$B$8:$H$991,5,FALSE)</f>
        <v>154.96903991699219</v>
      </c>
      <c r="O41" s="30">
        <f t="shared" ref="O41:O44" si="53">N41*DAY($C41)*86400/43560/1000</f>
        <v>9.2212982429945765</v>
      </c>
      <c r="P41" s="30">
        <f>VLOOKUP($C41,COS!$B$8:$H$991,6,FALSE)</f>
        <v>375.54595947265625</v>
      </c>
      <c r="Q41" s="30">
        <f t="shared" ref="Q41:Q44" si="54">P41*DAY($C41)*86400/43560/1000</f>
        <v>22.346536431430785</v>
      </c>
      <c r="R41" s="30">
        <f>MIN(IF(MONTH($C41)=4,$S$3,IF(MONTH($C41)=5,$S$4,IF(MONTH($C41)=6,$S$5,IF(MONTH($C41)=7,$S$6,"ERROR")))),MAX(VLOOKUP($C41,COS!$B$8:$K$991,10,FALSE)-IF(MONTH($C41)=4,$Y$3,IF(MONTH($C41)=5,$Y$4,IF(MONTH($C41)=6,$Y$5,IF(MONTH($C41)=7,$Y$6,"ERROR")))),0),MAX(VLOOKUP($C41,COS!$B$8:$K$991,9,FALSE)-IF(MONTH($C41)=4,$V$3,IF(MONTH($C41)=5,$V$4,IF(MONTH($C41)=6,$V$5,IF(MONTH($C41)=7,$V$6,"ERROR"))))-VLOOKUP($C41,COS!$B$8:$K$991,6,FALSE)/2,0))</f>
        <v>1500</v>
      </c>
      <c r="S41" s="30">
        <f t="shared" ref="S41:S44" si="55">R41*DAY($C41)*86400/43560/1000</f>
        <v>89.256198347107429</v>
      </c>
      <c r="T41" s="30">
        <f t="shared" ref="T41:T44" si="56">(O41+Q41)/2+S41</f>
        <v>105.04011568432011</v>
      </c>
      <c r="U41" s="30" t="str">
        <f>IF(VLOOKUP($C41,COS!$B$8:$I$991,8,FALSE)=1,"UWFE","IBU")</f>
        <v>UWFE</v>
      </c>
      <c r="V41" s="30">
        <f t="shared" ref="V41" si="57">MIN(IF(IF($AA$3=2,AND(E41=1,G41=1,L41=1,L46=1,M41=1,U41="IBU"),AND(E41=1,G41=1,L41=1,L46=1,M41=1)),T41,0),I41)</f>
        <v>0</v>
      </c>
      <c r="W41" s="30"/>
      <c r="X41" s="30"/>
      <c r="Y41" s="30"/>
      <c r="Z41" s="30"/>
      <c r="AA41" s="30"/>
      <c r="AB41" s="31"/>
      <c r="AC41" s="6"/>
      <c r="AD41" s="43">
        <v>1949</v>
      </c>
      <c r="AE41" s="1">
        <f>VLOOKUP(AD41,Flags!$A$13:$B$95,2,FALSE)</f>
        <v>4</v>
      </c>
      <c r="AF41" s="43">
        <f t="shared" si="6"/>
        <v>193.31074993543388</v>
      </c>
      <c r="AG41" s="43">
        <f t="shared" si="7"/>
        <v>668.08874654974829</v>
      </c>
      <c r="AH41" s="43">
        <f t="shared" si="8"/>
        <v>156.38789449896694</v>
      </c>
      <c r="AI41" s="43">
        <f t="shared" si="9"/>
        <v>312.288248321281</v>
      </c>
      <c r="AJ41" s="43">
        <f t="shared" si="10"/>
        <v>433.91744003422002</v>
      </c>
      <c r="AK41" s="43">
        <f t="shared" si="1"/>
        <v>254.02044276213843</v>
      </c>
      <c r="AL41" s="43">
        <f t="shared" si="11"/>
        <v>156.38789449896694</v>
      </c>
    </row>
    <row r="42" spans="1:42" x14ac:dyDescent="0.3">
      <c r="A42" s="32">
        <f>VLOOKUP(YEAR(C42),Flags!$A$13:$B$95,2,FALSE)</f>
        <v>4</v>
      </c>
      <c r="B42" s="24">
        <f t="shared" si="2"/>
        <v>1925</v>
      </c>
      <c r="C42" s="25">
        <v>9283</v>
      </c>
      <c r="D42" s="26">
        <f>VLOOKUP($C42,COS!$B$8:$H$991,3,FALSE)</f>
        <v>6016.6982421875</v>
      </c>
      <c r="E42" s="24">
        <f>IF(D42&gt;=IF(MONTH($C42)=4,$C$3,IF(MONTH($C42)=5,$C$4,IF(MONTH($C42)=6,$C$5,IF(MONTH($C42)=7,$C$6,"ERROR")))),1,0)</f>
        <v>1</v>
      </c>
      <c r="F42" s="26">
        <f>VLOOKUP($C42,COS!$B$8:$H$991,7,FALSE)</f>
        <v>50.364429473876953</v>
      </c>
      <c r="G42" s="24">
        <f>IF(F42&lt;=IF(MONTH($C42)=4,$F$3,IF(MONTH($C42)=5,$F$4,IF(MONTH($C42)=6,$F$5,IF(MONTH($C42)=7,$F$6,"ERROR")))),1,0)</f>
        <v>1</v>
      </c>
      <c r="H42" s="26">
        <f>IF(J42=1,D42-$C$4,0)</f>
        <v>16.6982421875</v>
      </c>
      <c r="I42" s="26">
        <f t="shared" si="17"/>
        <v>1.0267348915289256</v>
      </c>
      <c r="J42" s="24">
        <f t="shared" si="50"/>
        <v>1</v>
      </c>
      <c r="K42" s="26">
        <f>VLOOKUP($C42,COS!$B$8:$H$991,2,FALSE)</f>
        <v>4282.16650390625</v>
      </c>
      <c r="L42" s="24">
        <f t="shared" si="19"/>
        <v>1</v>
      </c>
      <c r="M42" s="24">
        <f t="shared" si="20"/>
        <v>1</v>
      </c>
      <c r="N42" s="26">
        <f>VLOOKUP($C42,COS!$B$8:$H$991,5,FALSE)</f>
        <v>377.79129028320313</v>
      </c>
      <c r="O42" s="26">
        <f t="shared" si="53"/>
        <v>23.229480989314307</v>
      </c>
      <c r="P42" s="26">
        <f>VLOOKUP($C42,COS!$B$8:$H$991,6,FALSE)</f>
        <v>1796.5595703125</v>
      </c>
      <c r="Q42" s="26">
        <f t="shared" si="54"/>
        <v>110.46614217458676</v>
      </c>
      <c r="R42" s="26">
        <f>MIN(IF(MONTH($C42)=4,$S$3,IF(MONTH($C42)=5,$S$4,IF(MONTH($C42)=6,$S$5,IF(MONTH($C42)=7,$S$6,"ERROR")))),MAX(VLOOKUP($C42,COS!$B$8:$K$991,10,FALSE)-IF(MONTH($C42)=4,$Y$3,IF(MONTH($C42)=5,$Y$4,IF(MONTH($C42)=6,$Y$5,IF(MONTH($C42)=7,$Y$6,"ERROR")))),0),MAX(VLOOKUP($C42,COS!$B$8:$K$991,9,FALSE)-IF(MONTH($C42)=4,$V$3,IF(MONTH($C42)=5,$V$4,IF(MONTH($C42)=6,$V$5,IF(MONTH($C42)=7,$V$6,"ERROR"))))-VLOOKUP($C42,COS!$B$8:$K$991,6,FALSE)/2,0))</f>
        <v>1500</v>
      </c>
      <c r="S42" s="26">
        <f t="shared" si="55"/>
        <v>92.231404958677686</v>
      </c>
      <c r="T42" s="26">
        <f t="shared" si="56"/>
        <v>159.07921654062824</v>
      </c>
      <c r="U42" s="26" t="str">
        <f>IF(VLOOKUP($C42,COS!$B$8:$I$991,8,FALSE)=1,"UWFE","IBU")</f>
        <v>UWFE</v>
      </c>
      <c r="V42" s="26">
        <f t="shared" ref="V42" si="58">MIN(IF(IF($AA$3=2,AND(E42=1,G42=1,L42=1,L46=1,M42=1,U42="IBU"),AND(E42=1,G42=1,L42=1,L46=1,M42=1)),T42,0),I42)</f>
        <v>0</v>
      </c>
      <c r="W42" s="26"/>
      <c r="X42" s="26"/>
      <c r="Y42" s="26"/>
      <c r="Z42" s="26"/>
      <c r="AA42" s="26"/>
      <c r="AB42" s="33"/>
      <c r="AC42" s="6"/>
      <c r="AD42" s="43">
        <v>1950</v>
      </c>
      <c r="AE42" s="1">
        <f>VLOOKUP(AD42,Flags!$A$13:$B$95,2,FALSE)</f>
        <v>4</v>
      </c>
      <c r="AF42" s="43">
        <f t="shared" si="6"/>
        <v>24.391813985020661</v>
      </c>
      <c r="AG42" s="43">
        <f t="shared" si="7"/>
        <v>648.70872080905383</v>
      </c>
      <c r="AH42" s="43">
        <f t="shared" si="8"/>
        <v>0</v>
      </c>
      <c r="AI42" s="43">
        <f t="shared" si="9"/>
        <v>242.19135201446278</v>
      </c>
      <c r="AJ42" s="43">
        <f t="shared" si="10"/>
        <v>112.07308938775182</v>
      </c>
      <c r="AK42" s="43">
        <f t="shared" si="1"/>
        <v>26.874434138526603</v>
      </c>
      <c r="AL42" s="43">
        <f t="shared" si="11"/>
        <v>0</v>
      </c>
    </row>
    <row r="43" spans="1:42" x14ac:dyDescent="0.3">
      <c r="A43" s="32">
        <f>VLOOKUP(YEAR(C43),Flags!$A$13:$B$95,2,FALSE)</f>
        <v>4</v>
      </c>
      <c r="B43" s="24">
        <f t="shared" si="2"/>
        <v>1925</v>
      </c>
      <c r="C43" s="25">
        <v>9313</v>
      </c>
      <c r="D43" s="26">
        <f>VLOOKUP($C43,COS!$B$8:$H$991,3,FALSE)</f>
        <v>9612.4140625</v>
      </c>
      <c r="E43" s="24">
        <f>IF(D43&gt;=IF(MONTH($C43)=4,$C$3,IF(MONTH($C43)=5,$C$4,IF(MONTH($C43)=6,$C$5,IF(MONTH($C43)=7,$C$6,"ERROR")))),1,0)</f>
        <v>0</v>
      </c>
      <c r="F43" s="26">
        <f>VLOOKUP($C43,COS!$B$8:$H$991,7,FALSE)</f>
        <v>50.799709320068359</v>
      </c>
      <c r="G43" s="24">
        <f>IF(F43&lt;=IF(MONTH($C43)=4,$F$3,IF(MONTH($C43)=5,$F$4,IF(MONTH($C43)=6,$F$5,IF(MONTH($C43)=7,$F$6,"ERROR")))),1,0)</f>
        <v>1</v>
      </c>
      <c r="H43" s="26">
        <f>IF(J43=1,D43-$C$5,0)</f>
        <v>0</v>
      </c>
      <c r="I43" s="26">
        <f t="shared" si="17"/>
        <v>0</v>
      </c>
      <c r="J43" s="24">
        <f t="shared" si="50"/>
        <v>0</v>
      </c>
      <c r="K43" s="26">
        <f>VLOOKUP($C43,COS!$B$8:$H$991,2,FALSE)</f>
        <v>3989.940673828125</v>
      </c>
      <c r="L43" s="24">
        <f t="shared" si="19"/>
        <v>1</v>
      </c>
      <c r="M43" s="24">
        <f t="shared" si="20"/>
        <v>1</v>
      </c>
      <c r="N43" s="26">
        <f>VLOOKUP($C43,COS!$B$8:$H$991,5,FALSE)</f>
        <v>794.0576171875</v>
      </c>
      <c r="O43" s="26">
        <f t="shared" si="53"/>
        <v>47.249709452479337</v>
      </c>
      <c r="P43" s="26">
        <f>VLOOKUP($C43,COS!$B$8:$H$991,6,FALSE)</f>
        <v>2591.778564453125</v>
      </c>
      <c r="Q43" s="26">
        <f t="shared" si="54"/>
        <v>154.22153441373965</v>
      </c>
      <c r="R43" s="26">
        <f>MIN(IF(MONTH($C43)=4,$S$3,IF(MONTH($C43)=5,$S$4,IF(MONTH($C43)=6,$S$5,IF(MONTH($C43)=7,$S$6,"ERROR")))),MAX(VLOOKUP($C43,COS!$B$8:$K$991,10,FALSE)-IF(MONTH($C43)=4,$Y$3,IF(MONTH($C43)=5,$Y$4,IF(MONTH($C43)=6,$Y$5,IF(MONTH($C43)=7,$Y$6,"ERROR")))),0),MAX(VLOOKUP($C43,COS!$B$8:$K$991,9,FALSE)-IF(MONTH($C43)=4,$V$3,IF(MONTH($C43)=5,$V$4,IF(MONTH($C43)=6,$V$5,IF(MONTH($C43)=7,$V$6,"ERROR"))))-VLOOKUP($C43,COS!$B$8:$K$991,6,FALSE)/2,0))</f>
        <v>1500</v>
      </c>
      <c r="S43" s="26">
        <f t="shared" si="55"/>
        <v>89.256198347107429</v>
      </c>
      <c r="T43" s="26">
        <f t="shared" si="56"/>
        <v>189.99182028021693</v>
      </c>
      <c r="U43" s="26" t="str">
        <f>IF(VLOOKUP($C43,COS!$B$8:$I$991,8,FALSE)=1,"UWFE","IBU")</f>
        <v>IBU</v>
      </c>
      <c r="V43" s="26">
        <f t="shared" ref="V43" si="59">MIN(IF(IF($AA$3=2,AND(E43=1,G43=1,L43=1,L46=1,M43=1,U43="IBU"),AND(E43=1,G43=1,L43=1,L46=1,M43=1)),T43,0),I43)</f>
        <v>0</v>
      </c>
      <c r="W43" s="26"/>
      <c r="X43" s="26"/>
      <c r="Y43" s="26"/>
      <c r="Z43" s="26"/>
      <c r="AA43" s="26"/>
      <c r="AB43" s="33"/>
      <c r="AC43" s="6"/>
      <c r="AD43" s="43">
        <v>1951</v>
      </c>
      <c r="AE43" s="1">
        <f>VLOOKUP(AD43,Flags!$A$13:$B$95,2,FALSE)</f>
        <v>2</v>
      </c>
      <c r="AF43" s="43">
        <f t="shared" si="6"/>
        <v>318.2121345557851</v>
      </c>
      <c r="AG43" s="43">
        <f t="shared" si="7"/>
        <v>645.21338185207901</v>
      </c>
      <c r="AH43" s="43">
        <f t="shared" si="8"/>
        <v>0</v>
      </c>
      <c r="AI43" s="43">
        <f t="shared" si="9"/>
        <v>42.794771435950409</v>
      </c>
      <c r="AJ43" s="43">
        <f t="shared" si="10"/>
        <v>123.98751945054235</v>
      </c>
      <c r="AK43" s="43">
        <f t="shared" si="1"/>
        <v>0</v>
      </c>
      <c r="AL43" s="43">
        <f t="shared" si="11"/>
        <v>0</v>
      </c>
    </row>
    <row r="44" spans="1:42" x14ac:dyDescent="0.3">
      <c r="A44" s="32">
        <f>VLOOKUP(YEAR(C44),Flags!$A$13:$B$95,2,FALSE)</f>
        <v>4</v>
      </c>
      <c r="B44" s="24">
        <f t="shared" si="2"/>
        <v>1925</v>
      </c>
      <c r="C44" s="25">
        <v>9344</v>
      </c>
      <c r="D44" s="26">
        <f>VLOOKUP($C44,COS!$B$8:$H$991,3,FALSE)</f>
        <v>12695.501953125</v>
      </c>
      <c r="E44" s="24">
        <f>IF(D44&gt;=IF(MONTH($C44)=4,$C$3,IF(MONTH($C44)=5,$C$4,IF(MONTH($C44)=6,$C$5,IF(MONTH($C44)=7,$C$6,"ERROR")))),1,0)</f>
        <v>1</v>
      </c>
      <c r="F44" s="26">
        <f>VLOOKUP($C44,COS!$B$8:$H$991,7,FALSE)</f>
        <v>51.456871032714844</v>
      </c>
      <c r="G44" s="24">
        <f>IF(F44&lt;=IF(MONTH($C44)=4,$F$3,IF(MONTH($C44)=5,$F$4,IF(MONTH($C44)=6,$F$5,IF(MONTH($C44)=7,$F$6,"ERROR")))),1,0)</f>
        <v>1</v>
      </c>
      <c r="H44" s="26">
        <f>IF(J44=1,D44-$C$6,0)</f>
        <v>695.501953125</v>
      </c>
      <c r="I44" s="26">
        <f t="shared" si="17"/>
        <v>42.764748192148765</v>
      </c>
      <c r="J44" s="24">
        <f t="shared" si="50"/>
        <v>1</v>
      </c>
      <c r="K44" s="26">
        <f>VLOOKUP($C44,COS!$B$8:$H$991,2,FALSE)</f>
        <v>3437.54150390625</v>
      </c>
      <c r="L44" s="24">
        <f t="shared" si="19"/>
        <v>1</v>
      </c>
      <c r="M44" s="24">
        <f t="shared" si="20"/>
        <v>1</v>
      </c>
      <c r="N44" s="26">
        <f>VLOOKUP($C44,COS!$B$8:$H$991,5,FALSE)</f>
        <v>979.5245361328125</v>
      </c>
      <c r="O44" s="26">
        <f t="shared" si="53"/>
        <v>60.228616106017569</v>
      </c>
      <c r="P44" s="26">
        <f>VLOOKUP($C44,COS!$B$8:$H$991,6,FALSE)</f>
        <v>2538.07568359375</v>
      </c>
      <c r="Q44" s="26">
        <f t="shared" si="54"/>
        <v>156.06019079287191</v>
      </c>
      <c r="R44" s="26">
        <f>MIN(IF(MONTH($C44)=4,$S$3,IF(MONTH($C44)=5,$S$4,IF(MONTH($C44)=6,$S$5,IF(MONTH($C44)=7,$S$6,"ERROR")))),MAX(VLOOKUP($C44,COS!$B$8:$K$991,10,FALSE)-IF(MONTH($C44)=4,$Y$3,IF(MONTH($C44)=5,$Y$4,IF(MONTH($C44)=6,$Y$5,IF(MONTH($C44)=7,$Y$6,"ERROR")))),0),MAX(VLOOKUP($C44,COS!$B$8:$K$991,9,FALSE)-IF(MONTH($C44)=4,$V$3,IF(MONTH($C44)=5,$V$4,IF(MONTH($C44)=6,$V$5,IF(MONTH($C44)=7,$V$6,"ERROR"))))-VLOOKUP($C44,COS!$B$8:$K$991,6,FALSE)/2,0))</f>
        <v>1500</v>
      </c>
      <c r="S44" s="26">
        <f t="shared" si="55"/>
        <v>92.231404958677686</v>
      </c>
      <c r="T44" s="26">
        <f t="shared" si="56"/>
        <v>200.37580840812242</v>
      </c>
      <c r="U44" s="26" t="str">
        <f>IF(VLOOKUP($C44,COS!$B$8:$I$991,8,FALSE)=1,"UWFE","IBU")</f>
        <v>IBU</v>
      </c>
      <c r="V44" s="26">
        <f t="shared" ref="V44" si="60">MIN(IF(IF($AA$3=2,AND(E44=1,G44=1,L44=1,L46=1,M44=1,U44="IBU"),AND(E44=1,G44=1,L44=1,L46=1,M44=1)),T44,0),I44)</f>
        <v>42.764748192148765</v>
      </c>
      <c r="W44" s="26"/>
      <c r="X44" s="26"/>
      <c r="Y44" s="26"/>
      <c r="Z44" s="26"/>
      <c r="AA44" s="26"/>
      <c r="AB44" s="33"/>
      <c r="AC44" s="6"/>
      <c r="AD44" s="43">
        <v>1952</v>
      </c>
      <c r="AE44" s="1">
        <f>VLOOKUP(AD44,Flags!$A$13:$B$95,2,FALSE)</f>
        <v>1</v>
      </c>
      <c r="AF44" s="43">
        <f t="shared" si="6"/>
        <v>697.78984633264463</v>
      </c>
      <c r="AG44" s="43">
        <f t="shared" si="7"/>
        <v>685.72902777553577</v>
      </c>
      <c r="AH44" s="43">
        <f t="shared" si="8"/>
        <v>0</v>
      </c>
      <c r="AI44" s="43">
        <f t="shared" si="9"/>
        <v>11.600561079545454</v>
      </c>
      <c r="AJ44" s="43">
        <f t="shared" si="10"/>
        <v>58.610078891722623</v>
      </c>
      <c r="AK44" s="43">
        <f t="shared" si="1"/>
        <v>0</v>
      </c>
      <c r="AL44" s="43">
        <f t="shared" si="11"/>
        <v>0</v>
      </c>
    </row>
    <row r="45" spans="1:42" x14ac:dyDescent="0.3">
      <c r="A45" s="32">
        <f>VLOOKUP(YEAR(C45),Flags!$A$13:$B$95,2,FALSE)</f>
        <v>4</v>
      </c>
      <c r="B45" s="24">
        <f t="shared" si="2"/>
        <v>1925</v>
      </c>
      <c r="C45" s="25">
        <v>9375</v>
      </c>
      <c r="D45" s="26"/>
      <c r="E45" s="24"/>
      <c r="F45" s="26"/>
      <c r="G45" s="24"/>
      <c r="H45" s="24"/>
      <c r="I45" s="26"/>
      <c r="J45" s="24"/>
      <c r="K45" s="26"/>
      <c r="L45" s="24"/>
      <c r="M45" s="24"/>
      <c r="N45" s="26"/>
      <c r="O45" s="26"/>
      <c r="P45" s="26"/>
      <c r="Q45" s="26"/>
      <c r="R45" s="26"/>
      <c r="S45" s="26"/>
      <c r="T45" s="26"/>
      <c r="U45" s="26"/>
      <c r="V45" s="26"/>
      <c r="W45" s="26">
        <f>MAX($C$7-VLOOKUP($C45,COS!$B$8:$H$991,3,FALSE),0)</f>
        <v>2170.4140625</v>
      </c>
      <c r="X45" s="26">
        <f t="shared" si="31"/>
        <v>133.45355888429754</v>
      </c>
      <c r="Y45" s="26">
        <f>VLOOKUP($C45,COS!$B$8:$H$991,4,FALSE)</f>
        <v>1755.4483642578125</v>
      </c>
      <c r="Z45" s="26">
        <f t="shared" si="32"/>
        <v>107.93831264527377</v>
      </c>
      <c r="AA45" s="26">
        <f t="shared" ref="AA45:AA49" si="61">MIN(W45,Y45)</f>
        <v>1755.4483642578125</v>
      </c>
      <c r="AB45" s="33">
        <f t="shared" ref="AB45" si="62">AA45*DAY($C45)*86400/43560/1000*IF(MONTH($C45)=8,$P$3,IF(MONTH($C45)=9,$P$4,IF(MONTH($C45)=10,$P$5,IF(MONTH($C45)=11,$P$6,IF(MONTH($C45)=12,$P$7,NA())))))</f>
        <v>107.93831264527377</v>
      </c>
      <c r="AC45" s="6"/>
      <c r="AD45" s="43">
        <v>1953</v>
      </c>
      <c r="AE45" s="1">
        <f>VLOOKUP(AD45,Flags!$A$13:$B$95,2,FALSE)</f>
        <v>1</v>
      </c>
      <c r="AF45" s="43">
        <f t="shared" si="6"/>
        <v>393.94290805785124</v>
      </c>
      <c r="AG45" s="43">
        <f t="shared" si="7"/>
        <v>699.80341564840523</v>
      </c>
      <c r="AH45" s="43">
        <f t="shared" si="8"/>
        <v>0</v>
      </c>
      <c r="AI45" s="43">
        <f t="shared" si="9"/>
        <v>129.20019595816117</v>
      </c>
      <c r="AJ45" s="43">
        <f t="shared" si="10"/>
        <v>184.16609680806309</v>
      </c>
      <c r="AK45" s="43">
        <f t="shared" si="1"/>
        <v>7.2794522283885099</v>
      </c>
      <c r="AL45" s="43">
        <f t="shared" si="11"/>
        <v>0</v>
      </c>
    </row>
    <row r="46" spans="1:42" x14ac:dyDescent="0.3">
      <c r="A46" s="32">
        <f>VLOOKUP(YEAR(C46),Flags!$A$13:$B$95,2,FALSE)</f>
        <v>4</v>
      </c>
      <c r="B46" s="24">
        <f t="shared" si="2"/>
        <v>1925</v>
      </c>
      <c r="C46" s="25">
        <v>9405</v>
      </c>
      <c r="D46" s="26"/>
      <c r="E46" s="24"/>
      <c r="F46" s="26"/>
      <c r="G46" s="24"/>
      <c r="H46" s="24"/>
      <c r="I46" s="26"/>
      <c r="J46" s="24"/>
      <c r="K46" s="26">
        <f>VLOOKUP($C46,COS!$B$8:$H$991,2,FALSE)</f>
        <v>2972.557373046875</v>
      </c>
      <c r="L46" s="24">
        <f t="shared" ref="L46" si="63">IF(AND(K46&gt;$I$7,K46&lt;$I$8),1,0)</f>
        <v>1</v>
      </c>
      <c r="M46" s="24"/>
      <c r="N46" s="26"/>
      <c r="O46" s="26"/>
      <c r="P46" s="26"/>
      <c r="Q46" s="26"/>
      <c r="R46" s="26"/>
      <c r="S46" s="26"/>
      <c r="T46" s="26"/>
      <c r="U46" s="26"/>
      <c r="V46" s="26"/>
      <c r="W46" s="26">
        <f>MAX($C$8-VLOOKUP($C46,COS!$B$8:$H$991,3,FALSE),0)</f>
        <v>123.39599609375</v>
      </c>
      <c r="X46" s="26">
        <f t="shared" si="31"/>
        <v>7.3425716683884295</v>
      </c>
      <c r="Y46" s="26">
        <f>VLOOKUP($C46,COS!$B$8:$H$991,4,FALSE)</f>
        <v>601.609375</v>
      </c>
      <c r="Z46" s="26">
        <f t="shared" si="32"/>
        <v>35.798243801652887</v>
      </c>
      <c r="AA46" s="26">
        <f t="shared" si="61"/>
        <v>123.39599609375</v>
      </c>
      <c r="AB46" s="33">
        <f t="shared" si="34"/>
        <v>7.3425716683884295</v>
      </c>
      <c r="AC46" s="6"/>
      <c r="AD46" s="43">
        <v>1954</v>
      </c>
      <c r="AE46" s="1">
        <f>VLOOKUP(AD46,Flags!$A$13:$B$95,2,FALSE)</f>
        <v>2</v>
      </c>
      <c r="AF46" s="43">
        <f t="shared" si="6"/>
        <v>628.75953060433881</v>
      </c>
      <c r="AG46" s="43">
        <f t="shared" si="7"/>
        <v>682.99890435337034</v>
      </c>
      <c r="AH46" s="43">
        <f t="shared" si="8"/>
        <v>0</v>
      </c>
      <c r="AI46" s="43">
        <f t="shared" si="9"/>
        <v>175.751685821281</v>
      </c>
      <c r="AJ46" s="43">
        <f t="shared" si="10"/>
        <v>98.616977740831601</v>
      </c>
      <c r="AK46" s="43">
        <f t="shared" si="1"/>
        <v>0</v>
      </c>
      <c r="AL46" s="43">
        <f t="shared" si="11"/>
        <v>0</v>
      </c>
    </row>
    <row r="47" spans="1:42" x14ac:dyDescent="0.3">
      <c r="A47" s="32">
        <f>VLOOKUP(YEAR(C47),Flags!$A$13:$B$95,2,FALSE)</f>
        <v>4</v>
      </c>
      <c r="B47" s="24">
        <f t="shared" si="2"/>
        <v>1925</v>
      </c>
      <c r="C47" s="25">
        <v>9436</v>
      </c>
      <c r="D47" s="26"/>
      <c r="E47" s="24"/>
      <c r="F47" s="26"/>
      <c r="G47" s="26"/>
      <c r="H47" s="26"/>
      <c r="I47" s="26"/>
      <c r="J47" s="26"/>
      <c r="K47" s="26"/>
      <c r="L47" s="24"/>
      <c r="M47" s="24"/>
      <c r="N47" s="26"/>
      <c r="O47" s="26"/>
      <c r="P47" s="26"/>
      <c r="Q47" s="26"/>
      <c r="R47" s="26"/>
      <c r="S47" s="26"/>
      <c r="T47" s="26"/>
      <c r="U47" s="26"/>
      <c r="V47" s="26"/>
      <c r="W47" s="26">
        <f>MAX($C$9-VLOOKUP($C47,COS!$B$8:$H$991,3,FALSE),0)</f>
        <v>0</v>
      </c>
      <c r="X47" s="26">
        <f t="shared" si="31"/>
        <v>0</v>
      </c>
      <c r="Y47" s="26">
        <f>VLOOKUP($C47,COS!$B$8:$H$991,4,FALSE)</f>
        <v>1509.1988525390625</v>
      </c>
      <c r="Z47" s="26">
        <f t="shared" si="32"/>
        <v>92.797020354467975</v>
      </c>
      <c r="AA47" s="26">
        <f t="shared" si="61"/>
        <v>0</v>
      </c>
      <c r="AB47" s="33">
        <f t="shared" si="34"/>
        <v>0</v>
      </c>
      <c r="AC47" s="6"/>
      <c r="AD47" s="43">
        <v>1955</v>
      </c>
      <c r="AE47" s="1">
        <f>VLOOKUP(AD47,Flags!$A$13:$B$95,2,FALSE)</f>
        <v>4</v>
      </c>
      <c r="AF47" s="43">
        <f t="shared" si="6"/>
        <v>146.39928137913225</v>
      </c>
      <c r="AG47" s="43">
        <f t="shared" si="7"/>
        <v>650.48586702204932</v>
      </c>
      <c r="AH47" s="43">
        <f t="shared" si="8"/>
        <v>146.39928137913225</v>
      </c>
      <c r="AI47" s="43">
        <f t="shared" si="9"/>
        <v>420.0010459710744</v>
      </c>
      <c r="AJ47" s="43">
        <f t="shared" si="10"/>
        <v>316.76745553008783</v>
      </c>
      <c r="AK47" s="43">
        <f t="shared" si="1"/>
        <v>229.88010540418389</v>
      </c>
      <c r="AL47" s="43">
        <f t="shared" si="11"/>
        <v>146.39928137913225</v>
      </c>
    </row>
    <row r="48" spans="1:42" x14ac:dyDescent="0.3">
      <c r="A48" s="32">
        <f>VLOOKUP(YEAR(C48),Flags!$A$13:$B$95,2,FALSE)</f>
        <v>4</v>
      </c>
      <c r="B48" s="24">
        <f t="shared" si="2"/>
        <v>1925</v>
      </c>
      <c r="C48" s="25">
        <v>9466</v>
      </c>
      <c r="D48" s="26"/>
      <c r="E48" s="24"/>
      <c r="F48" s="26"/>
      <c r="G48" s="26"/>
      <c r="H48" s="26"/>
      <c r="I48" s="26"/>
      <c r="J48" s="26"/>
      <c r="K48" s="26"/>
      <c r="L48" s="24"/>
      <c r="M48" s="24"/>
      <c r="N48" s="26"/>
      <c r="O48" s="26"/>
      <c r="P48" s="26"/>
      <c r="Q48" s="26"/>
      <c r="R48" s="26"/>
      <c r="S48" s="26"/>
      <c r="T48" s="26"/>
      <c r="U48" s="26"/>
      <c r="V48" s="26"/>
      <c r="W48" s="26">
        <f>MAX($C$10-VLOOKUP($C48,COS!$B$8:$H$991,3,FALSE),0)</f>
        <v>0</v>
      </c>
      <c r="X48" s="26">
        <f t="shared" si="31"/>
        <v>0</v>
      </c>
      <c r="Y48" s="26">
        <f>VLOOKUP($C48,COS!$B$8:$H$991,4,FALSE)</f>
        <v>1037.1134033203125</v>
      </c>
      <c r="Z48" s="26">
        <f t="shared" si="32"/>
        <v>61.712533090134293</v>
      </c>
      <c r="AA48" s="26">
        <f t="shared" si="61"/>
        <v>0</v>
      </c>
      <c r="AB48" s="33">
        <f t="shared" si="34"/>
        <v>0</v>
      </c>
      <c r="AC48" s="6"/>
      <c r="AD48" s="43">
        <v>1956</v>
      </c>
      <c r="AE48" s="1">
        <f>VLOOKUP(AD48,Flags!$A$13:$B$95,2,FALSE)</f>
        <v>1</v>
      </c>
      <c r="AF48" s="43">
        <f t="shared" si="6"/>
        <v>238.41283768078512</v>
      </c>
      <c r="AG48" s="43">
        <f t="shared" si="7"/>
        <v>688.1348309780152</v>
      </c>
      <c r="AH48" s="43">
        <f t="shared" si="8"/>
        <v>0</v>
      </c>
      <c r="AI48" s="43">
        <f t="shared" si="9"/>
        <v>152.19154571280993</v>
      </c>
      <c r="AJ48" s="43">
        <f t="shared" si="10"/>
        <v>69.803219589359514</v>
      </c>
      <c r="AK48" s="43">
        <f t="shared" si="1"/>
        <v>0</v>
      </c>
      <c r="AL48" s="43">
        <f t="shared" si="11"/>
        <v>0</v>
      </c>
    </row>
    <row r="49" spans="1:38" x14ac:dyDescent="0.3">
      <c r="A49" s="34">
        <f>VLOOKUP(YEAR(C49),Flags!$A$13:$B$95,2,FALSE)</f>
        <v>4</v>
      </c>
      <c r="B49" s="35">
        <f t="shared" si="2"/>
        <v>1925</v>
      </c>
      <c r="C49" s="36">
        <v>9497</v>
      </c>
      <c r="D49" s="37"/>
      <c r="E49" s="35"/>
      <c r="F49" s="37"/>
      <c r="G49" s="37"/>
      <c r="H49" s="37"/>
      <c r="I49" s="37"/>
      <c r="J49" s="37"/>
      <c r="K49" s="37"/>
      <c r="L49" s="35"/>
      <c r="M49" s="35"/>
      <c r="N49" s="37"/>
      <c r="O49" s="37"/>
      <c r="P49" s="37"/>
      <c r="Q49" s="37"/>
      <c r="R49" s="37"/>
      <c r="S49" s="37"/>
      <c r="T49" s="37"/>
      <c r="U49" s="37"/>
      <c r="V49" s="37"/>
      <c r="W49" s="37">
        <f>MAX($C$11-VLOOKUP($C49,COS!$B$8:$H$991,3,FALSE),0)</f>
        <v>1423.129150390625</v>
      </c>
      <c r="X49" s="37">
        <f t="shared" si="31"/>
        <v>87.50480065211778</v>
      </c>
      <c r="Y49" s="37">
        <f>VLOOKUP($C49,COS!$B$8:$H$991,4,FALSE)</f>
        <v>1280.279541015625</v>
      </c>
      <c r="Z49" s="37">
        <f t="shared" si="32"/>
        <v>78.721320538481407</v>
      </c>
      <c r="AA49" s="37">
        <f t="shared" si="61"/>
        <v>1280.279541015625</v>
      </c>
      <c r="AB49" s="38">
        <f t="shared" si="34"/>
        <v>78.721320538481407</v>
      </c>
      <c r="AC49" s="6"/>
      <c r="AD49" s="43">
        <v>1957</v>
      </c>
      <c r="AE49" s="1">
        <f>VLOOKUP(AD49,Flags!$A$13:$B$95,2,FALSE)</f>
        <v>2</v>
      </c>
      <c r="AF49" s="43">
        <f t="shared" si="6"/>
        <v>515.49969653925621</v>
      </c>
      <c r="AG49" s="43">
        <f t="shared" si="7"/>
        <v>678.53450308303195</v>
      </c>
      <c r="AH49" s="43">
        <f t="shared" si="8"/>
        <v>0</v>
      </c>
      <c r="AI49" s="43">
        <f t="shared" si="9"/>
        <v>99.740518465909091</v>
      </c>
      <c r="AJ49" s="43">
        <f t="shared" si="10"/>
        <v>311.10799308335481</v>
      </c>
      <c r="AK49" s="43">
        <f t="shared" si="1"/>
        <v>59.827111513752584</v>
      </c>
      <c r="AL49" s="43">
        <f t="shared" si="11"/>
        <v>0</v>
      </c>
    </row>
    <row r="50" spans="1:38" x14ac:dyDescent="0.3">
      <c r="A50" s="27">
        <f>VLOOKUP(YEAR(C50),Flags!$A$13:$B$95,2,FALSE)</f>
        <v>4</v>
      </c>
      <c r="B50" s="28">
        <f t="shared" si="2"/>
        <v>1926</v>
      </c>
      <c r="C50" s="29">
        <v>9617</v>
      </c>
      <c r="D50" s="30">
        <f>VLOOKUP($C50,COS!$B$8:$H$991,3,FALSE)</f>
        <v>3250</v>
      </c>
      <c r="E50" s="28">
        <f>IF(D50&gt;=IF(MONTH($C50)=4,$C$3,IF(MONTH($C50)=5,$C$4,IF(MONTH($C50)=6,$C$5,IF(MONTH($C50)=7,$C$6,"ERROR")))),1,0)</f>
        <v>0</v>
      </c>
      <c r="F50" s="30">
        <f>VLOOKUP($C50,COS!$B$8:$H$991,7,FALSE)</f>
        <v>51.212348937988281</v>
      </c>
      <c r="G50" s="28">
        <f>IF(F50&lt;=IF(MONTH($C50)=4,$F$3,IF(MONTH($C50)=5,$F$4,IF(MONTH($C50)=6,$F$5,IF(MONTH($C50)=7,$F$6,"ERROR")))),1,0)</f>
        <v>1</v>
      </c>
      <c r="H50" s="30">
        <f>IF(J50=1,D50-$C$3,0)</f>
        <v>0</v>
      </c>
      <c r="I50" s="30">
        <f t="shared" si="17"/>
        <v>0</v>
      </c>
      <c r="J50" s="28">
        <f t="shared" ref="J50:J53" si="64">IF(AND(E50=1,G50=1),1,0)</f>
        <v>0</v>
      </c>
      <c r="K50" s="30">
        <f>VLOOKUP($C50,COS!$B$8:$H$991,2,FALSE)</f>
        <v>3896.73193359375</v>
      </c>
      <c r="L50" s="28">
        <f t="shared" ref="L50" si="65">IF(K50&lt;=IF(MONTH($C50)=4,$I$3,IF(MONTH($C50)=5,$I$4,IF(MONTH($C50)=6,$I$5,IF(MONTH($C50)=7,$I$6,"ERROR")))),1,0)</f>
        <v>1</v>
      </c>
      <c r="M50" s="28">
        <f t="shared" ref="M50" si="66">VLOOKUP($A50,$L$3:$M$7,2,FALSE)</f>
        <v>1</v>
      </c>
      <c r="N50" s="30">
        <f>VLOOKUP($C50,COS!$B$8:$H$991,5,FALSE)</f>
        <v>52.222553253173828</v>
      </c>
      <c r="O50" s="30">
        <f t="shared" ref="O50:O53" si="67">N50*DAY($C50)*86400/43560/1000</f>
        <v>3.1074577142384427</v>
      </c>
      <c r="P50" s="30">
        <f>VLOOKUP($C50,COS!$B$8:$H$991,6,FALSE)</f>
        <v>311.75833129882813</v>
      </c>
      <c r="Q50" s="30">
        <f t="shared" ref="Q50:Q53" si="68">P50*DAY($C50)*86400/43560/1000</f>
        <v>18.550908969847622</v>
      </c>
      <c r="R50" s="30">
        <f>MIN(IF(MONTH($C50)=4,$S$3,IF(MONTH($C50)=5,$S$4,IF(MONTH($C50)=6,$S$5,IF(MONTH($C50)=7,$S$6,"ERROR")))),MAX(VLOOKUP($C50,COS!$B$8:$K$991,10,FALSE)-IF(MONTH($C50)=4,$Y$3,IF(MONTH($C50)=5,$Y$4,IF(MONTH($C50)=6,$Y$5,IF(MONTH($C50)=7,$Y$6,"ERROR")))),0),MAX(VLOOKUP($C50,COS!$B$8:$K$991,9,FALSE)-IF(MONTH($C50)=4,$V$3,IF(MONTH($C50)=5,$V$4,IF(MONTH($C50)=6,$V$5,IF(MONTH($C50)=7,$V$6,"ERROR"))))-VLOOKUP($C50,COS!$B$8:$K$991,6,FALSE)/2,0))</f>
        <v>1500</v>
      </c>
      <c r="S50" s="30">
        <f t="shared" ref="S50:S53" si="69">R50*DAY($C50)*86400/43560/1000</f>
        <v>89.256198347107429</v>
      </c>
      <c r="T50" s="30">
        <f t="shared" ref="T50:T53" si="70">(O50+Q50)/2+S50</f>
        <v>100.08538168915047</v>
      </c>
      <c r="U50" s="30" t="str">
        <f>IF(VLOOKUP($C50,COS!$B$8:$I$991,8,FALSE)=1,"UWFE","IBU")</f>
        <v>UWFE</v>
      </c>
      <c r="V50" s="30">
        <f t="shared" ref="V50" si="71">MIN(IF(IF($AA$3=2,AND(E50=1,G50=1,L50=1,L55=1,M50=1,U50="IBU"),AND(E50=1,G50=1,L50=1,L55=1,M50=1)),T50,0),I50)</f>
        <v>0</v>
      </c>
      <c r="W50" s="30"/>
      <c r="X50" s="30"/>
      <c r="Y50" s="30"/>
      <c r="Z50" s="30"/>
      <c r="AA50" s="30"/>
      <c r="AB50" s="31"/>
      <c r="AC50" s="6"/>
      <c r="AD50" s="43">
        <v>1958</v>
      </c>
      <c r="AE50" s="1">
        <f>VLOOKUP(AD50,Flags!$A$13:$B$95,2,FALSE)</f>
        <v>1</v>
      </c>
      <c r="AF50" s="43">
        <f t="shared" si="6"/>
        <v>412.32285705061986</v>
      </c>
      <c r="AG50" s="43">
        <f t="shared" si="7"/>
        <v>667.28328076323191</v>
      </c>
      <c r="AH50" s="43">
        <f t="shared" si="8"/>
        <v>0</v>
      </c>
      <c r="AI50" s="43">
        <f t="shared" si="9"/>
        <v>2.5493637009297521</v>
      </c>
      <c r="AJ50" s="43">
        <f t="shared" si="10"/>
        <v>93.370713062128743</v>
      </c>
      <c r="AK50" s="43">
        <f t="shared" si="1"/>
        <v>0</v>
      </c>
      <c r="AL50" s="43">
        <f t="shared" si="11"/>
        <v>0</v>
      </c>
    </row>
    <row r="51" spans="1:38" x14ac:dyDescent="0.3">
      <c r="A51" s="32">
        <f>VLOOKUP(YEAR(C51),Flags!$A$13:$B$95,2,FALSE)</f>
        <v>4</v>
      </c>
      <c r="B51" s="24">
        <f t="shared" si="2"/>
        <v>1926</v>
      </c>
      <c r="C51" s="25">
        <v>9648</v>
      </c>
      <c r="D51" s="26">
        <f>VLOOKUP($C51,COS!$B$8:$H$991,3,FALSE)</f>
        <v>8995.443359375</v>
      </c>
      <c r="E51" s="24">
        <f>IF(D51&gt;=IF(MONTH($C51)=4,$C$3,IF(MONTH($C51)=5,$C$4,IF(MONTH($C51)=6,$C$5,IF(MONTH($C51)=7,$C$6,"ERROR")))),1,0)</f>
        <v>1</v>
      </c>
      <c r="F51" s="26">
        <f>VLOOKUP($C51,COS!$B$8:$H$991,7,FALSE)</f>
        <v>50.193782806396484</v>
      </c>
      <c r="G51" s="24">
        <f>IF(F51&lt;=IF(MONTH($C51)=4,$F$3,IF(MONTH($C51)=5,$F$4,IF(MONTH($C51)=6,$F$5,IF(MONTH($C51)=7,$F$6,"ERROR")))),1,0)</f>
        <v>1</v>
      </c>
      <c r="H51" s="26">
        <f>IF(J51=1,D51-$C$4,0)</f>
        <v>2995.443359375</v>
      </c>
      <c r="I51" s="26">
        <f t="shared" si="17"/>
        <v>184.18263300619836</v>
      </c>
      <c r="J51" s="24">
        <f t="shared" si="64"/>
        <v>1</v>
      </c>
      <c r="K51" s="26">
        <f>VLOOKUP($C51,COS!$B$8:$H$991,2,FALSE)</f>
        <v>3570.763671875</v>
      </c>
      <c r="L51" s="24">
        <f t="shared" si="19"/>
        <v>1</v>
      </c>
      <c r="M51" s="24">
        <f t="shared" si="20"/>
        <v>1</v>
      </c>
      <c r="N51" s="26">
        <f>VLOOKUP($C51,COS!$B$8:$H$991,5,FALSE)</f>
        <v>105.33164978027344</v>
      </c>
      <c r="O51" s="26">
        <f t="shared" si="67"/>
        <v>6.476590697233342</v>
      </c>
      <c r="P51" s="26">
        <f>VLOOKUP($C51,COS!$B$8:$H$991,6,FALSE)</f>
        <v>2210.808349609375</v>
      </c>
      <c r="Q51" s="26">
        <f t="shared" si="68"/>
        <v>135.93730678589876</v>
      </c>
      <c r="R51" s="26">
        <f>MIN(IF(MONTH($C51)=4,$S$3,IF(MONTH($C51)=5,$S$4,IF(MONTH($C51)=6,$S$5,IF(MONTH($C51)=7,$S$6,"ERROR")))),MAX(VLOOKUP($C51,COS!$B$8:$K$991,10,FALSE)-IF(MONTH($C51)=4,$Y$3,IF(MONTH($C51)=5,$Y$4,IF(MONTH($C51)=6,$Y$5,IF(MONTH($C51)=7,$Y$6,"ERROR")))),0),MAX(VLOOKUP($C51,COS!$B$8:$K$991,9,FALSE)-IF(MONTH($C51)=4,$V$3,IF(MONTH($C51)=5,$V$4,IF(MONTH($C51)=6,$V$5,IF(MONTH($C51)=7,$V$6,"ERROR"))))-VLOOKUP($C51,COS!$B$8:$K$991,6,FALSE)/2,0))</f>
        <v>1500</v>
      </c>
      <c r="S51" s="26">
        <f t="shared" si="69"/>
        <v>92.231404958677686</v>
      </c>
      <c r="T51" s="26">
        <f t="shared" si="70"/>
        <v>163.43835370024374</v>
      </c>
      <c r="U51" s="26" t="str">
        <f>IF(VLOOKUP($C51,COS!$B$8:$I$991,8,FALSE)=1,"UWFE","IBU")</f>
        <v>IBU</v>
      </c>
      <c r="V51" s="26">
        <f t="shared" ref="V51" si="72">MIN(IF(IF($AA$3=2,AND(E51=1,G51=1,L51=1,L55=1,M51=1,U51="IBU"),AND(E51=1,G51=1,L51=1,L55=1,M51=1)),T51,0),I51)</f>
        <v>163.43835370024374</v>
      </c>
      <c r="W51" s="26"/>
      <c r="X51" s="26"/>
      <c r="Y51" s="26"/>
      <c r="Z51" s="26"/>
      <c r="AA51" s="26"/>
      <c r="AB51" s="33"/>
      <c r="AC51" s="6"/>
      <c r="AD51" s="43">
        <v>1959</v>
      </c>
      <c r="AE51" s="1">
        <f>VLOOKUP(AD51,Flags!$A$13:$B$95,2,FALSE)</f>
        <v>3</v>
      </c>
      <c r="AF51" s="43">
        <f t="shared" si="6"/>
        <v>504.12418001033052</v>
      </c>
      <c r="AG51" s="43">
        <f t="shared" si="7"/>
        <v>681.42011773227659</v>
      </c>
      <c r="AH51" s="43">
        <f t="shared" si="8"/>
        <v>0</v>
      </c>
      <c r="AI51" s="43">
        <f t="shared" si="9"/>
        <v>81.404877001549579</v>
      </c>
      <c r="AJ51" s="43">
        <f t="shared" si="10"/>
        <v>344.76315813048814</v>
      </c>
      <c r="AK51" s="43">
        <f t="shared" si="1"/>
        <v>46.304136105371896</v>
      </c>
      <c r="AL51" s="43">
        <f t="shared" si="11"/>
        <v>0</v>
      </c>
    </row>
    <row r="52" spans="1:38" x14ac:dyDescent="0.3">
      <c r="A52" s="32">
        <f>VLOOKUP(YEAR(C52),Flags!$A$13:$B$95,2,FALSE)</f>
        <v>4</v>
      </c>
      <c r="B52" s="24">
        <f t="shared" si="2"/>
        <v>1926</v>
      </c>
      <c r="C52" s="25">
        <v>9678</v>
      </c>
      <c r="D52" s="26">
        <f>VLOOKUP($C52,COS!$B$8:$H$991,3,FALSE)</f>
        <v>10166.794921875</v>
      </c>
      <c r="E52" s="24">
        <f>IF(D52&gt;=IF(MONTH($C52)=4,$C$3,IF(MONTH($C52)=5,$C$4,IF(MONTH($C52)=6,$C$5,IF(MONTH($C52)=7,$C$6,"ERROR")))),1,0)</f>
        <v>1</v>
      </c>
      <c r="F52" s="26">
        <f>VLOOKUP($C52,COS!$B$8:$H$991,7,FALSE)</f>
        <v>51.801841735839844</v>
      </c>
      <c r="G52" s="24">
        <f>IF(F52&lt;=IF(MONTH($C52)=4,$F$3,IF(MONTH($C52)=5,$F$4,IF(MONTH($C52)=6,$F$5,IF(MONTH($C52)=7,$F$6,"ERROR")))),1,0)</f>
        <v>1</v>
      </c>
      <c r="H52" s="26">
        <f>IF(J52=1,D52-$C$5,0)</f>
        <v>166.794921875</v>
      </c>
      <c r="I52" s="26">
        <f t="shared" si="17"/>
        <v>9.9249870867768593</v>
      </c>
      <c r="J52" s="24">
        <f t="shared" si="64"/>
        <v>1</v>
      </c>
      <c r="K52" s="26">
        <f>VLOOKUP($C52,COS!$B$8:$H$991,2,FALSE)</f>
        <v>3144.499267578125</v>
      </c>
      <c r="L52" s="24">
        <f t="shared" si="19"/>
        <v>1</v>
      </c>
      <c r="M52" s="24">
        <f t="shared" si="20"/>
        <v>1</v>
      </c>
      <c r="N52" s="26">
        <f>VLOOKUP($C52,COS!$B$8:$H$991,5,FALSE)</f>
        <v>393.1129150390625</v>
      </c>
      <c r="O52" s="26">
        <f t="shared" si="67"/>
        <v>23.391842878357437</v>
      </c>
      <c r="P52" s="26">
        <f>VLOOKUP($C52,COS!$B$8:$H$991,6,FALSE)</f>
        <v>2714.961669921875</v>
      </c>
      <c r="Q52" s="26">
        <f t="shared" si="68"/>
        <v>161.55143821022727</v>
      </c>
      <c r="R52" s="26">
        <f>MIN(IF(MONTH($C52)=4,$S$3,IF(MONTH($C52)=5,$S$4,IF(MONTH($C52)=6,$S$5,IF(MONTH($C52)=7,$S$6,"ERROR")))),MAX(VLOOKUP($C52,COS!$B$8:$K$991,10,FALSE)-IF(MONTH($C52)=4,$Y$3,IF(MONTH($C52)=5,$Y$4,IF(MONTH($C52)=6,$Y$5,IF(MONTH($C52)=7,$Y$6,"ERROR")))),0),MAX(VLOOKUP($C52,COS!$B$8:$K$991,9,FALSE)-IF(MONTH($C52)=4,$V$3,IF(MONTH($C52)=5,$V$4,IF(MONTH($C52)=6,$V$5,IF(MONTH($C52)=7,$V$6,"ERROR"))))-VLOOKUP($C52,COS!$B$8:$K$991,6,FALSE)/2,0))</f>
        <v>1500</v>
      </c>
      <c r="S52" s="26">
        <f t="shared" si="69"/>
        <v>89.256198347107429</v>
      </c>
      <c r="T52" s="26">
        <f t="shared" si="70"/>
        <v>181.72783889139978</v>
      </c>
      <c r="U52" s="26" t="str">
        <f>IF(VLOOKUP($C52,COS!$B$8:$I$991,8,FALSE)=1,"UWFE","IBU")</f>
        <v>IBU</v>
      </c>
      <c r="V52" s="26">
        <f t="shared" ref="V52" si="73">MIN(IF(IF($AA$3=2,AND(E52=1,G52=1,L52=1,L55=1,M52=1,U52="IBU"),AND(E52=1,G52=1,L52=1,L55=1,M52=1)),T52,0),I52)</f>
        <v>9.9249870867768593</v>
      </c>
      <c r="W52" s="26"/>
      <c r="X52" s="26"/>
      <c r="Y52" s="26"/>
      <c r="Z52" s="26"/>
      <c r="AA52" s="26"/>
      <c r="AB52" s="33"/>
      <c r="AC52" s="6"/>
      <c r="AD52" s="43">
        <v>1960</v>
      </c>
      <c r="AE52" s="1">
        <f>VLOOKUP(AD52,Flags!$A$13:$B$95,2,FALSE)</f>
        <v>4</v>
      </c>
      <c r="AF52" s="43">
        <f t="shared" si="6"/>
        <v>382.20118737086773</v>
      </c>
      <c r="AG52" s="43">
        <f t="shared" si="7"/>
        <v>605.60543626265098</v>
      </c>
      <c r="AH52" s="43">
        <f t="shared" si="8"/>
        <v>306.28320308464617</v>
      </c>
      <c r="AI52" s="43">
        <f t="shared" si="9"/>
        <v>357.90508070764463</v>
      </c>
      <c r="AJ52" s="43">
        <f t="shared" si="10"/>
        <v>422.76635379003096</v>
      </c>
      <c r="AK52" s="43">
        <f t="shared" si="1"/>
        <v>210.90438702543906</v>
      </c>
      <c r="AL52" s="43">
        <f t="shared" si="11"/>
        <v>210.90438702543906</v>
      </c>
    </row>
    <row r="53" spans="1:38" x14ac:dyDescent="0.3">
      <c r="A53" s="32">
        <f>VLOOKUP(YEAR(C53),Flags!$A$13:$B$95,2,FALSE)</f>
        <v>4</v>
      </c>
      <c r="B53" s="24">
        <f t="shared" si="2"/>
        <v>1926</v>
      </c>
      <c r="C53" s="25">
        <v>9709</v>
      </c>
      <c r="D53" s="26">
        <f>VLOOKUP($C53,COS!$B$8:$H$991,3,FALSE)</f>
        <v>11392.6767578125</v>
      </c>
      <c r="E53" s="24">
        <f>IF(D53&gt;=IF(MONTH($C53)=4,$C$3,IF(MONTH($C53)=5,$C$4,IF(MONTH($C53)=6,$C$5,IF(MONTH($C53)=7,$C$6,"ERROR")))),1,0)</f>
        <v>0</v>
      </c>
      <c r="F53" s="26">
        <f>VLOOKUP($C53,COS!$B$8:$H$991,7,FALSE)</f>
        <v>53.78912353515625</v>
      </c>
      <c r="G53" s="24">
        <f>IF(F53&lt;=IF(MONTH($C53)=4,$F$3,IF(MONTH($C53)=5,$F$4,IF(MONTH($C53)=6,$F$5,IF(MONTH($C53)=7,$F$6,"ERROR")))),1,0)</f>
        <v>0</v>
      </c>
      <c r="H53" s="26">
        <f>IF(J53=1,D53-$C$6,0)</f>
        <v>0</v>
      </c>
      <c r="I53" s="26">
        <f t="shared" si="17"/>
        <v>0</v>
      </c>
      <c r="J53" s="24">
        <f t="shared" si="64"/>
        <v>0</v>
      </c>
      <c r="K53" s="26">
        <f>VLOOKUP($C53,COS!$B$8:$H$991,2,FALSE)</f>
        <v>2700.429443359375</v>
      </c>
      <c r="L53" s="24">
        <f t="shared" si="19"/>
        <v>1</v>
      </c>
      <c r="M53" s="24">
        <f t="shared" si="20"/>
        <v>1</v>
      </c>
      <c r="N53" s="26">
        <f>VLOOKUP($C53,COS!$B$8:$H$991,5,FALSE)</f>
        <v>430.53424072265625</v>
      </c>
      <c r="O53" s="26">
        <f t="shared" si="67"/>
        <v>26.472518603112086</v>
      </c>
      <c r="P53" s="26">
        <f>VLOOKUP($C53,COS!$B$8:$H$991,6,FALSE)</f>
        <v>2538.07568359375</v>
      </c>
      <c r="Q53" s="26">
        <f t="shared" si="68"/>
        <v>156.06019079287191</v>
      </c>
      <c r="R53" s="26">
        <f>MIN(IF(MONTH($C53)=4,$S$3,IF(MONTH($C53)=5,$S$4,IF(MONTH($C53)=6,$S$5,IF(MONTH($C53)=7,$S$6,"ERROR")))),MAX(VLOOKUP($C53,COS!$B$8:$K$991,10,FALSE)-IF(MONTH($C53)=4,$Y$3,IF(MONTH($C53)=5,$Y$4,IF(MONTH($C53)=6,$Y$5,IF(MONTH($C53)=7,$Y$6,"ERROR")))),0),MAX(VLOOKUP($C53,COS!$B$8:$K$991,9,FALSE)-IF(MONTH($C53)=4,$V$3,IF(MONTH($C53)=5,$V$4,IF(MONTH($C53)=6,$V$5,IF(MONTH($C53)=7,$V$6,"ERROR"))))-VLOOKUP($C53,COS!$B$8:$K$991,6,FALSE)/2,0))</f>
        <v>1500</v>
      </c>
      <c r="S53" s="26">
        <f t="shared" si="69"/>
        <v>92.231404958677686</v>
      </c>
      <c r="T53" s="26">
        <f t="shared" si="70"/>
        <v>183.4977596566697</v>
      </c>
      <c r="U53" s="26" t="str">
        <f>IF(VLOOKUP($C53,COS!$B$8:$I$991,8,FALSE)=1,"UWFE","IBU")</f>
        <v>IBU</v>
      </c>
      <c r="V53" s="26">
        <f t="shared" ref="V53" si="74">MIN(IF(IF($AA$3=2,AND(E53=1,G53=1,L53=1,L55=1,M53=1,U53="IBU"),AND(E53=1,G53=1,L53=1,L55=1,M53=1)),T53,0),I53)</f>
        <v>0</v>
      </c>
      <c r="W53" s="26"/>
      <c r="X53" s="26"/>
      <c r="Y53" s="26"/>
      <c r="Z53" s="26"/>
      <c r="AA53" s="26"/>
      <c r="AB53" s="33"/>
      <c r="AC53" s="6"/>
      <c r="AD53" s="43">
        <v>1961</v>
      </c>
      <c r="AE53" s="1">
        <f>VLOOKUP(AD53,Flags!$A$13:$B$95,2,FALSE)</f>
        <v>4</v>
      </c>
      <c r="AF53" s="43">
        <f t="shared" si="6"/>
        <v>359.59358406508261</v>
      </c>
      <c r="AG53" s="43">
        <f t="shared" si="7"/>
        <v>650.41003054784346</v>
      </c>
      <c r="AH53" s="43">
        <f t="shared" si="8"/>
        <v>192.77386769192276</v>
      </c>
      <c r="AI53" s="43">
        <f t="shared" si="9"/>
        <v>297.63873966942151</v>
      </c>
      <c r="AJ53" s="43">
        <f t="shared" si="10"/>
        <v>593.48291451446278</v>
      </c>
      <c r="AK53" s="43">
        <f t="shared" si="1"/>
        <v>292.81963374870867</v>
      </c>
      <c r="AL53" s="43">
        <f t="shared" si="11"/>
        <v>192.77386769192276</v>
      </c>
    </row>
    <row r="54" spans="1:38" x14ac:dyDescent="0.3">
      <c r="A54" s="32">
        <f>VLOOKUP(YEAR(C54),Flags!$A$13:$B$95,2,FALSE)</f>
        <v>4</v>
      </c>
      <c r="B54" s="24">
        <f t="shared" si="2"/>
        <v>1926</v>
      </c>
      <c r="C54" s="25">
        <v>9740</v>
      </c>
      <c r="D54" s="26"/>
      <c r="E54" s="24"/>
      <c r="F54" s="26"/>
      <c r="G54" s="24"/>
      <c r="H54" s="24"/>
      <c r="I54" s="26"/>
      <c r="J54" s="24"/>
      <c r="K54" s="26"/>
      <c r="L54" s="24"/>
      <c r="M54" s="24"/>
      <c r="N54" s="26"/>
      <c r="O54" s="26"/>
      <c r="P54" s="26"/>
      <c r="Q54" s="26"/>
      <c r="R54" s="26"/>
      <c r="S54" s="26"/>
      <c r="T54" s="26"/>
      <c r="U54" s="26"/>
      <c r="V54" s="26"/>
      <c r="W54" s="26">
        <f>MAX($C$7-VLOOKUP($C54,COS!$B$8:$H$991,3,FALSE),0)</f>
        <v>3691.6279296875</v>
      </c>
      <c r="X54" s="26">
        <f t="shared" si="31"/>
        <v>226.98935369318181</v>
      </c>
      <c r="Y54" s="26">
        <f>VLOOKUP($C54,COS!$B$8:$H$991,4,FALSE)</f>
        <v>1075.45947265625</v>
      </c>
      <c r="Z54" s="26">
        <f t="shared" si="32"/>
        <v>66.127425426136369</v>
      </c>
      <c r="AA54" s="26">
        <f t="shared" ref="AA54:AA58" si="75">MIN(W54,Y54)</f>
        <v>1075.45947265625</v>
      </c>
      <c r="AB54" s="33">
        <f t="shared" ref="AB54" si="76">AA54*DAY($C54)*86400/43560/1000*IF(MONTH($C54)=8,$P$3,IF(MONTH($C54)=9,$P$4,IF(MONTH($C54)=10,$P$5,IF(MONTH($C54)=11,$P$6,IF(MONTH($C54)=12,$P$7,NA())))))</f>
        <v>66.127425426136369</v>
      </c>
      <c r="AC54" s="6"/>
      <c r="AD54" s="43">
        <v>1962</v>
      </c>
      <c r="AE54" s="1">
        <f>VLOOKUP(AD54,Flags!$A$13:$B$95,2,FALSE)</f>
        <v>3</v>
      </c>
      <c r="AF54" s="43">
        <f t="shared" si="6"/>
        <v>350.84847462551647</v>
      </c>
      <c r="AG54" s="43">
        <f t="shared" si="7"/>
        <v>686.24664181543767</v>
      </c>
      <c r="AH54" s="43">
        <f t="shared" si="8"/>
        <v>0</v>
      </c>
      <c r="AI54" s="43">
        <f t="shared" si="9"/>
        <v>187.47121836260331</v>
      </c>
      <c r="AJ54" s="43">
        <f t="shared" si="10"/>
        <v>20.045821845945248</v>
      </c>
      <c r="AK54" s="43">
        <f t="shared" si="1"/>
        <v>20.045821845945248</v>
      </c>
      <c r="AL54" s="43">
        <f t="shared" si="11"/>
        <v>0</v>
      </c>
    </row>
    <row r="55" spans="1:38" x14ac:dyDescent="0.3">
      <c r="A55" s="32">
        <f>VLOOKUP(YEAR(C55),Flags!$A$13:$B$95,2,FALSE)</f>
        <v>4</v>
      </c>
      <c r="B55" s="24">
        <f t="shared" si="2"/>
        <v>1926</v>
      </c>
      <c r="C55" s="25">
        <v>9770</v>
      </c>
      <c r="D55" s="26"/>
      <c r="E55" s="24"/>
      <c r="F55" s="26"/>
      <c r="G55" s="24"/>
      <c r="H55" s="24"/>
      <c r="I55" s="26"/>
      <c r="J55" s="24"/>
      <c r="K55" s="26">
        <f>VLOOKUP($C55,COS!$B$8:$H$991,2,FALSE)</f>
        <v>2281.95703125</v>
      </c>
      <c r="L55" s="24">
        <f t="shared" ref="L55" si="77">IF(AND(K55&gt;$I$7,K55&lt;$I$8),1,0)</f>
        <v>1</v>
      </c>
      <c r="M55" s="24"/>
      <c r="N55" s="26"/>
      <c r="O55" s="26"/>
      <c r="P55" s="26"/>
      <c r="Q55" s="26"/>
      <c r="R55" s="26"/>
      <c r="S55" s="26"/>
      <c r="T55" s="26"/>
      <c r="U55" s="26"/>
      <c r="V55" s="26"/>
      <c r="W55" s="26">
        <f>MAX($C$8-VLOOKUP($C55,COS!$B$8:$H$991,3,FALSE),0)</f>
        <v>1113.1767578125</v>
      </c>
      <c r="X55" s="26">
        <f t="shared" si="31"/>
        <v>66.238616993801656</v>
      </c>
      <c r="Y55" s="26">
        <f>VLOOKUP($C55,COS!$B$8:$H$991,4,FALSE)</f>
        <v>1022.280029296875</v>
      </c>
      <c r="Z55" s="26">
        <f t="shared" si="32"/>
        <v>60.829886040805789</v>
      </c>
      <c r="AA55" s="26">
        <f t="shared" si="75"/>
        <v>1022.280029296875</v>
      </c>
      <c r="AB55" s="33">
        <f t="shared" si="34"/>
        <v>60.829886040805789</v>
      </c>
      <c r="AD55" s="43">
        <v>1963</v>
      </c>
      <c r="AE55" s="1">
        <f>VLOOKUP(AD55,Flags!$A$13:$B$95,2,FALSE)</f>
        <v>1</v>
      </c>
      <c r="AF55" s="43">
        <f t="shared" si="6"/>
        <v>1727.2135072314047</v>
      </c>
      <c r="AG55" s="43">
        <f t="shared" si="7"/>
        <v>677.1253517503975</v>
      </c>
      <c r="AH55" s="43">
        <f t="shared" si="8"/>
        <v>0</v>
      </c>
      <c r="AI55" s="43">
        <f t="shared" si="9"/>
        <v>186.79033186983472</v>
      </c>
      <c r="AJ55" s="43">
        <f t="shared" si="10"/>
        <v>160.53308410140107</v>
      </c>
      <c r="AK55" s="43">
        <f t="shared" si="1"/>
        <v>21.395248438307078</v>
      </c>
      <c r="AL55" s="43">
        <f t="shared" si="11"/>
        <v>0</v>
      </c>
    </row>
    <row r="56" spans="1:38" x14ac:dyDescent="0.3">
      <c r="A56" s="32">
        <f>VLOOKUP(YEAR(C56),Flags!$A$13:$B$95,2,FALSE)</f>
        <v>4</v>
      </c>
      <c r="B56" s="24">
        <f t="shared" si="2"/>
        <v>1926</v>
      </c>
      <c r="C56" s="25">
        <v>9801</v>
      </c>
      <c r="D56" s="26"/>
      <c r="E56" s="24"/>
      <c r="F56" s="26"/>
      <c r="G56" s="26"/>
      <c r="H56" s="26"/>
      <c r="I56" s="26"/>
      <c r="J56" s="26"/>
      <c r="K56" s="26"/>
      <c r="L56" s="24"/>
      <c r="M56" s="24"/>
      <c r="N56" s="26"/>
      <c r="O56" s="26"/>
      <c r="P56" s="26"/>
      <c r="Q56" s="26"/>
      <c r="R56" s="26"/>
      <c r="S56" s="26"/>
      <c r="T56" s="26"/>
      <c r="U56" s="26"/>
      <c r="V56" s="26"/>
      <c r="W56" s="26">
        <f>MAX($C$9-VLOOKUP($C56,COS!$B$8:$H$991,3,FALSE),0)</f>
        <v>398.3447265625</v>
      </c>
      <c r="X56" s="26">
        <f t="shared" si="31"/>
        <v>24.493262525826445</v>
      </c>
      <c r="Y56" s="26">
        <f>VLOOKUP($C56,COS!$B$8:$H$991,4,FALSE)</f>
        <v>1559.9654541015625</v>
      </c>
      <c r="Z56" s="26">
        <f t="shared" si="32"/>
        <v>95.918537012525817</v>
      </c>
      <c r="AA56" s="26">
        <f t="shared" si="75"/>
        <v>398.3447265625</v>
      </c>
      <c r="AB56" s="33">
        <f t="shared" si="34"/>
        <v>24.493262525826445</v>
      </c>
      <c r="AD56" s="43">
        <v>1964</v>
      </c>
      <c r="AE56" s="1">
        <f>VLOOKUP(AD56,Flags!$A$13:$B$95,2,FALSE)</f>
        <v>4</v>
      </c>
      <c r="AF56" s="43">
        <f t="shared" si="6"/>
        <v>202.95327447055786</v>
      </c>
      <c r="AG56" s="43">
        <f t="shared" si="7"/>
        <v>649.6019249782089</v>
      </c>
      <c r="AH56" s="43">
        <f t="shared" si="8"/>
        <v>154.401796875</v>
      </c>
      <c r="AI56" s="43">
        <f t="shared" si="9"/>
        <v>360.22835679235538</v>
      </c>
      <c r="AJ56" s="43">
        <f t="shared" si="10"/>
        <v>318.52011081159606</v>
      </c>
      <c r="AK56" s="43">
        <f t="shared" si="1"/>
        <v>211.19295204351755</v>
      </c>
      <c r="AL56" s="43">
        <f t="shared" si="11"/>
        <v>154.401796875</v>
      </c>
    </row>
    <row r="57" spans="1:38" x14ac:dyDescent="0.3">
      <c r="A57" s="32">
        <f>VLOOKUP(YEAR(C57),Flags!$A$13:$B$95,2,FALSE)</f>
        <v>4</v>
      </c>
      <c r="B57" s="24">
        <f t="shared" si="2"/>
        <v>1926</v>
      </c>
      <c r="C57" s="25">
        <v>9831</v>
      </c>
      <c r="D57" s="26"/>
      <c r="E57" s="24"/>
      <c r="F57" s="26"/>
      <c r="G57" s="26"/>
      <c r="H57" s="26"/>
      <c r="I57" s="26"/>
      <c r="J57" s="26"/>
      <c r="K57" s="26"/>
      <c r="L57" s="24"/>
      <c r="M57" s="24"/>
      <c r="N57" s="26"/>
      <c r="O57" s="26"/>
      <c r="P57" s="26"/>
      <c r="Q57" s="26"/>
      <c r="R57" s="26"/>
      <c r="S57" s="26"/>
      <c r="T57" s="26"/>
      <c r="U57" s="26"/>
      <c r="V57" s="26"/>
      <c r="W57" s="26">
        <f>MAX($C$10-VLOOKUP($C57,COS!$B$8:$H$991,3,FALSE),0)</f>
        <v>1750</v>
      </c>
      <c r="X57" s="26">
        <f t="shared" si="31"/>
        <v>104.13223140495867</v>
      </c>
      <c r="Y57" s="26">
        <f>VLOOKUP($C57,COS!$B$8:$H$991,4,FALSE)</f>
        <v>0</v>
      </c>
      <c r="Z57" s="26">
        <f t="shared" si="32"/>
        <v>0</v>
      </c>
      <c r="AA57" s="26">
        <f t="shared" si="75"/>
        <v>0</v>
      </c>
      <c r="AB57" s="33">
        <f t="shared" si="34"/>
        <v>0</v>
      </c>
      <c r="AD57" s="43">
        <v>1965</v>
      </c>
      <c r="AE57" s="1">
        <f>VLOOKUP(AD57,Flags!$A$13:$B$95,2,FALSE)</f>
        <v>1</v>
      </c>
      <c r="AF57" s="43">
        <f t="shared" si="6"/>
        <v>332.63346364927685</v>
      </c>
      <c r="AG57" s="43">
        <f t="shared" si="7"/>
        <v>667.59995301743174</v>
      </c>
      <c r="AH57" s="43">
        <f t="shared" si="8"/>
        <v>0</v>
      </c>
      <c r="AI57" s="43">
        <f t="shared" si="9"/>
        <v>264.88433174070246</v>
      </c>
      <c r="AJ57" s="43">
        <f t="shared" si="10"/>
        <v>84.214305308948866</v>
      </c>
      <c r="AK57" s="43">
        <f t="shared" si="1"/>
        <v>0</v>
      </c>
      <c r="AL57" s="43">
        <f t="shared" si="11"/>
        <v>0</v>
      </c>
    </row>
    <row r="58" spans="1:38" x14ac:dyDescent="0.3">
      <c r="A58" s="34">
        <f>VLOOKUP(YEAR(C58),Flags!$A$13:$B$95,2,FALSE)</f>
        <v>4</v>
      </c>
      <c r="B58" s="35">
        <f t="shared" si="2"/>
        <v>1926</v>
      </c>
      <c r="C58" s="36">
        <v>9862</v>
      </c>
      <c r="D58" s="37"/>
      <c r="E58" s="35"/>
      <c r="F58" s="37"/>
      <c r="G58" s="37"/>
      <c r="H58" s="37"/>
      <c r="I58" s="37"/>
      <c r="J58" s="37"/>
      <c r="K58" s="37"/>
      <c r="L58" s="35"/>
      <c r="M58" s="35"/>
      <c r="N58" s="37"/>
      <c r="O58" s="37"/>
      <c r="P58" s="37"/>
      <c r="Q58" s="37"/>
      <c r="R58" s="37"/>
      <c r="S58" s="37"/>
      <c r="T58" s="37"/>
      <c r="U58" s="37"/>
      <c r="V58" s="37"/>
      <c r="W58" s="37">
        <f>MAX($C$11-VLOOKUP($C58,COS!$B$8:$H$991,3,FALSE),0)</f>
        <v>1750</v>
      </c>
      <c r="X58" s="37">
        <f t="shared" si="31"/>
        <v>107.60330578512398</v>
      </c>
      <c r="Y58" s="37">
        <f>VLOOKUP($C58,COS!$B$8:$H$991,4,FALSE)</f>
        <v>0</v>
      </c>
      <c r="Z58" s="37">
        <f t="shared" si="32"/>
        <v>0</v>
      </c>
      <c r="AA58" s="37">
        <f t="shared" si="75"/>
        <v>0</v>
      </c>
      <c r="AB58" s="38">
        <f t="shared" si="34"/>
        <v>0</v>
      </c>
      <c r="AD58" s="43">
        <v>1966</v>
      </c>
      <c r="AE58" s="1">
        <f>VLOOKUP(AD58,Flags!$A$13:$B$95,2,FALSE)</f>
        <v>3</v>
      </c>
      <c r="AF58" s="43">
        <f t="shared" si="6"/>
        <v>622.64396629648752</v>
      </c>
      <c r="AG58" s="43">
        <f t="shared" si="7"/>
        <v>692.24323587212677</v>
      </c>
      <c r="AH58" s="43">
        <f t="shared" si="8"/>
        <v>0</v>
      </c>
      <c r="AI58" s="43">
        <f t="shared" si="9"/>
        <v>104.13223140495867</v>
      </c>
      <c r="AJ58" s="43">
        <f t="shared" si="10"/>
        <v>202.35919891609635</v>
      </c>
      <c r="AK58" s="43">
        <f t="shared" si="1"/>
        <v>69.10637913223141</v>
      </c>
      <c r="AL58" s="43">
        <f t="shared" si="11"/>
        <v>0</v>
      </c>
    </row>
    <row r="59" spans="1:38" x14ac:dyDescent="0.3">
      <c r="A59" s="27">
        <f>VLOOKUP(YEAR(C59),Flags!$A$13:$B$95,2,FALSE)</f>
        <v>2</v>
      </c>
      <c r="B59" s="28">
        <f t="shared" si="2"/>
        <v>1927</v>
      </c>
      <c r="C59" s="29">
        <v>9982</v>
      </c>
      <c r="D59" s="30">
        <f>VLOOKUP($C59,COS!$B$8:$H$991,3,FALSE)</f>
        <v>9794.8115234375</v>
      </c>
      <c r="E59" s="28">
        <f>IF(D59&gt;=IF(MONTH($C59)=4,$C$3,IF(MONTH($C59)=5,$C$4,IF(MONTH($C59)=6,$C$5,IF(MONTH($C59)=7,$C$6,"ERROR")))),1,0)</f>
        <v>1</v>
      </c>
      <c r="F59" s="30">
        <f>VLOOKUP($C59,COS!$B$8:$H$991,7,FALSE)</f>
        <v>47.578723907470703</v>
      </c>
      <c r="G59" s="28">
        <f>IF(F59&lt;=IF(MONTH($C59)=4,$F$3,IF(MONTH($C59)=5,$F$4,IF(MONTH($C59)=6,$F$5,IF(MONTH($C59)=7,$F$6,"ERROR")))),1,0)</f>
        <v>1</v>
      </c>
      <c r="H59" s="30">
        <f>IF(J59=1,D59-$C$3,0)</f>
        <v>3794.8115234375</v>
      </c>
      <c r="I59" s="30">
        <f t="shared" si="17"/>
        <v>225.8069666838843</v>
      </c>
      <c r="J59" s="28">
        <f t="shared" ref="J59:J62" si="78">IF(AND(E59=1,G59=1),1,0)</f>
        <v>1</v>
      </c>
      <c r="K59" s="30">
        <f>VLOOKUP($C59,COS!$B$8:$H$991,2,FALSE)</f>
        <v>4552</v>
      </c>
      <c r="L59" s="28">
        <f t="shared" ref="L59" si="79">IF(K59&lt;=IF(MONTH($C59)=4,$I$3,IF(MONTH($C59)=5,$I$4,IF(MONTH($C59)=6,$I$5,IF(MONTH($C59)=7,$I$6,"ERROR")))),1,0)</f>
        <v>1</v>
      </c>
      <c r="M59" s="28">
        <f t="shared" ref="M59" si="80">VLOOKUP($A59,$L$3:$M$7,2,FALSE)</f>
        <v>0</v>
      </c>
      <c r="N59" s="30">
        <f>VLOOKUP($C59,COS!$B$8:$H$991,5,FALSE)</f>
        <v>550.79229736328125</v>
      </c>
      <c r="O59" s="30">
        <f t="shared" ref="O59:O62" si="81">N59*DAY($C59)*86400/43560/1000</f>
        <v>32.77441769434401</v>
      </c>
      <c r="P59" s="30">
        <f>VLOOKUP($C59,COS!$B$8:$H$991,6,FALSE)</f>
        <v>486.04421997070313</v>
      </c>
      <c r="Q59" s="30">
        <f t="shared" ref="Q59:Q62" si="82">P59*DAY($C59)*86400/43560/1000</f>
        <v>28.921639535446797</v>
      </c>
      <c r="R59" s="30">
        <f>MIN(IF(MONTH($C59)=4,$S$3,IF(MONTH($C59)=5,$S$4,IF(MONTH($C59)=6,$S$5,IF(MONTH($C59)=7,$S$6,"ERROR")))),MAX(VLOOKUP($C59,COS!$B$8:$K$991,10,FALSE)-IF(MONTH($C59)=4,$Y$3,IF(MONTH($C59)=5,$Y$4,IF(MONTH($C59)=6,$Y$5,IF(MONTH($C59)=7,$Y$6,"ERROR")))),0),MAX(VLOOKUP($C59,COS!$B$8:$K$991,9,FALSE)-IF(MONTH($C59)=4,$V$3,IF(MONTH($C59)=5,$V$4,IF(MONTH($C59)=6,$V$5,IF(MONTH($C59)=7,$V$6,"ERROR"))))-VLOOKUP($C59,COS!$B$8:$K$991,6,FALSE)/2,0))</f>
        <v>1500</v>
      </c>
      <c r="S59" s="30">
        <f t="shared" ref="S59:S62" si="83">R59*DAY($C59)*86400/43560/1000</f>
        <v>89.256198347107429</v>
      </c>
      <c r="T59" s="30">
        <f t="shared" ref="T59:T62" si="84">(O59+Q59)/2+S59</f>
        <v>120.10422696200283</v>
      </c>
      <c r="U59" s="30" t="str">
        <f>IF(VLOOKUP($C59,COS!$B$8:$I$991,8,FALSE)=1,"UWFE","IBU")</f>
        <v>UWFE</v>
      </c>
      <c r="V59" s="30">
        <f t="shared" ref="V59" si="85">MIN(IF(IF($AA$3=2,AND(E59=1,G59=1,L59=1,L64=1,M59=1,U59="IBU"),AND(E59=1,G59=1,L59=1,L64=1,M59=1)),T59,0),I59)</f>
        <v>0</v>
      </c>
      <c r="W59" s="30"/>
      <c r="X59" s="30"/>
      <c r="Y59" s="30"/>
      <c r="Z59" s="30"/>
      <c r="AA59" s="30"/>
      <c r="AB59" s="31"/>
      <c r="AD59" s="43">
        <v>1967</v>
      </c>
      <c r="AE59" s="1">
        <f>VLOOKUP(AD59,Flags!$A$13:$B$95,2,FALSE)</f>
        <v>1</v>
      </c>
      <c r="AF59" s="43">
        <f t="shared" si="6"/>
        <v>650.62075025826448</v>
      </c>
      <c r="AG59" s="43">
        <f t="shared" si="7"/>
        <v>666.82755976905503</v>
      </c>
      <c r="AH59" s="43">
        <f t="shared" si="8"/>
        <v>0</v>
      </c>
      <c r="AI59" s="43">
        <f t="shared" si="9"/>
        <v>163.95720461002065</v>
      </c>
      <c r="AJ59" s="43">
        <f t="shared" si="10"/>
        <v>121.2366370133329</v>
      </c>
      <c r="AK59" s="43">
        <f t="shared" si="1"/>
        <v>0</v>
      </c>
      <c r="AL59" s="43">
        <f t="shared" si="11"/>
        <v>0</v>
      </c>
    </row>
    <row r="60" spans="1:38" x14ac:dyDescent="0.3">
      <c r="A60" s="32">
        <f>VLOOKUP(YEAR(C60),Flags!$A$13:$B$95,2,FALSE)</f>
        <v>2</v>
      </c>
      <c r="B60" s="24">
        <f t="shared" si="2"/>
        <v>1927</v>
      </c>
      <c r="C60" s="25">
        <v>10013</v>
      </c>
      <c r="D60" s="26">
        <f>VLOOKUP($C60,COS!$B$8:$H$991,3,FALSE)</f>
        <v>7714.3828125</v>
      </c>
      <c r="E60" s="24">
        <f>IF(D60&gt;=IF(MONTH($C60)=4,$C$3,IF(MONTH($C60)=5,$C$4,IF(MONTH($C60)=6,$C$5,IF(MONTH($C60)=7,$C$6,"ERROR")))),1,0)</f>
        <v>1</v>
      </c>
      <c r="F60" s="26">
        <f>VLOOKUP($C60,COS!$B$8:$H$991,7,FALSE)</f>
        <v>50.201419830322266</v>
      </c>
      <c r="G60" s="24">
        <f>IF(F60&lt;=IF(MONTH($C60)=4,$F$3,IF(MONTH($C60)=5,$F$4,IF(MONTH($C60)=6,$F$5,IF(MONTH($C60)=7,$F$6,"ERROR")))),1,0)</f>
        <v>1</v>
      </c>
      <c r="H60" s="26">
        <f>IF(J60=1,D60-$C$4,0)</f>
        <v>1714.3828125</v>
      </c>
      <c r="I60" s="26">
        <f t="shared" si="17"/>
        <v>105.4132902892562</v>
      </c>
      <c r="J60" s="24">
        <f t="shared" si="78"/>
        <v>1</v>
      </c>
      <c r="K60" s="26">
        <f>VLOOKUP($C60,COS!$B$8:$H$991,2,FALSE)</f>
        <v>4552</v>
      </c>
      <c r="L60" s="24">
        <f t="shared" si="19"/>
        <v>1</v>
      </c>
      <c r="M60" s="24">
        <f t="shared" si="20"/>
        <v>0</v>
      </c>
      <c r="N60" s="26">
        <f>VLOOKUP($C60,COS!$B$8:$H$991,5,FALSE)</f>
        <v>894.1383056640625</v>
      </c>
      <c r="O60" s="26">
        <f t="shared" si="81"/>
        <v>54.978421439178717</v>
      </c>
      <c r="P60" s="26">
        <f>VLOOKUP($C60,COS!$B$8:$H$991,6,FALSE)</f>
        <v>2249.693359375</v>
      </c>
      <c r="Q60" s="26">
        <f t="shared" si="82"/>
        <v>138.3282528409091</v>
      </c>
      <c r="R60" s="26">
        <f>MIN(IF(MONTH($C60)=4,$S$3,IF(MONTH($C60)=5,$S$4,IF(MONTH($C60)=6,$S$5,IF(MONTH($C60)=7,$S$6,"ERROR")))),MAX(VLOOKUP($C60,COS!$B$8:$K$991,10,FALSE)-IF(MONTH($C60)=4,$Y$3,IF(MONTH($C60)=5,$Y$4,IF(MONTH($C60)=6,$Y$5,IF(MONTH($C60)=7,$Y$6,"ERROR")))),0),MAX(VLOOKUP($C60,COS!$B$8:$K$991,9,FALSE)-IF(MONTH($C60)=4,$V$3,IF(MONTH($C60)=5,$V$4,IF(MONTH($C60)=6,$V$5,IF(MONTH($C60)=7,$V$6,"ERROR"))))-VLOOKUP($C60,COS!$B$8:$K$991,6,FALSE)/2,0))</f>
        <v>1500</v>
      </c>
      <c r="S60" s="26">
        <f t="shared" si="83"/>
        <v>92.231404958677686</v>
      </c>
      <c r="T60" s="26">
        <f t="shared" si="84"/>
        <v>188.88474209872157</v>
      </c>
      <c r="U60" s="26" t="str">
        <f>IF(VLOOKUP($C60,COS!$B$8:$I$991,8,FALSE)=1,"UWFE","IBU")</f>
        <v>UWFE</v>
      </c>
      <c r="V60" s="26">
        <f t="shared" ref="V60" si="86">MIN(IF(IF($AA$3=2,AND(E60=1,G60=1,L60=1,L64=1,M60=1,U60="IBU"),AND(E60=1,G60=1,L60=1,L64=1,M60=1)),T60,0),I60)</f>
        <v>0</v>
      </c>
      <c r="W60" s="26"/>
      <c r="X60" s="26"/>
      <c r="Y60" s="26"/>
      <c r="Z60" s="26"/>
      <c r="AA60" s="26"/>
      <c r="AB60" s="33"/>
      <c r="AD60" s="43">
        <v>1968</v>
      </c>
      <c r="AE60" s="1">
        <f>VLOOKUP(AD60,Flags!$A$13:$B$95,2,FALSE)</f>
        <v>3</v>
      </c>
      <c r="AF60" s="43">
        <f t="shared" si="6"/>
        <v>497.01562403150825</v>
      </c>
      <c r="AG60" s="43">
        <f t="shared" si="7"/>
        <v>644.81326589537048</v>
      </c>
      <c r="AH60" s="43">
        <f t="shared" si="8"/>
        <v>0</v>
      </c>
      <c r="AI60" s="43">
        <f t="shared" si="9"/>
        <v>450.70242381198352</v>
      </c>
      <c r="AJ60" s="43">
        <f t="shared" si="10"/>
        <v>131.14432005827092</v>
      </c>
      <c r="AK60" s="43">
        <f t="shared" si="1"/>
        <v>58.715863127905472</v>
      </c>
      <c r="AL60" s="43">
        <f t="shared" si="11"/>
        <v>0</v>
      </c>
    </row>
    <row r="61" spans="1:38" x14ac:dyDescent="0.3">
      <c r="A61" s="32">
        <f>VLOOKUP(YEAR(C61),Flags!$A$13:$B$95,2,FALSE)</f>
        <v>2</v>
      </c>
      <c r="B61" s="24">
        <f t="shared" si="2"/>
        <v>1927</v>
      </c>
      <c r="C61" s="25">
        <v>10043</v>
      </c>
      <c r="D61" s="26">
        <f>VLOOKUP($C61,COS!$B$8:$H$991,3,FALSE)</f>
        <v>8988.9208984375</v>
      </c>
      <c r="E61" s="24">
        <f>IF(D61&gt;=IF(MONTH($C61)=4,$C$3,IF(MONTH($C61)=5,$C$4,IF(MONTH($C61)=6,$C$5,IF(MONTH($C61)=7,$C$6,"ERROR")))),1,0)</f>
        <v>0</v>
      </c>
      <c r="F61" s="26">
        <f>VLOOKUP($C61,COS!$B$8:$H$991,7,FALSE)</f>
        <v>51.129753112792969</v>
      </c>
      <c r="G61" s="24">
        <f>IF(F61&lt;=IF(MONTH($C61)=4,$F$3,IF(MONTH($C61)=5,$F$4,IF(MONTH($C61)=6,$F$5,IF(MONTH($C61)=7,$F$6,"ERROR")))),1,0)</f>
        <v>1</v>
      </c>
      <c r="H61" s="26">
        <f>IF(J61=1,D61-$C$5,0)</f>
        <v>0</v>
      </c>
      <c r="I61" s="26">
        <f t="shared" si="17"/>
        <v>0</v>
      </c>
      <c r="J61" s="24">
        <f t="shared" si="78"/>
        <v>0</v>
      </c>
      <c r="K61" s="26">
        <f>VLOOKUP($C61,COS!$B$8:$H$991,2,FALSE)</f>
        <v>4290.38525390625</v>
      </c>
      <c r="L61" s="24">
        <f t="shared" si="19"/>
        <v>1</v>
      </c>
      <c r="M61" s="24">
        <f t="shared" si="20"/>
        <v>0</v>
      </c>
      <c r="N61" s="26">
        <f>VLOOKUP($C61,COS!$B$8:$H$991,5,FALSE)</f>
        <v>1054.7291259765625</v>
      </c>
      <c r="O61" s="26">
        <f t="shared" si="81"/>
        <v>62.760741380423553</v>
      </c>
      <c r="P61" s="26">
        <f>VLOOKUP($C61,COS!$B$8:$H$991,6,FALSE)</f>
        <v>2141.721923828125</v>
      </c>
      <c r="Q61" s="26">
        <f t="shared" si="82"/>
        <v>127.44130455836778</v>
      </c>
      <c r="R61" s="26">
        <f>MIN(IF(MONTH($C61)=4,$S$3,IF(MONTH($C61)=5,$S$4,IF(MONTH($C61)=6,$S$5,IF(MONTH($C61)=7,$S$6,"ERROR")))),MAX(VLOOKUP($C61,COS!$B$8:$K$991,10,FALSE)-IF(MONTH($C61)=4,$Y$3,IF(MONTH($C61)=5,$Y$4,IF(MONTH($C61)=6,$Y$5,IF(MONTH($C61)=7,$Y$6,"ERROR")))),0),MAX(VLOOKUP($C61,COS!$B$8:$K$991,9,FALSE)-IF(MONTH($C61)=4,$V$3,IF(MONTH($C61)=5,$V$4,IF(MONTH($C61)=6,$V$5,IF(MONTH($C61)=7,$V$6,"ERROR"))))-VLOOKUP($C61,COS!$B$8:$K$991,6,FALSE)/2,0))</f>
        <v>1500</v>
      </c>
      <c r="S61" s="26">
        <f t="shared" si="83"/>
        <v>89.256198347107429</v>
      </c>
      <c r="T61" s="26">
        <f t="shared" si="84"/>
        <v>184.35722131650311</v>
      </c>
      <c r="U61" s="26" t="str">
        <f>IF(VLOOKUP($C61,COS!$B$8:$I$991,8,FALSE)=1,"UWFE","IBU")</f>
        <v>UWFE</v>
      </c>
      <c r="V61" s="26">
        <f t="shared" ref="V61" si="87">MIN(IF(IF($AA$3=2,AND(E61=1,G61=1,L61=1,L64=1,M61=1,U61="IBU"),AND(E61=1,G61=1,L61=1,L64=1,M61=1)),T61,0),I61)</f>
        <v>0</v>
      </c>
      <c r="W61" s="26"/>
      <c r="X61" s="26"/>
      <c r="Y61" s="26"/>
      <c r="Z61" s="26"/>
      <c r="AA61" s="26"/>
      <c r="AB61" s="33"/>
      <c r="AD61" s="43">
        <v>1969</v>
      </c>
      <c r="AE61" s="1">
        <f>VLOOKUP(AD61,Flags!$A$13:$B$95,2,FALSE)</f>
        <v>1</v>
      </c>
      <c r="AF61" s="43">
        <f t="shared" si="6"/>
        <v>438.45833871384298</v>
      </c>
      <c r="AG61" s="43">
        <f t="shared" si="7"/>
        <v>692.78652045131707</v>
      </c>
      <c r="AH61" s="43">
        <f t="shared" si="8"/>
        <v>0</v>
      </c>
      <c r="AI61" s="43">
        <f t="shared" si="9"/>
        <v>94.309133522727279</v>
      </c>
      <c r="AJ61" s="43">
        <f t="shared" si="10"/>
        <v>17.674964503769047</v>
      </c>
      <c r="AK61" s="43">
        <f t="shared" si="1"/>
        <v>0</v>
      </c>
      <c r="AL61" s="43">
        <f t="shared" si="11"/>
        <v>0</v>
      </c>
    </row>
    <row r="62" spans="1:38" x14ac:dyDescent="0.3">
      <c r="A62" s="32">
        <f>VLOOKUP(YEAR(C62),Flags!$A$13:$B$95,2,FALSE)</f>
        <v>2</v>
      </c>
      <c r="B62" s="24">
        <f t="shared" si="2"/>
        <v>1927</v>
      </c>
      <c r="C62" s="25">
        <v>10074</v>
      </c>
      <c r="D62" s="26">
        <f>VLOOKUP($C62,COS!$B$8:$H$991,3,FALSE)</f>
        <v>16000</v>
      </c>
      <c r="E62" s="24">
        <f>IF(D62&gt;=IF(MONTH($C62)=4,$C$3,IF(MONTH($C62)=5,$C$4,IF(MONTH($C62)=6,$C$5,IF(MONTH($C62)=7,$C$6,"ERROR")))),1,0)</f>
        <v>1</v>
      </c>
      <c r="F62" s="26">
        <f>VLOOKUP($C62,COS!$B$8:$H$991,7,FALSE)</f>
        <v>51.332504272460938</v>
      </c>
      <c r="G62" s="24">
        <f>IF(F62&lt;=IF(MONTH($C62)=4,$F$3,IF(MONTH($C62)=5,$F$4,IF(MONTH($C62)=6,$F$5,IF(MONTH($C62)=7,$F$6,"ERROR")))),1,0)</f>
        <v>1</v>
      </c>
      <c r="H62" s="26">
        <f>IF(J62=1,D62-$C$6,0)</f>
        <v>4000</v>
      </c>
      <c r="I62" s="26">
        <f t="shared" si="17"/>
        <v>245.95041322314049</v>
      </c>
      <c r="J62" s="24">
        <f t="shared" si="78"/>
        <v>1</v>
      </c>
      <c r="K62" s="26">
        <f>VLOOKUP($C62,COS!$B$8:$H$991,2,FALSE)</f>
        <v>3557.699462890625</v>
      </c>
      <c r="L62" s="24">
        <f t="shared" si="19"/>
        <v>1</v>
      </c>
      <c r="M62" s="24">
        <f t="shared" si="20"/>
        <v>0</v>
      </c>
      <c r="N62" s="26">
        <f>VLOOKUP($C62,COS!$B$8:$H$991,5,FALSE)</f>
        <v>1278.4688720703125</v>
      </c>
      <c r="O62" s="26">
        <f t="shared" si="81"/>
        <v>78.609986844653918</v>
      </c>
      <c r="P62" s="26">
        <f>VLOOKUP($C62,COS!$B$8:$H$991,6,FALSE)</f>
        <v>2521.474853515625</v>
      </c>
      <c r="Q62" s="26">
        <f t="shared" si="82"/>
        <v>155.0394455384814</v>
      </c>
      <c r="R62" s="26">
        <f>MIN(IF(MONTH($C62)=4,$S$3,IF(MONTH($C62)=5,$S$4,IF(MONTH($C62)=6,$S$5,IF(MONTH($C62)=7,$S$6,"ERROR")))),MAX(VLOOKUP($C62,COS!$B$8:$K$991,10,FALSE)-IF(MONTH($C62)=4,$Y$3,IF(MONTH($C62)=5,$Y$4,IF(MONTH($C62)=6,$Y$5,IF(MONTH($C62)=7,$Y$6,"ERROR")))),0),MAX(VLOOKUP($C62,COS!$B$8:$K$991,9,FALSE)-IF(MONTH($C62)=4,$V$3,IF(MONTH($C62)=5,$V$4,IF(MONTH($C62)=6,$V$5,IF(MONTH($C62)=7,$V$6,"ERROR"))))-VLOOKUP($C62,COS!$B$8:$K$991,6,FALSE)/2,0))</f>
        <v>1500</v>
      </c>
      <c r="S62" s="26">
        <f t="shared" si="83"/>
        <v>92.231404958677686</v>
      </c>
      <c r="T62" s="26">
        <f t="shared" si="84"/>
        <v>209.05612115024536</v>
      </c>
      <c r="U62" s="26" t="str">
        <f>IF(VLOOKUP($C62,COS!$B$8:$I$991,8,FALSE)=1,"UWFE","IBU")</f>
        <v>IBU</v>
      </c>
      <c r="V62" s="26">
        <f t="shared" ref="V62" si="88">MIN(IF(IF($AA$3=2,AND(E62=1,G62=1,L62=1,L64=1,M62=1,U62="IBU"),AND(E62=1,G62=1,L62=1,L64=1,M62=1)),T62,0),I62)</f>
        <v>0</v>
      </c>
      <c r="W62" s="26"/>
      <c r="X62" s="26"/>
      <c r="Y62" s="26"/>
      <c r="Z62" s="26"/>
      <c r="AA62" s="26"/>
      <c r="AB62" s="33"/>
      <c r="AD62" s="43">
        <v>1970</v>
      </c>
      <c r="AE62" s="1">
        <f>VLOOKUP(AD62,Flags!$A$13:$B$95,2,FALSE)</f>
        <v>1</v>
      </c>
      <c r="AF62" s="43">
        <f t="shared" si="6"/>
        <v>344.98198799070246</v>
      </c>
      <c r="AG62" s="43">
        <f t="shared" si="7"/>
        <v>613.52775824428591</v>
      </c>
      <c r="AH62" s="43">
        <f t="shared" si="8"/>
        <v>0</v>
      </c>
      <c r="AI62" s="43">
        <f t="shared" si="9"/>
        <v>83.63052621384297</v>
      </c>
      <c r="AJ62" s="43">
        <f t="shared" si="10"/>
        <v>170.52140419195507</v>
      </c>
      <c r="AK62" s="43">
        <f t="shared" si="1"/>
        <v>0</v>
      </c>
      <c r="AL62" s="43">
        <f t="shared" si="11"/>
        <v>0</v>
      </c>
    </row>
    <row r="63" spans="1:38" x14ac:dyDescent="0.3">
      <c r="A63" s="32">
        <f>VLOOKUP(YEAR(C63),Flags!$A$13:$B$95,2,FALSE)</f>
        <v>2</v>
      </c>
      <c r="B63" s="24">
        <f t="shared" si="2"/>
        <v>1927</v>
      </c>
      <c r="C63" s="25">
        <v>10105</v>
      </c>
      <c r="D63" s="26"/>
      <c r="E63" s="24"/>
      <c r="F63" s="26"/>
      <c r="G63" s="24"/>
      <c r="H63" s="24"/>
      <c r="I63" s="26"/>
      <c r="J63" s="24"/>
      <c r="K63" s="26"/>
      <c r="L63" s="24"/>
      <c r="M63" s="24"/>
      <c r="N63" s="26"/>
      <c r="O63" s="26"/>
      <c r="P63" s="26"/>
      <c r="Q63" s="26"/>
      <c r="R63" s="26"/>
      <c r="S63" s="26"/>
      <c r="T63" s="26"/>
      <c r="U63" s="26"/>
      <c r="V63" s="26"/>
      <c r="W63" s="26">
        <f>MAX($C$7-VLOOKUP($C63,COS!$B$8:$H$991,3,FALSE),0)</f>
        <v>883.072265625</v>
      </c>
      <c r="X63" s="26">
        <f t="shared" si="31"/>
        <v>54.297997159090912</v>
      </c>
      <c r="Y63" s="26">
        <f>VLOOKUP($C63,COS!$B$8:$H$991,4,FALSE)</f>
        <v>131.21571350097656</v>
      </c>
      <c r="Z63" s="26">
        <f t="shared" si="32"/>
        <v>8.0681397392336009</v>
      </c>
      <c r="AA63" s="26">
        <f t="shared" ref="AA63:AA67" si="89">MIN(W63,Y63)</f>
        <v>131.21571350097656</v>
      </c>
      <c r="AB63" s="33">
        <f t="shared" ref="AB63" si="90">AA63*DAY($C63)*86400/43560/1000*IF(MONTH($C63)=8,$P$3,IF(MONTH($C63)=9,$P$4,IF(MONTH($C63)=10,$P$5,IF(MONTH($C63)=11,$P$6,IF(MONTH($C63)=12,$P$7,NA())))))</f>
        <v>8.0681397392336009</v>
      </c>
      <c r="AD63" s="43">
        <v>1971</v>
      </c>
      <c r="AE63" s="1">
        <f>VLOOKUP(AD63,Flags!$A$13:$B$95,2,FALSE)</f>
        <v>1</v>
      </c>
      <c r="AF63" s="43">
        <f t="shared" si="6"/>
        <v>413.69826252582646</v>
      </c>
      <c r="AG63" s="43">
        <f t="shared" si="7"/>
        <v>685.45884684917348</v>
      </c>
      <c r="AH63" s="43">
        <f t="shared" si="8"/>
        <v>0</v>
      </c>
      <c r="AI63" s="43">
        <f t="shared" si="9"/>
        <v>263.50692536157027</v>
      </c>
      <c r="AJ63" s="43">
        <f t="shared" si="10"/>
        <v>198.7760154434078</v>
      </c>
      <c r="AK63" s="43">
        <f t="shared" si="1"/>
        <v>22.609129467168131</v>
      </c>
      <c r="AL63" s="43">
        <f t="shared" si="11"/>
        <v>0</v>
      </c>
    </row>
    <row r="64" spans="1:38" x14ac:dyDescent="0.3">
      <c r="A64" s="32">
        <f>VLOOKUP(YEAR(C64),Flags!$A$13:$B$95,2,FALSE)</f>
        <v>2</v>
      </c>
      <c r="B64" s="24">
        <f t="shared" si="2"/>
        <v>1927</v>
      </c>
      <c r="C64" s="25">
        <v>10135</v>
      </c>
      <c r="D64" s="26"/>
      <c r="E64" s="24"/>
      <c r="F64" s="26"/>
      <c r="G64" s="24"/>
      <c r="H64" s="24"/>
      <c r="I64" s="26"/>
      <c r="J64" s="24"/>
      <c r="K64" s="26">
        <f>VLOOKUP($C64,COS!$B$8:$H$991,2,FALSE)</f>
        <v>2812.22802734375</v>
      </c>
      <c r="L64" s="24">
        <f t="shared" ref="L64" si="91">IF(AND(K64&gt;$I$7,K64&lt;$I$8),1,0)</f>
        <v>1</v>
      </c>
      <c r="M64" s="24"/>
      <c r="N64" s="26"/>
      <c r="O64" s="26"/>
      <c r="P64" s="26"/>
      <c r="Q64" s="26"/>
      <c r="R64" s="26"/>
      <c r="S64" s="26"/>
      <c r="T64" s="26"/>
      <c r="U64" s="26"/>
      <c r="V64" s="26"/>
      <c r="W64" s="26">
        <f>MAX($C$8-VLOOKUP($C64,COS!$B$8:$H$991,3,FALSE),0)</f>
        <v>0</v>
      </c>
      <c r="X64" s="26">
        <f t="shared" si="31"/>
        <v>0</v>
      </c>
      <c r="Y64" s="26">
        <f>VLOOKUP($C64,COS!$B$8:$H$991,4,FALSE)</f>
        <v>0</v>
      </c>
      <c r="Z64" s="26">
        <f t="shared" si="32"/>
        <v>0</v>
      </c>
      <c r="AA64" s="26">
        <f t="shared" si="89"/>
        <v>0</v>
      </c>
      <c r="AB64" s="33">
        <f t="shared" si="34"/>
        <v>0</v>
      </c>
      <c r="AD64" s="43">
        <v>1972</v>
      </c>
      <c r="AE64" s="1">
        <f>VLOOKUP(AD64,Flags!$A$13:$B$95,2,FALSE)</f>
        <v>3</v>
      </c>
      <c r="AF64" s="43">
        <f t="shared" si="6"/>
        <v>529.18486247417354</v>
      </c>
      <c r="AG64" s="43">
        <f t="shared" si="7"/>
        <v>647.49496554792415</v>
      </c>
      <c r="AH64" s="43">
        <f t="shared" si="8"/>
        <v>0</v>
      </c>
      <c r="AI64" s="43">
        <f t="shared" si="9"/>
        <v>271.59600949121898</v>
      </c>
      <c r="AJ64" s="43">
        <f t="shared" si="10"/>
        <v>297.71753264624226</v>
      </c>
      <c r="AK64" s="43">
        <f t="shared" si="1"/>
        <v>215.74765850981404</v>
      </c>
      <c r="AL64" s="43">
        <f t="shared" si="11"/>
        <v>0</v>
      </c>
    </row>
    <row r="65" spans="1:38" x14ac:dyDescent="0.3">
      <c r="A65" s="32">
        <f>VLOOKUP(YEAR(C65),Flags!$A$13:$B$95,2,FALSE)</f>
        <v>2</v>
      </c>
      <c r="B65" s="24">
        <f t="shared" si="2"/>
        <v>1927</v>
      </c>
      <c r="C65" s="25">
        <v>10166</v>
      </c>
      <c r="D65" s="26"/>
      <c r="E65" s="24"/>
      <c r="F65" s="26"/>
      <c r="G65" s="26"/>
      <c r="H65" s="26"/>
      <c r="I65" s="26"/>
      <c r="J65" s="26"/>
      <c r="K65" s="26"/>
      <c r="L65" s="24"/>
      <c r="M65" s="24"/>
      <c r="N65" s="26"/>
      <c r="O65" s="26"/>
      <c r="P65" s="26"/>
      <c r="Q65" s="26"/>
      <c r="R65" s="26"/>
      <c r="S65" s="26"/>
      <c r="T65" s="26"/>
      <c r="U65" s="26"/>
      <c r="V65" s="26"/>
      <c r="W65" s="26">
        <f>MAX($C$9-VLOOKUP($C65,COS!$B$8:$H$991,3,FALSE),0)</f>
        <v>0</v>
      </c>
      <c r="X65" s="26">
        <f t="shared" si="31"/>
        <v>0</v>
      </c>
      <c r="Y65" s="26">
        <f>VLOOKUP($C65,COS!$B$8:$H$991,4,FALSE)</f>
        <v>958.4876708984375</v>
      </c>
      <c r="Z65" s="26">
        <f t="shared" si="32"/>
        <v>58.935109681689049</v>
      </c>
      <c r="AA65" s="26">
        <f t="shared" si="89"/>
        <v>0</v>
      </c>
      <c r="AB65" s="33">
        <f t="shared" si="34"/>
        <v>0</v>
      </c>
      <c r="AD65" s="43">
        <v>1973</v>
      </c>
      <c r="AE65" s="1">
        <f>VLOOKUP(AD65,Flags!$A$13:$B$95,2,FALSE)</f>
        <v>2</v>
      </c>
      <c r="AF65" s="43">
        <f t="shared" si="6"/>
        <v>456.36225174328513</v>
      </c>
      <c r="AG65" s="43">
        <f t="shared" si="7"/>
        <v>697.35026663788096</v>
      </c>
      <c r="AH65" s="43">
        <f t="shared" si="8"/>
        <v>0</v>
      </c>
      <c r="AI65" s="43">
        <f t="shared" si="9"/>
        <v>198.73375839359505</v>
      </c>
      <c r="AJ65" s="43">
        <f t="shared" si="10"/>
        <v>104.91092460695377</v>
      </c>
      <c r="AK65" s="43">
        <f t="shared" si="1"/>
        <v>16.360977187984247</v>
      </c>
      <c r="AL65" s="43">
        <f t="shared" si="11"/>
        <v>0</v>
      </c>
    </row>
    <row r="66" spans="1:38" x14ac:dyDescent="0.3">
      <c r="A66" s="32">
        <f>VLOOKUP(YEAR(C66),Flags!$A$13:$B$95,2,FALSE)</f>
        <v>2</v>
      </c>
      <c r="B66" s="24">
        <f t="shared" si="2"/>
        <v>1927</v>
      </c>
      <c r="C66" s="25">
        <v>10196</v>
      </c>
      <c r="D66" s="26"/>
      <c r="E66" s="24"/>
      <c r="F66" s="26"/>
      <c r="G66" s="26"/>
      <c r="H66" s="26"/>
      <c r="I66" s="26"/>
      <c r="J66" s="26"/>
      <c r="K66" s="26"/>
      <c r="L66" s="24"/>
      <c r="M66" s="24"/>
      <c r="N66" s="26"/>
      <c r="O66" s="26"/>
      <c r="P66" s="26"/>
      <c r="Q66" s="26"/>
      <c r="R66" s="26"/>
      <c r="S66" s="26"/>
      <c r="T66" s="26"/>
      <c r="U66" s="26"/>
      <c r="V66" s="26"/>
      <c r="W66" s="26">
        <f>MAX($C$10-VLOOKUP($C66,COS!$B$8:$H$991,3,FALSE),0)</f>
        <v>0</v>
      </c>
      <c r="X66" s="26">
        <f t="shared" si="31"/>
        <v>0</v>
      </c>
      <c r="Y66" s="26">
        <f>VLOOKUP($C66,COS!$B$8:$H$991,4,FALSE)</f>
        <v>593.66107177734375</v>
      </c>
      <c r="Z66" s="26">
        <f t="shared" si="32"/>
        <v>35.325286915676656</v>
      </c>
      <c r="AA66" s="26">
        <f t="shared" si="89"/>
        <v>0</v>
      </c>
      <c r="AB66" s="33">
        <f t="shared" si="34"/>
        <v>0</v>
      </c>
      <c r="AD66" s="43">
        <v>1974</v>
      </c>
      <c r="AE66" s="1">
        <f>VLOOKUP(AD66,Flags!$A$13:$B$95,2,FALSE)</f>
        <v>1</v>
      </c>
      <c r="AF66" s="43">
        <f t="shared" si="6"/>
        <v>37.038895273760332</v>
      </c>
      <c r="AG66" s="43">
        <f t="shared" si="7"/>
        <v>679.96204771183739</v>
      </c>
      <c r="AH66" s="43">
        <f t="shared" si="8"/>
        <v>0</v>
      </c>
      <c r="AI66" s="43">
        <f t="shared" si="9"/>
        <v>255.46003551136363</v>
      </c>
      <c r="AJ66" s="43">
        <f t="shared" si="10"/>
        <v>158.65327051588326</v>
      </c>
      <c r="AK66" s="43">
        <f t="shared" si="1"/>
        <v>0</v>
      </c>
      <c r="AL66" s="43">
        <f t="shared" si="11"/>
        <v>0</v>
      </c>
    </row>
    <row r="67" spans="1:38" x14ac:dyDescent="0.3">
      <c r="A67" s="34">
        <f>VLOOKUP(YEAR(C67),Flags!$A$13:$B$95,2,FALSE)</f>
        <v>2</v>
      </c>
      <c r="B67" s="35">
        <f t="shared" si="2"/>
        <v>1927</v>
      </c>
      <c r="C67" s="36">
        <v>10227</v>
      </c>
      <c r="D67" s="37"/>
      <c r="E67" s="35"/>
      <c r="F67" s="37"/>
      <c r="G67" s="37"/>
      <c r="H67" s="37"/>
      <c r="I67" s="37"/>
      <c r="J67" s="37"/>
      <c r="K67" s="37"/>
      <c r="L67" s="35"/>
      <c r="M67" s="35"/>
      <c r="N67" s="37"/>
      <c r="O67" s="37"/>
      <c r="P67" s="37"/>
      <c r="Q67" s="37"/>
      <c r="R67" s="37"/>
      <c r="S67" s="37"/>
      <c r="T67" s="37"/>
      <c r="U67" s="37"/>
      <c r="V67" s="37"/>
      <c r="W67" s="37">
        <f>MAX($C$11-VLOOKUP($C67,COS!$B$8:$H$991,3,FALSE),0)</f>
        <v>1355.184326171875</v>
      </c>
      <c r="X67" s="37">
        <f t="shared" si="31"/>
        <v>83.32703625387397</v>
      </c>
      <c r="Y67" s="37">
        <f>VLOOKUP($C67,COS!$B$8:$H$991,4,FALSE)</f>
        <v>0</v>
      </c>
      <c r="Z67" s="37">
        <f t="shared" si="32"/>
        <v>0</v>
      </c>
      <c r="AA67" s="37">
        <f t="shared" si="89"/>
        <v>0</v>
      </c>
      <c r="AB67" s="38">
        <f t="shared" si="34"/>
        <v>0</v>
      </c>
      <c r="AD67" s="43">
        <v>1975</v>
      </c>
      <c r="AE67" s="1">
        <f>VLOOKUP(AD67,Flags!$A$13:$B$95,2,FALSE)</f>
        <v>1</v>
      </c>
      <c r="AF67" s="43">
        <f t="shared" si="6"/>
        <v>358.21987151342972</v>
      </c>
      <c r="AG67" s="43">
        <f t="shared" si="7"/>
        <v>704.98574924941886</v>
      </c>
      <c r="AH67" s="43">
        <f t="shared" si="8"/>
        <v>0</v>
      </c>
      <c r="AI67" s="43">
        <f t="shared" si="9"/>
        <v>245.14963326446284</v>
      </c>
      <c r="AJ67" s="43">
        <f t="shared" si="10"/>
        <v>123.33492744382747</v>
      </c>
      <c r="AK67" s="43">
        <f t="shared" si="1"/>
        <v>0</v>
      </c>
      <c r="AL67" s="43">
        <f t="shared" si="11"/>
        <v>0</v>
      </c>
    </row>
    <row r="68" spans="1:38" x14ac:dyDescent="0.3">
      <c r="A68" s="27">
        <f>VLOOKUP(YEAR(C68),Flags!$A$13:$B$95,2,FALSE)</f>
        <v>2</v>
      </c>
      <c r="B68" s="28">
        <f t="shared" si="2"/>
        <v>1928</v>
      </c>
      <c r="C68" s="29">
        <v>10348</v>
      </c>
      <c r="D68" s="30">
        <f>VLOOKUP($C68,COS!$B$8:$H$991,3,FALSE)</f>
        <v>3250</v>
      </c>
      <c r="E68" s="28">
        <f>IF(D68&gt;=IF(MONTH($C68)=4,$C$3,IF(MONTH($C68)=5,$C$4,IF(MONTH($C68)=6,$C$5,IF(MONTH($C68)=7,$C$6,"ERROR")))),1,0)</f>
        <v>0</v>
      </c>
      <c r="F68" s="30">
        <f>VLOOKUP($C68,COS!$B$8:$H$991,7,FALSE)</f>
        <v>51.280696868896484</v>
      </c>
      <c r="G68" s="28">
        <f>IF(F68&lt;=IF(MONTH($C68)=4,$F$3,IF(MONTH($C68)=5,$F$4,IF(MONTH($C68)=6,$F$5,IF(MONTH($C68)=7,$F$6,"ERROR")))),1,0)</f>
        <v>1</v>
      </c>
      <c r="H68" s="30">
        <f>IF(J68=1,D68-$C$3,0)</f>
        <v>0</v>
      </c>
      <c r="I68" s="30">
        <f t="shared" si="17"/>
        <v>0</v>
      </c>
      <c r="J68" s="28">
        <f t="shared" ref="J68:J71" si="92">IF(AND(E68=1,G68=1),1,0)</f>
        <v>0</v>
      </c>
      <c r="K68" s="30">
        <f>VLOOKUP($C68,COS!$B$8:$H$991,2,FALSE)</f>
        <v>4536.6591796875</v>
      </c>
      <c r="L68" s="28">
        <f t="shared" ref="L68" si="93">IF(K68&lt;=IF(MONTH($C68)=4,$I$3,IF(MONTH($C68)=5,$I$4,IF(MONTH($C68)=6,$I$5,IF(MONTH($C68)=7,$I$6,"ERROR")))),1,0)</f>
        <v>1</v>
      </c>
      <c r="M68" s="28">
        <f t="shared" ref="M68" si="94">VLOOKUP($A68,$L$3:$M$7,2,FALSE)</f>
        <v>0</v>
      </c>
      <c r="N68" s="30">
        <f>VLOOKUP($C68,COS!$B$8:$H$991,5,FALSE)</f>
        <v>195.05795288085938</v>
      </c>
      <c r="O68" s="30">
        <f t="shared" ref="O68:O71" si="95">N68*DAY($C68)*86400/43560/1000</f>
        <v>11.606754221009815</v>
      </c>
      <c r="P68" s="30">
        <f>VLOOKUP($C68,COS!$B$8:$H$991,6,FALSE)</f>
        <v>419.7452392578125</v>
      </c>
      <c r="Q68" s="30">
        <f t="shared" ref="Q68:Q71" si="96">P68*DAY($C68)*86400/43560/1000</f>
        <v>24.976576220299588</v>
      </c>
      <c r="R68" s="30">
        <f>MIN(IF(MONTH($C68)=4,$S$3,IF(MONTH($C68)=5,$S$4,IF(MONTH($C68)=6,$S$5,IF(MONTH($C68)=7,$S$6,"ERROR")))),MAX(VLOOKUP($C68,COS!$B$8:$K$991,10,FALSE)-IF(MONTH($C68)=4,$Y$3,IF(MONTH($C68)=5,$Y$4,IF(MONTH($C68)=6,$Y$5,IF(MONTH($C68)=7,$Y$6,"ERROR")))),0),MAX(VLOOKUP($C68,COS!$B$8:$K$991,9,FALSE)-IF(MONTH($C68)=4,$V$3,IF(MONTH($C68)=5,$V$4,IF(MONTH($C68)=6,$V$5,IF(MONTH($C68)=7,$V$6,"ERROR"))))-VLOOKUP($C68,COS!$B$8:$K$991,6,FALSE)/2,0))</f>
        <v>1500</v>
      </c>
      <c r="S68" s="30">
        <f t="shared" ref="S68:S71" si="97">R68*DAY($C68)*86400/43560/1000</f>
        <v>89.256198347107429</v>
      </c>
      <c r="T68" s="30">
        <f t="shared" ref="T68:T71" si="98">(O68+Q68)/2+S68</f>
        <v>107.54786356776214</v>
      </c>
      <c r="U68" s="30" t="str">
        <f>IF(VLOOKUP($C68,COS!$B$8:$I$991,8,FALSE)=1,"UWFE","IBU")</f>
        <v>UWFE</v>
      </c>
      <c r="V68" s="30">
        <f t="shared" ref="V68" si="99">MIN(IF(IF($AA$3=2,AND(E68=1,G68=1,L68=1,L73=1,M68=1,U68="IBU"),AND(E68=1,G68=1,L68=1,L73=1,M68=1)),T68,0),I68)</f>
        <v>0</v>
      </c>
      <c r="W68" s="30"/>
      <c r="X68" s="30"/>
      <c r="Y68" s="30"/>
      <c r="Z68" s="30"/>
      <c r="AA68" s="30"/>
      <c r="AB68" s="31"/>
      <c r="AD68" s="44">
        <v>1976</v>
      </c>
      <c r="AE68" s="45">
        <f>VLOOKUP(AD68,Flags!$A$13:$B$95,2,FALSE)</f>
        <v>4</v>
      </c>
      <c r="AF68" s="44">
        <f t="shared" si="6"/>
        <v>250.9674774018595</v>
      </c>
      <c r="AG68" s="44">
        <f t="shared" si="7"/>
        <v>607.49359581813337</v>
      </c>
      <c r="AH68" s="44">
        <f t="shared" si="8"/>
        <v>172.01439102551169</v>
      </c>
      <c r="AI68" s="44">
        <f t="shared" si="9"/>
        <v>396.23744318181815</v>
      </c>
      <c r="AJ68" s="44">
        <f t="shared" si="10"/>
        <v>561.13268578899783</v>
      </c>
      <c r="AK68" s="44">
        <f t="shared" si="1"/>
        <v>186.42185780927167</v>
      </c>
      <c r="AL68" s="44">
        <f t="shared" si="11"/>
        <v>172.01439102551169</v>
      </c>
    </row>
    <row r="69" spans="1:38" x14ac:dyDescent="0.3">
      <c r="A69" s="32">
        <f>VLOOKUP(YEAR(C69),Flags!$A$13:$B$95,2,FALSE)</f>
        <v>2</v>
      </c>
      <c r="B69" s="24">
        <f t="shared" si="2"/>
        <v>1928</v>
      </c>
      <c r="C69" s="25">
        <v>10379</v>
      </c>
      <c r="D69" s="26">
        <f>VLOOKUP($C69,COS!$B$8:$H$991,3,FALSE)</f>
        <v>7197.19873046875</v>
      </c>
      <c r="E69" s="24">
        <f>IF(D69&gt;=IF(MONTH($C69)=4,$C$3,IF(MONTH($C69)=5,$C$4,IF(MONTH($C69)=6,$C$5,IF(MONTH($C69)=7,$C$6,"ERROR")))),1,0)</f>
        <v>1</v>
      </c>
      <c r="F69" s="26">
        <f>VLOOKUP($C69,COS!$B$8:$H$991,7,FALSE)</f>
        <v>51.672935485839844</v>
      </c>
      <c r="G69" s="24">
        <f>IF(F69&lt;=IF(MONTH($C69)=4,$F$3,IF(MONTH($C69)=5,$F$4,IF(MONTH($C69)=6,$F$5,IF(MONTH($C69)=7,$F$6,"ERROR")))),1,0)</f>
        <v>1</v>
      </c>
      <c r="H69" s="26">
        <f>IF(J69=1,D69-$C$4,0)</f>
        <v>1197.19873046875</v>
      </c>
      <c r="I69" s="26">
        <f t="shared" si="17"/>
        <v>73.612880617252074</v>
      </c>
      <c r="J69" s="24">
        <f t="shared" si="92"/>
        <v>1</v>
      </c>
      <c r="K69" s="26">
        <f>VLOOKUP($C69,COS!$B$8:$H$991,2,FALSE)</f>
        <v>4435.58349609375</v>
      </c>
      <c r="L69" s="24">
        <f t="shared" si="19"/>
        <v>1</v>
      </c>
      <c r="M69" s="24">
        <f t="shared" si="20"/>
        <v>0</v>
      </c>
      <c r="N69" s="26">
        <f>VLOOKUP($C69,COS!$B$8:$H$991,5,FALSE)</f>
        <v>357.50259399414063</v>
      </c>
      <c r="O69" s="26">
        <f t="shared" si="95"/>
        <v>21.981977680300879</v>
      </c>
      <c r="P69" s="26">
        <f>VLOOKUP($C69,COS!$B$8:$H$991,6,FALSE)</f>
        <v>2314.501708984375</v>
      </c>
      <c r="Q69" s="26">
        <f t="shared" si="96"/>
        <v>142.31316293259297</v>
      </c>
      <c r="R69" s="26">
        <f>MIN(IF(MONTH($C69)=4,$S$3,IF(MONTH($C69)=5,$S$4,IF(MONTH($C69)=6,$S$5,IF(MONTH($C69)=7,$S$6,"ERROR")))),MAX(VLOOKUP($C69,COS!$B$8:$K$991,10,FALSE)-IF(MONTH($C69)=4,$Y$3,IF(MONTH($C69)=5,$Y$4,IF(MONTH($C69)=6,$Y$5,IF(MONTH($C69)=7,$Y$6,"ERROR")))),0),MAX(VLOOKUP($C69,COS!$B$8:$K$991,9,FALSE)-IF(MONTH($C69)=4,$V$3,IF(MONTH($C69)=5,$V$4,IF(MONTH($C69)=6,$V$5,IF(MONTH($C69)=7,$V$6,"ERROR"))))-VLOOKUP($C69,COS!$B$8:$K$991,6,FALSE)/2,0))</f>
        <v>1500</v>
      </c>
      <c r="S69" s="26">
        <f t="shared" si="97"/>
        <v>92.231404958677686</v>
      </c>
      <c r="T69" s="26">
        <f t="shared" si="98"/>
        <v>174.37897526512461</v>
      </c>
      <c r="U69" s="26" t="str">
        <f>IF(VLOOKUP($C69,COS!$B$8:$I$991,8,FALSE)=1,"UWFE","IBU")</f>
        <v>UWFE</v>
      </c>
      <c r="V69" s="26">
        <f t="shared" ref="V69" si="100">MIN(IF(IF($AA$3=2,AND(E69=1,G69=1,L69=1,L73=1,M69=1,U69="IBU"),AND(E69=1,G69=1,L69=1,L73=1,M69=1)),T69,0),I69)</f>
        <v>0</v>
      </c>
      <c r="W69" s="26"/>
      <c r="X69" s="26"/>
      <c r="Y69" s="26"/>
      <c r="Z69" s="26"/>
      <c r="AA69" s="26"/>
      <c r="AB69" s="33"/>
      <c r="AD69" s="44">
        <v>1977</v>
      </c>
      <c r="AE69" s="45">
        <f>VLOOKUP(AD69,Flags!$A$13:$B$95,2,FALSE)</f>
        <v>5</v>
      </c>
      <c r="AF69" s="44">
        <f t="shared" si="6"/>
        <v>196.3267368285124</v>
      </c>
      <c r="AG69" s="44">
        <f t="shared" si="7"/>
        <v>601.92241988252999</v>
      </c>
      <c r="AH69" s="44">
        <f t="shared" si="8"/>
        <v>0</v>
      </c>
      <c r="AI69" s="44">
        <f t="shared" si="9"/>
        <v>497.57003712551659</v>
      </c>
      <c r="AJ69" s="44">
        <f t="shared" si="10"/>
        <v>635.35222042871908</v>
      </c>
      <c r="AK69" s="44">
        <f t="shared" si="1"/>
        <v>496.99755681818181</v>
      </c>
      <c r="AL69" s="44">
        <f t="shared" si="11"/>
        <v>0</v>
      </c>
    </row>
    <row r="70" spans="1:38" x14ac:dyDescent="0.3">
      <c r="A70" s="32">
        <f>VLOOKUP(YEAR(C70),Flags!$A$13:$B$95,2,FALSE)</f>
        <v>2</v>
      </c>
      <c r="B70" s="24">
        <f t="shared" si="2"/>
        <v>1928</v>
      </c>
      <c r="C70" s="25">
        <v>10409</v>
      </c>
      <c r="D70" s="26">
        <f>VLOOKUP($C70,COS!$B$8:$H$991,3,FALSE)</f>
        <v>13547.318359375</v>
      </c>
      <c r="E70" s="24">
        <f>IF(D70&gt;=IF(MONTH($C70)=4,$C$3,IF(MONTH($C70)=5,$C$4,IF(MONTH($C70)=6,$C$5,IF(MONTH($C70)=7,$C$6,"ERROR")))),1,0)</f>
        <v>1</v>
      </c>
      <c r="F70" s="26">
        <f>VLOOKUP($C70,COS!$B$8:$H$991,7,FALSE)</f>
        <v>51.193431854248047</v>
      </c>
      <c r="G70" s="24">
        <f>IF(F70&lt;=IF(MONTH($C70)=4,$F$3,IF(MONTH($C70)=5,$F$4,IF(MONTH($C70)=6,$F$5,IF(MONTH($C70)=7,$F$6,"ERROR")))),1,0)</f>
        <v>1</v>
      </c>
      <c r="H70" s="26">
        <f>IF(J70=1,D70-$C$5,0)</f>
        <v>3547.318359375</v>
      </c>
      <c r="I70" s="26">
        <f t="shared" si="17"/>
        <v>211.0801007231405</v>
      </c>
      <c r="J70" s="24">
        <f t="shared" si="92"/>
        <v>1</v>
      </c>
      <c r="K70" s="26">
        <f>VLOOKUP($C70,COS!$B$8:$H$991,2,FALSE)</f>
        <v>3819.055419921875</v>
      </c>
      <c r="L70" s="24">
        <f t="shared" si="19"/>
        <v>1</v>
      </c>
      <c r="M70" s="24">
        <f t="shared" si="20"/>
        <v>0</v>
      </c>
      <c r="N70" s="26">
        <f>VLOOKUP($C70,COS!$B$8:$H$991,5,FALSE)</f>
        <v>655.33172607421875</v>
      </c>
      <c r="O70" s="26">
        <f t="shared" si="95"/>
        <v>38.994945683755162</v>
      </c>
      <c r="P70" s="26">
        <f>VLOOKUP($C70,COS!$B$8:$H$991,6,FALSE)</f>
        <v>2329.183349609375</v>
      </c>
      <c r="Q70" s="26">
        <f t="shared" si="96"/>
        <v>138.59603402634298</v>
      </c>
      <c r="R70" s="26">
        <f>MIN(IF(MONTH($C70)=4,$S$3,IF(MONTH($C70)=5,$S$4,IF(MONTH($C70)=6,$S$5,IF(MONTH($C70)=7,$S$6,"ERROR")))),MAX(VLOOKUP($C70,COS!$B$8:$K$991,10,FALSE)-IF(MONTH($C70)=4,$Y$3,IF(MONTH($C70)=5,$Y$4,IF(MONTH($C70)=6,$Y$5,IF(MONTH($C70)=7,$Y$6,"ERROR")))),0),MAX(VLOOKUP($C70,COS!$B$8:$K$991,9,FALSE)-IF(MONTH($C70)=4,$V$3,IF(MONTH($C70)=5,$V$4,IF(MONTH($C70)=6,$V$5,IF(MONTH($C70)=7,$V$6,"ERROR"))))-VLOOKUP($C70,COS!$B$8:$K$991,6,FALSE)/2,0))</f>
        <v>1500</v>
      </c>
      <c r="S70" s="26">
        <f t="shared" si="97"/>
        <v>89.256198347107429</v>
      </c>
      <c r="T70" s="26">
        <f t="shared" si="98"/>
        <v>178.0516882021565</v>
      </c>
      <c r="U70" s="26" t="str">
        <f>IF(VLOOKUP($C70,COS!$B$8:$I$991,8,FALSE)=1,"UWFE","IBU")</f>
        <v>IBU</v>
      </c>
      <c r="V70" s="26">
        <f t="shared" ref="V70" si="101">MIN(IF(IF($AA$3=2,AND(E70=1,G70=1,L70=1,L73=1,M70=1,U70="IBU"),AND(E70=1,G70=1,L70=1,L73=1,M70=1)),T70,0),I70)</f>
        <v>0</v>
      </c>
      <c r="W70" s="26"/>
      <c r="X70" s="26"/>
      <c r="Y70" s="26"/>
      <c r="Z70" s="26"/>
      <c r="AA70" s="26"/>
      <c r="AB70" s="33"/>
      <c r="AD70" s="43">
        <v>1978</v>
      </c>
      <c r="AE70" s="1">
        <f>VLOOKUP(AD70,Flags!$A$13:$B$95,2,FALSE)</f>
        <v>2</v>
      </c>
      <c r="AF70" s="43">
        <f t="shared" si="6"/>
        <v>217.96352595557852</v>
      </c>
      <c r="AG70" s="43">
        <f t="shared" si="7"/>
        <v>695.25521309025021</v>
      </c>
      <c r="AH70" s="43">
        <f t="shared" si="8"/>
        <v>0</v>
      </c>
      <c r="AI70" s="43">
        <f t="shared" si="9"/>
        <v>147.3775287319215</v>
      </c>
      <c r="AJ70" s="43">
        <f t="shared" si="10"/>
        <v>86.702932471913741</v>
      </c>
      <c r="AK70" s="43">
        <f t="shared" si="1"/>
        <v>13.703395642997805</v>
      </c>
      <c r="AL70" s="43">
        <f t="shared" si="11"/>
        <v>0</v>
      </c>
    </row>
    <row r="71" spans="1:38" x14ac:dyDescent="0.3">
      <c r="A71" s="32">
        <f>VLOOKUP(YEAR(C71),Flags!$A$13:$B$95,2,FALSE)</f>
        <v>2</v>
      </c>
      <c r="B71" s="24">
        <f t="shared" si="2"/>
        <v>1928</v>
      </c>
      <c r="C71" s="25">
        <v>10440</v>
      </c>
      <c r="D71" s="26">
        <f>VLOOKUP($C71,COS!$B$8:$H$991,3,FALSE)</f>
        <v>16000</v>
      </c>
      <c r="E71" s="24">
        <f>IF(D71&gt;=IF(MONTH($C71)=4,$C$3,IF(MONTH($C71)=5,$C$4,IF(MONTH($C71)=6,$C$5,IF(MONTH($C71)=7,$C$6,"ERROR")))),1,0)</f>
        <v>1</v>
      </c>
      <c r="F71" s="26">
        <f>VLOOKUP($C71,COS!$B$8:$H$991,7,FALSE)</f>
        <v>52.268638610839844</v>
      </c>
      <c r="G71" s="24">
        <f>IF(F71&lt;=IF(MONTH($C71)=4,$F$3,IF(MONTH($C71)=5,$F$4,IF(MONTH($C71)=6,$F$5,IF(MONTH($C71)=7,$F$6,"ERROR")))),1,0)</f>
        <v>1</v>
      </c>
      <c r="H71" s="26">
        <f>IF(J71=1,D71-$C$6,0)</f>
        <v>4000</v>
      </c>
      <c r="I71" s="26">
        <f t="shared" si="17"/>
        <v>245.95041322314049</v>
      </c>
      <c r="J71" s="24">
        <f t="shared" si="92"/>
        <v>1</v>
      </c>
      <c r="K71" s="26">
        <f>VLOOKUP($C71,COS!$B$8:$H$991,2,FALSE)</f>
        <v>3098.602294921875</v>
      </c>
      <c r="L71" s="24">
        <f t="shared" si="19"/>
        <v>1</v>
      </c>
      <c r="M71" s="24">
        <f t="shared" si="20"/>
        <v>0</v>
      </c>
      <c r="N71" s="26">
        <f>VLOOKUP($C71,COS!$B$8:$H$991,5,FALSE)</f>
        <v>724.34930419921875</v>
      </c>
      <c r="O71" s="26">
        <f t="shared" si="95"/>
        <v>44.538502671423039</v>
      </c>
      <c r="P71" s="26">
        <f>VLOOKUP($C71,COS!$B$8:$H$991,6,FALSE)</f>
        <v>2562.892822265625</v>
      </c>
      <c r="Q71" s="26">
        <f t="shared" si="96"/>
        <v>157.58613717071282</v>
      </c>
      <c r="R71" s="26">
        <f>MIN(IF(MONTH($C71)=4,$S$3,IF(MONTH($C71)=5,$S$4,IF(MONTH($C71)=6,$S$5,IF(MONTH($C71)=7,$S$6,"ERROR")))),MAX(VLOOKUP($C71,COS!$B$8:$K$991,10,FALSE)-IF(MONTH($C71)=4,$Y$3,IF(MONTH($C71)=5,$Y$4,IF(MONTH($C71)=6,$Y$5,IF(MONTH($C71)=7,$Y$6,"ERROR")))),0),MAX(VLOOKUP($C71,COS!$B$8:$K$991,9,FALSE)-IF(MONTH($C71)=4,$V$3,IF(MONTH($C71)=5,$V$4,IF(MONTH($C71)=6,$V$5,IF(MONTH($C71)=7,$V$6,"ERROR"))))-VLOOKUP($C71,COS!$B$8:$K$991,6,FALSE)/2,0))</f>
        <v>1500</v>
      </c>
      <c r="S71" s="26">
        <f t="shared" si="97"/>
        <v>92.231404958677686</v>
      </c>
      <c r="T71" s="26">
        <f t="shared" si="98"/>
        <v>193.29372487974561</v>
      </c>
      <c r="U71" s="26" t="str">
        <f>IF(VLOOKUP($C71,COS!$B$8:$I$991,8,FALSE)=1,"UWFE","IBU")</f>
        <v>IBU</v>
      </c>
      <c r="V71" s="26">
        <f t="shared" ref="V71" si="102">MIN(IF(IF($AA$3=2,AND(E71=1,G71=1,L71=1,L73=1,M71=1,U71="IBU"),AND(E71=1,G71=1,L71=1,L73=1,M71=1)),T71,0),I71)</f>
        <v>0</v>
      </c>
      <c r="W71" s="26"/>
      <c r="X71" s="26"/>
      <c r="Y71" s="26"/>
      <c r="Z71" s="26"/>
      <c r="AA71" s="26"/>
      <c r="AB71" s="33"/>
      <c r="AD71" s="43">
        <v>1979</v>
      </c>
      <c r="AE71" s="1">
        <f>VLOOKUP(AD71,Flags!$A$13:$B$95,2,FALSE)</f>
        <v>4</v>
      </c>
      <c r="AF71" s="43">
        <f t="shared" si="6"/>
        <v>34.877614927685947</v>
      </c>
      <c r="AG71" s="43">
        <f t="shared" si="7"/>
        <v>653.80688880100729</v>
      </c>
      <c r="AH71" s="43">
        <f t="shared" si="8"/>
        <v>34.877614927685947</v>
      </c>
      <c r="AI71" s="43">
        <f t="shared" si="9"/>
        <v>395.95797908057853</v>
      </c>
      <c r="AJ71" s="43">
        <f t="shared" si="10"/>
        <v>125.50075800619835</v>
      </c>
      <c r="AK71" s="43">
        <f t="shared" si="1"/>
        <v>52.522992962293387</v>
      </c>
      <c r="AL71" s="43">
        <f t="shared" si="11"/>
        <v>34.877614927685947</v>
      </c>
    </row>
    <row r="72" spans="1:38" x14ac:dyDescent="0.3">
      <c r="A72" s="32">
        <f>VLOOKUP(YEAR(C72),Flags!$A$13:$B$95,2,FALSE)</f>
        <v>2</v>
      </c>
      <c r="B72" s="24">
        <f t="shared" si="2"/>
        <v>1928</v>
      </c>
      <c r="C72" s="25">
        <v>10471</v>
      </c>
      <c r="D72" s="26"/>
      <c r="E72" s="24"/>
      <c r="F72" s="26"/>
      <c r="G72" s="24"/>
      <c r="H72" s="24"/>
      <c r="I72" s="26"/>
      <c r="J72" s="24"/>
      <c r="K72" s="26"/>
      <c r="L72" s="24"/>
      <c r="M72" s="24"/>
      <c r="N72" s="26"/>
      <c r="O72" s="26"/>
      <c r="P72" s="26"/>
      <c r="Q72" s="26"/>
      <c r="R72" s="26"/>
      <c r="S72" s="26"/>
      <c r="T72" s="26"/>
      <c r="U72" s="26"/>
      <c r="V72" s="26"/>
      <c r="W72" s="26">
        <f>MAX($C$7-VLOOKUP($C72,COS!$B$8:$H$991,3,FALSE),0)</f>
        <v>0</v>
      </c>
      <c r="X72" s="26">
        <f t="shared" si="31"/>
        <v>0</v>
      </c>
      <c r="Y72" s="26">
        <f>VLOOKUP($C72,COS!$B$8:$H$991,4,FALSE)</f>
        <v>4.0736780166625977</v>
      </c>
      <c r="Z72" s="26">
        <f t="shared" si="32"/>
        <v>0.25048069788404731</v>
      </c>
      <c r="AA72" s="26">
        <f t="shared" ref="AA72:AA76" si="103">MIN(W72,Y72)</f>
        <v>0</v>
      </c>
      <c r="AB72" s="33">
        <f t="shared" ref="AB72" si="104">AA72*DAY($C72)*86400/43560/1000*IF(MONTH($C72)=8,$P$3,IF(MONTH($C72)=9,$P$4,IF(MONTH($C72)=10,$P$5,IF(MONTH($C72)=11,$P$6,IF(MONTH($C72)=12,$P$7,NA())))))</f>
        <v>0</v>
      </c>
      <c r="AD72" s="43">
        <v>1980</v>
      </c>
      <c r="AE72" s="1">
        <f>VLOOKUP(AD72,Flags!$A$13:$B$95,2,FALSE)</f>
        <v>2</v>
      </c>
      <c r="AF72" s="43">
        <f t="shared" si="6"/>
        <v>40.083372288223138</v>
      </c>
      <c r="AG72" s="43">
        <f t="shared" si="7"/>
        <v>678.40361045648251</v>
      </c>
      <c r="AH72" s="43">
        <f t="shared" si="8"/>
        <v>0</v>
      </c>
      <c r="AI72" s="43">
        <f t="shared" si="9"/>
        <v>283.49285834194217</v>
      </c>
      <c r="AJ72" s="43">
        <f t="shared" si="10"/>
        <v>39.282558795519115</v>
      </c>
      <c r="AK72" s="43">
        <f t="shared" si="1"/>
        <v>0</v>
      </c>
      <c r="AL72" s="43">
        <f t="shared" si="11"/>
        <v>0</v>
      </c>
    </row>
    <row r="73" spans="1:38" x14ac:dyDescent="0.3">
      <c r="A73" s="32">
        <f>VLOOKUP(YEAR(C73),Flags!$A$13:$B$95,2,FALSE)</f>
        <v>2</v>
      </c>
      <c r="B73" s="24">
        <f t="shared" si="2"/>
        <v>1928</v>
      </c>
      <c r="C73" s="25">
        <v>10501</v>
      </c>
      <c r="D73" s="26"/>
      <c r="E73" s="24"/>
      <c r="F73" s="26"/>
      <c r="G73" s="24"/>
      <c r="H73" s="24"/>
      <c r="I73" s="26"/>
      <c r="J73" s="24"/>
      <c r="K73" s="26">
        <f>VLOOKUP($C73,COS!$B$8:$H$991,2,FALSE)</f>
        <v>2247.118896484375</v>
      </c>
      <c r="L73" s="24">
        <f t="shared" ref="L73" si="105">IF(AND(K73&gt;$I$7,K73&lt;$I$8),1,0)</f>
        <v>1</v>
      </c>
      <c r="M73" s="24"/>
      <c r="N73" s="26"/>
      <c r="O73" s="26"/>
      <c r="P73" s="26"/>
      <c r="Q73" s="26"/>
      <c r="R73" s="26"/>
      <c r="S73" s="26"/>
      <c r="T73" s="26"/>
      <c r="U73" s="26"/>
      <c r="V73" s="26"/>
      <c r="W73" s="26">
        <f>MAX($C$8-VLOOKUP($C73,COS!$B$8:$H$991,3,FALSE),0)</f>
        <v>0</v>
      </c>
      <c r="X73" s="26">
        <f t="shared" si="31"/>
        <v>0</v>
      </c>
      <c r="Y73" s="26">
        <f>VLOOKUP($C73,COS!$B$8:$H$991,4,FALSE)</f>
        <v>0</v>
      </c>
      <c r="Z73" s="26">
        <f t="shared" si="32"/>
        <v>0</v>
      </c>
      <c r="AA73" s="26">
        <f t="shared" si="103"/>
        <v>0</v>
      </c>
      <c r="AB73" s="33">
        <f t="shared" si="34"/>
        <v>0</v>
      </c>
      <c r="AD73" s="43">
        <v>1981</v>
      </c>
      <c r="AE73" s="1">
        <f>VLOOKUP(AD73,Flags!$A$13:$B$95,2,FALSE)</f>
        <v>4</v>
      </c>
      <c r="AF73" s="43">
        <f t="shared" si="6"/>
        <v>591.60021791064048</v>
      </c>
      <c r="AG73" s="43">
        <f t="shared" si="7"/>
        <v>674.76521393578901</v>
      </c>
      <c r="AH73" s="43">
        <f t="shared" si="8"/>
        <v>493.14746985569474</v>
      </c>
      <c r="AI73" s="43">
        <f t="shared" si="9"/>
        <v>328.22428057205582</v>
      </c>
      <c r="AJ73" s="43">
        <f t="shared" si="10"/>
        <v>328.53171665160124</v>
      </c>
      <c r="AK73" s="43">
        <f t="shared" si="1"/>
        <v>310.97147606211257</v>
      </c>
      <c r="AL73" s="43">
        <f t="shared" si="11"/>
        <v>310.97147606211257</v>
      </c>
    </row>
    <row r="74" spans="1:38" x14ac:dyDescent="0.3">
      <c r="A74" s="32">
        <f>VLOOKUP(YEAR(C74),Flags!$A$13:$B$95,2,FALSE)</f>
        <v>2</v>
      </c>
      <c r="B74" s="24">
        <f t="shared" si="2"/>
        <v>1928</v>
      </c>
      <c r="C74" s="25">
        <v>10532</v>
      </c>
      <c r="D74" s="26"/>
      <c r="E74" s="24"/>
      <c r="F74" s="26"/>
      <c r="G74" s="26"/>
      <c r="H74" s="26"/>
      <c r="I74" s="26"/>
      <c r="J74" s="26"/>
      <c r="K74" s="26"/>
      <c r="L74" s="24"/>
      <c r="M74" s="24"/>
      <c r="N74" s="26"/>
      <c r="O74" s="26"/>
      <c r="P74" s="26"/>
      <c r="Q74" s="26"/>
      <c r="R74" s="26"/>
      <c r="S74" s="26"/>
      <c r="T74" s="26"/>
      <c r="U74" s="26"/>
      <c r="V74" s="26"/>
      <c r="W74" s="26">
        <f>MAX($C$9-VLOOKUP($C74,COS!$B$8:$H$991,3,FALSE),0)</f>
        <v>0</v>
      </c>
      <c r="X74" s="26">
        <f t="shared" si="31"/>
        <v>0</v>
      </c>
      <c r="Y74" s="26">
        <f>VLOOKUP($C74,COS!$B$8:$H$991,4,FALSE)</f>
        <v>828.01947021484375</v>
      </c>
      <c r="Z74" s="26">
        <f t="shared" si="32"/>
        <v>50.912932714036671</v>
      </c>
      <c r="AA74" s="26">
        <f t="shared" si="103"/>
        <v>0</v>
      </c>
      <c r="AB74" s="33">
        <f t="shared" si="34"/>
        <v>0</v>
      </c>
      <c r="AD74" s="43">
        <v>1982</v>
      </c>
      <c r="AE74" s="1">
        <f>VLOOKUP(AD74,Flags!$A$13:$B$95,2,FALSE)</f>
        <v>1</v>
      </c>
      <c r="AF74" s="43">
        <f t="shared" si="6"/>
        <v>1125.442561983471</v>
      </c>
      <c r="AG74" s="43">
        <f t="shared" si="7"/>
        <v>640.36909747667551</v>
      </c>
      <c r="AH74" s="43">
        <f t="shared" si="8"/>
        <v>0</v>
      </c>
      <c r="AI74" s="43">
        <f t="shared" si="9"/>
        <v>170.44705901342974</v>
      </c>
      <c r="AJ74" s="43">
        <f t="shared" si="10"/>
        <v>0</v>
      </c>
      <c r="AK74" s="43">
        <f t="shared" si="1"/>
        <v>0</v>
      </c>
      <c r="AL74" s="43">
        <f t="shared" si="11"/>
        <v>0</v>
      </c>
    </row>
    <row r="75" spans="1:38" x14ac:dyDescent="0.3">
      <c r="A75" s="32">
        <f>VLOOKUP(YEAR(C75),Flags!$A$13:$B$95,2,FALSE)</f>
        <v>2</v>
      </c>
      <c r="B75" s="24">
        <f t="shared" si="2"/>
        <v>1928</v>
      </c>
      <c r="C75" s="25">
        <v>10562</v>
      </c>
      <c r="D75" s="26"/>
      <c r="E75" s="24"/>
      <c r="F75" s="26"/>
      <c r="G75" s="26"/>
      <c r="H75" s="26"/>
      <c r="I75" s="26"/>
      <c r="J75" s="26"/>
      <c r="K75" s="26"/>
      <c r="L75" s="24"/>
      <c r="M75" s="24"/>
      <c r="N75" s="26"/>
      <c r="O75" s="26"/>
      <c r="P75" s="26"/>
      <c r="Q75" s="26"/>
      <c r="R75" s="26"/>
      <c r="S75" s="26"/>
      <c r="T75" s="26"/>
      <c r="U75" s="26"/>
      <c r="V75" s="26"/>
      <c r="W75" s="26">
        <f>MAX($C$10-VLOOKUP($C75,COS!$B$8:$H$991,3,FALSE),0)</f>
        <v>0</v>
      </c>
      <c r="X75" s="26">
        <f t="shared" si="31"/>
        <v>0</v>
      </c>
      <c r="Y75" s="26">
        <f>VLOOKUP($C75,COS!$B$8:$H$991,4,FALSE)</f>
        <v>1034.00048828125</v>
      </c>
      <c r="Z75" s="26">
        <f t="shared" si="32"/>
        <v>61.527301782024793</v>
      </c>
      <c r="AA75" s="26">
        <f t="shared" si="103"/>
        <v>0</v>
      </c>
      <c r="AB75" s="33">
        <f t="shared" si="34"/>
        <v>0</v>
      </c>
      <c r="AD75" s="43">
        <v>1983</v>
      </c>
      <c r="AE75" s="1">
        <f>VLOOKUP(AD75,Flags!$A$13:$B$95,2,FALSE)</f>
        <v>1</v>
      </c>
      <c r="AF75" s="43">
        <f t="shared" si="6"/>
        <v>1379.8435440340911</v>
      </c>
      <c r="AG75" s="43">
        <f t="shared" si="7"/>
        <v>680.26086035610228</v>
      </c>
      <c r="AH75" s="43">
        <f t="shared" si="8"/>
        <v>0</v>
      </c>
      <c r="AI75" s="43">
        <f t="shared" si="9"/>
        <v>0</v>
      </c>
      <c r="AJ75" s="43">
        <f t="shared" si="10"/>
        <v>19.84101265899406</v>
      </c>
      <c r="AK75" s="43">
        <f t="shared" si="1"/>
        <v>0</v>
      </c>
      <c r="AL75" s="43">
        <f t="shared" si="11"/>
        <v>0</v>
      </c>
    </row>
    <row r="76" spans="1:38" x14ac:dyDescent="0.3">
      <c r="A76" s="34">
        <f>VLOOKUP(YEAR(C76),Flags!$A$13:$B$95,2,FALSE)</f>
        <v>2</v>
      </c>
      <c r="B76" s="35">
        <f t="shared" si="2"/>
        <v>1928</v>
      </c>
      <c r="C76" s="36">
        <v>10593</v>
      </c>
      <c r="D76" s="37"/>
      <c r="E76" s="35"/>
      <c r="F76" s="37"/>
      <c r="G76" s="37"/>
      <c r="H76" s="37"/>
      <c r="I76" s="37"/>
      <c r="J76" s="37"/>
      <c r="K76" s="37"/>
      <c r="L76" s="35"/>
      <c r="M76" s="35"/>
      <c r="N76" s="37"/>
      <c r="O76" s="37"/>
      <c r="P76" s="37"/>
      <c r="Q76" s="37"/>
      <c r="R76" s="37"/>
      <c r="S76" s="37"/>
      <c r="T76" s="37"/>
      <c r="U76" s="37"/>
      <c r="V76" s="37"/>
      <c r="W76" s="37">
        <f>MAX($C$11-VLOOKUP($C76,COS!$B$8:$H$991,3,FALSE),0)</f>
        <v>1750</v>
      </c>
      <c r="X76" s="37">
        <f t="shared" si="31"/>
        <v>107.60330578512398</v>
      </c>
      <c r="Y76" s="37">
        <f>VLOOKUP($C76,COS!$B$8:$H$991,4,FALSE)</f>
        <v>0</v>
      </c>
      <c r="Z76" s="37">
        <f t="shared" si="32"/>
        <v>0</v>
      </c>
      <c r="AA76" s="37">
        <f t="shared" si="103"/>
        <v>0</v>
      </c>
      <c r="AB76" s="38">
        <f t="shared" si="34"/>
        <v>0</v>
      </c>
      <c r="AD76" s="43">
        <v>1984</v>
      </c>
      <c r="AE76" s="1">
        <f>VLOOKUP(AD76,Flags!$A$13:$B$95,2,FALSE)</f>
        <v>1</v>
      </c>
      <c r="AF76" s="43">
        <f t="shared" si="6"/>
        <v>407.10620706353302</v>
      </c>
      <c r="AG76" s="43">
        <f t="shared" si="7"/>
        <v>692.32239814695242</v>
      </c>
      <c r="AH76" s="43">
        <f t="shared" si="8"/>
        <v>0</v>
      </c>
      <c r="AI76" s="43">
        <f t="shared" si="9"/>
        <v>420.32304429235535</v>
      </c>
      <c r="AJ76" s="43">
        <f t="shared" si="10"/>
        <v>71.716279014398239</v>
      </c>
      <c r="AK76" s="43">
        <f t="shared" si="1"/>
        <v>0</v>
      </c>
      <c r="AL76" s="43">
        <f t="shared" si="11"/>
        <v>0</v>
      </c>
    </row>
    <row r="77" spans="1:38" x14ac:dyDescent="0.3">
      <c r="A77" s="27">
        <f>VLOOKUP(YEAR(C77),Flags!$A$13:$B$95,2,FALSE)</f>
        <v>5</v>
      </c>
      <c r="B77" s="28">
        <f t="shared" si="2"/>
        <v>1929</v>
      </c>
      <c r="C77" s="29">
        <v>10713</v>
      </c>
      <c r="D77" s="30">
        <f>VLOOKUP($C77,COS!$B$8:$H$991,3,FALSE)</f>
        <v>3250</v>
      </c>
      <c r="E77" s="28">
        <f>IF(D77&gt;=IF(MONTH($C77)=4,$C$3,IF(MONTH($C77)=5,$C$4,IF(MONTH($C77)=6,$C$5,IF(MONTH($C77)=7,$C$6,"ERROR")))),1,0)</f>
        <v>0</v>
      </c>
      <c r="F77" s="30">
        <f>VLOOKUP($C77,COS!$B$8:$H$991,7,FALSE)</f>
        <v>51.192344665527344</v>
      </c>
      <c r="G77" s="28">
        <f>IF(F77&lt;=IF(MONTH($C77)=4,$F$3,IF(MONTH($C77)=5,$F$4,IF(MONTH($C77)=6,$F$5,IF(MONTH($C77)=7,$F$6,"ERROR")))),1,0)</f>
        <v>1</v>
      </c>
      <c r="H77" s="30">
        <f>IF(J77=1,D77-$C$3,0)</f>
        <v>0</v>
      </c>
      <c r="I77" s="30">
        <f t="shared" si="17"/>
        <v>0</v>
      </c>
      <c r="J77" s="28">
        <f t="shared" ref="J77:J80" si="106">IF(AND(E77=1,G77=1),1,0)</f>
        <v>0</v>
      </c>
      <c r="K77" s="30">
        <f>VLOOKUP($C77,COS!$B$8:$H$991,2,FALSE)</f>
        <v>2771.09326171875</v>
      </c>
      <c r="L77" s="28">
        <f t="shared" ref="L77" si="107">IF(K77&lt;=IF(MONTH($C77)=4,$I$3,IF(MONTH($C77)=5,$I$4,IF(MONTH($C77)=6,$I$5,IF(MONTH($C77)=7,$I$6,"ERROR")))),1,0)</f>
        <v>1</v>
      </c>
      <c r="M77" s="28">
        <f t="shared" ref="M77" si="108">VLOOKUP($A77,$L$3:$M$7,2,FALSE)</f>
        <v>1</v>
      </c>
      <c r="N77" s="30">
        <f>VLOOKUP($C77,COS!$B$8:$H$991,5,FALSE)</f>
        <v>223.38325500488281</v>
      </c>
      <c r="O77" s="30">
        <f t="shared" ref="O77:O80" si="109">N77*DAY($C77)*86400/43560/1000</f>
        <v>13.292226744092201</v>
      </c>
      <c r="P77" s="30">
        <f>VLOOKUP($C77,COS!$B$8:$H$991,6,FALSE)</f>
        <v>516.50811767578125</v>
      </c>
      <c r="Q77" s="30">
        <f t="shared" ref="Q77:Q80" si="110">P77*DAY($C77)*86400/43560/1000</f>
        <v>30.734367332773761</v>
      </c>
      <c r="R77" s="30">
        <f>MIN(IF(MONTH($C77)=4,$S$3,IF(MONTH($C77)=5,$S$4,IF(MONTH($C77)=6,$S$5,IF(MONTH($C77)=7,$S$6,"ERROR")))),MAX(VLOOKUP($C77,COS!$B$8:$K$991,10,FALSE)-IF(MONTH($C77)=4,$Y$3,IF(MONTH($C77)=5,$Y$4,IF(MONTH($C77)=6,$Y$5,IF(MONTH($C77)=7,$Y$6,"ERROR")))),0),MAX(VLOOKUP($C77,COS!$B$8:$K$991,9,FALSE)-IF(MONTH($C77)=4,$V$3,IF(MONTH($C77)=5,$V$4,IF(MONTH($C77)=6,$V$5,IF(MONTH($C77)=7,$V$6,"ERROR"))))-VLOOKUP($C77,COS!$B$8:$K$991,6,FALSE)/2,0))</f>
        <v>785.21630859375</v>
      </c>
      <c r="S77" s="30">
        <f t="shared" ref="S77:S80" si="111">R77*DAY($C77)*86400/43560/1000</f>
        <v>46.723615056818183</v>
      </c>
      <c r="T77" s="30">
        <f t="shared" ref="T77:T80" si="112">(O77+Q77)/2+S77</f>
        <v>68.736912095251171</v>
      </c>
      <c r="U77" s="30" t="str">
        <f>IF(VLOOKUP($C77,COS!$B$8:$I$991,8,FALSE)=1,"UWFE","IBU")</f>
        <v>UWFE</v>
      </c>
      <c r="V77" s="30">
        <f t="shared" ref="V77" si="113">MIN(IF(IF($AA$3=2,AND(E77=1,G77=1,L77=1,L82=1,M77=1,U77="IBU"),AND(E77=1,G77=1,L77=1,L82=1,M77=1)),T77,0),I77)</f>
        <v>0</v>
      </c>
      <c r="W77" s="30"/>
      <c r="X77" s="30"/>
      <c r="Y77" s="30"/>
      <c r="Z77" s="30"/>
      <c r="AA77" s="30"/>
      <c r="AB77" s="31"/>
      <c r="AD77" s="43">
        <v>1985</v>
      </c>
      <c r="AE77" s="1">
        <f>VLOOKUP(AD77,Flags!$A$13:$B$95,2,FALSE)</f>
        <v>3</v>
      </c>
      <c r="AF77" s="43">
        <f t="shared" si="6"/>
        <v>489.51717361828509</v>
      </c>
      <c r="AG77" s="43">
        <f t="shared" si="7"/>
        <v>656.34193189888947</v>
      </c>
      <c r="AH77" s="43">
        <f t="shared" si="8"/>
        <v>0</v>
      </c>
      <c r="AI77" s="43">
        <f t="shared" si="9"/>
        <v>238.52757683367773</v>
      </c>
      <c r="AJ77" s="43">
        <f t="shared" si="10"/>
        <v>253.37745220089744</v>
      </c>
      <c r="AK77" s="43">
        <f t="shared" si="1"/>
        <v>64.861451829642306</v>
      </c>
      <c r="AL77" s="43">
        <f t="shared" si="11"/>
        <v>0</v>
      </c>
    </row>
    <row r="78" spans="1:38" x14ac:dyDescent="0.3">
      <c r="A78" s="32">
        <f>VLOOKUP(YEAR(C78),Flags!$A$13:$B$95,2,FALSE)</f>
        <v>5</v>
      </c>
      <c r="B78" s="24">
        <f t="shared" si="2"/>
        <v>1929</v>
      </c>
      <c r="C78" s="25">
        <v>10744</v>
      </c>
      <c r="D78" s="26">
        <f>VLOOKUP($C78,COS!$B$8:$H$991,3,FALSE)</f>
        <v>8080.45556640625</v>
      </c>
      <c r="E78" s="24">
        <f>IF(D78&gt;=IF(MONTH($C78)=4,$C$3,IF(MONTH($C78)=5,$C$4,IF(MONTH($C78)=6,$C$5,IF(MONTH($C78)=7,$C$6,"ERROR")))),1,0)</f>
        <v>1</v>
      </c>
      <c r="F78" s="26">
        <f>VLOOKUP($C78,COS!$B$8:$H$991,7,FALSE)</f>
        <v>51.678050994873047</v>
      </c>
      <c r="G78" s="24">
        <f>IF(F78&lt;=IF(MONTH($C78)=4,$F$3,IF(MONTH($C78)=5,$F$4,IF(MONTH($C78)=6,$F$5,IF(MONTH($C78)=7,$F$6,"ERROR")))),1,0)</f>
        <v>1</v>
      </c>
      <c r="H78" s="26">
        <f>IF(J78=1,D78-$C$4,0)</f>
        <v>2080.45556640625</v>
      </c>
      <c r="I78" s="26">
        <f t="shared" si="17"/>
        <v>127.9222265625</v>
      </c>
      <c r="J78" s="24">
        <f t="shared" si="106"/>
        <v>1</v>
      </c>
      <c r="K78" s="26">
        <f>VLOOKUP($C78,COS!$B$8:$H$991,2,FALSE)</f>
        <v>2547.78955078125</v>
      </c>
      <c r="L78" s="24">
        <f t="shared" si="19"/>
        <v>1</v>
      </c>
      <c r="M78" s="24">
        <f t="shared" si="20"/>
        <v>1</v>
      </c>
      <c r="N78" s="26">
        <f>VLOOKUP($C78,COS!$B$8:$H$991,5,FALSE)</f>
        <v>306.94467163085938</v>
      </c>
      <c r="O78" s="26">
        <f t="shared" si="109"/>
        <v>18.873292206062757</v>
      </c>
      <c r="P78" s="26">
        <f>VLOOKUP($C78,COS!$B$8:$H$991,6,FALSE)</f>
        <v>2370.671630859375</v>
      </c>
      <c r="Q78" s="26">
        <f t="shared" si="110"/>
        <v>145.76691680655992</v>
      </c>
      <c r="R78" s="26">
        <f>MIN(IF(MONTH($C78)=4,$S$3,IF(MONTH($C78)=5,$S$4,IF(MONTH($C78)=6,$S$5,IF(MONTH($C78)=7,$S$6,"ERROR")))),MAX(VLOOKUP($C78,COS!$B$8:$K$991,10,FALSE)-IF(MONTH($C78)=4,$Y$3,IF(MONTH($C78)=5,$Y$4,IF(MONTH($C78)=6,$Y$5,IF(MONTH($C78)=7,$Y$6,"ERROR")))),0),MAX(VLOOKUP($C78,COS!$B$8:$K$991,9,FALSE)-IF(MONTH($C78)=4,$V$3,IF(MONTH($C78)=5,$V$4,IF(MONTH($C78)=6,$V$5,IF(MONTH($C78)=7,$V$6,"ERROR"))))-VLOOKUP($C78,COS!$B$8:$K$991,6,FALSE)/2,0))</f>
        <v>1500</v>
      </c>
      <c r="S78" s="26">
        <f t="shared" si="111"/>
        <v>92.231404958677686</v>
      </c>
      <c r="T78" s="26">
        <f t="shared" si="112"/>
        <v>174.55150946498901</v>
      </c>
      <c r="U78" s="26" t="str">
        <f>IF(VLOOKUP($C78,COS!$B$8:$I$991,8,FALSE)=1,"UWFE","IBU")</f>
        <v>IBU</v>
      </c>
      <c r="V78" s="26">
        <f t="shared" ref="V78" si="114">MIN(IF(IF($AA$3=2,AND(E78=1,G78=1,L78=1,L82=1,M78=1,U78="IBU"),AND(E78=1,G78=1,L78=1,L82=1,M78=1)),T78,0),I78)</f>
        <v>0</v>
      </c>
      <c r="W78" s="26"/>
      <c r="X78" s="26"/>
      <c r="Y78" s="26"/>
      <c r="Z78" s="26"/>
      <c r="AA78" s="26"/>
      <c r="AB78" s="33"/>
      <c r="AD78" s="44">
        <v>1986</v>
      </c>
      <c r="AE78" s="45">
        <f>VLOOKUP(AD78,Flags!$A$13:$B$95,2,FALSE)</f>
        <v>1</v>
      </c>
      <c r="AF78" s="44">
        <f t="shared" si="6"/>
        <v>63.803206030475209</v>
      </c>
      <c r="AG78" s="44">
        <f t="shared" si="7"/>
        <v>643.07545471695823</v>
      </c>
      <c r="AH78" s="44">
        <f t="shared" si="8"/>
        <v>0</v>
      </c>
      <c r="AI78" s="44">
        <f t="shared" si="9"/>
        <v>211.19508587293387</v>
      </c>
      <c r="AJ78" s="44">
        <f t="shared" si="10"/>
        <v>288.06291219411798</v>
      </c>
      <c r="AK78" s="44">
        <f t="shared" ref="AK78:AK94" si="115">SUMIF($B$14:$B$742,$AD78,$AB$14:$AB$742)</f>
        <v>51.076242272243029</v>
      </c>
      <c r="AL78" s="44">
        <f t="shared" si="11"/>
        <v>0</v>
      </c>
    </row>
    <row r="79" spans="1:38" x14ac:dyDescent="0.3">
      <c r="A79" s="32">
        <f>VLOOKUP(YEAR(C79),Flags!$A$13:$B$95,2,FALSE)</f>
        <v>5</v>
      </c>
      <c r="B79" s="24">
        <f t="shared" ref="B79:B142" si="116">YEAR(C79)</f>
        <v>1929</v>
      </c>
      <c r="C79" s="25">
        <v>10774</v>
      </c>
      <c r="D79" s="26">
        <f>VLOOKUP($C79,COS!$B$8:$H$991,3,FALSE)</f>
        <v>8416.89453125</v>
      </c>
      <c r="E79" s="24">
        <f>IF(D79&gt;=IF(MONTH($C79)=4,$C$3,IF(MONTH($C79)=5,$C$4,IF(MONTH($C79)=6,$C$5,IF(MONTH($C79)=7,$C$6,"ERROR")))),1,0)</f>
        <v>0</v>
      </c>
      <c r="F79" s="26">
        <f>VLOOKUP($C79,COS!$B$8:$H$991,7,FALSE)</f>
        <v>54.286209106445313</v>
      </c>
      <c r="G79" s="24">
        <f>IF(F79&lt;=IF(MONTH($C79)=4,$F$3,IF(MONTH($C79)=5,$F$4,IF(MONTH($C79)=6,$F$5,IF(MONTH($C79)=7,$F$6,"ERROR")))),1,0)</f>
        <v>1</v>
      </c>
      <c r="H79" s="26">
        <f>IF(J79=1,D79-$C$5,0)</f>
        <v>0</v>
      </c>
      <c r="I79" s="26">
        <f t="shared" si="17"/>
        <v>0</v>
      </c>
      <c r="J79" s="24">
        <f t="shared" si="106"/>
        <v>0</v>
      </c>
      <c r="K79" s="26">
        <f>VLOOKUP($C79,COS!$B$8:$H$991,2,FALSE)</f>
        <v>2247.309814453125</v>
      </c>
      <c r="L79" s="24">
        <f t="shared" si="19"/>
        <v>1</v>
      </c>
      <c r="M79" s="24">
        <f t="shared" si="20"/>
        <v>1</v>
      </c>
      <c r="N79" s="26">
        <f>VLOOKUP($C79,COS!$B$8:$H$991,5,FALSE)</f>
        <v>280.00125122070313</v>
      </c>
      <c r="O79" s="26">
        <f t="shared" si="109"/>
        <v>16.661231477595557</v>
      </c>
      <c r="P79" s="26">
        <f>VLOOKUP($C79,COS!$B$8:$H$991,6,FALSE)</f>
        <v>2189.392578125</v>
      </c>
      <c r="Q79" s="26">
        <f t="shared" si="110"/>
        <v>130.27790547520661</v>
      </c>
      <c r="R79" s="26">
        <f>MIN(IF(MONTH($C79)=4,$S$3,IF(MONTH($C79)=5,$S$4,IF(MONTH($C79)=6,$S$5,IF(MONTH($C79)=7,$S$6,"ERROR")))),MAX(VLOOKUP($C79,COS!$B$8:$K$991,10,FALSE)-IF(MONTH($C79)=4,$Y$3,IF(MONTH($C79)=5,$Y$4,IF(MONTH($C79)=6,$Y$5,IF(MONTH($C79)=7,$Y$6,"ERROR")))),0),MAX(VLOOKUP($C79,COS!$B$8:$K$991,9,FALSE)-IF(MONTH($C79)=4,$V$3,IF(MONTH($C79)=5,$V$4,IF(MONTH($C79)=6,$V$5,IF(MONTH($C79)=7,$V$6,"ERROR"))))-VLOOKUP($C79,COS!$B$8:$K$991,6,FALSE)/2,0))</f>
        <v>1500</v>
      </c>
      <c r="S79" s="26">
        <f t="shared" si="111"/>
        <v>89.256198347107429</v>
      </c>
      <c r="T79" s="26">
        <f t="shared" si="112"/>
        <v>162.72576682350851</v>
      </c>
      <c r="U79" s="26" t="str">
        <f>IF(VLOOKUP($C79,COS!$B$8:$I$991,8,FALSE)=1,"UWFE","IBU")</f>
        <v>IBU</v>
      </c>
      <c r="V79" s="26">
        <f t="shared" ref="V79" si="117">MIN(IF(IF($AA$3=2,AND(E79=1,G79=1,L79=1,L82=1,M79=1,U79="IBU"),AND(E79=1,G79=1,L79=1,L82=1,M79=1)),T79,0),I79)</f>
        <v>0</v>
      </c>
      <c r="W79" s="26"/>
      <c r="X79" s="26"/>
      <c r="Y79" s="26"/>
      <c r="Z79" s="26"/>
      <c r="AA79" s="26"/>
      <c r="AB79" s="33"/>
      <c r="AD79" s="44">
        <v>1987</v>
      </c>
      <c r="AE79" s="45">
        <f>VLOOKUP(AD79,Flags!$A$13:$B$95,2,FALSE)</f>
        <v>4</v>
      </c>
      <c r="AF79" s="44">
        <f t="shared" ref="AF79:AF94" si="118">SUMIF($B$14:$B$742,$AD79,$I$14:$I$742)</f>
        <v>384.23917097107437</v>
      </c>
      <c r="AG79" s="44">
        <f t="shared" ref="AG79:AG94" si="119">SUMIF($B$14:$B$742,$AD79,$T$14:$T$742)</f>
        <v>639.51027884995642</v>
      </c>
      <c r="AH79" s="44">
        <f t="shared" ref="AH79:AH94" si="120">SUMIF($B$14:$B$742,$AD79,$V$14:$V$742)</f>
        <v>345.5484845475126</v>
      </c>
      <c r="AI79" s="44">
        <f t="shared" ref="AI79:AI94" si="121">SUMIF($B$14:$B$742,$AD79,$X$14:$X$742)</f>
        <v>465.54790095557848</v>
      </c>
      <c r="AJ79" s="44">
        <f t="shared" ref="AJ79:AJ94" si="122">SUMIF($B$14:$B$742,$AD79,$Z$14:$Z$742)</f>
        <v>559.00714303008783</v>
      </c>
      <c r="AK79" s="44">
        <f t="shared" si="115"/>
        <v>320.19282049005682</v>
      </c>
      <c r="AL79" s="44">
        <f t="shared" ref="AL79:AL94" si="123">MIN(AH79,AK79)</f>
        <v>320.19282049005682</v>
      </c>
    </row>
    <row r="80" spans="1:38" x14ac:dyDescent="0.3">
      <c r="A80" s="32">
        <f>VLOOKUP(YEAR(C80),Flags!$A$13:$B$95,2,FALSE)</f>
        <v>5</v>
      </c>
      <c r="B80" s="24">
        <f t="shared" si="116"/>
        <v>1929</v>
      </c>
      <c r="C80" s="25">
        <v>10805</v>
      </c>
      <c r="D80" s="26">
        <f>VLOOKUP($C80,COS!$B$8:$H$991,3,FALSE)</f>
        <v>12141.1708984375</v>
      </c>
      <c r="E80" s="24">
        <f>IF(D80&gt;=IF(MONTH($C80)=4,$C$3,IF(MONTH($C80)=5,$C$4,IF(MONTH($C80)=6,$C$5,IF(MONTH($C80)=7,$C$6,"ERROR")))),1,0)</f>
        <v>1</v>
      </c>
      <c r="F80" s="26">
        <f>VLOOKUP($C80,COS!$B$8:$H$991,7,FALSE)</f>
        <v>55.623313903808594</v>
      </c>
      <c r="G80" s="24">
        <f>IF(F80&lt;=IF(MONTH($C80)=4,$F$3,IF(MONTH($C80)=5,$F$4,IF(MONTH($C80)=6,$F$5,IF(MONTH($C80)=7,$F$6,"ERROR")))),1,0)</f>
        <v>0</v>
      </c>
      <c r="H80" s="26">
        <f>IF(J80=1,D80-$C$6,0)</f>
        <v>0</v>
      </c>
      <c r="I80" s="26">
        <f t="shared" si="17"/>
        <v>0</v>
      </c>
      <c r="J80" s="24">
        <f t="shared" si="106"/>
        <v>0</v>
      </c>
      <c r="K80" s="26">
        <f>VLOOKUP($C80,COS!$B$8:$H$991,2,FALSE)</f>
        <v>1718.207763671875</v>
      </c>
      <c r="L80" s="24">
        <f t="shared" si="19"/>
        <v>1</v>
      </c>
      <c r="M80" s="24">
        <f t="shared" si="20"/>
        <v>1</v>
      </c>
      <c r="N80" s="26">
        <f>VLOOKUP($C80,COS!$B$8:$H$991,5,FALSE)</f>
        <v>382.06051635742188</v>
      </c>
      <c r="O80" s="26">
        <f t="shared" si="109"/>
        <v>23.491985468588584</v>
      </c>
      <c r="P80" s="26">
        <f>VLOOKUP($C80,COS!$B$8:$H$991,6,FALSE)</f>
        <v>2281.4833984375</v>
      </c>
      <c r="Q80" s="26">
        <f t="shared" si="110"/>
        <v>140.28294615185951</v>
      </c>
      <c r="R80" s="26">
        <f>MIN(IF(MONTH($C80)=4,$S$3,IF(MONTH($C80)=5,$S$4,IF(MONTH($C80)=6,$S$5,IF(MONTH($C80)=7,$S$6,"ERROR")))),MAX(VLOOKUP($C80,COS!$B$8:$K$991,10,FALSE)-IF(MONTH($C80)=4,$Y$3,IF(MONTH($C80)=5,$Y$4,IF(MONTH($C80)=6,$Y$5,IF(MONTH($C80)=7,$Y$6,"ERROR")))),0),MAX(VLOOKUP($C80,COS!$B$8:$K$991,9,FALSE)-IF(MONTH($C80)=4,$V$3,IF(MONTH($C80)=5,$V$4,IF(MONTH($C80)=6,$V$5,IF(MONTH($C80)=7,$V$6,"ERROR"))))-VLOOKUP($C80,COS!$B$8:$K$991,6,FALSE)/2,0))</f>
        <v>1500</v>
      </c>
      <c r="S80" s="26">
        <f t="shared" si="111"/>
        <v>92.231404958677686</v>
      </c>
      <c r="T80" s="26">
        <f t="shared" si="112"/>
        <v>174.11887076890173</v>
      </c>
      <c r="U80" s="26" t="str">
        <f>IF(VLOOKUP($C80,COS!$B$8:$I$991,8,FALSE)=1,"UWFE","IBU")</f>
        <v>IBU</v>
      </c>
      <c r="V80" s="26">
        <f t="shared" ref="V80" si="124">MIN(IF(IF($AA$3=2,AND(E80=1,G80=1,L80=1,L82=1,M80=1,U80="IBU"),AND(E80=1,G80=1,L80=1,L82=1,M80=1)),T80,0),I80)</f>
        <v>0</v>
      </c>
      <c r="W80" s="26"/>
      <c r="X80" s="26"/>
      <c r="Y80" s="26"/>
      <c r="Z80" s="26"/>
      <c r="AA80" s="26"/>
      <c r="AB80" s="33"/>
      <c r="AD80" s="44">
        <v>1988</v>
      </c>
      <c r="AE80" s="45">
        <f>VLOOKUP(AD80,Flags!$A$13:$B$95,2,FALSE)</f>
        <v>5</v>
      </c>
      <c r="AF80" s="44">
        <f t="shared" si="118"/>
        <v>110.63555559142561</v>
      </c>
      <c r="AG80" s="44">
        <f t="shared" si="119"/>
        <v>562.63756641230316</v>
      </c>
      <c r="AH80" s="44">
        <f t="shared" si="120"/>
        <v>110.63555559142561</v>
      </c>
      <c r="AI80" s="44">
        <f t="shared" si="121"/>
        <v>489.78319021177685</v>
      </c>
      <c r="AJ80" s="44">
        <f t="shared" si="122"/>
        <v>534.81629519628098</v>
      </c>
      <c r="AK80" s="44">
        <f t="shared" si="115"/>
        <v>319.80551459194214</v>
      </c>
      <c r="AL80" s="44">
        <f t="shared" si="123"/>
        <v>110.63555559142561</v>
      </c>
    </row>
    <row r="81" spans="1:38" x14ac:dyDescent="0.3">
      <c r="A81" s="32">
        <f>VLOOKUP(YEAR(C81),Flags!$A$13:$B$95,2,FALSE)</f>
        <v>5</v>
      </c>
      <c r="B81" s="24">
        <f t="shared" si="116"/>
        <v>1929</v>
      </c>
      <c r="C81" s="25">
        <v>10836</v>
      </c>
      <c r="D81" s="26"/>
      <c r="E81" s="24"/>
      <c r="F81" s="26"/>
      <c r="G81" s="24"/>
      <c r="H81" s="24"/>
      <c r="I81" s="26"/>
      <c r="J81" s="24"/>
      <c r="K81" s="26"/>
      <c r="L81" s="24"/>
      <c r="M81" s="24"/>
      <c r="N81" s="26"/>
      <c r="O81" s="26"/>
      <c r="P81" s="26"/>
      <c r="Q81" s="26"/>
      <c r="R81" s="26"/>
      <c r="S81" s="26"/>
      <c r="T81" s="26"/>
      <c r="U81" s="26"/>
      <c r="V81" s="26"/>
      <c r="W81" s="26">
        <f>MAX($C$7-VLOOKUP($C81,COS!$B$8:$H$991,3,FALSE),0)</f>
        <v>4113.06689453125</v>
      </c>
      <c r="X81" s="26">
        <f t="shared" si="31"/>
        <v>252.90262558109507</v>
      </c>
      <c r="Y81" s="26">
        <f>VLOOKUP($C81,COS!$B$8:$H$991,4,FALSE)</f>
        <v>2623.390625</v>
      </c>
      <c r="Z81" s="26">
        <f t="shared" si="32"/>
        <v>161.3060020661157</v>
      </c>
      <c r="AA81" s="26">
        <f t="shared" ref="AA81:AA85" si="125">MIN(W81,Y81)</f>
        <v>2623.390625</v>
      </c>
      <c r="AB81" s="33">
        <f t="shared" ref="AB81" si="126">AA81*DAY($C81)*86400/43560/1000*IF(MONTH($C81)=8,$P$3,IF(MONTH($C81)=9,$P$4,IF(MONTH($C81)=10,$P$5,IF(MONTH($C81)=11,$P$6,IF(MONTH($C81)=12,$P$7,NA())))))</f>
        <v>161.3060020661157</v>
      </c>
      <c r="AD81" s="44">
        <v>1989</v>
      </c>
      <c r="AE81" s="45">
        <f>VLOOKUP(AD81,Flags!$A$13:$B$95,2,FALSE)</f>
        <v>4</v>
      </c>
      <c r="AF81" s="44">
        <f t="shared" si="118"/>
        <v>354.86444473140494</v>
      </c>
      <c r="AG81" s="44">
        <f t="shared" si="119"/>
        <v>654.21735975029048</v>
      </c>
      <c r="AH81" s="44">
        <f t="shared" si="120"/>
        <v>283.05427601207384</v>
      </c>
      <c r="AI81" s="44">
        <f t="shared" si="121"/>
        <v>493.25828092716944</v>
      </c>
      <c r="AJ81" s="44">
        <f t="shared" si="122"/>
        <v>434.55095263268333</v>
      </c>
      <c r="AK81" s="44">
        <f t="shared" si="115"/>
        <v>261.25910640495869</v>
      </c>
      <c r="AL81" s="44">
        <f t="shared" si="123"/>
        <v>261.25910640495869</v>
      </c>
    </row>
    <row r="82" spans="1:38" x14ac:dyDescent="0.3">
      <c r="A82" s="32">
        <f>VLOOKUP(YEAR(C82),Flags!$A$13:$B$95,2,FALSE)</f>
        <v>5</v>
      </c>
      <c r="B82" s="24">
        <f t="shared" si="116"/>
        <v>1929</v>
      </c>
      <c r="C82" s="25">
        <v>10866</v>
      </c>
      <c r="D82" s="26"/>
      <c r="E82" s="24"/>
      <c r="F82" s="26"/>
      <c r="G82" s="24"/>
      <c r="H82" s="24"/>
      <c r="I82" s="26"/>
      <c r="J82" s="24"/>
      <c r="K82" s="26">
        <f>VLOOKUP($C82,COS!$B$8:$H$991,2,FALSE)</f>
        <v>1326.92724609375</v>
      </c>
      <c r="L82" s="24">
        <f t="shared" ref="L82" si="127">IF(AND(K82&gt;$I$7,K82&lt;$I$8),1,0)</f>
        <v>0</v>
      </c>
      <c r="M82" s="24"/>
      <c r="N82" s="26"/>
      <c r="O82" s="26"/>
      <c r="P82" s="26"/>
      <c r="Q82" s="26"/>
      <c r="R82" s="26"/>
      <c r="S82" s="26"/>
      <c r="T82" s="26"/>
      <c r="U82" s="26"/>
      <c r="V82" s="26"/>
      <c r="W82" s="26">
        <f>MAX($C$8-VLOOKUP($C82,COS!$B$8:$H$991,3,FALSE),0)</f>
        <v>694.32568359375</v>
      </c>
      <c r="X82" s="26">
        <f t="shared" si="31"/>
        <v>41.315247288223141</v>
      </c>
      <c r="Y82" s="26">
        <f>VLOOKUP($C82,COS!$B$8:$H$991,4,FALSE)</f>
        <v>1966.5052490234375</v>
      </c>
      <c r="Z82" s="26">
        <f t="shared" si="32"/>
        <v>117.01518837164257</v>
      </c>
      <c r="AA82" s="26">
        <f t="shared" si="125"/>
        <v>694.32568359375</v>
      </c>
      <c r="AB82" s="33">
        <f t="shared" si="34"/>
        <v>41.315247288223141</v>
      </c>
      <c r="AD82" s="44">
        <v>1990</v>
      </c>
      <c r="AE82" s="45">
        <f>VLOOKUP(AD82,Flags!$A$13:$B$95,2,FALSE)</f>
        <v>5</v>
      </c>
      <c r="AF82" s="44">
        <f t="shared" si="118"/>
        <v>0</v>
      </c>
      <c r="AG82" s="44">
        <f t="shared" si="119"/>
        <v>508.50892750385378</v>
      </c>
      <c r="AH82" s="44">
        <f t="shared" si="120"/>
        <v>0</v>
      </c>
      <c r="AI82" s="44">
        <f t="shared" si="121"/>
        <v>427.27902698863636</v>
      </c>
      <c r="AJ82" s="44">
        <f t="shared" si="122"/>
        <v>684.5884151439825</v>
      </c>
      <c r="AK82" s="44">
        <f t="shared" si="115"/>
        <v>380.85310934271695</v>
      </c>
      <c r="AL82" s="44">
        <f t="shared" si="123"/>
        <v>0</v>
      </c>
    </row>
    <row r="83" spans="1:38" x14ac:dyDescent="0.3">
      <c r="A83" s="32">
        <f>VLOOKUP(YEAR(C83),Flags!$A$13:$B$95,2,FALSE)</f>
        <v>5</v>
      </c>
      <c r="B83" s="24">
        <f t="shared" si="116"/>
        <v>1929</v>
      </c>
      <c r="C83" s="25">
        <v>10897</v>
      </c>
      <c r="D83" s="26"/>
      <c r="E83" s="24"/>
      <c r="F83" s="26"/>
      <c r="G83" s="26"/>
      <c r="H83" s="26"/>
      <c r="I83" s="26"/>
      <c r="J83" s="26"/>
      <c r="K83" s="26"/>
      <c r="L83" s="24"/>
      <c r="M83" s="24"/>
      <c r="N83" s="26"/>
      <c r="O83" s="26"/>
      <c r="P83" s="26"/>
      <c r="Q83" s="26"/>
      <c r="R83" s="26"/>
      <c r="S83" s="26"/>
      <c r="T83" s="26"/>
      <c r="U83" s="26"/>
      <c r="V83" s="26"/>
      <c r="W83" s="26">
        <f>MAX($C$9-VLOOKUP($C83,COS!$B$8:$H$991,3,FALSE),0)</f>
        <v>0</v>
      </c>
      <c r="X83" s="26">
        <f t="shared" si="31"/>
        <v>0</v>
      </c>
      <c r="Y83" s="26">
        <f>VLOOKUP($C83,COS!$B$8:$H$991,4,FALSE)</f>
        <v>1369.061767578125</v>
      </c>
      <c r="Z83" s="26">
        <f t="shared" si="32"/>
        <v>84.180326865960737</v>
      </c>
      <c r="AA83" s="26">
        <f t="shared" si="125"/>
        <v>0</v>
      </c>
      <c r="AB83" s="33">
        <f t="shared" si="34"/>
        <v>0</v>
      </c>
      <c r="AD83" s="44">
        <v>1991</v>
      </c>
      <c r="AE83" s="45">
        <f>VLOOKUP(AD83,Flags!$A$13:$B$95,2,FALSE)</f>
        <v>5</v>
      </c>
      <c r="AF83" s="44">
        <f t="shared" si="118"/>
        <v>45.886084710743802</v>
      </c>
      <c r="AG83" s="44">
        <f t="shared" si="119"/>
        <v>601.89792775556077</v>
      </c>
      <c r="AH83" s="44">
        <f t="shared" si="120"/>
        <v>0</v>
      </c>
      <c r="AI83" s="44">
        <f t="shared" si="121"/>
        <v>529.74394176136366</v>
      </c>
      <c r="AJ83" s="44">
        <f t="shared" si="122"/>
        <v>691.69384434723656</v>
      </c>
      <c r="AK83" s="44">
        <f t="shared" si="115"/>
        <v>399.7834371771695</v>
      </c>
      <c r="AL83" s="44">
        <f t="shared" si="123"/>
        <v>0</v>
      </c>
    </row>
    <row r="84" spans="1:38" x14ac:dyDescent="0.3">
      <c r="A84" s="32">
        <f>VLOOKUP(YEAR(C84),Flags!$A$13:$B$95,2,FALSE)</f>
        <v>5</v>
      </c>
      <c r="B84" s="24">
        <f t="shared" si="116"/>
        <v>1929</v>
      </c>
      <c r="C84" s="25">
        <v>10927</v>
      </c>
      <c r="D84" s="26"/>
      <c r="E84" s="24"/>
      <c r="F84" s="26"/>
      <c r="G84" s="26"/>
      <c r="H84" s="26"/>
      <c r="I84" s="26"/>
      <c r="J84" s="26"/>
      <c r="K84" s="26"/>
      <c r="L84" s="24"/>
      <c r="M84" s="24"/>
      <c r="N84" s="26"/>
      <c r="O84" s="26"/>
      <c r="P84" s="26"/>
      <c r="Q84" s="26"/>
      <c r="R84" s="26"/>
      <c r="S84" s="26"/>
      <c r="T84" s="26"/>
      <c r="U84" s="26"/>
      <c r="V84" s="26"/>
      <c r="W84" s="26">
        <f>MAX($C$10-VLOOKUP($C84,COS!$B$8:$H$991,3,FALSE),0)</f>
        <v>722.40087890625</v>
      </c>
      <c r="X84" s="26">
        <f t="shared" si="31"/>
        <v>42.985837422520667</v>
      </c>
      <c r="Y84" s="26">
        <f>VLOOKUP($C84,COS!$B$8:$H$991,4,FALSE)</f>
        <v>1476.7601318359375</v>
      </c>
      <c r="Z84" s="26">
        <f t="shared" si="32"/>
        <v>87.873330158832644</v>
      </c>
      <c r="AA84" s="26">
        <f t="shared" si="125"/>
        <v>722.40087890625</v>
      </c>
      <c r="AB84" s="33">
        <f t="shared" si="34"/>
        <v>42.985837422520667</v>
      </c>
      <c r="AD84" s="43">
        <v>1992</v>
      </c>
      <c r="AE84" s="1">
        <f>VLOOKUP(AD84,Flags!$A$13:$B$95,2,FALSE)</f>
        <v>5</v>
      </c>
      <c r="AF84" s="43">
        <f t="shared" si="118"/>
        <v>184.40940534607438</v>
      </c>
      <c r="AG84" s="43">
        <f t="shared" si="119"/>
        <v>595.25417847373262</v>
      </c>
      <c r="AH84" s="43">
        <f t="shared" si="120"/>
        <v>0</v>
      </c>
      <c r="AI84" s="43">
        <f t="shared" si="121"/>
        <v>507.01141754907019</v>
      </c>
      <c r="AJ84" s="43">
        <f t="shared" si="122"/>
        <v>529.46044728176651</v>
      </c>
      <c r="AK84" s="43">
        <f t="shared" si="115"/>
        <v>355.7276096009814</v>
      </c>
      <c r="AL84" s="43">
        <f t="shared" si="123"/>
        <v>0</v>
      </c>
    </row>
    <row r="85" spans="1:38" x14ac:dyDescent="0.3">
      <c r="A85" s="34">
        <f>VLOOKUP(YEAR(C85),Flags!$A$13:$B$95,2,FALSE)</f>
        <v>5</v>
      </c>
      <c r="B85" s="35">
        <f t="shared" si="116"/>
        <v>1929</v>
      </c>
      <c r="C85" s="36">
        <v>10958</v>
      </c>
      <c r="D85" s="37"/>
      <c r="E85" s="35"/>
      <c r="F85" s="37"/>
      <c r="G85" s="37"/>
      <c r="H85" s="37"/>
      <c r="I85" s="37"/>
      <c r="J85" s="37"/>
      <c r="K85" s="37"/>
      <c r="L85" s="35"/>
      <c r="M85" s="35"/>
      <c r="N85" s="37"/>
      <c r="O85" s="37"/>
      <c r="P85" s="37"/>
      <c r="Q85" s="37"/>
      <c r="R85" s="37"/>
      <c r="S85" s="37"/>
      <c r="T85" s="37"/>
      <c r="U85" s="37"/>
      <c r="V85" s="37"/>
      <c r="W85" s="37">
        <f>MAX($C$11-VLOOKUP($C85,COS!$B$8:$H$991,3,FALSE),0)</f>
        <v>1750</v>
      </c>
      <c r="X85" s="37">
        <f t="shared" si="31"/>
        <v>107.60330578512398</v>
      </c>
      <c r="Y85" s="37">
        <f>VLOOKUP($C85,COS!$B$8:$H$991,4,FALSE)</f>
        <v>1577.152099609375</v>
      </c>
      <c r="Z85" s="37">
        <f t="shared" si="32"/>
        <v>96.975302653667356</v>
      </c>
      <c r="AA85" s="37">
        <f t="shared" si="125"/>
        <v>1577.152099609375</v>
      </c>
      <c r="AB85" s="38">
        <f t="shared" si="34"/>
        <v>96.975302653667356</v>
      </c>
      <c r="AD85" s="43">
        <v>1993</v>
      </c>
      <c r="AE85" s="1">
        <f>VLOOKUP(AD85,Flags!$A$13:$B$95,2,FALSE)</f>
        <v>2</v>
      </c>
      <c r="AF85" s="43">
        <f t="shared" si="118"/>
        <v>368.51700348657027</v>
      </c>
      <c r="AG85" s="43">
        <f t="shared" si="119"/>
        <v>678.65893496174454</v>
      </c>
      <c r="AH85" s="43">
        <f t="shared" si="120"/>
        <v>0</v>
      </c>
      <c r="AI85" s="43">
        <f t="shared" si="121"/>
        <v>268.92443956611572</v>
      </c>
      <c r="AJ85" s="43">
        <f t="shared" si="122"/>
        <v>150.01719971711969</v>
      </c>
      <c r="AK85" s="43">
        <f t="shared" si="115"/>
        <v>21.944809842700799</v>
      </c>
      <c r="AL85" s="43">
        <f t="shared" si="123"/>
        <v>0</v>
      </c>
    </row>
    <row r="86" spans="1:38" x14ac:dyDescent="0.3">
      <c r="A86" s="27">
        <f>VLOOKUP(YEAR(C86),Flags!$A$13:$B$95,2,FALSE)</f>
        <v>4</v>
      </c>
      <c r="B86" s="28">
        <f t="shared" si="116"/>
        <v>1930</v>
      </c>
      <c r="C86" s="29">
        <v>11078</v>
      </c>
      <c r="D86" s="30">
        <f>VLOOKUP($C86,COS!$B$8:$H$991,3,FALSE)</f>
        <v>3250</v>
      </c>
      <c r="E86" s="28">
        <f>IF(D86&gt;=IF(MONTH($C86)=4,$C$3,IF(MONTH($C86)=5,$C$4,IF(MONTH($C86)=6,$C$5,IF(MONTH($C86)=7,$C$6,"ERROR")))),1,0)</f>
        <v>0</v>
      </c>
      <c r="F86" s="30">
        <f>VLOOKUP($C86,COS!$B$8:$H$991,7,FALSE)</f>
        <v>51.239517211914063</v>
      </c>
      <c r="G86" s="28">
        <f>IF(F86&lt;=IF(MONTH($C86)=4,$F$3,IF(MONTH($C86)=5,$F$4,IF(MONTH($C86)=6,$F$5,IF(MONTH($C86)=7,$F$6,"ERROR")))),1,0)</f>
        <v>1</v>
      </c>
      <c r="H86" s="30">
        <f>IF(J86=1,D86-$C$3,0)</f>
        <v>0</v>
      </c>
      <c r="I86" s="30">
        <f t="shared" si="17"/>
        <v>0</v>
      </c>
      <c r="J86" s="28">
        <f t="shared" ref="J86:J89" si="128">IF(AND(E86=1,G86=1),1,0)</f>
        <v>0</v>
      </c>
      <c r="K86" s="30">
        <f>VLOOKUP($C86,COS!$B$8:$H$991,2,FALSE)</f>
        <v>2916.82275390625</v>
      </c>
      <c r="L86" s="28">
        <f t="shared" ref="L86:L143" si="129">IF(K86&lt;=IF(MONTH($C86)=4,$I$3,IF(MONTH($C86)=5,$I$4,IF(MONTH($C86)=6,$I$5,IF(MONTH($C86)=7,$I$6,"ERROR")))),1,0)</f>
        <v>1</v>
      </c>
      <c r="M86" s="28">
        <f t="shared" ref="M86:M143" si="130">VLOOKUP($A86,$L$3:$M$7,2,FALSE)</f>
        <v>1</v>
      </c>
      <c r="N86" s="30">
        <f>VLOOKUP($C86,COS!$B$8:$H$991,5,FALSE)</f>
        <v>44.508659362792969</v>
      </c>
      <c r="O86" s="30">
        <f t="shared" ref="O86:O89" si="131">N86*DAY($C86)*86400/43560/1000</f>
        <v>2.6484491521661928</v>
      </c>
      <c r="P86" s="30">
        <f>VLOOKUP($C86,COS!$B$8:$H$991,6,FALSE)</f>
        <v>392.62295532226563</v>
      </c>
      <c r="Q86" s="30">
        <f t="shared" ref="Q86:Q89" si="132">P86*DAY($C86)*86400/43560/1000</f>
        <v>23.362688250581094</v>
      </c>
      <c r="R86" s="30">
        <f>MIN(IF(MONTH($C86)=4,$S$3,IF(MONTH($C86)=5,$S$4,IF(MONTH($C86)=6,$S$5,IF(MONTH($C86)=7,$S$6,"ERROR")))),MAX(VLOOKUP($C86,COS!$B$8:$K$991,10,FALSE)-IF(MONTH($C86)=4,$Y$3,IF(MONTH($C86)=5,$Y$4,IF(MONTH($C86)=6,$Y$5,IF(MONTH($C86)=7,$Y$6,"ERROR")))),0),MAX(VLOOKUP($C86,COS!$B$8:$K$991,9,FALSE)-IF(MONTH($C86)=4,$V$3,IF(MONTH($C86)=5,$V$4,IF(MONTH($C86)=6,$V$5,IF(MONTH($C86)=7,$V$6,"ERROR"))))-VLOOKUP($C86,COS!$B$8:$K$991,6,FALSE)/2,0))</f>
        <v>1500</v>
      </c>
      <c r="S86" s="30">
        <f t="shared" ref="S86:S89" si="133">R86*DAY($C86)*86400/43560/1000</f>
        <v>89.256198347107429</v>
      </c>
      <c r="T86" s="30">
        <f t="shared" ref="T86:T89" si="134">(O86+Q86)/2+S86</f>
        <v>102.26176704848108</v>
      </c>
      <c r="U86" s="30" t="str">
        <f>IF(VLOOKUP($C86,COS!$B$8:$I$991,8,FALSE)=1,"UWFE","IBU")</f>
        <v>UWFE</v>
      </c>
      <c r="V86" s="30">
        <f t="shared" ref="V86" si="135">MIN(IF(IF($AA$3=2,AND(E86=1,G86=1,L86=1,L91=1,M86=1,U86="IBU"),AND(E86=1,G86=1,L86=1,L91=1,M86=1)),T86,0),I86)</f>
        <v>0</v>
      </c>
      <c r="W86" s="30"/>
      <c r="X86" s="30"/>
      <c r="Y86" s="30"/>
      <c r="Z86" s="30"/>
      <c r="AA86" s="30"/>
      <c r="AB86" s="31"/>
      <c r="AD86" s="43">
        <v>1994</v>
      </c>
      <c r="AE86" s="1">
        <f>VLOOKUP(AD86,Flags!$A$13:$B$95,2,FALSE)</f>
        <v>5</v>
      </c>
      <c r="AF86" s="43">
        <f t="shared" si="118"/>
        <v>21.768285123966944</v>
      </c>
      <c r="AG86" s="43">
        <f t="shared" si="119"/>
        <v>561.5149479334807</v>
      </c>
      <c r="AH86" s="43">
        <f t="shared" si="120"/>
        <v>0</v>
      </c>
      <c r="AI86" s="43">
        <f t="shared" si="121"/>
        <v>546.23832063533064</v>
      </c>
      <c r="AJ86" s="43">
        <f t="shared" si="122"/>
        <v>521.34395168840388</v>
      </c>
      <c r="AK86" s="43">
        <f t="shared" si="115"/>
        <v>450.08380504261368</v>
      </c>
      <c r="AL86" s="43">
        <f t="shared" si="123"/>
        <v>0</v>
      </c>
    </row>
    <row r="87" spans="1:38" x14ac:dyDescent="0.3">
      <c r="A87" s="32">
        <f>VLOOKUP(YEAR(C87),Flags!$A$13:$B$95,2,FALSE)</f>
        <v>4</v>
      </c>
      <c r="B87" s="24">
        <f t="shared" si="116"/>
        <v>1930</v>
      </c>
      <c r="C87" s="25">
        <v>11109</v>
      </c>
      <c r="D87" s="26">
        <f>VLOOKUP($C87,COS!$B$8:$H$991,3,FALSE)</f>
        <v>5412.98681640625</v>
      </c>
      <c r="E87" s="24">
        <f>IF(D87&gt;=IF(MONTH($C87)=4,$C$3,IF(MONTH($C87)=5,$C$4,IF(MONTH($C87)=6,$C$5,IF(MONTH($C87)=7,$C$6,"ERROR")))),1,0)</f>
        <v>0</v>
      </c>
      <c r="F87" s="26">
        <f>VLOOKUP($C87,COS!$B$8:$H$991,7,FALSE)</f>
        <v>51.472103118896484</v>
      </c>
      <c r="G87" s="24">
        <f>IF(F87&lt;=IF(MONTH($C87)=4,$F$3,IF(MONTH($C87)=5,$F$4,IF(MONTH($C87)=6,$F$5,IF(MONTH($C87)=7,$F$6,"ERROR")))),1,0)</f>
        <v>1</v>
      </c>
      <c r="H87" s="26">
        <f>IF(J87=1,D87-$C$4,0)</f>
        <v>0</v>
      </c>
      <c r="I87" s="26">
        <f t="shared" ref="I87:I150" si="136">H87*DAY($C87)*86400/43560/1000</f>
        <v>0</v>
      </c>
      <c r="J87" s="24">
        <f t="shared" si="128"/>
        <v>0</v>
      </c>
      <c r="K87" s="26">
        <f>VLOOKUP($C87,COS!$B$8:$H$991,2,FALSE)</f>
        <v>2856.510986328125</v>
      </c>
      <c r="L87" s="24">
        <f t="shared" si="129"/>
        <v>1</v>
      </c>
      <c r="M87" s="24">
        <f t="shared" si="130"/>
        <v>1</v>
      </c>
      <c r="N87" s="26">
        <f>VLOOKUP($C87,COS!$B$8:$H$991,5,FALSE)</f>
        <v>14.996692657470703</v>
      </c>
      <c r="O87" s="26">
        <f t="shared" si="131"/>
        <v>0.92211068902133908</v>
      </c>
      <c r="P87" s="26">
        <f>VLOOKUP($C87,COS!$B$8:$H$991,6,FALSE)</f>
        <v>2146.524658203125</v>
      </c>
      <c r="Q87" s="26">
        <f t="shared" si="132"/>
        <v>131.98465666967974</v>
      </c>
      <c r="R87" s="26">
        <f>MIN(IF(MONTH($C87)=4,$S$3,IF(MONTH($C87)=5,$S$4,IF(MONTH($C87)=6,$S$5,IF(MONTH($C87)=7,$S$6,"ERROR")))),MAX(VLOOKUP($C87,COS!$B$8:$K$991,10,FALSE)-IF(MONTH($C87)=4,$Y$3,IF(MONTH($C87)=5,$Y$4,IF(MONTH($C87)=6,$Y$5,IF(MONTH($C87)=7,$Y$6,"ERROR")))),0),MAX(VLOOKUP($C87,COS!$B$8:$K$991,9,FALSE)-IF(MONTH($C87)=4,$V$3,IF(MONTH($C87)=5,$V$4,IF(MONTH($C87)=6,$V$5,IF(MONTH($C87)=7,$V$6,"ERROR"))))-VLOOKUP($C87,COS!$B$8:$K$991,6,FALSE)/2,0))</f>
        <v>1500</v>
      </c>
      <c r="S87" s="26">
        <f t="shared" si="133"/>
        <v>92.231404958677686</v>
      </c>
      <c r="T87" s="26">
        <f t="shared" si="134"/>
        <v>158.68478863802824</v>
      </c>
      <c r="U87" s="26" t="str">
        <f>IF(VLOOKUP($C87,COS!$B$8:$I$991,8,FALSE)=1,"UWFE","IBU")</f>
        <v>UWFE</v>
      </c>
      <c r="V87" s="26">
        <f t="shared" ref="V87" si="137">MIN(IF(IF($AA$3=2,AND(E87=1,G87=1,L87=1,L91=1,M87=1,U87="IBU"),AND(E87=1,G87=1,L87=1,L91=1,M87=1)),T87,0),I87)</f>
        <v>0</v>
      </c>
      <c r="W87" s="26"/>
      <c r="X87" s="26"/>
      <c r="Y87" s="26"/>
      <c r="Z87" s="26"/>
      <c r="AA87" s="26"/>
      <c r="AB87" s="33"/>
      <c r="AD87" s="43">
        <v>1995</v>
      </c>
      <c r="AE87" s="1">
        <f>VLOOKUP(AD87,Flags!$A$13:$B$95,2,FALSE)</f>
        <v>1</v>
      </c>
      <c r="AF87" s="43">
        <f t="shared" si="118"/>
        <v>374.49814307851238</v>
      </c>
      <c r="AG87" s="43">
        <f t="shared" si="119"/>
        <v>676.62732833483983</v>
      </c>
      <c r="AH87" s="43">
        <f t="shared" si="120"/>
        <v>0</v>
      </c>
      <c r="AI87" s="43">
        <f t="shared" si="121"/>
        <v>96.950173198605384</v>
      </c>
      <c r="AJ87" s="43">
        <f t="shared" si="122"/>
        <v>112.67233340428881</v>
      </c>
      <c r="AK87" s="43">
        <f t="shared" si="115"/>
        <v>0</v>
      </c>
      <c r="AL87" s="43">
        <f t="shared" si="123"/>
        <v>0</v>
      </c>
    </row>
    <row r="88" spans="1:38" x14ac:dyDescent="0.3">
      <c r="A88" s="32">
        <f>VLOOKUP(YEAR(C88),Flags!$A$13:$B$95,2,FALSE)</f>
        <v>4</v>
      </c>
      <c r="B88" s="24">
        <f t="shared" si="116"/>
        <v>1930</v>
      </c>
      <c r="C88" s="25">
        <v>11139</v>
      </c>
      <c r="D88" s="26">
        <f>VLOOKUP($C88,COS!$B$8:$H$991,3,FALSE)</f>
        <v>8881.8974609375</v>
      </c>
      <c r="E88" s="24">
        <f>IF(D88&gt;=IF(MONTH($C88)=4,$C$3,IF(MONTH($C88)=5,$C$4,IF(MONTH($C88)=6,$C$5,IF(MONTH($C88)=7,$C$6,"ERROR")))),1,0)</f>
        <v>0</v>
      </c>
      <c r="F88" s="26">
        <f>VLOOKUP($C88,COS!$B$8:$H$991,7,FALSE)</f>
        <v>52.899250030517578</v>
      </c>
      <c r="G88" s="24">
        <f>IF(F88&lt;=IF(MONTH($C88)=4,$F$3,IF(MONTH($C88)=5,$F$4,IF(MONTH($C88)=6,$F$5,IF(MONTH($C88)=7,$F$6,"ERROR")))),1,0)</f>
        <v>1</v>
      </c>
      <c r="H88" s="26">
        <f>IF(J88=1,D88-$C$5,0)</f>
        <v>0</v>
      </c>
      <c r="I88" s="26">
        <f t="shared" si="136"/>
        <v>0</v>
      </c>
      <c r="J88" s="24">
        <f t="shared" si="128"/>
        <v>0</v>
      </c>
      <c r="K88" s="26">
        <f>VLOOKUP($C88,COS!$B$8:$H$991,2,FALSE)</f>
        <v>2536.044189453125</v>
      </c>
      <c r="L88" s="24">
        <f t="shared" si="129"/>
        <v>1</v>
      </c>
      <c r="M88" s="24">
        <f t="shared" si="130"/>
        <v>1</v>
      </c>
      <c r="N88" s="26">
        <f>VLOOKUP($C88,COS!$B$8:$H$991,5,FALSE)</f>
        <v>199.59013366699219</v>
      </c>
      <c r="O88" s="26">
        <f t="shared" si="131"/>
        <v>11.876437705804493</v>
      </c>
      <c r="P88" s="26">
        <f>VLOOKUP($C88,COS!$B$8:$H$991,6,FALSE)</f>
        <v>2714.961669921875</v>
      </c>
      <c r="Q88" s="26">
        <f t="shared" si="132"/>
        <v>161.55143821022727</v>
      </c>
      <c r="R88" s="26">
        <f>MIN(IF(MONTH($C88)=4,$S$3,IF(MONTH($C88)=5,$S$4,IF(MONTH($C88)=6,$S$5,IF(MONTH($C88)=7,$S$6,"ERROR")))),MAX(VLOOKUP($C88,COS!$B$8:$K$991,10,FALSE)-IF(MONTH($C88)=4,$Y$3,IF(MONTH($C88)=5,$Y$4,IF(MONTH($C88)=6,$Y$5,IF(MONTH($C88)=7,$Y$6,"ERROR")))),0),MAX(VLOOKUP($C88,COS!$B$8:$K$991,9,FALSE)-IF(MONTH($C88)=4,$V$3,IF(MONTH($C88)=5,$V$4,IF(MONTH($C88)=6,$V$5,IF(MONTH($C88)=7,$V$6,"ERROR"))))-VLOOKUP($C88,COS!$B$8:$K$991,6,FALSE)/2,0))</f>
        <v>1500</v>
      </c>
      <c r="S88" s="26">
        <f t="shared" si="133"/>
        <v>89.256198347107429</v>
      </c>
      <c r="T88" s="26">
        <f t="shared" si="134"/>
        <v>175.97013630512333</v>
      </c>
      <c r="U88" s="26" t="str">
        <f>IF(VLOOKUP($C88,COS!$B$8:$I$991,8,FALSE)=1,"UWFE","IBU")</f>
        <v>IBU</v>
      </c>
      <c r="V88" s="26">
        <f t="shared" ref="V88" si="138">MIN(IF(IF($AA$3=2,AND(E88=1,G88=1,L88=1,L91=1,M88=1,U88="IBU"),AND(E88=1,G88=1,L88=1,L91=1,M88=1)),T88,0),I88)</f>
        <v>0</v>
      </c>
      <c r="W88" s="26"/>
      <c r="X88" s="26"/>
      <c r="Y88" s="26"/>
      <c r="Z88" s="26"/>
      <c r="AA88" s="26"/>
      <c r="AB88" s="33"/>
      <c r="AD88" s="43">
        <v>1996</v>
      </c>
      <c r="AE88" s="1">
        <f>VLOOKUP(AD88,Flags!$A$13:$B$95,2,FALSE)</f>
        <v>1</v>
      </c>
      <c r="AF88" s="43">
        <f t="shared" si="118"/>
        <v>470.82685111053718</v>
      </c>
      <c r="AG88" s="43">
        <f t="shared" si="119"/>
        <v>673.70356104322696</v>
      </c>
      <c r="AH88" s="43">
        <f t="shared" si="120"/>
        <v>0</v>
      </c>
      <c r="AI88" s="43">
        <f t="shared" si="121"/>
        <v>162.51293646694216</v>
      </c>
      <c r="AJ88" s="43">
        <f t="shared" si="122"/>
        <v>153.2964386137655</v>
      </c>
      <c r="AK88" s="43">
        <f t="shared" si="115"/>
        <v>0</v>
      </c>
      <c r="AL88" s="43">
        <f t="shared" si="123"/>
        <v>0</v>
      </c>
    </row>
    <row r="89" spans="1:38" x14ac:dyDescent="0.3">
      <c r="A89" s="32">
        <f>VLOOKUP(YEAR(C89),Flags!$A$13:$B$95,2,FALSE)</f>
        <v>4</v>
      </c>
      <c r="B89" s="24">
        <f t="shared" si="116"/>
        <v>1930</v>
      </c>
      <c r="C89" s="25">
        <v>11170</v>
      </c>
      <c r="D89" s="26">
        <f>VLOOKUP($C89,COS!$B$8:$H$991,3,FALSE)</f>
        <v>9171.2353515625</v>
      </c>
      <c r="E89" s="24">
        <f>IF(D89&gt;=IF(MONTH($C89)=4,$C$3,IF(MONTH($C89)=5,$C$4,IF(MONTH($C89)=6,$C$5,IF(MONTH($C89)=7,$C$6,"ERROR")))),1,0)</f>
        <v>0</v>
      </c>
      <c r="F89" s="26">
        <f>VLOOKUP($C89,COS!$B$8:$H$991,7,FALSE)</f>
        <v>55.481464385986328</v>
      </c>
      <c r="G89" s="24">
        <f>IF(F89&lt;=IF(MONTH($C89)=4,$F$3,IF(MONTH($C89)=5,$F$4,IF(MONTH($C89)=6,$F$5,IF(MONTH($C89)=7,$F$6,"ERROR")))),1,0)</f>
        <v>0</v>
      </c>
      <c r="H89" s="26">
        <f>IF(J89=1,D89-$C$6,0)</f>
        <v>0</v>
      </c>
      <c r="I89" s="26">
        <f t="shared" si="136"/>
        <v>0</v>
      </c>
      <c r="J89" s="24">
        <f t="shared" si="128"/>
        <v>0</v>
      </c>
      <c r="K89" s="26">
        <f>VLOOKUP($C89,COS!$B$8:$H$991,2,FALSE)</f>
        <v>2214.108642578125</v>
      </c>
      <c r="L89" s="24">
        <f t="shared" si="129"/>
        <v>1</v>
      </c>
      <c r="M89" s="24">
        <f t="shared" si="130"/>
        <v>1</v>
      </c>
      <c r="N89" s="26">
        <f>VLOOKUP($C89,COS!$B$8:$H$991,5,FALSE)</f>
        <v>218.08706665039063</v>
      </c>
      <c r="O89" s="26">
        <f t="shared" si="131"/>
        <v>13.40965104032154</v>
      </c>
      <c r="P89" s="26">
        <f>VLOOKUP($C89,COS!$B$8:$H$991,6,FALSE)</f>
        <v>2538.07568359375</v>
      </c>
      <c r="Q89" s="26">
        <f t="shared" si="132"/>
        <v>156.06019079287191</v>
      </c>
      <c r="R89" s="26">
        <f>MIN(IF(MONTH($C89)=4,$S$3,IF(MONTH($C89)=5,$S$4,IF(MONTH($C89)=6,$S$5,IF(MONTH($C89)=7,$S$6,"ERROR")))),MAX(VLOOKUP($C89,COS!$B$8:$K$991,10,FALSE)-IF(MONTH($C89)=4,$Y$3,IF(MONTH($C89)=5,$Y$4,IF(MONTH($C89)=6,$Y$5,IF(MONTH($C89)=7,$Y$6,"ERROR")))),0),MAX(VLOOKUP($C89,COS!$B$8:$K$991,9,FALSE)-IF(MONTH($C89)=4,$V$3,IF(MONTH($C89)=5,$V$4,IF(MONTH($C89)=6,$V$5,IF(MONTH($C89)=7,$V$6,"ERROR"))))-VLOOKUP($C89,COS!$B$8:$K$991,6,FALSE)/2,0))</f>
        <v>1500</v>
      </c>
      <c r="S89" s="26">
        <f t="shared" si="133"/>
        <v>92.231404958677686</v>
      </c>
      <c r="T89" s="26">
        <f t="shared" si="134"/>
        <v>176.96632587527441</v>
      </c>
      <c r="U89" s="26" t="str">
        <f>IF(VLOOKUP($C89,COS!$B$8:$I$991,8,FALSE)=1,"UWFE","IBU")</f>
        <v>IBU</v>
      </c>
      <c r="V89" s="26">
        <f t="shared" ref="V89" si="139">MIN(IF(IF($AA$3=2,AND(E89=1,G89=1,L89=1,L91=1,M89=1,U89="IBU"),AND(E89=1,G89=1,L89=1,L91=1,M89=1)),T89,0),I89)</f>
        <v>0</v>
      </c>
      <c r="W89" s="26"/>
      <c r="X89" s="26"/>
      <c r="Y89" s="26"/>
      <c r="Z89" s="26"/>
      <c r="AA89" s="26"/>
      <c r="AB89" s="33"/>
      <c r="AD89" s="43">
        <v>1997</v>
      </c>
      <c r="AE89" s="1">
        <f>VLOOKUP(AD89,Flags!$A$13:$B$95,2,FALSE)</f>
        <v>1</v>
      </c>
      <c r="AF89" s="43">
        <f t="shared" si="118"/>
        <v>379.07900051652894</v>
      </c>
      <c r="AG89" s="43">
        <f t="shared" si="119"/>
        <v>682.87646986780089</v>
      </c>
      <c r="AH89" s="43">
        <f t="shared" si="120"/>
        <v>0</v>
      </c>
      <c r="AI89" s="43">
        <f t="shared" si="121"/>
        <v>338.52498385847105</v>
      </c>
      <c r="AJ89" s="43">
        <f t="shared" si="122"/>
        <v>130.54690817084196</v>
      </c>
      <c r="AK89" s="43">
        <f t="shared" si="115"/>
        <v>0</v>
      </c>
      <c r="AL89" s="43">
        <f t="shared" si="123"/>
        <v>0</v>
      </c>
    </row>
    <row r="90" spans="1:38" x14ac:dyDescent="0.3">
      <c r="A90" s="32">
        <f>VLOOKUP(YEAR(C90),Flags!$A$13:$B$95,2,FALSE)</f>
        <v>4</v>
      </c>
      <c r="B90" s="24">
        <f t="shared" si="116"/>
        <v>1930</v>
      </c>
      <c r="C90" s="25">
        <v>11201</v>
      </c>
      <c r="D90" s="26"/>
      <c r="E90" s="24"/>
      <c r="F90" s="26"/>
      <c r="G90" s="24"/>
      <c r="H90" s="24"/>
      <c r="I90" s="26"/>
      <c r="J90" s="24"/>
      <c r="K90" s="26"/>
      <c r="L90" s="24"/>
      <c r="M90" s="24"/>
      <c r="N90" s="26"/>
      <c r="O90" s="26"/>
      <c r="P90" s="26"/>
      <c r="Q90" s="26"/>
      <c r="R90" s="26"/>
      <c r="S90" s="26"/>
      <c r="T90" s="26"/>
      <c r="U90" s="26"/>
      <c r="V90" s="26"/>
      <c r="W90" s="26">
        <f>MAX($C$7-VLOOKUP($C90,COS!$B$8:$H$991,3,FALSE),0)</f>
        <v>4246.44091796875</v>
      </c>
      <c r="X90" s="26">
        <f t="shared" si="31"/>
        <v>261.10347462551653</v>
      </c>
      <c r="Y90" s="26">
        <f>VLOOKUP($C90,COS!$B$8:$H$991,4,FALSE)</f>
        <v>2140.212646484375</v>
      </c>
      <c r="Z90" s="26">
        <f t="shared" si="32"/>
        <v>131.59654619705577</v>
      </c>
      <c r="AA90" s="26">
        <f t="shared" ref="AA90:AA94" si="140">MIN(W90,Y90)</f>
        <v>2140.212646484375</v>
      </c>
      <c r="AB90" s="33">
        <f t="shared" ref="AB90:AB148" si="141">AA90*DAY($C90)*86400/43560/1000*IF(MONTH($C90)=8,$P$3,IF(MONTH($C90)=9,$P$4,IF(MONTH($C90)=10,$P$5,IF(MONTH($C90)=11,$P$6,IF(MONTH($C90)=12,$P$7,NA())))))</f>
        <v>131.59654619705577</v>
      </c>
      <c r="AD90" s="43">
        <v>1998</v>
      </c>
      <c r="AE90" s="1">
        <f>VLOOKUP(AD90,Flags!$A$13:$B$95,2,FALSE)</f>
        <v>1</v>
      </c>
      <c r="AF90" s="43">
        <f t="shared" si="118"/>
        <v>1046.5325051652894</v>
      </c>
      <c r="AG90" s="43">
        <f t="shared" si="119"/>
        <v>637.77182187671497</v>
      </c>
      <c r="AH90" s="43">
        <f t="shared" si="120"/>
        <v>0</v>
      </c>
      <c r="AI90" s="43">
        <f t="shared" si="121"/>
        <v>0</v>
      </c>
      <c r="AJ90" s="43">
        <f t="shared" si="122"/>
        <v>3.2741707793937245</v>
      </c>
      <c r="AK90" s="43">
        <f t="shared" si="115"/>
        <v>0</v>
      </c>
      <c r="AL90" s="43">
        <f t="shared" si="123"/>
        <v>0</v>
      </c>
    </row>
    <row r="91" spans="1:38" x14ac:dyDescent="0.3">
      <c r="A91" s="32">
        <f>VLOOKUP(YEAR(C91),Flags!$A$13:$B$95,2,FALSE)</f>
        <v>4</v>
      </c>
      <c r="B91" s="24">
        <f t="shared" si="116"/>
        <v>1930</v>
      </c>
      <c r="C91" s="25">
        <v>11231</v>
      </c>
      <c r="D91" s="26"/>
      <c r="E91" s="24"/>
      <c r="F91" s="26"/>
      <c r="G91" s="24"/>
      <c r="H91" s="24"/>
      <c r="I91" s="26"/>
      <c r="J91" s="24"/>
      <c r="K91" s="26">
        <f>VLOOKUP($C91,COS!$B$8:$H$991,2,FALSE)</f>
        <v>1915.04248046875</v>
      </c>
      <c r="L91" s="24">
        <f t="shared" ref="L91" si="142">IF(AND(K91&gt;$I$7,K91&lt;$I$8),1,0)</f>
        <v>1</v>
      </c>
      <c r="M91" s="24"/>
      <c r="N91" s="26"/>
      <c r="O91" s="26"/>
      <c r="P91" s="26"/>
      <c r="Q91" s="26"/>
      <c r="R91" s="26"/>
      <c r="S91" s="26"/>
      <c r="T91" s="26"/>
      <c r="U91" s="26"/>
      <c r="V91" s="26"/>
      <c r="W91" s="26">
        <f>MAX($C$8-VLOOKUP($C91,COS!$B$8:$H$991,3,FALSE),0)</f>
        <v>1942.968505859375</v>
      </c>
      <c r="X91" s="26">
        <f t="shared" ref="X91:X154" si="143">W91*DAY($C91)*86400/43560/1000</f>
        <v>115.61465489411158</v>
      </c>
      <c r="Y91" s="26">
        <f>VLOOKUP($C91,COS!$B$8:$H$991,4,FALSE)</f>
        <v>1280.4638671875</v>
      </c>
      <c r="Z91" s="26">
        <f t="shared" ref="Z91:Z154" si="144">Y91*DAY($C91)*86400/43560/1000</f>
        <v>76.192891270661164</v>
      </c>
      <c r="AA91" s="26">
        <f t="shared" si="140"/>
        <v>1280.4638671875</v>
      </c>
      <c r="AB91" s="33">
        <f t="shared" si="141"/>
        <v>76.192891270661164</v>
      </c>
      <c r="AD91" s="43">
        <v>1999</v>
      </c>
      <c r="AE91" s="1">
        <f>VLOOKUP(AD91,Flags!$A$13:$B$95,2,FALSE)</f>
        <v>1</v>
      </c>
      <c r="AF91" s="43">
        <f t="shared" si="118"/>
        <v>395.80849238119833</v>
      </c>
      <c r="AG91" s="43">
        <f t="shared" si="119"/>
        <v>693.09303507150685</v>
      </c>
      <c r="AH91" s="43">
        <f t="shared" si="120"/>
        <v>0</v>
      </c>
      <c r="AI91" s="43">
        <f t="shared" si="121"/>
        <v>140.5918252840909</v>
      </c>
      <c r="AJ91" s="43">
        <f t="shared" si="122"/>
        <v>135.00084912512912</v>
      </c>
      <c r="AK91" s="43">
        <f t="shared" si="115"/>
        <v>0</v>
      </c>
      <c r="AL91" s="43">
        <f t="shared" si="123"/>
        <v>0</v>
      </c>
    </row>
    <row r="92" spans="1:38" x14ac:dyDescent="0.3">
      <c r="A92" s="32">
        <f>VLOOKUP(YEAR(C92),Flags!$A$13:$B$95,2,FALSE)</f>
        <v>4</v>
      </c>
      <c r="B92" s="24">
        <f t="shared" si="116"/>
        <v>1930</v>
      </c>
      <c r="C92" s="25">
        <v>11262</v>
      </c>
      <c r="D92" s="26"/>
      <c r="E92" s="24"/>
      <c r="F92" s="26"/>
      <c r="G92" s="26"/>
      <c r="H92" s="26"/>
      <c r="I92" s="26"/>
      <c r="J92" s="26"/>
      <c r="K92" s="26"/>
      <c r="L92" s="24"/>
      <c r="M92" s="24"/>
      <c r="N92" s="26"/>
      <c r="O92" s="26"/>
      <c r="P92" s="26"/>
      <c r="Q92" s="26"/>
      <c r="R92" s="26"/>
      <c r="S92" s="26"/>
      <c r="T92" s="26"/>
      <c r="U92" s="26"/>
      <c r="V92" s="26"/>
      <c r="W92" s="26">
        <f>MAX($C$9-VLOOKUP($C92,COS!$B$8:$H$991,3,FALSE),0)</f>
        <v>81.65087890625</v>
      </c>
      <c r="X92" s="26">
        <f t="shared" si="143"/>
        <v>5.0205168517561987</v>
      </c>
      <c r="Y92" s="26">
        <f>VLOOKUP($C92,COS!$B$8:$H$991,4,FALSE)</f>
        <v>1605.8980712890625</v>
      </c>
      <c r="Z92" s="26">
        <f t="shared" si="144"/>
        <v>98.742823556947315</v>
      </c>
      <c r="AA92" s="26">
        <f t="shared" si="140"/>
        <v>81.65087890625</v>
      </c>
      <c r="AB92" s="33">
        <f t="shared" si="141"/>
        <v>5.0205168517561987</v>
      </c>
      <c r="AD92" s="43">
        <v>2000</v>
      </c>
      <c r="AE92" s="1">
        <f>VLOOKUP(AD92,Flags!$A$13:$B$95,2,FALSE)</f>
        <v>2</v>
      </c>
      <c r="AF92" s="43">
        <f t="shared" si="118"/>
        <v>514.27096332644635</v>
      </c>
      <c r="AG92" s="43">
        <f t="shared" si="119"/>
        <v>676.36010551515687</v>
      </c>
      <c r="AH92" s="43">
        <f t="shared" si="120"/>
        <v>0</v>
      </c>
      <c r="AI92" s="43">
        <f t="shared" si="121"/>
        <v>78.068600206611578</v>
      </c>
      <c r="AJ92" s="43">
        <f t="shared" si="122"/>
        <v>180.63067758103045</v>
      </c>
      <c r="AK92" s="43">
        <f t="shared" si="115"/>
        <v>0</v>
      </c>
      <c r="AL92" s="43">
        <f t="shared" si="123"/>
        <v>0</v>
      </c>
    </row>
    <row r="93" spans="1:38" x14ac:dyDescent="0.3">
      <c r="A93" s="32">
        <f>VLOOKUP(YEAR(C93),Flags!$A$13:$B$95,2,FALSE)</f>
        <v>4</v>
      </c>
      <c r="B93" s="24">
        <f t="shared" si="116"/>
        <v>1930</v>
      </c>
      <c r="C93" s="25">
        <v>11292</v>
      </c>
      <c r="D93" s="26"/>
      <c r="E93" s="24"/>
      <c r="F93" s="26"/>
      <c r="G93" s="26"/>
      <c r="H93" s="26"/>
      <c r="I93" s="26"/>
      <c r="J93" s="26"/>
      <c r="K93" s="26"/>
      <c r="L93" s="24"/>
      <c r="M93" s="24"/>
      <c r="N93" s="26"/>
      <c r="O93" s="26"/>
      <c r="P93" s="26"/>
      <c r="Q93" s="26"/>
      <c r="R93" s="26"/>
      <c r="S93" s="26"/>
      <c r="T93" s="26"/>
      <c r="U93" s="26"/>
      <c r="V93" s="26"/>
      <c r="W93" s="26">
        <f>MAX($C$10-VLOOKUP($C93,COS!$B$8:$H$991,3,FALSE),0)</f>
        <v>1452.079833984375</v>
      </c>
      <c r="X93" s="26">
        <f t="shared" si="143"/>
        <v>86.404750451962812</v>
      </c>
      <c r="Y93" s="26">
        <f>VLOOKUP($C93,COS!$B$8:$H$991,4,FALSE)</f>
        <v>1772.532958984375</v>
      </c>
      <c r="Z93" s="26">
        <f t="shared" si="144"/>
        <v>105.47303557592976</v>
      </c>
      <c r="AA93" s="26">
        <f t="shared" si="140"/>
        <v>1452.079833984375</v>
      </c>
      <c r="AB93" s="33">
        <f t="shared" si="141"/>
        <v>86.404750451962812</v>
      </c>
      <c r="AD93" s="43">
        <v>2001</v>
      </c>
      <c r="AE93" s="1">
        <f>VLOOKUP(AD93,Flags!$A$13:$B$95,2,FALSE)</f>
        <v>4</v>
      </c>
      <c r="AF93" s="43">
        <f t="shared" si="118"/>
        <v>418.97775697314046</v>
      </c>
      <c r="AG93" s="43">
        <f t="shared" si="119"/>
        <v>629.78990330215333</v>
      </c>
      <c r="AH93" s="43">
        <f t="shared" si="120"/>
        <v>345.73311434659092</v>
      </c>
      <c r="AI93" s="43">
        <f t="shared" si="121"/>
        <v>404.22485214359506</v>
      </c>
      <c r="AJ93" s="43">
        <f t="shared" si="122"/>
        <v>436.66178630229854</v>
      </c>
      <c r="AK93" s="43">
        <f t="shared" si="115"/>
        <v>284.57847704674589</v>
      </c>
      <c r="AL93" s="43">
        <f t="shared" si="123"/>
        <v>284.57847704674589</v>
      </c>
    </row>
    <row r="94" spans="1:38" x14ac:dyDescent="0.3">
      <c r="A94" s="34">
        <f>VLOOKUP(YEAR(C94),Flags!$A$13:$B$95,2,FALSE)</f>
        <v>4</v>
      </c>
      <c r="B94" s="35">
        <f t="shared" si="116"/>
        <v>1930</v>
      </c>
      <c r="C94" s="36">
        <v>11323</v>
      </c>
      <c r="D94" s="37"/>
      <c r="E94" s="35"/>
      <c r="F94" s="37"/>
      <c r="G94" s="37"/>
      <c r="H94" s="37"/>
      <c r="I94" s="37"/>
      <c r="J94" s="37"/>
      <c r="K94" s="37"/>
      <c r="L94" s="35"/>
      <c r="M94" s="35"/>
      <c r="N94" s="37"/>
      <c r="O94" s="37"/>
      <c r="P94" s="37"/>
      <c r="Q94" s="37"/>
      <c r="R94" s="37"/>
      <c r="S94" s="37"/>
      <c r="T94" s="37"/>
      <c r="U94" s="37"/>
      <c r="V94" s="37"/>
      <c r="W94" s="37">
        <f>MAX($C$11-VLOOKUP($C94,COS!$B$8:$H$991,3,FALSE),0)</f>
        <v>1750</v>
      </c>
      <c r="X94" s="37">
        <f t="shared" si="143"/>
        <v>107.60330578512398</v>
      </c>
      <c r="Y94" s="37">
        <f>VLOOKUP($C94,COS!$B$8:$H$991,4,FALSE)</f>
        <v>1918.959716796875</v>
      </c>
      <c r="Z94" s="37">
        <f t="shared" si="144"/>
        <v>117.99223382618803</v>
      </c>
      <c r="AA94" s="37">
        <f t="shared" si="140"/>
        <v>1750</v>
      </c>
      <c r="AB94" s="38">
        <f t="shared" si="141"/>
        <v>107.60330578512398</v>
      </c>
      <c r="AD94" s="43">
        <v>2002</v>
      </c>
      <c r="AE94" s="1">
        <f>VLOOKUP(AD94,Flags!$A$13:$B$95,2,FALSE)</f>
        <v>4</v>
      </c>
      <c r="AF94" s="43">
        <f t="shared" si="118"/>
        <v>367.82716909865701</v>
      </c>
      <c r="AG94" s="43">
        <f t="shared" si="119"/>
        <v>683.04540938952732</v>
      </c>
      <c r="AH94" s="43">
        <f t="shared" si="120"/>
        <v>236.88286286157023</v>
      </c>
      <c r="AI94" s="43">
        <f t="shared" si="121"/>
        <v>307.25857438016527</v>
      </c>
      <c r="AJ94" s="43">
        <f t="shared" si="122"/>
        <v>314.62177201704543</v>
      </c>
      <c r="AK94" s="43">
        <f t="shared" si="115"/>
        <v>138.32404886040806</v>
      </c>
      <c r="AL94" s="43">
        <f t="shared" si="123"/>
        <v>138.32404886040806</v>
      </c>
    </row>
    <row r="95" spans="1:38" x14ac:dyDescent="0.3">
      <c r="A95" s="27">
        <f>VLOOKUP(YEAR(C95),Flags!$A$13:$B$95,2,FALSE)</f>
        <v>5</v>
      </c>
      <c r="B95" s="28">
        <f t="shared" si="116"/>
        <v>1931</v>
      </c>
      <c r="C95" s="29">
        <v>11443</v>
      </c>
      <c r="D95" s="30">
        <f>VLOOKUP($C95,COS!$B$8:$H$991,3,FALSE)</f>
        <v>6839.51904296875</v>
      </c>
      <c r="E95" s="28">
        <f>IF(D95&gt;=IF(MONTH($C95)=4,$C$3,IF(MONTH($C95)=5,$C$4,IF(MONTH($C95)=6,$C$5,IF(MONTH($C95)=7,$C$6,"ERROR")))),1,0)</f>
        <v>1</v>
      </c>
      <c r="F95" s="30">
        <f>VLOOKUP($C95,COS!$B$8:$H$991,7,FALSE)</f>
        <v>50.956645965576172</v>
      </c>
      <c r="G95" s="28">
        <f>IF(F95&lt;=IF(MONTH($C95)=4,$F$3,IF(MONTH($C95)=5,$F$4,IF(MONTH($C95)=6,$F$5,IF(MONTH($C95)=7,$F$6,"ERROR")))),1,0)</f>
        <v>1</v>
      </c>
      <c r="H95" s="30">
        <f>IF(J95=1,D95-$C$3,0)</f>
        <v>839.51904296875</v>
      </c>
      <c r="I95" s="30">
        <f t="shared" si="136"/>
        <v>49.954852143595041</v>
      </c>
      <c r="J95" s="28">
        <f t="shared" ref="J95:J98" si="145">IF(AND(E95=1,G95=1),1,0)</f>
        <v>1</v>
      </c>
      <c r="K95" s="30">
        <f>VLOOKUP($C95,COS!$B$8:$H$991,2,FALSE)</f>
        <v>1860.261474609375</v>
      </c>
      <c r="L95" s="28">
        <f t="shared" ref="L95" si="146">IF(K95&lt;=IF(MONTH($C95)=4,$I$3,IF(MONTH($C95)=5,$I$4,IF(MONTH($C95)=6,$I$5,IF(MONTH($C95)=7,$I$6,"ERROR")))),1,0)</f>
        <v>1</v>
      </c>
      <c r="M95" s="28">
        <f t="shared" ref="M95" si="147">VLOOKUP($A95,$L$3:$M$7,2,FALSE)</f>
        <v>1</v>
      </c>
      <c r="N95" s="30">
        <f>VLOOKUP($C95,COS!$B$8:$H$991,5,FALSE)</f>
        <v>166.208740234375</v>
      </c>
      <c r="O95" s="30">
        <f t="shared" ref="O95:O98" si="148">N95*DAY($C95)*86400/43560/1000</f>
        <v>9.8901068569214878</v>
      </c>
      <c r="P95" s="30">
        <f>VLOOKUP($C95,COS!$B$8:$H$991,6,FALSE)</f>
        <v>541.11907958984375</v>
      </c>
      <c r="Q95" s="30">
        <f t="shared" ref="Q95:Q98" si="149">P95*DAY($C95)*86400/43560/1000</f>
        <v>32.198821264850203</v>
      </c>
      <c r="R95" s="30">
        <f>MIN(IF(MONTH($C95)=4,$S$3,IF(MONTH($C95)=5,$S$4,IF(MONTH($C95)=6,$S$5,IF(MONTH($C95)=7,$S$6,"ERROR")))),MAX(VLOOKUP($C95,COS!$B$8:$K$991,10,FALSE)-IF(MONTH($C95)=4,$Y$3,IF(MONTH($C95)=5,$Y$4,IF(MONTH($C95)=6,$Y$5,IF(MONTH($C95)=7,$Y$6,"ERROR")))),0),MAX(VLOOKUP($C95,COS!$B$8:$K$991,9,FALSE)-IF(MONTH($C95)=4,$V$3,IF(MONTH($C95)=5,$V$4,IF(MONTH($C95)=6,$V$5,IF(MONTH($C95)=7,$V$6,"ERROR"))))-VLOOKUP($C95,COS!$B$8:$K$991,6,FALSE)/2,0))</f>
        <v>1500</v>
      </c>
      <c r="S95" s="30">
        <f t="shared" ref="S95:S98" si="150">R95*DAY($C95)*86400/43560/1000</f>
        <v>89.256198347107429</v>
      </c>
      <c r="T95" s="30">
        <f t="shared" ref="T95:T98" si="151">(O95+Q95)/2+S95</f>
        <v>110.30066240799327</v>
      </c>
      <c r="U95" s="30" t="str">
        <f>IF(VLOOKUP($C95,COS!$B$8:$I$991,8,FALSE)=1,"UWFE","IBU")</f>
        <v>IBU</v>
      </c>
      <c r="V95" s="30">
        <f t="shared" ref="V95" si="152">MIN(IF(IF($AA$3=2,AND(E95=1,G95=1,L95=1,L100=1,M95=1,U95="IBU"),AND(E95=1,G95=1,L95=1,L100=1,M95=1)),T95,0),I95)</f>
        <v>0</v>
      </c>
      <c r="W95" s="30"/>
      <c r="X95" s="30"/>
      <c r="Y95" s="30"/>
      <c r="Z95" s="30"/>
      <c r="AA95" s="30"/>
      <c r="AB95" s="31"/>
      <c r="AD95" s="6"/>
      <c r="AE95" s="6"/>
      <c r="AF95" s="6"/>
      <c r="AG95" s="6"/>
    </row>
    <row r="96" spans="1:38" x14ac:dyDescent="0.3">
      <c r="A96" s="32">
        <f>VLOOKUP(YEAR(C96),Flags!$A$13:$B$95,2,FALSE)</f>
        <v>5</v>
      </c>
      <c r="B96" s="24">
        <f t="shared" si="116"/>
        <v>1931</v>
      </c>
      <c r="C96" s="25">
        <v>11474</v>
      </c>
      <c r="D96" s="26">
        <f>VLOOKUP($C96,COS!$B$8:$H$991,3,FALSE)</f>
        <v>8021.2177734375</v>
      </c>
      <c r="E96" s="24">
        <f>IF(D96&gt;=IF(MONTH($C96)=4,$C$3,IF(MONTH($C96)=5,$C$4,IF(MONTH($C96)=6,$C$5,IF(MONTH($C96)=7,$C$6,"ERROR")))),1,0)</f>
        <v>1</v>
      </c>
      <c r="F96" s="26">
        <f>VLOOKUP($C96,COS!$B$8:$H$991,7,FALSE)</f>
        <v>54.440109252929688</v>
      </c>
      <c r="G96" s="24">
        <f>IF(F96&lt;=IF(MONTH($C96)=4,$F$3,IF(MONTH($C96)=5,$F$4,IF(MONTH($C96)=6,$F$5,IF(MONTH($C96)=7,$F$6,"ERROR")))),1,0)</f>
        <v>1</v>
      </c>
      <c r="H96" s="26">
        <f>IF(J96=1,D96-$C$4,0)</f>
        <v>2021.2177734375</v>
      </c>
      <c r="I96" s="26">
        <f t="shared" si="136"/>
        <v>124.27983664772728</v>
      </c>
      <c r="J96" s="24">
        <f t="shared" si="145"/>
        <v>1</v>
      </c>
      <c r="K96" s="26">
        <f>VLOOKUP($C96,COS!$B$8:$H$991,2,FALSE)</f>
        <v>1533.49609375</v>
      </c>
      <c r="L96" s="24">
        <f t="shared" si="129"/>
        <v>1</v>
      </c>
      <c r="M96" s="24">
        <f t="shared" si="130"/>
        <v>1</v>
      </c>
      <c r="N96" s="26">
        <f>VLOOKUP($C96,COS!$B$8:$H$991,5,FALSE)</f>
        <v>149.48806762695313</v>
      </c>
      <c r="O96" s="26">
        <f t="shared" si="148"/>
        <v>9.1916630011944722</v>
      </c>
      <c r="P96" s="26">
        <f>VLOOKUP($C96,COS!$B$8:$H$991,6,FALSE)</f>
        <v>2010.7308349609375</v>
      </c>
      <c r="Q96" s="26">
        <f t="shared" si="149"/>
        <v>123.63501993478823</v>
      </c>
      <c r="R96" s="26">
        <f>MIN(IF(MONTH($C96)=4,$S$3,IF(MONTH($C96)=5,$S$4,IF(MONTH($C96)=6,$S$5,IF(MONTH($C96)=7,$S$6,"ERROR")))),MAX(VLOOKUP($C96,COS!$B$8:$K$991,10,FALSE)-IF(MONTH($C96)=4,$Y$3,IF(MONTH($C96)=5,$Y$4,IF(MONTH($C96)=6,$Y$5,IF(MONTH($C96)=7,$Y$6,"ERROR")))),0),MAX(VLOOKUP($C96,COS!$B$8:$K$991,9,FALSE)-IF(MONTH($C96)=4,$V$3,IF(MONTH($C96)=5,$V$4,IF(MONTH($C96)=6,$V$5,IF(MONTH($C96)=7,$V$6,"ERROR"))))-VLOOKUP($C96,COS!$B$8:$K$991,6,FALSE)/2,0))</f>
        <v>1500</v>
      </c>
      <c r="S96" s="26">
        <f t="shared" si="150"/>
        <v>92.231404958677686</v>
      </c>
      <c r="T96" s="26">
        <f t="shared" si="151"/>
        <v>158.64474642666903</v>
      </c>
      <c r="U96" s="26" t="str">
        <f>IF(VLOOKUP($C96,COS!$B$8:$I$991,8,FALSE)=1,"UWFE","IBU")</f>
        <v>IBU</v>
      </c>
      <c r="V96" s="26">
        <f t="shared" ref="V96" si="153">MIN(IF(IF($AA$3=2,AND(E96=1,G96=1,L96=1,L100=1,M96=1,U96="IBU"),AND(E96=1,G96=1,L96=1,L100=1,M96=1)),T96,0),I96)</f>
        <v>0</v>
      </c>
      <c r="W96" s="26"/>
      <c r="X96" s="26"/>
      <c r="Y96" s="26"/>
      <c r="Z96" s="26"/>
      <c r="AA96" s="26"/>
      <c r="AB96" s="33"/>
    </row>
    <row r="97" spans="1:28" x14ac:dyDescent="0.3">
      <c r="A97" s="32">
        <f>VLOOKUP(YEAR(C97),Flags!$A$13:$B$95,2,FALSE)</f>
        <v>5</v>
      </c>
      <c r="B97" s="24">
        <f t="shared" si="116"/>
        <v>1931</v>
      </c>
      <c r="C97" s="25">
        <v>11504</v>
      </c>
      <c r="D97" s="26">
        <f>VLOOKUP($C97,COS!$B$8:$H$991,3,FALSE)</f>
        <v>8236.236328125</v>
      </c>
      <c r="E97" s="24">
        <f>IF(D97&gt;=IF(MONTH($C97)=4,$C$3,IF(MONTH($C97)=5,$C$4,IF(MONTH($C97)=6,$C$5,IF(MONTH($C97)=7,$C$6,"ERROR")))),1,0)</f>
        <v>0</v>
      </c>
      <c r="F97" s="26">
        <f>VLOOKUP($C97,COS!$B$8:$H$991,7,FALSE)</f>
        <v>53.915287017822266</v>
      </c>
      <c r="G97" s="24">
        <f>IF(F97&lt;=IF(MONTH($C97)=4,$F$3,IF(MONTH($C97)=5,$F$4,IF(MONTH($C97)=6,$F$5,IF(MONTH($C97)=7,$F$6,"ERROR")))),1,0)</f>
        <v>1</v>
      </c>
      <c r="H97" s="26">
        <f>IF(J97=1,D97-$C$5,0)</f>
        <v>0</v>
      </c>
      <c r="I97" s="26">
        <f t="shared" si="136"/>
        <v>0</v>
      </c>
      <c r="J97" s="24">
        <f t="shared" si="145"/>
        <v>0</v>
      </c>
      <c r="K97" s="26">
        <f>VLOOKUP($C97,COS!$B$8:$H$991,2,FALSE)</f>
        <v>1203.680419921875</v>
      </c>
      <c r="L97" s="24">
        <f t="shared" si="129"/>
        <v>1</v>
      </c>
      <c r="M97" s="24">
        <f t="shared" si="130"/>
        <v>1</v>
      </c>
      <c r="N97" s="26">
        <f>VLOOKUP($C97,COS!$B$8:$H$991,5,FALSE)</f>
        <v>183.68203735351563</v>
      </c>
      <c r="O97" s="26">
        <f t="shared" si="148"/>
        <v>10.929840239217459</v>
      </c>
      <c r="P97" s="26">
        <f>VLOOKUP($C97,COS!$B$8:$H$991,6,FALSE)</f>
        <v>2250.943115234375</v>
      </c>
      <c r="Q97" s="26">
        <f t="shared" si="149"/>
        <v>133.94041677427685</v>
      </c>
      <c r="R97" s="26">
        <f>MIN(IF(MONTH($C97)=4,$S$3,IF(MONTH($C97)=5,$S$4,IF(MONTH($C97)=6,$S$5,IF(MONTH($C97)=7,$S$6,"ERROR")))),MAX(VLOOKUP($C97,COS!$B$8:$K$991,10,FALSE)-IF(MONTH($C97)=4,$Y$3,IF(MONTH($C97)=5,$Y$4,IF(MONTH($C97)=6,$Y$5,IF(MONTH($C97)=7,$Y$6,"ERROR")))),0),MAX(VLOOKUP($C97,COS!$B$8:$K$991,9,FALSE)-IF(MONTH($C97)=4,$V$3,IF(MONTH($C97)=5,$V$4,IF(MONTH($C97)=6,$V$5,IF(MONTH($C97)=7,$V$6,"ERROR"))))-VLOOKUP($C97,COS!$B$8:$K$991,6,FALSE)/2,0))</f>
        <v>1500</v>
      </c>
      <c r="S97" s="26">
        <f t="shared" si="150"/>
        <v>89.256198347107429</v>
      </c>
      <c r="T97" s="26">
        <f t="shared" si="151"/>
        <v>161.6913268538546</v>
      </c>
      <c r="U97" s="26" t="str">
        <f>IF(VLOOKUP($C97,COS!$B$8:$I$991,8,FALSE)=1,"UWFE","IBU")</f>
        <v>IBU</v>
      </c>
      <c r="V97" s="26">
        <f t="shared" ref="V97" si="154">MIN(IF(IF($AA$3=2,AND(E97=1,G97=1,L97=1,L100=1,M97=1,U97="IBU"),AND(E97=1,G97=1,L97=1,L100=1,M97=1)),T97,0),I97)</f>
        <v>0</v>
      </c>
      <c r="W97" s="26"/>
      <c r="X97" s="26"/>
      <c r="Y97" s="26"/>
      <c r="Z97" s="26"/>
      <c r="AA97" s="26"/>
      <c r="AB97" s="33"/>
    </row>
    <row r="98" spans="1:28" x14ac:dyDescent="0.3">
      <c r="A98" s="32">
        <f>VLOOKUP(YEAR(C98),Flags!$A$13:$B$95,2,FALSE)</f>
        <v>5</v>
      </c>
      <c r="B98" s="24">
        <f t="shared" si="116"/>
        <v>1931</v>
      </c>
      <c r="C98" s="25">
        <v>11535</v>
      </c>
      <c r="D98" s="26">
        <f>VLOOKUP($C98,COS!$B$8:$H$991,3,FALSE)</f>
        <v>9719.40234375</v>
      </c>
      <c r="E98" s="24">
        <f>IF(D98&gt;=IF(MONTH($C98)=4,$C$3,IF(MONTH($C98)=5,$C$4,IF(MONTH($C98)=6,$C$5,IF(MONTH($C98)=7,$C$6,"ERROR")))),1,0)</f>
        <v>0</v>
      </c>
      <c r="F98" s="26">
        <f>VLOOKUP($C98,COS!$B$8:$H$991,7,FALSE)</f>
        <v>56.554588317871094</v>
      </c>
      <c r="G98" s="24">
        <f>IF(F98&lt;=IF(MONTH($C98)=4,$F$3,IF(MONTH($C98)=5,$F$4,IF(MONTH($C98)=6,$F$5,IF(MONTH($C98)=7,$F$6,"ERROR")))),1,0)</f>
        <v>0</v>
      </c>
      <c r="H98" s="26">
        <f>IF(J98=1,D98-$C$6,0)</f>
        <v>0</v>
      </c>
      <c r="I98" s="26">
        <f t="shared" si="136"/>
        <v>0</v>
      </c>
      <c r="J98" s="24">
        <f t="shared" si="145"/>
        <v>0</v>
      </c>
      <c r="K98" s="26">
        <f>VLOOKUP($C98,COS!$B$8:$H$991,2,FALSE)</f>
        <v>751.55364990234375</v>
      </c>
      <c r="L98" s="24">
        <f t="shared" si="129"/>
        <v>1</v>
      </c>
      <c r="M98" s="24">
        <f t="shared" si="130"/>
        <v>1</v>
      </c>
      <c r="N98" s="26">
        <f>VLOOKUP($C98,COS!$B$8:$H$991,5,FALSE)</f>
        <v>229.37615966796875</v>
      </c>
      <c r="O98" s="26">
        <f t="shared" si="148"/>
        <v>14.10379031346849</v>
      </c>
      <c r="P98" s="26">
        <f>VLOOKUP($C98,COS!$B$8:$H$991,6,FALSE)</f>
        <v>2281.4833984375</v>
      </c>
      <c r="Q98" s="26">
        <f t="shared" si="149"/>
        <v>140.28294615185951</v>
      </c>
      <c r="R98" s="26">
        <f>MIN(IF(MONTH($C98)=4,$S$3,IF(MONTH($C98)=5,$S$4,IF(MONTH($C98)=6,$S$5,IF(MONTH($C98)=7,$S$6,"ERROR")))),MAX(VLOOKUP($C98,COS!$B$8:$K$991,10,FALSE)-IF(MONTH($C98)=4,$Y$3,IF(MONTH($C98)=5,$Y$4,IF(MONTH($C98)=6,$Y$5,IF(MONTH($C98)=7,$Y$6,"ERROR")))),0),MAX(VLOOKUP($C98,COS!$B$8:$K$991,9,FALSE)-IF(MONTH($C98)=4,$V$3,IF(MONTH($C98)=5,$V$4,IF(MONTH($C98)=6,$V$5,IF(MONTH($C98)=7,$V$6,"ERROR"))))-VLOOKUP($C98,COS!$B$8:$K$991,6,FALSE)/2,0))</f>
        <v>1500</v>
      </c>
      <c r="S98" s="26">
        <f t="shared" si="150"/>
        <v>92.231404958677686</v>
      </c>
      <c r="T98" s="26">
        <f t="shared" si="151"/>
        <v>169.42477319134167</v>
      </c>
      <c r="U98" s="26" t="str">
        <f>IF(VLOOKUP($C98,COS!$B$8:$I$991,8,FALSE)=1,"UWFE","IBU")</f>
        <v>IBU</v>
      </c>
      <c r="V98" s="26">
        <f t="shared" ref="V98" si="155">MIN(IF(IF($AA$3=2,AND(E98=1,G98=1,L98=1,L100=1,M98=1,U98="IBU"),AND(E98=1,G98=1,L98=1,L100=1,M98=1)),T98,0),I98)</f>
        <v>0</v>
      </c>
      <c r="W98" s="26"/>
      <c r="X98" s="26"/>
      <c r="Y98" s="26"/>
      <c r="Z98" s="26"/>
      <c r="AA98" s="26"/>
      <c r="AB98" s="33"/>
    </row>
    <row r="99" spans="1:28" x14ac:dyDescent="0.3">
      <c r="A99" s="32">
        <f>VLOOKUP(YEAR(C99),Flags!$A$13:$B$95,2,FALSE)</f>
        <v>5</v>
      </c>
      <c r="B99" s="24">
        <f t="shared" si="116"/>
        <v>1931</v>
      </c>
      <c r="C99" s="25">
        <v>11566</v>
      </c>
      <c r="D99" s="26"/>
      <c r="E99" s="24"/>
      <c r="F99" s="26"/>
      <c r="G99" s="24"/>
      <c r="H99" s="24"/>
      <c r="I99" s="26"/>
      <c r="J99" s="24"/>
      <c r="K99" s="26"/>
      <c r="L99" s="24"/>
      <c r="M99" s="24"/>
      <c r="N99" s="26"/>
      <c r="O99" s="26"/>
      <c r="P99" s="26"/>
      <c r="Q99" s="26"/>
      <c r="R99" s="26"/>
      <c r="S99" s="26"/>
      <c r="T99" s="26"/>
      <c r="U99" s="26"/>
      <c r="V99" s="26"/>
      <c r="W99" s="26">
        <f>MAX($C$7-VLOOKUP($C99,COS!$B$8:$H$991,3,FALSE),0)</f>
        <v>4454.15478515625</v>
      </c>
      <c r="X99" s="26">
        <f t="shared" si="143"/>
        <v>273.8753024922521</v>
      </c>
      <c r="Y99" s="26">
        <f>VLOOKUP($C99,COS!$B$8:$H$991,4,FALSE)</f>
        <v>1954.847412109375</v>
      </c>
      <c r="Z99" s="26">
        <f t="shared" si="144"/>
        <v>120.1988821991219</v>
      </c>
      <c r="AA99" s="26">
        <f t="shared" ref="AA99:AA103" si="156">MIN(W99,Y99)</f>
        <v>1954.847412109375</v>
      </c>
      <c r="AB99" s="33">
        <f t="shared" ref="AB99" si="157">AA99*DAY($C99)*86400/43560/1000*IF(MONTH($C99)=8,$P$3,IF(MONTH($C99)=9,$P$4,IF(MONTH($C99)=10,$P$5,IF(MONTH($C99)=11,$P$6,IF(MONTH($C99)=12,$P$7,NA())))))</f>
        <v>120.1988821991219</v>
      </c>
    </row>
    <row r="100" spans="1:28" x14ac:dyDescent="0.3">
      <c r="A100" s="32">
        <f>VLOOKUP(YEAR(C100),Flags!$A$13:$B$95,2,FALSE)</f>
        <v>5</v>
      </c>
      <c r="B100" s="24">
        <f t="shared" si="116"/>
        <v>1931</v>
      </c>
      <c r="C100" s="25">
        <v>11596</v>
      </c>
      <c r="D100" s="26"/>
      <c r="E100" s="24"/>
      <c r="F100" s="26"/>
      <c r="G100" s="24"/>
      <c r="H100" s="24"/>
      <c r="I100" s="26"/>
      <c r="J100" s="24"/>
      <c r="K100" s="26">
        <f>VLOOKUP($C100,COS!$B$8:$H$991,2,FALSE)</f>
        <v>558.61627197265625</v>
      </c>
      <c r="L100" s="24">
        <f t="shared" ref="L100" si="158">IF(AND(K100&gt;$I$7,K100&lt;$I$8),1,0)</f>
        <v>0</v>
      </c>
      <c r="M100" s="24"/>
      <c r="N100" s="26"/>
      <c r="O100" s="26"/>
      <c r="P100" s="26"/>
      <c r="Q100" s="26"/>
      <c r="R100" s="26"/>
      <c r="S100" s="26"/>
      <c r="T100" s="26"/>
      <c r="U100" s="26"/>
      <c r="V100" s="26"/>
      <c r="W100" s="26">
        <f>MAX($C$8-VLOOKUP($C100,COS!$B$8:$H$991,3,FALSE),0)</f>
        <v>1635.48095703125</v>
      </c>
      <c r="X100" s="26">
        <f t="shared" si="143"/>
        <v>97.317875129132233</v>
      </c>
      <c r="Y100" s="26">
        <f>VLOOKUP($C100,COS!$B$8:$H$991,4,FALSE)</f>
        <v>2060.603515625</v>
      </c>
      <c r="Z100" s="26">
        <f t="shared" si="144"/>
        <v>122.61442407024794</v>
      </c>
      <c r="AA100" s="26">
        <f t="shared" si="156"/>
        <v>1635.48095703125</v>
      </c>
      <c r="AB100" s="33">
        <f t="shared" si="141"/>
        <v>97.317875129132233</v>
      </c>
    </row>
    <row r="101" spans="1:28" x14ac:dyDescent="0.3">
      <c r="A101" s="32">
        <f>VLOOKUP(YEAR(C101),Flags!$A$13:$B$95,2,FALSE)</f>
        <v>5</v>
      </c>
      <c r="B101" s="24">
        <f t="shared" si="116"/>
        <v>1931</v>
      </c>
      <c r="C101" s="25">
        <v>11627</v>
      </c>
      <c r="D101" s="26"/>
      <c r="E101" s="24"/>
      <c r="F101" s="26"/>
      <c r="G101" s="26"/>
      <c r="H101" s="26"/>
      <c r="I101" s="26"/>
      <c r="J101" s="26"/>
      <c r="K101" s="26"/>
      <c r="L101" s="24"/>
      <c r="M101" s="24"/>
      <c r="N101" s="26"/>
      <c r="O101" s="26"/>
      <c r="P101" s="26"/>
      <c r="Q101" s="26"/>
      <c r="R101" s="26"/>
      <c r="S101" s="26"/>
      <c r="T101" s="26"/>
      <c r="U101" s="26"/>
      <c r="V101" s="26"/>
      <c r="W101" s="26">
        <f>MAX($C$9-VLOOKUP($C101,COS!$B$8:$H$991,3,FALSE),0)</f>
        <v>357.61572265625</v>
      </c>
      <c r="X101" s="26">
        <f t="shared" si="143"/>
        <v>21.988933690599172</v>
      </c>
      <c r="Y101" s="26">
        <f>VLOOKUP($C101,COS!$B$8:$H$991,4,FALSE)</f>
        <v>1549.2154541015625</v>
      </c>
      <c r="Z101" s="26">
        <f t="shared" si="144"/>
        <v>95.257545276988637</v>
      </c>
      <c r="AA101" s="26">
        <f t="shared" si="156"/>
        <v>357.61572265625</v>
      </c>
      <c r="AB101" s="33">
        <f t="shared" si="141"/>
        <v>21.988933690599172</v>
      </c>
    </row>
    <row r="102" spans="1:28" x14ac:dyDescent="0.3">
      <c r="A102" s="32">
        <f>VLOOKUP(YEAR(C102),Flags!$A$13:$B$95,2,FALSE)</f>
        <v>5</v>
      </c>
      <c r="B102" s="24">
        <f t="shared" si="116"/>
        <v>1931</v>
      </c>
      <c r="C102" s="25">
        <v>11657</v>
      </c>
      <c r="D102" s="26"/>
      <c r="E102" s="24"/>
      <c r="F102" s="26"/>
      <c r="G102" s="26"/>
      <c r="H102" s="26"/>
      <c r="I102" s="26"/>
      <c r="J102" s="26"/>
      <c r="K102" s="26"/>
      <c r="L102" s="24"/>
      <c r="M102" s="24"/>
      <c r="N102" s="26"/>
      <c r="O102" s="26"/>
      <c r="P102" s="26"/>
      <c r="Q102" s="26"/>
      <c r="R102" s="26"/>
      <c r="S102" s="26"/>
      <c r="T102" s="26"/>
      <c r="U102" s="26"/>
      <c r="V102" s="26"/>
      <c r="W102" s="26">
        <f>MAX($C$10-VLOOKUP($C102,COS!$B$8:$H$991,3,FALSE),0)</f>
        <v>1803.866943359375</v>
      </c>
      <c r="X102" s="26">
        <f t="shared" si="143"/>
        <v>107.33753712551652</v>
      </c>
      <c r="Y102" s="26">
        <f>VLOOKUP($C102,COS!$B$8:$H$991,4,FALSE)</f>
        <v>1329.917724609375</v>
      </c>
      <c r="Z102" s="26">
        <f t="shared" si="144"/>
        <v>79.135600142045462</v>
      </c>
      <c r="AA102" s="26">
        <f t="shared" si="156"/>
        <v>1329.917724609375</v>
      </c>
      <c r="AB102" s="33">
        <f t="shared" si="141"/>
        <v>79.135600142045462</v>
      </c>
    </row>
    <row r="103" spans="1:28" x14ac:dyDescent="0.3">
      <c r="A103" s="34">
        <f>VLOOKUP(YEAR(C103),Flags!$A$13:$B$95,2,FALSE)</f>
        <v>5</v>
      </c>
      <c r="B103" s="35">
        <f t="shared" si="116"/>
        <v>1931</v>
      </c>
      <c r="C103" s="36">
        <v>11688</v>
      </c>
      <c r="D103" s="37"/>
      <c r="E103" s="35"/>
      <c r="F103" s="37"/>
      <c r="G103" s="37"/>
      <c r="H103" s="37"/>
      <c r="I103" s="37"/>
      <c r="J103" s="37"/>
      <c r="K103" s="37"/>
      <c r="L103" s="35"/>
      <c r="M103" s="35"/>
      <c r="N103" s="37"/>
      <c r="O103" s="37"/>
      <c r="P103" s="37"/>
      <c r="Q103" s="37"/>
      <c r="R103" s="37"/>
      <c r="S103" s="37"/>
      <c r="T103" s="37"/>
      <c r="U103" s="37"/>
      <c r="V103" s="37"/>
      <c r="W103" s="37">
        <f>MAX($C$11-VLOOKUP($C103,COS!$B$8:$H$991,3,FALSE),0)</f>
        <v>1750</v>
      </c>
      <c r="X103" s="37">
        <f t="shared" si="143"/>
        <v>107.60330578512398</v>
      </c>
      <c r="Y103" s="37">
        <f>VLOOKUP($C103,COS!$B$8:$H$991,4,FALSE)</f>
        <v>0</v>
      </c>
      <c r="Z103" s="37">
        <f t="shared" si="144"/>
        <v>0</v>
      </c>
      <c r="AA103" s="37">
        <f t="shared" si="156"/>
        <v>0</v>
      </c>
      <c r="AB103" s="38">
        <f t="shared" si="141"/>
        <v>0</v>
      </c>
    </row>
    <row r="104" spans="1:28" x14ac:dyDescent="0.3">
      <c r="A104" s="27">
        <f>VLOOKUP(YEAR(C104),Flags!$A$13:$B$95,2,FALSE)</f>
        <v>5</v>
      </c>
      <c r="B104" s="28">
        <f t="shared" si="116"/>
        <v>1932</v>
      </c>
      <c r="C104" s="29">
        <v>11809</v>
      </c>
      <c r="D104" s="30">
        <f>VLOOKUP($C104,COS!$B$8:$H$991,3,FALSE)</f>
        <v>3250</v>
      </c>
      <c r="E104" s="28">
        <f>IF(D104&gt;=IF(MONTH($C104)=4,$C$3,IF(MONTH($C104)=5,$C$4,IF(MONTH($C104)=6,$C$5,IF(MONTH($C104)=7,$C$6,"ERROR")))),1,0)</f>
        <v>0</v>
      </c>
      <c r="F104" s="30">
        <f>VLOOKUP($C104,COS!$B$8:$H$991,7,FALSE)</f>
        <v>49.347862243652344</v>
      </c>
      <c r="G104" s="28">
        <f>IF(F104&lt;=IF(MONTH($C104)=4,$F$3,IF(MONTH($C104)=5,$F$4,IF(MONTH($C104)=6,$F$5,IF(MONTH($C104)=7,$F$6,"ERROR")))),1,0)</f>
        <v>1</v>
      </c>
      <c r="H104" s="30">
        <f>IF(J104=1,D104-$C$3,0)</f>
        <v>0</v>
      </c>
      <c r="I104" s="30">
        <f t="shared" si="136"/>
        <v>0</v>
      </c>
      <c r="J104" s="28">
        <f t="shared" ref="J104:J107" si="159">IF(AND(E104=1,G104=1),1,0)</f>
        <v>0</v>
      </c>
      <c r="K104" s="30">
        <f>VLOOKUP($C104,COS!$B$8:$H$991,2,FALSE)</f>
        <v>1787.3011474609375</v>
      </c>
      <c r="L104" s="28">
        <f t="shared" ref="L104" si="160">IF(K104&lt;=IF(MONTH($C104)=4,$I$3,IF(MONTH($C104)=5,$I$4,IF(MONTH($C104)=6,$I$5,IF(MONTH($C104)=7,$I$6,"ERROR")))),1,0)</f>
        <v>1</v>
      </c>
      <c r="M104" s="28">
        <f t="shared" ref="M104" si="161">VLOOKUP($A104,$L$3:$M$7,2,FALSE)</f>
        <v>1</v>
      </c>
      <c r="N104" s="30">
        <f>VLOOKUP($C104,COS!$B$8:$H$991,5,FALSE)</f>
        <v>0</v>
      </c>
      <c r="O104" s="30">
        <f t="shared" ref="O104:O107" si="162">N104*DAY($C104)*86400/43560/1000</f>
        <v>0</v>
      </c>
      <c r="P104" s="30">
        <f>VLOOKUP($C104,COS!$B$8:$H$991,6,FALSE)</f>
        <v>527.22991943359375</v>
      </c>
      <c r="Q104" s="30">
        <f t="shared" ref="Q104:Q107" si="163">P104*DAY($C104)*86400/43560/1000</f>
        <v>31.372358842329543</v>
      </c>
      <c r="R104" s="30">
        <f>MIN(IF(MONTH($C104)=4,$S$3,IF(MONTH($C104)=5,$S$4,IF(MONTH($C104)=6,$S$5,IF(MONTH($C104)=7,$S$6,"ERROR")))),MAX(VLOOKUP($C104,COS!$B$8:$K$991,10,FALSE)-IF(MONTH($C104)=4,$Y$3,IF(MONTH($C104)=5,$Y$4,IF(MONTH($C104)=6,$Y$5,IF(MONTH($C104)=7,$Y$6,"ERROR")))),0),MAX(VLOOKUP($C104,COS!$B$8:$K$991,9,FALSE)-IF(MONTH($C104)=4,$V$3,IF(MONTH($C104)=5,$V$4,IF(MONTH($C104)=6,$V$5,IF(MONTH($C104)=7,$V$6,"ERROR"))))-VLOOKUP($C104,COS!$B$8:$K$991,6,FALSE)/2,0))</f>
        <v>1207.2068176269531</v>
      </c>
      <c r="S104" s="30">
        <f t="shared" ref="S104:S107" si="164">R104*DAY($C104)*86400/43560/1000</f>
        <v>71.83379410672778</v>
      </c>
      <c r="T104" s="30">
        <f t="shared" ref="T104:T107" si="165">(O104+Q104)/2+S104</f>
        <v>87.519973527892546</v>
      </c>
      <c r="U104" s="30" t="str">
        <f>IF(VLOOKUP($C104,COS!$B$8:$I$991,8,FALSE)=1,"UWFE","IBU")</f>
        <v>UWFE</v>
      </c>
      <c r="V104" s="30">
        <f t="shared" ref="V104" si="166">MIN(IF(IF($AA$3=2,AND(E104=1,G104=1,L104=1,L109=1,M104=1,U104="IBU"),AND(E104=1,G104=1,L104=1,L109=1,M104=1)),T104,0),I104)</f>
        <v>0</v>
      </c>
      <c r="W104" s="30"/>
      <c r="X104" s="30"/>
      <c r="Y104" s="30"/>
      <c r="Z104" s="30"/>
      <c r="AA104" s="30"/>
      <c r="AB104" s="31"/>
    </row>
    <row r="105" spans="1:28" x14ac:dyDescent="0.3">
      <c r="A105" s="32">
        <f>VLOOKUP(YEAR(C105),Flags!$A$13:$B$95,2,FALSE)</f>
        <v>5</v>
      </c>
      <c r="B105" s="24">
        <f t="shared" si="116"/>
        <v>1932</v>
      </c>
      <c r="C105" s="25">
        <v>11840</v>
      </c>
      <c r="D105" s="26">
        <f>VLOOKUP($C105,COS!$B$8:$H$991,3,FALSE)</f>
        <v>4951.02978515625</v>
      </c>
      <c r="E105" s="24">
        <f>IF(D105&gt;=IF(MONTH($C105)=4,$C$3,IF(MONTH($C105)=5,$C$4,IF(MONTH($C105)=6,$C$5,IF(MONTH($C105)=7,$C$6,"ERROR")))),1,0)</f>
        <v>0</v>
      </c>
      <c r="F105" s="26">
        <f>VLOOKUP($C105,COS!$B$8:$H$991,7,FALSE)</f>
        <v>51.659408569335938</v>
      </c>
      <c r="G105" s="24">
        <f>IF(F105&lt;=IF(MONTH($C105)=4,$F$3,IF(MONTH($C105)=5,$F$4,IF(MONTH($C105)=6,$F$5,IF(MONTH($C105)=7,$F$6,"ERROR")))),1,0)</f>
        <v>1</v>
      </c>
      <c r="H105" s="26">
        <f>IF(J105=1,D105-$C$4,0)</f>
        <v>0</v>
      </c>
      <c r="I105" s="26">
        <f t="shared" si="136"/>
        <v>0</v>
      </c>
      <c r="J105" s="24">
        <f t="shared" si="159"/>
        <v>0</v>
      </c>
      <c r="K105" s="26">
        <f>VLOOKUP($C105,COS!$B$8:$H$991,2,FALSE)</f>
        <v>1880.785400390625</v>
      </c>
      <c r="L105" s="24">
        <f t="shared" si="129"/>
        <v>1</v>
      </c>
      <c r="M105" s="24">
        <f t="shared" si="130"/>
        <v>1</v>
      </c>
      <c r="N105" s="26">
        <f>VLOOKUP($C105,COS!$B$8:$H$991,5,FALSE)</f>
        <v>0</v>
      </c>
      <c r="O105" s="26">
        <f t="shared" si="162"/>
        <v>0</v>
      </c>
      <c r="P105" s="26">
        <f>VLOOKUP($C105,COS!$B$8:$H$991,6,FALSE)</f>
        <v>2037.6466064453125</v>
      </c>
      <c r="Q105" s="26">
        <f t="shared" si="163"/>
        <v>125.29000621448863</v>
      </c>
      <c r="R105" s="26">
        <f>MIN(IF(MONTH($C105)=4,$S$3,IF(MONTH($C105)=5,$S$4,IF(MONTH($C105)=6,$S$5,IF(MONTH($C105)=7,$S$6,"ERROR")))),MAX(VLOOKUP($C105,COS!$B$8:$K$991,10,FALSE)-IF(MONTH($C105)=4,$Y$3,IF(MONTH($C105)=5,$Y$4,IF(MONTH($C105)=6,$Y$5,IF(MONTH($C105)=7,$Y$6,"ERROR")))),0),MAX(VLOOKUP($C105,COS!$B$8:$K$991,9,FALSE)-IF(MONTH($C105)=4,$V$3,IF(MONTH($C105)=5,$V$4,IF(MONTH($C105)=6,$V$5,IF(MONTH($C105)=7,$V$6,"ERROR"))))-VLOOKUP($C105,COS!$B$8:$K$991,6,FALSE)/2,0))</f>
        <v>1500</v>
      </c>
      <c r="S105" s="26">
        <f t="shared" si="164"/>
        <v>92.231404958677686</v>
      </c>
      <c r="T105" s="26">
        <f t="shared" si="165"/>
        <v>154.87640806592199</v>
      </c>
      <c r="U105" s="26" t="str">
        <f>IF(VLOOKUP($C105,COS!$B$8:$I$991,8,FALSE)=1,"UWFE","IBU")</f>
        <v>UWFE</v>
      </c>
      <c r="V105" s="26">
        <f t="shared" ref="V105" si="167">MIN(IF(IF($AA$3=2,AND(E105=1,G105=1,L105=1,L109=1,M105=1,U105="IBU"),AND(E105=1,G105=1,L105=1,L109=1,M105=1)),T105,0),I105)</f>
        <v>0</v>
      </c>
      <c r="W105" s="26"/>
      <c r="X105" s="26"/>
      <c r="Y105" s="26"/>
      <c r="Z105" s="26"/>
      <c r="AA105" s="26"/>
      <c r="AB105" s="33"/>
    </row>
    <row r="106" spans="1:28" x14ac:dyDescent="0.3">
      <c r="A106" s="32">
        <f>VLOOKUP(YEAR(C106),Flags!$A$13:$B$95,2,FALSE)</f>
        <v>5</v>
      </c>
      <c r="B106" s="24">
        <f t="shared" si="116"/>
        <v>1932</v>
      </c>
      <c r="C106" s="25">
        <v>11870</v>
      </c>
      <c r="D106" s="26">
        <f>VLOOKUP($C106,COS!$B$8:$H$991,3,FALSE)</f>
        <v>7197.30029296875</v>
      </c>
      <c r="E106" s="24">
        <f>IF(D106&gt;=IF(MONTH($C106)=4,$C$3,IF(MONTH($C106)=5,$C$4,IF(MONTH($C106)=6,$C$5,IF(MONTH($C106)=7,$C$6,"ERROR")))),1,0)</f>
        <v>0</v>
      </c>
      <c r="F106" s="26">
        <f>VLOOKUP($C106,COS!$B$8:$H$991,7,FALSE)</f>
        <v>54.089519500732422</v>
      </c>
      <c r="G106" s="24">
        <f>IF(F106&lt;=IF(MONTH($C106)=4,$F$3,IF(MONTH($C106)=5,$F$4,IF(MONTH($C106)=6,$F$5,IF(MONTH($C106)=7,$F$6,"ERROR")))),1,0)</f>
        <v>1</v>
      </c>
      <c r="H106" s="26">
        <f>IF(J106=1,D106-$C$5,0)</f>
        <v>0</v>
      </c>
      <c r="I106" s="26">
        <f t="shared" si="136"/>
        <v>0</v>
      </c>
      <c r="J106" s="24">
        <f t="shared" si="159"/>
        <v>0</v>
      </c>
      <c r="K106" s="26">
        <f>VLOOKUP($C106,COS!$B$8:$H$991,2,FALSE)</f>
        <v>1657.180419921875</v>
      </c>
      <c r="L106" s="24">
        <f t="shared" si="129"/>
        <v>1</v>
      </c>
      <c r="M106" s="24">
        <f t="shared" si="130"/>
        <v>1</v>
      </c>
      <c r="N106" s="26">
        <f>VLOOKUP($C106,COS!$B$8:$H$991,5,FALSE)</f>
        <v>0</v>
      </c>
      <c r="O106" s="26">
        <f t="shared" si="162"/>
        <v>0</v>
      </c>
      <c r="P106" s="26">
        <f>VLOOKUP($C106,COS!$B$8:$H$991,6,FALSE)</f>
        <v>2546.35791015625</v>
      </c>
      <c r="Q106" s="26">
        <f t="shared" si="163"/>
        <v>151.51881779442149</v>
      </c>
      <c r="R106" s="26">
        <f>MIN(IF(MONTH($C106)=4,$S$3,IF(MONTH($C106)=5,$S$4,IF(MONTH($C106)=6,$S$5,IF(MONTH($C106)=7,$S$6,"ERROR")))),MAX(VLOOKUP($C106,COS!$B$8:$K$991,10,FALSE)-IF(MONTH($C106)=4,$Y$3,IF(MONTH($C106)=5,$Y$4,IF(MONTH($C106)=6,$Y$5,IF(MONTH($C106)=7,$Y$6,"ERROR")))),0),MAX(VLOOKUP($C106,COS!$B$8:$K$991,9,FALSE)-IF(MONTH($C106)=4,$V$3,IF(MONTH($C106)=5,$V$4,IF(MONTH($C106)=6,$V$5,IF(MONTH($C106)=7,$V$6,"ERROR"))))-VLOOKUP($C106,COS!$B$8:$K$991,6,FALSE)/2,0))</f>
        <v>1500</v>
      </c>
      <c r="S106" s="26">
        <f t="shared" si="164"/>
        <v>89.256198347107429</v>
      </c>
      <c r="T106" s="26">
        <f t="shared" si="165"/>
        <v>165.01560724431818</v>
      </c>
      <c r="U106" s="26" t="str">
        <f>IF(VLOOKUP($C106,COS!$B$8:$I$991,8,FALSE)=1,"UWFE","IBU")</f>
        <v>IBU</v>
      </c>
      <c r="V106" s="26">
        <f t="shared" ref="V106" si="168">MIN(IF(IF($AA$3=2,AND(E106=1,G106=1,L106=1,L109=1,M106=1,U106="IBU"),AND(E106=1,G106=1,L106=1,L109=1,M106=1)),T106,0),I106)</f>
        <v>0</v>
      </c>
      <c r="W106" s="26"/>
      <c r="X106" s="26"/>
      <c r="Y106" s="26"/>
      <c r="Z106" s="26"/>
      <c r="AA106" s="26"/>
      <c r="AB106" s="33"/>
    </row>
    <row r="107" spans="1:28" x14ac:dyDescent="0.3">
      <c r="A107" s="32">
        <f>VLOOKUP(YEAR(C107),Flags!$A$13:$B$95,2,FALSE)</f>
        <v>5</v>
      </c>
      <c r="B107" s="24">
        <f t="shared" si="116"/>
        <v>1932</v>
      </c>
      <c r="C107" s="25">
        <v>11901</v>
      </c>
      <c r="D107" s="26">
        <f>VLOOKUP($C107,COS!$B$8:$H$991,3,FALSE)</f>
        <v>8582.53125</v>
      </c>
      <c r="E107" s="24">
        <f>IF(D107&gt;=IF(MONTH($C107)=4,$C$3,IF(MONTH($C107)=5,$C$4,IF(MONTH($C107)=6,$C$5,IF(MONTH($C107)=7,$C$6,"ERROR")))),1,0)</f>
        <v>0</v>
      </c>
      <c r="F107" s="26">
        <f>VLOOKUP($C107,COS!$B$8:$H$991,7,FALSE)</f>
        <v>55.753875732421875</v>
      </c>
      <c r="G107" s="24">
        <f>IF(F107&lt;=IF(MONTH($C107)=4,$F$3,IF(MONTH($C107)=5,$F$4,IF(MONTH($C107)=6,$F$5,IF(MONTH($C107)=7,$F$6,"ERROR")))),1,0)</f>
        <v>0</v>
      </c>
      <c r="H107" s="26">
        <f>IF(J107=1,D107-$C$6,0)</f>
        <v>0</v>
      </c>
      <c r="I107" s="26">
        <f t="shared" si="136"/>
        <v>0</v>
      </c>
      <c r="J107" s="24">
        <f t="shared" si="159"/>
        <v>0</v>
      </c>
      <c r="K107" s="26">
        <f>VLOOKUP($C107,COS!$B$8:$H$991,2,FALSE)</f>
        <v>1286.91845703125</v>
      </c>
      <c r="L107" s="24">
        <f t="shared" si="129"/>
        <v>1</v>
      </c>
      <c r="M107" s="24">
        <f t="shared" si="130"/>
        <v>1</v>
      </c>
      <c r="N107" s="26">
        <f>VLOOKUP($C107,COS!$B$8:$H$991,5,FALSE)</f>
        <v>0</v>
      </c>
      <c r="O107" s="26">
        <f t="shared" si="162"/>
        <v>0</v>
      </c>
      <c r="P107" s="26">
        <f>VLOOKUP($C107,COS!$B$8:$H$991,6,FALSE)</f>
        <v>2538.07568359375</v>
      </c>
      <c r="Q107" s="26">
        <f t="shared" si="163"/>
        <v>156.06019079287191</v>
      </c>
      <c r="R107" s="26">
        <f>MIN(IF(MONTH($C107)=4,$S$3,IF(MONTH($C107)=5,$S$4,IF(MONTH($C107)=6,$S$5,IF(MONTH($C107)=7,$S$6,"ERROR")))),MAX(VLOOKUP($C107,COS!$B$8:$K$991,10,FALSE)-IF(MONTH($C107)=4,$Y$3,IF(MONTH($C107)=5,$Y$4,IF(MONTH($C107)=6,$Y$5,IF(MONTH($C107)=7,$Y$6,"ERROR")))),0),MAX(VLOOKUP($C107,COS!$B$8:$K$991,9,FALSE)-IF(MONTH($C107)=4,$V$3,IF(MONTH($C107)=5,$V$4,IF(MONTH($C107)=6,$V$5,IF(MONTH($C107)=7,$V$6,"ERROR"))))-VLOOKUP($C107,COS!$B$8:$K$991,6,FALSE)/2,0))</f>
        <v>1500</v>
      </c>
      <c r="S107" s="26">
        <f t="shared" si="164"/>
        <v>92.231404958677686</v>
      </c>
      <c r="T107" s="26">
        <f t="shared" si="165"/>
        <v>170.26150035511364</v>
      </c>
      <c r="U107" s="26" t="str">
        <f>IF(VLOOKUP($C107,COS!$B$8:$I$991,8,FALSE)=1,"UWFE","IBU")</f>
        <v>IBU</v>
      </c>
      <c r="V107" s="26">
        <f t="shared" ref="V107" si="169">MIN(IF(IF($AA$3=2,AND(E107=1,G107=1,L107=1,L109=1,M107=1,U107="IBU"),AND(E107=1,G107=1,L107=1,L109=1,M107=1)),T107,0),I107)</f>
        <v>0</v>
      </c>
      <c r="W107" s="26"/>
      <c r="X107" s="26"/>
      <c r="Y107" s="26"/>
      <c r="Z107" s="26"/>
      <c r="AA107" s="26"/>
      <c r="AB107" s="33"/>
    </row>
    <row r="108" spans="1:28" x14ac:dyDescent="0.3">
      <c r="A108" s="32">
        <f>VLOOKUP(YEAR(C108),Flags!$A$13:$B$95,2,FALSE)</f>
        <v>5</v>
      </c>
      <c r="B108" s="24">
        <f t="shared" si="116"/>
        <v>1932</v>
      </c>
      <c r="C108" s="25">
        <v>11932</v>
      </c>
      <c r="D108" s="26"/>
      <c r="E108" s="24"/>
      <c r="F108" s="26"/>
      <c r="G108" s="24"/>
      <c r="H108" s="24"/>
      <c r="I108" s="26"/>
      <c r="J108" s="24"/>
      <c r="K108" s="26"/>
      <c r="L108" s="24"/>
      <c r="M108" s="24"/>
      <c r="N108" s="26"/>
      <c r="O108" s="26"/>
      <c r="P108" s="26"/>
      <c r="Q108" s="26"/>
      <c r="R108" s="26"/>
      <c r="S108" s="26"/>
      <c r="T108" s="26"/>
      <c r="U108" s="26"/>
      <c r="V108" s="26"/>
      <c r="W108" s="26">
        <f>MAX($C$7-VLOOKUP($C108,COS!$B$8:$H$991,3,FALSE),0)</f>
        <v>4727.396484375</v>
      </c>
      <c r="X108" s="26">
        <f t="shared" si="143"/>
        <v>290.6762797004132</v>
      </c>
      <c r="Y108" s="26">
        <f>VLOOKUP($C108,COS!$B$8:$H$991,4,FALSE)</f>
        <v>1881.437744140625</v>
      </c>
      <c r="Z108" s="26">
        <f t="shared" si="144"/>
        <v>115.68509765624999</v>
      </c>
      <c r="AA108" s="26">
        <f t="shared" ref="AA108:AA112" si="170">MIN(W108,Y108)</f>
        <v>1881.437744140625</v>
      </c>
      <c r="AB108" s="33">
        <f t="shared" ref="AB108" si="171">AA108*DAY($C108)*86400/43560/1000*IF(MONTH($C108)=8,$P$3,IF(MONTH($C108)=9,$P$4,IF(MONTH($C108)=10,$P$5,IF(MONTH($C108)=11,$P$6,IF(MONTH($C108)=12,$P$7,NA())))))</f>
        <v>115.68509765624999</v>
      </c>
    </row>
    <row r="109" spans="1:28" x14ac:dyDescent="0.3">
      <c r="A109" s="32">
        <f>VLOOKUP(YEAR(C109),Flags!$A$13:$B$95,2,FALSE)</f>
        <v>5</v>
      </c>
      <c r="B109" s="24">
        <f t="shared" si="116"/>
        <v>1932</v>
      </c>
      <c r="C109" s="25">
        <v>11962</v>
      </c>
      <c r="D109" s="26"/>
      <c r="E109" s="24"/>
      <c r="F109" s="26"/>
      <c r="G109" s="24"/>
      <c r="H109" s="24"/>
      <c r="I109" s="26"/>
      <c r="J109" s="24"/>
      <c r="K109" s="26">
        <f>VLOOKUP($C109,COS!$B$8:$H$991,2,FALSE)</f>
        <v>902.0557861328125</v>
      </c>
      <c r="L109" s="24">
        <f t="shared" ref="L109" si="172">IF(AND(K109&gt;$I$7,K109&lt;$I$8),1,0)</f>
        <v>0</v>
      </c>
      <c r="M109" s="24"/>
      <c r="N109" s="26"/>
      <c r="O109" s="26"/>
      <c r="P109" s="26"/>
      <c r="Q109" s="26"/>
      <c r="R109" s="26"/>
      <c r="S109" s="26"/>
      <c r="T109" s="26"/>
      <c r="U109" s="26"/>
      <c r="V109" s="26"/>
      <c r="W109" s="26">
        <f>MAX($C$8-VLOOKUP($C109,COS!$B$8:$H$991,3,FALSE),0)</f>
        <v>1769.7431640625</v>
      </c>
      <c r="X109" s="26">
        <f t="shared" si="143"/>
        <v>105.30703124999999</v>
      </c>
      <c r="Y109" s="26">
        <f>VLOOKUP($C109,COS!$B$8:$H$991,4,FALSE)</f>
        <v>909.056396484375</v>
      </c>
      <c r="Z109" s="26">
        <f t="shared" si="144"/>
        <v>54.092612022210744</v>
      </c>
      <c r="AA109" s="26">
        <f t="shared" si="170"/>
        <v>909.056396484375</v>
      </c>
      <c r="AB109" s="33">
        <f t="shared" si="141"/>
        <v>54.092612022210744</v>
      </c>
    </row>
    <row r="110" spans="1:28" x14ac:dyDescent="0.3">
      <c r="A110" s="32">
        <f>VLOOKUP(YEAR(C110),Flags!$A$13:$B$95,2,FALSE)</f>
        <v>5</v>
      </c>
      <c r="B110" s="24">
        <f t="shared" si="116"/>
        <v>1932</v>
      </c>
      <c r="C110" s="25">
        <v>11993</v>
      </c>
      <c r="D110" s="26"/>
      <c r="E110" s="24"/>
      <c r="F110" s="26"/>
      <c r="G110" s="26"/>
      <c r="H110" s="26"/>
      <c r="I110" s="26"/>
      <c r="J110" s="26"/>
      <c r="K110" s="26"/>
      <c r="L110" s="24"/>
      <c r="M110" s="24"/>
      <c r="N110" s="26"/>
      <c r="O110" s="26"/>
      <c r="P110" s="26"/>
      <c r="Q110" s="26"/>
      <c r="R110" s="26"/>
      <c r="S110" s="26"/>
      <c r="T110" s="26"/>
      <c r="U110" s="26"/>
      <c r="V110" s="26"/>
      <c r="W110" s="26">
        <f>MAX($C$9-VLOOKUP($C110,COS!$B$8:$H$991,3,FALSE),0)</f>
        <v>268.88623046875</v>
      </c>
      <c r="X110" s="26">
        <f t="shared" si="143"/>
        <v>16.533169873450415</v>
      </c>
      <c r="Y110" s="26">
        <f>VLOOKUP($C110,COS!$B$8:$H$991,4,FALSE)</f>
        <v>1075.1279296875</v>
      </c>
      <c r="Z110" s="26">
        <f t="shared" si="144"/>
        <v>66.107039643595044</v>
      </c>
      <c r="AA110" s="26">
        <f t="shared" si="170"/>
        <v>268.88623046875</v>
      </c>
      <c r="AB110" s="33">
        <f t="shared" si="141"/>
        <v>16.533169873450415</v>
      </c>
    </row>
    <row r="111" spans="1:28" x14ac:dyDescent="0.3">
      <c r="A111" s="32">
        <f>VLOOKUP(YEAR(C111),Flags!$A$13:$B$95,2,FALSE)</f>
        <v>5</v>
      </c>
      <c r="B111" s="24">
        <f t="shared" si="116"/>
        <v>1932</v>
      </c>
      <c r="C111" s="25">
        <v>12023</v>
      </c>
      <c r="D111" s="26"/>
      <c r="E111" s="24"/>
      <c r="F111" s="26"/>
      <c r="G111" s="26"/>
      <c r="H111" s="26"/>
      <c r="I111" s="26"/>
      <c r="J111" s="26"/>
      <c r="K111" s="26"/>
      <c r="L111" s="24"/>
      <c r="M111" s="24"/>
      <c r="N111" s="26"/>
      <c r="O111" s="26"/>
      <c r="P111" s="26"/>
      <c r="Q111" s="26"/>
      <c r="R111" s="26"/>
      <c r="S111" s="26"/>
      <c r="T111" s="26"/>
      <c r="U111" s="26"/>
      <c r="V111" s="26"/>
      <c r="W111" s="26">
        <f>MAX($C$10-VLOOKUP($C111,COS!$B$8:$H$991,3,FALSE),0)</f>
        <v>1397.837158203125</v>
      </c>
      <c r="X111" s="26">
        <f t="shared" si="143"/>
        <v>83.177087099690084</v>
      </c>
      <c r="Y111" s="26">
        <f>VLOOKUP($C111,COS!$B$8:$H$991,4,FALSE)</f>
        <v>1139.5615234375</v>
      </c>
      <c r="Z111" s="26">
        <f t="shared" si="144"/>
        <v>67.808619576446276</v>
      </c>
      <c r="AA111" s="26">
        <f t="shared" si="170"/>
        <v>1139.5615234375</v>
      </c>
      <c r="AB111" s="33">
        <f t="shared" si="141"/>
        <v>67.808619576446276</v>
      </c>
    </row>
    <row r="112" spans="1:28" x14ac:dyDescent="0.3">
      <c r="A112" s="34">
        <f>VLOOKUP(YEAR(C112),Flags!$A$13:$B$95,2,FALSE)</f>
        <v>5</v>
      </c>
      <c r="B112" s="35">
        <f t="shared" si="116"/>
        <v>1932</v>
      </c>
      <c r="C112" s="36">
        <v>12054</v>
      </c>
      <c r="D112" s="37"/>
      <c r="E112" s="35"/>
      <c r="F112" s="37"/>
      <c r="G112" s="37"/>
      <c r="H112" s="37"/>
      <c r="I112" s="37"/>
      <c r="J112" s="37"/>
      <c r="K112" s="37"/>
      <c r="L112" s="35"/>
      <c r="M112" s="35"/>
      <c r="N112" s="37"/>
      <c r="O112" s="37"/>
      <c r="P112" s="37"/>
      <c r="Q112" s="37"/>
      <c r="R112" s="37"/>
      <c r="S112" s="37"/>
      <c r="T112" s="37"/>
      <c r="U112" s="37"/>
      <c r="V112" s="37"/>
      <c r="W112" s="37">
        <f>MAX($C$11-VLOOKUP($C112,COS!$B$8:$H$991,3,FALSE),0)</f>
        <v>1750</v>
      </c>
      <c r="X112" s="37">
        <f t="shared" si="143"/>
        <v>107.60330578512398</v>
      </c>
      <c r="Y112" s="37">
        <f>VLOOKUP($C112,COS!$B$8:$H$991,4,FALSE)</f>
        <v>2675.63427734375</v>
      </c>
      <c r="Z112" s="37">
        <f t="shared" si="144"/>
        <v>164.51833903667355</v>
      </c>
      <c r="AA112" s="37">
        <f t="shared" si="170"/>
        <v>1750</v>
      </c>
      <c r="AB112" s="38">
        <f t="shared" si="141"/>
        <v>107.60330578512398</v>
      </c>
    </row>
    <row r="113" spans="1:28" x14ac:dyDescent="0.3">
      <c r="A113" s="27">
        <f>VLOOKUP(YEAR(C113),Flags!$A$13:$B$95,2,FALSE)</f>
        <v>5</v>
      </c>
      <c r="B113" s="28">
        <f t="shared" si="116"/>
        <v>1933</v>
      </c>
      <c r="C113" s="29">
        <v>12174</v>
      </c>
      <c r="D113" s="30">
        <f>VLOOKUP($C113,COS!$B$8:$H$991,3,FALSE)</f>
        <v>3250</v>
      </c>
      <c r="E113" s="28">
        <f>IF(D113&gt;=IF(MONTH($C113)=4,$C$3,IF(MONTH($C113)=5,$C$4,IF(MONTH($C113)=6,$C$5,IF(MONTH($C113)=7,$C$6,"ERROR")))),1,0)</f>
        <v>0</v>
      </c>
      <c r="F113" s="30">
        <f>VLOOKUP($C113,COS!$B$8:$H$991,7,FALSE)</f>
        <v>51.034336090087891</v>
      </c>
      <c r="G113" s="28">
        <f>IF(F113&lt;=IF(MONTH($C113)=4,$F$3,IF(MONTH($C113)=5,$F$4,IF(MONTH($C113)=6,$F$5,IF(MONTH($C113)=7,$F$6,"ERROR")))),1,0)</f>
        <v>1</v>
      </c>
      <c r="H113" s="30">
        <f>IF(J113=1,D113-$C$3,0)</f>
        <v>0</v>
      </c>
      <c r="I113" s="30">
        <f t="shared" si="136"/>
        <v>0</v>
      </c>
      <c r="J113" s="28">
        <f t="shared" ref="J113:J116" si="173">IF(AND(E113=1,G113=1),1,0)</f>
        <v>0</v>
      </c>
      <c r="K113" s="30">
        <f>VLOOKUP($C113,COS!$B$8:$H$991,2,FALSE)</f>
        <v>1716.4488525390625</v>
      </c>
      <c r="L113" s="28">
        <f t="shared" ref="L113" si="174">IF(K113&lt;=IF(MONTH($C113)=4,$I$3,IF(MONTH($C113)=5,$I$4,IF(MONTH($C113)=6,$I$5,IF(MONTH($C113)=7,$I$6,"ERROR")))),1,0)</f>
        <v>1</v>
      </c>
      <c r="M113" s="28">
        <f t="shared" ref="M113" si="175">VLOOKUP($A113,$L$3:$M$7,2,FALSE)</f>
        <v>1</v>
      </c>
      <c r="N113" s="30">
        <f>VLOOKUP($C113,COS!$B$8:$H$991,5,FALSE)</f>
        <v>180.99517822265625</v>
      </c>
      <c r="O113" s="30">
        <f t="shared" ref="O113:O116" si="176">N113*DAY($C113)*86400/43560/1000</f>
        <v>10.769961018207646</v>
      </c>
      <c r="P113" s="30">
        <f>VLOOKUP($C113,COS!$B$8:$H$991,6,FALSE)</f>
        <v>566.2322998046875</v>
      </c>
      <c r="Q113" s="30">
        <f t="shared" ref="Q113:Q116" si="177">P113*DAY($C113)*86400/43560/1000</f>
        <v>33.693161641270663</v>
      </c>
      <c r="R113" s="30">
        <f>MIN(IF(MONTH($C113)=4,$S$3,IF(MONTH($C113)=5,$S$4,IF(MONTH($C113)=6,$S$5,IF(MONTH($C113)=7,$S$6,"ERROR")))),MAX(VLOOKUP($C113,COS!$B$8:$K$991,10,FALSE)-IF(MONTH($C113)=4,$Y$3,IF(MONTH($C113)=5,$Y$4,IF(MONTH($C113)=6,$Y$5,IF(MONTH($C113)=7,$Y$6,"ERROR")))),0),MAX(VLOOKUP($C113,COS!$B$8:$K$991,9,FALSE)-IF(MONTH($C113)=4,$V$3,IF(MONTH($C113)=5,$V$4,IF(MONTH($C113)=6,$V$5,IF(MONTH($C113)=7,$V$6,"ERROR"))))-VLOOKUP($C113,COS!$B$8:$K$991,6,FALSE)/2,0))</f>
        <v>929.328125</v>
      </c>
      <c r="S113" s="30">
        <f t="shared" ref="S113:S116" si="178">R113*DAY($C113)*86400/43560/1000</f>
        <v>55.298863636363642</v>
      </c>
      <c r="T113" s="30">
        <f t="shared" ref="T113:T116" si="179">(O113+Q113)/2+S113</f>
        <v>77.5304249661028</v>
      </c>
      <c r="U113" s="30" t="str">
        <f>IF(VLOOKUP($C113,COS!$B$8:$I$991,8,FALSE)=1,"UWFE","IBU")</f>
        <v>UWFE</v>
      </c>
      <c r="V113" s="30">
        <f t="shared" ref="V113" si="180">MIN(IF(IF($AA$3=2,AND(E113=1,G113=1,L113=1,L118=1,M113=1,U113="IBU"),AND(E113=1,G113=1,L113=1,L118=1,M113=1)),T113,0),I113)</f>
        <v>0</v>
      </c>
      <c r="W113" s="30"/>
      <c r="X113" s="30"/>
      <c r="Y113" s="30"/>
      <c r="Z113" s="30"/>
      <c r="AA113" s="30"/>
      <c r="AB113" s="31"/>
    </row>
    <row r="114" spans="1:28" x14ac:dyDescent="0.3">
      <c r="A114" s="32">
        <f>VLOOKUP(YEAR(C114),Flags!$A$13:$B$95,2,FALSE)</f>
        <v>5</v>
      </c>
      <c r="B114" s="24">
        <f t="shared" si="116"/>
        <v>1933</v>
      </c>
      <c r="C114" s="25">
        <v>12205</v>
      </c>
      <c r="D114" s="26">
        <f>VLOOKUP($C114,COS!$B$8:$H$991,3,FALSE)</f>
        <v>6501.3232421875</v>
      </c>
      <c r="E114" s="24">
        <f>IF(D114&gt;=IF(MONTH($C114)=4,$C$3,IF(MONTH($C114)=5,$C$4,IF(MONTH($C114)=6,$C$5,IF(MONTH($C114)=7,$C$6,"ERROR")))),1,0)</f>
        <v>1</v>
      </c>
      <c r="F114" s="26">
        <f>VLOOKUP($C114,COS!$B$8:$H$991,7,FALSE)</f>
        <v>51.829986572265625</v>
      </c>
      <c r="G114" s="24">
        <f>IF(F114&lt;=IF(MONTH($C114)=4,$F$3,IF(MONTH($C114)=5,$F$4,IF(MONTH($C114)=6,$F$5,IF(MONTH($C114)=7,$F$6,"ERROR")))),1,0)</f>
        <v>1</v>
      </c>
      <c r="H114" s="26">
        <f>IF(J114=1,D114-$C$4,0)</f>
        <v>501.3232421875</v>
      </c>
      <c r="I114" s="26">
        <f t="shared" si="136"/>
        <v>30.825164643595041</v>
      </c>
      <c r="J114" s="24">
        <f t="shared" si="173"/>
        <v>1</v>
      </c>
      <c r="K114" s="26">
        <f>VLOOKUP($C114,COS!$B$8:$H$991,2,FALSE)</f>
        <v>1691.36767578125</v>
      </c>
      <c r="L114" s="24">
        <f t="shared" si="129"/>
        <v>1</v>
      </c>
      <c r="M114" s="24">
        <f t="shared" si="130"/>
        <v>1</v>
      </c>
      <c r="N114" s="26">
        <f>VLOOKUP($C114,COS!$B$8:$H$991,5,FALSE)</f>
        <v>170.30894470214844</v>
      </c>
      <c r="O114" s="26">
        <f t="shared" si="176"/>
        <v>10.471888831272597</v>
      </c>
      <c r="P114" s="26">
        <f>VLOOKUP($C114,COS!$B$8:$H$991,6,FALSE)</f>
        <v>2197.37890625</v>
      </c>
      <c r="Q114" s="26">
        <f t="shared" si="177"/>
        <v>135.11156249999999</v>
      </c>
      <c r="R114" s="26">
        <f>MIN(IF(MONTH($C114)=4,$S$3,IF(MONTH($C114)=5,$S$4,IF(MONTH($C114)=6,$S$5,IF(MONTH($C114)=7,$S$6,"ERROR")))),MAX(VLOOKUP($C114,COS!$B$8:$K$991,10,FALSE)-IF(MONTH($C114)=4,$Y$3,IF(MONTH($C114)=5,$Y$4,IF(MONTH($C114)=6,$Y$5,IF(MONTH($C114)=7,$Y$6,"ERROR")))),0),MAX(VLOOKUP($C114,COS!$B$8:$K$991,9,FALSE)-IF(MONTH($C114)=4,$V$3,IF(MONTH($C114)=5,$V$4,IF(MONTH($C114)=6,$V$5,IF(MONTH($C114)=7,$V$6,"ERROR"))))-VLOOKUP($C114,COS!$B$8:$K$991,6,FALSE)/2,0))</f>
        <v>1500</v>
      </c>
      <c r="S114" s="26">
        <f t="shared" si="178"/>
        <v>92.231404958677686</v>
      </c>
      <c r="T114" s="26">
        <f t="shared" si="179"/>
        <v>165.02313062431398</v>
      </c>
      <c r="U114" s="26" t="str">
        <f>IF(VLOOKUP($C114,COS!$B$8:$I$991,8,FALSE)=1,"UWFE","IBU")</f>
        <v>UWFE</v>
      </c>
      <c r="V114" s="26">
        <f t="shared" ref="V114" si="181">MIN(IF(IF($AA$3=2,AND(E114=1,G114=1,L114=1,L118=1,M114=1,U114="IBU"),AND(E114=1,G114=1,L114=1,L118=1,M114=1)),T114,0),I114)</f>
        <v>0</v>
      </c>
      <c r="W114" s="26"/>
      <c r="X114" s="26"/>
      <c r="Y114" s="26"/>
      <c r="Z114" s="26"/>
      <c r="AA114" s="26"/>
      <c r="AB114" s="33"/>
    </row>
    <row r="115" spans="1:28" x14ac:dyDescent="0.3">
      <c r="A115" s="32">
        <f>VLOOKUP(YEAR(C115),Flags!$A$13:$B$95,2,FALSE)</f>
        <v>5</v>
      </c>
      <c r="B115" s="24">
        <f t="shared" si="116"/>
        <v>1933</v>
      </c>
      <c r="C115" s="25">
        <v>12235</v>
      </c>
      <c r="D115" s="26">
        <f>VLOOKUP($C115,COS!$B$8:$H$991,3,FALSE)</f>
        <v>7378.09228515625</v>
      </c>
      <c r="E115" s="24">
        <f>IF(D115&gt;=IF(MONTH($C115)=4,$C$3,IF(MONTH($C115)=5,$C$4,IF(MONTH($C115)=6,$C$5,IF(MONTH($C115)=7,$C$6,"ERROR")))),1,0)</f>
        <v>0</v>
      </c>
      <c r="F115" s="26">
        <f>VLOOKUP($C115,COS!$B$8:$H$991,7,FALSE)</f>
        <v>54.679584503173828</v>
      </c>
      <c r="G115" s="24">
        <f>IF(F115&lt;=IF(MONTH($C115)=4,$F$3,IF(MONTH($C115)=5,$F$4,IF(MONTH($C115)=6,$F$5,IF(MONTH($C115)=7,$F$6,"ERROR")))),1,0)</f>
        <v>1</v>
      </c>
      <c r="H115" s="26">
        <f>IF(J115=1,D115-$C$5,0)</f>
        <v>0</v>
      </c>
      <c r="I115" s="26">
        <f t="shared" si="136"/>
        <v>0</v>
      </c>
      <c r="J115" s="24">
        <f t="shared" si="173"/>
        <v>0</v>
      </c>
      <c r="K115" s="26">
        <f>VLOOKUP($C115,COS!$B$8:$H$991,2,FALSE)</f>
        <v>1503.1099853515625</v>
      </c>
      <c r="L115" s="24">
        <f t="shared" si="129"/>
        <v>1</v>
      </c>
      <c r="M115" s="24">
        <f t="shared" si="130"/>
        <v>1</v>
      </c>
      <c r="N115" s="26">
        <f>VLOOKUP($C115,COS!$B$8:$H$991,5,FALSE)</f>
        <v>210.99021911621094</v>
      </c>
      <c r="O115" s="26">
        <f t="shared" si="176"/>
        <v>12.55478989782412</v>
      </c>
      <c r="P115" s="26">
        <f>VLOOKUP($C115,COS!$B$8:$H$991,6,FALSE)</f>
        <v>2481.931884765625</v>
      </c>
      <c r="Q115" s="26">
        <f t="shared" si="177"/>
        <v>147.68520306043388</v>
      </c>
      <c r="R115" s="26">
        <f>MIN(IF(MONTH($C115)=4,$S$3,IF(MONTH($C115)=5,$S$4,IF(MONTH($C115)=6,$S$5,IF(MONTH($C115)=7,$S$6,"ERROR")))),MAX(VLOOKUP($C115,COS!$B$8:$K$991,10,FALSE)-IF(MONTH($C115)=4,$Y$3,IF(MONTH($C115)=5,$Y$4,IF(MONTH($C115)=6,$Y$5,IF(MONTH($C115)=7,$Y$6,"ERROR")))),0),MAX(VLOOKUP($C115,COS!$B$8:$K$991,9,FALSE)-IF(MONTH($C115)=4,$V$3,IF(MONTH($C115)=5,$V$4,IF(MONTH($C115)=6,$V$5,IF(MONTH($C115)=7,$V$6,"ERROR"))))-VLOOKUP($C115,COS!$B$8:$K$991,6,FALSE)/2,0))</f>
        <v>1500</v>
      </c>
      <c r="S115" s="26">
        <f t="shared" si="178"/>
        <v>89.256198347107429</v>
      </c>
      <c r="T115" s="26">
        <f t="shared" si="179"/>
        <v>169.37619482623643</v>
      </c>
      <c r="U115" s="26" t="str">
        <f>IF(VLOOKUP($C115,COS!$B$8:$I$991,8,FALSE)=1,"UWFE","IBU")</f>
        <v>IBU</v>
      </c>
      <c r="V115" s="26">
        <f t="shared" ref="V115" si="182">MIN(IF(IF($AA$3=2,AND(E115=1,G115=1,L115=1,L118=1,M115=1,U115="IBU"),AND(E115=1,G115=1,L115=1,L118=1,M115=1)),T115,0),I115)</f>
        <v>0</v>
      </c>
      <c r="W115" s="26"/>
      <c r="X115" s="26"/>
      <c r="Y115" s="26"/>
      <c r="Z115" s="26"/>
      <c r="AA115" s="26"/>
      <c r="AB115" s="33"/>
    </row>
    <row r="116" spans="1:28" x14ac:dyDescent="0.3">
      <c r="A116" s="32">
        <f>VLOOKUP(YEAR(C116),Flags!$A$13:$B$95,2,FALSE)</f>
        <v>5</v>
      </c>
      <c r="B116" s="24">
        <f t="shared" si="116"/>
        <v>1933</v>
      </c>
      <c r="C116" s="25">
        <v>12266</v>
      </c>
      <c r="D116" s="26">
        <f>VLOOKUP($C116,COS!$B$8:$H$991,3,FALSE)</f>
        <v>10174.720703125</v>
      </c>
      <c r="E116" s="24">
        <f>IF(D116&gt;=IF(MONTH($C116)=4,$C$3,IF(MONTH($C116)=5,$C$4,IF(MONTH($C116)=6,$C$5,IF(MONTH($C116)=7,$C$6,"ERROR")))),1,0)</f>
        <v>0</v>
      </c>
      <c r="F116" s="26">
        <f>VLOOKUP($C116,COS!$B$8:$H$991,7,FALSE)</f>
        <v>55.866065979003906</v>
      </c>
      <c r="G116" s="24">
        <f>IF(F116&lt;=IF(MONTH($C116)=4,$F$3,IF(MONTH($C116)=5,$F$4,IF(MONTH($C116)=6,$F$5,IF(MONTH($C116)=7,$F$6,"ERROR")))),1,0)</f>
        <v>0</v>
      </c>
      <c r="H116" s="26">
        <f>IF(J116=1,D116-$C$6,0)</f>
        <v>0</v>
      </c>
      <c r="I116" s="26">
        <f t="shared" si="136"/>
        <v>0</v>
      </c>
      <c r="J116" s="24">
        <f t="shared" si="173"/>
        <v>0</v>
      </c>
      <c r="K116" s="26">
        <f>VLOOKUP($C116,COS!$B$8:$H$991,2,FALSE)</f>
        <v>1036.812744140625</v>
      </c>
      <c r="L116" s="24">
        <f t="shared" si="129"/>
        <v>1</v>
      </c>
      <c r="M116" s="24">
        <f t="shared" si="130"/>
        <v>1</v>
      </c>
      <c r="N116" s="26">
        <f>VLOOKUP($C116,COS!$B$8:$H$991,5,FALSE)</f>
        <v>230.72744750976563</v>
      </c>
      <c r="O116" s="26">
        <f t="shared" si="176"/>
        <v>14.186877764236828</v>
      </c>
      <c r="P116" s="26">
        <f>VLOOKUP($C116,COS!$B$8:$H$991,6,FALSE)</f>
        <v>2281.4833984375</v>
      </c>
      <c r="Q116" s="26">
        <f t="shared" si="177"/>
        <v>140.28294615185951</v>
      </c>
      <c r="R116" s="26">
        <f>MIN(IF(MONTH($C116)=4,$S$3,IF(MONTH($C116)=5,$S$4,IF(MONTH($C116)=6,$S$5,IF(MONTH($C116)=7,$S$6,"ERROR")))),MAX(VLOOKUP($C116,COS!$B$8:$K$991,10,FALSE)-IF(MONTH($C116)=4,$Y$3,IF(MONTH($C116)=5,$Y$4,IF(MONTH($C116)=6,$Y$5,IF(MONTH($C116)=7,$Y$6,"ERROR")))),0),MAX(VLOOKUP($C116,COS!$B$8:$K$991,9,FALSE)-IF(MONTH($C116)=4,$V$3,IF(MONTH($C116)=5,$V$4,IF(MONTH($C116)=6,$V$5,IF(MONTH($C116)=7,$V$6,"ERROR"))))-VLOOKUP($C116,COS!$B$8:$K$991,6,FALSE)/2,0))</f>
        <v>1500</v>
      </c>
      <c r="S116" s="26">
        <f t="shared" si="178"/>
        <v>92.231404958677686</v>
      </c>
      <c r="T116" s="26">
        <f t="shared" si="179"/>
        <v>169.46631691672587</v>
      </c>
      <c r="U116" s="26" t="str">
        <f>IF(VLOOKUP($C116,COS!$B$8:$I$991,8,FALSE)=1,"UWFE","IBU")</f>
        <v>IBU</v>
      </c>
      <c r="V116" s="26">
        <f t="shared" ref="V116" si="183">MIN(IF(IF($AA$3=2,AND(E116=1,G116=1,L116=1,L118=1,M116=1,U116="IBU"),AND(E116=1,G116=1,L116=1,L118=1,M116=1)),T116,0),I116)</f>
        <v>0</v>
      </c>
      <c r="W116" s="26"/>
      <c r="X116" s="26"/>
      <c r="Y116" s="26"/>
      <c r="Z116" s="26"/>
      <c r="AA116" s="26"/>
      <c r="AB116" s="33"/>
    </row>
    <row r="117" spans="1:28" x14ac:dyDescent="0.3">
      <c r="A117" s="32">
        <f>VLOOKUP(YEAR(C117),Flags!$A$13:$B$95,2,FALSE)</f>
        <v>5</v>
      </c>
      <c r="B117" s="24">
        <f t="shared" si="116"/>
        <v>1933</v>
      </c>
      <c r="C117" s="25">
        <v>12297</v>
      </c>
      <c r="D117" s="26"/>
      <c r="E117" s="24"/>
      <c r="F117" s="26"/>
      <c r="G117" s="24"/>
      <c r="H117" s="24"/>
      <c r="I117" s="26"/>
      <c r="J117" s="24"/>
      <c r="K117" s="26"/>
      <c r="L117" s="24"/>
      <c r="M117" s="24"/>
      <c r="N117" s="26"/>
      <c r="O117" s="26"/>
      <c r="P117" s="26"/>
      <c r="Q117" s="26"/>
      <c r="R117" s="26"/>
      <c r="S117" s="26"/>
      <c r="T117" s="26"/>
      <c r="U117" s="26"/>
      <c r="V117" s="26"/>
      <c r="W117" s="26">
        <f>MAX($C$7-VLOOKUP($C117,COS!$B$8:$H$991,3,FALSE),0)</f>
        <v>3961.78125</v>
      </c>
      <c r="X117" s="26">
        <f t="shared" si="143"/>
        <v>243.60043388429753</v>
      </c>
      <c r="Y117" s="26">
        <f>VLOOKUP($C117,COS!$B$8:$H$991,4,FALSE)</f>
        <v>1026.3896484375</v>
      </c>
      <c r="Z117" s="26">
        <f t="shared" si="144"/>
        <v>63.110239540289257</v>
      </c>
      <c r="AA117" s="26">
        <f t="shared" ref="AA117:AA121" si="184">MIN(W117,Y117)</f>
        <v>1026.3896484375</v>
      </c>
      <c r="AB117" s="33">
        <f t="shared" ref="AB117" si="185">AA117*DAY($C117)*86400/43560/1000*IF(MONTH($C117)=8,$P$3,IF(MONTH($C117)=9,$P$4,IF(MONTH($C117)=10,$P$5,IF(MONTH($C117)=11,$P$6,IF(MONTH($C117)=12,$P$7,NA())))))</f>
        <v>63.110239540289257</v>
      </c>
    </row>
    <row r="118" spans="1:28" x14ac:dyDescent="0.3">
      <c r="A118" s="32">
        <f>VLOOKUP(YEAR(C118),Flags!$A$13:$B$95,2,FALSE)</f>
        <v>5</v>
      </c>
      <c r="B118" s="24">
        <f t="shared" si="116"/>
        <v>1933</v>
      </c>
      <c r="C118" s="25">
        <v>12327</v>
      </c>
      <c r="D118" s="26"/>
      <c r="E118" s="24"/>
      <c r="F118" s="26"/>
      <c r="G118" s="24"/>
      <c r="H118" s="24"/>
      <c r="I118" s="26"/>
      <c r="J118" s="24"/>
      <c r="K118" s="26">
        <f>VLOOKUP($C118,COS!$B$8:$H$991,2,FALSE)</f>
        <v>614.1947021484375</v>
      </c>
      <c r="L118" s="24">
        <f t="shared" ref="L118" si="186">IF(AND(K118&gt;$I$7,K118&lt;$I$8),1,0)</f>
        <v>0</v>
      </c>
      <c r="M118" s="24"/>
      <c r="N118" s="26"/>
      <c r="O118" s="26"/>
      <c r="P118" s="26"/>
      <c r="Q118" s="26"/>
      <c r="R118" s="26"/>
      <c r="S118" s="26"/>
      <c r="T118" s="26"/>
      <c r="U118" s="26"/>
      <c r="V118" s="26"/>
      <c r="W118" s="26">
        <f>MAX($C$8-VLOOKUP($C118,COS!$B$8:$H$991,3,FALSE),0)</f>
        <v>1806.57763671875</v>
      </c>
      <c r="X118" s="26">
        <f t="shared" si="143"/>
        <v>107.49883458161158</v>
      </c>
      <c r="Y118" s="26">
        <f>VLOOKUP($C118,COS!$B$8:$H$991,4,FALSE)</f>
        <v>1631.19287109375</v>
      </c>
      <c r="Z118" s="26">
        <f t="shared" si="144"/>
        <v>97.062716296487608</v>
      </c>
      <c r="AA118" s="26">
        <f t="shared" si="184"/>
        <v>1631.19287109375</v>
      </c>
      <c r="AB118" s="33">
        <f t="shared" si="141"/>
        <v>97.062716296487608</v>
      </c>
    </row>
    <row r="119" spans="1:28" x14ac:dyDescent="0.3">
      <c r="A119" s="32">
        <f>VLOOKUP(YEAR(C119),Flags!$A$13:$B$95,2,FALSE)</f>
        <v>5</v>
      </c>
      <c r="B119" s="24">
        <f t="shared" si="116"/>
        <v>1933</v>
      </c>
      <c r="C119" s="25">
        <v>12358</v>
      </c>
      <c r="D119" s="26"/>
      <c r="E119" s="24"/>
      <c r="F119" s="26"/>
      <c r="G119" s="26"/>
      <c r="H119" s="26"/>
      <c r="I119" s="26"/>
      <c r="J119" s="26"/>
      <c r="K119" s="26"/>
      <c r="L119" s="24"/>
      <c r="M119" s="24"/>
      <c r="N119" s="26"/>
      <c r="O119" s="26"/>
      <c r="P119" s="26"/>
      <c r="Q119" s="26"/>
      <c r="R119" s="26"/>
      <c r="S119" s="26"/>
      <c r="T119" s="26"/>
      <c r="U119" s="26"/>
      <c r="V119" s="26"/>
      <c r="W119" s="26">
        <f>MAX($C$9-VLOOKUP($C119,COS!$B$8:$H$991,3,FALSE),0)</f>
        <v>687.974609375</v>
      </c>
      <c r="X119" s="26">
        <f t="shared" si="143"/>
        <v>42.301909865702484</v>
      </c>
      <c r="Y119" s="26">
        <f>VLOOKUP($C119,COS!$B$8:$H$991,4,FALSE)</f>
        <v>1357.4503173828125</v>
      </c>
      <c r="Z119" s="26">
        <f t="shared" si="144"/>
        <v>83.466366622546488</v>
      </c>
      <c r="AA119" s="26">
        <f t="shared" si="184"/>
        <v>687.974609375</v>
      </c>
      <c r="AB119" s="33">
        <f t="shared" si="141"/>
        <v>42.301909865702484</v>
      </c>
    </row>
    <row r="120" spans="1:28" x14ac:dyDescent="0.3">
      <c r="A120" s="32">
        <f>VLOOKUP(YEAR(C120),Flags!$A$13:$B$95,2,FALSE)</f>
        <v>5</v>
      </c>
      <c r="B120" s="24">
        <f t="shared" si="116"/>
        <v>1933</v>
      </c>
      <c r="C120" s="25">
        <v>12388</v>
      </c>
      <c r="D120" s="26"/>
      <c r="E120" s="24"/>
      <c r="F120" s="26"/>
      <c r="G120" s="26"/>
      <c r="H120" s="26"/>
      <c r="I120" s="26"/>
      <c r="J120" s="26"/>
      <c r="K120" s="26"/>
      <c r="L120" s="24"/>
      <c r="M120" s="24"/>
      <c r="N120" s="26"/>
      <c r="O120" s="26"/>
      <c r="P120" s="26"/>
      <c r="Q120" s="26"/>
      <c r="R120" s="26"/>
      <c r="S120" s="26"/>
      <c r="T120" s="26"/>
      <c r="U120" s="26"/>
      <c r="V120" s="26"/>
      <c r="W120" s="26">
        <f>MAX($C$10-VLOOKUP($C120,COS!$B$8:$H$991,3,FALSE),0)</f>
        <v>1750</v>
      </c>
      <c r="X120" s="26">
        <f t="shared" si="143"/>
        <v>104.13223140495867</v>
      </c>
      <c r="Y120" s="26">
        <f>VLOOKUP($C120,COS!$B$8:$H$991,4,FALSE)</f>
        <v>1382.873779296875</v>
      </c>
      <c r="Z120" s="26">
        <f t="shared" si="144"/>
        <v>82.286704222623968</v>
      </c>
      <c r="AA120" s="26">
        <f t="shared" si="184"/>
        <v>1382.873779296875</v>
      </c>
      <c r="AB120" s="33">
        <f t="shared" si="141"/>
        <v>82.286704222623968</v>
      </c>
    </row>
    <row r="121" spans="1:28" x14ac:dyDescent="0.3">
      <c r="A121" s="34">
        <f>VLOOKUP(YEAR(C121),Flags!$A$13:$B$95,2,FALSE)</f>
        <v>5</v>
      </c>
      <c r="B121" s="35">
        <f t="shared" si="116"/>
        <v>1933</v>
      </c>
      <c r="C121" s="36">
        <v>12419</v>
      </c>
      <c r="D121" s="37"/>
      <c r="E121" s="35"/>
      <c r="F121" s="37"/>
      <c r="G121" s="37"/>
      <c r="H121" s="37"/>
      <c r="I121" s="37"/>
      <c r="J121" s="37"/>
      <c r="K121" s="37"/>
      <c r="L121" s="35"/>
      <c r="M121" s="35"/>
      <c r="N121" s="37"/>
      <c r="O121" s="37"/>
      <c r="P121" s="37"/>
      <c r="Q121" s="37"/>
      <c r="R121" s="37"/>
      <c r="S121" s="37"/>
      <c r="T121" s="37"/>
      <c r="U121" s="37"/>
      <c r="V121" s="37"/>
      <c r="W121" s="37">
        <f>MAX($C$11-VLOOKUP($C121,COS!$B$8:$H$991,3,FALSE),0)</f>
        <v>1750</v>
      </c>
      <c r="X121" s="37">
        <f t="shared" si="143"/>
        <v>107.60330578512398</v>
      </c>
      <c r="Y121" s="37">
        <f>VLOOKUP($C121,COS!$B$8:$H$991,4,FALSE)</f>
        <v>632.6298828125</v>
      </c>
      <c r="Z121" s="37">
        <f t="shared" si="144"/>
        <v>38.898895273760331</v>
      </c>
      <c r="AA121" s="37">
        <f t="shared" si="184"/>
        <v>632.6298828125</v>
      </c>
      <c r="AB121" s="38">
        <f t="shared" si="141"/>
        <v>38.898895273760331</v>
      </c>
    </row>
    <row r="122" spans="1:28" x14ac:dyDescent="0.3">
      <c r="A122" s="27">
        <f>VLOOKUP(YEAR(C122),Flags!$A$13:$B$95,2,FALSE)</f>
        <v>5</v>
      </c>
      <c r="B122" s="28">
        <f t="shared" si="116"/>
        <v>1934</v>
      </c>
      <c r="C122" s="29">
        <v>12539</v>
      </c>
      <c r="D122" s="30">
        <f>VLOOKUP($C122,COS!$B$8:$H$991,3,FALSE)</f>
        <v>3250</v>
      </c>
      <c r="E122" s="28">
        <f>IF(D122&gt;=IF(MONTH($C122)=4,$C$3,IF(MONTH($C122)=5,$C$4,IF(MONTH($C122)=6,$C$5,IF(MONTH($C122)=7,$C$6,"ERROR")))),1,0)</f>
        <v>0</v>
      </c>
      <c r="F122" s="30">
        <f>VLOOKUP($C122,COS!$B$8:$H$991,7,FALSE)</f>
        <v>50.49676513671875</v>
      </c>
      <c r="G122" s="28">
        <f>IF(F122&lt;=IF(MONTH($C122)=4,$F$3,IF(MONTH($C122)=5,$F$4,IF(MONTH($C122)=6,$F$5,IF(MONTH($C122)=7,$F$6,"ERROR")))),1,0)</f>
        <v>1</v>
      </c>
      <c r="H122" s="30">
        <f>IF(J122=1,D122-$C$3,0)</f>
        <v>0</v>
      </c>
      <c r="I122" s="30">
        <f t="shared" si="136"/>
        <v>0</v>
      </c>
      <c r="J122" s="28">
        <f t="shared" ref="J122:J125" si="187">IF(AND(E122=1,G122=1),1,0)</f>
        <v>0</v>
      </c>
      <c r="K122" s="30">
        <f>VLOOKUP($C122,COS!$B$8:$H$991,2,FALSE)</f>
        <v>1640.1229248046875</v>
      </c>
      <c r="L122" s="28">
        <f t="shared" ref="L122" si="188">IF(K122&lt;=IF(MONTH($C122)=4,$I$3,IF(MONTH($C122)=5,$I$4,IF(MONTH($C122)=6,$I$5,IF(MONTH($C122)=7,$I$6,"ERROR")))),1,0)</f>
        <v>1</v>
      </c>
      <c r="M122" s="28">
        <f t="shared" ref="M122" si="189">VLOOKUP($A122,$L$3:$M$7,2,FALSE)</f>
        <v>1</v>
      </c>
      <c r="N122" s="30">
        <f>VLOOKUP($C122,COS!$B$8:$H$991,5,FALSE)</f>
        <v>162.71662902832031</v>
      </c>
      <c r="O122" s="30">
        <f t="shared" ref="O122:O125" si="190">N122*DAY($C122)*86400/43560/1000</f>
        <v>9.6823118099496384</v>
      </c>
      <c r="P122" s="30">
        <f>VLOOKUP($C122,COS!$B$8:$H$991,6,FALSE)</f>
        <v>521.53076171875</v>
      </c>
      <c r="Q122" s="30">
        <f t="shared" ref="Q122:Q125" si="191">P122*DAY($C122)*86400/43560/1000</f>
        <v>31.033235408057852</v>
      </c>
      <c r="R122" s="30">
        <f>MIN(IF(MONTH($C122)=4,$S$3,IF(MONTH($C122)=5,$S$4,IF(MONTH($C122)=6,$S$5,IF(MONTH($C122)=7,$S$6,"ERROR")))),MAX(VLOOKUP($C122,COS!$B$8:$K$991,10,FALSE)-IF(MONTH($C122)=4,$Y$3,IF(MONTH($C122)=5,$Y$4,IF(MONTH($C122)=6,$Y$5,IF(MONTH($C122)=7,$Y$6,"ERROR")))),0),MAX(VLOOKUP($C122,COS!$B$8:$K$991,9,FALSE)-IF(MONTH($C122)=4,$V$3,IF(MONTH($C122)=5,$V$4,IF(MONTH($C122)=6,$V$5,IF(MONTH($C122)=7,$V$6,"ERROR"))))-VLOOKUP($C122,COS!$B$8:$K$991,6,FALSE)/2,0))</f>
        <v>953.18115234375</v>
      </c>
      <c r="S122" s="30">
        <f t="shared" ref="S122:S125" si="192">R122*DAY($C122)*86400/43560/1000</f>
        <v>56.718217329545453</v>
      </c>
      <c r="T122" s="30">
        <f t="shared" ref="T122:T125" si="193">(O122+Q122)/2+S122</f>
        <v>77.075990938549197</v>
      </c>
      <c r="U122" s="30" t="str">
        <f>IF(VLOOKUP($C122,COS!$B$8:$I$991,8,FALSE)=1,"UWFE","IBU")</f>
        <v>UWFE</v>
      </c>
      <c r="V122" s="30">
        <f t="shared" ref="V122" si="194">MIN(IF(IF($AA$3=2,AND(E122=1,G122=1,L122=1,L127=1,M122=1,U122="IBU"),AND(E122=1,G122=1,L122=1,L127=1,M122=1)),T122,0),I122)</f>
        <v>0</v>
      </c>
      <c r="W122" s="30"/>
      <c r="X122" s="30"/>
      <c r="Y122" s="30"/>
      <c r="Z122" s="30"/>
      <c r="AA122" s="30"/>
      <c r="AB122" s="31"/>
    </row>
    <row r="123" spans="1:28" x14ac:dyDescent="0.3">
      <c r="A123" s="32">
        <f>VLOOKUP(YEAR(C123),Flags!$A$13:$B$95,2,FALSE)</f>
        <v>5</v>
      </c>
      <c r="B123" s="24">
        <f t="shared" si="116"/>
        <v>1934</v>
      </c>
      <c r="C123" s="25">
        <v>12570</v>
      </c>
      <c r="D123" s="26">
        <f>VLOOKUP($C123,COS!$B$8:$H$991,3,FALSE)</f>
        <v>6994.35986328125</v>
      </c>
      <c r="E123" s="24">
        <f>IF(D123&gt;=IF(MONTH($C123)=4,$C$3,IF(MONTH($C123)=5,$C$4,IF(MONTH($C123)=6,$C$5,IF(MONTH($C123)=7,$C$6,"ERROR")))),1,0)</f>
        <v>1</v>
      </c>
      <c r="F123" s="26">
        <f>VLOOKUP($C123,COS!$B$8:$H$991,7,FALSE)</f>
        <v>51.022247314453125</v>
      </c>
      <c r="G123" s="24">
        <f>IF(F123&lt;=IF(MONTH($C123)=4,$F$3,IF(MONTH($C123)=5,$F$4,IF(MONTH($C123)=6,$F$5,IF(MONTH($C123)=7,$F$6,"ERROR")))),1,0)</f>
        <v>1</v>
      </c>
      <c r="H123" s="26">
        <f>IF(J123=1,D123-$C$4,0)</f>
        <v>994.35986328125</v>
      </c>
      <c r="I123" s="26">
        <f t="shared" si="136"/>
        <v>61.140804816632233</v>
      </c>
      <c r="J123" s="24">
        <f t="shared" si="187"/>
        <v>1</v>
      </c>
      <c r="K123" s="26">
        <f>VLOOKUP($C123,COS!$B$8:$H$991,2,FALSE)</f>
        <v>1420.9012451171875</v>
      </c>
      <c r="L123" s="24">
        <f t="shared" si="129"/>
        <v>1</v>
      </c>
      <c r="M123" s="24">
        <f t="shared" si="130"/>
        <v>1</v>
      </c>
      <c r="N123" s="26">
        <f>VLOOKUP($C123,COS!$B$8:$H$991,5,FALSE)</f>
        <v>222.39739990234375</v>
      </c>
      <c r="O123" s="26">
        <f t="shared" si="190"/>
        <v>13.674683101433368</v>
      </c>
      <c r="P123" s="26">
        <f>VLOOKUP($C123,COS!$B$8:$H$991,6,FALSE)</f>
        <v>2243.647216796875</v>
      </c>
      <c r="Q123" s="26">
        <f t="shared" si="191"/>
        <v>137.95649002453513</v>
      </c>
      <c r="R123" s="26">
        <f>MIN(IF(MONTH($C123)=4,$S$3,IF(MONTH($C123)=5,$S$4,IF(MONTH($C123)=6,$S$5,IF(MONTH($C123)=7,$S$6,"ERROR")))),MAX(VLOOKUP($C123,COS!$B$8:$K$991,10,FALSE)-IF(MONTH($C123)=4,$Y$3,IF(MONTH($C123)=5,$Y$4,IF(MONTH($C123)=6,$Y$5,IF(MONTH($C123)=7,$Y$6,"ERROR")))),0),MAX(VLOOKUP($C123,COS!$B$8:$K$991,9,FALSE)-IF(MONTH($C123)=4,$V$3,IF(MONTH($C123)=5,$V$4,IF(MONTH($C123)=6,$V$5,IF(MONTH($C123)=7,$V$6,"ERROR"))))-VLOOKUP($C123,COS!$B$8:$K$991,6,FALSE)/2,0))</f>
        <v>1500</v>
      </c>
      <c r="S123" s="26">
        <f t="shared" si="192"/>
        <v>92.231404958677686</v>
      </c>
      <c r="T123" s="26">
        <f t="shared" si="193"/>
        <v>168.04699152166194</v>
      </c>
      <c r="U123" s="26" t="str">
        <f>IF(VLOOKUP($C123,COS!$B$8:$I$991,8,FALSE)=1,"UWFE","IBU")</f>
        <v>IBU</v>
      </c>
      <c r="V123" s="26">
        <f t="shared" ref="V123" si="195">MIN(IF(IF($AA$3=2,AND(E123=1,G123=1,L123=1,L127=1,M123=1,U123="IBU"),AND(E123=1,G123=1,L123=1,L127=1,M123=1)),T123,0),I123)</f>
        <v>0</v>
      </c>
      <c r="W123" s="26"/>
      <c r="X123" s="26"/>
      <c r="Y123" s="26"/>
      <c r="Z123" s="26"/>
      <c r="AA123" s="26"/>
      <c r="AB123" s="33"/>
    </row>
    <row r="124" spans="1:28" x14ac:dyDescent="0.3">
      <c r="A124" s="32">
        <f>VLOOKUP(YEAR(C124),Flags!$A$13:$B$95,2,FALSE)</f>
        <v>5</v>
      </c>
      <c r="B124" s="24">
        <f t="shared" si="116"/>
        <v>1934</v>
      </c>
      <c r="C124" s="25">
        <v>12600</v>
      </c>
      <c r="D124" s="26">
        <f>VLOOKUP($C124,COS!$B$8:$H$991,3,FALSE)</f>
        <v>8056.033203125</v>
      </c>
      <c r="E124" s="24">
        <f>IF(D124&gt;=IF(MONTH($C124)=4,$C$3,IF(MONTH($C124)=5,$C$4,IF(MONTH($C124)=6,$C$5,IF(MONTH($C124)=7,$C$6,"ERROR")))),1,0)</f>
        <v>0</v>
      </c>
      <c r="F124" s="26">
        <f>VLOOKUP($C124,COS!$B$8:$H$991,7,FALSE)</f>
        <v>54.752338409423828</v>
      </c>
      <c r="G124" s="24">
        <f>IF(F124&lt;=IF(MONTH($C124)=4,$F$3,IF(MONTH($C124)=5,$F$4,IF(MONTH($C124)=6,$F$5,IF(MONTH($C124)=7,$F$6,"ERROR")))),1,0)</f>
        <v>1</v>
      </c>
      <c r="H124" s="26">
        <f>IF(J124=1,D124-$C$5,0)</f>
        <v>0</v>
      </c>
      <c r="I124" s="26">
        <f t="shared" si="136"/>
        <v>0</v>
      </c>
      <c r="J124" s="24">
        <f t="shared" si="187"/>
        <v>0</v>
      </c>
      <c r="K124" s="26">
        <f>VLOOKUP($C124,COS!$B$8:$H$991,2,FALSE)</f>
        <v>1102.0863037109375</v>
      </c>
      <c r="L124" s="24">
        <f t="shared" si="129"/>
        <v>1</v>
      </c>
      <c r="M124" s="24">
        <f t="shared" si="130"/>
        <v>1</v>
      </c>
      <c r="N124" s="26">
        <f>VLOOKUP($C124,COS!$B$8:$H$991,5,FALSE)</f>
        <v>267.839599609375</v>
      </c>
      <c r="O124" s="26">
        <f t="shared" si="190"/>
        <v>15.937562951962809</v>
      </c>
      <c r="P124" s="26">
        <f>VLOOKUP($C124,COS!$B$8:$H$991,6,FALSE)</f>
        <v>2418.7939453125</v>
      </c>
      <c r="Q124" s="26">
        <f t="shared" si="191"/>
        <v>143.9282347623967</v>
      </c>
      <c r="R124" s="26">
        <f>MIN(IF(MONTH($C124)=4,$S$3,IF(MONTH($C124)=5,$S$4,IF(MONTH($C124)=6,$S$5,IF(MONTH($C124)=7,$S$6,"ERROR")))),MAX(VLOOKUP($C124,COS!$B$8:$K$991,10,FALSE)-IF(MONTH($C124)=4,$Y$3,IF(MONTH($C124)=5,$Y$4,IF(MONTH($C124)=6,$Y$5,IF(MONTH($C124)=7,$Y$6,"ERROR")))),0),MAX(VLOOKUP($C124,COS!$B$8:$K$991,9,FALSE)-IF(MONTH($C124)=4,$V$3,IF(MONTH($C124)=5,$V$4,IF(MONTH($C124)=6,$V$5,IF(MONTH($C124)=7,$V$6,"ERROR"))))-VLOOKUP($C124,COS!$B$8:$K$991,6,FALSE)/2,0))</f>
        <v>1500</v>
      </c>
      <c r="S124" s="26">
        <f t="shared" si="192"/>
        <v>89.256198347107429</v>
      </c>
      <c r="T124" s="26">
        <f t="shared" si="193"/>
        <v>169.18909720428718</v>
      </c>
      <c r="U124" s="26" t="str">
        <f>IF(VLOOKUP($C124,COS!$B$8:$I$991,8,FALSE)=1,"UWFE","IBU")</f>
        <v>IBU</v>
      </c>
      <c r="V124" s="26">
        <f t="shared" ref="V124" si="196">MIN(IF(IF($AA$3=2,AND(E124=1,G124=1,L124=1,L127=1,M124=1,U124="IBU"),AND(E124=1,G124=1,L124=1,L127=1,M124=1)),T124,0),I124)</f>
        <v>0</v>
      </c>
      <c r="W124" s="26"/>
      <c r="X124" s="26"/>
      <c r="Y124" s="26"/>
      <c r="Z124" s="26"/>
      <c r="AA124" s="26"/>
      <c r="AB124" s="33"/>
    </row>
    <row r="125" spans="1:28" x14ac:dyDescent="0.3">
      <c r="A125" s="32">
        <f>VLOOKUP(YEAR(C125),Flags!$A$13:$B$95,2,FALSE)</f>
        <v>5</v>
      </c>
      <c r="B125" s="24">
        <f t="shared" si="116"/>
        <v>1934</v>
      </c>
      <c r="C125" s="25">
        <v>12631</v>
      </c>
      <c r="D125" s="26">
        <f>VLOOKUP($C125,COS!$B$8:$H$991,3,FALSE)</f>
        <v>10945.8583984375</v>
      </c>
      <c r="E125" s="24">
        <f>IF(D125&gt;=IF(MONTH($C125)=4,$C$3,IF(MONTH($C125)=5,$C$4,IF(MONTH($C125)=6,$C$5,IF(MONTH($C125)=7,$C$6,"ERROR")))),1,0)</f>
        <v>0</v>
      </c>
      <c r="F125" s="26">
        <f>VLOOKUP($C125,COS!$B$8:$H$991,7,FALSE)</f>
        <v>56.054607391357422</v>
      </c>
      <c r="G125" s="24">
        <f>IF(F125&lt;=IF(MONTH($C125)=4,$F$3,IF(MONTH($C125)=5,$F$4,IF(MONTH($C125)=6,$F$5,IF(MONTH($C125)=7,$F$6,"ERROR")))),1,0)</f>
        <v>0</v>
      </c>
      <c r="H125" s="26">
        <f>IF(J125=1,D125-$C$6,0)</f>
        <v>0</v>
      </c>
      <c r="I125" s="26">
        <f t="shared" si="136"/>
        <v>0</v>
      </c>
      <c r="J125" s="24">
        <f t="shared" si="187"/>
        <v>0</v>
      </c>
      <c r="K125" s="26">
        <f>VLOOKUP($C125,COS!$B$8:$H$991,2,FALSE)</f>
        <v>650</v>
      </c>
      <c r="L125" s="24">
        <f t="shared" si="129"/>
        <v>1</v>
      </c>
      <c r="M125" s="24">
        <f t="shared" si="130"/>
        <v>1</v>
      </c>
      <c r="N125" s="26">
        <f>VLOOKUP($C125,COS!$B$8:$H$991,5,FALSE)</f>
        <v>306.08538818359375</v>
      </c>
      <c r="O125" s="26">
        <f t="shared" si="190"/>
        <v>18.820456926330063</v>
      </c>
      <c r="P125" s="26">
        <f>VLOOKUP($C125,COS!$B$8:$H$991,6,FALSE)</f>
        <v>2281.4833984375</v>
      </c>
      <c r="Q125" s="26">
        <f t="shared" si="191"/>
        <v>140.28294615185951</v>
      </c>
      <c r="R125" s="26">
        <f>MIN(IF(MONTH($C125)=4,$S$3,IF(MONTH($C125)=5,$S$4,IF(MONTH($C125)=6,$S$5,IF(MONTH($C125)=7,$S$6,"ERROR")))),MAX(VLOOKUP($C125,COS!$B$8:$K$991,10,FALSE)-IF(MONTH($C125)=4,$Y$3,IF(MONTH($C125)=5,$Y$4,IF(MONTH($C125)=6,$Y$5,IF(MONTH($C125)=7,$Y$6,"ERROR")))),0),MAX(VLOOKUP($C125,COS!$B$8:$K$991,9,FALSE)-IF(MONTH($C125)=4,$V$3,IF(MONTH($C125)=5,$V$4,IF(MONTH($C125)=6,$V$5,IF(MONTH($C125)=7,$V$6,"ERROR"))))-VLOOKUP($C125,COS!$B$8:$K$991,6,FALSE)/2,0))</f>
        <v>1500</v>
      </c>
      <c r="S125" s="26">
        <f t="shared" si="192"/>
        <v>92.231404958677686</v>
      </c>
      <c r="T125" s="26">
        <f t="shared" si="193"/>
        <v>171.78310649777245</v>
      </c>
      <c r="U125" s="26" t="str">
        <f>IF(VLOOKUP($C125,COS!$B$8:$I$991,8,FALSE)=1,"UWFE","IBU")</f>
        <v>IBU</v>
      </c>
      <c r="V125" s="26">
        <f t="shared" ref="V125" si="197">MIN(IF(IF($AA$3=2,AND(E125=1,G125=1,L125=1,L127=1,M125=1,U125="IBU"),AND(E125=1,G125=1,L125=1,L127=1,M125=1)),T125,0),I125)</f>
        <v>0</v>
      </c>
      <c r="W125" s="26"/>
      <c r="X125" s="26"/>
      <c r="Y125" s="26"/>
      <c r="Z125" s="26"/>
      <c r="AA125" s="26"/>
      <c r="AB125" s="33"/>
    </row>
    <row r="126" spans="1:28" x14ac:dyDescent="0.3">
      <c r="A126" s="32">
        <f>VLOOKUP(YEAR(C126),Flags!$A$13:$B$95,2,FALSE)</f>
        <v>5</v>
      </c>
      <c r="B126" s="24">
        <f t="shared" si="116"/>
        <v>1934</v>
      </c>
      <c r="C126" s="25">
        <v>12662</v>
      </c>
      <c r="D126" s="26"/>
      <c r="E126" s="24"/>
      <c r="F126" s="26"/>
      <c r="G126" s="24"/>
      <c r="H126" s="24"/>
      <c r="I126" s="26"/>
      <c r="J126" s="24"/>
      <c r="K126" s="26"/>
      <c r="L126" s="24"/>
      <c r="M126" s="24"/>
      <c r="N126" s="26"/>
      <c r="O126" s="26"/>
      <c r="P126" s="26"/>
      <c r="Q126" s="26"/>
      <c r="R126" s="26"/>
      <c r="S126" s="26"/>
      <c r="T126" s="26"/>
      <c r="U126" s="26"/>
      <c r="V126" s="26"/>
      <c r="W126" s="26">
        <f>MAX($C$7-VLOOKUP($C126,COS!$B$8:$H$991,3,FALSE),0)</f>
        <v>4825.48193359375</v>
      </c>
      <c r="X126" s="26">
        <f t="shared" si="143"/>
        <v>296.70731889204546</v>
      </c>
      <c r="Y126" s="26">
        <f>VLOOKUP($C126,COS!$B$8:$H$991,4,FALSE)</f>
        <v>3029.425537109375</v>
      </c>
      <c r="Z126" s="26">
        <f t="shared" si="144"/>
        <v>186.27211567019629</v>
      </c>
      <c r="AA126" s="26">
        <f t="shared" ref="AA126:AA130" si="198">MIN(W126,Y126)</f>
        <v>3029.425537109375</v>
      </c>
      <c r="AB126" s="33">
        <f t="shared" ref="AB126" si="199">AA126*DAY($C126)*86400/43560/1000*IF(MONTH($C126)=8,$P$3,IF(MONTH($C126)=9,$P$4,IF(MONTH($C126)=10,$P$5,IF(MONTH($C126)=11,$P$6,IF(MONTH($C126)=12,$P$7,NA())))))</f>
        <v>186.27211567019629</v>
      </c>
    </row>
    <row r="127" spans="1:28" x14ac:dyDescent="0.3">
      <c r="A127" s="32">
        <f>VLOOKUP(YEAR(C127),Flags!$A$13:$B$95,2,FALSE)</f>
        <v>5</v>
      </c>
      <c r="B127" s="24">
        <f t="shared" si="116"/>
        <v>1934</v>
      </c>
      <c r="C127" s="25">
        <v>12692</v>
      </c>
      <c r="D127" s="26"/>
      <c r="E127" s="24"/>
      <c r="F127" s="26"/>
      <c r="G127" s="24"/>
      <c r="H127" s="24"/>
      <c r="I127" s="26"/>
      <c r="J127" s="24"/>
      <c r="K127" s="26">
        <f>VLOOKUP($C127,COS!$B$8:$H$991,2,FALSE)</f>
        <v>550</v>
      </c>
      <c r="L127" s="24">
        <f t="shared" ref="L127" si="200">IF(AND(K127&gt;$I$7,K127&lt;$I$8),1,0)</f>
        <v>0</v>
      </c>
      <c r="M127" s="24"/>
      <c r="N127" s="26"/>
      <c r="O127" s="26"/>
      <c r="P127" s="26"/>
      <c r="Q127" s="26"/>
      <c r="R127" s="26"/>
      <c r="S127" s="26"/>
      <c r="T127" s="26"/>
      <c r="U127" s="26"/>
      <c r="V127" s="26"/>
      <c r="W127" s="26">
        <f>MAX($C$8-VLOOKUP($C127,COS!$B$8:$H$991,3,FALSE),0)</f>
        <v>2066.62744140625</v>
      </c>
      <c r="X127" s="26">
        <f t="shared" si="143"/>
        <v>122.97287254648761</v>
      </c>
      <c r="Y127" s="26">
        <f>VLOOKUP($C127,COS!$B$8:$H$991,4,FALSE)</f>
        <v>1900.230224609375</v>
      </c>
      <c r="Z127" s="26">
        <f t="shared" si="144"/>
        <v>113.07155055526859</v>
      </c>
      <c r="AA127" s="26">
        <f t="shared" si="198"/>
        <v>1900.230224609375</v>
      </c>
      <c r="AB127" s="33">
        <f t="shared" si="141"/>
        <v>113.07155055526859</v>
      </c>
    </row>
    <row r="128" spans="1:28" x14ac:dyDescent="0.3">
      <c r="A128" s="32">
        <f>VLOOKUP(YEAR(C128),Flags!$A$13:$B$95,2,FALSE)</f>
        <v>5</v>
      </c>
      <c r="B128" s="24">
        <f t="shared" si="116"/>
        <v>1934</v>
      </c>
      <c r="C128" s="25">
        <v>12723</v>
      </c>
      <c r="D128" s="26"/>
      <c r="E128" s="24"/>
      <c r="F128" s="26"/>
      <c r="G128" s="26"/>
      <c r="H128" s="26"/>
      <c r="I128" s="26"/>
      <c r="J128" s="26"/>
      <c r="K128" s="26"/>
      <c r="L128" s="24"/>
      <c r="M128" s="24"/>
      <c r="N128" s="26"/>
      <c r="O128" s="26"/>
      <c r="P128" s="26"/>
      <c r="Q128" s="26"/>
      <c r="R128" s="26"/>
      <c r="S128" s="26"/>
      <c r="T128" s="26"/>
      <c r="U128" s="26"/>
      <c r="V128" s="26"/>
      <c r="W128" s="26">
        <f>MAX($C$9-VLOOKUP($C128,COS!$B$8:$H$991,3,FALSE),0)</f>
        <v>2297.357666015625</v>
      </c>
      <c r="X128" s="26">
        <f t="shared" si="143"/>
        <v>141.25901681947315</v>
      </c>
      <c r="Y128" s="26">
        <f>VLOOKUP($C128,COS!$B$8:$H$991,4,FALSE)</f>
        <v>1445.2672119140625</v>
      </c>
      <c r="Z128" s="26">
        <f t="shared" si="144"/>
        <v>88.866016997029959</v>
      </c>
      <c r="AA128" s="26">
        <f t="shared" si="198"/>
        <v>1445.2672119140625</v>
      </c>
      <c r="AB128" s="33">
        <f t="shared" si="141"/>
        <v>88.866016997029959</v>
      </c>
    </row>
    <row r="129" spans="1:28" x14ac:dyDescent="0.3">
      <c r="A129" s="32">
        <f>VLOOKUP(YEAR(C129),Flags!$A$13:$B$95,2,FALSE)</f>
        <v>5</v>
      </c>
      <c r="B129" s="24">
        <f t="shared" si="116"/>
        <v>1934</v>
      </c>
      <c r="C129" s="25">
        <v>12753</v>
      </c>
      <c r="D129" s="26"/>
      <c r="E129" s="24"/>
      <c r="F129" s="26"/>
      <c r="G129" s="26"/>
      <c r="H129" s="26"/>
      <c r="I129" s="26"/>
      <c r="J129" s="26"/>
      <c r="K129" s="26"/>
      <c r="L129" s="24"/>
      <c r="M129" s="24"/>
      <c r="N129" s="26"/>
      <c r="O129" s="26"/>
      <c r="P129" s="26"/>
      <c r="Q129" s="26"/>
      <c r="R129" s="26"/>
      <c r="S129" s="26"/>
      <c r="T129" s="26"/>
      <c r="U129" s="26"/>
      <c r="V129" s="26"/>
      <c r="W129" s="26">
        <f>MAX($C$10-VLOOKUP($C129,COS!$B$8:$H$991,3,FALSE),0)</f>
        <v>1750</v>
      </c>
      <c r="X129" s="26">
        <f t="shared" si="143"/>
        <v>104.13223140495867</v>
      </c>
      <c r="Y129" s="26">
        <f>VLOOKUP($C129,COS!$B$8:$H$991,4,FALSE)</f>
        <v>2579.600341796875</v>
      </c>
      <c r="Z129" s="26">
        <f t="shared" si="144"/>
        <v>153.49687984245867</v>
      </c>
      <c r="AA129" s="26">
        <f t="shared" si="198"/>
        <v>1750</v>
      </c>
      <c r="AB129" s="33">
        <f t="shared" si="141"/>
        <v>104.13223140495867</v>
      </c>
    </row>
    <row r="130" spans="1:28" x14ac:dyDescent="0.3">
      <c r="A130" s="34">
        <f>VLOOKUP(YEAR(C130),Flags!$A$13:$B$95,2,FALSE)</f>
        <v>5</v>
      </c>
      <c r="B130" s="35">
        <f t="shared" si="116"/>
        <v>1934</v>
      </c>
      <c r="C130" s="36">
        <v>12784</v>
      </c>
      <c r="D130" s="37"/>
      <c r="E130" s="35"/>
      <c r="F130" s="37"/>
      <c r="G130" s="37"/>
      <c r="H130" s="37"/>
      <c r="I130" s="37"/>
      <c r="J130" s="37"/>
      <c r="K130" s="37"/>
      <c r="L130" s="35"/>
      <c r="M130" s="35"/>
      <c r="N130" s="37"/>
      <c r="O130" s="37"/>
      <c r="P130" s="37"/>
      <c r="Q130" s="37"/>
      <c r="R130" s="37"/>
      <c r="S130" s="37"/>
      <c r="T130" s="37"/>
      <c r="U130" s="37"/>
      <c r="V130" s="37"/>
      <c r="W130" s="37">
        <f>MAX($C$11-VLOOKUP($C130,COS!$B$8:$H$991,3,FALSE),0)</f>
        <v>1750</v>
      </c>
      <c r="X130" s="37">
        <f t="shared" si="143"/>
        <v>107.60330578512398</v>
      </c>
      <c r="Y130" s="37">
        <f>VLOOKUP($C130,COS!$B$8:$H$991,4,FALSE)</f>
        <v>0</v>
      </c>
      <c r="Z130" s="37">
        <f t="shared" si="144"/>
        <v>0</v>
      </c>
      <c r="AA130" s="37">
        <f t="shared" si="198"/>
        <v>0</v>
      </c>
      <c r="AB130" s="38">
        <f t="shared" si="141"/>
        <v>0</v>
      </c>
    </row>
    <row r="131" spans="1:28" x14ac:dyDescent="0.3">
      <c r="A131" s="27">
        <f>VLOOKUP(YEAR(C131),Flags!$A$13:$B$95,2,FALSE)</f>
        <v>4</v>
      </c>
      <c r="B131" s="28">
        <f t="shared" si="116"/>
        <v>1935</v>
      </c>
      <c r="C131" s="29">
        <v>12904</v>
      </c>
      <c r="D131" s="30">
        <f>VLOOKUP($C131,COS!$B$8:$H$991,3,FALSE)</f>
        <v>3250</v>
      </c>
      <c r="E131" s="28">
        <f>IF(D131&gt;=IF(MONTH($C131)=4,$C$3,IF(MONTH($C131)=5,$C$4,IF(MONTH($C131)=6,$C$5,IF(MONTH($C131)=7,$C$6,"ERROR")))),1,0)</f>
        <v>0</v>
      </c>
      <c r="F131" s="30">
        <f>VLOOKUP($C131,COS!$B$8:$H$991,7,FALSE)</f>
        <v>49.358055114746094</v>
      </c>
      <c r="G131" s="28">
        <f>IF(F131&lt;=IF(MONTH($C131)=4,$F$3,IF(MONTH($C131)=5,$F$4,IF(MONTH($C131)=6,$F$5,IF(MONTH($C131)=7,$F$6,"ERROR")))),1,0)</f>
        <v>1</v>
      </c>
      <c r="H131" s="30">
        <f>IF(J131=1,D131-$C$3,0)</f>
        <v>0</v>
      </c>
      <c r="I131" s="30">
        <f t="shared" si="136"/>
        <v>0</v>
      </c>
      <c r="J131" s="28">
        <f t="shared" ref="J131:J134" si="201">IF(AND(E131=1,G131=1),1,0)</f>
        <v>0</v>
      </c>
      <c r="K131" s="30">
        <f>VLOOKUP($C131,COS!$B$8:$H$991,2,FALSE)</f>
        <v>2701.329833984375</v>
      </c>
      <c r="L131" s="28">
        <f t="shared" ref="L131" si="202">IF(K131&lt;=IF(MONTH($C131)=4,$I$3,IF(MONTH($C131)=5,$I$4,IF(MONTH($C131)=6,$I$5,IF(MONTH($C131)=7,$I$6,"ERROR")))),1,0)</f>
        <v>1</v>
      </c>
      <c r="M131" s="28">
        <f t="shared" ref="M131" si="203">VLOOKUP($A131,$L$3:$M$7,2,FALSE)</f>
        <v>1</v>
      </c>
      <c r="N131" s="30">
        <f>VLOOKUP($C131,COS!$B$8:$H$991,5,FALSE)</f>
        <v>1.3366308212280273</v>
      </c>
      <c r="O131" s="30">
        <f t="shared" ref="O131:O134" si="204">N131*DAY($C131)*86400/43560/1000</f>
        <v>7.9535057130923945E-2</v>
      </c>
      <c r="P131" s="30">
        <f>VLOOKUP($C131,COS!$B$8:$H$991,6,FALSE)</f>
        <v>295.18359375</v>
      </c>
      <c r="Q131" s="30">
        <f t="shared" ref="Q131:Q134" si="205">P131*DAY($C131)*86400/43560/1000</f>
        <v>17.564643595041321</v>
      </c>
      <c r="R131" s="30">
        <f>MIN(IF(MONTH($C131)=4,$S$3,IF(MONTH($C131)=5,$S$4,IF(MONTH($C131)=6,$S$5,IF(MONTH($C131)=7,$S$6,"ERROR")))),MAX(VLOOKUP($C131,COS!$B$8:$K$991,10,FALSE)-IF(MONTH($C131)=4,$Y$3,IF(MONTH($C131)=5,$Y$4,IF(MONTH($C131)=6,$Y$5,IF(MONTH($C131)=7,$Y$6,"ERROR")))),0),MAX(VLOOKUP($C131,COS!$B$8:$K$991,9,FALSE)-IF(MONTH($C131)=4,$V$3,IF(MONTH($C131)=5,$V$4,IF(MONTH($C131)=6,$V$5,IF(MONTH($C131)=7,$V$6,"ERROR"))))-VLOOKUP($C131,COS!$B$8:$K$991,6,FALSE)/2,0))</f>
        <v>1500</v>
      </c>
      <c r="S131" s="30">
        <f t="shared" ref="S131:S134" si="206">R131*DAY($C131)*86400/43560/1000</f>
        <v>89.256198347107429</v>
      </c>
      <c r="T131" s="30">
        <f t="shared" ref="T131:T134" si="207">(O131+Q131)/2+S131</f>
        <v>98.078287673193557</v>
      </c>
      <c r="U131" s="30" t="str">
        <f>IF(VLOOKUP($C131,COS!$B$8:$I$991,8,FALSE)=1,"UWFE","IBU")</f>
        <v>UWFE</v>
      </c>
      <c r="V131" s="30">
        <f t="shared" ref="V131" si="208">MIN(IF(IF($AA$3=2,AND(E131=1,G131=1,L131=1,L136=1,M131=1,U131="IBU"),AND(E131=1,G131=1,L131=1,L136=1,M131=1)),T131,0),I131)</f>
        <v>0</v>
      </c>
      <c r="W131" s="30"/>
      <c r="X131" s="30"/>
      <c r="Y131" s="30"/>
      <c r="Z131" s="30"/>
      <c r="AA131" s="30"/>
      <c r="AB131" s="31"/>
    </row>
    <row r="132" spans="1:28" x14ac:dyDescent="0.3">
      <c r="A132" s="32">
        <f>VLOOKUP(YEAR(C132),Flags!$A$13:$B$95,2,FALSE)</f>
        <v>4</v>
      </c>
      <c r="B132" s="24">
        <f t="shared" si="116"/>
        <v>1935</v>
      </c>
      <c r="C132" s="25">
        <v>12935</v>
      </c>
      <c r="D132" s="26">
        <f>VLOOKUP($C132,COS!$B$8:$H$991,3,FALSE)</f>
        <v>3785.33349609375</v>
      </c>
      <c r="E132" s="24">
        <f>IF(D132&gt;=IF(MONTH($C132)=4,$C$3,IF(MONTH($C132)=5,$C$4,IF(MONTH($C132)=6,$C$5,IF(MONTH($C132)=7,$C$6,"ERROR")))),1,0)</f>
        <v>0</v>
      </c>
      <c r="F132" s="26">
        <f>VLOOKUP($C132,COS!$B$8:$H$991,7,FALSE)</f>
        <v>51.774246215820313</v>
      </c>
      <c r="G132" s="24">
        <f>IF(F132&lt;=IF(MONTH($C132)=4,$F$3,IF(MONTH($C132)=5,$F$4,IF(MONTH($C132)=6,$F$5,IF(MONTH($C132)=7,$F$6,"ERROR")))),1,0)</f>
        <v>1</v>
      </c>
      <c r="H132" s="26">
        <f>IF(J132=1,D132-$C$4,0)</f>
        <v>0</v>
      </c>
      <c r="I132" s="26">
        <f t="shared" si="136"/>
        <v>0</v>
      </c>
      <c r="J132" s="24">
        <f t="shared" si="201"/>
        <v>0</v>
      </c>
      <c r="K132" s="26">
        <f>VLOOKUP($C132,COS!$B$8:$H$991,2,FALSE)</f>
        <v>2993.270751953125</v>
      </c>
      <c r="L132" s="24">
        <f t="shared" si="129"/>
        <v>1</v>
      </c>
      <c r="M132" s="24">
        <f t="shared" si="130"/>
        <v>1</v>
      </c>
      <c r="N132" s="26">
        <f>VLOOKUP($C132,COS!$B$8:$H$991,5,FALSE)</f>
        <v>70.798858642578125</v>
      </c>
      <c r="O132" s="26">
        <f t="shared" si="204"/>
        <v>4.3532521347172004</v>
      </c>
      <c r="P132" s="26">
        <f>VLOOKUP($C132,COS!$B$8:$H$991,6,FALSE)</f>
        <v>2185.40966796875</v>
      </c>
      <c r="Q132" s="26">
        <f t="shared" si="205"/>
        <v>134.37560272469008</v>
      </c>
      <c r="R132" s="26">
        <f>MIN(IF(MONTH($C132)=4,$S$3,IF(MONTH($C132)=5,$S$4,IF(MONTH($C132)=6,$S$5,IF(MONTH($C132)=7,$S$6,"ERROR")))),MAX(VLOOKUP($C132,COS!$B$8:$K$991,10,FALSE)-IF(MONTH($C132)=4,$Y$3,IF(MONTH($C132)=5,$Y$4,IF(MONTH($C132)=6,$Y$5,IF(MONTH($C132)=7,$Y$6,"ERROR")))),0),MAX(VLOOKUP($C132,COS!$B$8:$K$991,9,FALSE)-IF(MONTH($C132)=4,$V$3,IF(MONTH($C132)=5,$V$4,IF(MONTH($C132)=6,$V$5,IF(MONTH($C132)=7,$V$6,"ERROR"))))-VLOOKUP($C132,COS!$B$8:$K$991,6,FALSE)/2,0))</f>
        <v>1500</v>
      </c>
      <c r="S132" s="26">
        <f t="shared" si="206"/>
        <v>92.231404958677686</v>
      </c>
      <c r="T132" s="26">
        <f t="shared" si="207"/>
        <v>161.59583238838133</v>
      </c>
      <c r="U132" s="26" t="str">
        <f>IF(VLOOKUP($C132,COS!$B$8:$I$991,8,FALSE)=1,"UWFE","IBU")</f>
        <v>UWFE</v>
      </c>
      <c r="V132" s="26">
        <f t="shared" ref="V132" si="209">MIN(IF(IF($AA$3=2,AND(E132=1,G132=1,L132=1,L136=1,M132=1,U132="IBU"),AND(E132=1,G132=1,L132=1,L136=1,M132=1)),T132,0),I132)</f>
        <v>0</v>
      </c>
      <c r="W132" s="26"/>
      <c r="X132" s="26"/>
      <c r="Y132" s="26"/>
      <c r="Z132" s="26"/>
      <c r="AA132" s="26"/>
      <c r="AB132" s="33"/>
    </row>
    <row r="133" spans="1:28" x14ac:dyDescent="0.3">
      <c r="A133" s="32">
        <f>VLOOKUP(YEAR(C133),Flags!$A$13:$B$95,2,FALSE)</f>
        <v>4</v>
      </c>
      <c r="B133" s="24">
        <f t="shared" si="116"/>
        <v>1935</v>
      </c>
      <c r="C133" s="25">
        <v>12965</v>
      </c>
      <c r="D133" s="26">
        <f>VLOOKUP($C133,COS!$B$8:$H$991,3,FALSE)</f>
        <v>8129.7919921875</v>
      </c>
      <c r="E133" s="24">
        <f>IF(D133&gt;=IF(MONTH($C133)=4,$C$3,IF(MONTH($C133)=5,$C$4,IF(MONTH($C133)=6,$C$5,IF(MONTH($C133)=7,$C$6,"ERROR")))),1,0)</f>
        <v>0</v>
      </c>
      <c r="F133" s="26">
        <f>VLOOKUP($C133,COS!$B$8:$H$991,7,FALSE)</f>
        <v>51.700939178466797</v>
      </c>
      <c r="G133" s="24">
        <f>IF(F133&lt;=IF(MONTH($C133)=4,$F$3,IF(MONTH($C133)=5,$F$4,IF(MONTH($C133)=6,$F$5,IF(MONTH($C133)=7,$F$6,"ERROR")))),1,0)</f>
        <v>1</v>
      </c>
      <c r="H133" s="26">
        <f>IF(J133=1,D133-$C$5,0)</f>
        <v>0</v>
      </c>
      <c r="I133" s="26">
        <f t="shared" si="136"/>
        <v>0</v>
      </c>
      <c r="J133" s="24">
        <f t="shared" si="201"/>
        <v>0</v>
      </c>
      <c r="K133" s="26">
        <f>VLOOKUP($C133,COS!$B$8:$H$991,2,FALSE)</f>
        <v>2742.553466796875</v>
      </c>
      <c r="L133" s="24">
        <f t="shared" si="129"/>
        <v>1</v>
      </c>
      <c r="M133" s="24">
        <f t="shared" si="130"/>
        <v>1</v>
      </c>
      <c r="N133" s="26">
        <f>VLOOKUP($C133,COS!$B$8:$H$991,5,FALSE)</f>
        <v>355.03094482421875</v>
      </c>
      <c r="O133" s="26">
        <f t="shared" si="204"/>
        <v>21.125808287060952</v>
      </c>
      <c r="P133" s="26">
        <f>VLOOKUP($C133,COS!$B$8:$H$991,6,FALSE)</f>
        <v>2600.013916015625</v>
      </c>
      <c r="Q133" s="26">
        <f t="shared" si="205"/>
        <v>154.71157186208677</v>
      </c>
      <c r="R133" s="26">
        <f>MIN(IF(MONTH($C133)=4,$S$3,IF(MONTH($C133)=5,$S$4,IF(MONTH($C133)=6,$S$5,IF(MONTH($C133)=7,$S$6,"ERROR")))),MAX(VLOOKUP($C133,COS!$B$8:$K$991,10,FALSE)-IF(MONTH($C133)=4,$Y$3,IF(MONTH($C133)=5,$Y$4,IF(MONTH($C133)=6,$Y$5,IF(MONTH($C133)=7,$Y$6,"ERROR")))),0),MAX(VLOOKUP($C133,COS!$B$8:$K$991,9,FALSE)-IF(MONTH($C133)=4,$V$3,IF(MONTH($C133)=5,$V$4,IF(MONTH($C133)=6,$V$5,IF(MONTH($C133)=7,$V$6,"ERROR"))))-VLOOKUP($C133,COS!$B$8:$K$991,6,FALSE)/2,0))</f>
        <v>1500</v>
      </c>
      <c r="S133" s="26">
        <f t="shared" si="206"/>
        <v>89.256198347107429</v>
      </c>
      <c r="T133" s="26">
        <f t="shared" si="207"/>
        <v>177.17488842168129</v>
      </c>
      <c r="U133" s="26" t="str">
        <f>IF(VLOOKUP($C133,COS!$B$8:$I$991,8,FALSE)=1,"UWFE","IBU")</f>
        <v>IBU</v>
      </c>
      <c r="V133" s="26">
        <f t="shared" ref="V133" si="210">MIN(IF(IF($AA$3=2,AND(E133=1,G133=1,L133=1,L136=1,M133=1,U133="IBU"),AND(E133=1,G133=1,L133=1,L136=1,M133=1)),T133,0),I133)</f>
        <v>0</v>
      </c>
      <c r="W133" s="26"/>
      <c r="X133" s="26"/>
      <c r="Y133" s="26"/>
      <c r="Z133" s="26"/>
      <c r="AA133" s="26"/>
      <c r="AB133" s="33"/>
    </row>
    <row r="134" spans="1:28" x14ac:dyDescent="0.3">
      <c r="A134" s="32">
        <f>VLOOKUP(YEAR(C134),Flags!$A$13:$B$95,2,FALSE)</f>
        <v>4</v>
      </c>
      <c r="B134" s="24">
        <f t="shared" si="116"/>
        <v>1935</v>
      </c>
      <c r="C134" s="25">
        <v>12996</v>
      </c>
      <c r="D134" s="26">
        <f>VLOOKUP($C134,COS!$B$8:$H$991,3,FALSE)</f>
        <v>9552.029296875</v>
      </c>
      <c r="E134" s="24">
        <f>IF(D134&gt;=IF(MONTH($C134)=4,$C$3,IF(MONTH($C134)=5,$C$4,IF(MONTH($C134)=6,$C$5,IF(MONTH($C134)=7,$C$6,"ERROR")))),1,0)</f>
        <v>0</v>
      </c>
      <c r="F134" s="26">
        <f>VLOOKUP($C134,COS!$B$8:$H$991,7,FALSE)</f>
        <v>53.422840118408203</v>
      </c>
      <c r="G134" s="24">
        <f>IF(F134&lt;=IF(MONTH($C134)=4,$F$3,IF(MONTH($C134)=5,$F$4,IF(MONTH($C134)=6,$F$5,IF(MONTH($C134)=7,$F$6,"ERROR")))),1,0)</f>
        <v>1</v>
      </c>
      <c r="H134" s="26">
        <f>IF(J134=1,D134-$C$6,0)</f>
        <v>0</v>
      </c>
      <c r="I134" s="26">
        <f t="shared" si="136"/>
        <v>0</v>
      </c>
      <c r="J134" s="24">
        <f t="shared" si="201"/>
        <v>0</v>
      </c>
      <c r="K134" s="26">
        <f>VLOOKUP($C134,COS!$B$8:$H$991,2,FALSE)</f>
        <v>2381.828857421875</v>
      </c>
      <c r="L134" s="24">
        <f t="shared" si="129"/>
        <v>1</v>
      </c>
      <c r="M134" s="24">
        <f t="shared" si="130"/>
        <v>1</v>
      </c>
      <c r="N134" s="26">
        <f>VLOOKUP($C134,COS!$B$8:$H$991,5,FALSE)</f>
        <v>386.67288208007813</v>
      </c>
      <c r="O134" s="26">
        <f t="shared" si="204"/>
        <v>23.775588782444473</v>
      </c>
      <c r="P134" s="26">
        <f>VLOOKUP($C134,COS!$B$8:$H$991,6,FALSE)</f>
        <v>2632.5888671875</v>
      </c>
      <c r="Q134" s="26">
        <f t="shared" si="205"/>
        <v>161.87157993285126</v>
      </c>
      <c r="R134" s="26">
        <f>MIN(IF(MONTH($C134)=4,$S$3,IF(MONTH($C134)=5,$S$4,IF(MONTH($C134)=6,$S$5,IF(MONTH($C134)=7,$S$6,"ERROR")))),MAX(VLOOKUP($C134,COS!$B$8:$K$991,10,FALSE)-IF(MONTH($C134)=4,$Y$3,IF(MONTH($C134)=5,$Y$4,IF(MONTH($C134)=6,$Y$5,IF(MONTH($C134)=7,$Y$6,"ERROR")))),0),MAX(VLOOKUP($C134,COS!$B$8:$K$991,9,FALSE)-IF(MONTH($C134)=4,$V$3,IF(MONTH($C134)=5,$V$4,IF(MONTH($C134)=6,$V$5,IF(MONTH($C134)=7,$V$6,"ERROR"))))-VLOOKUP($C134,COS!$B$8:$K$991,6,FALSE)/2,0))</f>
        <v>1500</v>
      </c>
      <c r="S134" s="26">
        <f t="shared" si="206"/>
        <v>92.231404958677686</v>
      </c>
      <c r="T134" s="26">
        <f t="shared" si="207"/>
        <v>185.05498931632553</v>
      </c>
      <c r="U134" s="26" t="str">
        <f>IF(VLOOKUP($C134,COS!$B$8:$I$991,8,FALSE)=1,"UWFE","IBU")</f>
        <v>IBU</v>
      </c>
      <c r="V134" s="26">
        <f t="shared" ref="V134" si="211">MIN(IF(IF($AA$3=2,AND(E134=1,G134=1,L134=1,L136=1,M134=1,U134="IBU"),AND(E134=1,G134=1,L134=1,L136=1,M134=1)),T134,0),I134)</f>
        <v>0</v>
      </c>
      <c r="W134" s="26"/>
      <c r="X134" s="26"/>
      <c r="Y134" s="26"/>
      <c r="Z134" s="26"/>
      <c r="AA134" s="26"/>
      <c r="AB134" s="33"/>
    </row>
    <row r="135" spans="1:28" x14ac:dyDescent="0.3">
      <c r="A135" s="32">
        <f>VLOOKUP(YEAR(C135),Flags!$A$13:$B$95,2,FALSE)</f>
        <v>4</v>
      </c>
      <c r="B135" s="24">
        <f t="shared" si="116"/>
        <v>1935</v>
      </c>
      <c r="C135" s="25">
        <v>13027</v>
      </c>
      <c r="D135" s="26"/>
      <c r="E135" s="24"/>
      <c r="F135" s="26"/>
      <c r="G135" s="24"/>
      <c r="H135" s="24"/>
      <c r="I135" s="26"/>
      <c r="J135" s="24"/>
      <c r="K135" s="26"/>
      <c r="L135" s="24"/>
      <c r="M135" s="24"/>
      <c r="N135" s="26"/>
      <c r="O135" s="26"/>
      <c r="P135" s="26"/>
      <c r="Q135" s="26"/>
      <c r="R135" s="26"/>
      <c r="S135" s="26"/>
      <c r="T135" s="26"/>
      <c r="U135" s="26"/>
      <c r="V135" s="26"/>
      <c r="W135" s="26">
        <f>MAX($C$7-VLOOKUP($C135,COS!$B$8:$H$991,3,FALSE),0)</f>
        <v>3778.314453125</v>
      </c>
      <c r="X135" s="26">
        <f t="shared" si="143"/>
        <v>232.31950025826444</v>
      </c>
      <c r="Y135" s="26">
        <f>VLOOKUP($C135,COS!$B$8:$H$991,4,FALSE)</f>
        <v>311.4095458984375</v>
      </c>
      <c r="Z135" s="26">
        <f t="shared" si="144"/>
        <v>19.147826623837808</v>
      </c>
      <c r="AA135" s="26">
        <f t="shared" ref="AA135:AA139" si="212">MIN(W135,Y135)</f>
        <v>311.4095458984375</v>
      </c>
      <c r="AB135" s="33">
        <f t="shared" ref="AB135" si="213">AA135*DAY($C135)*86400/43560/1000*IF(MONTH($C135)=8,$P$3,IF(MONTH($C135)=9,$P$4,IF(MONTH($C135)=10,$P$5,IF(MONTH($C135)=11,$P$6,IF(MONTH($C135)=12,$P$7,NA())))))</f>
        <v>19.147826623837808</v>
      </c>
    </row>
    <row r="136" spans="1:28" x14ac:dyDescent="0.3">
      <c r="A136" s="32">
        <f>VLOOKUP(YEAR(C136),Flags!$A$13:$B$95,2,FALSE)</f>
        <v>4</v>
      </c>
      <c r="B136" s="24">
        <f t="shared" si="116"/>
        <v>1935</v>
      </c>
      <c r="C136" s="25">
        <v>13057</v>
      </c>
      <c r="D136" s="26"/>
      <c r="E136" s="24"/>
      <c r="F136" s="26"/>
      <c r="G136" s="24"/>
      <c r="H136" s="24"/>
      <c r="I136" s="26"/>
      <c r="J136" s="24"/>
      <c r="K136" s="26">
        <f>VLOOKUP($C136,COS!$B$8:$H$991,2,FALSE)</f>
        <v>1958.6934814453125</v>
      </c>
      <c r="L136" s="24">
        <f t="shared" ref="L136" si="214">IF(AND(K136&gt;$I$7,K136&lt;$I$8),1,0)</f>
        <v>1</v>
      </c>
      <c r="M136" s="24"/>
      <c r="N136" s="26"/>
      <c r="O136" s="26"/>
      <c r="P136" s="26"/>
      <c r="Q136" s="26"/>
      <c r="R136" s="26"/>
      <c r="S136" s="26"/>
      <c r="T136" s="26"/>
      <c r="U136" s="26"/>
      <c r="V136" s="26"/>
      <c r="W136" s="26">
        <f>MAX($C$8-VLOOKUP($C136,COS!$B$8:$H$991,3,FALSE),0)</f>
        <v>1975.235595703125</v>
      </c>
      <c r="X136" s="26">
        <f t="shared" si="143"/>
        <v>117.5346800748967</v>
      </c>
      <c r="Y136" s="26">
        <f>VLOOKUP($C136,COS!$B$8:$H$991,4,FALSE)</f>
        <v>386.73208618164063</v>
      </c>
      <c r="Z136" s="26">
        <f t="shared" si="144"/>
        <v>23.012157194279443</v>
      </c>
      <c r="AA136" s="26">
        <f t="shared" si="212"/>
        <v>386.73208618164063</v>
      </c>
      <c r="AB136" s="33">
        <f t="shared" si="141"/>
        <v>23.012157194279443</v>
      </c>
    </row>
    <row r="137" spans="1:28" x14ac:dyDescent="0.3">
      <c r="A137" s="32">
        <f>VLOOKUP(YEAR(C137),Flags!$A$13:$B$95,2,FALSE)</f>
        <v>4</v>
      </c>
      <c r="B137" s="24">
        <f t="shared" si="116"/>
        <v>1935</v>
      </c>
      <c r="C137" s="25">
        <v>13088</v>
      </c>
      <c r="D137" s="26"/>
      <c r="E137" s="24"/>
      <c r="F137" s="26"/>
      <c r="G137" s="26"/>
      <c r="H137" s="26"/>
      <c r="I137" s="26"/>
      <c r="J137" s="26"/>
      <c r="K137" s="26"/>
      <c r="L137" s="24"/>
      <c r="M137" s="24"/>
      <c r="N137" s="26"/>
      <c r="O137" s="26"/>
      <c r="P137" s="26"/>
      <c r="Q137" s="26"/>
      <c r="R137" s="26"/>
      <c r="S137" s="26"/>
      <c r="T137" s="26"/>
      <c r="U137" s="26"/>
      <c r="V137" s="26"/>
      <c r="W137" s="26">
        <f>MAX($C$9-VLOOKUP($C137,COS!$B$8:$H$991,3,FALSE),0)</f>
        <v>1109.80029296875</v>
      </c>
      <c r="X137" s="26">
        <f t="shared" si="143"/>
        <v>68.238960162706618</v>
      </c>
      <c r="Y137" s="26">
        <f>VLOOKUP($C137,COS!$B$8:$H$991,4,FALSE)</f>
        <v>839.30419921875</v>
      </c>
      <c r="Z137" s="26">
        <f t="shared" si="144"/>
        <v>51.606803654442146</v>
      </c>
      <c r="AA137" s="26">
        <f t="shared" si="212"/>
        <v>839.30419921875</v>
      </c>
      <c r="AB137" s="33">
        <f t="shared" si="141"/>
        <v>51.606803654442146</v>
      </c>
    </row>
    <row r="138" spans="1:28" x14ac:dyDescent="0.3">
      <c r="A138" s="32">
        <f>VLOOKUP(YEAR(C138),Flags!$A$13:$B$95,2,FALSE)</f>
        <v>4</v>
      </c>
      <c r="B138" s="24">
        <f t="shared" si="116"/>
        <v>1935</v>
      </c>
      <c r="C138" s="25">
        <v>13118</v>
      </c>
      <c r="D138" s="26"/>
      <c r="E138" s="24"/>
      <c r="F138" s="26"/>
      <c r="G138" s="26"/>
      <c r="H138" s="26"/>
      <c r="I138" s="26"/>
      <c r="J138" s="26"/>
      <c r="K138" s="26"/>
      <c r="L138" s="24"/>
      <c r="M138" s="24"/>
      <c r="N138" s="26"/>
      <c r="O138" s="26"/>
      <c r="P138" s="26"/>
      <c r="Q138" s="26"/>
      <c r="R138" s="26"/>
      <c r="S138" s="26"/>
      <c r="T138" s="26"/>
      <c r="U138" s="26"/>
      <c r="V138" s="26"/>
      <c r="W138" s="26">
        <f>MAX($C$10-VLOOKUP($C138,COS!$B$8:$H$991,3,FALSE),0)</f>
        <v>1610.462646484375</v>
      </c>
      <c r="X138" s="26">
        <f t="shared" si="143"/>
        <v>95.829182270144628</v>
      </c>
      <c r="Y138" s="26">
        <f>VLOOKUP($C138,COS!$B$8:$H$991,4,FALSE)</f>
        <v>442.06243896484375</v>
      </c>
      <c r="Z138" s="26">
        <f t="shared" si="144"/>
        <v>26.304541822701445</v>
      </c>
      <c r="AA138" s="26">
        <f t="shared" si="212"/>
        <v>442.06243896484375</v>
      </c>
      <c r="AB138" s="33">
        <f t="shared" si="141"/>
        <v>26.304541822701445</v>
      </c>
    </row>
    <row r="139" spans="1:28" x14ac:dyDescent="0.3">
      <c r="A139" s="34">
        <f>VLOOKUP(YEAR(C139),Flags!$A$13:$B$95,2,FALSE)</f>
        <v>4</v>
      </c>
      <c r="B139" s="35">
        <f t="shared" si="116"/>
        <v>1935</v>
      </c>
      <c r="C139" s="36">
        <v>13149</v>
      </c>
      <c r="D139" s="37"/>
      <c r="E139" s="35"/>
      <c r="F139" s="37"/>
      <c r="G139" s="37"/>
      <c r="H139" s="37"/>
      <c r="I139" s="37"/>
      <c r="J139" s="37"/>
      <c r="K139" s="37"/>
      <c r="L139" s="35"/>
      <c r="M139" s="35"/>
      <c r="N139" s="37"/>
      <c r="O139" s="37"/>
      <c r="P139" s="37"/>
      <c r="Q139" s="37"/>
      <c r="R139" s="37"/>
      <c r="S139" s="37"/>
      <c r="T139" s="37"/>
      <c r="U139" s="37"/>
      <c r="V139" s="37"/>
      <c r="W139" s="37">
        <f>MAX($C$11-VLOOKUP($C139,COS!$B$8:$H$991,3,FALSE),0)</f>
        <v>1750</v>
      </c>
      <c r="X139" s="37">
        <f t="shared" si="143"/>
        <v>107.60330578512398</v>
      </c>
      <c r="Y139" s="37">
        <f>VLOOKUP($C139,COS!$B$8:$H$991,4,FALSE)</f>
        <v>18.913251876831055</v>
      </c>
      <c r="Z139" s="37">
        <f t="shared" si="144"/>
        <v>1.162930528624984</v>
      </c>
      <c r="AA139" s="37">
        <f t="shared" si="212"/>
        <v>18.913251876831055</v>
      </c>
      <c r="AB139" s="38">
        <f t="shared" si="141"/>
        <v>1.162930528624984</v>
      </c>
    </row>
    <row r="140" spans="1:28" x14ac:dyDescent="0.3">
      <c r="A140" s="27">
        <f>VLOOKUP(YEAR(C140),Flags!$A$13:$B$95,2,FALSE)</f>
        <v>3</v>
      </c>
      <c r="B140" s="28">
        <f t="shared" si="116"/>
        <v>1936</v>
      </c>
      <c r="C140" s="29">
        <v>13270</v>
      </c>
      <c r="D140" s="30">
        <f>VLOOKUP($C140,COS!$B$8:$H$991,3,FALSE)</f>
        <v>3250</v>
      </c>
      <c r="E140" s="28">
        <f>IF(D140&gt;=IF(MONTH($C140)=4,$C$3,IF(MONTH($C140)=5,$C$4,IF(MONTH($C140)=6,$C$5,IF(MONTH($C140)=7,$C$6,"ERROR")))),1,0)</f>
        <v>0</v>
      </c>
      <c r="F140" s="30">
        <f>VLOOKUP($C140,COS!$B$8:$H$991,7,FALSE)</f>
        <v>49.935798645019531</v>
      </c>
      <c r="G140" s="28">
        <f>IF(F140&lt;=IF(MONTH($C140)=4,$F$3,IF(MONTH($C140)=5,$F$4,IF(MONTH($C140)=6,$F$5,IF(MONTH($C140)=7,$F$6,"ERROR")))),1,0)</f>
        <v>1</v>
      </c>
      <c r="H140" s="30">
        <f>IF(J140=1,D140-$C$3,0)</f>
        <v>0</v>
      </c>
      <c r="I140" s="30">
        <f t="shared" si="136"/>
        <v>0</v>
      </c>
      <c r="J140" s="28">
        <f t="shared" ref="J140:J143" si="215">IF(AND(E140=1,G140=1),1,0)</f>
        <v>0</v>
      </c>
      <c r="K140" s="30">
        <f>VLOOKUP($C140,COS!$B$8:$H$991,2,FALSE)</f>
        <v>4126.388671875</v>
      </c>
      <c r="L140" s="28">
        <f t="shared" ref="L140" si="216">IF(K140&lt;=IF(MONTH($C140)=4,$I$3,IF(MONTH($C140)=5,$I$4,IF(MONTH($C140)=6,$I$5,IF(MONTH($C140)=7,$I$6,"ERROR")))),1,0)</f>
        <v>1</v>
      </c>
      <c r="M140" s="28">
        <f t="shared" ref="M140" si="217">VLOOKUP($A140,$L$3:$M$7,2,FALSE)</f>
        <v>0</v>
      </c>
      <c r="N140" s="30">
        <f>VLOOKUP($C140,COS!$B$8:$H$991,5,FALSE)</f>
        <v>205.43023681640625</v>
      </c>
      <c r="O140" s="30">
        <f t="shared" ref="O140:O143" si="218">N140*DAY($C140)*86400/43560/1000</f>
        <v>12.223947975852273</v>
      </c>
      <c r="P140" s="30">
        <f>VLOOKUP($C140,COS!$B$8:$H$991,6,FALSE)</f>
        <v>427.27923583984375</v>
      </c>
      <c r="Q140" s="30">
        <f t="shared" ref="Q140:Q143" si="219">P140*DAY($C140)*86400/43560/1000</f>
        <v>25.424880149147729</v>
      </c>
      <c r="R140" s="30">
        <f>MIN(IF(MONTH($C140)=4,$S$3,IF(MONTH($C140)=5,$S$4,IF(MONTH($C140)=6,$S$5,IF(MONTH($C140)=7,$S$6,"ERROR")))),MAX(VLOOKUP($C140,COS!$B$8:$K$991,10,FALSE)-IF(MONTH($C140)=4,$Y$3,IF(MONTH($C140)=5,$Y$4,IF(MONTH($C140)=6,$Y$5,IF(MONTH($C140)=7,$Y$6,"ERROR")))),0),MAX(VLOOKUP($C140,COS!$B$8:$K$991,9,FALSE)-IF(MONTH($C140)=4,$V$3,IF(MONTH($C140)=5,$V$4,IF(MONTH($C140)=6,$V$5,IF(MONTH($C140)=7,$V$6,"ERROR"))))-VLOOKUP($C140,COS!$B$8:$K$991,6,FALSE)/2,0))</f>
        <v>1500</v>
      </c>
      <c r="S140" s="30">
        <f t="shared" ref="S140:S143" si="220">R140*DAY($C140)*86400/43560/1000</f>
        <v>89.256198347107429</v>
      </c>
      <c r="T140" s="30">
        <f t="shared" ref="T140:T143" si="221">(O140+Q140)/2+S140</f>
        <v>108.08061240960743</v>
      </c>
      <c r="U140" s="30" t="str">
        <f>IF(VLOOKUP($C140,COS!$B$8:$I$991,8,FALSE)=1,"UWFE","IBU")</f>
        <v>UWFE</v>
      </c>
      <c r="V140" s="30">
        <f t="shared" ref="V140" si="222">MIN(IF(IF($AA$3=2,AND(E140=1,G140=1,L140=1,L145=1,M140=1,U140="IBU"),AND(E140=1,G140=1,L140=1,L145=1,M140=1)),T140,0),I140)</f>
        <v>0</v>
      </c>
      <c r="W140" s="30"/>
      <c r="X140" s="30"/>
      <c r="Y140" s="30"/>
      <c r="Z140" s="30"/>
      <c r="AA140" s="30"/>
      <c r="AB140" s="31"/>
    </row>
    <row r="141" spans="1:28" x14ac:dyDescent="0.3">
      <c r="A141" s="32">
        <f>VLOOKUP(YEAR(C141),Flags!$A$13:$B$95,2,FALSE)</f>
        <v>3</v>
      </c>
      <c r="B141" s="24">
        <f t="shared" si="116"/>
        <v>1936</v>
      </c>
      <c r="C141" s="25">
        <v>13301</v>
      </c>
      <c r="D141" s="26">
        <f>VLOOKUP($C141,COS!$B$8:$H$991,3,FALSE)</f>
        <v>5730.4501953125</v>
      </c>
      <c r="E141" s="24">
        <f>IF(D141&gt;=IF(MONTH($C141)=4,$C$3,IF(MONTH($C141)=5,$C$4,IF(MONTH($C141)=6,$C$5,IF(MONTH($C141)=7,$C$6,"ERROR")))),1,0)</f>
        <v>0</v>
      </c>
      <c r="F141" s="26">
        <f>VLOOKUP($C141,COS!$B$8:$H$991,7,FALSE)</f>
        <v>50.767982482910156</v>
      </c>
      <c r="G141" s="24">
        <f>IF(F141&lt;=IF(MONTH($C141)=4,$F$3,IF(MONTH($C141)=5,$F$4,IF(MONTH($C141)=6,$F$5,IF(MONTH($C141)=7,$F$6,"ERROR")))),1,0)</f>
        <v>1</v>
      </c>
      <c r="H141" s="26">
        <f>IF(J141=1,D141-$C$4,0)</f>
        <v>0</v>
      </c>
      <c r="I141" s="26">
        <f t="shared" si="136"/>
        <v>0</v>
      </c>
      <c r="J141" s="24">
        <f t="shared" si="215"/>
        <v>0</v>
      </c>
      <c r="K141" s="26">
        <f>VLOOKUP($C141,COS!$B$8:$H$991,2,FALSE)</f>
        <v>4065.37890625</v>
      </c>
      <c r="L141" s="24">
        <f t="shared" si="129"/>
        <v>1</v>
      </c>
      <c r="M141" s="24">
        <f t="shared" si="130"/>
        <v>0</v>
      </c>
      <c r="N141" s="26">
        <f>VLOOKUP($C141,COS!$B$8:$H$991,5,FALSE)</f>
        <v>284.62387084960938</v>
      </c>
      <c r="O141" s="26">
        <f t="shared" si="218"/>
        <v>17.500839662157798</v>
      </c>
      <c r="P141" s="26">
        <f>VLOOKUP($C141,COS!$B$8:$H$991,6,FALSE)</f>
        <v>2118.009033203125</v>
      </c>
      <c r="Q141" s="26">
        <f t="shared" si="219"/>
        <v>130.23129923166323</v>
      </c>
      <c r="R141" s="26">
        <f>MIN(IF(MONTH($C141)=4,$S$3,IF(MONTH($C141)=5,$S$4,IF(MONTH($C141)=6,$S$5,IF(MONTH($C141)=7,$S$6,"ERROR")))),MAX(VLOOKUP($C141,COS!$B$8:$K$991,10,FALSE)-IF(MONTH($C141)=4,$Y$3,IF(MONTH($C141)=5,$Y$4,IF(MONTH($C141)=6,$Y$5,IF(MONTH($C141)=7,$Y$6,"ERROR")))),0),MAX(VLOOKUP($C141,COS!$B$8:$K$991,9,FALSE)-IF(MONTH($C141)=4,$V$3,IF(MONTH($C141)=5,$V$4,IF(MONTH($C141)=6,$V$5,IF(MONTH($C141)=7,$V$6,"ERROR"))))-VLOOKUP($C141,COS!$B$8:$K$991,6,FALSE)/2,0))</f>
        <v>1500</v>
      </c>
      <c r="S141" s="26">
        <f t="shared" si="220"/>
        <v>92.231404958677686</v>
      </c>
      <c r="T141" s="26">
        <f t="shared" si="221"/>
        <v>166.0974744055882</v>
      </c>
      <c r="U141" s="26" t="str">
        <f>IF(VLOOKUP($C141,COS!$B$8:$I$991,8,FALSE)=1,"UWFE","IBU")</f>
        <v>UWFE</v>
      </c>
      <c r="V141" s="26">
        <f t="shared" ref="V141" si="223">MIN(IF(IF($AA$3=2,AND(E141=1,G141=1,L141=1,L145=1,M141=1,U141="IBU"),AND(E141=1,G141=1,L141=1,L145=1,M141=1)),T141,0),I141)</f>
        <v>0</v>
      </c>
      <c r="W141" s="26"/>
      <c r="X141" s="26"/>
      <c r="Y141" s="26"/>
      <c r="Z141" s="26"/>
      <c r="AA141" s="26"/>
      <c r="AB141" s="33"/>
    </row>
    <row r="142" spans="1:28" x14ac:dyDescent="0.3">
      <c r="A142" s="32">
        <f>VLOOKUP(YEAR(C142),Flags!$A$13:$B$95,2,FALSE)</f>
        <v>3</v>
      </c>
      <c r="B142" s="24">
        <f t="shared" si="116"/>
        <v>1936</v>
      </c>
      <c r="C142" s="25">
        <v>13331</v>
      </c>
      <c r="D142" s="26">
        <f>VLOOKUP($C142,COS!$B$8:$H$991,3,FALSE)</f>
        <v>7140.05078125</v>
      </c>
      <c r="E142" s="24">
        <f>IF(D142&gt;=IF(MONTH($C142)=4,$C$3,IF(MONTH($C142)=5,$C$4,IF(MONTH($C142)=6,$C$5,IF(MONTH($C142)=7,$C$6,"ERROR")))),1,0)</f>
        <v>0</v>
      </c>
      <c r="F142" s="26">
        <f>VLOOKUP($C142,COS!$B$8:$H$991,7,FALSE)</f>
        <v>50.706310272216797</v>
      </c>
      <c r="G142" s="24">
        <f>IF(F142&lt;=IF(MONTH($C142)=4,$F$3,IF(MONTH($C142)=5,$F$4,IF(MONTH($C142)=6,$F$5,IF(MONTH($C142)=7,$F$6,"ERROR")))),1,0)</f>
        <v>1</v>
      </c>
      <c r="H142" s="26">
        <f>IF(J142=1,D142-$C$5,0)</f>
        <v>0</v>
      </c>
      <c r="I142" s="26">
        <f t="shared" si="136"/>
        <v>0</v>
      </c>
      <c r="J142" s="24">
        <f t="shared" si="215"/>
        <v>0</v>
      </c>
      <c r="K142" s="26">
        <f>VLOOKUP($C142,COS!$B$8:$H$991,2,FALSE)</f>
        <v>3872.543701171875</v>
      </c>
      <c r="L142" s="24">
        <f t="shared" si="129"/>
        <v>1</v>
      </c>
      <c r="M142" s="24">
        <f t="shared" si="130"/>
        <v>0</v>
      </c>
      <c r="N142" s="26">
        <f>VLOOKUP($C142,COS!$B$8:$H$991,5,FALSE)</f>
        <v>523.20947265625</v>
      </c>
      <c r="O142" s="26">
        <f t="shared" si="218"/>
        <v>31.133125645661156</v>
      </c>
      <c r="P142" s="26">
        <f>VLOOKUP($C142,COS!$B$8:$H$991,6,FALSE)</f>
        <v>2337.24169921875</v>
      </c>
      <c r="Q142" s="26">
        <f t="shared" si="219"/>
        <v>139.07553912706612</v>
      </c>
      <c r="R142" s="26">
        <f>MIN(IF(MONTH($C142)=4,$S$3,IF(MONTH($C142)=5,$S$4,IF(MONTH($C142)=6,$S$5,IF(MONTH($C142)=7,$S$6,"ERROR")))),MAX(VLOOKUP($C142,COS!$B$8:$K$991,10,FALSE)-IF(MONTH($C142)=4,$Y$3,IF(MONTH($C142)=5,$Y$4,IF(MONTH($C142)=6,$Y$5,IF(MONTH($C142)=7,$Y$6,"ERROR")))),0),MAX(VLOOKUP($C142,COS!$B$8:$K$991,9,FALSE)-IF(MONTH($C142)=4,$V$3,IF(MONTH($C142)=5,$V$4,IF(MONTH($C142)=6,$V$5,IF(MONTH($C142)=7,$V$6,"ERROR"))))-VLOOKUP($C142,COS!$B$8:$K$991,6,FALSE)/2,0))</f>
        <v>1500</v>
      </c>
      <c r="S142" s="26">
        <f t="shared" si="220"/>
        <v>89.256198347107429</v>
      </c>
      <c r="T142" s="26">
        <f t="shared" si="221"/>
        <v>174.36053073347108</v>
      </c>
      <c r="U142" s="26" t="str">
        <f>IF(VLOOKUP($C142,COS!$B$8:$I$991,8,FALSE)=1,"UWFE","IBU")</f>
        <v>UWFE</v>
      </c>
      <c r="V142" s="26">
        <f t="shared" ref="V142" si="224">MIN(IF(IF($AA$3=2,AND(E142=1,G142=1,L142=1,L145=1,M142=1,U142="IBU"),AND(E142=1,G142=1,L142=1,L145=1,M142=1)),T142,0),I142)</f>
        <v>0</v>
      </c>
      <c r="W142" s="26"/>
      <c r="X142" s="26"/>
      <c r="Y142" s="26"/>
      <c r="Z142" s="26"/>
      <c r="AA142" s="26"/>
      <c r="AB142" s="33"/>
    </row>
    <row r="143" spans="1:28" x14ac:dyDescent="0.3">
      <c r="A143" s="32">
        <f>VLOOKUP(YEAR(C143),Flags!$A$13:$B$95,2,FALSE)</f>
        <v>3</v>
      </c>
      <c r="B143" s="24">
        <f t="shared" ref="B143:B206" si="225">YEAR(C143)</f>
        <v>1936</v>
      </c>
      <c r="C143" s="25">
        <v>13362</v>
      </c>
      <c r="D143" s="26">
        <f>VLOOKUP($C143,COS!$B$8:$H$991,3,FALSE)</f>
        <v>10100.955078125</v>
      </c>
      <c r="E143" s="24">
        <f>IF(D143&gt;=IF(MONTH($C143)=4,$C$3,IF(MONTH($C143)=5,$C$4,IF(MONTH($C143)=6,$C$5,IF(MONTH($C143)=7,$C$6,"ERROR")))),1,0)</f>
        <v>0</v>
      </c>
      <c r="F143" s="26">
        <f>VLOOKUP($C143,COS!$B$8:$H$991,7,FALSE)</f>
        <v>50.784397125244141</v>
      </c>
      <c r="G143" s="24">
        <f>IF(F143&lt;=IF(MONTH($C143)=4,$F$3,IF(MONTH($C143)=5,$F$4,IF(MONTH($C143)=6,$F$5,IF(MONTH($C143)=7,$F$6,"ERROR")))),1,0)</f>
        <v>1</v>
      </c>
      <c r="H143" s="26">
        <f>IF(J143=1,D143-$C$6,0)</f>
        <v>0</v>
      </c>
      <c r="I143" s="26">
        <f t="shared" si="136"/>
        <v>0</v>
      </c>
      <c r="J143" s="24">
        <f t="shared" si="215"/>
        <v>0</v>
      </c>
      <c r="K143" s="26">
        <f>VLOOKUP($C143,COS!$B$8:$H$991,2,FALSE)</f>
        <v>3405.32080078125</v>
      </c>
      <c r="L143" s="24">
        <f t="shared" si="129"/>
        <v>1</v>
      </c>
      <c r="M143" s="24">
        <f t="shared" si="130"/>
        <v>0</v>
      </c>
      <c r="N143" s="26">
        <f>VLOOKUP($C143,COS!$B$8:$H$991,5,FALSE)</f>
        <v>692.3970947265625</v>
      </c>
      <c r="O143" s="26">
        <f t="shared" si="218"/>
        <v>42.573837890625001</v>
      </c>
      <c r="P143" s="26">
        <f>VLOOKUP($C143,COS!$B$8:$H$991,6,FALSE)</f>
        <v>2537.385498046875</v>
      </c>
      <c r="Q143" s="26">
        <f t="shared" si="219"/>
        <v>156.01775293775825</v>
      </c>
      <c r="R143" s="26">
        <f>MIN(IF(MONTH($C143)=4,$S$3,IF(MONTH($C143)=5,$S$4,IF(MONTH($C143)=6,$S$5,IF(MONTH($C143)=7,$S$6,"ERROR")))),MAX(VLOOKUP($C143,COS!$B$8:$K$991,10,FALSE)-IF(MONTH($C143)=4,$Y$3,IF(MONTH($C143)=5,$Y$4,IF(MONTH($C143)=6,$Y$5,IF(MONTH($C143)=7,$Y$6,"ERROR")))),0),MAX(VLOOKUP($C143,COS!$B$8:$K$991,9,FALSE)-IF(MONTH($C143)=4,$V$3,IF(MONTH($C143)=5,$V$4,IF(MONTH($C143)=6,$V$5,IF(MONTH($C143)=7,$V$6,"ERROR"))))-VLOOKUP($C143,COS!$B$8:$K$991,6,FALSE)/2,0))</f>
        <v>1500</v>
      </c>
      <c r="S143" s="26">
        <f t="shared" si="220"/>
        <v>92.231404958677686</v>
      </c>
      <c r="T143" s="26">
        <f t="shared" si="221"/>
        <v>191.52720037286929</v>
      </c>
      <c r="U143" s="26" t="str">
        <f>IF(VLOOKUP($C143,COS!$B$8:$I$991,8,FALSE)=1,"UWFE","IBU")</f>
        <v>IBU</v>
      </c>
      <c r="V143" s="26">
        <f t="shared" ref="V143" si="226">MIN(IF(IF($AA$3=2,AND(E143=1,G143=1,L143=1,L145=1,M143=1,U143="IBU"),AND(E143=1,G143=1,L143=1,L145=1,M143=1)),T143,0),I143)</f>
        <v>0</v>
      </c>
      <c r="W143" s="26"/>
      <c r="X143" s="26"/>
      <c r="Y143" s="26"/>
      <c r="Z143" s="26"/>
      <c r="AA143" s="26"/>
      <c r="AB143" s="33"/>
    </row>
    <row r="144" spans="1:28" x14ac:dyDescent="0.3">
      <c r="A144" s="32">
        <f>VLOOKUP(YEAR(C144),Flags!$A$13:$B$95,2,FALSE)</f>
        <v>3</v>
      </c>
      <c r="B144" s="24">
        <f t="shared" si="225"/>
        <v>1936</v>
      </c>
      <c r="C144" s="25">
        <v>13393</v>
      </c>
      <c r="D144" s="26"/>
      <c r="E144" s="24"/>
      <c r="F144" s="26"/>
      <c r="G144" s="24"/>
      <c r="H144" s="24"/>
      <c r="I144" s="26"/>
      <c r="J144" s="24"/>
      <c r="K144" s="26"/>
      <c r="L144" s="24"/>
      <c r="M144" s="24"/>
      <c r="N144" s="26"/>
      <c r="O144" s="26"/>
      <c r="P144" s="26"/>
      <c r="Q144" s="26"/>
      <c r="R144" s="26"/>
      <c r="S144" s="26"/>
      <c r="T144" s="26"/>
      <c r="U144" s="26"/>
      <c r="V144" s="26"/>
      <c r="W144" s="26">
        <f>MAX($C$7-VLOOKUP($C144,COS!$B$8:$H$991,3,FALSE),0)</f>
        <v>2322.0078125</v>
      </c>
      <c r="X144" s="26">
        <f t="shared" si="143"/>
        <v>142.77469524793389</v>
      </c>
      <c r="Y144" s="26">
        <f>VLOOKUP($C144,COS!$B$8:$H$991,4,FALSE)</f>
        <v>354.93222045898438</v>
      </c>
      <c r="Z144" s="26">
        <f t="shared" si="144"/>
        <v>21.823931572023504</v>
      </c>
      <c r="AA144" s="26">
        <f t="shared" ref="AA144:AA148" si="227">MIN(W144,Y144)</f>
        <v>354.93222045898438</v>
      </c>
      <c r="AB144" s="33">
        <f t="shared" ref="AB144" si="228">AA144*DAY($C144)*86400/43560/1000*IF(MONTH($C144)=8,$P$3,IF(MONTH($C144)=9,$P$4,IF(MONTH($C144)=10,$P$5,IF(MONTH($C144)=11,$P$6,IF(MONTH($C144)=12,$P$7,NA())))))</f>
        <v>21.823931572023504</v>
      </c>
    </row>
    <row r="145" spans="1:28" x14ac:dyDescent="0.3">
      <c r="A145" s="32">
        <f>VLOOKUP(YEAR(C145),Flags!$A$13:$B$95,2,FALSE)</f>
        <v>3</v>
      </c>
      <c r="B145" s="24">
        <f t="shared" si="225"/>
        <v>1936</v>
      </c>
      <c r="C145" s="25">
        <v>13423</v>
      </c>
      <c r="D145" s="26"/>
      <c r="E145" s="24"/>
      <c r="F145" s="26"/>
      <c r="G145" s="24"/>
      <c r="H145" s="24"/>
      <c r="I145" s="26"/>
      <c r="J145" s="24"/>
      <c r="K145" s="26">
        <f>VLOOKUP($C145,COS!$B$8:$H$991,2,FALSE)</f>
        <v>2909.572509765625</v>
      </c>
      <c r="L145" s="24">
        <f t="shared" ref="L145" si="229">IF(AND(K145&gt;$I$7,K145&lt;$I$8),1,0)</f>
        <v>1</v>
      </c>
      <c r="M145" s="24"/>
      <c r="N145" s="26"/>
      <c r="O145" s="26"/>
      <c r="P145" s="26"/>
      <c r="Q145" s="26"/>
      <c r="R145" s="26"/>
      <c r="S145" s="26"/>
      <c r="T145" s="26"/>
      <c r="U145" s="26"/>
      <c r="V145" s="26"/>
      <c r="W145" s="26">
        <f>MAX($C$8-VLOOKUP($C145,COS!$B$8:$H$991,3,FALSE),0)</f>
        <v>1796.64453125</v>
      </c>
      <c r="X145" s="26">
        <f t="shared" si="143"/>
        <v>106.90777376033057</v>
      </c>
      <c r="Y145" s="26">
        <f>VLOOKUP($C145,COS!$B$8:$H$991,4,FALSE)</f>
        <v>0</v>
      </c>
      <c r="Z145" s="26">
        <f t="shared" si="144"/>
        <v>0</v>
      </c>
      <c r="AA145" s="26">
        <f t="shared" si="227"/>
        <v>0</v>
      </c>
      <c r="AB145" s="33">
        <f t="shared" si="141"/>
        <v>0</v>
      </c>
    </row>
    <row r="146" spans="1:28" x14ac:dyDescent="0.3">
      <c r="A146" s="32">
        <f>VLOOKUP(YEAR(C146),Flags!$A$13:$B$95,2,FALSE)</f>
        <v>3</v>
      </c>
      <c r="B146" s="24">
        <f t="shared" si="225"/>
        <v>1936</v>
      </c>
      <c r="C146" s="25">
        <v>13454</v>
      </c>
      <c r="D146" s="26"/>
      <c r="E146" s="24"/>
      <c r="F146" s="26"/>
      <c r="G146" s="26"/>
      <c r="H146" s="26"/>
      <c r="I146" s="26"/>
      <c r="J146" s="26"/>
      <c r="K146" s="26"/>
      <c r="L146" s="24"/>
      <c r="M146" s="24"/>
      <c r="N146" s="26"/>
      <c r="O146" s="26"/>
      <c r="P146" s="26"/>
      <c r="Q146" s="26"/>
      <c r="R146" s="26"/>
      <c r="S146" s="26"/>
      <c r="T146" s="26"/>
      <c r="U146" s="26"/>
      <c r="V146" s="26"/>
      <c r="W146" s="26">
        <f>MAX($C$9-VLOOKUP($C146,COS!$B$8:$H$991,3,FALSE),0)</f>
        <v>0</v>
      </c>
      <c r="X146" s="26">
        <f t="shared" si="143"/>
        <v>0</v>
      </c>
      <c r="Y146" s="26">
        <f>VLOOKUP($C146,COS!$B$8:$H$991,4,FALSE)</f>
        <v>840.8681640625</v>
      </c>
      <c r="Z146" s="26">
        <f t="shared" si="144"/>
        <v>51.702968104338844</v>
      </c>
      <c r="AA146" s="26">
        <f t="shared" si="227"/>
        <v>0</v>
      </c>
      <c r="AB146" s="33">
        <f t="shared" si="141"/>
        <v>0</v>
      </c>
    </row>
    <row r="147" spans="1:28" x14ac:dyDescent="0.3">
      <c r="A147" s="32">
        <f>VLOOKUP(YEAR(C147),Flags!$A$13:$B$95,2,FALSE)</f>
        <v>3</v>
      </c>
      <c r="B147" s="24">
        <f t="shared" si="225"/>
        <v>1936</v>
      </c>
      <c r="C147" s="25">
        <v>13484</v>
      </c>
      <c r="D147" s="26"/>
      <c r="E147" s="24"/>
      <c r="F147" s="26"/>
      <c r="G147" s="26"/>
      <c r="H147" s="26"/>
      <c r="I147" s="26"/>
      <c r="J147" s="26"/>
      <c r="K147" s="26"/>
      <c r="L147" s="24"/>
      <c r="M147" s="24"/>
      <c r="N147" s="26"/>
      <c r="O147" s="26"/>
      <c r="P147" s="26"/>
      <c r="Q147" s="26"/>
      <c r="R147" s="26"/>
      <c r="S147" s="26"/>
      <c r="T147" s="26"/>
      <c r="U147" s="26"/>
      <c r="V147" s="26"/>
      <c r="W147" s="26">
        <f>MAX($C$10-VLOOKUP($C147,COS!$B$8:$H$991,3,FALSE),0)</f>
        <v>0</v>
      </c>
      <c r="X147" s="26">
        <f t="shared" si="143"/>
        <v>0</v>
      </c>
      <c r="Y147" s="26">
        <f>VLOOKUP($C147,COS!$B$8:$H$991,4,FALSE)</f>
        <v>1128.2205810546875</v>
      </c>
      <c r="Z147" s="26">
        <f t="shared" si="144"/>
        <v>67.13378664127066</v>
      </c>
      <c r="AA147" s="26">
        <f t="shared" si="227"/>
        <v>0</v>
      </c>
      <c r="AB147" s="33">
        <f t="shared" si="141"/>
        <v>0</v>
      </c>
    </row>
    <row r="148" spans="1:28" x14ac:dyDescent="0.3">
      <c r="A148" s="34">
        <f>VLOOKUP(YEAR(C148),Flags!$A$13:$B$95,2,FALSE)</f>
        <v>3</v>
      </c>
      <c r="B148" s="35">
        <f t="shared" si="225"/>
        <v>1936</v>
      </c>
      <c r="C148" s="36">
        <v>13515</v>
      </c>
      <c r="D148" s="37"/>
      <c r="E148" s="35"/>
      <c r="F148" s="37"/>
      <c r="G148" s="37"/>
      <c r="H148" s="37"/>
      <c r="I148" s="37"/>
      <c r="J148" s="37"/>
      <c r="K148" s="37"/>
      <c r="L148" s="35"/>
      <c r="M148" s="35"/>
      <c r="N148" s="37"/>
      <c r="O148" s="37"/>
      <c r="P148" s="37"/>
      <c r="Q148" s="37"/>
      <c r="R148" s="37"/>
      <c r="S148" s="37"/>
      <c r="T148" s="37"/>
      <c r="U148" s="37"/>
      <c r="V148" s="37"/>
      <c r="W148" s="37">
        <f>MAX($C$11-VLOOKUP($C148,COS!$B$8:$H$991,3,FALSE),0)</f>
        <v>1642.052978515625</v>
      </c>
      <c r="X148" s="37">
        <f t="shared" si="143"/>
        <v>100.96590215005165</v>
      </c>
      <c r="Y148" s="37">
        <f>VLOOKUP($C148,COS!$B$8:$H$991,4,FALSE)</f>
        <v>608.6763916015625</v>
      </c>
      <c r="Z148" s="37">
        <f t="shared" si="144"/>
        <v>37.426052508393596</v>
      </c>
      <c r="AA148" s="37">
        <f t="shared" si="227"/>
        <v>608.6763916015625</v>
      </c>
      <c r="AB148" s="38">
        <f t="shared" si="141"/>
        <v>37.426052508393596</v>
      </c>
    </row>
    <row r="149" spans="1:28" x14ac:dyDescent="0.3">
      <c r="A149" s="27">
        <f>VLOOKUP(YEAR(C149),Flags!$A$13:$B$95,2,FALSE)</f>
        <v>4</v>
      </c>
      <c r="B149" s="28">
        <f t="shared" si="225"/>
        <v>1937</v>
      </c>
      <c r="C149" s="29">
        <v>13635</v>
      </c>
      <c r="D149" s="30">
        <f>VLOOKUP($C149,COS!$B$8:$H$991,3,FALSE)</f>
        <v>3250</v>
      </c>
      <c r="E149" s="28">
        <f>IF(D149&gt;=IF(MONTH($C149)=4,$C$3,IF(MONTH($C149)=5,$C$4,IF(MONTH($C149)=6,$C$5,IF(MONTH($C149)=7,$C$6,"ERROR")))),1,0)</f>
        <v>0</v>
      </c>
      <c r="F149" s="30">
        <f>VLOOKUP($C149,COS!$B$8:$H$991,7,FALSE)</f>
        <v>51.161907196044922</v>
      </c>
      <c r="G149" s="28">
        <f>IF(F149&lt;=IF(MONTH($C149)=4,$F$3,IF(MONTH($C149)=5,$F$4,IF(MONTH($C149)=6,$F$5,IF(MONTH($C149)=7,$F$6,"ERROR")))),1,0)</f>
        <v>1</v>
      </c>
      <c r="H149" s="30">
        <f>IF(J149=1,D149-$C$3,0)</f>
        <v>0</v>
      </c>
      <c r="I149" s="30">
        <f t="shared" si="136"/>
        <v>0</v>
      </c>
      <c r="J149" s="28">
        <f t="shared" ref="J149:J152" si="230">IF(AND(E149=1,G149=1),1,0)</f>
        <v>0</v>
      </c>
      <c r="K149" s="30">
        <f>VLOOKUP($C149,COS!$B$8:$H$991,2,FALSE)</f>
        <v>4047.59912109375</v>
      </c>
      <c r="L149" s="28">
        <f t="shared" ref="L149:L206" si="231">IF(K149&lt;=IF(MONTH($C149)=4,$I$3,IF(MONTH($C149)=5,$I$4,IF(MONTH($C149)=6,$I$5,IF(MONTH($C149)=7,$I$6,"ERROR")))),1,0)</f>
        <v>1</v>
      </c>
      <c r="M149" s="28">
        <f t="shared" ref="M149:M206" si="232">VLOOKUP($A149,$L$3:$M$7,2,FALSE)</f>
        <v>1</v>
      </c>
      <c r="N149" s="30">
        <f>VLOOKUP($C149,COS!$B$8:$H$991,5,FALSE)</f>
        <v>21.622846603393555</v>
      </c>
      <c r="O149" s="30">
        <f t="shared" ref="O149:O152" si="233">N149*DAY($C149)*86400/43560/1000</f>
        <v>1.2866487235077158</v>
      </c>
      <c r="P149" s="30">
        <f>VLOOKUP($C149,COS!$B$8:$H$991,6,FALSE)</f>
        <v>433.80865478515625</v>
      </c>
      <c r="Q149" s="30">
        <f t="shared" ref="Q149:Q152" si="234">P149*DAY($C149)*86400/43560/1000</f>
        <v>25.813407557463844</v>
      </c>
      <c r="R149" s="30">
        <f>MIN(IF(MONTH($C149)=4,$S$3,IF(MONTH($C149)=5,$S$4,IF(MONTH($C149)=6,$S$5,IF(MONTH($C149)=7,$S$6,"ERROR")))),MAX(VLOOKUP($C149,COS!$B$8:$K$991,10,FALSE)-IF(MONTH($C149)=4,$Y$3,IF(MONTH($C149)=5,$Y$4,IF(MONTH($C149)=6,$Y$5,IF(MONTH($C149)=7,$Y$6,"ERROR")))),0),MAX(VLOOKUP($C149,COS!$B$8:$K$991,9,FALSE)-IF(MONTH($C149)=4,$V$3,IF(MONTH($C149)=5,$V$4,IF(MONTH($C149)=6,$V$5,IF(MONTH($C149)=7,$V$6,"ERROR"))))-VLOOKUP($C149,COS!$B$8:$K$991,6,FALSE)/2,0))</f>
        <v>1500</v>
      </c>
      <c r="S149" s="30">
        <f t="shared" ref="S149:S152" si="235">R149*DAY($C149)*86400/43560/1000</f>
        <v>89.256198347107429</v>
      </c>
      <c r="T149" s="30">
        <f t="shared" ref="T149:T152" si="236">(O149+Q149)/2+S149</f>
        <v>102.80622648759321</v>
      </c>
      <c r="U149" s="30" t="str">
        <f>IF(VLOOKUP($C149,COS!$B$8:$I$991,8,FALSE)=1,"UWFE","IBU")</f>
        <v>UWFE</v>
      </c>
      <c r="V149" s="30">
        <f t="shared" ref="V149" si="237">MIN(IF(IF($AA$3=2,AND(E149=1,G149=1,L149=1,L154=1,M149=1,U149="IBU"),AND(E149=1,G149=1,L149=1,L154=1,M149=1)),T149,0),I149)</f>
        <v>0</v>
      </c>
      <c r="W149" s="30"/>
      <c r="X149" s="30"/>
      <c r="Y149" s="30"/>
      <c r="Z149" s="30"/>
      <c r="AA149" s="30"/>
      <c r="AB149" s="31"/>
    </row>
    <row r="150" spans="1:28" x14ac:dyDescent="0.3">
      <c r="A150" s="32">
        <f>VLOOKUP(YEAR(C150),Flags!$A$13:$B$95,2,FALSE)</f>
        <v>4</v>
      </c>
      <c r="B150" s="24">
        <f t="shared" si="225"/>
        <v>1937</v>
      </c>
      <c r="C150" s="25">
        <v>13666</v>
      </c>
      <c r="D150" s="26">
        <f>VLOOKUP($C150,COS!$B$8:$H$991,3,FALSE)</f>
        <v>5043.80322265625</v>
      </c>
      <c r="E150" s="24">
        <f>IF(D150&gt;=IF(MONTH($C150)=4,$C$3,IF(MONTH($C150)=5,$C$4,IF(MONTH($C150)=6,$C$5,IF(MONTH($C150)=7,$C$6,"ERROR")))),1,0)</f>
        <v>0</v>
      </c>
      <c r="F150" s="26">
        <f>VLOOKUP($C150,COS!$B$8:$H$991,7,FALSE)</f>
        <v>52.362800598144531</v>
      </c>
      <c r="G150" s="24">
        <f>IF(F150&lt;=IF(MONTH($C150)=4,$F$3,IF(MONTH($C150)=5,$F$4,IF(MONTH($C150)=6,$F$5,IF(MONTH($C150)=7,$F$6,"ERROR")))),1,0)</f>
        <v>1</v>
      </c>
      <c r="H150" s="26">
        <f>IF(J150=1,D150-$C$4,0)</f>
        <v>0</v>
      </c>
      <c r="I150" s="26">
        <f t="shared" si="136"/>
        <v>0</v>
      </c>
      <c r="J150" s="24">
        <f t="shared" si="230"/>
        <v>0</v>
      </c>
      <c r="K150" s="26">
        <f>VLOOKUP($C150,COS!$B$8:$H$991,2,FALSE)</f>
        <v>4246.3125</v>
      </c>
      <c r="L150" s="24">
        <f t="shared" si="231"/>
        <v>1</v>
      </c>
      <c r="M150" s="24">
        <f t="shared" si="232"/>
        <v>1</v>
      </c>
      <c r="N150" s="26">
        <f>VLOOKUP($C150,COS!$B$8:$H$991,5,FALSE)</f>
        <v>298.0838623046875</v>
      </c>
      <c r="O150" s="26">
        <f t="shared" si="233"/>
        <v>18.328462277246903</v>
      </c>
      <c r="P150" s="26">
        <f>VLOOKUP($C150,COS!$B$8:$H$991,6,FALSE)</f>
        <v>2283.91845703125</v>
      </c>
      <c r="Q150" s="26">
        <f t="shared" si="234"/>
        <v>140.43267206869837</v>
      </c>
      <c r="R150" s="26">
        <f>MIN(IF(MONTH($C150)=4,$S$3,IF(MONTH($C150)=5,$S$4,IF(MONTH($C150)=6,$S$5,IF(MONTH($C150)=7,$S$6,"ERROR")))),MAX(VLOOKUP($C150,COS!$B$8:$K$991,10,FALSE)-IF(MONTH($C150)=4,$Y$3,IF(MONTH($C150)=5,$Y$4,IF(MONTH($C150)=6,$Y$5,IF(MONTH($C150)=7,$Y$6,"ERROR")))),0),MAX(VLOOKUP($C150,COS!$B$8:$K$991,9,FALSE)-IF(MONTH($C150)=4,$V$3,IF(MONTH($C150)=5,$V$4,IF(MONTH($C150)=6,$V$5,IF(MONTH($C150)=7,$V$6,"ERROR"))))-VLOOKUP($C150,COS!$B$8:$K$991,6,FALSE)/2,0))</f>
        <v>1500</v>
      </c>
      <c r="S150" s="26">
        <f t="shared" si="235"/>
        <v>92.231404958677686</v>
      </c>
      <c r="T150" s="26">
        <f t="shared" si="236"/>
        <v>171.6119721316503</v>
      </c>
      <c r="U150" s="26" t="str">
        <f>IF(VLOOKUP($C150,COS!$B$8:$I$991,8,FALSE)=1,"UWFE","IBU")</f>
        <v>UWFE</v>
      </c>
      <c r="V150" s="26">
        <f t="shared" ref="V150" si="238">MIN(IF(IF($AA$3=2,AND(E150=1,G150=1,L150=1,L154=1,M150=1,U150="IBU"),AND(E150=1,G150=1,L150=1,L154=1,M150=1)),T150,0),I150)</f>
        <v>0</v>
      </c>
      <c r="W150" s="26"/>
      <c r="X150" s="26"/>
      <c r="Y150" s="26"/>
      <c r="Z150" s="26"/>
      <c r="AA150" s="26"/>
      <c r="AB150" s="33"/>
    </row>
    <row r="151" spans="1:28" x14ac:dyDescent="0.3">
      <c r="A151" s="32">
        <f>VLOOKUP(YEAR(C151),Flags!$A$13:$B$95,2,FALSE)</f>
        <v>4</v>
      </c>
      <c r="B151" s="24">
        <f t="shared" si="225"/>
        <v>1937</v>
      </c>
      <c r="C151" s="25">
        <v>13696</v>
      </c>
      <c r="D151" s="26">
        <f>VLOOKUP($C151,COS!$B$8:$H$991,3,FALSE)</f>
        <v>7479.65771484375</v>
      </c>
      <c r="E151" s="24">
        <f>IF(D151&gt;=IF(MONTH($C151)=4,$C$3,IF(MONTH($C151)=5,$C$4,IF(MONTH($C151)=6,$C$5,IF(MONTH($C151)=7,$C$6,"ERROR")))),1,0)</f>
        <v>0</v>
      </c>
      <c r="F151" s="26">
        <f>VLOOKUP($C151,COS!$B$8:$H$991,7,FALSE)</f>
        <v>52.658245086669922</v>
      </c>
      <c r="G151" s="24">
        <f>IF(F151&lt;=IF(MONTH($C151)=4,$F$3,IF(MONTH($C151)=5,$F$4,IF(MONTH($C151)=6,$F$5,IF(MONTH($C151)=7,$F$6,"ERROR")))),1,0)</f>
        <v>1</v>
      </c>
      <c r="H151" s="26">
        <f>IF(J151=1,D151-$C$5,0)</f>
        <v>0</v>
      </c>
      <c r="I151" s="26">
        <f t="shared" ref="I151:I214" si="239">H151*DAY($C151)*86400/43560/1000</f>
        <v>0</v>
      </c>
      <c r="J151" s="24">
        <f t="shared" si="230"/>
        <v>0</v>
      </c>
      <c r="K151" s="26">
        <f>VLOOKUP($C151,COS!$B$8:$H$991,2,FALSE)</f>
        <v>4074.04931640625</v>
      </c>
      <c r="L151" s="24">
        <f t="shared" si="231"/>
        <v>1</v>
      </c>
      <c r="M151" s="24">
        <f t="shared" si="232"/>
        <v>1</v>
      </c>
      <c r="N151" s="26">
        <f>VLOOKUP($C151,COS!$B$8:$H$991,5,FALSE)</f>
        <v>523.22735595703125</v>
      </c>
      <c r="O151" s="26">
        <f t="shared" si="233"/>
        <v>31.13418977595558</v>
      </c>
      <c r="P151" s="26">
        <f>VLOOKUP($C151,COS!$B$8:$H$991,6,FALSE)</f>
        <v>2560.548095703125</v>
      </c>
      <c r="Q151" s="26">
        <f t="shared" si="234"/>
        <v>152.36319247159091</v>
      </c>
      <c r="R151" s="26">
        <f>MIN(IF(MONTH($C151)=4,$S$3,IF(MONTH($C151)=5,$S$4,IF(MONTH($C151)=6,$S$5,IF(MONTH($C151)=7,$S$6,"ERROR")))),MAX(VLOOKUP($C151,COS!$B$8:$K$991,10,FALSE)-IF(MONTH($C151)=4,$Y$3,IF(MONTH($C151)=5,$Y$4,IF(MONTH($C151)=6,$Y$5,IF(MONTH($C151)=7,$Y$6,"ERROR")))),0),MAX(VLOOKUP($C151,COS!$B$8:$K$991,9,FALSE)-IF(MONTH($C151)=4,$V$3,IF(MONTH($C151)=5,$V$4,IF(MONTH($C151)=6,$V$5,IF(MONTH($C151)=7,$V$6,"ERROR"))))-VLOOKUP($C151,COS!$B$8:$K$991,6,FALSE)/2,0))</f>
        <v>1500</v>
      </c>
      <c r="S151" s="26">
        <f t="shared" si="235"/>
        <v>89.256198347107429</v>
      </c>
      <c r="T151" s="26">
        <f t="shared" si="236"/>
        <v>181.00488947088067</v>
      </c>
      <c r="U151" s="26" t="str">
        <f>IF(VLOOKUP($C151,COS!$B$8:$I$991,8,FALSE)=1,"UWFE","IBU")</f>
        <v>IBU</v>
      </c>
      <c r="V151" s="26">
        <f t="shared" ref="V151" si="240">MIN(IF(IF($AA$3=2,AND(E151=1,G151=1,L151=1,L154=1,M151=1,U151="IBU"),AND(E151=1,G151=1,L151=1,L154=1,M151=1)),T151,0),I151)</f>
        <v>0</v>
      </c>
      <c r="W151" s="26"/>
      <c r="X151" s="26"/>
      <c r="Y151" s="26"/>
      <c r="Z151" s="26"/>
      <c r="AA151" s="26"/>
      <c r="AB151" s="33"/>
    </row>
    <row r="152" spans="1:28" x14ac:dyDescent="0.3">
      <c r="A152" s="32">
        <f>VLOOKUP(YEAR(C152),Flags!$A$13:$B$95,2,FALSE)</f>
        <v>4</v>
      </c>
      <c r="B152" s="24">
        <f t="shared" si="225"/>
        <v>1937</v>
      </c>
      <c r="C152" s="25">
        <v>13727</v>
      </c>
      <c r="D152" s="26">
        <f>VLOOKUP($C152,COS!$B$8:$H$991,3,FALSE)</f>
        <v>10615.4677734375</v>
      </c>
      <c r="E152" s="24">
        <f>IF(D152&gt;=IF(MONTH($C152)=4,$C$3,IF(MONTH($C152)=5,$C$4,IF(MONTH($C152)=6,$C$5,IF(MONTH($C152)=7,$C$6,"ERROR")))),1,0)</f>
        <v>0</v>
      </c>
      <c r="F152" s="26">
        <f>VLOOKUP($C152,COS!$B$8:$H$991,7,FALSE)</f>
        <v>52.404350280761719</v>
      </c>
      <c r="G152" s="24">
        <f>IF(F152&lt;=IF(MONTH($C152)=4,$F$3,IF(MONTH($C152)=5,$F$4,IF(MONTH($C152)=6,$F$5,IF(MONTH($C152)=7,$F$6,"ERROR")))),1,0)</f>
        <v>1</v>
      </c>
      <c r="H152" s="26">
        <f>IF(J152=1,D152-$C$6,0)</f>
        <v>0</v>
      </c>
      <c r="I152" s="26">
        <f t="shared" si="239"/>
        <v>0</v>
      </c>
      <c r="J152" s="24">
        <f t="shared" si="230"/>
        <v>0</v>
      </c>
      <c r="K152" s="26">
        <f>VLOOKUP($C152,COS!$B$8:$H$991,2,FALSE)</f>
        <v>3583.887451171875</v>
      </c>
      <c r="L152" s="24">
        <f t="shared" si="231"/>
        <v>1</v>
      </c>
      <c r="M152" s="24">
        <f t="shared" si="232"/>
        <v>1</v>
      </c>
      <c r="N152" s="26">
        <f>VLOOKUP($C152,COS!$B$8:$H$991,5,FALSE)</f>
        <v>624.25457763671875</v>
      </c>
      <c r="O152" s="26">
        <f t="shared" si="233"/>
        <v>38.383917831547002</v>
      </c>
      <c r="P152" s="26">
        <f>VLOOKUP($C152,COS!$B$8:$H$991,6,FALSE)</f>
        <v>2537.385498046875</v>
      </c>
      <c r="Q152" s="26">
        <f t="shared" si="234"/>
        <v>156.01775293775825</v>
      </c>
      <c r="R152" s="26">
        <f>MIN(IF(MONTH($C152)=4,$S$3,IF(MONTH($C152)=5,$S$4,IF(MONTH($C152)=6,$S$5,IF(MONTH($C152)=7,$S$6,"ERROR")))),MAX(VLOOKUP($C152,COS!$B$8:$K$991,10,FALSE)-IF(MONTH($C152)=4,$Y$3,IF(MONTH($C152)=5,$Y$4,IF(MONTH($C152)=6,$Y$5,IF(MONTH($C152)=7,$Y$6,"ERROR")))),0),MAX(VLOOKUP($C152,COS!$B$8:$K$991,9,FALSE)-IF(MONTH($C152)=4,$V$3,IF(MONTH($C152)=5,$V$4,IF(MONTH($C152)=6,$V$5,IF(MONTH($C152)=7,$V$6,"ERROR"))))-VLOOKUP($C152,COS!$B$8:$K$991,6,FALSE)/2,0))</f>
        <v>1500</v>
      </c>
      <c r="S152" s="26">
        <f t="shared" si="235"/>
        <v>92.231404958677686</v>
      </c>
      <c r="T152" s="26">
        <f t="shared" si="236"/>
        <v>189.43224034333031</v>
      </c>
      <c r="U152" s="26" t="str">
        <f>IF(VLOOKUP($C152,COS!$B$8:$I$991,8,FALSE)=1,"UWFE","IBU")</f>
        <v>IBU</v>
      </c>
      <c r="V152" s="26">
        <f t="shared" ref="V152" si="241">MIN(IF(IF($AA$3=2,AND(E152=1,G152=1,L152=1,L154=1,M152=1,U152="IBU"),AND(E152=1,G152=1,L152=1,L154=1,M152=1)),T152,0),I152)</f>
        <v>0</v>
      </c>
      <c r="W152" s="26"/>
      <c r="X152" s="26"/>
      <c r="Y152" s="26"/>
      <c r="Z152" s="26"/>
      <c r="AA152" s="26"/>
      <c r="AB152" s="33"/>
    </row>
    <row r="153" spans="1:28" x14ac:dyDescent="0.3">
      <c r="A153" s="32">
        <f>VLOOKUP(YEAR(C153),Flags!$A$13:$B$95,2,FALSE)</f>
        <v>4</v>
      </c>
      <c r="B153" s="24">
        <f t="shared" si="225"/>
        <v>1937</v>
      </c>
      <c r="C153" s="25">
        <v>13758</v>
      </c>
      <c r="D153" s="26"/>
      <c r="E153" s="24"/>
      <c r="F153" s="26"/>
      <c r="G153" s="24"/>
      <c r="H153" s="24"/>
      <c r="I153" s="26"/>
      <c r="J153" s="24"/>
      <c r="K153" s="26"/>
      <c r="L153" s="24"/>
      <c r="M153" s="24"/>
      <c r="N153" s="26"/>
      <c r="O153" s="26"/>
      <c r="P153" s="26"/>
      <c r="Q153" s="26"/>
      <c r="R153" s="26"/>
      <c r="S153" s="26"/>
      <c r="T153" s="26"/>
      <c r="U153" s="26"/>
      <c r="V153" s="26"/>
      <c r="W153" s="26">
        <f>MAX($C$7-VLOOKUP($C153,COS!$B$8:$H$991,3,FALSE),0)</f>
        <v>2409.666015625</v>
      </c>
      <c r="X153" s="26">
        <f t="shared" si="143"/>
        <v>148.16458806818181</v>
      </c>
      <c r="Y153" s="26">
        <f>VLOOKUP($C153,COS!$B$8:$H$991,4,FALSE)</f>
        <v>565.9937744140625</v>
      </c>
      <c r="Z153" s="26">
        <f t="shared" si="144"/>
        <v>34.801600674715914</v>
      </c>
      <c r="AA153" s="26">
        <f t="shared" ref="AA153:AA157" si="242">MIN(W153,Y153)</f>
        <v>565.9937744140625</v>
      </c>
      <c r="AB153" s="33">
        <f t="shared" ref="AB153:AB211" si="243">AA153*DAY($C153)*86400/43560/1000*IF(MONTH($C153)=8,$P$3,IF(MONTH($C153)=9,$P$4,IF(MONTH($C153)=10,$P$5,IF(MONTH($C153)=11,$P$6,IF(MONTH($C153)=12,$P$7,NA())))))</f>
        <v>34.801600674715914</v>
      </c>
    </row>
    <row r="154" spans="1:28" x14ac:dyDescent="0.3">
      <c r="A154" s="32">
        <f>VLOOKUP(YEAR(C154),Flags!$A$13:$B$95,2,FALSE)</f>
        <v>4</v>
      </c>
      <c r="B154" s="24">
        <f t="shared" si="225"/>
        <v>1937</v>
      </c>
      <c r="C154" s="25">
        <v>13788</v>
      </c>
      <c r="D154" s="26"/>
      <c r="E154" s="24"/>
      <c r="F154" s="26"/>
      <c r="G154" s="24"/>
      <c r="H154" s="24"/>
      <c r="I154" s="26"/>
      <c r="J154" s="24"/>
      <c r="K154" s="26">
        <f>VLOOKUP($C154,COS!$B$8:$H$991,2,FALSE)</f>
        <v>3016.538330078125</v>
      </c>
      <c r="L154" s="24">
        <f t="shared" ref="L154" si="244">IF(AND(K154&gt;$I$7,K154&lt;$I$8),1,0)</f>
        <v>1</v>
      </c>
      <c r="M154" s="24"/>
      <c r="N154" s="26"/>
      <c r="O154" s="26"/>
      <c r="P154" s="26"/>
      <c r="Q154" s="26"/>
      <c r="R154" s="26"/>
      <c r="S154" s="26"/>
      <c r="T154" s="26"/>
      <c r="U154" s="26"/>
      <c r="V154" s="26"/>
      <c r="W154" s="26">
        <f>MAX($C$8-VLOOKUP($C154,COS!$B$8:$H$991,3,FALSE),0)</f>
        <v>464.15234375</v>
      </c>
      <c r="X154" s="26">
        <f t="shared" si="143"/>
        <v>27.618982438016531</v>
      </c>
      <c r="Y154" s="26">
        <f>VLOOKUP($C154,COS!$B$8:$H$991,4,FALSE)</f>
        <v>479.2886962890625</v>
      </c>
      <c r="Z154" s="26">
        <f t="shared" si="144"/>
        <v>28.519657961002068</v>
      </c>
      <c r="AA154" s="26">
        <f t="shared" si="242"/>
        <v>464.15234375</v>
      </c>
      <c r="AB154" s="33">
        <f t="shared" si="243"/>
        <v>27.618982438016531</v>
      </c>
    </row>
    <row r="155" spans="1:28" x14ac:dyDescent="0.3">
      <c r="A155" s="32">
        <f>VLOOKUP(YEAR(C155),Flags!$A$13:$B$95,2,FALSE)</f>
        <v>4</v>
      </c>
      <c r="B155" s="24">
        <f t="shared" si="225"/>
        <v>1937</v>
      </c>
      <c r="C155" s="25">
        <v>13819</v>
      </c>
      <c r="D155" s="26"/>
      <c r="E155" s="24"/>
      <c r="F155" s="26"/>
      <c r="G155" s="26"/>
      <c r="H155" s="26"/>
      <c r="I155" s="26"/>
      <c r="J155" s="26"/>
      <c r="K155" s="26"/>
      <c r="L155" s="24"/>
      <c r="M155" s="24"/>
      <c r="N155" s="26"/>
      <c r="O155" s="26"/>
      <c r="P155" s="26"/>
      <c r="Q155" s="26"/>
      <c r="R155" s="26"/>
      <c r="S155" s="26"/>
      <c r="T155" s="26"/>
      <c r="U155" s="26"/>
      <c r="V155" s="26"/>
      <c r="W155" s="26">
        <f>MAX($C$9-VLOOKUP($C155,COS!$B$8:$H$991,3,FALSE),0)</f>
        <v>508.43994140625</v>
      </c>
      <c r="X155" s="26">
        <f t="shared" ref="X155:X218" si="245">W155*DAY($C155)*86400/43560/1000</f>
        <v>31.262753422004131</v>
      </c>
      <c r="Y155" s="26">
        <f>VLOOKUP($C155,COS!$B$8:$H$991,4,FALSE)</f>
        <v>673.72100830078125</v>
      </c>
      <c r="Z155" s="26">
        <f t="shared" ref="Z155:Z218" si="246">Y155*DAY($C155)*86400/43560/1000</f>
        <v>41.425490097172002</v>
      </c>
      <c r="AA155" s="26">
        <f t="shared" si="242"/>
        <v>508.43994140625</v>
      </c>
      <c r="AB155" s="33">
        <f t="shared" si="243"/>
        <v>31.262753422004131</v>
      </c>
    </row>
    <row r="156" spans="1:28" x14ac:dyDescent="0.3">
      <c r="A156" s="32">
        <f>VLOOKUP(YEAR(C156),Flags!$A$13:$B$95,2,FALSE)</f>
        <v>4</v>
      </c>
      <c r="B156" s="24">
        <f t="shared" si="225"/>
        <v>1937</v>
      </c>
      <c r="C156" s="25">
        <v>13849</v>
      </c>
      <c r="D156" s="26"/>
      <c r="E156" s="24"/>
      <c r="F156" s="26"/>
      <c r="G156" s="26"/>
      <c r="H156" s="26"/>
      <c r="I156" s="26"/>
      <c r="J156" s="26"/>
      <c r="K156" s="26"/>
      <c r="L156" s="24"/>
      <c r="M156" s="24"/>
      <c r="N156" s="26"/>
      <c r="O156" s="26"/>
      <c r="P156" s="26"/>
      <c r="Q156" s="26"/>
      <c r="R156" s="26"/>
      <c r="S156" s="26"/>
      <c r="T156" s="26"/>
      <c r="U156" s="26"/>
      <c r="V156" s="26"/>
      <c r="W156" s="26">
        <f>MAX($C$10-VLOOKUP($C156,COS!$B$8:$H$991,3,FALSE),0)</f>
        <v>0</v>
      </c>
      <c r="X156" s="26">
        <f t="shared" si="245"/>
        <v>0</v>
      </c>
      <c r="Y156" s="26">
        <f>VLOOKUP($C156,COS!$B$8:$H$991,4,FALSE)</f>
        <v>0</v>
      </c>
      <c r="Z156" s="26">
        <f t="shared" si="246"/>
        <v>0</v>
      </c>
      <c r="AA156" s="26">
        <f t="shared" si="242"/>
        <v>0</v>
      </c>
      <c r="AB156" s="33">
        <f t="shared" si="243"/>
        <v>0</v>
      </c>
    </row>
    <row r="157" spans="1:28" x14ac:dyDescent="0.3">
      <c r="A157" s="34">
        <f>VLOOKUP(YEAR(C157),Flags!$A$13:$B$95,2,FALSE)</f>
        <v>4</v>
      </c>
      <c r="B157" s="35">
        <f t="shared" si="225"/>
        <v>1937</v>
      </c>
      <c r="C157" s="36">
        <v>13880</v>
      </c>
      <c r="D157" s="37"/>
      <c r="E157" s="35"/>
      <c r="F157" s="37"/>
      <c r="G157" s="37"/>
      <c r="H157" s="37"/>
      <c r="I157" s="37"/>
      <c r="J157" s="37"/>
      <c r="K157" s="37"/>
      <c r="L157" s="35"/>
      <c r="M157" s="35"/>
      <c r="N157" s="37"/>
      <c r="O157" s="37"/>
      <c r="P157" s="37"/>
      <c r="Q157" s="37"/>
      <c r="R157" s="37"/>
      <c r="S157" s="37"/>
      <c r="T157" s="37"/>
      <c r="U157" s="37"/>
      <c r="V157" s="37"/>
      <c r="W157" s="37">
        <f>MAX($C$11-VLOOKUP($C157,COS!$B$8:$H$991,3,FALSE),0)</f>
        <v>0</v>
      </c>
      <c r="X157" s="37">
        <f t="shared" si="245"/>
        <v>0</v>
      </c>
      <c r="Y157" s="37">
        <f>VLOOKUP($C157,COS!$B$8:$H$991,4,FALSE)</f>
        <v>0</v>
      </c>
      <c r="Z157" s="37">
        <f t="shared" si="246"/>
        <v>0</v>
      </c>
      <c r="AA157" s="37">
        <f t="shared" si="242"/>
        <v>0</v>
      </c>
      <c r="AB157" s="38">
        <f t="shared" si="243"/>
        <v>0</v>
      </c>
    </row>
    <row r="158" spans="1:28" x14ac:dyDescent="0.3">
      <c r="A158" s="27">
        <f>VLOOKUP(YEAR(C158),Flags!$A$13:$B$95,2,FALSE)</f>
        <v>1</v>
      </c>
      <c r="B158" s="28">
        <f t="shared" si="225"/>
        <v>1938</v>
      </c>
      <c r="C158" s="29">
        <v>14000</v>
      </c>
      <c r="D158" s="30">
        <f>VLOOKUP($C158,COS!$B$8:$H$991,3,FALSE)</f>
        <v>11215.0048828125</v>
      </c>
      <c r="E158" s="28">
        <f>IF(D158&gt;=IF(MONTH($C158)=4,$C$3,IF(MONTH($C158)=5,$C$4,IF(MONTH($C158)=6,$C$5,IF(MONTH($C158)=7,$C$6,"ERROR")))),1,0)</f>
        <v>1</v>
      </c>
      <c r="F158" s="30">
        <f>VLOOKUP($C158,COS!$B$8:$H$991,7,FALSE)</f>
        <v>47.354358673095703</v>
      </c>
      <c r="G158" s="28">
        <f>IF(F158&lt;=IF(MONTH($C158)=4,$F$3,IF(MONTH($C158)=5,$F$4,IF(MONTH($C158)=6,$F$5,IF(MONTH($C158)=7,$F$6,"ERROR")))),1,0)</f>
        <v>1</v>
      </c>
      <c r="H158" s="30">
        <f>IF(J158=1,D158-$C$3,0)</f>
        <v>5215.0048828125</v>
      </c>
      <c r="I158" s="30">
        <f t="shared" si="239"/>
        <v>310.31434013429748</v>
      </c>
      <c r="J158" s="28">
        <f t="shared" ref="J158:J161" si="247">IF(AND(E158=1,G158=1),1,0)</f>
        <v>1</v>
      </c>
      <c r="K158" s="30">
        <f>VLOOKUP($C158,COS!$B$8:$H$991,2,FALSE)</f>
        <v>4058</v>
      </c>
      <c r="L158" s="28">
        <f t="shared" ref="L158" si="248">IF(K158&lt;=IF(MONTH($C158)=4,$I$3,IF(MONTH($C158)=5,$I$4,IF(MONTH($C158)=6,$I$5,IF(MONTH($C158)=7,$I$6,"ERROR")))),1,0)</f>
        <v>1</v>
      </c>
      <c r="M158" s="28">
        <f t="shared" ref="M158" si="249">VLOOKUP($A158,$L$3:$M$7,2,FALSE)</f>
        <v>0</v>
      </c>
      <c r="N158" s="30">
        <f>VLOOKUP($C158,COS!$B$8:$H$991,5,FALSE)</f>
        <v>40.17889404296875</v>
      </c>
      <c r="O158" s="30">
        <f t="shared" ref="O158:O161" si="250">N158*DAY($C158)*86400/43560/1000</f>
        <v>2.3908102240444213</v>
      </c>
      <c r="P158" s="30">
        <f>VLOOKUP($C158,COS!$B$8:$H$991,6,FALSE)</f>
        <v>377.05276489257813</v>
      </c>
      <c r="Q158" s="30">
        <f t="shared" ref="Q158:Q161" si="251">P158*DAY($C158)*86400/43560/1000</f>
        <v>22.436197580384814</v>
      </c>
      <c r="R158" s="30">
        <f>MIN(IF(MONTH($C158)=4,$S$3,IF(MONTH($C158)=5,$S$4,IF(MONTH($C158)=6,$S$5,IF(MONTH($C158)=7,$S$6,"ERROR")))),MAX(VLOOKUP($C158,COS!$B$8:$K$991,10,FALSE)-IF(MONTH($C158)=4,$Y$3,IF(MONTH($C158)=5,$Y$4,IF(MONTH($C158)=6,$Y$5,IF(MONTH($C158)=7,$Y$6,"ERROR")))),0),MAX(VLOOKUP($C158,COS!$B$8:$K$991,9,FALSE)-IF(MONTH($C158)=4,$V$3,IF(MONTH($C158)=5,$V$4,IF(MONTH($C158)=6,$V$5,IF(MONTH($C158)=7,$V$6,"ERROR"))))-VLOOKUP($C158,COS!$B$8:$K$991,6,FALSE)/2,0))</f>
        <v>1500</v>
      </c>
      <c r="S158" s="30">
        <f t="shared" ref="S158:S161" si="252">R158*DAY($C158)*86400/43560/1000</f>
        <v>89.256198347107429</v>
      </c>
      <c r="T158" s="30">
        <f t="shared" ref="T158:T161" si="253">(O158+Q158)/2+S158</f>
        <v>101.66970224932204</v>
      </c>
      <c r="U158" s="30" t="str">
        <f>IF(VLOOKUP($C158,COS!$B$8:$I$991,8,FALSE)=1,"UWFE","IBU")</f>
        <v>UWFE</v>
      </c>
      <c r="V158" s="30">
        <f t="shared" ref="V158" si="254">MIN(IF(IF($AA$3=2,AND(E158=1,G158=1,L158=1,L163=1,M158=1,U158="IBU"),AND(E158=1,G158=1,L158=1,L163=1,M158=1)),T158,0),I158)</f>
        <v>0</v>
      </c>
      <c r="W158" s="30"/>
      <c r="X158" s="30"/>
      <c r="Y158" s="30"/>
      <c r="Z158" s="30"/>
      <c r="AA158" s="30"/>
      <c r="AB158" s="31"/>
    </row>
    <row r="159" spans="1:28" x14ac:dyDescent="0.3">
      <c r="A159" s="32">
        <f>VLOOKUP(YEAR(C159),Flags!$A$13:$B$95,2,FALSE)</f>
        <v>1</v>
      </c>
      <c r="B159" s="24">
        <f t="shared" si="225"/>
        <v>1938</v>
      </c>
      <c r="C159" s="25">
        <v>14031</v>
      </c>
      <c r="D159" s="26">
        <f>VLOOKUP($C159,COS!$B$8:$H$991,3,FALSE)</f>
        <v>8562.095703125</v>
      </c>
      <c r="E159" s="24">
        <f>IF(D159&gt;=IF(MONTH($C159)=4,$C$3,IF(MONTH($C159)=5,$C$4,IF(MONTH($C159)=6,$C$5,IF(MONTH($C159)=7,$C$6,"ERROR")))),1,0)</f>
        <v>1</v>
      </c>
      <c r="F159" s="26">
        <f>VLOOKUP($C159,COS!$B$8:$H$991,7,FALSE)</f>
        <v>50.241443634033203</v>
      </c>
      <c r="G159" s="24">
        <f>IF(F159&lt;=IF(MONTH($C159)=4,$F$3,IF(MONTH($C159)=5,$F$4,IF(MONTH($C159)=6,$F$5,IF(MONTH($C159)=7,$F$6,"ERROR")))),1,0)</f>
        <v>1</v>
      </c>
      <c r="H159" s="26">
        <f>IF(J159=1,D159-$C$4,0)</f>
        <v>2562.095703125</v>
      </c>
      <c r="I159" s="26">
        <f t="shared" si="239"/>
        <v>157.53712422520661</v>
      </c>
      <c r="J159" s="24">
        <f t="shared" si="247"/>
        <v>1</v>
      </c>
      <c r="K159" s="26">
        <f>VLOOKUP($C159,COS!$B$8:$H$991,2,FALSE)</f>
        <v>4488.45849609375</v>
      </c>
      <c r="L159" s="24">
        <f t="shared" si="231"/>
        <v>1</v>
      </c>
      <c r="M159" s="24">
        <f t="shared" si="232"/>
        <v>0</v>
      </c>
      <c r="N159" s="26">
        <f>VLOOKUP($C159,COS!$B$8:$H$991,5,FALSE)</f>
        <v>664.77288818359375</v>
      </c>
      <c r="O159" s="26">
        <f t="shared" si="250"/>
        <v>40.875291637073857</v>
      </c>
      <c r="P159" s="26">
        <f>VLOOKUP($C159,COS!$B$8:$H$991,6,FALSE)</f>
        <v>2143.932373046875</v>
      </c>
      <c r="Q159" s="26">
        <f t="shared" si="251"/>
        <v>131.82526326833678</v>
      </c>
      <c r="R159" s="26">
        <f>MIN(IF(MONTH($C159)=4,$S$3,IF(MONTH($C159)=5,$S$4,IF(MONTH($C159)=6,$S$5,IF(MONTH($C159)=7,$S$6,"ERROR")))),MAX(VLOOKUP($C159,COS!$B$8:$K$991,10,FALSE)-IF(MONTH($C159)=4,$Y$3,IF(MONTH($C159)=5,$Y$4,IF(MONTH($C159)=6,$Y$5,IF(MONTH($C159)=7,$Y$6,"ERROR")))),0),MAX(VLOOKUP($C159,COS!$B$8:$K$991,9,FALSE)-IF(MONTH($C159)=4,$V$3,IF(MONTH($C159)=5,$V$4,IF(MONTH($C159)=6,$V$5,IF(MONTH($C159)=7,$V$6,"ERROR"))))-VLOOKUP($C159,COS!$B$8:$K$991,6,FALSE)/2,0))</f>
        <v>1500</v>
      </c>
      <c r="S159" s="26">
        <f t="shared" si="252"/>
        <v>92.231404958677686</v>
      </c>
      <c r="T159" s="26">
        <f t="shared" si="253"/>
        <v>178.58168241138299</v>
      </c>
      <c r="U159" s="26" t="str">
        <f>IF(VLOOKUP($C159,COS!$B$8:$I$991,8,FALSE)=1,"UWFE","IBU")</f>
        <v>UWFE</v>
      </c>
      <c r="V159" s="26">
        <f t="shared" ref="V159" si="255">MIN(IF(IF($AA$3=2,AND(E159=1,G159=1,L159=1,L163=1,M159=1,U159="IBU"),AND(E159=1,G159=1,L159=1,L163=1,M159=1)),T159,0),I159)</f>
        <v>0</v>
      </c>
      <c r="W159" s="26"/>
      <c r="X159" s="26"/>
      <c r="Y159" s="26"/>
      <c r="Z159" s="26"/>
      <c r="AA159" s="26"/>
      <c r="AB159" s="33"/>
    </row>
    <row r="160" spans="1:28" x14ac:dyDescent="0.3">
      <c r="A160" s="32">
        <f>VLOOKUP(YEAR(C160),Flags!$A$13:$B$95,2,FALSE)</f>
        <v>1</v>
      </c>
      <c r="B160" s="24">
        <f t="shared" si="225"/>
        <v>1938</v>
      </c>
      <c r="C160" s="25">
        <v>14061</v>
      </c>
      <c r="D160" s="26">
        <f>VLOOKUP($C160,COS!$B$8:$H$991,3,FALSE)</f>
        <v>7901.6748046875</v>
      </c>
      <c r="E160" s="24">
        <f>IF(D160&gt;=IF(MONTH($C160)=4,$C$3,IF(MONTH($C160)=5,$C$4,IF(MONTH($C160)=6,$C$5,IF(MONTH($C160)=7,$C$6,"ERROR")))),1,0)</f>
        <v>0</v>
      </c>
      <c r="F160" s="26">
        <f>VLOOKUP($C160,COS!$B$8:$H$991,7,FALSE)</f>
        <v>52.2984619140625</v>
      </c>
      <c r="G160" s="24">
        <f>IF(F160&lt;=IF(MONTH($C160)=4,$F$3,IF(MONTH($C160)=5,$F$4,IF(MONTH($C160)=6,$F$5,IF(MONTH($C160)=7,$F$6,"ERROR")))),1,0)</f>
        <v>1</v>
      </c>
      <c r="H160" s="26">
        <f>IF(J160=1,D160-$C$5,0)</f>
        <v>0</v>
      </c>
      <c r="I160" s="26">
        <f t="shared" si="239"/>
        <v>0</v>
      </c>
      <c r="J160" s="24">
        <f t="shared" si="247"/>
        <v>0</v>
      </c>
      <c r="K160" s="26">
        <f>VLOOKUP($C160,COS!$B$8:$H$991,2,FALSE)</f>
        <v>4435.94384765625</v>
      </c>
      <c r="L160" s="24">
        <f t="shared" si="231"/>
        <v>1</v>
      </c>
      <c r="M160" s="24">
        <f t="shared" si="232"/>
        <v>0</v>
      </c>
      <c r="N160" s="26">
        <f>VLOOKUP($C160,COS!$B$8:$H$991,5,FALSE)</f>
        <v>1236.6031494140625</v>
      </c>
      <c r="O160" s="26">
        <f t="shared" si="250"/>
        <v>73.582997320506195</v>
      </c>
      <c r="P160" s="26">
        <f>VLOOKUP($C160,COS!$B$8:$H$991,6,FALSE)</f>
        <v>2276.98291015625</v>
      </c>
      <c r="Q160" s="26">
        <f t="shared" si="251"/>
        <v>135.48989217458677</v>
      </c>
      <c r="R160" s="26">
        <f>MIN(IF(MONTH($C160)=4,$S$3,IF(MONTH($C160)=5,$S$4,IF(MONTH($C160)=6,$S$5,IF(MONTH($C160)=7,$S$6,"ERROR")))),MAX(VLOOKUP($C160,COS!$B$8:$K$991,10,FALSE)-IF(MONTH($C160)=4,$Y$3,IF(MONTH($C160)=5,$Y$4,IF(MONTH($C160)=6,$Y$5,IF(MONTH($C160)=7,$Y$6,"ERROR")))),0),MAX(VLOOKUP($C160,COS!$B$8:$K$991,9,FALSE)-IF(MONTH($C160)=4,$V$3,IF(MONTH($C160)=5,$V$4,IF(MONTH($C160)=6,$V$5,IF(MONTH($C160)=7,$V$6,"ERROR"))))-VLOOKUP($C160,COS!$B$8:$K$991,6,FALSE)/2,0))</f>
        <v>1500</v>
      </c>
      <c r="S160" s="26">
        <f t="shared" si="252"/>
        <v>89.256198347107429</v>
      </c>
      <c r="T160" s="26">
        <f t="shared" si="253"/>
        <v>193.7926430946539</v>
      </c>
      <c r="U160" s="26" t="str">
        <f>IF(VLOOKUP($C160,COS!$B$8:$I$991,8,FALSE)=1,"UWFE","IBU")</f>
        <v>UWFE</v>
      </c>
      <c r="V160" s="26">
        <f t="shared" ref="V160" si="256">MIN(IF(IF($AA$3=2,AND(E160=1,G160=1,L160=1,L163=1,M160=1,U160="IBU"),AND(E160=1,G160=1,L160=1,L163=1,M160=1)),T160,0),I160)</f>
        <v>0</v>
      </c>
      <c r="W160" s="26"/>
      <c r="X160" s="26"/>
      <c r="Y160" s="26"/>
      <c r="Z160" s="26"/>
      <c r="AA160" s="26"/>
      <c r="AB160" s="33"/>
    </row>
    <row r="161" spans="1:28" x14ac:dyDescent="0.3">
      <c r="A161" s="32">
        <f>VLOOKUP(YEAR(C161),Flags!$A$13:$B$95,2,FALSE)</f>
        <v>1</v>
      </c>
      <c r="B161" s="24">
        <f t="shared" si="225"/>
        <v>1938</v>
      </c>
      <c r="C161" s="25">
        <v>14092</v>
      </c>
      <c r="D161" s="26">
        <f>VLOOKUP($C161,COS!$B$8:$H$991,3,FALSE)</f>
        <v>10626.4931640625</v>
      </c>
      <c r="E161" s="24">
        <f>IF(D161&gt;=IF(MONTH($C161)=4,$C$3,IF(MONTH($C161)=5,$C$4,IF(MONTH($C161)=6,$C$5,IF(MONTH($C161)=7,$C$6,"ERROR")))),1,0)</f>
        <v>0</v>
      </c>
      <c r="F161" s="26">
        <f>VLOOKUP($C161,COS!$B$8:$H$991,7,FALSE)</f>
        <v>52.414962768554688</v>
      </c>
      <c r="G161" s="24">
        <f>IF(F161&lt;=IF(MONTH($C161)=4,$F$3,IF(MONTH($C161)=5,$F$4,IF(MONTH($C161)=6,$F$5,IF(MONTH($C161)=7,$F$6,"ERROR")))),1,0)</f>
        <v>1</v>
      </c>
      <c r="H161" s="26">
        <f>IF(J161=1,D161-$C$6,0)</f>
        <v>0</v>
      </c>
      <c r="I161" s="26">
        <f t="shared" si="239"/>
        <v>0</v>
      </c>
      <c r="J161" s="24">
        <f t="shared" si="247"/>
        <v>0</v>
      </c>
      <c r="K161" s="26">
        <f>VLOOKUP($C161,COS!$B$8:$H$991,2,FALSE)</f>
        <v>4015.395751953125</v>
      </c>
      <c r="L161" s="24">
        <f t="shared" si="231"/>
        <v>1</v>
      </c>
      <c r="M161" s="24">
        <f t="shared" si="232"/>
        <v>0</v>
      </c>
      <c r="N161" s="26">
        <f>VLOOKUP($C161,COS!$B$8:$H$991,5,FALSE)</f>
        <v>1349.977294921875</v>
      </c>
      <c r="O161" s="26">
        <f t="shared" si="250"/>
        <v>83.006868381973135</v>
      </c>
      <c r="P161" s="26">
        <f>VLOOKUP($C161,COS!$B$8:$H$991,6,FALSE)</f>
        <v>2521.474853515625</v>
      </c>
      <c r="Q161" s="26">
        <f t="shared" si="251"/>
        <v>155.0394455384814</v>
      </c>
      <c r="R161" s="26">
        <f>MIN(IF(MONTH($C161)=4,$S$3,IF(MONTH($C161)=5,$S$4,IF(MONTH($C161)=6,$S$5,IF(MONTH($C161)=7,$S$6,"ERROR")))),MAX(VLOOKUP($C161,COS!$B$8:$K$991,10,FALSE)-IF(MONTH($C161)=4,$Y$3,IF(MONTH($C161)=5,$Y$4,IF(MONTH($C161)=6,$Y$5,IF(MONTH($C161)=7,$Y$6,"ERROR")))),0),MAX(VLOOKUP($C161,COS!$B$8:$K$991,9,FALSE)-IF(MONTH($C161)=4,$V$3,IF(MONTH($C161)=5,$V$4,IF(MONTH($C161)=6,$V$5,IF(MONTH($C161)=7,$V$6,"ERROR"))))-VLOOKUP($C161,COS!$B$8:$K$991,6,FALSE)/2,0))</f>
        <v>1500</v>
      </c>
      <c r="S161" s="26">
        <f t="shared" si="252"/>
        <v>92.231404958677686</v>
      </c>
      <c r="T161" s="26">
        <f t="shared" si="253"/>
        <v>211.25456191890495</v>
      </c>
      <c r="U161" s="26" t="str">
        <f>IF(VLOOKUP($C161,COS!$B$8:$I$991,8,FALSE)=1,"UWFE","IBU")</f>
        <v>IBU</v>
      </c>
      <c r="V161" s="26">
        <f t="shared" ref="V161" si="257">MIN(IF(IF($AA$3=2,AND(E161=1,G161=1,L161=1,L163=1,M161=1,U161="IBU"),AND(E161=1,G161=1,L161=1,L163=1,M161=1)),T161,0),I161)</f>
        <v>0</v>
      </c>
      <c r="W161" s="26"/>
      <c r="X161" s="26"/>
      <c r="Y161" s="26"/>
      <c r="Z161" s="26"/>
      <c r="AA161" s="26"/>
      <c r="AB161" s="33"/>
    </row>
    <row r="162" spans="1:28" x14ac:dyDescent="0.3">
      <c r="A162" s="32">
        <f>VLOOKUP(YEAR(C162),Flags!$A$13:$B$95,2,FALSE)</f>
        <v>1</v>
      </c>
      <c r="B162" s="24">
        <f t="shared" si="225"/>
        <v>1938</v>
      </c>
      <c r="C162" s="25">
        <v>14123</v>
      </c>
      <c r="D162" s="26"/>
      <c r="E162" s="24"/>
      <c r="F162" s="26"/>
      <c r="G162" s="24"/>
      <c r="H162" s="24"/>
      <c r="I162" s="26"/>
      <c r="J162" s="24"/>
      <c r="K162" s="26"/>
      <c r="L162" s="24"/>
      <c r="M162" s="24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f>MAX($C$7-VLOOKUP($C162,COS!$B$8:$H$991,3,FALSE),0)</f>
        <v>1531.1455078125</v>
      </c>
      <c r="X162" s="26">
        <f t="shared" si="245"/>
        <v>94.146467587809923</v>
      </c>
      <c r="Y162" s="26">
        <f>VLOOKUP($C162,COS!$B$8:$H$991,4,FALSE)</f>
        <v>0</v>
      </c>
      <c r="Z162" s="26">
        <f t="shared" si="246"/>
        <v>0</v>
      </c>
      <c r="AA162" s="26">
        <f t="shared" ref="AA162:AA166" si="258">MIN(W162,Y162)</f>
        <v>0</v>
      </c>
      <c r="AB162" s="33">
        <f t="shared" ref="AB162" si="259">AA162*DAY($C162)*86400/43560/1000*IF(MONTH($C162)=8,$P$3,IF(MONTH($C162)=9,$P$4,IF(MONTH($C162)=10,$P$5,IF(MONTH($C162)=11,$P$6,IF(MONTH($C162)=12,$P$7,NA())))))</f>
        <v>0</v>
      </c>
    </row>
    <row r="163" spans="1:28" x14ac:dyDescent="0.3">
      <c r="A163" s="32">
        <f>VLOOKUP(YEAR(C163),Flags!$A$13:$B$95,2,FALSE)</f>
        <v>1</v>
      </c>
      <c r="B163" s="24">
        <f t="shared" si="225"/>
        <v>1938</v>
      </c>
      <c r="C163" s="25">
        <v>14153</v>
      </c>
      <c r="D163" s="26"/>
      <c r="E163" s="24"/>
      <c r="F163" s="26"/>
      <c r="G163" s="24"/>
      <c r="H163" s="24"/>
      <c r="I163" s="26"/>
      <c r="J163" s="24"/>
      <c r="K163" s="26">
        <f>VLOOKUP($C163,COS!$B$8:$H$991,2,FALSE)</f>
        <v>3067.66845703125</v>
      </c>
      <c r="L163" s="24">
        <f t="shared" ref="L163" si="260">IF(AND(K163&gt;$I$7,K163&lt;$I$8),1,0)</f>
        <v>1</v>
      </c>
      <c r="M163" s="24"/>
      <c r="N163" s="26"/>
      <c r="O163" s="26"/>
      <c r="P163" s="26"/>
      <c r="Q163" s="26"/>
      <c r="R163" s="26"/>
      <c r="S163" s="26"/>
      <c r="T163" s="26"/>
      <c r="U163" s="26"/>
      <c r="V163" s="26"/>
      <c r="W163" s="26">
        <f>MAX($C$8-VLOOKUP($C163,COS!$B$8:$H$991,3,FALSE),0)</f>
        <v>0</v>
      </c>
      <c r="X163" s="26">
        <f t="shared" si="245"/>
        <v>0</v>
      </c>
      <c r="Y163" s="26">
        <f>VLOOKUP($C163,COS!$B$8:$H$991,4,FALSE)</f>
        <v>0</v>
      </c>
      <c r="Z163" s="26">
        <f t="shared" si="246"/>
        <v>0</v>
      </c>
      <c r="AA163" s="26">
        <f t="shared" si="258"/>
        <v>0</v>
      </c>
      <c r="AB163" s="33">
        <f t="shared" si="243"/>
        <v>0</v>
      </c>
    </row>
    <row r="164" spans="1:28" x14ac:dyDescent="0.3">
      <c r="A164" s="32">
        <f>VLOOKUP(YEAR(C164),Flags!$A$13:$B$95,2,FALSE)</f>
        <v>1</v>
      </c>
      <c r="B164" s="24">
        <f t="shared" si="225"/>
        <v>1938</v>
      </c>
      <c r="C164" s="25">
        <v>14184</v>
      </c>
      <c r="D164" s="26"/>
      <c r="E164" s="24"/>
      <c r="F164" s="26"/>
      <c r="G164" s="26"/>
      <c r="H164" s="26"/>
      <c r="I164" s="26"/>
      <c r="J164" s="26"/>
      <c r="K164" s="26"/>
      <c r="L164" s="24"/>
      <c r="M164" s="24"/>
      <c r="N164" s="26"/>
      <c r="O164" s="26"/>
      <c r="P164" s="26"/>
      <c r="Q164" s="26"/>
      <c r="R164" s="26"/>
      <c r="S164" s="26"/>
      <c r="T164" s="26"/>
      <c r="U164" s="26"/>
      <c r="V164" s="26"/>
      <c r="W164" s="26">
        <f>MAX($C$9-VLOOKUP($C164,COS!$B$8:$H$991,3,FALSE),0)</f>
        <v>0</v>
      </c>
      <c r="X164" s="26">
        <f t="shared" si="245"/>
        <v>0</v>
      </c>
      <c r="Y164" s="26">
        <f>VLOOKUP($C164,COS!$B$8:$H$991,4,FALSE)</f>
        <v>48.355400085449219</v>
      </c>
      <c r="Z164" s="26">
        <f t="shared" si="246"/>
        <v>2.9732576581466295</v>
      </c>
      <c r="AA164" s="26">
        <f t="shared" si="258"/>
        <v>0</v>
      </c>
      <c r="AB164" s="33">
        <f t="shared" si="243"/>
        <v>0</v>
      </c>
    </row>
    <row r="165" spans="1:28" x14ac:dyDescent="0.3">
      <c r="A165" s="32">
        <f>VLOOKUP(YEAR(C165),Flags!$A$13:$B$95,2,FALSE)</f>
        <v>1</v>
      </c>
      <c r="B165" s="24">
        <f t="shared" si="225"/>
        <v>1938</v>
      </c>
      <c r="C165" s="25">
        <v>14214</v>
      </c>
      <c r="D165" s="26"/>
      <c r="E165" s="24"/>
      <c r="F165" s="26"/>
      <c r="G165" s="26"/>
      <c r="H165" s="26"/>
      <c r="I165" s="26"/>
      <c r="J165" s="26"/>
      <c r="K165" s="26"/>
      <c r="L165" s="24"/>
      <c r="M165" s="24"/>
      <c r="N165" s="26"/>
      <c r="O165" s="26"/>
      <c r="P165" s="26"/>
      <c r="Q165" s="26"/>
      <c r="R165" s="26"/>
      <c r="S165" s="26"/>
      <c r="T165" s="26"/>
      <c r="U165" s="26"/>
      <c r="V165" s="26"/>
      <c r="W165" s="26">
        <f>MAX($C$10-VLOOKUP($C165,COS!$B$8:$H$991,3,FALSE),0)</f>
        <v>0</v>
      </c>
      <c r="X165" s="26">
        <f t="shared" si="245"/>
        <v>0</v>
      </c>
      <c r="Y165" s="26">
        <f>VLOOKUP($C165,COS!$B$8:$H$991,4,FALSE)</f>
        <v>0</v>
      </c>
      <c r="Z165" s="26">
        <f t="shared" si="246"/>
        <v>0</v>
      </c>
      <c r="AA165" s="26">
        <f t="shared" si="258"/>
        <v>0</v>
      </c>
      <c r="AB165" s="33">
        <f t="shared" si="243"/>
        <v>0</v>
      </c>
    </row>
    <row r="166" spans="1:28" x14ac:dyDescent="0.3">
      <c r="A166" s="34">
        <f>VLOOKUP(YEAR(C166),Flags!$A$13:$B$95,2,FALSE)</f>
        <v>1</v>
      </c>
      <c r="B166" s="35">
        <f t="shared" si="225"/>
        <v>1938</v>
      </c>
      <c r="C166" s="36">
        <v>14245</v>
      </c>
      <c r="D166" s="37"/>
      <c r="E166" s="35"/>
      <c r="F166" s="37"/>
      <c r="G166" s="37"/>
      <c r="H166" s="37"/>
      <c r="I166" s="37"/>
      <c r="J166" s="37"/>
      <c r="K166" s="37"/>
      <c r="L166" s="35"/>
      <c r="M166" s="35"/>
      <c r="N166" s="37"/>
      <c r="O166" s="37"/>
      <c r="P166" s="37"/>
      <c r="Q166" s="37"/>
      <c r="R166" s="37"/>
      <c r="S166" s="37"/>
      <c r="T166" s="37"/>
      <c r="U166" s="37"/>
      <c r="V166" s="37"/>
      <c r="W166" s="37">
        <f>MAX($C$11-VLOOKUP($C166,COS!$B$8:$H$991,3,FALSE),0)</f>
        <v>309.80517578125</v>
      </c>
      <c r="X166" s="37">
        <f t="shared" si="245"/>
        <v>19.049177750516531</v>
      </c>
      <c r="Y166" s="37">
        <f>VLOOKUP($C166,COS!$B$8:$H$991,4,FALSE)</f>
        <v>0</v>
      </c>
      <c r="Z166" s="37">
        <f t="shared" si="246"/>
        <v>0</v>
      </c>
      <c r="AA166" s="37">
        <f t="shared" si="258"/>
        <v>0</v>
      </c>
      <c r="AB166" s="38">
        <f t="shared" si="243"/>
        <v>0</v>
      </c>
    </row>
    <row r="167" spans="1:28" x14ac:dyDescent="0.3">
      <c r="A167" s="27">
        <f>VLOOKUP(YEAR(C167),Flags!$A$13:$B$95,2,FALSE)</f>
        <v>3</v>
      </c>
      <c r="B167" s="28">
        <f t="shared" si="225"/>
        <v>1939</v>
      </c>
      <c r="C167" s="29">
        <v>14365</v>
      </c>
      <c r="D167" s="30">
        <f>VLOOKUP($C167,COS!$B$8:$H$991,3,FALSE)</f>
        <v>5639.22900390625</v>
      </c>
      <c r="E167" s="28">
        <f>IF(D167&gt;=IF(MONTH($C167)=4,$C$3,IF(MONTH($C167)=5,$C$4,IF(MONTH($C167)=6,$C$5,IF(MONTH($C167)=7,$C$6,"ERROR")))),1,0)</f>
        <v>0</v>
      </c>
      <c r="F167" s="30">
        <f>VLOOKUP($C167,COS!$B$8:$H$991,7,FALSE)</f>
        <v>50.994121551513672</v>
      </c>
      <c r="G167" s="28">
        <f>IF(F167&lt;=IF(MONTH($C167)=4,$F$3,IF(MONTH($C167)=5,$F$4,IF(MONTH($C167)=6,$F$5,IF(MONTH($C167)=7,$F$6,"ERROR")))),1,0)</f>
        <v>1</v>
      </c>
      <c r="H167" s="30">
        <f>IF(J167=1,D167-$C$3,0)</f>
        <v>0</v>
      </c>
      <c r="I167" s="30">
        <f t="shared" si="239"/>
        <v>0</v>
      </c>
      <c r="J167" s="28">
        <f t="shared" ref="J167:J170" si="261">IF(AND(E167=1,G167=1),1,0)</f>
        <v>0</v>
      </c>
      <c r="K167" s="30">
        <f>VLOOKUP($C167,COS!$B$8:$H$991,2,FALSE)</f>
        <v>3617.388427734375</v>
      </c>
      <c r="L167" s="28">
        <f t="shared" ref="L167" si="262">IF(K167&lt;=IF(MONTH($C167)=4,$I$3,IF(MONTH($C167)=5,$I$4,IF(MONTH($C167)=6,$I$5,IF(MONTH($C167)=7,$I$6,"ERROR")))),1,0)</f>
        <v>1</v>
      </c>
      <c r="M167" s="28">
        <f t="shared" ref="M167" si="263">VLOOKUP($A167,$L$3:$M$7,2,FALSE)</f>
        <v>0</v>
      </c>
      <c r="N167" s="30">
        <f>VLOOKUP($C167,COS!$B$8:$H$991,5,FALSE)</f>
        <v>605.5399169921875</v>
      </c>
      <c r="O167" s="30">
        <f t="shared" ref="O167:O170" si="264">N167*DAY($C167)*86400/43560/1000</f>
        <v>36.032127292097108</v>
      </c>
      <c r="P167" s="30">
        <f>VLOOKUP($C167,COS!$B$8:$H$991,6,FALSE)</f>
        <v>578.7889404296875</v>
      </c>
      <c r="Q167" s="30">
        <f t="shared" ref="Q167:Q170" si="265">P167*DAY($C167)*86400/43560/1000</f>
        <v>34.440333645402887</v>
      </c>
      <c r="R167" s="30">
        <f>MIN(IF(MONTH($C167)=4,$S$3,IF(MONTH($C167)=5,$S$4,IF(MONTH($C167)=6,$S$5,IF(MONTH($C167)=7,$S$6,"ERROR")))),MAX(VLOOKUP($C167,COS!$B$8:$K$991,10,FALSE)-IF(MONTH($C167)=4,$Y$3,IF(MONTH($C167)=5,$Y$4,IF(MONTH($C167)=6,$Y$5,IF(MONTH($C167)=7,$Y$6,"ERROR")))),0),MAX(VLOOKUP($C167,COS!$B$8:$K$991,9,FALSE)-IF(MONTH($C167)=4,$V$3,IF(MONTH($C167)=5,$V$4,IF(MONTH($C167)=6,$V$5,IF(MONTH($C167)=7,$V$6,"ERROR"))))-VLOOKUP($C167,COS!$B$8:$K$991,6,FALSE)/2,0))</f>
        <v>1500</v>
      </c>
      <c r="S167" s="30">
        <f t="shared" ref="S167:S170" si="266">R167*DAY($C167)*86400/43560/1000</f>
        <v>89.256198347107429</v>
      </c>
      <c r="T167" s="30">
        <f t="shared" ref="T167:T170" si="267">(O167+Q167)/2+S167</f>
        <v>124.49242881585742</v>
      </c>
      <c r="U167" s="30" t="str">
        <f>IF(VLOOKUP($C167,COS!$B$8:$I$991,8,FALSE)=1,"UWFE","IBU")</f>
        <v>UWFE</v>
      </c>
      <c r="V167" s="30">
        <f t="shared" ref="V167" si="268">MIN(IF(IF($AA$3=2,AND(E167=1,G167=1,L167=1,L172=1,M167=1,U167="IBU"),AND(E167=1,G167=1,L167=1,L172=1,M167=1)),T167,0),I167)</f>
        <v>0</v>
      </c>
      <c r="W167" s="30"/>
      <c r="X167" s="30"/>
      <c r="Y167" s="30"/>
      <c r="Z167" s="30"/>
      <c r="AA167" s="30"/>
      <c r="AB167" s="31"/>
    </row>
    <row r="168" spans="1:28" x14ac:dyDescent="0.3">
      <c r="A168" s="32">
        <f>VLOOKUP(YEAR(C168),Flags!$A$13:$B$95,2,FALSE)</f>
        <v>3</v>
      </c>
      <c r="B168" s="24">
        <f t="shared" si="225"/>
        <v>1939</v>
      </c>
      <c r="C168" s="25">
        <v>14396</v>
      </c>
      <c r="D168" s="26">
        <f>VLOOKUP($C168,COS!$B$8:$H$991,3,FALSE)</f>
        <v>10183.0283203125</v>
      </c>
      <c r="E168" s="24">
        <f>IF(D168&gt;=IF(MONTH($C168)=4,$C$3,IF(MONTH($C168)=5,$C$4,IF(MONTH($C168)=6,$C$5,IF(MONTH($C168)=7,$C$6,"ERROR")))),1,0)</f>
        <v>1</v>
      </c>
      <c r="F168" s="26">
        <f>VLOOKUP($C168,COS!$B$8:$H$991,7,FALSE)</f>
        <v>50.974002838134766</v>
      </c>
      <c r="G168" s="24">
        <f>IF(F168&lt;=IF(MONTH($C168)=4,$F$3,IF(MONTH($C168)=5,$F$4,IF(MONTH($C168)=6,$F$5,IF(MONTH($C168)=7,$F$6,"ERROR")))),1,0)</f>
        <v>1</v>
      </c>
      <c r="H168" s="26">
        <f>IF(J168=1,D168-$C$4,0)</f>
        <v>4183.0283203125</v>
      </c>
      <c r="I168" s="26">
        <f t="shared" si="239"/>
        <v>257.20438597623968</v>
      </c>
      <c r="J168" s="24">
        <f t="shared" si="261"/>
        <v>1</v>
      </c>
      <c r="K168" s="26">
        <f>VLOOKUP($C168,COS!$B$8:$H$991,2,FALSE)</f>
        <v>3339.732177734375</v>
      </c>
      <c r="L168" s="24">
        <f t="shared" si="231"/>
        <v>1</v>
      </c>
      <c r="M168" s="24">
        <f t="shared" si="232"/>
        <v>0</v>
      </c>
      <c r="N168" s="26">
        <f>VLOOKUP($C168,COS!$B$8:$H$991,5,FALSE)</f>
        <v>507.59902954101563</v>
      </c>
      <c r="O168" s="26">
        <f t="shared" si="264"/>
        <v>31.211047766819473</v>
      </c>
      <c r="P168" s="26">
        <f>VLOOKUP($C168,COS!$B$8:$H$991,6,FALSE)</f>
        <v>2184.023681640625</v>
      </c>
      <c r="Q168" s="26">
        <f t="shared" si="265"/>
        <v>134.29038174715907</v>
      </c>
      <c r="R168" s="26">
        <f>MIN(IF(MONTH($C168)=4,$S$3,IF(MONTH($C168)=5,$S$4,IF(MONTH($C168)=6,$S$5,IF(MONTH($C168)=7,$S$6,"ERROR")))),MAX(VLOOKUP($C168,COS!$B$8:$K$991,10,FALSE)-IF(MONTH($C168)=4,$Y$3,IF(MONTH($C168)=5,$Y$4,IF(MONTH($C168)=6,$Y$5,IF(MONTH($C168)=7,$Y$6,"ERROR")))),0),MAX(VLOOKUP($C168,COS!$B$8:$K$991,9,FALSE)-IF(MONTH($C168)=4,$V$3,IF(MONTH($C168)=5,$V$4,IF(MONTH($C168)=6,$V$5,IF(MONTH($C168)=7,$V$6,"ERROR"))))-VLOOKUP($C168,COS!$B$8:$K$991,6,FALSE)/2,0))</f>
        <v>1500</v>
      </c>
      <c r="S168" s="26">
        <f t="shared" si="266"/>
        <v>92.231404958677686</v>
      </c>
      <c r="T168" s="26">
        <f t="shared" si="267"/>
        <v>174.98211971566695</v>
      </c>
      <c r="U168" s="26" t="str">
        <f>IF(VLOOKUP($C168,COS!$B$8:$I$991,8,FALSE)=1,"UWFE","IBU")</f>
        <v>IBU</v>
      </c>
      <c r="V168" s="26">
        <f t="shared" ref="V168" si="269">MIN(IF(IF($AA$3=2,AND(E168=1,G168=1,L168=1,L172=1,M168=1,U168="IBU"),AND(E168=1,G168=1,L168=1,L172=1,M168=1)),T168,0),I168)</f>
        <v>0</v>
      </c>
      <c r="W168" s="26"/>
      <c r="X168" s="26"/>
      <c r="Y168" s="26"/>
      <c r="Z168" s="26"/>
      <c r="AA168" s="26"/>
      <c r="AB168" s="33"/>
    </row>
    <row r="169" spans="1:28" x14ac:dyDescent="0.3">
      <c r="A169" s="32">
        <f>VLOOKUP(YEAR(C169),Flags!$A$13:$B$95,2,FALSE)</f>
        <v>3</v>
      </c>
      <c r="B169" s="24">
        <f t="shared" si="225"/>
        <v>1939</v>
      </c>
      <c r="C169" s="25">
        <v>14426</v>
      </c>
      <c r="D169" s="26">
        <f>VLOOKUP($C169,COS!$B$8:$H$991,3,FALSE)</f>
        <v>12354.21484375</v>
      </c>
      <c r="E169" s="24">
        <f>IF(D169&gt;=IF(MONTH($C169)=4,$C$3,IF(MONTH($C169)=5,$C$4,IF(MONTH($C169)=6,$C$5,IF(MONTH($C169)=7,$C$6,"ERROR")))),1,0)</f>
        <v>1</v>
      </c>
      <c r="F169" s="26">
        <f>VLOOKUP($C169,COS!$B$8:$H$991,7,FALSE)</f>
        <v>52.385540008544922</v>
      </c>
      <c r="G169" s="24">
        <f>IF(F169&lt;=IF(MONTH($C169)=4,$F$3,IF(MONTH($C169)=5,$F$4,IF(MONTH($C169)=6,$F$5,IF(MONTH($C169)=7,$F$6,"ERROR")))),1,0)</f>
        <v>1</v>
      </c>
      <c r="H169" s="26">
        <f>IF(J169=1,D169-$C$5,0)</f>
        <v>2354.21484375</v>
      </c>
      <c r="I169" s="26">
        <f t="shared" si="239"/>
        <v>140.08551136363636</v>
      </c>
      <c r="J169" s="24">
        <f t="shared" si="261"/>
        <v>1</v>
      </c>
      <c r="K169" s="26">
        <f>VLOOKUP($C169,COS!$B$8:$H$991,2,FALSE)</f>
        <v>2944.504150390625</v>
      </c>
      <c r="L169" s="24">
        <f t="shared" si="231"/>
        <v>1</v>
      </c>
      <c r="M169" s="24">
        <f t="shared" si="232"/>
        <v>0</v>
      </c>
      <c r="N169" s="26">
        <f>VLOOKUP($C169,COS!$B$8:$H$991,5,FALSE)</f>
        <v>658.92901611328125</v>
      </c>
      <c r="O169" s="26">
        <f t="shared" si="264"/>
        <v>39.208999305914261</v>
      </c>
      <c r="P169" s="26">
        <f>VLOOKUP($C169,COS!$B$8:$H$991,6,FALSE)</f>
        <v>2679.353271484375</v>
      </c>
      <c r="Q169" s="26">
        <f t="shared" si="265"/>
        <v>159.43259136105374</v>
      </c>
      <c r="R169" s="26">
        <f>MIN(IF(MONTH($C169)=4,$S$3,IF(MONTH($C169)=5,$S$4,IF(MONTH($C169)=6,$S$5,IF(MONTH($C169)=7,$S$6,"ERROR")))),MAX(VLOOKUP($C169,COS!$B$8:$K$991,10,FALSE)-IF(MONTH($C169)=4,$Y$3,IF(MONTH($C169)=5,$Y$4,IF(MONTH($C169)=6,$Y$5,IF(MONTH($C169)=7,$Y$6,"ERROR")))),0),MAX(VLOOKUP($C169,COS!$B$8:$K$991,9,FALSE)-IF(MONTH($C169)=4,$V$3,IF(MONTH($C169)=5,$V$4,IF(MONTH($C169)=6,$V$5,IF(MONTH($C169)=7,$V$6,"ERROR"))))-VLOOKUP($C169,COS!$B$8:$K$991,6,FALSE)/2,0))</f>
        <v>1500</v>
      </c>
      <c r="S169" s="26">
        <f t="shared" si="266"/>
        <v>89.256198347107429</v>
      </c>
      <c r="T169" s="26">
        <f t="shared" si="267"/>
        <v>188.57699368059144</v>
      </c>
      <c r="U169" s="26" t="str">
        <f>IF(VLOOKUP($C169,COS!$B$8:$I$991,8,FALSE)=1,"UWFE","IBU")</f>
        <v>IBU</v>
      </c>
      <c r="V169" s="26">
        <f t="shared" ref="V169" si="270">MIN(IF(IF($AA$3=2,AND(E169=1,G169=1,L169=1,L172=1,M169=1,U169="IBU"),AND(E169=1,G169=1,L169=1,L172=1,M169=1)),T169,0),I169)</f>
        <v>0</v>
      </c>
      <c r="W169" s="26"/>
      <c r="X169" s="26"/>
      <c r="Y169" s="26"/>
      <c r="Z169" s="26"/>
      <c r="AA169" s="26"/>
      <c r="AB169" s="33"/>
    </row>
    <row r="170" spans="1:28" x14ac:dyDescent="0.3">
      <c r="A170" s="32">
        <f>VLOOKUP(YEAR(C170),Flags!$A$13:$B$95,2,FALSE)</f>
        <v>3</v>
      </c>
      <c r="B170" s="24">
        <f t="shared" si="225"/>
        <v>1939</v>
      </c>
      <c r="C170" s="25">
        <v>14457</v>
      </c>
      <c r="D170" s="26">
        <f>VLOOKUP($C170,COS!$B$8:$H$991,3,FALSE)</f>
        <v>16000</v>
      </c>
      <c r="E170" s="24">
        <f>IF(D170&gt;=IF(MONTH($C170)=4,$C$3,IF(MONTH($C170)=5,$C$4,IF(MONTH($C170)=6,$C$5,IF(MONTH($C170)=7,$C$6,"ERROR")))),1,0)</f>
        <v>1</v>
      </c>
      <c r="F170" s="26">
        <f>VLOOKUP($C170,COS!$B$8:$H$991,7,FALSE)</f>
        <v>53.516410827636719</v>
      </c>
      <c r="G170" s="24">
        <f>IF(F170&lt;=IF(MONTH($C170)=4,$F$3,IF(MONTH($C170)=5,$F$4,IF(MONTH($C170)=6,$F$5,IF(MONTH($C170)=7,$F$6,"ERROR")))),1,0)</f>
        <v>0</v>
      </c>
      <c r="H170" s="26">
        <f>IF(J170=1,D170-$C$6,0)</f>
        <v>0</v>
      </c>
      <c r="I170" s="26">
        <f t="shared" si="239"/>
        <v>0</v>
      </c>
      <c r="J170" s="24">
        <f t="shared" si="261"/>
        <v>0</v>
      </c>
      <c r="K170" s="26">
        <f>VLOOKUP($C170,COS!$B$8:$H$991,2,FALSE)</f>
        <v>2319.410888671875</v>
      </c>
      <c r="L170" s="24">
        <f t="shared" si="231"/>
        <v>1</v>
      </c>
      <c r="M170" s="24">
        <f t="shared" si="232"/>
        <v>0</v>
      </c>
      <c r="N170" s="26">
        <f>VLOOKUP($C170,COS!$B$8:$H$991,5,FALSE)</f>
        <v>718.189208984375</v>
      </c>
      <c r="O170" s="26">
        <f t="shared" si="264"/>
        <v>44.159733180526864</v>
      </c>
      <c r="P170" s="26">
        <f>VLOOKUP($C170,COS!$B$8:$H$991,6,FALSE)</f>
        <v>2421.51171875</v>
      </c>
      <c r="Q170" s="26">
        <f t="shared" si="265"/>
        <v>148.89295196280992</v>
      </c>
      <c r="R170" s="26">
        <f>MIN(IF(MONTH($C170)=4,$S$3,IF(MONTH($C170)=5,$S$4,IF(MONTH($C170)=6,$S$5,IF(MONTH($C170)=7,$S$6,"ERROR")))),MAX(VLOOKUP($C170,COS!$B$8:$K$991,10,FALSE)-IF(MONTH($C170)=4,$Y$3,IF(MONTH($C170)=5,$Y$4,IF(MONTH($C170)=6,$Y$5,IF(MONTH($C170)=7,$Y$6,"ERROR")))),0),MAX(VLOOKUP($C170,COS!$B$8:$K$991,9,FALSE)-IF(MONTH($C170)=4,$V$3,IF(MONTH($C170)=5,$V$4,IF(MONTH($C170)=6,$V$5,IF(MONTH($C170)=7,$V$6,"ERROR"))))-VLOOKUP($C170,COS!$B$8:$K$991,6,FALSE)/2,0))</f>
        <v>1500</v>
      </c>
      <c r="S170" s="26">
        <f t="shared" si="266"/>
        <v>92.231404958677686</v>
      </c>
      <c r="T170" s="26">
        <f t="shared" si="267"/>
        <v>188.75774753034608</v>
      </c>
      <c r="U170" s="26" t="str">
        <f>IF(VLOOKUP($C170,COS!$B$8:$I$991,8,FALSE)=1,"UWFE","IBU")</f>
        <v>IBU</v>
      </c>
      <c r="V170" s="26">
        <f t="shared" ref="V170" si="271">MIN(IF(IF($AA$3=2,AND(E170=1,G170=1,L170=1,L172=1,M170=1,U170="IBU"),AND(E170=1,G170=1,L170=1,L172=1,M170=1)),T170,0),I170)</f>
        <v>0</v>
      </c>
      <c r="W170" s="26"/>
      <c r="X170" s="26"/>
      <c r="Y170" s="26"/>
      <c r="Z170" s="26"/>
      <c r="AA170" s="26"/>
      <c r="AB170" s="33"/>
    </row>
    <row r="171" spans="1:28" x14ac:dyDescent="0.3">
      <c r="A171" s="32">
        <f>VLOOKUP(YEAR(C171),Flags!$A$13:$B$95,2,FALSE)</f>
        <v>3</v>
      </c>
      <c r="B171" s="24">
        <f t="shared" si="225"/>
        <v>1939</v>
      </c>
      <c r="C171" s="25">
        <v>14488</v>
      </c>
      <c r="D171" s="26"/>
      <c r="E171" s="24"/>
      <c r="F171" s="26"/>
      <c r="G171" s="24"/>
      <c r="H171" s="24"/>
      <c r="I171" s="26"/>
      <c r="J171" s="24"/>
      <c r="K171" s="26"/>
      <c r="L171" s="24"/>
      <c r="M171" s="24"/>
      <c r="N171" s="26"/>
      <c r="O171" s="26"/>
      <c r="P171" s="26"/>
      <c r="Q171" s="26"/>
      <c r="R171" s="26"/>
      <c r="S171" s="26"/>
      <c r="T171" s="26"/>
      <c r="U171" s="26"/>
      <c r="V171" s="26"/>
      <c r="W171" s="26">
        <f>MAX($C$7-VLOOKUP($C171,COS!$B$8:$H$991,3,FALSE),0)</f>
        <v>0</v>
      </c>
      <c r="X171" s="26">
        <f t="shared" si="245"/>
        <v>0</v>
      </c>
      <c r="Y171" s="26">
        <f>VLOOKUP($C171,COS!$B$8:$H$991,4,FALSE)</f>
        <v>3226.453125</v>
      </c>
      <c r="Z171" s="26">
        <f t="shared" si="246"/>
        <v>198.38686983471075</v>
      </c>
      <c r="AA171" s="26">
        <f t="shared" ref="AA171:AA175" si="272">MIN(W171,Y171)</f>
        <v>0</v>
      </c>
      <c r="AB171" s="33">
        <f t="shared" ref="AB171" si="273">AA171*DAY($C171)*86400/43560/1000*IF(MONTH($C171)=8,$P$3,IF(MONTH($C171)=9,$P$4,IF(MONTH($C171)=10,$P$5,IF(MONTH($C171)=11,$P$6,IF(MONTH($C171)=12,$P$7,NA())))))</f>
        <v>0</v>
      </c>
    </row>
    <row r="172" spans="1:28" x14ac:dyDescent="0.3">
      <c r="A172" s="32">
        <f>VLOOKUP(YEAR(C172),Flags!$A$13:$B$95,2,FALSE)</f>
        <v>3</v>
      </c>
      <c r="B172" s="24">
        <f t="shared" si="225"/>
        <v>1939</v>
      </c>
      <c r="C172" s="25">
        <v>14518</v>
      </c>
      <c r="D172" s="26"/>
      <c r="E172" s="24"/>
      <c r="F172" s="26"/>
      <c r="G172" s="24"/>
      <c r="H172" s="24"/>
      <c r="I172" s="26"/>
      <c r="J172" s="24"/>
      <c r="K172" s="26">
        <f>VLOOKUP($C172,COS!$B$8:$H$991,2,FALSE)</f>
        <v>1819.920654296875</v>
      </c>
      <c r="L172" s="24">
        <f t="shared" ref="L172" si="274">IF(AND(K172&gt;$I$7,K172&lt;$I$8),1,0)</f>
        <v>0</v>
      </c>
      <c r="M172" s="24"/>
      <c r="N172" s="26"/>
      <c r="O172" s="26"/>
      <c r="P172" s="26"/>
      <c r="Q172" s="26"/>
      <c r="R172" s="26"/>
      <c r="S172" s="26"/>
      <c r="T172" s="26"/>
      <c r="U172" s="26"/>
      <c r="V172" s="26"/>
      <c r="W172" s="26">
        <f>MAX($C$8-VLOOKUP($C172,COS!$B$8:$H$991,3,FALSE),0)</f>
        <v>526.0498046875</v>
      </c>
      <c r="X172" s="26">
        <f t="shared" si="245"/>
        <v>31.302137138429753</v>
      </c>
      <c r="Y172" s="26">
        <f>VLOOKUP($C172,COS!$B$8:$H$991,4,FALSE)</f>
        <v>1628.006103515625</v>
      </c>
      <c r="Z172" s="26">
        <f t="shared" si="246"/>
        <v>96.8730904571281</v>
      </c>
      <c r="AA172" s="26">
        <f t="shared" si="272"/>
        <v>526.0498046875</v>
      </c>
      <c r="AB172" s="33">
        <f t="shared" si="243"/>
        <v>31.302137138429753</v>
      </c>
    </row>
    <row r="173" spans="1:28" x14ac:dyDescent="0.3">
      <c r="A173" s="32">
        <f>VLOOKUP(YEAR(C173),Flags!$A$13:$B$95,2,FALSE)</f>
        <v>3</v>
      </c>
      <c r="B173" s="24">
        <f t="shared" si="225"/>
        <v>1939</v>
      </c>
      <c r="C173" s="25">
        <v>14549</v>
      </c>
      <c r="D173" s="26"/>
      <c r="E173" s="24"/>
      <c r="F173" s="26"/>
      <c r="G173" s="26"/>
      <c r="H173" s="26"/>
      <c r="I173" s="26"/>
      <c r="J173" s="26"/>
      <c r="K173" s="26"/>
      <c r="L173" s="24"/>
      <c r="M173" s="24"/>
      <c r="N173" s="26"/>
      <c r="O173" s="26"/>
      <c r="P173" s="26"/>
      <c r="Q173" s="26"/>
      <c r="R173" s="26"/>
      <c r="S173" s="26"/>
      <c r="T173" s="26"/>
      <c r="U173" s="26"/>
      <c r="V173" s="26"/>
      <c r="W173" s="26">
        <f>MAX($C$9-VLOOKUP($C173,COS!$B$8:$H$991,3,FALSE),0)</f>
        <v>0</v>
      </c>
      <c r="X173" s="26">
        <f t="shared" si="245"/>
        <v>0</v>
      </c>
      <c r="Y173" s="26">
        <f>VLOOKUP($C173,COS!$B$8:$H$991,4,FALSE)</f>
        <v>1678.0692138671875</v>
      </c>
      <c r="Z173" s="26">
        <f t="shared" si="246"/>
        <v>103.18045414191633</v>
      </c>
      <c r="AA173" s="26">
        <f t="shared" si="272"/>
        <v>0</v>
      </c>
      <c r="AB173" s="33">
        <f t="shared" si="243"/>
        <v>0</v>
      </c>
    </row>
    <row r="174" spans="1:28" x14ac:dyDescent="0.3">
      <c r="A174" s="32">
        <f>VLOOKUP(YEAR(C174),Flags!$A$13:$B$95,2,FALSE)</f>
        <v>3</v>
      </c>
      <c r="B174" s="24">
        <f t="shared" si="225"/>
        <v>1939</v>
      </c>
      <c r="C174" s="25">
        <v>14579</v>
      </c>
      <c r="D174" s="26"/>
      <c r="E174" s="24"/>
      <c r="F174" s="26"/>
      <c r="G174" s="26"/>
      <c r="H174" s="26"/>
      <c r="I174" s="26"/>
      <c r="J174" s="26"/>
      <c r="K174" s="26"/>
      <c r="L174" s="24"/>
      <c r="M174" s="24"/>
      <c r="N174" s="26"/>
      <c r="O174" s="26"/>
      <c r="P174" s="26"/>
      <c r="Q174" s="26"/>
      <c r="R174" s="26"/>
      <c r="S174" s="26"/>
      <c r="T174" s="26"/>
      <c r="U174" s="26"/>
      <c r="V174" s="26"/>
      <c r="W174" s="26">
        <f>MAX($C$10-VLOOKUP($C174,COS!$B$8:$H$991,3,FALSE),0)</f>
        <v>0</v>
      </c>
      <c r="X174" s="26">
        <f t="shared" si="245"/>
        <v>0</v>
      </c>
      <c r="Y174" s="26">
        <f>VLOOKUP($C174,COS!$B$8:$H$991,4,FALSE)</f>
        <v>2018.930908203125</v>
      </c>
      <c r="Z174" s="26">
        <f t="shared" si="246"/>
        <v>120.13473172778926</v>
      </c>
      <c r="AA174" s="26">
        <f t="shared" si="272"/>
        <v>0</v>
      </c>
      <c r="AB174" s="33">
        <f t="shared" si="243"/>
        <v>0</v>
      </c>
    </row>
    <row r="175" spans="1:28" x14ac:dyDescent="0.3">
      <c r="A175" s="34">
        <f>VLOOKUP(YEAR(C175),Flags!$A$13:$B$95,2,FALSE)</f>
        <v>3</v>
      </c>
      <c r="B175" s="35">
        <f t="shared" si="225"/>
        <v>1939</v>
      </c>
      <c r="C175" s="36">
        <v>14610</v>
      </c>
      <c r="D175" s="37"/>
      <c r="E175" s="35"/>
      <c r="F175" s="37"/>
      <c r="G175" s="37"/>
      <c r="H175" s="37"/>
      <c r="I175" s="37"/>
      <c r="J175" s="37"/>
      <c r="K175" s="37"/>
      <c r="L175" s="35"/>
      <c r="M175" s="35"/>
      <c r="N175" s="37"/>
      <c r="O175" s="37"/>
      <c r="P175" s="37"/>
      <c r="Q175" s="37"/>
      <c r="R175" s="37"/>
      <c r="S175" s="37"/>
      <c r="T175" s="37"/>
      <c r="U175" s="37"/>
      <c r="V175" s="37"/>
      <c r="W175" s="37">
        <f>MAX($C$11-VLOOKUP($C175,COS!$B$8:$H$991,3,FALSE),0)</f>
        <v>1750</v>
      </c>
      <c r="X175" s="37">
        <f t="shared" si="245"/>
        <v>107.60330578512398</v>
      </c>
      <c r="Y175" s="37">
        <f>VLOOKUP($C175,COS!$B$8:$H$991,4,FALSE)</f>
        <v>1704.9423828125</v>
      </c>
      <c r="Z175" s="37">
        <f t="shared" si="246"/>
        <v>104.83282089359504</v>
      </c>
      <c r="AA175" s="37">
        <f t="shared" si="272"/>
        <v>1704.9423828125</v>
      </c>
      <c r="AB175" s="38">
        <f t="shared" si="243"/>
        <v>104.83282089359504</v>
      </c>
    </row>
    <row r="176" spans="1:28" x14ac:dyDescent="0.3">
      <c r="A176" s="27">
        <f>VLOOKUP(YEAR(C176),Flags!$A$13:$B$95,2,FALSE)</f>
        <v>2</v>
      </c>
      <c r="B176" s="28">
        <f t="shared" si="225"/>
        <v>1940</v>
      </c>
      <c r="C176" s="29">
        <v>14731</v>
      </c>
      <c r="D176" s="30">
        <f>VLOOKUP($C176,COS!$B$8:$H$991,3,FALSE)</f>
        <v>3250</v>
      </c>
      <c r="E176" s="28">
        <f>IF(D176&gt;=IF(MONTH($C176)=4,$C$3,IF(MONTH($C176)=5,$C$4,IF(MONTH($C176)=6,$C$5,IF(MONTH($C176)=7,$C$6,"ERROR")))),1,0)</f>
        <v>0</v>
      </c>
      <c r="F176" s="30">
        <f>VLOOKUP($C176,COS!$B$8:$H$991,7,FALSE)</f>
        <v>50.942607879638672</v>
      </c>
      <c r="G176" s="28">
        <f>IF(F176&lt;=IF(MONTH($C176)=4,$F$3,IF(MONTH($C176)=5,$F$4,IF(MONTH($C176)=6,$F$5,IF(MONTH($C176)=7,$F$6,"ERROR")))),1,0)</f>
        <v>1</v>
      </c>
      <c r="H176" s="30">
        <f>IF(J176=1,D176-$C$3,0)</f>
        <v>0</v>
      </c>
      <c r="I176" s="30">
        <f t="shared" si="239"/>
        <v>0</v>
      </c>
      <c r="J176" s="28">
        <f t="shared" ref="J176:J179" si="275">IF(AND(E176=1,G176=1),1,0)</f>
        <v>0</v>
      </c>
      <c r="K176" s="30">
        <f>VLOOKUP($C176,COS!$B$8:$H$991,2,FALSE)</f>
        <v>4211.595703125</v>
      </c>
      <c r="L176" s="28">
        <f t="shared" ref="L176" si="276">IF(K176&lt;=IF(MONTH($C176)=4,$I$3,IF(MONTH($C176)=5,$I$4,IF(MONTH($C176)=6,$I$5,IF(MONTH($C176)=7,$I$6,"ERROR")))),1,0)</f>
        <v>1</v>
      </c>
      <c r="M176" s="28">
        <f t="shared" ref="M176" si="277">VLOOKUP($A176,$L$3:$M$7,2,FALSE)</f>
        <v>0</v>
      </c>
      <c r="N176" s="30">
        <f>VLOOKUP($C176,COS!$B$8:$H$991,5,FALSE)</f>
        <v>253.27787780761719</v>
      </c>
      <c r="O176" s="30">
        <f t="shared" ref="O176:O179" si="278">N176*DAY($C176)*86400/43560/1000</f>
        <v>15.071080332354081</v>
      </c>
      <c r="P176" s="30">
        <f>VLOOKUP($C176,COS!$B$8:$H$991,6,FALSE)</f>
        <v>410.20220947265625</v>
      </c>
      <c r="Q176" s="30">
        <f t="shared" ref="Q176:Q179" si="279">P176*DAY($C176)*86400/43560/1000</f>
        <v>24.408726514075415</v>
      </c>
      <c r="R176" s="30">
        <f>MIN(IF(MONTH($C176)=4,$S$3,IF(MONTH($C176)=5,$S$4,IF(MONTH($C176)=6,$S$5,IF(MONTH($C176)=7,$S$6,"ERROR")))),MAX(VLOOKUP($C176,COS!$B$8:$K$991,10,FALSE)-IF(MONTH($C176)=4,$Y$3,IF(MONTH($C176)=5,$Y$4,IF(MONTH($C176)=6,$Y$5,IF(MONTH($C176)=7,$Y$6,"ERROR")))),0),MAX(VLOOKUP($C176,COS!$B$8:$K$991,9,FALSE)-IF(MONTH($C176)=4,$V$3,IF(MONTH($C176)=5,$V$4,IF(MONTH($C176)=6,$V$5,IF(MONTH($C176)=7,$V$6,"ERROR"))))-VLOOKUP($C176,COS!$B$8:$K$991,6,FALSE)/2,0))</f>
        <v>1500</v>
      </c>
      <c r="S176" s="30">
        <f t="shared" ref="S176:S179" si="280">R176*DAY($C176)*86400/43560/1000</f>
        <v>89.256198347107429</v>
      </c>
      <c r="T176" s="30">
        <f t="shared" ref="T176:T179" si="281">(O176+Q176)/2+S176</f>
        <v>108.99610177032218</v>
      </c>
      <c r="U176" s="30" t="str">
        <f>IF(VLOOKUP($C176,COS!$B$8:$I$991,8,FALSE)=1,"UWFE","IBU")</f>
        <v>UWFE</v>
      </c>
      <c r="V176" s="30">
        <f t="shared" ref="V176" si="282">MIN(IF(IF($AA$3=2,AND(E176=1,G176=1,L176=1,L181=1,M176=1,U176="IBU"),AND(E176=1,G176=1,L176=1,L181=1,M176=1)),T176,0),I176)</f>
        <v>0</v>
      </c>
      <c r="W176" s="30"/>
      <c r="X176" s="30"/>
      <c r="Y176" s="30"/>
      <c r="Z176" s="30"/>
      <c r="AA176" s="30"/>
      <c r="AB176" s="31"/>
    </row>
    <row r="177" spans="1:28" x14ac:dyDescent="0.3">
      <c r="A177" s="32">
        <f>VLOOKUP(YEAR(C177),Flags!$A$13:$B$95,2,FALSE)</f>
        <v>2</v>
      </c>
      <c r="B177" s="24">
        <f t="shared" si="225"/>
        <v>1940</v>
      </c>
      <c r="C177" s="25">
        <v>14762</v>
      </c>
      <c r="D177" s="26">
        <f>VLOOKUP($C177,COS!$B$8:$H$991,3,FALSE)</f>
        <v>5750.91845703125</v>
      </c>
      <c r="E177" s="24">
        <f>IF(D177&gt;=IF(MONTH($C177)=4,$C$3,IF(MONTH($C177)=5,$C$4,IF(MONTH($C177)=6,$C$5,IF(MONTH($C177)=7,$C$6,"ERROR")))),1,0)</f>
        <v>0</v>
      </c>
      <c r="F177" s="26">
        <f>VLOOKUP($C177,COS!$B$8:$H$991,7,FALSE)</f>
        <v>51.514625549316406</v>
      </c>
      <c r="G177" s="24">
        <f>IF(F177&lt;=IF(MONTH($C177)=4,$F$3,IF(MONTH($C177)=5,$F$4,IF(MONTH($C177)=6,$F$5,IF(MONTH($C177)=7,$F$6,"ERROR")))),1,0)</f>
        <v>1</v>
      </c>
      <c r="H177" s="26">
        <f>IF(J177=1,D177-$C$4,0)</f>
        <v>0</v>
      </c>
      <c r="I177" s="26">
        <f t="shared" si="239"/>
        <v>0</v>
      </c>
      <c r="J177" s="24">
        <f t="shared" si="275"/>
        <v>0</v>
      </c>
      <c r="K177" s="26">
        <f>VLOOKUP($C177,COS!$B$8:$H$991,2,FALSE)</f>
        <v>4218.22314453125</v>
      </c>
      <c r="L177" s="24">
        <f t="shared" si="231"/>
        <v>1</v>
      </c>
      <c r="M177" s="24">
        <f t="shared" si="232"/>
        <v>0</v>
      </c>
      <c r="N177" s="26">
        <f>VLOOKUP($C177,COS!$B$8:$H$991,5,FALSE)</f>
        <v>465.70071411132813</v>
      </c>
      <c r="O177" s="26">
        <f t="shared" si="278"/>
        <v>28.634820768498194</v>
      </c>
      <c r="P177" s="26">
        <f>VLOOKUP($C177,COS!$B$8:$H$991,6,FALSE)</f>
        <v>1936.545654296875</v>
      </c>
      <c r="Q177" s="26">
        <f t="shared" si="279"/>
        <v>119.07355097494835</v>
      </c>
      <c r="R177" s="26">
        <f>MIN(IF(MONTH($C177)=4,$S$3,IF(MONTH($C177)=5,$S$4,IF(MONTH($C177)=6,$S$5,IF(MONTH($C177)=7,$S$6,"ERROR")))),MAX(VLOOKUP($C177,COS!$B$8:$K$991,10,FALSE)-IF(MONTH($C177)=4,$Y$3,IF(MONTH($C177)=5,$Y$4,IF(MONTH($C177)=6,$Y$5,IF(MONTH($C177)=7,$Y$6,"ERROR")))),0),MAX(VLOOKUP($C177,COS!$B$8:$K$991,9,FALSE)-IF(MONTH($C177)=4,$V$3,IF(MONTH($C177)=5,$V$4,IF(MONTH($C177)=6,$V$5,IF(MONTH($C177)=7,$V$6,"ERROR"))))-VLOOKUP($C177,COS!$B$8:$K$991,6,FALSE)/2,0))</f>
        <v>1500</v>
      </c>
      <c r="S177" s="26">
        <f t="shared" si="280"/>
        <v>92.231404958677686</v>
      </c>
      <c r="T177" s="26">
        <f t="shared" si="281"/>
        <v>166.08559083040097</v>
      </c>
      <c r="U177" s="26" t="str">
        <f>IF(VLOOKUP($C177,COS!$B$8:$I$991,8,FALSE)=1,"UWFE","IBU")</f>
        <v>UWFE</v>
      </c>
      <c r="V177" s="26">
        <f t="shared" ref="V177" si="283">MIN(IF(IF($AA$3=2,AND(E177=1,G177=1,L177=1,L181=1,M177=1,U177="IBU"),AND(E177=1,G177=1,L177=1,L181=1,M177=1)),T177,0),I177)</f>
        <v>0</v>
      </c>
      <c r="W177" s="26"/>
      <c r="X177" s="26"/>
      <c r="Y177" s="26"/>
      <c r="Z177" s="26"/>
      <c r="AA177" s="26"/>
      <c r="AB177" s="33"/>
    </row>
    <row r="178" spans="1:28" x14ac:dyDescent="0.3">
      <c r="A178" s="32">
        <f>VLOOKUP(YEAR(C178),Flags!$A$13:$B$95,2,FALSE)</f>
        <v>2</v>
      </c>
      <c r="B178" s="24">
        <f t="shared" si="225"/>
        <v>1940</v>
      </c>
      <c r="C178" s="25">
        <v>14792</v>
      </c>
      <c r="D178" s="26">
        <f>VLOOKUP($C178,COS!$B$8:$H$991,3,FALSE)</f>
        <v>9764.62109375</v>
      </c>
      <c r="E178" s="24">
        <f>IF(D178&gt;=IF(MONTH($C178)=4,$C$3,IF(MONTH($C178)=5,$C$4,IF(MONTH($C178)=6,$C$5,IF(MONTH($C178)=7,$C$6,"ERROR")))),1,0)</f>
        <v>0</v>
      </c>
      <c r="F178" s="26">
        <f>VLOOKUP($C178,COS!$B$8:$H$991,7,FALSE)</f>
        <v>51.442054748535156</v>
      </c>
      <c r="G178" s="24">
        <f>IF(F178&lt;=IF(MONTH($C178)=4,$F$3,IF(MONTH($C178)=5,$F$4,IF(MONTH($C178)=6,$F$5,IF(MONTH($C178)=7,$F$6,"ERROR")))),1,0)</f>
        <v>1</v>
      </c>
      <c r="H178" s="26">
        <f>IF(J178=1,D178-$C$5,0)</f>
        <v>0</v>
      </c>
      <c r="I178" s="26">
        <f t="shared" si="239"/>
        <v>0</v>
      </c>
      <c r="J178" s="24">
        <f t="shared" si="275"/>
        <v>0</v>
      </c>
      <c r="K178" s="26">
        <f>VLOOKUP($C178,COS!$B$8:$H$991,2,FALSE)</f>
        <v>3893.91650390625</v>
      </c>
      <c r="L178" s="24">
        <f t="shared" si="231"/>
        <v>1</v>
      </c>
      <c r="M178" s="24">
        <f t="shared" si="232"/>
        <v>0</v>
      </c>
      <c r="N178" s="26">
        <f>VLOOKUP($C178,COS!$B$8:$H$991,5,FALSE)</f>
        <v>885.69073486328125</v>
      </c>
      <c r="O178" s="26">
        <f t="shared" si="278"/>
        <v>52.702258603434913</v>
      </c>
      <c r="P178" s="26">
        <f>VLOOKUP($C178,COS!$B$8:$H$991,6,FALSE)</f>
        <v>2416.416259765625</v>
      </c>
      <c r="Q178" s="26">
        <f t="shared" si="279"/>
        <v>143.78675264721076</v>
      </c>
      <c r="R178" s="26">
        <f>MIN(IF(MONTH($C178)=4,$S$3,IF(MONTH($C178)=5,$S$4,IF(MONTH($C178)=6,$S$5,IF(MONTH($C178)=7,$S$6,"ERROR")))),MAX(VLOOKUP($C178,COS!$B$8:$K$991,10,FALSE)-IF(MONTH($C178)=4,$Y$3,IF(MONTH($C178)=5,$Y$4,IF(MONTH($C178)=6,$Y$5,IF(MONTH($C178)=7,$Y$6,"ERROR")))),0),MAX(VLOOKUP($C178,COS!$B$8:$K$991,9,FALSE)-IF(MONTH($C178)=4,$V$3,IF(MONTH($C178)=5,$V$4,IF(MONTH($C178)=6,$V$5,IF(MONTH($C178)=7,$V$6,"ERROR"))))-VLOOKUP($C178,COS!$B$8:$K$991,6,FALSE)/2,0))</f>
        <v>1500</v>
      </c>
      <c r="S178" s="26">
        <f t="shared" si="280"/>
        <v>89.256198347107429</v>
      </c>
      <c r="T178" s="26">
        <f t="shared" si="281"/>
        <v>187.50070397243024</v>
      </c>
      <c r="U178" s="26" t="str">
        <f>IF(VLOOKUP($C178,COS!$B$8:$I$991,8,FALSE)=1,"UWFE","IBU")</f>
        <v>IBU</v>
      </c>
      <c r="V178" s="26">
        <f t="shared" ref="V178" si="284">MIN(IF(IF($AA$3=2,AND(E178=1,G178=1,L178=1,L181=1,M178=1,U178="IBU"),AND(E178=1,G178=1,L178=1,L181=1,M178=1)),T178,0),I178)</f>
        <v>0</v>
      </c>
      <c r="W178" s="26"/>
      <c r="X178" s="26"/>
      <c r="Y178" s="26"/>
      <c r="Z178" s="26"/>
      <c r="AA178" s="26"/>
      <c r="AB178" s="33"/>
    </row>
    <row r="179" spans="1:28" x14ac:dyDescent="0.3">
      <c r="A179" s="32">
        <f>VLOOKUP(YEAR(C179),Flags!$A$13:$B$95,2,FALSE)</f>
        <v>2</v>
      </c>
      <c r="B179" s="24">
        <f t="shared" si="225"/>
        <v>1940</v>
      </c>
      <c r="C179" s="25">
        <v>14823</v>
      </c>
      <c r="D179" s="26">
        <f>VLOOKUP($C179,COS!$B$8:$H$991,3,FALSE)</f>
        <v>15730.8037109375</v>
      </c>
      <c r="E179" s="24">
        <f>IF(D179&gt;=IF(MONTH($C179)=4,$C$3,IF(MONTH($C179)=5,$C$4,IF(MONTH($C179)=6,$C$5,IF(MONTH($C179)=7,$C$6,"ERROR")))),1,0)</f>
        <v>1</v>
      </c>
      <c r="F179" s="26">
        <f>VLOOKUP($C179,COS!$B$8:$H$991,7,FALSE)</f>
        <v>51.379985809326172</v>
      </c>
      <c r="G179" s="24">
        <f>IF(F179&lt;=IF(MONTH($C179)=4,$F$3,IF(MONTH($C179)=5,$F$4,IF(MONTH($C179)=6,$F$5,IF(MONTH($C179)=7,$F$6,"ERROR")))),1,0)</f>
        <v>1</v>
      </c>
      <c r="H179" s="26">
        <f>IF(J179=1,D179-$C$6,0)</f>
        <v>3730.8037109375</v>
      </c>
      <c r="I179" s="26">
        <f t="shared" si="239"/>
        <v>229.39817858987604</v>
      </c>
      <c r="J179" s="24">
        <f t="shared" si="275"/>
        <v>1</v>
      </c>
      <c r="K179" s="26">
        <f>VLOOKUP($C179,COS!$B$8:$H$991,2,FALSE)</f>
        <v>3200</v>
      </c>
      <c r="L179" s="24">
        <f t="shared" si="231"/>
        <v>1</v>
      </c>
      <c r="M179" s="24">
        <f t="shared" si="232"/>
        <v>0</v>
      </c>
      <c r="N179" s="26">
        <f>VLOOKUP($C179,COS!$B$8:$H$991,5,FALSE)</f>
        <v>981.25543212890625</v>
      </c>
      <c r="O179" s="26">
        <f t="shared" si="278"/>
        <v>60.335044752388946</v>
      </c>
      <c r="P179" s="26">
        <f>VLOOKUP($C179,COS!$B$8:$H$991,6,FALSE)</f>
        <v>2562.892822265625</v>
      </c>
      <c r="Q179" s="26">
        <f t="shared" si="279"/>
        <v>157.58613717071282</v>
      </c>
      <c r="R179" s="26">
        <f>MIN(IF(MONTH($C179)=4,$S$3,IF(MONTH($C179)=5,$S$4,IF(MONTH($C179)=6,$S$5,IF(MONTH($C179)=7,$S$6,"ERROR")))),MAX(VLOOKUP($C179,COS!$B$8:$K$991,10,FALSE)-IF(MONTH($C179)=4,$Y$3,IF(MONTH($C179)=5,$Y$4,IF(MONTH($C179)=6,$Y$5,IF(MONTH($C179)=7,$Y$6,"ERROR")))),0),MAX(VLOOKUP($C179,COS!$B$8:$K$991,9,FALSE)-IF(MONTH($C179)=4,$V$3,IF(MONTH($C179)=5,$V$4,IF(MONTH($C179)=6,$V$5,IF(MONTH($C179)=7,$V$6,"ERROR"))))-VLOOKUP($C179,COS!$B$8:$K$991,6,FALSE)/2,0))</f>
        <v>1500</v>
      </c>
      <c r="S179" s="26">
        <f t="shared" si="280"/>
        <v>92.231404958677686</v>
      </c>
      <c r="T179" s="26">
        <f t="shared" si="281"/>
        <v>201.19199592022858</v>
      </c>
      <c r="U179" s="26" t="str">
        <f>IF(VLOOKUP($C179,COS!$B$8:$I$991,8,FALSE)=1,"UWFE","IBU")</f>
        <v>IBU</v>
      </c>
      <c r="V179" s="26">
        <f t="shared" ref="V179" si="285">MIN(IF(IF($AA$3=2,AND(E179=1,G179=1,L179=1,L181=1,M179=1,U179="IBU"),AND(E179=1,G179=1,L179=1,L181=1,M179=1)),T179,0),I179)</f>
        <v>0</v>
      </c>
      <c r="W179" s="26"/>
      <c r="X179" s="26"/>
      <c r="Y179" s="26"/>
      <c r="Z179" s="26"/>
      <c r="AA179" s="26"/>
      <c r="AB179" s="33"/>
    </row>
    <row r="180" spans="1:28" x14ac:dyDescent="0.3">
      <c r="A180" s="32">
        <f>VLOOKUP(YEAR(C180),Flags!$A$13:$B$95,2,FALSE)</f>
        <v>2</v>
      </c>
      <c r="B180" s="24">
        <f t="shared" si="225"/>
        <v>1940</v>
      </c>
      <c r="C180" s="25">
        <v>14854</v>
      </c>
      <c r="D180" s="26"/>
      <c r="E180" s="24"/>
      <c r="F180" s="26"/>
      <c r="G180" s="24"/>
      <c r="H180" s="24"/>
      <c r="I180" s="26"/>
      <c r="J180" s="24"/>
      <c r="K180" s="26"/>
      <c r="L180" s="24"/>
      <c r="M180" s="24"/>
      <c r="N180" s="26"/>
      <c r="O180" s="26"/>
      <c r="P180" s="26"/>
      <c r="Q180" s="26"/>
      <c r="R180" s="26"/>
      <c r="S180" s="26"/>
      <c r="T180" s="26"/>
      <c r="U180" s="26"/>
      <c r="V180" s="26"/>
      <c r="W180" s="26">
        <f>MAX($C$7-VLOOKUP($C180,COS!$B$8:$H$991,3,FALSE),0)</f>
        <v>463.974609375</v>
      </c>
      <c r="X180" s="26">
        <f t="shared" si="245"/>
        <v>28.528686725206612</v>
      </c>
      <c r="Y180" s="26">
        <f>VLOOKUP($C180,COS!$B$8:$H$991,4,FALSE)</f>
        <v>0</v>
      </c>
      <c r="Z180" s="26">
        <f t="shared" si="246"/>
        <v>0</v>
      </c>
      <c r="AA180" s="26">
        <f t="shared" ref="AA180:AA184" si="286">MIN(W180,Y180)</f>
        <v>0</v>
      </c>
      <c r="AB180" s="33">
        <f t="shared" ref="AB180" si="287">AA180*DAY($C180)*86400/43560/1000*IF(MONTH($C180)=8,$P$3,IF(MONTH($C180)=9,$P$4,IF(MONTH($C180)=10,$P$5,IF(MONTH($C180)=11,$P$6,IF(MONTH($C180)=12,$P$7,NA())))))</f>
        <v>0</v>
      </c>
    </row>
    <row r="181" spans="1:28" x14ac:dyDescent="0.3">
      <c r="A181" s="32">
        <f>VLOOKUP(YEAR(C181),Flags!$A$13:$B$95,2,FALSE)</f>
        <v>2</v>
      </c>
      <c r="B181" s="24">
        <f t="shared" si="225"/>
        <v>1940</v>
      </c>
      <c r="C181" s="25">
        <v>14884</v>
      </c>
      <c r="D181" s="26"/>
      <c r="E181" s="24"/>
      <c r="F181" s="26"/>
      <c r="G181" s="24"/>
      <c r="H181" s="24"/>
      <c r="I181" s="26"/>
      <c r="J181" s="24"/>
      <c r="K181" s="26">
        <f>VLOOKUP($C181,COS!$B$8:$H$991,2,FALSE)</f>
        <v>2472.069580078125</v>
      </c>
      <c r="L181" s="24">
        <f t="shared" ref="L181" si="288">IF(AND(K181&gt;$I$7,K181&lt;$I$8),1,0)</f>
        <v>1</v>
      </c>
      <c r="M181" s="24"/>
      <c r="N181" s="26"/>
      <c r="O181" s="26"/>
      <c r="P181" s="26"/>
      <c r="Q181" s="26"/>
      <c r="R181" s="26"/>
      <c r="S181" s="26"/>
      <c r="T181" s="26"/>
      <c r="U181" s="26"/>
      <c r="V181" s="26"/>
      <c r="W181" s="26">
        <f>MAX($C$8-VLOOKUP($C181,COS!$B$8:$H$991,3,FALSE),0)</f>
        <v>0</v>
      </c>
      <c r="X181" s="26">
        <f t="shared" si="245"/>
        <v>0</v>
      </c>
      <c r="Y181" s="26">
        <f>VLOOKUP($C181,COS!$B$8:$H$991,4,FALSE)</f>
        <v>254.33448791503906</v>
      </c>
      <c r="Z181" s="26">
        <f t="shared" si="246"/>
        <v>15.133952999903151</v>
      </c>
      <c r="AA181" s="26">
        <f t="shared" si="286"/>
        <v>0</v>
      </c>
      <c r="AB181" s="33">
        <f t="shared" si="243"/>
        <v>0</v>
      </c>
    </row>
    <row r="182" spans="1:28" x14ac:dyDescent="0.3">
      <c r="A182" s="32">
        <f>VLOOKUP(YEAR(C182),Flags!$A$13:$B$95,2,FALSE)</f>
        <v>2</v>
      </c>
      <c r="B182" s="24">
        <f t="shared" si="225"/>
        <v>1940</v>
      </c>
      <c r="C182" s="25">
        <v>14915</v>
      </c>
      <c r="D182" s="26"/>
      <c r="E182" s="24"/>
      <c r="F182" s="26"/>
      <c r="G182" s="26"/>
      <c r="H182" s="26"/>
      <c r="I182" s="26"/>
      <c r="J182" s="26"/>
      <c r="K182" s="26"/>
      <c r="L182" s="24"/>
      <c r="M182" s="24"/>
      <c r="N182" s="26"/>
      <c r="O182" s="26"/>
      <c r="P182" s="26"/>
      <c r="Q182" s="26"/>
      <c r="R182" s="26"/>
      <c r="S182" s="26"/>
      <c r="T182" s="26"/>
      <c r="U182" s="26"/>
      <c r="V182" s="26"/>
      <c r="W182" s="26">
        <f>MAX($C$9-VLOOKUP($C182,COS!$B$8:$H$991,3,FALSE),0)</f>
        <v>0</v>
      </c>
      <c r="X182" s="26">
        <f t="shared" si="245"/>
        <v>0</v>
      </c>
      <c r="Y182" s="26">
        <f>VLOOKUP($C182,COS!$B$8:$H$991,4,FALSE)</f>
        <v>785.3338623046875</v>
      </c>
      <c r="Z182" s="26">
        <f t="shared" si="246"/>
        <v>48.288296987990705</v>
      </c>
      <c r="AA182" s="26">
        <f t="shared" si="286"/>
        <v>0</v>
      </c>
      <c r="AB182" s="33">
        <f t="shared" si="243"/>
        <v>0</v>
      </c>
    </row>
    <row r="183" spans="1:28" x14ac:dyDescent="0.3">
      <c r="A183" s="32">
        <f>VLOOKUP(YEAR(C183),Flags!$A$13:$B$95,2,FALSE)</f>
        <v>2</v>
      </c>
      <c r="B183" s="24">
        <f t="shared" si="225"/>
        <v>1940</v>
      </c>
      <c r="C183" s="25">
        <v>14945</v>
      </c>
      <c r="D183" s="26"/>
      <c r="E183" s="24"/>
      <c r="F183" s="26"/>
      <c r="G183" s="26"/>
      <c r="H183" s="26"/>
      <c r="I183" s="26"/>
      <c r="J183" s="26"/>
      <c r="K183" s="26"/>
      <c r="L183" s="24"/>
      <c r="M183" s="24"/>
      <c r="N183" s="26"/>
      <c r="O183" s="26"/>
      <c r="P183" s="26"/>
      <c r="Q183" s="26"/>
      <c r="R183" s="26"/>
      <c r="S183" s="26"/>
      <c r="T183" s="26"/>
      <c r="U183" s="26"/>
      <c r="V183" s="26"/>
      <c r="W183" s="26">
        <f>MAX($C$10-VLOOKUP($C183,COS!$B$8:$H$991,3,FALSE),0)</f>
        <v>0</v>
      </c>
      <c r="X183" s="26">
        <f t="shared" si="245"/>
        <v>0</v>
      </c>
      <c r="Y183" s="26">
        <f>VLOOKUP($C183,COS!$B$8:$H$991,4,FALSE)</f>
        <v>1105.5103759765625</v>
      </c>
      <c r="Z183" s="26">
        <f t="shared" si="246"/>
        <v>65.782435595299589</v>
      </c>
      <c r="AA183" s="26">
        <f t="shared" si="286"/>
        <v>0</v>
      </c>
      <c r="AB183" s="33">
        <f t="shared" si="243"/>
        <v>0</v>
      </c>
    </row>
    <row r="184" spans="1:28" x14ac:dyDescent="0.3">
      <c r="A184" s="34">
        <f>VLOOKUP(YEAR(C184),Flags!$A$13:$B$95,2,FALSE)</f>
        <v>2</v>
      </c>
      <c r="B184" s="35">
        <f t="shared" si="225"/>
        <v>1940</v>
      </c>
      <c r="C184" s="36">
        <v>14976</v>
      </c>
      <c r="D184" s="37"/>
      <c r="E184" s="35"/>
      <c r="F184" s="37"/>
      <c r="G184" s="37"/>
      <c r="H184" s="37"/>
      <c r="I184" s="37"/>
      <c r="J184" s="37"/>
      <c r="K184" s="37"/>
      <c r="L184" s="35"/>
      <c r="M184" s="35"/>
      <c r="N184" s="37"/>
      <c r="O184" s="37"/>
      <c r="P184" s="37"/>
      <c r="Q184" s="37"/>
      <c r="R184" s="37"/>
      <c r="S184" s="37"/>
      <c r="T184" s="37"/>
      <c r="U184" s="37"/>
      <c r="V184" s="37"/>
      <c r="W184" s="37">
        <f>MAX($C$11-VLOOKUP($C184,COS!$B$8:$H$991,3,FALSE),0)</f>
        <v>0</v>
      </c>
      <c r="X184" s="37">
        <f t="shared" si="245"/>
        <v>0</v>
      </c>
      <c r="Y184" s="37">
        <f>VLOOKUP($C184,COS!$B$8:$H$991,4,FALSE)</f>
        <v>0</v>
      </c>
      <c r="Z184" s="37">
        <f t="shared" si="246"/>
        <v>0</v>
      </c>
      <c r="AA184" s="37">
        <f t="shared" si="286"/>
        <v>0</v>
      </c>
      <c r="AB184" s="38">
        <f t="shared" si="243"/>
        <v>0</v>
      </c>
    </row>
    <row r="185" spans="1:28" x14ac:dyDescent="0.3">
      <c r="A185" s="27">
        <f>VLOOKUP(YEAR(C185),Flags!$A$13:$B$95,2,FALSE)</f>
        <v>1</v>
      </c>
      <c r="B185" s="28">
        <f t="shared" si="225"/>
        <v>1941</v>
      </c>
      <c r="C185" s="29">
        <v>15096</v>
      </c>
      <c r="D185" s="30">
        <f>VLOOKUP($C185,COS!$B$8:$H$991,3,FALSE)</f>
        <v>13347.38671875</v>
      </c>
      <c r="E185" s="28">
        <f>IF(D185&gt;=IF(MONTH($C185)=4,$C$3,IF(MONTH($C185)=5,$C$4,IF(MONTH($C185)=6,$C$5,IF(MONTH($C185)=7,$C$6,"ERROR")))),1,0)</f>
        <v>1</v>
      </c>
      <c r="F185" s="30">
        <f>VLOOKUP($C185,COS!$B$8:$H$991,7,FALSE)</f>
        <v>47.10235595703125</v>
      </c>
      <c r="G185" s="28">
        <f>IF(F185&lt;=IF(MONTH($C185)=4,$F$3,IF(MONTH($C185)=5,$F$4,IF(MONTH($C185)=6,$F$5,IF(MONTH($C185)=7,$F$6,"ERROR")))),1,0)</f>
        <v>1</v>
      </c>
      <c r="H185" s="30">
        <f>IF(J185=1,D185-$C$3,0)</f>
        <v>7347.38671875</v>
      </c>
      <c r="I185" s="30">
        <f t="shared" si="239"/>
        <v>437.1998708677686</v>
      </c>
      <c r="J185" s="28">
        <f t="shared" ref="J185:J188" si="289">IF(AND(E185=1,G185=1),1,0)</f>
        <v>1</v>
      </c>
      <c r="K185" s="30">
        <f>VLOOKUP($C185,COS!$B$8:$H$991,2,FALSE)</f>
        <v>4456</v>
      </c>
      <c r="L185" s="28">
        <f t="shared" ref="L185" si="290">IF(K185&lt;=IF(MONTH($C185)=4,$I$3,IF(MONTH($C185)=5,$I$4,IF(MONTH($C185)=6,$I$5,IF(MONTH($C185)=7,$I$6,"ERROR")))),1,0)</f>
        <v>1</v>
      </c>
      <c r="M185" s="28">
        <f t="shared" ref="M185" si="291">VLOOKUP($A185,$L$3:$M$7,2,FALSE)</f>
        <v>0</v>
      </c>
      <c r="N185" s="30">
        <f>VLOOKUP($C185,COS!$B$8:$H$991,5,FALSE)</f>
        <v>23.296117782592773</v>
      </c>
      <c r="O185" s="30">
        <f t="shared" ref="O185:O188" si="292">N185*DAY($C185)*86400/43560/1000</f>
        <v>1.3862152730137849</v>
      </c>
      <c r="P185" s="30">
        <f>VLOOKUP($C185,COS!$B$8:$H$991,6,FALSE)</f>
        <v>258.51828002929688</v>
      </c>
      <c r="Q185" s="30">
        <f t="shared" ref="Q185:Q188" si="293">P185*DAY($C185)*86400/43560/1000</f>
        <v>15.382905919098658</v>
      </c>
      <c r="R185" s="30">
        <f>MIN(IF(MONTH($C185)=4,$S$3,IF(MONTH($C185)=5,$S$4,IF(MONTH($C185)=6,$S$5,IF(MONTH($C185)=7,$S$6,"ERROR")))),MAX(VLOOKUP($C185,COS!$B$8:$K$991,10,FALSE)-IF(MONTH($C185)=4,$Y$3,IF(MONTH($C185)=5,$Y$4,IF(MONTH($C185)=6,$Y$5,IF(MONTH($C185)=7,$Y$6,"ERROR")))),0),MAX(VLOOKUP($C185,COS!$B$8:$K$991,9,FALSE)-IF(MONTH($C185)=4,$V$3,IF(MONTH($C185)=5,$V$4,IF(MONTH($C185)=6,$V$5,IF(MONTH($C185)=7,$V$6,"ERROR"))))-VLOOKUP($C185,COS!$B$8:$K$991,6,FALSE)/2,0))</f>
        <v>1500</v>
      </c>
      <c r="S185" s="30">
        <f t="shared" ref="S185:S188" si="294">R185*DAY($C185)*86400/43560/1000</f>
        <v>89.256198347107429</v>
      </c>
      <c r="T185" s="30">
        <f t="shared" ref="T185:T188" si="295">(O185+Q185)/2+S185</f>
        <v>97.640758943163647</v>
      </c>
      <c r="U185" s="30" t="str">
        <f>IF(VLOOKUP($C185,COS!$B$8:$I$991,8,FALSE)=1,"UWFE","IBU")</f>
        <v>UWFE</v>
      </c>
      <c r="V185" s="30">
        <f t="shared" ref="V185" si="296">MIN(IF(IF($AA$3=2,AND(E185=1,G185=1,L185=1,L190=1,M185=1,U185="IBU"),AND(E185=1,G185=1,L185=1,L190=1,M185=1)),T185,0),I185)</f>
        <v>0</v>
      </c>
      <c r="W185" s="30"/>
      <c r="X185" s="30"/>
      <c r="Y185" s="30"/>
      <c r="Z185" s="30"/>
      <c r="AA185" s="30"/>
      <c r="AB185" s="31"/>
    </row>
    <row r="186" spans="1:28" x14ac:dyDescent="0.3">
      <c r="A186" s="32">
        <f>VLOOKUP(YEAR(C186),Flags!$A$13:$B$95,2,FALSE)</f>
        <v>1</v>
      </c>
      <c r="B186" s="24">
        <f t="shared" si="225"/>
        <v>1941</v>
      </c>
      <c r="C186" s="25">
        <v>15127</v>
      </c>
      <c r="D186" s="26">
        <f>VLOOKUP($C186,COS!$B$8:$H$991,3,FALSE)</f>
        <v>11196.62890625</v>
      </c>
      <c r="E186" s="24">
        <f>IF(D186&gt;=IF(MONTH($C186)=4,$C$3,IF(MONTH($C186)=5,$C$4,IF(MONTH($C186)=6,$C$5,IF(MONTH($C186)=7,$C$6,"ERROR")))),1,0)</f>
        <v>1</v>
      </c>
      <c r="F186" s="26">
        <f>VLOOKUP($C186,COS!$B$8:$H$991,7,FALSE)</f>
        <v>49.271575927734375</v>
      </c>
      <c r="G186" s="24">
        <f>IF(F186&lt;=IF(MONTH($C186)=4,$F$3,IF(MONTH($C186)=5,$F$4,IF(MONTH($C186)=6,$F$5,IF(MONTH($C186)=7,$F$6,"ERROR")))),1,0)</f>
        <v>1</v>
      </c>
      <c r="H186" s="26">
        <f>IF(J186=1,D186-$C$4,0)</f>
        <v>5196.62890625</v>
      </c>
      <c r="I186" s="26">
        <f t="shared" si="239"/>
        <v>319.52825671487602</v>
      </c>
      <c r="J186" s="24">
        <f t="shared" si="289"/>
        <v>1</v>
      </c>
      <c r="K186" s="26">
        <f>VLOOKUP($C186,COS!$B$8:$H$991,2,FALSE)</f>
        <v>4552</v>
      </c>
      <c r="L186" s="24">
        <f t="shared" si="231"/>
        <v>1</v>
      </c>
      <c r="M186" s="24">
        <f t="shared" si="232"/>
        <v>0</v>
      </c>
      <c r="N186" s="26">
        <f>VLOOKUP($C186,COS!$B$8:$H$991,5,FALSE)</f>
        <v>416.04388427734375</v>
      </c>
      <c r="O186" s="26">
        <f t="shared" si="292"/>
        <v>25.581541314243285</v>
      </c>
      <c r="P186" s="26">
        <f>VLOOKUP($C186,COS!$B$8:$H$991,6,FALSE)</f>
        <v>1881.5819091796875</v>
      </c>
      <c r="Q186" s="26">
        <f t="shared" si="293"/>
        <v>115.69396201898243</v>
      </c>
      <c r="R186" s="26">
        <f>MIN(IF(MONTH($C186)=4,$S$3,IF(MONTH($C186)=5,$S$4,IF(MONTH($C186)=6,$S$5,IF(MONTH($C186)=7,$S$6,"ERROR")))),MAX(VLOOKUP($C186,COS!$B$8:$K$991,10,FALSE)-IF(MONTH($C186)=4,$Y$3,IF(MONTH($C186)=5,$Y$4,IF(MONTH($C186)=6,$Y$5,IF(MONTH($C186)=7,$Y$6,"ERROR")))),0),MAX(VLOOKUP($C186,COS!$B$8:$K$991,9,FALSE)-IF(MONTH($C186)=4,$V$3,IF(MONTH($C186)=5,$V$4,IF(MONTH($C186)=6,$V$5,IF(MONTH($C186)=7,$V$6,"ERROR"))))-VLOOKUP($C186,COS!$B$8:$K$991,6,FALSE)/2,0))</f>
        <v>1500</v>
      </c>
      <c r="S186" s="26">
        <f t="shared" si="294"/>
        <v>92.231404958677686</v>
      </c>
      <c r="T186" s="26">
        <f t="shared" si="295"/>
        <v>162.86915662529054</v>
      </c>
      <c r="U186" s="26" t="str">
        <f>IF(VLOOKUP($C186,COS!$B$8:$I$991,8,FALSE)=1,"UWFE","IBU")</f>
        <v>UWFE</v>
      </c>
      <c r="V186" s="26">
        <f t="shared" ref="V186" si="297">MIN(IF(IF($AA$3=2,AND(E186=1,G186=1,L186=1,L190=1,M186=1,U186="IBU"),AND(E186=1,G186=1,L186=1,L190=1,M186=1)),T186,0),I186)</f>
        <v>0</v>
      </c>
      <c r="W186" s="26"/>
      <c r="X186" s="26"/>
      <c r="Y186" s="26"/>
      <c r="Z186" s="26"/>
      <c r="AA186" s="26"/>
      <c r="AB186" s="33"/>
    </row>
    <row r="187" spans="1:28" x14ac:dyDescent="0.3">
      <c r="A187" s="32">
        <f>VLOOKUP(YEAR(C187),Flags!$A$13:$B$95,2,FALSE)</f>
        <v>1</v>
      </c>
      <c r="B187" s="24">
        <f t="shared" si="225"/>
        <v>1941</v>
      </c>
      <c r="C187" s="25">
        <v>15157</v>
      </c>
      <c r="D187" s="26">
        <f>VLOOKUP($C187,COS!$B$8:$H$991,3,FALSE)</f>
        <v>7959.45068359375</v>
      </c>
      <c r="E187" s="24">
        <f>IF(D187&gt;=IF(MONTH($C187)=4,$C$3,IF(MONTH($C187)=5,$C$4,IF(MONTH($C187)=6,$C$5,IF(MONTH($C187)=7,$C$6,"ERROR")))),1,0)</f>
        <v>0</v>
      </c>
      <c r="F187" s="26">
        <f>VLOOKUP($C187,COS!$B$8:$H$991,7,FALSE)</f>
        <v>51.485713958740234</v>
      </c>
      <c r="G187" s="24">
        <f>IF(F187&lt;=IF(MONTH($C187)=4,$F$3,IF(MONTH($C187)=5,$F$4,IF(MONTH($C187)=6,$F$5,IF(MONTH($C187)=7,$F$6,"ERROR")))),1,0)</f>
        <v>1</v>
      </c>
      <c r="H187" s="26">
        <f>IF(J187=1,D187-$C$5,0)</f>
        <v>0</v>
      </c>
      <c r="I187" s="26">
        <f t="shared" si="239"/>
        <v>0</v>
      </c>
      <c r="J187" s="24">
        <f t="shared" si="289"/>
        <v>0</v>
      </c>
      <c r="K187" s="26">
        <f>VLOOKUP($C187,COS!$B$8:$H$991,2,FALSE)</f>
        <v>4473.59912109375</v>
      </c>
      <c r="L187" s="24">
        <f t="shared" si="231"/>
        <v>1</v>
      </c>
      <c r="M187" s="24">
        <f t="shared" si="232"/>
        <v>0</v>
      </c>
      <c r="N187" s="26">
        <f>VLOOKUP($C187,COS!$B$8:$H$991,5,FALSE)</f>
        <v>1200.7138671875</v>
      </c>
      <c r="O187" s="26">
        <f t="shared" si="292"/>
        <v>71.447436725206614</v>
      </c>
      <c r="P187" s="26">
        <f>VLOOKUP($C187,COS!$B$8:$H$991,6,FALSE)</f>
        <v>2235.81640625</v>
      </c>
      <c r="Q187" s="26">
        <f t="shared" si="293"/>
        <v>133.04031508264464</v>
      </c>
      <c r="R187" s="26">
        <f>MIN(IF(MONTH($C187)=4,$S$3,IF(MONTH($C187)=5,$S$4,IF(MONTH($C187)=6,$S$5,IF(MONTH($C187)=7,$S$6,"ERROR")))),MAX(VLOOKUP($C187,COS!$B$8:$K$991,10,FALSE)-IF(MONTH($C187)=4,$Y$3,IF(MONTH($C187)=5,$Y$4,IF(MONTH($C187)=6,$Y$5,IF(MONTH($C187)=7,$Y$6,"ERROR")))),0),MAX(VLOOKUP($C187,COS!$B$8:$K$991,9,FALSE)-IF(MONTH($C187)=4,$V$3,IF(MONTH($C187)=5,$V$4,IF(MONTH($C187)=6,$V$5,IF(MONTH($C187)=7,$V$6,"ERROR"))))-VLOOKUP($C187,COS!$B$8:$K$991,6,FALSE)/2,0))</f>
        <v>1500</v>
      </c>
      <c r="S187" s="26">
        <f t="shared" si="294"/>
        <v>89.256198347107429</v>
      </c>
      <c r="T187" s="26">
        <f t="shared" si="295"/>
        <v>191.50007425103306</v>
      </c>
      <c r="U187" s="26" t="str">
        <f>IF(VLOOKUP($C187,COS!$B$8:$I$991,8,FALSE)=1,"UWFE","IBU")</f>
        <v>UWFE</v>
      </c>
      <c r="V187" s="26">
        <f t="shared" ref="V187" si="298">MIN(IF(IF($AA$3=2,AND(E187=1,G187=1,L187=1,L190=1,M187=1,U187="IBU"),AND(E187=1,G187=1,L187=1,L190=1,M187=1)),T187,0),I187)</f>
        <v>0</v>
      </c>
      <c r="W187" s="26"/>
      <c r="X187" s="26"/>
      <c r="Y187" s="26"/>
      <c r="Z187" s="26"/>
      <c r="AA187" s="26"/>
      <c r="AB187" s="33"/>
    </row>
    <row r="188" spans="1:28" x14ac:dyDescent="0.3">
      <c r="A188" s="32">
        <f>VLOOKUP(YEAR(C188),Flags!$A$13:$B$95,2,FALSE)</f>
        <v>1</v>
      </c>
      <c r="B188" s="24">
        <f t="shared" si="225"/>
        <v>1941</v>
      </c>
      <c r="C188" s="25">
        <v>15188</v>
      </c>
      <c r="D188" s="26">
        <f>VLOOKUP($C188,COS!$B$8:$H$991,3,FALSE)</f>
        <v>13357.740234375</v>
      </c>
      <c r="E188" s="24">
        <f>IF(D188&gt;=IF(MONTH($C188)=4,$C$3,IF(MONTH($C188)=5,$C$4,IF(MONTH($C188)=6,$C$5,IF(MONTH($C188)=7,$C$6,"ERROR")))),1,0)</f>
        <v>1</v>
      </c>
      <c r="F188" s="26">
        <f>VLOOKUP($C188,COS!$B$8:$H$991,7,FALSE)</f>
        <v>52.457145690917969</v>
      </c>
      <c r="G188" s="24">
        <f>IF(F188&lt;=IF(MONTH($C188)=4,$F$3,IF(MONTH($C188)=5,$F$4,IF(MONTH($C188)=6,$F$5,IF(MONTH($C188)=7,$F$6,"ERROR")))),1,0)</f>
        <v>1</v>
      </c>
      <c r="H188" s="26">
        <f>IF(J188=1,D188-$C$6,0)</f>
        <v>1357.740234375</v>
      </c>
      <c r="I188" s="26">
        <f t="shared" si="239"/>
        <v>83.484192923553721</v>
      </c>
      <c r="J188" s="24">
        <f t="shared" si="289"/>
        <v>1</v>
      </c>
      <c r="K188" s="26">
        <f>VLOOKUP($C188,COS!$B$8:$H$991,2,FALSE)</f>
        <v>4107.0615234375</v>
      </c>
      <c r="L188" s="24">
        <f t="shared" si="231"/>
        <v>1</v>
      </c>
      <c r="M188" s="24">
        <f t="shared" si="232"/>
        <v>0</v>
      </c>
      <c r="N188" s="26">
        <f>VLOOKUP($C188,COS!$B$8:$H$991,5,FALSE)</f>
        <v>1380.17529296875</v>
      </c>
      <c r="O188" s="26">
        <f t="shared" si="292"/>
        <v>84.863670906508275</v>
      </c>
      <c r="P188" s="26">
        <f>VLOOKUP($C188,COS!$B$8:$H$991,6,FALSE)</f>
        <v>2616.67822265625</v>
      </c>
      <c r="Q188" s="26">
        <f t="shared" si="293"/>
        <v>160.89327253357436</v>
      </c>
      <c r="R188" s="26">
        <f>MIN(IF(MONTH($C188)=4,$S$3,IF(MONTH($C188)=5,$S$4,IF(MONTH($C188)=6,$S$5,IF(MONTH($C188)=7,$S$6,"ERROR")))),MAX(VLOOKUP($C188,COS!$B$8:$K$991,10,FALSE)-IF(MONTH($C188)=4,$Y$3,IF(MONTH($C188)=5,$Y$4,IF(MONTH($C188)=6,$Y$5,IF(MONTH($C188)=7,$Y$6,"ERROR")))),0),MAX(VLOOKUP($C188,COS!$B$8:$K$991,9,FALSE)-IF(MONTH($C188)=4,$V$3,IF(MONTH($C188)=5,$V$4,IF(MONTH($C188)=6,$V$5,IF(MONTH($C188)=7,$V$6,"ERROR"))))-VLOOKUP($C188,COS!$B$8:$K$991,6,FALSE)/2,0))</f>
        <v>1500</v>
      </c>
      <c r="S188" s="26">
        <f t="shared" si="294"/>
        <v>92.231404958677686</v>
      </c>
      <c r="T188" s="26">
        <f t="shared" si="295"/>
        <v>215.10987667871899</v>
      </c>
      <c r="U188" s="26" t="str">
        <f>IF(VLOOKUP($C188,COS!$B$8:$I$991,8,FALSE)=1,"UWFE","IBU")</f>
        <v>IBU</v>
      </c>
      <c r="V188" s="26">
        <f t="shared" ref="V188" si="299">MIN(IF(IF($AA$3=2,AND(E188=1,G188=1,L188=1,L190=1,M188=1,U188="IBU"),AND(E188=1,G188=1,L188=1,L190=1,M188=1)),T188,0),I188)</f>
        <v>0</v>
      </c>
      <c r="W188" s="26"/>
      <c r="X188" s="26"/>
      <c r="Y188" s="26"/>
      <c r="Z188" s="26"/>
      <c r="AA188" s="26"/>
      <c r="AB188" s="33"/>
    </row>
    <row r="189" spans="1:28" x14ac:dyDescent="0.3">
      <c r="A189" s="32">
        <f>VLOOKUP(YEAR(C189),Flags!$A$13:$B$95,2,FALSE)</f>
        <v>1</v>
      </c>
      <c r="B189" s="24">
        <f t="shared" si="225"/>
        <v>1941</v>
      </c>
      <c r="C189" s="25">
        <v>15219</v>
      </c>
      <c r="D189" s="26"/>
      <c r="E189" s="24"/>
      <c r="F189" s="26"/>
      <c r="G189" s="24"/>
      <c r="H189" s="24"/>
      <c r="I189" s="26"/>
      <c r="J189" s="24"/>
      <c r="K189" s="26"/>
      <c r="L189" s="24"/>
      <c r="M189" s="24"/>
      <c r="N189" s="26"/>
      <c r="O189" s="26"/>
      <c r="P189" s="26"/>
      <c r="Q189" s="26"/>
      <c r="R189" s="26"/>
      <c r="S189" s="26"/>
      <c r="T189" s="26"/>
      <c r="U189" s="26"/>
      <c r="V189" s="26"/>
      <c r="W189" s="26">
        <f>MAX($C$7-VLOOKUP($C189,COS!$B$8:$H$991,3,FALSE),0)</f>
        <v>127.173828125</v>
      </c>
      <c r="X189" s="26">
        <f t="shared" si="245"/>
        <v>7.8196138946280991</v>
      </c>
      <c r="Y189" s="26">
        <f>VLOOKUP($C189,COS!$B$8:$H$991,4,FALSE)</f>
        <v>41.871162414550781</v>
      </c>
      <c r="Z189" s="26">
        <f t="shared" si="246"/>
        <v>2.5745574244979985</v>
      </c>
      <c r="AA189" s="26">
        <f t="shared" ref="AA189:AA193" si="300">MIN(W189,Y189)</f>
        <v>41.871162414550781</v>
      </c>
      <c r="AB189" s="33">
        <f t="shared" ref="AB189" si="301">AA189*DAY($C189)*86400/43560/1000*IF(MONTH($C189)=8,$P$3,IF(MONTH($C189)=9,$P$4,IF(MONTH($C189)=10,$P$5,IF(MONTH($C189)=11,$P$6,IF(MONTH($C189)=12,$P$7,NA())))))</f>
        <v>2.5745574244979985</v>
      </c>
    </row>
    <row r="190" spans="1:28" x14ac:dyDescent="0.3">
      <c r="A190" s="32">
        <f>VLOOKUP(YEAR(C190),Flags!$A$13:$B$95,2,FALSE)</f>
        <v>1</v>
      </c>
      <c r="B190" s="24">
        <f t="shared" si="225"/>
        <v>1941</v>
      </c>
      <c r="C190" s="25">
        <v>15249</v>
      </c>
      <c r="D190" s="26"/>
      <c r="E190" s="24"/>
      <c r="F190" s="26"/>
      <c r="G190" s="24"/>
      <c r="H190" s="24"/>
      <c r="I190" s="26"/>
      <c r="J190" s="24"/>
      <c r="K190" s="26">
        <f>VLOOKUP($C190,COS!$B$8:$H$991,2,FALSE)</f>
        <v>3115.0087890625</v>
      </c>
      <c r="L190" s="24">
        <f t="shared" ref="L190" si="302">IF(AND(K190&gt;$I$7,K190&lt;$I$8),1,0)</f>
        <v>1</v>
      </c>
      <c r="M190" s="24"/>
      <c r="N190" s="26"/>
      <c r="O190" s="26"/>
      <c r="P190" s="26"/>
      <c r="Q190" s="26"/>
      <c r="R190" s="26"/>
      <c r="S190" s="26"/>
      <c r="T190" s="26"/>
      <c r="U190" s="26"/>
      <c r="V190" s="26"/>
      <c r="W190" s="26">
        <f>MAX($C$8-VLOOKUP($C190,COS!$B$8:$H$991,3,FALSE),0)</f>
        <v>0</v>
      </c>
      <c r="X190" s="26">
        <f t="shared" si="245"/>
        <v>0</v>
      </c>
      <c r="Y190" s="26">
        <f>VLOOKUP($C190,COS!$B$8:$H$991,4,FALSE)</f>
        <v>125.05797576904297</v>
      </c>
      <c r="Z190" s="26">
        <f t="shared" si="246"/>
        <v>7.4414663267529706</v>
      </c>
      <c r="AA190" s="26">
        <f t="shared" si="300"/>
        <v>0</v>
      </c>
      <c r="AB190" s="33">
        <f t="shared" si="243"/>
        <v>0</v>
      </c>
    </row>
    <row r="191" spans="1:28" x14ac:dyDescent="0.3">
      <c r="A191" s="32">
        <f>VLOOKUP(YEAR(C191),Flags!$A$13:$B$95,2,FALSE)</f>
        <v>1</v>
      </c>
      <c r="B191" s="24">
        <f t="shared" si="225"/>
        <v>1941</v>
      </c>
      <c r="C191" s="25">
        <v>15280</v>
      </c>
      <c r="D191" s="26"/>
      <c r="E191" s="24"/>
      <c r="F191" s="26"/>
      <c r="G191" s="26"/>
      <c r="H191" s="26"/>
      <c r="I191" s="26"/>
      <c r="J191" s="26"/>
      <c r="K191" s="26"/>
      <c r="L191" s="24"/>
      <c r="M191" s="24"/>
      <c r="N191" s="26"/>
      <c r="O191" s="26"/>
      <c r="P191" s="26"/>
      <c r="Q191" s="26"/>
      <c r="R191" s="26"/>
      <c r="S191" s="26"/>
      <c r="T191" s="26"/>
      <c r="U191" s="26"/>
      <c r="V191" s="26"/>
      <c r="W191" s="26">
        <f>MAX($C$9-VLOOKUP($C191,COS!$B$8:$H$991,3,FALSE),0)</f>
        <v>0</v>
      </c>
      <c r="X191" s="26">
        <f t="shared" si="245"/>
        <v>0</v>
      </c>
      <c r="Y191" s="26">
        <f>VLOOKUP($C191,COS!$B$8:$H$991,4,FALSE)</f>
        <v>404.5906982421875</v>
      </c>
      <c r="Z191" s="26">
        <f t="shared" si="246"/>
        <v>24.877312354726239</v>
      </c>
      <c r="AA191" s="26">
        <f t="shared" si="300"/>
        <v>0</v>
      </c>
      <c r="AB191" s="33">
        <f t="shared" si="243"/>
        <v>0</v>
      </c>
    </row>
    <row r="192" spans="1:28" x14ac:dyDescent="0.3">
      <c r="A192" s="32">
        <f>VLOOKUP(YEAR(C192),Flags!$A$13:$B$95,2,FALSE)</f>
        <v>1</v>
      </c>
      <c r="B192" s="24">
        <f t="shared" si="225"/>
        <v>1941</v>
      </c>
      <c r="C192" s="25">
        <v>15310</v>
      </c>
      <c r="D192" s="26"/>
      <c r="E192" s="24"/>
      <c r="F192" s="26"/>
      <c r="G192" s="26"/>
      <c r="H192" s="26"/>
      <c r="I192" s="26"/>
      <c r="J192" s="26"/>
      <c r="K192" s="26"/>
      <c r="L192" s="24"/>
      <c r="M192" s="24"/>
      <c r="N192" s="26"/>
      <c r="O192" s="26"/>
      <c r="P192" s="26"/>
      <c r="Q192" s="26"/>
      <c r="R192" s="26"/>
      <c r="S192" s="26"/>
      <c r="T192" s="26"/>
      <c r="U192" s="26"/>
      <c r="V192" s="26"/>
      <c r="W192" s="26">
        <f>MAX($C$10-VLOOKUP($C192,COS!$B$8:$H$991,3,FALSE),0)</f>
        <v>0</v>
      </c>
      <c r="X192" s="26">
        <f t="shared" si="245"/>
        <v>0</v>
      </c>
      <c r="Y192" s="26">
        <f>VLOOKUP($C192,COS!$B$8:$H$991,4,FALSE)</f>
        <v>455.62896728515625</v>
      </c>
      <c r="Z192" s="26">
        <f t="shared" si="246"/>
        <v>27.111806317794422</v>
      </c>
      <c r="AA192" s="26">
        <f t="shared" si="300"/>
        <v>0</v>
      </c>
      <c r="AB192" s="33">
        <f t="shared" si="243"/>
        <v>0</v>
      </c>
    </row>
    <row r="193" spans="1:28" x14ac:dyDescent="0.3">
      <c r="A193" s="34">
        <f>VLOOKUP(YEAR(C193),Flags!$A$13:$B$95,2,FALSE)</f>
        <v>1</v>
      </c>
      <c r="B193" s="35">
        <f t="shared" si="225"/>
        <v>1941</v>
      </c>
      <c r="C193" s="36">
        <v>15341</v>
      </c>
      <c r="D193" s="37"/>
      <c r="E193" s="35"/>
      <c r="F193" s="37"/>
      <c r="G193" s="37"/>
      <c r="H193" s="37"/>
      <c r="I193" s="37"/>
      <c r="J193" s="37"/>
      <c r="K193" s="37"/>
      <c r="L193" s="35"/>
      <c r="M193" s="35"/>
      <c r="N193" s="37"/>
      <c r="O193" s="37"/>
      <c r="P193" s="37"/>
      <c r="Q193" s="37"/>
      <c r="R193" s="37"/>
      <c r="S193" s="37"/>
      <c r="T193" s="37"/>
      <c r="U193" s="37"/>
      <c r="V193" s="37"/>
      <c r="W193" s="37">
        <f>MAX($C$11-VLOOKUP($C193,COS!$B$8:$H$991,3,FALSE),0)</f>
        <v>0</v>
      </c>
      <c r="X193" s="37">
        <f t="shared" si="245"/>
        <v>0</v>
      </c>
      <c r="Y193" s="37">
        <f>VLOOKUP($C193,COS!$B$8:$H$991,4,FALSE)</f>
        <v>0</v>
      </c>
      <c r="Z193" s="37">
        <f t="shared" si="246"/>
        <v>0</v>
      </c>
      <c r="AA193" s="37">
        <f t="shared" si="300"/>
        <v>0</v>
      </c>
      <c r="AB193" s="38">
        <f t="shared" si="243"/>
        <v>0</v>
      </c>
    </row>
    <row r="194" spans="1:28" x14ac:dyDescent="0.3">
      <c r="A194" s="27">
        <f>VLOOKUP(YEAR(C194),Flags!$A$13:$B$95,2,FALSE)</f>
        <v>1</v>
      </c>
      <c r="B194" s="28">
        <f t="shared" si="225"/>
        <v>1942</v>
      </c>
      <c r="C194" s="29">
        <v>15461</v>
      </c>
      <c r="D194" s="30">
        <f>VLOOKUP($C194,COS!$B$8:$H$991,3,FALSE)</f>
        <v>3250</v>
      </c>
      <c r="E194" s="28">
        <f>IF(D194&gt;=IF(MONTH($C194)=4,$C$3,IF(MONTH($C194)=5,$C$4,IF(MONTH($C194)=6,$C$5,IF(MONTH($C194)=7,$C$6,"ERROR")))),1,0)</f>
        <v>0</v>
      </c>
      <c r="F194" s="30">
        <f>VLOOKUP($C194,COS!$B$8:$H$991,7,FALSE)</f>
        <v>49.696609497070313</v>
      </c>
      <c r="G194" s="28">
        <f>IF(F194&lt;=IF(MONTH($C194)=4,$F$3,IF(MONTH($C194)=5,$F$4,IF(MONTH($C194)=6,$F$5,IF(MONTH($C194)=7,$F$6,"ERROR")))),1,0)</f>
        <v>1</v>
      </c>
      <c r="H194" s="30">
        <f>IF(J194=1,D194-$C$3,0)</f>
        <v>0</v>
      </c>
      <c r="I194" s="30">
        <f t="shared" si="239"/>
        <v>0</v>
      </c>
      <c r="J194" s="28">
        <f t="shared" ref="J194:J197" si="303">IF(AND(E194=1,G194=1),1,0)</f>
        <v>0</v>
      </c>
      <c r="K194" s="30">
        <f>VLOOKUP($C194,COS!$B$8:$H$991,2,FALSE)</f>
        <v>4509.97900390625</v>
      </c>
      <c r="L194" s="28">
        <f t="shared" ref="L194" si="304">IF(K194&lt;=IF(MONTH($C194)=4,$I$3,IF(MONTH($C194)=5,$I$4,IF(MONTH($C194)=6,$I$5,IF(MONTH($C194)=7,$I$6,"ERROR")))),1,0)</f>
        <v>1</v>
      </c>
      <c r="M194" s="28">
        <f t="shared" ref="M194" si="305">VLOOKUP($A194,$L$3:$M$7,2,FALSE)</f>
        <v>0</v>
      </c>
      <c r="N194" s="30">
        <f>VLOOKUP($C194,COS!$B$8:$H$991,5,FALSE)</f>
        <v>20.96923828125</v>
      </c>
      <c r="O194" s="30">
        <f t="shared" ref="O194:O197" si="306">N194*DAY($C194)*86400/43560/1000</f>
        <v>1.2477563274793388</v>
      </c>
      <c r="P194" s="30">
        <f>VLOOKUP($C194,COS!$B$8:$H$991,6,FALSE)</f>
        <v>278.10659790039063</v>
      </c>
      <c r="Q194" s="30">
        <f t="shared" ref="Q194:Q197" si="307">P194*DAY($C194)*86400/43560/1000</f>
        <v>16.548491775891012</v>
      </c>
      <c r="R194" s="30">
        <f>MIN(IF(MONTH($C194)=4,$S$3,IF(MONTH($C194)=5,$S$4,IF(MONTH($C194)=6,$S$5,IF(MONTH($C194)=7,$S$6,"ERROR")))),MAX(VLOOKUP($C194,COS!$B$8:$K$991,10,FALSE)-IF(MONTH($C194)=4,$Y$3,IF(MONTH($C194)=5,$Y$4,IF(MONTH($C194)=6,$Y$5,IF(MONTH($C194)=7,$Y$6,"ERROR")))),0),MAX(VLOOKUP($C194,COS!$B$8:$K$991,9,FALSE)-IF(MONTH($C194)=4,$V$3,IF(MONTH($C194)=5,$V$4,IF(MONTH($C194)=6,$V$5,IF(MONTH($C194)=7,$V$6,"ERROR"))))-VLOOKUP($C194,COS!$B$8:$K$991,6,FALSE)/2,0))</f>
        <v>1500</v>
      </c>
      <c r="S194" s="30">
        <f t="shared" ref="S194:S197" si="308">R194*DAY($C194)*86400/43560/1000</f>
        <v>89.256198347107429</v>
      </c>
      <c r="T194" s="30">
        <f t="shared" ref="T194:T197" si="309">(O194+Q194)/2+S194</f>
        <v>98.154322398792601</v>
      </c>
      <c r="U194" s="30" t="str">
        <f>IF(VLOOKUP($C194,COS!$B$8:$I$991,8,FALSE)=1,"UWFE","IBU")</f>
        <v>UWFE</v>
      </c>
      <c r="V194" s="30">
        <f t="shared" ref="V194" si="310">MIN(IF(IF($AA$3=2,AND(E194=1,G194=1,L194=1,L199=1,M194=1,U194="IBU"),AND(E194=1,G194=1,L194=1,L199=1,M194=1)),T194,0),I194)</f>
        <v>0</v>
      </c>
      <c r="W194" s="30"/>
      <c r="X194" s="30"/>
      <c r="Y194" s="30"/>
      <c r="Z194" s="30"/>
      <c r="AA194" s="30"/>
      <c r="AB194" s="31"/>
    </row>
    <row r="195" spans="1:28" x14ac:dyDescent="0.3">
      <c r="A195" s="32">
        <f>VLOOKUP(YEAR(C195),Flags!$A$13:$B$95,2,FALSE)</f>
        <v>1</v>
      </c>
      <c r="B195" s="24">
        <f t="shared" si="225"/>
        <v>1942</v>
      </c>
      <c r="C195" s="25">
        <v>15492</v>
      </c>
      <c r="D195" s="26">
        <f>VLOOKUP($C195,COS!$B$8:$H$991,3,FALSE)</f>
        <v>10224.1552734375</v>
      </c>
      <c r="E195" s="24">
        <f>IF(D195&gt;=IF(MONTH($C195)=4,$C$3,IF(MONTH($C195)=5,$C$4,IF(MONTH($C195)=6,$C$5,IF(MONTH($C195)=7,$C$6,"ERROR")))),1,0)</f>
        <v>1</v>
      </c>
      <c r="F195" s="26">
        <f>VLOOKUP($C195,COS!$B$8:$H$991,7,FALSE)</f>
        <v>48.257987976074219</v>
      </c>
      <c r="G195" s="24">
        <f>IF(F195&lt;=IF(MONTH($C195)=4,$F$3,IF(MONTH($C195)=5,$F$4,IF(MONTH($C195)=6,$F$5,IF(MONTH($C195)=7,$F$6,"ERROR")))),1,0)</f>
        <v>1</v>
      </c>
      <c r="H195" s="26">
        <f>IF(J195=1,D195-$C$4,0)</f>
        <v>4224.1552734375</v>
      </c>
      <c r="I195" s="26">
        <f t="shared" si="239"/>
        <v>259.73318375516527</v>
      </c>
      <c r="J195" s="24">
        <f t="shared" si="303"/>
        <v>1</v>
      </c>
      <c r="K195" s="26">
        <f>VLOOKUP($C195,COS!$B$8:$H$991,2,FALSE)</f>
        <v>4552</v>
      </c>
      <c r="L195" s="24">
        <f t="shared" si="231"/>
        <v>1</v>
      </c>
      <c r="M195" s="24">
        <f t="shared" si="232"/>
        <v>0</v>
      </c>
      <c r="N195" s="26">
        <f>VLOOKUP($C195,COS!$B$8:$H$991,5,FALSE)</f>
        <v>528.735595703125</v>
      </c>
      <c r="O195" s="26">
        <f t="shared" si="306"/>
        <v>32.510684562241735</v>
      </c>
      <c r="P195" s="26">
        <f>VLOOKUP($C195,COS!$B$8:$H$991,6,FALSE)</f>
        <v>2076.0068359375</v>
      </c>
      <c r="Q195" s="26">
        <f t="shared" si="307"/>
        <v>127.64868478822314</v>
      </c>
      <c r="R195" s="26">
        <f>MIN(IF(MONTH($C195)=4,$S$3,IF(MONTH($C195)=5,$S$4,IF(MONTH($C195)=6,$S$5,IF(MONTH($C195)=7,$S$6,"ERROR")))),MAX(VLOOKUP($C195,COS!$B$8:$K$991,10,FALSE)-IF(MONTH($C195)=4,$Y$3,IF(MONTH($C195)=5,$Y$4,IF(MONTH($C195)=6,$Y$5,IF(MONTH($C195)=7,$Y$6,"ERROR")))),0),MAX(VLOOKUP($C195,COS!$B$8:$K$991,9,FALSE)-IF(MONTH($C195)=4,$V$3,IF(MONTH($C195)=5,$V$4,IF(MONTH($C195)=6,$V$5,IF(MONTH($C195)=7,$V$6,"ERROR"))))-VLOOKUP($C195,COS!$B$8:$K$991,6,FALSE)/2,0))</f>
        <v>1500</v>
      </c>
      <c r="S195" s="26">
        <f t="shared" si="308"/>
        <v>92.231404958677686</v>
      </c>
      <c r="T195" s="26">
        <f t="shared" si="309"/>
        <v>172.31108963391011</v>
      </c>
      <c r="U195" s="26" t="str">
        <f>IF(VLOOKUP($C195,COS!$B$8:$I$991,8,FALSE)=1,"UWFE","IBU")</f>
        <v>UWFE</v>
      </c>
      <c r="V195" s="26">
        <f t="shared" ref="V195" si="311">MIN(IF(IF($AA$3=2,AND(E195=1,G195=1,L195=1,L199=1,M195=1,U195="IBU"),AND(E195=1,G195=1,L195=1,L199=1,M195=1)),T195,0),I195)</f>
        <v>0</v>
      </c>
      <c r="W195" s="26"/>
      <c r="X195" s="26"/>
      <c r="Y195" s="26"/>
      <c r="Z195" s="26"/>
      <c r="AA195" s="26"/>
      <c r="AB195" s="33"/>
    </row>
    <row r="196" spans="1:28" x14ac:dyDescent="0.3">
      <c r="A196" s="32">
        <f>VLOOKUP(YEAR(C196),Flags!$A$13:$B$95,2,FALSE)</f>
        <v>1</v>
      </c>
      <c r="B196" s="24">
        <f t="shared" si="225"/>
        <v>1942</v>
      </c>
      <c r="C196" s="25">
        <v>15522</v>
      </c>
      <c r="D196" s="26">
        <f>VLOOKUP($C196,COS!$B$8:$H$991,3,FALSE)</f>
        <v>7711.70703125</v>
      </c>
      <c r="E196" s="24">
        <f>IF(D196&gt;=IF(MONTH($C196)=4,$C$3,IF(MONTH($C196)=5,$C$4,IF(MONTH($C196)=6,$C$5,IF(MONTH($C196)=7,$C$6,"ERROR")))),1,0)</f>
        <v>0</v>
      </c>
      <c r="F196" s="26">
        <f>VLOOKUP($C196,COS!$B$8:$H$991,7,FALSE)</f>
        <v>50.720790863037109</v>
      </c>
      <c r="G196" s="24">
        <f>IF(F196&lt;=IF(MONTH($C196)=4,$F$3,IF(MONTH($C196)=5,$F$4,IF(MONTH($C196)=6,$F$5,IF(MONTH($C196)=7,$F$6,"ERROR")))),1,0)</f>
        <v>1</v>
      </c>
      <c r="H196" s="26">
        <f>IF(J196=1,D196-$C$5,0)</f>
        <v>0</v>
      </c>
      <c r="I196" s="26">
        <f t="shared" si="239"/>
        <v>0</v>
      </c>
      <c r="J196" s="24">
        <f t="shared" si="303"/>
        <v>0</v>
      </c>
      <c r="K196" s="26">
        <f>VLOOKUP($C196,COS!$B$8:$H$991,2,FALSE)</f>
        <v>4500</v>
      </c>
      <c r="L196" s="24">
        <f t="shared" si="231"/>
        <v>1</v>
      </c>
      <c r="M196" s="24">
        <f t="shared" si="232"/>
        <v>0</v>
      </c>
      <c r="N196" s="26">
        <f>VLOOKUP($C196,COS!$B$8:$H$991,5,FALSE)</f>
        <v>1239.5582275390625</v>
      </c>
      <c r="O196" s="26">
        <f t="shared" si="306"/>
        <v>73.758836680010319</v>
      </c>
      <c r="P196" s="26">
        <f>VLOOKUP($C196,COS!$B$8:$H$991,6,FALSE)</f>
        <v>2346.177734375</v>
      </c>
      <c r="Q196" s="26">
        <f t="shared" si="307"/>
        <v>139.6072701446281</v>
      </c>
      <c r="R196" s="26">
        <f>MIN(IF(MONTH($C196)=4,$S$3,IF(MONTH($C196)=5,$S$4,IF(MONTH($C196)=6,$S$5,IF(MONTH($C196)=7,$S$6,"ERROR")))),MAX(VLOOKUP($C196,COS!$B$8:$K$991,10,FALSE)-IF(MONTH($C196)=4,$Y$3,IF(MONTH($C196)=5,$Y$4,IF(MONTH($C196)=6,$Y$5,IF(MONTH($C196)=7,$Y$6,"ERROR")))),0),MAX(VLOOKUP($C196,COS!$B$8:$K$991,9,FALSE)-IF(MONTH($C196)=4,$V$3,IF(MONTH($C196)=5,$V$4,IF(MONTH($C196)=6,$V$5,IF(MONTH($C196)=7,$V$6,"ERROR"))))-VLOOKUP($C196,COS!$B$8:$K$991,6,FALSE)/2,0))</f>
        <v>1500</v>
      </c>
      <c r="S196" s="26">
        <f t="shared" si="308"/>
        <v>89.256198347107429</v>
      </c>
      <c r="T196" s="26">
        <f t="shared" si="309"/>
        <v>195.93925175942664</v>
      </c>
      <c r="U196" s="26" t="str">
        <f>IF(VLOOKUP($C196,COS!$B$8:$I$991,8,FALSE)=1,"UWFE","IBU")</f>
        <v>UWFE</v>
      </c>
      <c r="V196" s="26">
        <f t="shared" ref="V196" si="312">MIN(IF(IF($AA$3=2,AND(E196=1,G196=1,L196=1,L199=1,M196=1,U196="IBU"),AND(E196=1,G196=1,L196=1,L199=1,M196=1)),T196,0),I196)</f>
        <v>0</v>
      </c>
      <c r="W196" s="26"/>
      <c r="X196" s="26"/>
      <c r="Y196" s="26"/>
      <c r="Z196" s="26"/>
      <c r="AA196" s="26"/>
      <c r="AB196" s="33"/>
    </row>
    <row r="197" spans="1:28" x14ac:dyDescent="0.3">
      <c r="A197" s="32">
        <f>VLOOKUP(YEAR(C197),Flags!$A$13:$B$95,2,FALSE)</f>
        <v>1</v>
      </c>
      <c r="B197" s="24">
        <f t="shared" si="225"/>
        <v>1942</v>
      </c>
      <c r="C197" s="25">
        <v>15553</v>
      </c>
      <c r="D197" s="26">
        <f>VLOOKUP($C197,COS!$B$8:$H$991,3,FALSE)</f>
        <v>12291.904296875</v>
      </c>
      <c r="E197" s="24">
        <f>IF(D197&gt;=IF(MONTH($C197)=4,$C$3,IF(MONTH($C197)=5,$C$4,IF(MONTH($C197)=6,$C$5,IF(MONTH($C197)=7,$C$6,"ERROR")))),1,0)</f>
        <v>1</v>
      </c>
      <c r="F197" s="26">
        <f>VLOOKUP($C197,COS!$B$8:$H$991,7,FALSE)</f>
        <v>51.129238128662109</v>
      </c>
      <c r="G197" s="24">
        <f>IF(F197&lt;=IF(MONTH($C197)=4,$F$3,IF(MONTH($C197)=5,$F$4,IF(MONTH($C197)=6,$F$5,IF(MONTH($C197)=7,$F$6,"ERROR")))),1,0)</f>
        <v>1</v>
      </c>
      <c r="H197" s="26">
        <f>IF(J197=1,D197-$C$6,0)</f>
        <v>291.904296875</v>
      </c>
      <c r="I197" s="26">
        <f t="shared" si="239"/>
        <v>17.948495609504132</v>
      </c>
      <c r="J197" s="24">
        <f t="shared" si="303"/>
        <v>1</v>
      </c>
      <c r="K197" s="26">
        <f>VLOOKUP($C197,COS!$B$8:$H$991,2,FALSE)</f>
        <v>3968.421142578125</v>
      </c>
      <c r="L197" s="24">
        <f t="shared" si="231"/>
        <v>1</v>
      </c>
      <c r="M197" s="24">
        <f t="shared" si="232"/>
        <v>0</v>
      </c>
      <c r="N197" s="26">
        <f>VLOOKUP($C197,COS!$B$8:$H$991,5,FALSE)</f>
        <v>1378.510009765625</v>
      </c>
      <c r="O197" s="26">
        <f t="shared" si="306"/>
        <v>84.761276633522726</v>
      </c>
      <c r="P197" s="26">
        <f>VLOOKUP($C197,COS!$B$8:$H$991,6,FALSE)</f>
        <v>2616.67822265625</v>
      </c>
      <c r="Q197" s="26">
        <f t="shared" si="307"/>
        <v>160.89327253357436</v>
      </c>
      <c r="R197" s="26">
        <f>MIN(IF(MONTH($C197)=4,$S$3,IF(MONTH($C197)=5,$S$4,IF(MONTH($C197)=6,$S$5,IF(MONTH($C197)=7,$S$6,"ERROR")))),MAX(VLOOKUP($C197,COS!$B$8:$K$991,10,FALSE)-IF(MONTH($C197)=4,$Y$3,IF(MONTH($C197)=5,$Y$4,IF(MONTH($C197)=6,$Y$5,IF(MONTH($C197)=7,$Y$6,"ERROR")))),0),MAX(VLOOKUP($C197,COS!$B$8:$K$991,9,FALSE)-IF(MONTH($C197)=4,$V$3,IF(MONTH($C197)=5,$V$4,IF(MONTH($C197)=6,$V$5,IF(MONTH($C197)=7,$V$6,"ERROR"))))-VLOOKUP($C197,COS!$B$8:$K$991,6,FALSE)/2,0))</f>
        <v>1500</v>
      </c>
      <c r="S197" s="26">
        <f t="shared" si="308"/>
        <v>92.231404958677686</v>
      </c>
      <c r="T197" s="26">
        <f t="shared" si="309"/>
        <v>215.05867954222623</v>
      </c>
      <c r="U197" s="26" t="str">
        <f>IF(VLOOKUP($C197,COS!$B$8:$I$991,8,FALSE)=1,"UWFE","IBU")</f>
        <v>IBU</v>
      </c>
      <c r="V197" s="26">
        <f t="shared" ref="V197" si="313">MIN(IF(IF($AA$3=2,AND(E197=1,G197=1,L197=1,L199=1,M197=1,U197="IBU"),AND(E197=1,G197=1,L197=1,L199=1,M197=1)),T197,0),I197)</f>
        <v>0</v>
      </c>
      <c r="W197" s="26"/>
      <c r="X197" s="26"/>
      <c r="Y197" s="26"/>
      <c r="Z197" s="26"/>
      <c r="AA197" s="26"/>
      <c r="AB197" s="33"/>
    </row>
    <row r="198" spans="1:28" x14ac:dyDescent="0.3">
      <c r="A198" s="32">
        <f>VLOOKUP(YEAR(C198),Flags!$A$13:$B$95,2,FALSE)</f>
        <v>1</v>
      </c>
      <c r="B198" s="24">
        <f t="shared" si="225"/>
        <v>1942</v>
      </c>
      <c r="C198" s="25">
        <v>15584</v>
      </c>
      <c r="D198" s="26"/>
      <c r="E198" s="24"/>
      <c r="F198" s="26"/>
      <c r="G198" s="24"/>
      <c r="H198" s="24"/>
      <c r="I198" s="26"/>
      <c r="J198" s="24"/>
      <c r="K198" s="26"/>
      <c r="L198" s="24"/>
      <c r="M198" s="24"/>
      <c r="N198" s="26"/>
      <c r="O198" s="26"/>
      <c r="P198" s="26"/>
      <c r="Q198" s="26"/>
      <c r="R198" s="26"/>
      <c r="S198" s="26"/>
      <c r="T198" s="26"/>
      <c r="U198" s="26"/>
      <c r="V198" s="26"/>
      <c r="W198" s="26">
        <f>MAX($C$7-VLOOKUP($C198,COS!$B$8:$H$991,3,FALSE),0)</f>
        <v>1123.767578125</v>
      </c>
      <c r="X198" s="26">
        <f t="shared" si="245"/>
        <v>69.097775051652889</v>
      </c>
      <c r="Y198" s="26">
        <f>VLOOKUP($C198,COS!$B$8:$H$991,4,FALSE)</f>
        <v>0</v>
      </c>
      <c r="Z198" s="26">
        <f t="shared" si="246"/>
        <v>0</v>
      </c>
      <c r="AA198" s="26">
        <f t="shared" ref="AA198:AA202" si="314">MIN(W198,Y198)</f>
        <v>0</v>
      </c>
      <c r="AB198" s="33">
        <f t="shared" ref="AB198" si="315">AA198*DAY($C198)*86400/43560/1000*IF(MONTH($C198)=8,$P$3,IF(MONTH($C198)=9,$P$4,IF(MONTH($C198)=10,$P$5,IF(MONTH($C198)=11,$P$6,IF(MONTH($C198)=12,$P$7,NA())))))</f>
        <v>0</v>
      </c>
    </row>
    <row r="199" spans="1:28" x14ac:dyDescent="0.3">
      <c r="A199" s="32">
        <f>VLOOKUP(YEAR(C199),Flags!$A$13:$B$95,2,FALSE)</f>
        <v>1</v>
      </c>
      <c r="B199" s="24">
        <f t="shared" si="225"/>
        <v>1942</v>
      </c>
      <c r="C199" s="25">
        <v>15614</v>
      </c>
      <c r="D199" s="26"/>
      <c r="E199" s="24"/>
      <c r="F199" s="26"/>
      <c r="G199" s="24"/>
      <c r="H199" s="24"/>
      <c r="I199" s="26"/>
      <c r="J199" s="24"/>
      <c r="K199" s="26">
        <f>VLOOKUP($C199,COS!$B$8:$H$991,2,FALSE)</f>
        <v>2988.85791015625</v>
      </c>
      <c r="L199" s="24">
        <f t="shared" ref="L199" si="316">IF(AND(K199&gt;$I$7,K199&lt;$I$8),1,0)</f>
        <v>1</v>
      </c>
      <c r="M199" s="24"/>
      <c r="N199" s="26"/>
      <c r="O199" s="26"/>
      <c r="P199" s="26"/>
      <c r="Q199" s="26"/>
      <c r="R199" s="26"/>
      <c r="S199" s="26"/>
      <c r="T199" s="26"/>
      <c r="U199" s="26"/>
      <c r="V199" s="26"/>
      <c r="W199" s="26">
        <f>MAX($C$8-VLOOKUP($C199,COS!$B$8:$H$991,3,FALSE),0)</f>
        <v>0</v>
      </c>
      <c r="X199" s="26">
        <f t="shared" si="245"/>
        <v>0</v>
      </c>
      <c r="Y199" s="26">
        <f>VLOOKUP($C199,COS!$B$8:$H$991,4,FALSE)</f>
        <v>0</v>
      </c>
      <c r="Z199" s="26">
        <f t="shared" si="246"/>
        <v>0</v>
      </c>
      <c r="AA199" s="26">
        <f t="shared" si="314"/>
        <v>0</v>
      </c>
      <c r="AB199" s="33">
        <f t="shared" si="243"/>
        <v>0</v>
      </c>
    </row>
    <row r="200" spans="1:28" x14ac:dyDescent="0.3">
      <c r="A200" s="32">
        <f>VLOOKUP(YEAR(C200),Flags!$A$13:$B$95,2,FALSE)</f>
        <v>1</v>
      </c>
      <c r="B200" s="24">
        <f t="shared" si="225"/>
        <v>1942</v>
      </c>
      <c r="C200" s="25">
        <v>15645</v>
      </c>
      <c r="D200" s="26"/>
      <c r="E200" s="24"/>
      <c r="F200" s="26"/>
      <c r="G200" s="26"/>
      <c r="H200" s="26"/>
      <c r="I200" s="26"/>
      <c r="J200" s="26"/>
      <c r="K200" s="26"/>
      <c r="L200" s="24"/>
      <c r="M200" s="24"/>
      <c r="N200" s="26"/>
      <c r="O200" s="26"/>
      <c r="P200" s="26"/>
      <c r="Q200" s="26"/>
      <c r="R200" s="26"/>
      <c r="S200" s="26"/>
      <c r="T200" s="26"/>
      <c r="U200" s="26"/>
      <c r="V200" s="26"/>
      <c r="W200" s="26">
        <f>MAX($C$9-VLOOKUP($C200,COS!$B$8:$H$991,3,FALSE),0)</f>
        <v>0</v>
      </c>
      <c r="X200" s="26">
        <f t="shared" si="245"/>
        <v>0</v>
      </c>
      <c r="Y200" s="26">
        <f>VLOOKUP($C200,COS!$B$8:$H$991,4,FALSE)</f>
        <v>1127.253662109375</v>
      </c>
      <c r="Z200" s="26">
        <f t="shared" si="246"/>
        <v>69.312126000774796</v>
      </c>
      <c r="AA200" s="26">
        <f t="shared" si="314"/>
        <v>0</v>
      </c>
      <c r="AB200" s="33">
        <f t="shared" si="243"/>
        <v>0</v>
      </c>
    </row>
    <row r="201" spans="1:28" x14ac:dyDescent="0.3">
      <c r="A201" s="32">
        <f>VLOOKUP(YEAR(C201),Flags!$A$13:$B$95,2,FALSE)</f>
        <v>1</v>
      </c>
      <c r="B201" s="24">
        <f t="shared" si="225"/>
        <v>1942</v>
      </c>
      <c r="C201" s="25">
        <v>15675</v>
      </c>
      <c r="D201" s="26"/>
      <c r="E201" s="24"/>
      <c r="F201" s="26"/>
      <c r="G201" s="26"/>
      <c r="H201" s="26"/>
      <c r="I201" s="26"/>
      <c r="J201" s="26"/>
      <c r="K201" s="26"/>
      <c r="L201" s="24"/>
      <c r="M201" s="24"/>
      <c r="N201" s="26"/>
      <c r="O201" s="26"/>
      <c r="P201" s="26"/>
      <c r="Q201" s="26"/>
      <c r="R201" s="26"/>
      <c r="S201" s="26"/>
      <c r="T201" s="26"/>
      <c r="U201" s="26"/>
      <c r="V201" s="26"/>
      <c r="W201" s="26">
        <f>MAX($C$10-VLOOKUP($C201,COS!$B$8:$H$991,3,FALSE),0)</f>
        <v>0</v>
      </c>
      <c r="X201" s="26">
        <f t="shared" si="245"/>
        <v>0</v>
      </c>
      <c r="Y201" s="26">
        <f>VLOOKUP($C201,COS!$B$8:$H$991,4,FALSE)</f>
        <v>1237.8724365234375</v>
      </c>
      <c r="Z201" s="26">
        <f t="shared" si="246"/>
        <v>73.658525148502065</v>
      </c>
      <c r="AA201" s="26">
        <f t="shared" si="314"/>
        <v>0</v>
      </c>
      <c r="AB201" s="33">
        <f t="shared" si="243"/>
        <v>0</v>
      </c>
    </row>
    <row r="202" spans="1:28" x14ac:dyDescent="0.3">
      <c r="A202" s="34">
        <f>VLOOKUP(YEAR(C202),Flags!$A$13:$B$95,2,FALSE)</f>
        <v>1</v>
      </c>
      <c r="B202" s="35">
        <f t="shared" si="225"/>
        <v>1942</v>
      </c>
      <c r="C202" s="36">
        <v>15706</v>
      </c>
      <c r="D202" s="37"/>
      <c r="E202" s="35"/>
      <c r="F202" s="37"/>
      <c r="G202" s="37"/>
      <c r="H202" s="37"/>
      <c r="I202" s="37"/>
      <c r="J202" s="37"/>
      <c r="K202" s="37"/>
      <c r="L202" s="35"/>
      <c r="M202" s="35"/>
      <c r="N202" s="37"/>
      <c r="O202" s="37"/>
      <c r="P202" s="37"/>
      <c r="Q202" s="37"/>
      <c r="R202" s="37"/>
      <c r="S202" s="37"/>
      <c r="T202" s="37"/>
      <c r="U202" s="37"/>
      <c r="V202" s="37"/>
      <c r="W202" s="37">
        <f>MAX($C$11-VLOOKUP($C202,COS!$B$8:$H$991,3,FALSE),0)</f>
        <v>1750</v>
      </c>
      <c r="X202" s="37">
        <f t="shared" si="245"/>
        <v>107.60330578512398</v>
      </c>
      <c r="Y202" s="37">
        <f>VLOOKUP($C202,COS!$B$8:$H$991,4,FALSE)</f>
        <v>0</v>
      </c>
      <c r="Z202" s="37">
        <f t="shared" si="246"/>
        <v>0</v>
      </c>
      <c r="AA202" s="37">
        <f t="shared" si="314"/>
        <v>0</v>
      </c>
      <c r="AB202" s="38">
        <f t="shared" si="243"/>
        <v>0</v>
      </c>
    </row>
    <row r="203" spans="1:28" x14ac:dyDescent="0.3">
      <c r="A203" s="27">
        <f>VLOOKUP(YEAR(C203),Flags!$A$13:$B$95,2,FALSE)</f>
        <v>1</v>
      </c>
      <c r="B203" s="28">
        <f t="shared" si="225"/>
        <v>1943</v>
      </c>
      <c r="C203" s="29">
        <v>15826</v>
      </c>
      <c r="D203" s="30">
        <f>VLOOKUP($C203,COS!$B$8:$H$991,3,FALSE)</f>
        <v>3750.597900390625</v>
      </c>
      <c r="E203" s="28">
        <f>IF(D203&gt;=IF(MONTH($C203)=4,$C$3,IF(MONTH($C203)=5,$C$4,IF(MONTH($C203)=6,$C$5,IF(MONTH($C203)=7,$C$6,"ERROR")))),1,0)</f>
        <v>0</v>
      </c>
      <c r="F203" s="30">
        <f>VLOOKUP($C203,COS!$B$8:$H$991,7,FALSE)</f>
        <v>50.021923065185547</v>
      </c>
      <c r="G203" s="28">
        <f>IF(F203&lt;=IF(MONTH($C203)=4,$F$3,IF(MONTH($C203)=5,$F$4,IF(MONTH($C203)=6,$F$5,IF(MONTH($C203)=7,$F$6,"ERROR")))),1,0)</f>
        <v>1</v>
      </c>
      <c r="H203" s="30">
        <f>IF(J203=1,D203-$C$3,0)</f>
        <v>0</v>
      </c>
      <c r="I203" s="30">
        <f t="shared" si="239"/>
        <v>0</v>
      </c>
      <c r="J203" s="28">
        <f t="shared" ref="J203:J206" si="317">IF(AND(E203=1,G203=1),1,0)</f>
        <v>0</v>
      </c>
      <c r="K203" s="30">
        <f>VLOOKUP($C203,COS!$B$8:$H$991,2,FALSE)</f>
        <v>4552</v>
      </c>
      <c r="L203" s="28">
        <f t="shared" ref="L203" si="318">IF(K203&lt;=IF(MONTH($C203)=4,$I$3,IF(MONTH($C203)=5,$I$4,IF(MONTH($C203)=6,$I$5,IF(MONTH($C203)=7,$I$6,"ERROR")))),1,0)</f>
        <v>1</v>
      </c>
      <c r="M203" s="28">
        <f t="shared" ref="M203" si="319">VLOOKUP($A203,$L$3:$M$7,2,FALSE)</f>
        <v>0</v>
      </c>
      <c r="N203" s="30">
        <f>VLOOKUP($C203,COS!$B$8:$H$991,5,FALSE)</f>
        <v>242.15982055664063</v>
      </c>
      <c r="O203" s="30">
        <f t="shared" ref="O203:O206" si="320">N203*DAY($C203)*86400/43560/1000</f>
        <v>14.409509983535642</v>
      </c>
      <c r="P203" s="30">
        <f>VLOOKUP($C203,COS!$B$8:$H$991,6,FALSE)</f>
        <v>409.699951171875</v>
      </c>
      <c r="Q203" s="30">
        <f t="shared" ref="Q203:Q206" si="321">P203*DAY($C203)*86400/43560/1000</f>
        <v>24.378840069731407</v>
      </c>
      <c r="R203" s="30">
        <f>MIN(IF(MONTH($C203)=4,$S$3,IF(MONTH($C203)=5,$S$4,IF(MONTH($C203)=6,$S$5,IF(MONTH($C203)=7,$S$6,"ERROR")))),MAX(VLOOKUP($C203,COS!$B$8:$K$991,10,FALSE)-IF(MONTH($C203)=4,$Y$3,IF(MONTH($C203)=5,$Y$4,IF(MONTH($C203)=6,$Y$5,IF(MONTH($C203)=7,$Y$6,"ERROR")))),0),MAX(VLOOKUP($C203,COS!$B$8:$K$991,9,FALSE)-IF(MONTH($C203)=4,$V$3,IF(MONTH($C203)=5,$V$4,IF(MONTH($C203)=6,$V$5,IF(MONTH($C203)=7,$V$6,"ERROR"))))-VLOOKUP($C203,COS!$B$8:$K$991,6,FALSE)/2,0))</f>
        <v>1500</v>
      </c>
      <c r="S203" s="30">
        <f t="shared" ref="S203:S206" si="322">R203*DAY($C203)*86400/43560/1000</f>
        <v>89.256198347107429</v>
      </c>
      <c r="T203" s="30">
        <f t="shared" ref="T203:T206" si="323">(O203+Q203)/2+S203</f>
        <v>108.65037337374096</v>
      </c>
      <c r="U203" s="30" t="str">
        <f>IF(VLOOKUP($C203,COS!$B$8:$I$991,8,FALSE)=1,"UWFE","IBU")</f>
        <v>UWFE</v>
      </c>
      <c r="V203" s="30">
        <f t="shared" ref="V203" si="324">MIN(IF(IF($AA$3=2,AND(E203=1,G203=1,L203=1,L208=1,M203=1,U203="IBU"),AND(E203=1,G203=1,L203=1,L208=1,M203=1)),T203,0),I203)</f>
        <v>0</v>
      </c>
      <c r="W203" s="30"/>
      <c r="X203" s="30"/>
      <c r="Y203" s="30"/>
      <c r="Z203" s="30"/>
      <c r="AA203" s="30"/>
      <c r="AB203" s="31"/>
    </row>
    <row r="204" spans="1:28" x14ac:dyDescent="0.3">
      <c r="A204" s="32">
        <f>VLOOKUP(YEAR(C204),Flags!$A$13:$B$95,2,FALSE)</f>
        <v>1</v>
      </c>
      <c r="B204" s="24">
        <f t="shared" si="225"/>
        <v>1943</v>
      </c>
      <c r="C204" s="25">
        <v>15857</v>
      </c>
      <c r="D204" s="26">
        <f>VLOOKUP($C204,COS!$B$8:$H$991,3,FALSE)</f>
        <v>7166.14208984375</v>
      </c>
      <c r="E204" s="24">
        <f>IF(D204&gt;=IF(MONTH($C204)=4,$C$3,IF(MONTH($C204)=5,$C$4,IF(MONTH($C204)=6,$C$5,IF(MONTH($C204)=7,$C$6,"ERROR")))),1,0)</f>
        <v>1</v>
      </c>
      <c r="F204" s="26">
        <f>VLOOKUP($C204,COS!$B$8:$H$991,7,FALSE)</f>
        <v>50.632198333740234</v>
      </c>
      <c r="G204" s="24">
        <f>IF(F204&lt;=IF(MONTH($C204)=4,$F$3,IF(MONTH($C204)=5,$F$4,IF(MONTH($C204)=6,$F$5,IF(MONTH($C204)=7,$F$6,"ERROR")))),1,0)</f>
        <v>1</v>
      </c>
      <c r="H204" s="26">
        <f>IF(J204=1,D204-$C$4,0)</f>
        <v>1166.14208984375</v>
      </c>
      <c r="I204" s="26">
        <f t="shared" si="239"/>
        <v>71.703282218491736</v>
      </c>
      <c r="J204" s="24">
        <f t="shared" si="317"/>
        <v>1</v>
      </c>
      <c r="K204" s="26">
        <f>VLOOKUP($C204,COS!$B$8:$H$991,2,FALSE)</f>
        <v>4552</v>
      </c>
      <c r="L204" s="24">
        <f t="shared" si="231"/>
        <v>1</v>
      </c>
      <c r="M204" s="24">
        <f t="shared" si="232"/>
        <v>0</v>
      </c>
      <c r="N204" s="26">
        <f>VLOOKUP($C204,COS!$B$8:$H$991,5,FALSE)</f>
        <v>758.106201171875</v>
      </c>
      <c r="O204" s="26">
        <f t="shared" si="320"/>
        <v>46.614133361311985</v>
      </c>
      <c r="P204" s="26">
        <f>VLOOKUP($C204,COS!$B$8:$H$991,6,FALSE)</f>
        <v>2288.578369140625</v>
      </c>
      <c r="Q204" s="26">
        <f t="shared" si="321"/>
        <v>140.71919889591942</v>
      </c>
      <c r="R204" s="26">
        <f>MIN(IF(MONTH($C204)=4,$S$3,IF(MONTH($C204)=5,$S$4,IF(MONTH($C204)=6,$S$5,IF(MONTH($C204)=7,$S$6,"ERROR")))),MAX(VLOOKUP($C204,COS!$B$8:$K$991,10,FALSE)-IF(MONTH($C204)=4,$Y$3,IF(MONTH($C204)=5,$Y$4,IF(MONTH($C204)=6,$Y$5,IF(MONTH($C204)=7,$Y$6,"ERROR")))),0),MAX(VLOOKUP($C204,COS!$B$8:$K$991,9,FALSE)-IF(MONTH($C204)=4,$V$3,IF(MONTH($C204)=5,$V$4,IF(MONTH($C204)=6,$V$5,IF(MONTH($C204)=7,$V$6,"ERROR"))))-VLOOKUP($C204,COS!$B$8:$K$991,6,FALSE)/2,0))</f>
        <v>1500</v>
      </c>
      <c r="S204" s="26">
        <f t="shared" si="322"/>
        <v>92.231404958677686</v>
      </c>
      <c r="T204" s="26">
        <f t="shared" si="323"/>
        <v>185.89807108729337</v>
      </c>
      <c r="U204" s="26" t="str">
        <f>IF(VLOOKUP($C204,COS!$B$8:$I$991,8,FALSE)=1,"UWFE","IBU")</f>
        <v>UWFE</v>
      </c>
      <c r="V204" s="26">
        <f t="shared" ref="V204" si="325">MIN(IF(IF($AA$3=2,AND(E204=1,G204=1,L204=1,L208=1,M204=1,U204="IBU"),AND(E204=1,G204=1,L204=1,L208=1,M204=1)),T204,0),I204)</f>
        <v>0</v>
      </c>
      <c r="W204" s="26"/>
      <c r="X204" s="26"/>
      <c r="Y204" s="26"/>
      <c r="Z204" s="26"/>
      <c r="AA204" s="26"/>
      <c r="AB204" s="33"/>
    </row>
    <row r="205" spans="1:28" x14ac:dyDescent="0.3">
      <c r="A205" s="32">
        <f>VLOOKUP(YEAR(C205),Flags!$A$13:$B$95,2,FALSE)</f>
        <v>1</v>
      </c>
      <c r="B205" s="24">
        <f t="shared" si="225"/>
        <v>1943</v>
      </c>
      <c r="C205" s="25">
        <v>15887</v>
      </c>
      <c r="D205" s="26">
        <f>VLOOKUP($C205,COS!$B$8:$H$991,3,FALSE)</f>
        <v>8327.544921875</v>
      </c>
      <c r="E205" s="24">
        <f>IF(D205&gt;=IF(MONTH($C205)=4,$C$3,IF(MONTH($C205)=5,$C$4,IF(MONTH($C205)=6,$C$5,IF(MONTH($C205)=7,$C$6,"ERROR")))),1,0)</f>
        <v>0</v>
      </c>
      <c r="F205" s="26">
        <f>VLOOKUP($C205,COS!$B$8:$H$991,7,FALSE)</f>
        <v>50.935405731201172</v>
      </c>
      <c r="G205" s="24">
        <f>IF(F205&lt;=IF(MONTH($C205)=4,$F$3,IF(MONTH($C205)=5,$F$4,IF(MONTH($C205)=6,$F$5,IF(MONTH($C205)=7,$F$6,"ERROR")))),1,0)</f>
        <v>1</v>
      </c>
      <c r="H205" s="26">
        <f>IF(J205=1,D205-$C$5,0)</f>
        <v>0</v>
      </c>
      <c r="I205" s="26">
        <f t="shared" si="239"/>
        <v>0</v>
      </c>
      <c r="J205" s="24">
        <f t="shared" si="317"/>
        <v>0</v>
      </c>
      <c r="K205" s="26">
        <f>VLOOKUP($C205,COS!$B$8:$H$991,2,FALSE)</f>
        <v>4340.33056640625</v>
      </c>
      <c r="L205" s="24">
        <f t="shared" si="231"/>
        <v>1</v>
      </c>
      <c r="M205" s="24">
        <f t="shared" si="232"/>
        <v>0</v>
      </c>
      <c r="N205" s="26">
        <f>VLOOKUP($C205,COS!$B$8:$H$991,5,FALSE)</f>
        <v>855.91656494140625</v>
      </c>
      <c r="O205" s="26">
        <f t="shared" si="320"/>
        <v>50.930572459323344</v>
      </c>
      <c r="P205" s="26">
        <f>VLOOKUP($C205,COS!$B$8:$H$991,6,FALSE)</f>
        <v>2263.260986328125</v>
      </c>
      <c r="Q205" s="26">
        <f t="shared" si="321"/>
        <v>134.67338100464875</v>
      </c>
      <c r="R205" s="26">
        <f>MIN(IF(MONTH($C205)=4,$S$3,IF(MONTH($C205)=5,$S$4,IF(MONTH($C205)=6,$S$5,IF(MONTH($C205)=7,$S$6,"ERROR")))),MAX(VLOOKUP($C205,COS!$B$8:$K$991,10,FALSE)-IF(MONTH($C205)=4,$Y$3,IF(MONTH($C205)=5,$Y$4,IF(MONTH($C205)=6,$Y$5,IF(MONTH($C205)=7,$Y$6,"ERROR")))),0),MAX(VLOOKUP($C205,COS!$B$8:$K$991,9,FALSE)-IF(MONTH($C205)=4,$V$3,IF(MONTH($C205)=5,$V$4,IF(MONTH($C205)=6,$V$5,IF(MONTH($C205)=7,$V$6,"ERROR"))))-VLOOKUP($C205,COS!$B$8:$K$991,6,FALSE)/2,0))</f>
        <v>1500</v>
      </c>
      <c r="S205" s="26">
        <f t="shared" si="322"/>
        <v>89.256198347107429</v>
      </c>
      <c r="T205" s="26">
        <f t="shared" si="323"/>
        <v>182.05817507909347</v>
      </c>
      <c r="U205" s="26" t="str">
        <f>IF(VLOOKUP($C205,COS!$B$8:$I$991,8,FALSE)=1,"UWFE","IBU")</f>
        <v>UWFE</v>
      </c>
      <c r="V205" s="26">
        <f t="shared" ref="V205" si="326">MIN(IF(IF($AA$3=2,AND(E205=1,G205=1,L205=1,L208=1,M205=1,U205="IBU"),AND(E205=1,G205=1,L205=1,L208=1,M205=1)),T205,0),I205)</f>
        <v>0</v>
      </c>
      <c r="W205" s="26"/>
      <c r="X205" s="26"/>
      <c r="Y205" s="26"/>
      <c r="Z205" s="26"/>
      <c r="AA205" s="26"/>
      <c r="AB205" s="33"/>
    </row>
    <row r="206" spans="1:28" x14ac:dyDescent="0.3">
      <c r="A206" s="32">
        <f>VLOOKUP(YEAR(C206),Flags!$A$13:$B$95,2,FALSE)</f>
        <v>1</v>
      </c>
      <c r="B206" s="24">
        <f t="shared" si="225"/>
        <v>1943</v>
      </c>
      <c r="C206" s="25">
        <v>15918</v>
      </c>
      <c r="D206" s="26">
        <f>VLOOKUP($C206,COS!$B$8:$H$991,3,FALSE)</f>
        <v>16000</v>
      </c>
      <c r="E206" s="24">
        <f>IF(D206&gt;=IF(MONTH($C206)=4,$C$3,IF(MONTH($C206)=5,$C$4,IF(MONTH($C206)=6,$C$5,IF(MONTH($C206)=7,$C$6,"ERROR")))),1,0)</f>
        <v>1</v>
      </c>
      <c r="F206" s="26">
        <f>VLOOKUP($C206,COS!$B$8:$H$991,7,FALSE)</f>
        <v>50.874599456787109</v>
      </c>
      <c r="G206" s="24">
        <f>IF(F206&lt;=IF(MONTH($C206)=4,$F$3,IF(MONTH($C206)=5,$F$4,IF(MONTH($C206)=6,$F$5,IF(MONTH($C206)=7,$F$6,"ERROR")))),1,0)</f>
        <v>1</v>
      </c>
      <c r="H206" s="26">
        <f>IF(J206=1,D206-$C$6,0)</f>
        <v>4000</v>
      </c>
      <c r="I206" s="26">
        <f t="shared" si="239"/>
        <v>245.95041322314049</v>
      </c>
      <c r="J206" s="24">
        <f t="shared" si="317"/>
        <v>1</v>
      </c>
      <c r="K206" s="26">
        <f>VLOOKUP($C206,COS!$B$8:$H$991,2,FALSE)</f>
        <v>3628.526611328125</v>
      </c>
      <c r="L206" s="24">
        <f t="shared" si="231"/>
        <v>1</v>
      </c>
      <c r="M206" s="24">
        <f t="shared" si="232"/>
        <v>0</v>
      </c>
      <c r="N206" s="26">
        <f>VLOOKUP($C206,COS!$B$8:$H$991,5,FALSE)</f>
        <v>941.12457275390625</v>
      </c>
      <c r="O206" s="26">
        <f t="shared" si="320"/>
        <v>57.867494390818699</v>
      </c>
      <c r="P206" s="26">
        <f>VLOOKUP($C206,COS!$B$8:$H$991,6,FALSE)</f>
        <v>2607.468505859375</v>
      </c>
      <c r="Q206" s="26">
        <f t="shared" si="321"/>
        <v>160.32698912060951</v>
      </c>
      <c r="R206" s="26">
        <f>MIN(IF(MONTH($C206)=4,$S$3,IF(MONTH($C206)=5,$S$4,IF(MONTH($C206)=6,$S$5,IF(MONTH($C206)=7,$S$6,"ERROR")))),MAX(VLOOKUP($C206,COS!$B$8:$K$991,10,FALSE)-IF(MONTH($C206)=4,$Y$3,IF(MONTH($C206)=5,$Y$4,IF(MONTH($C206)=6,$Y$5,IF(MONTH($C206)=7,$Y$6,"ERROR")))),0),MAX(VLOOKUP($C206,COS!$B$8:$K$991,9,FALSE)-IF(MONTH($C206)=4,$V$3,IF(MONTH($C206)=5,$V$4,IF(MONTH($C206)=6,$V$5,IF(MONTH($C206)=7,$V$6,"ERROR"))))-VLOOKUP($C206,COS!$B$8:$K$991,6,FALSE)/2,0))</f>
        <v>1500</v>
      </c>
      <c r="S206" s="26">
        <f t="shared" si="322"/>
        <v>92.231404958677686</v>
      </c>
      <c r="T206" s="26">
        <f t="shared" si="323"/>
        <v>201.32864671439179</v>
      </c>
      <c r="U206" s="26" t="str">
        <f>IF(VLOOKUP($C206,COS!$B$8:$I$991,8,FALSE)=1,"UWFE","IBU")</f>
        <v>IBU</v>
      </c>
      <c r="V206" s="26">
        <f t="shared" ref="V206" si="327">MIN(IF(IF($AA$3=2,AND(E206=1,G206=1,L206=1,L208=1,M206=1,U206="IBU"),AND(E206=1,G206=1,L206=1,L208=1,M206=1)),T206,0),I206)</f>
        <v>0</v>
      </c>
      <c r="W206" s="26"/>
      <c r="X206" s="26"/>
      <c r="Y206" s="26"/>
      <c r="Z206" s="26"/>
      <c r="AA206" s="26"/>
      <c r="AB206" s="33"/>
    </row>
    <row r="207" spans="1:28" x14ac:dyDescent="0.3">
      <c r="A207" s="32">
        <f>VLOOKUP(YEAR(C207),Flags!$A$13:$B$95,2,FALSE)</f>
        <v>1</v>
      </c>
      <c r="B207" s="24">
        <f t="shared" ref="B207:B270" si="328">YEAR(C207)</f>
        <v>1943</v>
      </c>
      <c r="C207" s="25">
        <v>15949</v>
      </c>
      <c r="D207" s="26"/>
      <c r="E207" s="24"/>
      <c r="F207" s="26"/>
      <c r="G207" s="24"/>
      <c r="H207" s="24"/>
      <c r="I207" s="26"/>
      <c r="J207" s="24"/>
      <c r="K207" s="26"/>
      <c r="L207" s="24"/>
      <c r="M207" s="24"/>
      <c r="N207" s="26"/>
      <c r="O207" s="26"/>
      <c r="P207" s="26"/>
      <c r="Q207" s="26"/>
      <c r="R207" s="26"/>
      <c r="S207" s="26"/>
      <c r="T207" s="26"/>
      <c r="U207" s="26"/>
      <c r="V207" s="26"/>
      <c r="W207" s="26">
        <f>MAX($C$7-VLOOKUP($C207,COS!$B$8:$H$991,3,FALSE),0)</f>
        <v>575.7412109375</v>
      </c>
      <c r="X207" s="26">
        <f t="shared" si="245"/>
        <v>35.400947184917356</v>
      </c>
      <c r="Y207" s="26">
        <f>VLOOKUP($C207,COS!$B$8:$H$991,4,FALSE)</f>
        <v>301.35446166992188</v>
      </c>
      <c r="Z207" s="26">
        <f t="shared" si="246"/>
        <v>18.529563593588584</v>
      </c>
      <c r="AA207" s="26">
        <f t="shared" ref="AA207:AA211" si="329">MIN(W207,Y207)</f>
        <v>301.35446166992188</v>
      </c>
      <c r="AB207" s="33">
        <f t="shared" ref="AB207" si="330">AA207*DAY($C207)*86400/43560/1000*IF(MONTH($C207)=8,$P$3,IF(MONTH($C207)=9,$P$4,IF(MONTH($C207)=10,$P$5,IF(MONTH($C207)=11,$P$6,IF(MONTH($C207)=12,$P$7,NA())))))</f>
        <v>18.529563593588584</v>
      </c>
    </row>
    <row r="208" spans="1:28" x14ac:dyDescent="0.3">
      <c r="A208" s="32">
        <f>VLOOKUP(YEAR(C208),Flags!$A$13:$B$95,2,FALSE)</f>
        <v>1</v>
      </c>
      <c r="B208" s="24">
        <f t="shared" si="328"/>
        <v>1943</v>
      </c>
      <c r="C208" s="25">
        <v>15979</v>
      </c>
      <c r="D208" s="26"/>
      <c r="E208" s="24"/>
      <c r="F208" s="26"/>
      <c r="G208" s="24"/>
      <c r="H208" s="24"/>
      <c r="I208" s="26"/>
      <c r="J208" s="24"/>
      <c r="K208" s="26">
        <f>VLOOKUP($C208,COS!$B$8:$H$991,2,FALSE)</f>
        <v>2551.45654296875</v>
      </c>
      <c r="L208" s="24">
        <f t="shared" ref="L208" si="331">IF(AND(K208&gt;$I$7,K208&lt;$I$8),1,0)</f>
        <v>1</v>
      </c>
      <c r="M208" s="24"/>
      <c r="N208" s="26"/>
      <c r="O208" s="26"/>
      <c r="P208" s="26"/>
      <c r="Q208" s="26"/>
      <c r="R208" s="26"/>
      <c r="S208" s="26"/>
      <c r="T208" s="26"/>
      <c r="U208" s="26"/>
      <c r="V208" s="26"/>
      <c r="W208" s="26">
        <f>MAX($C$8-VLOOKUP($C208,COS!$B$8:$H$991,3,FALSE),0)</f>
        <v>0</v>
      </c>
      <c r="X208" s="26">
        <f t="shared" si="245"/>
        <v>0</v>
      </c>
      <c r="Y208" s="26">
        <f>VLOOKUP($C208,COS!$B$8:$H$991,4,FALSE)</f>
        <v>0</v>
      </c>
      <c r="Z208" s="26">
        <f t="shared" si="246"/>
        <v>0</v>
      </c>
      <c r="AA208" s="26">
        <f t="shared" si="329"/>
        <v>0</v>
      </c>
      <c r="AB208" s="33">
        <f t="shared" si="243"/>
        <v>0</v>
      </c>
    </row>
    <row r="209" spans="1:28" x14ac:dyDescent="0.3">
      <c r="A209" s="32">
        <f>VLOOKUP(YEAR(C209),Flags!$A$13:$B$95,2,FALSE)</f>
        <v>1</v>
      </c>
      <c r="B209" s="24">
        <f t="shared" si="328"/>
        <v>1943</v>
      </c>
      <c r="C209" s="25">
        <v>16010</v>
      </c>
      <c r="D209" s="26"/>
      <c r="E209" s="24"/>
      <c r="F209" s="26"/>
      <c r="G209" s="26"/>
      <c r="H209" s="26"/>
      <c r="I209" s="26"/>
      <c r="J209" s="26"/>
      <c r="K209" s="26"/>
      <c r="L209" s="24"/>
      <c r="M209" s="24"/>
      <c r="N209" s="26"/>
      <c r="O209" s="26"/>
      <c r="P209" s="26"/>
      <c r="Q209" s="26"/>
      <c r="R209" s="26"/>
      <c r="S209" s="26"/>
      <c r="T209" s="26"/>
      <c r="U209" s="26"/>
      <c r="V209" s="26"/>
      <c r="W209" s="26">
        <f>MAX($C$9-VLOOKUP($C209,COS!$B$8:$H$991,3,FALSE),0)</f>
        <v>0</v>
      </c>
      <c r="X209" s="26">
        <f t="shared" si="245"/>
        <v>0</v>
      </c>
      <c r="Y209" s="26">
        <f>VLOOKUP($C209,COS!$B$8:$H$991,4,FALSE)</f>
        <v>1550.2403564453125</v>
      </c>
      <c r="Z209" s="26">
        <f t="shared" si="246"/>
        <v>95.320564065728306</v>
      </c>
      <c r="AA209" s="26">
        <f t="shared" si="329"/>
        <v>0</v>
      </c>
      <c r="AB209" s="33">
        <f t="shared" si="243"/>
        <v>0</v>
      </c>
    </row>
    <row r="210" spans="1:28" x14ac:dyDescent="0.3">
      <c r="A210" s="32">
        <f>VLOOKUP(YEAR(C210),Flags!$A$13:$B$95,2,FALSE)</f>
        <v>1</v>
      </c>
      <c r="B210" s="24">
        <f t="shared" si="328"/>
        <v>1943</v>
      </c>
      <c r="C210" s="25">
        <v>16040</v>
      </c>
      <c r="D210" s="26"/>
      <c r="E210" s="24"/>
      <c r="F210" s="26"/>
      <c r="G210" s="26"/>
      <c r="H210" s="26"/>
      <c r="I210" s="26"/>
      <c r="J210" s="26"/>
      <c r="K210" s="26"/>
      <c r="L210" s="24"/>
      <c r="M210" s="24"/>
      <c r="N210" s="26"/>
      <c r="O210" s="26"/>
      <c r="P210" s="26"/>
      <c r="Q210" s="26"/>
      <c r="R210" s="26"/>
      <c r="S210" s="26"/>
      <c r="T210" s="26"/>
      <c r="U210" s="26"/>
      <c r="V210" s="26"/>
      <c r="W210" s="26">
        <f>MAX($C$10-VLOOKUP($C210,COS!$B$8:$H$991,3,FALSE),0)</f>
        <v>0</v>
      </c>
      <c r="X210" s="26">
        <f t="shared" si="245"/>
        <v>0</v>
      </c>
      <c r="Y210" s="26">
        <f>VLOOKUP($C210,COS!$B$8:$H$991,4,FALSE)</f>
        <v>2815.150390625</v>
      </c>
      <c r="Z210" s="26">
        <f t="shared" si="246"/>
        <v>167.51308109504131</v>
      </c>
      <c r="AA210" s="26">
        <f t="shared" si="329"/>
        <v>0</v>
      </c>
      <c r="AB210" s="33">
        <f t="shared" si="243"/>
        <v>0</v>
      </c>
    </row>
    <row r="211" spans="1:28" x14ac:dyDescent="0.3">
      <c r="A211" s="34">
        <f>VLOOKUP(YEAR(C211),Flags!$A$13:$B$95,2,FALSE)</f>
        <v>1</v>
      </c>
      <c r="B211" s="35">
        <f t="shared" si="328"/>
        <v>1943</v>
      </c>
      <c r="C211" s="36">
        <v>16071</v>
      </c>
      <c r="D211" s="37"/>
      <c r="E211" s="35"/>
      <c r="F211" s="37"/>
      <c r="G211" s="37"/>
      <c r="H211" s="37"/>
      <c r="I211" s="37"/>
      <c r="J211" s="37"/>
      <c r="K211" s="37"/>
      <c r="L211" s="35"/>
      <c r="M211" s="35"/>
      <c r="N211" s="37"/>
      <c r="O211" s="37"/>
      <c r="P211" s="37"/>
      <c r="Q211" s="37"/>
      <c r="R211" s="37"/>
      <c r="S211" s="37"/>
      <c r="T211" s="37"/>
      <c r="U211" s="37"/>
      <c r="V211" s="37"/>
      <c r="W211" s="37">
        <f>MAX($C$11-VLOOKUP($C211,COS!$B$8:$H$991,3,FALSE),0)</f>
        <v>1709.677978515625</v>
      </c>
      <c r="X211" s="37">
        <f t="shared" si="245"/>
        <v>105.12400132360538</v>
      </c>
      <c r="Y211" s="37">
        <f>VLOOKUP($C211,COS!$B$8:$H$991,4,FALSE)</f>
        <v>40.252571105957031</v>
      </c>
      <c r="Z211" s="37">
        <f t="shared" si="246"/>
        <v>2.4750341242009943</v>
      </c>
      <c r="AA211" s="37">
        <f t="shared" si="329"/>
        <v>40.252571105957031</v>
      </c>
      <c r="AB211" s="38">
        <f t="shared" si="243"/>
        <v>2.4750341242009943</v>
      </c>
    </row>
    <row r="212" spans="1:28" x14ac:dyDescent="0.3">
      <c r="A212" s="27">
        <f>VLOOKUP(YEAR(C212),Flags!$A$13:$B$95,2,FALSE)</f>
        <v>4</v>
      </c>
      <c r="B212" s="28">
        <f t="shared" si="328"/>
        <v>1944</v>
      </c>
      <c r="C212" s="29">
        <v>16192</v>
      </c>
      <c r="D212" s="30">
        <f>VLOOKUP($C212,COS!$B$8:$H$991,3,FALSE)</f>
        <v>3250</v>
      </c>
      <c r="E212" s="28">
        <f>IF(D212&gt;=IF(MONTH($C212)=4,$C$3,IF(MONTH($C212)=5,$C$4,IF(MONTH($C212)=6,$C$5,IF(MONTH($C212)=7,$C$6,"ERROR")))),1,0)</f>
        <v>0</v>
      </c>
      <c r="F212" s="30">
        <f>VLOOKUP($C212,COS!$B$8:$H$991,7,FALSE)</f>
        <v>50.606151580810547</v>
      </c>
      <c r="G212" s="28">
        <f>IF(F212&lt;=IF(MONTH($C212)=4,$F$3,IF(MONTH($C212)=5,$F$4,IF(MONTH($C212)=6,$F$5,IF(MONTH($C212)=7,$F$6,"ERROR")))),1,0)</f>
        <v>1</v>
      </c>
      <c r="H212" s="30">
        <f>IF(J212=1,D212-$C$3,0)</f>
        <v>0</v>
      </c>
      <c r="I212" s="30">
        <f t="shared" si="239"/>
        <v>0</v>
      </c>
      <c r="J212" s="28">
        <f t="shared" ref="J212:J215" si="332">IF(AND(E212=1,G212=1),1,0)</f>
        <v>0</v>
      </c>
      <c r="K212" s="30">
        <f>VLOOKUP($C212,COS!$B$8:$H$991,2,FALSE)</f>
        <v>3187.75537109375</v>
      </c>
      <c r="L212" s="28">
        <f t="shared" ref="L212:L269" si="333">IF(K212&lt;=IF(MONTH($C212)=4,$I$3,IF(MONTH($C212)=5,$I$4,IF(MONTH($C212)=6,$I$5,IF(MONTH($C212)=7,$I$6,"ERROR")))),1,0)</f>
        <v>1</v>
      </c>
      <c r="M212" s="28">
        <f t="shared" ref="M212:M269" si="334">VLOOKUP($A212,$L$3:$M$7,2,FALSE)</f>
        <v>1</v>
      </c>
      <c r="N212" s="30">
        <f>VLOOKUP($C212,COS!$B$8:$H$991,5,FALSE)</f>
        <v>104.06297302246094</v>
      </c>
      <c r="O212" s="30">
        <f t="shared" ref="O212:O215" si="335">N212*DAY($C212)*86400/43560/1000</f>
        <v>6.1921769071216426</v>
      </c>
      <c r="P212" s="30">
        <f>VLOOKUP($C212,COS!$B$8:$H$991,6,FALSE)</f>
        <v>468.96719360351563</v>
      </c>
      <c r="Q212" s="30">
        <f t="shared" ref="Q212:Q215" si="336">P212*DAY($C212)*86400/43560/1000</f>
        <v>27.905485900374483</v>
      </c>
      <c r="R212" s="30">
        <f>MIN(IF(MONTH($C212)=4,$S$3,IF(MONTH($C212)=5,$S$4,IF(MONTH($C212)=6,$S$5,IF(MONTH($C212)=7,$S$6,"ERROR")))),MAX(VLOOKUP($C212,COS!$B$8:$K$991,10,FALSE)-IF(MONTH($C212)=4,$Y$3,IF(MONTH($C212)=5,$Y$4,IF(MONTH($C212)=6,$Y$5,IF(MONTH($C212)=7,$Y$6,"ERROR")))),0),MAX(VLOOKUP($C212,COS!$B$8:$K$991,9,FALSE)-IF(MONTH($C212)=4,$V$3,IF(MONTH($C212)=5,$V$4,IF(MONTH($C212)=6,$V$5,IF(MONTH($C212)=7,$V$6,"ERROR"))))-VLOOKUP($C212,COS!$B$8:$K$991,6,FALSE)/2,0))</f>
        <v>653.14990234375</v>
      </c>
      <c r="S212" s="30">
        <f t="shared" ref="S212:S215" si="337">R212*DAY($C212)*86400/43560/1000</f>
        <v>38.865118155991738</v>
      </c>
      <c r="T212" s="30">
        <f t="shared" ref="T212:T215" si="338">(O212+Q212)/2+S212</f>
        <v>55.913949559739805</v>
      </c>
      <c r="U212" s="30" t="str">
        <f>IF(VLOOKUP($C212,COS!$B$8:$I$991,8,FALSE)=1,"UWFE","IBU")</f>
        <v>UWFE</v>
      </c>
      <c r="V212" s="30">
        <f t="shared" ref="V212" si="339">MIN(IF(IF($AA$3=2,AND(E212=1,G212=1,L212=1,L217=1,M212=1,U212="IBU"),AND(E212=1,G212=1,L212=1,L217=1,M212=1)),T212,0),I212)</f>
        <v>0</v>
      </c>
      <c r="W212" s="30"/>
      <c r="X212" s="30"/>
      <c r="Y212" s="30"/>
      <c r="Z212" s="30"/>
      <c r="AA212" s="30"/>
      <c r="AB212" s="31"/>
    </row>
    <row r="213" spans="1:28" x14ac:dyDescent="0.3">
      <c r="A213" s="32">
        <f>VLOOKUP(YEAR(C213),Flags!$A$13:$B$95,2,FALSE)</f>
        <v>4</v>
      </c>
      <c r="B213" s="24">
        <f t="shared" si="328"/>
        <v>1944</v>
      </c>
      <c r="C213" s="25">
        <v>16223</v>
      </c>
      <c r="D213" s="26">
        <f>VLOOKUP($C213,COS!$B$8:$H$991,3,FALSE)</f>
        <v>5285.6044921875</v>
      </c>
      <c r="E213" s="24">
        <f>IF(D213&gt;=IF(MONTH($C213)=4,$C$3,IF(MONTH($C213)=5,$C$4,IF(MONTH($C213)=6,$C$5,IF(MONTH($C213)=7,$C$6,"ERROR")))),1,0)</f>
        <v>0</v>
      </c>
      <c r="F213" s="26">
        <f>VLOOKUP($C213,COS!$B$8:$H$991,7,FALSE)</f>
        <v>51.930629730224609</v>
      </c>
      <c r="G213" s="24">
        <f>IF(F213&lt;=IF(MONTH($C213)=4,$F$3,IF(MONTH($C213)=5,$F$4,IF(MONTH($C213)=6,$F$5,IF(MONTH($C213)=7,$F$6,"ERROR")))),1,0)</f>
        <v>1</v>
      </c>
      <c r="H213" s="26">
        <f>IF(J213=1,D213-$C$4,0)</f>
        <v>0</v>
      </c>
      <c r="I213" s="26">
        <f t="shared" si="239"/>
        <v>0</v>
      </c>
      <c r="J213" s="24">
        <f t="shared" si="332"/>
        <v>0</v>
      </c>
      <c r="K213" s="26">
        <f>VLOOKUP($C213,COS!$B$8:$H$991,2,FALSE)</f>
        <v>3183.985107421875</v>
      </c>
      <c r="L213" s="24">
        <f t="shared" si="333"/>
        <v>1</v>
      </c>
      <c r="M213" s="24">
        <f t="shared" si="334"/>
        <v>1</v>
      </c>
      <c r="N213" s="26">
        <f>VLOOKUP($C213,COS!$B$8:$H$991,5,FALSE)</f>
        <v>20.680736541748047</v>
      </c>
      <c r="O213" s="26">
        <f t="shared" si="335"/>
        <v>1.2716089245504583</v>
      </c>
      <c r="P213" s="26">
        <f>VLOOKUP($C213,COS!$B$8:$H$991,6,FALSE)</f>
        <v>2024.68505859375</v>
      </c>
      <c r="Q213" s="26">
        <f t="shared" si="336"/>
        <v>124.49303170196281</v>
      </c>
      <c r="R213" s="26">
        <f>MIN(IF(MONTH($C213)=4,$S$3,IF(MONTH($C213)=5,$S$4,IF(MONTH($C213)=6,$S$5,IF(MONTH($C213)=7,$S$6,"ERROR")))),MAX(VLOOKUP($C213,COS!$B$8:$K$991,10,FALSE)-IF(MONTH($C213)=4,$Y$3,IF(MONTH($C213)=5,$Y$4,IF(MONTH($C213)=6,$Y$5,IF(MONTH($C213)=7,$Y$6,"ERROR")))),0),MAX(VLOOKUP($C213,COS!$B$8:$K$991,9,FALSE)-IF(MONTH($C213)=4,$V$3,IF(MONTH($C213)=5,$V$4,IF(MONTH($C213)=6,$V$5,IF(MONTH($C213)=7,$V$6,"ERROR"))))-VLOOKUP($C213,COS!$B$8:$K$991,6,FALSE)/2,0))</f>
        <v>1042.197265625</v>
      </c>
      <c r="S213" s="26">
        <f t="shared" si="337"/>
        <v>64.082212035123959</v>
      </c>
      <c r="T213" s="26">
        <f t="shared" si="338"/>
        <v>126.9645323483806</v>
      </c>
      <c r="U213" s="26" t="str">
        <f>IF(VLOOKUP($C213,COS!$B$8:$I$991,8,FALSE)=1,"UWFE","IBU")</f>
        <v>UWFE</v>
      </c>
      <c r="V213" s="26">
        <f t="shared" ref="V213" si="340">MIN(IF(IF($AA$3=2,AND(E213=1,G213=1,L213=1,L217=1,M213=1,U213="IBU"),AND(E213=1,G213=1,L213=1,L217=1,M213=1)),T213,0),I213)</f>
        <v>0</v>
      </c>
      <c r="W213" s="26"/>
      <c r="X213" s="26"/>
      <c r="Y213" s="26"/>
      <c r="Z213" s="26"/>
      <c r="AA213" s="26"/>
      <c r="AB213" s="33"/>
    </row>
    <row r="214" spans="1:28" x14ac:dyDescent="0.3">
      <c r="A214" s="32">
        <f>VLOOKUP(YEAR(C214),Flags!$A$13:$B$95,2,FALSE)</f>
        <v>4</v>
      </c>
      <c r="B214" s="24">
        <f t="shared" si="328"/>
        <v>1944</v>
      </c>
      <c r="C214" s="25">
        <v>16253</v>
      </c>
      <c r="D214" s="26">
        <f>VLOOKUP($C214,COS!$B$8:$H$991,3,FALSE)</f>
        <v>9979.68359375</v>
      </c>
      <c r="E214" s="24">
        <f>IF(D214&gt;=IF(MONTH($C214)=4,$C$3,IF(MONTH($C214)=5,$C$4,IF(MONTH($C214)=6,$C$5,IF(MONTH($C214)=7,$C$6,"ERROR")))),1,0)</f>
        <v>0</v>
      </c>
      <c r="F214" s="26">
        <f>VLOOKUP($C214,COS!$B$8:$H$991,7,FALSE)</f>
        <v>51.431163787841797</v>
      </c>
      <c r="G214" s="24">
        <f>IF(F214&lt;=IF(MONTH($C214)=4,$F$3,IF(MONTH($C214)=5,$F$4,IF(MONTH($C214)=6,$F$5,IF(MONTH($C214)=7,$F$6,"ERROR")))),1,0)</f>
        <v>1</v>
      </c>
      <c r="H214" s="26">
        <f>IF(J214=1,D214-$C$5,0)</f>
        <v>0</v>
      </c>
      <c r="I214" s="26">
        <f t="shared" si="239"/>
        <v>0</v>
      </c>
      <c r="J214" s="24">
        <f t="shared" si="332"/>
        <v>0</v>
      </c>
      <c r="K214" s="26">
        <f>VLOOKUP($C214,COS!$B$8:$H$991,2,FALSE)</f>
        <v>2883.628662109375</v>
      </c>
      <c r="L214" s="24">
        <f t="shared" si="333"/>
        <v>1</v>
      </c>
      <c r="M214" s="24">
        <f t="shared" si="334"/>
        <v>1</v>
      </c>
      <c r="N214" s="26">
        <f>VLOOKUP($C214,COS!$B$8:$H$991,5,FALSE)</f>
        <v>231.61277770996094</v>
      </c>
      <c r="O214" s="26">
        <f t="shared" si="335"/>
        <v>13.781917351336519</v>
      </c>
      <c r="P214" s="26">
        <f>VLOOKUP($C214,COS!$B$8:$H$991,6,FALSE)</f>
        <v>2655.6513671875</v>
      </c>
      <c r="Q214" s="26">
        <f t="shared" si="336"/>
        <v>158.02223011363634</v>
      </c>
      <c r="R214" s="26">
        <f>MIN(IF(MONTH($C214)=4,$S$3,IF(MONTH($C214)=5,$S$4,IF(MONTH($C214)=6,$S$5,IF(MONTH($C214)=7,$S$6,"ERROR")))),MAX(VLOOKUP($C214,COS!$B$8:$K$991,10,FALSE)-IF(MONTH($C214)=4,$Y$3,IF(MONTH($C214)=5,$Y$4,IF(MONTH($C214)=6,$Y$5,IF(MONTH($C214)=7,$Y$6,"ERROR")))),0),MAX(VLOOKUP($C214,COS!$B$8:$K$991,9,FALSE)-IF(MONTH($C214)=4,$V$3,IF(MONTH($C214)=5,$V$4,IF(MONTH($C214)=6,$V$5,IF(MONTH($C214)=7,$V$6,"ERROR"))))-VLOOKUP($C214,COS!$B$8:$K$991,6,FALSE)/2,0))</f>
        <v>1500</v>
      </c>
      <c r="S214" s="26">
        <f t="shared" si="337"/>
        <v>89.256198347107429</v>
      </c>
      <c r="T214" s="26">
        <f t="shared" si="338"/>
        <v>175.15827207959387</v>
      </c>
      <c r="U214" s="26" t="str">
        <f>IF(VLOOKUP($C214,COS!$B$8:$I$991,8,FALSE)=1,"UWFE","IBU")</f>
        <v>IBU</v>
      </c>
      <c r="V214" s="26">
        <f t="shared" ref="V214" si="341">MIN(IF(IF($AA$3=2,AND(E214=1,G214=1,L214=1,L217=1,M214=1,U214="IBU"),AND(E214=1,G214=1,L214=1,L217=1,M214=1)),T214,0),I214)</f>
        <v>0</v>
      </c>
      <c r="W214" s="26"/>
      <c r="X214" s="26"/>
      <c r="Y214" s="26"/>
      <c r="Z214" s="26"/>
      <c r="AA214" s="26"/>
      <c r="AB214" s="33"/>
    </row>
    <row r="215" spans="1:28" x14ac:dyDescent="0.3">
      <c r="A215" s="32">
        <f>VLOOKUP(YEAR(C215),Flags!$A$13:$B$95,2,FALSE)</f>
        <v>4</v>
      </c>
      <c r="B215" s="24">
        <f t="shared" si="328"/>
        <v>1944</v>
      </c>
      <c r="C215" s="25">
        <v>16284</v>
      </c>
      <c r="D215" s="26">
        <f>VLOOKUP($C215,COS!$B$8:$H$991,3,FALSE)</f>
        <v>11936.8037109375</v>
      </c>
      <c r="E215" s="24">
        <f>IF(D215&gt;=IF(MONTH($C215)=4,$C$3,IF(MONTH($C215)=5,$C$4,IF(MONTH($C215)=6,$C$5,IF(MONTH($C215)=7,$C$6,"ERROR")))),1,0)</f>
        <v>0</v>
      </c>
      <c r="F215" s="26">
        <f>VLOOKUP($C215,COS!$B$8:$H$991,7,FALSE)</f>
        <v>53.474411010742188</v>
      </c>
      <c r="G215" s="24">
        <f>IF(F215&lt;=IF(MONTH($C215)=4,$F$3,IF(MONTH($C215)=5,$F$4,IF(MONTH($C215)=6,$F$5,IF(MONTH($C215)=7,$F$6,"ERROR")))),1,0)</f>
        <v>1</v>
      </c>
      <c r="H215" s="26">
        <f>IF(J215=1,D215-$C$6,0)</f>
        <v>0</v>
      </c>
      <c r="I215" s="26">
        <f t="shared" ref="I215:I278" si="342">H215*DAY($C215)*86400/43560/1000</f>
        <v>0</v>
      </c>
      <c r="J215" s="24">
        <f t="shared" si="332"/>
        <v>0</v>
      </c>
      <c r="K215" s="26">
        <f>VLOOKUP($C215,COS!$B$8:$H$991,2,FALSE)</f>
        <v>2455.531494140625</v>
      </c>
      <c r="L215" s="24">
        <f t="shared" si="333"/>
        <v>1</v>
      </c>
      <c r="M215" s="24">
        <f t="shared" si="334"/>
        <v>1</v>
      </c>
      <c r="N215" s="26">
        <f>VLOOKUP($C215,COS!$B$8:$H$991,5,FALSE)</f>
        <v>264.6837158203125</v>
      </c>
      <c r="O215" s="26">
        <f t="shared" si="335"/>
        <v>16.274767319860537</v>
      </c>
      <c r="P215" s="26">
        <f>VLOOKUP($C215,COS!$B$8:$H$991,6,FALSE)</f>
        <v>2538.07568359375</v>
      </c>
      <c r="Q215" s="26">
        <f t="shared" si="336"/>
        <v>156.06019079287191</v>
      </c>
      <c r="R215" s="26">
        <f>MIN(IF(MONTH($C215)=4,$S$3,IF(MONTH($C215)=5,$S$4,IF(MONTH($C215)=6,$S$5,IF(MONTH($C215)=7,$S$6,"ERROR")))),MAX(VLOOKUP($C215,COS!$B$8:$K$991,10,FALSE)-IF(MONTH($C215)=4,$Y$3,IF(MONTH($C215)=5,$Y$4,IF(MONTH($C215)=6,$Y$5,IF(MONTH($C215)=7,$Y$6,"ERROR")))),0),MAX(VLOOKUP($C215,COS!$B$8:$K$991,9,FALSE)-IF(MONTH($C215)=4,$V$3,IF(MONTH($C215)=5,$V$4,IF(MONTH($C215)=6,$V$5,IF(MONTH($C215)=7,$V$6,"ERROR"))))-VLOOKUP($C215,COS!$B$8:$K$991,6,FALSE)/2,0))</f>
        <v>1500</v>
      </c>
      <c r="S215" s="26">
        <f t="shared" si="337"/>
        <v>92.231404958677686</v>
      </c>
      <c r="T215" s="26">
        <f t="shared" si="338"/>
        <v>178.3988840150439</v>
      </c>
      <c r="U215" s="26" t="str">
        <f>IF(VLOOKUP($C215,COS!$B$8:$I$991,8,FALSE)=1,"UWFE","IBU")</f>
        <v>IBU</v>
      </c>
      <c r="V215" s="26">
        <f t="shared" ref="V215" si="343">MIN(IF(IF($AA$3=2,AND(E215=1,G215=1,L215=1,L217=1,M215=1,U215="IBU"),AND(E215=1,G215=1,L215=1,L217=1,M215=1)),T215,0),I215)</f>
        <v>0</v>
      </c>
      <c r="W215" s="26"/>
      <c r="X215" s="26"/>
      <c r="Y215" s="26"/>
      <c r="Z215" s="26"/>
      <c r="AA215" s="26"/>
      <c r="AB215" s="33"/>
    </row>
    <row r="216" spans="1:28" x14ac:dyDescent="0.3">
      <c r="A216" s="32">
        <f>VLOOKUP(YEAR(C216),Flags!$A$13:$B$95,2,FALSE)</f>
        <v>4</v>
      </c>
      <c r="B216" s="24">
        <f t="shared" si="328"/>
        <v>1944</v>
      </c>
      <c r="C216" s="25">
        <v>16315</v>
      </c>
      <c r="D216" s="26"/>
      <c r="E216" s="24"/>
      <c r="F216" s="26"/>
      <c r="G216" s="24"/>
      <c r="H216" s="24"/>
      <c r="I216" s="26"/>
      <c r="J216" s="24"/>
      <c r="K216" s="26"/>
      <c r="L216" s="24"/>
      <c r="M216" s="24"/>
      <c r="N216" s="26"/>
      <c r="O216" s="26"/>
      <c r="P216" s="26"/>
      <c r="Q216" s="26"/>
      <c r="R216" s="26"/>
      <c r="S216" s="26"/>
      <c r="T216" s="26"/>
      <c r="U216" s="26"/>
      <c r="V216" s="26"/>
      <c r="W216" s="26">
        <f>MAX($C$7-VLOOKUP($C216,COS!$B$8:$H$991,3,FALSE),0)</f>
        <v>3195.1171875</v>
      </c>
      <c r="X216" s="26">
        <f t="shared" si="245"/>
        <v>196.46009814049586</v>
      </c>
      <c r="Y216" s="26">
        <f>VLOOKUP($C216,COS!$B$8:$H$991,4,FALSE)</f>
        <v>1479.651123046875</v>
      </c>
      <c r="Z216" s="26">
        <f t="shared" si="246"/>
        <v>90.9802012848657</v>
      </c>
      <c r="AA216" s="26">
        <f t="shared" ref="AA216:AA220" si="344">MIN(W216,Y216)</f>
        <v>1479.651123046875</v>
      </c>
      <c r="AB216" s="33">
        <f t="shared" ref="AB216:AB274" si="345">AA216*DAY($C216)*86400/43560/1000*IF(MONTH($C216)=8,$P$3,IF(MONTH($C216)=9,$P$4,IF(MONTH($C216)=10,$P$5,IF(MONTH($C216)=11,$P$6,IF(MONTH($C216)=12,$P$7,NA())))))</f>
        <v>90.9802012848657</v>
      </c>
    </row>
    <row r="217" spans="1:28" x14ac:dyDescent="0.3">
      <c r="A217" s="32">
        <f>VLOOKUP(YEAR(C217),Flags!$A$13:$B$95,2,FALSE)</f>
        <v>4</v>
      </c>
      <c r="B217" s="24">
        <f t="shared" si="328"/>
        <v>1944</v>
      </c>
      <c r="C217" s="25">
        <v>16345</v>
      </c>
      <c r="D217" s="26"/>
      <c r="E217" s="24"/>
      <c r="F217" s="26"/>
      <c r="G217" s="24"/>
      <c r="H217" s="24"/>
      <c r="I217" s="26"/>
      <c r="J217" s="24"/>
      <c r="K217" s="26">
        <f>VLOOKUP($C217,COS!$B$8:$H$991,2,FALSE)</f>
        <v>2136.83203125</v>
      </c>
      <c r="L217" s="24">
        <f t="shared" ref="L217" si="346">IF(AND(K217&gt;$I$7,K217&lt;$I$8),1,0)</f>
        <v>1</v>
      </c>
      <c r="M217" s="24"/>
      <c r="N217" s="26"/>
      <c r="O217" s="26"/>
      <c r="P217" s="26"/>
      <c r="Q217" s="26"/>
      <c r="R217" s="26"/>
      <c r="S217" s="26"/>
      <c r="T217" s="26"/>
      <c r="U217" s="26"/>
      <c r="V217" s="26"/>
      <c r="W217" s="26">
        <f>MAX($C$8-VLOOKUP($C217,COS!$B$8:$H$991,3,FALSE),0)</f>
        <v>1027.63427734375</v>
      </c>
      <c r="X217" s="26">
        <f t="shared" si="245"/>
        <v>61.14848592458678</v>
      </c>
      <c r="Y217" s="26">
        <f>VLOOKUP($C217,COS!$B$8:$H$991,4,FALSE)</f>
        <v>1451.7376708984375</v>
      </c>
      <c r="Z217" s="26">
        <f t="shared" si="246"/>
        <v>86.384390334452476</v>
      </c>
      <c r="AA217" s="26">
        <f t="shared" si="344"/>
        <v>1027.63427734375</v>
      </c>
      <c r="AB217" s="33">
        <f t="shared" si="345"/>
        <v>61.14848592458678</v>
      </c>
    </row>
    <row r="218" spans="1:28" x14ac:dyDescent="0.3">
      <c r="A218" s="32">
        <f>VLOOKUP(YEAR(C218),Flags!$A$13:$B$95,2,FALSE)</f>
        <v>4</v>
      </c>
      <c r="B218" s="24">
        <f t="shared" si="328"/>
        <v>1944</v>
      </c>
      <c r="C218" s="25">
        <v>16376</v>
      </c>
      <c r="D218" s="26"/>
      <c r="E218" s="24"/>
      <c r="F218" s="26"/>
      <c r="G218" s="26"/>
      <c r="H218" s="26"/>
      <c r="I218" s="26"/>
      <c r="J218" s="26"/>
      <c r="K218" s="26"/>
      <c r="L218" s="24"/>
      <c r="M218" s="24"/>
      <c r="N218" s="26"/>
      <c r="O218" s="26"/>
      <c r="P218" s="26"/>
      <c r="Q218" s="26"/>
      <c r="R218" s="26"/>
      <c r="S218" s="26"/>
      <c r="T218" s="26"/>
      <c r="U218" s="26"/>
      <c r="V218" s="26"/>
      <c r="W218" s="26">
        <f>MAX($C$9-VLOOKUP($C218,COS!$B$8:$H$991,3,FALSE),0)</f>
        <v>0</v>
      </c>
      <c r="X218" s="26">
        <f t="shared" si="245"/>
        <v>0</v>
      </c>
      <c r="Y218" s="26">
        <f>VLOOKUP($C218,COS!$B$8:$H$991,4,FALSE)</f>
        <v>1521.927001953125</v>
      </c>
      <c r="Z218" s="26">
        <f t="shared" si="246"/>
        <v>93.579643756456619</v>
      </c>
      <c r="AA218" s="26">
        <f t="shared" si="344"/>
        <v>0</v>
      </c>
      <c r="AB218" s="33">
        <f t="shared" si="345"/>
        <v>0</v>
      </c>
    </row>
    <row r="219" spans="1:28" x14ac:dyDescent="0.3">
      <c r="A219" s="32">
        <f>VLOOKUP(YEAR(C219),Flags!$A$13:$B$95,2,FALSE)</f>
        <v>4</v>
      </c>
      <c r="B219" s="24">
        <f t="shared" si="328"/>
        <v>1944</v>
      </c>
      <c r="C219" s="25">
        <v>16406</v>
      </c>
      <c r="D219" s="26"/>
      <c r="E219" s="24"/>
      <c r="F219" s="26"/>
      <c r="G219" s="26"/>
      <c r="H219" s="26"/>
      <c r="I219" s="26"/>
      <c r="J219" s="26"/>
      <c r="K219" s="26"/>
      <c r="L219" s="24"/>
      <c r="M219" s="24"/>
      <c r="N219" s="26"/>
      <c r="O219" s="26"/>
      <c r="P219" s="26"/>
      <c r="Q219" s="26"/>
      <c r="R219" s="26"/>
      <c r="S219" s="26"/>
      <c r="T219" s="26"/>
      <c r="U219" s="26"/>
      <c r="V219" s="26"/>
      <c r="W219" s="26">
        <f>MAX($C$10-VLOOKUP($C219,COS!$B$8:$H$991,3,FALSE),0)</f>
        <v>1750</v>
      </c>
      <c r="X219" s="26">
        <f t="shared" ref="X219:X282" si="347">W219*DAY($C219)*86400/43560/1000</f>
        <v>104.13223140495867</v>
      </c>
      <c r="Y219" s="26">
        <f>VLOOKUP($C219,COS!$B$8:$H$991,4,FALSE)</f>
        <v>0</v>
      </c>
      <c r="Z219" s="26">
        <f t="shared" ref="Z219:Z282" si="348">Y219*DAY($C219)*86400/43560/1000</f>
        <v>0</v>
      </c>
      <c r="AA219" s="26">
        <f t="shared" si="344"/>
        <v>0</v>
      </c>
      <c r="AB219" s="33">
        <f t="shared" si="345"/>
        <v>0</v>
      </c>
    </row>
    <row r="220" spans="1:28" x14ac:dyDescent="0.3">
      <c r="A220" s="34">
        <f>VLOOKUP(YEAR(C220),Flags!$A$13:$B$95,2,FALSE)</f>
        <v>4</v>
      </c>
      <c r="B220" s="35">
        <f t="shared" si="328"/>
        <v>1944</v>
      </c>
      <c r="C220" s="36">
        <v>16437</v>
      </c>
      <c r="D220" s="37"/>
      <c r="E220" s="35"/>
      <c r="F220" s="37"/>
      <c r="G220" s="37"/>
      <c r="H220" s="37"/>
      <c r="I220" s="37"/>
      <c r="J220" s="37"/>
      <c r="K220" s="37"/>
      <c r="L220" s="35"/>
      <c r="M220" s="35"/>
      <c r="N220" s="37"/>
      <c r="O220" s="37"/>
      <c r="P220" s="37"/>
      <c r="Q220" s="37"/>
      <c r="R220" s="37"/>
      <c r="S220" s="37"/>
      <c r="T220" s="37"/>
      <c r="U220" s="37"/>
      <c r="V220" s="37"/>
      <c r="W220" s="37">
        <f>MAX($C$11-VLOOKUP($C220,COS!$B$8:$H$991,3,FALSE),0)</f>
        <v>1750</v>
      </c>
      <c r="X220" s="37">
        <f t="shared" si="347"/>
        <v>107.60330578512398</v>
      </c>
      <c r="Y220" s="37">
        <f>VLOOKUP($C220,COS!$B$8:$H$991,4,FALSE)</f>
        <v>2511.267822265625</v>
      </c>
      <c r="Z220" s="37">
        <f t="shared" si="348"/>
        <v>154.41183965005163</v>
      </c>
      <c r="AA220" s="37">
        <f t="shared" si="344"/>
        <v>1750</v>
      </c>
      <c r="AB220" s="38">
        <f t="shared" si="345"/>
        <v>107.60330578512398</v>
      </c>
    </row>
    <row r="221" spans="1:28" x14ac:dyDescent="0.3">
      <c r="A221" s="27">
        <f>VLOOKUP(YEAR(C221),Flags!$A$13:$B$95,2,FALSE)</f>
        <v>3</v>
      </c>
      <c r="B221" s="28">
        <f t="shared" si="328"/>
        <v>1945</v>
      </c>
      <c r="C221" s="29">
        <v>16557</v>
      </c>
      <c r="D221" s="30">
        <f>VLOOKUP($C221,COS!$B$8:$H$991,3,FALSE)</f>
        <v>3250</v>
      </c>
      <c r="E221" s="28">
        <f>IF(D221&gt;=IF(MONTH($C221)=4,$C$3,IF(MONTH($C221)=5,$C$4,IF(MONTH($C221)=6,$C$5,IF(MONTH($C221)=7,$C$6,"ERROR")))),1,0)</f>
        <v>0</v>
      </c>
      <c r="F221" s="30">
        <f>VLOOKUP($C221,COS!$B$8:$H$991,7,FALSE)</f>
        <v>50.669651031494141</v>
      </c>
      <c r="G221" s="28">
        <f>IF(F221&lt;=IF(MONTH($C221)=4,$F$3,IF(MONTH($C221)=5,$F$4,IF(MONTH($C221)=6,$F$5,IF(MONTH($C221)=7,$F$6,"ERROR")))),1,0)</f>
        <v>1</v>
      </c>
      <c r="H221" s="30">
        <f>IF(J221=1,D221-$C$3,0)</f>
        <v>0</v>
      </c>
      <c r="I221" s="30">
        <f t="shared" si="342"/>
        <v>0</v>
      </c>
      <c r="J221" s="28">
        <f t="shared" ref="J221:J224" si="349">IF(AND(E221=1,G221=1),1,0)</f>
        <v>0</v>
      </c>
      <c r="K221" s="30">
        <f>VLOOKUP($C221,COS!$B$8:$H$991,2,FALSE)</f>
        <v>4155.40673828125</v>
      </c>
      <c r="L221" s="28">
        <f t="shared" ref="L221" si="350">IF(K221&lt;=IF(MONTH($C221)=4,$I$3,IF(MONTH($C221)=5,$I$4,IF(MONTH($C221)=6,$I$5,IF(MONTH($C221)=7,$I$6,"ERROR")))),1,0)</f>
        <v>1</v>
      </c>
      <c r="M221" s="28">
        <f t="shared" ref="M221" si="351">VLOOKUP($A221,$L$3:$M$7,2,FALSE)</f>
        <v>0</v>
      </c>
      <c r="N221" s="30">
        <f>VLOOKUP($C221,COS!$B$8:$H$991,5,FALSE)</f>
        <v>245.70526123046875</v>
      </c>
      <c r="O221" s="30">
        <f t="shared" ref="O221:O224" si="352">N221*DAY($C221)*86400/43560/1000</f>
        <v>14.620478354209711</v>
      </c>
      <c r="P221" s="30">
        <f>VLOOKUP($C221,COS!$B$8:$H$991,6,FALSE)</f>
        <v>453.39697265625</v>
      </c>
      <c r="Q221" s="30">
        <f t="shared" ref="Q221:Q224" si="353">P221*DAY($C221)*86400/43560/1000</f>
        <v>26.978993414256198</v>
      </c>
      <c r="R221" s="30">
        <f>MIN(IF(MONTH($C221)=4,$S$3,IF(MONTH($C221)=5,$S$4,IF(MONTH($C221)=6,$S$5,IF(MONTH($C221)=7,$S$6,"ERROR")))),MAX(VLOOKUP($C221,COS!$B$8:$K$991,10,FALSE)-IF(MONTH($C221)=4,$Y$3,IF(MONTH($C221)=5,$Y$4,IF(MONTH($C221)=6,$Y$5,IF(MONTH($C221)=7,$Y$6,"ERROR")))),0),MAX(VLOOKUP($C221,COS!$B$8:$K$991,9,FALSE)-IF(MONTH($C221)=4,$V$3,IF(MONTH($C221)=5,$V$4,IF(MONTH($C221)=6,$V$5,IF(MONTH($C221)=7,$V$6,"ERROR"))))-VLOOKUP($C221,COS!$B$8:$K$991,6,FALSE)/2,0))</f>
        <v>1303.249267578125</v>
      </c>
      <c r="S221" s="30">
        <f t="shared" ref="S221:S224" si="354">R221*DAY($C221)*86400/43560/1000</f>
        <v>77.548716748450417</v>
      </c>
      <c r="T221" s="30">
        <f t="shared" ref="T221:T224" si="355">(O221+Q221)/2+S221</f>
        <v>98.348452632683376</v>
      </c>
      <c r="U221" s="30" t="str">
        <f>IF(VLOOKUP($C221,COS!$B$8:$I$991,8,FALSE)=1,"UWFE","IBU")</f>
        <v>UWFE</v>
      </c>
      <c r="V221" s="30">
        <f t="shared" ref="V221" si="356">MIN(IF(IF($AA$3=2,AND(E221=1,G221=1,L221=1,L226=1,M221=1,U221="IBU"),AND(E221=1,G221=1,L221=1,L226=1,M221=1)),T221,0),I221)</f>
        <v>0</v>
      </c>
      <c r="W221" s="30"/>
      <c r="X221" s="30"/>
      <c r="Y221" s="30"/>
      <c r="Z221" s="30"/>
      <c r="AA221" s="30"/>
      <c r="AB221" s="31"/>
    </row>
    <row r="222" spans="1:28" x14ac:dyDescent="0.3">
      <c r="A222" s="32">
        <f>VLOOKUP(YEAR(C222),Flags!$A$13:$B$95,2,FALSE)</f>
        <v>3</v>
      </c>
      <c r="B222" s="24">
        <f t="shared" si="328"/>
        <v>1945</v>
      </c>
      <c r="C222" s="25">
        <v>16588</v>
      </c>
      <c r="D222" s="26">
        <f>VLOOKUP($C222,COS!$B$8:$H$991,3,FALSE)</f>
        <v>4815.7119140625</v>
      </c>
      <c r="E222" s="24">
        <f>IF(D222&gt;=IF(MONTH($C222)=4,$C$3,IF(MONTH($C222)=5,$C$4,IF(MONTH($C222)=6,$C$5,IF(MONTH($C222)=7,$C$6,"ERROR")))),1,0)</f>
        <v>0</v>
      </c>
      <c r="F222" s="26">
        <f>VLOOKUP($C222,COS!$B$8:$H$991,7,FALSE)</f>
        <v>50.982772827148438</v>
      </c>
      <c r="G222" s="24">
        <f>IF(F222&lt;=IF(MONTH($C222)=4,$F$3,IF(MONTH($C222)=5,$F$4,IF(MONTH($C222)=6,$F$5,IF(MONTH($C222)=7,$F$6,"ERROR")))),1,0)</f>
        <v>1</v>
      </c>
      <c r="H222" s="26">
        <f>IF(J222=1,D222-$C$4,0)</f>
        <v>0</v>
      </c>
      <c r="I222" s="26">
        <f t="shared" si="342"/>
        <v>0</v>
      </c>
      <c r="J222" s="24">
        <f t="shared" si="349"/>
        <v>0</v>
      </c>
      <c r="K222" s="26">
        <f>VLOOKUP($C222,COS!$B$8:$H$991,2,FALSE)</f>
        <v>4312.3994140625</v>
      </c>
      <c r="L222" s="24">
        <f t="shared" si="333"/>
        <v>1</v>
      </c>
      <c r="M222" s="24">
        <f t="shared" si="334"/>
        <v>0</v>
      </c>
      <c r="N222" s="26">
        <f>VLOOKUP($C222,COS!$B$8:$H$991,5,FALSE)</f>
        <v>419.08834838867188</v>
      </c>
      <c r="O222" s="26">
        <f t="shared" si="352"/>
        <v>25.76873811579933</v>
      </c>
      <c r="P222" s="26">
        <f>VLOOKUP($C222,COS!$B$8:$H$991,6,FALSE)</f>
        <v>2006.53857421875</v>
      </c>
      <c r="Q222" s="26">
        <f t="shared" si="353"/>
        <v>123.37724786931818</v>
      </c>
      <c r="R222" s="26">
        <f>MIN(IF(MONTH($C222)=4,$S$3,IF(MONTH($C222)=5,$S$4,IF(MONTH($C222)=6,$S$5,IF(MONTH($C222)=7,$S$6,"ERROR")))),MAX(VLOOKUP($C222,COS!$B$8:$K$991,10,FALSE)-IF(MONTH($C222)=4,$Y$3,IF(MONTH($C222)=5,$Y$4,IF(MONTH($C222)=6,$Y$5,IF(MONTH($C222)=7,$Y$6,"ERROR")))),0),MAX(VLOOKUP($C222,COS!$B$8:$K$991,9,FALSE)-IF(MONTH($C222)=4,$V$3,IF(MONTH($C222)=5,$V$4,IF(MONTH($C222)=6,$V$5,IF(MONTH($C222)=7,$V$6,"ERROR"))))-VLOOKUP($C222,COS!$B$8:$K$991,6,FALSE)/2,0))</f>
        <v>1448.30419921875</v>
      </c>
      <c r="S222" s="26">
        <f t="shared" si="354"/>
        <v>89.05275406766529</v>
      </c>
      <c r="T222" s="26">
        <f t="shared" si="355"/>
        <v>163.62574706022406</v>
      </c>
      <c r="U222" s="26" t="str">
        <f>IF(VLOOKUP($C222,COS!$B$8:$I$991,8,FALSE)=1,"UWFE","IBU")</f>
        <v>UWFE</v>
      </c>
      <c r="V222" s="26">
        <f t="shared" ref="V222" si="357">MIN(IF(IF($AA$3=2,AND(E222=1,G222=1,L222=1,L226=1,M222=1,U222="IBU"),AND(E222=1,G222=1,L222=1,L226=1,M222=1)),T222,0),I222)</f>
        <v>0</v>
      </c>
      <c r="W222" s="26"/>
      <c r="X222" s="26"/>
      <c r="Y222" s="26"/>
      <c r="Z222" s="26"/>
      <c r="AA222" s="26"/>
      <c r="AB222" s="33"/>
    </row>
    <row r="223" spans="1:28" x14ac:dyDescent="0.3">
      <c r="A223" s="32">
        <f>VLOOKUP(YEAR(C223),Flags!$A$13:$B$95,2,FALSE)</f>
        <v>3</v>
      </c>
      <c r="B223" s="24">
        <f t="shared" si="328"/>
        <v>1945</v>
      </c>
      <c r="C223" s="25">
        <v>16618</v>
      </c>
      <c r="D223" s="26">
        <f>VLOOKUP($C223,COS!$B$8:$H$991,3,FALSE)</f>
        <v>8762.8173828125</v>
      </c>
      <c r="E223" s="24">
        <f>IF(D223&gt;=IF(MONTH($C223)=4,$C$3,IF(MONTH($C223)=5,$C$4,IF(MONTH($C223)=6,$C$5,IF(MONTH($C223)=7,$C$6,"ERROR")))),1,0)</f>
        <v>0</v>
      </c>
      <c r="F223" s="26">
        <f>VLOOKUP($C223,COS!$B$8:$H$991,7,FALSE)</f>
        <v>50.982040405273438</v>
      </c>
      <c r="G223" s="24">
        <f>IF(F223&lt;=IF(MONTH($C223)=4,$F$3,IF(MONTH($C223)=5,$F$4,IF(MONTH($C223)=6,$F$5,IF(MONTH($C223)=7,$F$6,"ERROR")))),1,0)</f>
        <v>1</v>
      </c>
      <c r="H223" s="26">
        <f>IF(J223=1,D223-$C$5,0)</f>
        <v>0</v>
      </c>
      <c r="I223" s="26">
        <f t="shared" si="342"/>
        <v>0</v>
      </c>
      <c r="J223" s="24">
        <f t="shared" si="349"/>
        <v>0</v>
      </c>
      <c r="K223" s="26">
        <f>VLOOKUP($C223,COS!$B$8:$H$991,2,FALSE)</f>
        <v>4079.3798828125</v>
      </c>
      <c r="L223" s="24">
        <f t="shared" si="333"/>
        <v>1</v>
      </c>
      <c r="M223" s="24">
        <f t="shared" si="334"/>
        <v>0</v>
      </c>
      <c r="N223" s="26">
        <f>VLOOKUP($C223,COS!$B$8:$H$991,5,FALSE)</f>
        <v>584.35906982421875</v>
      </c>
      <c r="O223" s="26">
        <f t="shared" si="352"/>
        <v>34.771779361441112</v>
      </c>
      <c r="P223" s="26">
        <f>VLOOKUP($C223,COS!$B$8:$H$991,6,FALSE)</f>
        <v>2486.4326171875</v>
      </c>
      <c r="Q223" s="26">
        <f t="shared" si="353"/>
        <v>147.9530152376033</v>
      </c>
      <c r="R223" s="26">
        <f>MIN(IF(MONTH($C223)=4,$S$3,IF(MONTH($C223)=5,$S$4,IF(MONTH($C223)=6,$S$5,IF(MONTH($C223)=7,$S$6,"ERROR")))),MAX(VLOOKUP($C223,COS!$B$8:$K$991,10,FALSE)-IF(MONTH($C223)=4,$Y$3,IF(MONTH($C223)=5,$Y$4,IF(MONTH($C223)=6,$Y$5,IF(MONTH($C223)=7,$Y$6,"ERROR")))),0),MAX(VLOOKUP($C223,COS!$B$8:$K$991,9,FALSE)-IF(MONTH($C223)=4,$V$3,IF(MONTH($C223)=5,$V$4,IF(MONTH($C223)=6,$V$5,IF(MONTH($C223)=7,$V$6,"ERROR"))))-VLOOKUP($C223,COS!$B$8:$K$991,6,FALSE)/2,0))</f>
        <v>1500</v>
      </c>
      <c r="S223" s="26">
        <f t="shared" si="354"/>
        <v>89.256198347107429</v>
      </c>
      <c r="T223" s="26">
        <f t="shared" si="355"/>
        <v>180.61859564662961</v>
      </c>
      <c r="U223" s="26" t="str">
        <f>IF(VLOOKUP($C223,COS!$B$8:$I$991,8,FALSE)=1,"UWFE","IBU")</f>
        <v>IBU</v>
      </c>
      <c r="V223" s="26">
        <f t="shared" ref="V223" si="358">MIN(IF(IF($AA$3=2,AND(E223=1,G223=1,L223=1,L226=1,M223=1,U223="IBU"),AND(E223=1,G223=1,L223=1,L226=1,M223=1)),T223,0),I223)</f>
        <v>0</v>
      </c>
      <c r="W223" s="26"/>
      <c r="X223" s="26"/>
      <c r="Y223" s="26"/>
      <c r="Z223" s="26"/>
      <c r="AA223" s="26"/>
      <c r="AB223" s="33"/>
    </row>
    <row r="224" spans="1:28" x14ac:dyDescent="0.3">
      <c r="A224" s="32">
        <f>VLOOKUP(YEAR(C224),Flags!$A$13:$B$95,2,FALSE)</f>
        <v>3</v>
      </c>
      <c r="B224" s="24">
        <f t="shared" si="328"/>
        <v>1945</v>
      </c>
      <c r="C224" s="25">
        <v>16649</v>
      </c>
      <c r="D224" s="26">
        <f>VLOOKUP($C224,COS!$B$8:$H$991,3,FALSE)</f>
        <v>13865.92578125</v>
      </c>
      <c r="E224" s="24">
        <f>IF(D224&gt;=IF(MONTH($C224)=4,$C$3,IF(MONTH($C224)=5,$C$4,IF(MONTH($C224)=6,$C$5,IF(MONTH($C224)=7,$C$6,"ERROR")))),1,0)</f>
        <v>1</v>
      </c>
      <c r="F224" s="26">
        <f>VLOOKUP($C224,COS!$B$8:$H$991,7,FALSE)</f>
        <v>50.834716796875</v>
      </c>
      <c r="G224" s="24">
        <f>IF(F224&lt;=IF(MONTH($C224)=4,$F$3,IF(MONTH($C224)=5,$F$4,IF(MONTH($C224)=6,$F$5,IF(MONTH($C224)=7,$F$6,"ERROR")))),1,0)</f>
        <v>1</v>
      </c>
      <c r="H224" s="26">
        <f>IF(J224=1,D224-$C$6,0)</f>
        <v>1865.92578125</v>
      </c>
      <c r="I224" s="26">
        <f t="shared" si="342"/>
        <v>114.73130423553718</v>
      </c>
      <c r="J224" s="24">
        <f t="shared" si="349"/>
        <v>1</v>
      </c>
      <c r="K224" s="26">
        <f>VLOOKUP($C224,COS!$B$8:$H$991,2,FALSE)</f>
        <v>3470.729248046875</v>
      </c>
      <c r="L224" s="24">
        <f t="shared" si="333"/>
        <v>1</v>
      </c>
      <c r="M224" s="24">
        <f t="shared" si="334"/>
        <v>0</v>
      </c>
      <c r="N224" s="26">
        <f>VLOOKUP($C224,COS!$B$8:$H$991,5,FALSE)</f>
        <v>726.76727294921875</v>
      </c>
      <c r="O224" s="26">
        <f t="shared" si="352"/>
        <v>44.687177774728823</v>
      </c>
      <c r="P224" s="26">
        <f>VLOOKUP($C224,COS!$B$8:$H$991,6,FALSE)</f>
        <v>2632.5888671875</v>
      </c>
      <c r="Q224" s="26">
        <f t="shared" si="353"/>
        <v>161.87157993285126</v>
      </c>
      <c r="R224" s="26">
        <f>MIN(IF(MONTH($C224)=4,$S$3,IF(MONTH($C224)=5,$S$4,IF(MONTH($C224)=6,$S$5,IF(MONTH($C224)=7,$S$6,"ERROR")))),MAX(VLOOKUP($C224,COS!$B$8:$K$991,10,FALSE)-IF(MONTH($C224)=4,$Y$3,IF(MONTH($C224)=5,$Y$4,IF(MONTH($C224)=6,$Y$5,IF(MONTH($C224)=7,$Y$6,"ERROR")))),0),MAX(VLOOKUP($C224,COS!$B$8:$K$991,9,FALSE)-IF(MONTH($C224)=4,$V$3,IF(MONTH($C224)=5,$V$4,IF(MONTH($C224)=6,$V$5,IF(MONTH($C224)=7,$V$6,"ERROR"))))-VLOOKUP($C224,COS!$B$8:$K$991,6,FALSE)/2,0))</f>
        <v>1500</v>
      </c>
      <c r="S224" s="26">
        <f t="shared" si="354"/>
        <v>92.231404958677686</v>
      </c>
      <c r="T224" s="26">
        <f t="shared" si="355"/>
        <v>195.51078381246771</v>
      </c>
      <c r="U224" s="26" t="str">
        <f>IF(VLOOKUP($C224,COS!$B$8:$I$991,8,FALSE)=1,"UWFE","IBU")</f>
        <v>IBU</v>
      </c>
      <c r="V224" s="26">
        <f t="shared" ref="V224" si="359">MIN(IF(IF($AA$3=2,AND(E224=1,G224=1,L224=1,L226=1,M224=1,U224="IBU"),AND(E224=1,G224=1,L224=1,L226=1,M224=1)),T224,0),I224)</f>
        <v>0</v>
      </c>
      <c r="W224" s="26"/>
      <c r="X224" s="26"/>
      <c r="Y224" s="26"/>
      <c r="Z224" s="26"/>
      <c r="AA224" s="26"/>
      <c r="AB224" s="33"/>
    </row>
    <row r="225" spans="1:28" x14ac:dyDescent="0.3">
      <c r="A225" s="32">
        <f>VLOOKUP(YEAR(C225),Flags!$A$13:$B$95,2,FALSE)</f>
        <v>3</v>
      </c>
      <c r="B225" s="24">
        <f t="shared" si="328"/>
        <v>1945</v>
      </c>
      <c r="C225" s="25">
        <v>16680</v>
      </c>
      <c r="D225" s="26"/>
      <c r="E225" s="24"/>
      <c r="F225" s="26"/>
      <c r="G225" s="24"/>
      <c r="H225" s="24"/>
      <c r="I225" s="26"/>
      <c r="J225" s="24"/>
      <c r="K225" s="26"/>
      <c r="L225" s="24"/>
      <c r="M225" s="24"/>
      <c r="N225" s="26"/>
      <c r="O225" s="26"/>
      <c r="P225" s="26"/>
      <c r="Q225" s="26"/>
      <c r="R225" s="26"/>
      <c r="S225" s="26"/>
      <c r="T225" s="26"/>
      <c r="U225" s="26"/>
      <c r="V225" s="26"/>
      <c r="W225" s="26">
        <f>MAX($C$7-VLOOKUP($C225,COS!$B$8:$H$991,3,FALSE),0)</f>
        <v>2107.1162109375</v>
      </c>
      <c r="X225" s="26">
        <f t="shared" si="347"/>
        <v>129.56152569731404</v>
      </c>
      <c r="Y225" s="26">
        <f>VLOOKUP($C225,COS!$B$8:$H$991,4,FALSE)</f>
        <v>465.335205078125</v>
      </c>
      <c r="Z225" s="26">
        <f t="shared" si="348"/>
        <v>28.612346494059917</v>
      </c>
      <c r="AA225" s="26">
        <f t="shared" ref="AA225:AA229" si="360">MIN(W225,Y225)</f>
        <v>465.335205078125</v>
      </c>
      <c r="AB225" s="33">
        <f t="shared" ref="AB225" si="361">AA225*DAY($C225)*86400/43560/1000*IF(MONTH($C225)=8,$P$3,IF(MONTH($C225)=9,$P$4,IF(MONTH($C225)=10,$P$5,IF(MONTH($C225)=11,$P$6,IF(MONTH($C225)=12,$P$7,NA())))))</f>
        <v>28.612346494059917</v>
      </c>
    </row>
    <row r="226" spans="1:28" x14ac:dyDescent="0.3">
      <c r="A226" s="32">
        <f>VLOOKUP(YEAR(C226),Flags!$A$13:$B$95,2,FALSE)</f>
        <v>3</v>
      </c>
      <c r="B226" s="24">
        <f t="shared" si="328"/>
        <v>1945</v>
      </c>
      <c r="C226" s="25">
        <v>16710</v>
      </c>
      <c r="D226" s="26"/>
      <c r="E226" s="24"/>
      <c r="F226" s="26"/>
      <c r="G226" s="24"/>
      <c r="H226" s="24"/>
      <c r="I226" s="26"/>
      <c r="J226" s="24"/>
      <c r="K226" s="26">
        <f>VLOOKUP($C226,COS!$B$8:$H$991,2,FALSE)</f>
        <v>2950.834716796875</v>
      </c>
      <c r="L226" s="24">
        <f t="shared" ref="L226" si="362">IF(AND(K226&gt;$I$7,K226&lt;$I$8),1,0)</f>
        <v>1</v>
      </c>
      <c r="M226" s="24"/>
      <c r="N226" s="26"/>
      <c r="O226" s="26"/>
      <c r="P226" s="26"/>
      <c r="Q226" s="26"/>
      <c r="R226" s="26"/>
      <c r="S226" s="26"/>
      <c r="T226" s="26"/>
      <c r="U226" s="26"/>
      <c r="V226" s="26"/>
      <c r="W226" s="26">
        <f>MAX($C$8-VLOOKUP($C226,COS!$B$8:$H$991,3,FALSE),0)</f>
        <v>363.61474609375</v>
      </c>
      <c r="X226" s="26">
        <f t="shared" si="347"/>
        <v>21.636579932851241</v>
      </c>
      <c r="Y226" s="26">
        <f>VLOOKUP($C226,COS!$B$8:$H$991,4,FALSE)</f>
        <v>334.24276733398438</v>
      </c>
      <c r="Z226" s="26">
        <f t="shared" si="348"/>
        <v>19.888825824832129</v>
      </c>
      <c r="AA226" s="26">
        <f t="shared" si="360"/>
        <v>334.24276733398438</v>
      </c>
      <c r="AB226" s="33">
        <f t="shared" si="345"/>
        <v>19.888825824832129</v>
      </c>
    </row>
    <row r="227" spans="1:28" x14ac:dyDescent="0.3">
      <c r="A227" s="32">
        <f>VLOOKUP(YEAR(C227),Flags!$A$13:$B$95,2,FALSE)</f>
        <v>3</v>
      </c>
      <c r="B227" s="24">
        <f t="shared" si="328"/>
        <v>1945</v>
      </c>
      <c r="C227" s="25">
        <v>16741</v>
      </c>
      <c r="D227" s="26"/>
      <c r="E227" s="24"/>
      <c r="F227" s="26"/>
      <c r="G227" s="26"/>
      <c r="H227" s="26"/>
      <c r="I227" s="26"/>
      <c r="J227" s="26"/>
      <c r="K227" s="26"/>
      <c r="L227" s="24"/>
      <c r="M227" s="24"/>
      <c r="N227" s="26"/>
      <c r="O227" s="26"/>
      <c r="P227" s="26"/>
      <c r="Q227" s="26"/>
      <c r="R227" s="26"/>
      <c r="S227" s="26"/>
      <c r="T227" s="26"/>
      <c r="U227" s="26"/>
      <c r="V227" s="26"/>
      <c r="W227" s="26">
        <f>MAX($C$9-VLOOKUP($C227,COS!$B$8:$H$991,3,FALSE),0)</f>
        <v>0</v>
      </c>
      <c r="X227" s="26">
        <f t="shared" si="347"/>
        <v>0</v>
      </c>
      <c r="Y227" s="26">
        <f>VLOOKUP($C227,COS!$B$8:$H$991,4,FALSE)</f>
        <v>526.39361572265625</v>
      </c>
      <c r="Z227" s="26">
        <f t="shared" si="348"/>
        <v>32.366681826252581</v>
      </c>
      <c r="AA227" s="26">
        <f t="shared" si="360"/>
        <v>0</v>
      </c>
      <c r="AB227" s="33">
        <f t="shared" si="345"/>
        <v>0</v>
      </c>
    </row>
    <row r="228" spans="1:28" x14ac:dyDescent="0.3">
      <c r="A228" s="32">
        <f>VLOOKUP(YEAR(C228),Flags!$A$13:$B$95,2,FALSE)</f>
        <v>3</v>
      </c>
      <c r="B228" s="24">
        <f t="shared" si="328"/>
        <v>1945</v>
      </c>
      <c r="C228" s="25">
        <v>16771</v>
      </c>
      <c r="D228" s="26"/>
      <c r="E228" s="24"/>
      <c r="F228" s="26"/>
      <c r="G228" s="26"/>
      <c r="H228" s="26"/>
      <c r="I228" s="26"/>
      <c r="J228" s="26"/>
      <c r="K228" s="26"/>
      <c r="L228" s="24"/>
      <c r="M228" s="24"/>
      <c r="N228" s="26"/>
      <c r="O228" s="26"/>
      <c r="P228" s="26"/>
      <c r="Q228" s="26"/>
      <c r="R228" s="26"/>
      <c r="S228" s="26"/>
      <c r="T228" s="26"/>
      <c r="U228" s="26"/>
      <c r="V228" s="26"/>
      <c r="W228" s="26">
        <f>MAX($C$10-VLOOKUP($C228,COS!$B$8:$H$991,3,FALSE),0)</f>
        <v>0</v>
      </c>
      <c r="X228" s="26">
        <f t="shared" si="347"/>
        <v>0</v>
      </c>
      <c r="Y228" s="26">
        <f>VLOOKUP($C228,COS!$B$8:$H$991,4,FALSE)</f>
        <v>697.87353515625</v>
      </c>
      <c r="Z228" s="26">
        <f t="shared" si="348"/>
        <v>41.526359116735541</v>
      </c>
      <c r="AA228" s="26">
        <f t="shared" si="360"/>
        <v>0</v>
      </c>
      <c r="AB228" s="33">
        <f t="shared" si="345"/>
        <v>0</v>
      </c>
    </row>
    <row r="229" spans="1:28" x14ac:dyDescent="0.3">
      <c r="A229" s="34">
        <f>VLOOKUP(YEAR(C229),Flags!$A$13:$B$95,2,FALSE)</f>
        <v>3</v>
      </c>
      <c r="B229" s="35">
        <f t="shared" si="328"/>
        <v>1945</v>
      </c>
      <c r="C229" s="36">
        <v>16802</v>
      </c>
      <c r="D229" s="37"/>
      <c r="E229" s="35"/>
      <c r="F229" s="37"/>
      <c r="G229" s="37"/>
      <c r="H229" s="37"/>
      <c r="I229" s="37"/>
      <c r="J229" s="37"/>
      <c r="K229" s="37"/>
      <c r="L229" s="35"/>
      <c r="M229" s="35"/>
      <c r="N229" s="37"/>
      <c r="O229" s="37"/>
      <c r="P229" s="37"/>
      <c r="Q229" s="37"/>
      <c r="R229" s="37"/>
      <c r="S229" s="37"/>
      <c r="T229" s="37"/>
      <c r="U229" s="37"/>
      <c r="V229" s="37"/>
      <c r="W229" s="37">
        <f>MAX($C$11-VLOOKUP($C229,COS!$B$8:$H$991,3,FALSE),0)</f>
        <v>0</v>
      </c>
      <c r="X229" s="37">
        <f t="shared" si="347"/>
        <v>0</v>
      </c>
      <c r="Y229" s="37">
        <f>VLOOKUP($C229,COS!$B$8:$H$991,4,FALSE)</f>
        <v>0</v>
      </c>
      <c r="Z229" s="37">
        <f t="shared" si="348"/>
        <v>0</v>
      </c>
      <c r="AA229" s="37">
        <f t="shared" si="360"/>
        <v>0</v>
      </c>
      <c r="AB229" s="38">
        <f t="shared" si="345"/>
        <v>0</v>
      </c>
    </row>
    <row r="230" spans="1:28" x14ac:dyDescent="0.3">
      <c r="A230" s="27">
        <f>VLOOKUP(YEAR(C230),Flags!$A$13:$B$95,2,FALSE)</f>
        <v>2</v>
      </c>
      <c r="B230" s="28">
        <f t="shared" si="328"/>
        <v>1946</v>
      </c>
      <c r="C230" s="29">
        <v>16922</v>
      </c>
      <c r="D230" s="30">
        <f>VLOOKUP($C230,COS!$B$8:$H$991,3,FALSE)</f>
        <v>4076.084716796875</v>
      </c>
      <c r="E230" s="28">
        <f>IF(D230&gt;=IF(MONTH($C230)=4,$C$3,IF(MONTH($C230)=5,$C$4,IF(MONTH($C230)=6,$C$5,IF(MONTH($C230)=7,$C$6,"ERROR")))),1,0)</f>
        <v>0</v>
      </c>
      <c r="F230" s="30">
        <f>VLOOKUP($C230,COS!$B$8:$H$991,7,FALSE)</f>
        <v>48.838871002197266</v>
      </c>
      <c r="G230" s="28">
        <f>IF(F230&lt;=IF(MONTH($C230)=4,$F$3,IF(MONTH($C230)=5,$F$4,IF(MONTH($C230)=6,$F$5,IF(MONTH($C230)=7,$F$6,"ERROR")))),1,0)</f>
        <v>1</v>
      </c>
      <c r="H230" s="30">
        <f>IF(J230=1,D230-$C$3,0)</f>
        <v>0</v>
      </c>
      <c r="I230" s="30">
        <f t="shared" si="342"/>
        <v>0</v>
      </c>
      <c r="J230" s="28">
        <f t="shared" ref="J230:J233" si="363">IF(AND(E230=1,G230=1),1,0)</f>
        <v>0</v>
      </c>
      <c r="K230" s="30">
        <f>VLOOKUP($C230,COS!$B$8:$H$991,2,FALSE)</f>
        <v>4552</v>
      </c>
      <c r="L230" s="28">
        <f t="shared" ref="L230" si="364">IF(K230&lt;=IF(MONTH($C230)=4,$I$3,IF(MONTH($C230)=5,$I$4,IF(MONTH($C230)=6,$I$5,IF(MONTH($C230)=7,$I$6,"ERROR")))),1,0)</f>
        <v>1</v>
      </c>
      <c r="M230" s="28">
        <f t="shared" ref="M230" si="365">VLOOKUP($A230,$L$3:$M$7,2,FALSE)</f>
        <v>0</v>
      </c>
      <c r="N230" s="30">
        <f>VLOOKUP($C230,COS!$B$8:$H$991,5,FALSE)</f>
        <v>571.77276611328125</v>
      </c>
      <c r="O230" s="30">
        <f t="shared" ref="O230:O233" si="366">N230*DAY($C230)*86400/43560/1000</f>
        <v>34.022842281120866</v>
      </c>
      <c r="P230" s="30">
        <f>VLOOKUP($C230,COS!$B$8:$H$991,6,FALSE)</f>
        <v>546.8182373046875</v>
      </c>
      <c r="Q230" s="30">
        <f t="shared" ref="Q230:Q233" si="367">P230*DAY($C230)*86400/43560/1000</f>
        <v>32.537944699121901</v>
      </c>
      <c r="R230" s="30">
        <f>MIN(IF(MONTH($C230)=4,$S$3,IF(MONTH($C230)=5,$S$4,IF(MONTH($C230)=6,$S$5,IF(MONTH($C230)=7,$S$6,"ERROR")))),MAX(VLOOKUP($C230,COS!$B$8:$K$991,10,FALSE)-IF(MONTH($C230)=4,$Y$3,IF(MONTH($C230)=5,$Y$4,IF(MONTH($C230)=6,$Y$5,IF(MONTH($C230)=7,$Y$6,"ERROR")))),0),MAX(VLOOKUP($C230,COS!$B$8:$K$991,9,FALSE)-IF(MONTH($C230)=4,$V$3,IF(MONTH($C230)=5,$V$4,IF(MONTH($C230)=6,$V$5,IF(MONTH($C230)=7,$V$6,"ERROR"))))-VLOOKUP($C230,COS!$B$8:$K$991,6,FALSE)/2,0))</f>
        <v>1500</v>
      </c>
      <c r="S230" s="30">
        <f t="shared" ref="S230:S233" si="368">R230*DAY($C230)*86400/43560/1000</f>
        <v>89.256198347107429</v>
      </c>
      <c r="T230" s="30">
        <f t="shared" ref="T230:T233" si="369">(O230+Q230)/2+S230</f>
        <v>122.53659183722881</v>
      </c>
      <c r="U230" s="30" t="str">
        <f>IF(VLOOKUP($C230,COS!$B$8:$I$991,8,FALSE)=1,"UWFE","IBU")</f>
        <v>UWFE</v>
      </c>
      <c r="V230" s="30">
        <f t="shared" ref="V230" si="370">MIN(IF(IF($AA$3=2,AND(E230=1,G230=1,L230=1,L235=1,M230=1,U230="IBU"),AND(E230=1,G230=1,L230=1,L235=1,M230=1)),T230,0),I230)</f>
        <v>0</v>
      </c>
      <c r="W230" s="30"/>
      <c r="X230" s="30"/>
      <c r="Y230" s="30"/>
      <c r="Z230" s="30"/>
      <c r="AA230" s="30"/>
      <c r="AB230" s="31"/>
    </row>
    <row r="231" spans="1:28" x14ac:dyDescent="0.3">
      <c r="A231" s="32">
        <f>VLOOKUP(YEAR(C231),Flags!$A$13:$B$95,2,FALSE)</f>
        <v>2</v>
      </c>
      <c r="B231" s="24">
        <f t="shared" si="328"/>
        <v>1946</v>
      </c>
      <c r="C231" s="25">
        <v>16953</v>
      </c>
      <c r="D231" s="26">
        <f>VLOOKUP($C231,COS!$B$8:$H$991,3,FALSE)</f>
        <v>7674.50244140625</v>
      </c>
      <c r="E231" s="24">
        <f>IF(D231&gt;=IF(MONTH($C231)=4,$C$3,IF(MONTH($C231)=5,$C$4,IF(MONTH($C231)=6,$C$5,IF(MONTH($C231)=7,$C$6,"ERROR")))),1,0)</f>
        <v>1</v>
      </c>
      <c r="F231" s="26">
        <f>VLOOKUP($C231,COS!$B$8:$H$991,7,FALSE)</f>
        <v>48.690444946289063</v>
      </c>
      <c r="G231" s="24">
        <f>IF(F231&lt;=IF(MONTH($C231)=4,$F$3,IF(MONTH($C231)=5,$F$4,IF(MONTH($C231)=6,$F$5,IF(MONTH($C231)=7,$F$6,"ERROR")))),1,0)</f>
        <v>1</v>
      </c>
      <c r="H231" s="26">
        <f>IF(J231=1,D231-$C$4,0)</f>
        <v>1674.50244140625</v>
      </c>
      <c r="I231" s="26">
        <f t="shared" si="342"/>
        <v>102.9611418517562</v>
      </c>
      <c r="J231" s="24">
        <f t="shared" si="363"/>
        <v>1</v>
      </c>
      <c r="K231" s="26">
        <f>VLOOKUP($C231,COS!$B$8:$H$991,2,FALSE)</f>
        <v>4470.89013671875</v>
      </c>
      <c r="L231" s="24">
        <f t="shared" si="333"/>
        <v>1</v>
      </c>
      <c r="M231" s="24">
        <f t="shared" si="334"/>
        <v>0</v>
      </c>
      <c r="N231" s="26">
        <f>VLOOKUP($C231,COS!$B$8:$H$991,5,FALSE)</f>
        <v>870.65301513671875</v>
      </c>
      <c r="O231" s="26">
        <f t="shared" si="366"/>
        <v>53.534367211712294</v>
      </c>
      <c r="P231" s="26">
        <f>VLOOKUP($C231,COS!$B$8:$H$991,6,FALSE)</f>
        <v>2245.033447265625</v>
      </c>
      <c r="Q231" s="26">
        <f t="shared" si="367"/>
        <v>138.04172601368802</v>
      </c>
      <c r="R231" s="26">
        <f>MIN(IF(MONTH($C231)=4,$S$3,IF(MONTH($C231)=5,$S$4,IF(MONTH($C231)=6,$S$5,IF(MONTH($C231)=7,$S$6,"ERROR")))),MAX(VLOOKUP($C231,COS!$B$8:$K$991,10,FALSE)-IF(MONTH($C231)=4,$Y$3,IF(MONTH($C231)=5,$Y$4,IF(MONTH($C231)=6,$Y$5,IF(MONTH($C231)=7,$Y$6,"ERROR")))),0),MAX(VLOOKUP($C231,COS!$B$8:$K$991,9,FALSE)-IF(MONTH($C231)=4,$V$3,IF(MONTH($C231)=5,$V$4,IF(MONTH($C231)=6,$V$5,IF(MONTH($C231)=7,$V$6,"ERROR"))))-VLOOKUP($C231,COS!$B$8:$K$991,6,FALSE)/2,0))</f>
        <v>1500</v>
      </c>
      <c r="S231" s="26">
        <f t="shared" si="368"/>
        <v>92.231404958677686</v>
      </c>
      <c r="T231" s="26">
        <f t="shared" si="369"/>
        <v>188.01945157137783</v>
      </c>
      <c r="U231" s="26" t="str">
        <f>IF(VLOOKUP($C231,COS!$B$8:$I$991,8,FALSE)=1,"UWFE","IBU")</f>
        <v>UWFE</v>
      </c>
      <c r="V231" s="26">
        <f t="shared" ref="V231" si="371">MIN(IF(IF($AA$3=2,AND(E231=1,G231=1,L231=1,L235=1,M231=1,U231="IBU"),AND(E231=1,G231=1,L231=1,L235=1,M231=1)),T231,0),I231)</f>
        <v>0</v>
      </c>
      <c r="W231" s="26"/>
      <c r="X231" s="26"/>
      <c r="Y231" s="26"/>
      <c r="Z231" s="26"/>
      <c r="AA231" s="26"/>
      <c r="AB231" s="33"/>
    </row>
    <row r="232" spans="1:28" x14ac:dyDescent="0.3">
      <c r="A232" s="32">
        <f>VLOOKUP(YEAR(C232),Flags!$A$13:$B$95,2,FALSE)</f>
        <v>2</v>
      </c>
      <c r="B232" s="24">
        <f t="shared" si="328"/>
        <v>1946</v>
      </c>
      <c r="C232" s="25">
        <v>16983</v>
      </c>
      <c r="D232" s="26">
        <f>VLOOKUP($C232,COS!$B$8:$H$991,3,FALSE)</f>
        <v>10991.0703125</v>
      </c>
      <c r="E232" s="24">
        <f>IF(D232&gt;=IF(MONTH($C232)=4,$C$3,IF(MONTH($C232)=5,$C$4,IF(MONTH($C232)=6,$C$5,IF(MONTH($C232)=7,$C$6,"ERROR")))),1,0)</f>
        <v>1</v>
      </c>
      <c r="F232" s="26">
        <f>VLOOKUP($C232,COS!$B$8:$H$991,7,FALSE)</f>
        <v>49.001594543457031</v>
      </c>
      <c r="G232" s="24">
        <f>IF(F232&lt;=IF(MONTH($C232)=4,$F$3,IF(MONTH($C232)=5,$F$4,IF(MONTH($C232)=6,$F$5,IF(MONTH($C232)=7,$F$6,"ERROR")))),1,0)</f>
        <v>1</v>
      </c>
      <c r="H232" s="26">
        <f>IF(J232=1,D232-$C$5,0)</f>
        <v>991.0703125</v>
      </c>
      <c r="I232" s="26">
        <f t="shared" si="342"/>
        <v>58.972778925619835</v>
      </c>
      <c r="J232" s="24">
        <f t="shared" si="363"/>
        <v>1</v>
      </c>
      <c r="K232" s="26">
        <f>VLOOKUP($C232,COS!$B$8:$H$991,2,FALSE)</f>
        <v>4054.78515625</v>
      </c>
      <c r="L232" s="24">
        <f t="shared" si="333"/>
        <v>1</v>
      </c>
      <c r="M232" s="24">
        <f t="shared" si="334"/>
        <v>0</v>
      </c>
      <c r="N232" s="26">
        <f>VLOOKUP($C232,COS!$B$8:$H$991,5,FALSE)</f>
        <v>864.298095703125</v>
      </c>
      <c r="O232" s="26">
        <f t="shared" si="366"/>
        <v>51.42930817407025</v>
      </c>
      <c r="P232" s="26">
        <f>VLOOKUP($C232,COS!$B$8:$H$991,6,FALSE)</f>
        <v>2675.089599609375</v>
      </c>
      <c r="Q232" s="26">
        <f t="shared" si="367"/>
        <v>159.1788852660124</v>
      </c>
      <c r="R232" s="26">
        <f>MIN(IF(MONTH($C232)=4,$S$3,IF(MONTH($C232)=5,$S$4,IF(MONTH($C232)=6,$S$5,IF(MONTH($C232)=7,$S$6,"ERROR")))),MAX(VLOOKUP($C232,COS!$B$8:$K$991,10,FALSE)-IF(MONTH($C232)=4,$Y$3,IF(MONTH($C232)=5,$Y$4,IF(MONTH($C232)=6,$Y$5,IF(MONTH($C232)=7,$Y$6,"ERROR")))),0),MAX(VLOOKUP($C232,COS!$B$8:$K$991,9,FALSE)-IF(MONTH($C232)=4,$V$3,IF(MONTH($C232)=5,$V$4,IF(MONTH($C232)=6,$V$5,IF(MONTH($C232)=7,$V$6,"ERROR"))))-VLOOKUP($C232,COS!$B$8:$K$991,6,FALSE)/2,0))</f>
        <v>1500</v>
      </c>
      <c r="S232" s="26">
        <f t="shared" si="368"/>
        <v>89.256198347107429</v>
      </c>
      <c r="T232" s="26">
        <f t="shared" si="369"/>
        <v>194.56029506714876</v>
      </c>
      <c r="U232" s="26" t="str">
        <f>IF(VLOOKUP($C232,COS!$B$8:$I$991,8,FALSE)=1,"UWFE","IBU")</f>
        <v>IBU</v>
      </c>
      <c r="V232" s="26">
        <f t="shared" ref="V232" si="372">MIN(IF(IF($AA$3=2,AND(E232=1,G232=1,L232=1,L235=1,M232=1,U232="IBU"),AND(E232=1,G232=1,L232=1,L235=1,M232=1)),T232,0),I232)</f>
        <v>0</v>
      </c>
      <c r="W232" s="26"/>
      <c r="X232" s="26"/>
      <c r="Y232" s="26"/>
      <c r="Z232" s="26"/>
      <c r="AA232" s="26"/>
      <c r="AB232" s="33"/>
    </row>
    <row r="233" spans="1:28" x14ac:dyDescent="0.3">
      <c r="A233" s="32">
        <f>VLOOKUP(YEAR(C233),Flags!$A$13:$B$95,2,FALSE)</f>
        <v>2</v>
      </c>
      <c r="B233" s="24">
        <f t="shared" si="328"/>
        <v>1946</v>
      </c>
      <c r="C233" s="25">
        <v>17014</v>
      </c>
      <c r="D233" s="26">
        <f>VLOOKUP($C233,COS!$B$8:$H$991,3,FALSE)</f>
        <v>16000</v>
      </c>
      <c r="E233" s="24">
        <f>IF(D233&gt;=IF(MONTH($C233)=4,$C$3,IF(MONTH($C233)=5,$C$4,IF(MONTH($C233)=6,$C$5,IF(MONTH($C233)=7,$C$6,"ERROR")))),1,0)</f>
        <v>1</v>
      </c>
      <c r="F233" s="26">
        <f>VLOOKUP($C233,COS!$B$8:$H$991,7,FALSE)</f>
        <v>49.493640899658203</v>
      </c>
      <c r="G233" s="24">
        <f>IF(F233&lt;=IF(MONTH($C233)=4,$F$3,IF(MONTH($C233)=5,$F$4,IF(MONTH($C233)=6,$F$5,IF(MONTH($C233)=7,$F$6,"ERROR")))),1,0)</f>
        <v>1</v>
      </c>
      <c r="H233" s="26">
        <f>IF(J233=1,D233-$C$6,0)</f>
        <v>4000</v>
      </c>
      <c r="I233" s="26">
        <f t="shared" si="342"/>
        <v>245.95041322314049</v>
      </c>
      <c r="J233" s="24">
        <f t="shared" si="363"/>
        <v>1</v>
      </c>
      <c r="K233" s="26">
        <f>VLOOKUP($C233,COS!$B$8:$H$991,2,FALSE)</f>
        <v>3315.635498046875</v>
      </c>
      <c r="L233" s="24">
        <f t="shared" si="333"/>
        <v>1</v>
      </c>
      <c r="M233" s="24">
        <f t="shared" si="334"/>
        <v>0</v>
      </c>
      <c r="N233" s="26">
        <f>VLOOKUP($C233,COS!$B$8:$H$991,5,FALSE)</f>
        <v>929.87835693359375</v>
      </c>
      <c r="O233" s="26">
        <f t="shared" si="366"/>
        <v>57.175991533768077</v>
      </c>
      <c r="P233" s="26">
        <f>VLOOKUP($C233,COS!$B$8:$H$991,6,FALSE)</f>
        <v>2527.75390625</v>
      </c>
      <c r="Q233" s="26">
        <f t="shared" si="367"/>
        <v>155.42552944214876</v>
      </c>
      <c r="R233" s="26">
        <f>MIN(IF(MONTH($C233)=4,$S$3,IF(MONTH($C233)=5,$S$4,IF(MONTH($C233)=6,$S$5,IF(MONTH($C233)=7,$S$6,"ERROR")))),MAX(VLOOKUP($C233,COS!$B$8:$K$991,10,FALSE)-IF(MONTH($C233)=4,$Y$3,IF(MONTH($C233)=5,$Y$4,IF(MONTH($C233)=6,$Y$5,IF(MONTH($C233)=7,$Y$6,"ERROR")))),0),MAX(VLOOKUP($C233,COS!$B$8:$K$991,9,FALSE)-IF(MONTH($C233)=4,$V$3,IF(MONTH($C233)=5,$V$4,IF(MONTH($C233)=6,$V$5,IF(MONTH($C233)=7,$V$6,"ERROR"))))-VLOOKUP($C233,COS!$B$8:$K$991,6,FALSE)/2,0))</f>
        <v>1500</v>
      </c>
      <c r="S233" s="26">
        <f t="shared" si="368"/>
        <v>92.231404958677686</v>
      </c>
      <c r="T233" s="26">
        <f t="shared" si="369"/>
        <v>198.5321654466361</v>
      </c>
      <c r="U233" s="26" t="str">
        <f>IF(VLOOKUP($C233,COS!$B$8:$I$991,8,FALSE)=1,"UWFE","IBU")</f>
        <v>IBU</v>
      </c>
      <c r="V233" s="26">
        <f t="shared" ref="V233" si="373">MIN(IF(IF($AA$3=2,AND(E233=1,G233=1,L233=1,L235=1,M233=1,U233="IBU"),AND(E233=1,G233=1,L233=1,L235=1,M233=1)),T233,0),I233)</f>
        <v>0</v>
      </c>
      <c r="W233" s="26"/>
      <c r="X233" s="26"/>
      <c r="Y233" s="26"/>
      <c r="Z233" s="26"/>
      <c r="AA233" s="26"/>
      <c r="AB233" s="33"/>
    </row>
    <row r="234" spans="1:28" x14ac:dyDescent="0.3">
      <c r="A234" s="32">
        <f>VLOOKUP(YEAR(C234),Flags!$A$13:$B$95,2,FALSE)</f>
        <v>2</v>
      </c>
      <c r="B234" s="24">
        <f t="shared" si="328"/>
        <v>1946</v>
      </c>
      <c r="C234" s="25">
        <v>17045</v>
      </c>
      <c r="D234" s="26"/>
      <c r="E234" s="24"/>
      <c r="F234" s="26"/>
      <c r="G234" s="24"/>
      <c r="H234" s="24"/>
      <c r="I234" s="26"/>
      <c r="J234" s="24"/>
      <c r="K234" s="26"/>
      <c r="L234" s="24"/>
      <c r="M234" s="24"/>
      <c r="N234" s="26"/>
      <c r="O234" s="26"/>
      <c r="P234" s="26"/>
      <c r="Q234" s="26"/>
      <c r="R234" s="26"/>
      <c r="S234" s="26"/>
      <c r="T234" s="26"/>
      <c r="U234" s="26"/>
      <c r="V234" s="26"/>
      <c r="W234" s="26">
        <f>MAX($C$7-VLOOKUP($C234,COS!$B$8:$H$991,3,FALSE),0)</f>
        <v>285.59765625</v>
      </c>
      <c r="X234" s="26">
        <f t="shared" si="347"/>
        <v>17.560715392561981</v>
      </c>
      <c r="Y234" s="26">
        <f>VLOOKUP($C234,COS!$B$8:$H$991,4,FALSE)</f>
        <v>0</v>
      </c>
      <c r="Z234" s="26">
        <f t="shared" si="348"/>
        <v>0</v>
      </c>
      <c r="AA234" s="26">
        <f t="shared" ref="AA234:AA238" si="374">MIN(W234,Y234)</f>
        <v>0</v>
      </c>
      <c r="AB234" s="33">
        <f t="shared" ref="AB234" si="375">AA234*DAY($C234)*86400/43560/1000*IF(MONTH($C234)=8,$P$3,IF(MONTH($C234)=9,$P$4,IF(MONTH($C234)=10,$P$5,IF(MONTH($C234)=11,$P$6,IF(MONTH($C234)=12,$P$7,NA())))))</f>
        <v>0</v>
      </c>
    </row>
    <row r="235" spans="1:28" x14ac:dyDescent="0.3">
      <c r="A235" s="32">
        <f>VLOOKUP(YEAR(C235),Flags!$A$13:$B$95,2,FALSE)</f>
        <v>2</v>
      </c>
      <c r="B235" s="24">
        <f t="shared" si="328"/>
        <v>1946</v>
      </c>
      <c r="C235" s="25">
        <v>17075</v>
      </c>
      <c r="D235" s="26"/>
      <c r="E235" s="24"/>
      <c r="F235" s="26"/>
      <c r="G235" s="24"/>
      <c r="H235" s="24"/>
      <c r="I235" s="26"/>
      <c r="J235" s="24"/>
      <c r="K235" s="26">
        <f>VLOOKUP($C235,COS!$B$8:$H$991,2,FALSE)</f>
        <v>2524.6171875</v>
      </c>
      <c r="L235" s="24">
        <f t="shared" ref="L235" si="376">IF(AND(K235&gt;$I$7,K235&lt;$I$8),1,0)</f>
        <v>1</v>
      </c>
      <c r="M235" s="24"/>
      <c r="N235" s="26"/>
      <c r="O235" s="26"/>
      <c r="P235" s="26"/>
      <c r="Q235" s="26"/>
      <c r="R235" s="26"/>
      <c r="S235" s="26"/>
      <c r="T235" s="26"/>
      <c r="U235" s="26"/>
      <c r="V235" s="26"/>
      <c r="W235" s="26">
        <f>MAX($C$8-VLOOKUP($C235,COS!$B$8:$H$991,3,FALSE),0)</f>
        <v>0</v>
      </c>
      <c r="X235" s="26">
        <f t="shared" si="347"/>
        <v>0</v>
      </c>
      <c r="Y235" s="26">
        <f>VLOOKUP($C235,COS!$B$8:$H$991,4,FALSE)</f>
        <v>0</v>
      </c>
      <c r="Z235" s="26">
        <f t="shared" si="348"/>
        <v>0</v>
      </c>
      <c r="AA235" s="26">
        <f t="shared" si="374"/>
        <v>0</v>
      </c>
      <c r="AB235" s="33">
        <f t="shared" si="345"/>
        <v>0</v>
      </c>
    </row>
    <row r="236" spans="1:28" x14ac:dyDescent="0.3">
      <c r="A236" s="32">
        <f>VLOOKUP(YEAR(C236),Flags!$A$13:$B$95,2,FALSE)</f>
        <v>2</v>
      </c>
      <c r="B236" s="24">
        <f t="shared" si="328"/>
        <v>1946</v>
      </c>
      <c r="C236" s="25">
        <v>17106</v>
      </c>
      <c r="D236" s="26"/>
      <c r="E236" s="24"/>
      <c r="F236" s="26"/>
      <c r="G236" s="26"/>
      <c r="H236" s="26"/>
      <c r="I236" s="26"/>
      <c r="J236" s="26"/>
      <c r="K236" s="26"/>
      <c r="L236" s="24"/>
      <c r="M236" s="24"/>
      <c r="N236" s="26"/>
      <c r="O236" s="26"/>
      <c r="P236" s="26"/>
      <c r="Q236" s="26"/>
      <c r="R236" s="26"/>
      <c r="S236" s="26"/>
      <c r="T236" s="26"/>
      <c r="U236" s="26"/>
      <c r="V236" s="26"/>
      <c r="W236" s="26">
        <f>MAX($C$9-VLOOKUP($C236,COS!$B$8:$H$991,3,FALSE),0)</f>
        <v>0</v>
      </c>
      <c r="X236" s="26">
        <f t="shared" si="347"/>
        <v>0</v>
      </c>
      <c r="Y236" s="26">
        <f>VLOOKUP($C236,COS!$B$8:$H$991,4,FALSE)</f>
        <v>1148.6480712890625</v>
      </c>
      <c r="Z236" s="26">
        <f t="shared" si="348"/>
        <v>70.627616945377071</v>
      </c>
      <c r="AA236" s="26">
        <f t="shared" si="374"/>
        <v>0</v>
      </c>
      <c r="AB236" s="33">
        <f t="shared" si="345"/>
        <v>0</v>
      </c>
    </row>
    <row r="237" spans="1:28" x14ac:dyDescent="0.3">
      <c r="A237" s="32">
        <f>VLOOKUP(YEAR(C237),Flags!$A$13:$B$95,2,FALSE)</f>
        <v>2</v>
      </c>
      <c r="B237" s="24">
        <f t="shared" si="328"/>
        <v>1946</v>
      </c>
      <c r="C237" s="25">
        <v>17136</v>
      </c>
      <c r="D237" s="26"/>
      <c r="E237" s="24"/>
      <c r="F237" s="26"/>
      <c r="G237" s="26"/>
      <c r="H237" s="26"/>
      <c r="I237" s="26"/>
      <c r="J237" s="26"/>
      <c r="K237" s="26"/>
      <c r="L237" s="24"/>
      <c r="M237" s="24"/>
      <c r="N237" s="26"/>
      <c r="O237" s="26"/>
      <c r="P237" s="26"/>
      <c r="Q237" s="26"/>
      <c r="R237" s="26"/>
      <c r="S237" s="26"/>
      <c r="T237" s="26"/>
      <c r="U237" s="26"/>
      <c r="V237" s="26"/>
      <c r="W237" s="26">
        <f>MAX($C$10-VLOOKUP($C237,COS!$B$8:$H$991,3,FALSE),0)</f>
        <v>0</v>
      </c>
      <c r="X237" s="26">
        <f t="shared" si="347"/>
        <v>0</v>
      </c>
      <c r="Y237" s="26">
        <f>VLOOKUP($C237,COS!$B$8:$H$991,4,FALSE)</f>
        <v>1644.781982421875</v>
      </c>
      <c r="Z237" s="26">
        <f t="shared" si="348"/>
        <v>97.871324573863632</v>
      </c>
      <c r="AA237" s="26">
        <f t="shared" si="374"/>
        <v>0</v>
      </c>
      <c r="AB237" s="33">
        <f t="shared" si="345"/>
        <v>0</v>
      </c>
    </row>
    <row r="238" spans="1:28" x14ac:dyDescent="0.3">
      <c r="A238" s="34">
        <f>VLOOKUP(YEAR(C238),Flags!$A$13:$B$95,2,FALSE)</f>
        <v>2</v>
      </c>
      <c r="B238" s="35">
        <f t="shared" si="328"/>
        <v>1946</v>
      </c>
      <c r="C238" s="36">
        <v>17167</v>
      </c>
      <c r="D238" s="37"/>
      <c r="E238" s="35"/>
      <c r="F238" s="37"/>
      <c r="G238" s="37"/>
      <c r="H238" s="37"/>
      <c r="I238" s="37"/>
      <c r="J238" s="37"/>
      <c r="K238" s="37"/>
      <c r="L238" s="35"/>
      <c r="M238" s="35"/>
      <c r="N238" s="37"/>
      <c r="O238" s="37"/>
      <c r="P238" s="37"/>
      <c r="Q238" s="37"/>
      <c r="R238" s="37"/>
      <c r="S238" s="37"/>
      <c r="T238" s="37"/>
      <c r="U238" s="37"/>
      <c r="V238" s="37"/>
      <c r="W238" s="37">
        <f>MAX($C$11-VLOOKUP($C238,COS!$B$8:$H$991,3,FALSE),0)</f>
        <v>1750</v>
      </c>
      <c r="X238" s="37">
        <f t="shared" si="347"/>
        <v>107.60330578512398</v>
      </c>
      <c r="Y238" s="37">
        <f>VLOOKUP($C238,COS!$B$8:$H$991,4,FALSE)</f>
        <v>0</v>
      </c>
      <c r="Z238" s="37">
        <f t="shared" si="348"/>
        <v>0</v>
      </c>
      <c r="AA238" s="37">
        <f t="shared" si="374"/>
        <v>0</v>
      </c>
      <c r="AB238" s="38">
        <f t="shared" si="345"/>
        <v>0</v>
      </c>
    </row>
    <row r="239" spans="1:28" x14ac:dyDescent="0.3">
      <c r="A239" s="27">
        <f>VLOOKUP(YEAR(C239),Flags!$A$13:$B$95,2,FALSE)</f>
        <v>4</v>
      </c>
      <c r="B239" s="28">
        <f t="shared" si="328"/>
        <v>1947</v>
      </c>
      <c r="C239" s="29">
        <v>17287</v>
      </c>
      <c r="D239" s="30">
        <f>VLOOKUP($C239,COS!$B$8:$H$991,3,FALSE)</f>
        <v>3250</v>
      </c>
      <c r="E239" s="28">
        <f>IF(D239&gt;=IF(MONTH($C239)=4,$C$3,IF(MONTH($C239)=5,$C$4,IF(MONTH($C239)=6,$C$5,IF(MONTH($C239)=7,$C$6,"ERROR")))),1,0)</f>
        <v>0</v>
      </c>
      <c r="F239" s="30">
        <f>VLOOKUP($C239,COS!$B$8:$H$991,7,FALSE)</f>
        <v>51.992382049560547</v>
      </c>
      <c r="G239" s="28">
        <f>IF(F239&lt;=IF(MONTH($C239)=4,$F$3,IF(MONTH($C239)=5,$F$4,IF(MONTH($C239)=6,$F$5,IF(MONTH($C239)=7,$F$6,"ERROR")))),1,0)</f>
        <v>1</v>
      </c>
      <c r="H239" s="30">
        <f>IF(J239=1,D239-$C$3,0)</f>
        <v>0</v>
      </c>
      <c r="I239" s="30">
        <f t="shared" si="342"/>
        <v>0</v>
      </c>
      <c r="J239" s="28">
        <f t="shared" ref="J239:J242" si="377">IF(AND(E239=1,G239=1),1,0)</f>
        <v>0</v>
      </c>
      <c r="K239" s="30">
        <f>VLOOKUP($C239,COS!$B$8:$H$991,2,FALSE)</f>
        <v>3389.9931640625</v>
      </c>
      <c r="L239" s="28">
        <f t="shared" ref="L239" si="378">IF(K239&lt;=IF(MONTH($C239)=4,$I$3,IF(MONTH($C239)=5,$I$4,IF(MONTH($C239)=6,$I$5,IF(MONTH($C239)=7,$I$6,"ERROR")))),1,0)</f>
        <v>1</v>
      </c>
      <c r="M239" s="28">
        <f t="shared" ref="M239" si="379">VLOOKUP($A239,$L$3:$M$7,2,FALSE)</f>
        <v>1</v>
      </c>
      <c r="N239" s="30">
        <f>VLOOKUP($C239,COS!$B$8:$H$991,5,FALSE)</f>
        <v>210.8018798828125</v>
      </c>
      <c r="O239" s="30">
        <f t="shared" ref="O239:O242" si="380">N239*DAY($C239)*86400/43560/1000</f>
        <v>12.543582935175619</v>
      </c>
      <c r="P239" s="30">
        <f>VLOOKUP($C239,COS!$B$8:$H$991,6,FALSE)</f>
        <v>467.46041870117188</v>
      </c>
      <c r="Q239" s="30">
        <f t="shared" ref="Q239:Q242" si="381">P239*DAY($C239)*86400/43560/1000</f>
        <v>27.815826567342459</v>
      </c>
      <c r="R239" s="30">
        <f>MIN(IF(MONTH($C239)=4,$S$3,IF(MONTH($C239)=5,$S$4,IF(MONTH($C239)=6,$S$5,IF(MONTH($C239)=7,$S$6,"ERROR")))),MAX(VLOOKUP($C239,COS!$B$8:$K$991,10,FALSE)-IF(MONTH($C239)=4,$Y$3,IF(MONTH($C239)=5,$Y$4,IF(MONTH($C239)=6,$Y$5,IF(MONTH($C239)=7,$Y$6,"ERROR")))),0),MAX(VLOOKUP($C239,COS!$B$8:$K$991,9,FALSE)-IF(MONTH($C239)=4,$V$3,IF(MONTH($C239)=5,$V$4,IF(MONTH($C239)=6,$V$5,IF(MONTH($C239)=7,$V$6,"ERROR"))))-VLOOKUP($C239,COS!$B$8:$K$991,6,FALSE)/2,0))</f>
        <v>1500</v>
      </c>
      <c r="S239" s="30">
        <f t="shared" ref="S239:S242" si="382">R239*DAY($C239)*86400/43560/1000</f>
        <v>89.256198347107429</v>
      </c>
      <c r="T239" s="30">
        <f t="shared" ref="T239:T242" si="383">(O239+Q239)/2+S239</f>
        <v>109.43590309836647</v>
      </c>
      <c r="U239" s="30" t="str">
        <f>IF(VLOOKUP($C239,COS!$B$8:$I$991,8,FALSE)=1,"UWFE","IBU")</f>
        <v>UWFE</v>
      </c>
      <c r="V239" s="30">
        <f t="shared" ref="V239" si="384">MIN(IF(IF($AA$3=2,AND(E239=1,G239=1,L239=1,L244=1,M239=1,U239="IBU"),AND(E239=1,G239=1,L239=1,L244=1,M239=1)),T239,0),I239)</f>
        <v>0</v>
      </c>
      <c r="W239" s="30"/>
      <c r="X239" s="30"/>
      <c r="Y239" s="30"/>
      <c r="Z239" s="30"/>
      <c r="AA239" s="30"/>
      <c r="AB239" s="31"/>
    </row>
    <row r="240" spans="1:28" x14ac:dyDescent="0.3">
      <c r="A240" s="32">
        <f>VLOOKUP(YEAR(C240),Flags!$A$13:$B$95,2,FALSE)</f>
        <v>4</v>
      </c>
      <c r="B240" s="24">
        <f t="shared" si="328"/>
        <v>1947</v>
      </c>
      <c r="C240" s="25">
        <v>17318</v>
      </c>
      <c r="D240" s="26">
        <f>VLOOKUP($C240,COS!$B$8:$H$991,3,FALSE)</f>
        <v>8656.3466796875</v>
      </c>
      <c r="E240" s="24">
        <f>IF(D240&gt;=IF(MONTH($C240)=4,$C$3,IF(MONTH($C240)=5,$C$4,IF(MONTH($C240)=6,$C$5,IF(MONTH($C240)=7,$C$6,"ERROR")))),1,0)</f>
        <v>1</v>
      </c>
      <c r="F240" s="26">
        <f>VLOOKUP($C240,COS!$B$8:$H$991,7,FALSE)</f>
        <v>50.687347412109375</v>
      </c>
      <c r="G240" s="24">
        <f>IF(F240&lt;=IF(MONTH($C240)=4,$F$3,IF(MONTH($C240)=5,$F$4,IF(MONTH($C240)=6,$F$5,IF(MONTH($C240)=7,$F$6,"ERROR")))),1,0)</f>
        <v>1</v>
      </c>
      <c r="H240" s="26">
        <f>IF(J240=1,D240-$C$4,0)</f>
        <v>2656.3466796875</v>
      </c>
      <c r="I240" s="26">
        <f t="shared" si="342"/>
        <v>163.33239088326445</v>
      </c>
      <c r="J240" s="24">
        <f t="shared" si="377"/>
        <v>1</v>
      </c>
      <c r="K240" s="26">
        <f>VLOOKUP($C240,COS!$B$8:$H$991,2,FALSE)</f>
        <v>3099.48974609375</v>
      </c>
      <c r="L240" s="24">
        <f t="shared" si="333"/>
        <v>1</v>
      </c>
      <c r="M240" s="24">
        <f t="shared" si="334"/>
        <v>1</v>
      </c>
      <c r="N240" s="26">
        <f>VLOOKUP($C240,COS!$B$8:$H$991,5,FALSE)</f>
        <v>304.60684204101563</v>
      </c>
      <c r="O240" s="26">
        <f t="shared" si="380"/>
        <v>18.729544667645918</v>
      </c>
      <c r="P240" s="26">
        <f>VLOOKUP($C240,COS!$B$8:$H$991,6,FALSE)</f>
        <v>2205.62353515625</v>
      </c>
      <c r="Q240" s="26">
        <f t="shared" si="381"/>
        <v>135.61850497159091</v>
      </c>
      <c r="R240" s="26">
        <f>MIN(IF(MONTH($C240)=4,$S$3,IF(MONTH($C240)=5,$S$4,IF(MONTH($C240)=6,$S$5,IF(MONTH($C240)=7,$S$6,"ERROR")))),MAX(VLOOKUP($C240,COS!$B$8:$K$991,10,FALSE)-IF(MONTH($C240)=4,$Y$3,IF(MONTH($C240)=5,$Y$4,IF(MONTH($C240)=6,$Y$5,IF(MONTH($C240)=7,$Y$6,"ERROR")))),0),MAX(VLOOKUP($C240,COS!$B$8:$K$991,9,FALSE)-IF(MONTH($C240)=4,$V$3,IF(MONTH($C240)=5,$V$4,IF(MONTH($C240)=6,$V$5,IF(MONTH($C240)=7,$V$6,"ERROR"))))-VLOOKUP($C240,COS!$B$8:$K$991,6,FALSE)/2,0))</f>
        <v>1500</v>
      </c>
      <c r="S240" s="26">
        <f t="shared" si="382"/>
        <v>92.231404958677686</v>
      </c>
      <c r="T240" s="26">
        <f t="shared" si="383"/>
        <v>169.40542977829608</v>
      </c>
      <c r="U240" s="26" t="str">
        <f>IF(VLOOKUP($C240,COS!$B$8:$I$991,8,FALSE)=1,"UWFE","IBU")</f>
        <v>IBU</v>
      </c>
      <c r="V240" s="26">
        <f t="shared" ref="V240" si="385">MIN(IF(IF($AA$3=2,AND(E240=1,G240=1,L240=1,L244=1,M240=1,U240="IBU"),AND(E240=1,G240=1,L240=1,L244=1,M240=1)),T240,0),I240)</f>
        <v>163.33239088326445</v>
      </c>
      <c r="W240" s="26"/>
      <c r="X240" s="26"/>
      <c r="Y240" s="26"/>
      <c r="Z240" s="26"/>
      <c r="AA240" s="26"/>
      <c r="AB240" s="33"/>
    </row>
    <row r="241" spans="1:28" x14ac:dyDescent="0.3">
      <c r="A241" s="32">
        <f>VLOOKUP(YEAR(C241),Flags!$A$13:$B$95,2,FALSE)</f>
        <v>4</v>
      </c>
      <c r="B241" s="24">
        <f t="shared" si="328"/>
        <v>1947</v>
      </c>
      <c r="C241" s="25">
        <v>17348</v>
      </c>
      <c r="D241" s="26">
        <f>VLOOKUP($C241,COS!$B$8:$H$991,3,FALSE)</f>
        <v>10092.3349609375</v>
      </c>
      <c r="E241" s="24">
        <f>IF(D241&gt;=IF(MONTH($C241)=4,$C$3,IF(MONTH($C241)=5,$C$4,IF(MONTH($C241)=6,$C$5,IF(MONTH($C241)=7,$C$6,"ERROR")))),1,0)</f>
        <v>1</v>
      </c>
      <c r="F241" s="26">
        <f>VLOOKUP($C241,COS!$B$8:$H$991,7,FALSE)</f>
        <v>51.895301818847656</v>
      </c>
      <c r="G241" s="24">
        <f>IF(F241&lt;=IF(MONTH($C241)=4,$F$3,IF(MONTH($C241)=5,$F$4,IF(MONTH($C241)=6,$F$5,IF(MONTH($C241)=7,$F$6,"ERROR")))),1,0)</f>
        <v>1</v>
      </c>
      <c r="H241" s="26">
        <f>IF(J241=1,D241-$C$5,0)</f>
        <v>92.3349609375</v>
      </c>
      <c r="I241" s="26">
        <f t="shared" si="342"/>
        <v>5.4943117252066109</v>
      </c>
      <c r="J241" s="24">
        <f t="shared" si="377"/>
        <v>1</v>
      </c>
      <c r="K241" s="26">
        <f>VLOOKUP($C241,COS!$B$8:$H$991,2,FALSE)</f>
        <v>2880.829833984375</v>
      </c>
      <c r="L241" s="24">
        <f t="shared" si="333"/>
        <v>1</v>
      </c>
      <c r="M241" s="24">
        <f t="shared" si="334"/>
        <v>1</v>
      </c>
      <c r="N241" s="26">
        <f>VLOOKUP($C241,COS!$B$8:$H$991,5,FALSE)</f>
        <v>355.63311767578125</v>
      </c>
      <c r="O241" s="26">
        <f t="shared" si="380"/>
        <v>21.161640060046487</v>
      </c>
      <c r="P241" s="26">
        <f>VLOOKUP($C241,COS!$B$8:$H$991,6,FALSE)</f>
        <v>2534.749267578125</v>
      </c>
      <c r="Q241" s="26">
        <f t="shared" si="381"/>
        <v>150.82805559142562</v>
      </c>
      <c r="R241" s="26">
        <f>MIN(IF(MONTH($C241)=4,$S$3,IF(MONTH($C241)=5,$S$4,IF(MONTH($C241)=6,$S$5,IF(MONTH($C241)=7,$S$6,"ERROR")))),MAX(VLOOKUP($C241,COS!$B$8:$K$991,10,FALSE)-IF(MONTH($C241)=4,$Y$3,IF(MONTH($C241)=5,$Y$4,IF(MONTH($C241)=6,$Y$5,IF(MONTH($C241)=7,$Y$6,"ERROR")))),0),MAX(VLOOKUP($C241,COS!$B$8:$K$991,9,FALSE)-IF(MONTH($C241)=4,$V$3,IF(MONTH($C241)=5,$V$4,IF(MONTH($C241)=6,$V$5,IF(MONTH($C241)=7,$V$6,"ERROR"))))-VLOOKUP($C241,COS!$B$8:$K$991,6,FALSE)/2,0))</f>
        <v>1500</v>
      </c>
      <c r="S241" s="26">
        <f t="shared" si="382"/>
        <v>89.256198347107429</v>
      </c>
      <c r="T241" s="26">
        <f t="shared" si="383"/>
        <v>175.25104617284347</v>
      </c>
      <c r="U241" s="26" t="str">
        <f>IF(VLOOKUP($C241,COS!$B$8:$I$991,8,FALSE)=1,"UWFE","IBU")</f>
        <v>IBU</v>
      </c>
      <c r="V241" s="26">
        <f t="shared" ref="V241" si="386">MIN(IF(IF($AA$3=2,AND(E241=1,G241=1,L241=1,L244=1,M241=1,U241="IBU"),AND(E241=1,G241=1,L241=1,L244=1,M241=1)),T241,0),I241)</f>
        <v>5.4943117252066109</v>
      </c>
      <c r="W241" s="26"/>
      <c r="X241" s="26"/>
      <c r="Y241" s="26"/>
      <c r="Z241" s="26"/>
      <c r="AA241" s="26"/>
      <c r="AB241" s="33"/>
    </row>
    <row r="242" spans="1:28" x14ac:dyDescent="0.3">
      <c r="A242" s="32">
        <f>VLOOKUP(YEAR(C242),Flags!$A$13:$B$95,2,FALSE)</f>
        <v>4</v>
      </c>
      <c r="B242" s="24">
        <f t="shared" si="328"/>
        <v>1947</v>
      </c>
      <c r="C242" s="25">
        <v>17379</v>
      </c>
      <c r="D242" s="26">
        <f>VLOOKUP($C242,COS!$B$8:$H$991,3,FALSE)</f>
        <v>13768.3623046875</v>
      </c>
      <c r="E242" s="24">
        <f>IF(D242&gt;=IF(MONTH($C242)=4,$C$3,IF(MONTH($C242)=5,$C$4,IF(MONTH($C242)=6,$C$5,IF(MONTH($C242)=7,$C$6,"ERROR")))),1,0)</f>
        <v>1</v>
      </c>
      <c r="F242" s="26">
        <f>VLOOKUP($C242,COS!$B$8:$H$991,7,FALSE)</f>
        <v>53.452518463134766</v>
      </c>
      <c r="G242" s="24">
        <f>IF(F242&lt;=IF(MONTH($C242)=4,$F$3,IF(MONTH($C242)=5,$F$4,IF(MONTH($C242)=6,$F$5,IF(MONTH($C242)=7,$F$6,"ERROR")))),1,0)</f>
        <v>1</v>
      </c>
      <c r="H242" s="26">
        <f>IF(J242=1,D242-$C$6,0)</f>
        <v>1768.3623046875</v>
      </c>
      <c r="I242" s="26">
        <f t="shared" si="342"/>
        <v>108.73235989152892</v>
      </c>
      <c r="J242" s="24">
        <f t="shared" si="377"/>
        <v>1</v>
      </c>
      <c r="K242" s="26">
        <f>VLOOKUP($C242,COS!$B$8:$H$991,2,FALSE)</f>
        <v>2415.119140625</v>
      </c>
      <c r="L242" s="24">
        <f t="shared" si="333"/>
        <v>1</v>
      </c>
      <c r="M242" s="24">
        <f t="shared" si="334"/>
        <v>1</v>
      </c>
      <c r="N242" s="26">
        <f>VLOOKUP($C242,COS!$B$8:$H$991,5,FALSE)</f>
        <v>438.732666015625</v>
      </c>
      <c r="O242" s="26">
        <f t="shared" si="380"/>
        <v>26.976620125258265</v>
      </c>
      <c r="P242" s="26">
        <f>VLOOKUP($C242,COS!$B$8:$H$991,6,FALSE)</f>
        <v>2538.07568359375</v>
      </c>
      <c r="Q242" s="26">
        <f t="shared" si="381"/>
        <v>156.06019079287191</v>
      </c>
      <c r="R242" s="26">
        <f>MIN(IF(MONTH($C242)=4,$S$3,IF(MONTH($C242)=5,$S$4,IF(MONTH($C242)=6,$S$5,IF(MONTH($C242)=7,$S$6,"ERROR")))),MAX(VLOOKUP($C242,COS!$B$8:$K$991,10,FALSE)-IF(MONTH($C242)=4,$Y$3,IF(MONTH($C242)=5,$Y$4,IF(MONTH($C242)=6,$Y$5,IF(MONTH($C242)=7,$Y$6,"ERROR")))),0),MAX(VLOOKUP($C242,COS!$B$8:$K$991,9,FALSE)-IF(MONTH($C242)=4,$V$3,IF(MONTH($C242)=5,$V$4,IF(MONTH($C242)=6,$V$5,IF(MONTH($C242)=7,$V$6,"ERROR"))))-VLOOKUP($C242,COS!$B$8:$K$991,6,FALSE)/2,0))</f>
        <v>1500</v>
      </c>
      <c r="S242" s="26">
        <f t="shared" si="382"/>
        <v>92.231404958677686</v>
      </c>
      <c r="T242" s="26">
        <f t="shared" si="383"/>
        <v>183.74981041774276</v>
      </c>
      <c r="U242" s="26" t="str">
        <f>IF(VLOOKUP($C242,COS!$B$8:$I$991,8,FALSE)=1,"UWFE","IBU")</f>
        <v>IBU</v>
      </c>
      <c r="V242" s="26">
        <f t="shared" ref="V242" si="387">MIN(IF(IF($AA$3=2,AND(E242=1,G242=1,L242=1,L244=1,M242=1,U242="IBU"),AND(E242=1,G242=1,L242=1,L244=1,M242=1)),T242,0),I242)</f>
        <v>108.73235989152892</v>
      </c>
      <c r="W242" s="26"/>
      <c r="X242" s="26"/>
      <c r="Y242" s="26"/>
      <c r="Z242" s="26"/>
      <c r="AA242" s="26"/>
      <c r="AB242" s="33"/>
    </row>
    <row r="243" spans="1:28" x14ac:dyDescent="0.3">
      <c r="A243" s="32">
        <f>VLOOKUP(YEAR(C243),Flags!$A$13:$B$95,2,FALSE)</f>
        <v>4</v>
      </c>
      <c r="B243" s="24">
        <f t="shared" si="328"/>
        <v>1947</v>
      </c>
      <c r="C243" s="25">
        <v>17410</v>
      </c>
      <c r="D243" s="26"/>
      <c r="E243" s="24"/>
      <c r="F243" s="26"/>
      <c r="G243" s="24"/>
      <c r="H243" s="24"/>
      <c r="I243" s="26"/>
      <c r="J243" s="24"/>
      <c r="K243" s="26"/>
      <c r="L243" s="24"/>
      <c r="M243" s="24"/>
      <c r="N243" s="26"/>
      <c r="O243" s="26"/>
      <c r="P243" s="26"/>
      <c r="Q243" s="26"/>
      <c r="R243" s="26"/>
      <c r="S243" s="26"/>
      <c r="T243" s="26"/>
      <c r="U243" s="26"/>
      <c r="V243" s="26"/>
      <c r="W243" s="26">
        <f>MAX($C$7-VLOOKUP($C243,COS!$B$8:$H$991,3,FALSE),0)</f>
        <v>2848.5517578125</v>
      </c>
      <c r="X243" s="26">
        <f t="shared" si="347"/>
        <v>175.15062048037191</v>
      </c>
      <c r="Y243" s="26">
        <f>VLOOKUP($C243,COS!$B$8:$H$991,4,FALSE)</f>
        <v>1509.713623046875</v>
      </c>
      <c r="Z243" s="26">
        <f t="shared" si="348"/>
        <v>92.828672359245871</v>
      </c>
      <c r="AA243" s="26">
        <f t="shared" ref="AA243:AA247" si="388">MIN(W243,Y243)</f>
        <v>1509.713623046875</v>
      </c>
      <c r="AB243" s="33">
        <f t="shared" ref="AB243" si="389">AA243*DAY($C243)*86400/43560/1000*IF(MONTH($C243)=8,$P$3,IF(MONTH($C243)=9,$P$4,IF(MONTH($C243)=10,$P$5,IF(MONTH($C243)=11,$P$6,IF(MONTH($C243)=12,$P$7,NA())))))</f>
        <v>92.828672359245871</v>
      </c>
    </row>
    <row r="244" spans="1:28" x14ac:dyDescent="0.3">
      <c r="A244" s="32">
        <f>VLOOKUP(YEAR(C244),Flags!$A$13:$B$95,2,FALSE)</f>
        <v>4</v>
      </c>
      <c r="B244" s="24">
        <f t="shared" si="328"/>
        <v>1947</v>
      </c>
      <c r="C244" s="25">
        <v>17440</v>
      </c>
      <c r="D244" s="26"/>
      <c r="E244" s="24"/>
      <c r="F244" s="26"/>
      <c r="G244" s="24"/>
      <c r="H244" s="24"/>
      <c r="I244" s="26"/>
      <c r="J244" s="24"/>
      <c r="K244" s="26">
        <f>VLOOKUP($C244,COS!$B$8:$H$991,2,FALSE)</f>
        <v>1968.9127197265625</v>
      </c>
      <c r="L244" s="24">
        <f t="shared" ref="L244" si="390">IF(AND(K244&gt;$I$7,K244&lt;$I$8),1,0)</f>
        <v>1</v>
      </c>
      <c r="M244" s="24"/>
      <c r="N244" s="26"/>
      <c r="O244" s="26"/>
      <c r="P244" s="26"/>
      <c r="Q244" s="26"/>
      <c r="R244" s="26"/>
      <c r="S244" s="26"/>
      <c r="T244" s="26"/>
      <c r="U244" s="26"/>
      <c r="V244" s="26"/>
      <c r="W244" s="26">
        <f>MAX($C$8-VLOOKUP($C244,COS!$B$8:$H$991,3,FALSE),0)</f>
        <v>273.12744140625</v>
      </c>
      <c r="X244" s="26">
        <f t="shared" si="347"/>
        <v>16.252211389462808</v>
      </c>
      <c r="Y244" s="26">
        <f>VLOOKUP($C244,COS!$B$8:$H$991,4,FALSE)</f>
        <v>1350.30224609375</v>
      </c>
      <c r="Z244" s="26">
        <f t="shared" si="348"/>
        <v>80.348563403925624</v>
      </c>
      <c r="AA244" s="26">
        <f t="shared" si="388"/>
        <v>273.12744140625</v>
      </c>
      <c r="AB244" s="33">
        <f t="shared" si="345"/>
        <v>16.252211389462808</v>
      </c>
    </row>
    <row r="245" spans="1:28" x14ac:dyDescent="0.3">
      <c r="A245" s="32">
        <f>VLOOKUP(YEAR(C245),Flags!$A$13:$B$95,2,FALSE)</f>
        <v>4</v>
      </c>
      <c r="B245" s="24">
        <f t="shared" si="328"/>
        <v>1947</v>
      </c>
      <c r="C245" s="25">
        <v>17471</v>
      </c>
      <c r="D245" s="26"/>
      <c r="E245" s="24"/>
      <c r="F245" s="26"/>
      <c r="G245" s="26"/>
      <c r="H245" s="26"/>
      <c r="I245" s="26"/>
      <c r="J245" s="26"/>
      <c r="K245" s="26"/>
      <c r="L245" s="24"/>
      <c r="M245" s="24"/>
      <c r="N245" s="26"/>
      <c r="O245" s="26"/>
      <c r="P245" s="26"/>
      <c r="Q245" s="26"/>
      <c r="R245" s="26"/>
      <c r="S245" s="26"/>
      <c r="T245" s="26"/>
      <c r="U245" s="26"/>
      <c r="V245" s="26"/>
      <c r="W245" s="26">
        <f>MAX($C$9-VLOOKUP($C245,COS!$B$8:$H$991,3,FALSE),0)</f>
        <v>1633.93359375</v>
      </c>
      <c r="X245" s="26">
        <f t="shared" si="347"/>
        <v>100.46666064049587</v>
      </c>
      <c r="Y245" s="26">
        <f>VLOOKUP($C245,COS!$B$8:$H$991,4,FALSE)</f>
        <v>1046.6112060546875</v>
      </c>
      <c r="Z245" s="26">
        <f t="shared" si="348"/>
        <v>64.353614653279962</v>
      </c>
      <c r="AA245" s="26">
        <f t="shared" si="388"/>
        <v>1046.6112060546875</v>
      </c>
      <c r="AB245" s="33">
        <f t="shared" si="345"/>
        <v>64.353614653279962</v>
      </c>
    </row>
    <row r="246" spans="1:28" x14ac:dyDescent="0.3">
      <c r="A246" s="32">
        <f>VLOOKUP(YEAR(C246),Flags!$A$13:$B$95,2,FALSE)</f>
        <v>4</v>
      </c>
      <c r="B246" s="24">
        <f t="shared" si="328"/>
        <v>1947</v>
      </c>
      <c r="C246" s="25">
        <v>17501</v>
      </c>
      <c r="D246" s="26"/>
      <c r="E246" s="24"/>
      <c r="F246" s="26"/>
      <c r="G246" s="26"/>
      <c r="H246" s="26"/>
      <c r="I246" s="26"/>
      <c r="J246" s="26"/>
      <c r="K246" s="26"/>
      <c r="L246" s="24"/>
      <c r="M246" s="24"/>
      <c r="N246" s="26"/>
      <c r="O246" s="26"/>
      <c r="P246" s="26"/>
      <c r="Q246" s="26"/>
      <c r="R246" s="26"/>
      <c r="S246" s="26"/>
      <c r="T246" s="26"/>
      <c r="U246" s="26"/>
      <c r="V246" s="26"/>
      <c r="W246" s="26">
        <f>MAX($C$10-VLOOKUP($C246,COS!$B$8:$H$991,3,FALSE),0)</f>
        <v>1750</v>
      </c>
      <c r="X246" s="26">
        <f t="shared" si="347"/>
        <v>104.13223140495867</v>
      </c>
      <c r="Y246" s="26">
        <f>VLOOKUP($C246,COS!$B$8:$H$991,4,FALSE)</f>
        <v>1013.9700927734375</v>
      </c>
      <c r="Z246" s="26">
        <f t="shared" si="348"/>
        <v>60.335410479080579</v>
      </c>
      <c r="AA246" s="26">
        <f t="shared" si="388"/>
        <v>1013.9700927734375</v>
      </c>
      <c r="AB246" s="33">
        <f t="shared" si="345"/>
        <v>60.335410479080579</v>
      </c>
    </row>
    <row r="247" spans="1:28" x14ac:dyDescent="0.3">
      <c r="A247" s="34">
        <f>VLOOKUP(YEAR(C247),Flags!$A$13:$B$95,2,FALSE)</f>
        <v>4</v>
      </c>
      <c r="B247" s="35">
        <f t="shared" si="328"/>
        <v>1947</v>
      </c>
      <c r="C247" s="36">
        <v>17532</v>
      </c>
      <c r="D247" s="37"/>
      <c r="E247" s="35"/>
      <c r="F247" s="37"/>
      <c r="G247" s="37"/>
      <c r="H247" s="37"/>
      <c r="I247" s="37"/>
      <c r="J247" s="37"/>
      <c r="K247" s="37"/>
      <c r="L247" s="35"/>
      <c r="M247" s="35"/>
      <c r="N247" s="37"/>
      <c r="O247" s="37"/>
      <c r="P247" s="37"/>
      <c r="Q247" s="37"/>
      <c r="R247" s="37"/>
      <c r="S247" s="37"/>
      <c r="T247" s="37"/>
      <c r="U247" s="37"/>
      <c r="V247" s="37"/>
      <c r="W247" s="37">
        <f>MAX($C$11-VLOOKUP($C247,COS!$B$8:$H$991,3,FALSE),0)</f>
        <v>1750</v>
      </c>
      <c r="X247" s="37">
        <f t="shared" si="347"/>
        <v>107.60330578512398</v>
      </c>
      <c r="Y247" s="37">
        <f>VLOOKUP($C247,COS!$B$8:$H$991,4,FALSE)</f>
        <v>1615.037353515625</v>
      </c>
      <c r="Z247" s="37">
        <f t="shared" si="348"/>
        <v>99.304776116993807</v>
      </c>
      <c r="AA247" s="37">
        <f t="shared" si="388"/>
        <v>1615.037353515625</v>
      </c>
      <c r="AB247" s="38">
        <f t="shared" si="345"/>
        <v>99.304776116993807</v>
      </c>
    </row>
    <row r="248" spans="1:28" x14ac:dyDescent="0.3">
      <c r="A248" s="27">
        <f>VLOOKUP(YEAR(C248),Flags!$A$13:$B$95,2,FALSE)</f>
        <v>3</v>
      </c>
      <c r="B248" s="28">
        <f t="shared" si="328"/>
        <v>1948</v>
      </c>
      <c r="C248" s="29">
        <v>17653</v>
      </c>
      <c r="D248" s="30">
        <f>VLOOKUP($C248,COS!$B$8:$H$991,3,FALSE)</f>
        <v>3250</v>
      </c>
      <c r="E248" s="28">
        <f>IF(D248&gt;=IF(MONTH($C248)=4,$C$3,IF(MONTH($C248)=5,$C$4,IF(MONTH($C248)=6,$C$5,IF(MONTH($C248)=7,$C$6,"ERROR")))),1,0)</f>
        <v>0</v>
      </c>
      <c r="F248" s="30">
        <f>VLOOKUP($C248,COS!$B$8:$H$991,7,FALSE)</f>
        <v>49.87957763671875</v>
      </c>
      <c r="G248" s="28">
        <f>IF(F248&lt;=IF(MONTH($C248)=4,$F$3,IF(MONTH($C248)=5,$F$4,IF(MONTH($C248)=6,$F$5,IF(MONTH($C248)=7,$F$6,"ERROR")))),1,0)</f>
        <v>1</v>
      </c>
      <c r="H248" s="30">
        <f>IF(J248=1,D248-$C$3,0)</f>
        <v>0</v>
      </c>
      <c r="I248" s="30">
        <f t="shared" si="342"/>
        <v>0</v>
      </c>
      <c r="J248" s="28">
        <f t="shared" ref="J248:J251" si="391">IF(AND(E248=1,G248=1),1,0)</f>
        <v>0</v>
      </c>
      <c r="K248" s="30">
        <f>VLOOKUP($C248,COS!$B$8:$H$991,2,FALSE)</f>
        <v>4304.84423828125</v>
      </c>
      <c r="L248" s="28">
        <f t="shared" ref="L248" si="392">IF(K248&lt;=IF(MONTH($C248)=4,$I$3,IF(MONTH($C248)=5,$I$4,IF(MONTH($C248)=6,$I$5,IF(MONTH($C248)=7,$I$6,"ERROR")))),1,0)</f>
        <v>1</v>
      </c>
      <c r="M248" s="28">
        <f t="shared" ref="M248" si="393">VLOOKUP($A248,$L$3:$M$7,2,FALSE)</f>
        <v>0</v>
      </c>
      <c r="N248" s="30">
        <f>VLOOKUP($C248,COS!$B$8:$H$991,5,FALSE)</f>
        <v>46.918926239013672</v>
      </c>
      <c r="O248" s="30">
        <f t="shared" ref="O248:O251" si="394">N248*DAY($C248)*86400/43560/1000</f>
        <v>2.7918699910818052</v>
      </c>
      <c r="P248" s="30">
        <f>VLOOKUP($C248,COS!$B$8:$H$991,6,FALSE)</f>
        <v>211.80764770507813</v>
      </c>
      <c r="Q248" s="30">
        <f t="shared" ref="Q248:Q251" si="395">P248*DAY($C248)*86400/43560/1000</f>
        <v>12.603430276665806</v>
      </c>
      <c r="R248" s="30">
        <f>MIN(IF(MONTH($C248)=4,$S$3,IF(MONTH($C248)=5,$S$4,IF(MONTH($C248)=6,$S$5,IF(MONTH($C248)=7,$S$6,"ERROR")))),MAX(VLOOKUP($C248,COS!$B$8:$K$991,10,FALSE)-IF(MONTH($C248)=4,$Y$3,IF(MONTH($C248)=5,$Y$4,IF(MONTH($C248)=6,$Y$5,IF(MONTH($C248)=7,$Y$6,"ERROR")))),0),MAX(VLOOKUP($C248,COS!$B$8:$K$991,9,FALSE)-IF(MONTH($C248)=4,$V$3,IF(MONTH($C248)=5,$V$4,IF(MONTH($C248)=6,$V$5,IF(MONTH($C248)=7,$V$6,"ERROR"))))-VLOOKUP($C248,COS!$B$8:$K$991,6,FALSE)/2,0))</f>
        <v>1500</v>
      </c>
      <c r="S248" s="30">
        <f t="shared" ref="S248:S251" si="396">R248*DAY($C248)*86400/43560/1000</f>
        <v>89.256198347107429</v>
      </c>
      <c r="T248" s="30">
        <f t="shared" ref="T248:T251" si="397">(O248+Q248)/2+S248</f>
        <v>96.953848480981236</v>
      </c>
      <c r="U248" s="30" t="str">
        <f>IF(VLOOKUP($C248,COS!$B$8:$I$991,8,FALSE)=1,"UWFE","IBU")</f>
        <v>UWFE</v>
      </c>
      <c r="V248" s="30">
        <f t="shared" ref="V248" si="398">MIN(IF(IF($AA$3=2,AND(E248=1,G248=1,L248=1,L253=1,M248=1,U248="IBU"),AND(E248=1,G248=1,L248=1,L253=1,M248=1)),T248,0),I248)</f>
        <v>0</v>
      </c>
      <c r="W248" s="30"/>
      <c r="X248" s="30"/>
      <c r="Y248" s="30"/>
      <c r="Z248" s="30"/>
      <c r="AA248" s="30"/>
      <c r="AB248" s="31"/>
    </row>
    <row r="249" spans="1:28" x14ac:dyDescent="0.3">
      <c r="A249" s="32">
        <f>VLOOKUP(YEAR(C249),Flags!$A$13:$B$95,2,FALSE)</f>
        <v>3</v>
      </c>
      <c r="B249" s="24">
        <f t="shared" si="328"/>
        <v>1948</v>
      </c>
      <c r="C249" s="25">
        <v>17684</v>
      </c>
      <c r="D249" s="26">
        <f>VLOOKUP($C249,COS!$B$8:$H$991,3,FALSE)</f>
        <v>9188.48046875</v>
      </c>
      <c r="E249" s="24">
        <f>IF(D249&gt;=IF(MONTH($C249)=4,$C$3,IF(MONTH($C249)=5,$C$4,IF(MONTH($C249)=6,$C$5,IF(MONTH($C249)=7,$C$6,"ERROR")))),1,0)</f>
        <v>1</v>
      </c>
      <c r="F249" s="26">
        <f>VLOOKUP($C249,COS!$B$8:$H$991,7,FALSE)</f>
        <v>49.27020263671875</v>
      </c>
      <c r="G249" s="24">
        <f>IF(F249&lt;=IF(MONTH($C249)=4,$F$3,IF(MONTH($C249)=5,$F$4,IF(MONTH($C249)=6,$F$5,IF(MONTH($C249)=7,$F$6,"ERROR")))),1,0)</f>
        <v>1</v>
      </c>
      <c r="H249" s="26">
        <f>IF(J249=1,D249-$C$4,0)</f>
        <v>3188.48046875</v>
      </c>
      <c r="I249" s="26">
        <f t="shared" si="342"/>
        <v>196.05202221074381</v>
      </c>
      <c r="J249" s="24">
        <f t="shared" si="391"/>
        <v>1</v>
      </c>
      <c r="K249" s="26">
        <f>VLOOKUP($C249,COS!$B$8:$H$991,2,FALSE)</f>
        <v>4552</v>
      </c>
      <c r="L249" s="24">
        <f t="shared" si="333"/>
        <v>1</v>
      </c>
      <c r="M249" s="24">
        <f t="shared" si="334"/>
        <v>0</v>
      </c>
      <c r="N249" s="26">
        <f>VLOOKUP($C249,COS!$B$8:$H$991,5,FALSE)</f>
        <v>414.791748046875</v>
      </c>
      <c r="O249" s="26">
        <f t="shared" si="394"/>
        <v>25.50455045841942</v>
      </c>
      <c r="P249" s="26">
        <f>VLOOKUP($C249,COS!$B$8:$H$991,6,FALSE)</f>
        <v>1547.1707763671875</v>
      </c>
      <c r="Q249" s="26">
        <f t="shared" si="395"/>
        <v>95.131822943569219</v>
      </c>
      <c r="R249" s="26">
        <f>MIN(IF(MONTH($C249)=4,$S$3,IF(MONTH($C249)=5,$S$4,IF(MONTH($C249)=6,$S$5,IF(MONTH($C249)=7,$S$6,"ERROR")))),MAX(VLOOKUP($C249,COS!$B$8:$K$991,10,FALSE)-IF(MONTH($C249)=4,$Y$3,IF(MONTH($C249)=5,$Y$4,IF(MONTH($C249)=6,$Y$5,IF(MONTH($C249)=7,$Y$6,"ERROR")))),0),MAX(VLOOKUP($C249,COS!$B$8:$K$991,9,FALSE)-IF(MONTH($C249)=4,$V$3,IF(MONTH($C249)=5,$V$4,IF(MONTH($C249)=6,$V$5,IF(MONTH($C249)=7,$V$6,"ERROR"))))-VLOOKUP($C249,COS!$B$8:$K$991,6,FALSE)/2,0))</f>
        <v>1500</v>
      </c>
      <c r="S249" s="26">
        <f t="shared" si="396"/>
        <v>92.231404958677686</v>
      </c>
      <c r="T249" s="26">
        <f t="shared" si="397"/>
        <v>152.54959165967199</v>
      </c>
      <c r="U249" s="26" t="str">
        <f>IF(VLOOKUP($C249,COS!$B$8:$I$991,8,FALSE)=1,"UWFE","IBU")</f>
        <v>UWFE</v>
      </c>
      <c r="V249" s="26">
        <f t="shared" ref="V249" si="399">MIN(IF(IF($AA$3=2,AND(E249=1,G249=1,L249=1,L253=1,M249=1,U249="IBU"),AND(E249=1,G249=1,L249=1,L253=1,M249=1)),T249,0),I249)</f>
        <v>0</v>
      </c>
      <c r="W249" s="26"/>
      <c r="X249" s="26"/>
      <c r="Y249" s="26"/>
      <c r="Z249" s="26"/>
      <c r="AA249" s="26"/>
      <c r="AB249" s="33"/>
    </row>
    <row r="250" spans="1:28" x14ac:dyDescent="0.3">
      <c r="A250" s="32">
        <f>VLOOKUP(YEAR(C250),Flags!$A$13:$B$95,2,FALSE)</f>
        <v>3</v>
      </c>
      <c r="B250" s="24">
        <f t="shared" si="328"/>
        <v>1948</v>
      </c>
      <c r="C250" s="25">
        <v>17714</v>
      </c>
      <c r="D250" s="26">
        <f>VLOOKUP($C250,COS!$B$8:$H$991,3,FALSE)</f>
        <v>8322.865234375</v>
      </c>
      <c r="E250" s="24">
        <f>IF(D250&gt;=IF(MONTH($C250)=4,$C$3,IF(MONTH($C250)=5,$C$4,IF(MONTH($C250)=6,$C$5,IF(MONTH($C250)=7,$C$6,"ERROR")))),1,0)</f>
        <v>0</v>
      </c>
      <c r="F250" s="26">
        <f>VLOOKUP($C250,COS!$B$8:$H$991,7,FALSE)</f>
        <v>51.372959136962891</v>
      </c>
      <c r="G250" s="24">
        <f>IF(F250&lt;=IF(MONTH($C250)=4,$F$3,IF(MONTH($C250)=5,$F$4,IF(MONTH($C250)=6,$F$5,IF(MONTH($C250)=7,$F$6,"ERROR")))),1,0)</f>
        <v>1</v>
      </c>
      <c r="H250" s="26">
        <f>IF(J250=1,D250-$C$5,0)</f>
        <v>0</v>
      </c>
      <c r="I250" s="26">
        <f t="shared" si="342"/>
        <v>0</v>
      </c>
      <c r="J250" s="24">
        <f t="shared" si="391"/>
        <v>0</v>
      </c>
      <c r="K250" s="26">
        <f>VLOOKUP($C250,COS!$B$8:$H$991,2,FALSE)</f>
        <v>4500</v>
      </c>
      <c r="L250" s="24">
        <f t="shared" si="333"/>
        <v>1</v>
      </c>
      <c r="M250" s="24">
        <f t="shared" si="334"/>
        <v>0</v>
      </c>
      <c r="N250" s="26">
        <f>VLOOKUP($C250,COS!$B$8:$H$991,5,FALSE)</f>
        <v>739.47967529296875</v>
      </c>
      <c r="O250" s="26">
        <f t="shared" si="394"/>
        <v>44.002096381069215</v>
      </c>
      <c r="P250" s="26">
        <f>VLOOKUP($C250,COS!$B$8:$H$991,6,FALSE)</f>
        <v>2358.41552734375</v>
      </c>
      <c r="Q250" s="26">
        <f t="shared" si="395"/>
        <v>140.33546939566114</v>
      </c>
      <c r="R250" s="26">
        <f>MIN(IF(MONTH($C250)=4,$S$3,IF(MONTH($C250)=5,$S$4,IF(MONTH($C250)=6,$S$5,IF(MONTH($C250)=7,$S$6,"ERROR")))),MAX(VLOOKUP($C250,COS!$B$8:$K$991,10,FALSE)-IF(MONTH($C250)=4,$Y$3,IF(MONTH($C250)=5,$Y$4,IF(MONTH($C250)=6,$Y$5,IF(MONTH($C250)=7,$Y$6,"ERROR")))),0),MAX(VLOOKUP($C250,COS!$B$8:$K$991,9,FALSE)-IF(MONTH($C250)=4,$V$3,IF(MONTH($C250)=5,$V$4,IF(MONTH($C250)=6,$V$5,IF(MONTH($C250)=7,$V$6,"ERROR"))))-VLOOKUP($C250,COS!$B$8:$K$991,6,FALSE)/2,0))</f>
        <v>1500</v>
      </c>
      <c r="S250" s="26">
        <f t="shared" si="396"/>
        <v>89.256198347107429</v>
      </c>
      <c r="T250" s="26">
        <f t="shared" si="397"/>
        <v>181.42498123547261</v>
      </c>
      <c r="U250" s="26" t="str">
        <f>IF(VLOOKUP($C250,COS!$B$8:$I$991,8,FALSE)=1,"UWFE","IBU")</f>
        <v>UWFE</v>
      </c>
      <c r="V250" s="26">
        <f t="shared" ref="V250" si="400">MIN(IF(IF($AA$3=2,AND(E250=1,G250=1,L250=1,L253=1,M250=1,U250="IBU"),AND(E250=1,G250=1,L250=1,L253=1,M250=1)),T250,0),I250)</f>
        <v>0</v>
      </c>
      <c r="W250" s="26"/>
      <c r="X250" s="26"/>
      <c r="Y250" s="26"/>
      <c r="Z250" s="26"/>
      <c r="AA250" s="26"/>
      <c r="AB250" s="33"/>
    </row>
    <row r="251" spans="1:28" x14ac:dyDescent="0.3">
      <c r="A251" s="32">
        <f>VLOOKUP(YEAR(C251),Flags!$A$13:$B$95,2,FALSE)</f>
        <v>3</v>
      </c>
      <c r="B251" s="24">
        <f t="shared" si="328"/>
        <v>1948</v>
      </c>
      <c r="C251" s="25">
        <v>17745</v>
      </c>
      <c r="D251" s="26">
        <f>VLOOKUP($C251,COS!$B$8:$H$991,3,FALSE)</f>
        <v>12203.6953125</v>
      </c>
      <c r="E251" s="24">
        <f>IF(D251&gt;=IF(MONTH($C251)=4,$C$3,IF(MONTH($C251)=5,$C$4,IF(MONTH($C251)=6,$C$5,IF(MONTH($C251)=7,$C$6,"ERROR")))),1,0)</f>
        <v>1</v>
      </c>
      <c r="F251" s="26">
        <f>VLOOKUP($C251,COS!$B$8:$H$991,7,FALSE)</f>
        <v>51.679328918457031</v>
      </c>
      <c r="G251" s="24">
        <f>IF(F251&lt;=IF(MONTH($C251)=4,$F$3,IF(MONTH($C251)=5,$F$4,IF(MONTH($C251)=6,$F$5,IF(MONTH($C251)=7,$F$6,"ERROR")))),1,0)</f>
        <v>1</v>
      </c>
      <c r="H251" s="26">
        <f>IF(J251=1,D251-$C$6,0)</f>
        <v>203.6953125</v>
      </c>
      <c r="I251" s="26">
        <f t="shared" si="342"/>
        <v>12.524736570247935</v>
      </c>
      <c r="J251" s="24">
        <f t="shared" si="391"/>
        <v>1</v>
      </c>
      <c r="K251" s="26">
        <f>VLOOKUP($C251,COS!$B$8:$H$991,2,FALSE)</f>
        <v>3932.43017578125</v>
      </c>
      <c r="L251" s="24">
        <f t="shared" si="333"/>
        <v>1</v>
      </c>
      <c r="M251" s="24">
        <f t="shared" si="334"/>
        <v>0</v>
      </c>
      <c r="N251" s="26">
        <f>VLOOKUP($C251,COS!$B$8:$H$991,5,FALSE)</f>
        <v>1057.1549072265625</v>
      </c>
      <c r="O251" s="26">
        <f t="shared" si="394"/>
        <v>65.001921568310948</v>
      </c>
      <c r="P251" s="26">
        <f>VLOOKUP($C251,COS!$B$8:$H$991,6,FALSE)</f>
        <v>2632.5888671875</v>
      </c>
      <c r="Q251" s="26">
        <f t="shared" si="395"/>
        <v>161.87157993285126</v>
      </c>
      <c r="R251" s="26">
        <f>MIN(IF(MONTH($C251)=4,$S$3,IF(MONTH($C251)=5,$S$4,IF(MONTH($C251)=6,$S$5,IF(MONTH($C251)=7,$S$6,"ERROR")))),MAX(VLOOKUP($C251,COS!$B$8:$K$991,10,FALSE)-IF(MONTH($C251)=4,$Y$3,IF(MONTH($C251)=5,$Y$4,IF(MONTH($C251)=6,$Y$5,IF(MONTH($C251)=7,$Y$6,"ERROR")))),0),MAX(VLOOKUP($C251,COS!$B$8:$K$991,9,FALSE)-IF(MONTH($C251)=4,$V$3,IF(MONTH($C251)=5,$V$4,IF(MONTH($C251)=6,$V$5,IF(MONTH($C251)=7,$V$6,"ERROR"))))-VLOOKUP($C251,COS!$B$8:$K$991,6,FALSE)/2,0))</f>
        <v>1500</v>
      </c>
      <c r="S251" s="26">
        <f t="shared" si="396"/>
        <v>92.231404958677686</v>
      </c>
      <c r="T251" s="26">
        <f t="shared" si="397"/>
        <v>205.66815570925877</v>
      </c>
      <c r="U251" s="26" t="str">
        <f>IF(VLOOKUP($C251,COS!$B$8:$I$991,8,FALSE)=1,"UWFE","IBU")</f>
        <v>IBU</v>
      </c>
      <c r="V251" s="26">
        <f t="shared" ref="V251" si="401">MIN(IF(IF($AA$3=2,AND(E251=1,G251=1,L251=1,L253=1,M251=1,U251="IBU"),AND(E251=1,G251=1,L251=1,L253=1,M251=1)),T251,0),I251)</f>
        <v>0</v>
      </c>
      <c r="W251" s="26"/>
      <c r="X251" s="26"/>
      <c r="Y251" s="26"/>
      <c r="Z251" s="26"/>
      <c r="AA251" s="26"/>
      <c r="AB251" s="33"/>
    </row>
    <row r="252" spans="1:28" x14ac:dyDescent="0.3">
      <c r="A252" s="32">
        <f>VLOOKUP(YEAR(C252),Flags!$A$13:$B$95,2,FALSE)</f>
        <v>3</v>
      </c>
      <c r="B252" s="24">
        <f t="shared" si="328"/>
        <v>1948</v>
      </c>
      <c r="C252" s="25">
        <v>17776</v>
      </c>
      <c r="D252" s="26"/>
      <c r="E252" s="24"/>
      <c r="F252" s="26"/>
      <c r="G252" s="24"/>
      <c r="H252" s="24"/>
      <c r="I252" s="26"/>
      <c r="J252" s="24"/>
      <c r="K252" s="26"/>
      <c r="L252" s="24"/>
      <c r="M252" s="24"/>
      <c r="N252" s="26"/>
      <c r="O252" s="26"/>
      <c r="P252" s="26"/>
      <c r="Q252" s="26"/>
      <c r="R252" s="26"/>
      <c r="S252" s="26"/>
      <c r="T252" s="26"/>
      <c r="U252" s="26"/>
      <c r="V252" s="26"/>
      <c r="W252" s="26">
        <f>MAX($C$7-VLOOKUP($C252,COS!$B$8:$H$991,3,FALSE),0)</f>
        <v>2275.7529296875</v>
      </c>
      <c r="X252" s="26">
        <f t="shared" si="347"/>
        <v>139.9305933626033</v>
      </c>
      <c r="Y252" s="26">
        <f>VLOOKUP($C252,COS!$B$8:$H$991,4,FALSE)</f>
        <v>181.02853393554688</v>
      </c>
      <c r="Z252" s="26">
        <f t="shared" si="348"/>
        <v>11.131010681656766</v>
      </c>
      <c r="AA252" s="26">
        <f t="shared" ref="AA252:AA256" si="402">MIN(W252,Y252)</f>
        <v>181.02853393554688</v>
      </c>
      <c r="AB252" s="33">
        <f t="shared" ref="AB252" si="403">AA252*DAY($C252)*86400/43560/1000*IF(MONTH($C252)=8,$P$3,IF(MONTH($C252)=9,$P$4,IF(MONTH($C252)=10,$P$5,IF(MONTH($C252)=11,$P$6,IF(MONTH($C252)=12,$P$7,NA())))))</f>
        <v>11.131010681656766</v>
      </c>
    </row>
    <row r="253" spans="1:28" x14ac:dyDescent="0.3">
      <c r="A253" s="32">
        <f>VLOOKUP(YEAR(C253),Flags!$A$13:$B$95,2,FALSE)</f>
        <v>3</v>
      </c>
      <c r="B253" s="24">
        <f t="shared" si="328"/>
        <v>1948</v>
      </c>
      <c r="C253" s="25">
        <v>17806</v>
      </c>
      <c r="D253" s="26"/>
      <c r="E253" s="24"/>
      <c r="F253" s="26"/>
      <c r="G253" s="24"/>
      <c r="H253" s="24"/>
      <c r="I253" s="26"/>
      <c r="J253" s="24"/>
      <c r="K253" s="26">
        <f>VLOOKUP($C253,COS!$B$8:$H$991,2,FALSE)</f>
        <v>3400</v>
      </c>
      <c r="L253" s="24">
        <f t="shared" ref="L253" si="404">IF(AND(K253&gt;$I$7,K253&lt;$I$8),1,0)</f>
        <v>1</v>
      </c>
      <c r="M253" s="24"/>
      <c r="N253" s="26"/>
      <c r="O253" s="26"/>
      <c r="P253" s="26"/>
      <c r="Q253" s="26"/>
      <c r="R253" s="26"/>
      <c r="S253" s="26"/>
      <c r="T253" s="26"/>
      <c r="U253" s="26"/>
      <c r="V253" s="26"/>
      <c r="W253" s="26">
        <f>MAX($C$8-VLOOKUP($C253,COS!$B$8:$H$991,3,FALSE),0)</f>
        <v>376.82568359375</v>
      </c>
      <c r="X253" s="26">
        <f t="shared" si="347"/>
        <v>22.422685304752068</v>
      </c>
      <c r="Y253" s="26">
        <f>VLOOKUP($C253,COS!$B$8:$H$991,4,FALSE)</f>
        <v>0</v>
      </c>
      <c r="Z253" s="26">
        <f t="shared" si="348"/>
        <v>0</v>
      </c>
      <c r="AA253" s="26">
        <f t="shared" si="402"/>
        <v>0</v>
      </c>
      <c r="AB253" s="33">
        <f t="shared" si="345"/>
        <v>0</v>
      </c>
    </row>
    <row r="254" spans="1:28" x14ac:dyDescent="0.3">
      <c r="A254" s="32">
        <f>VLOOKUP(YEAR(C254),Flags!$A$13:$B$95,2,FALSE)</f>
        <v>3</v>
      </c>
      <c r="B254" s="24">
        <f t="shared" si="328"/>
        <v>1948</v>
      </c>
      <c r="C254" s="25">
        <v>17837</v>
      </c>
      <c r="D254" s="26"/>
      <c r="E254" s="24"/>
      <c r="F254" s="26"/>
      <c r="G254" s="26"/>
      <c r="H254" s="26"/>
      <c r="I254" s="26"/>
      <c r="J254" s="26"/>
      <c r="K254" s="26"/>
      <c r="L254" s="24"/>
      <c r="M254" s="24"/>
      <c r="N254" s="26"/>
      <c r="O254" s="26"/>
      <c r="P254" s="26"/>
      <c r="Q254" s="26"/>
      <c r="R254" s="26"/>
      <c r="S254" s="26"/>
      <c r="T254" s="26"/>
      <c r="U254" s="26"/>
      <c r="V254" s="26"/>
      <c r="W254" s="26">
        <f>MAX($C$9-VLOOKUP($C254,COS!$B$8:$H$991,3,FALSE),0)</f>
        <v>0</v>
      </c>
      <c r="X254" s="26">
        <f t="shared" si="347"/>
        <v>0</v>
      </c>
      <c r="Y254" s="26">
        <f>VLOOKUP($C254,COS!$B$8:$H$991,4,FALSE)</f>
        <v>756.62615966796875</v>
      </c>
      <c r="Z254" s="26">
        <f t="shared" si="348"/>
        <v>46.523129156443694</v>
      </c>
      <c r="AA254" s="26">
        <f t="shared" si="402"/>
        <v>0</v>
      </c>
      <c r="AB254" s="33">
        <f t="shared" si="345"/>
        <v>0</v>
      </c>
    </row>
    <row r="255" spans="1:28" x14ac:dyDescent="0.3">
      <c r="A255" s="32">
        <f>VLOOKUP(YEAR(C255),Flags!$A$13:$B$95,2,FALSE)</f>
        <v>3</v>
      </c>
      <c r="B255" s="24">
        <f t="shared" si="328"/>
        <v>1948</v>
      </c>
      <c r="C255" s="25">
        <v>17867</v>
      </c>
      <c r="D255" s="26"/>
      <c r="E255" s="24"/>
      <c r="F255" s="26"/>
      <c r="G255" s="26"/>
      <c r="H255" s="26"/>
      <c r="I255" s="26"/>
      <c r="J255" s="26"/>
      <c r="K255" s="26"/>
      <c r="L255" s="24"/>
      <c r="M255" s="24"/>
      <c r="N255" s="26"/>
      <c r="O255" s="26"/>
      <c r="P255" s="26"/>
      <c r="Q255" s="26"/>
      <c r="R255" s="26"/>
      <c r="S255" s="26"/>
      <c r="T255" s="26"/>
      <c r="U255" s="26"/>
      <c r="V255" s="26"/>
      <c r="W255" s="26">
        <f>MAX($C$10-VLOOKUP($C255,COS!$B$8:$H$991,3,FALSE),0)</f>
        <v>684.03125</v>
      </c>
      <c r="X255" s="26">
        <f t="shared" si="347"/>
        <v>40.702685950413226</v>
      </c>
      <c r="Y255" s="26">
        <f>VLOOKUP($C255,COS!$B$8:$H$991,4,FALSE)</f>
        <v>1042.5562744140625</v>
      </c>
      <c r="Z255" s="26">
        <f t="shared" si="348"/>
        <v>62.036406411415285</v>
      </c>
      <c r="AA255" s="26">
        <f t="shared" si="402"/>
        <v>684.03125</v>
      </c>
      <c r="AB255" s="33">
        <f t="shared" si="345"/>
        <v>40.702685950413226</v>
      </c>
    </row>
    <row r="256" spans="1:28" x14ac:dyDescent="0.3">
      <c r="A256" s="34">
        <f>VLOOKUP(YEAR(C256),Flags!$A$13:$B$95,2,FALSE)</f>
        <v>3</v>
      </c>
      <c r="B256" s="35">
        <f t="shared" si="328"/>
        <v>1948</v>
      </c>
      <c r="C256" s="36">
        <v>17898</v>
      </c>
      <c r="D256" s="37"/>
      <c r="E256" s="35"/>
      <c r="F256" s="37"/>
      <c r="G256" s="37"/>
      <c r="H256" s="37"/>
      <c r="I256" s="37"/>
      <c r="J256" s="37"/>
      <c r="K256" s="37"/>
      <c r="L256" s="35"/>
      <c r="M256" s="35"/>
      <c r="N256" s="37"/>
      <c r="O256" s="37"/>
      <c r="P256" s="37"/>
      <c r="Q256" s="37"/>
      <c r="R256" s="37"/>
      <c r="S256" s="37"/>
      <c r="T256" s="37"/>
      <c r="U256" s="37"/>
      <c r="V256" s="37"/>
      <c r="W256" s="37">
        <f>MAX($C$11-VLOOKUP($C256,COS!$B$8:$H$991,3,FALSE),0)</f>
        <v>1750</v>
      </c>
      <c r="X256" s="37">
        <f t="shared" si="347"/>
        <v>107.60330578512398</v>
      </c>
      <c r="Y256" s="37">
        <f>VLOOKUP($C256,COS!$B$8:$H$991,4,FALSE)</f>
        <v>1411.7911376953125</v>
      </c>
      <c r="Z256" s="37">
        <f t="shared" si="348"/>
        <v>86.807653425232431</v>
      </c>
      <c r="AA256" s="37">
        <f t="shared" si="402"/>
        <v>1411.7911376953125</v>
      </c>
      <c r="AB256" s="38">
        <f t="shared" si="345"/>
        <v>86.807653425232431</v>
      </c>
    </row>
    <row r="257" spans="1:28" x14ac:dyDescent="0.3">
      <c r="A257" s="27">
        <f>VLOOKUP(YEAR(C257),Flags!$A$13:$B$95,2,FALSE)</f>
        <v>4</v>
      </c>
      <c r="B257" s="28">
        <f t="shared" si="328"/>
        <v>1949</v>
      </c>
      <c r="C257" s="29">
        <v>18018</v>
      </c>
      <c r="D257" s="30">
        <f>VLOOKUP($C257,COS!$B$8:$H$991,3,FALSE)</f>
        <v>3250</v>
      </c>
      <c r="E257" s="28">
        <f>IF(D257&gt;=IF(MONTH($C257)=4,$C$3,IF(MONTH($C257)=5,$C$4,IF(MONTH($C257)=6,$C$5,IF(MONTH($C257)=7,$C$6,"ERROR")))),1,0)</f>
        <v>0</v>
      </c>
      <c r="F257" s="30">
        <f>VLOOKUP($C257,COS!$B$8:$H$991,7,FALSE)</f>
        <v>51.698932647705078</v>
      </c>
      <c r="G257" s="28">
        <f>IF(F257&lt;=IF(MONTH($C257)=4,$F$3,IF(MONTH($C257)=5,$F$4,IF(MONTH($C257)=6,$F$5,IF(MONTH($C257)=7,$F$6,"ERROR")))),1,0)</f>
        <v>1</v>
      </c>
      <c r="H257" s="30">
        <f>IF(J257=1,D257-$C$3,0)</f>
        <v>0</v>
      </c>
      <c r="I257" s="30">
        <f t="shared" si="342"/>
        <v>0</v>
      </c>
      <c r="J257" s="28">
        <f t="shared" ref="J257:J260" si="405">IF(AND(E257=1,G257=1),1,0)</f>
        <v>0</v>
      </c>
      <c r="K257" s="30">
        <f>VLOOKUP($C257,COS!$B$8:$H$991,2,FALSE)</f>
        <v>4435.89990234375</v>
      </c>
      <c r="L257" s="28">
        <f t="shared" ref="L257" si="406">IF(K257&lt;=IF(MONTH($C257)=4,$I$3,IF(MONTH($C257)=5,$I$4,IF(MONTH($C257)=6,$I$5,IF(MONTH($C257)=7,$I$6,"ERROR")))),1,0)</f>
        <v>1</v>
      </c>
      <c r="M257" s="28">
        <f t="shared" ref="M257" si="407">VLOOKUP($A257,$L$3:$M$7,2,FALSE)</f>
        <v>1</v>
      </c>
      <c r="N257" s="30">
        <f>VLOOKUP($C257,COS!$B$8:$H$991,5,FALSE)</f>
        <v>261.805908203125</v>
      </c>
      <c r="O257" s="30">
        <f t="shared" ref="O257:O260" si="408">N257*DAY($C257)*86400/43560/1000</f>
        <v>15.578533380681819</v>
      </c>
      <c r="P257" s="30">
        <f>VLOOKUP($C257,COS!$B$8:$H$991,6,FALSE)</f>
        <v>454.90377807617188</v>
      </c>
      <c r="Q257" s="30">
        <f t="shared" ref="Q257:Q260" si="409">P257*DAY($C257)*86400/43560/1000</f>
        <v>27.068654563210227</v>
      </c>
      <c r="R257" s="30">
        <f>MIN(IF(MONTH($C257)=4,$S$3,IF(MONTH($C257)=5,$S$4,IF(MONTH($C257)=6,$S$5,IF(MONTH($C257)=7,$S$6,"ERROR")))),MAX(VLOOKUP($C257,COS!$B$8:$K$991,10,FALSE)-IF(MONTH($C257)=4,$Y$3,IF(MONTH($C257)=5,$Y$4,IF(MONTH($C257)=6,$Y$5,IF(MONTH($C257)=7,$Y$6,"ERROR")))),0),MAX(VLOOKUP($C257,COS!$B$8:$K$991,9,FALSE)-IF(MONTH($C257)=4,$V$3,IF(MONTH($C257)=5,$V$4,IF(MONTH($C257)=6,$V$5,IF(MONTH($C257)=7,$V$6,"ERROR"))))-VLOOKUP($C257,COS!$B$8:$K$991,6,FALSE)/2,0))</f>
        <v>1500</v>
      </c>
      <c r="S257" s="30">
        <f t="shared" ref="S257:S260" si="410">R257*DAY($C257)*86400/43560/1000</f>
        <v>89.256198347107429</v>
      </c>
      <c r="T257" s="30">
        <f t="shared" ref="T257:T260" si="411">(O257+Q257)/2+S257</f>
        <v>110.57979231905345</v>
      </c>
      <c r="U257" s="30" t="str">
        <f>IF(VLOOKUP($C257,COS!$B$8:$I$991,8,FALSE)=1,"UWFE","IBU")</f>
        <v>UWFE</v>
      </c>
      <c r="V257" s="30">
        <f t="shared" ref="V257" si="412">MIN(IF(IF($AA$3=2,AND(E257=1,G257=1,L257=1,L262=1,M257=1,U257="IBU"),AND(E257=1,G257=1,L257=1,L262=1,M257=1)),T257,0),I257)</f>
        <v>0</v>
      </c>
      <c r="W257" s="30"/>
      <c r="X257" s="30"/>
      <c r="Y257" s="30"/>
      <c r="Z257" s="30"/>
      <c r="AA257" s="30"/>
      <c r="AB257" s="31"/>
    </row>
    <row r="258" spans="1:28" x14ac:dyDescent="0.3">
      <c r="A258" s="32">
        <f>VLOOKUP(YEAR(C258),Flags!$A$13:$B$95,2,FALSE)</f>
        <v>4</v>
      </c>
      <c r="B258" s="24">
        <f t="shared" si="328"/>
        <v>1949</v>
      </c>
      <c r="C258" s="25">
        <v>18049</v>
      </c>
      <c r="D258" s="26">
        <f>VLOOKUP($C258,COS!$B$8:$H$991,3,FALSE)</f>
        <v>6600.49267578125</v>
      </c>
      <c r="E258" s="24">
        <f>IF(D258&gt;=IF(MONTH($C258)=4,$C$3,IF(MONTH($C258)=5,$C$4,IF(MONTH($C258)=6,$C$5,IF(MONTH($C258)=7,$C$6,"ERROR")))),1,0)</f>
        <v>1</v>
      </c>
      <c r="F258" s="26">
        <f>VLOOKUP($C258,COS!$B$8:$H$991,7,FALSE)</f>
        <v>50.530754089355469</v>
      </c>
      <c r="G258" s="24">
        <f>IF(F258&lt;=IF(MONTH($C258)=4,$F$3,IF(MONTH($C258)=5,$F$4,IF(MONTH($C258)=6,$F$5,IF(MONTH($C258)=7,$F$6,"ERROR")))),1,0)</f>
        <v>1</v>
      </c>
      <c r="H258" s="26">
        <f>IF(J258=1,D258-$C$4,0)</f>
        <v>600.49267578125</v>
      </c>
      <c r="I258" s="26">
        <f t="shared" si="342"/>
        <v>36.922855436466939</v>
      </c>
      <c r="J258" s="24">
        <f t="shared" si="405"/>
        <v>1</v>
      </c>
      <c r="K258" s="26">
        <f>VLOOKUP($C258,COS!$B$8:$H$991,2,FALSE)</f>
        <v>4429.88037109375</v>
      </c>
      <c r="L258" s="24">
        <f t="shared" si="333"/>
        <v>1</v>
      </c>
      <c r="M258" s="24">
        <f t="shared" si="334"/>
        <v>1</v>
      </c>
      <c r="N258" s="26">
        <f>VLOOKUP($C258,COS!$B$8:$H$991,5,FALSE)</f>
        <v>565.04315185546875</v>
      </c>
      <c r="O258" s="26">
        <f t="shared" si="408"/>
        <v>34.743149171939564</v>
      </c>
      <c r="P258" s="26">
        <f>VLOOKUP($C258,COS!$B$8:$H$991,6,FALSE)</f>
        <v>2066.162353515625</v>
      </c>
      <c r="Q258" s="26">
        <f t="shared" si="409"/>
        <v>127.04337115831612</v>
      </c>
      <c r="R258" s="26">
        <f>MIN(IF(MONTH($C258)=4,$S$3,IF(MONTH($C258)=5,$S$4,IF(MONTH($C258)=6,$S$5,IF(MONTH($C258)=7,$S$6,"ERROR")))),MAX(VLOOKUP($C258,COS!$B$8:$K$991,10,FALSE)-IF(MONTH($C258)=4,$Y$3,IF(MONTH($C258)=5,$Y$4,IF(MONTH($C258)=6,$Y$5,IF(MONTH($C258)=7,$Y$6,"ERROR")))),0),MAX(VLOOKUP($C258,COS!$B$8:$K$991,9,FALSE)-IF(MONTH($C258)=4,$V$3,IF(MONTH($C258)=5,$V$4,IF(MONTH($C258)=6,$V$5,IF(MONTH($C258)=7,$V$6,"ERROR"))))-VLOOKUP($C258,COS!$B$8:$K$991,6,FALSE)/2,0))</f>
        <v>1500</v>
      </c>
      <c r="S258" s="26">
        <f t="shared" si="410"/>
        <v>92.231404958677686</v>
      </c>
      <c r="T258" s="26">
        <f t="shared" si="411"/>
        <v>173.12466512380553</v>
      </c>
      <c r="U258" s="26" t="str">
        <f>IF(VLOOKUP($C258,COS!$B$8:$I$991,8,FALSE)=1,"UWFE","IBU")</f>
        <v>UWFE</v>
      </c>
      <c r="V258" s="26">
        <f t="shared" ref="V258" si="413">MIN(IF(IF($AA$3=2,AND(E258=1,G258=1,L258=1,L262=1,M258=1,U258="IBU"),AND(E258=1,G258=1,L258=1,L262=1,M258=1)),T258,0),I258)</f>
        <v>0</v>
      </c>
      <c r="W258" s="26"/>
      <c r="X258" s="26"/>
      <c r="Y258" s="26"/>
      <c r="Z258" s="26"/>
      <c r="AA258" s="26"/>
      <c r="AB258" s="33"/>
    </row>
    <row r="259" spans="1:28" x14ac:dyDescent="0.3">
      <c r="A259" s="32">
        <f>VLOOKUP(YEAR(C259),Flags!$A$13:$B$95,2,FALSE)</f>
        <v>4</v>
      </c>
      <c r="B259" s="24">
        <f t="shared" si="328"/>
        <v>1949</v>
      </c>
      <c r="C259" s="25">
        <v>18079</v>
      </c>
      <c r="D259" s="26">
        <f>VLOOKUP($C259,COS!$B$8:$H$991,3,FALSE)</f>
        <v>9891.2216796875</v>
      </c>
      <c r="E259" s="24">
        <f>IF(D259&gt;=IF(MONTH($C259)=4,$C$3,IF(MONTH($C259)=5,$C$4,IF(MONTH($C259)=6,$C$5,IF(MONTH($C259)=7,$C$6,"ERROR")))),1,0)</f>
        <v>0</v>
      </c>
      <c r="F259" s="26">
        <f>VLOOKUP($C259,COS!$B$8:$H$991,7,FALSE)</f>
        <v>51.359127044677734</v>
      </c>
      <c r="G259" s="24">
        <f>IF(F259&lt;=IF(MONTH($C259)=4,$F$3,IF(MONTH($C259)=5,$F$4,IF(MONTH($C259)=6,$F$5,IF(MONTH($C259)=7,$F$6,"ERROR")))),1,0)</f>
        <v>1</v>
      </c>
      <c r="H259" s="26">
        <f>IF(J259=1,D259-$C$5,0)</f>
        <v>0</v>
      </c>
      <c r="I259" s="26">
        <f t="shared" si="342"/>
        <v>0</v>
      </c>
      <c r="J259" s="24">
        <f t="shared" si="405"/>
        <v>0</v>
      </c>
      <c r="K259" s="26">
        <f>VLOOKUP($C259,COS!$B$8:$H$991,2,FALSE)</f>
        <v>4039.34130859375</v>
      </c>
      <c r="L259" s="24">
        <f t="shared" si="333"/>
        <v>1</v>
      </c>
      <c r="M259" s="24">
        <f t="shared" si="334"/>
        <v>1</v>
      </c>
      <c r="N259" s="26">
        <f>VLOOKUP($C259,COS!$B$8:$H$991,5,FALSE)</f>
        <v>696.944580078125</v>
      </c>
      <c r="O259" s="26">
        <f t="shared" si="408"/>
        <v>41.47108245092975</v>
      </c>
      <c r="P259" s="26">
        <f>VLOOKUP($C259,COS!$B$8:$H$991,6,FALSE)</f>
        <v>2712.6806640625</v>
      </c>
      <c r="Q259" s="26">
        <f t="shared" si="409"/>
        <v>161.41570893595042</v>
      </c>
      <c r="R259" s="26">
        <f>MIN(IF(MONTH($C259)=4,$S$3,IF(MONTH($C259)=5,$S$4,IF(MONTH($C259)=6,$S$5,IF(MONTH($C259)=7,$S$6,"ERROR")))),MAX(VLOOKUP($C259,COS!$B$8:$K$991,10,FALSE)-IF(MONTH($C259)=4,$Y$3,IF(MONTH($C259)=5,$Y$4,IF(MONTH($C259)=6,$Y$5,IF(MONTH($C259)=7,$Y$6,"ERROR")))),0),MAX(VLOOKUP($C259,COS!$B$8:$K$991,9,FALSE)-IF(MONTH($C259)=4,$V$3,IF(MONTH($C259)=5,$V$4,IF(MONTH($C259)=6,$V$5,IF(MONTH($C259)=7,$V$6,"ERROR"))))-VLOOKUP($C259,COS!$B$8:$K$991,6,FALSE)/2,0))</f>
        <v>1500</v>
      </c>
      <c r="S259" s="26">
        <f t="shared" si="410"/>
        <v>89.256198347107429</v>
      </c>
      <c r="T259" s="26">
        <f t="shared" si="411"/>
        <v>190.69959404054751</v>
      </c>
      <c r="U259" s="26" t="str">
        <f>IF(VLOOKUP($C259,COS!$B$8:$I$991,8,FALSE)=1,"UWFE","IBU")</f>
        <v>IBU</v>
      </c>
      <c r="V259" s="26">
        <f t="shared" ref="V259" si="414">MIN(IF(IF($AA$3=2,AND(E259=1,G259=1,L259=1,L262=1,M259=1,U259="IBU"),AND(E259=1,G259=1,L259=1,L262=1,M259=1)),T259,0),I259)</f>
        <v>0</v>
      </c>
      <c r="W259" s="26"/>
      <c r="X259" s="26"/>
      <c r="Y259" s="26"/>
      <c r="Z259" s="26"/>
      <c r="AA259" s="26"/>
      <c r="AB259" s="33"/>
    </row>
    <row r="260" spans="1:28" x14ac:dyDescent="0.3">
      <c r="A260" s="32">
        <f>VLOOKUP(YEAR(C260),Flags!$A$13:$B$95,2,FALSE)</f>
        <v>4</v>
      </c>
      <c r="B260" s="24">
        <f t="shared" si="328"/>
        <v>1949</v>
      </c>
      <c r="C260" s="25">
        <v>18110</v>
      </c>
      <c r="D260" s="26">
        <f>VLOOKUP($C260,COS!$B$8:$H$991,3,FALSE)</f>
        <v>14543.4052734375</v>
      </c>
      <c r="E260" s="24">
        <f>IF(D260&gt;=IF(MONTH($C260)=4,$C$3,IF(MONTH($C260)=5,$C$4,IF(MONTH($C260)=6,$C$5,IF(MONTH($C260)=7,$C$6,"ERROR")))),1,0)</f>
        <v>1</v>
      </c>
      <c r="F260" s="26">
        <f>VLOOKUP($C260,COS!$B$8:$H$991,7,FALSE)</f>
        <v>50.889629364013672</v>
      </c>
      <c r="G260" s="24">
        <f>IF(F260&lt;=IF(MONTH($C260)=4,$F$3,IF(MONTH($C260)=5,$F$4,IF(MONTH($C260)=6,$F$5,IF(MONTH($C260)=7,$F$6,"ERROR")))),1,0)</f>
        <v>1</v>
      </c>
      <c r="H260" s="26">
        <f>IF(J260=1,D260-$C$6,0)</f>
        <v>2543.4052734375</v>
      </c>
      <c r="I260" s="26">
        <f t="shared" si="342"/>
        <v>156.38789449896694</v>
      </c>
      <c r="J260" s="24">
        <f t="shared" si="405"/>
        <v>1</v>
      </c>
      <c r="K260" s="26">
        <f>VLOOKUP($C260,COS!$B$8:$H$991,2,FALSE)</f>
        <v>3385.65673828125</v>
      </c>
      <c r="L260" s="24">
        <f t="shared" si="333"/>
        <v>1</v>
      </c>
      <c r="M260" s="24">
        <f t="shared" si="334"/>
        <v>1</v>
      </c>
      <c r="N260" s="26">
        <f>VLOOKUP($C260,COS!$B$8:$H$991,5,FALSE)</f>
        <v>761.88348388671875</v>
      </c>
      <c r="O260" s="26">
        <f t="shared" si="408"/>
        <v>46.846389422456092</v>
      </c>
      <c r="P260" s="26">
        <f>VLOOKUP($C260,COS!$B$8:$H$991,6,FALSE)</f>
        <v>2538.07568359375</v>
      </c>
      <c r="Q260" s="26">
        <f t="shared" si="409"/>
        <v>156.06019079287191</v>
      </c>
      <c r="R260" s="26">
        <f>MIN(IF(MONTH($C260)=4,$S$3,IF(MONTH($C260)=5,$S$4,IF(MONTH($C260)=6,$S$5,IF(MONTH($C260)=7,$S$6,"ERROR")))),MAX(VLOOKUP($C260,COS!$B$8:$K$991,10,FALSE)-IF(MONTH($C260)=4,$Y$3,IF(MONTH($C260)=5,$Y$4,IF(MONTH($C260)=6,$Y$5,IF(MONTH($C260)=7,$Y$6,"ERROR")))),0),MAX(VLOOKUP($C260,COS!$B$8:$K$991,9,FALSE)-IF(MONTH($C260)=4,$V$3,IF(MONTH($C260)=5,$V$4,IF(MONTH($C260)=6,$V$5,IF(MONTH($C260)=7,$V$6,"ERROR"))))-VLOOKUP($C260,COS!$B$8:$K$991,6,FALSE)/2,0))</f>
        <v>1500</v>
      </c>
      <c r="S260" s="26">
        <f t="shared" si="410"/>
        <v>92.231404958677686</v>
      </c>
      <c r="T260" s="26">
        <f t="shared" si="411"/>
        <v>193.6846950663417</v>
      </c>
      <c r="U260" s="26" t="str">
        <f>IF(VLOOKUP($C260,COS!$B$8:$I$991,8,FALSE)=1,"UWFE","IBU")</f>
        <v>IBU</v>
      </c>
      <c r="V260" s="26">
        <f t="shared" ref="V260" si="415">MIN(IF(IF($AA$3=2,AND(E260=1,G260=1,L260=1,L262=1,M260=1,U260="IBU"),AND(E260=1,G260=1,L260=1,L262=1,M260=1)),T260,0),I260)</f>
        <v>156.38789449896694</v>
      </c>
      <c r="W260" s="26"/>
      <c r="X260" s="26"/>
      <c r="Y260" s="26"/>
      <c r="Z260" s="26"/>
      <c r="AA260" s="26"/>
      <c r="AB260" s="33"/>
    </row>
    <row r="261" spans="1:28" x14ac:dyDescent="0.3">
      <c r="A261" s="32">
        <f>VLOOKUP(YEAR(C261),Flags!$A$13:$B$95,2,FALSE)</f>
        <v>4</v>
      </c>
      <c r="B261" s="24">
        <f t="shared" si="328"/>
        <v>1949</v>
      </c>
      <c r="C261" s="25">
        <v>18141</v>
      </c>
      <c r="D261" s="26"/>
      <c r="E261" s="24"/>
      <c r="F261" s="26"/>
      <c r="G261" s="24"/>
      <c r="H261" s="24"/>
      <c r="I261" s="26"/>
      <c r="J261" s="24"/>
      <c r="K261" s="26"/>
      <c r="L261" s="24"/>
      <c r="M261" s="24"/>
      <c r="N261" s="26"/>
      <c r="O261" s="26"/>
      <c r="P261" s="26"/>
      <c r="Q261" s="26"/>
      <c r="R261" s="26"/>
      <c r="S261" s="26"/>
      <c r="T261" s="26"/>
      <c r="U261" s="26"/>
      <c r="V261" s="26"/>
      <c r="W261" s="26">
        <f>MAX($C$7-VLOOKUP($C261,COS!$B$8:$H$991,3,FALSE),0)</f>
        <v>2978.3701171875</v>
      </c>
      <c r="X261" s="26">
        <f t="shared" si="347"/>
        <v>183.13284026342973</v>
      </c>
      <c r="Y261" s="26">
        <f>VLOOKUP($C261,COS!$B$8:$H$991,4,FALSE)</f>
        <v>2030.735107421875</v>
      </c>
      <c r="Z261" s="26">
        <f t="shared" si="348"/>
        <v>124.86503470428718</v>
      </c>
      <c r="AA261" s="26">
        <f t="shared" ref="AA261:AA265" si="416">MIN(W261,Y261)</f>
        <v>2030.735107421875</v>
      </c>
      <c r="AB261" s="33">
        <f t="shared" ref="AB261" si="417">AA261*DAY($C261)*86400/43560/1000*IF(MONTH($C261)=8,$P$3,IF(MONTH($C261)=9,$P$4,IF(MONTH($C261)=10,$P$5,IF(MONTH($C261)=11,$P$6,IF(MONTH($C261)=12,$P$7,NA())))))</f>
        <v>124.86503470428718</v>
      </c>
    </row>
    <row r="262" spans="1:28" x14ac:dyDescent="0.3">
      <c r="A262" s="32">
        <f>VLOOKUP(YEAR(C262),Flags!$A$13:$B$95,2,FALSE)</f>
        <v>4</v>
      </c>
      <c r="B262" s="24">
        <f t="shared" si="328"/>
        <v>1949</v>
      </c>
      <c r="C262" s="25">
        <v>18171</v>
      </c>
      <c r="D262" s="26"/>
      <c r="E262" s="24"/>
      <c r="F262" s="26"/>
      <c r="G262" s="24"/>
      <c r="H262" s="24"/>
      <c r="I262" s="26"/>
      <c r="J262" s="24"/>
      <c r="K262" s="26">
        <f>VLOOKUP($C262,COS!$B$8:$H$991,2,FALSE)</f>
        <v>3001.73291015625</v>
      </c>
      <c r="L262" s="24">
        <f t="shared" ref="L262" si="418">IF(AND(K262&gt;$I$7,K262&lt;$I$8),1,0)</f>
        <v>1</v>
      </c>
      <c r="M262" s="24"/>
      <c r="N262" s="26"/>
      <c r="O262" s="26"/>
      <c r="P262" s="26"/>
      <c r="Q262" s="26"/>
      <c r="R262" s="26"/>
      <c r="S262" s="26"/>
      <c r="T262" s="26"/>
      <c r="U262" s="26"/>
      <c r="V262" s="26"/>
      <c r="W262" s="26">
        <f>MAX($C$8-VLOOKUP($C262,COS!$B$8:$H$991,3,FALSE),0)</f>
        <v>940.001953125</v>
      </c>
      <c r="X262" s="26">
        <f t="shared" si="347"/>
        <v>55.934000516528926</v>
      </c>
      <c r="Y262" s="26">
        <f>VLOOKUP($C262,COS!$B$8:$H$991,4,FALSE)</f>
        <v>1015.7754516601563</v>
      </c>
      <c r="Z262" s="26">
        <f t="shared" si="348"/>
        <v>60.442836793001035</v>
      </c>
      <c r="AA262" s="26">
        <f t="shared" si="416"/>
        <v>940.001953125</v>
      </c>
      <c r="AB262" s="33">
        <f t="shared" si="345"/>
        <v>55.934000516528926</v>
      </c>
    </row>
    <row r="263" spans="1:28" x14ac:dyDescent="0.3">
      <c r="A263" s="32">
        <f>VLOOKUP(YEAR(C263),Flags!$A$13:$B$95,2,FALSE)</f>
        <v>4</v>
      </c>
      <c r="B263" s="24">
        <f t="shared" si="328"/>
        <v>1949</v>
      </c>
      <c r="C263" s="25">
        <v>18202</v>
      </c>
      <c r="D263" s="26"/>
      <c r="E263" s="24"/>
      <c r="F263" s="26"/>
      <c r="G263" s="26"/>
      <c r="H263" s="26"/>
      <c r="I263" s="26"/>
      <c r="J263" s="26"/>
      <c r="K263" s="26"/>
      <c r="L263" s="24"/>
      <c r="M263" s="24"/>
      <c r="N263" s="26"/>
      <c r="O263" s="26"/>
      <c r="P263" s="26"/>
      <c r="Q263" s="26"/>
      <c r="R263" s="26"/>
      <c r="S263" s="26"/>
      <c r="T263" s="26"/>
      <c r="U263" s="26"/>
      <c r="V263" s="26"/>
      <c r="W263" s="26">
        <f>MAX($C$9-VLOOKUP($C263,COS!$B$8:$H$991,3,FALSE),0)</f>
        <v>0</v>
      </c>
      <c r="X263" s="26">
        <f t="shared" si="347"/>
        <v>0</v>
      </c>
      <c r="Y263" s="26">
        <f>VLOOKUP($C263,COS!$B$8:$H$991,4,FALSE)</f>
        <v>1726.75830078125</v>
      </c>
      <c r="Z263" s="26">
        <f t="shared" si="348"/>
        <v>106.17422940340909</v>
      </c>
      <c r="AA263" s="26">
        <f t="shared" si="416"/>
        <v>0</v>
      </c>
      <c r="AB263" s="33">
        <f t="shared" si="345"/>
        <v>0</v>
      </c>
    </row>
    <row r="264" spans="1:28" x14ac:dyDescent="0.3">
      <c r="A264" s="32">
        <f>VLOOKUP(YEAR(C264),Flags!$A$13:$B$95,2,FALSE)</f>
        <v>4</v>
      </c>
      <c r="B264" s="24">
        <f t="shared" si="328"/>
        <v>1949</v>
      </c>
      <c r="C264" s="25">
        <v>18232</v>
      </c>
      <c r="D264" s="26"/>
      <c r="E264" s="24"/>
      <c r="F264" s="26"/>
      <c r="G264" s="26"/>
      <c r="H264" s="26"/>
      <c r="I264" s="26"/>
      <c r="J264" s="26"/>
      <c r="K264" s="26"/>
      <c r="L264" s="24"/>
      <c r="M264" s="24"/>
      <c r="N264" s="26"/>
      <c r="O264" s="26"/>
      <c r="P264" s="26"/>
      <c r="Q264" s="26"/>
      <c r="R264" s="26"/>
      <c r="S264" s="26"/>
      <c r="T264" s="26"/>
      <c r="U264" s="26"/>
      <c r="V264" s="26"/>
      <c r="W264" s="26">
        <f>MAX($C$10-VLOOKUP($C264,COS!$B$8:$H$991,3,FALSE),0)</f>
        <v>0</v>
      </c>
      <c r="X264" s="26">
        <f t="shared" si="347"/>
        <v>0</v>
      </c>
      <c r="Y264" s="26">
        <f>VLOOKUP($C264,COS!$B$8:$H$991,4,FALSE)</f>
        <v>814.205810546875</v>
      </c>
      <c r="Z264" s="26">
        <f t="shared" si="348"/>
        <v>48.448610214359505</v>
      </c>
      <c r="AA264" s="26">
        <f t="shared" si="416"/>
        <v>0</v>
      </c>
      <c r="AB264" s="33">
        <f t="shared" si="345"/>
        <v>0</v>
      </c>
    </row>
    <row r="265" spans="1:28" x14ac:dyDescent="0.3">
      <c r="A265" s="34">
        <f>VLOOKUP(YEAR(C265),Flags!$A$13:$B$95,2,FALSE)</f>
        <v>4</v>
      </c>
      <c r="B265" s="35">
        <f t="shared" si="328"/>
        <v>1949</v>
      </c>
      <c r="C265" s="36">
        <v>18263</v>
      </c>
      <c r="D265" s="37"/>
      <c r="E265" s="35"/>
      <c r="F265" s="37"/>
      <c r="G265" s="37"/>
      <c r="H265" s="37"/>
      <c r="I265" s="37"/>
      <c r="J265" s="37"/>
      <c r="K265" s="37"/>
      <c r="L265" s="35"/>
      <c r="M265" s="35"/>
      <c r="N265" s="37"/>
      <c r="O265" s="37"/>
      <c r="P265" s="37"/>
      <c r="Q265" s="37"/>
      <c r="R265" s="37"/>
      <c r="S265" s="37"/>
      <c r="T265" s="37"/>
      <c r="U265" s="37"/>
      <c r="V265" s="37"/>
      <c r="W265" s="37">
        <f>MAX($C$11-VLOOKUP($C265,COS!$B$8:$H$991,3,FALSE),0)</f>
        <v>1190.83203125</v>
      </c>
      <c r="X265" s="37">
        <f t="shared" si="347"/>
        <v>73.221407541322321</v>
      </c>
      <c r="Y265" s="37">
        <f>VLOOKUP($C265,COS!$B$8:$H$991,4,FALSE)</f>
        <v>1528.547607421875</v>
      </c>
      <c r="Z265" s="37">
        <f t="shared" si="348"/>
        <v>93.986728919163227</v>
      </c>
      <c r="AA265" s="37">
        <f t="shared" si="416"/>
        <v>1190.83203125</v>
      </c>
      <c r="AB265" s="38">
        <f t="shared" si="345"/>
        <v>73.221407541322321</v>
      </c>
    </row>
    <row r="266" spans="1:28" x14ac:dyDescent="0.3">
      <c r="A266" s="27">
        <f>VLOOKUP(YEAR(C266),Flags!$A$13:$B$95,2,FALSE)</f>
        <v>4</v>
      </c>
      <c r="B266" s="28">
        <f t="shared" si="328"/>
        <v>1950</v>
      </c>
      <c r="C266" s="29">
        <v>18383</v>
      </c>
      <c r="D266" s="30">
        <f>VLOOKUP($C266,COS!$B$8:$H$991,3,FALSE)</f>
        <v>3250</v>
      </c>
      <c r="E266" s="28">
        <f>IF(D266&gt;=IF(MONTH($C266)=4,$C$3,IF(MONTH($C266)=5,$C$4,IF(MONTH($C266)=6,$C$5,IF(MONTH($C266)=7,$C$6,"ERROR")))),1,0)</f>
        <v>0</v>
      </c>
      <c r="F266" s="30">
        <f>VLOOKUP($C266,COS!$B$8:$H$991,7,FALSE)</f>
        <v>51.198993682861328</v>
      </c>
      <c r="G266" s="28">
        <f>IF(F266&lt;=IF(MONTH($C266)=4,$F$3,IF(MONTH($C266)=5,$F$4,IF(MONTH($C266)=6,$F$5,IF(MONTH($C266)=7,$F$6,"ERROR")))),1,0)</f>
        <v>1</v>
      </c>
      <c r="H266" s="30">
        <f>IF(J266=1,D266-$C$3,0)</f>
        <v>0</v>
      </c>
      <c r="I266" s="30">
        <f t="shared" si="342"/>
        <v>0</v>
      </c>
      <c r="J266" s="28">
        <f t="shared" ref="J266:J269" si="419">IF(AND(E266=1,G266=1),1,0)</f>
        <v>0</v>
      </c>
      <c r="K266" s="30">
        <f>VLOOKUP($C266,COS!$B$8:$H$991,2,FALSE)</f>
        <v>4233.70751953125</v>
      </c>
      <c r="L266" s="28">
        <f t="shared" ref="L266" si="420">IF(K266&lt;=IF(MONTH($C266)=4,$I$3,IF(MONTH($C266)=5,$I$4,IF(MONTH($C266)=6,$I$5,IF(MONTH($C266)=7,$I$6,"ERROR")))),1,0)</f>
        <v>1</v>
      </c>
      <c r="M266" s="28">
        <f t="shared" ref="M266" si="421">VLOOKUP($A266,$L$3:$M$7,2,FALSE)</f>
        <v>1</v>
      </c>
      <c r="N266" s="30">
        <f>VLOOKUP($C266,COS!$B$8:$H$991,5,FALSE)</f>
        <v>269.705322265625</v>
      </c>
      <c r="O266" s="30">
        <f t="shared" ref="O266:O269" si="422">N266*DAY($C266)*86400/43560/1000</f>
        <v>16.048581159607437</v>
      </c>
      <c r="P266" s="30">
        <f>VLOOKUP($C266,COS!$B$8:$H$991,6,FALSE)</f>
        <v>500.60986328125</v>
      </c>
      <c r="Q266" s="30">
        <f t="shared" ref="Q266:Q269" si="423">P266*DAY($C266)*86400/43560/1000</f>
        <v>29.788355501033056</v>
      </c>
      <c r="R266" s="30">
        <f>MIN(IF(MONTH($C266)=4,$S$3,IF(MONTH($C266)=5,$S$4,IF(MONTH($C266)=6,$S$5,IF(MONTH($C266)=7,$S$6,"ERROR")))),MAX(VLOOKUP($C266,COS!$B$8:$K$991,10,FALSE)-IF(MONTH($C266)=4,$Y$3,IF(MONTH($C266)=5,$Y$4,IF(MONTH($C266)=6,$Y$5,IF(MONTH($C266)=7,$Y$6,"ERROR")))),0),MAX(VLOOKUP($C266,COS!$B$8:$K$991,9,FALSE)-IF(MONTH($C266)=4,$V$3,IF(MONTH($C266)=5,$V$4,IF(MONTH($C266)=6,$V$5,IF(MONTH($C266)=7,$V$6,"ERROR"))))-VLOOKUP($C266,COS!$B$8:$K$991,6,FALSE)/2,0))</f>
        <v>1500</v>
      </c>
      <c r="S266" s="30">
        <f t="shared" ref="S266:S269" si="424">R266*DAY($C266)*86400/43560/1000</f>
        <v>89.256198347107429</v>
      </c>
      <c r="T266" s="30">
        <f t="shared" ref="T266:T269" si="425">(O266+Q266)/2+S266</f>
        <v>112.17466667742767</v>
      </c>
      <c r="U266" s="30" t="str">
        <f>IF(VLOOKUP($C266,COS!$B$8:$I$991,8,FALSE)=1,"UWFE","IBU")</f>
        <v>UWFE</v>
      </c>
      <c r="V266" s="30">
        <f t="shared" ref="V266" si="426">MIN(IF(IF($AA$3=2,AND(E266=1,G266=1,L266=1,L271=1,M266=1,U266="IBU"),AND(E266=1,G266=1,L266=1,L271=1,M266=1)),T266,0),I266)</f>
        <v>0</v>
      </c>
      <c r="W266" s="30"/>
      <c r="X266" s="30"/>
      <c r="Y266" s="30"/>
      <c r="Z266" s="30"/>
      <c r="AA266" s="30"/>
      <c r="AB266" s="31"/>
    </row>
    <row r="267" spans="1:28" x14ac:dyDescent="0.3">
      <c r="A267" s="32">
        <f>VLOOKUP(YEAR(C267),Flags!$A$13:$B$95,2,FALSE)</f>
        <v>4</v>
      </c>
      <c r="B267" s="24">
        <f t="shared" si="328"/>
        <v>1950</v>
      </c>
      <c r="C267" s="25">
        <v>18414</v>
      </c>
      <c r="D267" s="26">
        <f>VLOOKUP($C267,COS!$B$8:$H$991,3,FALSE)</f>
        <v>6396.69482421875</v>
      </c>
      <c r="E267" s="24">
        <f>IF(D267&gt;=IF(MONTH($C267)=4,$C$3,IF(MONTH($C267)=5,$C$4,IF(MONTH($C267)=6,$C$5,IF(MONTH($C267)=7,$C$6,"ERROR")))),1,0)</f>
        <v>1</v>
      </c>
      <c r="F267" s="26">
        <f>VLOOKUP($C267,COS!$B$8:$H$991,7,FALSE)</f>
        <v>50.986736297607422</v>
      </c>
      <c r="G267" s="24">
        <f>IF(F267&lt;=IF(MONTH($C267)=4,$F$3,IF(MONTH($C267)=5,$F$4,IF(MONTH($C267)=6,$F$5,IF(MONTH($C267)=7,$F$6,"ERROR")))),1,0)</f>
        <v>1</v>
      </c>
      <c r="H267" s="26">
        <f>IF(J267=1,D267-$C$4,0)</f>
        <v>396.69482421875</v>
      </c>
      <c r="I267" s="26">
        <f t="shared" si="342"/>
        <v>24.391813985020661</v>
      </c>
      <c r="J267" s="24">
        <f t="shared" si="419"/>
        <v>1</v>
      </c>
      <c r="K267" s="26">
        <f>VLOOKUP($C267,COS!$B$8:$H$991,2,FALSE)</f>
        <v>4172.81884765625</v>
      </c>
      <c r="L267" s="24">
        <f t="shared" si="333"/>
        <v>1</v>
      </c>
      <c r="M267" s="24">
        <f t="shared" si="334"/>
        <v>1</v>
      </c>
      <c r="N267" s="26">
        <f>VLOOKUP($C267,COS!$B$8:$H$991,5,FALSE)</f>
        <v>221.03926086425781</v>
      </c>
      <c r="O267" s="26">
        <f t="shared" si="422"/>
        <v>13.59117438702544</v>
      </c>
      <c r="P267" s="26">
        <f>VLOOKUP($C267,COS!$B$8:$H$991,6,FALSE)</f>
        <v>2273.549072265625</v>
      </c>
      <c r="Q267" s="26">
        <f t="shared" si="423"/>
        <v>139.79508345170456</v>
      </c>
      <c r="R267" s="26">
        <f>MIN(IF(MONTH($C267)=4,$S$3,IF(MONTH($C267)=5,$S$4,IF(MONTH($C267)=6,$S$5,IF(MONTH($C267)=7,$S$6,"ERROR")))),MAX(VLOOKUP($C267,COS!$B$8:$K$991,10,FALSE)-IF(MONTH($C267)=4,$Y$3,IF(MONTH($C267)=5,$Y$4,IF(MONTH($C267)=6,$Y$5,IF(MONTH($C267)=7,$Y$6,"ERROR")))),0),MAX(VLOOKUP($C267,COS!$B$8:$K$991,9,FALSE)-IF(MONTH($C267)=4,$V$3,IF(MONTH($C267)=5,$V$4,IF(MONTH($C267)=6,$V$5,IF(MONTH($C267)=7,$V$6,"ERROR"))))-VLOOKUP($C267,COS!$B$8:$K$991,6,FALSE)/2,0))</f>
        <v>1500</v>
      </c>
      <c r="S267" s="26">
        <f t="shared" si="424"/>
        <v>92.231404958677686</v>
      </c>
      <c r="T267" s="26">
        <f t="shared" si="425"/>
        <v>168.92453387804267</v>
      </c>
      <c r="U267" s="26" t="str">
        <f>IF(VLOOKUP($C267,COS!$B$8:$I$991,8,FALSE)=1,"UWFE","IBU")</f>
        <v>UWFE</v>
      </c>
      <c r="V267" s="26">
        <f t="shared" ref="V267" si="427">MIN(IF(IF($AA$3=2,AND(E267=1,G267=1,L267=1,L271=1,M267=1,U267="IBU"),AND(E267=1,G267=1,L267=1,L271=1,M267=1)),T267,0),I267)</f>
        <v>0</v>
      </c>
      <c r="W267" s="26"/>
      <c r="X267" s="26"/>
      <c r="Y267" s="26"/>
      <c r="Z267" s="26"/>
      <c r="AA267" s="26"/>
      <c r="AB267" s="33"/>
    </row>
    <row r="268" spans="1:28" x14ac:dyDescent="0.3">
      <c r="A268" s="32">
        <f>VLOOKUP(YEAR(C268),Flags!$A$13:$B$95,2,FALSE)</f>
        <v>4</v>
      </c>
      <c r="B268" s="24">
        <f t="shared" si="328"/>
        <v>1950</v>
      </c>
      <c r="C268" s="25">
        <v>18444</v>
      </c>
      <c r="D268" s="26">
        <f>VLOOKUP($C268,COS!$B$8:$H$991,3,FALSE)</f>
        <v>8106.11865234375</v>
      </c>
      <c r="E268" s="24">
        <f>IF(D268&gt;=IF(MONTH($C268)=4,$C$3,IF(MONTH($C268)=5,$C$4,IF(MONTH($C268)=6,$C$5,IF(MONTH($C268)=7,$C$6,"ERROR")))),1,0)</f>
        <v>0</v>
      </c>
      <c r="F268" s="26">
        <f>VLOOKUP($C268,COS!$B$8:$H$991,7,FALSE)</f>
        <v>51.396080017089844</v>
      </c>
      <c r="G268" s="24">
        <f>IF(F268&lt;=IF(MONTH($C268)=4,$F$3,IF(MONTH($C268)=5,$F$4,IF(MONTH($C268)=6,$F$5,IF(MONTH($C268)=7,$F$6,"ERROR")))),1,0)</f>
        <v>1</v>
      </c>
      <c r="H268" s="26">
        <f>IF(J268=1,D268-$C$5,0)</f>
        <v>0</v>
      </c>
      <c r="I268" s="26">
        <f t="shared" si="342"/>
        <v>0</v>
      </c>
      <c r="J268" s="24">
        <f t="shared" si="419"/>
        <v>0</v>
      </c>
      <c r="K268" s="26">
        <f>VLOOKUP($C268,COS!$B$8:$H$991,2,FALSE)</f>
        <v>3898.8837890625</v>
      </c>
      <c r="L268" s="24">
        <f t="shared" si="333"/>
        <v>1</v>
      </c>
      <c r="M268" s="24">
        <f t="shared" si="334"/>
        <v>1</v>
      </c>
      <c r="N268" s="26">
        <f>VLOOKUP($C268,COS!$B$8:$H$991,5,FALSE)</f>
        <v>433.48184204101563</v>
      </c>
      <c r="O268" s="26">
        <f t="shared" si="422"/>
        <v>25.793960848721593</v>
      </c>
      <c r="P268" s="26">
        <f>VLOOKUP($C268,COS!$B$8:$H$991,6,FALSE)</f>
        <v>2603.512451171875</v>
      </c>
      <c r="Q268" s="26">
        <f t="shared" si="423"/>
        <v>154.91974916064049</v>
      </c>
      <c r="R268" s="26">
        <f>MIN(IF(MONTH($C268)=4,$S$3,IF(MONTH($C268)=5,$S$4,IF(MONTH($C268)=6,$S$5,IF(MONTH($C268)=7,$S$6,"ERROR")))),MAX(VLOOKUP($C268,COS!$B$8:$K$991,10,FALSE)-IF(MONTH($C268)=4,$Y$3,IF(MONTH($C268)=5,$Y$4,IF(MONTH($C268)=6,$Y$5,IF(MONTH($C268)=7,$Y$6,"ERROR")))),0),MAX(VLOOKUP($C268,COS!$B$8:$K$991,9,FALSE)-IF(MONTH($C268)=4,$V$3,IF(MONTH($C268)=5,$V$4,IF(MONTH($C268)=6,$V$5,IF(MONTH($C268)=7,$V$6,"ERROR"))))-VLOOKUP($C268,COS!$B$8:$K$991,6,FALSE)/2,0))</f>
        <v>1500</v>
      </c>
      <c r="S268" s="26">
        <f t="shared" si="424"/>
        <v>89.256198347107429</v>
      </c>
      <c r="T268" s="26">
        <f t="shared" si="425"/>
        <v>179.61305335178847</v>
      </c>
      <c r="U268" s="26" t="str">
        <f>IF(VLOOKUP($C268,COS!$B$8:$I$991,8,FALSE)=1,"UWFE","IBU")</f>
        <v>IBU</v>
      </c>
      <c r="V268" s="26">
        <f t="shared" ref="V268" si="428">MIN(IF(IF($AA$3=2,AND(E268=1,G268=1,L268=1,L271=1,M268=1,U268="IBU"),AND(E268=1,G268=1,L268=1,L271=1,M268=1)),T268,0),I268)</f>
        <v>0</v>
      </c>
      <c r="W268" s="26"/>
      <c r="X268" s="26"/>
      <c r="Y268" s="26"/>
      <c r="Z268" s="26"/>
      <c r="AA268" s="26"/>
      <c r="AB268" s="33"/>
    </row>
    <row r="269" spans="1:28" x14ac:dyDescent="0.3">
      <c r="A269" s="32">
        <f>VLOOKUP(YEAR(C269),Flags!$A$13:$B$95,2,FALSE)</f>
        <v>4</v>
      </c>
      <c r="B269" s="24">
        <f t="shared" si="328"/>
        <v>1950</v>
      </c>
      <c r="C269" s="25">
        <v>18475</v>
      </c>
      <c r="D269" s="26">
        <f>VLOOKUP($C269,COS!$B$8:$H$991,3,FALSE)</f>
        <v>9670.4365234375</v>
      </c>
      <c r="E269" s="24">
        <f>IF(D269&gt;=IF(MONTH($C269)=4,$C$3,IF(MONTH($C269)=5,$C$4,IF(MONTH($C269)=6,$C$5,IF(MONTH($C269)=7,$C$6,"ERROR")))),1,0)</f>
        <v>0</v>
      </c>
      <c r="F269" s="26">
        <f>VLOOKUP($C269,COS!$B$8:$H$991,7,FALSE)</f>
        <v>52.254299163818359</v>
      </c>
      <c r="G269" s="24">
        <f>IF(F269&lt;=IF(MONTH($C269)=4,$F$3,IF(MONTH($C269)=5,$F$4,IF(MONTH($C269)=6,$F$5,IF(MONTH($C269)=7,$F$6,"ERROR")))),1,0)</f>
        <v>1</v>
      </c>
      <c r="H269" s="26">
        <f>IF(J269=1,D269-$C$6,0)</f>
        <v>0</v>
      </c>
      <c r="I269" s="26">
        <f t="shared" si="342"/>
        <v>0</v>
      </c>
      <c r="J269" s="24">
        <f t="shared" si="419"/>
        <v>0</v>
      </c>
      <c r="K269" s="26">
        <f>VLOOKUP($C269,COS!$B$8:$H$991,2,FALSE)</f>
        <v>3515.872314453125</v>
      </c>
      <c r="L269" s="24">
        <f t="shared" si="333"/>
        <v>1</v>
      </c>
      <c r="M269" s="24">
        <f t="shared" si="334"/>
        <v>1</v>
      </c>
      <c r="N269" s="26">
        <f>VLOOKUP($C269,COS!$B$8:$H$991,5,FALSE)</f>
        <v>482.3499755859375</v>
      </c>
      <c r="O269" s="26">
        <f t="shared" si="422"/>
        <v>29.658543953383266</v>
      </c>
      <c r="P269" s="26">
        <f>VLOOKUP($C269,COS!$B$8:$H$991,6,FALSE)</f>
        <v>2632.5888671875</v>
      </c>
      <c r="Q269" s="26">
        <f t="shared" si="423"/>
        <v>161.87157993285126</v>
      </c>
      <c r="R269" s="26">
        <f>MIN(IF(MONTH($C269)=4,$S$3,IF(MONTH($C269)=5,$S$4,IF(MONTH($C269)=6,$S$5,IF(MONTH($C269)=7,$S$6,"ERROR")))),MAX(VLOOKUP($C269,COS!$B$8:$K$991,10,FALSE)-IF(MONTH($C269)=4,$Y$3,IF(MONTH($C269)=5,$Y$4,IF(MONTH($C269)=6,$Y$5,IF(MONTH($C269)=7,$Y$6,"ERROR")))),0),MAX(VLOOKUP($C269,COS!$B$8:$K$991,9,FALSE)-IF(MONTH($C269)=4,$V$3,IF(MONTH($C269)=5,$V$4,IF(MONTH($C269)=6,$V$5,IF(MONTH($C269)=7,$V$6,"ERROR"))))-VLOOKUP($C269,COS!$B$8:$K$991,6,FALSE)/2,0))</f>
        <v>1500</v>
      </c>
      <c r="S269" s="26">
        <f t="shared" si="424"/>
        <v>92.231404958677686</v>
      </c>
      <c r="T269" s="26">
        <f t="shared" si="425"/>
        <v>187.99646690179495</v>
      </c>
      <c r="U269" s="26" t="str">
        <f>IF(VLOOKUP($C269,COS!$B$8:$I$991,8,FALSE)=1,"UWFE","IBU")</f>
        <v>IBU</v>
      </c>
      <c r="V269" s="26">
        <f t="shared" ref="V269" si="429">MIN(IF(IF($AA$3=2,AND(E269=1,G269=1,L269=1,L271=1,M269=1,U269="IBU"),AND(E269=1,G269=1,L269=1,L271=1,M269=1)),T269,0),I269)</f>
        <v>0</v>
      </c>
      <c r="W269" s="26"/>
      <c r="X269" s="26"/>
      <c r="Y269" s="26"/>
      <c r="Z269" s="26"/>
      <c r="AA269" s="26"/>
      <c r="AB269" s="33"/>
    </row>
    <row r="270" spans="1:28" x14ac:dyDescent="0.3">
      <c r="A270" s="32">
        <f>VLOOKUP(YEAR(C270),Flags!$A$13:$B$95,2,FALSE)</f>
        <v>4</v>
      </c>
      <c r="B270" s="24">
        <f t="shared" si="328"/>
        <v>1950</v>
      </c>
      <c r="C270" s="25">
        <v>18506</v>
      </c>
      <c r="D270" s="26"/>
      <c r="E270" s="24"/>
      <c r="F270" s="26"/>
      <c r="G270" s="24"/>
      <c r="H270" s="24"/>
      <c r="I270" s="26"/>
      <c r="J270" s="24"/>
      <c r="K270" s="26"/>
      <c r="L270" s="24"/>
      <c r="M270" s="24"/>
      <c r="N270" s="26"/>
      <c r="O270" s="26"/>
      <c r="P270" s="26"/>
      <c r="Q270" s="26"/>
      <c r="R270" s="26"/>
      <c r="S270" s="26"/>
      <c r="T270" s="26"/>
      <c r="U270" s="26"/>
      <c r="V270" s="26"/>
      <c r="W270" s="26">
        <f>MAX($C$7-VLOOKUP($C270,COS!$B$8:$H$991,3,FALSE),0)</f>
        <v>2742.2333984375</v>
      </c>
      <c r="X270" s="26">
        <f t="shared" si="347"/>
        <v>168.61335937499999</v>
      </c>
      <c r="Y270" s="26">
        <f>VLOOKUP($C270,COS!$B$8:$H$991,4,FALSE)</f>
        <v>437.07077026367188</v>
      </c>
      <c r="Z270" s="26">
        <f t="shared" si="348"/>
        <v>26.874434138526603</v>
      </c>
      <c r="AA270" s="26">
        <f t="shared" ref="AA270:AA274" si="430">MIN(W270,Y270)</f>
        <v>437.07077026367188</v>
      </c>
      <c r="AB270" s="33">
        <f t="shared" ref="AB270" si="431">AA270*DAY($C270)*86400/43560/1000*IF(MONTH($C270)=8,$P$3,IF(MONTH($C270)=9,$P$4,IF(MONTH($C270)=10,$P$5,IF(MONTH($C270)=11,$P$6,IF(MONTH($C270)=12,$P$7,NA())))))</f>
        <v>26.874434138526603</v>
      </c>
    </row>
    <row r="271" spans="1:28" x14ac:dyDescent="0.3">
      <c r="A271" s="32">
        <f>VLOOKUP(YEAR(C271),Flags!$A$13:$B$95,2,FALSE)</f>
        <v>4</v>
      </c>
      <c r="B271" s="24">
        <f t="shared" ref="B271:B334" si="432">YEAR(C271)</f>
        <v>1950</v>
      </c>
      <c r="C271" s="25">
        <v>18536</v>
      </c>
      <c r="D271" s="26"/>
      <c r="E271" s="24"/>
      <c r="F271" s="26"/>
      <c r="G271" s="24"/>
      <c r="H271" s="24"/>
      <c r="I271" s="26"/>
      <c r="J271" s="24"/>
      <c r="K271" s="26">
        <f>VLOOKUP($C271,COS!$B$8:$H$991,2,FALSE)</f>
        <v>3133.93603515625</v>
      </c>
      <c r="L271" s="24">
        <f t="shared" ref="L271" si="433">IF(AND(K271&gt;$I$7,K271&lt;$I$8),1,0)</f>
        <v>1</v>
      </c>
      <c r="M271" s="24"/>
      <c r="N271" s="26"/>
      <c r="O271" s="26"/>
      <c r="P271" s="26"/>
      <c r="Q271" s="26"/>
      <c r="R271" s="26"/>
      <c r="S271" s="26"/>
      <c r="T271" s="26"/>
      <c r="U271" s="26"/>
      <c r="V271" s="26"/>
      <c r="W271" s="26">
        <f>MAX($C$8-VLOOKUP($C271,COS!$B$8:$H$991,3,FALSE),0)</f>
        <v>1236.51904296875</v>
      </c>
      <c r="X271" s="26">
        <f t="shared" si="347"/>
        <v>73.577992639462806</v>
      </c>
      <c r="Y271" s="26">
        <f>VLOOKUP($C271,COS!$B$8:$H$991,4,FALSE)</f>
        <v>0</v>
      </c>
      <c r="Z271" s="26">
        <f t="shared" si="348"/>
        <v>0</v>
      </c>
      <c r="AA271" s="26">
        <f t="shared" si="430"/>
        <v>0</v>
      </c>
      <c r="AB271" s="33">
        <f t="shared" si="345"/>
        <v>0</v>
      </c>
    </row>
    <row r="272" spans="1:28" x14ac:dyDescent="0.3">
      <c r="A272" s="32">
        <f>VLOOKUP(YEAR(C272),Flags!$A$13:$B$95,2,FALSE)</f>
        <v>4</v>
      </c>
      <c r="B272" s="24">
        <f t="shared" si="432"/>
        <v>1950</v>
      </c>
      <c r="C272" s="25">
        <v>18567</v>
      </c>
      <c r="D272" s="26"/>
      <c r="E272" s="24"/>
      <c r="F272" s="26"/>
      <c r="G272" s="26"/>
      <c r="H272" s="26"/>
      <c r="I272" s="26"/>
      <c r="J272" s="26"/>
      <c r="K272" s="26"/>
      <c r="L272" s="24"/>
      <c r="M272" s="24"/>
      <c r="N272" s="26"/>
      <c r="O272" s="26"/>
      <c r="P272" s="26"/>
      <c r="Q272" s="26"/>
      <c r="R272" s="26"/>
      <c r="S272" s="26"/>
      <c r="T272" s="26"/>
      <c r="U272" s="26"/>
      <c r="V272" s="26"/>
      <c r="W272" s="26">
        <f>MAX($C$9-VLOOKUP($C272,COS!$B$8:$H$991,3,FALSE),0)</f>
        <v>0</v>
      </c>
      <c r="X272" s="26">
        <f t="shared" si="347"/>
        <v>0</v>
      </c>
      <c r="Y272" s="26">
        <f>VLOOKUP($C272,COS!$B$8:$H$991,4,FALSE)</f>
        <v>1385.623291015625</v>
      </c>
      <c r="Z272" s="26">
        <f t="shared" si="348"/>
        <v>85.198655249225212</v>
      </c>
      <c r="AA272" s="26">
        <f t="shared" si="430"/>
        <v>0</v>
      </c>
      <c r="AB272" s="33">
        <f t="shared" si="345"/>
        <v>0</v>
      </c>
    </row>
    <row r="273" spans="1:28" x14ac:dyDescent="0.3">
      <c r="A273" s="32">
        <f>VLOOKUP(YEAR(C273),Flags!$A$13:$B$95,2,FALSE)</f>
        <v>4</v>
      </c>
      <c r="B273" s="24">
        <f t="shared" si="432"/>
        <v>1950</v>
      </c>
      <c r="C273" s="25">
        <v>18597</v>
      </c>
      <c r="D273" s="26"/>
      <c r="E273" s="24"/>
      <c r="F273" s="26"/>
      <c r="G273" s="26"/>
      <c r="H273" s="26"/>
      <c r="I273" s="26"/>
      <c r="J273" s="26"/>
      <c r="K273" s="26"/>
      <c r="L273" s="24"/>
      <c r="M273" s="24"/>
      <c r="N273" s="26"/>
      <c r="O273" s="26"/>
      <c r="P273" s="26"/>
      <c r="Q273" s="26"/>
      <c r="R273" s="26"/>
      <c r="S273" s="26"/>
      <c r="T273" s="26"/>
      <c r="U273" s="26"/>
      <c r="V273" s="26"/>
      <c r="W273" s="26">
        <f>MAX($C$10-VLOOKUP($C273,COS!$B$8:$H$991,3,FALSE),0)</f>
        <v>0</v>
      </c>
      <c r="X273" s="26">
        <f t="shared" si="347"/>
        <v>0</v>
      </c>
      <c r="Y273" s="26">
        <f>VLOOKUP($C273,COS!$B$8:$H$991,4,FALSE)</f>
        <v>0</v>
      </c>
      <c r="Z273" s="26">
        <f t="shared" si="348"/>
        <v>0</v>
      </c>
      <c r="AA273" s="26">
        <f t="shared" si="430"/>
        <v>0</v>
      </c>
      <c r="AB273" s="33">
        <f t="shared" si="345"/>
        <v>0</v>
      </c>
    </row>
    <row r="274" spans="1:28" x14ac:dyDescent="0.3">
      <c r="A274" s="34">
        <f>VLOOKUP(YEAR(C274),Flags!$A$13:$B$95,2,FALSE)</f>
        <v>4</v>
      </c>
      <c r="B274" s="35">
        <f t="shared" si="432"/>
        <v>1950</v>
      </c>
      <c r="C274" s="36">
        <v>18628</v>
      </c>
      <c r="D274" s="37"/>
      <c r="E274" s="35"/>
      <c r="F274" s="37"/>
      <c r="G274" s="37"/>
      <c r="H274" s="37"/>
      <c r="I274" s="37"/>
      <c r="J274" s="37"/>
      <c r="K274" s="37"/>
      <c r="L274" s="35"/>
      <c r="M274" s="35"/>
      <c r="N274" s="37"/>
      <c r="O274" s="37"/>
      <c r="P274" s="37"/>
      <c r="Q274" s="37"/>
      <c r="R274" s="37"/>
      <c r="S274" s="37"/>
      <c r="T274" s="37"/>
      <c r="U274" s="37"/>
      <c r="V274" s="37"/>
      <c r="W274" s="37">
        <f>MAX($C$11-VLOOKUP($C274,COS!$B$8:$H$991,3,FALSE),0)</f>
        <v>0</v>
      </c>
      <c r="X274" s="37">
        <f t="shared" si="347"/>
        <v>0</v>
      </c>
      <c r="Y274" s="37">
        <f>VLOOKUP($C274,COS!$B$8:$H$991,4,FALSE)</f>
        <v>0</v>
      </c>
      <c r="Z274" s="37">
        <f t="shared" si="348"/>
        <v>0</v>
      </c>
      <c r="AA274" s="37">
        <f t="shared" si="430"/>
        <v>0</v>
      </c>
      <c r="AB274" s="38">
        <f t="shared" si="345"/>
        <v>0</v>
      </c>
    </row>
    <row r="275" spans="1:28" x14ac:dyDescent="0.3">
      <c r="A275" s="27">
        <f>VLOOKUP(YEAR(C275),Flags!$A$13:$B$95,2,FALSE)</f>
        <v>2</v>
      </c>
      <c r="B275" s="28">
        <f t="shared" si="432"/>
        <v>1951</v>
      </c>
      <c r="C275" s="29">
        <v>18748</v>
      </c>
      <c r="D275" s="30">
        <f>VLOOKUP($C275,COS!$B$8:$H$991,3,FALSE)</f>
        <v>3250</v>
      </c>
      <c r="E275" s="28">
        <f>IF(D275&gt;=IF(MONTH($C275)=4,$C$3,IF(MONTH($C275)=5,$C$4,IF(MONTH($C275)=6,$C$5,IF(MONTH($C275)=7,$C$6,"ERROR")))),1,0)</f>
        <v>0</v>
      </c>
      <c r="F275" s="30">
        <f>VLOOKUP($C275,COS!$B$8:$H$991,7,FALSE)</f>
        <v>50.026283264160156</v>
      </c>
      <c r="G275" s="28">
        <f>IF(F275&lt;=IF(MONTH($C275)=4,$F$3,IF(MONTH($C275)=5,$F$4,IF(MONTH($C275)=6,$F$5,IF(MONTH($C275)=7,$F$6,"ERROR")))),1,0)</f>
        <v>1</v>
      </c>
      <c r="H275" s="30">
        <f>IF(J275=1,D275-$C$3,0)</f>
        <v>0</v>
      </c>
      <c r="I275" s="30">
        <f t="shared" si="342"/>
        <v>0</v>
      </c>
      <c r="J275" s="28">
        <f t="shared" ref="J275:J278" si="434">IF(AND(E275=1,G275=1),1,0)</f>
        <v>0</v>
      </c>
      <c r="K275" s="30">
        <f>VLOOKUP($C275,COS!$B$8:$H$991,2,FALSE)</f>
        <v>4516.4619140625</v>
      </c>
      <c r="L275" s="28">
        <f t="shared" ref="L275:L332" si="435">IF(K275&lt;=IF(MONTH($C275)=4,$I$3,IF(MONTH($C275)=5,$I$4,IF(MONTH($C275)=6,$I$5,IF(MONTH($C275)=7,$I$6,"ERROR")))),1,0)</f>
        <v>1</v>
      </c>
      <c r="M275" s="28">
        <f t="shared" ref="M275:M332" si="436">VLOOKUP($A275,$L$3:$M$7,2,FALSE)</f>
        <v>0</v>
      </c>
      <c r="N275" s="30">
        <f>VLOOKUP($C275,COS!$B$8:$H$991,5,FALSE)</f>
        <v>285.89596557617188</v>
      </c>
      <c r="O275" s="30">
        <f t="shared" ref="O275:O278" si="437">N275*DAY($C275)*86400/43560/1000</f>
        <v>17.011991340069731</v>
      </c>
      <c r="P275" s="30">
        <f>VLOOKUP($C275,COS!$B$8:$H$991,6,FALSE)</f>
        <v>523.71405029296875</v>
      </c>
      <c r="Q275" s="30">
        <f t="shared" ref="Q275:Q278" si="438">P275*DAY($C275)*86400/43560/1000</f>
        <v>31.16315010007748</v>
      </c>
      <c r="R275" s="30">
        <f>MIN(IF(MONTH($C275)=4,$S$3,IF(MONTH($C275)=5,$S$4,IF(MONTH($C275)=6,$S$5,IF(MONTH($C275)=7,$S$6,"ERROR")))),MAX(VLOOKUP($C275,COS!$B$8:$K$991,10,FALSE)-IF(MONTH($C275)=4,$Y$3,IF(MONTH($C275)=5,$Y$4,IF(MONTH($C275)=6,$Y$5,IF(MONTH($C275)=7,$Y$6,"ERROR")))),0),MAX(VLOOKUP($C275,COS!$B$8:$K$991,9,FALSE)-IF(MONTH($C275)=4,$V$3,IF(MONTH($C275)=5,$V$4,IF(MONTH($C275)=6,$V$5,IF(MONTH($C275)=7,$V$6,"ERROR"))))-VLOOKUP($C275,COS!$B$8:$K$991,6,FALSE)/2,0))</f>
        <v>870.47891235351563</v>
      </c>
      <c r="S275" s="30">
        <f t="shared" ref="S275:S278" si="439">R275*DAY($C275)*86400/43560/1000</f>
        <v>51.797092305333166</v>
      </c>
      <c r="T275" s="30">
        <f t="shared" ref="T275:T278" si="440">(O275+Q275)/2+S275</f>
        <v>75.88466302540678</v>
      </c>
      <c r="U275" s="30" t="str">
        <f>IF(VLOOKUP($C275,COS!$B$8:$I$991,8,FALSE)=1,"UWFE","IBU")</f>
        <v>UWFE</v>
      </c>
      <c r="V275" s="30">
        <f t="shared" ref="V275" si="441">MIN(IF(IF($AA$3=2,AND(E275=1,G275=1,L275=1,L280=1,M275=1,U275="IBU"),AND(E275=1,G275=1,L275=1,L280=1,M275=1)),T275,0),I275)</f>
        <v>0</v>
      </c>
      <c r="W275" s="30"/>
      <c r="X275" s="30"/>
      <c r="Y275" s="30"/>
      <c r="Z275" s="30"/>
      <c r="AA275" s="30"/>
      <c r="AB275" s="31"/>
    </row>
    <row r="276" spans="1:28" x14ac:dyDescent="0.3">
      <c r="A276" s="32">
        <f>VLOOKUP(YEAR(C276),Flags!$A$13:$B$95,2,FALSE)</f>
        <v>2</v>
      </c>
      <c r="B276" s="24">
        <f t="shared" si="432"/>
        <v>1951</v>
      </c>
      <c r="C276" s="25">
        <v>18779</v>
      </c>
      <c r="D276" s="26">
        <f>VLOOKUP($C276,COS!$B$8:$H$991,3,FALSE)</f>
        <v>6537.244140625</v>
      </c>
      <c r="E276" s="24">
        <f>IF(D276&gt;=IF(MONTH($C276)=4,$C$3,IF(MONTH($C276)=5,$C$4,IF(MONTH($C276)=6,$C$5,IF(MONTH($C276)=7,$C$6,"ERROR")))),1,0)</f>
        <v>1</v>
      </c>
      <c r="F276" s="26">
        <f>VLOOKUP($C276,COS!$B$8:$H$991,7,FALSE)</f>
        <v>50.078166961669922</v>
      </c>
      <c r="G276" s="24">
        <f>IF(F276&lt;=IF(MONTH($C276)=4,$F$3,IF(MONTH($C276)=5,$F$4,IF(MONTH($C276)=6,$F$5,IF(MONTH($C276)=7,$F$6,"ERROR")))),1,0)</f>
        <v>1</v>
      </c>
      <c r="H276" s="26">
        <f>IF(J276=1,D276-$C$4,0)</f>
        <v>537.244140625</v>
      </c>
      <c r="I276" s="26">
        <f t="shared" si="342"/>
        <v>33.033854597107435</v>
      </c>
      <c r="J276" s="24">
        <f t="shared" si="434"/>
        <v>1</v>
      </c>
      <c r="K276" s="26">
        <f>VLOOKUP($C276,COS!$B$8:$H$991,2,FALSE)</f>
        <v>4552</v>
      </c>
      <c r="L276" s="24">
        <f t="shared" si="435"/>
        <v>1</v>
      </c>
      <c r="M276" s="24">
        <f t="shared" si="436"/>
        <v>0</v>
      </c>
      <c r="N276" s="26">
        <f>VLOOKUP($C276,COS!$B$8:$H$991,5,FALSE)</f>
        <v>725.94110107421875</v>
      </c>
      <c r="O276" s="26">
        <f t="shared" si="437"/>
        <v>44.636378446216426</v>
      </c>
      <c r="P276" s="26">
        <f>VLOOKUP($C276,COS!$B$8:$H$991,6,FALSE)</f>
        <v>1961.9442138671875</v>
      </c>
      <c r="Q276" s="26">
        <f t="shared" si="438"/>
        <v>120.63524753034608</v>
      </c>
      <c r="R276" s="26">
        <f>MIN(IF(MONTH($C276)=4,$S$3,IF(MONTH($C276)=5,$S$4,IF(MONTH($C276)=6,$S$5,IF(MONTH($C276)=7,$S$6,"ERROR")))),MAX(VLOOKUP($C276,COS!$B$8:$K$991,10,FALSE)-IF(MONTH($C276)=4,$Y$3,IF(MONTH($C276)=5,$Y$4,IF(MONTH($C276)=6,$Y$5,IF(MONTH($C276)=7,$Y$6,"ERROR")))),0),MAX(VLOOKUP($C276,COS!$B$8:$K$991,9,FALSE)-IF(MONTH($C276)=4,$V$3,IF(MONTH($C276)=5,$V$4,IF(MONTH($C276)=6,$V$5,IF(MONTH($C276)=7,$V$6,"ERROR"))))-VLOOKUP($C276,COS!$B$8:$K$991,6,FALSE)/2,0))</f>
        <v>1500</v>
      </c>
      <c r="S276" s="26">
        <f t="shared" si="439"/>
        <v>92.231404958677686</v>
      </c>
      <c r="T276" s="26">
        <f t="shared" si="440"/>
        <v>174.86721794695893</v>
      </c>
      <c r="U276" s="26" t="str">
        <f>IF(VLOOKUP($C276,COS!$B$8:$I$991,8,FALSE)=1,"UWFE","IBU")</f>
        <v>UWFE</v>
      </c>
      <c r="V276" s="26">
        <f t="shared" ref="V276" si="442">MIN(IF(IF($AA$3=2,AND(E276=1,G276=1,L276=1,L280=1,M276=1,U276="IBU"),AND(E276=1,G276=1,L276=1,L280=1,M276=1)),T276,0),I276)</f>
        <v>0</v>
      </c>
      <c r="W276" s="26"/>
      <c r="X276" s="26"/>
      <c r="Y276" s="26"/>
      <c r="Z276" s="26"/>
      <c r="AA276" s="26"/>
      <c r="AB276" s="33"/>
    </row>
    <row r="277" spans="1:28" x14ac:dyDescent="0.3">
      <c r="A277" s="32">
        <f>VLOOKUP(YEAR(C277),Flags!$A$13:$B$95,2,FALSE)</f>
        <v>2</v>
      </c>
      <c r="B277" s="24">
        <f t="shared" si="432"/>
        <v>1951</v>
      </c>
      <c r="C277" s="25">
        <v>18809</v>
      </c>
      <c r="D277" s="26">
        <f>VLOOKUP($C277,COS!$B$8:$H$991,3,FALSE)</f>
        <v>10659.24609375</v>
      </c>
      <c r="E277" s="24">
        <f>IF(D277&gt;=IF(MONTH($C277)=4,$C$3,IF(MONTH($C277)=5,$C$4,IF(MONTH($C277)=6,$C$5,IF(MONTH($C277)=7,$C$6,"ERROR")))),1,0)</f>
        <v>1</v>
      </c>
      <c r="F277" s="26">
        <f>VLOOKUP($C277,COS!$B$8:$H$991,7,FALSE)</f>
        <v>49.92681884765625</v>
      </c>
      <c r="G277" s="24">
        <f>IF(F277&lt;=IF(MONTH($C277)=4,$F$3,IF(MONTH($C277)=5,$F$4,IF(MONTH($C277)=6,$F$5,IF(MONTH($C277)=7,$F$6,"ERROR")))),1,0)</f>
        <v>1</v>
      </c>
      <c r="H277" s="26">
        <f>IF(J277=1,D277-$C$5,0)</f>
        <v>659.24609375</v>
      </c>
      <c r="I277" s="26">
        <f t="shared" si="342"/>
        <v>39.227866735537184</v>
      </c>
      <c r="J277" s="24">
        <f t="shared" si="434"/>
        <v>1</v>
      </c>
      <c r="K277" s="26">
        <f>VLOOKUP($C277,COS!$B$8:$H$991,2,FALSE)</f>
        <v>4123.96142578125</v>
      </c>
      <c r="L277" s="24">
        <f t="shared" si="435"/>
        <v>1</v>
      </c>
      <c r="M277" s="24">
        <f t="shared" si="436"/>
        <v>0</v>
      </c>
      <c r="N277" s="26">
        <f>VLOOKUP($C277,COS!$B$8:$H$991,5,FALSE)</f>
        <v>977.7628173828125</v>
      </c>
      <c r="O277" s="26">
        <f t="shared" si="437"/>
        <v>58.180927976497934</v>
      </c>
      <c r="P277" s="26">
        <f>VLOOKUP($C277,COS!$B$8:$H$991,6,FALSE)</f>
        <v>2422.49462890625</v>
      </c>
      <c r="Q277" s="26">
        <f t="shared" si="438"/>
        <v>144.14844072830579</v>
      </c>
      <c r="R277" s="26">
        <f>MIN(IF(MONTH($C277)=4,$S$3,IF(MONTH($C277)=5,$S$4,IF(MONTH($C277)=6,$S$5,IF(MONTH($C277)=7,$S$6,"ERROR")))),MAX(VLOOKUP($C277,COS!$B$8:$K$991,10,FALSE)-IF(MONTH($C277)=4,$Y$3,IF(MONTH($C277)=5,$Y$4,IF(MONTH($C277)=6,$Y$5,IF(MONTH($C277)=7,$Y$6,"ERROR")))),0),MAX(VLOOKUP($C277,COS!$B$8:$K$991,9,FALSE)-IF(MONTH($C277)=4,$V$3,IF(MONTH($C277)=5,$V$4,IF(MONTH($C277)=6,$V$5,IF(MONTH($C277)=7,$V$6,"ERROR"))))-VLOOKUP($C277,COS!$B$8:$K$991,6,FALSE)/2,0))</f>
        <v>1500</v>
      </c>
      <c r="S277" s="26">
        <f t="shared" si="439"/>
        <v>89.256198347107429</v>
      </c>
      <c r="T277" s="26">
        <f t="shared" si="440"/>
        <v>190.42088269950929</v>
      </c>
      <c r="U277" s="26" t="str">
        <f>IF(VLOOKUP($C277,COS!$B$8:$I$991,8,FALSE)=1,"UWFE","IBU")</f>
        <v>IBU</v>
      </c>
      <c r="V277" s="26">
        <f t="shared" ref="V277" si="443">MIN(IF(IF($AA$3=2,AND(E277=1,G277=1,L277=1,L280=1,M277=1,U277="IBU"),AND(E277=1,G277=1,L277=1,L280=1,M277=1)),T277,0),I277)</f>
        <v>0</v>
      </c>
      <c r="W277" s="26"/>
      <c r="X277" s="26"/>
      <c r="Y277" s="26"/>
      <c r="Z277" s="26"/>
      <c r="AA277" s="26"/>
      <c r="AB277" s="33"/>
    </row>
    <row r="278" spans="1:28" x14ac:dyDescent="0.3">
      <c r="A278" s="32">
        <f>VLOOKUP(YEAR(C278),Flags!$A$13:$B$95,2,FALSE)</f>
        <v>2</v>
      </c>
      <c r="B278" s="24">
        <f t="shared" si="432"/>
        <v>1951</v>
      </c>
      <c r="C278" s="25">
        <v>18840</v>
      </c>
      <c r="D278" s="26">
        <f>VLOOKUP($C278,COS!$B$8:$H$991,3,FALSE)</f>
        <v>16000</v>
      </c>
      <c r="E278" s="24">
        <f>IF(D278&gt;=IF(MONTH($C278)=4,$C$3,IF(MONTH($C278)=5,$C$4,IF(MONTH($C278)=6,$C$5,IF(MONTH($C278)=7,$C$6,"ERROR")))),1,0)</f>
        <v>1</v>
      </c>
      <c r="F278" s="26">
        <f>VLOOKUP($C278,COS!$B$8:$H$991,7,FALSE)</f>
        <v>50.000553131103516</v>
      </c>
      <c r="G278" s="24">
        <f>IF(F278&lt;=IF(MONTH($C278)=4,$F$3,IF(MONTH($C278)=5,$F$4,IF(MONTH($C278)=6,$F$5,IF(MONTH($C278)=7,$F$6,"ERROR")))),1,0)</f>
        <v>1</v>
      </c>
      <c r="H278" s="26">
        <f>IF(J278=1,D278-$C$6,0)</f>
        <v>4000</v>
      </c>
      <c r="I278" s="26">
        <f t="shared" si="342"/>
        <v>245.95041322314049</v>
      </c>
      <c r="J278" s="24">
        <f t="shared" si="434"/>
        <v>1</v>
      </c>
      <c r="K278" s="26">
        <f>VLOOKUP($C278,COS!$B$8:$H$991,2,FALSE)</f>
        <v>3378.982666015625</v>
      </c>
      <c r="L278" s="24">
        <f t="shared" si="435"/>
        <v>1</v>
      </c>
      <c r="M278" s="24">
        <f t="shared" si="436"/>
        <v>0</v>
      </c>
      <c r="N278" s="26">
        <f>VLOOKUP($C278,COS!$B$8:$H$991,5,FALSE)</f>
        <v>1073.9122314453125</v>
      </c>
      <c r="O278" s="26">
        <f t="shared" si="437"/>
        <v>66.032289272339867</v>
      </c>
      <c r="P278" s="26">
        <f>VLOOKUP($C278,COS!$B$8:$H$991,6,FALSE)</f>
        <v>2562.892822265625</v>
      </c>
      <c r="Q278" s="26">
        <f t="shared" si="438"/>
        <v>157.58613717071282</v>
      </c>
      <c r="R278" s="26">
        <f>MIN(IF(MONTH($C278)=4,$S$3,IF(MONTH($C278)=5,$S$4,IF(MONTH($C278)=6,$S$5,IF(MONTH($C278)=7,$S$6,"ERROR")))),MAX(VLOOKUP($C278,COS!$B$8:$K$991,10,FALSE)-IF(MONTH($C278)=4,$Y$3,IF(MONTH($C278)=5,$Y$4,IF(MONTH($C278)=6,$Y$5,IF(MONTH($C278)=7,$Y$6,"ERROR")))),0),MAX(VLOOKUP($C278,COS!$B$8:$K$991,9,FALSE)-IF(MONTH($C278)=4,$V$3,IF(MONTH($C278)=5,$V$4,IF(MONTH($C278)=6,$V$5,IF(MONTH($C278)=7,$V$6,"ERROR"))))-VLOOKUP($C278,COS!$B$8:$K$991,6,FALSE)/2,0))</f>
        <v>1500</v>
      </c>
      <c r="S278" s="26">
        <f t="shared" si="439"/>
        <v>92.231404958677686</v>
      </c>
      <c r="T278" s="26">
        <f t="shared" si="440"/>
        <v>204.04061818020404</v>
      </c>
      <c r="U278" s="26" t="str">
        <f>IF(VLOOKUP($C278,COS!$B$8:$I$991,8,FALSE)=1,"UWFE","IBU")</f>
        <v>IBU</v>
      </c>
      <c r="V278" s="26">
        <f t="shared" ref="V278" si="444">MIN(IF(IF($AA$3=2,AND(E278=1,G278=1,L278=1,L280=1,M278=1,U278="IBU"),AND(E278=1,G278=1,L278=1,L280=1,M278=1)),T278,0),I278)</f>
        <v>0</v>
      </c>
      <c r="W278" s="26"/>
      <c r="X278" s="26"/>
      <c r="Y278" s="26"/>
      <c r="Z278" s="26"/>
      <c r="AA278" s="26"/>
      <c r="AB278" s="33"/>
    </row>
    <row r="279" spans="1:28" x14ac:dyDescent="0.3">
      <c r="A279" s="32">
        <f>VLOOKUP(YEAR(C279),Flags!$A$13:$B$95,2,FALSE)</f>
        <v>2</v>
      </c>
      <c r="B279" s="24">
        <f t="shared" si="432"/>
        <v>1951</v>
      </c>
      <c r="C279" s="25">
        <v>18871</v>
      </c>
      <c r="D279" s="26"/>
      <c r="E279" s="24"/>
      <c r="F279" s="26"/>
      <c r="G279" s="24"/>
      <c r="H279" s="24"/>
      <c r="I279" s="26"/>
      <c r="J279" s="24"/>
      <c r="K279" s="26"/>
      <c r="L279" s="24"/>
      <c r="M279" s="24"/>
      <c r="N279" s="26"/>
      <c r="O279" s="26"/>
      <c r="P279" s="26"/>
      <c r="Q279" s="26"/>
      <c r="R279" s="26"/>
      <c r="S279" s="26"/>
      <c r="T279" s="26"/>
      <c r="U279" s="26"/>
      <c r="V279" s="26"/>
      <c r="W279" s="26">
        <f>MAX($C$7-VLOOKUP($C279,COS!$B$8:$H$991,3,FALSE),0)</f>
        <v>695.990234375</v>
      </c>
      <c r="X279" s="26">
        <f t="shared" si="347"/>
        <v>42.794771435950409</v>
      </c>
      <c r="Y279" s="26">
        <f>VLOOKUP($C279,COS!$B$8:$H$991,4,FALSE)</f>
        <v>0</v>
      </c>
      <c r="Z279" s="26">
        <f t="shared" si="348"/>
        <v>0</v>
      </c>
      <c r="AA279" s="26">
        <f t="shared" ref="AA279:AA283" si="445">MIN(W279,Y279)</f>
        <v>0</v>
      </c>
      <c r="AB279" s="33">
        <f t="shared" ref="AB279:AB337" si="446">AA279*DAY($C279)*86400/43560/1000*IF(MONTH($C279)=8,$P$3,IF(MONTH($C279)=9,$P$4,IF(MONTH($C279)=10,$P$5,IF(MONTH($C279)=11,$P$6,IF(MONTH($C279)=12,$P$7,NA())))))</f>
        <v>0</v>
      </c>
    </row>
    <row r="280" spans="1:28" x14ac:dyDescent="0.3">
      <c r="A280" s="32">
        <f>VLOOKUP(YEAR(C280),Flags!$A$13:$B$95,2,FALSE)</f>
        <v>2</v>
      </c>
      <c r="B280" s="24">
        <f t="shared" si="432"/>
        <v>1951</v>
      </c>
      <c r="C280" s="25">
        <v>18901</v>
      </c>
      <c r="D280" s="26"/>
      <c r="E280" s="24"/>
      <c r="F280" s="26"/>
      <c r="G280" s="24"/>
      <c r="H280" s="24"/>
      <c r="I280" s="26"/>
      <c r="J280" s="24"/>
      <c r="K280" s="26">
        <f>VLOOKUP($C280,COS!$B$8:$H$991,2,FALSE)</f>
        <v>2661.90625</v>
      </c>
      <c r="L280" s="24">
        <f t="shared" ref="L280" si="447">IF(AND(K280&gt;$I$7,K280&lt;$I$8),1,0)</f>
        <v>1</v>
      </c>
      <c r="M280" s="24"/>
      <c r="N280" s="26"/>
      <c r="O280" s="26"/>
      <c r="P280" s="26"/>
      <c r="Q280" s="26"/>
      <c r="R280" s="26"/>
      <c r="S280" s="26"/>
      <c r="T280" s="26"/>
      <c r="U280" s="26"/>
      <c r="V280" s="26"/>
      <c r="W280" s="26">
        <f>MAX($C$8-VLOOKUP($C280,COS!$B$8:$H$991,3,FALSE),0)</f>
        <v>0</v>
      </c>
      <c r="X280" s="26">
        <f t="shared" si="347"/>
        <v>0</v>
      </c>
      <c r="Y280" s="26">
        <f>VLOOKUP($C280,COS!$B$8:$H$991,4,FALSE)</f>
        <v>0</v>
      </c>
      <c r="Z280" s="26">
        <f t="shared" si="348"/>
        <v>0</v>
      </c>
      <c r="AA280" s="26">
        <f t="shared" si="445"/>
        <v>0</v>
      </c>
      <c r="AB280" s="33">
        <f t="shared" si="446"/>
        <v>0</v>
      </c>
    </row>
    <row r="281" spans="1:28" x14ac:dyDescent="0.3">
      <c r="A281" s="32">
        <f>VLOOKUP(YEAR(C281),Flags!$A$13:$B$95,2,FALSE)</f>
        <v>2</v>
      </c>
      <c r="B281" s="24">
        <f t="shared" si="432"/>
        <v>1951</v>
      </c>
      <c r="C281" s="25">
        <v>18932</v>
      </c>
      <c r="D281" s="26"/>
      <c r="E281" s="24"/>
      <c r="F281" s="26"/>
      <c r="G281" s="26"/>
      <c r="H281" s="26"/>
      <c r="I281" s="26"/>
      <c r="J281" s="26"/>
      <c r="K281" s="26"/>
      <c r="L281" s="24"/>
      <c r="M281" s="24"/>
      <c r="N281" s="26"/>
      <c r="O281" s="26"/>
      <c r="P281" s="26"/>
      <c r="Q281" s="26"/>
      <c r="R281" s="26"/>
      <c r="S281" s="26"/>
      <c r="T281" s="26"/>
      <c r="U281" s="26"/>
      <c r="V281" s="26"/>
      <c r="W281" s="26">
        <f>MAX($C$9-VLOOKUP($C281,COS!$B$8:$H$991,3,FALSE),0)</f>
        <v>0</v>
      </c>
      <c r="X281" s="26">
        <f t="shared" si="347"/>
        <v>0</v>
      </c>
      <c r="Y281" s="26">
        <f>VLOOKUP($C281,COS!$B$8:$H$991,4,FALSE)</f>
        <v>951.9967041015625</v>
      </c>
      <c r="Z281" s="26">
        <f t="shared" si="348"/>
        <v>58.535995690211777</v>
      </c>
      <c r="AA281" s="26">
        <f t="shared" si="445"/>
        <v>0</v>
      </c>
      <c r="AB281" s="33">
        <f t="shared" si="446"/>
        <v>0</v>
      </c>
    </row>
    <row r="282" spans="1:28" x14ac:dyDescent="0.3">
      <c r="A282" s="32">
        <f>VLOOKUP(YEAR(C282),Flags!$A$13:$B$95,2,FALSE)</f>
        <v>2</v>
      </c>
      <c r="B282" s="24">
        <f t="shared" si="432"/>
        <v>1951</v>
      </c>
      <c r="C282" s="25">
        <v>18962</v>
      </c>
      <c r="D282" s="26"/>
      <c r="E282" s="24"/>
      <c r="F282" s="26"/>
      <c r="G282" s="26"/>
      <c r="H282" s="26"/>
      <c r="I282" s="26"/>
      <c r="J282" s="26"/>
      <c r="K282" s="26"/>
      <c r="L282" s="24"/>
      <c r="M282" s="24"/>
      <c r="N282" s="26"/>
      <c r="O282" s="26"/>
      <c r="P282" s="26"/>
      <c r="Q282" s="26"/>
      <c r="R282" s="26"/>
      <c r="S282" s="26"/>
      <c r="T282" s="26"/>
      <c r="U282" s="26"/>
      <c r="V282" s="26"/>
      <c r="W282" s="26">
        <f>MAX($C$10-VLOOKUP($C282,COS!$B$8:$H$991,3,FALSE),0)</f>
        <v>0</v>
      </c>
      <c r="X282" s="26">
        <f t="shared" si="347"/>
        <v>0</v>
      </c>
      <c r="Y282" s="26">
        <f>VLOOKUP($C282,COS!$B$8:$H$991,4,FALSE)</f>
        <v>1099.94921875</v>
      </c>
      <c r="Z282" s="26">
        <f t="shared" si="348"/>
        <v>65.451523760330574</v>
      </c>
      <c r="AA282" s="26">
        <f t="shared" si="445"/>
        <v>0</v>
      </c>
      <c r="AB282" s="33">
        <f t="shared" si="446"/>
        <v>0</v>
      </c>
    </row>
    <row r="283" spans="1:28" x14ac:dyDescent="0.3">
      <c r="A283" s="34">
        <f>VLOOKUP(YEAR(C283),Flags!$A$13:$B$95,2,FALSE)</f>
        <v>2</v>
      </c>
      <c r="B283" s="35">
        <f t="shared" si="432"/>
        <v>1951</v>
      </c>
      <c r="C283" s="36">
        <v>18993</v>
      </c>
      <c r="D283" s="37"/>
      <c r="E283" s="35"/>
      <c r="F283" s="37"/>
      <c r="G283" s="37"/>
      <c r="H283" s="37"/>
      <c r="I283" s="37"/>
      <c r="J283" s="37"/>
      <c r="K283" s="37"/>
      <c r="L283" s="35"/>
      <c r="M283" s="35"/>
      <c r="N283" s="37"/>
      <c r="O283" s="37"/>
      <c r="P283" s="37"/>
      <c r="Q283" s="37"/>
      <c r="R283" s="37"/>
      <c r="S283" s="37"/>
      <c r="T283" s="37"/>
      <c r="U283" s="37"/>
      <c r="V283" s="37"/>
      <c r="W283" s="37">
        <f>MAX($C$11-VLOOKUP($C283,COS!$B$8:$H$991,3,FALSE),0)</f>
        <v>0</v>
      </c>
      <c r="X283" s="37">
        <f t="shared" ref="X283:X346" si="448">W283*DAY($C283)*86400/43560/1000</f>
        <v>0</v>
      </c>
      <c r="Y283" s="37">
        <f>VLOOKUP($C283,COS!$B$8:$H$991,4,FALSE)</f>
        <v>0</v>
      </c>
      <c r="Z283" s="37">
        <f t="shared" ref="Z283:Z346" si="449">Y283*DAY($C283)*86400/43560/1000</f>
        <v>0</v>
      </c>
      <c r="AA283" s="37">
        <f t="shared" si="445"/>
        <v>0</v>
      </c>
      <c r="AB283" s="38">
        <f t="shared" si="446"/>
        <v>0</v>
      </c>
    </row>
    <row r="284" spans="1:28" x14ac:dyDescent="0.3">
      <c r="A284" s="27">
        <f>VLOOKUP(YEAR(C284),Flags!$A$13:$B$95,2,FALSE)</f>
        <v>1</v>
      </c>
      <c r="B284" s="28">
        <f t="shared" si="432"/>
        <v>1952</v>
      </c>
      <c r="C284" s="29">
        <v>19114</v>
      </c>
      <c r="D284" s="30">
        <f>VLOOKUP($C284,COS!$B$8:$H$991,3,FALSE)</f>
        <v>16481.419921875</v>
      </c>
      <c r="E284" s="28">
        <f>IF(D284&gt;=IF(MONTH($C284)=4,$C$3,IF(MONTH($C284)=5,$C$4,IF(MONTH($C284)=6,$C$5,IF(MONTH($C284)=7,$C$6,"ERROR")))),1,0)</f>
        <v>1</v>
      </c>
      <c r="F284" s="30">
        <f>VLOOKUP($C284,COS!$B$8:$H$991,7,FALSE)</f>
        <v>46.811973571777344</v>
      </c>
      <c r="G284" s="28">
        <f>IF(F284&lt;=IF(MONTH($C284)=4,$F$3,IF(MONTH($C284)=5,$F$4,IF(MONTH($C284)=6,$F$5,IF(MONTH($C284)=7,$F$6,"ERROR")))),1,0)</f>
        <v>1</v>
      </c>
      <c r="H284" s="30">
        <f>IF(J284=1,D284-$C$3,0)</f>
        <v>10481.419921875</v>
      </c>
      <c r="I284" s="30">
        <f t="shared" ref="I284:I347" si="450">H284*DAY($C284)*86400/43560/1000</f>
        <v>623.68779700413222</v>
      </c>
      <c r="J284" s="28">
        <f t="shared" ref="J284:J287" si="451">IF(AND(E284=1,G284=1),1,0)</f>
        <v>1</v>
      </c>
      <c r="K284" s="30">
        <f>VLOOKUP($C284,COS!$B$8:$H$991,2,FALSE)</f>
        <v>4290</v>
      </c>
      <c r="L284" s="28">
        <f t="shared" ref="L284" si="452">IF(K284&lt;=IF(MONTH($C284)=4,$I$3,IF(MONTH($C284)=5,$I$4,IF(MONTH($C284)=6,$I$5,IF(MONTH($C284)=7,$I$6,"ERROR")))),1,0)</f>
        <v>1</v>
      </c>
      <c r="M284" s="28">
        <f t="shared" ref="M284" si="453">VLOOKUP($A284,$L$3:$M$7,2,FALSE)</f>
        <v>0</v>
      </c>
      <c r="N284" s="30">
        <f>VLOOKUP($C284,COS!$B$8:$H$991,5,FALSE)</f>
        <v>93.1021728515625</v>
      </c>
      <c r="O284" s="30">
        <f t="shared" ref="O284:O287" si="454">N284*DAY($C284)*86400/43560/1000</f>
        <v>5.5399640043904954</v>
      </c>
      <c r="P284" s="30">
        <f>VLOOKUP($C284,COS!$B$8:$H$991,6,FALSE)</f>
        <v>430.79507446289063</v>
      </c>
      <c r="Q284" s="30">
        <f t="shared" ref="Q284:Q287" si="455">P284*DAY($C284)*86400/43560/1000</f>
        <v>25.63408707547779</v>
      </c>
      <c r="R284" s="30">
        <f>MIN(IF(MONTH($C284)=4,$S$3,IF(MONTH($C284)=5,$S$4,IF(MONTH($C284)=6,$S$5,IF(MONTH($C284)=7,$S$6,"ERROR")))),MAX(VLOOKUP($C284,COS!$B$8:$K$991,10,FALSE)-IF(MONTH($C284)=4,$Y$3,IF(MONTH($C284)=5,$Y$4,IF(MONTH($C284)=6,$Y$5,IF(MONTH($C284)=7,$Y$6,"ERROR")))),0),MAX(VLOOKUP($C284,COS!$B$8:$K$991,9,FALSE)-IF(MONTH($C284)=4,$V$3,IF(MONTH($C284)=5,$V$4,IF(MONTH($C284)=6,$V$5,IF(MONTH($C284)=7,$V$6,"ERROR"))))-VLOOKUP($C284,COS!$B$8:$K$991,6,FALSE)/2,0))</f>
        <v>1500</v>
      </c>
      <c r="S284" s="30">
        <f t="shared" ref="S284:S287" si="456">R284*DAY($C284)*86400/43560/1000</f>
        <v>89.256198347107429</v>
      </c>
      <c r="T284" s="30">
        <f t="shared" ref="T284:T287" si="457">(O284+Q284)/2+S284</f>
        <v>104.84322388704157</v>
      </c>
      <c r="U284" s="30" t="str">
        <f>IF(VLOOKUP($C284,COS!$B$8:$I$991,8,FALSE)=1,"UWFE","IBU")</f>
        <v>UWFE</v>
      </c>
      <c r="V284" s="30">
        <f t="shared" ref="V284" si="458">MIN(IF(IF($AA$3=2,AND(E284=1,G284=1,L284=1,L289=1,M284=1,U284="IBU"),AND(E284=1,G284=1,L284=1,L289=1,M284=1)),T284,0),I284)</f>
        <v>0</v>
      </c>
      <c r="W284" s="30"/>
      <c r="X284" s="30"/>
      <c r="Y284" s="30"/>
      <c r="Z284" s="30"/>
      <c r="AA284" s="30"/>
      <c r="AB284" s="31"/>
    </row>
    <row r="285" spans="1:28" x14ac:dyDescent="0.3">
      <c r="A285" s="32">
        <f>VLOOKUP(YEAR(C285),Flags!$A$13:$B$95,2,FALSE)</f>
        <v>1</v>
      </c>
      <c r="B285" s="24">
        <f t="shared" si="432"/>
        <v>1952</v>
      </c>
      <c r="C285" s="25">
        <v>19145</v>
      </c>
      <c r="D285" s="26">
        <f>VLOOKUP($C285,COS!$B$8:$H$991,3,FALSE)</f>
        <v>7205.154296875</v>
      </c>
      <c r="E285" s="24">
        <f>IF(D285&gt;=IF(MONTH($C285)=4,$C$3,IF(MONTH($C285)=5,$C$4,IF(MONTH($C285)=6,$C$5,IF(MONTH($C285)=7,$C$6,"ERROR")))),1,0)</f>
        <v>1</v>
      </c>
      <c r="F285" s="26">
        <f>VLOOKUP($C285,COS!$B$8:$H$991,7,FALSE)</f>
        <v>49.908802032470703</v>
      </c>
      <c r="G285" s="24">
        <f>IF(F285&lt;=IF(MONTH($C285)=4,$F$3,IF(MONTH($C285)=5,$F$4,IF(MONTH($C285)=6,$F$5,IF(MONTH($C285)=7,$F$6,"ERROR")))),1,0)</f>
        <v>1</v>
      </c>
      <c r="H285" s="26">
        <f>IF(J285=1,D285-$C$4,0)</f>
        <v>1205.154296875</v>
      </c>
      <c r="I285" s="26">
        <f t="shared" si="450"/>
        <v>74.102049328512393</v>
      </c>
      <c r="J285" s="24">
        <f t="shared" si="451"/>
        <v>1</v>
      </c>
      <c r="K285" s="26">
        <f>VLOOKUP($C285,COS!$B$8:$H$991,2,FALSE)</f>
        <v>4552</v>
      </c>
      <c r="L285" s="24">
        <f t="shared" si="435"/>
        <v>1</v>
      </c>
      <c r="M285" s="24">
        <f t="shared" si="436"/>
        <v>0</v>
      </c>
      <c r="N285" s="26">
        <f>VLOOKUP($C285,COS!$B$8:$H$991,5,FALSE)</f>
        <v>740.753662109375</v>
      </c>
      <c r="O285" s="26">
        <f t="shared" si="454"/>
        <v>45.547167323088843</v>
      </c>
      <c r="P285" s="26">
        <f>VLOOKUP($C285,COS!$B$8:$H$991,6,FALSE)</f>
        <v>2298.94775390625</v>
      </c>
      <c r="Q285" s="26">
        <f t="shared" si="455"/>
        <v>141.35678751291323</v>
      </c>
      <c r="R285" s="26">
        <f>MIN(IF(MONTH($C285)=4,$S$3,IF(MONTH($C285)=5,$S$4,IF(MONTH($C285)=6,$S$5,IF(MONTH($C285)=7,$S$6,"ERROR")))),MAX(VLOOKUP($C285,COS!$B$8:$K$991,10,FALSE)-IF(MONTH($C285)=4,$Y$3,IF(MONTH($C285)=5,$Y$4,IF(MONTH($C285)=6,$Y$5,IF(MONTH($C285)=7,$Y$6,"ERROR")))),0),MAX(VLOOKUP($C285,COS!$B$8:$K$991,9,FALSE)-IF(MONTH($C285)=4,$V$3,IF(MONTH($C285)=5,$V$4,IF(MONTH($C285)=6,$V$5,IF(MONTH($C285)=7,$V$6,"ERROR"))))-VLOOKUP($C285,COS!$B$8:$K$991,6,FALSE)/2,0))</f>
        <v>1500</v>
      </c>
      <c r="S285" s="26">
        <f t="shared" si="456"/>
        <v>92.231404958677686</v>
      </c>
      <c r="T285" s="26">
        <f t="shared" si="457"/>
        <v>185.68338237667871</v>
      </c>
      <c r="U285" s="26" t="str">
        <f>IF(VLOOKUP($C285,COS!$B$8:$I$991,8,FALSE)=1,"UWFE","IBU")</f>
        <v>UWFE</v>
      </c>
      <c r="V285" s="26">
        <f t="shared" ref="V285" si="459">MIN(IF(IF($AA$3=2,AND(E285=1,G285=1,L285=1,L289=1,M285=1,U285="IBU"),AND(E285=1,G285=1,L285=1,L289=1,M285=1)),T285,0),I285)</f>
        <v>0</v>
      </c>
      <c r="W285" s="26"/>
      <c r="X285" s="26"/>
      <c r="Y285" s="26"/>
      <c r="Z285" s="26"/>
      <c r="AA285" s="26"/>
      <c r="AB285" s="33"/>
    </row>
    <row r="286" spans="1:28" x14ac:dyDescent="0.3">
      <c r="A286" s="32">
        <f>VLOOKUP(YEAR(C286),Flags!$A$13:$B$95,2,FALSE)</f>
        <v>1</v>
      </c>
      <c r="B286" s="24">
        <f t="shared" si="432"/>
        <v>1952</v>
      </c>
      <c r="C286" s="25">
        <v>19175</v>
      </c>
      <c r="D286" s="26">
        <f>VLOOKUP($C286,COS!$B$8:$H$991,3,FALSE)</f>
        <v>6688.24560546875</v>
      </c>
      <c r="E286" s="24">
        <f>IF(D286&gt;=IF(MONTH($C286)=4,$C$3,IF(MONTH($C286)=5,$C$4,IF(MONTH($C286)=6,$C$5,IF(MONTH($C286)=7,$C$6,"ERROR")))),1,0)</f>
        <v>0</v>
      </c>
      <c r="F286" s="26">
        <f>VLOOKUP($C286,COS!$B$8:$H$991,7,FALSE)</f>
        <v>51.496559143066406</v>
      </c>
      <c r="G286" s="24">
        <f>IF(F286&lt;=IF(MONTH($C286)=4,$F$3,IF(MONTH($C286)=5,$F$4,IF(MONTH($C286)=6,$F$5,IF(MONTH($C286)=7,$F$6,"ERROR")))),1,0)</f>
        <v>1</v>
      </c>
      <c r="H286" s="26">
        <f>IF(J286=1,D286-$C$5,0)</f>
        <v>0</v>
      </c>
      <c r="I286" s="26">
        <f t="shared" si="450"/>
        <v>0</v>
      </c>
      <c r="J286" s="24">
        <f t="shared" si="451"/>
        <v>0</v>
      </c>
      <c r="K286" s="26">
        <f>VLOOKUP($C286,COS!$B$8:$H$991,2,FALSE)</f>
        <v>4500</v>
      </c>
      <c r="L286" s="24">
        <f t="shared" si="435"/>
        <v>1</v>
      </c>
      <c r="M286" s="24">
        <f t="shared" si="436"/>
        <v>0</v>
      </c>
      <c r="N286" s="26">
        <f>VLOOKUP($C286,COS!$B$8:$H$991,5,FALSE)</f>
        <v>1056.9393310546875</v>
      </c>
      <c r="O286" s="26">
        <f t="shared" si="454"/>
        <v>62.892257715650828</v>
      </c>
      <c r="P286" s="26">
        <f>VLOOKUP($C286,COS!$B$8:$H$991,6,FALSE)</f>
        <v>2224.63916015625</v>
      </c>
      <c r="Q286" s="26">
        <f t="shared" si="455"/>
        <v>132.37522275309917</v>
      </c>
      <c r="R286" s="26">
        <f>MIN(IF(MONTH($C286)=4,$S$3,IF(MONTH($C286)=5,$S$4,IF(MONTH($C286)=6,$S$5,IF(MONTH($C286)=7,$S$6,"ERROR")))),MAX(VLOOKUP($C286,COS!$B$8:$K$991,10,FALSE)-IF(MONTH($C286)=4,$Y$3,IF(MONTH($C286)=5,$Y$4,IF(MONTH($C286)=6,$Y$5,IF(MONTH($C286)=7,$Y$6,"ERROR")))),0),MAX(VLOOKUP($C286,COS!$B$8:$K$991,9,FALSE)-IF(MONTH($C286)=4,$V$3,IF(MONTH($C286)=5,$V$4,IF(MONTH($C286)=6,$V$5,IF(MONTH($C286)=7,$V$6,"ERROR"))))-VLOOKUP($C286,COS!$B$8:$K$991,6,FALSE)/2,0))</f>
        <v>1500</v>
      </c>
      <c r="S286" s="26">
        <f t="shared" si="456"/>
        <v>89.256198347107429</v>
      </c>
      <c r="T286" s="26">
        <f t="shared" si="457"/>
        <v>186.88993858148243</v>
      </c>
      <c r="U286" s="26" t="str">
        <f>IF(VLOOKUP($C286,COS!$B$8:$I$991,8,FALSE)=1,"UWFE","IBU")</f>
        <v>UWFE</v>
      </c>
      <c r="V286" s="26">
        <f t="shared" ref="V286" si="460">MIN(IF(IF($AA$3=2,AND(E286=1,G286=1,L286=1,L289=1,M286=1,U286="IBU"),AND(E286=1,G286=1,L286=1,L289=1,M286=1)),T286,0),I286)</f>
        <v>0</v>
      </c>
      <c r="W286" s="26"/>
      <c r="X286" s="26"/>
      <c r="Y286" s="26"/>
      <c r="Z286" s="26"/>
      <c r="AA286" s="26"/>
      <c r="AB286" s="33"/>
    </row>
    <row r="287" spans="1:28" x14ac:dyDescent="0.3">
      <c r="A287" s="32">
        <f>VLOOKUP(YEAR(C287),Flags!$A$13:$B$95,2,FALSE)</f>
        <v>1</v>
      </c>
      <c r="B287" s="24">
        <f t="shared" si="432"/>
        <v>1952</v>
      </c>
      <c r="C287" s="25">
        <v>19206</v>
      </c>
      <c r="D287" s="26">
        <f>VLOOKUP($C287,COS!$B$8:$H$991,3,FALSE)</f>
        <v>9808.591796875</v>
      </c>
      <c r="E287" s="24">
        <f>IF(D287&gt;=IF(MONTH($C287)=4,$C$3,IF(MONTH($C287)=5,$C$4,IF(MONTH($C287)=6,$C$5,IF(MONTH($C287)=7,$C$6,"ERROR")))),1,0)</f>
        <v>0</v>
      </c>
      <c r="F287" s="26">
        <f>VLOOKUP($C287,COS!$B$8:$H$991,7,FALSE)</f>
        <v>52.452281951904297</v>
      </c>
      <c r="G287" s="24">
        <f>IF(F287&lt;=IF(MONTH($C287)=4,$F$3,IF(MONTH($C287)=5,$F$4,IF(MONTH($C287)=6,$F$5,IF(MONTH($C287)=7,$F$6,"ERROR")))),1,0)</f>
        <v>1</v>
      </c>
      <c r="H287" s="26">
        <f>IF(J287=1,D287-$C$6,0)</f>
        <v>0</v>
      </c>
      <c r="I287" s="26">
        <f t="shared" si="450"/>
        <v>0</v>
      </c>
      <c r="J287" s="24">
        <f t="shared" si="451"/>
        <v>0</v>
      </c>
      <c r="K287" s="26">
        <f>VLOOKUP($C287,COS!$B$8:$H$991,2,FALSE)</f>
        <v>4145.533203125</v>
      </c>
      <c r="L287" s="24">
        <f t="shared" si="435"/>
        <v>1</v>
      </c>
      <c r="M287" s="24">
        <f t="shared" si="436"/>
        <v>0</v>
      </c>
      <c r="N287" s="26">
        <f>VLOOKUP($C287,COS!$B$8:$H$991,5,FALSE)</f>
        <v>1272.6998291015625</v>
      </c>
      <c r="O287" s="26">
        <f t="shared" si="454"/>
        <v>78.255262219137393</v>
      </c>
      <c r="P287" s="26">
        <f>VLOOKUP($C287,COS!$B$8:$H$991,6,FALSE)</f>
        <v>2503.0556640625</v>
      </c>
      <c r="Q287" s="26">
        <f t="shared" si="455"/>
        <v>153.90689372417353</v>
      </c>
      <c r="R287" s="26">
        <f>MIN(IF(MONTH($C287)=4,$S$3,IF(MONTH($C287)=5,$S$4,IF(MONTH($C287)=6,$S$5,IF(MONTH($C287)=7,$S$6,"ERROR")))),MAX(VLOOKUP($C287,COS!$B$8:$K$991,10,FALSE)-IF(MONTH($C287)=4,$Y$3,IF(MONTH($C287)=5,$Y$4,IF(MONTH($C287)=6,$Y$5,IF(MONTH($C287)=7,$Y$6,"ERROR")))),0),MAX(VLOOKUP($C287,COS!$B$8:$K$991,9,FALSE)-IF(MONTH($C287)=4,$V$3,IF(MONTH($C287)=5,$V$4,IF(MONTH($C287)=6,$V$5,IF(MONTH($C287)=7,$V$6,"ERROR"))))-VLOOKUP($C287,COS!$B$8:$K$991,6,FALSE)/2,0))</f>
        <v>1500</v>
      </c>
      <c r="S287" s="26">
        <f t="shared" si="456"/>
        <v>92.231404958677686</v>
      </c>
      <c r="T287" s="26">
        <f t="shared" si="457"/>
        <v>208.31248293033315</v>
      </c>
      <c r="U287" s="26" t="str">
        <f>IF(VLOOKUP($C287,COS!$B$8:$I$991,8,FALSE)=1,"UWFE","IBU")</f>
        <v>UWFE</v>
      </c>
      <c r="V287" s="26">
        <f t="shared" ref="V287" si="461">MIN(IF(IF($AA$3=2,AND(E287=1,G287=1,L287=1,L289=1,M287=1,U287="IBU"),AND(E287=1,G287=1,L287=1,L289=1,M287=1)),T287,0),I287)</f>
        <v>0</v>
      </c>
      <c r="W287" s="26"/>
      <c r="X287" s="26"/>
      <c r="Y287" s="26"/>
      <c r="Z287" s="26"/>
      <c r="AA287" s="26"/>
      <c r="AB287" s="33"/>
    </row>
    <row r="288" spans="1:28" x14ac:dyDescent="0.3">
      <c r="A288" s="32">
        <f>VLOOKUP(YEAR(C288),Flags!$A$13:$B$95,2,FALSE)</f>
        <v>1</v>
      </c>
      <c r="B288" s="24">
        <f t="shared" si="432"/>
        <v>1952</v>
      </c>
      <c r="C288" s="25">
        <v>19237</v>
      </c>
      <c r="D288" s="26"/>
      <c r="E288" s="24"/>
      <c r="F288" s="26"/>
      <c r="G288" s="24"/>
      <c r="H288" s="24"/>
      <c r="I288" s="26"/>
      <c r="J288" s="24"/>
      <c r="K288" s="26"/>
      <c r="L288" s="24"/>
      <c r="M288" s="24"/>
      <c r="N288" s="26"/>
      <c r="O288" s="26"/>
      <c r="P288" s="26"/>
      <c r="Q288" s="26"/>
      <c r="R288" s="26"/>
      <c r="S288" s="26"/>
      <c r="T288" s="26"/>
      <c r="U288" s="26"/>
      <c r="V288" s="26"/>
      <c r="W288" s="26">
        <f>MAX($C$7-VLOOKUP($C288,COS!$B$8:$H$991,3,FALSE),0)</f>
        <v>188.6650390625</v>
      </c>
      <c r="X288" s="26">
        <f t="shared" si="448"/>
        <v>11.600561079545454</v>
      </c>
      <c r="Y288" s="26">
        <f>VLOOKUP($C288,COS!$B$8:$H$991,4,FALSE)</f>
        <v>0</v>
      </c>
      <c r="Z288" s="26">
        <f t="shared" si="449"/>
        <v>0</v>
      </c>
      <c r="AA288" s="26">
        <f t="shared" ref="AA288:AA292" si="462">MIN(W288,Y288)</f>
        <v>0</v>
      </c>
      <c r="AB288" s="33">
        <f t="shared" ref="AB288" si="463">AA288*DAY($C288)*86400/43560/1000*IF(MONTH($C288)=8,$P$3,IF(MONTH($C288)=9,$P$4,IF(MONTH($C288)=10,$P$5,IF(MONTH($C288)=11,$P$6,IF(MONTH($C288)=12,$P$7,NA())))))</f>
        <v>0</v>
      </c>
    </row>
    <row r="289" spans="1:28" x14ac:dyDescent="0.3">
      <c r="A289" s="32">
        <f>VLOOKUP(YEAR(C289),Flags!$A$13:$B$95,2,FALSE)</f>
        <v>1</v>
      </c>
      <c r="B289" s="24">
        <f t="shared" si="432"/>
        <v>1952</v>
      </c>
      <c r="C289" s="25">
        <v>19267</v>
      </c>
      <c r="D289" s="26"/>
      <c r="E289" s="24"/>
      <c r="F289" s="26"/>
      <c r="G289" s="24"/>
      <c r="H289" s="24"/>
      <c r="I289" s="26"/>
      <c r="J289" s="24"/>
      <c r="K289" s="26">
        <f>VLOOKUP($C289,COS!$B$8:$H$991,2,FALSE)</f>
        <v>3316.7529296875</v>
      </c>
      <c r="L289" s="24">
        <f t="shared" ref="L289" si="464">IF(AND(K289&gt;$I$7,K289&lt;$I$8),1,0)</f>
        <v>1</v>
      </c>
      <c r="M289" s="24"/>
      <c r="N289" s="26"/>
      <c r="O289" s="26"/>
      <c r="P289" s="26"/>
      <c r="Q289" s="26"/>
      <c r="R289" s="26"/>
      <c r="S289" s="26"/>
      <c r="T289" s="26"/>
      <c r="U289" s="26"/>
      <c r="V289" s="26"/>
      <c r="W289" s="26">
        <f>MAX($C$8-VLOOKUP($C289,COS!$B$8:$H$991,3,FALSE),0)</f>
        <v>0</v>
      </c>
      <c r="X289" s="26">
        <f t="shared" si="448"/>
        <v>0</v>
      </c>
      <c r="Y289" s="26">
        <f>VLOOKUP($C289,COS!$B$8:$H$991,4,FALSE)</f>
        <v>38.310874938964844</v>
      </c>
      <c r="Z289" s="26">
        <f t="shared" si="449"/>
        <v>2.2796553682689824</v>
      </c>
      <c r="AA289" s="26">
        <f t="shared" si="462"/>
        <v>0</v>
      </c>
      <c r="AB289" s="33">
        <f t="shared" si="446"/>
        <v>0</v>
      </c>
    </row>
    <row r="290" spans="1:28" x14ac:dyDescent="0.3">
      <c r="A290" s="32">
        <f>VLOOKUP(YEAR(C290),Flags!$A$13:$B$95,2,FALSE)</f>
        <v>1</v>
      </c>
      <c r="B290" s="24">
        <f t="shared" si="432"/>
        <v>1952</v>
      </c>
      <c r="C290" s="25">
        <v>19298</v>
      </c>
      <c r="D290" s="26"/>
      <c r="E290" s="24"/>
      <c r="F290" s="26"/>
      <c r="G290" s="26"/>
      <c r="H290" s="26"/>
      <c r="I290" s="26"/>
      <c r="J290" s="26"/>
      <c r="K290" s="26"/>
      <c r="L290" s="24"/>
      <c r="M290" s="24"/>
      <c r="N290" s="26"/>
      <c r="O290" s="26"/>
      <c r="P290" s="26"/>
      <c r="Q290" s="26"/>
      <c r="R290" s="26"/>
      <c r="S290" s="26"/>
      <c r="T290" s="26"/>
      <c r="U290" s="26"/>
      <c r="V290" s="26"/>
      <c r="W290" s="26">
        <f>MAX($C$9-VLOOKUP($C290,COS!$B$8:$H$991,3,FALSE),0)</f>
        <v>0</v>
      </c>
      <c r="X290" s="26">
        <f t="shared" si="448"/>
        <v>0</v>
      </c>
      <c r="Y290" s="26">
        <f>VLOOKUP($C290,COS!$B$8:$H$991,4,FALSE)</f>
        <v>203.00856018066406</v>
      </c>
      <c r="Z290" s="26">
        <f t="shared" si="449"/>
        <v>12.482509816067278</v>
      </c>
      <c r="AA290" s="26">
        <f t="shared" si="462"/>
        <v>0</v>
      </c>
      <c r="AB290" s="33">
        <f t="shared" si="446"/>
        <v>0</v>
      </c>
    </row>
    <row r="291" spans="1:28" x14ac:dyDescent="0.3">
      <c r="A291" s="32">
        <f>VLOOKUP(YEAR(C291),Flags!$A$13:$B$95,2,FALSE)</f>
        <v>1</v>
      </c>
      <c r="B291" s="24">
        <f t="shared" si="432"/>
        <v>1952</v>
      </c>
      <c r="C291" s="25">
        <v>19328</v>
      </c>
      <c r="D291" s="26"/>
      <c r="E291" s="24"/>
      <c r="F291" s="26"/>
      <c r="G291" s="26"/>
      <c r="H291" s="26"/>
      <c r="I291" s="26"/>
      <c r="J291" s="26"/>
      <c r="K291" s="26"/>
      <c r="L291" s="24"/>
      <c r="M291" s="24"/>
      <c r="N291" s="26"/>
      <c r="O291" s="26"/>
      <c r="P291" s="26"/>
      <c r="Q291" s="26"/>
      <c r="R291" s="26"/>
      <c r="S291" s="26"/>
      <c r="T291" s="26"/>
      <c r="U291" s="26"/>
      <c r="V291" s="26"/>
      <c r="W291" s="26">
        <f>MAX($C$10-VLOOKUP($C291,COS!$B$8:$H$991,3,FALSE),0)</f>
        <v>0</v>
      </c>
      <c r="X291" s="26">
        <f t="shared" si="448"/>
        <v>0</v>
      </c>
      <c r="Y291" s="26">
        <f>VLOOKUP($C291,COS!$B$8:$H$991,4,FALSE)</f>
        <v>736.8885498046875</v>
      </c>
      <c r="Z291" s="26">
        <f t="shared" si="449"/>
        <v>43.847913707386361</v>
      </c>
      <c r="AA291" s="26">
        <f t="shared" si="462"/>
        <v>0</v>
      </c>
      <c r="AB291" s="33">
        <f t="shared" si="446"/>
        <v>0</v>
      </c>
    </row>
    <row r="292" spans="1:28" x14ac:dyDescent="0.3">
      <c r="A292" s="34">
        <f>VLOOKUP(YEAR(C292),Flags!$A$13:$B$95,2,FALSE)</f>
        <v>1</v>
      </c>
      <c r="B292" s="35">
        <f t="shared" si="432"/>
        <v>1952</v>
      </c>
      <c r="C292" s="36">
        <v>19359</v>
      </c>
      <c r="D292" s="37"/>
      <c r="E292" s="35"/>
      <c r="F292" s="37"/>
      <c r="G292" s="37"/>
      <c r="H292" s="37"/>
      <c r="I292" s="37"/>
      <c r="J292" s="37"/>
      <c r="K292" s="37"/>
      <c r="L292" s="35"/>
      <c r="M292" s="35"/>
      <c r="N292" s="37"/>
      <c r="O292" s="37"/>
      <c r="P292" s="37"/>
      <c r="Q292" s="37"/>
      <c r="R292" s="37"/>
      <c r="S292" s="37"/>
      <c r="T292" s="37"/>
      <c r="U292" s="37"/>
      <c r="V292" s="37"/>
      <c r="W292" s="37">
        <f>MAX($C$11-VLOOKUP($C292,COS!$B$8:$H$991,3,FALSE),0)</f>
        <v>0</v>
      </c>
      <c r="X292" s="37">
        <f t="shared" si="448"/>
        <v>0</v>
      </c>
      <c r="Y292" s="37">
        <f>VLOOKUP($C292,COS!$B$8:$H$991,4,FALSE)</f>
        <v>0</v>
      </c>
      <c r="Z292" s="37">
        <f t="shared" si="449"/>
        <v>0</v>
      </c>
      <c r="AA292" s="37">
        <f t="shared" si="462"/>
        <v>0</v>
      </c>
      <c r="AB292" s="38">
        <f t="shared" si="446"/>
        <v>0</v>
      </c>
    </row>
    <row r="293" spans="1:28" x14ac:dyDescent="0.3">
      <c r="A293" s="27">
        <f>VLOOKUP(YEAR(C293),Flags!$A$13:$B$95,2,FALSE)</f>
        <v>1</v>
      </c>
      <c r="B293" s="28">
        <f t="shared" si="432"/>
        <v>1953</v>
      </c>
      <c r="C293" s="29">
        <v>19479</v>
      </c>
      <c r="D293" s="30">
        <f>VLOOKUP($C293,COS!$B$8:$H$991,3,FALSE)</f>
        <v>5435.791015625</v>
      </c>
      <c r="E293" s="28">
        <f>IF(D293&gt;=IF(MONTH($C293)=4,$C$3,IF(MONTH($C293)=5,$C$4,IF(MONTH($C293)=6,$C$5,IF(MONTH($C293)=7,$C$6,"ERROR")))),1,0)</f>
        <v>0</v>
      </c>
      <c r="F293" s="30">
        <f>VLOOKUP($C293,COS!$B$8:$H$991,7,FALSE)</f>
        <v>48.983604431152344</v>
      </c>
      <c r="G293" s="28">
        <f>IF(F293&lt;=IF(MONTH($C293)=4,$F$3,IF(MONTH($C293)=5,$F$4,IF(MONTH($C293)=6,$F$5,IF(MONTH($C293)=7,$F$6,"ERROR")))),1,0)</f>
        <v>1</v>
      </c>
      <c r="H293" s="30">
        <f>IF(J293=1,D293-$C$3,0)</f>
        <v>0</v>
      </c>
      <c r="I293" s="30">
        <f t="shared" si="450"/>
        <v>0</v>
      </c>
      <c r="J293" s="28">
        <f t="shared" ref="J293:J296" si="465">IF(AND(E293=1,G293=1),1,0)</f>
        <v>0</v>
      </c>
      <c r="K293" s="30">
        <f>VLOOKUP($C293,COS!$B$8:$H$991,2,FALSE)</f>
        <v>4552</v>
      </c>
      <c r="L293" s="28">
        <f t="shared" ref="L293" si="466">IF(K293&lt;=IF(MONTH($C293)=4,$I$3,IF(MONTH($C293)=5,$I$4,IF(MONTH($C293)=6,$I$5,IF(MONTH($C293)=7,$I$6,"ERROR")))),1,0)</f>
        <v>1</v>
      </c>
      <c r="M293" s="28">
        <f t="shared" ref="M293" si="467">VLOOKUP($A293,$L$3:$M$7,2,FALSE)</f>
        <v>0</v>
      </c>
      <c r="N293" s="30">
        <f>VLOOKUP($C293,COS!$B$8:$H$991,5,FALSE)</f>
        <v>445.47723388671875</v>
      </c>
      <c r="O293" s="30">
        <f t="shared" ref="O293:O296" si="468">N293*DAY($C293)*86400/43560/1000</f>
        <v>26.507736231275828</v>
      </c>
      <c r="P293" s="30">
        <f>VLOOKUP($C293,COS!$B$8:$H$991,6,FALSE)</f>
        <v>432.80410766601563</v>
      </c>
      <c r="Q293" s="30">
        <f t="shared" ref="Q293:Q296" si="469">P293*DAY($C293)*86400/43560/1000</f>
        <v>25.753632852853823</v>
      </c>
      <c r="R293" s="30">
        <f>MIN(IF(MONTH($C293)=4,$S$3,IF(MONTH($C293)=5,$S$4,IF(MONTH($C293)=6,$S$5,IF(MONTH($C293)=7,$S$6,"ERROR")))),MAX(VLOOKUP($C293,COS!$B$8:$K$991,10,FALSE)-IF(MONTH($C293)=4,$Y$3,IF(MONTH($C293)=5,$Y$4,IF(MONTH($C293)=6,$Y$5,IF(MONTH($C293)=7,$Y$6,"ERROR")))),0),MAX(VLOOKUP($C293,COS!$B$8:$K$991,9,FALSE)-IF(MONTH($C293)=4,$V$3,IF(MONTH($C293)=5,$V$4,IF(MONTH($C293)=6,$V$5,IF(MONTH($C293)=7,$V$6,"ERROR"))))-VLOOKUP($C293,COS!$B$8:$K$991,6,FALSE)/2,0))</f>
        <v>1500</v>
      </c>
      <c r="S293" s="30">
        <f t="shared" ref="S293:S296" si="470">R293*DAY($C293)*86400/43560/1000</f>
        <v>89.256198347107429</v>
      </c>
      <c r="T293" s="30">
        <f t="shared" ref="T293:T296" si="471">(O293+Q293)/2+S293</f>
        <v>115.38688288917226</v>
      </c>
      <c r="U293" s="30" t="str">
        <f>IF(VLOOKUP($C293,COS!$B$8:$I$991,8,FALSE)=1,"UWFE","IBU")</f>
        <v>UWFE</v>
      </c>
      <c r="V293" s="30">
        <f t="shared" ref="V293" si="472">MIN(IF(IF($AA$3=2,AND(E293=1,G293=1,L293=1,L298=1,M293=1,U293="IBU"),AND(E293=1,G293=1,L293=1,L298=1,M293=1)),T293,0),I293)</f>
        <v>0</v>
      </c>
      <c r="W293" s="30"/>
      <c r="X293" s="30"/>
      <c r="Y293" s="30"/>
      <c r="Z293" s="30"/>
      <c r="AA293" s="30"/>
      <c r="AB293" s="31"/>
    </row>
    <row r="294" spans="1:28" x14ac:dyDescent="0.3">
      <c r="A294" s="32">
        <f>VLOOKUP(YEAR(C294),Flags!$A$13:$B$95,2,FALSE)</f>
        <v>1</v>
      </c>
      <c r="B294" s="24">
        <f t="shared" si="432"/>
        <v>1953</v>
      </c>
      <c r="C294" s="25">
        <v>19510</v>
      </c>
      <c r="D294" s="26">
        <f>VLOOKUP($C294,COS!$B$8:$H$991,3,FALSE)</f>
        <v>9500.9638671875</v>
      </c>
      <c r="E294" s="24">
        <f>IF(D294&gt;=IF(MONTH($C294)=4,$C$3,IF(MONTH($C294)=5,$C$4,IF(MONTH($C294)=6,$C$5,IF(MONTH($C294)=7,$C$6,"ERROR")))),1,0)</f>
        <v>1</v>
      </c>
      <c r="F294" s="26">
        <f>VLOOKUP($C294,COS!$B$8:$H$991,7,FALSE)</f>
        <v>48.526103973388672</v>
      </c>
      <c r="G294" s="24">
        <f>IF(F294&lt;=IF(MONTH($C294)=4,$F$3,IF(MONTH($C294)=5,$F$4,IF(MONTH($C294)=6,$F$5,IF(MONTH($C294)=7,$F$6,"ERROR")))),1,0)</f>
        <v>1</v>
      </c>
      <c r="H294" s="26">
        <f>IF(J294=1,D294-$C$4,0)</f>
        <v>3500.9638671875</v>
      </c>
      <c r="I294" s="26">
        <f t="shared" si="450"/>
        <v>215.26587745351239</v>
      </c>
      <c r="J294" s="24">
        <f t="shared" si="465"/>
        <v>1</v>
      </c>
      <c r="K294" s="26">
        <f>VLOOKUP($C294,COS!$B$8:$H$991,2,FALSE)</f>
        <v>4552</v>
      </c>
      <c r="L294" s="24">
        <f t="shared" si="435"/>
        <v>1</v>
      </c>
      <c r="M294" s="24">
        <f t="shared" si="436"/>
        <v>0</v>
      </c>
      <c r="N294" s="26">
        <f>VLOOKUP($C294,COS!$B$8:$H$991,5,FALSE)</f>
        <v>730.5885009765625</v>
      </c>
      <c r="O294" s="26">
        <f t="shared" si="468"/>
        <v>44.922135927815084</v>
      </c>
      <c r="P294" s="26">
        <f>VLOOKUP($C294,COS!$B$8:$H$991,6,FALSE)</f>
        <v>2213.400634765625</v>
      </c>
      <c r="Q294" s="26">
        <f t="shared" si="469"/>
        <v>136.09670018724174</v>
      </c>
      <c r="R294" s="26">
        <f>MIN(IF(MONTH($C294)=4,$S$3,IF(MONTH($C294)=5,$S$4,IF(MONTH($C294)=6,$S$5,IF(MONTH($C294)=7,$S$6,"ERROR")))),MAX(VLOOKUP($C294,COS!$B$8:$K$991,10,FALSE)-IF(MONTH($C294)=4,$Y$3,IF(MONTH($C294)=5,$Y$4,IF(MONTH($C294)=6,$Y$5,IF(MONTH($C294)=7,$Y$6,"ERROR")))),0),MAX(VLOOKUP($C294,COS!$B$8:$K$991,9,FALSE)-IF(MONTH($C294)=4,$V$3,IF(MONTH($C294)=5,$V$4,IF(MONTH($C294)=6,$V$5,IF(MONTH($C294)=7,$V$6,"ERROR"))))-VLOOKUP($C294,COS!$B$8:$K$991,6,FALSE)/2,0))</f>
        <v>1500</v>
      </c>
      <c r="S294" s="26">
        <f t="shared" si="470"/>
        <v>92.231404958677686</v>
      </c>
      <c r="T294" s="26">
        <f t="shared" si="471"/>
        <v>182.74082301620609</v>
      </c>
      <c r="U294" s="26" t="str">
        <f>IF(VLOOKUP($C294,COS!$B$8:$I$991,8,FALSE)=1,"UWFE","IBU")</f>
        <v>UWFE</v>
      </c>
      <c r="V294" s="26">
        <f t="shared" ref="V294" si="473">MIN(IF(IF($AA$3=2,AND(E294=1,G294=1,L294=1,L298=1,M294=1,U294="IBU"),AND(E294=1,G294=1,L294=1,L298=1,M294=1)),T294,0),I294)</f>
        <v>0</v>
      </c>
      <c r="W294" s="26"/>
      <c r="X294" s="26"/>
      <c r="Y294" s="26"/>
      <c r="Z294" s="26"/>
      <c r="AA294" s="26"/>
      <c r="AB294" s="33"/>
    </row>
    <row r="295" spans="1:28" x14ac:dyDescent="0.3">
      <c r="A295" s="32">
        <f>VLOOKUP(YEAR(C295),Flags!$A$13:$B$95,2,FALSE)</f>
        <v>1</v>
      </c>
      <c r="B295" s="24">
        <f t="shared" si="432"/>
        <v>1953</v>
      </c>
      <c r="C295" s="25">
        <v>19540</v>
      </c>
      <c r="D295" s="26">
        <f>VLOOKUP($C295,COS!$B$8:$H$991,3,FALSE)</f>
        <v>8763.9052734375</v>
      </c>
      <c r="E295" s="24">
        <f>IF(D295&gt;=IF(MONTH($C295)=4,$C$3,IF(MONTH($C295)=5,$C$4,IF(MONTH($C295)=6,$C$5,IF(MONTH($C295)=7,$C$6,"ERROR")))),1,0)</f>
        <v>0</v>
      </c>
      <c r="F295" s="26">
        <f>VLOOKUP($C295,COS!$B$8:$H$991,7,FALSE)</f>
        <v>50.420295715332031</v>
      </c>
      <c r="G295" s="24">
        <f>IF(F295&lt;=IF(MONTH($C295)=4,$F$3,IF(MONTH($C295)=5,$F$4,IF(MONTH($C295)=6,$F$5,IF(MONTH($C295)=7,$F$6,"ERROR")))),1,0)</f>
        <v>1</v>
      </c>
      <c r="H295" s="26">
        <f>IF(J295=1,D295-$C$5,0)</f>
        <v>0</v>
      </c>
      <c r="I295" s="26">
        <f t="shared" si="450"/>
        <v>0</v>
      </c>
      <c r="J295" s="24">
        <f t="shared" si="465"/>
        <v>0</v>
      </c>
      <c r="K295" s="26">
        <f>VLOOKUP($C295,COS!$B$8:$H$991,2,FALSE)</f>
        <v>4500</v>
      </c>
      <c r="L295" s="24">
        <f t="shared" si="435"/>
        <v>1</v>
      </c>
      <c r="M295" s="24">
        <f t="shared" si="436"/>
        <v>0</v>
      </c>
      <c r="N295" s="26">
        <f>VLOOKUP($C295,COS!$B$8:$H$991,5,FALSE)</f>
        <v>1097.9736328125</v>
      </c>
      <c r="O295" s="26">
        <f t="shared" si="468"/>
        <v>65.333968233471069</v>
      </c>
      <c r="P295" s="26">
        <f>VLOOKUP($C295,COS!$B$8:$H$991,6,FALSE)</f>
        <v>2273.646484375</v>
      </c>
      <c r="Q295" s="26">
        <f t="shared" si="469"/>
        <v>135.29136105371902</v>
      </c>
      <c r="R295" s="26">
        <f>MIN(IF(MONTH($C295)=4,$S$3,IF(MONTH($C295)=5,$S$4,IF(MONTH($C295)=6,$S$5,IF(MONTH($C295)=7,$S$6,"ERROR")))),MAX(VLOOKUP($C295,COS!$B$8:$K$991,10,FALSE)-IF(MONTH($C295)=4,$Y$3,IF(MONTH($C295)=5,$Y$4,IF(MONTH($C295)=6,$Y$5,IF(MONTH($C295)=7,$Y$6,"ERROR")))),0),MAX(VLOOKUP($C295,COS!$B$8:$K$991,9,FALSE)-IF(MONTH($C295)=4,$V$3,IF(MONTH($C295)=5,$V$4,IF(MONTH($C295)=6,$V$5,IF(MONTH($C295)=7,$V$6,"ERROR"))))-VLOOKUP($C295,COS!$B$8:$K$991,6,FALSE)/2,0))</f>
        <v>1500</v>
      </c>
      <c r="S295" s="26">
        <f t="shared" si="470"/>
        <v>89.256198347107429</v>
      </c>
      <c r="T295" s="26">
        <f t="shared" si="471"/>
        <v>189.56886299070248</v>
      </c>
      <c r="U295" s="26" t="str">
        <f>IF(VLOOKUP($C295,COS!$B$8:$I$991,8,FALSE)=1,"UWFE","IBU")</f>
        <v>UWFE</v>
      </c>
      <c r="V295" s="26">
        <f t="shared" ref="V295" si="474">MIN(IF(IF($AA$3=2,AND(E295=1,G295=1,L295=1,L298=1,M295=1,U295="IBU"),AND(E295=1,G295=1,L295=1,L298=1,M295=1)),T295,0),I295)</f>
        <v>0</v>
      </c>
      <c r="W295" s="26"/>
      <c r="X295" s="26"/>
      <c r="Y295" s="26"/>
      <c r="Z295" s="26"/>
      <c r="AA295" s="26"/>
      <c r="AB295" s="33"/>
    </row>
    <row r="296" spans="1:28" x14ac:dyDescent="0.3">
      <c r="A296" s="32">
        <f>VLOOKUP(YEAR(C296),Flags!$A$13:$B$95,2,FALSE)</f>
        <v>1</v>
      </c>
      <c r="B296" s="24">
        <f t="shared" si="432"/>
        <v>1953</v>
      </c>
      <c r="C296" s="25">
        <v>19571</v>
      </c>
      <c r="D296" s="26">
        <f>VLOOKUP($C296,COS!$B$8:$H$991,3,FALSE)</f>
        <v>14905.9033203125</v>
      </c>
      <c r="E296" s="24">
        <f>IF(D296&gt;=IF(MONTH($C296)=4,$C$3,IF(MONTH($C296)=5,$C$4,IF(MONTH($C296)=6,$C$5,IF(MONTH($C296)=7,$C$6,"ERROR")))),1,0)</f>
        <v>1</v>
      </c>
      <c r="F296" s="26">
        <f>VLOOKUP($C296,COS!$B$8:$H$991,7,FALSE)</f>
        <v>51.294979095458984</v>
      </c>
      <c r="G296" s="24">
        <f>IF(F296&lt;=IF(MONTH($C296)=4,$F$3,IF(MONTH($C296)=5,$F$4,IF(MONTH($C296)=6,$F$5,IF(MONTH($C296)=7,$F$6,"ERROR")))),1,0)</f>
        <v>1</v>
      </c>
      <c r="H296" s="26">
        <f>IF(J296=1,D296-$C$6,0)</f>
        <v>2905.9033203125</v>
      </c>
      <c r="I296" s="26">
        <f t="shared" si="450"/>
        <v>178.67703060433885</v>
      </c>
      <c r="J296" s="24">
        <f t="shared" si="465"/>
        <v>1</v>
      </c>
      <c r="K296" s="26">
        <f>VLOOKUP($C296,COS!$B$8:$H$991,2,FALSE)</f>
        <v>3867.513427734375</v>
      </c>
      <c r="L296" s="24">
        <f t="shared" si="435"/>
        <v>1</v>
      </c>
      <c r="M296" s="24">
        <f t="shared" si="436"/>
        <v>0</v>
      </c>
      <c r="N296" s="26">
        <f>VLOOKUP($C296,COS!$B$8:$H$991,5,FALSE)</f>
        <v>1282.49609375</v>
      </c>
      <c r="O296" s="26">
        <f t="shared" si="468"/>
        <v>78.857611053719012</v>
      </c>
      <c r="P296" s="26">
        <f>VLOOKUP($C296,COS!$B$8:$H$991,6,FALSE)</f>
        <v>2616.67822265625</v>
      </c>
      <c r="Q296" s="26">
        <f t="shared" si="469"/>
        <v>160.89327253357436</v>
      </c>
      <c r="R296" s="26">
        <f>MIN(IF(MONTH($C296)=4,$S$3,IF(MONTH($C296)=5,$S$4,IF(MONTH($C296)=6,$S$5,IF(MONTH($C296)=7,$S$6,"ERROR")))),MAX(VLOOKUP($C296,COS!$B$8:$K$991,10,FALSE)-IF(MONTH($C296)=4,$Y$3,IF(MONTH($C296)=5,$Y$4,IF(MONTH($C296)=6,$Y$5,IF(MONTH($C296)=7,$Y$6,"ERROR")))),0),MAX(VLOOKUP($C296,COS!$B$8:$K$991,9,FALSE)-IF(MONTH($C296)=4,$V$3,IF(MONTH($C296)=5,$V$4,IF(MONTH($C296)=6,$V$5,IF(MONTH($C296)=7,$V$6,"ERROR"))))-VLOOKUP($C296,COS!$B$8:$K$991,6,FALSE)/2,0))</f>
        <v>1500</v>
      </c>
      <c r="S296" s="26">
        <f t="shared" si="470"/>
        <v>92.231404958677686</v>
      </c>
      <c r="T296" s="26">
        <f t="shared" si="471"/>
        <v>212.10684675232437</v>
      </c>
      <c r="U296" s="26" t="str">
        <f>IF(VLOOKUP($C296,COS!$B$8:$I$991,8,FALSE)=1,"UWFE","IBU")</f>
        <v>IBU</v>
      </c>
      <c r="V296" s="26">
        <f t="shared" ref="V296" si="475">MIN(IF(IF($AA$3=2,AND(E296=1,G296=1,L296=1,L298=1,M296=1,U296="IBU"),AND(E296=1,G296=1,L296=1,L298=1,M296=1)),T296,0),I296)</f>
        <v>0</v>
      </c>
      <c r="W296" s="26"/>
      <c r="X296" s="26"/>
      <c r="Y296" s="26"/>
      <c r="Z296" s="26"/>
      <c r="AA296" s="26"/>
      <c r="AB296" s="33"/>
    </row>
    <row r="297" spans="1:28" x14ac:dyDescent="0.3">
      <c r="A297" s="32">
        <f>VLOOKUP(YEAR(C297),Flags!$A$13:$B$95,2,FALSE)</f>
        <v>1</v>
      </c>
      <c r="B297" s="24">
        <f t="shared" si="432"/>
        <v>1953</v>
      </c>
      <c r="C297" s="25">
        <v>19602</v>
      </c>
      <c r="D297" s="26"/>
      <c r="E297" s="24"/>
      <c r="F297" s="26"/>
      <c r="G297" s="24"/>
      <c r="H297" s="24"/>
      <c r="I297" s="26"/>
      <c r="J297" s="24"/>
      <c r="K297" s="26"/>
      <c r="L297" s="24"/>
      <c r="M297" s="24"/>
      <c r="N297" s="26"/>
      <c r="O297" s="26"/>
      <c r="P297" s="26"/>
      <c r="Q297" s="26"/>
      <c r="R297" s="26"/>
      <c r="S297" s="26"/>
      <c r="T297" s="26"/>
      <c r="U297" s="26"/>
      <c r="V297" s="26"/>
      <c r="W297" s="26">
        <f>MAX($C$7-VLOOKUP($C297,COS!$B$8:$H$991,3,FALSE),0)</f>
        <v>1656.0712890625</v>
      </c>
      <c r="X297" s="26">
        <f t="shared" si="448"/>
        <v>101.82785446797521</v>
      </c>
      <c r="Y297" s="26">
        <f>VLOOKUP($C297,COS!$B$8:$H$991,4,FALSE)</f>
        <v>19.638147354125977</v>
      </c>
      <c r="Z297" s="26">
        <f t="shared" si="449"/>
        <v>1.2075026141710519</v>
      </c>
      <c r="AA297" s="26">
        <f t="shared" ref="AA297:AA301" si="476">MIN(W297,Y297)</f>
        <v>19.638147354125977</v>
      </c>
      <c r="AB297" s="33">
        <f t="shared" ref="AB297" si="477">AA297*DAY($C297)*86400/43560/1000*IF(MONTH($C297)=8,$P$3,IF(MONTH($C297)=9,$P$4,IF(MONTH($C297)=10,$P$5,IF(MONTH($C297)=11,$P$6,IF(MONTH($C297)=12,$P$7,NA())))))</f>
        <v>1.2075026141710519</v>
      </c>
    </row>
    <row r="298" spans="1:28" x14ac:dyDescent="0.3">
      <c r="A298" s="32">
        <f>VLOOKUP(YEAR(C298),Flags!$A$13:$B$95,2,FALSE)</f>
        <v>1</v>
      </c>
      <c r="B298" s="24">
        <f t="shared" si="432"/>
        <v>1953</v>
      </c>
      <c r="C298" s="25">
        <v>19632</v>
      </c>
      <c r="D298" s="26"/>
      <c r="E298" s="24"/>
      <c r="F298" s="26"/>
      <c r="G298" s="24"/>
      <c r="H298" s="24"/>
      <c r="I298" s="26"/>
      <c r="J298" s="24"/>
      <c r="K298" s="26">
        <f>VLOOKUP($C298,COS!$B$8:$H$991,2,FALSE)</f>
        <v>3007.05029296875</v>
      </c>
      <c r="L298" s="24">
        <f t="shared" ref="L298" si="478">IF(AND(K298&gt;$I$7,K298&lt;$I$8),1,0)</f>
        <v>1</v>
      </c>
      <c r="M298" s="24"/>
      <c r="N298" s="26"/>
      <c r="O298" s="26"/>
      <c r="P298" s="26"/>
      <c r="Q298" s="26"/>
      <c r="R298" s="26"/>
      <c r="S298" s="26"/>
      <c r="T298" s="26"/>
      <c r="U298" s="26"/>
      <c r="V298" s="26"/>
      <c r="W298" s="26">
        <f>MAX($C$8-VLOOKUP($C298,COS!$B$8:$H$991,3,FALSE),0)</f>
        <v>0</v>
      </c>
      <c r="X298" s="26">
        <f t="shared" si="448"/>
        <v>0</v>
      </c>
      <c r="Y298" s="26">
        <f>VLOOKUP($C298,COS!$B$8:$H$991,4,FALSE)</f>
        <v>0</v>
      </c>
      <c r="Z298" s="26">
        <f t="shared" si="449"/>
        <v>0</v>
      </c>
      <c r="AA298" s="26">
        <f t="shared" si="476"/>
        <v>0</v>
      </c>
      <c r="AB298" s="33">
        <f t="shared" si="446"/>
        <v>0</v>
      </c>
    </row>
    <row r="299" spans="1:28" x14ac:dyDescent="0.3">
      <c r="A299" s="32">
        <f>VLOOKUP(YEAR(C299),Flags!$A$13:$B$95,2,FALSE)</f>
        <v>1</v>
      </c>
      <c r="B299" s="24">
        <f t="shared" si="432"/>
        <v>1953</v>
      </c>
      <c r="C299" s="25">
        <v>19663</v>
      </c>
      <c r="D299" s="26"/>
      <c r="E299" s="24"/>
      <c r="F299" s="26"/>
      <c r="G299" s="26"/>
      <c r="H299" s="26"/>
      <c r="I299" s="26"/>
      <c r="J299" s="26"/>
      <c r="K299" s="26"/>
      <c r="L299" s="24"/>
      <c r="M299" s="24"/>
      <c r="N299" s="26"/>
      <c r="O299" s="26"/>
      <c r="P299" s="26"/>
      <c r="Q299" s="26"/>
      <c r="R299" s="26"/>
      <c r="S299" s="26"/>
      <c r="T299" s="26"/>
      <c r="U299" s="26"/>
      <c r="V299" s="26"/>
      <c r="W299" s="26">
        <f>MAX($C$9-VLOOKUP($C299,COS!$B$8:$H$991,3,FALSE),0)</f>
        <v>0</v>
      </c>
      <c r="X299" s="26">
        <f t="shared" si="448"/>
        <v>0</v>
      </c>
      <c r="Y299" s="26">
        <f>VLOOKUP($C299,COS!$B$8:$H$991,4,FALSE)</f>
        <v>1224.5797119140625</v>
      </c>
      <c r="Z299" s="26">
        <f t="shared" si="449"/>
        <v>75.296471542484511</v>
      </c>
      <c r="AA299" s="26">
        <f t="shared" si="476"/>
        <v>0</v>
      </c>
      <c r="AB299" s="33">
        <f t="shared" si="446"/>
        <v>0</v>
      </c>
    </row>
    <row r="300" spans="1:28" x14ac:dyDescent="0.3">
      <c r="A300" s="32">
        <f>VLOOKUP(YEAR(C300),Flags!$A$13:$B$95,2,FALSE)</f>
        <v>1</v>
      </c>
      <c r="B300" s="24">
        <f t="shared" si="432"/>
        <v>1953</v>
      </c>
      <c r="C300" s="25">
        <v>19693</v>
      </c>
      <c r="D300" s="26"/>
      <c r="E300" s="24"/>
      <c r="F300" s="26"/>
      <c r="G300" s="26"/>
      <c r="H300" s="26"/>
      <c r="I300" s="26"/>
      <c r="J300" s="26"/>
      <c r="K300" s="26"/>
      <c r="L300" s="24"/>
      <c r="M300" s="24"/>
      <c r="N300" s="26"/>
      <c r="O300" s="26"/>
      <c r="P300" s="26"/>
      <c r="Q300" s="26"/>
      <c r="R300" s="26"/>
      <c r="S300" s="26"/>
      <c r="T300" s="26"/>
      <c r="U300" s="26"/>
      <c r="V300" s="26"/>
      <c r="W300" s="26">
        <f>MAX($C$10-VLOOKUP($C300,COS!$B$8:$H$991,3,FALSE),0)</f>
        <v>0</v>
      </c>
      <c r="X300" s="26">
        <f t="shared" si="448"/>
        <v>0</v>
      </c>
      <c r="Y300" s="26">
        <f>VLOOKUP($C300,COS!$B$8:$H$991,4,FALSE)</f>
        <v>1707.279296875</v>
      </c>
      <c r="Z300" s="26">
        <f t="shared" si="449"/>
        <v>101.59017303719008</v>
      </c>
      <c r="AA300" s="26">
        <f t="shared" si="476"/>
        <v>0</v>
      </c>
      <c r="AB300" s="33">
        <f t="shared" si="446"/>
        <v>0</v>
      </c>
    </row>
    <row r="301" spans="1:28" x14ac:dyDescent="0.3">
      <c r="A301" s="34">
        <f>VLOOKUP(YEAR(C301),Flags!$A$13:$B$95,2,FALSE)</f>
        <v>1</v>
      </c>
      <c r="B301" s="35">
        <f t="shared" si="432"/>
        <v>1953</v>
      </c>
      <c r="C301" s="36">
        <v>19724</v>
      </c>
      <c r="D301" s="37"/>
      <c r="E301" s="35"/>
      <c r="F301" s="37"/>
      <c r="G301" s="37"/>
      <c r="H301" s="37"/>
      <c r="I301" s="37"/>
      <c r="J301" s="37"/>
      <c r="K301" s="37"/>
      <c r="L301" s="35"/>
      <c r="M301" s="35"/>
      <c r="N301" s="37"/>
      <c r="O301" s="37"/>
      <c r="P301" s="37"/>
      <c r="Q301" s="37"/>
      <c r="R301" s="37"/>
      <c r="S301" s="37"/>
      <c r="T301" s="37"/>
      <c r="U301" s="37"/>
      <c r="V301" s="37"/>
      <c r="W301" s="37">
        <f>MAX($C$11-VLOOKUP($C301,COS!$B$8:$H$991,3,FALSE),0)</f>
        <v>445.16845703125</v>
      </c>
      <c r="X301" s="37">
        <f t="shared" si="448"/>
        <v>27.372341490185949</v>
      </c>
      <c r="Y301" s="37">
        <f>VLOOKUP($C301,COS!$B$8:$H$991,4,FALSE)</f>
        <v>98.75079345703125</v>
      </c>
      <c r="Z301" s="37">
        <f t="shared" si="449"/>
        <v>6.0719496142174583</v>
      </c>
      <c r="AA301" s="37">
        <f t="shared" si="476"/>
        <v>98.75079345703125</v>
      </c>
      <c r="AB301" s="38">
        <f t="shared" si="446"/>
        <v>6.0719496142174583</v>
      </c>
    </row>
    <row r="302" spans="1:28" x14ac:dyDescent="0.3">
      <c r="A302" s="27">
        <f>VLOOKUP(YEAR(C302),Flags!$A$13:$B$95,2,FALSE)</f>
        <v>2</v>
      </c>
      <c r="B302" s="28">
        <f t="shared" si="432"/>
        <v>1954</v>
      </c>
      <c r="C302" s="29">
        <v>19844</v>
      </c>
      <c r="D302" s="30">
        <f>VLOOKUP($C302,COS!$B$8:$H$991,3,FALSE)</f>
        <v>10966.724609375</v>
      </c>
      <c r="E302" s="28">
        <f>IF(D302&gt;=IF(MONTH($C302)=4,$C$3,IF(MONTH($C302)=5,$C$4,IF(MONTH($C302)=6,$C$5,IF(MONTH($C302)=7,$C$6,"ERROR")))),1,0)</f>
        <v>1</v>
      </c>
      <c r="F302" s="30">
        <f>VLOOKUP($C302,COS!$B$8:$H$991,7,FALSE)</f>
        <v>48.739151000976563</v>
      </c>
      <c r="G302" s="28">
        <f>IF(F302&lt;=IF(MONTH($C302)=4,$F$3,IF(MONTH($C302)=5,$F$4,IF(MONTH($C302)=6,$F$5,IF(MONTH($C302)=7,$F$6,"ERROR")))),1,0)</f>
        <v>1</v>
      </c>
      <c r="H302" s="30">
        <f>IF(J302=1,D302-$C$3,0)</f>
        <v>4966.724609375</v>
      </c>
      <c r="I302" s="30">
        <f t="shared" si="450"/>
        <v>295.54063791322312</v>
      </c>
      <c r="J302" s="28">
        <f t="shared" ref="J302:J305" si="479">IF(AND(E302=1,G302=1),1,0)</f>
        <v>1</v>
      </c>
      <c r="K302" s="30">
        <f>VLOOKUP($C302,COS!$B$8:$H$991,2,FALSE)</f>
        <v>4546</v>
      </c>
      <c r="L302" s="28">
        <f t="shared" ref="L302" si="480">IF(K302&lt;=IF(MONTH($C302)=4,$I$3,IF(MONTH($C302)=5,$I$4,IF(MONTH($C302)=6,$I$5,IF(MONTH($C302)=7,$I$6,"ERROR")))),1,0)</f>
        <v>1</v>
      </c>
      <c r="M302" s="28">
        <f t="shared" ref="M302" si="481">VLOOKUP($A302,$L$3:$M$7,2,FALSE)</f>
        <v>0</v>
      </c>
      <c r="N302" s="30">
        <f>VLOOKUP($C302,COS!$B$8:$H$991,5,FALSE)</f>
        <v>33.86962890625</v>
      </c>
      <c r="O302" s="30">
        <f t="shared" ref="O302:O305" si="482">N302*DAY($C302)*86400/43560/1000</f>
        <v>2.0153828770661155</v>
      </c>
      <c r="P302" s="30">
        <f>VLOOKUP($C302,COS!$B$8:$H$991,6,FALSE)</f>
        <v>347.92138671875</v>
      </c>
      <c r="Q302" s="30">
        <f t="shared" ref="Q302:Q305" si="483">P302*DAY($C302)*86400/43560/1000</f>
        <v>20.702760201446281</v>
      </c>
      <c r="R302" s="30">
        <f>MIN(IF(MONTH($C302)=4,$S$3,IF(MONTH($C302)=5,$S$4,IF(MONTH($C302)=6,$S$5,IF(MONTH($C302)=7,$S$6,"ERROR")))),MAX(VLOOKUP($C302,COS!$B$8:$K$991,10,FALSE)-IF(MONTH($C302)=4,$Y$3,IF(MONTH($C302)=5,$Y$4,IF(MONTH($C302)=6,$Y$5,IF(MONTH($C302)=7,$Y$6,"ERROR")))),0),MAX(VLOOKUP($C302,COS!$B$8:$K$991,9,FALSE)-IF(MONTH($C302)=4,$V$3,IF(MONTH($C302)=5,$V$4,IF(MONTH($C302)=6,$V$5,IF(MONTH($C302)=7,$V$6,"ERROR"))))-VLOOKUP($C302,COS!$B$8:$K$991,6,FALSE)/2,0))</f>
        <v>1500</v>
      </c>
      <c r="S302" s="30">
        <f t="shared" ref="S302:S305" si="484">R302*DAY($C302)*86400/43560/1000</f>
        <v>89.256198347107429</v>
      </c>
      <c r="T302" s="30">
        <f t="shared" ref="T302:T305" si="485">(O302+Q302)/2+S302</f>
        <v>100.61526988636362</v>
      </c>
      <c r="U302" s="30" t="str">
        <f>IF(VLOOKUP($C302,COS!$B$8:$I$991,8,FALSE)=1,"UWFE","IBU")</f>
        <v>UWFE</v>
      </c>
      <c r="V302" s="30">
        <f t="shared" ref="V302" si="486">MIN(IF(IF($AA$3=2,AND(E302=1,G302=1,L302=1,L307=1,M302=1,U302="IBU"),AND(E302=1,G302=1,L302=1,L307=1,M302=1)),T302,0),I302)</f>
        <v>0</v>
      </c>
      <c r="W302" s="30"/>
      <c r="X302" s="30"/>
      <c r="Y302" s="30"/>
      <c r="Z302" s="30"/>
      <c r="AA302" s="30"/>
      <c r="AB302" s="31"/>
    </row>
    <row r="303" spans="1:28" x14ac:dyDescent="0.3">
      <c r="A303" s="32">
        <f>VLOOKUP(YEAR(C303),Flags!$A$13:$B$95,2,FALSE)</f>
        <v>2</v>
      </c>
      <c r="B303" s="24">
        <f t="shared" si="432"/>
        <v>1954</v>
      </c>
      <c r="C303" s="25">
        <v>19875</v>
      </c>
      <c r="D303" s="26">
        <f>VLOOKUP($C303,COS!$B$8:$H$991,3,FALSE)</f>
        <v>7140.4267578125</v>
      </c>
      <c r="E303" s="24">
        <f>IF(D303&gt;=IF(MONTH($C303)=4,$C$3,IF(MONTH($C303)=5,$C$4,IF(MONTH($C303)=6,$C$5,IF(MONTH($C303)=7,$C$6,"ERROR")))),1,0)</f>
        <v>1</v>
      </c>
      <c r="F303" s="26">
        <f>VLOOKUP($C303,COS!$B$8:$H$991,7,FALSE)</f>
        <v>50.82733154296875</v>
      </c>
      <c r="G303" s="24">
        <f>IF(F303&lt;=IF(MONTH($C303)=4,$F$3,IF(MONTH($C303)=5,$F$4,IF(MONTH($C303)=6,$F$5,IF(MONTH($C303)=7,$F$6,"ERROR")))),1,0)</f>
        <v>1</v>
      </c>
      <c r="H303" s="26">
        <f>IF(J303=1,D303-$C$4,0)</f>
        <v>1140.4267578125</v>
      </c>
      <c r="I303" s="26">
        <f t="shared" si="450"/>
        <v>70.122108083677688</v>
      </c>
      <c r="J303" s="24">
        <f t="shared" si="479"/>
        <v>1</v>
      </c>
      <c r="K303" s="26">
        <f>VLOOKUP($C303,COS!$B$8:$H$991,2,FALSE)</f>
        <v>4520.74951171875</v>
      </c>
      <c r="L303" s="24">
        <f t="shared" si="435"/>
        <v>1</v>
      </c>
      <c r="M303" s="24">
        <f t="shared" si="436"/>
        <v>0</v>
      </c>
      <c r="N303" s="26">
        <f>VLOOKUP($C303,COS!$B$8:$H$991,5,FALSE)</f>
        <v>705.2218017578125</v>
      </c>
      <c r="O303" s="26">
        <f t="shared" si="482"/>
        <v>43.362398389075409</v>
      </c>
      <c r="P303" s="26">
        <f>VLOOKUP($C303,COS!$B$8:$H$991,6,FALSE)</f>
        <v>2247.10107421875</v>
      </c>
      <c r="Q303" s="26">
        <f t="shared" si="483"/>
        <v>138.16885943956612</v>
      </c>
      <c r="R303" s="26">
        <f>MIN(IF(MONTH($C303)=4,$S$3,IF(MONTH($C303)=5,$S$4,IF(MONTH($C303)=6,$S$5,IF(MONTH($C303)=7,$S$6,"ERROR")))),MAX(VLOOKUP($C303,COS!$B$8:$K$991,10,FALSE)-IF(MONTH($C303)=4,$Y$3,IF(MONTH($C303)=5,$Y$4,IF(MONTH($C303)=6,$Y$5,IF(MONTH($C303)=7,$Y$6,"ERROR")))),0),MAX(VLOOKUP($C303,COS!$B$8:$K$991,9,FALSE)-IF(MONTH($C303)=4,$V$3,IF(MONTH($C303)=5,$V$4,IF(MONTH($C303)=6,$V$5,IF(MONTH($C303)=7,$V$6,"ERROR"))))-VLOOKUP($C303,COS!$B$8:$K$991,6,FALSE)/2,0))</f>
        <v>1500</v>
      </c>
      <c r="S303" s="26">
        <f t="shared" si="484"/>
        <v>92.231404958677686</v>
      </c>
      <c r="T303" s="26">
        <f t="shared" si="485"/>
        <v>182.99703387299843</v>
      </c>
      <c r="U303" s="26" t="str">
        <f>IF(VLOOKUP($C303,COS!$B$8:$I$991,8,FALSE)=1,"UWFE","IBU")</f>
        <v>UWFE</v>
      </c>
      <c r="V303" s="26">
        <f t="shared" ref="V303" si="487">MIN(IF(IF($AA$3=2,AND(E303=1,G303=1,L303=1,L307=1,M303=1,U303="IBU"),AND(E303=1,G303=1,L303=1,L307=1,M303=1)),T303,0),I303)</f>
        <v>0</v>
      </c>
      <c r="W303" s="26"/>
      <c r="X303" s="26"/>
      <c r="Y303" s="26"/>
      <c r="Z303" s="26"/>
      <c r="AA303" s="26"/>
      <c r="AB303" s="33"/>
    </row>
    <row r="304" spans="1:28" x14ac:dyDescent="0.3">
      <c r="A304" s="32">
        <f>VLOOKUP(YEAR(C304),Flags!$A$13:$B$95,2,FALSE)</f>
        <v>2</v>
      </c>
      <c r="B304" s="24">
        <f t="shared" si="432"/>
        <v>1954</v>
      </c>
      <c r="C304" s="25">
        <v>19905</v>
      </c>
      <c r="D304" s="26">
        <f>VLOOKUP($C304,COS!$B$8:$H$991,3,FALSE)</f>
        <v>10288.154296875</v>
      </c>
      <c r="E304" s="24">
        <f>IF(D304&gt;=IF(MONTH($C304)=4,$C$3,IF(MONTH($C304)=5,$C$4,IF(MONTH($C304)=6,$C$5,IF(MONTH($C304)=7,$C$6,"ERROR")))),1,0)</f>
        <v>1</v>
      </c>
      <c r="F304" s="26">
        <f>VLOOKUP($C304,COS!$B$8:$H$991,7,FALSE)</f>
        <v>50.714031219482422</v>
      </c>
      <c r="G304" s="24">
        <f>IF(F304&lt;=IF(MONTH($C304)=4,$F$3,IF(MONTH($C304)=5,$F$4,IF(MONTH($C304)=6,$F$5,IF(MONTH($C304)=7,$F$6,"ERROR")))),1,0)</f>
        <v>1</v>
      </c>
      <c r="H304" s="26">
        <f>IF(J304=1,D304-$C$5,0)</f>
        <v>288.154296875</v>
      </c>
      <c r="I304" s="26">
        <f t="shared" si="450"/>
        <v>17.14637138429752</v>
      </c>
      <c r="J304" s="24">
        <f t="shared" si="479"/>
        <v>1</v>
      </c>
      <c r="K304" s="26">
        <f>VLOOKUP($C304,COS!$B$8:$H$991,2,FALSE)</f>
        <v>4172.916015625</v>
      </c>
      <c r="L304" s="24">
        <f t="shared" si="435"/>
        <v>1</v>
      </c>
      <c r="M304" s="24">
        <f t="shared" si="436"/>
        <v>0</v>
      </c>
      <c r="N304" s="26">
        <f>VLOOKUP($C304,COS!$B$8:$H$991,5,FALSE)</f>
        <v>1051.88525390625</v>
      </c>
      <c r="O304" s="26">
        <f t="shared" si="482"/>
        <v>62.591519240702482</v>
      </c>
      <c r="P304" s="26">
        <f>VLOOKUP($C304,COS!$B$8:$H$991,6,FALSE)</f>
        <v>2396.154541015625</v>
      </c>
      <c r="Q304" s="26">
        <f t="shared" si="483"/>
        <v>142.58109665547522</v>
      </c>
      <c r="R304" s="26">
        <f>MIN(IF(MONTH($C304)=4,$S$3,IF(MONTH($C304)=5,$S$4,IF(MONTH($C304)=6,$S$5,IF(MONTH($C304)=7,$S$6,"ERROR")))),MAX(VLOOKUP($C304,COS!$B$8:$K$991,10,FALSE)-IF(MONTH($C304)=4,$Y$3,IF(MONTH($C304)=5,$Y$4,IF(MONTH($C304)=6,$Y$5,IF(MONTH($C304)=7,$Y$6,"ERROR")))),0),MAX(VLOOKUP($C304,COS!$B$8:$K$991,9,FALSE)-IF(MONTH($C304)=4,$V$3,IF(MONTH($C304)=5,$V$4,IF(MONTH($C304)=6,$V$5,IF(MONTH($C304)=7,$V$6,"ERROR"))))-VLOOKUP($C304,COS!$B$8:$K$991,6,FALSE)/2,0))</f>
        <v>1500</v>
      </c>
      <c r="S304" s="26">
        <f t="shared" si="484"/>
        <v>89.256198347107429</v>
      </c>
      <c r="T304" s="26">
        <f t="shared" si="485"/>
        <v>191.8425062951963</v>
      </c>
      <c r="U304" s="26" t="str">
        <f>IF(VLOOKUP($C304,COS!$B$8:$I$991,8,FALSE)=1,"UWFE","IBU")</f>
        <v>IBU</v>
      </c>
      <c r="V304" s="26">
        <f t="shared" ref="V304" si="488">MIN(IF(IF($AA$3=2,AND(E304=1,G304=1,L304=1,L307=1,M304=1,U304="IBU"),AND(E304=1,G304=1,L304=1,L307=1,M304=1)),T304,0),I304)</f>
        <v>0</v>
      </c>
      <c r="W304" s="26"/>
      <c r="X304" s="26"/>
      <c r="Y304" s="26"/>
      <c r="Z304" s="26"/>
      <c r="AA304" s="26"/>
      <c r="AB304" s="33"/>
    </row>
    <row r="305" spans="1:28" x14ac:dyDescent="0.3">
      <c r="A305" s="32">
        <f>VLOOKUP(YEAR(C305),Flags!$A$13:$B$95,2,FALSE)</f>
        <v>2</v>
      </c>
      <c r="B305" s="24">
        <f t="shared" si="432"/>
        <v>1954</v>
      </c>
      <c r="C305" s="25">
        <v>19936</v>
      </c>
      <c r="D305" s="26">
        <f>VLOOKUP($C305,COS!$B$8:$H$991,3,FALSE)</f>
        <v>16000</v>
      </c>
      <c r="E305" s="24">
        <f>IF(D305&gt;=IF(MONTH($C305)=4,$C$3,IF(MONTH($C305)=5,$C$4,IF(MONTH($C305)=6,$C$5,IF(MONTH($C305)=7,$C$6,"ERROR")))),1,0)</f>
        <v>1</v>
      </c>
      <c r="F305" s="26">
        <f>VLOOKUP($C305,COS!$B$8:$H$991,7,FALSE)</f>
        <v>51.326705932617188</v>
      </c>
      <c r="G305" s="24">
        <f>IF(F305&lt;=IF(MONTH($C305)=4,$F$3,IF(MONTH($C305)=5,$F$4,IF(MONTH($C305)=6,$F$5,IF(MONTH($C305)=7,$F$6,"ERROR")))),1,0)</f>
        <v>1</v>
      </c>
      <c r="H305" s="26">
        <f>IF(J305=1,D305-$C$6,0)</f>
        <v>4000</v>
      </c>
      <c r="I305" s="26">
        <f t="shared" si="450"/>
        <v>245.95041322314049</v>
      </c>
      <c r="J305" s="24">
        <f t="shared" si="479"/>
        <v>1</v>
      </c>
      <c r="K305" s="26">
        <f>VLOOKUP($C305,COS!$B$8:$H$991,2,FALSE)</f>
        <v>3484.43505859375</v>
      </c>
      <c r="L305" s="24">
        <f t="shared" si="435"/>
        <v>1</v>
      </c>
      <c r="M305" s="24">
        <f t="shared" si="436"/>
        <v>0</v>
      </c>
      <c r="N305" s="26">
        <f>VLOOKUP($C305,COS!$B$8:$H$991,5,FALSE)</f>
        <v>1187.869384765625</v>
      </c>
      <c r="O305" s="26">
        <f t="shared" si="482"/>
        <v>73.039241509555779</v>
      </c>
      <c r="P305" s="26">
        <f>VLOOKUP($C305,COS!$B$8:$H$991,6,FALSE)</f>
        <v>2562.892822265625</v>
      </c>
      <c r="Q305" s="26">
        <f t="shared" si="483"/>
        <v>157.58613717071282</v>
      </c>
      <c r="R305" s="26">
        <f>MIN(IF(MONTH($C305)=4,$S$3,IF(MONTH($C305)=5,$S$4,IF(MONTH($C305)=6,$S$5,IF(MONTH($C305)=7,$S$6,"ERROR")))),MAX(VLOOKUP($C305,COS!$B$8:$K$991,10,FALSE)-IF(MONTH($C305)=4,$Y$3,IF(MONTH($C305)=5,$Y$4,IF(MONTH($C305)=6,$Y$5,IF(MONTH($C305)=7,$Y$6,"ERROR")))),0),MAX(VLOOKUP($C305,COS!$B$8:$K$991,9,FALSE)-IF(MONTH($C305)=4,$V$3,IF(MONTH($C305)=5,$V$4,IF(MONTH($C305)=6,$V$5,IF(MONTH($C305)=7,$V$6,"ERROR"))))-VLOOKUP($C305,COS!$B$8:$K$991,6,FALSE)/2,0))</f>
        <v>1500</v>
      </c>
      <c r="S305" s="26">
        <f t="shared" si="484"/>
        <v>92.231404958677686</v>
      </c>
      <c r="T305" s="26">
        <f t="shared" si="485"/>
        <v>207.54409429881198</v>
      </c>
      <c r="U305" s="26" t="str">
        <f>IF(VLOOKUP($C305,COS!$B$8:$I$991,8,FALSE)=1,"UWFE","IBU")</f>
        <v>IBU</v>
      </c>
      <c r="V305" s="26">
        <f t="shared" ref="V305" si="489">MIN(IF(IF($AA$3=2,AND(E305=1,G305=1,L305=1,L307=1,M305=1,U305="IBU"),AND(E305=1,G305=1,L305=1,L307=1,M305=1)),T305,0),I305)</f>
        <v>0</v>
      </c>
      <c r="W305" s="26"/>
      <c r="X305" s="26"/>
      <c r="Y305" s="26"/>
      <c r="Z305" s="26"/>
      <c r="AA305" s="26"/>
      <c r="AB305" s="33"/>
    </row>
    <row r="306" spans="1:28" x14ac:dyDescent="0.3">
      <c r="A306" s="32">
        <f>VLOOKUP(YEAR(C306),Flags!$A$13:$B$95,2,FALSE)</f>
        <v>2</v>
      </c>
      <c r="B306" s="24">
        <f t="shared" si="432"/>
        <v>1954</v>
      </c>
      <c r="C306" s="25">
        <v>19967</v>
      </c>
      <c r="D306" s="26"/>
      <c r="E306" s="24"/>
      <c r="F306" s="26"/>
      <c r="G306" s="24"/>
      <c r="H306" s="24"/>
      <c r="I306" s="26"/>
      <c r="J306" s="24"/>
      <c r="K306" s="26"/>
      <c r="L306" s="24"/>
      <c r="M306" s="24"/>
      <c r="N306" s="26"/>
      <c r="O306" s="26"/>
      <c r="P306" s="26"/>
      <c r="Q306" s="26"/>
      <c r="R306" s="26"/>
      <c r="S306" s="26"/>
      <c r="T306" s="26"/>
      <c r="U306" s="26"/>
      <c r="V306" s="26"/>
      <c r="W306" s="26">
        <f>MAX($C$7-VLOOKUP($C306,COS!$B$8:$H$991,3,FALSE),0)</f>
        <v>1108.3271484375</v>
      </c>
      <c r="X306" s="26">
        <f t="shared" si="448"/>
        <v>68.148380036157036</v>
      </c>
      <c r="Y306" s="26">
        <f>VLOOKUP($C306,COS!$B$8:$H$991,4,FALSE)</f>
        <v>0</v>
      </c>
      <c r="Z306" s="26">
        <f t="shared" si="449"/>
        <v>0</v>
      </c>
      <c r="AA306" s="26">
        <f t="shared" ref="AA306:AA310" si="490">MIN(W306,Y306)</f>
        <v>0</v>
      </c>
      <c r="AB306" s="33">
        <f t="shared" ref="AB306" si="491">AA306*DAY($C306)*86400/43560/1000*IF(MONTH($C306)=8,$P$3,IF(MONTH($C306)=9,$P$4,IF(MONTH($C306)=10,$P$5,IF(MONTH($C306)=11,$P$6,IF(MONTH($C306)=12,$P$7,NA())))))</f>
        <v>0</v>
      </c>
    </row>
    <row r="307" spans="1:28" x14ac:dyDescent="0.3">
      <c r="A307" s="32">
        <f>VLOOKUP(YEAR(C307),Flags!$A$13:$B$95,2,FALSE)</f>
        <v>2</v>
      </c>
      <c r="B307" s="24">
        <f t="shared" si="432"/>
        <v>1954</v>
      </c>
      <c r="C307" s="25">
        <v>19997</v>
      </c>
      <c r="D307" s="26"/>
      <c r="E307" s="24"/>
      <c r="F307" s="26"/>
      <c r="G307" s="24"/>
      <c r="H307" s="24"/>
      <c r="I307" s="26"/>
      <c r="J307" s="24"/>
      <c r="K307" s="26">
        <f>VLOOKUP($C307,COS!$B$8:$H$991,2,FALSE)</f>
        <v>2910.68115234375</v>
      </c>
      <c r="L307" s="24">
        <f t="shared" ref="L307" si="492">IF(AND(K307&gt;$I$7,K307&lt;$I$8),1,0)</f>
        <v>1</v>
      </c>
      <c r="M307" s="24"/>
      <c r="N307" s="26"/>
      <c r="O307" s="26"/>
      <c r="P307" s="26"/>
      <c r="Q307" s="26"/>
      <c r="R307" s="26"/>
      <c r="S307" s="26"/>
      <c r="T307" s="26"/>
      <c r="U307" s="26"/>
      <c r="V307" s="26"/>
      <c r="W307" s="26">
        <f>MAX($C$8-VLOOKUP($C307,COS!$B$8:$H$991,3,FALSE),0)</f>
        <v>0</v>
      </c>
      <c r="X307" s="26">
        <f t="shared" si="448"/>
        <v>0</v>
      </c>
      <c r="Y307" s="26">
        <f>VLOOKUP($C307,COS!$B$8:$H$991,4,FALSE)</f>
        <v>0</v>
      </c>
      <c r="Z307" s="26">
        <f t="shared" si="449"/>
        <v>0</v>
      </c>
      <c r="AA307" s="26">
        <f t="shared" si="490"/>
        <v>0</v>
      </c>
      <c r="AB307" s="33">
        <f t="shared" si="446"/>
        <v>0</v>
      </c>
    </row>
    <row r="308" spans="1:28" x14ac:dyDescent="0.3">
      <c r="A308" s="32">
        <f>VLOOKUP(YEAR(C308),Flags!$A$13:$B$95,2,FALSE)</f>
        <v>2</v>
      </c>
      <c r="B308" s="24">
        <f t="shared" si="432"/>
        <v>1954</v>
      </c>
      <c r="C308" s="25">
        <v>20028</v>
      </c>
      <c r="D308" s="26"/>
      <c r="E308" s="24"/>
      <c r="F308" s="26"/>
      <c r="G308" s="26"/>
      <c r="H308" s="26"/>
      <c r="I308" s="26"/>
      <c r="J308" s="26"/>
      <c r="K308" s="26"/>
      <c r="L308" s="24"/>
      <c r="M308" s="24"/>
      <c r="N308" s="26"/>
      <c r="O308" s="26"/>
      <c r="P308" s="26"/>
      <c r="Q308" s="26"/>
      <c r="R308" s="26"/>
      <c r="S308" s="26"/>
      <c r="T308" s="26"/>
      <c r="U308" s="26"/>
      <c r="V308" s="26"/>
      <c r="W308" s="26">
        <f>MAX($C$9-VLOOKUP($C308,COS!$B$8:$H$991,3,FALSE),0)</f>
        <v>0</v>
      </c>
      <c r="X308" s="26">
        <f t="shared" si="448"/>
        <v>0</v>
      </c>
      <c r="Y308" s="26">
        <f>VLOOKUP($C308,COS!$B$8:$H$991,4,FALSE)</f>
        <v>798.4456787109375</v>
      </c>
      <c r="Z308" s="26">
        <f t="shared" si="449"/>
        <v>49.094511153796482</v>
      </c>
      <c r="AA308" s="26">
        <f t="shared" si="490"/>
        <v>0</v>
      </c>
      <c r="AB308" s="33">
        <f t="shared" si="446"/>
        <v>0</v>
      </c>
    </row>
    <row r="309" spans="1:28" x14ac:dyDescent="0.3">
      <c r="A309" s="32">
        <f>VLOOKUP(YEAR(C309),Flags!$A$13:$B$95,2,FALSE)</f>
        <v>2</v>
      </c>
      <c r="B309" s="24">
        <f t="shared" si="432"/>
        <v>1954</v>
      </c>
      <c r="C309" s="25">
        <v>20058</v>
      </c>
      <c r="D309" s="26"/>
      <c r="E309" s="24"/>
      <c r="F309" s="26"/>
      <c r="G309" s="26"/>
      <c r="H309" s="26"/>
      <c r="I309" s="26"/>
      <c r="J309" s="26"/>
      <c r="K309" s="26"/>
      <c r="L309" s="24"/>
      <c r="M309" s="24"/>
      <c r="N309" s="26"/>
      <c r="O309" s="26"/>
      <c r="P309" s="26"/>
      <c r="Q309" s="26"/>
      <c r="R309" s="26"/>
      <c r="S309" s="26"/>
      <c r="T309" s="26"/>
      <c r="U309" s="26"/>
      <c r="V309" s="26"/>
      <c r="W309" s="26">
        <f>MAX($C$10-VLOOKUP($C309,COS!$B$8:$H$991,3,FALSE),0)</f>
        <v>0</v>
      </c>
      <c r="X309" s="26">
        <f t="shared" si="448"/>
        <v>0</v>
      </c>
      <c r="Y309" s="26">
        <f>VLOOKUP($C309,COS!$B$8:$H$991,4,FALSE)</f>
        <v>832.2525634765625</v>
      </c>
      <c r="Z309" s="26">
        <f t="shared" si="449"/>
        <v>49.522466587035126</v>
      </c>
      <c r="AA309" s="26">
        <f t="shared" si="490"/>
        <v>0</v>
      </c>
      <c r="AB309" s="33">
        <f t="shared" si="446"/>
        <v>0</v>
      </c>
    </row>
    <row r="310" spans="1:28" x14ac:dyDescent="0.3">
      <c r="A310" s="34">
        <f>VLOOKUP(YEAR(C310),Flags!$A$13:$B$95,2,FALSE)</f>
        <v>2</v>
      </c>
      <c r="B310" s="35">
        <f t="shared" si="432"/>
        <v>1954</v>
      </c>
      <c r="C310" s="36">
        <v>20089</v>
      </c>
      <c r="D310" s="37"/>
      <c r="E310" s="35"/>
      <c r="F310" s="37"/>
      <c r="G310" s="37"/>
      <c r="H310" s="37"/>
      <c r="I310" s="37"/>
      <c r="J310" s="37"/>
      <c r="K310" s="37"/>
      <c r="L310" s="35"/>
      <c r="M310" s="35"/>
      <c r="N310" s="37"/>
      <c r="O310" s="37"/>
      <c r="P310" s="37"/>
      <c r="Q310" s="37"/>
      <c r="R310" s="37"/>
      <c r="S310" s="37"/>
      <c r="T310" s="37"/>
      <c r="U310" s="37"/>
      <c r="V310" s="37"/>
      <c r="W310" s="37">
        <f>MAX($C$11-VLOOKUP($C310,COS!$B$8:$H$991,3,FALSE),0)</f>
        <v>1750</v>
      </c>
      <c r="X310" s="37">
        <f t="shared" si="448"/>
        <v>107.60330578512398</v>
      </c>
      <c r="Y310" s="37">
        <f>VLOOKUP($C310,COS!$B$8:$H$991,4,FALSE)</f>
        <v>0</v>
      </c>
      <c r="Z310" s="37">
        <f t="shared" si="449"/>
        <v>0</v>
      </c>
      <c r="AA310" s="37">
        <f t="shared" si="490"/>
        <v>0</v>
      </c>
      <c r="AB310" s="38">
        <f t="shared" si="446"/>
        <v>0</v>
      </c>
    </row>
    <row r="311" spans="1:28" x14ac:dyDescent="0.3">
      <c r="A311" s="27">
        <f>VLOOKUP(YEAR(C311),Flags!$A$13:$B$95,2,FALSE)</f>
        <v>4</v>
      </c>
      <c r="B311" s="28">
        <f t="shared" si="432"/>
        <v>1955</v>
      </c>
      <c r="C311" s="29">
        <v>20209</v>
      </c>
      <c r="D311" s="30">
        <f>VLOOKUP($C311,COS!$B$8:$H$991,3,FALSE)</f>
        <v>3250</v>
      </c>
      <c r="E311" s="28">
        <f>IF(D311&gt;=IF(MONTH($C311)=4,$C$3,IF(MONTH($C311)=5,$C$4,IF(MONTH($C311)=6,$C$5,IF(MONTH($C311)=7,$C$6,"ERROR")))),1,0)</f>
        <v>0</v>
      </c>
      <c r="F311" s="30">
        <f>VLOOKUP($C311,COS!$B$8:$H$991,7,FALSE)</f>
        <v>50.451328277587891</v>
      </c>
      <c r="G311" s="28">
        <f>IF(F311&lt;=IF(MONTH($C311)=4,$F$3,IF(MONTH($C311)=5,$F$4,IF(MONTH($C311)=6,$F$5,IF(MONTH($C311)=7,$F$6,"ERROR")))),1,0)</f>
        <v>1</v>
      </c>
      <c r="H311" s="30">
        <f>IF(J311=1,D311-$C$3,0)</f>
        <v>0</v>
      </c>
      <c r="I311" s="30">
        <f t="shared" si="450"/>
        <v>0</v>
      </c>
      <c r="J311" s="28">
        <f t="shared" ref="J311:J314" si="493">IF(AND(E311=1,G311=1),1,0)</f>
        <v>0</v>
      </c>
      <c r="K311" s="30">
        <f>VLOOKUP($C311,COS!$B$8:$H$991,2,FALSE)</f>
        <v>3900.966552734375</v>
      </c>
      <c r="L311" s="28">
        <f t="shared" ref="L311" si="494">IF(K311&lt;=IF(MONTH($C311)=4,$I$3,IF(MONTH($C311)=5,$I$4,IF(MONTH($C311)=6,$I$5,IF(MONTH($C311)=7,$I$6,"ERROR")))),1,0)</f>
        <v>1</v>
      </c>
      <c r="M311" s="28">
        <f t="shared" ref="M311" si="495">VLOOKUP($A311,$L$3:$M$7,2,FALSE)</f>
        <v>1</v>
      </c>
      <c r="N311" s="30">
        <f>VLOOKUP($C311,COS!$B$8:$H$991,5,FALSE)</f>
        <v>222.8968505859375</v>
      </c>
      <c r="O311" s="30">
        <f t="shared" ref="O311:O314" si="496">N311*DAY($C311)*86400/43560/1000</f>
        <v>13.26328367122934</v>
      </c>
      <c r="P311" s="30">
        <f>VLOOKUP($C311,COS!$B$8:$H$991,6,FALSE)</f>
        <v>466.9581298828125</v>
      </c>
      <c r="Q311" s="30">
        <f t="shared" ref="Q311:Q314" si="497">P311*DAY($C311)*86400/43560/1000</f>
        <v>27.785938307076446</v>
      </c>
      <c r="R311" s="30">
        <f>MIN(IF(MONTH($C311)=4,$S$3,IF(MONTH($C311)=5,$S$4,IF(MONTH($C311)=6,$S$5,IF(MONTH($C311)=7,$S$6,"ERROR")))),MAX(VLOOKUP($C311,COS!$B$8:$K$991,10,FALSE)-IF(MONTH($C311)=4,$Y$3,IF(MONTH($C311)=5,$Y$4,IF(MONTH($C311)=6,$Y$5,IF(MONTH($C311)=7,$Y$6,"ERROR")))),0),MAX(VLOOKUP($C311,COS!$B$8:$K$991,9,FALSE)-IF(MONTH($C311)=4,$V$3,IF(MONTH($C311)=5,$V$4,IF(MONTH($C311)=6,$V$5,IF(MONTH($C311)=7,$V$6,"ERROR"))))-VLOOKUP($C311,COS!$B$8:$K$991,6,FALSE)/2,0))</f>
        <v>1500</v>
      </c>
      <c r="S311" s="30">
        <f t="shared" ref="S311:S314" si="498">R311*DAY($C311)*86400/43560/1000</f>
        <v>89.256198347107429</v>
      </c>
      <c r="T311" s="30">
        <f t="shared" ref="T311:T314" si="499">(O311+Q311)/2+S311</f>
        <v>109.78080933626032</v>
      </c>
      <c r="U311" s="30" t="str">
        <f>IF(VLOOKUP($C311,COS!$B$8:$I$991,8,FALSE)=1,"UWFE","IBU")</f>
        <v>UWFE</v>
      </c>
      <c r="V311" s="30">
        <f t="shared" ref="V311" si="500">MIN(IF(IF($AA$3=2,AND(E311=1,G311=1,L311=1,L316=1,M311=1,U311="IBU"),AND(E311=1,G311=1,L311=1,L316=1,M311=1)),T311,0),I311)</f>
        <v>0</v>
      </c>
      <c r="W311" s="30"/>
      <c r="X311" s="30"/>
      <c r="Y311" s="30"/>
      <c r="Z311" s="30"/>
      <c r="AA311" s="30"/>
      <c r="AB311" s="31"/>
    </row>
    <row r="312" spans="1:28" x14ac:dyDescent="0.3">
      <c r="A312" s="32">
        <f>VLOOKUP(YEAR(C312),Flags!$A$13:$B$95,2,FALSE)</f>
        <v>4</v>
      </c>
      <c r="B312" s="24">
        <f t="shared" si="432"/>
        <v>1955</v>
      </c>
      <c r="C312" s="25">
        <v>20240</v>
      </c>
      <c r="D312" s="26">
        <f>VLOOKUP($C312,COS!$B$8:$H$991,3,FALSE)</f>
        <v>5268.8193359375</v>
      </c>
      <c r="E312" s="24">
        <f>IF(D312&gt;=IF(MONTH($C312)=4,$C$3,IF(MONTH($C312)=5,$C$4,IF(MONTH($C312)=6,$C$5,IF(MONTH($C312)=7,$C$6,"ERROR")))),1,0)</f>
        <v>0</v>
      </c>
      <c r="F312" s="26">
        <f>VLOOKUP($C312,COS!$B$8:$H$991,7,FALSE)</f>
        <v>51.616672515869141</v>
      </c>
      <c r="G312" s="24">
        <f>IF(F312&lt;=IF(MONTH($C312)=4,$F$3,IF(MONTH($C312)=5,$F$4,IF(MONTH($C312)=6,$F$5,IF(MONTH($C312)=7,$F$6,"ERROR")))),1,0)</f>
        <v>1</v>
      </c>
      <c r="H312" s="26">
        <f>IF(J312=1,D312-$C$4,0)</f>
        <v>0</v>
      </c>
      <c r="I312" s="26">
        <f t="shared" si="450"/>
        <v>0</v>
      </c>
      <c r="J312" s="24">
        <f t="shared" si="493"/>
        <v>0</v>
      </c>
      <c r="K312" s="26">
        <f>VLOOKUP($C312,COS!$B$8:$H$991,2,FALSE)</f>
        <v>4019.9189453125</v>
      </c>
      <c r="L312" s="24">
        <f t="shared" si="435"/>
        <v>1</v>
      </c>
      <c r="M312" s="24">
        <f t="shared" si="436"/>
        <v>1</v>
      </c>
      <c r="N312" s="26">
        <f>VLOOKUP($C312,COS!$B$8:$H$991,5,FALSE)</f>
        <v>365.389892578125</v>
      </c>
      <c r="O312" s="26">
        <f t="shared" si="496"/>
        <v>22.466948766787191</v>
      </c>
      <c r="P312" s="26">
        <f>VLOOKUP($C312,COS!$B$8:$H$991,6,FALSE)</f>
        <v>2265.77197265625</v>
      </c>
      <c r="Q312" s="26">
        <f t="shared" si="497"/>
        <v>139.31688823605373</v>
      </c>
      <c r="R312" s="26">
        <f>MIN(IF(MONTH($C312)=4,$S$3,IF(MONTH($C312)=5,$S$4,IF(MONTH($C312)=6,$S$5,IF(MONTH($C312)=7,$S$6,"ERROR")))),MAX(VLOOKUP($C312,COS!$B$8:$K$991,10,FALSE)-IF(MONTH($C312)=4,$Y$3,IF(MONTH($C312)=5,$Y$4,IF(MONTH($C312)=6,$Y$5,IF(MONTH($C312)=7,$Y$6,"ERROR")))),0),MAX(VLOOKUP($C312,COS!$B$8:$K$991,9,FALSE)-IF(MONTH($C312)=4,$V$3,IF(MONTH($C312)=5,$V$4,IF(MONTH($C312)=6,$V$5,IF(MONTH($C312)=7,$V$6,"ERROR"))))-VLOOKUP($C312,COS!$B$8:$K$991,6,FALSE)/2,0))</f>
        <v>1486.18310546875</v>
      </c>
      <c r="S312" s="26">
        <f t="shared" si="498"/>
        <v>91.38183722882232</v>
      </c>
      <c r="T312" s="26">
        <f t="shared" si="499"/>
        <v>172.27375573024278</v>
      </c>
      <c r="U312" s="26" t="str">
        <f>IF(VLOOKUP($C312,COS!$B$8:$I$991,8,FALSE)=1,"UWFE","IBU")</f>
        <v>UWFE</v>
      </c>
      <c r="V312" s="26">
        <f t="shared" ref="V312" si="501">MIN(IF(IF($AA$3=2,AND(E312=1,G312=1,L312=1,L316=1,M312=1,U312="IBU"),AND(E312=1,G312=1,L312=1,L316=1,M312=1)),T312,0),I312)</f>
        <v>0</v>
      </c>
      <c r="W312" s="26"/>
      <c r="X312" s="26"/>
      <c r="Y312" s="26"/>
      <c r="Z312" s="26"/>
      <c r="AA312" s="26"/>
      <c r="AB312" s="33"/>
    </row>
    <row r="313" spans="1:28" x14ac:dyDescent="0.3">
      <c r="A313" s="32">
        <f>VLOOKUP(YEAR(C313),Flags!$A$13:$B$95,2,FALSE)</f>
        <v>4</v>
      </c>
      <c r="B313" s="24">
        <f t="shared" si="432"/>
        <v>1955</v>
      </c>
      <c r="C313" s="25">
        <v>20270</v>
      </c>
      <c r="D313" s="26">
        <f>VLOOKUP($C313,COS!$B$8:$H$991,3,FALSE)</f>
        <v>9586.744140625</v>
      </c>
      <c r="E313" s="24">
        <f>IF(D313&gt;=IF(MONTH($C313)=4,$C$3,IF(MONTH($C313)=5,$C$4,IF(MONTH($C313)=6,$C$5,IF(MONTH($C313)=7,$C$6,"ERROR")))),1,0)</f>
        <v>0</v>
      </c>
      <c r="F313" s="26">
        <f>VLOOKUP($C313,COS!$B$8:$H$991,7,FALSE)</f>
        <v>51.253532409667969</v>
      </c>
      <c r="G313" s="24">
        <f>IF(F313&lt;=IF(MONTH($C313)=4,$F$3,IF(MONTH($C313)=5,$F$4,IF(MONTH($C313)=6,$F$5,IF(MONTH($C313)=7,$F$6,"ERROR")))),1,0)</f>
        <v>1</v>
      </c>
      <c r="H313" s="26">
        <f>IF(J313=1,D313-$C$5,0)</f>
        <v>0</v>
      </c>
      <c r="I313" s="26">
        <f t="shared" si="450"/>
        <v>0</v>
      </c>
      <c r="J313" s="24">
        <f t="shared" si="493"/>
        <v>0</v>
      </c>
      <c r="K313" s="26">
        <f>VLOOKUP($C313,COS!$B$8:$H$991,2,FALSE)</f>
        <v>3710.103271484375</v>
      </c>
      <c r="L313" s="24">
        <f t="shared" si="435"/>
        <v>1</v>
      </c>
      <c r="M313" s="24">
        <f t="shared" si="436"/>
        <v>1</v>
      </c>
      <c r="N313" s="26">
        <f>VLOOKUP($C313,COS!$B$8:$H$991,5,FALSE)</f>
        <v>444.3331298828125</v>
      </c>
      <c r="O313" s="26">
        <f t="shared" si="496"/>
        <v>26.439657315340909</v>
      </c>
      <c r="P313" s="26">
        <f>VLOOKUP($C313,COS!$B$8:$H$991,6,FALSE)</f>
        <v>2712.6806640625</v>
      </c>
      <c r="Q313" s="26">
        <f t="shared" si="497"/>
        <v>161.41570893595042</v>
      </c>
      <c r="R313" s="26">
        <f>MIN(IF(MONTH($C313)=4,$S$3,IF(MONTH($C313)=5,$S$4,IF(MONTH($C313)=6,$S$5,IF(MONTH($C313)=7,$S$6,"ERROR")))),MAX(VLOOKUP($C313,COS!$B$8:$K$991,10,FALSE)-IF(MONTH($C313)=4,$Y$3,IF(MONTH($C313)=5,$Y$4,IF(MONTH($C313)=6,$Y$5,IF(MONTH($C313)=7,$Y$6,"ERROR")))),0),MAX(VLOOKUP($C313,COS!$B$8:$K$991,9,FALSE)-IF(MONTH($C313)=4,$V$3,IF(MONTH($C313)=5,$V$4,IF(MONTH($C313)=6,$V$5,IF(MONTH($C313)=7,$V$6,"ERROR"))))-VLOOKUP($C313,COS!$B$8:$K$991,6,FALSE)/2,0))</f>
        <v>1500</v>
      </c>
      <c r="S313" s="26">
        <f t="shared" si="498"/>
        <v>89.256198347107429</v>
      </c>
      <c r="T313" s="26">
        <f t="shared" si="499"/>
        <v>183.18388147275311</v>
      </c>
      <c r="U313" s="26" t="str">
        <f>IF(VLOOKUP($C313,COS!$B$8:$I$991,8,FALSE)=1,"UWFE","IBU")</f>
        <v>IBU</v>
      </c>
      <c r="V313" s="26">
        <f t="shared" ref="V313" si="502">MIN(IF(IF($AA$3=2,AND(E313=1,G313=1,L313=1,L316=1,M313=1,U313="IBU"),AND(E313=1,G313=1,L313=1,L316=1,M313=1)),T313,0),I313)</f>
        <v>0</v>
      </c>
      <c r="W313" s="26"/>
      <c r="X313" s="26"/>
      <c r="Y313" s="26"/>
      <c r="Z313" s="26"/>
      <c r="AA313" s="26"/>
      <c r="AB313" s="33"/>
    </row>
    <row r="314" spans="1:28" x14ac:dyDescent="0.3">
      <c r="A314" s="32">
        <f>VLOOKUP(YEAR(C314),Flags!$A$13:$B$95,2,FALSE)</f>
        <v>4</v>
      </c>
      <c r="B314" s="24">
        <f t="shared" si="432"/>
        <v>1955</v>
      </c>
      <c r="C314" s="25">
        <v>20301</v>
      </c>
      <c r="D314" s="26">
        <f>VLOOKUP($C314,COS!$B$8:$H$991,3,FALSE)</f>
        <v>14380.9560546875</v>
      </c>
      <c r="E314" s="24">
        <f>IF(D314&gt;=IF(MONTH($C314)=4,$C$3,IF(MONTH($C314)=5,$C$4,IF(MONTH($C314)=6,$C$5,IF(MONTH($C314)=7,$C$6,"ERROR")))),1,0)</f>
        <v>1</v>
      </c>
      <c r="F314" s="26">
        <f>VLOOKUP($C314,COS!$B$8:$H$991,7,FALSE)</f>
        <v>51.871387481689453</v>
      </c>
      <c r="G314" s="24">
        <f>IF(F314&lt;=IF(MONTH($C314)=4,$F$3,IF(MONTH($C314)=5,$F$4,IF(MONTH($C314)=6,$F$5,IF(MONTH($C314)=7,$F$6,"ERROR")))),1,0)</f>
        <v>1</v>
      </c>
      <c r="H314" s="26">
        <f>IF(J314=1,D314-$C$6,0)</f>
        <v>2380.9560546875</v>
      </c>
      <c r="I314" s="26">
        <f t="shared" si="450"/>
        <v>146.39928137913225</v>
      </c>
      <c r="J314" s="24">
        <f t="shared" si="493"/>
        <v>1</v>
      </c>
      <c r="K314" s="26">
        <f>VLOOKUP($C314,COS!$B$8:$H$991,2,FALSE)</f>
        <v>3124.154052734375</v>
      </c>
      <c r="L314" s="24">
        <f t="shared" si="435"/>
        <v>1</v>
      </c>
      <c r="M314" s="24">
        <f t="shared" si="436"/>
        <v>1</v>
      </c>
      <c r="N314" s="26">
        <f>VLOOKUP($C314,COS!$B$8:$H$991,5,FALSE)</f>
        <v>487.44525146484375</v>
      </c>
      <c r="O314" s="26">
        <f t="shared" si="496"/>
        <v>29.971840255358988</v>
      </c>
      <c r="P314" s="26">
        <f>VLOOKUP($C314,COS!$B$8:$H$991,6,FALSE)</f>
        <v>2538.07568359375</v>
      </c>
      <c r="Q314" s="26">
        <f t="shared" si="497"/>
        <v>156.06019079287191</v>
      </c>
      <c r="R314" s="26">
        <f>MIN(IF(MONTH($C314)=4,$S$3,IF(MONTH($C314)=5,$S$4,IF(MONTH($C314)=6,$S$5,IF(MONTH($C314)=7,$S$6,"ERROR")))),MAX(VLOOKUP($C314,COS!$B$8:$K$991,10,FALSE)-IF(MONTH($C314)=4,$Y$3,IF(MONTH($C314)=5,$Y$4,IF(MONTH($C314)=6,$Y$5,IF(MONTH($C314)=7,$Y$6,"ERROR")))),0),MAX(VLOOKUP($C314,COS!$B$8:$K$991,9,FALSE)-IF(MONTH($C314)=4,$V$3,IF(MONTH($C314)=5,$V$4,IF(MONTH($C314)=6,$V$5,IF(MONTH($C314)=7,$V$6,"ERROR"))))-VLOOKUP($C314,COS!$B$8:$K$991,6,FALSE)/2,0))</f>
        <v>1500</v>
      </c>
      <c r="S314" s="26">
        <f t="shared" si="498"/>
        <v>92.231404958677686</v>
      </c>
      <c r="T314" s="26">
        <f t="shared" si="499"/>
        <v>185.24742048279313</v>
      </c>
      <c r="U314" s="26" t="str">
        <f>IF(VLOOKUP($C314,COS!$B$8:$I$991,8,FALSE)=1,"UWFE","IBU")</f>
        <v>IBU</v>
      </c>
      <c r="V314" s="26">
        <f t="shared" ref="V314" si="503">MIN(IF(IF($AA$3=2,AND(E314=1,G314=1,L314=1,L316=1,M314=1,U314="IBU"),AND(E314=1,G314=1,L314=1,L316=1,M314=1)),T314,0),I314)</f>
        <v>146.39928137913225</v>
      </c>
      <c r="W314" s="26"/>
      <c r="X314" s="26"/>
      <c r="Y314" s="26"/>
      <c r="Z314" s="26"/>
      <c r="AA314" s="26"/>
      <c r="AB314" s="33"/>
    </row>
    <row r="315" spans="1:28" x14ac:dyDescent="0.3">
      <c r="A315" s="32">
        <f>VLOOKUP(YEAR(C315),Flags!$A$13:$B$95,2,FALSE)</f>
        <v>4</v>
      </c>
      <c r="B315" s="24">
        <f t="shared" si="432"/>
        <v>1955</v>
      </c>
      <c r="C315" s="25">
        <v>20332</v>
      </c>
      <c r="D315" s="26"/>
      <c r="E315" s="24"/>
      <c r="F315" s="26"/>
      <c r="G315" s="24"/>
      <c r="H315" s="24"/>
      <c r="I315" s="26"/>
      <c r="J315" s="24"/>
      <c r="K315" s="26"/>
      <c r="L315" s="24"/>
      <c r="M315" s="24"/>
      <c r="N315" s="26"/>
      <c r="O315" s="26"/>
      <c r="P315" s="26"/>
      <c r="Q315" s="26"/>
      <c r="R315" s="26"/>
      <c r="S315" s="26"/>
      <c r="T315" s="26"/>
      <c r="U315" s="26"/>
      <c r="V315" s="26"/>
      <c r="W315" s="26">
        <f>MAX($C$7-VLOOKUP($C315,COS!$B$8:$H$991,3,FALSE),0)</f>
        <v>3468.5400390625</v>
      </c>
      <c r="X315" s="26">
        <f t="shared" si="448"/>
        <v>213.27221397210744</v>
      </c>
      <c r="Y315" s="26">
        <f>VLOOKUP($C315,COS!$B$8:$H$991,4,FALSE)</f>
        <v>1565.8887939453125</v>
      </c>
      <c r="Z315" s="26">
        <f t="shared" si="449"/>
        <v>96.282748983083678</v>
      </c>
      <c r="AA315" s="26">
        <f t="shared" ref="AA315:AA319" si="504">MIN(W315,Y315)</f>
        <v>1565.8887939453125</v>
      </c>
      <c r="AB315" s="33">
        <f t="shared" ref="AB315" si="505">AA315*DAY($C315)*86400/43560/1000*IF(MONTH($C315)=8,$P$3,IF(MONTH($C315)=9,$P$4,IF(MONTH($C315)=10,$P$5,IF(MONTH($C315)=11,$P$6,IF(MONTH($C315)=12,$P$7,NA())))))</f>
        <v>96.282748983083678</v>
      </c>
    </row>
    <row r="316" spans="1:28" x14ac:dyDescent="0.3">
      <c r="A316" s="32">
        <f>VLOOKUP(YEAR(C316),Flags!$A$13:$B$95,2,FALSE)</f>
        <v>4</v>
      </c>
      <c r="B316" s="24">
        <f t="shared" si="432"/>
        <v>1955</v>
      </c>
      <c r="C316" s="25">
        <v>20362</v>
      </c>
      <c r="D316" s="26"/>
      <c r="E316" s="24"/>
      <c r="F316" s="26"/>
      <c r="G316" s="24"/>
      <c r="H316" s="24"/>
      <c r="I316" s="26"/>
      <c r="J316" s="24"/>
      <c r="K316" s="26">
        <f>VLOOKUP($C316,COS!$B$8:$H$991,2,FALSE)</f>
        <v>2864.943603515625</v>
      </c>
      <c r="L316" s="24">
        <f t="shared" ref="L316" si="506">IF(AND(K316&gt;$I$7,K316&lt;$I$8),1,0)</f>
        <v>1</v>
      </c>
      <c r="M316" s="24"/>
      <c r="N316" s="26"/>
      <c r="O316" s="26"/>
      <c r="P316" s="26"/>
      <c r="Q316" s="26"/>
      <c r="R316" s="26"/>
      <c r="S316" s="26"/>
      <c r="T316" s="26"/>
      <c r="U316" s="26"/>
      <c r="V316" s="26"/>
      <c r="W316" s="26">
        <f>MAX($C$8-VLOOKUP($C316,COS!$B$8:$H$991,3,FALSE),0)</f>
        <v>1724.19287109375</v>
      </c>
      <c r="X316" s="26">
        <f t="shared" si="448"/>
        <v>102.59660059400827</v>
      </c>
      <c r="Y316" s="26">
        <f>VLOOKUP($C316,COS!$B$8:$H$991,4,FALSE)</f>
        <v>813.69903564453125</v>
      </c>
      <c r="Z316" s="26">
        <f t="shared" si="449"/>
        <v>48.418455013558884</v>
      </c>
      <c r="AA316" s="26">
        <f t="shared" si="504"/>
        <v>813.69903564453125</v>
      </c>
      <c r="AB316" s="33">
        <f t="shared" si="446"/>
        <v>48.418455013558884</v>
      </c>
    </row>
    <row r="317" spans="1:28" x14ac:dyDescent="0.3">
      <c r="A317" s="32">
        <f>VLOOKUP(YEAR(C317),Flags!$A$13:$B$95,2,FALSE)</f>
        <v>4</v>
      </c>
      <c r="B317" s="24">
        <f t="shared" si="432"/>
        <v>1955</v>
      </c>
      <c r="C317" s="25">
        <v>20393</v>
      </c>
      <c r="D317" s="26"/>
      <c r="E317" s="24"/>
      <c r="F317" s="26"/>
      <c r="G317" s="26"/>
      <c r="H317" s="26"/>
      <c r="I317" s="26"/>
      <c r="J317" s="26"/>
      <c r="K317" s="26"/>
      <c r="L317" s="24"/>
      <c r="M317" s="24"/>
      <c r="N317" s="26"/>
      <c r="O317" s="26"/>
      <c r="P317" s="26"/>
      <c r="Q317" s="26"/>
      <c r="R317" s="26"/>
      <c r="S317" s="26"/>
      <c r="T317" s="26"/>
      <c r="U317" s="26"/>
      <c r="V317" s="26"/>
      <c r="W317" s="26">
        <f>MAX($C$9-VLOOKUP($C317,COS!$B$8:$H$991,3,FALSE),0)</f>
        <v>0</v>
      </c>
      <c r="X317" s="26">
        <f t="shared" si="448"/>
        <v>0</v>
      </c>
      <c r="Y317" s="26">
        <f>VLOOKUP($C317,COS!$B$8:$H$991,4,FALSE)</f>
        <v>1413.0872802734375</v>
      </c>
      <c r="Z317" s="26">
        <f t="shared" si="449"/>
        <v>86.887350125903922</v>
      </c>
      <c r="AA317" s="26">
        <f t="shared" si="504"/>
        <v>0</v>
      </c>
      <c r="AB317" s="33">
        <f t="shared" si="446"/>
        <v>0</v>
      </c>
    </row>
    <row r="318" spans="1:28" x14ac:dyDescent="0.3">
      <c r="A318" s="32">
        <f>VLOOKUP(YEAR(C318),Flags!$A$13:$B$95,2,FALSE)</f>
        <v>4</v>
      </c>
      <c r="B318" s="24">
        <f t="shared" si="432"/>
        <v>1955</v>
      </c>
      <c r="C318" s="25">
        <v>20423</v>
      </c>
      <c r="D318" s="26"/>
      <c r="E318" s="24"/>
      <c r="F318" s="26"/>
      <c r="G318" s="26"/>
      <c r="H318" s="26"/>
      <c r="I318" s="26"/>
      <c r="J318" s="26"/>
      <c r="K318" s="26"/>
      <c r="L318" s="24"/>
      <c r="M318" s="24"/>
      <c r="N318" s="26"/>
      <c r="O318" s="26"/>
      <c r="P318" s="26"/>
      <c r="Q318" s="26"/>
      <c r="R318" s="26"/>
      <c r="S318" s="26"/>
      <c r="T318" s="26"/>
      <c r="U318" s="26"/>
      <c r="V318" s="26"/>
      <c r="W318" s="26">
        <f>MAX($C$10-VLOOKUP($C318,COS!$B$8:$H$991,3,FALSE),0)</f>
        <v>1750</v>
      </c>
      <c r="X318" s="26">
        <f t="shared" si="448"/>
        <v>104.13223140495867</v>
      </c>
      <c r="Y318" s="26">
        <f>VLOOKUP($C318,COS!$B$8:$H$991,4,FALSE)</f>
        <v>1431.478759765625</v>
      </c>
      <c r="Z318" s="26">
        <f t="shared" si="449"/>
        <v>85.178901407541332</v>
      </c>
      <c r="AA318" s="26">
        <f t="shared" si="504"/>
        <v>1431.478759765625</v>
      </c>
      <c r="AB318" s="33">
        <f t="shared" si="446"/>
        <v>85.178901407541332</v>
      </c>
    </row>
    <row r="319" spans="1:28" x14ac:dyDescent="0.3">
      <c r="A319" s="34">
        <f>VLOOKUP(YEAR(C319),Flags!$A$13:$B$95,2,FALSE)</f>
        <v>4</v>
      </c>
      <c r="B319" s="35">
        <f t="shared" si="432"/>
        <v>1955</v>
      </c>
      <c r="C319" s="36">
        <v>20454</v>
      </c>
      <c r="D319" s="37"/>
      <c r="E319" s="35"/>
      <c r="F319" s="37"/>
      <c r="G319" s="37"/>
      <c r="H319" s="37"/>
      <c r="I319" s="37"/>
      <c r="J319" s="37"/>
      <c r="K319" s="37"/>
      <c r="L319" s="35"/>
      <c r="M319" s="35"/>
      <c r="N319" s="37"/>
      <c r="O319" s="37"/>
      <c r="P319" s="37"/>
      <c r="Q319" s="37"/>
      <c r="R319" s="37"/>
      <c r="S319" s="37"/>
      <c r="T319" s="37"/>
      <c r="U319" s="37"/>
      <c r="V319" s="37"/>
      <c r="W319" s="37">
        <f>MAX($C$11-VLOOKUP($C319,COS!$B$8:$H$991,3,FALSE),0)</f>
        <v>0</v>
      </c>
      <c r="X319" s="37">
        <f t="shared" si="448"/>
        <v>0</v>
      </c>
      <c r="Y319" s="37">
        <f>VLOOKUP($C319,COS!$B$8:$H$991,4,FALSE)</f>
        <v>0</v>
      </c>
      <c r="Z319" s="37">
        <f t="shared" si="449"/>
        <v>0</v>
      </c>
      <c r="AA319" s="37">
        <f t="shared" si="504"/>
        <v>0</v>
      </c>
      <c r="AB319" s="38">
        <f t="shared" si="446"/>
        <v>0</v>
      </c>
    </row>
    <row r="320" spans="1:28" x14ac:dyDescent="0.3">
      <c r="A320" s="27">
        <f>VLOOKUP(YEAR(C320),Flags!$A$13:$B$95,2,FALSE)</f>
        <v>1</v>
      </c>
      <c r="B320" s="28">
        <f t="shared" si="432"/>
        <v>1956</v>
      </c>
      <c r="C320" s="29">
        <v>20575</v>
      </c>
      <c r="D320" s="30">
        <f>VLOOKUP($C320,COS!$B$8:$H$991,3,FALSE)</f>
        <v>3250</v>
      </c>
      <c r="E320" s="28">
        <f>IF(D320&gt;=IF(MONTH($C320)=4,$C$3,IF(MONTH($C320)=5,$C$4,IF(MONTH($C320)=6,$C$5,IF(MONTH($C320)=7,$C$6,"ERROR")))),1,0)</f>
        <v>0</v>
      </c>
      <c r="F320" s="30">
        <f>VLOOKUP($C320,COS!$B$8:$H$991,7,FALSE)</f>
        <v>49.895095825195313</v>
      </c>
      <c r="G320" s="28">
        <f>IF(F320&lt;=IF(MONTH($C320)=4,$F$3,IF(MONTH($C320)=5,$F$4,IF(MONTH($C320)=6,$F$5,IF(MONTH($C320)=7,$F$6,"ERROR")))),1,0)</f>
        <v>1</v>
      </c>
      <c r="H320" s="30">
        <f>IF(J320=1,D320-$C$3,0)</f>
        <v>0</v>
      </c>
      <c r="I320" s="30">
        <f t="shared" si="450"/>
        <v>0</v>
      </c>
      <c r="J320" s="28">
        <f t="shared" ref="J320:J323" si="507">IF(AND(E320=1,G320=1),1,0)</f>
        <v>0</v>
      </c>
      <c r="K320" s="30">
        <f>VLOOKUP($C320,COS!$B$8:$H$991,2,FALSE)</f>
        <v>4525.97607421875</v>
      </c>
      <c r="L320" s="28">
        <f t="shared" ref="L320" si="508">IF(K320&lt;=IF(MONTH($C320)=4,$I$3,IF(MONTH($C320)=5,$I$4,IF(MONTH($C320)=6,$I$5,IF(MONTH($C320)=7,$I$6,"ERROR")))),1,0)</f>
        <v>1</v>
      </c>
      <c r="M320" s="28">
        <f t="shared" ref="M320" si="509">VLOOKUP($A320,$L$3:$M$7,2,FALSE)</f>
        <v>0</v>
      </c>
      <c r="N320" s="30">
        <f>VLOOKUP($C320,COS!$B$8:$H$991,5,FALSE)</f>
        <v>274.44708251953125</v>
      </c>
      <c r="O320" s="30">
        <f t="shared" ref="O320:O323" si="510">N320*DAY($C320)*86400/43560/1000</f>
        <v>16.330735488765498</v>
      </c>
      <c r="P320" s="30">
        <f>VLOOKUP($C320,COS!$B$8:$H$991,6,FALSE)</f>
        <v>472.98532104492188</v>
      </c>
      <c r="Q320" s="30">
        <f t="shared" ref="Q320:Q323" si="511">P320*DAY($C320)*86400/43560/1000</f>
        <v>28.144581086970557</v>
      </c>
      <c r="R320" s="30">
        <f>MIN(IF(MONTH($C320)=4,$S$3,IF(MONTH($C320)=5,$S$4,IF(MONTH($C320)=6,$S$5,IF(MONTH($C320)=7,$S$6,"ERROR")))),MAX(VLOOKUP($C320,COS!$B$8:$K$991,10,FALSE)-IF(MONTH($C320)=4,$Y$3,IF(MONTH($C320)=5,$Y$4,IF(MONTH($C320)=6,$Y$5,IF(MONTH($C320)=7,$Y$6,"ERROR")))),0),MAX(VLOOKUP($C320,COS!$B$8:$K$991,9,FALSE)-IF(MONTH($C320)=4,$V$3,IF(MONTH($C320)=5,$V$4,IF(MONTH($C320)=6,$V$5,IF(MONTH($C320)=7,$V$6,"ERROR"))))-VLOOKUP($C320,COS!$B$8:$K$991,6,FALSE)/2,0))</f>
        <v>1500</v>
      </c>
      <c r="S320" s="30">
        <f t="shared" ref="S320:S323" si="512">R320*DAY($C320)*86400/43560/1000</f>
        <v>89.256198347107429</v>
      </c>
      <c r="T320" s="30">
        <f t="shared" ref="T320:T323" si="513">(O320+Q320)/2+S320</f>
        <v>111.49385663497546</v>
      </c>
      <c r="U320" s="30" t="str">
        <f>IF(VLOOKUP($C320,COS!$B$8:$I$991,8,FALSE)=1,"UWFE","IBU")</f>
        <v>UWFE</v>
      </c>
      <c r="V320" s="30">
        <f t="shared" ref="V320" si="514">MIN(IF(IF($AA$3=2,AND(E320=1,G320=1,L320=1,L325=1,M320=1,U320="IBU"),AND(E320=1,G320=1,L320=1,L325=1,M320=1)),T320,0),I320)</f>
        <v>0</v>
      </c>
      <c r="W320" s="30"/>
      <c r="X320" s="30"/>
      <c r="Y320" s="30"/>
      <c r="Z320" s="30"/>
      <c r="AA320" s="30"/>
      <c r="AB320" s="31"/>
    </row>
    <row r="321" spans="1:28" x14ac:dyDescent="0.3">
      <c r="A321" s="32">
        <f>VLOOKUP(YEAR(C321),Flags!$A$13:$B$95,2,FALSE)</f>
        <v>1</v>
      </c>
      <c r="B321" s="24">
        <f t="shared" si="432"/>
        <v>1956</v>
      </c>
      <c r="C321" s="25">
        <v>20606</v>
      </c>
      <c r="D321" s="26">
        <f>VLOOKUP($C321,COS!$B$8:$H$991,3,FALSE)</f>
        <v>9877.4130859375</v>
      </c>
      <c r="E321" s="24">
        <f>IF(D321&gt;=IF(MONTH($C321)=4,$C$3,IF(MONTH($C321)=5,$C$4,IF(MONTH($C321)=6,$C$5,IF(MONTH($C321)=7,$C$6,"ERROR")))),1,0)</f>
        <v>1</v>
      </c>
      <c r="F321" s="26">
        <f>VLOOKUP($C321,COS!$B$8:$H$991,7,FALSE)</f>
        <v>47.875160217285156</v>
      </c>
      <c r="G321" s="24">
        <f>IF(F321&lt;=IF(MONTH($C321)=4,$F$3,IF(MONTH($C321)=5,$F$4,IF(MONTH($C321)=6,$F$5,IF(MONTH($C321)=7,$F$6,"ERROR")))),1,0)</f>
        <v>1</v>
      </c>
      <c r="H321" s="26">
        <f>IF(J321=1,D321-$C$4,0)</f>
        <v>3877.4130859375</v>
      </c>
      <c r="I321" s="26">
        <f t="shared" si="450"/>
        <v>238.41283768078512</v>
      </c>
      <c r="J321" s="24">
        <f t="shared" si="507"/>
        <v>1</v>
      </c>
      <c r="K321" s="26">
        <f>VLOOKUP($C321,COS!$B$8:$H$991,2,FALSE)</f>
        <v>4552</v>
      </c>
      <c r="L321" s="24">
        <f t="shared" si="435"/>
        <v>1</v>
      </c>
      <c r="M321" s="24">
        <f t="shared" si="436"/>
        <v>0</v>
      </c>
      <c r="N321" s="26">
        <f>VLOOKUP($C321,COS!$B$8:$H$991,5,FALSE)</f>
        <v>735.657470703125</v>
      </c>
      <c r="O321" s="26">
        <f t="shared" si="510"/>
        <v>45.233814727530991</v>
      </c>
      <c r="P321" s="26">
        <f>VLOOKUP($C321,COS!$B$8:$H$991,6,FALSE)</f>
        <v>2024.16015625</v>
      </c>
      <c r="Q321" s="26">
        <f t="shared" si="511"/>
        <v>124.46075671487603</v>
      </c>
      <c r="R321" s="26">
        <f>MIN(IF(MONTH($C321)=4,$S$3,IF(MONTH($C321)=5,$S$4,IF(MONTH($C321)=6,$S$5,IF(MONTH($C321)=7,$S$6,"ERROR")))),MAX(VLOOKUP($C321,COS!$B$8:$K$991,10,FALSE)-IF(MONTH($C321)=4,$Y$3,IF(MONTH($C321)=5,$Y$4,IF(MONTH($C321)=6,$Y$5,IF(MONTH($C321)=7,$Y$6,"ERROR")))),0),MAX(VLOOKUP($C321,COS!$B$8:$K$991,9,FALSE)-IF(MONTH($C321)=4,$V$3,IF(MONTH($C321)=5,$V$4,IF(MONTH($C321)=6,$V$5,IF(MONTH($C321)=7,$V$6,"ERROR"))))-VLOOKUP($C321,COS!$B$8:$K$991,6,FALSE)/2,0))</f>
        <v>1500</v>
      </c>
      <c r="S321" s="26">
        <f t="shared" si="512"/>
        <v>92.231404958677686</v>
      </c>
      <c r="T321" s="26">
        <f t="shared" si="513"/>
        <v>177.07869067988119</v>
      </c>
      <c r="U321" s="26" t="str">
        <f>IF(VLOOKUP($C321,COS!$B$8:$I$991,8,FALSE)=1,"UWFE","IBU")</f>
        <v>UWFE</v>
      </c>
      <c r="V321" s="26">
        <f t="shared" ref="V321" si="515">MIN(IF(IF($AA$3=2,AND(E321=1,G321=1,L321=1,L325=1,M321=1,U321="IBU"),AND(E321=1,G321=1,L321=1,L325=1,M321=1)),T321,0),I321)</f>
        <v>0</v>
      </c>
      <c r="W321" s="26"/>
      <c r="X321" s="26"/>
      <c r="Y321" s="26"/>
      <c r="Z321" s="26"/>
      <c r="AA321" s="26"/>
      <c r="AB321" s="33"/>
    </row>
    <row r="322" spans="1:28" x14ac:dyDescent="0.3">
      <c r="A322" s="32">
        <f>VLOOKUP(YEAR(C322),Flags!$A$13:$B$95,2,FALSE)</f>
        <v>1</v>
      </c>
      <c r="B322" s="24">
        <f t="shared" si="432"/>
        <v>1956</v>
      </c>
      <c r="C322" s="25">
        <v>20636</v>
      </c>
      <c r="D322" s="26">
        <f>VLOOKUP($C322,COS!$B$8:$H$991,3,FALSE)</f>
        <v>7543.416015625</v>
      </c>
      <c r="E322" s="24">
        <f>IF(D322&gt;=IF(MONTH($C322)=4,$C$3,IF(MONTH($C322)=5,$C$4,IF(MONTH($C322)=6,$C$5,IF(MONTH($C322)=7,$C$6,"ERROR")))),1,0)</f>
        <v>0</v>
      </c>
      <c r="F322" s="26">
        <f>VLOOKUP($C322,COS!$B$8:$H$991,7,FALSE)</f>
        <v>50.089691162109375</v>
      </c>
      <c r="G322" s="24">
        <f>IF(F322&lt;=IF(MONTH($C322)=4,$F$3,IF(MONTH($C322)=5,$F$4,IF(MONTH($C322)=6,$F$5,IF(MONTH($C322)=7,$F$6,"ERROR")))),1,0)</f>
        <v>1</v>
      </c>
      <c r="H322" s="26">
        <f>IF(J322=1,D322-$C$5,0)</f>
        <v>0</v>
      </c>
      <c r="I322" s="26">
        <f t="shared" si="450"/>
        <v>0</v>
      </c>
      <c r="J322" s="24">
        <f t="shared" si="507"/>
        <v>0</v>
      </c>
      <c r="K322" s="26">
        <f>VLOOKUP($C322,COS!$B$8:$H$991,2,FALSE)</f>
        <v>4426.123046875</v>
      </c>
      <c r="L322" s="24">
        <f t="shared" si="435"/>
        <v>1</v>
      </c>
      <c r="M322" s="24">
        <f t="shared" si="436"/>
        <v>0</v>
      </c>
      <c r="N322" s="26">
        <f>VLOOKUP($C322,COS!$B$8:$H$991,5,FALSE)</f>
        <v>1099.9310302734375</v>
      </c>
      <c r="O322" s="26">
        <f t="shared" si="510"/>
        <v>65.450441470816116</v>
      </c>
      <c r="P322" s="26">
        <f>VLOOKUP($C322,COS!$B$8:$H$991,6,FALSE)</f>
        <v>2200.53125</v>
      </c>
      <c r="Q322" s="26">
        <f t="shared" si="511"/>
        <v>130.94070247933885</v>
      </c>
      <c r="R322" s="26">
        <f>MIN(IF(MONTH($C322)=4,$S$3,IF(MONTH($C322)=5,$S$4,IF(MONTH($C322)=6,$S$5,IF(MONTH($C322)=7,$S$6,"ERROR")))),MAX(VLOOKUP($C322,COS!$B$8:$K$991,10,FALSE)-IF(MONTH($C322)=4,$Y$3,IF(MONTH($C322)=5,$Y$4,IF(MONTH($C322)=6,$Y$5,IF(MONTH($C322)=7,$Y$6,"ERROR")))),0),MAX(VLOOKUP($C322,COS!$B$8:$K$991,9,FALSE)-IF(MONTH($C322)=4,$V$3,IF(MONTH($C322)=5,$V$4,IF(MONTH($C322)=6,$V$5,IF(MONTH($C322)=7,$V$6,"ERROR"))))-VLOOKUP($C322,COS!$B$8:$K$991,6,FALSE)/2,0))</f>
        <v>1500</v>
      </c>
      <c r="S322" s="26">
        <f t="shared" si="512"/>
        <v>89.256198347107429</v>
      </c>
      <c r="T322" s="26">
        <f t="shared" si="513"/>
        <v>187.45177032218493</v>
      </c>
      <c r="U322" s="26" t="str">
        <f>IF(VLOOKUP($C322,COS!$B$8:$I$991,8,FALSE)=1,"UWFE","IBU")</f>
        <v>UWFE</v>
      </c>
      <c r="V322" s="26">
        <f t="shared" ref="V322" si="516">MIN(IF(IF($AA$3=2,AND(E322=1,G322=1,L322=1,L325=1,M322=1,U322="IBU"),AND(E322=1,G322=1,L322=1,L325=1,M322=1)),T322,0),I322)</f>
        <v>0</v>
      </c>
      <c r="W322" s="26"/>
      <c r="X322" s="26"/>
      <c r="Y322" s="26"/>
      <c r="Z322" s="26"/>
      <c r="AA322" s="26"/>
      <c r="AB322" s="33"/>
    </row>
    <row r="323" spans="1:28" x14ac:dyDescent="0.3">
      <c r="A323" s="32">
        <f>VLOOKUP(YEAR(C323),Flags!$A$13:$B$95,2,FALSE)</f>
        <v>1</v>
      </c>
      <c r="B323" s="24">
        <f t="shared" si="432"/>
        <v>1956</v>
      </c>
      <c r="C323" s="25">
        <v>20667</v>
      </c>
      <c r="D323" s="26">
        <f>VLOOKUP($C323,COS!$B$8:$H$991,3,FALSE)</f>
        <v>11823.966796875</v>
      </c>
      <c r="E323" s="24">
        <f>IF(D323&gt;=IF(MONTH($C323)=4,$C$3,IF(MONTH($C323)=5,$C$4,IF(MONTH($C323)=6,$C$5,IF(MONTH($C323)=7,$C$6,"ERROR")))),1,0)</f>
        <v>0</v>
      </c>
      <c r="F323" s="26">
        <f>VLOOKUP($C323,COS!$B$8:$H$991,7,FALSE)</f>
        <v>50.282562255859375</v>
      </c>
      <c r="G323" s="24">
        <f>IF(F323&lt;=IF(MONTH($C323)=4,$F$3,IF(MONTH($C323)=5,$F$4,IF(MONTH($C323)=6,$F$5,IF(MONTH($C323)=7,$F$6,"ERROR")))),1,0)</f>
        <v>1</v>
      </c>
      <c r="H323" s="26">
        <f>IF(J323=1,D323-$C$6,0)</f>
        <v>0</v>
      </c>
      <c r="I323" s="26">
        <f t="shared" si="450"/>
        <v>0</v>
      </c>
      <c r="J323" s="24">
        <f t="shared" si="507"/>
        <v>0</v>
      </c>
      <c r="K323" s="26">
        <f>VLOOKUP($C323,COS!$B$8:$H$991,2,FALSE)</f>
        <v>3905.54736328125</v>
      </c>
      <c r="L323" s="24">
        <f t="shared" si="435"/>
        <v>1</v>
      </c>
      <c r="M323" s="24">
        <f t="shared" si="436"/>
        <v>0</v>
      </c>
      <c r="N323" s="26">
        <f>VLOOKUP($C323,COS!$B$8:$H$991,5,FALSE)</f>
        <v>1282.6153564453125</v>
      </c>
      <c r="O323" s="26">
        <f t="shared" si="510"/>
        <v>78.86494423101756</v>
      </c>
      <c r="P323" s="26">
        <f>VLOOKUP($C323,COS!$B$8:$H$991,6,FALSE)</f>
        <v>2616.67822265625</v>
      </c>
      <c r="Q323" s="26">
        <f t="shared" si="511"/>
        <v>160.89327253357436</v>
      </c>
      <c r="R323" s="26">
        <f>MIN(IF(MONTH($C323)=4,$S$3,IF(MONTH($C323)=5,$S$4,IF(MONTH($C323)=6,$S$5,IF(MONTH($C323)=7,$S$6,"ERROR")))),MAX(VLOOKUP($C323,COS!$B$8:$K$991,10,FALSE)-IF(MONTH($C323)=4,$Y$3,IF(MONTH($C323)=5,$Y$4,IF(MONTH($C323)=6,$Y$5,IF(MONTH($C323)=7,$Y$6,"ERROR")))),0),MAX(VLOOKUP($C323,COS!$B$8:$K$991,9,FALSE)-IF(MONTH($C323)=4,$V$3,IF(MONTH($C323)=5,$V$4,IF(MONTH($C323)=6,$V$5,IF(MONTH($C323)=7,$V$6,"ERROR"))))-VLOOKUP($C323,COS!$B$8:$K$991,6,FALSE)/2,0))</f>
        <v>1500</v>
      </c>
      <c r="S323" s="26">
        <f t="shared" si="512"/>
        <v>92.231404958677686</v>
      </c>
      <c r="T323" s="26">
        <f t="shared" si="513"/>
        <v>212.11051334097363</v>
      </c>
      <c r="U323" s="26" t="str">
        <f>IF(VLOOKUP($C323,COS!$B$8:$I$991,8,FALSE)=1,"UWFE","IBU")</f>
        <v>IBU</v>
      </c>
      <c r="V323" s="26">
        <f t="shared" ref="V323" si="517">MIN(IF(IF($AA$3=2,AND(E323=1,G323=1,L323=1,L325=1,M323=1,U323="IBU"),AND(E323=1,G323=1,L323=1,L325=1,M323=1)),T323,0),I323)</f>
        <v>0</v>
      </c>
      <c r="W323" s="26"/>
      <c r="X323" s="26"/>
      <c r="Y323" s="26"/>
      <c r="Z323" s="26"/>
      <c r="AA323" s="26"/>
      <c r="AB323" s="33"/>
    </row>
    <row r="324" spans="1:28" x14ac:dyDescent="0.3">
      <c r="A324" s="32">
        <f>VLOOKUP(YEAR(C324),Flags!$A$13:$B$95,2,FALSE)</f>
        <v>1</v>
      </c>
      <c r="B324" s="24">
        <f t="shared" si="432"/>
        <v>1956</v>
      </c>
      <c r="C324" s="25">
        <v>20698</v>
      </c>
      <c r="D324" s="26"/>
      <c r="E324" s="24"/>
      <c r="F324" s="26"/>
      <c r="G324" s="24"/>
      <c r="H324" s="24"/>
      <c r="I324" s="26"/>
      <c r="J324" s="24"/>
      <c r="K324" s="26"/>
      <c r="L324" s="24"/>
      <c r="M324" s="24"/>
      <c r="N324" s="26"/>
      <c r="O324" s="26"/>
      <c r="P324" s="26"/>
      <c r="Q324" s="26"/>
      <c r="R324" s="26"/>
      <c r="S324" s="26"/>
      <c r="T324" s="26"/>
      <c r="U324" s="26"/>
      <c r="V324" s="26"/>
      <c r="W324" s="26">
        <f>MAX($C$7-VLOOKUP($C324,COS!$B$8:$H$991,3,FALSE),0)</f>
        <v>2475.158203125</v>
      </c>
      <c r="X324" s="26">
        <f t="shared" si="448"/>
        <v>152.19154571280993</v>
      </c>
      <c r="Y324" s="26">
        <f>VLOOKUP($C324,COS!$B$8:$H$991,4,FALSE)</f>
        <v>0</v>
      </c>
      <c r="Z324" s="26">
        <f t="shared" si="449"/>
        <v>0</v>
      </c>
      <c r="AA324" s="26">
        <f t="shared" ref="AA324:AA328" si="518">MIN(W324,Y324)</f>
        <v>0</v>
      </c>
      <c r="AB324" s="33">
        <f t="shared" ref="AB324" si="519">AA324*DAY($C324)*86400/43560/1000*IF(MONTH($C324)=8,$P$3,IF(MONTH($C324)=9,$P$4,IF(MONTH($C324)=10,$P$5,IF(MONTH($C324)=11,$P$6,IF(MONTH($C324)=12,$P$7,NA())))))</f>
        <v>0</v>
      </c>
    </row>
    <row r="325" spans="1:28" x14ac:dyDescent="0.3">
      <c r="A325" s="32">
        <f>VLOOKUP(YEAR(C325),Flags!$A$13:$B$95,2,FALSE)</f>
        <v>1</v>
      </c>
      <c r="B325" s="24">
        <f t="shared" si="432"/>
        <v>1956</v>
      </c>
      <c r="C325" s="25">
        <v>20728</v>
      </c>
      <c r="D325" s="26"/>
      <c r="E325" s="24"/>
      <c r="F325" s="26"/>
      <c r="G325" s="24"/>
      <c r="H325" s="24"/>
      <c r="I325" s="26"/>
      <c r="J325" s="24"/>
      <c r="K325" s="26">
        <f>VLOOKUP($C325,COS!$B$8:$H$991,2,FALSE)</f>
        <v>3055.82763671875</v>
      </c>
      <c r="L325" s="24">
        <f t="shared" ref="L325" si="520">IF(AND(K325&gt;$I$7,K325&lt;$I$8),1,0)</f>
        <v>1</v>
      </c>
      <c r="M325" s="24"/>
      <c r="N325" s="26"/>
      <c r="O325" s="26"/>
      <c r="P325" s="26"/>
      <c r="Q325" s="26"/>
      <c r="R325" s="26"/>
      <c r="S325" s="26"/>
      <c r="T325" s="26"/>
      <c r="U325" s="26"/>
      <c r="V325" s="26"/>
      <c r="W325" s="26">
        <f>MAX($C$8-VLOOKUP($C325,COS!$B$8:$H$991,3,FALSE),0)</f>
        <v>0</v>
      </c>
      <c r="X325" s="26">
        <f t="shared" si="448"/>
        <v>0</v>
      </c>
      <c r="Y325" s="26">
        <f>VLOOKUP($C325,COS!$B$8:$H$991,4,FALSE)</f>
        <v>0</v>
      </c>
      <c r="Z325" s="26">
        <f t="shared" si="449"/>
        <v>0</v>
      </c>
      <c r="AA325" s="26">
        <f t="shared" si="518"/>
        <v>0</v>
      </c>
      <c r="AB325" s="33">
        <f t="shared" si="446"/>
        <v>0</v>
      </c>
    </row>
    <row r="326" spans="1:28" x14ac:dyDescent="0.3">
      <c r="A326" s="32">
        <f>VLOOKUP(YEAR(C326),Flags!$A$13:$B$95,2,FALSE)</f>
        <v>1</v>
      </c>
      <c r="B326" s="24">
        <f t="shared" si="432"/>
        <v>1956</v>
      </c>
      <c r="C326" s="25">
        <v>20759</v>
      </c>
      <c r="D326" s="26"/>
      <c r="E326" s="24"/>
      <c r="F326" s="26"/>
      <c r="G326" s="26"/>
      <c r="H326" s="26"/>
      <c r="I326" s="26"/>
      <c r="J326" s="26"/>
      <c r="K326" s="26"/>
      <c r="L326" s="24"/>
      <c r="M326" s="24"/>
      <c r="N326" s="26"/>
      <c r="O326" s="26"/>
      <c r="P326" s="26"/>
      <c r="Q326" s="26"/>
      <c r="R326" s="26"/>
      <c r="S326" s="26"/>
      <c r="T326" s="26"/>
      <c r="U326" s="26"/>
      <c r="V326" s="26"/>
      <c r="W326" s="26">
        <f>MAX($C$9-VLOOKUP($C326,COS!$B$8:$H$991,3,FALSE),0)</f>
        <v>0</v>
      </c>
      <c r="X326" s="26">
        <f t="shared" si="448"/>
        <v>0</v>
      </c>
      <c r="Y326" s="26">
        <f>VLOOKUP($C326,COS!$B$8:$H$991,4,FALSE)</f>
        <v>524.9937744140625</v>
      </c>
      <c r="Z326" s="26">
        <f t="shared" si="449"/>
        <v>32.28060893917872</v>
      </c>
      <c r="AA326" s="26">
        <f t="shared" si="518"/>
        <v>0</v>
      </c>
      <c r="AB326" s="33">
        <f t="shared" si="446"/>
        <v>0</v>
      </c>
    </row>
    <row r="327" spans="1:28" x14ac:dyDescent="0.3">
      <c r="A327" s="32">
        <f>VLOOKUP(YEAR(C327),Flags!$A$13:$B$95,2,FALSE)</f>
        <v>1</v>
      </c>
      <c r="B327" s="24">
        <f t="shared" si="432"/>
        <v>1956</v>
      </c>
      <c r="C327" s="25">
        <v>20789</v>
      </c>
      <c r="D327" s="26"/>
      <c r="E327" s="24"/>
      <c r="F327" s="26"/>
      <c r="G327" s="26"/>
      <c r="H327" s="26"/>
      <c r="I327" s="26"/>
      <c r="J327" s="26"/>
      <c r="K327" s="26"/>
      <c r="L327" s="24"/>
      <c r="M327" s="24"/>
      <c r="N327" s="26"/>
      <c r="O327" s="26"/>
      <c r="P327" s="26"/>
      <c r="Q327" s="26"/>
      <c r="R327" s="26"/>
      <c r="S327" s="26"/>
      <c r="T327" s="26"/>
      <c r="U327" s="26"/>
      <c r="V327" s="26"/>
      <c r="W327" s="26">
        <f>MAX($C$10-VLOOKUP($C327,COS!$B$8:$H$991,3,FALSE),0)</f>
        <v>0</v>
      </c>
      <c r="X327" s="26">
        <f t="shared" si="448"/>
        <v>0</v>
      </c>
      <c r="Y327" s="26">
        <f>VLOOKUP($C327,COS!$B$8:$H$991,4,FALSE)</f>
        <v>630.58831787109375</v>
      </c>
      <c r="Z327" s="26">
        <f t="shared" si="449"/>
        <v>37.522610650180788</v>
      </c>
      <c r="AA327" s="26">
        <f t="shared" si="518"/>
        <v>0</v>
      </c>
      <c r="AB327" s="33">
        <f t="shared" si="446"/>
        <v>0</v>
      </c>
    </row>
    <row r="328" spans="1:28" x14ac:dyDescent="0.3">
      <c r="A328" s="34">
        <f>VLOOKUP(YEAR(C328),Flags!$A$13:$B$95,2,FALSE)</f>
        <v>1</v>
      </c>
      <c r="B328" s="35">
        <f t="shared" si="432"/>
        <v>1956</v>
      </c>
      <c r="C328" s="36">
        <v>20820</v>
      </c>
      <c r="D328" s="37"/>
      <c r="E328" s="35"/>
      <c r="F328" s="37"/>
      <c r="G328" s="37"/>
      <c r="H328" s="37"/>
      <c r="I328" s="37"/>
      <c r="J328" s="37"/>
      <c r="K328" s="37"/>
      <c r="L328" s="35"/>
      <c r="M328" s="35"/>
      <c r="N328" s="37"/>
      <c r="O328" s="37"/>
      <c r="P328" s="37"/>
      <c r="Q328" s="37"/>
      <c r="R328" s="37"/>
      <c r="S328" s="37"/>
      <c r="T328" s="37"/>
      <c r="U328" s="37"/>
      <c r="V328" s="37"/>
      <c r="W328" s="37">
        <f>MAX($C$11-VLOOKUP($C328,COS!$B$8:$H$991,3,FALSE),0)</f>
        <v>0</v>
      </c>
      <c r="X328" s="37">
        <f t="shared" si="448"/>
        <v>0</v>
      </c>
      <c r="Y328" s="37">
        <f>VLOOKUP($C328,COS!$B$8:$H$991,4,FALSE)</f>
        <v>0</v>
      </c>
      <c r="Z328" s="37">
        <f t="shared" si="449"/>
        <v>0</v>
      </c>
      <c r="AA328" s="37">
        <f t="shared" si="518"/>
        <v>0</v>
      </c>
      <c r="AB328" s="38">
        <f t="shared" si="446"/>
        <v>0</v>
      </c>
    </row>
    <row r="329" spans="1:28" x14ac:dyDescent="0.3">
      <c r="A329" s="27">
        <f>VLOOKUP(YEAR(C329),Flags!$A$13:$B$95,2,FALSE)</f>
        <v>2</v>
      </c>
      <c r="B329" s="28">
        <f t="shared" si="432"/>
        <v>1957</v>
      </c>
      <c r="C329" s="29">
        <v>20940</v>
      </c>
      <c r="D329" s="30">
        <f>VLOOKUP($C329,COS!$B$8:$H$991,3,FALSE)</f>
        <v>3250</v>
      </c>
      <c r="E329" s="28">
        <f>IF(D329&gt;=IF(MONTH($C329)=4,$C$3,IF(MONTH($C329)=5,$C$4,IF(MONTH($C329)=6,$C$5,IF(MONTH($C329)=7,$C$6,"ERROR")))),1,0)</f>
        <v>0</v>
      </c>
      <c r="F329" s="30">
        <f>VLOOKUP($C329,COS!$B$8:$H$991,7,FALSE)</f>
        <v>51.217433929443359</v>
      </c>
      <c r="G329" s="28">
        <f>IF(F329&lt;=IF(MONTH($C329)=4,$F$3,IF(MONTH($C329)=5,$F$4,IF(MONTH($C329)=6,$F$5,IF(MONTH($C329)=7,$F$6,"ERROR")))),1,0)</f>
        <v>1</v>
      </c>
      <c r="H329" s="30">
        <f>IF(J329=1,D329-$C$3,0)</f>
        <v>0</v>
      </c>
      <c r="I329" s="30">
        <f t="shared" si="450"/>
        <v>0</v>
      </c>
      <c r="J329" s="28">
        <f t="shared" ref="J329:J332" si="521">IF(AND(E329=1,G329=1),1,0)</f>
        <v>0</v>
      </c>
      <c r="K329" s="30">
        <f>VLOOKUP($C329,COS!$B$8:$H$991,2,FALSE)</f>
        <v>4535.75439453125</v>
      </c>
      <c r="L329" s="28">
        <f t="shared" ref="L329" si="522">IF(K329&lt;=IF(MONTH($C329)=4,$I$3,IF(MONTH($C329)=5,$I$4,IF(MONTH($C329)=6,$I$5,IF(MONTH($C329)=7,$I$6,"ERROR")))),1,0)</f>
        <v>1</v>
      </c>
      <c r="M329" s="28">
        <f t="shared" ref="M329" si="523">VLOOKUP($A329,$L$3:$M$7,2,FALSE)</f>
        <v>0</v>
      </c>
      <c r="N329" s="30">
        <f>VLOOKUP($C329,COS!$B$8:$H$991,5,FALSE)</f>
        <v>473.61004638671875</v>
      </c>
      <c r="O329" s="30">
        <f t="shared" ref="O329:O332" si="524">N329*DAY($C329)*86400/43560/1000</f>
        <v>28.18175482631715</v>
      </c>
      <c r="P329" s="30">
        <f>VLOOKUP($C329,COS!$B$8:$H$991,6,FALSE)</f>
        <v>459.42416381835938</v>
      </c>
      <c r="Q329" s="30">
        <f t="shared" ref="Q329:Q332" si="525">P329*DAY($C329)*86400/43560/1000</f>
        <v>27.33763619415031</v>
      </c>
      <c r="R329" s="30">
        <f>MIN(IF(MONTH($C329)=4,$S$3,IF(MONTH($C329)=5,$S$4,IF(MONTH($C329)=6,$S$5,IF(MONTH($C329)=7,$S$6,"ERROR")))),MAX(VLOOKUP($C329,COS!$B$8:$K$991,10,FALSE)-IF(MONTH($C329)=4,$Y$3,IF(MONTH($C329)=5,$Y$4,IF(MONTH($C329)=6,$Y$5,IF(MONTH($C329)=7,$Y$6,"ERROR")))),0),MAX(VLOOKUP($C329,COS!$B$8:$K$991,9,FALSE)-IF(MONTH($C329)=4,$V$3,IF(MONTH($C329)=5,$V$4,IF(MONTH($C329)=6,$V$5,IF(MONTH($C329)=7,$V$6,"ERROR"))))-VLOOKUP($C329,COS!$B$8:$K$991,6,FALSE)/2,0))</f>
        <v>1500</v>
      </c>
      <c r="S329" s="30">
        <f t="shared" ref="S329:S332" si="526">R329*DAY($C329)*86400/43560/1000</f>
        <v>89.256198347107429</v>
      </c>
      <c r="T329" s="30">
        <f t="shared" ref="T329:T332" si="527">(O329+Q329)/2+S329</f>
        <v>117.01589385734115</v>
      </c>
      <c r="U329" s="30" t="str">
        <f>IF(VLOOKUP($C329,COS!$B$8:$I$991,8,FALSE)=1,"UWFE","IBU")</f>
        <v>UWFE</v>
      </c>
      <c r="V329" s="30">
        <f t="shared" ref="V329" si="528">MIN(IF(IF($AA$3=2,AND(E329=1,G329=1,L329=1,L334=1,M329=1,U329="IBU"),AND(E329=1,G329=1,L329=1,L334=1,M329=1)),T329,0),I329)</f>
        <v>0</v>
      </c>
      <c r="W329" s="30"/>
      <c r="X329" s="30"/>
      <c r="Y329" s="30"/>
      <c r="Z329" s="30"/>
      <c r="AA329" s="30"/>
      <c r="AB329" s="31"/>
    </row>
    <row r="330" spans="1:28" x14ac:dyDescent="0.3">
      <c r="A330" s="32">
        <f>VLOOKUP(YEAR(C330),Flags!$A$13:$B$95,2,FALSE)</f>
        <v>2</v>
      </c>
      <c r="B330" s="24">
        <f t="shared" si="432"/>
        <v>1957</v>
      </c>
      <c r="C330" s="25">
        <v>20971</v>
      </c>
      <c r="D330" s="26">
        <f>VLOOKUP($C330,COS!$B$8:$H$991,3,FALSE)</f>
        <v>10383.798828125</v>
      </c>
      <c r="E330" s="24">
        <f>IF(D330&gt;=IF(MONTH($C330)=4,$C$3,IF(MONTH($C330)=5,$C$4,IF(MONTH($C330)=6,$C$5,IF(MONTH($C330)=7,$C$6,"ERROR")))),1,0)</f>
        <v>1</v>
      </c>
      <c r="F330" s="26">
        <f>VLOOKUP($C330,COS!$B$8:$H$991,7,FALSE)</f>
        <v>50.116058349609375</v>
      </c>
      <c r="G330" s="24">
        <f>IF(F330&lt;=IF(MONTH($C330)=4,$F$3,IF(MONTH($C330)=5,$F$4,IF(MONTH($C330)=6,$F$5,IF(MONTH($C330)=7,$F$6,"ERROR")))),1,0)</f>
        <v>1</v>
      </c>
      <c r="H330" s="26">
        <f>IF(J330=1,D330-$C$4,0)</f>
        <v>4383.798828125</v>
      </c>
      <c r="I330" s="26">
        <f t="shared" si="450"/>
        <v>269.54928331611569</v>
      </c>
      <c r="J330" s="24">
        <f t="shared" si="521"/>
        <v>1</v>
      </c>
      <c r="K330" s="26">
        <f>VLOOKUP($C330,COS!$B$8:$H$991,2,FALSE)</f>
        <v>4552</v>
      </c>
      <c r="L330" s="24">
        <f t="shared" si="435"/>
        <v>1</v>
      </c>
      <c r="M330" s="24">
        <f t="shared" si="436"/>
        <v>0</v>
      </c>
      <c r="N330" s="26">
        <f>VLOOKUP($C330,COS!$B$8:$H$991,5,FALSE)</f>
        <v>717.7584228515625</v>
      </c>
      <c r="O330" s="26">
        <f t="shared" si="524"/>
        <v>44.133245173682852</v>
      </c>
      <c r="P330" s="26">
        <f>VLOOKUP($C330,COS!$B$8:$H$991,6,FALSE)</f>
        <v>2044.89892578125</v>
      </c>
      <c r="Q330" s="26">
        <f t="shared" si="525"/>
        <v>125.73593394886363</v>
      </c>
      <c r="R330" s="26">
        <f>MIN(IF(MONTH($C330)=4,$S$3,IF(MONTH($C330)=5,$S$4,IF(MONTH($C330)=6,$S$5,IF(MONTH($C330)=7,$S$6,"ERROR")))),MAX(VLOOKUP($C330,COS!$B$8:$K$991,10,FALSE)-IF(MONTH($C330)=4,$Y$3,IF(MONTH($C330)=5,$Y$4,IF(MONTH($C330)=6,$Y$5,IF(MONTH($C330)=7,$Y$6,"ERROR")))),0),MAX(VLOOKUP($C330,COS!$B$8:$K$991,9,FALSE)-IF(MONTH($C330)=4,$V$3,IF(MONTH($C330)=5,$V$4,IF(MONTH($C330)=6,$V$5,IF(MONTH($C330)=7,$V$6,"ERROR"))))-VLOOKUP($C330,COS!$B$8:$K$991,6,FALSE)/2,0))</f>
        <v>1500</v>
      </c>
      <c r="S330" s="26">
        <f t="shared" si="526"/>
        <v>92.231404958677686</v>
      </c>
      <c r="T330" s="26">
        <f t="shared" si="527"/>
        <v>177.16599451995091</v>
      </c>
      <c r="U330" s="26" t="str">
        <f>IF(VLOOKUP($C330,COS!$B$8:$I$991,8,FALSE)=1,"UWFE","IBU")</f>
        <v>UWFE</v>
      </c>
      <c r="V330" s="26">
        <f t="shared" ref="V330" si="529">MIN(IF(IF($AA$3=2,AND(E330=1,G330=1,L330=1,L334=1,M330=1,U330="IBU"),AND(E330=1,G330=1,L330=1,L334=1,M330=1)),T330,0),I330)</f>
        <v>0</v>
      </c>
      <c r="W330" s="26"/>
      <c r="X330" s="26"/>
      <c r="Y330" s="26"/>
      <c r="Z330" s="26"/>
      <c r="AA330" s="26"/>
      <c r="AB330" s="33"/>
    </row>
    <row r="331" spans="1:28" x14ac:dyDescent="0.3">
      <c r="A331" s="32">
        <f>VLOOKUP(YEAR(C331),Flags!$A$13:$B$95,2,FALSE)</f>
        <v>2</v>
      </c>
      <c r="B331" s="24">
        <f t="shared" si="432"/>
        <v>1957</v>
      </c>
      <c r="C331" s="25">
        <v>21001</v>
      </c>
      <c r="D331" s="26">
        <f>VLOOKUP($C331,COS!$B$8:$H$991,3,FALSE)</f>
        <v>9041.25390625</v>
      </c>
      <c r="E331" s="24">
        <f>IF(D331&gt;=IF(MONTH($C331)=4,$C$3,IF(MONTH($C331)=5,$C$4,IF(MONTH($C331)=6,$C$5,IF(MONTH($C331)=7,$C$6,"ERROR")))),1,0)</f>
        <v>0</v>
      </c>
      <c r="F331" s="26">
        <f>VLOOKUP($C331,COS!$B$8:$H$991,7,FALSE)</f>
        <v>52.248523712158203</v>
      </c>
      <c r="G331" s="24">
        <f>IF(F331&lt;=IF(MONTH($C331)=4,$F$3,IF(MONTH($C331)=5,$F$4,IF(MONTH($C331)=6,$F$5,IF(MONTH($C331)=7,$F$6,"ERROR")))),1,0)</f>
        <v>1</v>
      </c>
      <c r="H331" s="26">
        <f>IF(J331=1,D331-$C$5,0)</f>
        <v>0</v>
      </c>
      <c r="I331" s="26">
        <f t="shared" si="450"/>
        <v>0</v>
      </c>
      <c r="J331" s="24">
        <f t="shared" si="521"/>
        <v>0</v>
      </c>
      <c r="K331" s="26">
        <f>VLOOKUP($C331,COS!$B$8:$H$991,2,FALSE)</f>
        <v>4290.39404296875</v>
      </c>
      <c r="L331" s="24">
        <f t="shared" si="435"/>
        <v>1</v>
      </c>
      <c r="M331" s="24">
        <f t="shared" si="436"/>
        <v>0</v>
      </c>
      <c r="N331" s="26">
        <f>VLOOKUP($C331,COS!$B$8:$H$991,5,FALSE)</f>
        <v>866.60247802734375</v>
      </c>
      <c r="O331" s="26">
        <f t="shared" si="524"/>
        <v>51.566428444602273</v>
      </c>
      <c r="P331" s="26">
        <f>VLOOKUP($C331,COS!$B$8:$H$991,6,FALSE)</f>
        <v>2422.49462890625</v>
      </c>
      <c r="Q331" s="26">
        <f t="shared" si="525"/>
        <v>144.14844072830579</v>
      </c>
      <c r="R331" s="26">
        <f>MIN(IF(MONTH($C331)=4,$S$3,IF(MONTH($C331)=5,$S$4,IF(MONTH($C331)=6,$S$5,IF(MONTH($C331)=7,$S$6,"ERROR")))),MAX(VLOOKUP($C331,COS!$B$8:$K$991,10,FALSE)-IF(MONTH($C331)=4,$Y$3,IF(MONTH($C331)=5,$Y$4,IF(MONTH($C331)=6,$Y$5,IF(MONTH($C331)=7,$Y$6,"ERROR")))),0),MAX(VLOOKUP($C331,COS!$B$8:$K$991,9,FALSE)-IF(MONTH($C331)=4,$V$3,IF(MONTH($C331)=5,$V$4,IF(MONTH($C331)=6,$V$5,IF(MONTH($C331)=7,$V$6,"ERROR"))))-VLOOKUP($C331,COS!$B$8:$K$991,6,FALSE)/2,0))</f>
        <v>1500</v>
      </c>
      <c r="S331" s="26">
        <f t="shared" si="526"/>
        <v>89.256198347107429</v>
      </c>
      <c r="T331" s="26">
        <f t="shared" si="527"/>
        <v>187.11363293356146</v>
      </c>
      <c r="U331" s="26" t="str">
        <f>IF(VLOOKUP($C331,COS!$B$8:$I$991,8,FALSE)=1,"UWFE","IBU")</f>
        <v>IBU</v>
      </c>
      <c r="V331" s="26">
        <f t="shared" ref="V331" si="530">MIN(IF(IF($AA$3=2,AND(E331=1,G331=1,L331=1,L334=1,M331=1,U331="IBU"),AND(E331=1,G331=1,L331=1,L334=1,M331=1)),T331,0),I331)</f>
        <v>0</v>
      </c>
      <c r="W331" s="26"/>
      <c r="X331" s="26"/>
      <c r="Y331" s="26"/>
      <c r="Z331" s="26"/>
      <c r="AA331" s="26"/>
      <c r="AB331" s="33"/>
    </row>
    <row r="332" spans="1:28" x14ac:dyDescent="0.3">
      <c r="A332" s="32">
        <f>VLOOKUP(YEAR(C332),Flags!$A$13:$B$95,2,FALSE)</f>
        <v>2</v>
      </c>
      <c r="B332" s="24">
        <f t="shared" si="432"/>
        <v>1957</v>
      </c>
      <c r="C332" s="25">
        <v>21032</v>
      </c>
      <c r="D332" s="26">
        <f>VLOOKUP($C332,COS!$B$8:$H$991,3,FALSE)</f>
        <v>16000</v>
      </c>
      <c r="E332" s="24">
        <f>IF(D332&gt;=IF(MONTH($C332)=4,$C$3,IF(MONTH($C332)=5,$C$4,IF(MONTH($C332)=6,$C$5,IF(MONTH($C332)=7,$C$6,"ERROR")))),1,0)</f>
        <v>1</v>
      </c>
      <c r="F332" s="26">
        <f>VLOOKUP($C332,COS!$B$8:$H$991,7,FALSE)</f>
        <v>51.816173553466797</v>
      </c>
      <c r="G332" s="24">
        <f>IF(F332&lt;=IF(MONTH($C332)=4,$F$3,IF(MONTH($C332)=5,$F$4,IF(MONTH($C332)=6,$F$5,IF(MONTH($C332)=7,$F$6,"ERROR")))),1,0)</f>
        <v>1</v>
      </c>
      <c r="H332" s="26">
        <f>IF(J332=1,D332-$C$6,0)</f>
        <v>4000</v>
      </c>
      <c r="I332" s="26">
        <f t="shared" si="450"/>
        <v>245.95041322314049</v>
      </c>
      <c r="J332" s="24">
        <f t="shared" si="521"/>
        <v>1</v>
      </c>
      <c r="K332" s="26">
        <f>VLOOKUP($C332,COS!$B$8:$H$991,2,FALSE)</f>
        <v>3601.666259765625</v>
      </c>
      <c r="L332" s="24">
        <f t="shared" si="435"/>
        <v>1</v>
      </c>
      <c r="M332" s="24">
        <f t="shared" si="436"/>
        <v>0</v>
      </c>
      <c r="N332" s="26">
        <f>VLOOKUP($C332,COS!$B$8:$H$991,5,FALSE)</f>
        <v>947.87957763671875</v>
      </c>
      <c r="O332" s="26">
        <f t="shared" si="524"/>
        <v>58.282843451381709</v>
      </c>
      <c r="P332" s="26">
        <f>VLOOKUP($C332,COS!$B$8:$H$991,6,FALSE)</f>
        <v>2467.689453125</v>
      </c>
      <c r="Q332" s="26">
        <f t="shared" si="525"/>
        <v>151.73231017561986</v>
      </c>
      <c r="R332" s="26">
        <f>MIN(IF(MONTH($C332)=4,$S$3,IF(MONTH($C332)=5,$S$4,IF(MONTH($C332)=6,$S$5,IF(MONTH($C332)=7,$S$6,"ERROR")))),MAX(VLOOKUP($C332,COS!$B$8:$K$991,10,FALSE)-IF(MONTH($C332)=4,$Y$3,IF(MONTH($C332)=5,$Y$4,IF(MONTH($C332)=6,$Y$5,IF(MONTH($C332)=7,$Y$6,"ERROR")))),0),MAX(VLOOKUP($C332,COS!$B$8:$K$991,9,FALSE)-IF(MONTH($C332)=4,$V$3,IF(MONTH($C332)=5,$V$4,IF(MONTH($C332)=6,$V$5,IF(MONTH($C332)=7,$V$6,"ERROR"))))-VLOOKUP($C332,COS!$B$8:$K$991,6,FALSE)/2,0))</f>
        <v>1500</v>
      </c>
      <c r="S332" s="26">
        <f t="shared" si="526"/>
        <v>92.231404958677686</v>
      </c>
      <c r="T332" s="26">
        <f t="shared" si="527"/>
        <v>197.23898177217848</v>
      </c>
      <c r="U332" s="26" t="str">
        <f>IF(VLOOKUP($C332,COS!$B$8:$I$991,8,FALSE)=1,"UWFE","IBU")</f>
        <v>IBU</v>
      </c>
      <c r="V332" s="26">
        <f t="shared" ref="V332" si="531">MIN(IF(IF($AA$3=2,AND(E332=1,G332=1,L332=1,L334=1,M332=1,U332="IBU"),AND(E332=1,G332=1,L332=1,L334=1,M332=1)),T332,0),I332)</f>
        <v>0</v>
      </c>
      <c r="W332" s="26"/>
      <c r="X332" s="26"/>
      <c r="Y332" s="26"/>
      <c r="Z332" s="26"/>
      <c r="AA332" s="26"/>
      <c r="AB332" s="33"/>
    </row>
    <row r="333" spans="1:28" x14ac:dyDescent="0.3">
      <c r="A333" s="32">
        <f>VLOOKUP(YEAR(C333),Flags!$A$13:$B$95,2,FALSE)</f>
        <v>2</v>
      </c>
      <c r="B333" s="24">
        <f t="shared" si="432"/>
        <v>1957</v>
      </c>
      <c r="C333" s="25">
        <v>21063</v>
      </c>
      <c r="D333" s="26"/>
      <c r="E333" s="24"/>
      <c r="F333" s="26"/>
      <c r="G333" s="24"/>
      <c r="H333" s="24"/>
      <c r="I333" s="26"/>
      <c r="J333" s="24"/>
      <c r="K333" s="26"/>
      <c r="L333" s="24"/>
      <c r="M333" s="24"/>
      <c r="N333" s="26"/>
      <c r="O333" s="26"/>
      <c r="P333" s="26"/>
      <c r="Q333" s="26"/>
      <c r="R333" s="26"/>
      <c r="S333" s="26"/>
      <c r="T333" s="26"/>
      <c r="U333" s="26"/>
      <c r="V333" s="26"/>
      <c r="W333" s="26">
        <f>MAX($C$7-VLOOKUP($C333,COS!$B$8:$H$991,3,FALSE),0)</f>
        <v>1622.1240234375</v>
      </c>
      <c r="X333" s="26">
        <f t="shared" si="448"/>
        <v>99.740518465909091</v>
      </c>
      <c r="Y333" s="26">
        <f>VLOOKUP($C333,COS!$B$8:$H$991,4,FALSE)</f>
        <v>972.99468994140625</v>
      </c>
      <c r="Z333" s="26">
        <f t="shared" si="449"/>
        <v>59.827111513752584</v>
      </c>
      <c r="AA333" s="26">
        <f t="shared" ref="AA333:AA337" si="532">MIN(W333,Y333)</f>
        <v>972.99468994140625</v>
      </c>
      <c r="AB333" s="33">
        <f t="shared" ref="AB333" si="533">AA333*DAY($C333)*86400/43560/1000*IF(MONTH($C333)=8,$P$3,IF(MONTH($C333)=9,$P$4,IF(MONTH($C333)=10,$P$5,IF(MONTH($C333)=11,$P$6,IF(MONTH($C333)=12,$P$7,NA())))))</f>
        <v>59.827111513752584</v>
      </c>
    </row>
    <row r="334" spans="1:28" x14ac:dyDescent="0.3">
      <c r="A334" s="32">
        <f>VLOOKUP(YEAR(C334),Flags!$A$13:$B$95,2,FALSE)</f>
        <v>2</v>
      </c>
      <c r="B334" s="24">
        <f t="shared" si="432"/>
        <v>1957</v>
      </c>
      <c r="C334" s="25">
        <v>21093</v>
      </c>
      <c r="D334" s="26"/>
      <c r="E334" s="24"/>
      <c r="F334" s="26"/>
      <c r="G334" s="24"/>
      <c r="H334" s="24"/>
      <c r="I334" s="26"/>
      <c r="J334" s="24"/>
      <c r="K334" s="26">
        <f>VLOOKUP($C334,COS!$B$8:$H$991,2,FALSE)</f>
        <v>3041.052978515625</v>
      </c>
      <c r="L334" s="24">
        <f t="shared" ref="L334" si="534">IF(AND(K334&gt;$I$7,K334&lt;$I$8),1,0)</f>
        <v>1</v>
      </c>
      <c r="M334" s="24"/>
      <c r="N334" s="26"/>
      <c r="O334" s="26"/>
      <c r="P334" s="26"/>
      <c r="Q334" s="26"/>
      <c r="R334" s="26"/>
      <c r="S334" s="26"/>
      <c r="T334" s="26"/>
      <c r="U334" s="26"/>
      <c r="V334" s="26"/>
      <c r="W334" s="26">
        <f>MAX($C$8-VLOOKUP($C334,COS!$B$8:$H$991,3,FALSE),0)</f>
        <v>0</v>
      </c>
      <c r="X334" s="26">
        <f t="shared" si="448"/>
        <v>0</v>
      </c>
      <c r="Y334" s="26">
        <f>VLOOKUP($C334,COS!$B$8:$H$991,4,FALSE)</f>
        <v>579.7745361328125</v>
      </c>
      <c r="Z334" s="26">
        <f t="shared" si="449"/>
        <v>34.498980662448346</v>
      </c>
      <c r="AA334" s="26">
        <f t="shared" si="532"/>
        <v>0</v>
      </c>
      <c r="AB334" s="33">
        <f t="shared" si="446"/>
        <v>0</v>
      </c>
    </row>
    <row r="335" spans="1:28" x14ac:dyDescent="0.3">
      <c r="A335" s="32">
        <f>VLOOKUP(YEAR(C335),Flags!$A$13:$B$95,2,FALSE)</f>
        <v>2</v>
      </c>
      <c r="B335" s="24">
        <f t="shared" ref="B335:B398" si="535">YEAR(C335)</f>
        <v>1957</v>
      </c>
      <c r="C335" s="25">
        <v>21124</v>
      </c>
      <c r="D335" s="26"/>
      <c r="E335" s="24"/>
      <c r="F335" s="26"/>
      <c r="G335" s="26"/>
      <c r="H335" s="26"/>
      <c r="I335" s="26"/>
      <c r="J335" s="26"/>
      <c r="K335" s="26"/>
      <c r="L335" s="24"/>
      <c r="M335" s="24"/>
      <c r="N335" s="26"/>
      <c r="O335" s="26"/>
      <c r="P335" s="26"/>
      <c r="Q335" s="26"/>
      <c r="R335" s="26"/>
      <c r="S335" s="26"/>
      <c r="T335" s="26"/>
      <c r="U335" s="26"/>
      <c r="V335" s="26"/>
      <c r="W335" s="26">
        <f>MAX($C$9-VLOOKUP($C335,COS!$B$8:$H$991,3,FALSE),0)</f>
        <v>0</v>
      </c>
      <c r="X335" s="26">
        <f t="shared" si="448"/>
        <v>0</v>
      </c>
      <c r="Y335" s="26">
        <f>VLOOKUP($C335,COS!$B$8:$H$991,4,FALSE)</f>
        <v>1307.7252197265625</v>
      </c>
      <c r="Z335" s="26">
        <f t="shared" si="449"/>
        <v>80.40888954351756</v>
      </c>
      <c r="AA335" s="26">
        <f t="shared" si="532"/>
        <v>0</v>
      </c>
      <c r="AB335" s="33">
        <f t="shared" si="446"/>
        <v>0</v>
      </c>
    </row>
    <row r="336" spans="1:28" x14ac:dyDescent="0.3">
      <c r="A336" s="32">
        <f>VLOOKUP(YEAR(C336),Flags!$A$13:$B$95,2,FALSE)</f>
        <v>2</v>
      </c>
      <c r="B336" s="24">
        <f t="shared" si="535"/>
        <v>1957</v>
      </c>
      <c r="C336" s="25">
        <v>21154</v>
      </c>
      <c r="D336" s="26"/>
      <c r="E336" s="24"/>
      <c r="F336" s="26"/>
      <c r="G336" s="26"/>
      <c r="H336" s="26"/>
      <c r="I336" s="26"/>
      <c r="J336" s="26"/>
      <c r="K336" s="26"/>
      <c r="L336" s="24"/>
      <c r="M336" s="24"/>
      <c r="N336" s="26"/>
      <c r="O336" s="26"/>
      <c r="P336" s="26"/>
      <c r="Q336" s="26"/>
      <c r="R336" s="26"/>
      <c r="S336" s="26"/>
      <c r="T336" s="26"/>
      <c r="U336" s="26"/>
      <c r="V336" s="26"/>
      <c r="W336" s="26">
        <f>MAX($C$10-VLOOKUP($C336,COS!$B$8:$H$991,3,FALSE),0)</f>
        <v>0</v>
      </c>
      <c r="X336" s="26">
        <f t="shared" si="448"/>
        <v>0</v>
      </c>
      <c r="Y336" s="26">
        <f>VLOOKUP($C336,COS!$B$8:$H$991,4,FALSE)</f>
        <v>2291.82421875</v>
      </c>
      <c r="Z336" s="26">
        <f t="shared" si="449"/>
        <v>136.37301136363635</v>
      </c>
      <c r="AA336" s="26">
        <f t="shared" si="532"/>
        <v>0</v>
      </c>
      <c r="AB336" s="33">
        <f t="shared" si="446"/>
        <v>0</v>
      </c>
    </row>
    <row r="337" spans="1:28" x14ac:dyDescent="0.3">
      <c r="A337" s="34">
        <f>VLOOKUP(YEAR(C337),Flags!$A$13:$B$95,2,FALSE)</f>
        <v>2</v>
      </c>
      <c r="B337" s="35">
        <f t="shared" si="535"/>
        <v>1957</v>
      </c>
      <c r="C337" s="36">
        <v>21185</v>
      </c>
      <c r="D337" s="37"/>
      <c r="E337" s="35"/>
      <c r="F337" s="37"/>
      <c r="G337" s="37"/>
      <c r="H337" s="37"/>
      <c r="I337" s="37"/>
      <c r="J337" s="37"/>
      <c r="K337" s="37"/>
      <c r="L337" s="35"/>
      <c r="M337" s="35"/>
      <c r="N337" s="37"/>
      <c r="O337" s="37"/>
      <c r="P337" s="37"/>
      <c r="Q337" s="37"/>
      <c r="R337" s="37"/>
      <c r="S337" s="37"/>
      <c r="T337" s="37"/>
      <c r="U337" s="37"/>
      <c r="V337" s="37"/>
      <c r="W337" s="37">
        <f>MAX($C$11-VLOOKUP($C337,COS!$B$8:$H$991,3,FALSE),0)</f>
        <v>0</v>
      </c>
      <c r="X337" s="37">
        <f t="shared" si="448"/>
        <v>0</v>
      </c>
      <c r="Y337" s="37">
        <f>VLOOKUP($C337,COS!$B$8:$H$991,4,FALSE)</f>
        <v>0</v>
      </c>
      <c r="Z337" s="37">
        <f t="shared" si="449"/>
        <v>0</v>
      </c>
      <c r="AA337" s="37">
        <f t="shared" si="532"/>
        <v>0</v>
      </c>
      <c r="AB337" s="38">
        <f t="shared" si="446"/>
        <v>0</v>
      </c>
    </row>
    <row r="338" spans="1:28" x14ac:dyDescent="0.3">
      <c r="A338" s="27">
        <f>VLOOKUP(YEAR(C338),Flags!$A$13:$B$95,2,FALSE)</f>
        <v>1</v>
      </c>
      <c r="B338" s="28">
        <f t="shared" si="535"/>
        <v>1958</v>
      </c>
      <c r="C338" s="29">
        <v>21305</v>
      </c>
      <c r="D338" s="30">
        <f>VLOOKUP($C338,COS!$B$8:$H$991,3,FALSE)</f>
        <v>11542.2392578125</v>
      </c>
      <c r="E338" s="28">
        <f>IF(D338&gt;=IF(MONTH($C338)=4,$C$3,IF(MONTH($C338)=5,$C$4,IF(MONTH($C338)=6,$C$5,IF(MONTH($C338)=7,$C$6,"ERROR")))),1,0)</f>
        <v>1</v>
      </c>
      <c r="F338" s="30">
        <f>VLOOKUP($C338,COS!$B$8:$H$991,7,FALSE)</f>
        <v>47.772865295410156</v>
      </c>
      <c r="G338" s="28">
        <f>IF(F338&lt;=IF(MONTH($C338)=4,$F$3,IF(MONTH($C338)=5,$F$4,IF(MONTH($C338)=6,$F$5,IF(MONTH($C338)=7,$F$6,"ERROR")))),1,0)</f>
        <v>1</v>
      </c>
      <c r="H338" s="30">
        <f>IF(J338=1,D338-$C$3,0)</f>
        <v>5542.2392578125</v>
      </c>
      <c r="I338" s="30">
        <f t="shared" si="450"/>
        <v>329.78613765495868</v>
      </c>
      <c r="J338" s="28">
        <f t="shared" ref="J338:J341" si="536">IF(AND(E338=1,G338=1),1,0)</f>
        <v>1</v>
      </c>
      <c r="K338" s="30">
        <f>VLOOKUP($C338,COS!$B$8:$H$991,2,FALSE)</f>
        <v>4173</v>
      </c>
      <c r="L338" s="28">
        <f t="shared" ref="L338:L395" si="537">IF(K338&lt;=IF(MONTH($C338)=4,$I$3,IF(MONTH($C338)=5,$I$4,IF(MONTH($C338)=6,$I$5,IF(MONTH($C338)=7,$I$6,"ERROR")))),1,0)</f>
        <v>1</v>
      </c>
      <c r="M338" s="28">
        <f t="shared" ref="M338:M395" si="538">VLOOKUP($A338,$L$3:$M$7,2,FALSE)</f>
        <v>0</v>
      </c>
      <c r="N338" s="30">
        <f>VLOOKUP($C338,COS!$B$8:$H$991,5,FALSE)</f>
        <v>28.527523040771484</v>
      </c>
      <c r="O338" s="30">
        <f t="shared" ref="O338:O341" si="539">N338*DAY($C338)*86400/43560/1000</f>
        <v>1.6975055032525181</v>
      </c>
      <c r="P338" s="30">
        <f>VLOOKUP($C338,COS!$B$8:$H$991,6,FALSE)</f>
        <v>286.142822265625</v>
      </c>
      <c r="Q338" s="30">
        <f t="shared" ref="Q338:Q341" si="540">P338*DAY($C338)*86400/43560/1000</f>
        <v>17.026680333161156</v>
      </c>
      <c r="R338" s="30">
        <f>MIN(IF(MONTH($C338)=4,$S$3,IF(MONTH($C338)=5,$S$4,IF(MONTH($C338)=6,$S$5,IF(MONTH($C338)=7,$S$6,"ERROR")))),MAX(VLOOKUP($C338,COS!$B$8:$K$991,10,FALSE)-IF(MONTH($C338)=4,$Y$3,IF(MONTH($C338)=5,$Y$4,IF(MONTH($C338)=6,$Y$5,IF(MONTH($C338)=7,$Y$6,"ERROR")))),0),MAX(VLOOKUP($C338,COS!$B$8:$K$991,9,FALSE)-IF(MONTH($C338)=4,$V$3,IF(MONTH($C338)=5,$V$4,IF(MONTH($C338)=6,$V$5,IF(MONTH($C338)=7,$V$6,"ERROR"))))-VLOOKUP($C338,COS!$B$8:$K$991,6,FALSE)/2,0))</f>
        <v>1500</v>
      </c>
      <c r="S338" s="30">
        <f t="shared" ref="S338:S341" si="541">R338*DAY($C338)*86400/43560/1000</f>
        <v>89.256198347107429</v>
      </c>
      <c r="T338" s="30">
        <f t="shared" ref="T338:T341" si="542">(O338+Q338)/2+S338</f>
        <v>98.618291265314269</v>
      </c>
      <c r="U338" s="30" t="str">
        <f>IF(VLOOKUP($C338,COS!$B$8:$I$991,8,FALSE)=1,"UWFE","IBU")</f>
        <v>UWFE</v>
      </c>
      <c r="V338" s="30">
        <f t="shared" ref="V338" si="543">MIN(IF(IF($AA$3=2,AND(E338=1,G338=1,L338=1,L343=1,M338=1,U338="IBU"),AND(E338=1,G338=1,L338=1,L343=1,M338=1)),T338,0),I338)</f>
        <v>0</v>
      </c>
      <c r="W338" s="30"/>
      <c r="X338" s="30"/>
      <c r="Y338" s="30"/>
      <c r="Z338" s="30"/>
      <c r="AA338" s="30"/>
      <c r="AB338" s="31"/>
    </row>
    <row r="339" spans="1:28" x14ac:dyDescent="0.3">
      <c r="A339" s="32">
        <f>VLOOKUP(YEAR(C339),Flags!$A$13:$B$95,2,FALSE)</f>
        <v>1</v>
      </c>
      <c r="B339" s="24">
        <f t="shared" si="535"/>
        <v>1958</v>
      </c>
      <c r="C339" s="25">
        <v>21336</v>
      </c>
      <c r="D339" s="26">
        <f>VLOOKUP($C339,COS!$B$8:$H$991,3,FALSE)</f>
        <v>6985.326171875</v>
      </c>
      <c r="E339" s="24">
        <f>IF(D339&gt;=IF(MONTH($C339)=4,$C$3,IF(MONTH($C339)=5,$C$4,IF(MONTH($C339)=6,$C$5,IF(MONTH($C339)=7,$C$6,"ERROR")))),1,0)</f>
        <v>1</v>
      </c>
      <c r="F339" s="26">
        <f>VLOOKUP($C339,COS!$B$8:$H$991,7,FALSE)</f>
        <v>51.385059356689453</v>
      </c>
      <c r="G339" s="24">
        <f>IF(F339&lt;=IF(MONTH($C339)=4,$F$3,IF(MONTH($C339)=5,$F$4,IF(MONTH($C339)=6,$F$5,IF(MONTH($C339)=7,$F$6,"ERROR")))),1,0)</f>
        <v>1</v>
      </c>
      <c r="H339" s="26">
        <f>IF(J339=1,D339-$C$4,0)</f>
        <v>985.326171875</v>
      </c>
      <c r="I339" s="26">
        <f t="shared" si="450"/>
        <v>60.585344783057849</v>
      </c>
      <c r="J339" s="24">
        <f t="shared" si="536"/>
        <v>1</v>
      </c>
      <c r="K339" s="26">
        <f>VLOOKUP($C339,COS!$B$8:$H$991,2,FALSE)</f>
        <v>4552</v>
      </c>
      <c r="L339" s="24">
        <f t="shared" si="537"/>
        <v>1</v>
      </c>
      <c r="M339" s="24">
        <f t="shared" si="538"/>
        <v>0</v>
      </c>
      <c r="N339" s="26">
        <f>VLOOKUP($C339,COS!$B$8:$H$991,5,FALSE)</f>
        <v>454.28439331054688</v>
      </c>
      <c r="O339" s="26">
        <f t="shared" si="539"/>
        <v>27.932858563888171</v>
      </c>
      <c r="P339" s="26">
        <f>VLOOKUP($C339,COS!$B$8:$H$991,6,FALSE)</f>
        <v>1943.7978515625</v>
      </c>
      <c r="Q339" s="26">
        <f t="shared" si="540"/>
        <v>119.5194712035124</v>
      </c>
      <c r="R339" s="26">
        <f>MIN(IF(MONTH($C339)=4,$S$3,IF(MONTH($C339)=5,$S$4,IF(MONTH($C339)=6,$S$5,IF(MONTH($C339)=7,$S$6,"ERROR")))),MAX(VLOOKUP($C339,COS!$B$8:$K$991,10,FALSE)-IF(MONTH($C339)=4,$Y$3,IF(MONTH($C339)=5,$Y$4,IF(MONTH($C339)=6,$Y$5,IF(MONTH($C339)=7,$Y$6,"ERROR")))),0),MAX(VLOOKUP($C339,COS!$B$8:$K$991,9,FALSE)-IF(MONTH($C339)=4,$V$3,IF(MONTH($C339)=5,$V$4,IF(MONTH($C339)=6,$V$5,IF(MONTH($C339)=7,$V$6,"ERROR"))))-VLOOKUP($C339,COS!$B$8:$K$991,6,FALSE)/2,0))</f>
        <v>1500</v>
      </c>
      <c r="S339" s="26">
        <f t="shared" si="541"/>
        <v>92.231404958677686</v>
      </c>
      <c r="T339" s="26">
        <f t="shared" si="542"/>
        <v>165.95756984237795</v>
      </c>
      <c r="U339" s="26" t="str">
        <f>IF(VLOOKUP($C339,COS!$B$8:$I$991,8,FALSE)=1,"UWFE","IBU")</f>
        <v>UWFE</v>
      </c>
      <c r="V339" s="26">
        <f t="shared" ref="V339" si="544">MIN(IF(IF($AA$3=2,AND(E339=1,G339=1,L339=1,L343=1,M339=1,U339="IBU"),AND(E339=1,G339=1,L339=1,L343=1,M339=1)),T339,0),I339)</f>
        <v>0</v>
      </c>
      <c r="W339" s="26"/>
      <c r="X339" s="26"/>
      <c r="Y339" s="26"/>
      <c r="Z339" s="26"/>
      <c r="AA339" s="26"/>
      <c r="AB339" s="33"/>
    </row>
    <row r="340" spans="1:28" x14ac:dyDescent="0.3">
      <c r="A340" s="32">
        <f>VLOOKUP(YEAR(C340),Flags!$A$13:$B$95,2,FALSE)</f>
        <v>1</v>
      </c>
      <c r="B340" s="24">
        <f t="shared" si="535"/>
        <v>1958</v>
      </c>
      <c r="C340" s="25">
        <v>21366</v>
      </c>
      <c r="D340" s="26">
        <f>VLOOKUP($C340,COS!$B$8:$H$991,3,FALSE)</f>
        <v>8232.15234375</v>
      </c>
      <c r="E340" s="24">
        <f>IF(D340&gt;=IF(MONTH($C340)=4,$C$3,IF(MONTH($C340)=5,$C$4,IF(MONTH($C340)=6,$C$5,IF(MONTH($C340)=7,$C$6,"ERROR")))),1,0)</f>
        <v>0</v>
      </c>
      <c r="F340" s="26">
        <f>VLOOKUP($C340,COS!$B$8:$H$991,7,FALSE)</f>
        <v>51.681552886962891</v>
      </c>
      <c r="G340" s="24">
        <f>IF(F340&lt;=IF(MONTH($C340)=4,$F$3,IF(MONTH($C340)=5,$F$4,IF(MONTH($C340)=6,$F$5,IF(MONTH($C340)=7,$F$6,"ERROR")))),1,0)</f>
        <v>1</v>
      </c>
      <c r="H340" s="26">
        <f>IF(J340=1,D340-$C$5,0)</f>
        <v>0</v>
      </c>
      <c r="I340" s="26">
        <f t="shared" si="450"/>
        <v>0</v>
      </c>
      <c r="J340" s="24">
        <f t="shared" si="536"/>
        <v>0</v>
      </c>
      <c r="K340" s="26">
        <f>VLOOKUP($C340,COS!$B$8:$H$991,2,FALSE)</f>
        <v>4500</v>
      </c>
      <c r="L340" s="24">
        <f t="shared" si="537"/>
        <v>1</v>
      </c>
      <c r="M340" s="24">
        <f t="shared" si="538"/>
        <v>0</v>
      </c>
      <c r="N340" s="26">
        <f>VLOOKUP($C340,COS!$B$8:$H$991,5,FALSE)</f>
        <v>1154.1927490234375</v>
      </c>
      <c r="O340" s="26">
        <f t="shared" si="539"/>
        <v>68.679237958419421</v>
      </c>
      <c r="P340" s="26">
        <f>VLOOKUP($C340,COS!$B$8:$H$991,6,FALSE)</f>
        <v>2269.72607421875</v>
      </c>
      <c r="Q340" s="26">
        <f t="shared" si="540"/>
        <v>135.05808044938016</v>
      </c>
      <c r="R340" s="26">
        <f>MIN(IF(MONTH($C340)=4,$S$3,IF(MONTH($C340)=5,$S$4,IF(MONTH($C340)=6,$S$5,IF(MONTH($C340)=7,$S$6,"ERROR")))),MAX(VLOOKUP($C340,COS!$B$8:$K$991,10,FALSE)-IF(MONTH($C340)=4,$Y$3,IF(MONTH($C340)=5,$Y$4,IF(MONTH($C340)=6,$Y$5,IF(MONTH($C340)=7,$Y$6,"ERROR")))),0),MAX(VLOOKUP($C340,COS!$B$8:$K$991,9,FALSE)-IF(MONTH($C340)=4,$V$3,IF(MONTH($C340)=5,$V$4,IF(MONTH($C340)=6,$V$5,IF(MONTH($C340)=7,$V$6,"ERROR"))))-VLOOKUP($C340,COS!$B$8:$K$991,6,FALSE)/2,0))</f>
        <v>1500</v>
      </c>
      <c r="S340" s="26">
        <f t="shared" si="541"/>
        <v>89.256198347107429</v>
      </c>
      <c r="T340" s="26">
        <f t="shared" si="542"/>
        <v>191.12485755100721</v>
      </c>
      <c r="U340" s="26" t="str">
        <f>IF(VLOOKUP($C340,COS!$B$8:$I$991,8,FALSE)=1,"UWFE","IBU")</f>
        <v>UWFE</v>
      </c>
      <c r="V340" s="26">
        <f t="shared" ref="V340" si="545">MIN(IF(IF($AA$3=2,AND(E340=1,G340=1,L340=1,L343=1,M340=1,U340="IBU"),AND(E340=1,G340=1,L340=1,L343=1,M340=1)),T340,0),I340)</f>
        <v>0</v>
      </c>
      <c r="W340" s="26"/>
      <c r="X340" s="26"/>
      <c r="Y340" s="26"/>
      <c r="Z340" s="26"/>
      <c r="AA340" s="26"/>
      <c r="AB340" s="33"/>
    </row>
    <row r="341" spans="1:28" x14ac:dyDescent="0.3">
      <c r="A341" s="32">
        <f>VLOOKUP(YEAR(C341),Flags!$A$13:$B$95,2,FALSE)</f>
        <v>1</v>
      </c>
      <c r="B341" s="24">
        <f t="shared" si="535"/>
        <v>1958</v>
      </c>
      <c r="C341" s="25">
        <v>21397</v>
      </c>
      <c r="D341" s="26">
        <f>VLOOKUP($C341,COS!$B$8:$H$991,3,FALSE)</f>
        <v>12357.0048828125</v>
      </c>
      <c r="E341" s="24">
        <f>IF(D341&gt;=IF(MONTH($C341)=4,$C$3,IF(MONTH($C341)=5,$C$4,IF(MONTH($C341)=6,$C$5,IF(MONTH($C341)=7,$C$6,"ERROR")))),1,0)</f>
        <v>1</v>
      </c>
      <c r="F341" s="26">
        <f>VLOOKUP($C341,COS!$B$8:$H$991,7,FALSE)</f>
        <v>52.224693298339844</v>
      </c>
      <c r="G341" s="24">
        <f>IF(F341&lt;=IF(MONTH($C341)=4,$F$3,IF(MONTH($C341)=5,$F$4,IF(MONTH($C341)=6,$F$5,IF(MONTH($C341)=7,$F$6,"ERROR")))),1,0)</f>
        <v>1</v>
      </c>
      <c r="H341" s="26">
        <f>IF(J341=1,D341-$C$6,0)</f>
        <v>357.0048828125</v>
      </c>
      <c r="I341" s="26">
        <f t="shared" si="450"/>
        <v>21.951374612603306</v>
      </c>
      <c r="J341" s="24">
        <f t="shared" si="536"/>
        <v>1</v>
      </c>
      <c r="K341" s="26">
        <f>VLOOKUP($C341,COS!$B$8:$H$991,2,FALSE)</f>
        <v>4105.73681640625</v>
      </c>
      <c r="L341" s="24">
        <f t="shared" si="537"/>
        <v>1</v>
      </c>
      <c r="M341" s="24">
        <f t="shared" si="538"/>
        <v>0</v>
      </c>
      <c r="N341" s="26">
        <f>VLOOKUP($C341,COS!$B$8:$H$991,5,FALSE)</f>
        <v>1329.9095458984375</v>
      </c>
      <c r="O341" s="26">
        <f t="shared" si="539"/>
        <v>81.772950590779956</v>
      </c>
      <c r="P341" s="26">
        <f>VLOOKUP($C341,COS!$B$8:$H$991,6,FALSE)</f>
        <v>2552.21142578125</v>
      </c>
      <c r="Q341" s="26">
        <f t="shared" si="540"/>
        <v>156.92936370092974</v>
      </c>
      <c r="R341" s="26">
        <f>MIN(IF(MONTH($C341)=4,$S$3,IF(MONTH($C341)=5,$S$4,IF(MONTH($C341)=6,$S$5,IF(MONTH($C341)=7,$S$6,"ERROR")))),MAX(VLOOKUP($C341,COS!$B$8:$K$991,10,FALSE)-IF(MONTH($C341)=4,$Y$3,IF(MONTH($C341)=5,$Y$4,IF(MONTH($C341)=6,$Y$5,IF(MONTH($C341)=7,$Y$6,"ERROR")))),0),MAX(VLOOKUP($C341,COS!$B$8:$K$991,9,FALSE)-IF(MONTH($C341)=4,$V$3,IF(MONTH($C341)=5,$V$4,IF(MONTH($C341)=6,$V$5,IF(MONTH($C341)=7,$V$6,"ERROR"))))-VLOOKUP($C341,COS!$B$8:$K$991,6,FALSE)/2,0))</f>
        <v>1500</v>
      </c>
      <c r="S341" s="26">
        <f t="shared" si="541"/>
        <v>92.231404958677686</v>
      </c>
      <c r="T341" s="26">
        <f t="shared" si="542"/>
        <v>211.58256210453254</v>
      </c>
      <c r="U341" s="26" t="str">
        <f>IF(VLOOKUP($C341,COS!$B$8:$I$991,8,FALSE)=1,"UWFE","IBU")</f>
        <v>IBU</v>
      </c>
      <c r="V341" s="26">
        <f t="shared" ref="V341" si="546">MIN(IF(IF($AA$3=2,AND(E341=1,G341=1,L341=1,L343=1,M341=1,U341="IBU"),AND(E341=1,G341=1,L341=1,L343=1,M341=1)),T341,0),I341)</f>
        <v>0</v>
      </c>
      <c r="W341" s="26"/>
      <c r="X341" s="26"/>
      <c r="Y341" s="26"/>
      <c r="Z341" s="26"/>
      <c r="AA341" s="26"/>
      <c r="AB341" s="33"/>
    </row>
    <row r="342" spans="1:28" x14ac:dyDescent="0.3">
      <c r="A342" s="32">
        <f>VLOOKUP(YEAR(C342),Flags!$A$13:$B$95,2,FALSE)</f>
        <v>1</v>
      </c>
      <c r="B342" s="24">
        <f t="shared" si="535"/>
        <v>1958</v>
      </c>
      <c r="C342" s="25">
        <v>21428</v>
      </c>
      <c r="D342" s="26"/>
      <c r="E342" s="24"/>
      <c r="F342" s="26"/>
      <c r="G342" s="24"/>
      <c r="H342" s="24"/>
      <c r="I342" s="26"/>
      <c r="J342" s="24"/>
      <c r="K342" s="26"/>
      <c r="L342" s="24"/>
      <c r="M342" s="24"/>
      <c r="N342" s="26"/>
      <c r="O342" s="26"/>
      <c r="P342" s="26"/>
      <c r="Q342" s="26"/>
      <c r="R342" s="26"/>
      <c r="S342" s="26"/>
      <c r="T342" s="26"/>
      <c r="U342" s="26"/>
      <c r="V342" s="26"/>
      <c r="W342" s="26">
        <f>MAX($C$7-VLOOKUP($C342,COS!$B$8:$H$991,3,FALSE),0)</f>
        <v>0</v>
      </c>
      <c r="X342" s="26">
        <f t="shared" si="448"/>
        <v>0</v>
      </c>
      <c r="Y342" s="26">
        <f>VLOOKUP($C342,COS!$B$8:$H$991,4,FALSE)</f>
        <v>0</v>
      </c>
      <c r="Z342" s="26">
        <f t="shared" si="449"/>
        <v>0</v>
      </c>
      <c r="AA342" s="26">
        <f t="shared" ref="AA342:AA346" si="547">MIN(W342,Y342)</f>
        <v>0</v>
      </c>
      <c r="AB342" s="33">
        <f t="shared" ref="AB342:AB400" si="548">AA342*DAY($C342)*86400/43560/1000*IF(MONTH($C342)=8,$P$3,IF(MONTH($C342)=9,$P$4,IF(MONTH($C342)=10,$P$5,IF(MONTH($C342)=11,$P$6,IF(MONTH($C342)=12,$P$7,NA())))))</f>
        <v>0</v>
      </c>
    </row>
    <row r="343" spans="1:28" x14ac:dyDescent="0.3">
      <c r="A343" s="32">
        <f>VLOOKUP(YEAR(C343),Flags!$A$13:$B$95,2,FALSE)</f>
        <v>1</v>
      </c>
      <c r="B343" s="24">
        <f t="shared" si="535"/>
        <v>1958</v>
      </c>
      <c r="C343" s="25">
        <v>21458</v>
      </c>
      <c r="D343" s="26"/>
      <c r="E343" s="24"/>
      <c r="F343" s="26"/>
      <c r="G343" s="24"/>
      <c r="H343" s="24"/>
      <c r="I343" s="26"/>
      <c r="J343" s="24"/>
      <c r="K343" s="26">
        <f>VLOOKUP($C343,COS!$B$8:$H$991,2,FALSE)</f>
        <v>3174.58203125</v>
      </c>
      <c r="L343" s="24">
        <f t="shared" ref="L343" si="549">IF(AND(K343&gt;$I$7,K343&lt;$I$8),1,0)</f>
        <v>1</v>
      </c>
      <c r="M343" s="24"/>
      <c r="N343" s="26"/>
      <c r="O343" s="26"/>
      <c r="P343" s="26"/>
      <c r="Q343" s="26"/>
      <c r="R343" s="26"/>
      <c r="S343" s="26"/>
      <c r="T343" s="26"/>
      <c r="U343" s="26"/>
      <c r="V343" s="26"/>
      <c r="W343" s="26">
        <f>MAX($C$8-VLOOKUP($C343,COS!$B$8:$H$991,3,FALSE),0)</f>
        <v>0</v>
      </c>
      <c r="X343" s="26">
        <f t="shared" si="448"/>
        <v>0</v>
      </c>
      <c r="Y343" s="26">
        <f>VLOOKUP($C343,COS!$B$8:$H$991,4,FALSE)</f>
        <v>0</v>
      </c>
      <c r="Z343" s="26">
        <f t="shared" si="449"/>
        <v>0</v>
      </c>
      <c r="AA343" s="26">
        <f t="shared" si="547"/>
        <v>0</v>
      </c>
      <c r="AB343" s="33">
        <f t="shared" si="548"/>
        <v>0</v>
      </c>
    </row>
    <row r="344" spans="1:28" x14ac:dyDescent="0.3">
      <c r="A344" s="32">
        <f>VLOOKUP(YEAR(C344),Flags!$A$13:$B$95,2,FALSE)</f>
        <v>1</v>
      </c>
      <c r="B344" s="24">
        <f t="shared" si="535"/>
        <v>1958</v>
      </c>
      <c r="C344" s="25">
        <v>21489</v>
      </c>
      <c r="D344" s="26"/>
      <c r="E344" s="24"/>
      <c r="F344" s="26"/>
      <c r="G344" s="26"/>
      <c r="H344" s="26"/>
      <c r="I344" s="26"/>
      <c r="J344" s="26"/>
      <c r="K344" s="26"/>
      <c r="L344" s="24"/>
      <c r="M344" s="24"/>
      <c r="N344" s="26"/>
      <c r="O344" s="26"/>
      <c r="P344" s="26"/>
      <c r="Q344" s="26"/>
      <c r="R344" s="26"/>
      <c r="S344" s="26"/>
      <c r="T344" s="26"/>
      <c r="U344" s="26"/>
      <c r="V344" s="26"/>
      <c r="W344" s="26">
        <f>MAX($C$9-VLOOKUP($C344,COS!$B$8:$H$991,3,FALSE),0)</f>
        <v>0</v>
      </c>
      <c r="X344" s="26">
        <f t="shared" si="448"/>
        <v>0</v>
      </c>
      <c r="Y344" s="26">
        <f>VLOOKUP($C344,COS!$B$8:$H$991,4,FALSE)</f>
        <v>50.698928833007813</v>
      </c>
      <c r="Z344" s="26">
        <f t="shared" si="449"/>
        <v>3.117355624112216</v>
      </c>
      <c r="AA344" s="26">
        <f t="shared" si="547"/>
        <v>0</v>
      </c>
      <c r="AB344" s="33">
        <f t="shared" si="548"/>
        <v>0</v>
      </c>
    </row>
    <row r="345" spans="1:28" x14ac:dyDescent="0.3">
      <c r="A345" s="32">
        <f>VLOOKUP(YEAR(C345),Flags!$A$13:$B$95,2,FALSE)</f>
        <v>1</v>
      </c>
      <c r="B345" s="24">
        <f t="shared" si="535"/>
        <v>1958</v>
      </c>
      <c r="C345" s="25">
        <v>21519</v>
      </c>
      <c r="D345" s="26"/>
      <c r="E345" s="24"/>
      <c r="F345" s="26"/>
      <c r="G345" s="26"/>
      <c r="H345" s="26"/>
      <c r="I345" s="26"/>
      <c r="J345" s="26"/>
      <c r="K345" s="26"/>
      <c r="L345" s="24"/>
      <c r="M345" s="24"/>
      <c r="N345" s="26"/>
      <c r="O345" s="26"/>
      <c r="P345" s="26"/>
      <c r="Q345" s="26"/>
      <c r="R345" s="26"/>
      <c r="S345" s="26"/>
      <c r="T345" s="26"/>
      <c r="U345" s="26"/>
      <c r="V345" s="26"/>
      <c r="W345" s="26">
        <f>MAX($C$10-VLOOKUP($C345,COS!$B$8:$H$991,3,FALSE),0)</f>
        <v>0</v>
      </c>
      <c r="X345" s="26">
        <f t="shared" si="448"/>
        <v>0</v>
      </c>
      <c r="Y345" s="26">
        <f>VLOOKUP($C345,COS!$B$8:$H$991,4,FALSE)</f>
        <v>1516.7578125</v>
      </c>
      <c r="Z345" s="26">
        <f t="shared" si="449"/>
        <v>90.253357438016522</v>
      </c>
      <c r="AA345" s="26">
        <f t="shared" si="547"/>
        <v>0</v>
      </c>
      <c r="AB345" s="33">
        <f t="shared" si="548"/>
        <v>0</v>
      </c>
    </row>
    <row r="346" spans="1:28" x14ac:dyDescent="0.3">
      <c r="A346" s="34">
        <f>VLOOKUP(YEAR(C346),Flags!$A$13:$B$95,2,FALSE)</f>
        <v>1</v>
      </c>
      <c r="B346" s="35">
        <f t="shared" si="535"/>
        <v>1958</v>
      </c>
      <c r="C346" s="36">
        <v>21550</v>
      </c>
      <c r="D346" s="37"/>
      <c r="E346" s="35"/>
      <c r="F346" s="37"/>
      <c r="G346" s="37"/>
      <c r="H346" s="37"/>
      <c r="I346" s="37"/>
      <c r="J346" s="37"/>
      <c r="K346" s="37"/>
      <c r="L346" s="35"/>
      <c r="M346" s="35"/>
      <c r="N346" s="37"/>
      <c r="O346" s="37"/>
      <c r="P346" s="37"/>
      <c r="Q346" s="37"/>
      <c r="R346" s="37"/>
      <c r="S346" s="37"/>
      <c r="T346" s="37"/>
      <c r="U346" s="37"/>
      <c r="V346" s="37"/>
      <c r="W346" s="37">
        <f>MAX($C$11-VLOOKUP($C346,COS!$B$8:$H$991,3,FALSE),0)</f>
        <v>41.46142578125</v>
      </c>
      <c r="X346" s="37">
        <f t="shared" si="448"/>
        <v>2.5493637009297521</v>
      </c>
      <c r="Y346" s="37">
        <f>VLOOKUP($C346,COS!$B$8:$H$991,4,FALSE)</f>
        <v>0</v>
      </c>
      <c r="Z346" s="37">
        <f t="shared" si="449"/>
        <v>0</v>
      </c>
      <c r="AA346" s="37">
        <f t="shared" si="547"/>
        <v>0</v>
      </c>
      <c r="AB346" s="38">
        <f t="shared" si="548"/>
        <v>0</v>
      </c>
    </row>
    <row r="347" spans="1:28" x14ac:dyDescent="0.3">
      <c r="A347" s="27">
        <f>VLOOKUP(YEAR(C347),Flags!$A$13:$B$95,2,FALSE)</f>
        <v>3</v>
      </c>
      <c r="B347" s="28">
        <f t="shared" si="535"/>
        <v>1959</v>
      </c>
      <c r="C347" s="29">
        <v>21670</v>
      </c>
      <c r="D347" s="30">
        <f>VLOOKUP($C347,COS!$B$8:$H$991,3,FALSE)</f>
        <v>4176.9140625</v>
      </c>
      <c r="E347" s="28">
        <f>IF(D347&gt;=IF(MONTH($C347)=4,$C$3,IF(MONTH($C347)=5,$C$4,IF(MONTH($C347)=6,$C$5,IF(MONTH($C347)=7,$C$6,"ERROR")))),1,0)</f>
        <v>0</v>
      </c>
      <c r="F347" s="30">
        <f>VLOOKUP($C347,COS!$B$8:$H$991,7,FALSE)</f>
        <v>52.521034240722656</v>
      </c>
      <c r="G347" s="28">
        <f>IF(F347&lt;=IF(MONTH($C347)=4,$F$3,IF(MONTH($C347)=5,$F$4,IF(MONTH($C347)=6,$F$5,IF(MONTH($C347)=7,$F$6,"ERROR")))),1,0)</f>
        <v>1</v>
      </c>
      <c r="H347" s="30">
        <f>IF(J347=1,D347-$C$3,0)</f>
        <v>0</v>
      </c>
      <c r="I347" s="30">
        <f t="shared" si="450"/>
        <v>0</v>
      </c>
      <c r="J347" s="28">
        <f t="shared" ref="J347:J350" si="550">IF(AND(E347=1,G347=1),1,0)</f>
        <v>0</v>
      </c>
      <c r="K347" s="30">
        <f>VLOOKUP($C347,COS!$B$8:$H$991,2,FALSE)</f>
        <v>4402.98779296875</v>
      </c>
      <c r="L347" s="28">
        <f t="shared" ref="L347" si="551">IF(K347&lt;=IF(MONTH($C347)=4,$I$3,IF(MONTH($C347)=5,$I$4,IF(MONTH($C347)=6,$I$5,IF(MONTH($C347)=7,$I$6,"ERROR")))),1,0)</f>
        <v>1</v>
      </c>
      <c r="M347" s="28">
        <f t="shared" ref="M347" si="552">VLOOKUP($A347,$L$3:$M$7,2,FALSE)</f>
        <v>0</v>
      </c>
      <c r="N347" s="30">
        <f>VLOOKUP($C347,COS!$B$8:$H$991,5,FALSE)</f>
        <v>220.10430908203125</v>
      </c>
      <c r="O347" s="30">
        <f t="shared" ref="O347:O350" si="553">N347*DAY($C347)*86400/43560/1000</f>
        <v>13.097115912319216</v>
      </c>
      <c r="P347" s="30">
        <f>VLOOKUP($C347,COS!$B$8:$H$991,6,FALSE)</f>
        <v>554.8544921875</v>
      </c>
      <c r="Q347" s="30">
        <f t="shared" ref="Q347:Q350" si="554">P347*DAY($C347)*86400/43560/1000</f>
        <v>33.01613507231405</v>
      </c>
      <c r="R347" s="30">
        <f>MIN(IF(MONTH($C347)=4,$S$3,IF(MONTH($C347)=5,$S$4,IF(MONTH($C347)=6,$S$5,IF(MONTH($C347)=7,$S$6,"ERROR")))),MAX(VLOOKUP($C347,COS!$B$8:$K$991,10,FALSE)-IF(MONTH($C347)=4,$Y$3,IF(MONTH($C347)=5,$Y$4,IF(MONTH($C347)=6,$Y$5,IF(MONTH($C347)=7,$Y$6,"ERROR")))),0),MAX(VLOOKUP($C347,COS!$B$8:$K$991,9,FALSE)-IF(MONTH($C347)=4,$V$3,IF(MONTH($C347)=5,$V$4,IF(MONTH($C347)=6,$V$5,IF(MONTH($C347)=7,$V$6,"ERROR"))))-VLOOKUP($C347,COS!$B$8:$K$991,6,FALSE)/2,0))</f>
        <v>1474.0966796875</v>
      </c>
      <c r="S347" s="30">
        <f t="shared" ref="S347:S350" si="555">R347*DAY($C347)*86400/43560/1000</f>
        <v>87.71484375</v>
      </c>
      <c r="T347" s="30">
        <f t="shared" ref="T347:T350" si="556">(O347+Q347)/2+S347</f>
        <v>110.77146924231664</v>
      </c>
      <c r="U347" s="30" t="str">
        <f>IF(VLOOKUP($C347,COS!$B$8:$I$991,8,FALSE)=1,"UWFE","IBU")</f>
        <v>UWFE</v>
      </c>
      <c r="V347" s="30">
        <f t="shared" ref="V347" si="557">MIN(IF(IF($AA$3=2,AND(E347=1,G347=1,L347=1,L352=1,M347=1,U347="IBU"),AND(E347=1,G347=1,L347=1,L352=1,M347=1)),T347,0),I347)</f>
        <v>0</v>
      </c>
      <c r="W347" s="30"/>
      <c r="X347" s="30"/>
      <c r="Y347" s="30"/>
      <c r="Z347" s="30"/>
      <c r="AA347" s="30"/>
      <c r="AB347" s="31"/>
    </row>
    <row r="348" spans="1:28" x14ac:dyDescent="0.3">
      <c r="A348" s="32">
        <f>VLOOKUP(YEAR(C348),Flags!$A$13:$B$95,2,FALSE)</f>
        <v>3</v>
      </c>
      <c r="B348" s="24">
        <f t="shared" si="535"/>
        <v>1959</v>
      </c>
      <c r="C348" s="25">
        <v>21701</v>
      </c>
      <c r="D348" s="26">
        <f>VLOOKUP($C348,COS!$B$8:$H$991,3,FALSE)</f>
        <v>8032.080078125</v>
      </c>
      <c r="E348" s="24">
        <f>IF(D348&gt;=IF(MONTH($C348)=4,$C$3,IF(MONTH($C348)=5,$C$4,IF(MONTH($C348)=6,$C$5,IF(MONTH($C348)=7,$C$6,"ERROR")))),1,0)</f>
        <v>1</v>
      </c>
      <c r="F348" s="26">
        <f>VLOOKUP($C348,COS!$B$8:$H$991,7,FALSE)</f>
        <v>51.603923797607422</v>
      </c>
      <c r="G348" s="24">
        <f>IF(F348&lt;=IF(MONTH($C348)=4,$F$3,IF(MONTH($C348)=5,$F$4,IF(MONTH($C348)=6,$F$5,IF(MONTH($C348)=7,$F$6,"ERROR")))),1,0)</f>
        <v>1</v>
      </c>
      <c r="H348" s="26">
        <f>IF(J348=1,D348-$C$4,0)</f>
        <v>2032.080078125</v>
      </c>
      <c r="I348" s="26">
        <f t="shared" ref="I348:I411" si="558">H348*DAY($C348)*86400/43560/1000</f>
        <v>124.94773372933884</v>
      </c>
      <c r="J348" s="24">
        <f t="shared" si="550"/>
        <v>1</v>
      </c>
      <c r="K348" s="26">
        <f>VLOOKUP($C348,COS!$B$8:$H$991,2,FALSE)</f>
        <v>4231.4052734375</v>
      </c>
      <c r="L348" s="24">
        <f t="shared" si="537"/>
        <v>1</v>
      </c>
      <c r="M348" s="24">
        <f t="shared" si="538"/>
        <v>0</v>
      </c>
      <c r="N348" s="26">
        <f>VLOOKUP($C348,COS!$B$8:$H$991,5,FALSE)</f>
        <v>634.8975830078125</v>
      </c>
      <c r="O348" s="26">
        <f t="shared" si="553"/>
        <v>39.03833072378616</v>
      </c>
      <c r="P348" s="26">
        <f>VLOOKUP($C348,COS!$B$8:$H$991,6,FALSE)</f>
        <v>2338.357666015625</v>
      </c>
      <c r="Q348" s="26">
        <f t="shared" si="554"/>
        <v>143.78000855501034</v>
      </c>
      <c r="R348" s="26">
        <f>MIN(IF(MONTH($C348)=4,$S$3,IF(MONTH($C348)=5,$S$4,IF(MONTH($C348)=6,$S$5,IF(MONTH($C348)=7,$S$6,"ERROR")))),MAX(VLOOKUP($C348,COS!$B$8:$K$991,10,FALSE)-IF(MONTH($C348)=4,$Y$3,IF(MONTH($C348)=5,$Y$4,IF(MONTH($C348)=6,$Y$5,IF(MONTH($C348)=7,$Y$6,"ERROR")))),0),MAX(VLOOKUP($C348,COS!$B$8:$K$991,9,FALSE)-IF(MONTH($C348)=4,$V$3,IF(MONTH($C348)=5,$V$4,IF(MONTH($C348)=6,$V$5,IF(MONTH($C348)=7,$V$6,"ERROR"))))-VLOOKUP($C348,COS!$B$8:$K$991,6,FALSE)/2,0))</f>
        <v>1500</v>
      </c>
      <c r="S348" s="26">
        <f t="shared" si="555"/>
        <v>92.231404958677686</v>
      </c>
      <c r="T348" s="26">
        <f t="shared" si="556"/>
        <v>183.64057459807594</v>
      </c>
      <c r="U348" s="26" t="str">
        <f>IF(VLOOKUP($C348,COS!$B$8:$I$991,8,FALSE)=1,"UWFE","IBU")</f>
        <v>UWFE</v>
      </c>
      <c r="V348" s="26">
        <f t="shared" ref="V348" si="559">MIN(IF(IF($AA$3=2,AND(E348=1,G348=1,L348=1,L352=1,M348=1,U348="IBU"),AND(E348=1,G348=1,L348=1,L352=1,M348=1)),T348,0),I348)</f>
        <v>0</v>
      </c>
      <c r="W348" s="26"/>
      <c r="X348" s="26"/>
      <c r="Y348" s="26"/>
      <c r="Z348" s="26"/>
      <c r="AA348" s="26"/>
      <c r="AB348" s="33"/>
    </row>
    <row r="349" spans="1:28" x14ac:dyDescent="0.3">
      <c r="A349" s="32">
        <f>VLOOKUP(YEAR(C349),Flags!$A$13:$B$95,2,FALSE)</f>
        <v>3</v>
      </c>
      <c r="B349" s="24">
        <f t="shared" si="535"/>
        <v>1959</v>
      </c>
      <c r="C349" s="25">
        <v>21731</v>
      </c>
      <c r="D349" s="26">
        <f>VLOOKUP($C349,COS!$B$8:$H$991,3,FALSE)</f>
        <v>12238.9375</v>
      </c>
      <c r="E349" s="24">
        <f>IF(D349&gt;=IF(MONTH($C349)=4,$C$3,IF(MONTH($C349)=5,$C$4,IF(MONTH($C349)=6,$C$5,IF(MONTH($C349)=7,$C$6,"ERROR")))),1,0)</f>
        <v>1</v>
      </c>
      <c r="F349" s="26">
        <f>VLOOKUP($C349,COS!$B$8:$H$991,7,FALSE)</f>
        <v>51.942916870117188</v>
      </c>
      <c r="G349" s="24">
        <f>IF(F349&lt;=IF(MONTH($C349)=4,$F$3,IF(MONTH($C349)=5,$F$4,IF(MONTH($C349)=6,$F$5,IF(MONTH($C349)=7,$F$6,"ERROR")))),1,0)</f>
        <v>1</v>
      </c>
      <c r="H349" s="26">
        <f>IF(J349=1,D349-$C$5,0)</f>
        <v>2238.9375</v>
      </c>
      <c r="I349" s="26">
        <f t="shared" si="558"/>
        <v>133.22603305785125</v>
      </c>
      <c r="J349" s="24">
        <f t="shared" si="550"/>
        <v>1</v>
      </c>
      <c r="K349" s="26">
        <f>VLOOKUP($C349,COS!$B$8:$H$991,2,FALSE)</f>
        <v>3758.05615234375</v>
      </c>
      <c r="L349" s="24">
        <f t="shared" si="537"/>
        <v>1</v>
      </c>
      <c r="M349" s="24">
        <f t="shared" si="538"/>
        <v>0</v>
      </c>
      <c r="N349" s="26">
        <f>VLOOKUP($C349,COS!$B$8:$H$991,5,FALSE)</f>
        <v>756.1251220703125</v>
      </c>
      <c r="O349" s="26">
        <f t="shared" si="553"/>
        <v>44.992569247159089</v>
      </c>
      <c r="P349" s="26">
        <f>VLOOKUP($C349,COS!$B$8:$H$991,6,FALSE)</f>
        <v>2677.335693359375</v>
      </c>
      <c r="Q349" s="26">
        <f t="shared" si="554"/>
        <v>159.31253712551654</v>
      </c>
      <c r="R349" s="26">
        <f>MIN(IF(MONTH($C349)=4,$S$3,IF(MONTH($C349)=5,$S$4,IF(MONTH($C349)=6,$S$5,IF(MONTH($C349)=7,$S$6,"ERROR")))),MAX(VLOOKUP($C349,COS!$B$8:$K$991,10,FALSE)-IF(MONTH($C349)=4,$Y$3,IF(MONTH($C349)=5,$Y$4,IF(MONTH($C349)=6,$Y$5,IF(MONTH($C349)=7,$Y$6,"ERROR")))),0),MAX(VLOOKUP($C349,COS!$B$8:$K$991,9,FALSE)-IF(MONTH($C349)=4,$V$3,IF(MONTH($C349)=5,$V$4,IF(MONTH($C349)=6,$V$5,IF(MONTH($C349)=7,$V$6,"ERROR"))))-VLOOKUP($C349,COS!$B$8:$K$991,6,FALSE)/2,0))</f>
        <v>1500</v>
      </c>
      <c r="S349" s="26">
        <f t="shared" si="555"/>
        <v>89.256198347107429</v>
      </c>
      <c r="T349" s="26">
        <f t="shared" si="556"/>
        <v>191.40875153344524</v>
      </c>
      <c r="U349" s="26" t="str">
        <f>IF(VLOOKUP($C349,COS!$B$8:$I$991,8,FALSE)=1,"UWFE","IBU")</f>
        <v>IBU</v>
      </c>
      <c r="V349" s="26">
        <f t="shared" ref="V349" si="560">MIN(IF(IF($AA$3=2,AND(E349=1,G349=1,L349=1,L352=1,M349=1,U349="IBU"),AND(E349=1,G349=1,L349=1,L352=1,M349=1)),T349,0),I349)</f>
        <v>0</v>
      </c>
      <c r="W349" s="26"/>
      <c r="X349" s="26"/>
      <c r="Y349" s="26"/>
      <c r="Z349" s="26"/>
      <c r="AA349" s="26"/>
      <c r="AB349" s="33"/>
    </row>
    <row r="350" spans="1:28" x14ac:dyDescent="0.3">
      <c r="A350" s="32">
        <f>VLOOKUP(YEAR(C350),Flags!$A$13:$B$95,2,FALSE)</f>
        <v>3</v>
      </c>
      <c r="B350" s="24">
        <f t="shared" si="535"/>
        <v>1959</v>
      </c>
      <c r="C350" s="25">
        <v>21762</v>
      </c>
      <c r="D350" s="26">
        <f>VLOOKUP($C350,COS!$B$8:$H$991,3,FALSE)</f>
        <v>16000</v>
      </c>
      <c r="E350" s="24">
        <f>IF(D350&gt;=IF(MONTH($C350)=4,$C$3,IF(MONTH($C350)=5,$C$4,IF(MONTH($C350)=6,$C$5,IF(MONTH($C350)=7,$C$6,"ERROR")))),1,0)</f>
        <v>1</v>
      </c>
      <c r="F350" s="26">
        <f>VLOOKUP($C350,COS!$B$8:$H$991,7,FALSE)</f>
        <v>52.936290740966797</v>
      </c>
      <c r="G350" s="24">
        <f>IF(F350&lt;=IF(MONTH($C350)=4,$F$3,IF(MONTH($C350)=5,$F$4,IF(MONTH($C350)=6,$F$5,IF(MONTH($C350)=7,$F$6,"ERROR")))),1,0)</f>
        <v>1</v>
      </c>
      <c r="H350" s="26">
        <f>IF(J350=1,D350-$C$6,0)</f>
        <v>4000</v>
      </c>
      <c r="I350" s="26">
        <f t="shared" si="558"/>
        <v>245.95041322314049</v>
      </c>
      <c r="J350" s="24">
        <f t="shared" si="550"/>
        <v>1</v>
      </c>
      <c r="K350" s="26">
        <f>VLOOKUP($C350,COS!$B$8:$H$991,2,FALSE)</f>
        <v>3122.560546875</v>
      </c>
      <c r="L350" s="24">
        <f t="shared" si="537"/>
        <v>1</v>
      </c>
      <c r="M350" s="24">
        <f t="shared" si="538"/>
        <v>0</v>
      </c>
      <c r="N350" s="26">
        <f>VLOOKUP($C350,COS!$B$8:$H$991,5,FALSE)</f>
        <v>824.85052490234375</v>
      </c>
      <c r="O350" s="26">
        <f t="shared" si="553"/>
        <v>50.718081861763942</v>
      </c>
      <c r="P350" s="26">
        <f>VLOOKUP($C350,COS!$B$8:$H$991,6,FALSE)</f>
        <v>2537.385498046875</v>
      </c>
      <c r="Q350" s="26">
        <f t="shared" si="554"/>
        <v>156.01775293775825</v>
      </c>
      <c r="R350" s="26">
        <f>MIN(IF(MONTH($C350)=4,$S$3,IF(MONTH($C350)=5,$S$4,IF(MONTH($C350)=6,$S$5,IF(MONTH($C350)=7,$S$6,"ERROR")))),MAX(VLOOKUP($C350,COS!$B$8:$K$991,10,FALSE)-IF(MONTH($C350)=4,$Y$3,IF(MONTH($C350)=5,$Y$4,IF(MONTH($C350)=6,$Y$5,IF(MONTH($C350)=7,$Y$6,"ERROR")))),0),MAX(VLOOKUP($C350,COS!$B$8:$K$991,9,FALSE)-IF(MONTH($C350)=4,$V$3,IF(MONTH($C350)=5,$V$4,IF(MONTH($C350)=6,$V$5,IF(MONTH($C350)=7,$V$6,"ERROR"))))-VLOOKUP($C350,COS!$B$8:$K$991,6,FALSE)/2,0))</f>
        <v>1500</v>
      </c>
      <c r="S350" s="26">
        <f t="shared" si="555"/>
        <v>92.231404958677686</v>
      </c>
      <c r="T350" s="26">
        <f t="shared" si="556"/>
        <v>195.59932235843877</v>
      </c>
      <c r="U350" s="26" t="str">
        <f>IF(VLOOKUP($C350,COS!$B$8:$I$991,8,FALSE)=1,"UWFE","IBU")</f>
        <v>IBU</v>
      </c>
      <c r="V350" s="26">
        <f t="shared" ref="V350" si="561">MIN(IF(IF($AA$3=2,AND(E350=1,G350=1,L350=1,L352=1,M350=1,U350="IBU"),AND(E350=1,G350=1,L350=1,L352=1,M350=1)),T350,0),I350)</f>
        <v>0</v>
      </c>
      <c r="W350" s="26"/>
      <c r="X350" s="26"/>
      <c r="Y350" s="26"/>
      <c r="Z350" s="26"/>
      <c r="AA350" s="26"/>
      <c r="AB350" s="33"/>
    </row>
    <row r="351" spans="1:28" x14ac:dyDescent="0.3">
      <c r="A351" s="32">
        <f>VLOOKUP(YEAR(C351),Flags!$A$13:$B$95,2,FALSE)</f>
        <v>3</v>
      </c>
      <c r="B351" s="24">
        <f t="shared" si="535"/>
        <v>1959</v>
      </c>
      <c r="C351" s="25">
        <v>21793</v>
      </c>
      <c r="D351" s="26"/>
      <c r="E351" s="24"/>
      <c r="F351" s="26"/>
      <c r="G351" s="24"/>
      <c r="H351" s="24"/>
      <c r="I351" s="26"/>
      <c r="J351" s="24"/>
      <c r="K351" s="26"/>
      <c r="L351" s="24"/>
      <c r="M351" s="24"/>
      <c r="N351" s="26"/>
      <c r="O351" s="26"/>
      <c r="P351" s="26"/>
      <c r="Q351" s="26"/>
      <c r="R351" s="26"/>
      <c r="S351" s="26"/>
      <c r="T351" s="26"/>
      <c r="U351" s="26"/>
      <c r="V351" s="26"/>
      <c r="W351" s="26">
        <f>MAX($C$7-VLOOKUP($C351,COS!$B$8:$H$991,3,FALSE),0)</f>
        <v>0</v>
      </c>
      <c r="X351" s="26">
        <f t="shared" ref="X351:X414" si="562">W351*DAY($C351)*86400/43560/1000</f>
        <v>0</v>
      </c>
      <c r="Y351" s="26">
        <f>VLOOKUP($C351,COS!$B$8:$H$991,4,FALSE)</f>
        <v>580.99884033203125</v>
      </c>
      <c r="Z351" s="26">
        <f t="shared" ref="Z351:Z414" si="563">Y351*DAY($C351)*86400/43560/1000</f>
        <v>35.724226215457129</v>
      </c>
      <c r="AA351" s="26">
        <f t="shared" ref="AA351:AA355" si="564">MIN(W351,Y351)</f>
        <v>0</v>
      </c>
      <c r="AB351" s="33">
        <f t="shared" ref="AB351" si="565">AA351*DAY($C351)*86400/43560/1000*IF(MONTH($C351)=8,$P$3,IF(MONTH($C351)=9,$P$4,IF(MONTH($C351)=10,$P$5,IF(MONTH($C351)=11,$P$6,IF(MONTH($C351)=12,$P$7,NA())))))</f>
        <v>0</v>
      </c>
    </row>
    <row r="352" spans="1:28" x14ac:dyDescent="0.3">
      <c r="A352" s="32">
        <f>VLOOKUP(YEAR(C352),Flags!$A$13:$B$95,2,FALSE)</f>
        <v>3</v>
      </c>
      <c r="B352" s="24">
        <f t="shared" si="535"/>
        <v>1959</v>
      </c>
      <c r="C352" s="25">
        <v>21823</v>
      </c>
      <c r="D352" s="26"/>
      <c r="E352" s="24"/>
      <c r="F352" s="26"/>
      <c r="G352" s="24"/>
      <c r="H352" s="24"/>
      <c r="I352" s="26"/>
      <c r="J352" s="24"/>
      <c r="K352" s="26">
        <f>VLOOKUP($C352,COS!$B$8:$H$991,2,FALSE)</f>
        <v>2777.299560546875</v>
      </c>
      <c r="L352" s="24">
        <f t="shared" ref="L352" si="566">IF(AND(K352&gt;$I$7,K352&lt;$I$8),1,0)</f>
        <v>1</v>
      </c>
      <c r="M352" s="24"/>
      <c r="N352" s="26"/>
      <c r="O352" s="26"/>
      <c r="P352" s="26"/>
      <c r="Q352" s="26"/>
      <c r="R352" s="26"/>
      <c r="S352" s="26"/>
      <c r="T352" s="26"/>
      <c r="U352" s="26"/>
      <c r="V352" s="26"/>
      <c r="W352" s="26">
        <f>MAX($C$8-VLOOKUP($C352,COS!$B$8:$H$991,3,FALSE),0)</f>
        <v>752.353515625</v>
      </c>
      <c r="X352" s="26">
        <f t="shared" si="562"/>
        <v>44.768143078512395</v>
      </c>
      <c r="Y352" s="26">
        <f>VLOOKUP($C352,COS!$B$8:$H$991,4,FALSE)</f>
        <v>162.466064453125</v>
      </c>
      <c r="Z352" s="26">
        <f t="shared" si="563"/>
        <v>9.66740218233471</v>
      </c>
      <c r="AA352" s="26">
        <f t="shared" si="564"/>
        <v>162.466064453125</v>
      </c>
      <c r="AB352" s="33">
        <f t="shared" si="548"/>
        <v>9.66740218233471</v>
      </c>
    </row>
    <row r="353" spans="1:28" x14ac:dyDescent="0.3">
      <c r="A353" s="32">
        <f>VLOOKUP(YEAR(C353),Flags!$A$13:$B$95,2,FALSE)</f>
        <v>3</v>
      </c>
      <c r="B353" s="24">
        <f t="shared" si="535"/>
        <v>1959</v>
      </c>
      <c r="C353" s="25">
        <v>21854</v>
      </c>
      <c r="D353" s="26"/>
      <c r="E353" s="24"/>
      <c r="F353" s="26"/>
      <c r="G353" s="26"/>
      <c r="H353" s="26"/>
      <c r="I353" s="26"/>
      <c r="J353" s="26"/>
      <c r="K353" s="26"/>
      <c r="L353" s="24"/>
      <c r="M353" s="24"/>
      <c r="N353" s="26"/>
      <c r="O353" s="26"/>
      <c r="P353" s="26"/>
      <c r="Q353" s="26"/>
      <c r="R353" s="26"/>
      <c r="S353" s="26"/>
      <c r="T353" s="26"/>
      <c r="U353" s="26"/>
      <c r="V353" s="26"/>
      <c r="W353" s="26">
        <f>MAX($C$9-VLOOKUP($C353,COS!$B$8:$H$991,3,FALSE),0)</f>
        <v>0</v>
      </c>
      <c r="X353" s="26">
        <f t="shared" si="562"/>
        <v>0</v>
      </c>
      <c r="Y353" s="26">
        <f>VLOOKUP($C353,COS!$B$8:$H$991,4,FALSE)</f>
        <v>1540.0111083984375</v>
      </c>
      <c r="Z353" s="26">
        <f t="shared" si="563"/>
        <v>94.691592119705575</v>
      </c>
      <c r="AA353" s="26">
        <f t="shared" si="564"/>
        <v>0</v>
      </c>
      <c r="AB353" s="33">
        <f t="shared" si="548"/>
        <v>0</v>
      </c>
    </row>
    <row r="354" spans="1:28" x14ac:dyDescent="0.3">
      <c r="A354" s="32">
        <f>VLOOKUP(YEAR(C354),Flags!$A$13:$B$95,2,FALSE)</f>
        <v>3</v>
      </c>
      <c r="B354" s="24">
        <f t="shared" si="535"/>
        <v>1959</v>
      </c>
      <c r="C354" s="25">
        <v>21884</v>
      </c>
      <c r="D354" s="26"/>
      <c r="E354" s="24"/>
      <c r="F354" s="26"/>
      <c r="G354" s="26"/>
      <c r="H354" s="26"/>
      <c r="I354" s="26"/>
      <c r="J354" s="26"/>
      <c r="K354" s="26"/>
      <c r="L354" s="24"/>
      <c r="M354" s="24"/>
      <c r="N354" s="26"/>
      <c r="O354" s="26"/>
      <c r="P354" s="26"/>
      <c r="Q354" s="26"/>
      <c r="R354" s="26"/>
      <c r="S354" s="26"/>
      <c r="T354" s="26"/>
      <c r="U354" s="26"/>
      <c r="V354" s="26"/>
      <c r="W354" s="26">
        <f>MAX($C$10-VLOOKUP($C354,COS!$B$8:$H$991,3,FALSE),0)</f>
        <v>0</v>
      </c>
      <c r="X354" s="26">
        <f t="shared" si="562"/>
        <v>0</v>
      </c>
      <c r="Y354" s="26">
        <f>VLOOKUP($C354,COS!$B$8:$H$991,4,FALSE)</f>
        <v>1347.0540771484375</v>
      </c>
      <c r="Z354" s="26">
        <f t="shared" si="563"/>
        <v>80.155283929493805</v>
      </c>
      <c r="AA354" s="26">
        <f t="shared" si="564"/>
        <v>0</v>
      </c>
      <c r="AB354" s="33">
        <f t="shared" si="548"/>
        <v>0</v>
      </c>
    </row>
    <row r="355" spans="1:28" x14ac:dyDescent="0.3">
      <c r="A355" s="34">
        <f>VLOOKUP(YEAR(C355),Flags!$A$13:$B$95,2,FALSE)</f>
        <v>3</v>
      </c>
      <c r="B355" s="35">
        <f t="shared" si="535"/>
        <v>1959</v>
      </c>
      <c r="C355" s="36">
        <v>21915</v>
      </c>
      <c r="D355" s="37"/>
      <c r="E355" s="35"/>
      <c r="F355" s="37"/>
      <c r="G355" s="37"/>
      <c r="H355" s="37"/>
      <c r="I355" s="37"/>
      <c r="J355" s="37"/>
      <c r="K355" s="37"/>
      <c r="L355" s="35"/>
      <c r="M355" s="35"/>
      <c r="N355" s="37"/>
      <c r="O355" s="37"/>
      <c r="P355" s="37"/>
      <c r="Q355" s="37"/>
      <c r="R355" s="37"/>
      <c r="S355" s="37"/>
      <c r="T355" s="37"/>
      <c r="U355" s="37"/>
      <c r="V355" s="37"/>
      <c r="W355" s="37">
        <f>MAX($C$11-VLOOKUP($C355,COS!$B$8:$H$991,3,FALSE),0)</f>
        <v>595.83935546875</v>
      </c>
      <c r="X355" s="37">
        <f t="shared" si="562"/>
        <v>36.636733923037184</v>
      </c>
      <c r="Y355" s="37">
        <f>VLOOKUP($C355,COS!$B$8:$H$991,4,FALSE)</f>
        <v>2025.1993408203125</v>
      </c>
      <c r="Z355" s="37">
        <f t="shared" si="563"/>
        <v>124.52465368349691</v>
      </c>
      <c r="AA355" s="37">
        <f t="shared" si="564"/>
        <v>595.83935546875</v>
      </c>
      <c r="AB355" s="38">
        <f t="shared" si="548"/>
        <v>36.636733923037184</v>
      </c>
    </row>
    <row r="356" spans="1:28" x14ac:dyDescent="0.3">
      <c r="A356" s="27">
        <f>VLOOKUP(YEAR(C356),Flags!$A$13:$B$95,2,FALSE)</f>
        <v>4</v>
      </c>
      <c r="B356" s="28">
        <f t="shared" si="535"/>
        <v>1960</v>
      </c>
      <c r="C356" s="29">
        <v>22036</v>
      </c>
      <c r="D356" s="30">
        <f>VLOOKUP($C356,COS!$B$8:$H$991,3,FALSE)</f>
        <v>7127.0625</v>
      </c>
      <c r="E356" s="28">
        <f>IF(D356&gt;=IF(MONTH($C356)=4,$C$3,IF(MONTH($C356)=5,$C$4,IF(MONTH($C356)=6,$C$5,IF(MONTH($C356)=7,$C$6,"ERROR")))),1,0)</f>
        <v>1</v>
      </c>
      <c r="F356" s="30">
        <f>VLOOKUP($C356,COS!$B$8:$H$991,7,FALSE)</f>
        <v>49.91119384765625</v>
      </c>
      <c r="G356" s="28">
        <f>IF(F356&lt;=IF(MONTH($C356)=4,$F$3,IF(MONTH($C356)=5,$F$4,IF(MONTH($C356)=6,$F$5,IF(MONTH($C356)=7,$F$6,"ERROR")))),1,0)</f>
        <v>1</v>
      </c>
      <c r="H356" s="30">
        <f>IF(J356=1,D356-$C$3,0)</f>
        <v>1127.0625</v>
      </c>
      <c r="I356" s="30">
        <f t="shared" si="558"/>
        <v>67.064876033057857</v>
      </c>
      <c r="J356" s="28">
        <f t="shared" ref="J356:J359" si="567">IF(AND(E356=1,G356=1),1,0)</f>
        <v>1</v>
      </c>
      <c r="K356" s="30">
        <f>VLOOKUP($C356,COS!$B$8:$H$991,2,FALSE)</f>
        <v>4172.98876953125</v>
      </c>
      <c r="L356" s="28">
        <f t="shared" ref="L356" si="568">IF(K356&lt;=IF(MONTH($C356)=4,$I$3,IF(MONTH($C356)=5,$I$4,IF(MONTH($C356)=6,$I$5,IF(MONTH($C356)=7,$I$6,"ERROR")))),1,0)</f>
        <v>1</v>
      </c>
      <c r="M356" s="28">
        <f t="shared" ref="M356" si="569">VLOOKUP($A356,$L$3:$M$7,2,FALSE)</f>
        <v>1</v>
      </c>
      <c r="N356" s="30">
        <f>VLOOKUP($C356,COS!$B$8:$H$991,5,FALSE)</f>
        <v>16.487361907958984</v>
      </c>
      <c r="O356" s="30">
        <f t="shared" ref="O356:O359" si="570">N356*DAY($C356)*86400/43560/1000</f>
        <v>0.98106616311822048</v>
      </c>
      <c r="P356" s="30">
        <f>VLOOKUP($C356,COS!$B$8:$H$991,6,FALSE)</f>
        <v>466.45590209960938</v>
      </c>
      <c r="Q356" s="30">
        <f t="shared" ref="Q356:Q359" si="571">P356*DAY($C356)*86400/43560/1000</f>
        <v>27.756053678654443</v>
      </c>
      <c r="R356" s="30">
        <f>MIN(IF(MONTH($C356)=4,$S$3,IF(MONTH($C356)=5,$S$4,IF(MONTH($C356)=6,$S$5,IF(MONTH($C356)=7,$S$6,"ERROR")))),MAX(VLOOKUP($C356,COS!$B$8:$K$991,10,FALSE)-IF(MONTH($C356)=4,$Y$3,IF(MONTH($C356)=5,$Y$4,IF(MONTH($C356)=6,$Y$5,IF(MONTH($C356)=7,$Y$6,"ERROR")))),0),MAX(VLOOKUP($C356,COS!$B$8:$K$991,9,FALSE)-IF(MONTH($C356)=4,$V$3,IF(MONTH($C356)=5,$V$4,IF(MONTH($C356)=6,$V$5,IF(MONTH($C356)=7,$V$6,"ERROR"))))-VLOOKUP($C356,COS!$B$8:$K$991,6,FALSE)/2,0))</f>
        <v>1500</v>
      </c>
      <c r="S356" s="30">
        <f t="shared" ref="S356:S359" si="572">R356*DAY($C356)*86400/43560/1000</f>
        <v>89.256198347107429</v>
      </c>
      <c r="T356" s="30">
        <f t="shared" ref="T356:T359" si="573">(O356+Q356)/2+S356</f>
        <v>103.62475826799376</v>
      </c>
      <c r="U356" s="30" t="str">
        <f>IF(VLOOKUP($C356,COS!$B$8:$I$991,8,FALSE)=1,"UWFE","IBU")</f>
        <v>UWFE</v>
      </c>
      <c r="V356" s="30">
        <f t="shared" ref="V356" si="574">MIN(IF(IF($AA$3=2,AND(E356=1,G356=1,L356=1,L361=1,M356=1,U356="IBU"),AND(E356=1,G356=1,L356=1,L361=1,M356=1)),T356,0),I356)</f>
        <v>0</v>
      </c>
      <c r="W356" s="30"/>
      <c r="X356" s="30"/>
      <c r="Y356" s="30"/>
      <c r="Z356" s="30"/>
      <c r="AA356" s="30"/>
      <c r="AB356" s="31"/>
    </row>
    <row r="357" spans="1:28" x14ac:dyDescent="0.3">
      <c r="A357" s="32">
        <f>VLOOKUP(YEAR(C357),Flags!$A$13:$B$95,2,FALSE)</f>
        <v>4</v>
      </c>
      <c r="B357" s="24">
        <f t="shared" si="535"/>
        <v>1960</v>
      </c>
      <c r="C357" s="25">
        <v>22067</v>
      </c>
      <c r="D357" s="26">
        <f>VLOOKUP($C357,COS!$B$8:$H$991,3,FALSE)</f>
        <v>4957.14453125</v>
      </c>
      <c r="E357" s="24">
        <f>IF(D357&gt;=IF(MONTH($C357)=4,$C$3,IF(MONTH($C357)=5,$C$4,IF(MONTH($C357)=6,$C$5,IF(MONTH($C357)=7,$C$6,"ERROR")))),1,0)</f>
        <v>0</v>
      </c>
      <c r="F357" s="26">
        <f>VLOOKUP($C357,COS!$B$8:$H$991,7,FALSE)</f>
        <v>52.527271270751953</v>
      </c>
      <c r="G357" s="24">
        <f>IF(F357&lt;=IF(MONTH($C357)=4,$F$3,IF(MONTH($C357)=5,$F$4,IF(MONTH($C357)=6,$F$5,IF(MONTH($C357)=7,$F$6,"ERROR")))),1,0)</f>
        <v>1</v>
      </c>
      <c r="H357" s="26">
        <f>IF(J357=1,D357-$C$4,0)</f>
        <v>0</v>
      </c>
      <c r="I357" s="26">
        <f t="shared" si="558"/>
        <v>0</v>
      </c>
      <c r="J357" s="24">
        <f t="shared" si="567"/>
        <v>0</v>
      </c>
      <c r="K357" s="26">
        <f>VLOOKUP($C357,COS!$B$8:$H$991,2,FALSE)</f>
        <v>4264.8515625</v>
      </c>
      <c r="L357" s="24">
        <f t="shared" si="537"/>
        <v>1</v>
      </c>
      <c r="M357" s="24">
        <f t="shared" si="538"/>
        <v>1</v>
      </c>
      <c r="N357" s="26">
        <f>VLOOKUP($C357,COS!$B$8:$H$991,5,FALSE)</f>
        <v>320.07254028320313</v>
      </c>
      <c r="O357" s="26">
        <f t="shared" si="570"/>
        <v>19.680493386008521</v>
      </c>
      <c r="P357" s="26">
        <f>VLOOKUP($C357,COS!$B$8:$H$991,6,FALSE)</f>
        <v>2099.86279296875</v>
      </c>
      <c r="Q357" s="26">
        <f t="shared" si="571"/>
        <v>129.1155304106405</v>
      </c>
      <c r="R357" s="26">
        <f>MIN(IF(MONTH($C357)=4,$S$3,IF(MONTH($C357)=5,$S$4,IF(MONTH($C357)=6,$S$5,IF(MONTH($C357)=7,$S$6,"ERROR")))),MAX(VLOOKUP($C357,COS!$B$8:$K$991,10,FALSE)-IF(MONTH($C357)=4,$Y$3,IF(MONTH($C357)=5,$Y$4,IF(MONTH($C357)=6,$Y$5,IF(MONTH($C357)=7,$Y$6,"ERROR")))),0),MAX(VLOOKUP($C357,COS!$B$8:$K$991,9,FALSE)-IF(MONTH($C357)=4,$V$3,IF(MONTH($C357)=5,$V$4,IF(MONTH($C357)=6,$V$5,IF(MONTH($C357)=7,$V$6,"ERROR"))))-VLOOKUP($C357,COS!$B$8:$K$991,6,FALSE)/2,0))</f>
        <v>998.0751953125</v>
      </c>
      <c r="S357" s="26">
        <f t="shared" si="572"/>
        <v>61.36925167871901</v>
      </c>
      <c r="T357" s="26">
        <f t="shared" si="573"/>
        <v>135.76726357704354</v>
      </c>
      <c r="U357" s="26" t="str">
        <f>IF(VLOOKUP($C357,COS!$B$8:$I$991,8,FALSE)=1,"UWFE","IBU")</f>
        <v>UWFE</v>
      </c>
      <c r="V357" s="26">
        <f t="shared" ref="V357" si="575">MIN(IF(IF($AA$3=2,AND(E357=1,G357=1,L357=1,L361=1,M357=1,U357="IBU"),AND(E357=1,G357=1,L357=1,L361=1,M357=1)),T357,0),I357)</f>
        <v>0</v>
      </c>
      <c r="W357" s="26"/>
      <c r="X357" s="26"/>
      <c r="Y357" s="26"/>
      <c r="Z357" s="26"/>
      <c r="AA357" s="26"/>
      <c r="AB357" s="33"/>
    </row>
    <row r="358" spans="1:28" x14ac:dyDescent="0.3">
      <c r="A358" s="32">
        <f>VLOOKUP(YEAR(C358),Flags!$A$13:$B$95,2,FALSE)</f>
        <v>4</v>
      </c>
      <c r="B358" s="24">
        <f t="shared" si="535"/>
        <v>1960</v>
      </c>
      <c r="C358" s="25">
        <v>22097</v>
      </c>
      <c r="D358" s="26">
        <f>VLOOKUP($C358,COS!$B$8:$H$991,3,FALSE)</f>
        <v>13233.97265625</v>
      </c>
      <c r="E358" s="24">
        <f>IF(D358&gt;=IF(MONTH($C358)=4,$C$3,IF(MONTH($C358)=5,$C$4,IF(MONTH($C358)=6,$C$5,IF(MONTH($C358)=7,$C$6,"ERROR")))),1,0)</f>
        <v>1</v>
      </c>
      <c r="F358" s="26">
        <f>VLOOKUP($C358,COS!$B$8:$H$991,7,FALSE)</f>
        <v>51.440536499023438</v>
      </c>
      <c r="G358" s="24">
        <f>IF(F358&lt;=IF(MONTH($C358)=4,$F$3,IF(MONTH($C358)=5,$F$4,IF(MONTH($C358)=6,$F$5,IF(MONTH($C358)=7,$F$6,"ERROR")))),1,0)</f>
        <v>1</v>
      </c>
      <c r="H358" s="26">
        <f>IF(J358=1,D358-$C$5,0)</f>
        <v>3233.97265625</v>
      </c>
      <c r="I358" s="26">
        <f t="shared" si="558"/>
        <v>192.43473657024794</v>
      </c>
      <c r="J358" s="24">
        <f t="shared" si="567"/>
        <v>1</v>
      </c>
      <c r="K358" s="26">
        <f>VLOOKUP($C358,COS!$B$8:$H$991,2,FALSE)</f>
        <v>3735.558837890625</v>
      </c>
      <c r="L358" s="24">
        <f t="shared" si="537"/>
        <v>1</v>
      </c>
      <c r="M358" s="24">
        <f t="shared" si="538"/>
        <v>1</v>
      </c>
      <c r="N358" s="26">
        <f>VLOOKUP($C358,COS!$B$8:$H$991,5,FALSE)</f>
        <v>457.70184326171875</v>
      </c>
      <c r="O358" s="26">
        <f t="shared" si="570"/>
        <v>27.2351510040031</v>
      </c>
      <c r="P358" s="26">
        <f>VLOOKUP($C358,COS!$B$8:$H$991,6,FALSE)</f>
        <v>2712.6806640625</v>
      </c>
      <c r="Q358" s="26">
        <f t="shared" si="571"/>
        <v>161.41570893595042</v>
      </c>
      <c r="R358" s="26">
        <f>MIN(IF(MONTH($C358)=4,$S$3,IF(MONTH($C358)=5,$S$4,IF(MONTH($C358)=6,$S$5,IF(MONTH($C358)=7,$S$6,"ERROR")))),MAX(VLOOKUP($C358,COS!$B$8:$K$991,10,FALSE)-IF(MONTH($C358)=4,$Y$3,IF(MONTH($C358)=5,$Y$4,IF(MONTH($C358)=6,$Y$5,IF(MONTH($C358)=7,$Y$6,"ERROR")))),0),MAX(VLOOKUP($C358,COS!$B$8:$K$991,9,FALSE)-IF(MONTH($C358)=4,$V$3,IF(MONTH($C358)=5,$V$4,IF(MONTH($C358)=6,$V$5,IF(MONTH($C358)=7,$V$6,"ERROR"))))-VLOOKUP($C358,COS!$B$8:$K$991,6,FALSE)/2,0))</f>
        <v>1500</v>
      </c>
      <c r="S358" s="26">
        <f t="shared" si="572"/>
        <v>89.256198347107429</v>
      </c>
      <c r="T358" s="26">
        <f t="shared" si="573"/>
        <v>183.58162831708421</v>
      </c>
      <c r="U358" s="26" t="str">
        <f>IF(VLOOKUP($C358,COS!$B$8:$I$991,8,FALSE)=1,"UWFE","IBU")</f>
        <v>IBU</v>
      </c>
      <c r="V358" s="26">
        <f t="shared" ref="V358" si="576">MIN(IF(IF($AA$3=2,AND(E358=1,G358=1,L358=1,L361=1,M358=1,U358="IBU"),AND(E358=1,G358=1,L358=1,L361=1,M358=1)),T358,0),I358)</f>
        <v>183.58162831708421</v>
      </c>
      <c r="W358" s="26"/>
      <c r="X358" s="26"/>
      <c r="Y358" s="26"/>
      <c r="Z358" s="26"/>
      <c r="AA358" s="26"/>
      <c r="AB358" s="33"/>
    </row>
    <row r="359" spans="1:28" x14ac:dyDescent="0.3">
      <c r="A359" s="32">
        <f>VLOOKUP(YEAR(C359),Flags!$A$13:$B$95,2,FALSE)</f>
        <v>4</v>
      </c>
      <c r="B359" s="24">
        <f t="shared" si="535"/>
        <v>1960</v>
      </c>
      <c r="C359" s="25">
        <v>22128</v>
      </c>
      <c r="D359" s="26">
        <f>VLOOKUP($C359,COS!$B$8:$H$991,3,FALSE)</f>
        <v>13995.5498046875</v>
      </c>
      <c r="E359" s="24">
        <f>IF(D359&gt;=IF(MONTH($C359)=4,$C$3,IF(MONTH($C359)=5,$C$4,IF(MONTH($C359)=6,$C$5,IF(MONTH($C359)=7,$C$6,"ERROR")))),1,0)</f>
        <v>1</v>
      </c>
      <c r="F359" s="26">
        <f>VLOOKUP($C359,COS!$B$8:$H$991,7,FALSE)</f>
        <v>52.7860107421875</v>
      </c>
      <c r="G359" s="24">
        <f>IF(F359&lt;=IF(MONTH($C359)=4,$F$3,IF(MONTH($C359)=5,$F$4,IF(MONTH($C359)=6,$F$5,IF(MONTH($C359)=7,$F$6,"ERROR")))),1,0)</f>
        <v>1</v>
      </c>
      <c r="H359" s="26">
        <f>IF(J359=1,D359-$C$6,0)</f>
        <v>1995.5498046875</v>
      </c>
      <c r="I359" s="26">
        <f t="shared" si="558"/>
        <v>122.70157476756198</v>
      </c>
      <c r="J359" s="24">
        <f t="shared" si="567"/>
        <v>1</v>
      </c>
      <c r="K359" s="26">
        <f>VLOOKUP($C359,COS!$B$8:$H$991,2,FALSE)</f>
        <v>3174.995361328125</v>
      </c>
      <c r="L359" s="24">
        <f t="shared" si="537"/>
        <v>1</v>
      </c>
      <c r="M359" s="24">
        <f t="shared" si="538"/>
        <v>1</v>
      </c>
      <c r="N359" s="26">
        <f>VLOOKUP($C359,COS!$B$8:$H$991,5,FALSE)</f>
        <v>499.1810302734375</v>
      </c>
      <c r="O359" s="26">
        <f t="shared" si="570"/>
        <v>30.69344516722624</v>
      </c>
      <c r="P359" s="26">
        <f>VLOOKUP($C359,COS!$B$8:$H$991,6,FALSE)</f>
        <v>2441.261474609375</v>
      </c>
      <c r="Q359" s="26">
        <f t="shared" si="571"/>
        <v>150.10731711647728</v>
      </c>
      <c r="R359" s="26">
        <f>MIN(IF(MONTH($C359)=4,$S$3,IF(MONTH($C359)=5,$S$4,IF(MONTH($C359)=6,$S$5,IF(MONTH($C359)=7,$S$6,"ERROR")))),MAX(VLOOKUP($C359,COS!$B$8:$K$991,10,FALSE)-IF(MONTH($C359)=4,$Y$3,IF(MONTH($C359)=5,$Y$4,IF(MONTH($C359)=6,$Y$5,IF(MONTH($C359)=7,$Y$6,"ERROR")))),0),MAX(VLOOKUP($C359,COS!$B$8:$K$991,9,FALSE)-IF(MONTH($C359)=4,$V$3,IF(MONTH($C359)=5,$V$4,IF(MONTH($C359)=6,$V$5,IF(MONTH($C359)=7,$V$6,"ERROR"))))-VLOOKUP($C359,COS!$B$8:$K$991,6,FALSE)/2,0))</f>
        <v>1500</v>
      </c>
      <c r="S359" s="26">
        <f t="shared" si="572"/>
        <v>92.231404958677686</v>
      </c>
      <c r="T359" s="26">
        <f t="shared" si="573"/>
        <v>182.63178610052944</v>
      </c>
      <c r="U359" s="26" t="str">
        <f>IF(VLOOKUP($C359,COS!$B$8:$I$991,8,FALSE)=1,"UWFE","IBU")</f>
        <v>IBU</v>
      </c>
      <c r="V359" s="26">
        <f t="shared" ref="V359" si="577">MIN(IF(IF($AA$3=2,AND(E359=1,G359=1,L359=1,L361=1,M359=1,U359="IBU"),AND(E359=1,G359=1,L359=1,L361=1,M359=1)),T359,0),I359)</f>
        <v>122.70157476756198</v>
      </c>
      <c r="W359" s="26"/>
      <c r="X359" s="26"/>
      <c r="Y359" s="26"/>
      <c r="Z359" s="26"/>
      <c r="AA359" s="26"/>
      <c r="AB359" s="33"/>
    </row>
    <row r="360" spans="1:28" x14ac:dyDescent="0.3">
      <c r="A360" s="32">
        <f>VLOOKUP(YEAR(C360),Flags!$A$13:$B$95,2,FALSE)</f>
        <v>4</v>
      </c>
      <c r="B360" s="24">
        <f t="shared" si="535"/>
        <v>1960</v>
      </c>
      <c r="C360" s="25">
        <v>22159</v>
      </c>
      <c r="D360" s="26"/>
      <c r="E360" s="24"/>
      <c r="F360" s="26"/>
      <c r="G360" s="24"/>
      <c r="H360" s="24"/>
      <c r="I360" s="26"/>
      <c r="J360" s="24"/>
      <c r="K360" s="26"/>
      <c r="L360" s="24"/>
      <c r="M360" s="24"/>
      <c r="N360" s="26"/>
      <c r="O360" s="26"/>
      <c r="P360" s="26"/>
      <c r="Q360" s="26"/>
      <c r="R360" s="26"/>
      <c r="S360" s="26"/>
      <c r="T360" s="26"/>
      <c r="U360" s="26"/>
      <c r="V360" s="26"/>
      <c r="W360" s="26">
        <f>MAX($C$7-VLOOKUP($C360,COS!$B$8:$H$991,3,FALSE),0)</f>
        <v>2377.2197265625</v>
      </c>
      <c r="X360" s="26">
        <f t="shared" si="562"/>
        <v>146.16954351756198</v>
      </c>
      <c r="Y360" s="26">
        <f>VLOOKUP($C360,COS!$B$8:$H$991,4,FALSE)</f>
        <v>1283.5350341796875</v>
      </c>
      <c r="Z360" s="26">
        <f t="shared" si="563"/>
        <v>78.921493010717967</v>
      </c>
      <c r="AA360" s="26">
        <f t="shared" ref="AA360:AA364" si="578">MIN(W360,Y360)</f>
        <v>1283.5350341796875</v>
      </c>
      <c r="AB360" s="33">
        <f t="shared" ref="AB360" si="579">AA360*DAY($C360)*86400/43560/1000*IF(MONTH($C360)=8,$P$3,IF(MONTH($C360)=9,$P$4,IF(MONTH($C360)=10,$P$5,IF(MONTH($C360)=11,$P$6,IF(MONTH($C360)=12,$P$7,NA())))))</f>
        <v>78.921493010717967</v>
      </c>
    </row>
    <row r="361" spans="1:28" x14ac:dyDescent="0.3">
      <c r="A361" s="32">
        <f>VLOOKUP(YEAR(C361),Flags!$A$13:$B$95,2,FALSE)</f>
        <v>4</v>
      </c>
      <c r="B361" s="24">
        <f t="shared" si="535"/>
        <v>1960</v>
      </c>
      <c r="C361" s="25">
        <v>22189</v>
      </c>
      <c r="D361" s="26"/>
      <c r="E361" s="24"/>
      <c r="F361" s="26"/>
      <c r="G361" s="24"/>
      <c r="H361" s="24"/>
      <c r="I361" s="26"/>
      <c r="J361" s="24"/>
      <c r="K361" s="26">
        <f>VLOOKUP($C361,COS!$B$8:$H$991,2,FALSE)</f>
        <v>2747.35986328125</v>
      </c>
      <c r="L361" s="24">
        <f t="shared" ref="L361" si="580">IF(AND(K361&gt;$I$7,K361&lt;$I$8),1,0)</f>
        <v>1</v>
      </c>
      <c r="M361" s="24"/>
      <c r="N361" s="26"/>
      <c r="O361" s="26"/>
      <c r="P361" s="26"/>
      <c r="Q361" s="26"/>
      <c r="R361" s="26"/>
      <c r="S361" s="26"/>
      <c r="T361" s="26"/>
      <c r="U361" s="26"/>
      <c r="V361" s="26"/>
      <c r="W361" s="26">
        <f>MAX($C$8-VLOOKUP($C361,COS!$B$8:$H$991,3,FALSE),0)</f>
        <v>0</v>
      </c>
      <c r="X361" s="26">
        <f t="shared" si="562"/>
        <v>0</v>
      </c>
      <c r="Y361" s="26">
        <f>VLOOKUP($C361,COS!$B$8:$H$991,4,FALSE)</f>
        <v>1185.9482421875</v>
      </c>
      <c r="Z361" s="26">
        <f t="shared" si="563"/>
        <v>70.568821022727278</v>
      </c>
      <c r="AA361" s="26">
        <f t="shared" si="578"/>
        <v>0</v>
      </c>
      <c r="AB361" s="33">
        <f t="shared" si="548"/>
        <v>0</v>
      </c>
    </row>
    <row r="362" spans="1:28" x14ac:dyDescent="0.3">
      <c r="A362" s="32">
        <f>VLOOKUP(YEAR(C362),Flags!$A$13:$B$95,2,FALSE)</f>
        <v>4</v>
      </c>
      <c r="B362" s="24">
        <f t="shared" si="535"/>
        <v>1960</v>
      </c>
      <c r="C362" s="25">
        <v>22220</v>
      </c>
      <c r="D362" s="26"/>
      <c r="E362" s="24"/>
      <c r="F362" s="26"/>
      <c r="G362" s="26"/>
      <c r="H362" s="26"/>
      <c r="I362" s="26"/>
      <c r="J362" s="26"/>
      <c r="K362" s="26"/>
      <c r="L362" s="24"/>
      <c r="M362" s="24"/>
      <c r="N362" s="26"/>
      <c r="O362" s="26"/>
      <c r="P362" s="26"/>
      <c r="Q362" s="26"/>
      <c r="R362" s="26"/>
      <c r="S362" s="26"/>
      <c r="T362" s="26"/>
      <c r="U362" s="26"/>
      <c r="V362" s="26"/>
      <c r="W362" s="26">
        <f>MAX($C$9-VLOOKUP($C362,COS!$B$8:$H$991,3,FALSE),0)</f>
        <v>0</v>
      </c>
      <c r="X362" s="26">
        <f t="shared" si="562"/>
        <v>0</v>
      </c>
      <c r="Y362" s="26">
        <f>VLOOKUP($C362,COS!$B$8:$H$991,4,FALSE)</f>
        <v>1660.7847900390625</v>
      </c>
      <c r="Z362" s="26">
        <f t="shared" si="563"/>
        <v>102.11767634620351</v>
      </c>
      <c r="AA362" s="26">
        <f t="shared" si="578"/>
        <v>0</v>
      </c>
      <c r="AB362" s="33">
        <f t="shared" si="548"/>
        <v>0</v>
      </c>
    </row>
    <row r="363" spans="1:28" x14ac:dyDescent="0.3">
      <c r="A363" s="32">
        <f>VLOOKUP(YEAR(C363),Flags!$A$13:$B$95,2,FALSE)</f>
        <v>4</v>
      </c>
      <c r="B363" s="24">
        <f t="shared" si="535"/>
        <v>1960</v>
      </c>
      <c r="C363" s="25">
        <v>22250</v>
      </c>
      <c r="D363" s="26"/>
      <c r="E363" s="24"/>
      <c r="F363" s="26"/>
      <c r="G363" s="26"/>
      <c r="H363" s="26"/>
      <c r="I363" s="26"/>
      <c r="J363" s="26"/>
      <c r="K363" s="26"/>
      <c r="L363" s="24"/>
      <c r="M363" s="24"/>
      <c r="N363" s="26"/>
      <c r="O363" s="26"/>
      <c r="P363" s="26"/>
      <c r="Q363" s="26"/>
      <c r="R363" s="26"/>
      <c r="S363" s="26"/>
      <c r="T363" s="26"/>
      <c r="U363" s="26"/>
      <c r="V363" s="26"/>
      <c r="W363" s="26">
        <f>MAX($C$10-VLOOKUP($C363,COS!$B$8:$H$991,3,FALSE),0)</f>
        <v>1750</v>
      </c>
      <c r="X363" s="26">
        <f t="shared" si="562"/>
        <v>104.13223140495867</v>
      </c>
      <c r="Y363" s="26">
        <f>VLOOKUP($C363,COS!$B$8:$H$991,4,FALSE)</f>
        <v>409.7125244140625</v>
      </c>
      <c r="Z363" s="26">
        <f t="shared" si="563"/>
        <v>24.379588229597108</v>
      </c>
      <c r="AA363" s="26">
        <f t="shared" si="578"/>
        <v>409.7125244140625</v>
      </c>
      <c r="AB363" s="33">
        <f t="shared" si="548"/>
        <v>24.379588229597108</v>
      </c>
    </row>
    <row r="364" spans="1:28" x14ac:dyDescent="0.3">
      <c r="A364" s="34">
        <f>VLOOKUP(YEAR(C364),Flags!$A$13:$B$95,2,FALSE)</f>
        <v>4</v>
      </c>
      <c r="B364" s="35">
        <f t="shared" si="535"/>
        <v>1960</v>
      </c>
      <c r="C364" s="36">
        <v>22281</v>
      </c>
      <c r="D364" s="37"/>
      <c r="E364" s="35"/>
      <c r="F364" s="37"/>
      <c r="G364" s="37"/>
      <c r="H364" s="37"/>
      <c r="I364" s="37"/>
      <c r="J364" s="37"/>
      <c r="K364" s="37"/>
      <c r="L364" s="35"/>
      <c r="M364" s="35"/>
      <c r="N364" s="37"/>
      <c r="O364" s="37"/>
      <c r="P364" s="37"/>
      <c r="Q364" s="37"/>
      <c r="R364" s="37"/>
      <c r="S364" s="37"/>
      <c r="T364" s="37"/>
      <c r="U364" s="37"/>
      <c r="V364" s="37"/>
      <c r="W364" s="37">
        <f>MAX($C$11-VLOOKUP($C364,COS!$B$8:$H$991,3,FALSE),0)</f>
        <v>1750</v>
      </c>
      <c r="X364" s="37">
        <f t="shared" si="562"/>
        <v>107.60330578512398</v>
      </c>
      <c r="Y364" s="37">
        <f>VLOOKUP($C364,COS!$B$8:$H$991,4,FALSE)</f>
        <v>2387.1279296875</v>
      </c>
      <c r="Z364" s="37">
        <f t="shared" si="563"/>
        <v>146.77877518078512</v>
      </c>
      <c r="AA364" s="37">
        <f t="shared" si="578"/>
        <v>1750</v>
      </c>
      <c r="AB364" s="38">
        <f t="shared" si="548"/>
        <v>107.60330578512398</v>
      </c>
    </row>
    <row r="365" spans="1:28" x14ac:dyDescent="0.3">
      <c r="A365" s="27">
        <f>VLOOKUP(YEAR(C365),Flags!$A$13:$B$95,2,FALSE)</f>
        <v>4</v>
      </c>
      <c r="B365" s="28">
        <f t="shared" si="535"/>
        <v>1961</v>
      </c>
      <c r="C365" s="29">
        <v>22401</v>
      </c>
      <c r="D365" s="30">
        <f>VLOOKUP($C365,COS!$B$8:$H$991,3,FALSE)</f>
        <v>3330.927978515625</v>
      </c>
      <c r="E365" s="28">
        <f>IF(D365&gt;=IF(MONTH($C365)=4,$C$3,IF(MONTH($C365)=5,$C$4,IF(MONTH($C365)=6,$C$5,IF(MONTH($C365)=7,$C$6,"ERROR")))),1,0)</f>
        <v>0</v>
      </c>
      <c r="F365" s="30">
        <f>VLOOKUP($C365,COS!$B$8:$H$991,7,FALSE)</f>
        <v>51.26251220703125</v>
      </c>
      <c r="G365" s="28">
        <f>IF(F365&lt;=IF(MONTH($C365)=4,$F$3,IF(MONTH($C365)=5,$F$4,IF(MONTH($C365)=6,$F$5,IF(MONTH($C365)=7,$F$6,"ERROR")))),1,0)</f>
        <v>1</v>
      </c>
      <c r="H365" s="30">
        <f>IF(J365=1,D365-$C$3,0)</f>
        <v>0</v>
      </c>
      <c r="I365" s="30">
        <f t="shared" si="558"/>
        <v>0</v>
      </c>
      <c r="J365" s="28">
        <f t="shared" ref="J365:J368" si="581">IF(AND(E365=1,G365=1),1,0)</f>
        <v>0</v>
      </c>
      <c r="K365" s="30">
        <f>VLOOKUP($C365,COS!$B$8:$H$991,2,FALSE)</f>
        <v>4552</v>
      </c>
      <c r="L365" s="28">
        <f t="shared" ref="L365" si="582">IF(K365&lt;=IF(MONTH($C365)=4,$I$3,IF(MONTH($C365)=5,$I$4,IF(MONTH($C365)=6,$I$5,IF(MONTH($C365)=7,$I$6,"ERROR")))),1,0)</f>
        <v>1</v>
      </c>
      <c r="M365" s="28">
        <f t="shared" ref="M365" si="583">VLOOKUP($A365,$L$3:$M$7,2,FALSE)</f>
        <v>1</v>
      </c>
      <c r="N365" s="30">
        <f>VLOOKUP($C365,COS!$B$8:$H$991,5,FALSE)</f>
        <v>224.14614868164063</v>
      </c>
      <c r="O365" s="30">
        <f t="shared" ref="O365:O368" si="584">N365*DAY($C365)*86400/43560/1000</f>
        <v>13.3376220703125</v>
      </c>
      <c r="P365" s="30">
        <f>VLOOKUP($C365,COS!$B$8:$H$991,6,FALSE)</f>
        <v>461.4332275390625</v>
      </c>
      <c r="Q365" s="30">
        <f t="shared" ref="Q365:Q368" si="585">P365*DAY($C365)*86400/43560/1000</f>
        <v>27.457183787448347</v>
      </c>
      <c r="R365" s="30">
        <f>MIN(IF(MONTH($C365)=4,$S$3,IF(MONTH($C365)=5,$S$4,IF(MONTH($C365)=6,$S$5,IF(MONTH($C365)=7,$S$6,"ERROR")))),MAX(VLOOKUP($C365,COS!$B$8:$K$991,10,FALSE)-IF(MONTH($C365)=4,$Y$3,IF(MONTH($C365)=5,$Y$4,IF(MONTH($C365)=6,$Y$5,IF(MONTH($C365)=7,$Y$6,"ERROR")))),0),MAX(VLOOKUP($C365,COS!$B$8:$K$991,9,FALSE)-IF(MONTH($C365)=4,$V$3,IF(MONTH($C365)=5,$V$4,IF(MONTH($C365)=6,$V$5,IF(MONTH($C365)=7,$V$6,"ERROR"))))-VLOOKUP($C365,COS!$B$8:$K$991,6,FALSE)/2,0))</f>
        <v>1500</v>
      </c>
      <c r="S365" s="30">
        <f t="shared" ref="S365:S368" si="586">R365*DAY($C365)*86400/43560/1000</f>
        <v>89.256198347107429</v>
      </c>
      <c r="T365" s="30">
        <f t="shared" ref="T365:T368" si="587">(O365+Q365)/2+S365</f>
        <v>109.65360127598785</v>
      </c>
      <c r="U365" s="30" t="str">
        <f>IF(VLOOKUP($C365,COS!$B$8:$I$991,8,FALSE)=1,"UWFE","IBU")</f>
        <v>UWFE</v>
      </c>
      <c r="V365" s="30">
        <f t="shared" ref="V365" si="588">MIN(IF(IF($AA$3=2,AND(E365=1,G365=1,L365=1,L370=1,M365=1,U365="IBU"),AND(E365=1,G365=1,L365=1,L370=1,M365=1)),T365,0),I365)</f>
        <v>0</v>
      </c>
      <c r="W365" s="30"/>
      <c r="X365" s="30"/>
      <c r="Y365" s="30"/>
      <c r="Z365" s="30"/>
      <c r="AA365" s="30"/>
      <c r="AB365" s="31"/>
    </row>
    <row r="366" spans="1:28" x14ac:dyDescent="0.3">
      <c r="A366" s="32">
        <f>VLOOKUP(YEAR(C366),Flags!$A$13:$B$95,2,FALSE)</f>
        <v>4</v>
      </c>
      <c r="B366" s="24">
        <f t="shared" si="535"/>
        <v>1961</v>
      </c>
      <c r="C366" s="25">
        <v>22432</v>
      </c>
      <c r="D366" s="26">
        <f>VLOOKUP($C366,COS!$B$8:$H$991,3,FALSE)</f>
        <v>7787.1884765625</v>
      </c>
      <c r="E366" s="24">
        <f>IF(D366&gt;=IF(MONTH($C366)=4,$C$3,IF(MONTH($C366)=5,$C$4,IF(MONTH($C366)=6,$C$5,IF(MONTH($C366)=7,$C$6,"ERROR")))),1,0)</f>
        <v>1</v>
      </c>
      <c r="F366" s="26">
        <f>VLOOKUP($C366,COS!$B$8:$H$991,7,FALSE)</f>
        <v>50.240604400634766</v>
      </c>
      <c r="G366" s="24">
        <f>IF(F366&lt;=IF(MONTH($C366)=4,$F$3,IF(MONTH($C366)=5,$F$4,IF(MONTH($C366)=6,$F$5,IF(MONTH($C366)=7,$F$6,"ERROR")))),1,0)</f>
        <v>1</v>
      </c>
      <c r="H366" s="26">
        <f>IF(J366=1,D366-$C$4,0)</f>
        <v>1787.1884765625</v>
      </c>
      <c r="I366" s="26">
        <f t="shared" si="558"/>
        <v>109.88993607954545</v>
      </c>
      <c r="J366" s="24">
        <f t="shared" si="581"/>
        <v>1</v>
      </c>
      <c r="K366" s="26">
        <f>VLOOKUP($C366,COS!$B$8:$H$991,2,FALSE)</f>
        <v>4502.27978515625</v>
      </c>
      <c r="L366" s="24">
        <f t="shared" si="537"/>
        <v>1</v>
      </c>
      <c r="M366" s="24">
        <f t="shared" si="538"/>
        <v>1</v>
      </c>
      <c r="N366" s="26">
        <f>VLOOKUP($C366,COS!$B$8:$H$991,5,FALSE)</f>
        <v>270.762451171875</v>
      </c>
      <c r="O366" s="26">
        <f t="shared" si="584"/>
        <v>16.648534187758266</v>
      </c>
      <c r="P366" s="26">
        <f>VLOOKUP($C366,COS!$B$8:$H$991,6,FALSE)</f>
        <v>2241.916259765625</v>
      </c>
      <c r="Q366" s="26">
        <f t="shared" si="585"/>
        <v>137.85005762525824</v>
      </c>
      <c r="R366" s="26">
        <f>MIN(IF(MONTH($C366)=4,$S$3,IF(MONTH($C366)=5,$S$4,IF(MONTH($C366)=6,$S$5,IF(MONTH($C366)=7,$S$6,"ERROR")))),MAX(VLOOKUP($C366,COS!$B$8:$K$991,10,FALSE)-IF(MONTH($C366)=4,$Y$3,IF(MONTH($C366)=5,$Y$4,IF(MONTH($C366)=6,$Y$5,IF(MONTH($C366)=7,$Y$6,"ERROR")))),0),MAX(VLOOKUP($C366,COS!$B$8:$K$991,9,FALSE)-IF(MONTH($C366)=4,$V$3,IF(MONTH($C366)=5,$V$4,IF(MONTH($C366)=6,$V$5,IF(MONTH($C366)=7,$V$6,"ERROR"))))-VLOOKUP($C366,COS!$B$8:$K$991,6,FALSE)/2,0))</f>
        <v>1500</v>
      </c>
      <c r="S366" s="26">
        <f t="shared" si="586"/>
        <v>92.231404958677686</v>
      </c>
      <c r="T366" s="26">
        <f t="shared" si="587"/>
        <v>169.48070086518595</v>
      </c>
      <c r="U366" s="26" t="str">
        <f>IF(VLOOKUP($C366,COS!$B$8:$I$991,8,FALSE)=1,"UWFE","IBU")</f>
        <v>UWFE</v>
      </c>
      <c r="V366" s="26">
        <f t="shared" ref="V366" si="589">MIN(IF(IF($AA$3=2,AND(E366=1,G366=1,L366=1,L370=1,M366=1,U366="IBU"),AND(E366=1,G366=1,L366=1,L370=1,M366=1)),T366,0),I366)</f>
        <v>0</v>
      </c>
      <c r="W366" s="26"/>
      <c r="X366" s="26"/>
      <c r="Y366" s="26"/>
      <c r="Z366" s="26"/>
      <c r="AA366" s="26"/>
      <c r="AB366" s="33"/>
    </row>
    <row r="367" spans="1:28" x14ac:dyDescent="0.3">
      <c r="A367" s="32">
        <f>VLOOKUP(YEAR(C367),Flags!$A$13:$B$95,2,FALSE)</f>
        <v>4</v>
      </c>
      <c r="B367" s="24">
        <f t="shared" si="535"/>
        <v>1961</v>
      </c>
      <c r="C367" s="25">
        <v>22462</v>
      </c>
      <c r="D367" s="26">
        <f>VLOOKUP($C367,COS!$B$8:$H$991,3,FALSE)</f>
        <v>10063.0751953125</v>
      </c>
      <c r="E367" s="24">
        <f>IF(D367&gt;=IF(MONTH($C367)=4,$C$3,IF(MONTH($C367)=5,$C$4,IF(MONTH($C367)=6,$C$5,IF(MONTH($C367)=7,$C$6,"ERROR")))),1,0)</f>
        <v>1</v>
      </c>
      <c r="F367" s="26">
        <f>VLOOKUP($C367,COS!$B$8:$H$991,7,FALSE)</f>
        <v>51.530010223388672</v>
      </c>
      <c r="G367" s="24">
        <f>IF(F367&lt;=IF(MONTH($C367)=4,$F$3,IF(MONTH($C367)=5,$F$4,IF(MONTH($C367)=6,$F$5,IF(MONTH($C367)=7,$F$6,"ERROR")))),1,0)</f>
        <v>1</v>
      </c>
      <c r="H367" s="26">
        <f>IF(J367=1,D367-$C$5,0)</f>
        <v>63.0751953125</v>
      </c>
      <c r="I367" s="26">
        <f t="shared" si="558"/>
        <v>3.7532347623966942</v>
      </c>
      <c r="J367" s="24">
        <f t="shared" si="581"/>
        <v>1</v>
      </c>
      <c r="K367" s="26">
        <f>VLOOKUP($C367,COS!$B$8:$H$991,2,FALSE)</f>
        <v>4143.28564453125</v>
      </c>
      <c r="L367" s="24">
        <f t="shared" si="537"/>
        <v>1</v>
      </c>
      <c r="M367" s="24">
        <f t="shared" si="538"/>
        <v>1</v>
      </c>
      <c r="N367" s="26">
        <f>VLOOKUP($C367,COS!$B$8:$H$991,5,FALSE)</f>
        <v>520.3306884765625</v>
      </c>
      <c r="O367" s="26">
        <f t="shared" si="584"/>
        <v>30.961826091167357</v>
      </c>
      <c r="P367" s="26">
        <f>VLOOKUP($C367,COS!$B$8:$H$991,6,FALSE)</f>
        <v>2605.465576171875</v>
      </c>
      <c r="Q367" s="26">
        <f t="shared" si="585"/>
        <v>155.03596816890496</v>
      </c>
      <c r="R367" s="26">
        <f>MIN(IF(MONTH($C367)=4,$S$3,IF(MONTH($C367)=5,$S$4,IF(MONTH($C367)=6,$S$5,IF(MONTH($C367)=7,$S$6,"ERROR")))),MAX(VLOOKUP($C367,COS!$B$8:$K$991,10,FALSE)-IF(MONTH($C367)=4,$Y$3,IF(MONTH($C367)=5,$Y$4,IF(MONTH($C367)=6,$Y$5,IF(MONTH($C367)=7,$Y$6,"ERROR")))),0),MAX(VLOOKUP($C367,COS!$B$8:$K$991,9,FALSE)-IF(MONTH($C367)=4,$V$3,IF(MONTH($C367)=5,$V$4,IF(MONTH($C367)=6,$V$5,IF(MONTH($C367)=7,$V$6,"ERROR"))))-VLOOKUP($C367,COS!$B$8:$K$991,6,FALSE)/2,0))</f>
        <v>1500</v>
      </c>
      <c r="S367" s="26">
        <f t="shared" si="586"/>
        <v>89.256198347107429</v>
      </c>
      <c r="T367" s="26">
        <f t="shared" si="587"/>
        <v>182.25509547714358</v>
      </c>
      <c r="U367" s="26" t="str">
        <f>IF(VLOOKUP($C367,COS!$B$8:$I$991,8,FALSE)=1,"UWFE","IBU")</f>
        <v>IBU</v>
      </c>
      <c r="V367" s="26">
        <f t="shared" ref="V367" si="590">MIN(IF(IF($AA$3=2,AND(E367=1,G367=1,L367=1,L370=1,M367=1,U367="IBU"),AND(E367=1,G367=1,L367=1,L370=1,M367=1)),T367,0),I367)</f>
        <v>3.7532347623966942</v>
      </c>
      <c r="W367" s="26"/>
      <c r="X367" s="26"/>
      <c r="Y367" s="26"/>
      <c r="Z367" s="26"/>
      <c r="AA367" s="26"/>
      <c r="AB367" s="33"/>
    </row>
    <row r="368" spans="1:28" x14ac:dyDescent="0.3">
      <c r="A368" s="32">
        <f>VLOOKUP(YEAR(C368),Flags!$A$13:$B$95,2,FALSE)</f>
        <v>4</v>
      </c>
      <c r="B368" s="24">
        <f t="shared" si="535"/>
        <v>1961</v>
      </c>
      <c r="C368" s="25">
        <v>22493</v>
      </c>
      <c r="D368" s="26">
        <f>VLOOKUP($C368,COS!$B$8:$H$991,3,FALSE)</f>
        <v>16000</v>
      </c>
      <c r="E368" s="24">
        <f>IF(D368&gt;=IF(MONTH($C368)=4,$C$3,IF(MONTH($C368)=5,$C$4,IF(MONTH($C368)=6,$C$5,IF(MONTH($C368)=7,$C$6,"ERROR")))),1,0)</f>
        <v>1</v>
      </c>
      <c r="F368" s="26">
        <f>VLOOKUP($C368,COS!$B$8:$H$991,7,FALSE)</f>
        <v>51.374370574951172</v>
      </c>
      <c r="G368" s="24">
        <f>IF(F368&lt;=IF(MONTH($C368)=4,$F$3,IF(MONTH($C368)=5,$F$4,IF(MONTH($C368)=6,$F$5,IF(MONTH($C368)=7,$F$6,"ERROR")))),1,0)</f>
        <v>1</v>
      </c>
      <c r="H368" s="26">
        <f>IF(J368=1,D368-$C$6,0)</f>
        <v>4000</v>
      </c>
      <c r="I368" s="26">
        <f t="shared" si="558"/>
        <v>245.95041322314049</v>
      </c>
      <c r="J368" s="24">
        <f t="shared" si="581"/>
        <v>1</v>
      </c>
      <c r="K368" s="26">
        <f>VLOOKUP($C368,COS!$B$8:$H$991,2,FALSE)</f>
        <v>3417.93798828125</v>
      </c>
      <c r="L368" s="24">
        <f t="shared" si="537"/>
        <v>1</v>
      </c>
      <c r="M368" s="24">
        <f t="shared" si="538"/>
        <v>1</v>
      </c>
      <c r="N368" s="26">
        <f>VLOOKUP($C368,COS!$B$8:$H$991,5,FALSE)</f>
        <v>610.17608642578125</v>
      </c>
      <c r="O368" s="26">
        <f t="shared" si="584"/>
        <v>37.518265148824895</v>
      </c>
      <c r="P368" s="26">
        <f>VLOOKUP($C368,COS!$B$8:$H$991,6,FALSE)</f>
        <v>2538.07568359375</v>
      </c>
      <c r="Q368" s="26">
        <f t="shared" si="585"/>
        <v>156.06019079287191</v>
      </c>
      <c r="R368" s="26">
        <f>MIN(IF(MONTH($C368)=4,$S$3,IF(MONTH($C368)=5,$S$4,IF(MONTH($C368)=6,$S$5,IF(MONTH($C368)=7,$S$6,"ERROR")))),MAX(VLOOKUP($C368,COS!$B$8:$K$991,10,FALSE)-IF(MONTH($C368)=4,$Y$3,IF(MONTH($C368)=5,$Y$4,IF(MONTH($C368)=6,$Y$5,IF(MONTH($C368)=7,$Y$6,"ERROR")))),0),MAX(VLOOKUP($C368,COS!$B$8:$K$991,9,FALSE)-IF(MONTH($C368)=4,$V$3,IF(MONTH($C368)=5,$V$4,IF(MONTH($C368)=6,$V$5,IF(MONTH($C368)=7,$V$6,"ERROR"))))-VLOOKUP($C368,COS!$B$8:$K$991,6,FALSE)/2,0))</f>
        <v>1500</v>
      </c>
      <c r="S368" s="26">
        <f t="shared" si="586"/>
        <v>92.231404958677686</v>
      </c>
      <c r="T368" s="26">
        <f t="shared" si="587"/>
        <v>189.02063292952607</v>
      </c>
      <c r="U368" s="26" t="str">
        <f>IF(VLOOKUP($C368,COS!$B$8:$I$991,8,FALSE)=1,"UWFE","IBU")</f>
        <v>IBU</v>
      </c>
      <c r="V368" s="26">
        <f t="shared" ref="V368" si="591">MIN(IF(IF($AA$3=2,AND(E368=1,G368=1,L368=1,L370=1,M368=1,U368="IBU"),AND(E368=1,G368=1,L368=1,L370=1,M368=1)),T368,0),I368)</f>
        <v>189.02063292952607</v>
      </c>
      <c r="W368" s="26"/>
      <c r="X368" s="26"/>
      <c r="Y368" s="26"/>
      <c r="Z368" s="26"/>
      <c r="AA368" s="26"/>
      <c r="AB368" s="33"/>
    </row>
    <row r="369" spans="1:28" x14ac:dyDescent="0.3">
      <c r="A369" s="32">
        <f>VLOOKUP(YEAR(C369),Flags!$A$13:$B$95,2,FALSE)</f>
        <v>4</v>
      </c>
      <c r="B369" s="24">
        <f t="shared" si="535"/>
        <v>1961</v>
      </c>
      <c r="C369" s="25">
        <v>22524</v>
      </c>
      <c r="D369" s="26"/>
      <c r="E369" s="24"/>
      <c r="F369" s="26"/>
      <c r="G369" s="24"/>
      <c r="H369" s="24"/>
      <c r="I369" s="26"/>
      <c r="J369" s="24"/>
      <c r="K369" s="26"/>
      <c r="L369" s="24"/>
      <c r="M369" s="24"/>
      <c r="N369" s="26"/>
      <c r="O369" s="26"/>
      <c r="P369" s="26"/>
      <c r="Q369" s="26"/>
      <c r="R369" s="26"/>
      <c r="S369" s="26"/>
      <c r="T369" s="26"/>
      <c r="U369" s="26"/>
      <c r="V369" s="26"/>
      <c r="W369" s="26">
        <f>MAX($C$7-VLOOKUP($C369,COS!$B$8:$H$991,3,FALSE),0)</f>
        <v>2141.421875</v>
      </c>
      <c r="X369" s="26">
        <f t="shared" si="562"/>
        <v>131.67089876033057</v>
      </c>
      <c r="Y369" s="26">
        <f>VLOOKUP($C369,COS!$B$8:$H$991,4,FALSE)</f>
        <v>3366.373779296875</v>
      </c>
      <c r="Z369" s="26">
        <f t="shared" si="563"/>
        <v>206.99025552040288</v>
      </c>
      <c r="AA369" s="26">
        <f t="shared" ref="AA369:AA373" si="592">MIN(W369,Y369)</f>
        <v>2141.421875</v>
      </c>
      <c r="AB369" s="33">
        <f t="shared" ref="AB369" si="593">AA369*DAY($C369)*86400/43560/1000*IF(MONTH($C369)=8,$P$3,IF(MONTH($C369)=9,$P$4,IF(MONTH($C369)=10,$P$5,IF(MONTH($C369)=11,$P$6,IF(MONTH($C369)=12,$P$7,NA())))))</f>
        <v>131.67089876033057</v>
      </c>
    </row>
    <row r="370" spans="1:28" x14ac:dyDescent="0.3">
      <c r="A370" s="32">
        <f>VLOOKUP(YEAR(C370),Flags!$A$13:$B$95,2,FALSE)</f>
        <v>4</v>
      </c>
      <c r="B370" s="24">
        <f t="shared" si="535"/>
        <v>1961</v>
      </c>
      <c r="C370" s="25">
        <v>22554</v>
      </c>
      <c r="D370" s="26"/>
      <c r="E370" s="24"/>
      <c r="F370" s="26"/>
      <c r="G370" s="24"/>
      <c r="H370" s="24"/>
      <c r="I370" s="26"/>
      <c r="J370" s="24"/>
      <c r="K370" s="26">
        <f>VLOOKUP($C370,COS!$B$8:$H$991,2,FALSE)</f>
        <v>3030.294189453125</v>
      </c>
      <c r="L370" s="24">
        <f t="shared" ref="L370" si="594">IF(AND(K370&gt;$I$7,K370&lt;$I$8),1,0)</f>
        <v>1</v>
      </c>
      <c r="M370" s="24"/>
      <c r="N370" s="26"/>
      <c r="O370" s="26"/>
      <c r="P370" s="26"/>
      <c r="Q370" s="26"/>
      <c r="R370" s="26"/>
      <c r="S370" s="26"/>
      <c r="T370" s="26"/>
      <c r="U370" s="26"/>
      <c r="V370" s="26"/>
      <c r="W370" s="26">
        <f>MAX($C$8-VLOOKUP($C370,COS!$B$8:$H$991,3,FALSE),0)</f>
        <v>543.38232421875</v>
      </c>
      <c r="X370" s="26">
        <f t="shared" si="562"/>
        <v>32.33349367252066</v>
      </c>
      <c r="Y370" s="26">
        <f>VLOOKUP($C370,COS!$B$8:$H$991,4,FALSE)</f>
        <v>1068.3673095703125</v>
      </c>
      <c r="Z370" s="26">
        <f t="shared" si="563"/>
        <v>63.572269660382233</v>
      </c>
      <c r="AA370" s="26">
        <f t="shared" si="592"/>
        <v>543.38232421875</v>
      </c>
      <c r="AB370" s="33">
        <f t="shared" si="548"/>
        <v>32.33349367252066</v>
      </c>
    </row>
    <row r="371" spans="1:28" x14ac:dyDescent="0.3">
      <c r="A371" s="32">
        <f>VLOOKUP(YEAR(C371),Flags!$A$13:$B$95,2,FALSE)</f>
        <v>4</v>
      </c>
      <c r="B371" s="24">
        <f t="shared" si="535"/>
        <v>1961</v>
      </c>
      <c r="C371" s="25">
        <v>22585</v>
      </c>
      <c r="D371" s="26"/>
      <c r="E371" s="24"/>
      <c r="F371" s="26"/>
      <c r="G371" s="26"/>
      <c r="H371" s="26"/>
      <c r="I371" s="26"/>
      <c r="J371" s="26"/>
      <c r="K371" s="26"/>
      <c r="L371" s="24"/>
      <c r="M371" s="24"/>
      <c r="N371" s="26"/>
      <c r="O371" s="26"/>
      <c r="P371" s="26"/>
      <c r="Q371" s="26"/>
      <c r="R371" s="26"/>
      <c r="S371" s="26"/>
      <c r="T371" s="26"/>
      <c r="U371" s="26"/>
      <c r="V371" s="26"/>
      <c r="W371" s="26">
        <f>MAX($C$9-VLOOKUP($C371,COS!$B$8:$H$991,3,FALSE),0)</f>
        <v>0</v>
      </c>
      <c r="X371" s="26">
        <f t="shared" si="562"/>
        <v>0</v>
      </c>
      <c r="Y371" s="26">
        <f>VLOOKUP($C371,COS!$B$8:$H$991,4,FALSE)</f>
        <v>2354.580322265625</v>
      </c>
      <c r="Z371" s="26">
        <f t="shared" si="563"/>
        <v>144.77750080707645</v>
      </c>
      <c r="AA371" s="26">
        <f t="shared" si="592"/>
        <v>0</v>
      </c>
      <c r="AB371" s="33">
        <f t="shared" si="548"/>
        <v>0</v>
      </c>
    </row>
    <row r="372" spans="1:28" x14ac:dyDescent="0.3">
      <c r="A372" s="32">
        <f>VLOOKUP(YEAR(C372),Flags!$A$13:$B$95,2,FALSE)</f>
        <v>4</v>
      </c>
      <c r="B372" s="24">
        <f t="shared" si="535"/>
        <v>1961</v>
      </c>
      <c r="C372" s="25">
        <v>22615</v>
      </c>
      <c r="D372" s="26"/>
      <c r="E372" s="24"/>
      <c r="F372" s="26"/>
      <c r="G372" s="26"/>
      <c r="H372" s="26"/>
      <c r="I372" s="26"/>
      <c r="J372" s="26"/>
      <c r="K372" s="26"/>
      <c r="L372" s="24"/>
      <c r="M372" s="24"/>
      <c r="N372" s="26"/>
      <c r="O372" s="26"/>
      <c r="P372" s="26"/>
      <c r="Q372" s="26"/>
      <c r="R372" s="26"/>
      <c r="S372" s="26"/>
      <c r="T372" s="26"/>
      <c r="U372" s="26"/>
      <c r="V372" s="26"/>
      <c r="W372" s="26">
        <f>MAX($C$10-VLOOKUP($C372,COS!$B$8:$H$991,3,FALSE),0)</f>
        <v>559.98876953125</v>
      </c>
      <c r="X372" s="26">
        <f t="shared" si="562"/>
        <v>33.32164579028926</v>
      </c>
      <c r="Y372" s="26">
        <f>VLOOKUP($C372,COS!$B$8:$H$991,4,FALSE)</f>
        <v>1388.96728515625</v>
      </c>
      <c r="Z372" s="26">
        <f t="shared" si="563"/>
        <v>82.649293001033058</v>
      </c>
      <c r="AA372" s="26">
        <f t="shared" si="592"/>
        <v>559.98876953125</v>
      </c>
      <c r="AB372" s="33">
        <f t="shared" si="548"/>
        <v>33.32164579028926</v>
      </c>
    </row>
    <row r="373" spans="1:28" x14ac:dyDescent="0.3">
      <c r="A373" s="34">
        <f>VLOOKUP(YEAR(C373),Flags!$A$13:$B$95,2,FALSE)</f>
        <v>4</v>
      </c>
      <c r="B373" s="35">
        <f t="shared" si="535"/>
        <v>1961</v>
      </c>
      <c r="C373" s="36">
        <v>22646</v>
      </c>
      <c r="D373" s="37"/>
      <c r="E373" s="35"/>
      <c r="F373" s="37"/>
      <c r="G373" s="37"/>
      <c r="H373" s="37"/>
      <c r="I373" s="37"/>
      <c r="J373" s="37"/>
      <c r="K373" s="37"/>
      <c r="L373" s="35"/>
      <c r="M373" s="35"/>
      <c r="N373" s="37"/>
      <c r="O373" s="37"/>
      <c r="P373" s="37"/>
      <c r="Q373" s="37"/>
      <c r="R373" s="37"/>
      <c r="S373" s="37"/>
      <c r="T373" s="37"/>
      <c r="U373" s="37"/>
      <c r="V373" s="37"/>
      <c r="W373" s="37">
        <f>MAX($C$11-VLOOKUP($C373,COS!$B$8:$H$991,3,FALSE),0)</f>
        <v>1631.4296875</v>
      </c>
      <c r="X373" s="37">
        <f t="shared" si="562"/>
        <v>100.31270144628098</v>
      </c>
      <c r="Y373" s="37">
        <f>VLOOKUP($C373,COS!$B$8:$H$991,4,FALSE)</f>
        <v>1553.054443359375</v>
      </c>
      <c r="Z373" s="37">
        <f t="shared" si="563"/>
        <v>95.493595525568182</v>
      </c>
      <c r="AA373" s="37">
        <f t="shared" si="592"/>
        <v>1553.054443359375</v>
      </c>
      <c r="AB373" s="38">
        <f t="shared" si="548"/>
        <v>95.493595525568182</v>
      </c>
    </row>
    <row r="374" spans="1:28" x14ac:dyDescent="0.3">
      <c r="A374" s="27">
        <f>VLOOKUP(YEAR(C374),Flags!$A$13:$B$95,2,FALSE)</f>
        <v>3</v>
      </c>
      <c r="B374" s="28">
        <f t="shared" si="535"/>
        <v>1962</v>
      </c>
      <c r="C374" s="29">
        <v>22766</v>
      </c>
      <c r="D374" s="30">
        <f>VLOOKUP($C374,COS!$B$8:$H$991,3,FALSE)</f>
        <v>3754.135009765625</v>
      </c>
      <c r="E374" s="28">
        <f>IF(D374&gt;=IF(MONTH($C374)=4,$C$3,IF(MONTH($C374)=5,$C$4,IF(MONTH($C374)=6,$C$5,IF(MONTH($C374)=7,$C$6,"ERROR")))),1,0)</f>
        <v>0</v>
      </c>
      <c r="F374" s="30">
        <f>VLOOKUP($C374,COS!$B$8:$H$991,7,FALSE)</f>
        <v>51.116634368896484</v>
      </c>
      <c r="G374" s="28">
        <f>IF(F374&lt;=IF(MONTH($C374)=4,$F$3,IF(MONTH($C374)=5,$F$4,IF(MONTH($C374)=6,$F$5,IF(MONTH($C374)=7,$F$6,"ERROR")))),1,0)</f>
        <v>1</v>
      </c>
      <c r="H374" s="30">
        <f>IF(J374=1,D374-$C$3,0)</f>
        <v>0</v>
      </c>
      <c r="I374" s="30">
        <f t="shared" si="558"/>
        <v>0</v>
      </c>
      <c r="J374" s="28">
        <f t="shared" ref="J374:J377" si="595">IF(AND(E374=1,G374=1),1,0)</f>
        <v>0</v>
      </c>
      <c r="K374" s="30">
        <f>VLOOKUP($C374,COS!$B$8:$H$991,2,FALSE)</f>
        <v>4552</v>
      </c>
      <c r="L374" s="28">
        <f t="shared" ref="L374" si="596">IF(K374&lt;=IF(MONTH($C374)=4,$I$3,IF(MONTH($C374)=5,$I$4,IF(MONTH($C374)=6,$I$5,IF(MONTH($C374)=7,$I$6,"ERROR")))),1,0)</f>
        <v>1</v>
      </c>
      <c r="M374" s="28">
        <f t="shared" ref="M374" si="597">VLOOKUP($A374,$L$3:$M$7,2,FALSE)</f>
        <v>0</v>
      </c>
      <c r="N374" s="30">
        <f>VLOOKUP($C374,COS!$B$8:$H$991,5,FALSE)</f>
        <v>412.55120849609375</v>
      </c>
      <c r="O374" s="30">
        <f t="shared" ref="O374:O377" si="598">N374*DAY($C374)*86400/43560/1000</f>
        <v>24.548501662577479</v>
      </c>
      <c r="P374" s="30">
        <f>VLOOKUP($C374,COS!$B$8:$H$991,6,FALSE)</f>
        <v>496.0894775390625</v>
      </c>
      <c r="Q374" s="30">
        <f t="shared" ref="Q374:Q377" si="599">P374*DAY($C374)*86400/43560/1000</f>
        <v>29.519373870092974</v>
      </c>
      <c r="R374" s="30">
        <f>MIN(IF(MONTH($C374)=4,$S$3,IF(MONTH($C374)=5,$S$4,IF(MONTH($C374)=6,$S$5,IF(MONTH($C374)=7,$S$6,"ERROR")))),MAX(VLOOKUP($C374,COS!$B$8:$K$991,10,FALSE)-IF(MONTH($C374)=4,$Y$3,IF(MONTH($C374)=5,$Y$4,IF(MONTH($C374)=6,$Y$5,IF(MONTH($C374)=7,$Y$6,"ERROR")))),0),MAX(VLOOKUP($C374,COS!$B$8:$K$991,9,FALSE)-IF(MONTH($C374)=4,$V$3,IF(MONTH($C374)=5,$V$4,IF(MONTH($C374)=6,$V$5,IF(MONTH($C374)=7,$V$6,"ERROR"))))-VLOOKUP($C374,COS!$B$8:$K$991,6,FALSE)/2,0))</f>
        <v>1500</v>
      </c>
      <c r="S374" s="30">
        <f t="shared" ref="S374:S377" si="600">R374*DAY($C374)*86400/43560/1000</f>
        <v>89.256198347107429</v>
      </c>
      <c r="T374" s="30">
        <f t="shared" ref="T374:T377" si="601">(O374+Q374)/2+S374</f>
        <v>116.29013611344266</v>
      </c>
      <c r="U374" s="30" t="str">
        <f>IF(VLOOKUP($C374,COS!$B$8:$I$991,8,FALSE)=1,"UWFE","IBU")</f>
        <v>UWFE</v>
      </c>
      <c r="V374" s="30">
        <f t="shared" ref="V374" si="602">MIN(IF(IF($AA$3=2,AND(E374=1,G374=1,L374=1,L379=1,M374=1,U374="IBU"),AND(E374=1,G374=1,L374=1,L379=1,M374=1)),T374,0),I374)</f>
        <v>0</v>
      </c>
      <c r="W374" s="30"/>
      <c r="X374" s="30"/>
      <c r="Y374" s="30"/>
      <c r="Z374" s="30"/>
      <c r="AA374" s="30"/>
      <c r="AB374" s="31"/>
    </row>
    <row r="375" spans="1:28" x14ac:dyDescent="0.3">
      <c r="A375" s="32">
        <f>VLOOKUP(YEAR(C375),Flags!$A$13:$B$95,2,FALSE)</f>
        <v>3</v>
      </c>
      <c r="B375" s="24">
        <f t="shared" si="535"/>
        <v>1962</v>
      </c>
      <c r="C375" s="25">
        <v>22797</v>
      </c>
      <c r="D375" s="26">
        <f>VLOOKUP($C375,COS!$B$8:$H$991,3,FALSE)</f>
        <v>8163.22021484375</v>
      </c>
      <c r="E375" s="24">
        <f>IF(D375&gt;=IF(MONTH($C375)=4,$C$3,IF(MONTH($C375)=5,$C$4,IF(MONTH($C375)=6,$C$5,IF(MONTH($C375)=7,$C$6,"ERROR")))),1,0)</f>
        <v>1</v>
      </c>
      <c r="F375" s="26">
        <f>VLOOKUP($C375,COS!$B$8:$H$991,7,FALSE)</f>
        <v>49.783451080322266</v>
      </c>
      <c r="G375" s="24">
        <f>IF(F375&lt;=IF(MONTH($C375)=4,$F$3,IF(MONTH($C375)=5,$F$4,IF(MONTH($C375)=6,$F$5,IF(MONTH($C375)=7,$F$6,"ERROR")))),1,0)</f>
        <v>1</v>
      </c>
      <c r="H375" s="26">
        <f>IF(J375=1,D375-$C$4,0)</f>
        <v>2163.22021484375</v>
      </c>
      <c r="I375" s="26">
        <f t="shared" si="558"/>
        <v>133.01122643336777</v>
      </c>
      <c r="J375" s="24">
        <f t="shared" si="595"/>
        <v>1</v>
      </c>
      <c r="K375" s="26">
        <f>VLOOKUP($C375,COS!$B$8:$H$991,2,FALSE)</f>
        <v>4418.89453125</v>
      </c>
      <c r="L375" s="24">
        <f t="shared" si="537"/>
        <v>1</v>
      </c>
      <c r="M375" s="24">
        <f t="shared" si="538"/>
        <v>0</v>
      </c>
      <c r="N375" s="26">
        <f>VLOOKUP($C375,COS!$B$8:$H$991,5,FALSE)</f>
        <v>657.1561279296875</v>
      </c>
      <c r="O375" s="26">
        <f t="shared" si="598"/>
        <v>40.406955304106404</v>
      </c>
      <c r="P375" s="26">
        <f>VLOOKUP($C375,COS!$B$8:$H$991,6,FALSE)</f>
        <v>2288.578369140625</v>
      </c>
      <c r="Q375" s="26">
        <f t="shared" si="599"/>
        <v>140.71919889591942</v>
      </c>
      <c r="R375" s="26">
        <f>MIN(IF(MONTH($C375)=4,$S$3,IF(MONTH($C375)=5,$S$4,IF(MONTH($C375)=6,$S$5,IF(MONTH($C375)=7,$S$6,"ERROR")))),MAX(VLOOKUP($C375,COS!$B$8:$K$991,10,FALSE)-IF(MONTH($C375)=4,$Y$3,IF(MONTH($C375)=5,$Y$4,IF(MONTH($C375)=6,$Y$5,IF(MONTH($C375)=7,$Y$6,"ERROR")))),0),MAX(VLOOKUP($C375,COS!$B$8:$K$991,9,FALSE)-IF(MONTH($C375)=4,$V$3,IF(MONTH($C375)=5,$V$4,IF(MONTH($C375)=6,$V$5,IF(MONTH($C375)=7,$V$6,"ERROR"))))-VLOOKUP($C375,COS!$B$8:$K$991,6,FALSE)/2,0))</f>
        <v>1500</v>
      </c>
      <c r="S375" s="26">
        <f t="shared" si="600"/>
        <v>92.231404958677686</v>
      </c>
      <c r="T375" s="26">
        <f t="shared" si="601"/>
        <v>182.79448205869062</v>
      </c>
      <c r="U375" s="26" t="str">
        <f>IF(VLOOKUP($C375,COS!$B$8:$I$991,8,FALSE)=1,"UWFE","IBU")</f>
        <v>UWFE</v>
      </c>
      <c r="V375" s="26">
        <f t="shared" ref="V375" si="603">MIN(IF(IF($AA$3=2,AND(E375=1,G375=1,L375=1,L379=1,M375=1,U375="IBU"),AND(E375=1,G375=1,L375=1,L379=1,M375=1)),T375,0),I375)</f>
        <v>0</v>
      </c>
      <c r="W375" s="26"/>
      <c r="X375" s="26"/>
      <c r="Y375" s="26"/>
      <c r="Z375" s="26"/>
      <c r="AA375" s="26"/>
      <c r="AB375" s="33"/>
    </row>
    <row r="376" spans="1:28" x14ac:dyDescent="0.3">
      <c r="A376" s="32">
        <f>VLOOKUP(YEAR(C376),Flags!$A$13:$B$95,2,FALSE)</f>
        <v>3</v>
      </c>
      <c r="B376" s="24">
        <f t="shared" si="535"/>
        <v>1962</v>
      </c>
      <c r="C376" s="25">
        <v>22827</v>
      </c>
      <c r="D376" s="26">
        <f>VLOOKUP($C376,COS!$B$8:$H$991,3,FALSE)</f>
        <v>9541.0107421875</v>
      </c>
      <c r="E376" s="24">
        <f>IF(D376&gt;=IF(MONTH($C376)=4,$C$3,IF(MONTH($C376)=5,$C$4,IF(MONTH($C376)=6,$C$5,IF(MONTH($C376)=7,$C$6,"ERROR")))),1,0)</f>
        <v>0</v>
      </c>
      <c r="F376" s="26">
        <f>VLOOKUP($C376,COS!$B$8:$H$991,7,FALSE)</f>
        <v>50.677501678466797</v>
      </c>
      <c r="G376" s="24">
        <f>IF(F376&lt;=IF(MONTH($C376)=4,$F$3,IF(MONTH($C376)=5,$F$4,IF(MONTH($C376)=6,$F$5,IF(MONTH($C376)=7,$F$6,"ERROR")))),1,0)</f>
        <v>1</v>
      </c>
      <c r="H376" s="26">
        <f>IF(J376=1,D376-$C$5,0)</f>
        <v>0</v>
      </c>
      <c r="I376" s="26">
        <f t="shared" si="558"/>
        <v>0</v>
      </c>
      <c r="J376" s="24">
        <f t="shared" si="595"/>
        <v>0</v>
      </c>
      <c r="K376" s="26">
        <f>VLOOKUP($C376,COS!$B$8:$H$991,2,FALSE)</f>
        <v>4081.933837890625</v>
      </c>
      <c r="L376" s="24">
        <f t="shared" si="537"/>
        <v>1</v>
      </c>
      <c r="M376" s="24">
        <f t="shared" si="538"/>
        <v>0</v>
      </c>
      <c r="N376" s="26">
        <f>VLOOKUP($C376,COS!$B$8:$H$991,5,FALSE)</f>
        <v>805.975830078125</v>
      </c>
      <c r="O376" s="26">
        <f t="shared" si="598"/>
        <v>47.95889236828512</v>
      </c>
      <c r="P376" s="26">
        <f>VLOOKUP($C376,COS!$B$8:$H$991,6,FALSE)</f>
        <v>2523.65283203125</v>
      </c>
      <c r="Q376" s="26">
        <f t="shared" si="599"/>
        <v>150.1677718233471</v>
      </c>
      <c r="R376" s="26">
        <f>MIN(IF(MONTH($C376)=4,$S$3,IF(MONTH($C376)=5,$S$4,IF(MONTH($C376)=6,$S$5,IF(MONTH($C376)=7,$S$6,"ERROR")))),MAX(VLOOKUP($C376,COS!$B$8:$K$991,10,FALSE)-IF(MONTH($C376)=4,$Y$3,IF(MONTH($C376)=5,$Y$4,IF(MONTH($C376)=6,$Y$5,IF(MONTH($C376)=7,$Y$6,"ERROR")))),0),MAX(VLOOKUP($C376,COS!$B$8:$K$991,9,FALSE)-IF(MONTH($C376)=4,$V$3,IF(MONTH($C376)=5,$V$4,IF(MONTH($C376)=6,$V$5,IF(MONTH($C376)=7,$V$6,"ERROR"))))-VLOOKUP($C376,COS!$B$8:$K$991,6,FALSE)/2,0))</f>
        <v>1500</v>
      </c>
      <c r="S376" s="26">
        <f t="shared" si="600"/>
        <v>89.256198347107429</v>
      </c>
      <c r="T376" s="26">
        <f t="shared" si="601"/>
        <v>188.31953044292354</v>
      </c>
      <c r="U376" s="26" t="str">
        <f>IF(VLOOKUP($C376,COS!$B$8:$I$991,8,FALSE)=1,"UWFE","IBU")</f>
        <v>IBU</v>
      </c>
      <c r="V376" s="26">
        <f t="shared" ref="V376" si="604">MIN(IF(IF($AA$3=2,AND(E376=1,G376=1,L376=1,L379=1,M376=1,U376="IBU"),AND(E376=1,G376=1,L376=1,L379=1,M376=1)),T376,0),I376)</f>
        <v>0</v>
      </c>
      <c r="W376" s="26"/>
      <c r="X376" s="26"/>
      <c r="Y376" s="26"/>
      <c r="Z376" s="26"/>
      <c r="AA376" s="26"/>
      <c r="AB376" s="33"/>
    </row>
    <row r="377" spans="1:28" x14ac:dyDescent="0.3">
      <c r="A377" s="32">
        <f>VLOOKUP(YEAR(C377),Flags!$A$13:$B$95,2,FALSE)</f>
        <v>3</v>
      </c>
      <c r="B377" s="24">
        <f t="shared" si="535"/>
        <v>1962</v>
      </c>
      <c r="C377" s="25">
        <v>22858</v>
      </c>
      <c r="D377" s="26">
        <f>VLOOKUP($C377,COS!$B$8:$H$991,3,FALSE)</f>
        <v>15542.783203125</v>
      </c>
      <c r="E377" s="24">
        <f>IF(D377&gt;=IF(MONTH($C377)=4,$C$3,IF(MONTH($C377)=5,$C$4,IF(MONTH($C377)=6,$C$5,IF(MONTH($C377)=7,$C$6,"ERROR")))),1,0)</f>
        <v>1</v>
      </c>
      <c r="F377" s="26">
        <f>VLOOKUP($C377,COS!$B$8:$H$991,7,FALSE)</f>
        <v>50.507843017578125</v>
      </c>
      <c r="G377" s="24">
        <f>IF(F377&lt;=IF(MONTH($C377)=4,$F$3,IF(MONTH($C377)=5,$F$4,IF(MONTH($C377)=6,$F$5,IF(MONTH($C377)=7,$F$6,"ERROR")))),1,0)</f>
        <v>1</v>
      </c>
      <c r="H377" s="26">
        <f>IF(J377=1,D377-$C$6,0)</f>
        <v>3542.783203125</v>
      </c>
      <c r="I377" s="26">
        <f t="shared" si="558"/>
        <v>217.83724819214873</v>
      </c>
      <c r="J377" s="24">
        <f t="shared" si="595"/>
        <v>1</v>
      </c>
      <c r="K377" s="26">
        <f>VLOOKUP($C377,COS!$B$8:$H$991,2,FALSE)</f>
        <v>3381.171142578125</v>
      </c>
      <c r="L377" s="24">
        <f t="shared" si="537"/>
        <v>1</v>
      </c>
      <c r="M377" s="24">
        <f t="shared" si="538"/>
        <v>0</v>
      </c>
      <c r="N377" s="26">
        <f>VLOOKUP($C377,COS!$B$8:$H$991,5,FALSE)</f>
        <v>930.34075927734375</v>
      </c>
      <c r="O377" s="26">
        <f t="shared" si="598"/>
        <v>57.20442354564824</v>
      </c>
      <c r="P377" s="26">
        <f>VLOOKUP($C377,COS!$B$8:$H$991,6,FALSE)</f>
        <v>2537.385498046875</v>
      </c>
      <c r="Q377" s="26">
        <f t="shared" si="599"/>
        <v>156.01775293775825</v>
      </c>
      <c r="R377" s="26">
        <f>MIN(IF(MONTH($C377)=4,$S$3,IF(MONTH($C377)=5,$S$4,IF(MONTH($C377)=6,$S$5,IF(MONTH($C377)=7,$S$6,"ERROR")))),MAX(VLOOKUP($C377,COS!$B$8:$K$991,10,FALSE)-IF(MONTH($C377)=4,$Y$3,IF(MONTH($C377)=5,$Y$4,IF(MONTH($C377)=6,$Y$5,IF(MONTH($C377)=7,$Y$6,"ERROR")))),0),MAX(VLOOKUP($C377,COS!$B$8:$K$991,9,FALSE)-IF(MONTH($C377)=4,$V$3,IF(MONTH($C377)=5,$V$4,IF(MONTH($C377)=6,$V$5,IF(MONTH($C377)=7,$V$6,"ERROR"))))-VLOOKUP($C377,COS!$B$8:$K$991,6,FALSE)/2,0))</f>
        <v>1500</v>
      </c>
      <c r="S377" s="26">
        <f t="shared" si="600"/>
        <v>92.231404958677686</v>
      </c>
      <c r="T377" s="26">
        <f t="shared" si="601"/>
        <v>198.84249320038094</v>
      </c>
      <c r="U377" s="26" t="str">
        <f>IF(VLOOKUP($C377,COS!$B$8:$I$991,8,FALSE)=1,"UWFE","IBU")</f>
        <v>IBU</v>
      </c>
      <c r="V377" s="26">
        <f t="shared" ref="V377" si="605">MIN(IF(IF($AA$3=2,AND(E377=1,G377=1,L377=1,L379=1,M377=1,U377="IBU"),AND(E377=1,G377=1,L377=1,L379=1,M377=1)),T377,0),I377)</f>
        <v>0</v>
      </c>
      <c r="W377" s="26"/>
      <c r="X377" s="26"/>
      <c r="Y377" s="26"/>
      <c r="Z377" s="26"/>
      <c r="AA377" s="26"/>
      <c r="AB377" s="33"/>
    </row>
    <row r="378" spans="1:28" x14ac:dyDescent="0.3">
      <c r="A378" s="32">
        <f>VLOOKUP(YEAR(C378),Flags!$A$13:$B$95,2,FALSE)</f>
        <v>3</v>
      </c>
      <c r="B378" s="24">
        <f t="shared" si="535"/>
        <v>1962</v>
      </c>
      <c r="C378" s="25">
        <v>22889</v>
      </c>
      <c r="D378" s="26"/>
      <c r="E378" s="24"/>
      <c r="F378" s="26"/>
      <c r="G378" s="24"/>
      <c r="H378" s="24"/>
      <c r="I378" s="26"/>
      <c r="J378" s="24"/>
      <c r="K378" s="26"/>
      <c r="L378" s="24"/>
      <c r="M378" s="24"/>
      <c r="N378" s="26"/>
      <c r="O378" s="26"/>
      <c r="P378" s="26"/>
      <c r="Q378" s="26"/>
      <c r="R378" s="26"/>
      <c r="S378" s="26"/>
      <c r="T378" s="26"/>
      <c r="U378" s="26"/>
      <c r="V378" s="26"/>
      <c r="W378" s="26">
        <f>MAX($C$7-VLOOKUP($C378,COS!$B$8:$H$991,3,FALSE),0)</f>
        <v>2502.505859375</v>
      </c>
      <c r="X378" s="26">
        <f t="shared" si="562"/>
        <v>153.8730875516529</v>
      </c>
      <c r="Y378" s="26">
        <f>VLOOKUP($C378,COS!$B$8:$H$991,4,FALSE)</f>
        <v>326.0140380859375</v>
      </c>
      <c r="Z378" s="26">
        <f t="shared" si="563"/>
        <v>20.045821845945248</v>
      </c>
      <c r="AA378" s="26">
        <f t="shared" ref="AA378:AA382" si="606">MIN(W378,Y378)</f>
        <v>326.0140380859375</v>
      </c>
      <c r="AB378" s="33">
        <f t="shared" ref="AB378" si="607">AA378*DAY($C378)*86400/43560/1000*IF(MONTH($C378)=8,$P$3,IF(MONTH($C378)=9,$P$4,IF(MONTH($C378)=10,$P$5,IF(MONTH($C378)=11,$P$6,IF(MONTH($C378)=12,$P$7,NA())))))</f>
        <v>20.045821845945248</v>
      </c>
    </row>
    <row r="379" spans="1:28" x14ac:dyDescent="0.3">
      <c r="A379" s="32">
        <f>VLOOKUP(YEAR(C379),Flags!$A$13:$B$95,2,FALSE)</f>
        <v>3</v>
      </c>
      <c r="B379" s="24">
        <f t="shared" si="535"/>
        <v>1962</v>
      </c>
      <c r="C379" s="25">
        <v>22919</v>
      </c>
      <c r="D379" s="26"/>
      <c r="E379" s="24"/>
      <c r="F379" s="26"/>
      <c r="G379" s="24"/>
      <c r="H379" s="24"/>
      <c r="I379" s="26"/>
      <c r="J379" s="24"/>
      <c r="K379" s="26">
        <f>VLOOKUP($C379,COS!$B$8:$H$991,2,FALSE)</f>
        <v>3012.717529296875</v>
      </c>
      <c r="L379" s="24">
        <f t="shared" ref="L379" si="608">IF(AND(K379&gt;$I$7,K379&lt;$I$8),1,0)</f>
        <v>1</v>
      </c>
      <c r="M379" s="24"/>
      <c r="N379" s="26"/>
      <c r="O379" s="26"/>
      <c r="P379" s="26"/>
      <c r="Q379" s="26"/>
      <c r="R379" s="26"/>
      <c r="S379" s="26"/>
      <c r="T379" s="26"/>
      <c r="U379" s="26"/>
      <c r="V379" s="26"/>
      <c r="W379" s="26">
        <f>MAX($C$8-VLOOKUP($C379,COS!$B$8:$H$991,3,FALSE),0)</f>
        <v>564.63525390625</v>
      </c>
      <c r="X379" s="26">
        <f t="shared" si="562"/>
        <v>33.598130810950408</v>
      </c>
      <c r="Y379" s="26">
        <f>VLOOKUP($C379,COS!$B$8:$H$991,4,FALSE)</f>
        <v>0</v>
      </c>
      <c r="Z379" s="26">
        <f t="shared" si="563"/>
        <v>0</v>
      </c>
      <c r="AA379" s="26">
        <f t="shared" si="606"/>
        <v>0</v>
      </c>
      <c r="AB379" s="33">
        <f t="shared" si="548"/>
        <v>0</v>
      </c>
    </row>
    <row r="380" spans="1:28" x14ac:dyDescent="0.3">
      <c r="A380" s="32">
        <f>VLOOKUP(YEAR(C380),Flags!$A$13:$B$95,2,FALSE)</f>
        <v>3</v>
      </c>
      <c r="B380" s="24">
        <f t="shared" si="535"/>
        <v>1962</v>
      </c>
      <c r="C380" s="25">
        <v>22950</v>
      </c>
      <c r="D380" s="26"/>
      <c r="E380" s="24"/>
      <c r="F380" s="26"/>
      <c r="G380" s="26"/>
      <c r="H380" s="26"/>
      <c r="I380" s="26"/>
      <c r="J380" s="26"/>
      <c r="K380" s="26"/>
      <c r="L380" s="24"/>
      <c r="M380" s="24"/>
      <c r="N380" s="26"/>
      <c r="O380" s="26"/>
      <c r="P380" s="26"/>
      <c r="Q380" s="26"/>
      <c r="R380" s="26"/>
      <c r="S380" s="26"/>
      <c r="T380" s="26"/>
      <c r="U380" s="26"/>
      <c r="V380" s="26"/>
      <c r="W380" s="26">
        <f>MAX($C$9-VLOOKUP($C380,COS!$B$8:$H$991,3,FALSE),0)</f>
        <v>0</v>
      </c>
      <c r="X380" s="26">
        <f t="shared" si="562"/>
        <v>0</v>
      </c>
      <c r="Y380" s="26">
        <f>VLOOKUP($C380,COS!$B$8:$H$991,4,FALSE)</f>
        <v>0</v>
      </c>
      <c r="Z380" s="26">
        <f t="shared" si="563"/>
        <v>0</v>
      </c>
      <c r="AA380" s="26">
        <f t="shared" si="606"/>
        <v>0</v>
      </c>
      <c r="AB380" s="33">
        <f t="shared" si="548"/>
        <v>0</v>
      </c>
    </row>
    <row r="381" spans="1:28" x14ac:dyDescent="0.3">
      <c r="A381" s="32">
        <f>VLOOKUP(YEAR(C381),Flags!$A$13:$B$95,2,FALSE)</f>
        <v>3</v>
      </c>
      <c r="B381" s="24">
        <f t="shared" si="535"/>
        <v>1962</v>
      </c>
      <c r="C381" s="25">
        <v>22980</v>
      </c>
      <c r="D381" s="26"/>
      <c r="E381" s="24"/>
      <c r="F381" s="26"/>
      <c r="G381" s="26"/>
      <c r="H381" s="26"/>
      <c r="I381" s="26"/>
      <c r="J381" s="26"/>
      <c r="K381" s="26"/>
      <c r="L381" s="24"/>
      <c r="M381" s="24"/>
      <c r="N381" s="26"/>
      <c r="O381" s="26"/>
      <c r="P381" s="26"/>
      <c r="Q381" s="26"/>
      <c r="R381" s="26"/>
      <c r="S381" s="26"/>
      <c r="T381" s="26"/>
      <c r="U381" s="26"/>
      <c r="V381" s="26"/>
      <c r="W381" s="26">
        <f>MAX($C$10-VLOOKUP($C381,COS!$B$8:$H$991,3,FALSE),0)</f>
        <v>0</v>
      </c>
      <c r="X381" s="26">
        <f t="shared" si="562"/>
        <v>0</v>
      </c>
      <c r="Y381" s="26">
        <f>VLOOKUP($C381,COS!$B$8:$H$991,4,FALSE)</f>
        <v>0</v>
      </c>
      <c r="Z381" s="26">
        <f t="shared" si="563"/>
        <v>0</v>
      </c>
      <c r="AA381" s="26">
        <f t="shared" si="606"/>
        <v>0</v>
      </c>
      <c r="AB381" s="33">
        <f t="shared" si="548"/>
        <v>0</v>
      </c>
    </row>
    <row r="382" spans="1:28" x14ac:dyDescent="0.3">
      <c r="A382" s="34">
        <f>VLOOKUP(YEAR(C382),Flags!$A$13:$B$95,2,FALSE)</f>
        <v>3</v>
      </c>
      <c r="B382" s="35">
        <f t="shared" si="535"/>
        <v>1962</v>
      </c>
      <c r="C382" s="36">
        <v>23011</v>
      </c>
      <c r="D382" s="37"/>
      <c r="E382" s="35"/>
      <c r="F382" s="37"/>
      <c r="G382" s="37"/>
      <c r="H382" s="37"/>
      <c r="I382" s="37"/>
      <c r="J382" s="37"/>
      <c r="K382" s="37"/>
      <c r="L382" s="35"/>
      <c r="M382" s="35"/>
      <c r="N382" s="37"/>
      <c r="O382" s="37"/>
      <c r="P382" s="37"/>
      <c r="Q382" s="37"/>
      <c r="R382" s="37"/>
      <c r="S382" s="37"/>
      <c r="T382" s="37"/>
      <c r="U382" s="37"/>
      <c r="V382" s="37"/>
      <c r="W382" s="37">
        <f>MAX($C$11-VLOOKUP($C382,COS!$B$8:$H$991,3,FALSE),0)</f>
        <v>0</v>
      </c>
      <c r="X382" s="37">
        <f t="shared" si="562"/>
        <v>0</v>
      </c>
      <c r="Y382" s="37">
        <f>VLOOKUP($C382,COS!$B$8:$H$991,4,FALSE)</f>
        <v>0</v>
      </c>
      <c r="Z382" s="37">
        <f t="shared" si="563"/>
        <v>0</v>
      </c>
      <c r="AA382" s="37">
        <f t="shared" si="606"/>
        <v>0</v>
      </c>
      <c r="AB382" s="38">
        <f t="shared" si="548"/>
        <v>0</v>
      </c>
    </row>
    <row r="383" spans="1:28" x14ac:dyDescent="0.3">
      <c r="A383" s="27">
        <f>VLOOKUP(YEAR(C383),Flags!$A$13:$B$95,2,FALSE)</f>
        <v>1</v>
      </c>
      <c r="B383" s="28">
        <f t="shared" si="535"/>
        <v>1963</v>
      </c>
      <c r="C383" s="29">
        <v>23131</v>
      </c>
      <c r="D383" s="30">
        <f>VLOOKUP($C383,COS!$B$8:$H$991,3,FALSE)</f>
        <v>30893.44921875</v>
      </c>
      <c r="E383" s="28">
        <f>IF(D383&gt;=IF(MONTH($C383)=4,$C$3,IF(MONTH($C383)=5,$C$4,IF(MONTH($C383)=6,$C$5,IF(MONTH($C383)=7,$C$6,"ERROR")))),1,0)</f>
        <v>1</v>
      </c>
      <c r="F383" s="30">
        <f>VLOOKUP($C383,COS!$B$8:$H$991,7,FALSE)</f>
        <v>48.021064758300781</v>
      </c>
      <c r="G383" s="28">
        <f>IF(F383&lt;=IF(MONTH($C383)=4,$F$3,IF(MONTH($C383)=5,$F$4,IF(MONTH($C383)=6,$F$5,IF(MONTH($C383)=7,$F$6,"ERROR")))),1,0)</f>
        <v>1</v>
      </c>
      <c r="H383" s="30">
        <f>IF(J383=1,D383-$C$3,0)</f>
        <v>24893.44921875</v>
      </c>
      <c r="I383" s="30">
        <f t="shared" si="558"/>
        <v>1481.2630940082643</v>
      </c>
      <c r="J383" s="28">
        <f t="shared" ref="J383:J386" si="609">IF(AND(E383=1,G383=1),1,0)</f>
        <v>1</v>
      </c>
      <c r="K383" s="30">
        <f>VLOOKUP($C383,COS!$B$8:$H$991,2,FALSE)</f>
        <v>4137</v>
      </c>
      <c r="L383" s="28">
        <f t="shared" ref="L383" si="610">IF(K383&lt;=IF(MONTH($C383)=4,$I$3,IF(MONTH($C383)=5,$I$4,IF(MONTH($C383)=6,$I$5,IF(MONTH($C383)=7,$I$6,"ERROR")))),1,0)</f>
        <v>1</v>
      </c>
      <c r="M383" s="28">
        <f t="shared" ref="M383" si="611">VLOOKUP($A383,$L$3:$M$7,2,FALSE)</f>
        <v>0</v>
      </c>
      <c r="N383" s="30">
        <f>VLOOKUP($C383,COS!$B$8:$H$991,5,FALSE)</f>
        <v>15.700532913208008</v>
      </c>
      <c r="O383" s="30">
        <f t="shared" ref="O383:O386" si="612">N383*DAY($C383)*86400/43560/1000</f>
        <v>0.93424658657105497</v>
      </c>
      <c r="P383" s="30">
        <f>VLOOKUP($C383,COS!$B$8:$H$991,6,FALSE)</f>
        <v>254.50013732910156</v>
      </c>
      <c r="Q383" s="30">
        <f t="shared" ref="Q383:Q386" si="613">P383*DAY($C383)*86400/43560/1000</f>
        <v>15.143809824541581</v>
      </c>
      <c r="R383" s="30">
        <f>MIN(IF(MONTH($C383)=4,$S$3,IF(MONTH($C383)=5,$S$4,IF(MONTH($C383)=6,$S$5,IF(MONTH($C383)=7,$S$6,"ERROR")))),MAX(VLOOKUP($C383,COS!$B$8:$K$991,10,FALSE)-IF(MONTH($C383)=4,$Y$3,IF(MONTH($C383)=5,$Y$4,IF(MONTH($C383)=6,$Y$5,IF(MONTH($C383)=7,$Y$6,"ERROR")))),0),MAX(VLOOKUP($C383,COS!$B$8:$K$991,9,FALSE)-IF(MONTH($C383)=4,$V$3,IF(MONTH($C383)=5,$V$4,IF(MONTH($C383)=6,$V$5,IF(MONTH($C383)=7,$V$6,"ERROR"))))-VLOOKUP($C383,COS!$B$8:$K$991,6,FALSE)/2,0))</f>
        <v>1500</v>
      </c>
      <c r="S383" s="30">
        <f t="shared" ref="S383:S386" si="614">R383*DAY($C383)*86400/43560/1000</f>
        <v>89.256198347107429</v>
      </c>
      <c r="T383" s="30">
        <f t="shared" ref="T383:T386" si="615">(O383+Q383)/2+S383</f>
        <v>97.295226552663749</v>
      </c>
      <c r="U383" s="30" t="str">
        <f>IF(VLOOKUP($C383,COS!$B$8:$I$991,8,FALSE)=1,"UWFE","IBU")</f>
        <v>UWFE</v>
      </c>
      <c r="V383" s="30">
        <f t="shared" ref="V383" si="616">MIN(IF(IF($AA$3=2,AND(E383=1,G383=1,L383=1,L388=1,M383=1,U383="IBU"),AND(E383=1,G383=1,L383=1,L388=1,M383=1)),T383,0),I383)</f>
        <v>0</v>
      </c>
      <c r="W383" s="30"/>
      <c r="X383" s="30"/>
      <c r="Y383" s="30"/>
      <c r="Z383" s="30"/>
      <c r="AA383" s="30"/>
      <c r="AB383" s="31"/>
    </row>
    <row r="384" spans="1:28" x14ac:dyDescent="0.3">
      <c r="A384" s="32">
        <f>VLOOKUP(YEAR(C384),Flags!$A$13:$B$95,2,FALSE)</f>
        <v>1</v>
      </c>
      <c r="B384" s="24">
        <f t="shared" si="535"/>
        <v>1963</v>
      </c>
      <c r="C384" s="25">
        <v>23162</v>
      </c>
      <c r="D384" s="26">
        <f>VLOOKUP($C384,COS!$B$8:$H$991,3,FALSE)</f>
        <v>4724.07177734375</v>
      </c>
      <c r="E384" s="24">
        <f>IF(D384&gt;=IF(MONTH($C384)=4,$C$3,IF(MONTH($C384)=5,$C$4,IF(MONTH($C384)=6,$C$5,IF(MONTH($C384)=7,$C$6,"ERROR")))),1,0)</f>
        <v>0</v>
      </c>
      <c r="F384" s="26">
        <f>VLOOKUP($C384,COS!$B$8:$H$991,7,FALSE)</f>
        <v>52.657608032226563</v>
      </c>
      <c r="G384" s="24">
        <f>IF(F384&lt;=IF(MONTH($C384)=4,$F$3,IF(MONTH($C384)=5,$F$4,IF(MONTH($C384)=6,$F$5,IF(MONTH($C384)=7,$F$6,"ERROR")))),1,0)</f>
        <v>1</v>
      </c>
      <c r="H384" s="26">
        <f>IF(J384=1,D384-$C$4,0)</f>
        <v>0</v>
      </c>
      <c r="I384" s="26">
        <f t="shared" si="558"/>
        <v>0</v>
      </c>
      <c r="J384" s="24">
        <f t="shared" si="609"/>
        <v>0</v>
      </c>
      <c r="K384" s="26">
        <f>VLOOKUP($C384,COS!$B$8:$H$991,2,FALSE)</f>
        <v>4552</v>
      </c>
      <c r="L384" s="24">
        <f t="shared" si="537"/>
        <v>1</v>
      </c>
      <c r="M384" s="24">
        <f t="shared" si="538"/>
        <v>0</v>
      </c>
      <c r="N384" s="26">
        <f>VLOOKUP($C384,COS!$B$8:$H$991,5,FALSE)</f>
        <v>528.83221435546875</v>
      </c>
      <c r="O384" s="26">
        <f t="shared" si="612"/>
        <v>32.516625411608985</v>
      </c>
      <c r="P384" s="26">
        <f>VLOOKUP($C384,COS!$B$8:$H$991,6,FALSE)</f>
        <v>2086.376220703125</v>
      </c>
      <c r="Q384" s="26">
        <f t="shared" si="613"/>
        <v>128.28627340521695</v>
      </c>
      <c r="R384" s="26">
        <f>MIN(IF(MONTH($C384)=4,$S$3,IF(MONTH($C384)=5,$S$4,IF(MONTH($C384)=6,$S$5,IF(MONTH($C384)=7,$S$6,"ERROR")))),MAX(VLOOKUP($C384,COS!$B$8:$K$991,10,FALSE)-IF(MONTH($C384)=4,$Y$3,IF(MONTH($C384)=5,$Y$4,IF(MONTH($C384)=6,$Y$5,IF(MONTH($C384)=7,$Y$6,"ERROR")))),0),MAX(VLOOKUP($C384,COS!$B$8:$K$991,9,FALSE)-IF(MONTH($C384)=4,$V$3,IF(MONTH($C384)=5,$V$4,IF(MONTH($C384)=6,$V$5,IF(MONTH($C384)=7,$V$6,"ERROR"))))-VLOOKUP($C384,COS!$B$8:$K$991,6,FALSE)/2,0))</f>
        <v>1500</v>
      </c>
      <c r="S384" s="26">
        <f t="shared" si="614"/>
        <v>92.231404958677686</v>
      </c>
      <c r="T384" s="26">
        <f t="shared" si="615"/>
        <v>172.63285436709066</v>
      </c>
      <c r="U384" s="26" t="str">
        <f>IF(VLOOKUP($C384,COS!$B$8:$I$991,8,FALSE)=1,"UWFE","IBU")</f>
        <v>UWFE</v>
      </c>
      <c r="V384" s="26">
        <f t="shared" ref="V384" si="617">MIN(IF(IF($AA$3=2,AND(E384=1,G384=1,L384=1,L388=1,M384=1,U384="IBU"),AND(E384=1,G384=1,L384=1,L388=1,M384=1)),T384,0),I384)</f>
        <v>0</v>
      </c>
      <c r="W384" s="26"/>
      <c r="X384" s="26"/>
      <c r="Y384" s="26"/>
      <c r="Z384" s="26"/>
      <c r="AA384" s="26"/>
      <c r="AB384" s="33"/>
    </row>
    <row r="385" spans="1:28" x14ac:dyDescent="0.3">
      <c r="A385" s="32">
        <f>VLOOKUP(YEAR(C385),Flags!$A$13:$B$95,2,FALSE)</f>
        <v>1</v>
      </c>
      <c r="B385" s="24">
        <f t="shared" si="535"/>
        <v>1963</v>
      </c>
      <c r="C385" s="25">
        <v>23192</v>
      </c>
      <c r="D385" s="26">
        <f>VLOOKUP($C385,COS!$B$8:$H$991,3,FALSE)</f>
        <v>8594.71875</v>
      </c>
      <c r="E385" s="24">
        <f>IF(D385&gt;=IF(MONTH($C385)=4,$C$3,IF(MONTH($C385)=5,$C$4,IF(MONTH($C385)=6,$C$5,IF(MONTH($C385)=7,$C$6,"ERROR")))),1,0)</f>
        <v>0</v>
      </c>
      <c r="F385" s="26">
        <f>VLOOKUP($C385,COS!$B$8:$H$991,7,FALSE)</f>
        <v>52.543663024902344</v>
      </c>
      <c r="G385" s="24">
        <f>IF(F385&lt;=IF(MONTH($C385)=4,$F$3,IF(MONTH($C385)=5,$F$4,IF(MONTH($C385)=6,$F$5,IF(MONTH($C385)=7,$F$6,"ERROR")))),1,0)</f>
        <v>1</v>
      </c>
      <c r="H385" s="26">
        <f>IF(J385=1,D385-$C$5,0)</f>
        <v>0</v>
      </c>
      <c r="I385" s="26">
        <f t="shared" si="558"/>
        <v>0</v>
      </c>
      <c r="J385" s="24">
        <f t="shared" si="609"/>
        <v>0</v>
      </c>
      <c r="K385" s="26">
        <f>VLOOKUP($C385,COS!$B$8:$H$991,2,FALSE)</f>
        <v>4318.48828125</v>
      </c>
      <c r="L385" s="24">
        <f t="shared" si="537"/>
        <v>1</v>
      </c>
      <c r="M385" s="24">
        <f t="shared" si="538"/>
        <v>0</v>
      </c>
      <c r="N385" s="26">
        <f>VLOOKUP($C385,COS!$B$8:$H$991,5,FALSE)</f>
        <v>1228.4559326171875</v>
      </c>
      <c r="O385" s="26">
        <f t="shared" si="612"/>
        <v>73.098204254907031</v>
      </c>
      <c r="P385" s="26">
        <f>VLOOKUP($C385,COS!$B$8:$H$991,6,FALSE)</f>
        <v>2324.6142578125</v>
      </c>
      <c r="Q385" s="26">
        <f t="shared" si="613"/>
        <v>138.3241541838843</v>
      </c>
      <c r="R385" s="26">
        <f>MIN(IF(MONTH($C385)=4,$S$3,IF(MONTH($C385)=5,$S$4,IF(MONTH($C385)=6,$S$5,IF(MONTH($C385)=7,$S$6,"ERROR")))),MAX(VLOOKUP($C385,COS!$B$8:$K$991,10,FALSE)-IF(MONTH($C385)=4,$Y$3,IF(MONTH($C385)=5,$Y$4,IF(MONTH($C385)=6,$Y$5,IF(MONTH($C385)=7,$Y$6,"ERROR")))),0),MAX(VLOOKUP($C385,COS!$B$8:$K$991,9,FALSE)-IF(MONTH($C385)=4,$V$3,IF(MONTH($C385)=5,$V$4,IF(MONTH($C385)=6,$V$5,IF(MONTH($C385)=7,$V$6,"ERROR"))))-VLOOKUP($C385,COS!$B$8:$K$991,6,FALSE)/2,0))</f>
        <v>1500</v>
      </c>
      <c r="S385" s="26">
        <f t="shared" si="614"/>
        <v>89.256198347107429</v>
      </c>
      <c r="T385" s="26">
        <f t="shared" si="615"/>
        <v>194.9673775665031</v>
      </c>
      <c r="U385" s="26" t="str">
        <f>IF(VLOOKUP($C385,COS!$B$8:$I$991,8,FALSE)=1,"UWFE","IBU")</f>
        <v>IBU</v>
      </c>
      <c r="V385" s="26">
        <f t="shared" ref="V385" si="618">MIN(IF(IF($AA$3=2,AND(E385=1,G385=1,L385=1,L388=1,M385=1,U385="IBU"),AND(E385=1,G385=1,L385=1,L388=1,M385=1)),T385,0),I385)</f>
        <v>0</v>
      </c>
      <c r="W385" s="26"/>
      <c r="X385" s="26"/>
      <c r="Y385" s="26"/>
      <c r="Z385" s="26"/>
      <c r="AA385" s="26"/>
      <c r="AB385" s="33"/>
    </row>
    <row r="386" spans="1:28" x14ac:dyDescent="0.3">
      <c r="A386" s="32">
        <f>VLOOKUP(YEAR(C386),Flags!$A$13:$B$95,2,FALSE)</f>
        <v>1</v>
      </c>
      <c r="B386" s="24">
        <f t="shared" si="535"/>
        <v>1963</v>
      </c>
      <c r="C386" s="25">
        <v>23223</v>
      </c>
      <c r="D386" s="26">
        <f>VLOOKUP($C386,COS!$B$8:$H$991,3,FALSE)</f>
        <v>16000</v>
      </c>
      <c r="E386" s="24">
        <f>IF(D386&gt;=IF(MONTH($C386)=4,$C$3,IF(MONTH($C386)=5,$C$4,IF(MONTH($C386)=6,$C$5,IF(MONTH($C386)=7,$C$6,"ERROR")))),1,0)</f>
        <v>1</v>
      </c>
      <c r="F386" s="26">
        <f>VLOOKUP($C386,COS!$B$8:$H$991,7,FALSE)</f>
        <v>52.109561920166016</v>
      </c>
      <c r="G386" s="24">
        <f>IF(F386&lt;=IF(MONTH($C386)=4,$F$3,IF(MONTH($C386)=5,$F$4,IF(MONTH($C386)=6,$F$5,IF(MONTH($C386)=7,$F$6,"ERROR")))),1,0)</f>
        <v>1</v>
      </c>
      <c r="H386" s="26">
        <f>IF(J386=1,D386-$C$6,0)</f>
        <v>4000</v>
      </c>
      <c r="I386" s="26">
        <f t="shared" si="558"/>
        <v>245.95041322314049</v>
      </c>
      <c r="J386" s="24">
        <f t="shared" si="609"/>
        <v>1</v>
      </c>
      <c r="K386" s="26">
        <f>VLOOKUP($C386,COS!$B$8:$H$991,2,FALSE)</f>
        <v>3649.526611328125</v>
      </c>
      <c r="L386" s="24">
        <f t="shared" si="537"/>
        <v>1</v>
      </c>
      <c r="M386" s="24">
        <f t="shared" si="538"/>
        <v>0</v>
      </c>
      <c r="N386" s="26">
        <f>VLOOKUP($C386,COS!$B$8:$H$991,5,FALSE)</f>
        <v>1381.7017822265625</v>
      </c>
      <c r="O386" s="26">
        <f t="shared" si="612"/>
        <v>84.957531072443174</v>
      </c>
      <c r="P386" s="26">
        <f>VLOOKUP($C386,COS!$B$8:$H$991,6,FALSE)</f>
        <v>2521.474853515625</v>
      </c>
      <c r="Q386" s="26">
        <f t="shared" si="613"/>
        <v>155.0394455384814</v>
      </c>
      <c r="R386" s="26">
        <f>MIN(IF(MONTH($C386)=4,$S$3,IF(MONTH($C386)=5,$S$4,IF(MONTH($C386)=6,$S$5,IF(MONTH($C386)=7,$S$6,"ERROR")))),MAX(VLOOKUP($C386,COS!$B$8:$K$991,10,FALSE)-IF(MONTH($C386)=4,$Y$3,IF(MONTH($C386)=5,$Y$4,IF(MONTH($C386)=6,$Y$5,IF(MONTH($C386)=7,$Y$6,"ERROR")))),0),MAX(VLOOKUP($C386,COS!$B$8:$K$991,9,FALSE)-IF(MONTH($C386)=4,$V$3,IF(MONTH($C386)=5,$V$4,IF(MONTH($C386)=6,$V$5,IF(MONTH($C386)=7,$V$6,"ERROR"))))-VLOOKUP($C386,COS!$B$8:$K$991,6,FALSE)/2,0))</f>
        <v>1500</v>
      </c>
      <c r="S386" s="26">
        <f t="shared" si="614"/>
        <v>92.231404958677686</v>
      </c>
      <c r="T386" s="26">
        <f t="shared" si="615"/>
        <v>212.22989326413997</v>
      </c>
      <c r="U386" s="26" t="str">
        <f>IF(VLOOKUP($C386,COS!$B$8:$I$991,8,FALSE)=1,"UWFE","IBU")</f>
        <v>IBU</v>
      </c>
      <c r="V386" s="26">
        <f t="shared" ref="V386" si="619">MIN(IF(IF($AA$3=2,AND(E386=1,G386=1,L386=1,L388=1,M386=1,U386="IBU"),AND(E386=1,G386=1,L386=1,L388=1,M386=1)),T386,0),I386)</f>
        <v>0</v>
      </c>
      <c r="W386" s="26"/>
      <c r="X386" s="26"/>
      <c r="Y386" s="26"/>
      <c r="Z386" s="26"/>
      <c r="AA386" s="26"/>
      <c r="AB386" s="33"/>
    </row>
    <row r="387" spans="1:28" x14ac:dyDescent="0.3">
      <c r="A387" s="32">
        <f>VLOOKUP(YEAR(C387),Flags!$A$13:$B$95,2,FALSE)</f>
        <v>1</v>
      </c>
      <c r="B387" s="24">
        <f t="shared" si="535"/>
        <v>1963</v>
      </c>
      <c r="C387" s="25">
        <v>23254</v>
      </c>
      <c r="D387" s="26"/>
      <c r="E387" s="24"/>
      <c r="F387" s="26"/>
      <c r="G387" s="24"/>
      <c r="H387" s="24"/>
      <c r="I387" s="26"/>
      <c r="J387" s="24"/>
      <c r="K387" s="26"/>
      <c r="L387" s="24"/>
      <c r="M387" s="24"/>
      <c r="N387" s="26"/>
      <c r="O387" s="26"/>
      <c r="P387" s="26"/>
      <c r="Q387" s="26"/>
      <c r="R387" s="26"/>
      <c r="S387" s="26"/>
      <c r="T387" s="26"/>
      <c r="U387" s="26"/>
      <c r="V387" s="26"/>
      <c r="W387" s="26">
        <f>MAX($C$7-VLOOKUP($C387,COS!$B$8:$H$991,3,FALSE),0)</f>
        <v>1287.853515625</v>
      </c>
      <c r="X387" s="26">
        <f t="shared" si="562"/>
        <v>79.187026084710737</v>
      </c>
      <c r="Y387" s="26">
        <f>VLOOKUP($C387,COS!$B$8:$H$991,4,FALSE)</f>
        <v>0</v>
      </c>
      <c r="Z387" s="26">
        <f t="shared" si="563"/>
        <v>0</v>
      </c>
      <c r="AA387" s="26">
        <f t="shared" ref="AA387:AA391" si="620">MIN(W387,Y387)</f>
        <v>0</v>
      </c>
      <c r="AB387" s="33">
        <f t="shared" ref="AB387" si="621">AA387*DAY($C387)*86400/43560/1000*IF(MONTH($C387)=8,$P$3,IF(MONTH($C387)=9,$P$4,IF(MONTH($C387)=10,$P$5,IF(MONTH($C387)=11,$P$6,IF(MONTH($C387)=12,$P$7,NA())))))</f>
        <v>0</v>
      </c>
    </row>
    <row r="388" spans="1:28" x14ac:dyDescent="0.3">
      <c r="A388" s="32">
        <f>VLOOKUP(YEAR(C388),Flags!$A$13:$B$95,2,FALSE)</f>
        <v>1</v>
      </c>
      <c r="B388" s="24">
        <f t="shared" si="535"/>
        <v>1963</v>
      </c>
      <c r="C388" s="25">
        <v>23284</v>
      </c>
      <c r="D388" s="26"/>
      <c r="E388" s="24"/>
      <c r="F388" s="26"/>
      <c r="G388" s="24"/>
      <c r="H388" s="24"/>
      <c r="I388" s="26"/>
      <c r="J388" s="24"/>
      <c r="K388" s="26">
        <f>VLOOKUP($C388,COS!$B$8:$H$991,2,FALSE)</f>
        <v>2718.105712890625</v>
      </c>
      <c r="L388" s="24">
        <f t="shared" ref="L388" si="622">IF(AND(K388&gt;$I$7,K388&lt;$I$8),1,0)</f>
        <v>1</v>
      </c>
      <c r="M388" s="24"/>
      <c r="N388" s="26"/>
      <c r="O388" s="26"/>
      <c r="P388" s="26"/>
      <c r="Q388" s="26"/>
      <c r="R388" s="26"/>
      <c r="S388" s="26"/>
      <c r="T388" s="26"/>
      <c r="U388" s="26"/>
      <c r="V388" s="26"/>
      <c r="W388" s="26">
        <f>MAX($C$8-VLOOKUP($C388,COS!$B$8:$H$991,3,FALSE),0)</f>
        <v>0</v>
      </c>
      <c r="X388" s="26">
        <f t="shared" si="562"/>
        <v>0</v>
      </c>
      <c r="Y388" s="26">
        <f>VLOOKUP($C388,COS!$B$8:$H$991,4,FALSE)</f>
        <v>0</v>
      </c>
      <c r="Z388" s="26">
        <f t="shared" si="563"/>
        <v>0</v>
      </c>
      <c r="AA388" s="26">
        <f t="shared" si="620"/>
        <v>0</v>
      </c>
      <c r="AB388" s="33">
        <f t="shared" si="548"/>
        <v>0</v>
      </c>
    </row>
    <row r="389" spans="1:28" x14ac:dyDescent="0.3">
      <c r="A389" s="32">
        <f>VLOOKUP(YEAR(C389),Flags!$A$13:$B$95,2,FALSE)</f>
        <v>1</v>
      </c>
      <c r="B389" s="24">
        <f t="shared" si="535"/>
        <v>1963</v>
      </c>
      <c r="C389" s="25">
        <v>23315</v>
      </c>
      <c r="D389" s="26"/>
      <c r="E389" s="24"/>
      <c r="F389" s="26"/>
      <c r="G389" s="26"/>
      <c r="H389" s="26"/>
      <c r="I389" s="26"/>
      <c r="J389" s="26"/>
      <c r="K389" s="26"/>
      <c r="L389" s="24"/>
      <c r="M389" s="24"/>
      <c r="N389" s="26"/>
      <c r="O389" s="26"/>
      <c r="P389" s="26"/>
      <c r="Q389" s="26"/>
      <c r="R389" s="26"/>
      <c r="S389" s="26"/>
      <c r="T389" s="26"/>
      <c r="U389" s="26"/>
      <c r="V389" s="26"/>
      <c r="W389" s="26">
        <f>MAX($C$9-VLOOKUP($C389,COS!$B$8:$H$991,3,FALSE),0)</f>
        <v>0</v>
      </c>
      <c r="X389" s="26">
        <f t="shared" si="562"/>
        <v>0</v>
      </c>
      <c r="Y389" s="26">
        <f>VLOOKUP($C389,COS!$B$8:$H$991,4,FALSE)</f>
        <v>1189.5572509765625</v>
      </c>
      <c r="Z389" s="26">
        <f t="shared" si="563"/>
        <v>73.143024357567143</v>
      </c>
      <c r="AA389" s="26">
        <f t="shared" si="620"/>
        <v>0</v>
      </c>
      <c r="AB389" s="33">
        <f t="shared" si="548"/>
        <v>0</v>
      </c>
    </row>
    <row r="390" spans="1:28" x14ac:dyDescent="0.3">
      <c r="A390" s="32">
        <f>VLOOKUP(YEAR(C390),Flags!$A$13:$B$95,2,FALSE)</f>
        <v>1</v>
      </c>
      <c r="B390" s="24">
        <f t="shared" si="535"/>
        <v>1963</v>
      </c>
      <c r="C390" s="25">
        <v>23345</v>
      </c>
      <c r="D390" s="26"/>
      <c r="E390" s="24"/>
      <c r="F390" s="26"/>
      <c r="G390" s="26"/>
      <c r="H390" s="26"/>
      <c r="I390" s="26"/>
      <c r="J390" s="26"/>
      <c r="K390" s="26"/>
      <c r="L390" s="24"/>
      <c r="M390" s="24"/>
      <c r="N390" s="26"/>
      <c r="O390" s="26"/>
      <c r="P390" s="26"/>
      <c r="Q390" s="26"/>
      <c r="R390" s="26"/>
      <c r="S390" s="26"/>
      <c r="T390" s="26"/>
      <c r="U390" s="26"/>
      <c r="V390" s="26"/>
      <c r="W390" s="26">
        <f>MAX($C$10-VLOOKUP($C390,COS!$B$8:$H$991,3,FALSE),0)</f>
        <v>0</v>
      </c>
      <c r="X390" s="26">
        <f t="shared" si="562"/>
        <v>0</v>
      </c>
      <c r="Y390" s="26">
        <f>VLOOKUP($C390,COS!$B$8:$H$991,4,FALSE)</f>
        <v>1109.0794677734375</v>
      </c>
      <c r="Z390" s="26">
        <f t="shared" si="563"/>
        <v>65.994811305526866</v>
      </c>
      <c r="AA390" s="26">
        <f t="shared" si="620"/>
        <v>0</v>
      </c>
      <c r="AB390" s="33">
        <f t="shared" si="548"/>
        <v>0</v>
      </c>
    </row>
    <row r="391" spans="1:28" x14ac:dyDescent="0.3">
      <c r="A391" s="34">
        <f>VLOOKUP(YEAR(C391),Flags!$A$13:$B$95,2,FALSE)</f>
        <v>1</v>
      </c>
      <c r="B391" s="35">
        <f t="shared" si="535"/>
        <v>1963</v>
      </c>
      <c r="C391" s="36">
        <v>23376</v>
      </c>
      <c r="D391" s="37"/>
      <c r="E391" s="35"/>
      <c r="F391" s="37"/>
      <c r="G391" s="37"/>
      <c r="H391" s="37"/>
      <c r="I391" s="37"/>
      <c r="J391" s="37"/>
      <c r="K391" s="37"/>
      <c r="L391" s="35"/>
      <c r="M391" s="35"/>
      <c r="N391" s="37"/>
      <c r="O391" s="37"/>
      <c r="P391" s="37"/>
      <c r="Q391" s="37"/>
      <c r="R391" s="37"/>
      <c r="S391" s="37"/>
      <c r="T391" s="37"/>
      <c r="U391" s="37"/>
      <c r="V391" s="37"/>
      <c r="W391" s="37">
        <f>MAX($C$11-VLOOKUP($C391,COS!$B$8:$H$991,3,FALSE),0)</f>
        <v>1750</v>
      </c>
      <c r="X391" s="37">
        <f t="shared" si="562"/>
        <v>107.60330578512398</v>
      </c>
      <c r="Y391" s="37">
        <f>VLOOKUP($C391,COS!$B$8:$H$991,4,FALSE)</f>
        <v>347.96035766601563</v>
      </c>
      <c r="Z391" s="37">
        <f t="shared" si="563"/>
        <v>21.395248438307078</v>
      </c>
      <c r="AA391" s="37">
        <f t="shared" si="620"/>
        <v>347.96035766601563</v>
      </c>
      <c r="AB391" s="38">
        <f t="shared" si="548"/>
        <v>21.395248438307078</v>
      </c>
    </row>
    <row r="392" spans="1:28" x14ac:dyDescent="0.3">
      <c r="A392" s="27">
        <f>VLOOKUP(YEAR(C392),Flags!$A$13:$B$95,2,FALSE)</f>
        <v>4</v>
      </c>
      <c r="B392" s="28">
        <f t="shared" si="535"/>
        <v>1964</v>
      </c>
      <c r="C392" s="29">
        <v>23497</v>
      </c>
      <c r="D392" s="30">
        <f>VLOOKUP($C392,COS!$B$8:$H$991,3,FALSE)</f>
        <v>6091.94580078125</v>
      </c>
      <c r="E392" s="28">
        <f>IF(D392&gt;=IF(MONTH($C392)=4,$C$3,IF(MONTH($C392)=5,$C$4,IF(MONTH($C392)=6,$C$5,IF(MONTH($C392)=7,$C$6,"ERROR")))),1,0)</f>
        <v>1</v>
      </c>
      <c r="F392" s="30">
        <f>VLOOKUP($C392,COS!$B$8:$H$991,7,FALSE)</f>
        <v>49.550472259521484</v>
      </c>
      <c r="G392" s="28">
        <f>IF(F392&lt;=IF(MONTH($C392)=4,$F$3,IF(MONTH($C392)=5,$F$4,IF(MONTH($C392)=6,$F$5,IF(MONTH($C392)=7,$F$6,"ERROR")))),1,0)</f>
        <v>1</v>
      </c>
      <c r="H392" s="30">
        <f>IF(J392=1,D392-$C$3,0)</f>
        <v>91.94580078125</v>
      </c>
      <c r="I392" s="30">
        <f t="shared" si="558"/>
        <v>5.4711550878099171</v>
      </c>
      <c r="J392" s="28">
        <f t="shared" ref="J392:J395" si="623">IF(AND(E392=1,G392=1),1,0)</f>
        <v>1</v>
      </c>
      <c r="K392" s="30">
        <f>VLOOKUP($C392,COS!$B$8:$H$991,2,FALSE)</f>
        <v>3746.64306640625</v>
      </c>
      <c r="L392" s="28">
        <f t="shared" ref="L392" si="624">IF(K392&lt;=IF(MONTH($C392)=4,$I$3,IF(MONTH($C392)=5,$I$4,IF(MONTH($C392)=6,$I$5,IF(MONTH($C392)=7,$I$6,"ERROR")))),1,0)</f>
        <v>1</v>
      </c>
      <c r="M392" s="28">
        <f t="shared" ref="M392" si="625">VLOOKUP($A392,$L$3:$M$7,2,FALSE)</f>
        <v>1</v>
      </c>
      <c r="N392" s="30">
        <f>VLOOKUP($C392,COS!$B$8:$H$991,5,FALSE)</f>
        <v>316.77880859375</v>
      </c>
      <c r="O392" s="30">
        <f t="shared" ref="O392:O395" si="626">N392*DAY($C392)*86400/43560/1000</f>
        <v>18.849648114669421</v>
      </c>
      <c r="P392" s="30">
        <f>VLOOKUP($C392,COS!$B$8:$H$991,6,FALSE)</f>
        <v>564.8997802734375</v>
      </c>
      <c r="Q392" s="30">
        <f t="shared" ref="Q392:Q395" si="627">P392*DAY($C392)*86400/43560/1000</f>
        <v>33.613871222882231</v>
      </c>
      <c r="R392" s="30">
        <f>MIN(IF(MONTH($C392)=4,$S$3,IF(MONTH($C392)=5,$S$4,IF(MONTH($C392)=6,$S$5,IF(MONTH($C392)=7,$S$6,"ERROR")))),MAX(VLOOKUP($C392,COS!$B$8:$K$991,10,FALSE)-IF(MONTH($C392)=4,$Y$3,IF(MONTH($C392)=5,$Y$4,IF(MONTH($C392)=6,$Y$5,IF(MONTH($C392)=7,$Y$6,"ERROR")))),0),MAX(VLOOKUP($C392,COS!$B$8:$K$991,9,FALSE)-IF(MONTH($C392)=4,$V$3,IF(MONTH($C392)=5,$V$4,IF(MONTH($C392)=6,$V$5,IF(MONTH($C392)=7,$V$6,"ERROR"))))-VLOOKUP($C392,COS!$B$8:$K$991,6,FALSE)/2,0))</f>
        <v>1500</v>
      </c>
      <c r="S392" s="30">
        <f t="shared" ref="S392:S395" si="628">R392*DAY($C392)*86400/43560/1000</f>
        <v>89.256198347107429</v>
      </c>
      <c r="T392" s="30">
        <f t="shared" ref="T392:T395" si="629">(O392+Q392)/2+S392</f>
        <v>115.48795801588325</v>
      </c>
      <c r="U392" s="30" t="str">
        <f>IF(VLOOKUP($C392,COS!$B$8:$I$991,8,FALSE)=1,"UWFE","IBU")</f>
        <v>UWFE</v>
      </c>
      <c r="V392" s="30">
        <f t="shared" ref="V392" si="630">MIN(IF(IF($AA$3=2,AND(E392=1,G392=1,L392=1,L397=1,M392=1,U392="IBU"),AND(E392=1,G392=1,L392=1,L397=1,M392=1)),T392,0),I392)</f>
        <v>0</v>
      </c>
      <c r="W392" s="30"/>
      <c r="X392" s="30"/>
      <c r="Y392" s="30"/>
      <c r="Z392" s="30"/>
      <c r="AA392" s="30"/>
      <c r="AB392" s="31"/>
    </row>
    <row r="393" spans="1:28" x14ac:dyDescent="0.3">
      <c r="A393" s="32">
        <f>VLOOKUP(YEAR(C393),Flags!$A$13:$B$95,2,FALSE)</f>
        <v>4</v>
      </c>
      <c r="B393" s="24">
        <f t="shared" si="535"/>
        <v>1964</v>
      </c>
      <c r="C393" s="25">
        <v>23528</v>
      </c>
      <c r="D393" s="26">
        <f>VLOOKUP($C393,COS!$B$8:$H$991,3,FALSE)</f>
        <v>6700.63427734375</v>
      </c>
      <c r="E393" s="24">
        <f>IF(D393&gt;=IF(MONTH($C393)=4,$C$3,IF(MONTH($C393)=5,$C$4,IF(MONTH($C393)=6,$C$5,IF(MONTH($C393)=7,$C$6,"ERROR")))),1,0)</f>
        <v>1</v>
      </c>
      <c r="F393" s="26">
        <f>VLOOKUP($C393,COS!$B$8:$H$991,7,FALSE)</f>
        <v>50.719039916992188</v>
      </c>
      <c r="G393" s="24">
        <f>IF(F393&lt;=IF(MONTH($C393)=4,$F$3,IF(MONTH($C393)=5,$F$4,IF(MONTH($C393)=6,$F$5,IF(MONTH($C393)=7,$F$6,"ERROR")))),1,0)</f>
        <v>1</v>
      </c>
      <c r="H393" s="26">
        <f>IF(J393=1,D393-$C$4,0)</f>
        <v>700.63427734375</v>
      </c>
      <c r="I393" s="26">
        <f t="shared" si="558"/>
        <v>43.080322507747937</v>
      </c>
      <c r="J393" s="24">
        <f t="shared" si="623"/>
        <v>1</v>
      </c>
      <c r="K393" s="26">
        <f>VLOOKUP($C393,COS!$B$8:$H$991,2,FALSE)</f>
        <v>3609.5830078125</v>
      </c>
      <c r="L393" s="24">
        <f t="shared" si="537"/>
        <v>1</v>
      </c>
      <c r="M393" s="24">
        <f t="shared" si="538"/>
        <v>1</v>
      </c>
      <c r="N393" s="26">
        <f>VLOOKUP($C393,COS!$B$8:$H$991,5,FALSE)</f>
        <v>332.74734497070313</v>
      </c>
      <c r="O393" s="26">
        <f t="shared" si="626"/>
        <v>20.459836748611828</v>
      </c>
      <c r="P393" s="26">
        <f>VLOOKUP($C393,COS!$B$8:$H$991,6,FALSE)</f>
        <v>2309.841796875</v>
      </c>
      <c r="Q393" s="26">
        <f t="shared" si="627"/>
        <v>142.02663610537189</v>
      </c>
      <c r="R393" s="26">
        <f>MIN(IF(MONTH($C393)=4,$S$3,IF(MONTH($C393)=5,$S$4,IF(MONTH($C393)=6,$S$5,IF(MONTH($C393)=7,$S$6,"ERROR")))),MAX(VLOOKUP($C393,COS!$B$8:$K$991,10,FALSE)-IF(MONTH($C393)=4,$Y$3,IF(MONTH($C393)=5,$Y$4,IF(MONTH($C393)=6,$Y$5,IF(MONTH($C393)=7,$Y$6,"ERROR")))),0),MAX(VLOOKUP($C393,COS!$B$8:$K$991,9,FALSE)-IF(MONTH($C393)=4,$V$3,IF(MONTH($C393)=5,$V$4,IF(MONTH($C393)=6,$V$5,IF(MONTH($C393)=7,$V$6,"ERROR"))))-VLOOKUP($C393,COS!$B$8:$K$991,6,FALSE)/2,0))</f>
        <v>1500</v>
      </c>
      <c r="S393" s="26">
        <f t="shared" si="628"/>
        <v>92.231404958677686</v>
      </c>
      <c r="T393" s="26">
        <f t="shared" si="629"/>
        <v>173.47464138566954</v>
      </c>
      <c r="U393" s="26" t="str">
        <f>IF(VLOOKUP($C393,COS!$B$8:$I$991,8,FALSE)=1,"UWFE","IBU")</f>
        <v>UWFE</v>
      </c>
      <c r="V393" s="26">
        <f t="shared" ref="V393" si="631">MIN(IF(IF($AA$3=2,AND(E393=1,G393=1,L393=1,L397=1,M393=1,U393="IBU"),AND(E393=1,G393=1,L393=1,L397=1,M393=1)),T393,0),I393)</f>
        <v>0</v>
      </c>
      <c r="W393" s="26"/>
      <c r="X393" s="26"/>
      <c r="Y393" s="26"/>
      <c r="Z393" s="26"/>
      <c r="AA393" s="26"/>
      <c r="AB393" s="33"/>
    </row>
    <row r="394" spans="1:28" x14ac:dyDescent="0.3">
      <c r="A394" s="32">
        <f>VLOOKUP(YEAR(C394),Flags!$A$13:$B$95,2,FALSE)</f>
        <v>4</v>
      </c>
      <c r="B394" s="24">
        <f t="shared" si="535"/>
        <v>1964</v>
      </c>
      <c r="C394" s="25">
        <v>23558</v>
      </c>
      <c r="D394" s="26">
        <f>VLOOKUP($C394,COS!$B$8:$H$991,3,FALSE)</f>
        <v>8947.9150390625</v>
      </c>
      <c r="E394" s="24">
        <f>IF(D394&gt;=IF(MONTH($C394)=4,$C$3,IF(MONTH($C394)=5,$C$4,IF(MONTH($C394)=6,$C$5,IF(MONTH($C394)=7,$C$6,"ERROR")))),1,0)</f>
        <v>0</v>
      </c>
      <c r="F394" s="26">
        <f>VLOOKUP($C394,COS!$B$8:$H$991,7,FALSE)</f>
        <v>51.899105072021484</v>
      </c>
      <c r="G394" s="24">
        <f>IF(F394&lt;=IF(MONTH($C394)=4,$F$3,IF(MONTH($C394)=5,$F$4,IF(MONTH($C394)=6,$F$5,IF(MONTH($C394)=7,$F$6,"ERROR")))),1,0)</f>
        <v>1</v>
      </c>
      <c r="H394" s="26">
        <f>IF(J394=1,D394-$C$5,0)</f>
        <v>0</v>
      </c>
      <c r="I394" s="26">
        <f t="shared" si="558"/>
        <v>0</v>
      </c>
      <c r="J394" s="24">
        <f t="shared" si="623"/>
        <v>0</v>
      </c>
      <c r="K394" s="26">
        <f>VLOOKUP($C394,COS!$B$8:$H$991,2,FALSE)</f>
        <v>3402.844970703125</v>
      </c>
      <c r="L394" s="24">
        <f t="shared" si="537"/>
        <v>1</v>
      </c>
      <c r="M394" s="24">
        <f t="shared" si="538"/>
        <v>1</v>
      </c>
      <c r="N394" s="26">
        <f>VLOOKUP($C394,COS!$B$8:$H$991,5,FALSE)</f>
        <v>359.117431640625</v>
      </c>
      <c r="O394" s="26">
        <f t="shared" si="626"/>
        <v>21.368971138946282</v>
      </c>
      <c r="P394" s="26">
        <f>VLOOKUP($C394,COS!$B$8:$H$991,6,FALSE)</f>
        <v>2607.746826171875</v>
      </c>
      <c r="Q394" s="26">
        <f t="shared" si="627"/>
        <v>155.17171197055785</v>
      </c>
      <c r="R394" s="26">
        <f>MIN(IF(MONTH($C394)=4,$S$3,IF(MONTH($C394)=5,$S$4,IF(MONTH($C394)=6,$S$5,IF(MONTH($C394)=7,$S$6,"ERROR")))),MAX(VLOOKUP($C394,COS!$B$8:$K$991,10,FALSE)-IF(MONTH($C394)=4,$Y$3,IF(MONTH($C394)=5,$Y$4,IF(MONTH($C394)=6,$Y$5,IF(MONTH($C394)=7,$Y$6,"ERROR")))),0),MAX(VLOOKUP($C394,COS!$B$8:$K$991,9,FALSE)-IF(MONTH($C394)=4,$V$3,IF(MONTH($C394)=5,$V$4,IF(MONTH($C394)=6,$V$5,IF(MONTH($C394)=7,$V$6,"ERROR"))))-VLOOKUP($C394,COS!$B$8:$K$991,6,FALSE)/2,0))</f>
        <v>1500</v>
      </c>
      <c r="S394" s="26">
        <f t="shared" si="628"/>
        <v>89.256198347107429</v>
      </c>
      <c r="T394" s="26">
        <f t="shared" si="629"/>
        <v>177.52653990185951</v>
      </c>
      <c r="U394" s="26" t="str">
        <f>IF(VLOOKUP($C394,COS!$B$8:$I$991,8,FALSE)=1,"UWFE","IBU")</f>
        <v>IBU</v>
      </c>
      <c r="V394" s="26">
        <f t="shared" ref="V394" si="632">MIN(IF(IF($AA$3=2,AND(E394=1,G394=1,L394=1,L397=1,M394=1,U394="IBU"),AND(E394=1,G394=1,L394=1,L397=1,M394=1)),T394,0),I394)</f>
        <v>0</v>
      </c>
      <c r="W394" s="26"/>
      <c r="X394" s="26"/>
      <c r="Y394" s="26"/>
      <c r="Z394" s="26"/>
      <c r="AA394" s="26"/>
      <c r="AB394" s="33"/>
    </row>
    <row r="395" spans="1:28" x14ac:dyDescent="0.3">
      <c r="A395" s="32">
        <f>VLOOKUP(YEAR(C395),Flags!$A$13:$B$95,2,FALSE)</f>
        <v>4</v>
      </c>
      <c r="B395" s="24">
        <f t="shared" si="535"/>
        <v>1964</v>
      </c>
      <c r="C395" s="25">
        <v>23589</v>
      </c>
      <c r="D395" s="26">
        <f>VLOOKUP($C395,COS!$B$8:$H$991,3,FALSE)</f>
        <v>14511.1044921875</v>
      </c>
      <c r="E395" s="24">
        <f>IF(D395&gt;=IF(MONTH($C395)=4,$C$3,IF(MONTH($C395)=5,$C$4,IF(MONTH($C395)=6,$C$5,IF(MONTH($C395)=7,$C$6,"ERROR")))),1,0)</f>
        <v>1</v>
      </c>
      <c r="F395" s="26">
        <f>VLOOKUP($C395,COS!$B$8:$H$991,7,FALSE)</f>
        <v>52.263500213623047</v>
      </c>
      <c r="G395" s="24">
        <f>IF(F395&lt;=IF(MONTH($C395)=4,$F$3,IF(MONTH($C395)=5,$F$4,IF(MONTH($C395)=6,$F$5,IF(MONTH($C395)=7,$F$6,"ERROR")))),1,0)</f>
        <v>1</v>
      </c>
      <c r="H395" s="26">
        <f>IF(J395=1,D395-$C$6,0)</f>
        <v>2511.1044921875</v>
      </c>
      <c r="I395" s="26">
        <f t="shared" si="558"/>
        <v>154.401796875</v>
      </c>
      <c r="J395" s="24">
        <f t="shared" si="623"/>
        <v>1</v>
      </c>
      <c r="K395" s="26">
        <f>VLOOKUP($C395,COS!$B$8:$H$991,2,FALSE)</f>
        <v>2786.120361328125</v>
      </c>
      <c r="L395" s="24">
        <f t="shared" si="537"/>
        <v>1</v>
      </c>
      <c r="M395" s="24">
        <f t="shared" si="538"/>
        <v>1</v>
      </c>
      <c r="N395" s="26">
        <f>VLOOKUP($C395,COS!$B$8:$H$991,5,FALSE)</f>
        <v>422.46829223632813</v>
      </c>
      <c r="O395" s="26">
        <f t="shared" si="626"/>
        <v>25.976562762299842</v>
      </c>
      <c r="P395" s="26">
        <f>VLOOKUP($C395,COS!$B$8:$H$991,6,FALSE)</f>
        <v>2533.61962890625</v>
      </c>
      <c r="Q395" s="26">
        <f t="shared" si="627"/>
        <v>155.78619866993802</v>
      </c>
      <c r="R395" s="26">
        <f>MIN(IF(MONTH($C395)=4,$S$3,IF(MONTH($C395)=5,$S$4,IF(MONTH($C395)=6,$S$5,IF(MONTH($C395)=7,$S$6,"ERROR")))),MAX(VLOOKUP($C395,COS!$B$8:$K$991,10,FALSE)-IF(MONTH($C395)=4,$Y$3,IF(MONTH($C395)=5,$Y$4,IF(MONTH($C395)=6,$Y$5,IF(MONTH($C395)=7,$Y$6,"ERROR")))),0),MAX(VLOOKUP($C395,COS!$B$8:$K$991,9,FALSE)-IF(MONTH($C395)=4,$V$3,IF(MONTH($C395)=5,$V$4,IF(MONTH($C395)=6,$V$5,IF(MONTH($C395)=7,$V$6,"ERROR"))))-VLOOKUP($C395,COS!$B$8:$K$991,6,FALSE)/2,0))</f>
        <v>1500</v>
      </c>
      <c r="S395" s="26">
        <f t="shared" si="628"/>
        <v>92.231404958677686</v>
      </c>
      <c r="T395" s="26">
        <f t="shared" si="629"/>
        <v>183.11278567479661</v>
      </c>
      <c r="U395" s="26" t="str">
        <f>IF(VLOOKUP($C395,COS!$B$8:$I$991,8,FALSE)=1,"UWFE","IBU")</f>
        <v>IBU</v>
      </c>
      <c r="V395" s="26">
        <f t="shared" ref="V395" si="633">MIN(IF(IF($AA$3=2,AND(E395=1,G395=1,L395=1,L397=1,M395=1,U395="IBU"),AND(E395=1,G395=1,L395=1,L397=1,M395=1)),T395,0),I395)</f>
        <v>154.401796875</v>
      </c>
      <c r="W395" s="26"/>
      <c r="X395" s="26"/>
      <c r="Y395" s="26"/>
      <c r="Z395" s="26"/>
      <c r="AA395" s="26"/>
      <c r="AB395" s="33"/>
    </row>
    <row r="396" spans="1:28" x14ac:dyDescent="0.3">
      <c r="A396" s="32">
        <f>VLOOKUP(YEAR(C396),Flags!$A$13:$B$95,2,FALSE)</f>
        <v>4</v>
      </c>
      <c r="B396" s="24">
        <f t="shared" si="535"/>
        <v>1964</v>
      </c>
      <c r="C396" s="25">
        <v>23620</v>
      </c>
      <c r="D396" s="26"/>
      <c r="E396" s="24"/>
      <c r="F396" s="26"/>
      <c r="G396" s="24"/>
      <c r="H396" s="24"/>
      <c r="I396" s="26"/>
      <c r="J396" s="24"/>
      <c r="K396" s="26"/>
      <c r="L396" s="24"/>
      <c r="M396" s="24"/>
      <c r="N396" s="26"/>
      <c r="O396" s="26"/>
      <c r="P396" s="26"/>
      <c r="Q396" s="26"/>
      <c r="R396" s="26"/>
      <c r="S396" s="26"/>
      <c r="T396" s="26"/>
      <c r="U396" s="26"/>
      <c r="V396" s="26"/>
      <c r="W396" s="26">
        <f>MAX($C$7-VLOOKUP($C396,COS!$B$8:$H$991,3,FALSE),0)</f>
        <v>3195.7255859375</v>
      </c>
      <c r="X396" s="26">
        <f t="shared" si="562"/>
        <v>196.49750710227275</v>
      </c>
      <c r="Y396" s="26">
        <f>VLOOKUP($C396,COS!$B$8:$H$991,4,FALSE)</f>
        <v>771.8970947265625</v>
      </c>
      <c r="Z396" s="26">
        <f t="shared" si="563"/>
        <v>47.462102353434915</v>
      </c>
      <c r="AA396" s="26">
        <f t="shared" ref="AA396:AA400" si="634">MIN(W396,Y396)</f>
        <v>771.8970947265625</v>
      </c>
      <c r="AB396" s="33">
        <f t="shared" ref="AB396" si="635">AA396*DAY($C396)*86400/43560/1000*IF(MONTH($C396)=8,$P$3,IF(MONTH($C396)=9,$P$4,IF(MONTH($C396)=10,$P$5,IF(MONTH($C396)=11,$P$6,IF(MONTH($C396)=12,$P$7,NA())))))</f>
        <v>47.462102353434915</v>
      </c>
    </row>
    <row r="397" spans="1:28" x14ac:dyDescent="0.3">
      <c r="A397" s="32">
        <f>VLOOKUP(YEAR(C397),Flags!$A$13:$B$95,2,FALSE)</f>
        <v>4</v>
      </c>
      <c r="B397" s="24">
        <f t="shared" si="535"/>
        <v>1964</v>
      </c>
      <c r="C397" s="25">
        <v>23650</v>
      </c>
      <c r="D397" s="26"/>
      <c r="E397" s="24"/>
      <c r="F397" s="26"/>
      <c r="G397" s="24"/>
      <c r="H397" s="24"/>
      <c r="I397" s="26"/>
      <c r="J397" s="24"/>
      <c r="K397" s="26">
        <f>VLOOKUP($C397,COS!$B$8:$H$991,2,FALSE)</f>
        <v>2475.959716796875</v>
      </c>
      <c r="L397" s="24">
        <f t="shared" ref="L397" si="636">IF(AND(K397&gt;$I$7,K397&lt;$I$8),1,0)</f>
        <v>1</v>
      </c>
      <c r="M397" s="24"/>
      <c r="N397" s="26"/>
      <c r="O397" s="26"/>
      <c r="P397" s="26"/>
      <c r="Q397" s="26"/>
      <c r="R397" s="26"/>
      <c r="S397" s="26"/>
      <c r="T397" s="26"/>
      <c r="U397" s="26"/>
      <c r="V397" s="26"/>
      <c r="W397" s="26">
        <f>MAX($C$8-VLOOKUP($C397,COS!$B$8:$H$991,3,FALSE),0)</f>
        <v>1001.587890625</v>
      </c>
      <c r="X397" s="26">
        <f t="shared" si="562"/>
        <v>59.598618285123962</v>
      </c>
      <c r="Y397" s="26">
        <f>VLOOKUP($C397,COS!$B$8:$H$991,4,FALSE)</f>
        <v>1010.355224609375</v>
      </c>
      <c r="Z397" s="26">
        <f t="shared" si="563"/>
        <v>60.120310885847111</v>
      </c>
      <c r="AA397" s="26">
        <f t="shared" si="634"/>
        <v>1001.587890625</v>
      </c>
      <c r="AB397" s="33">
        <f t="shared" si="548"/>
        <v>59.598618285123962</v>
      </c>
    </row>
    <row r="398" spans="1:28" x14ac:dyDescent="0.3">
      <c r="A398" s="32">
        <f>VLOOKUP(YEAR(C398),Flags!$A$13:$B$95,2,FALSE)</f>
        <v>4</v>
      </c>
      <c r="B398" s="24">
        <f t="shared" si="535"/>
        <v>1964</v>
      </c>
      <c r="C398" s="25">
        <v>23681</v>
      </c>
      <c r="D398" s="26"/>
      <c r="E398" s="24"/>
      <c r="F398" s="26"/>
      <c r="G398" s="26"/>
      <c r="H398" s="26"/>
      <c r="I398" s="26"/>
      <c r="J398" s="26"/>
      <c r="K398" s="26"/>
      <c r="L398" s="24"/>
      <c r="M398" s="24"/>
      <c r="N398" s="26"/>
      <c r="O398" s="26"/>
      <c r="P398" s="26"/>
      <c r="Q398" s="26"/>
      <c r="R398" s="26"/>
      <c r="S398" s="26"/>
      <c r="T398" s="26"/>
      <c r="U398" s="26"/>
      <c r="V398" s="26"/>
      <c r="W398" s="26">
        <f>MAX($C$9-VLOOKUP($C398,COS!$B$8:$H$991,3,FALSE),0)</f>
        <v>0</v>
      </c>
      <c r="X398" s="26">
        <f t="shared" si="562"/>
        <v>0</v>
      </c>
      <c r="Y398" s="26">
        <f>VLOOKUP($C398,COS!$B$8:$H$991,4,FALSE)</f>
        <v>1503.157470703125</v>
      </c>
      <c r="Z398" s="26">
        <f t="shared" si="563"/>
        <v>92.425550264721082</v>
      </c>
      <c r="AA398" s="26">
        <f t="shared" si="634"/>
        <v>0</v>
      </c>
      <c r="AB398" s="33">
        <f t="shared" si="548"/>
        <v>0</v>
      </c>
    </row>
    <row r="399" spans="1:28" x14ac:dyDescent="0.3">
      <c r="A399" s="32">
        <f>VLOOKUP(YEAR(C399),Flags!$A$13:$B$95,2,FALSE)</f>
        <v>4</v>
      </c>
      <c r="B399" s="24">
        <f t="shared" ref="B399:B462" si="637">YEAR(C399)</f>
        <v>1964</v>
      </c>
      <c r="C399" s="25">
        <v>23711</v>
      </c>
      <c r="D399" s="26"/>
      <c r="E399" s="24"/>
      <c r="F399" s="26"/>
      <c r="G399" s="26"/>
      <c r="H399" s="26"/>
      <c r="I399" s="26"/>
      <c r="J399" s="26"/>
      <c r="K399" s="26"/>
      <c r="L399" s="24"/>
      <c r="M399" s="24"/>
      <c r="N399" s="26"/>
      <c r="O399" s="26"/>
      <c r="P399" s="26"/>
      <c r="Q399" s="26"/>
      <c r="R399" s="26"/>
      <c r="S399" s="26"/>
      <c r="T399" s="26"/>
      <c r="U399" s="26"/>
      <c r="V399" s="26"/>
      <c r="W399" s="26">
        <f>MAX($C$10-VLOOKUP($C399,COS!$B$8:$H$991,3,FALSE),0)</f>
        <v>1750</v>
      </c>
      <c r="X399" s="26">
        <f t="shared" si="562"/>
        <v>104.13223140495867</v>
      </c>
      <c r="Y399" s="26">
        <f>VLOOKUP($C399,COS!$B$8:$H$991,4,FALSE)</f>
        <v>1991.6624755859375</v>
      </c>
      <c r="Z399" s="26">
        <f t="shared" si="563"/>
        <v>118.51214730759297</v>
      </c>
      <c r="AA399" s="26">
        <f t="shared" si="634"/>
        <v>1750</v>
      </c>
      <c r="AB399" s="33">
        <f t="shared" si="548"/>
        <v>104.13223140495867</v>
      </c>
    </row>
    <row r="400" spans="1:28" x14ac:dyDescent="0.3">
      <c r="A400" s="34">
        <f>VLOOKUP(YEAR(C400),Flags!$A$13:$B$95,2,FALSE)</f>
        <v>4</v>
      </c>
      <c r="B400" s="35">
        <f t="shared" si="637"/>
        <v>1964</v>
      </c>
      <c r="C400" s="36">
        <v>23742</v>
      </c>
      <c r="D400" s="37"/>
      <c r="E400" s="35"/>
      <c r="F400" s="37"/>
      <c r="G400" s="37"/>
      <c r="H400" s="37"/>
      <c r="I400" s="37"/>
      <c r="J400" s="37"/>
      <c r="K400" s="37"/>
      <c r="L400" s="35"/>
      <c r="M400" s="35"/>
      <c r="N400" s="37"/>
      <c r="O400" s="37"/>
      <c r="P400" s="37"/>
      <c r="Q400" s="37"/>
      <c r="R400" s="37"/>
      <c r="S400" s="37"/>
      <c r="T400" s="37"/>
      <c r="U400" s="37"/>
      <c r="V400" s="37"/>
      <c r="W400" s="37">
        <f>MAX($C$11-VLOOKUP($C400,COS!$B$8:$H$991,3,FALSE),0)</f>
        <v>0</v>
      </c>
      <c r="X400" s="37">
        <f t="shared" si="562"/>
        <v>0</v>
      </c>
      <c r="Y400" s="37">
        <f>VLOOKUP($C400,COS!$B$8:$H$991,4,FALSE)</f>
        <v>0</v>
      </c>
      <c r="Z400" s="37">
        <f t="shared" si="563"/>
        <v>0</v>
      </c>
      <c r="AA400" s="37">
        <f t="shared" si="634"/>
        <v>0</v>
      </c>
      <c r="AB400" s="38">
        <f t="shared" si="548"/>
        <v>0</v>
      </c>
    </row>
    <row r="401" spans="1:28" x14ac:dyDescent="0.3">
      <c r="A401" s="27">
        <f>VLOOKUP(YEAR(C401),Flags!$A$13:$B$95,2,FALSE)</f>
        <v>1</v>
      </c>
      <c r="B401" s="28">
        <f t="shared" si="637"/>
        <v>1965</v>
      </c>
      <c r="C401" s="29">
        <v>23862</v>
      </c>
      <c r="D401" s="30">
        <f>VLOOKUP($C401,COS!$B$8:$H$991,3,FALSE)</f>
        <v>6748.35888671875</v>
      </c>
      <c r="E401" s="28">
        <f>IF(D401&gt;=IF(MONTH($C401)=4,$C$3,IF(MONTH($C401)=5,$C$4,IF(MONTH($C401)=6,$C$5,IF(MONTH($C401)=7,$C$6,"ERROR")))),1,0)</f>
        <v>1</v>
      </c>
      <c r="F401" s="30">
        <f>VLOOKUP($C401,COS!$B$8:$H$991,7,FALSE)</f>
        <v>46.947509765625</v>
      </c>
      <c r="G401" s="28">
        <f>IF(F401&lt;=IF(MONTH($C401)=4,$F$3,IF(MONTH($C401)=5,$F$4,IF(MONTH($C401)=6,$F$5,IF(MONTH($C401)=7,$F$6,"ERROR")))),1,0)</f>
        <v>1</v>
      </c>
      <c r="H401" s="30">
        <f>IF(J401=1,D401-$C$3,0)</f>
        <v>748.35888671875</v>
      </c>
      <c r="I401" s="30">
        <f t="shared" si="558"/>
        <v>44.530446151859508</v>
      </c>
      <c r="J401" s="28">
        <f t="shared" ref="J401:J404" si="638">IF(AND(E401=1,G401=1),1,0)</f>
        <v>1</v>
      </c>
      <c r="K401" s="30">
        <f>VLOOKUP($C401,COS!$B$8:$H$991,2,FALSE)</f>
        <v>4500</v>
      </c>
      <c r="L401" s="28">
        <f t="shared" ref="L401:L458" si="639">IF(K401&lt;=IF(MONTH($C401)=4,$I$3,IF(MONTH($C401)=5,$I$4,IF(MONTH($C401)=6,$I$5,IF(MONTH($C401)=7,$I$6,"ERROR")))),1,0)</f>
        <v>1</v>
      </c>
      <c r="M401" s="28">
        <f t="shared" ref="M401:M458" si="640">VLOOKUP($A401,$L$3:$M$7,2,FALSE)</f>
        <v>0</v>
      </c>
      <c r="N401" s="30">
        <f>VLOOKUP($C401,COS!$B$8:$H$991,5,FALSE)</f>
        <v>15.99506664276123</v>
      </c>
      <c r="O401" s="30">
        <f t="shared" ref="O401:O404" si="641">N401*DAY($C401)*86400/43560/1000</f>
        <v>0.95177256056099879</v>
      </c>
      <c r="P401" s="30">
        <f>VLOOKUP($C401,COS!$B$8:$H$991,6,FALSE)</f>
        <v>409.699951171875</v>
      </c>
      <c r="Q401" s="30">
        <f t="shared" ref="Q401:Q404" si="642">P401*DAY($C401)*86400/43560/1000</f>
        <v>24.378840069731407</v>
      </c>
      <c r="R401" s="30">
        <f>MIN(IF(MONTH($C401)=4,$S$3,IF(MONTH($C401)=5,$S$4,IF(MONTH($C401)=6,$S$5,IF(MONTH($C401)=7,$S$6,"ERROR")))),MAX(VLOOKUP($C401,COS!$B$8:$K$991,10,FALSE)-IF(MONTH($C401)=4,$Y$3,IF(MONTH($C401)=5,$Y$4,IF(MONTH($C401)=6,$Y$5,IF(MONTH($C401)=7,$Y$6,"ERROR")))),0),MAX(VLOOKUP($C401,COS!$B$8:$K$991,9,FALSE)-IF(MONTH($C401)=4,$V$3,IF(MONTH($C401)=5,$V$4,IF(MONTH($C401)=6,$V$5,IF(MONTH($C401)=7,$V$6,"ERROR"))))-VLOOKUP($C401,COS!$B$8:$K$991,6,FALSE)/2,0))</f>
        <v>1500</v>
      </c>
      <c r="S401" s="30">
        <f t="shared" ref="S401:S404" si="643">R401*DAY($C401)*86400/43560/1000</f>
        <v>89.256198347107429</v>
      </c>
      <c r="T401" s="30">
        <f t="shared" ref="T401:T404" si="644">(O401+Q401)/2+S401</f>
        <v>101.92150466225362</v>
      </c>
      <c r="U401" s="30" t="str">
        <f>IF(VLOOKUP($C401,COS!$B$8:$I$991,8,FALSE)=1,"UWFE","IBU")</f>
        <v>UWFE</v>
      </c>
      <c r="V401" s="30">
        <f t="shared" ref="V401" si="645">MIN(IF(IF($AA$3=2,AND(E401=1,G401=1,L401=1,L406=1,M401=1,U401="IBU"),AND(E401=1,G401=1,L401=1,L406=1,M401=1)),T401,0),I401)</f>
        <v>0</v>
      </c>
      <c r="W401" s="30"/>
      <c r="X401" s="30"/>
      <c r="Y401" s="30"/>
      <c r="Z401" s="30"/>
      <c r="AA401" s="30"/>
      <c r="AB401" s="31"/>
    </row>
    <row r="402" spans="1:28" x14ac:dyDescent="0.3">
      <c r="A402" s="32">
        <f>VLOOKUP(YEAR(C402),Flags!$A$13:$B$95,2,FALSE)</f>
        <v>1</v>
      </c>
      <c r="B402" s="24">
        <f t="shared" si="637"/>
        <v>1965</v>
      </c>
      <c r="C402" s="25">
        <v>23893</v>
      </c>
      <c r="D402" s="26">
        <f>VLOOKUP($C402,COS!$B$8:$H$991,3,FALSE)</f>
        <v>6685.54638671875</v>
      </c>
      <c r="E402" s="24">
        <f>IF(D402&gt;=IF(MONTH($C402)=4,$C$3,IF(MONTH($C402)=5,$C$4,IF(MONTH($C402)=6,$C$5,IF(MONTH($C402)=7,$C$6,"ERROR")))),1,0)</f>
        <v>1</v>
      </c>
      <c r="F402" s="26">
        <f>VLOOKUP($C402,COS!$B$8:$H$991,7,FALSE)</f>
        <v>49.095413208007813</v>
      </c>
      <c r="G402" s="24">
        <f>IF(F402&lt;=IF(MONTH($C402)=4,$F$3,IF(MONTH($C402)=5,$F$4,IF(MONTH($C402)=6,$F$5,IF(MONTH($C402)=7,$F$6,"ERROR")))),1,0)</f>
        <v>1</v>
      </c>
      <c r="H402" s="26">
        <f>IF(J402=1,D402-$C$4,0)</f>
        <v>685.54638671875</v>
      </c>
      <c r="I402" s="26">
        <f t="shared" si="558"/>
        <v>42.152604274276861</v>
      </c>
      <c r="J402" s="24">
        <f t="shared" si="638"/>
        <v>1</v>
      </c>
      <c r="K402" s="26">
        <f>VLOOKUP($C402,COS!$B$8:$H$991,2,FALSE)</f>
        <v>4530.5419921875</v>
      </c>
      <c r="L402" s="24">
        <f t="shared" si="639"/>
        <v>1</v>
      </c>
      <c r="M402" s="24">
        <f t="shared" si="640"/>
        <v>0</v>
      </c>
      <c r="N402" s="26">
        <f>VLOOKUP($C402,COS!$B$8:$H$991,5,FALSE)</f>
        <v>633.97503662109375</v>
      </c>
      <c r="O402" s="26">
        <f t="shared" si="641"/>
        <v>38.981605557528411</v>
      </c>
      <c r="P402" s="26">
        <f>VLOOKUP($C402,COS!$B$8:$H$991,6,FALSE)</f>
        <v>2257.9951171875</v>
      </c>
      <c r="Q402" s="26">
        <f t="shared" si="642"/>
        <v>138.83870803202478</v>
      </c>
      <c r="R402" s="26">
        <f>MIN(IF(MONTH($C402)=4,$S$3,IF(MONTH($C402)=5,$S$4,IF(MONTH($C402)=6,$S$5,IF(MONTH($C402)=7,$S$6,"ERROR")))),MAX(VLOOKUP($C402,COS!$B$8:$K$991,10,FALSE)-IF(MONTH($C402)=4,$Y$3,IF(MONTH($C402)=5,$Y$4,IF(MONTH($C402)=6,$Y$5,IF(MONTH($C402)=7,$Y$6,"ERROR")))),0),MAX(VLOOKUP($C402,COS!$B$8:$K$991,9,FALSE)-IF(MONTH($C402)=4,$V$3,IF(MONTH($C402)=5,$V$4,IF(MONTH($C402)=6,$V$5,IF(MONTH($C402)=7,$V$6,"ERROR"))))-VLOOKUP($C402,COS!$B$8:$K$991,6,FALSE)/2,0))</f>
        <v>1500</v>
      </c>
      <c r="S402" s="26">
        <f t="shared" si="643"/>
        <v>92.231404958677686</v>
      </c>
      <c r="T402" s="26">
        <f t="shared" si="644"/>
        <v>181.14156175345428</v>
      </c>
      <c r="U402" s="26" t="str">
        <f>IF(VLOOKUP($C402,COS!$B$8:$I$991,8,FALSE)=1,"UWFE","IBU")</f>
        <v>UWFE</v>
      </c>
      <c r="V402" s="26">
        <f t="shared" ref="V402" si="646">MIN(IF(IF($AA$3=2,AND(E402=1,G402=1,L402=1,L406=1,M402=1,U402="IBU"),AND(E402=1,G402=1,L402=1,L406=1,M402=1)),T402,0),I402)</f>
        <v>0</v>
      </c>
      <c r="W402" s="26"/>
      <c r="X402" s="26"/>
      <c r="Y402" s="26"/>
      <c r="Z402" s="26"/>
      <c r="AA402" s="26"/>
      <c r="AB402" s="33"/>
    </row>
    <row r="403" spans="1:28" x14ac:dyDescent="0.3">
      <c r="A403" s="32">
        <f>VLOOKUP(YEAR(C403),Flags!$A$13:$B$95,2,FALSE)</f>
        <v>1</v>
      </c>
      <c r="B403" s="24">
        <f t="shared" si="637"/>
        <v>1965</v>
      </c>
      <c r="C403" s="25">
        <v>23923</v>
      </c>
      <c r="D403" s="26">
        <f>VLOOKUP($C403,COS!$B$8:$H$991,3,FALSE)</f>
        <v>8087.30908203125</v>
      </c>
      <c r="E403" s="24">
        <f>IF(D403&gt;=IF(MONTH($C403)=4,$C$3,IF(MONTH($C403)=5,$C$4,IF(MONTH($C403)=6,$C$5,IF(MONTH($C403)=7,$C$6,"ERROR")))),1,0)</f>
        <v>0</v>
      </c>
      <c r="F403" s="26">
        <f>VLOOKUP($C403,COS!$B$8:$H$991,7,FALSE)</f>
        <v>49.536151885986328</v>
      </c>
      <c r="G403" s="24">
        <f>IF(F403&lt;=IF(MONTH($C403)=4,$F$3,IF(MONTH($C403)=5,$F$4,IF(MONTH($C403)=6,$F$5,IF(MONTH($C403)=7,$F$6,"ERROR")))),1,0)</f>
        <v>1</v>
      </c>
      <c r="H403" s="26">
        <f>IF(J403=1,D403-$C$5,0)</f>
        <v>0</v>
      </c>
      <c r="I403" s="26">
        <f t="shared" si="558"/>
        <v>0</v>
      </c>
      <c r="J403" s="24">
        <f t="shared" si="638"/>
        <v>0</v>
      </c>
      <c r="K403" s="26">
        <f>VLOOKUP($C403,COS!$B$8:$H$991,2,FALSE)</f>
        <v>4283.341796875</v>
      </c>
      <c r="L403" s="24">
        <f t="shared" si="639"/>
        <v>1</v>
      </c>
      <c r="M403" s="24">
        <f t="shared" si="640"/>
        <v>0</v>
      </c>
      <c r="N403" s="26">
        <f>VLOOKUP($C403,COS!$B$8:$H$991,5,FALSE)</f>
        <v>838.3341064453125</v>
      </c>
      <c r="O403" s="26">
        <f t="shared" si="641"/>
        <v>49.884343524018597</v>
      </c>
      <c r="P403" s="26">
        <f>VLOOKUP($C403,COS!$B$8:$H$991,6,FALSE)</f>
        <v>2334.416015625</v>
      </c>
      <c r="Q403" s="26">
        <f t="shared" si="642"/>
        <v>138.90739927685951</v>
      </c>
      <c r="R403" s="26">
        <f>MIN(IF(MONTH($C403)=4,$S$3,IF(MONTH($C403)=5,$S$4,IF(MONTH($C403)=6,$S$5,IF(MONTH($C403)=7,$S$6,"ERROR")))),MAX(VLOOKUP($C403,COS!$B$8:$K$991,10,FALSE)-IF(MONTH($C403)=4,$Y$3,IF(MONTH($C403)=5,$Y$4,IF(MONTH($C403)=6,$Y$5,IF(MONTH($C403)=7,$Y$6,"ERROR")))),0),MAX(VLOOKUP($C403,COS!$B$8:$K$991,9,FALSE)-IF(MONTH($C403)=4,$V$3,IF(MONTH($C403)=5,$V$4,IF(MONTH($C403)=6,$V$5,IF(MONTH($C403)=7,$V$6,"ERROR"))))-VLOOKUP($C403,COS!$B$8:$K$991,6,FALSE)/2,0))</f>
        <v>1500</v>
      </c>
      <c r="S403" s="26">
        <f t="shared" si="643"/>
        <v>89.256198347107429</v>
      </c>
      <c r="T403" s="26">
        <f t="shared" si="644"/>
        <v>183.65206974754648</v>
      </c>
      <c r="U403" s="26" t="str">
        <f>IF(VLOOKUP($C403,COS!$B$8:$I$991,8,FALSE)=1,"UWFE","IBU")</f>
        <v>UWFE</v>
      </c>
      <c r="V403" s="26">
        <f t="shared" ref="V403" si="647">MIN(IF(IF($AA$3=2,AND(E403=1,G403=1,L403=1,L406=1,M403=1,U403="IBU"),AND(E403=1,G403=1,L403=1,L406=1,M403=1)),T403,0),I403)</f>
        <v>0</v>
      </c>
      <c r="W403" s="26"/>
      <c r="X403" s="26"/>
      <c r="Y403" s="26"/>
      <c r="Z403" s="26"/>
      <c r="AA403" s="26"/>
      <c r="AB403" s="33"/>
    </row>
    <row r="404" spans="1:28" x14ac:dyDescent="0.3">
      <c r="A404" s="32">
        <f>VLOOKUP(YEAR(C404),Flags!$A$13:$B$95,2,FALSE)</f>
        <v>1</v>
      </c>
      <c r="B404" s="24">
        <f t="shared" si="637"/>
        <v>1965</v>
      </c>
      <c r="C404" s="25">
        <v>23954</v>
      </c>
      <c r="D404" s="26">
        <f>VLOOKUP($C404,COS!$B$8:$H$991,3,FALSE)</f>
        <v>16000</v>
      </c>
      <c r="E404" s="24">
        <f>IF(D404&gt;=IF(MONTH($C404)=4,$C$3,IF(MONTH($C404)=5,$C$4,IF(MONTH($C404)=6,$C$5,IF(MONTH($C404)=7,$C$6,"ERROR")))),1,0)</f>
        <v>1</v>
      </c>
      <c r="F404" s="26">
        <f>VLOOKUP($C404,COS!$B$8:$H$991,7,FALSE)</f>
        <v>49.443107604980469</v>
      </c>
      <c r="G404" s="24">
        <f>IF(F404&lt;=IF(MONTH($C404)=4,$F$3,IF(MONTH($C404)=5,$F$4,IF(MONTH($C404)=6,$F$5,IF(MONTH($C404)=7,$F$6,"ERROR")))),1,0)</f>
        <v>1</v>
      </c>
      <c r="H404" s="26">
        <f>IF(J404=1,D404-$C$6,0)</f>
        <v>4000</v>
      </c>
      <c r="I404" s="26">
        <f t="shared" si="558"/>
        <v>245.95041322314049</v>
      </c>
      <c r="J404" s="24">
        <f t="shared" si="638"/>
        <v>1</v>
      </c>
      <c r="K404" s="26">
        <f>VLOOKUP($C404,COS!$B$8:$H$991,2,FALSE)</f>
        <v>3588.650146484375</v>
      </c>
      <c r="L404" s="24">
        <f t="shared" si="639"/>
        <v>1</v>
      </c>
      <c r="M404" s="24">
        <f t="shared" si="640"/>
        <v>0</v>
      </c>
      <c r="N404" s="26">
        <f>VLOOKUP($C404,COS!$B$8:$H$991,5,FALSE)</f>
        <v>922.08319091796875</v>
      </c>
      <c r="O404" s="26">
        <f t="shared" si="641"/>
        <v>56.696685458096589</v>
      </c>
      <c r="P404" s="26">
        <f>VLOOKUP($C404,COS!$B$8:$H$991,6,FALSE)</f>
        <v>2612.073486328125</v>
      </c>
      <c r="Q404" s="26">
        <f t="shared" si="642"/>
        <v>160.61013833290289</v>
      </c>
      <c r="R404" s="26">
        <f>MIN(IF(MONTH($C404)=4,$S$3,IF(MONTH($C404)=5,$S$4,IF(MONTH($C404)=6,$S$5,IF(MONTH($C404)=7,$S$6,"ERROR")))),MAX(VLOOKUP($C404,COS!$B$8:$K$991,10,FALSE)-IF(MONTH($C404)=4,$Y$3,IF(MONTH($C404)=5,$Y$4,IF(MONTH($C404)=6,$Y$5,IF(MONTH($C404)=7,$Y$6,"ERROR")))),0),MAX(VLOOKUP($C404,COS!$B$8:$K$991,9,FALSE)-IF(MONTH($C404)=4,$V$3,IF(MONTH($C404)=5,$V$4,IF(MONTH($C404)=6,$V$5,IF(MONTH($C404)=7,$V$6,"ERROR"))))-VLOOKUP($C404,COS!$B$8:$K$991,6,FALSE)/2,0))</f>
        <v>1500</v>
      </c>
      <c r="S404" s="26">
        <f t="shared" si="643"/>
        <v>92.231404958677686</v>
      </c>
      <c r="T404" s="26">
        <f t="shared" si="644"/>
        <v>200.88481685417742</v>
      </c>
      <c r="U404" s="26" t="str">
        <f>IF(VLOOKUP($C404,COS!$B$8:$I$991,8,FALSE)=1,"UWFE","IBU")</f>
        <v>IBU</v>
      </c>
      <c r="V404" s="26">
        <f t="shared" ref="V404" si="648">MIN(IF(IF($AA$3=2,AND(E404=1,G404=1,L404=1,L406=1,M404=1,U404="IBU"),AND(E404=1,G404=1,L404=1,L406=1,M404=1)),T404,0),I404)</f>
        <v>0</v>
      </c>
      <c r="W404" s="26"/>
      <c r="X404" s="26"/>
      <c r="Y404" s="26"/>
      <c r="Z404" s="26"/>
      <c r="AA404" s="26"/>
      <c r="AB404" s="33"/>
    </row>
    <row r="405" spans="1:28" x14ac:dyDescent="0.3">
      <c r="A405" s="32">
        <f>VLOOKUP(YEAR(C405),Flags!$A$13:$B$95,2,FALSE)</f>
        <v>1</v>
      </c>
      <c r="B405" s="24">
        <f t="shared" si="637"/>
        <v>1965</v>
      </c>
      <c r="C405" s="25">
        <v>23985</v>
      </c>
      <c r="D405" s="26"/>
      <c r="E405" s="24"/>
      <c r="F405" s="26"/>
      <c r="G405" s="24"/>
      <c r="H405" s="24"/>
      <c r="I405" s="26"/>
      <c r="J405" s="24"/>
      <c r="K405" s="26"/>
      <c r="L405" s="24"/>
      <c r="M405" s="24"/>
      <c r="N405" s="26"/>
      <c r="O405" s="26"/>
      <c r="P405" s="26"/>
      <c r="Q405" s="26"/>
      <c r="R405" s="26"/>
      <c r="S405" s="26"/>
      <c r="T405" s="26"/>
      <c r="U405" s="26"/>
      <c r="V405" s="26"/>
      <c r="W405" s="26">
        <f>MAX($C$7-VLOOKUP($C405,COS!$B$8:$H$991,3,FALSE),0)</f>
        <v>3046.6005859375</v>
      </c>
      <c r="X405" s="26">
        <f t="shared" si="562"/>
        <v>187.32816825929751</v>
      </c>
      <c r="Y405" s="26">
        <f>VLOOKUP($C405,COS!$B$8:$H$991,4,FALSE)</f>
        <v>0</v>
      </c>
      <c r="Z405" s="26">
        <f t="shared" si="563"/>
        <v>0</v>
      </c>
      <c r="AA405" s="26">
        <f t="shared" ref="AA405:AA409" si="649">MIN(W405,Y405)</f>
        <v>0</v>
      </c>
      <c r="AB405" s="33">
        <f t="shared" ref="AB405:AB463" si="650">AA405*DAY($C405)*86400/43560/1000*IF(MONTH($C405)=8,$P$3,IF(MONTH($C405)=9,$P$4,IF(MONTH($C405)=10,$P$5,IF(MONTH($C405)=11,$P$6,IF(MONTH($C405)=12,$P$7,NA())))))</f>
        <v>0</v>
      </c>
    </row>
    <row r="406" spans="1:28" x14ac:dyDescent="0.3">
      <c r="A406" s="32">
        <f>VLOOKUP(YEAR(C406),Flags!$A$13:$B$95,2,FALSE)</f>
        <v>1</v>
      </c>
      <c r="B406" s="24">
        <f t="shared" si="637"/>
        <v>1965</v>
      </c>
      <c r="C406" s="25">
        <v>24015</v>
      </c>
      <c r="D406" s="26"/>
      <c r="E406" s="24"/>
      <c r="F406" s="26"/>
      <c r="G406" s="24"/>
      <c r="H406" s="24"/>
      <c r="I406" s="26"/>
      <c r="J406" s="24"/>
      <c r="K406" s="26">
        <f>VLOOKUP($C406,COS!$B$8:$H$991,2,FALSE)</f>
        <v>2849.32861328125</v>
      </c>
      <c r="L406" s="24">
        <f t="shared" ref="L406" si="651">IF(AND(K406&gt;$I$7,K406&lt;$I$8),1,0)</f>
        <v>1</v>
      </c>
      <c r="M406" s="24"/>
      <c r="N406" s="26"/>
      <c r="O406" s="26"/>
      <c r="P406" s="26"/>
      <c r="Q406" s="26"/>
      <c r="R406" s="26"/>
      <c r="S406" s="26"/>
      <c r="T406" s="26"/>
      <c r="U406" s="26"/>
      <c r="V406" s="26"/>
      <c r="W406" s="26">
        <f>MAX($C$8-VLOOKUP($C406,COS!$B$8:$H$991,3,FALSE),0)</f>
        <v>0</v>
      </c>
      <c r="X406" s="26">
        <f t="shared" si="562"/>
        <v>0</v>
      </c>
      <c r="Y406" s="26">
        <f>VLOOKUP($C406,COS!$B$8:$H$991,4,FALSE)</f>
        <v>0</v>
      </c>
      <c r="Z406" s="26">
        <f t="shared" si="563"/>
        <v>0</v>
      </c>
      <c r="AA406" s="26">
        <f t="shared" si="649"/>
        <v>0</v>
      </c>
      <c r="AB406" s="33">
        <f t="shared" si="650"/>
        <v>0</v>
      </c>
    </row>
    <row r="407" spans="1:28" x14ac:dyDescent="0.3">
      <c r="A407" s="32">
        <f>VLOOKUP(YEAR(C407),Flags!$A$13:$B$95,2,FALSE)</f>
        <v>1</v>
      </c>
      <c r="B407" s="24">
        <f t="shared" si="637"/>
        <v>1965</v>
      </c>
      <c r="C407" s="25">
        <v>24046</v>
      </c>
      <c r="D407" s="26"/>
      <c r="E407" s="24"/>
      <c r="F407" s="26"/>
      <c r="G407" s="26"/>
      <c r="H407" s="26"/>
      <c r="I407" s="26"/>
      <c r="J407" s="26"/>
      <c r="K407" s="26"/>
      <c r="L407" s="24"/>
      <c r="M407" s="24"/>
      <c r="N407" s="26"/>
      <c r="O407" s="26"/>
      <c r="P407" s="26"/>
      <c r="Q407" s="26"/>
      <c r="R407" s="26"/>
      <c r="S407" s="26"/>
      <c r="T407" s="26"/>
      <c r="U407" s="26"/>
      <c r="V407" s="26"/>
      <c r="W407" s="26">
        <f>MAX($C$9-VLOOKUP($C407,COS!$B$8:$H$991,3,FALSE),0)</f>
        <v>0</v>
      </c>
      <c r="X407" s="26">
        <f t="shared" si="562"/>
        <v>0</v>
      </c>
      <c r="Y407" s="26">
        <f>VLOOKUP($C407,COS!$B$8:$H$991,4,FALSE)</f>
        <v>958.20550537109375</v>
      </c>
      <c r="Z407" s="26">
        <f t="shared" si="563"/>
        <v>58.917759999677166</v>
      </c>
      <c r="AA407" s="26">
        <f t="shared" si="649"/>
        <v>0</v>
      </c>
      <c r="AB407" s="33">
        <f t="shared" si="650"/>
        <v>0</v>
      </c>
    </row>
    <row r="408" spans="1:28" x14ac:dyDescent="0.3">
      <c r="A408" s="32">
        <f>VLOOKUP(YEAR(C408),Flags!$A$13:$B$95,2,FALSE)</f>
        <v>1</v>
      </c>
      <c r="B408" s="24">
        <f t="shared" si="637"/>
        <v>1965</v>
      </c>
      <c r="C408" s="25">
        <v>24076</v>
      </c>
      <c r="D408" s="26"/>
      <c r="E408" s="24"/>
      <c r="F408" s="26"/>
      <c r="G408" s="26"/>
      <c r="H408" s="26"/>
      <c r="I408" s="26"/>
      <c r="J408" s="26"/>
      <c r="K408" s="26"/>
      <c r="L408" s="24"/>
      <c r="M408" s="24"/>
      <c r="N408" s="26"/>
      <c r="O408" s="26"/>
      <c r="P408" s="26"/>
      <c r="Q408" s="26"/>
      <c r="R408" s="26"/>
      <c r="S408" s="26"/>
      <c r="T408" s="26"/>
      <c r="U408" s="26"/>
      <c r="V408" s="26"/>
      <c r="W408" s="26">
        <f>MAX($C$10-VLOOKUP($C408,COS!$B$8:$H$991,3,FALSE),0)</f>
        <v>0</v>
      </c>
      <c r="X408" s="26">
        <f t="shared" si="562"/>
        <v>0</v>
      </c>
      <c r="Y408" s="26">
        <f>VLOOKUP($C408,COS!$B$8:$H$991,4,FALSE)</f>
        <v>425.12249755859375</v>
      </c>
      <c r="Z408" s="26">
        <f t="shared" si="563"/>
        <v>25.296545309271693</v>
      </c>
      <c r="AA408" s="26">
        <f t="shared" si="649"/>
        <v>0</v>
      </c>
      <c r="AB408" s="33">
        <f t="shared" si="650"/>
        <v>0</v>
      </c>
    </row>
    <row r="409" spans="1:28" x14ac:dyDescent="0.3">
      <c r="A409" s="34">
        <f>VLOOKUP(YEAR(C409),Flags!$A$13:$B$95,2,FALSE)</f>
        <v>1</v>
      </c>
      <c r="B409" s="35">
        <f t="shared" si="637"/>
        <v>1965</v>
      </c>
      <c r="C409" s="36">
        <v>24107</v>
      </c>
      <c r="D409" s="37"/>
      <c r="E409" s="35"/>
      <c r="F409" s="37"/>
      <c r="G409" s="37"/>
      <c r="H409" s="37"/>
      <c r="I409" s="37"/>
      <c r="J409" s="37"/>
      <c r="K409" s="37"/>
      <c r="L409" s="35"/>
      <c r="M409" s="35"/>
      <c r="N409" s="37"/>
      <c r="O409" s="37"/>
      <c r="P409" s="37"/>
      <c r="Q409" s="37"/>
      <c r="R409" s="37"/>
      <c r="S409" s="37"/>
      <c r="T409" s="37"/>
      <c r="U409" s="37"/>
      <c r="V409" s="37"/>
      <c r="W409" s="37">
        <f>MAX($C$11-VLOOKUP($C409,COS!$B$8:$H$991,3,FALSE),0)</f>
        <v>1261.330078125</v>
      </c>
      <c r="X409" s="37">
        <f t="shared" si="562"/>
        <v>77.556163481404965</v>
      </c>
      <c r="Y409" s="37">
        <f>VLOOKUP($C409,COS!$B$8:$H$991,4,FALSE)</f>
        <v>0</v>
      </c>
      <c r="Z409" s="37">
        <f t="shared" si="563"/>
        <v>0</v>
      </c>
      <c r="AA409" s="37">
        <f t="shared" si="649"/>
        <v>0</v>
      </c>
      <c r="AB409" s="38">
        <f t="shared" si="650"/>
        <v>0</v>
      </c>
    </row>
    <row r="410" spans="1:28" x14ac:dyDescent="0.3">
      <c r="A410" s="27">
        <f>VLOOKUP(YEAR(C410),Flags!$A$13:$B$95,2,FALSE)</f>
        <v>3</v>
      </c>
      <c r="B410" s="28">
        <f t="shared" si="637"/>
        <v>1966</v>
      </c>
      <c r="C410" s="29">
        <v>24227</v>
      </c>
      <c r="D410" s="30">
        <f>VLOOKUP($C410,COS!$B$8:$H$991,3,FALSE)</f>
        <v>4292.888671875</v>
      </c>
      <c r="E410" s="28">
        <f>IF(D410&gt;=IF(MONTH($C410)=4,$C$3,IF(MONTH($C410)=5,$C$4,IF(MONTH($C410)=6,$C$5,IF(MONTH($C410)=7,$C$6,"ERROR")))),1,0)</f>
        <v>0</v>
      </c>
      <c r="F410" s="30">
        <f>VLOOKUP($C410,COS!$B$8:$H$991,7,FALSE)</f>
        <v>49.869205474853516</v>
      </c>
      <c r="G410" s="28">
        <f>IF(F410&lt;=IF(MONTH($C410)=4,$F$3,IF(MONTH($C410)=5,$F$4,IF(MONTH($C410)=6,$F$5,IF(MONTH($C410)=7,$F$6,"ERROR")))),1,0)</f>
        <v>1</v>
      </c>
      <c r="H410" s="30">
        <f>IF(J410=1,D410-$C$3,0)</f>
        <v>0</v>
      </c>
      <c r="I410" s="30">
        <f t="shared" si="558"/>
        <v>0</v>
      </c>
      <c r="J410" s="28">
        <f t="shared" ref="J410:J413" si="652">IF(AND(E410=1,G410=1),1,0)</f>
        <v>0</v>
      </c>
      <c r="K410" s="30">
        <f>VLOOKUP($C410,COS!$B$8:$H$991,2,FALSE)</f>
        <v>4552</v>
      </c>
      <c r="L410" s="28">
        <f t="shared" ref="L410" si="653">IF(K410&lt;=IF(MONTH($C410)=4,$I$3,IF(MONTH($C410)=5,$I$4,IF(MONTH($C410)=6,$I$5,IF(MONTH($C410)=7,$I$6,"ERROR")))),1,0)</f>
        <v>1</v>
      </c>
      <c r="M410" s="28">
        <f t="shared" ref="M410" si="654">VLOOKUP($A410,$L$3:$M$7,2,FALSE)</f>
        <v>0</v>
      </c>
      <c r="N410" s="30">
        <f>VLOOKUP($C410,COS!$B$8:$H$991,5,FALSE)</f>
        <v>529.82769775390625</v>
      </c>
      <c r="O410" s="30">
        <f t="shared" ref="O410:O413" si="655">N410*DAY($C410)*86400/43560/1000</f>
        <v>31.526937387009298</v>
      </c>
      <c r="P410" s="30">
        <f>VLOOKUP($C410,COS!$B$8:$H$991,6,FALSE)</f>
        <v>552.3431396484375</v>
      </c>
      <c r="Q410" s="30">
        <f t="shared" ref="Q410:Q413" si="656">P410*DAY($C410)*86400/43560/1000</f>
        <v>32.86669921875</v>
      </c>
      <c r="R410" s="30">
        <f>MIN(IF(MONTH($C410)=4,$S$3,IF(MONTH($C410)=5,$S$4,IF(MONTH($C410)=6,$S$5,IF(MONTH($C410)=7,$S$6,"ERROR")))),MAX(VLOOKUP($C410,COS!$B$8:$K$991,10,FALSE)-IF(MONTH($C410)=4,$Y$3,IF(MONTH($C410)=5,$Y$4,IF(MONTH($C410)=6,$Y$5,IF(MONTH($C410)=7,$Y$6,"ERROR")))),0),MAX(VLOOKUP($C410,COS!$B$8:$K$991,9,FALSE)-IF(MONTH($C410)=4,$V$3,IF(MONTH($C410)=5,$V$4,IF(MONTH($C410)=6,$V$5,IF(MONTH($C410)=7,$V$6,"ERROR"))))-VLOOKUP($C410,COS!$B$8:$K$991,6,FALSE)/2,0))</f>
        <v>1500</v>
      </c>
      <c r="S410" s="30">
        <f t="shared" ref="S410:S413" si="657">R410*DAY($C410)*86400/43560/1000</f>
        <v>89.256198347107429</v>
      </c>
      <c r="T410" s="30">
        <f t="shared" ref="T410:T413" si="658">(O410+Q410)/2+S410</f>
        <v>121.45301664998708</v>
      </c>
      <c r="U410" s="30" t="str">
        <f>IF(VLOOKUP($C410,COS!$B$8:$I$991,8,FALSE)=1,"UWFE","IBU")</f>
        <v>UWFE</v>
      </c>
      <c r="V410" s="30">
        <f t="shared" ref="V410" si="659">MIN(IF(IF($AA$3=2,AND(E410=1,G410=1,L410=1,L415=1,M410=1,U410="IBU"),AND(E410=1,G410=1,L410=1,L415=1,M410=1)),T410,0),I410)</f>
        <v>0</v>
      </c>
      <c r="W410" s="30"/>
      <c r="X410" s="30"/>
      <c r="Y410" s="30"/>
      <c r="Z410" s="30"/>
      <c r="AA410" s="30"/>
      <c r="AB410" s="31"/>
    </row>
    <row r="411" spans="1:28" x14ac:dyDescent="0.3">
      <c r="A411" s="32">
        <f>VLOOKUP(YEAR(C411),Flags!$A$13:$B$95,2,FALSE)</f>
        <v>3</v>
      </c>
      <c r="B411" s="24">
        <f t="shared" si="637"/>
        <v>1966</v>
      </c>
      <c r="C411" s="25">
        <v>24258</v>
      </c>
      <c r="D411" s="26">
        <f>VLOOKUP($C411,COS!$B$8:$H$991,3,FALSE)</f>
        <v>8730.6591796875</v>
      </c>
      <c r="E411" s="24">
        <f>IF(D411&gt;=IF(MONTH($C411)=4,$C$3,IF(MONTH($C411)=5,$C$4,IF(MONTH($C411)=6,$C$5,IF(MONTH($C411)=7,$C$6,"ERROR")))),1,0)</f>
        <v>1</v>
      </c>
      <c r="F411" s="26">
        <f>VLOOKUP($C411,COS!$B$8:$H$991,7,FALSE)</f>
        <v>49.472553253173828</v>
      </c>
      <c r="G411" s="24">
        <f>IF(F411&lt;=IF(MONTH($C411)=4,$F$3,IF(MONTH($C411)=5,$F$4,IF(MONTH($C411)=6,$F$5,IF(MONTH($C411)=7,$F$6,"ERROR")))),1,0)</f>
        <v>1</v>
      </c>
      <c r="H411" s="26">
        <f>IF(J411=1,D411-$C$4,0)</f>
        <v>2730.6591796875</v>
      </c>
      <c r="I411" s="26">
        <f t="shared" si="558"/>
        <v>167.90168840392562</v>
      </c>
      <c r="J411" s="24">
        <f t="shared" si="652"/>
        <v>1</v>
      </c>
      <c r="K411" s="26">
        <f>VLOOKUP($C411,COS!$B$8:$H$991,2,FALSE)</f>
        <v>4347.7724609375</v>
      </c>
      <c r="L411" s="24">
        <f t="shared" si="639"/>
        <v>1</v>
      </c>
      <c r="M411" s="24">
        <f t="shared" si="640"/>
        <v>0</v>
      </c>
      <c r="N411" s="26">
        <f>VLOOKUP($C411,COS!$B$8:$H$991,5,FALSE)</f>
        <v>640.74652099609375</v>
      </c>
      <c r="O411" s="26">
        <f t="shared" si="655"/>
        <v>39.397967902569732</v>
      </c>
      <c r="P411" s="26">
        <f>VLOOKUP($C411,COS!$B$8:$H$991,6,FALSE)</f>
        <v>2340.425048828125</v>
      </c>
      <c r="Q411" s="26">
        <f t="shared" si="656"/>
        <v>143.90712696926653</v>
      </c>
      <c r="R411" s="26">
        <f>MIN(IF(MONTH($C411)=4,$S$3,IF(MONTH($C411)=5,$S$4,IF(MONTH($C411)=6,$S$5,IF(MONTH($C411)=7,$S$6,"ERROR")))),MAX(VLOOKUP($C411,COS!$B$8:$K$991,10,FALSE)-IF(MONTH($C411)=4,$Y$3,IF(MONTH($C411)=5,$Y$4,IF(MONTH($C411)=6,$Y$5,IF(MONTH($C411)=7,$Y$6,"ERROR")))),0),MAX(VLOOKUP($C411,COS!$B$8:$K$991,9,FALSE)-IF(MONTH($C411)=4,$V$3,IF(MONTH($C411)=5,$V$4,IF(MONTH($C411)=6,$V$5,IF(MONTH($C411)=7,$V$6,"ERROR"))))-VLOOKUP($C411,COS!$B$8:$K$991,6,FALSE)/2,0))</f>
        <v>1500</v>
      </c>
      <c r="S411" s="26">
        <f t="shared" si="657"/>
        <v>92.231404958677686</v>
      </c>
      <c r="T411" s="26">
        <f t="shared" si="658"/>
        <v>183.88395239459584</v>
      </c>
      <c r="U411" s="26" t="str">
        <f>IF(VLOOKUP($C411,COS!$B$8:$I$991,8,FALSE)=1,"UWFE","IBU")</f>
        <v>IBU</v>
      </c>
      <c r="V411" s="26">
        <f t="shared" ref="V411" si="660">MIN(IF(IF($AA$3=2,AND(E411=1,G411=1,L411=1,L415=1,M411=1,U411="IBU"),AND(E411=1,G411=1,L411=1,L415=1,M411=1)),T411,0),I411)</f>
        <v>0</v>
      </c>
      <c r="W411" s="26"/>
      <c r="X411" s="26"/>
      <c r="Y411" s="26"/>
      <c r="Z411" s="26"/>
      <c r="AA411" s="26"/>
      <c r="AB411" s="33"/>
    </row>
    <row r="412" spans="1:28" x14ac:dyDescent="0.3">
      <c r="A412" s="32">
        <f>VLOOKUP(YEAR(C412),Flags!$A$13:$B$95,2,FALSE)</f>
        <v>3</v>
      </c>
      <c r="B412" s="24">
        <f t="shared" si="637"/>
        <v>1966</v>
      </c>
      <c r="C412" s="25">
        <v>24288</v>
      </c>
      <c r="D412" s="26">
        <f>VLOOKUP($C412,COS!$B$8:$H$991,3,FALSE)</f>
        <v>13508.86328125</v>
      </c>
      <c r="E412" s="24">
        <f>IF(D412&gt;=IF(MONTH($C412)=4,$C$3,IF(MONTH($C412)=5,$C$4,IF(MONTH($C412)=6,$C$5,IF(MONTH($C412)=7,$C$6,"ERROR")))),1,0)</f>
        <v>1</v>
      </c>
      <c r="F412" s="26">
        <f>VLOOKUP($C412,COS!$B$8:$H$991,7,FALSE)</f>
        <v>49.86444091796875</v>
      </c>
      <c r="G412" s="24">
        <f>IF(F412&lt;=IF(MONTH($C412)=4,$F$3,IF(MONTH($C412)=5,$F$4,IF(MONTH($C412)=6,$F$5,IF(MONTH($C412)=7,$F$6,"ERROR")))),1,0)</f>
        <v>1</v>
      </c>
      <c r="H412" s="26">
        <f>IF(J412=1,D412-$C$5,0)</f>
        <v>3508.86328125</v>
      </c>
      <c r="I412" s="26">
        <f t="shared" ref="I412:I475" si="661">H412*DAY($C412)*86400/43560/1000</f>
        <v>208.79186466942147</v>
      </c>
      <c r="J412" s="24">
        <f t="shared" si="652"/>
        <v>1</v>
      </c>
      <c r="K412" s="26">
        <f>VLOOKUP($C412,COS!$B$8:$H$991,2,FALSE)</f>
        <v>3800.234375</v>
      </c>
      <c r="L412" s="24">
        <f t="shared" si="639"/>
        <v>1</v>
      </c>
      <c r="M412" s="24">
        <f t="shared" si="640"/>
        <v>0</v>
      </c>
      <c r="N412" s="26">
        <f>VLOOKUP($C412,COS!$B$8:$H$991,5,FALSE)</f>
        <v>770.628173828125</v>
      </c>
      <c r="O412" s="26">
        <f t="shared" si="655"/>
        <v>45.85556075671488</v>
      </c>
      <c r="P412" s="26">
        <f>VLOOKUP($C412,COS!$B$8:$H$991,6,FALSE)</f>
        <v>2661.6142578125</v>
      </c>
      <c r="Q412" s="26">
        <f t="shared" si="656"/>
        <v>158.37704674586777</v>
      </c>
      <c r="R412" s="26">
        <f>MIN(IF(MONTH($C412)=4,$S$3,IF(MONTH($C412)=5,$S$4,IF(MONTH($C412)=6,$S$5,IF(MONTH($C412)=7,$S$6,"ERROR")))),MAX(VLOOKUP($C412,COS!$B$8:$K$991,10,FALSE)-IF(MONTH($C412)=4,$Y$3,IF(MONTH($C412)=5,$Y$4,IF(MONTH($C412)=6,$Y$5,IF(MONTH($C412)=7,$Y$6,"ERROR")))),0),MAX(VLOOKUP($C412,COS!$B$8:$K$991,9,FALSE)-IF(MONTH($C412)=4,$V$3,IF(MONTH($C412)=5,$V$4,IF(MONTH($C412)=6,$V$5,IF(MONTH($C412)=7,$V$6,"ERROR"))))-VLOOKUP($C412,COS!$B$8:$K$991,6,FALSE)/2,0))</f>
        <v>1500</v>
      </c>
      <c r="S412" s="26">
        <f t="shared" si="657"/>
        <v>89.256198347107429</v>
      </c>
      <c r="T412" s="26">
        <f t="shared" si="658"/>
        <v>191.37250209839874</v>
      </c>
      <c r="U412" s="26" t="str">
        <f>IF(VLOOKUP($C412,COS!$B$8:$I$991,8,FALSE)=1,"UWFE","IBU")</f>
        <v>IBU</v>
      </c>
      <c r="V412" s="26">
        <f t="shared" ref="V412" si="662">MIN(IF(IF($AA$3=2,AND(E412=1,G412=1,L412=1,L415=1,M412=1,U412="IBU"),AND(E412=1,G412=1,L412=1,L415=1,M412=1)),T412,0),I412)</f>
        <v>0</v>
      </c>
      <c r="W412" s="26"/>
      <c r="X412" s="26"/>
      <c r="Y412" s="26"/>
      <c r="Z412" s="26"/>
      <c r="AA412" s="26"/>
      <c r="AB412" s="33"/>
    </row>
    <row r="413" spans="1:28" x14ac:dyDescent="0.3">
      <c r="A413" s="32">
        <f>VLOOKUP(YEAR(C413),Flags!$A$13:$B$95,2,FALSE)</f>
        <v>3</v>
      </c>
      <c r="B413" s="24">
        <f t="shared" si="637"/>
        <v>1966</v>
      </c>
      <c r="C413" s="25">
        <v>24319</v>
      </c>
      <c r="D413" s="26">
        <f>VLOOKUP($C413,COS!$B$8:$H$991,3,FALSE)</f>
        <v>16000</v>
      </c>
      <c r="E413" s="24">
        <f>IF(D413&gt;=IF(MONTH($C413)=4,$C$3,IF(MONTH($C413)=5,$C$4,IF(MONTH($C413)=6,$C$5,IF(MONTH($C413)=7,$C$6,"ERROR")))),1,0)</f>
        <v>1</v>
      </c>
      <c r="F413" s="26">
        <f>VLOOKUP($C413,COS!$B$8:$H$991,7,FALSE)</f>
        <v>50.834873199462891</v>
      </c>
      <c r="G413" s="24">
        <f>IF(F413&lt;=IF(MONTH($C413)=4,$F$3,IF(MONTH($C413)=5,$F$4,IF(MONTH($C413)=6,$F$5,IF(MONTH($C413)=7,$F$6,"ERROR")))),1,0)</f>
        <v>1</v>
      </c>
      <c r="H413" s="26">
        <f>IF(J413=1,D413-$C$6,0)</f>
        <v>4000</v>
      </c>
      <c r="I413" s="26">
        <f t="shared" si="661"/>
        <v>245.95041322314049</v>
      </c>
      <c r="J413" s="24">
        <f t="shared" si="652"/>
        <v>1</v>
      </c>
      <c r="K413" s="26">
        <f>VLOOKUP($C413,COS!$B$8:$H$991,2,FALSE)</f>
        <v>3119.609375</v>
      </c>
      <c r="L413" s="24">
        <f t="shared" si="639"/>
        <v>1</v>
      </c>
      <c r="M413" s="24">
        <f t="shared" si="640"/>
        <v>0</v>
      </c>
      <c r="N413" s="26">
        <f>VLOOKUP($C413,COS!$B$8:$H$991,5,FALSE)</f>
        <v>838.9403076171875</v>
      </c>
      <c r="O413" s="26">
        <f t="shared" si="655"/>
        <v>51.584428831998963</v>
      </c>
      <c r="P413" s="26">
        <f>VLOOKUP($C413,COS!$B$8:$H$991,6,FALSE)</f>
        <v>2521.163330078125</v>
      </c>
      <c r="Q413" s="26">
        <f t="shared" si="656"/>
        <v>155.02029070893593</v>
      </c>
      <c r="R413" s="26">
        <f>MIN(IF(MONTH($C413)=4,$S$3,IF(MONTH($C413)=5,$S$4,IF(MONTH($C413)=6,$S$5,IF(MONTH($C413)=7,$S$6,"ERROR")))),MAX(VLOOKUP($C413,COS!$B$8:$K$991,10,FALSE)-IF(MONTH($C413)=4,$Y$3,IF(MONTH($C413)=5,$Y$4,IF(MONTH($C413)=6,$Y$5,IF(MONTH($C413)=7,$Y$6,"ERROR")))),0),MAX(VLOOKUP($C413,COS!$B$8:$K$991,9,FALSE)-IF(MONTH($C413)=4,$V$3,IF(MONTH($C413)=5,$V$4,IF(MONTH($C413)=6,$V$5,IF(MONTH($C413)=7,$V$6,"ERROR"))))-VLOOKUP($C413,COS!$B$8:$K$991,6,FALSE)/2,0))</f>
        <v>1500</v>
      </c>
      <c r="S413" s="26">
        <f t="shared" si="657"/>
        <v>92.231404958677686</v>
      </c>
      <c r="T413" s="26">
        <f t="shared" si="658"/>
        <v>195.53376472914513</v>
      </c>
      <c r="U413" s="26" t="str">
        <f>IF(VLOOKUP($C413,COS!$B$8:$I$991,8,FALSE)=1,"UWFE","IBU")</f>
        <v>IBU</v>
      </c>
      <c r="V413" s="26">
        <f t="shared" ref="V413" si="663">MIN(IF(IF($AA$3=2,AND(E413=1,G413=1,L413=1,L415=1,M413=1,U413="IBU"),AND(E413=1,G413=1,L413=1,L415=1,M413=1)),T413,0),I413)</f>
        <v>0</v>
      </c>
      <c r="W413" s="26"/>
      <c r="X413" s="26"/>
      <c r="Y413" s="26"/>
      <c r="Z413" s="26"/>
      <c r="AA413" s="26"/>
      <c r="AB413" s="33"/>
    </row>
    <row r="414" spans="1:28" x14ac:dyDescent="0.3">
      <c r="A414" s="32">
        <f>VLOOKUP(YEAR(C414),Flags!$A$13:$B$95,2,FALSE)</f>
        <v>3</v>
      </c>
      <c r="B414" s="24">
        <f t="shared" si="637"/>
        <v>1966</v>
      </c>
      <c r="C414" s="25">
        <v>24350</v>
      </c>
      <c r="D414" s="26"/>
      <c r="E414" s="24"/>
      <c r="F414" s="26"/>
      <c r="G414" s="24"/>
      <c r="H414" s="24"/>
      <c r="I414" s="26"/>
      <c r="J414" s="24"/>
      <c r="K414" s="26"/>
      <c r="L414" s="24"/>
      <c r="M414" s="24"/>
      <c r="N414" s="26"/>
      <c r="O414" s="26"/>
      <c r="P414" s="26"/>
      <c r="Q414" s="26"/>
      <c r="R414" s="26"/>
      <c r="S414" s="26"/>
      <c r="T414" s="26"/>
      <c r="U414" s="26"/>
      <c r="V414" s="26"/>
      <c r="W414" s="26">
        <f>MAX($C$7-VLOOKUP($C414,COS!$B$8:$H$991,3,FALSE),0)</f>
        <v>0</v>
      </c>
      <c r="X414" s="26">
        <f t="shared" si="562"/>
        <v>0</v>
      </c>
      <c r="Y414" s="26">
        <f>VLOOKUP($C414,COS!$B$8:$H$991,4,FALSE)</f>
        <v>442.35452270507813</v>
      </c>
      <c r="Z414" s="26">
        <f t="shared" si="563"/>
        <v>27.199319412609761</v>
      </c>
      <c r="AA414" s="26">
        <f t="shared" ref="AA414:AA418" si="664">MIN(W414,Y414)</f>
        <v>0</v>
      </c>
      <c r="AB414" s="33">
        <f t="shared" ref="AB414" si="665">AA414*DAY($C414)*86400/43560/1000*IF(MONTH($C414)=8,$P$3,IF(MONTH($C414)=9,$P$4,IF(MONTH($C414)=10,$P$5,IF(MONTH($C414)=11,$P$6,IF(MONTH($C414)=12,$P$7,NA())))))</f>
        <v>0</v>
      </c>
    </row>
    <row r="415" spans="1:28" x14ac:dyDescent="0.3">
      <c r="A415" s="32">
        <f>VLOOKUP(YEAR(C415),Flags!$A$13:$B$95,2,FALSE)</f>
        <v>3</v>
      </c>
      <c r="B415" s="24">
        <f t="shared" si="637"/>
        <v>1966</v>
      </c>
      <c r="C415" s="25">
        <v>24380</v>
      </c>
      <c r="D415" s="26"/>
      <c r="E415" s="24"/>
      <c r="F415" s="26"/>
      <c r="G415" s="24"/>
      <c r="H415" s="24"/>
      <c r="I415" s="26"/>
      <c r="J415" s="24"/>
      <c r="K415" s="26">
        <f>VLOOKUP($C415,COS!$B$8:$H$991,2,FALSE)</f>
        <v>2583.3671875</v>
      </c>
      <c r="L415" s="24">
        <f t="shared" ref="L415" si="666">IF(AND(K415&gt;$I$7,K415&lt;$I$8),1,0)</f>
        <v>1</v>
      </c>
      <c r="M415" s="24"/>
      <c r="N415" s="26"/>
      <c r="O415" s="26"/>
      <c r="P415" s="26"/>
      <c r="Q415" s="26"/>
      <c r="R415" s="26"/>
      <c r="S415" s="26"/>
      <c r="T415" s="26"/>
      <c r="U415" s="26"/>
      <c r="V415" s="26"/>
      <c r="W415" s="26">
        <f>MAX($C$8-VLOOKUP($C415,COS!$B$8:$H$991,3,FALSE),0)</f>
        <v>0</v>
      </c>
      <c r="X415" s="26">
        <f t="shared" ref="X415:X478" si="667">W415*DAY($C415)*86400/43560/1000</f>
        <v>0</v>
      </c>
      <c r="Y415" s="26">
        <f>VLOOKUP($C415,COS!$B$8:$H$991,4,FALSE)</f>
        <v>418.4725341796875</v>
      </c>
      <c r="Z415" s="26">
        <f t="shared" ref="Z415:Z478" si="668">Y415*DAY($C415)*86400/43560/1000</f>
        <v>24.900845009039259</v>
      </c>
      <c r="AA415" s="26">
        <f t="shared" si="664"/>
        <v>0</v>
      </c>
      <c r="AB415" s="33">
        <f t="shared" si="650"/>
        <v>0</v>
      </c>
    </row>
    <row r="416" spans="1:28" x14ac:dyDescent="0.3">
      <c r="A416" s="32">
        <f>VLOOKUP(YEAR(C416),Flags!$A$13:$B$95,2,FALSE)</f>
        <v>3</v>
      </c>
      <c r="B416" s="24">
        <f t="shared" si="637"/>
        <v>1966</v>
      </c>
      <c r="C416" s="25">
        <v>24411</v>
      </c>
      <c r="D416" s="26"/>
      <c r="E416" s="24"/>
      <c r="F416" s="26"/>
      <c r="G416" s="26"/>
      <c r="H416" s="26"/>
      <c r="I416" s="26"/>
      <c r="J416" s="26"/>
      <c r="K416" s="26"/>
      <c r="L416" s="24"/>
      <c r="M416" s="24"/>
      <c r="N416" s="26"/>
      <c r="O416" s="26"/>
      <c r="P416" s="26"/>
      <c r="Q416" s="26"/>
      <c r="R416" s="26"/>
      <c r="S416" s="26"/>
      <c r="T416" s="26"/>
      <c r="U416" s="26"/>
      <c r="V416" s="26"/>
      <c r="W416" s="26">
        <f>MAX($C$9-VLOOKUP($C416,COS!$B$8:$H$991,3,FALSE),0)</f>
        <v>0</v>
      </c>
      <c r="X416" s="26">
        <f t="shared" si="667"/>
        <v>0</v>
      </c>
      <c r="Y416" s="26">
        <f>VLOOKUP($C416,COS!$B$8:$H$991,4,FALSE)</f>
        <v>1319.8214111328125</v>
      </c>
      <c r="Z416" s="26">
        <f t="shared" si="668"/>
        <v>81.15265536221591</v>
      </c>
      <c r="AA416" s="26">
        <f t="shared" si="664"/>
        <v>0</v>
      </c>
      <c r="AB416" s="33">
        <f t="shared" si="650"/>
        <v>0</v>
      </c>
    </row>
    <row r="417" spans="1:28" x14ac:dyDescent="0.3">
      <c r="A417" s="32">
        <f>VLOOKUP(YEAR(C417),Flags!$A$13:$B$95,2,FALSE)</f>
        <v>3</v>
      </c>
      <c r="B417" s="24">
        <f t="shared" si="637"/>
        <v>1966</v>
      </c>
      <c r="C417" s="25">
        <v>24441</v>
      </c>
      <c r="D417" s="26"/>
      <c r="E417" s="24"/>
      <c r="F417" s="26"/>
      <c r="G417" s="26"/>
      <c r="H417" s="26"/>
      <c r="I417" s="26"/>
      <c r="J417" s="26"/>
      <c r="K417" s="26"/>
      <c r="L417" s="24"/>
      <c r="M417" s="24"/>
      <c r="N417" s="26"/>
      <c r="O417" s="26"/>
      <c r="P417" s="26"/>
      <c r="Q417" s="26"/>
      <c r="R417" s="26"/>
      <c r="S417" s="26"/>
      <c r="T417" s="26"/>
      <c r="U417" s="26"/>
      <c r="V417" s="26"/>
      <c r="W417" s="26">
        <f>MAX($C$10-VLOOKUP($C417,COS!$B$8:$H$991,3,FALSE),0)</f>
        <v>1750</v>
      </c>
      <c r="X417" s="26">
        <f t="shared" si="667"/>
        <v>104.13223140495867</v>
      </c>
      <c r="Y417" s="26">
        <f>VLOOKUP($C417,COS!$B$8:$H$991,4,FALSE)</f>
        <v>1161.37109375</v>
      </c>
      <c r="Z417" s="26">
        <f t="shared" si="668"/>
        <v>69.10637913223141</v>
      </c>
      <c r="AA417" s="26">
        <f t="shared" si="664"/>
        <v>1161.37109375</v>
      </c>
      <c r="AB417" s="33">
        <f t="shared" si="650"/>
        <v>69.10637913223141</v>
      </c>
    </row>
    <row r="418" spans="1:28" x14ac:dyDescent="0.3">
      <c r="A418" s="34">
        <f>VLOOKUP(YEAR(C418),Flags!$A$13:$B$95,2,FALSE)</f>
        <v>3</v>
      </c>
      <c r="B418" s="35">
        <f t="shared" si="637"/>
        <v>1966</v>
      </c>
      <c r="C418" s="36">
        <v>24472</v>
      </c>
      <c r="D418" s="37"/>
      <c r="E418" s="35"/>
      <c r="F418" s="37"/>
      <c r="G418" s="37"/>
      <c r="H418" s="37"/>
      <c r="I418" s="37"/>
      <c r="J418" s="37"/>
      <c r="K418" s="37"/>
      <c r="L418" s="35"/>
      <c r="M418" s="35"/>
      <c r="N418" s="37"/>
      <c r="O418" s="37"/>
      <c r="P418" s="37"/>
      <c r="Q418" s="37"/>
      <c r="R418" s="37"/>
      <c r="S418" s="37"/>
      <c r="T418" s="37"/>
      <c r="U418" s="37"/>
      <c r="V418" s="37"/>
      <c r="W418" s="37">
        <f>MAX($C$11-VLOOKUP($C418,COS!$B$8:$H$991,3,FALSE),0)</f>
        <v>0</v>
      </c>
      <c r="X418" s="37">
        <f t="shared" si="667"/>
        <v>0</v>
      </c>
      <c r="Y418" s="37">
        <f>VLOOKUP($C418,COS!$B$8:$H$991,4,FALSE)</f>
        <v>0</v>
      </c>
      <c r="Z418" s="37">
        <f t="shared" si="668"/>
        <v>0</v>
      </c>
      <c r="AA418" s="37">
        <f t="shared" si="664"/>
        <v>0</v>
      </c>
      <c r="AB418" s="38">
        <f t="shared" si="650"/>
        <v>0</v>
      </c>
    </row>
    <row r="419" spans="1:28" x14ac:dyDescent="0.3">
      <c r="A419" s="27">
        <f>VLOOKUP(YEAR(C419),Flags!$A$13:$B$95,2,FALSE)</f>
        <v>1</v>
      </c>
      <c r="B419" s="28">
        <f t="shared" si="637"/>
        <v>1967</v>
      </c>
      <c r="C419" s="29">
        <v>24592</v>
      </c>
      <c r="D419" s="30">
        <f>VLOOKUP($C419,COS!$B$8:$H$991,3,FALSE)</f>
        <v>10209.6708984375</v>
      </c>
      <c r="E419" s="28">
        <f>IF(D419&gt;=IF(MONTH($C419)=4,$C$3,IF(MONTH($C419)=5,$C$4,IF(MONTH($C419)=6,$C$5,IF(MONTH($C419)=7,$C$6,"ERROR")))),1,0)</f>
        <v>1</v>
      </c>
      <c r="F419" s="30">
        <f>VLOOKUP($C419,COS!$B$8:$H$991,7,FALSE)</f>
        <v>47.143501281738281</v>
      </c>
      <c r="G419" s="28">
        <f>IF(F419&lt;=IF(MONTH($C419)=4,$F$3,IF(MONTH($C419)=5,$F$4,IF(MONTH($C419)=6,$F$5,IF(MONTH($C419)=7,$F$6,"ERROR")))),1,0)</f>
        <v>1</v>
      </c>
      <c r="H419" s="30">
        <f>IF(J419=1,D419-$C$3,0)</f>
        <v>4209.6708984375</v>
      </c>
      <c r="I419" s="30">
        <f t="shared" si="661"/>
        <v>250.49281379132231</v>
      </c>
      <c r="J419" s="28">
        <f t="shared" ref="J419:J422" si="669">IF(AND(E419=1,G419=1),1,0)</f>
        <v>1</v>
      </c>
      <c r="K419" s="30">
        <f>VLOOKUP($C419,COS!$B$8:$H$991,2,FALSE)</f>
        <v>4479</v>
      </c>
      <c r="L419" s="28">
        <f t="shared" ref="L419" si="670">IF(K419&lt;=IF(MONTH($C419)=4,$I$3,IF(MONTH($C419)=5,$I$4,IF(MONTH($C419)=6,$I$5,IF(MONTH($C419)=7,$I$6,"ERROR")))),1,0)</f>
        <v>1</v>
      </c>
      <c r="M419" s="28">
        <f t="shared" ref="M419" si="671">VLOOKUP($A419,$L$3:$M$7,2,FALSE)</f>
        <v>0</v>
      </c>
      <c r="N419" s="30">
        <f>VLOOKUP($C419,COS!$B$8:$H$991,5,FALSE)</f>
        <v>39.870414733886719</v>
      </c>
      <c r="O419" s="30">
        <f t="shared" ref="O419:O422" si="672">N419*DAY($C419)*86400/43560/1000</f>
        <v>2.3724544304461519</v>
      </c>
      <c r="P419" s="30">
        <f>VLOOKUP($C419,COS!$B$8:$H$991,6,FALSE)</f>
        <v>237.42314147949219</v>
      </c>
      <c r="Q419" s="30">
        <f t="shared" ref="Q419:Q422" si="673">P419*DAY($C419)*86400/43560/1000</f>
        <v>14.127658005391272</v>
      </c>
      <c r="R419" s="30">
        <f>MIN(IF(MONTH($C419)=4,$S$3,IF(MONTH($C419)=5,$S$4,IF(MONTH($C419)=6,$S$5,IF(MONTH($C419)=7,$S$6,"ERROR")))),MAX(VLOOKUP($C419,COS!$B$8:$K$991,10,FALSE)-IF(MONTH($C419)=4,$Y$3,IF(MONTH($C419)=5,$Y$4,IF(MONTH($C419)=6,$Y$5,IF(MONTH($C419)=7,$Y$6,"ERROR")))),0),MAX(VLOOKUP($C419,COS!$B$8:$K$991,9,FALSE)-IF(MONTH($C419)=4,$V$3,IF(MONTH($C419)=5,$V$4,IF(MONTH($C419)=6,$V$5,IF(MONTH($C419)=7,$V$6,"ERROR"))))-VLOOKUP($C419,COS!$B$8:$K$991,6,FALSE)/2,0))</f>
        <v>1500</v>
      </c>
      <c r="S419" s="30">
        <f t="shared" ref="S419:S422" si="674">R419*DAY($C419)*86400/43560/1000</f>
        <v>89.256198347107429</v>
      </c>
      <c r="T419" s="30">
        <f t="shared" ref="T419:T422" si="675">(O419+Q419)/2+S419</f>
        <v>97.50625456502614</v>
      </c>
      <c r="U419" s="30" t="str">
        <f>IF(VLOOKUP($C419,COS!$B$8:$I$991,8,FALSE)=1,"UWFE","IBU")</f>
        <v>UWFE</v>
      </c>
      <c r="V419" s="30">
        <f t="shared" ref="V419" si="676">MIN(IF(IF($AA$3=2,AND(E419=1,G419=1,L419=1,L424=1,M419=1,U419="IBU"),AND(E419=1,G419=1,L419=1,L424=1,M419=1)),T419,0),I419)</f>
        <v>0</v>
      </c>
      <c r="W419" s="30"/>
      <c r="X419" s="30"/>
      <c r="Y419" s="30"/>
      <c r="Z419" s="30"/>
      <c r="AA419" s="30"/>
      <c r="AB419" s="31"/>
    </row>
    <row r="420" spans="1:28" x14ac:dyDescent="0.3">
      <c r="A420" s="32">
        <f>VLOOKUP(YEAR(C420),Flags!$A$13:$B$95,2,FALSE)</f>
        <v>1</v>
      </c>
      <c r="B420" s="24">
        <f t="shared" si="637"/>
        <v>1967</v>
      </c>
      <c r="C420" s="25">
        <v>24623</v>
      </c>
      <c r="D420" s="26">
        <f>VLOOKUP($C420,COS!$B$8:$H$991,3,FALSE)</f>
        <v>12507.45703125</v>
      </c>
      <c r="E420" s="24">
        <f>IF(D420&gt;=IF(MONTH($C420)=4,$C$3,IF(MONTH($C420)=5,$C$4,IF(MONTH($C420)=6,$C$5,IF(MONTH($C420)=7,$C$6,"ERROR")))),1,0)</f>
        <v>1</v>
      </c>
      <c r="F420" s="26">
        <f>VLOOKUP($C420,COS!$B$8:$H$991,7,FALSE)</f>
        <v>48.993885040283203</v>
      </c>
      <c r="G420" s="24">
        <f>IF(F420&lt;=IF(MONTH($C420)=4,$F$3,IF(MONTH($C420)=5,$F$4,IF(MONTH($C420)=6,$F$5,IF(MONTH($C420)=7,$F$6,"ERROR")))),1,0)</f>
        <v>1</v>
      </c>
      <c r="H420" s="26">
        <f>IF(J420=1,D420-$C$4,0)</f>
        <v>6507.45703125</v>
      </c>
      <c r="I420" s="26">
        <f t="shared" si="661"/>
        <v>400.12793646694212</v>
      </c>
      <c r="J420" s="24">
        <f t="shared" si="669"/>
        <v>1</v>
      </c>
      <c r="K420" s="26">
        <f>VLOOKUP($C420,COS!$B$8:$H$991,2,FALSE)</f>
        <v>4552</v>
      </c>
      <c r="L420" s="24">
        <f t="shared" si="639"/>
        <v>1</v>
      </c>
      <c r="M420" s="24">
        <f t="shared" si="640"/>
        <v>0</v>
      </c>
      <c r="N420" s="26">
        <f>VLOOKUP($C420,COS!$B$8:$H$991,5,FALSE)</f>
        <v>634.8349609375</v>
      </c>
      <c r="O420" s="26">
        <f t="shared" si="672"/>
        <v>39.034480242768595</v>
      </c>
      <c r="P420" s="26">
        <f>VLOOKUP($C420,COS!$B$8:$H$991,6,FALSE)</f>
        <v>2252.28564453125</v>
      </c>
      <c r="Q420" s="26">
        <f t="shared" si="673"/>
        <v>138.48764624225205</v>
      </c>
      <c r="R420" s="26">
        <f>MIN(IF(MONTH($C420)=4,$S$3,IF(MONTH($C420)=5,$S$4,IF(MONTH($C420)=6,$S$5,IF(MONTH($C420)=7,$S$6,"ERROR")))),MAX(VLOOKUP($C420,COS!$B$8:$K$991,10,FALSE)-IF(MONTH($C420)=4,$Y$3,IF(MONTH($C420)=5,$Y$4,IF(MONTH($C420)=6,$Y$5,IF(MONTH($C420)=7,$Y$6,"ERROR")))),0),MAX(VLOOKUP($C420,COS!$B$8:$K$991,9,FALSE)-IF(MONTH($C420)=4,$V$3,IF(MONTH($C420)=5,$V$4,IF(MONTH($C420)=6,$V$5,IF(MONTH($C420)=7,$V$6,"ERROR"))))-VLOOKUP($C420,COS!$B$8:$K$991,6,FALSE)/2,0))</f>
        <v>1500</v>
      </c>
      <c r="S420" s="26">
        <f t="shared" si="674"/>
        <v>92.231404958677686</v>
      </c>
      <c r="T420" s="26">
        <f t="shared" si="675"/>
        <v>180.99246820118799</v>
      </c>
      <c r="U420" s="26" t="str">
        <f>IF(VLOOKUP($C420,COS!$B$8:$I$991,8,FALSE)=1,"UWFE","IBU")</f>
        <v>UWFE</v>
      </c>
      <c r="V420" s="26">
        <f t="shared" ref="V420" si="677">MIN(IF(IF($AA$3=2,AND(E420=1,G420=1,L420=1,L424=1,M420=1,U420="IBU"),AND(E420=1,G420=1,L420=1,L424=1,M420=1)),T420,0),I420)</f>
        <v>0</v>
      </c>
      <c r="W420" s="26"/>
      <c r="X420" s="26"/>
      <c r="Y420" s="26"/>
      <c r="Z420" s="26"/>
      <c r="AA420" s="26"/>
      <c r="AB420" s="33"/>
    </row>
    <row r="421" spans="1:28" x14ac:dyDescent="0.3">
      <c r="A421" s="32">
        <f>VLOOKUP(YEAR(C421),Flags!$A$13:$B$95,2,FALSE)</f>
        <v>1</v>
      </c>
      <c r="B421" s="24">
        <f t="shared" si="637"/>
        <v>1967</v>
      </c>
      <c r="C421" s="25">
        <v>24653</v>
      </c>
      <c r="D421" s="26">
        <f>VLOOKUP($C421,COS!$B$8:$H$991,3,FALSE)</f>
        <v>8491.80078125</v>
      </c>
      <c r="E421" s="24">
        <f>IF(D421&gt;=IF(MONTH($C421)=4,$C$3,IF(MONTH($C421)=5,$C$4,IF(MONTH($C421)=6,$C$5,IF(MONTH($C421)=7,$C$6,"ERROR")))),1,0)</f>
        <v>0</v>
      </c>
      <c r="F421" s="26">
        <f>VLOOKUP($C421,COS!$B$8:$H$991,7,FALSE)</f>
        <v>51.173347473144531</v>
      </c>
      <c r="G421" s="24">
        <f>IF(F421&lt;=IF(MONTH($C421)=4,$F$3,IF(MONTH($C421)=5,$F$4,IF(MONTH($C421)=6,$F$5,IF(MONTH($C421)=7,$F$6,"ERROR")))),1,0)</f>
        <v>1</v>
      </c>
      <c r="H421" s="26">
        <f>IF(J421=1,D421-$C$5,0)</f>
        <v>0</v>
      </c>
      <c r="I421" s="26">
        <f t="shared" si="661"/>
        <v>0</v>
      </c>
      <c r="J421" s="24">
        <f t="shared" si="669"/>
        <v>0</v>
      </c>
      <c r="K421" s="26">
        <f>VLOOKUP($C421,COS!$B$8:$H$991,2,FALSE)</f>
        <v>4500</v>
      </c>
      <c r="L421" s="24">
        <f t="shared" si="639"/>
        <v>1</v>
      </c>
      <c r="M421" s="24">
        <f t="shared" si="640"/>
        <v>0</v>
      </c>
      <c r="N421" s="26">
        <f>VLOOKUP($C421,COS!$B$8:$H$991,5,FALSE)</f>
        <v>937.7822265625</v>
      </c>
      <c r="O421" s="26">
        <f t="shared" si="672"/>
        <v>55.801917613636363</v>
      </c>
      <c r="P421" s="26">
        <f>VLOOKUP($C421,COS!$B$8:$H$991,6,FALSE)</f>
        <v>2001.16455078125</v>
      </c>
      <c r="Q421" s="26">
        <f t="shared" si="673"/>
        <v>119.0775600464876</v>
      </c>
      <c r="R421" s="26">
        <f>MIN(IF(MONTH($C421)=4,$S$3,IF(MONTH($C421)=5,$S$4,IF(MONTH($C421)=6,$S$5,IF(MONTH($C421)=7,$S$6,"ERROR")))),MAX(VLOOKUP($C421,COS!$B$8:$K$991,10,FALSE)-IF(MONTH($C421)=4,$Y$3,IF(MONTH($C421)=5,$Y$4,IF(MONTH($C421)=6,$Y$5,IF(MONTH($C421)=7,$Y$6,"ERROR")))),0),MAX(VLOOKUP($C421,COS!$B$8:$K$991,9,FALSE)-IF(MONTH($C421)=4,$V$3,IF(MONTH($C421)=5,$V$4,IF(MONTH($C421)=6,$V$5,IF(MONTH($C421)=7,$V$6,"ERROR"))))-VLOOKUP($C421,COS!$B$8:$K$991,6,FALSE)/2,0))</f>
        <v>1500</v>
      </c>
      <c r="S421" s="26">
        <f t="shared" si="674"/>
        <v>89.256198347107429</v>
      </c>
      <c r="T421" s="26">
        <f t="shared" si="675"/>
        <v>176.69593717716941</v>
      </c>
      <c r="U421" s="26" t="str">
        <f>IF(VLOOKUP($C421,COS!$B$8:$I$991,8,FALSE)=1,"UWFE","IBU")</f>
        <v>UWFE</v>
      </c>
      <c r="V421" s="26">
        <f t="shared" ref="V421" si="678">MIN(IF(IF($AA$3=2,AND(E421=1,G421=1,L421=1,L424=1,M421=1,U421="IBU"),AND(E421=1,G421=1,L421=1,L424=1,M421=1)),T421,0),I421)</f>
        <v>0</v>
      </c>
      <c r="W421" s="26"/>
      <c r="X421" s="26"/>
      <c r="Y421" s="26"/>
      <c r="Z421" s="26"/>
      <c r="AA421" s="26"/>
      <c r="AB421" s="33"/>
    </row>
    <row r="422" spans="1:28" x14ac:dyDescent="0.3">
      <c r="A422" s="32">
        <f>VLOOKUP(YEAR(C422),Flags!$A$13:$B$95,2,FALSE)</f>
        <v>1</v>
      </c>
      <c r="B422" s="24">
        <f t="shared" si="637"/>
        <v>1967</v>
      </c>
      <c r="C422" s="25">
        <v>24684</v>
      </c>
      <c r="D422" s="26">
        <f>VLOOKUP($C422,COS!$B$8:$H$991,3,FALSE)</f>
        <v>11558.0478515625</v>
      </c>
      <c r="E422" s="24">
        <f>IF(D422&gt;=IF(MONTH($C422)=4,$C$3,IF(MONTH($C422)=5,$C$4,IF(MONTH($C422)=6,$C$5,IF(MONTH($C422)=7,$C$6,"ERROR")))),1,0)</f>
        <v>0</v>
      </c>
      <c r="F422" s="26">
        <f>VLOOKUP($C422,COS!$B$8:$H$991,7,FALSE)</f>
        <v>52.531658172607422</v>
      </c>
      <c r="G422" s="24">
        <f>IF(F422&lt;=IF(MONTH($C422)=4,$F$3,IF(MONTH($C422)=5,$F$4,IF(MONTH($C422)=6,$F$5,IF(MONTH($C422)=7,$F$6,"ERROR")))),1,0)</f>
        <v>1</v>
      </c>
      <c r="H422" s="26">
        <f>IF(J422=1,D422-$C$6,0)</f>
        <v>0</v>
      </c>
      <c r="I422" s="26">
        <f t="shared" si="661"/>
        <v>0</v>
      </c>
      <c r="J422" s="24">
        <f t="shared" si="669"/>
        <v>0</v>
      </c>
      <c r="K422" s="26">
        <f>VLOOKUP($C422,COS!$B$8:$H$991,2,FALSE)</f>
        <v>4019.93115234375</v>
      </c>
      <c r="L422" s="24">
        <f t="shared" si="639"/>
        <v>1</v>
      </c>
      <c r="M422" s="24">
        <f t="shared" si="640"/>
        <v>0</v>
      </c>
      <c r="N422" s="26">
        <f>VLOOKUP($C422,COS!$B$8:$H$991,5,FALSE)</f>
        <v>1366.88818359375</v>
      </c>
      <c r="O422" s="26">
        <f t="shared" si="672"/>
        <v>84.046678396177683</v>
      </c>
      <c r="P422" s="26">
        <f>VLOOKUP($C422,COS!$B$8:$H$991,6,FALSE)</f>
        <v>2516.8701171875</v>
      </c>
      <c r="Q422" s="26">
        <f t="shared" si="673"/>
        <v>154.75631133780993</v>
      </c>
      <c r="R422" s="26">
        <f>MIN(IF(MONTH($C422)=4,$S$3,IF(MONTH($C422)=5,$S$4,IF(MONTH($C422)=6,$S$5,IF(MONTH($C422)=7,$S$6,"ERROR")))),MAX(VLOOKUP($C422,COS!$B$8:$K$991,10,FALSE)-IF(MONTH($C422)=4,$Y$3,IF(MONTH($C422)=5,$Y$4,IF(MONTH($C422)=6,$Y$5,IF(MONTH($C422)=7,$Y$6,"ERROR")))),0),MAX(VLOOKUP($C422,COS!$B$8:$K$991,9,FALSE)-IF(MONTH($C422)=4,$V$3,IF(MONTH($C422)=5,$V$4,IF(MONTH($C422)=6,$V$5,IF(MONTH($C422)=7,$V$6,"ERROR"))))-VLOOKUP($C422,COS!$B$8:$K$991,6,FALSE)/2,0))</f>
        <v>1500</v>
      </c>
      <c r="S422" s="26">
        <f t="shared" si="674"/>
        <v>92.231404958677686</v>
      </c>
      <c r="T422" s="26">
        <f t="shared" si="675"/>
        <v>211.63289982567147</v>
      </c>
      <c r="U422" s="26" t="str">
        <f>IF(VLOOKUP($C422,COS!$B$8:$I$991,8,FALSE)=1,"UWFE","IBU")</f>
        <v>UWFE</v>
      </c>
      <c r="V422" s="26">
        <f t="shared" ref="V422" si="679">MIN(IF(IF($AA$3=2,AND(E422=1,G422=1,L422=1,L424=1,M422=1,U422="IBU"),AND(E422=1,G422=1,L422=1,L424=1,M422=1)),T422,0),I422)</f>
        <v>0</v>
      </c>
      <c r="W422" s="26"/>
      <c r="X422" s="26"/>
      <c r="Y422" s="26"/>
      <c r="Z422" s="26"/>
      <c r="AA422" s="26"/>
      <c r="AB422" s="33"/>
    </row>
    <row r="423" spans="1:28" x14ac:dyDescent="0.3">
      <c r="A423" s="32">
        <f>VLOOKUP(YEAR(C423),Flags!$A$13:$B$95,2,FALSE)</f>
        <v>1</v>
      </c>
      <c r="B423" s="24">
        <f t="shared" si="637"/>
        <v>1967</v>
      </c>
      <c r="C423" s="25">
        <v>24715</v>
      </c>
      <c r="D423" s="26"/>
      <c r="E423" s="24"/>
      <c r="F423" s="26"/>
      <c r="G423" s="24"/>
      <c r="H423" s="24"/>
      <c r="I423" s="26"/>
      <c r="J423" s="24"/>
      <c r="K423" s="26"/>
      <c r="L423" s="24"/>
      <c r="M423" s="24"/>
      <c r="N423" s="26"/>
      <c r="O423" s="26"/>
      <c r="P423" s="26"/>
      <c r="Q423" s="26"/>
      <c r="R423" s="26"/>
      <c r="S423" s="26"/>
      <c r="T423" s="26"/>
      <c r="U423" s="26"/>
      <c r="V423" s="26"/>
      <c r="W423" s="26">
        <f>MAX($C$7-VLOOKUP($C423,COS!$B$8:$H$991,3,FALSE),0)</f>
        <v>1941.6201171875</v>
      </c>
      <c r="X423" s="26">
        <f t="shared" si="667"/>
        <v>119.38556753615703</v>
      </c>
      <c r="Y423" s="26">
        <f>VLOOKUP($C423,COS!$B$8:$H$991,4,FALSE)</f>
        <v>0</v>
      </c>
      <c r="Z423" s="26">
        <f t="shared" si="668"/>
        <v>0</v>
      </c>
      <c r="AA423" s="26">
        <f t="shared" ref="AA423:AA427" si="680">MIN(W423,Y423)</f>
        <v>0</v>
      </c>
      <c r="AB423" s="33">
        <f t="shared" ref="AB423" si="681">AA423*DAY($C423)*86400/43560/1000*IF(MONTH($C423)=8,$P$3,IF(MONTH($C423)=9,$P$4,IF(MONTH($C423)=10,$P$5,IF(MONTH($C423)=11,$P$6,IF(MONTH($C423)=12,$P$7,NA())))))</f>
        <v>0</v>
      </c>
    </row>
    <row r="424" spans="1:28" x14ac:dyDescent="0.3">
      <c r="A424" s="32">
        <f>VLOOKUP(YEAR(C424),Flags!$A$13:$B$95,2,FALSE)</f>
        <v>1</v>
      </c>
      <c r="B424" s="24">
        <f t="shared" si="637"/>
        <v>1967</v>
      </c>
      <c r="C424" s="25">
        <v>24745</v>
      </c>
      <c r="D424" s="26"/>
      <c r="E424" s="24"/>
      <c r="F424" s="26"/>
      <c r="G424" s="24"/>
      <c r="H424" s="24"/>
      <c r="I424" s="26"/>
      <c r="J424" s="24"/>
      <c r="K424" s="26">
        <f>VLOOKUP($C424,COS!$B$8:$H$991,2,FALSE)</f>
        <v>3126.86767578125</v>
      </c>
      <c r="L424" s="24">
        <f t="shared" ref="L424" si="682">IF(AND(K424&gt;$I$7,K424&lt;$I$8),1,0)</f>
        <v>1</v>
      </c>
      <c r="M424" s="24"/>
      <c r="N424" s="26"/>
      <c r="O424" s="26"/>
      <c r="P424" s="26"/>
      <c r="Q424" s="26"/>
      <c r="R424" s="26"/>
      <c r="S424" s="26"/>
      <c r="T424" s="26"/>
      <c r="U424" s="26"/>
      <c r="V424" s="26"/>
      <c r="W424" s="26">
        <f>MAX($C$8-VLOOKUP($C424,COS!$B$8:$H$991,3,FALSE),0)</f>
        <v>0</v>
      </c>
      <c r="X424" s="26">
        <f t="shared" si="667"/>
        <v>0</v>
      </c>
      <c r="Y424" s="26">
        <f>VLOOKUP($C424,COS!$B$8:$H$991,4,FALSE)</f>
        <v>0</v>
      </c>
      <c r="Z424" s="26">
        <f t="shared" si="668"/>
        <v>0</v>
      </c>
      <c r="AA424" s="26">
        <f t="shared" si="680"/>
        <v>0</v>
      </c>
      <c r="AB424" s="33">
        <f t="shared" si="650"/>
        <v>0</v>
      </c>
    </row>
    <row r="425" spans="1:28" x14ac:dyDescent="0.3">
      <c r="A425" s="32">
        <f>VLOOKUP(YEAR(C425),Flags!$A$13:$B$95,2,FALSE)</f>
        <v>1</v>
      </c>
      <c r="B425" s="24">
        <f t="shared" si="637"/>
        <v>1967</v>
      </c>
      <c r="C425" s="25">
        <v>24776</v>
      </c>
      <c r="D425" s="26"/>
      <c r="E425" s="24"/>
      <c r="F425" s="26"/>
      <c r="G425" s="26"/>
      <c r="H425" s="26"/>
      <c r="I425" s="26"/>
      <c r="J425" s="26"/>
      <c r="K425" s="26"/>
      <c r="L425" s="24"/>
      <c r="M425" s="24"/>
      <c r="N425" s="26"/>
      <c r="O425" s="26"/>
      <c r="P425" s="26"/>
      <c r="Q425" s="26"/>
      <c r="R425" s="26"/>
      <c r="S425" s="26"/>
      <c r="T425" s="26"/>
      <c r="U425" s="26"/>
      <c r="V425" s="26"/>
      <c r="W425" s="26">
        <f>MAX($C$9-VLOOKUP($C425,COS!$B$8:$H$991,3,FALSE),0)</f>
        <v>0</v>
      </c>
      <c r="X425" s="26">
        <f t="shared" si="667"/>
        <v>0</v>
      </c>
      <c r="Y425" s="26">
        <f>VLOOKUP($C425,COS!$B$8:$H$991,4,FALSE)</f>
        <v>302.17996215820313</v>
      </c>
      <c r="Z425" s="26">
        <f t="shared" si="668"/>
        <v>18.580321640140756</v>
      </c>
      <c r="AA425" s="26">
        <f t="shared" si="680"/>
        <v>0</v>
      </c>
      <c r="AB425" s="33">
        <f t="shared" si="650"/>
        <v>0</v>
      </c>
    </row>
    <row r="426" spans="1:28" x14ac:dyDescent="0.3">
      <c r="A426" s="32">
        <f>VLOOKUP(YEAR(C426),Flags!$A$13:$B$95,2,FALSE)</f>
        <v>1</v>
      </c>
      <c r="B426" s="24">
        <f t="shared" si="637"/>
        <v>1967</v>
      </c>
      <c r="C426" s="25">
        <v>24806</v>
      </c>
      <c r="D426" s="26"/>
      <c r="E426" s="24"/>
      <c r="F426" s="26"/>
      <c r="G426" s="26"/>
      <c r="H426" s="26"/>
      <c r="I426" s="26"/>
      <c r="J426" s="26"/>
      <c r="K426" s="26"/>
      <c r="L426" s="24"/>
      <c r="M426" s="24"/>
      <c r="N426" s="26"/>
      <c r="O426" s="26"/>
      <c r="P426" s="26"/>
      <c r="Q426" s="26"/>
      <c r="R426" s="26"/>
      <c r="S426" s="26"/>
      <c r="T426" s="26"/>
      <c r="U426" s="26"/>
      <c r="V426" s="26"/>
      <c r="W426" s="26">
        <f>MAX($C$10-VLOOKUP($C426,COS!$B$8:$H$991,3,FALSE),0)</f>
        <v>0</v>
      </c>
      <c r="X426" s="26">
        <f t="shared" si="667"/>
        <v>0</v>
      </c>
      <c r="Y426" s="26">
        <f>VLOOKUP($C426,COS!$B$8:$H$991,4,FALSE)</f>
        <v>1725.1964111328125</v>
      </c>
      <c r="Z426" s="26">
        <f t="shared" si="668"/>
        <v>102.65631537319214</v>
      </c>
      <c r="AA426" s="26">
        <f t="shared" si="680"/>
        <v>0</v>
      </c>
      <c r="AB426" s="33">
        <f t="shared" si="650"/>
        <v>0</v>
      </c>
    </row>
    <row r="427" spans="1:28" x14ac:dyDescent="0.3">
      <c r="A427" s="34">
        <f>VLOOKUP(YEAR(C427),Flags!$A$13:$B$95,2,FALSE)</f>
        <v>1</v>
      </c>
      <c r="B427" s="35">
        <f t="shared" si="637"/>
        <v>1967</v>
      </c>
      <c r="C427" s="36">
        <v>24837</v>
      </c>
      <c r="D427" s="37"/>
      <c r="E427" s="35"/>
      <c r="F427" s="37"/>
      <c r="G427" s="37"/>
      <c r="H427" s="37"/>
      <c r="I427" s="37"/>
      <c r="J427" s="37"/>
      <c r="K427" s="37"/>
      <c r="L427" s="35"/>
      <c r="M427" s="35"/>
      <c r="N427" s="37"/>
      <c r="O427" s="37"/>
      <c r="P427" s="37"/>
      <c r="Q427" s="37"/>
      <c r="R427" s="37"/>
      <c r="S427" s="37"/>
      <c r="T427" s="37"/>
      <c r="U427" s="37"/>
      <c r="V427" s="37"/>
      <c r="W427" s="37">
        <f>MAX($C$11-VLOOKUP($C427,COS!$B$8:$H$991,3,FALSE),0)</f>
        <v>724.88818359375</v>
      </c>
      <c r="X427" s="37">
        <f t="shared" si="667"/>
        <v>44.571637073863641</v>
      </c>
      <c r="Y427" s="37">
        <f>VLOOKUP($C427,COS!$B$8:$H$991,4,FALSE)</f>
        <v>0</v>
      </c>
      <c r="Z427" s="37">
        <f t="shared" si="668"/>
        <v>0</v>
      </c>
      <c r="AA427" s="37">
        <f t="shared" si="680"/>
        <v>0</v>
      </c>
      <c r="AB427" s="38">
        <f t="shared" si="650"/>
        <v>0</v>
      </c>
    </row>
    <row r="428" spans="1:28" x14ac:dyDescent="0.3">
      <c r="A428" s="27">
        <f>VLOOKUP(YEAR(C428),Flags!$A$13:$B$95,2,FALSE)</f>
        <v>3</v>
      </c>
      <c r="B428" s="28">
        <f t="shared" si="637"/>
        <v>1968</v>
      </c>
      <c r="C428" s="29">
        <v>24958</v>
      </c>
      <c r="D428" s="30">
        <f>VLOOKUP($C428,COS!$B$8:$H$991,3,FALSE)</f>
        <v>3250</v>
      </c>
      <c r="E428" s="28">
        <f>IF(D428&gt;=IF(MONTH($C428)=4,$C$3,IF(MONTH($C428)=5,$C$4,IF(MONTH($C428)=6,$C$5,IF(MONTH($C428)=7,$C$6,"ERROR")))),1,0)</f>
        <v>0</v>
      </c>
      <c r="F428" s="30">
        <f>VLOOKUP($C428,COS!$B$8:$H$991,7,FALSE)</f>
        <v>51.910366058349609</v>
      </c>
      <c r="G428" s="28">
        <f>IF(F428&lt;=IF(MONTH($C428)=4,$F$3,IF(MONTH($C428)=5,$F$4,IF(MONTH($C428)=6,$F$5,IF(MONTH($C428)=7,$F$6,"ERROR")))),1,0)</f>
        <v>1</v>
      </c>
      <c r="H428" s="30">
        <f>IF(J428=1,D428-$C$3,0)</f>
        <v>0</v>
      </c>
      <c r="I428" s="30">
        <f t="shared" si="661"/>
        <v>0</v>
      </c>
      <c r="J428" s="28">
        <f t="shared" ref="J428:J431" si="683">IF(AND(E428=1,G428=1),1,0)</f>
        <v>0</v>
      </c>
      <c r="K428" s="30">
        <f>VLOOKUP($C428,COS!$B$8:$H$991,2,FALSE)</f>
        <v>4387.3369140625</v>
      </c>
      <c r="L428" s="28">
        <f t="shared" ref="L428" si="684">IF(K428&lt;=IF(MONTH($C428)=4,$I$3,IF(MONTH($C428)=5,$I$4,IF(MONTH($C428)=6,$I$5,IF(MONTH($C428)=7,$I$6,"ERROR")))),1,0)</f>
        <v>1</v>
      </c>
      <c r="M428" s="28">
        <f t="shared" ref="M428" si="685">VLOOKUP($A428,$L$3:$M$7,2,FALSE)</f>
        <v>0</v>
      </c>
      <c r="N428" s="30">
        <f>VLOOKUP($C428,COS!$B$8:$H$991,5,FALSE)</f>
        <v>372.8587646484375</v>
      </c>
      <c r="O428" s="30">
        <f t="shared" ref="O428:O431" si="686">N428*DAY($C428)*86400/43560/1000</f>
        <v>22.186637235278926</v>
      </c>
      <c r="P428" s="30">
        <f>VLOOKUP($C428,COS!$B$8:$H$991,6,FALSE)</f>
        <v>480.01702880859375</v>
      </c>
      <c r="Q428" s="30">
        <f t="shared" ref="Q428:Q431" si="687">P428*DAY($C428)*86400/43560/1000</f>
        <v>28.562996755552685</v>
      </c>
      <c r="R428" s="30">
        <f>MIN(IF(MONTH($C428)=4,$S$3,IF(MONTH($C428)=5,$S$4,IF(MONTH($C428)=6,$S$5,IF(MONTH($C428)=7,$S$6,"ERROR")))),MAX(VLOOKUP($C428,COS!$B$8:$K$991,10,FALSE)-IF(MONTH($C428)=4,$Y$3,IF(MONTH($C428)=5,$Y$4,IF(MONTH($C428)=6,$Y$5,IF(MONTH($C428)=7,$Y$6,"ERROR")))),0),MAX(VLOOKUP($C428,COS!$B$8:$K$991,9,FALSE)-IF(MONTH($C428)=4,$V$3,IF(MONTH($C428)=5,$V$4,IF(MONTH($C428)=6,$V$5,IF(MONTH($C428)=7,$V$6,"ERROR"))))-VLOOKUP($C428,COS!$B$8:$K$991,6,FALSE)/2,0))</f>
        <v>1012.0751953125</v>
      </c>
      <c r="S428" s="30">
        <f t="shared" ref="S428:S431" si="688">R428*DAY($C428)*86400/43560/1000</f>
        <v>60.22265625</v>
      </c>
      <c r="T428" s="30">
        <f t="shared" ref="T428:T431" si="689">(O428+Q428)/2+S428</f>
        <v>85.597473245415813</v>
      </c>
      <c r="U428" s="30" t="str">
        <f>IF(VLOOKUP($C428,COS!$B$8:$I$991,8,FALSE)=1,"UWFE","IBU")</f>
        <v>UWFE</v>
      </c>
      <c r="V428" s="30">
        <f t="shared" ref="V428" si="690">MIN(IF(IF($AA$3=2,AND(E428=1,G428=1,L428=1,L433=1,M428=1,U428="IBU"),AND(E428=1,G428=1,L428=1,L433=1,M428=1)),T428,0),I428)</f>
        <v>0</v>
      </c>
      <c r="W428" s="30"/>
      <c r="X428" s="30"/>
      <c r="Y428" s="30"/>
      <c r="Z428" s="30"/>
      <c r="AA428" s="30"/>
      <c r="AB428" s="31"/>
    </row>
    <row r="429" spans="1:28" x14ac:dyDescent="0.3">
      <c r="A429" s="32">
        <f>VLOOKUP(YEAR(C429),Flags!$A$13:$B$95,2,FALSE)</f>
        <v>3</v>
      </c>
      <c r="B429" s="24">
        <f t="shared" si="637"/>
        <v>1968</v>
      </c>
      <c r="C429" s="25">
        <v>24989</v>
      </c>
      <c r="D429" s="26">
        <f>VLOOKUP($C429,COS!$B$8:$H$991,3,FALSE)</f>
        <v>7092.59228515625</v>
      </c>
      <c r="E429" s="24">
        <f>IF(D429&gt;=IF(MONTH($C429)=4,$C$3,IF(MONTH($C429)=5,$C$4,IF(MONTH($C429)=6,$C$5,IF(MONTH($C429)=7,$C$6,"ERROR")))),1,0)</f>
        <v>1</v>
      </c>
      <c r="F429" s="26">
        <f>VLOOKUP($C429,COS!$B$8:$H$991,7,FALSE)</f>
        <v>51.028709411621094</v>
      </c>
      <c r="G429" s="24">
        <f>IF(F429&lt;=IF(MONTH($C429)=4,$F$3,IF(MONTH($C429)=5,$F$4,IF(MONTH($C429)=6,$F$5,IF(MONTH($C429)=7,$F$6,"ERROR")))),1,0)</f>
        <v>1</v>
      </c>
      <c r="H429" s="26">
        <f>IF(J429=1,D429-$C$4,0)</f>
        <v>1092.59228515625</v>
      </c>
      <c r="I429" s="26">
        <f t="shared" si="661"/>
        <v>67.180881004648768</v>
      </c>
      <c r="J429" s="24">
        <f t="shared" si="683"/>
        <v>1</v>
      </c>
      <c r="K429" s="26">
        <f>VLOOKUP($C429,COS!$B$8:$H$991,2,FALSE)</f>
        <v>4254.63671875</v>
      </c>
      <c r="L429" s="24">
        <f t="shared" si="639"/>
        <v>1</v>
      </c>
      <c r="M429" s="24">
        <f t="shared" si="640"/>
        <v>0</v>
      </c>
      <c r="N429" s="26">
        <f>VLOOKUP($C429,COS!$B$8:$H$991,5,FALSE)</f>
        <v>578.8367919921875</v>
      </c>
      <c r="O429" s="26">
        <f t="shared" si="686"/>
        <v>35.591287044808887</v>
      </c>
      <c r="P429" s="26">
        <f>VLOOKUP($C429,COS!$B$8:$H$991,6,FALSE)</f>
        <v>2198.37158203125</v>
      </c>
      <c r="Q429" s="26">
        <f t="shared" si="687"/>
        <v>135.17259975464876</v>
      </c>
      <c r="R429" s="26">
        <f>MIN(IF(MONTH($C429)=4,$S$3,IF(MONTH($C429)=5,$S$4,IF(MONTH($C429)=6,$S$5,IF(MONTH($C429)=7,$S$6,"ERROR")))),MAX(VLOOKUP($C429,COS!$B$8:$K$991,10,FALSE)-IF(MONTH($C429)=4,$Y$3,IF(MONTH($C429)=5,$Y$4,IF(MONTH($C429)=6,$Y$5,IF(MONTH($C429)=7,$Y$6,"ERROR")))),0),MAX(VLOOKUP($C429,COS!$B$8:$K$991,9,FALSE)-IF(MONTH($C429)=4,$V$3,IF(MONTH($C429)=5,$V$4,IF(MONTH($C429)=6,$V$5,IF(MONTH($C429)=7,$V$6,"ERROR"))))-VLOOKUP($C429,COS!$B$8:$K$991,6,FALSE)/2,0))</f>
        <v>1500</v>
      </c>
      <c r="S429" s="26">
        <f t="shared" si="688"/>
        <v>92.231404958677686</v>
      </c>
      <c r="T429" s="26">
        <f t="shared" si="689"/>
        <v>177.61334835840651</v>
      </c>
      <c r="U429" s="26" t="str">
        <f>IF(VLOOKUP($C429,COS!$B$8:$I$991,8,FALSE)=1,"UWFE","IBU")</f>
        <v>UWFE</v>
      </c>
      <c r="V429" s="26">
        <f t="shared" ref="V429" si="691">MIN(IF(IF($AA$3=2,AND(E429=1,G429=1,L429=1,L433=1,M429=1,U429="IBU"),AND(E429=1,G429=1,L429=1,L433=1,M429=1)),T429,0),I429)</f>
        <v>0</v>
      </c>
      <c r="W429" s="26"/>
      <c r="X429" s="26"/>
      <c r="Y429" s="26"/>
      <c r="Z429" s="26"/>
      <c r="AA429" s="26"/>
      <c r="AB429" s="33"/>
    </row>
    <row r="430" spans="1:28" x14ac:dyDescent="0.3">
      <c r="A430" s="32">
        <f>VLOOKUP(YEAR(C430),Flags!$A$13:$B$95,2,FALSE)</f>
        <v>3</v>
      </c>
      <c r="B430" s="24">
        <f t="shared" si="637"/>
        <v>1968</v>
      </c>
      <c r="C430" s="25">
        <v>25019</v>
      </c>
      <c r="D430" s="26">
        <f>VLOOKUP($C430,COS!$B$8:$H$991,3,FALSE)</f>
        <v>13090.2783203125</v>
      </c>
      <c r="E430" s="24">
        <f>IF(D430&gt;=IF(MONTH($C430)=4,$C$3,IF(MONTH($C430)=5,$C$4,IF(MONTH($C430)=6,$C$5,IF(MONTH($C430)=7,$C$6,"ERROR")))),1,0)</f>
        <v>1</v>
      </c>
      <c r="F430" s="26">
        <f>VLOOKUP($C430,COS!$B$8:$H$991,7,FALSE)</f>
        <v>50.739017486572266</v>
      </c>
      <c r="G430" s="24">
        <f>IF(F430&lt;=IF(MONTH($C430)=4,$F$3,IF(MONTH($C430)=5,$F$4,IF(MONTH($C430)=6,$F$5,IF(MONTH($C430)=7,$F$6,"ERROR")))),1,0)</f>
        <v>1</v>
      </c>
      <c r="H430" s="26">
        <f>IF(J430=1,D430-$C$5,0)</f>
        <v>3090.2783203125</v>
      </c>
      <c r="I430" s="26">
        <f t="shared" si="661"/>
        <v>183.884329803719</v>
      </c>
      <c r="J430" s="24">
        <f t="shared" si="683"/>
        <v>1</v>
      </c>
      <c r="K430" s="26">
        <f>VLOOKUP($C430,COS!$B$8:$H$991,2,FALSE)</f>
        <v>3698.470458984375</v>
      </c>
      <c r="L430" s="24">
        <f t="shared" si="639"/>
        <v>1</v>
      </c>
      <c r="M430" s="24">
        <f t="shared" si="640"/>
        <v>0</v>
      </c>
      <c r="N430" s="26">
        <f>VLOOKUP($C430,COS!$B$8:$H$991,5,FALSE)</f>
        <v>708.03900146484375</v>
      </c>
      <c r="O430" s="26">
        <f t="shared" si="686"/>
        <v>42.131246368155992</v>
      </c>
      <c r="P430" s="26">
        <f>VLOOKUP($C430,COS!$B$8:$H$991,6,FALSE)</f>
        <v>2497.662353515625</v>
      </c>
      <c r="Q430" s="26">
        <f t="shared" si="687"/>
        <v>148.62123095299586</v>
      </c>
      <c r="R430" s="26">
        <f>MIN(IF(MONTH($C430)=4,$S$3,IF(MONTH($C430)=5,$S$4,IF(MONTH($C430)=6,$S$5,IF(MONTH($C430)=7,$S$6,"ERROR")))),MAX(VLOOKUP($C430,COS!$B$8:$K$991,10,FALSE)-IF(MONTH($C430)=4,$Y$3,IF(MONTH($C430)=5,$Y$4,IF(MONTH($C430)=6,$Y$5,IF(MONTH($C430)=7,$Y$6,"ERROR")))),0),MAX(VLOOKUP($C430,COS!$B$8:$K$991,9,FALSE)-IF(MONTH($C430)=4,$V$3,IF(MONTH($C430)=5,$V$4,IF(MONTH($C430)=6,$V$5,IF(MONTH($C430)=7,$V$6,"ERROR"))))-VLOOKUP($C430,COS!$B$8:$K$991,6,FALSE)/2,0))</f>
        <v>1500</v>
      </c>
      <c r="S430" s="26">
        <f t="shared" si="688"/>
        <v>89.256198347107429</v>
      </c>
      <c r="T430" s="26">
        <f t="shared" si="689"/>
        <v>184.63243700768334</v>
      </c>
      <c r="U430" s="26" t="str">
        <f>IF(VLOOKUP($C430,COS!$B$8:$I$991,8,FALSE)=1,"UWFE","IBU")</f>
        <v>IBU</v>
      </c>
      <c r="V430" s="26">
        <f t="shared" ref="V430" si="692">MIN(IF(IF($AA$3=2,AND(E430=1,G430=1,L430=1,L433=1,M430=1,U430="IBU"),AND(E430=1,G430=1,L430=1,L433=1,M430=1)),T430,0),I430)</f>
        <v>0</v>
      </c>
      <c r="W430" s="26"/>
      <c r="X430" s="26"/>
      <c r="Y430" s="26"/>
      <c r="Z430" s="26"/>
      <c r="AA430" s="26"/>
      <c r="AB430" s="33"/>
    </row>
    <row r="431" spans="1:28" x14ac:dyDescent="0.3">
      <c r="A431" s="32">
        <f>VLOOKUP(YEAR(C431),Flags!$A$13:$B$95,2,FALSE)</f>
        <v>3</v>
      </c>
      <c r="B431" s="24">
        <f t="shared" si="637"/>
        <v>1968</v>
      </c>
      <c r="C431" s="25">
        <v>25050</v>
      </c>
      <c r="D431" s="26">
        <f>VLOOKUP($C431,COS!$B$8:$H$991,3,FALSE)</f>
        <v>16000</v>
      </c>
      <c r="E431" s="24">
        <f>IF(D431&gt;=IF(MONTH($C431)=4,$C$3,IF(MONTH($C431)=5,$C$4,IF(MONTH($C431)=6,$C$5,IF(MONTH($C431)=7,$C$6,"ERROR")))),1,0)</f>
        <v>1</v>
      </c>
      <c r="F431" s="26">
        <f>VLOOKUP($C431,COS!$B$8:$H$991,7,FALSE)</f>
        <v>51.892650604248047</v>
      </c>
      <c r="G431" s="24">
        <f>IF(F431&lt;=IF(MONTH($C431)=4,$F$3,IF(MONTH($C431)=5,$F$4,IF(MONTH($C431)=6,$F$5,IF(MONTH($C431)=7,$F$6,"ERROR")))),1,0)</f>
        <v>1</v>
      </c>
      <c r="H431" s="26">
        <f>IF(J431=1,D431-$C$6,0)</f>
        <v>4000</v>
      </c>
      <c r="I431" s="26">
        <f t="shared" si="661"/>
        <v>245.95041322314049</v>
      </c>
      <c r="J431" s="24">
        <f t="shared" si="683"/>
        <v>1</v>
      </c>
      <c r="K431" s="26">
        <f>VLOOKUP($C431,COS!$B$8:$H$991,2,FALSE)</f>
        <v>3020.87158203125</v>
      </c>
      <c r="L431" s="24">
        <f t="shared" si="639"/>
        <v>1</v>
      </c>
      <c r="M431" s="24">
        <f t="shared" si="640"/>
        <v>0</v>
      </c>
      <c r="N431" s="26">
        <f>VLOOKUP($C431,COS!$B$8:$H$991,5,FALSE)</f>
        <v>869.43463134765625</v>
      </c>
      <c r="O431" s="26">
        <f t="shared" si="686"/>
        <v>53.459451712616215</v>
      </c>
      <c r="P431" s="26">
        <f>VLOOKUP($C431,COS!$B$8:$H$991,6,FALSE)</f>
        <v>2537.385498046875</v>
      </c>
      <c r="Q431" s="26">
        <f t="shared" si="687"/>
        <v>156.01775293775825</v>
      </c>
      <c r="R431" s="26">
        <f>MIN(IF(MONTH($C431)=4,$S$3,IF(MONTH($C431)=5,$S$4,IF(MONTH($C431)=6,$S$5,IF(MONTH($C431)=7,$S$6,"ERROR")))),MAX(VLOOKUP($C431,COS!$B$8:$K$991,10,FALSE)-IF(MONTH($C431)=4,$Y$3,IF(MONTH($C431)=5,$Y$4,IF(MONTH($C431)=6,$Y$5,IF(MONTH($C431)=7,$Y$6,"ERROR")))),0),MAX(VLOOKUP($C431,COS!$B$8:$K$991,9,FALSE)-IF(MONTH($C431)=4,$V$3,IF(MONTH($C431)=5,$V$4,IF(MONTH($C431)=6,$V$5,IF(MONTH($C431)=7,$V$6,"ERROR"))))-VLOOKUP($C431,COS!$B$8:$K$991,6,FALSE)/2,0))</f>
        <v>1500</v>
      </c>
      <c r="S431" s="26">
        <f t="shared" si="688"/>
        <v>92.231404958677686</v>
      </c>
      <c r="T431" s="26">
        <f t="shared" si="689"/>
        <v>196.9700072838649</v>
      </c>
      <c r="U431" s="26" t="str">
        <f>IF(VLOOKUP($C431,COS!$B$8:$I$991,8,FALSE)=1,"UWFE","IBU")</f>
        <v>IBU</v>
      </c>
      <c r="V431" s="26">
        <f t="shared" ref="V431" si="693">MIN(IF(IF($AA$3=2,AND(E431=1,G431=1,L431=1,L433=1,M431=1,U431="IBU"),AND(E431=1,G431=1,L431=1,L433=1,M431=1)),T431,0),I431)</f>
        <v>0</v>
      </c>
      <c r="W431" s="26"/>
      <c r="X431" s="26"/>
      <c r="Y431" s="26"/>
      <c r="Z431" s="26"/>
      <c r="AA431" s="26"/>
      <c r="AB431" s="33"/>
    </row>
    <row r="432" spans="1:28" x14ac:dyDescent="0.3">
      <c r="A432" s="32">
        <f>VLOOKUP(YEAR(C432),Flags!$A$13:$B$95,2,FALSE)</f>
        <v>3</v>
      </c>
      <c r="B432" s="24">
        <f t="shared" si="637"/>
        <v>1968</v>
      </c>
      <c r="C432" s="25">
        <v>25081</v>
      </c>
      <c r="D432" s="26"/>
      <c r="E432" s="24"/>
      <c r="F432" s="26"/>
      <c r="G432" s="24"/>
      <c r="H432" s="24"/>
      <c r="I432" s="26"/>
      <c r="J432" s="24"/>
      <c r="K432" s="26"/>
      <c r="L432" s="24"/>
      <c r="M432" s="24"/>
      <c r="N432" s="26"/>
      <c r="O432" s="26"/>
      <c r="P432" s="26"/>
      <c r="Q432" s="26"/>
      <c r="R432" s="26"/>
      <c r="S432" s="26"/>
      <c r="T432" s="26"/>
      <c r="U432" s="26"/>
      <c r="V432" s="26"/>
      <c r="W432" s="26">
        <f>MAX($C$7-VLOOKUP($C432,COS!$B$8:$H$991,3,FALSE),0)</f>
        <v>3886.423828125</v>
      </c>
      <c r="X432" s="26">
        <f t="shared" si="667"/>
        <v>238.96688662190084</v>
      </c>
      <c r="Y432" s="26">
        <f>VLOOKUP($C432,COS!$B$8:$H$991,4,FALSE)</f>
        <v>520.4456787109375</v>
      </c>
      <c r="Z432" s="26">
        <f t="shared" si="668"/>
        <v>32.000957434788219</v>
      </c>
      <c r="AA432" s="26">
        <f t="shared" ref="AA432:AA436" si="694">MIN(W432,Y432)</f>
        <v>520.4456787109375</v>
      </c>
      <c r="AB432" s="33">
        <f t="shared" ref="AB432" si="695">AA432*DAY($C432)*86400/43560/1000*IF(MONTH($C432)=8,$P$3,IF(MONTH($C432)=9,$P$4,IF(MONTH($C432)=10,$P$5,IF(MONTH($C432)=11,$P$6,IF(MONTH($C432)=12,$P$7,NA())))))</f>
        <v>32.000957434788219</v>
      </c>
    </row>
    <row r="433" spans="1:28" x14ac:dyDescent="0.3">
      <c r="A433" s="32">
        <f>VLOOKUP(YEAR(C433),Flags!$A$13:$B$95,2,FALSE)</f>
        <v>3</v>
      </c>
      <c r="B433" s="24">
        <f t="shared" si="637"/>
        <v>1968</v>
      </c>
      <c r="C433" s="25">
        <v>25111</v>
      </c>
      <c r="D433" s="26"/>
      <c r="E433" s="24"/>
      <c r="F433" s="26"/>
      <c r="G433" s="24"/>
      <c r="H433" s="24"/>
      <c r="I433" s="26"/>
      <c r="J433" s="24"/>
      <c r="K433" s="26">
        <f>VLOOKUP($C433,COS!$B$8:$H$991,2,FALSE)</f>
        <v>2794.065185546875</v>
      </c>
      <c r="L433" s="24">
        <f t="shared" ref="L433" si="696">IF(AND(K433&gt;$I$7,K433&lt;$I$8),1,0)</f>
        <v>1</v>
      </c>
      <c r="M433" s="24"/>
      <c r="N433" s="26"/>
      <c r="O433" s="26"/>
      <c r="P433" s="26"/>
      <c r="Q433" s="26"/>
      <c r="R433" s="26"/>
      <c r="S433" s="26"/>
      <c r="T433" s="26"/>
      <c r="U433" s="26"/>
      <c r="V433" s="26"/>
      <c r="W433" s="26">
        <f>MAX($C$8-VLOOKUP($C433,COS!$B$8:$H$991,3,FALSE),0)</f>
        <v>0</v>
      </c>
      <c r="X433" s="26">
        <f t="shared" si="667"/>
        <v>0</v>
      </c>
      <c r="Y433" s="26">
        <f>VLOOKUP($C433,COS!$B$8:$H$991,4,FALSE)</f>
        <v>164.13697814941406</v>
      </c>
      <c r="Z433" s="26">
        <f t="shared" si="668"/>
        <v>9.76682845186596</v>
      </c>
      <c r="AA433" s="26">
        <f t="shared" si="694"/>
        <v>0</v>
      </c>
      <c r="AB433" s="33">
        <f t="shared" si="650"/>
        <v>0</v>
      </c>
    </row>
    <row r="434" spans="1:28" x14ac:dyDescent="0.3">
      <c r="A434" s="32">
        <f>VLOOKUP(YEAR(C434),Flags!$A$13:$B$95,2,FALSE)</f>
        <v>3</v>
      </c>
      <c r="B434" s="24">
        <f t="shared" si="637"/>
        <v>1968</v>
      </c>
      <c r="C434" s="25">
        <v>25142</v>
      </c>
      <c r="D434" s="26"/>
      <c r="E434" s="24"/>
      <c r="F434" s="26"/>
      <c r="G434" s="26"/>
      <c r="H434" s="26"/>
      <c r="I434" s="26"/>
      <c r="J434" s="26"/>
      <c r="K434" s="26"/>
      <c r="L434" s="24"/>
      <c r="M434" s="24"/>
      <c r="N434" s="26"/>
      <c r="O434" s="26"/>
      <c r="P434" s="26"/>
      <c r="Q434" s="26"/>
      <c r="R434" s="26"/>
      <c r="S434" s="26"/>
      <c r="T434" s="26"/>
      <c r="U434" s="26"/>
      <c r="V434" s="26"/>
      <c r="W434" s="26">
        <f>MAX($C$9-VLOOKUP($C434,COS!$B$8:$H$991,3,FALSE),0)</f>
        <v>0</v>
      </c>
      <c r="X434" s="26">
        <f t="shared" si="667"/>
        <v>0</v>
      </c>
      <c r="Y434" s="26">
        <f>VLOOKUP($C434,COS!$B$8:$H$991,4,FALSE)</f>
        <v>1019.0936889648438</v>
      </c>
      <c r="Z434" s="26">
        <f t="shared" si="668"/>
        <v>62.661628478499487</v>
      </c>
      <c r="AA434" s="26">
        <f t="shared" si="694"/>
        <v>0</v>
      </c>
      <c r="AB434" s="33">
        <f t="shared" si="650"/>
        <v>0</v>
      </c>
    </row>
    <row r="435" spans="1:28" x14ac:dyDescent="0.3">
      <c r="A435" s="32">
        <f>VLOOKUP(YEAR(C435),Flags!$A$13:$B$95,2,FALSE)</f>
        <v>3</v>
      </c>
      <c r="B435" s="24">
        <f t="shared" si="637"/>
        <v>1968</v>
      </c>
      <c r="C435" s="25">
        <v>25172</v>
      </c>
      <c r="D435" s="26"/>
      <c r="E435" s="24"/>
      <c r="F435" s="26"/>
      <c r="G435" s="26"/>
      <c r="H435" s="26"/>
      <c r="I435" s="26"/>
      <c r="J435" s="26"/>
      <c r="K435" s="26"/>
      <c r="L435" s="24"/>
      <c r="M435" s="24"/>
      <c r="N435" s="26"/>
      <c r="O435" s="26"/>
      <c r="P435" s="26"/>
      <c r="Q435" s="26"/>
      <c r="R435" s="26"/>
      <c r="S435" s="26"/>
      <c r="T435" s="26"/>
      <c r="U435" s="26"/>
      <c r="V435" s="26"/>
      <c r="W435" s="26">
        <f>MAX($C$10-VLOOKUP($C435,COS!$B$8:$H$991,3,FALSE),0)</f>
        <v>1750</v>
      </c>
      <c r="X435" s="26">
        <f t="shared" si="667"/>
        <v>104.13223140495867</v>
      </c>
      <c r="Y435" s="26">
        <f>VLOOKUP($C435,COS!$B$8:$H$991,4,FALSE)</f>
        <v>448.95883178710938</v>
      </c>
      <c r="Z435" s="26">
        <f t="shared" si="668"/>
        <v>26.714905693117252</v>
      </c>
      <c r="AA435" s="26">
        <f t="shared" si="694"/>
        <v>448.95883178710938</v>
      </c>
      <c r="AB435" s="33">
        <f t="shared" si="650"/>
        <v>26.714905693117252</v>
      </c>
    </row>
    <row r="436" spans="1:28" x14ac:dyDescent="0.3">
      <c r="A436" s="34">
        <f>VLOOKUP(YEAR(C436),Flags!$A$13:$B$95,2,FALSE)</f>
        <v>3</v>
      </c>
      <c r="B436" s="35">
        <f t="shared" si="637"/>
        <v>1968</v>
      </c>
      <c r="C436" s="36">
        <v>25203</v>
      </c>
      <c r="D436" s="37"/>
      <c r="E436" s="35"/>
      <c r="F436" s="37"/>
      <c r="G436" s="37"/>
      <c r="H436" s="37"/>
      <c r="I436" s="37"/>
      <c r="J436" s="37"/>
      <c r="K436" s="37"/>
      <c r="L436" s="35"/>
      <c r="M436" s="35"/>
      <c r="N436" s="37"/>
      <c r="O436" s="37"/>
      <c r="P436" s="37"/>
      <c r="Q436" s="37"/>
      <c r="R436" s="37"/>
      <c r="S436" s="37"/>
      <c r="T436" s="37"/>
      <c r="U436" s="37"/>
      <c r="V436" s="37"/>
      <c r="W436" s="37">
        <f>MAX($C$11-VLOOKUP($C436,COS!$B$8:$H$991,3,FALSE),0)</f>
        <v>1750</v>
      </c>
      <c r="X436" s="37">
        <f t="shared" si="667"/>
        <v>107.60330578512398</v>
      </c>
      <c r="Y436" s="37">
        <f>VLOOKUP($C436,COS!$B$8:$H$991,4,FALSE)</f>
        <v>0</v>
      </c>
      <c r="Z436" s="37">
        <f t="shared" si="668"/>
        <v>0</v>
      </c>
      <c r="AA436" s="37">
        <f t="shared" si="694"/>
        <v>0</v>
      </c>
      <c r="AB436" s="38">
        <f t="shared" si="650"/>
        <v>0</v>
      </c>
    </row>
    <row r="437" spans="1:28" x14ac:dyDescent="0.3">
      <c r="A437" s="27">
        <f>VLOOKUP(YEAR(C437),Flags!$A$13:$B$95,2,FALSE)</f>
        <v>1</v>
      </c>
      <c r="B437" s="28">
        <f t="shared" si="637"/>
        <v>1969</v>
      </c>
      <c r="C437" s="29">
        <v>25323</v>
      </c>
      <c r="D437" s="30">
        <f>VLOOKUP($C437,COS!$B$8:$H$991,3,FALSE)</f>
        <v>9669.7626953125</v>
      </c>
      <c r="E437" s="28">
        <f>IF(D437&gt;=IF(MONTH($C437)=4,$C$3,IF(MONTH($C437)=5,$C$4,IF(MONTH($C437)=6,$C$5,IF(MONTH($C437)=7,$C$6,"ERROR")))),1,0)</f>
        <v>1</v>
      </c>
      <c r="F437" s="30">
        <f>VLOOKUP($C437,COS!$B$8:$H$991,7,FALSE)</f>
        <v>46.990718841552734</v>
      </c>
      <c r="G437" s="28">
        <f>IF(F437&lt;=IF(MONTH($C437)=4,$F$3,IF(MONTH($C437)=5,$F$4,IF(MONTH($C437)=6,$F$5,IF(MONTH($C437)=7,$F$6,"ERROR")))),1,0)</f>
        <v>1</v>
      </c>
      <c r="H437" s="30">
        <f>IF(J437=1,D437-$C$3,0)</f>
        <v>3669.7626953125</v>
      </c>
      <c r="I437" s="30">
        <f t="shared" si="661"/>
        <v>218.36604467975206</v>
      </c>
      <c r="J437" s="28">
        <f t="shared" ref="J437:J440" si="697">IF(AND(E437=1,G437=1),1,0)</f>
        <v>1</v>
      </c>
      <c r="K437" s="30">
        <f>VLOOKUP($C437,COS!$B$8:$H$991,2,FALSE)</f>
        <v>4434</v>
      </c>
      <c r="L437" s="28">
        <f t="shared" ref="L437" si="698">IF(K437&lt;=IF(MONTH($C437)=4,$I$3,IF(MONTH($C437)=5,$I$4,IF(MONTH($C437)=6,$I$5,IF(MONTH($C437)=7,$I$6,"ERROR")))),1,0)</f>
        <v>1</v>
      </c>
      <c r="M437" s="28">
        <f t="shared" ref="M437" si="699">VLOOKUP($A437,$L$3:$M$7,2,FALSE)</f>
        <v>0</v>
      </c>
      <c r="N437" s="30">
        <f>VLOOKUP($C437,COS!$B$8:$H$991,5,FALSE)</f>
        <v>171.73318481445313</v>
      </c>
      <c r="O437" s="30">
        <f t="shared" ref="O437:O440" si="700">N437*DAY($C437)*86400/43560/1000</f>
        <v>10.218834137719524</v>
      </c>
      <c r="P437" s="30">
        <f>VLOOKUP($C437,COS!$B$8:$H$991,6,FALSE)</f>
        <v>463.4422607421875</v>
      </c>
      <c r="Q437" s="30">
        <f t="shared" ref="Q437:Q440" si="701">P437*DAY($C437)*86400/43560/1000</f>
        <v>27.576729564824383</v>
      </c>
      <c r="R437" s="30">
        <f>MIN(IF(MONTH($C437)=4,$S$3,IF(MONTH($C437)=5,$S$4,IF(MONTH($C437)=6,$S$5,IF(MONTH($C437)=7,$S$6,"ERROR")))),MAX(VLOOKUP($C437,COS!$B$8:$K$991,10,FALSE)-IF(MONTH($C437)=4,$Y$3,IF(MONTH($C437)=5,$Y$4,IF(MONTH($C437)=6,$Y$5,IF(MONTH($C437)=7,$Y$6,"ERROR")))),0),MAX(VLOOKUP($C437,COS!$B$8:$K$991,9,FALSE)-IF(MONTH($C437)=4,$V$3,IF(MONTH($C437)=5,$V$4,IF(MONTH($C437)=6,$V$5,IF(MONTH($C437)=7,$V$6,"ERROR"))))-VLOOKUP($C437,COS!$B$8:$K$991,6,FALSE)/2,0))</f>
        <v>1500</v>
      </c>
      <c r="S437" s="30">
        <f t="shared" ref="S437:S440" si="702">R437*DAY($C437)*86400/43560/1000</f>
        <v>89.256198347107429</v>
      </c>
      <c r="T437" s="30">
        <f t="shared" ref="T437:T440" si="703">(O437+Q437)/2+S437</f>
        <v>108.15398019837939</v>
      </c>
      <c r="U437" s="30" t="str">
        <f>IF(VLOOKUP($C437,COS!$B$8:$I$991,8,FALSE)=1,"UWFE","IBU")</f>
        <v>UWFE</v>
      </c>
      <c r="V437" s="30">
        <f t="shared" ref="V437" si="704">MIN(IF(IF($AA$3=2,AND(E437=1,G437=1,L437=1,L442=1,M437=1,U437="IBU"),AND(E437=1,G437=1,L437=1,L442=1,M437=1)),T437,0),I437)</f>
        <v>0</v>
      </c>
      <c r="W437" s="30"/>
      <c r="X437" s="30"/>
      <c r="Y437" s="30"/>
      <c r="Z437" s="30"/>
      <c r="AA437" s="30"/>
      <c r="AB437" s="31"/>
    </row>
    <row r="438" spans="1:28" x14ac:dyDescent="0.3">
      <c r="A438" s="32">
        <f>VLOOKUP(YEAR(C438),Flags!$A$13:$B$95,2,FALSE)</f>
        <v>1</v>
      </c>
      <c r="B438" s="24">
        <f t="shared" si="637"/>
        <v>1969</v>
      </c>
      <c r="C438" s="25">
        <v>25354</v>
      </c>
      <c r="D438" s="26">
        <f>VLOOKUP($C438,COS!$B$8:$H$991,3,FALSE)</f>
        <v>9579.4580078125</v>
      </c>
      <c r="E438" s="24">
        <f>IF(D438&gt;=IF(MONTH($C438)=4,$C$3,IF(MONTH($C438)=5,$C$4,IF(MONTH($C438)=6,$C$5,IF(MONTH($C438)=7,$C$6,"ERROR")))),1,0)</f>
        <v>1</v>
      </c>
      <c r="F438" s="26">
        <f>VLOOKUP($C438,COS!$B$8:$H$991,7,FALSE)</f>
        <v>48.872310638427734</v>
      </c>
      <c r="G438" s="24">
        <f>IF(F438&lt;=IF(MONTH($C438)=4,$F$3,IF(MONTH($C438)=5,$F$4,IF(MONTH($C438)=6,$F$5,IF(MONTH($C438)=7,$F$6,"ERROR")))),1,0)</f>
        <v>1</v>
      </c>
      <c r="H438" s="26">
        <f>IF(J438=1,D438-$C$4,0)</f>
        <v>3579.4580078125</v>
      </c>
      <c r="I438" s="26">
        <f t="shared" si="661"/>
        <v>220.09229403409091</v>
      </c>
      <c r="J438" s="24">
        <f t="shared" si="697"/>
        <v>1</v>
      </c>
      <c r="K438" s="26">
        <f>VLOOKUP($C438,COS!$B$8:$H$991,2,FALSE)</f>
        <v>4552</v>
      </c>
      <c r="L438" s="24">
        <f t="shared" si="639"/>
        <v>1</v>
      </c>
      <c r="M438" s="24">
        <f t="shared" si="640"/>
        <v>0</v>
      </c>
      <c r="N438" s="26">
        <f>VLOOKUP($C438,COS!$B$8:$H$991,5,FALSE)</f>
        <v>779.53582763671875</v>
      </c>
      <c r="O438" s="26">
        <f t="shared" si="700"/>
        <v>47.931789732373453</v>
      </c>
      <c r="P438" s="26">
        <f>VLOOKUP($C438,COS!$B$8:$H$991,6,FALSE)</f>
        <v>2345.609619140625</v>
      </c>
      <c r="Q438" s="26">
        <f t="shared" si="701"/>
        <v>144.22591377195246</v>
      </c>
      <c r="R438" s="26">
        <f>MIN(IF(MONTH($C438)=4,$S$3,IF(MONTH($C438)=5,$S$4,IF(MONTH($C438)=6,$S$5,IF(MONTH($C438)=7,$S$6,"ERROR")))),MAX(VLOOKUP($C438,COS!$B$8:$K$991,10,FALSE)-IF(MONTH($C438)=4,$Y$3,IF(MONTH($C438)=5,$Y$4,IF(MONTH($C438)=6,$Y$5,IF(MONTH($C438)=7,$Y$6,"ERROR")))),0),MAX(VLOOKUP($C438,COS!$B$8:$K$991,9,FALSE)-IF(MONTH($C438)=4,$V$3,IF(MONTH($C438)=5,$V$4,IF(MONTH($C438)=6,$V$5,IF(MONTH($C438)=7,$V$6,"ERROR"))))-VLOOKUP($C438,COS!$B$8:$K$991,6,FALSE)/2,0))</f>
        <v>1500</v>
      </c>
      <c r="S438" s="26">
        <f t="shared" si="702"/>
        <v>92.231404958677686</v>
      </c>
      <c r="T438" s="26">
        <f t="shared" si="703"/>
        <v>188.31025671084063</v>
      </c>
      <c r="U438" s="26" t="str">
        <f>IF(VLOOKUP($C438,COS!$B$8:$I$991,8,FALSE)=1,"UWFE","IBU")</f>
        <v>UWFE</v>
      </c>
      <c r="V438" s="26">
        <f t="shared" ref="V438" si="705">MIN(IF(IF($AA$3=2,AND(E438=1,G438=1,L438=1,L442=1,M438=1,U438="IBU"),AND(E438=1,G438=1,L438=1,L442=1,M438=1)),T438,0),I438)</f>
        <v>0</v>
      </c>
      <c r="W438" s="26"/>
      <c r="X438" s="26"/>
      <c r="Y438" s="26"/>
      <c r="Z438" s="26"/>
      <c r="AA438" s="26"/>
      <c r="AB438" s="33"/>
    </row>
    <row r="439" spans="1:28" x14ac:dyDescent="0.3">
      <c r="A439" s="32">
        <f>VLOOKUP(YEAR(C439),Flags!$A$13:$B$95,2,FALSE)</f>
        <v>1</v>
      </c>
      <c r="B439" s="24">
        <f t="shared" si="637"/>
        <v>1969</v>
      </c>
      <c r="C439" s="25">
        <v>25384</v>
      </c>
      <c r="D439" s="26">
        <f>VLOOKUP($C439,COS!$B$8:$H$991,3,FALSE)</f>
        <v>8011.47998046875</v>
      </c>
      <c r="E439" s="24">
        <f>IF(D439&gt;=IF(MONTH($C439)=4,$C$3,IF(MONTH($C439)=5,$C$4,IF(MONTH($C439)=6,$C$5,IF(MONTH($C439)=7,$C$6,"ERROR")))),1,0)</f>
        <v>0</v>
      </c>
      <c r="F439" s="26">
        <f>VLOOKUP($C439,COS!$B$8:$H$991,7,FALSE)</f>
        <v>50.501800537109375</v>
      </c>
      <c r="G439" s="24">
        <f>IF(F439&lt;=IF(MONTH($C439)=4,$F$3,IF(MONTH($C439)=5,$F$4,IF(MONTH($C439)=6,$F$5,IF(MONTH($C439)=7,$F$6,"ERROR")))),1,0)</f>
        <v>1</v>
      </c>
      <c r="H439" s="26">
        <f>IF(J439=1,D439-$C$5,0)</f>
        <v>0</v>
      </c>
      <c r="I439" s="26">
        <f t="shared" si="661"/>
        <v>0</v>
      </c>
      <c r="J439" s="24">
        <f t="shared" si="697"/>
        <v>0</v>
      </c>
      <c r="K439" s="26">
        <f>VLOOKUP($C439,COS!$B$8:$H$991,2,FALSE)</f>
        <v>4403.0791015625</v>
      </c>
      <c r="L439" s="24">
        <f t="shared" si="639"/>
        <v>1</v>
      </c>
      <c r="M439" s="24">
        <f t="shared" si="640"/>
        <v>0</v>
      </c>
      <c r="N439" s="26">
        <f>VLOOKUP($C439,COS!$B$8:$H$991,5,FALSE)</f>
        <v>1103.256591796875</v>
      </c>
      <c r="O439" s="26">
        <f t="shared" si="700"/>
        <v>65.648326123450417</v>
      </c>
      <c r="P439" s="26">
        <f>VLOOKUP($C439,COS!$B$8:$H$991,6,FALSE)</f>
        <v>2226.01513671875</v>
      </c>
      <c r="Q439" s="26">
        <f t="shared" si="701"/>
        <v>132.45709904442148</v>
      </c>
      <c r="R439" s="26">
        <f>MIN(IF(MONTH($C439)=4,$S$3,IF(MONTH($C439)=5,$S$4,IF(MONTH($C439)=6,$S$5,IF(MONTH($C439)=7,$S$6,"ERROR")))),MAX(VLOOKUP($C439,COS!$B$8:$K$991,10,FALSE)-IF(MONTH($C439)=4,$Y$3,IF(MONTH($C439)=5,$Y$4,IF(MONTH($C439)=6,$Y$5,IF(MONTH($C439)=7,$Y$6,"ERROR")))),0),MAX(VLOOKUP($C439,COS!$B$8:$K$991,9,FALSE)-IF(MONTH($C439)=4,$V$3,IF(MONTH($C439)=5,$V$4,IF(MONTH($C439)=6,$V$5,IF(MONTH($C439)=7,$V$6,"ERROR"))))-VLOOKUP($C439,COS!$B$8:$K$991,6,FALSE)/2,0))</f>
        <v>1500</v>
      </c>
      <c r="S439" s="26">
        <f t="shared" si="702"/>
        <v>89.256198347107429</v>
      </c>
      <c r="T439" s="26">
        <f t="shared" si="703"/>
        <v>188.30891093104339</v>
      </c>
      <c r="U439" s="26" t="str">
        <f>IF(VLOOKUP($C439,COS!$B$8:$I$991,8,FALSE)=1,"UWFE","IBU")</f>
        <v>UWFE</v>
      </c>
      <c r="V439" s="26">
        <f t="shared" ref="V439" si="706">MIN(IF(IF($AA$3=2,AND(E439=1,G439=1,L439=1,L442=1,M439=1,U439="IBU"),AND(E439=1,G439=1,L439=1,L442=1,M439=1)),T439,0),I439)</f>
        <v>0</v>
      </c>
      <c r="W439" s="26"/>
      <c r="X439" s="26"/>
      <c r="Y439" s="26"/>
      <c r="Z439" s="26"/>
      <c r="AA439" s="26"/>
      <c r="AB439" s="33"/>
    </row>
    <row r="440" spans="1:28" x14ac:dyDescent="0.3">
      <c r="A440" s="32">
        <f>VLOOKUP(YEAR(C440),Flags!$A$13:$B$95,2,FALSE)</f>
        <v>1</v>
      </c>
      <c r="B440" s="24">
        <f t="shared" si="637"/>
        <v>1969</v>
      </c>
      <c r="C440" s="25">
        <v>25415</v>
      </c>
      <c r="D440" s="26">
        <f>VLOOKUP($C440,COS!$B$8:$H$991,3,FALSE)</f>
        <v>11045.078125</v>
      </c>
      <c r="E440" s="24">
        <f>IF(D440&gt;=IF(MONTH($C440)=4,$C$3,IF(MONTH($C440)=5,$C$4,IF(MONTH($C440)=6,$C$5,IF(MONTH($C440)=7,$C$6,"ERROR")))),1,0)</f>
        <v>0</v>
      </c>
      <c r="F440" s="26">
        <f>VLOOKUP($C440,COS!$B$8:$H$991,7,FALSE)</f>
        <v>51.50872802734375</v>
      </c>
      <c r="G440" s="24">
        <f>IF(F440&lt;=IF(MONTH($C440)=4,$F$3,IF(MONTH($C440)=5,$F$4,IF(MONTH($C440)=6,$F$5,IF(MONTH($C440)=7,$F$6,"ERROR")))),1,0)</f>
        <v>1</v>
      </c>
      <c r="H440" s="26">
        <f>IF(J440=1,D440-$C$6,0)</f>
        <v>0</v>
      </c>
      <c r="I440" s="26">
        <f t="shared" si="661"/>
        <v>0</v>
      </c>
      <c r="J440" s="24">
        <f t="shared" si="697"/>
        <v>0</v>
      </c>
      <c r="K440" s="26">
        <f>VLOOKUP($C440,COS!$B$8:$H$991,2,FALSE)</f>
        <v>3947.457763671875</v>
      </c>
      <c r="L440" s="24">
        <f t="shared" si="639"/>
        <v>1</v>
      </c>
      <c r="M440" s="24">
        <f t="shared" si="640"/>
        <v>0</v>
      </c>
      <c r="N440" s="26">
        <f>VLOOKUP($C440,COS!$B$8:$H$991,5,FALSE)</f>
        <v>1249.15625</v>
      </c>
      <c r="O440" s="26">
        <f t="shared" si="700"/>
        <v>76.807623966942145</v>
      </c>
      <c r="P440" s="26">
        <f>VLOOKUP($C440,COS!$B$8:$H$991,6,FALSE)</f>
        <v>2516.8701171875</v>
      </c>
      <c r="Q440" s="26">
        <f t="shared" si="701"/>
        <v>154.75631133780993</v>
      </c>
      <c r="R440" s="26">
        <f>MIN(IF(MONTH($C440)=4,$S$3,IF(MONTH($C440)=5,$S$4,IF(MONTH($C440)=6,$S$5,IF(MONTH($C440)=7,$S$6,"ERROR")))),MAX(VLOOKUP($C440,COS!$B$8:$K$991,10,FALSE)-IF(MONTH($C440)=4,$Y$3,IF(MONTH($C440)=5,$Y$4,IF(MONTH($C440)=6,$Y$5,IF(MONTH($C440)=7,$Y$6,"ERROR")))),0),MAX(VLOOKUP($C440,COS!$B$8:$K$991,9,FALSE)-IF(MONTH($C440)=4,$V$3,IF(MONTH($C440)=5,$V$4,IF(MONTH($C440)=6,$V$5,IF(MONTH($C440)=7,$V$6,"ERROR"))))-VLOOKUP($C440,COS!$B$8:$K$991,6,FALSE)/2,0))</f>
        <v>1500</v>
      </c>
      <c r="S440" s="26">
        <f t="shared" si="702"/>
        <v>92.231404958677686</v>
      </c>
      <c r="T440" s="26">
        <f t="shared" si="703"/>
        <v>208.01337261105374</v>
      </c>
      <c r="U440" s="26" t="str">
        <f>IF(VLOOKUP($C440,COS!$B$8:$I$991,8,FALSE)=1,"UWFE","IBU")</f>
        <v>IBU</v>
      </c>
      <c r="V440" s="26">
        <f t="shared" ref="V440" si="707">MIN(IF(IF($AA$3=2,AND(E440=1,G440=1,L440=1,L442=1,M440=1,U440="IBU"),AND(E440=1,G440=1,L440=1,L442=1,M440=1)),T440,0),I440)</f>
        <v>0</v>
      </c>
      <c r="W440" s="26"/>
      <c r="X440" s="26"/>
      <c r="Y440" s="26"/>
      <c r="Z440" s="26"/>
      <c r="AA440" s="26"/>
      <c r="AB440" s="33"/>
    </row>
    <row r="441" spans="1:28" x14ac:dyDescent="0.3">
      <c r="A441" s="32">
        <f>VLOOKUP(YEAR(C441),Flags!$A$13:$B$95,2,FALSE)</f>
        <v>1</v>
      </c>
      <c r="B441" s="24">
        <f t="shared" si="637"/>
        <v>1969</v>
      </c>
      <c r="C441" s="25">
        <v>25446</v>
      </c>
      <c r="D441" s="26"/>
      <c r="E441" s="24"/>
      <c r="F441" s="26"/>
      <c r="G441" s="24"/>
      <c r="H441" s="24"/>
      <c r="I441" s="26"/>
      <c r="J441" s="24"/>
      <c r="K441" s="26"/>
      <c r="L441" s="24"/>
      <c r="M441" s="24"/>
      <c r="N441" s="26"/>
      <c r="O441" s="26"/>
      <c r="P441" s="26"/>
      <c r="Q441" s="26"/>
      <c r="R441" s="26"/>
      <c r="S441" s="26"/>
      <c r="T441" s="26"/>
      <c r="U441" s="26"/>
      <c r="V441" s="26"/>
      <c r="W441" s="26">
        <f>MAX($C$7-VLOOKUP($C441,COS!$B$8:$H$991,3,FALSE),0)</f>
        <v>1533.791015625</v>
      </c>
      <c r="X441" s="26">
        <f t="shared" si="667"/>
        <v>94.309133522727279</v>
      </c>
      <c r="Y441" s="26">
        <f>VLOOKUP($C441,COS!$B$8:$H$991,4,FALSE)</f>
        <v>0</v>
      </c>
      <c r="Z441" s="26">
        <f t="shared" si="668"/>
        <v>0</v>
      </c>
      <c r="AA441" s="26">
        <f t="shared" ref="AA441:AA445" si="708">MIN(W441,Y441)</f>
        <v>0</v>
      </c>
      <c r="AB441" s="33">
        <f t="shared" ref="AB441" si="709">AA441*DAY($C441)*86400/43560/1000*IF(MONTH($C441)=8,$P$3,IF(MONTH($C441)=9,$P$4,IF(MONTH($C441)=10,$P$5,IF(MONTH($C441)=11,$P$6,IF(MONTH($C441)=12,$P$7,NA())))))</f>
        <v>0</v>
      </c>
    </row>
    <row r="442" spans="1:28" x14ac:dyDescent="0.3">
      <c r="A442" s="32">
        <f>VLOOKUP(YEAR(C442),Flags!$A$13:$B$95,2,FALSE)</f>
        <v>1</v>
      </c>
      <c r="B442" s="24">
        <f t="shared" si="637"/>
        <v>1969</v>
      </c>
      <c r="C442" s="25">
        <v>25476</v>
      </c>
      <c r="D442" s="26"/>
      <c r="E442" s="24"/>
      <c r="F442" s="26"/>
      <c r="G442" s="24"/>
      <c r="H442" s="24"/>
      <c r="I442" s="26"/>
      <c r="J442" s="24"/>
      <c r="K442" s="26">
        <f>VLOOKUP($C442,COS!$B$8:$H$991,2,FALSE)</f>
        <v>3239.390869140625</v>
      </c>
      <c r="L442" s="24">
        <f t="shared" ref="L442" si="710">IF(AND(K442&gt;$I$7,K442&lt;$I$8),1,0)</f>
        <v>1</v>
      </c>
      <c r="M442" s="24"/>
      <c r="N442" s="26"/>
      <c r="O442" s="26"/>
      <c r="P442" s="26"/>
      <c r="Q442" s="26"/>
      <c r="R442" s="26"/>
      <c r="S442" s="26"/>
      <c r="T442" s="26"/>
      <c r="U442" s="26"/>
      <c r="V442" s="26"/>
      <c r="W442" s="26">
        <f>MAX($C$8-VLOOKUP($C442,COS!$B$8:$H$991,3,FALSE),0)</f>
        <v>0</v>
      </c>
      <c r="X442" s="26">
        <f t="shared" si="667"/>
        <v>0</v>
      </c>
      <c r="Y442" s="26">
        <f>VLOOKUP($C442,COS!$B$8:$H$991,4,FALSE)</f>
        <v>42.857669830322266</v>
      </c>
      <c r="Z442" s="26">
        <f t="shared" si="668"/>
        <v>2.5502084527133912</v>
      </c>
      <c r="AA442" s="26">
        <f t="shared" si="708"/>
        <v>0</v>
      </c>
      <c r="AB442" s="33">
        <f t="shared" si="650"/>
        <v>0</v>
      </c>
    </row>
    <row r="443" spans="1:28" x14ac:dyDescent="0.3">
      <c r="A443" s="32">
        <f>VLOOKUP(YEAR(C443),Flags!$A$13:$B$95,2,FALSE)</f>
        <v>1</v>
      </c>
      <c r="B443" s="24">
        <f t="shared" si="637"/>
        <v>1969</v>
      </c>
      <c r="C443" s="25">
        <v>25507</v>
      </c>
      <c r="D443" s="26"/>
      <c r="E443" s="24"/>
      <c r="F443" s="26"/>
      <c r="G443" s="26"/>
      <c r="H443" s="26"/>
      <c r="I443" s="26"/>
      <c r="J443" s="26"/>
      <c r="K443" s="26"/>
      <c r="L443" s="24"/>
      <c r="M443" s="24"/>
      <c r="N443" s="26"/>
      <c r="O443" s="26"/>
      <c r="P443" s="26"/>
      <c r="Q443" s="26"/>
      <c r="R443" s="26"/>
      <c r="S443" s="26"/>
      <c r="T443" s="26"/>
      <c r="U443" s="26"/>
      <c r="V443" s="26"/>
      <c r="W443" s="26">
        <f>MAX($C$9-VLOOKUP($C443,COS!$B$8:$H$991,3,FALSE),0)</f>
        <v>0</v>
      </c>
      <c r="X443" s="26">
        <f t="shared" si="667"/>
        <v>0</v>
      </c>
      <c r="Y443" s="26">
        <f>VLOOKUP($C443,COS!$B$8:$H$991,4,FALSE)</f>
        <v>245.98057556152344</v>
      </c>
      <c r="Z443" s="26">
        <f t="shared" si="668"/>
        <v>15.124756051055655</v>
      </c>
      <c r="AA443" s="26">
        <f t="shared" si="708"/>
        <v>0</v>
      </c>
      <c r="AB443" s="33">
        <f t="shared" si="650"/>
        <v>0</v>
      </c>
    </row>
    <row r="444" spans="1:28" x14ac:dyDescent="0.3">
      <c r="A444" s="32">
        <f>VLOOKUP(YEAR(C444),Flags!$A$13:$B$95,2,FALSE)</f>
        <v>1</v>
      </c>
      <c r="B444" s="24">
        <f t="shared" si="637"/>
        <v>1969</v>
      </c>
      <c r="C444" s="25">
        <v>25537</v>
      </c>
      <c r="D444" s="26"/>
      <c r="E444" s="24"/>
      <c r="F444" s="26"/>
      <c r="G444" s="26"/>
      <c r="H444" s="26"/>
      <c r="I444" s="26"/>
      <c r="J444" s="26"/>
      <c r="K444" s="26"/>
      <c r="L444" s="24"/>
      <c r="M444" s="24"/>
      <c r="N444" s="26"/>
      <c r="O444" s="26"/>
      <c r="P444" s="26"/>
      <c r="Q444" s="26"/>
      <c r="R444" s="26"/>
      <c r="S444" s="26"/>
      <c r="T444" s="26"/>
      <c r="U444" s="26"/>
      <c r="V444" s="26"/>
      <c r="W444" s="26">
        <f>MAX($C$10-VLOOKUP($C444,COS!$B$8:$H$991,3,FALSE),0)</f>
        <v>0</v>
      </c>
      <c r="X444" s="26">
        <f t="shared" si="667"/>
        <v>0</v>
      </c>
      <c r="Y444" s="26">
        <f>VLOOKUP($C444,COS!$B$8:$H$991,4,FALSE)</f>
        <v>0</v>
      </c>
      <c r="Z444" s="26">
        <f t="shared" si="668"/>
        <v>0</v>
      </c>
      <c r="AA444" s="26">
        <f t="shared" si="708"/>
        <v>0</v>
      </c>
      <c r="AB444" s="33">
        <f t="shared" si="650"/>
        <v>0</v>
      </c>
    </row>
    <row r="445" spans="1:28" x14ac:dyDescent="0.3">
      <c r="A445" s="34">
        <f>VLOOKUP(YEAR(C445),Flags!$A$13:$B$95,2,FALSE)</f>
        <v>1</v>
      </c>
      <c r="B445" s="35">
        <f t="shared" si="637"/>
        <v>1969</v>
      </c>
      <c r="C445" s="36">
        <v>25568</v>
      </c>
      <c r="D445" s="37"/>
      <c r="E445" s="35"/>
      <c r="F445" s="37"/>
      <c r="G445" s="37"/>
      <c r="H445" s="37"/>
      <c r="I445" s="37"/>
      <c r="J445" s="37"/>
      <c r="K445" s="37"/>
      <c r="L445" s="35"/>
      <c r="M445" s="35"/>
      <c r="N445" s="37"/>
      <c r="O445" s="37"/>
      <c r="P445" s="37"/>
      <c r="Q445" s="37"/>
      <c r="R445" s="37"/>
      <c r="S445" s="37"/>
      <c r="T445" s="37"/>
      <c r="U445" s="37"/>
      <c r="V445" s="37"/>
      <c r="W445" s="37">
        <f>MAX($C$11-VLOOKUP($C445,COS!$B$8:$H$991,3,FALSE),0)</f>
        <v>0</v>
      </c>
      <c r="X445" s="37">
        <f t="shared" si="667"/>
        <v>0</v>
      </c>
      <c r="Y445" s="37">
        <f>VLOOKUP($C445,COS!$B$8:$H$991,4,FALSE)</f>
        <v>0</v>
      </c>
      <c r="Z445" s="37">
        <f t="shared" si="668"/>
        <v>0</v>
      </c>
      <c r="AA445" s="37">
        <f t="shared" si="708"/>
        <v>0</v>
      </c>
      <c r="AB445" s="38">
        <f t="shared" si="650"/>
        <v>0</v>
      </c>
    </row>
    <row r="446" spans="1:28" x14ac:dyDescent="0.3">
      <c r="A446" s="27">
        <f>VLOOKUP(YEAR(C446),Flags!$A$13:$B$95,2,FALSE)</f>
        <v>1</v>
      </c>
      <c r="B446" s="28">
        <f t="shared" si="637"/>
        <v>1970</v>
      </c>
      <c r="C446" s="29">
        <v>25688</v>
      </c>
      <c r="D446" s="30">
        <f>VLOOKUP($C446,COS!$B$8:$H$991,3,FALSE)</f>
        <v>3250</v>
      </c>
      <c r="E446" s="28">
        <f>IF(D446&gt;=IF(MONTH($C446)=4,$C$3,IF(MONTH($C446)=5,$C$4,IF(MONTH($C446)=6,$C$5,IF(MONTH($C446)=7,$C$6,"ERROR")))),1,0)</f>
        <v>0</v>
      </c>
      <c r="F446" s="30">
        <f>VLOOKUP($C446,COS!$B$8:$H$991,7,FALSE)</f>
        <v>49.804428100585938</v>
      </c>
      <c r="G446" s="28">
        <f>IF(F446&lt;=IF(MONTH($C446)=4,$F$3,IF(MONTH($C446)=5,$F$4,IF(MONTH($C446)=6,$F$5,IF(MONTH($C446)=7,$F$6,"ERROR")))),1,0)</f>
        <v>1</v>
      </c>
      <c r="H446" s="30">
        <f>IF(J446=1,D446-$C$3,0)</f>
        <v>0</v>
      </c>
      <c r="I446" s="30">
        <f t="shared" si="661"/>
        <v>0</v>
      </c>
      <c r="J446" s="28">
        <f t="shared" ref="J446:J449" si="711">IF(AND(E446=1,G446=1),1,0)</f>
        <v>0</v>
      </c>
      <c r="K446" s="30">
        <f>VLOOKUP($C446,COS!$B$8:$H$991,2,FALSE)</f>
        <v>4291.064453125</v>
      </c>
      <c r="L446" s="28">
        <f t="shared" ref="L446" si="712">IF(K446&lt;=IF(MONTH($C446)=4,$I$3,IF(MONTH($C446)=5,$I$4,IF(MONTH($C446)=6,$I$5,IF(MONTH($C446)=7,$I$6,"ERROR")))),1,0)</f>
        <v>1</v>
      </c>
      <c r="M446" s="28">
        <f t="shared" ref="M446" si="713">VLOOKUP($A446,$L$3:$M$7,2,FALSE)</f>
        <v>0</v>
      </c>
      <c r="N446" s="30">
        <f>VLOOKUP($C446,COS!$B$8:$H$991,5,FALSE)</f>
        <v>73.196624755859375</v>
      </c>
      <c r="O446" s="30">
        <f t="shared" ref="O446:O449" si="714">N446*DAY($C446)*86400/43560/1000</f>
        <v>4.3555016383651859</v>
      </c>
      <c r="P446" s="30">
        <f>VLOOKUP($C446,COS!$B$8:$H$991,6,FALSE)</f>
        <v>508.6461181640625</v>
      </c>
      <c r="Q446" s="30">
        <f t="shared" ref="Q446:Q449" si="715">P446*DAY($C446)*86400/43560/1000</f>
        <v>30.266545874225205</v>
      </c>
      <c r="R446" s="30">
        <f>MIN(IF(MONTH($C446)=4,$S$3,IF(MONTH($C446)=5,$S$4,IF(MONTH($C446)=6,$S$5,IF(MONTH($C446)=7,$S$6,"ERROR")))),MAX(VLOOKUP($C446,COS!$B$8:$K$991,10,FALSE)-IF(MONTH($C446)=4,$Y$3,IF(MONTH($C446)=5,$Y$4,IF(MONTH($C446)=6,$Y$5,IF(MONTH($C446)=7,$Y$6,"ERROR")))),0),MAX(VLOOKUP($C446,COS!$B$8:$K$991,9,FALSE)-IF(MONTH($C446)=4,$V$3,IF(MONTH($C446)=5,$V$4,IF(MONTH($C446)=6,$V$5,IF(MONTH($C446)=7,$V$6,"ERROR"))))-VLOOKUP($C446,COS!$B$8:$K$991,6,FALSE)/2,0))</f>
        <v>713.98388671875</v>
      </c>
      <c r="S446" s="30">
        <f t="shared" ref="S446:S449" si="716">R446*DAY($C446)*86400/43560/1000</f>
        <v>42.484991606404961</v>
      </c>
      <c r="T446" s="30">
        <f t="shared" ref="T446:T449" si="717">(O446+Q446)/2+S446</f>
        <v>59.79601536270016</v>
      </c>
      <c r="U446" s="30" t="str">
        <f>IF(VLOOKUP($C446,COS!$B$8:$I$991,8,FALSE)=1,"UWFE","IBU")</f>
        <v>UWFE</v>
      </c>
      <c r="V446" s="30">
        <f t="shared" ref="V446" si="718">MIN(IF(IF($AA$3=2,AND(E446=1,G446=1,L446=1,L451=1,M446=1,U446="IBU"),AND(E446=1,G446=1,L446=1,L451=1,M446=1)),T446,0),I446)</f>
        <v>0</v>
      </c>
      <c r="W446" s="30"/>
      <c r="X446" s="30"/>
      <c r="Y446" s="30"/>
      <c r="Z446" s="30"/>
      <c r="AA446" s="30"/>
      <c r="AB446" s="31"/>
    </row>
    <row r="447" spans="1:28" x14ac:dyDescent="0.3">
      <c r="A447" s="32">
        <f>VLOOKUP(YEAR(C447),Flags!$A$13:$B$95,2,FALSE)</f>
        <v>1</v>
      </c>
      <c r="B447" s="24">
        <f t="shared" si="637"/>
        <v>1970</v>
      </c>
      <c r="C447" s="25">
        <v>25719</v>
      </c>
      <c r="D447" s="26">
        <f>VLOOKUP($C447,COS!$B$8:$H$991,3,FALSE)</f>
        <v>6423.0224609375</v>
      </c>
      <c r="E447" s="24">
        <f>IF(D447&gt;=IF(MONTH($C447)=4,$C$3,IF(MONTH($C447)=5,$C$4,IF(MONTH($C447)=6,$C$5,IF(MONTH($C447)=7,$C$6,"ERROR")))),1,0)</f>
        <v>1</v>
      </c>
      <c r="F447" s="26">
        <f>VLOOKUP($C447,COS!$B$8:$H$991,7,FALSE)</f>
        <v>49.899898529052734</v>
      </c>
      <c r="G447" s="24">
        <f>IF(F447&lt;=IF(MONTH($C447)=4,$F$3,IF(MONTH($C447)=5,$F$4,IF(MONTH($C447)=6,$F$5,IF(MONTH($C447)=7,$F$6,"ERROR")))),1,0)</f>
        <v>1</v>
      </c>
      <c r="H447" s="26">
        <f>IF(J447=1,D447-$C$4,0)</f>
        <v>423.0224609375</v>
      </c>
      <c r="I447" s="26">
        <f t="shared" si="661"/>
        <v>26.010637267561982</v>
      </c>
      <c r="J447" s="24">
        <f t="shared" si="711"/>
        <v>1</v>
      </c>
      <c r="K447" s="26">
        <f>VLOOKUP($C447,COS!$B$8:$H$991,2,FALSE)</f>
        <v>4231.88427734375</v>
      </c>
      <c r="L447" s="24">
        <f t="shared" si="639"/>
        <v>1</v>
      </c>
      <c r="M447" s="24">
        <f t="shared" si="640"/>
        <v>0</v>
      </c>
      <c r="N447" s="26">
        <f>VLOOKUP($C447,COS!$B$8:$H$991,5,FALSE)</f>
        <v>572.192626953125</v>
      </c>
      <c r="O447" s="26">
        <f t="shared" si="714"/>
        <v>35.182753260588839</v>
      </c>
      <c r="P447" s="26">
        <f>VLOOKUP($C447,COS!$B$8:$H$991,6,FALSE)</f>
        <v>2315.026611328125</v>
      </c>
      <c r="Q447" s="26">
        <f t="shared" si="715"/>
        <v>142.34543791967974</v>
      </c>
      <c r="R447" s="26">
        <f>MIN(IF(MONTH($C447)=4,$S$3,IF(MONTH($C447)=5,$S$4,IF(MONTH($C447)=6,$S$5,IF(MONTH($C447)=7,$S$6,"ERROR")))),MAX(VLOOKUP($C447,COS!$B$8:$K$991,10,FALSE)-IF(MONTH($C447)=4,$Y$3,IF(MONTH($C447)=5,$Y$4,IF(MONTH($C447)=6,$Y$5,IF(MONTH($C447)=7,$Y$6,"ERROR")))),0),MAX(VLOOKUP($C447,COS!$B$8:$K$991,9,FALSE)-IF(MONTH($C447)=4,$V$3,IF(MONTH($C447)=5,$V$4,IF(MONTH($C447)=6,$V$5,IF(MONTH($C447)=7,$V$6,"ERROR"))))-VLOOKUP($C447,COS!$B$8:$K$991,6,FALSE)/2,0))</f>
        <v>1500</v>
      </c>
      <c r="S447" s="26">
        <f t="shared" si="716"/>
        <v>92.231404958677686</v>
      </c>
      <c r="T447" s="26">
        <f t="shared" si="717"/>
        <v>180.99550054881198</v>
      </c>
      <c r="U447" s="26" t="str">
        <f>IF(VLOOKUP($C447,COS!$B$8:$I$991,8,FALSE)=1,"UWFE","IBU")</f>
        <v>UWFE</v>
      </c>
      <c r="V447" s="26">
        <f t="shared" ref="V447" si="719">MIN(IF(IF($AA$3=2,AND(E447=1,G447=1,L447=1,L451=1,M447=1,U447="IBU"),AND(E447=1,G447=1,L447=1,L451=1,M447=1)),T447,0),I447)</f>
        <v>0</v>
      </c>
      <c r="W447" s="26"/>
      <c r="X447" s="26"/>
      <c r="Y447" s="26"/>
      <c r="Z447" s="26"/>
      <c r="AA447" s="26"/>
      <c r="AB447" s="33"/>
    </row>
    <row r="448" spans="1:28" x14ac:dyDescent="0.3">
      <c r="A448" s="32">
        <f>VLOOKUP(YEAR(C448),Flags!$A$13:$B$95,2,FALSE)</f>
        <v>1</v>
      </c>
      <c r="B448" s="24">
        <f t="shared" si="637"/>
        <v>1970</v>
      </c>
      <c r="C448" s="25">
        <v>25749</v>
      </c>
      <c r="D448" s="26">
        <f>VLOOKUP($C448,COS!$B$8:$H$991,3,FALSE)</f>
        <v>11296.083984375</v>
      </c>
      <c r="E448" s="24">
        <f>IF(D448&gt;=IF(MONTH($C448)=4,$C$3,IF(MONTH($C448)=5,$C$4,IF(MONTH($C448)=6,$C$5,IF(MONTH($C448)=7,$C$6,"ERROR")))),1,0)</f>
        <v>1</v>
      </c>
      <c r="F448" s="26">
        <f>VLOOKUP($C448,COS!$B$8:$H$991,7,FALSE)</f>
        <v>49.374355316162109</v>
      </c>
      <c r="G448" s="24">
        <f>IF(F448&lt;=IF(MONTH($C448)=4,$F$3,IF(MONTH($C448)=5,$F$4,IF(MONTH($C448)=6,$F$5,IF(MONTH($C448)=7,$F$6,"ERROR")))),1,0)</f>
        <v>1</v>
      </c>
      <c r="H448" s="26">
        <f>IF(J448=1,D448-$C$5,0)</f>
        <v>1296.083984375</v>
      </c>
      <c r="I448" s="26">
        <f t="shared" si="661"/>
        <v>77.122352789256198</v>
      </c>
      <c r="J448" s="24">
        <f t="shared" si="711"/>
        <v>1</v>
      </c>
      <c r="K448" s="26">
        <f>VLOOKUP($C448,COS!$B$8:$H$991,2,FALSE)</f>
        <v>3804.720947265625</v>
      </c>
      <c r="L448" s="24">
        <f t="shared" si="639"/>
        <v>1</v>
      </c>
      <c r="M448" s="24">
        <f t="shared" si="640"/>
        <v>0</v>
      </c>
      <c r="N448" s="26">
        <f>VLOOKUP($C448,COS!$B$8:$H$991,5,FALSE)</f>
        <v>657.61016845703125</v>
      </c>
      <c r="O448" s="26">
        <f t="shared" si="714"/>
        <v>39.130522420583681</v>
      </c>
      <c r="P448" s="26">
        <f>VLOOKUP($C448,COS!$B$8:$H$991,6,FALSE)</f>
        <v>2256.00390625</v>
      </c>
      <c r="Q448" s="26">
        <f t="shared" si="715"/>
        <v>134.24155475206612</v>
      </c>
      <c r="R448" s="26">
        <f>MIN(IF(MONTH($C448)=4,$S$3,IF(MONTH($C448)=5,$S$4,IF(MONTH($C448)=6,$S$5,IF(MONTH($C448)=7,$S$6,"ERROR")))),MAX(VLOOKUP($C448,COS!$B$8:$K$991,10,FALSE)-IF(MONTH($C448)=4,$Y$3,IF(MONTH($C448)=5,$Y$4,IF(MONTH($C448)=6,$Y$5,IF(MONTH($C448)=7,$Y$6,"ERROR")))),0),MAX(VLOOKUP($C448,COS!$B$8:$K$991,9,FALSE)-IF(MONTH($C448)=4,$V$3,IF(MONTH($C448)=5,$V$4,IF(MONTH($C448)=6,$V$5,IF(MONTH($C448)=7,$V$6,"ERROR"))))-VLOOKUP($C448,COS!$B$8:$K$991,6,FALSE)/2,0))</f>
        <v>1500</v>
      </c>
      <c r="S448" s="26">
        <f t="shared" si="716"/>
        <v>89.256198347107429</v>
      </c>
      <c r="T448" s="26">
        <f t="shared" si="717"/>
        <v>175.94223693343233</v>
      </c>
      <c r="U448" s="26" t="str">
        <f>IF(VLOOKUP($C448,COS!$B$8:$I$991,8,FALSE)=1,"UWFE","IBU")</f>
        <v>IBU</v>
      </c>
      <c r="V448" s="26">
        <f t="shared" ref="V448" si="720">MIN(IF(IF($AA$3=2,AND(E448=1,G448=1,L448=1,L451=1,M448=1,U448="IBU"),AND(E448=1,G448=1,L448=1,L451=1,M448=1)),T448,0),I448)</f>
        <v>0</v>
      </c>
      <c r="W448" s="26"/>
      <c r="X448" s="26"/>
      <c r="Y448" s="26"/>
      <c r="Z448" s="26"/>
      <c r="AA448" s="26"/>
      <c r="AB448" s="33"/>
    </row>
    <row r="449" spans="1:28" x14ac:dyDescent="0.3">
      <c r="A449" s="32">
        <f>VLOOKUP(YEAR(C449),Flags!$A$13:$B$95,2,FALSE)</f>
        <v>1</v>
      </c>
      <c r="B449" s="24">
        <f t="shared" si="637"/>
        <v>1970</v>
      </c>
      <c r="C449" s="25">
        <v>25780</v>
      </c>
      <c r="D449" s="26">
        <f>VLOOKUP($C449,COS!$B$8:$H$991,3,FALSE)</f>
        <v>15933.296875</v>
      </c>
      <c r="E449" s="24">
        <f>IF(D449&gt;=IF(MONTH($C449)=4,$C$3,IF(MONTH($C449)=5,$C$4,IF(MONTH($C449)=6,$C$5,IF(MONTH($C449)=7,$C$6,"ERROR")))),1,0)</f>
        <v>1</v>
      </c>
      <c r="F449" s="26">
        <f>VLOOKUP($C449,COS!$B$8:$H$991,7,FALSE)</f>
        <v>50.264232635498047</v>
      </c>
      <c r="G449" s="24">
        <f>IF(F449&lt;=IF(MONTH($C449)=4,$F$3,IF(MONTH($C449)=5,$F$4,IF(MONTH($C449)=6,$F$5,IF(MONTH($C449)=7,$F$6,"ERROR")))),1,0)</f>
        <v>1</v>
      </c>
      <c r="H449" s="26">
        <f>IF(J449=1,D449-$C$6,0)</f>
        <v>3933.296875</v>
      </c>
      <c r="I449" s="26">
        <f t="shared" si="661"/>
        <v>241.84899793388431</v>
      </c>
      <c r="J449" s="24">
        <f t="shared" si="711"/>
        <v>1</v>
      </c>
      <c r="K449" s="26">
        <f>VLOOKUP($C449,COS!$B$8:$H$991,2,FALSE)</f>
        <v>3122.0966796875</v>
      </c>
      <c r="L449" s="24">
        <f t="shared" si="639"/>
        <v>1</v>
      </c>
      <c r="M449" s="24">
        <f t="shared" si="640"/>
        <v>0</v>
      </c>
      <c r="N449" s="26">
        <f>VLOOKUP($C449,COS!$B$8:$H$991,5,FALSE)</f>
        <v>784.4171142578125</v>
      </c>
      <c r="O449" s="26">
        <f t="shared" si="714"/>
        <v>48.231928347753097</v>
      </c>
      <c r="P449" s="26">
        <f>VLOOKUP($C449,COS!$B$8:$H$991,6,FALSE)</f>
        <v>2616.67822265625</v>
      </c>
      <c r="Q449" s="26">
        <f t="shared" si="715"/>
        <v>160.89327253357436</v>
      </c>
      <c r="R449" s="26">
        <f>MIN(IF(MONTH($C449)=4,$S$3,IF(MONTH($C449)=5,$S$4,IF(MONTH($C449)=6,$S$5,IF(MONTH($C449)=7,$S$6,"ERROR")))),MAX(VLOOKUP($C449,COS!$B$8:$K$991,10,FALSE)-IF(MONTH($C449)=4,$Y$3,IF(MONTH($C449)=5,$Y$4,IF(MONTH($C449)=6,$Y$5,IF(MONTH($C449)=7,$Y$6,"ERROR")))),0),MAX(VLOOKUP($C449,COS!$B$8:$K$991,9,FALSE)-IF(MONTH($C449)=4,$V$3,IF(MONTH($C449)=5,$V$4,IF(MONTH($C449)=6,$V$5,IF(MONTH($C449)=7,$V$6,"ERROR"))))-VLOOKUP($C449,COS!$B$8:$K$991,6,FALSE)/2,0))</f>
        <v>1500</v>
      </c>
      <c r="S449" s="26">
        <f t="shared" si="716"/>
        <v>92.231404958677686</v>
      </c>
      <c r="T449" s="26">
        <f t="shared" si="717"/>
        <v>196.79400539934142</v>
      </c>
      <c r="U449" s="26" t="str">
        <f>IF(VLOOKUP($C449,COS!$B$8:$I$991,8,FALSE)=1,"UWFE","IBU")</f>
        <v>IBU</v>
      </c>
      <c r="V449" s="26">
        <f t="shared" ref="V449" si="721">MIN(IF(IF($AA$3=2,AND(E449=1,G449=1,L449=1,L451=1,M449=1,U449="IBU"),AND(E449=1,G449=1,L449=1,L451=1,M449=1)),T449,0),I449)</f>
        <v>0</v>
      </c>
      <c r="W449" s="26"/>
      <c r="X449" s="26"/>
      <c r="Y449" s="26"/>
      <c r="Z449" s="26"/>
      <c r="AA449" s="26"/>
      <c r="AB449" s="33"/>
    </row>
    <row r="450" spans="1:28" x14ac:dyDescent="0.3">
      <c r="A450" s="32">
        <f>VLOOKUP(YEAR(C450),Flags!$A$13:$B$95,2,FALSE)</f>
        <v>1</v>
      </c>
      <c r="B450" s="24">
        <f t="shared" si="637"/>
        <v>1970</v>
      </c>
      <c r="C450" s="25">
        <v>25811</v>
      </c>
      <c r="D450" s="26"/>
      <c r="E450" s="24"/>
      <c r="F450" s="26"/>
      <c r="G450" s="24"/>
      <c r="H450" s="24"/>
      <c r="I450" s="26"/>
      <c r="J450" s="24"/>
      <c r="K450" s="26"/>
      <c r="L450" s="24"/>
      <c r="M450" s="24"/>
      <c r="N450" s="26"/>
      <c r="O450" s="26"/>
      <c r="P450" s="26"/>
      <c r="Q450" s="26"/>
      <c r="R450" s="26"/>
      <c r="S450" s="26"/>
      <c r="T450" s="26"/>
      <c r="U450" s="26"/>
      <c r="V450" s="26"/>
      <c r="W450" s="26">
        <f>MAX($C$7-VLOOKUP($C450,COS!$B$8:$H$991,3,FALSE),0)</f>
        <v>1360.1201171875</v>
      </c>
      <c r="X450" s="26">
        <f t="shared" si="667"/>
        <v>83.63052621384297</v>
      </c>
      <c r="Y450" s="26">
        <f>VLOOKUP($C450,COS!$B$8:$H$991,4,FALSE)</f>
        <v>0</v>
      </c>
      <c r="Z450" s="26">
        <f t="shared" si="668"/>
        <v>0</v>
      </c>
      <c r="AA450" s="26">
        <f t="shared" ref="AA450:AA454" si="722">MIN(W450,Y450)</f>
        <v>0</v>
      </c>
      <c r="AB450" s="33">
        <f t="shared" ref="AB450" si="723">AA450*DAY($C450)*86400/43560/1000*IF(MONTH($C450)=8,$P$3,IF(MONTH($C450)=9,$P$4,IF(MONTH($C450)=10,$P$5,IF(MONTH($C450)=11,$P$6,IF(MONTH($C450)=12,$P$7,NA())))))</f>
        <v>0</v>
      </c>
    </row>
    <row r="451" spans="1:28" x14ac:dyDescent="0.3">
      <c r="A451" s="32">
        <f>VLOOKUP(YEAR(C451),Flags!$A$13:$B$95,2,FALSE)</f>
        <v>1</v>
      </c>
      <c r="B451" s="24">
        <f t="shared" si="637"/>
        <v>1970</v>
      </c>
      <c r="C451" s="25">
        <v>25841</v>
      </c>
      <c r="D451" s="26"/>
      <c r="E451" s="24"/>
      <c r="F451" s="26"/>
      <c r="G451" s="24"/>
      <c r="H451" s="24"/>
      <c r="I451" s="26"/>
      <c r="J451" s="24"/>
      <c r="K451" s="26">
        <f>VLOOKUP($C451,COS!$B$8:$H$991,2,FALSE)</f>
        <v>2249.6484375</v>
      </c>
      <c r="L451" s="24">
        <f t="shared" ref="L451" si="724">IF(AND(K451&gt;$I$7,K451&lt;$I$8),1,0)</f>
        <v>1</v>
      </c>
      <c r="M451" s="24"/>
      <c r="N451" s="26"/>
      <c r="O451" s="26"/>
      <c r="P451" s="26"/>
      <c r="Q451" s="26"/>
      <c r="R451" s="26"/>
      <c r="S451" s="26"/>
      <c r="T451" s="26"/>
      <c r="U451" s="26"/>
      <c r="V451" s="26"/>
      <c r="W451" s="26">
        <f>MAX($C$8-VLOOKUP($C451,COS!$B$8:$H$991,3,FALSE),0)</f>
        <v>0</v>
      </c>
      <c r="X451" s="26">
        <f t="shared" si="667"/>
        <v>0</v>
      </c>
      <c r="Y451" s="26">
        <f>VLOOKUP($C451,COS!$B$8:$H$991,4,FALSE)</f>
        <v>762.34381103515625</v>
      </c>
      <c r="Z451" s="26">
        <f t="shared" si="668"/>
        <v>45.362606937629131</v>
      </c>
      <c r="AA451" s="26">
        <f t="shared" si="722"/>
        <v>0</v>
      </c>
      <c r="AB451" s="33">
        <f t="shared" si="650"/>
        <v>0</v>
      </c>
    </row>
    <row r="452" spans="1:28" x14ac:dyDescent="0.3">
      <c r="A452" s="32">
        <f>VLOOKUP(YEAR(C452),Flags!$A$13:$B$95,2,FALSE)</f>
        <v>1</v>
      </c>
      <c r="B452" s="24">
        <f t="shared" si="637"/>
        <v>1970</v>
      </c>
      <c r="C452" s="25">
        <v>25872</v>
      </c>
      <c r="D452" s="26"/>
      <c r="E452" s="24"/>
      <c r="F452" s="26"/>
      <c r="G452" s="26"/>
      <c r="H452" s="26"/>
      <c r="I452" s="26"/>
      <c r="J452" s="26"/>
      <c r="K452" s="26"/>
      <c r="L452" s="24"/>
      <c r="M452" s="24"/>
      <c r="N452" s="26"/>
      <c r="O452" s="26"/>
      <c r="P452" s="26"/>
      <c r="Q452" s="26"/>
      <c r="R452" s="26"/>
      <c r="S452" s="26"/>
      <c r="T452" s="26"/>
      <c r="U452" s="26"/>
      <c r="V452" s="26"/>
      <c r="W452" s="26">
        <f>MAX($C$9-VLOOKUP($C452,COS!$B$8:$H$991,3,FALSE),0)</f>
        <v>0</v>
      </c>
      <c r="X452" s="26">
        <f t="shared" si="667"/>
        <v>0</v>
      </c>
      <c r="Y452" s="26">
        <f>VLOOKUP($C452,COS!$B$8:$H$991,4,FALSE)</f>
        <v>958.85076904296875</v>
      </c>
      <c r="Z452" s="26">
        <f t="shared" si="668"/>
        <v>58.957435716361054</v>
      </c>
      <c r="AA452" s="26">
        <f t="shared" si="722"/>
        <v>0</v>
      </c>
      <c r="AB452" s="33">
        <f t="shared" si="650"/>
        <v>0</v>
      </c>
    </row>
    <row r="453" spans="1:28" x14ac:dyDescent="0.3">
      <c r="A453" s="32">
        <f>VLOOKUP(YEAR(C453),Flags!$A$13:$B$95,2,FALSE)</f>
        <v>1</v>
      </c>
      <c r="B453" s="24">
        <f t="shared" si="637"/>
        <v>1970</v>
      </c>
      <c r="C453" s="25">
        <v>25902</v>
      </c>
      <c r="D453" s="26"/>
      <c r="E453" s="24"/>
      <c r="F453" s="26"/>
      <c r="G453" s="26"/>
      <c r="H453" s="26"/>
      <c r="I453" s="26"/>
      <c r="J453" s="26"/>
      <c r="K453" s="26"/>
      <c r="L453" s="24"/>
      <c r="M453" s="24"/>
      <c r="N453" s="26"/>
      <c r="O453" s="26"/>
      <c r="P453" s="26"/>
      <c r="Q453" s="26"/>
      <c r="R453" s="26"/>
      <c r="S453" s="26"/>
      <c r="T453" s="26"/>
      <c r="U453" s="26"/>
      <c r="V453" s="26"/>
      <c r="W453" s="26">
        <f>MAX($C$10-VLOOKUP($C453,COS!$B$8:$H$991,3,FALSE),0)</f>
        <v>0</v>
      </c>
      <c r="X453" s="26">
        <f t="shared" si="667"/>
        <v>0</v>
      </c>
      <c r="Y453" s="26">
        <f>VLOOKUP($C453,COS!$B$8:$H$991,4,FALSE)</f>
        <v>1112.5506591796875</v>
      </c>
      <c r="Z453" s="26">
        <f t="shared" si="668"/>
        <v>66.201361537964871</v>
      </c>
      <c r="AA453" s="26">
        <f t="shared" si="722"/>
        <v>0</v>
      </c>
      <c r="AB453" s="33">
        <f t="shared" si="650"/>
        <v>0</v>
      </c>
    </row>
    <row r="454" spans="1:28" x14ac:dyDescent="0.3">
      <c r="A454" s="34">
        <f>VLOOKUP(YEAR(C454),Flags!$A$13:$B$95,2,FALSE)</f>
        <v>1</v>
      </c>
      <c r="B454" s="35">
        <f t="shared" si="637"/>
        <v>1970</v>
      </c>
      <c r="C454" s="36">
        <v>25933</v>
      </c>
      <c r="D454" s="37"/>
      <c r="E454" s="35"/>
      <c r="F454" s="37"/>
      <c r="G454" s="37"/>
      <c r="H454" s="37"/>
      <c r="I454" s="37"/>
      <c r="J454" s="37"/>
      <c r="K454" s="37"/>
      <c r="L454" s="35"/>
      <c r="M454" s="35"/>
      <c r="N454" s="37"/>
      <c r="O454" s="37"/>
      <c r="P454" s="37"/>
      <c r="Q454" s="37"/>
      <c r="R454" s="37"/>
      <c r="S454" s="37"/>
      <c r="T454" s="37"/>
      <c r="U454" s="37"/>
      <c r="V454" s="37"/>
      <c r="W454" s="37">
        <f>MAX($C$11-VLOOKUP($C454,COS!$B$8:$H$991,3,FALSE),0)</f>
        <v>0</v>
      </c>
      <c r="X454" s="37">
        <f t="shared" si="667"/>
        <v>0</v>
      </c>
      <c r="Y454" s="37">
        <f>VLOOKUP($C454,COS!$B$8:$H$991,4,FALSE)</f>
        <v>0</v>
      </c>
      <c r="Z454" s="37">
        <f t="shared" si="668"/>
        <v>0</v>
      </c>
      <c r="AA454" s="37">
        <f t="shared" si="722"/>
        <v>0</v>
      </c>
      <c r="AB454" s="38">
        <f t="shared" si="650"/>
        <v>0</v>
      </c>
    </row>
    <row r="455" spans="1:28" x14ac:dyDescent="0.3">
      <c r="A455" s="27">
        <f>VLOOKUP(YEAR(C455),Flags!$A$13:$B$95,2,FALSE)</f>
        <v>1</v>
      </c>
      <c r="B455" s="28">
        <f t="shared" si="637"/>
        <v>1971</v>
      </c>
      <c r="C455" s="29">
        <v>26053</v>
      </c>
      <c r="D455" s="30">
        <f>VLOOKUP($C455,COS!$B$8:$H$991,3,FALSE)</f>
        <v>3250</v>
      </c>
      <c r="E455" s="28">
        <f>IF(D455&gt;=IF(MONTH($C455)=4,$C$3,IF(MONTH($C455)=5,$C$4,IF(MONTH($C455)=6,$C$5,IF(MONTH($C455)=7,$C$6,"ERROR")))),1,0)</f>
        <v>0</v>
      </c>
      <c r="F455" s="30">
        <f>VLOOKUP($C455,COS!$B$8:$H$991,7,FALSE)</f>
        <v>50.101123809814453</v>
      </c>
      <c r="G455" s="28">
        <f>IF(F455&lt;=IF(MONTH($C455)=4,$F$3,IF(MONTH($C455)=5,$F$4,IF(MONTH($C455)=6,$F$5,IF(MONTH($C455)=7,$F$6,"ERROR")))),1,0)</f>
        <v>1</v>
      </c>
      <c r="H455" s="30">
        <f>IF(J455=1,D455-$C$3,0)</f>
        <v>0</v>
      </c>
      <c r="I455" s="30">
        <f t="shared" si="661"/>
        <v>0</v>
      </c>
      <c r="J455" s="28">
        <f t="shared" ref="J455:J458" si="725">IF(AND(E455=1,G455=1),1,0)</f>
        <v>0</v>
      </c>
      <c r="K455" s="30">
        <f>VLOOKUP($C455,COS!$B$8:$H$991,2,FALSE)</f>
        <v>4470.4140625</v>
      </c>
      <c r="L455" s="28">
        <f t="shared" ref="L455" si="726">IF(K455&lt;=IF(MONTH($C455)=4,$I$3,IF(MONTH($C455)=5,$I$4,IF(MONTH($C455)=6,$I$5,IF(MONTH($C455)=7,$I$6,"ERROR")))),1,0)</f>
        <v>1</v>
      </c>
      <c r="M455" s="28">
        <f t="shared" ref="M455" si="727">VLOOKUP($A455,$L$3:$M$7,2,FALSE)</f>
        <v>0</v>
      </c>
      <c r="N455" s="30">
        <f>VLOOKUP($C455,COS!$B$8:$H$991,5,FALSE)</f>
        <v>663.01629638671875</v>
      </c>
      <c r="O455" s="30">
        <f t="shared" ref="O455:O458" si="728">N455*DAY($C455)*86400/43560/1000</f>
        <v>39.452209371771694</v>
      </c>
      <c r="P455" s="30">
        <f>VLOOKUP($C455,COS!$B$8:$H$991,6,FALSE)</f>
        <v>563.3929443359375</v>
      </c>
      <c r="Q455" s="30">
        <f t="shared" ref="Q455:Q458" si="729">P455*DAY($C455)*86400/43560/1000</f>
        <v>33.524208258006198</v>
      </c>
      <c r="R455" s="30">
        <f>MIN(IF(MONTH($C455)=4,$S$3,IF(MONTH($C455)=5,$S$4,IF(MONTH($C455)=6,$S$5,IF(MONTH($C455)=7,$S$6,"ERROR")))),MAX(VLOOKUP($C455,COS!$B$8:$K$991,10,FALSE)-IF(MONTH($C455)=4,$Y$3,IF(MONTH($C455)=5,$Y$4,IF(MONTH($C455)=6,$Y$5,IF(MONTH($C455)=7,$Y$6,"ERROR")))),0),MAX(VLOOKUP($C455,COS!$B$8:$K$991,9,FALSE)-IF(MONTH($C455)=4,$V$3,IF(MONTH($C455)=5,$V$4,IF(MONTH($C455)=6,$V$5,IF(MONTH($C455)=7,$V$6,"ERROR"))))-VLOOKUP($C455,COS!$B$8:$K$991,6,FALSE)/2,0))</f>
        <v>1500</v>
      </c>
      <c r="S455" s="30">
        <f t="shared" ref="S455:S458" si="730">R455*DAY($C455)*86400/43560/1000</f>
        <v>89.256198347107429</v>
      </c>
      <c r="T455" s="30">
        <f t="shared" ref="T455:T458" si="731">(O455+Q455)/2+S455</f>
        <v>125.74440716199638</v>
      </c>
      <c r="U455" s="30" t="str">
        <f>IF(VLOOKUP($C455,COS!$B$8:$I$991,8,FALSE)=1,"UWFE","IBU")</f>
        <v>UWFE</v>
      </c>
      <c r="V455" s="30">
        <f t="shared" ref="V455" si="732">MIN(IF(IF($AA$3=2,AND(E455=1,G455=1,L455=1,L460=1,M455=1,U455="IBU"),AND(E455=1,G455=1,L455=1,L460=1,M455=1)),T455,0),I455)</f>
        <v>0</v>
      </c>
      <c r="W455" s="30"/>
      <c r="X455" s="30"/>
      <c r="Y455" s="30"/>
      <c r="Z455" s="30"/>
      <c r="AA455" s="30"/>
      <c r="AB455" s="31"/>
    </row>
    <row r="456" spans="1:28" x14ac:dyDescent="0.3">
      <c r="A456" s="32">
        <f>VLOOKUP(YEAR(C456),Flags!$A$13:$B$95,2,FALSE)</f>
        <v>1</v>
      </c>
      <c r="B456" s="24">
        <f t="shared" si="637"/>
        <v>1971</v>
      </c>
      <c r="C456" s="25">
        <v>26084</v>
      </c>
      <c r="D456" s="26">
        <f>VLOOKUP($C456,COS!$B$8:$H$991,3,FALSE)</f>
        <v>8956.8486328125</v>
      </c>
      <c r="E456" s="24">
        <f>IF(D456&gt;=IF(MONTH($C456)=4,$C$3,IF(MONTH($C456)=5,$C$4,IF(MONTH($C456)=6,$C$5,IF(MONTH($C456)=7,$C$6,"ERROR")))),1,0)</f>
        <v>1</v>
      </c>
      <c r="F456" s="26">
        <f>VLOOKUP($C456,COS!$B$8:$H$991,7,FALSE)</f>
        <v>49.074142456054688</v>
      </c>
      <c r="G456" s="24">
        <f>IF(F456&lt;=IF(MONTH($C456)=4,$F$3,IF(MONTH($C456)=5,$F$4,IF(MONTH($C456)=6,$F$5,IF(MONTH($C456)=7,$F$6,"ERROR")))),1,0)</f>
        <v>1</v>
      </c>
      <c r="H456" s="26">
        <f>IF(J456=1,D456-$C$4,0)</f>
        <v>2956.8486328125</v>
      </c>
      <c r="I456" s="26">
        <f t="shared" si="661"/>
        <v>181.8095357696281</v>
      </c>
      <c r="J456" s="24">
        <f t="shared" si="725"/>
        <v>1</v>
      </c>
      <c r="K456" s="26">
        <f>VLOOKUP($C456,COS!$B$8:$H$991,2,FALSE)</f>
        <v>4552</v>
      </c>
      <c r="L456" s="24">
        <f t="shared" si="639"/>
        <v>1</v>
      </c>
      <c r="M456" s="24">
        <f t="shared" si="640"/>
        <v>0</v>
      </c>
      <c r="N456" s="26">
        <f>VLOOKUP($C456,COS!$B$8:$H$991,5,FALSE)</f>
        <v>722.55084228515625</v>
      </c>
      <c r="O456" s="26">
        <f t="shared" si="728"/>
        <v>44.427919558690597</v>
      </c>
      <c r="P456" s="26">
        <f>VLOOKUP($C456,COS!$B$8:$H$991,6,FALSE)</f>
        <v>1990.4598388671875</v>
      </c>
      <c r="Q456" s="26">
        <f t="shared" si="729"/>
        <v>122.3886049683626</v>
      </c>
      <c r="R456" s="26">
        <f>MIN(IF(MONTH($C456)=4,$S$3,IF(MONTH($C456)=5,$S$4,IF(MONTH($C456)=6,$S$5,IF(MONTH($C456)=7,$S$6,"ERROR")))),MAX(VLOOKUP($C456,COS!$B$8:$K$991,10,FALSE)-IF(MONTH($C456)=4,$Y$3,IF(MONTH($C456)=5,$Y$4,IF(MONTH($C456)=6,$Y$5,IF(MONTH($C456)=7,$Y$6,"ERROR")))),0),MAX(VLOOKUP($C456,COS!$B$8:$K$991,9,FALSE)-IF(MONTH($C456)=4,$V$3,IF(MONTH($C456)=5,$V$4,IF(MONTH($C456)=6,$V$5,IF(MONTH($C456)=7,$V$6,"ERROR"))))-VLOOKUP($C456,COS!$B$8:$K$991,6,FALSE)/2,0))</f>
        <v>1500</v>
      </c>
      <c r="S456" s="26">
        <f t="shared" si="730"/>
        <v>92.231404958677686</v>
      </c>
      <c r="T456" s="26">
        <f t="shared" si="731"/>
        <v>175.63966722220428</v>
      </c>
      <c r="U456" s="26" t="str">
        <f>IF(VLOOKUP($C456,COS!$B$8:$I$991,8,FALSE)=1,"UWFE","IBU")</f>
        <v>UWFE</v>
      </c>
      <c r="V456" s="26">
        <f t="shared" ref="V456" si="733">MIN(IF(IF($AA$3=2,AND(E456=1,G456=1,L456=1,L460=1,M456=1,U456="IBU"),AND(E456=1,G456=1,L456=1,L460=1,M456=1)),T456,0),I456)</f>
        <v>0</v>
      </c>
      <c r="W456" s="26"/>
      <c r="X456" s="26"/>
      <c r="Y456" s="26"/>
      <c r="Z456" s="26"/>
      <c r="AA456" s="26"/>
      <c r="AB456" s="33"/>
    </row>
    <row r="457" spans="1:28" x14ac:dyDescent="0.3">
      <c r="A457" s="32">
        <f>VLOOKUP(YEAR(C457),Flags!$A$13:$B$95,2,FALSE)</f>
        <v>1</v>
      </c>
      <c r="B457" s="24">
        <f t="shared" si="637"/>
        <v>1971</v>
      </c>
      <c r="C457" s="25">
        <v>26114</v>
      </c>
      <c r="D457" s="26">
        <f>VLOOKUP($C457,COS!$B$8:$H$991,3,FALSE)</f>
        <v>7962.24658203125</v>
      </c>
      <c r="E457" s="24">
        <f>IF(D457&gt;=IF(MONTH($C457)=4,$C$3,IF(MONTH($C457)=5,$C$4,IF(MONTH($C457)=6,$C$5,IF(MONTH($C457)=7,$C$6,"ERROR")))),1,0)</f>
        <v>0</v>
      </c>
      <c r="F457" s="26">
        <f>VLOOKUP($C457,COS!$B$8:$H$991,7,FALSE)</f>
        <v>51.377964019775391</v>
      </c>
      <c r="G457" s="24">
        <f>IF(F457&lt;=IF(MONTH($C457)=4,$F$3,IF(MONTH($C457)=5,$F$4,IF(MONTH($C457)=6,$F$5,IF(MONTH($C457)=7,$F$6,"ERROR")))),1,0)</f>
        <v>1</v>
      </c>
      <c r="H457" s="26">
        <f>IF(J457=1,D457-$C$5,0)</f>
        <v>0</v>
      </c>
      <c r="I457" s="26">
        <f t="shared" si="661"/>
        <v>0</v>
      </c>
      <c r="J457" s="24">
        <f t="shared" si="725"/>
        <v>0</v>
      </c>
      <c r="K457" s="26">
        <f>VLOOKUP($C457,COS!$B$8:$H$991,2,FALSE)</f>
        <v>4500</v>
      </c>
      <c r="L457" s="24">
        <f t="shared" si="639"/>
        <v>1</v>
      </c>
      <c r="M457" s="24">
        <f t="shared" si="640"/>
        <v>0</v>
      </c>
      <c r="N457" s="26">
        <f>VLOOKUP($C457,COS!$B$8:$H$991,5,FALSE)</f>
        <v>865.0386962890625</v>
      </c>
      <c r="O457" s="26">
        <f t="shared" si="728"/>
        <v>51.473376969266532</v>
      </c>
      <c r="P457" s="26">
        <f>VLOOKUP($C457,COS!$B$8:$H$991,6,FALSE)</f>
        <v>2342.25732421875</v>
      </c>
      <c r="Q457" s="26">
        <f t="shared" si="729"/>
        <v>139.37398954028924</v>
      </c>
      <c r="R457" s="26">
        <f>MIN(IF(MONTH($C457)=4,$S$3,IF(MONTH($C457)=5,$S$4,IF(MONTH($C457)=6,$S$5,IF(MONTH($C457)=7,$S$6,"ERROR")))),MAX(VLOOKUP($C457,COS!$B$8:$K$991,10,FALSE)-IF(MONTH($C457)=4,$Y$3,IF(MONTH($C457)=5,$Y$4,IF(MONTH($C457)=6,$Y$5,IF(MONTH($C457)=7,$Y$6,"ERROR")))),0),MAX(VLOOKUP($C457,COS!$B$8:$K$991,9,FALSE)-IF(MONTH($C457)=4,$V$3,IF(MONTH($C457)=5,$V$4,IF(MONTH($C457)=6,$V$5,IF(MONTH($C457)=7,$V$6,"ERROR"))))-VLOOKUP($C457,COS!$B$8:$K$991,6,FALSE)/2,0))</f>
        <v>1500</v>
      </c>
      <c r="S457" s="26">
        <f t="shared" si="730"/>
        <v>89.256198347107429</v>
      </c>
      <c r="T457" s="26">
        <f t="shared" si="731"/>
        <v>184.67988160188531</v>
      </c>
      <c r="U457" s="26" t="str">
        <f>IF(VLOOKUP($C457,COS!$B$8:$I$991,8,FALSE)=1,"UWFE","IBU")</f>
        <v>UWFE</v>
      </c>
      <c r="V457" s="26">
        <f t="shared" ref="V457" si="734">MIN(IF(IF($AA$3=2,AND(E457=1,G457=1,L457=1,L460=1,M457=1,U457="IBU"),AND(E457=1,G457=1,L457=1,L460=1,M457=1)),T457,0),I457)</f>
        <v>0</v>
      </c>
      <c r="W457" s="26"/>
      <c r="X457" s="26"/>
      <c r="Y457" s="26"/>
      <c r="Z457" s="26"/>
      <c r="AA457" s="26"/>
      <c r="AB457" s="33"/>
    </row>
    <row r="458" spans="1:28" x14ac:dyDescent="0.3">
      <c r="A458" s="32">
        <f>VLOOKUP(YEAR(C458),Flags!$A$13:$B$95,2,FALSE)</f>
        <v>1</v>
      </c>
      <c r="B458" s="24">
        <f t="shared" si="637"/>
        <v>1971</v>
      </c>
      <c r="C458" s="25">
        <v>26145</v>
      </c>
      <c r="D458" s="26">
        <f>VLOOKUP($C458,COS!$B$8:$H$991,3,FALSE)</f>
        <v>15771.30859375</v>
      </c>
      <c r="E458" s="24">
        <f>IF(D458&gt;=IF(MONTH($C458)=4,$C$3,IF(MONTH($C458)=5,$C$4,IF(MONTH($C458)=6,$C$5,IF(MONTH($C458)=7,$C$6,"ERROR")))),1,0)</f>
        <v>1</v>
      </c>
      <c r="F458" s="26">
        <f>VLOOKUP($C458,COS!$B$8:$H$991,7,FALSE)</f>
        <v>51.168178558349609</v>
      </c>
      <c r="G458" s="24">
        <f>IF(F458&lt;=IF(MONTH($C458)=4,$F$3,IF(MONTH($C458)=5,$F$4,IF(MONTH($C458)=6,$F$5,IF(MONTH($C458)=7,$F$6,"ERROR")))),1,0)</f>
        <v>1</v>
      </c>
      <c r="H458" s="26">
        <f>IF(J458=1,D458-$C$6,0)</f>
        <v>3771.30859375</v>
      </c>
      <c r="I458" s="26">
        <f t="shared" si="661"/>
        <v>231.88872675619837</v>
      </c>
      <c r="J458" s="24">
        <f t="shared" si="725"/>
        <v>1</v>
      </c>
      <c r="K458" s="26">
        <f>VLOOKUP($C458,COS!$B$8:$H$991,2,FALSE)</f>
        <v>3763.6337890625</v>
      </c>
      <c r="L458" s="24">
        <f t="shared" si="639"/>
        <v>1</v>
      </c>
      <c r="M458" s="24">
        <f t="shared" si="640"/>
        <v>0</v>
      </c>
      <c r="N458" s="26">
        <f>VLOOKUP($C458,COS!$B$8:$H$991,5,FALSE)</f>
        <v>964.21917724609375</v>
      </c>
      <c r="O458" s="26">
        <f t="shared" si="728"/>
        <v>59.287526270338326</v>
      </c>
      <c r="P458" s="26">
        <f>VLOOKUP($C458,COS!$B$8:$H$991,6,FALSE)</f>
        <v>2521.474853515625</v>
      </c>
      <c r="Q458" s="26">
        <f t="shared" si="729"/>
        <v>155.0394455384814</v>
      </c>
      <c r="R458" s="26">
        <f>MIN(IF(MONTH($C458)=4,$S$3,IF(MONTH($C458)=5,$S$4,IF(MONTH($C458)=6,$S$5,IF(MONTH($C458)=7,$S$6,"ERROR")))),MAX(VLOOKUP($C458,COS!$B$8:$K$991,10,FALSE)-IF(MONTH($C458)=4,$Y$3,IF(MONTH($C458)=5,$Y$4,IF(MONTH($C458)=6,$Y$5,IF(MONTH($C458)=7,$Y$6,"ERROR")))),0),MAX(VLOOKUP($C458,COS!$B$8:$K$991,9,FALSE)-IF(MONTH($C458)=4,$V$3,IF(MONTH($C458)=5,$V$4,IF(MONTH($C458)=6,$V$5,IF(MONTH($C458)=7,$V$6,"ERROR"))))-VLOOKUP($C458,COS!$B$8:$K$991,6,FALSE)/2,0))</f>
        <v>1500</v>
      </c>
      <c r="S458" s="26">
        <f t="shared" si="730"/>
        <v>92.231404958677686</v>
      </c>
      <c r="T458" s="26">
        <f t="shared" si="731"/>
        <v>199.39489086308754</v>
      </c>
      <c r="U458" s="26" t="str">
        <f>IF(VLOOKUP($C458,COS!$B$8:$I$991,8,FALSE)=1,"UWFE","IBU")</f>
        <v>IBU</v>
      </c>
      <c r="V458" s="26">
        <f t="shared" ref="V458" si="735">MIN(IF(IF($AA$3=2,AND(E458=1,G458=1,L458=1,L460=1,M458=1,U458="IBU"),AND(E458=1,G458=1,L458=1,L460=1,M458=1)),T458,0),I458)</f>
        <v>0</v>
      </c>
      <c r="W458" s="26"/>
      <c r="X458" s="26"/>
      <c r="Y458" s="26"/>
      <c r="Z458" s="26"/>
      <c r="AA458" s="26"/>
      <c r="AB458" s="33"/>
    </row>
    <row r="459" spans="1:28" x14ac:dyDescent="0.3">
      <c r="A459" s="32">
        <f>VLOOKUP(YEAR(C459),Flags!$A$13:$B$95,2,FALSE)</f>
        <v>1</v>
      </c>
      <c r="B459" s="24">
        <f t="shared" si="637"/>
        <v>1971</v>
      </c>
      <c r="C459" s="25">
        <v>26176</v>
      </c>
      <c r="D459" s="26"/>
      <c r="E459" s="24"/>
      <c r="F459" s="26"/>
      <c r="G459" s="24"/>
      <c r="H459" s="24"/>
      <c r="I459" s="26"/>
      <c r="J459" s="24"/>
      <c r="K459" s="26"/>
      <c r="L459" s="24"/>
      <c r="M459" s="24"/>
      <c r="N459" s="26"/>
      <c r="O459" s="26"/>
      <c r="P459" s="26"/>
      <c r="Q459" s="26"/>
      <c r="R459" s="26"/>
      <c r="S459" s="26"/>
      <c r="T459" s="26"/>
      <c r="U459" s="26"/>
      <c r="V459" s="26"/>
      <c r="W459" s="26">
        <f>MAX($C$7-VLOOKUP($C459,COS!$B$8:$H$991,3,FALSE),0)</f>
        <v>2535.529296875</v>
      </c>
      <c r="X459" s="26">
        <f t="shared" si="667"/>
        <v>155.90361957644629</v>
      </c>
      <c r="Y459" s="26">
        <f>VLOOKUP($C459,COS!$B$8:$H$991,4,FALSE)</f>
        <v>367.70223999023438</v>
      </c>
      <c r="Z459" s="26">
        <f t="shared" si="668"/>
        <v>22.609129467168131</v>
      </c>
      <c r="AA459" s="26">
        <f t="shared" ref="AA459:AA463" si="736">MIN(W459,Y459)</f>
        <v>367.70223999023438</v>
      </c>
      <c r="AB459" s="33">
        <f t="shared" ref="AB459" si="737">AA459*DAY($C459)*86400/43560/1000*IF(MONTH($C459)=8,$P$3,IF(MONTH($C459)=9,$P$4,IF(MONTH($C459)=10,$P$5,IF(MONTH($C459)=11,$P$6,IF(MONTH($C459)=12,$P$7,NA())))))</f>
        <v>22.609129467168131</v>
      </c>
    </row>
    <row r="460" spans="1:28" x14ac:dyDescent="0.3">
      <c r="A460" s="32">
        <f>VLOOKUP(YEAR(C460),Flags!$A$13:$B$95,2,FALSE)</f>
        <v>1</v>
      </c>
      <c r="B460" s="24">
        <f t="shared" si="637"/>
        <v>1971</v>
      </c>
      <c r="C460" s="25">
        <v>26206</v>
      </c>
      <c r="D460" s="26"/>
      <c r="E460" s="24"/>
      <c r="F460" s="26"/>
      <c r="G460" s="24"/>
      <c r="H460" s="24"/>
      <c r="I460" s="26"/>
      <c r="J460" s="24"/>
      <c r="K460" s="26">
        <f>VLOOKUP($C460,COS!$B$8:$H$991,2,FALSE)</f>
        <v>2942.9580078125</v>
      </c>
      <c r="L460" s="24">
        <f t="shared" ref="L460" si="738">IF(AND(K460&gt;$I$7,K460&lt;$I$8),1,0)</f>
        <v>1</v>
      </c>
      <c r="M460" s="24"/>
      <c r="N460" s="26"/>
      <c r="O460" s="26"/>
      <c r="P460" s="26"/>
      <c r="Q460" s="26"/>
      <c r="R460" s="26"/>
      <c r="S460" s="26"/>
      <c r="T460" s="26"/>
      <c r="U460" s="26"/>
      <c r="V460" s="26"/>
      <c r="W460" s="26">
        <f>MAX($C$8-VLOOKUP($C460,COS!$B$8:$H$991,3,FALSE),0)</f>
        <v>0</v>
      </c>
      <c r="X460" s="26">
        <f t="shared" si="667"/>
        <v>0</v>
      </c>
      <c r="Y460" s="26">
        <f>VLOOKUP($C460,COS!$B$8:$H$991,4,FALSE)</f>
        <v>0</v>
      </c>
      <c r="Z460" s="26">
        <f t="shared" si="668"/>
        <v>0</v>
      </c>
      <c r="AA460" s="26">
        <f t="shared" si="736"/>
        <v>0</v>
      </c>
      <c r="AB460" s="33">
        <f t="shared" si="650"/>
        <v>0</v>
      </c>
    </row>
    <row r="461" spans="1:28" x14ac:dyDescent="0.3">
      <c r="A461" s="32">
        <f>VLOOKUP(YEAR(C461),Flags!$A$13:$B$95,2,FALSE)</f>
        <v>1</v>
      </c>
      <c r="B461" s="24">
        <f t="shared" si="637"/>
        <v>1971</v>
      </c>
      <c r="C461" s="25">
        <v>26237</v>
      </c>
      <c r="D461" s="26"/>
      <c r="E461" s="24"/>
      <c r="F461" s="26"/>
      <c r="G461" s="26"/>
      <c r="H461" s="26"/>
      <c r="I461" s="26"/>
      <c r="J461" s="26"/>
      <c r="K461" s="26"/>
      <c r="L461" s="24"/>
      <c r="M461" s="24"/>
      <c r="N461" s="26"/>
      <c r="O461" s="26"/>
      <c r="P461" s="26"/>
      <c r="Q461" s="26"/>
      <c r="R461" s="26"/>
      <c r="S461" s="26"/>
      <c r="T461" s="26"/>
      <c r="U461" s="26"/>
      <c r="V461" s="26"/>
      <c r="W461" s="26">
        <f>MAX($C$9-VLOOKUP($C461,COS!$B$8:$H$991,3,FALSE),0)</f>
        <v>0</v>
      </c>
      <c r="X461" s="26">
        <f t="shared" si="667"/>
        <v>0</v>
      </c>
      <c r="Y461" s="26">
        <f>VLOOKUP($C461,COS!$B$8:$H$991,4,FALSE)</f>
        <v>1216.479248046875</v>
      </c>
      <c r="Z461" s="26">
        <f t="shared" si="668"/>
        <v>74.798393433626032</v>
      </c>
      <c r="AA461" s="26">
        <f t="shared" si="736"/>
        <v>0</v>
      </c>
      <c r="AB461" s="33">
        <f t="shared" si="650"/>
        <v>0</v>
      </c>
    </row>
    <row r="462" spans="1:28" x14ac:dyDescent="0.3">
      <c r="A462" s="32">
        <f>VLOOKUP(YEAR(C462),Flags!$A$13:$B$95,2,FALSE)</f>
        <v>1</v>
      </c>
      <c r="B462" s="24">
        <f t="shared" si="637"/>
        <v>1971</v>
      </c>
      <c r="C462" s="25">
        <v>26267</v>
      </c>
      <c r="D462" s="26"/>
      <c r="E462" s="24"/>
      <c r="F462" s="26"/>
      <c r="G462" s="26"/>
      <c r="H462" s="26"/>
      <c r="I462" s="26"/>
      <c r="J462" s="26"/>
      <c r="K462" s="26"/>
      <c r="L462" s="24"/>
      <c r="M462" s="24"/>
      <c r="N462" s="26"/>
      <c r="O462" s="26"/>
      <c r="P462" s="26"/>
      <c r="Q462" s="26"/>
      <c r="R462" s="26"/>
      <c r="S462" s="26"/>
      <c r="T462" s="26"/>
      <c r="U462" s="26"/>
      <c r="V462" s="26"/>
      <c r="W462" s="26">
        <f>MAX($C$10-VLOOKUP($C462,COS!$B$8:$H$991,3,FALSE),0)</f>
        <v>0</v>
      </c>
      <c r="X462" s="26">
        <f t="shared" si="667"/>
        <v>0</v>
      </c>
      <c r="Y462" s="26">
        <f>VLOOKUP($C462,COS!$B$8:$H$991,4,FALSE)</f>
        <v>1703.5538330078125</v>
      </c>
      <c r="Z462" s="26">
        <f t="shared" si="668"/>
        <v>101.36849254261364</v>
      </c>
      <c r="AA462" s="26">
        <f t="shared" si="736"/>
        <v>0</v>
      </c>
      <c r="AB462" s="33">
        <f t="shared" si="650"/>
        <v>0</v>
      </c>
    </row>
    <row r="463" spans="1:28" x14ac:dyDescent="0.3">
      <c r="A463" s="34">
        <f>VLOOKUP(YEAR(C463),Flags!$A$13:$B$95,2,FALSE)</f>
        <v>1</v>
      </c>
      <c r="B463" s="35">
        <f t="shared" ref="B463:B526" si="739">YEAR(C463)</f>
        <v>1971</v>
      </c>
      <c r="C463" s="36">
        <v>26298</v>
      </c>
      <c r="D463" s="37"/>
      <c r="E463" s="35"/>
      <c r="F463" s="37"/>
      <c r="G463" s="37"/>
      <c r="H463" s="37"/>
      <c r="I463" s="37"/>
      <c r="J463" s="37"/>
      <c r="K463" s="37"/>
      <c r="L463" s="35"/>
      <c r="M463" s="35"/>
      <c r="N463" s="37"/>
      <c r="O463" s="37"/>
      <c r="P463" s="37"/>
      <c r="Q463" s="37"/>
      <c r="R463" s="37"/>
      <c r="S463" s="37"/>
      <c r="T463" s="37"/>
      <c r="U463" s="37"/>
      <c r="V463" s="37"/>
      <c r="W463" s="37">
        <f>MAX($C$11-VLOOKUP($C463,COS!$B$8:$H$991,3,FALSE),0)</f>
        <v>1750</v>
      </c>
      <c r="X463" s="37">
        <f t="shared" si="667"/>
        <v>107.60330578512398</v>
      </c>
      <c r="Y463" s="37">
        <f>VLOOKUP($C463,COS!$B$8:$H$991,4,FALSE)</f>
        <v>0</v>
      </c>
      <c r="Z463" s="37">
        <f t="shared" si="668"/>
        <v>0</v>
      </c>
      <c r="AA463" s="37">
        <f t="shared" si="736"/>
        <v>0</v>
      </c>
      <c r="AB463" s="38">
        <f t="shared" si="650"/>
        <v>0</v>
      </c>
    </row>
    <row r="464" spans="1:28" x14ac:dyDescent="0.3">
      <c r="A464" s="27">
        <f>VLOOKUP(YEAR(C464),Flags!$A$13:$B$95,2,FALSE)</f>
        <v>3</v>
      </c>
      <c r="B464" s="28">
        <f t="shared" si="739"/>
        <v>1972</v>
      </c>
      <c r="C464" s="29">
        <v>26419</v>
      </c>
      <c r="D464" s="30">
        <f>VLOOKUP($C464,COS!$B$8:$H$991,3,FALSE)</f>
        <v>4466.64501953125</v>
      </c>
      <c r="E464" s="28">
        <f>IF(D464&gt;=IF(MONTH($C464)=4,$C$3,IF(MONTH($C464)=5,$C$4,IF(MONTH($C464)=6,$C$5,IF(MONTH($C464)=7,$C$6,"ERROR")))),1,0)</f>
        <v>0</v>
      </c>
      <c r="F464" s="30">
        <f>VLOOKUP($C464,COS!$B$8:$H$991,7,FALSE)</f>
        <v>50.082248687744141</v>
      </c>
      <c r="G464" s="28">
        <f>IF(F464&lt;=IF(MONTH($C464)=4,$F$3,IF(MONTH($C464)=5,$F$4,IF(MONTH($C464)=6,$F$5,IF(MONTH($C464)=7,$F$6,"ERROR")))),1,0)</f>
        <v>1</v>
      </c>
      <c r="H464" s="30">
        <f>IF(J464=1,D464-$C$3,0)</f>
        <v>0</v>
      </c>
      <c r="I464" s="30">
        <f t="shared" si="661"/>
        <v>0</v>
      </c>
      <c r="J464" s="28">
        <f t="shared" ref="J464:J467" si="740">IF(AND(E464=1,G464=1),1,0)</f>
        <v>0</v>
      </c>
      <c r="K464" s="30">
        <f>VLOOKUP($C464,COS!$B$8:$H$991,2,FALSE)</f>
        <v>4552</v>
      </c>
      <c r="L464" s="28">
        <f t="shared" ref="L464:L521" si="741">IF(K464&lt;=IF(MONTH($C464)=4,$I$3,IF(MONTH($C464)=5,$I$4,IF(MONTH($C464)=6,$I$5,IF(MONTH($C464)=7,$I$6,"ERROR")))),1,0)</f>
        <v>1</v>
      </c>
      <c r="M464" s="28">
        <f t="shared" ref="M464:M521" si="742">VLOOKUP($A464,$L$3:$M$7,2,FALSE)</f>
        <v>0</v>
      </c>
      <c r="N464" s="30">
        <f>VLOOKUP($C464,COS!$B$8:$H$991,5,FALSE)</f>
        <v>323.25350952148438</v>
      </c>
      <c r="O464" s="30">
        <f t="shared" ref="O464:O467" si="743">N464*DAY($C464)*86400/43560/1000</f>
        <v>19.23491957483213</v>
      </c>
      <c r="P464" s="30">
        <f>VLOOKUP($C464,COS!$B$8:$H$991,6,FALSE)</f>
        <v>539.28424072265625</v>
      </c>
      <c r="Q464" s="30">
        <f t="shared" ref="Q464:Q467" si="744">P464*DAY($C464)*86400/43560/1000</f>
        <v>32.08964077027376</v>
      </c>
      <c r="R464" s="30">
        <f>MIN(IF(MONTH($C464)=4,$S$3,IF(MONTH($C464)=5,$S$4,IF(MONTH($C464)=6,$S$5,IF(MONTH($C464)=7,$S$6,"ERROR")))),MAX(VLOOKUP($C464,COS!$B$8:$K$991,10,FALSE)-IF(MONTH($C464)=4,$Y$3,IF(MONTH($C464)=5,$Y$4,IF(MONTH($C464)=6,$Y$5,IF(MONTH($C464)=7,$Y$6,"ERROR")))),0),MAX(VLOOKUP($C464,COS!$B$8:$K$991,9,FALSE)-IF(MONTH($C464)=4,$V$3,IF(MONTH($C464)=5,$V$4,IF(MONTH($C464)=6,$V$5,IF(MONTH($C464)=7,$V$6,"ERROR"))))-VLOOKUP($C464,COS!$B$8:$K$991,6,FALSE)/2,0))</f>
        <v>1500</v>
      </c>
      <c r="S464" s="30">
        <f t="shared" ref="S464:S467" si="745">R464*DAY($C464)*86400/43560/1000</f>
        <v>89.256198347107429</v>
      </c>
      <c r="T464" s="30">
        <f t="shared" ref="T464:T467" si="746">(O464+Q464)/2+S464</f>
        <v>114.91847851966037</v>
      </c>
      <c r="U464" s="30" t="str">
        <f>IF(VLOOKUP($C464,COS!$B$8:$I$991,8,FALSE)=1,"UWFE","IBU")</f>
        <v>UWFE</v>
      </c>
      <c r="V464" s="30">
        <f t="shared" ref="V464" si="747">MIN(IF(IF($AA$3=2,AND(E464=1,G464=1,L464=1,L469=1,M464=1,U464="IBU"),AND(E464=1,G464=1,L464=1,L469=1,M464=1)),T464,0),I464)</f>
        <v>0</v>
      </c>
      <c r="W464" s="30"/>
      <c r="X464" s="30"/>
      <c r="Y464" s="30"/>
      <c r="Z464" s="30"/>
      <c r="AA464" s="30"/>
      <c r="AB464" s="31"/>
    </row>
    <row r="465" spans="1:28" x14ac:dyDescent="0.3">
      <c r="A465" s="32">
        <f>VLOOKUP(YEAR(C465),Flags!$A$13:$B$95,2,FALSE)</f>
        <v>3</v>
      </c>
      <c r="B465" s="24">
        <f t="shared" si="739"/>
        <v>1972</v>
      </c>
      <c r="C465" s="25">
        <v>26450</v>
      </c>
      <c r="D465" s="26">
        <f>VLOOKUP($C465,COS!$B$8:$H$991,3,FALSE)</f>
        <v>7295.134765625</v>
      </c>
      <c r="E465" s="24">
        <f>IF(D465&gt;=IF(MONTH($C465)=4,$C$3,IF(MONTH($C465)=5,$C$4,IF(MONTH($C465)=6,$C$5,IF(MONTH($C465)=7,$C$6,"ERROR")))),1,0)</f>
        <v>1</v>
      </c>
      <c r="F465" s="26">
        <f>VLOOKUP($C465,COS!$B$8:$H$991,7,FALSE)</f>
        <v>50.610748291015625</v>
      </c>
      <c r="G465" s="24">
        <f>IF(F465&lt;=IF(MONTH($C465)=4,$F$3,IF(MONTH($C465)=5,$F$4,IF(MONTH($C465)=6,$F$5,IF(MONTH($C465)=7,$F$6,"ERROR")))),1,0)</f>
        <v>1</v>
      </c>
      <c r="H465" s="26">
        <f>IF(J465=1,D465-$C$4,0)</f>
        <v>1295.134765625</v>
      </c>
      <c r="I465" s="26">
        <f t="shared" si="661"/>
        <v>79.634732696280992</v>
      </c>
      <c r="J465" s="24">
        <f t="shared" si="740"/>
        <v>1</v>
      </c>
      <c r="K465" s="26">
        <f>VLOOKUP($C465,COS!$B$8:$H$991,2,FALSE)</f>
        <v>4444.4248046875</v>
      </c>
      <c r="L465" s="24">
        <f t="shared" si="741"/>
        <v>1</v>
      </c>
      <c r="M465" s="24">
        <f t="shared" si="742"/>
        <v>0</v>
      </c>
      <c r="N465" s="26">
        <f>VLOOKUP($C465,COS!$B$8:$H$991,5,FALSE)</f>
        <v>214.1783447265625</v>
      </c>
      <c r="O465" s="26">
        <f t="shared" si="743"/>
        <v>13.169313097236572</v>
      </c>
      <c r="P465" s="26">
        <f>VLOOKUP($C465,COS!$B$8:$H$991,6,FALSE)</f>
        <v>2237.25634765625</v>
      </c>
      <c r="Q465" s="26">
        <f t="shared" si="744"/>
        <v>137.56353079803719</v>
      </c>
      <c r="R465" s="26">
        <f>MIN(IF(MONTH($C465)=4,$S$3,IF(MONTH($C465)=5,$S$4,IF(MONTH($C465)=6,$S$5,IF(MONTH($C465)=7,$S$6,"ERROR")))),MAX(VLOOKUP($C465,COS!$B$8:$K$991,10,FALSE)-IF(MONTH($C465)=4,$Y$3,IF(MONTH($C465)=5,$Y$4,IF(MONTH($C465)=6,$Y$5,IF(MONTH($C465)=7,$Y$6,"ERROR")))),0),MAX(VLOOKUP($C465,COS!$B$8:$K$991,9,FALSE)-IF(MONTH($C465)=4,$V$3,IF(MONTH($C465)=5,$V$4,IF(MONTH($C465)=6,$V$5,IF(MONTH($C465)=7,$V$6,"ERROR"))))-VLOOKUP($C465,COS!$B$8:$K$991,6,FALSE)/2,0))</f>
        <v>1500</v>
      </c>
      <c r="S465" s="26">
        <f t="shared" si="745"/>
        <v>92.231404958677686</v>
      </c>
      <c r="T465" s="26">
        <f t="shared" si="746"/>
        <v>167.59782690631457</v>
      </c>
      <c r="U465" s="26" t="str">
        <f>IF(VLOOKUP($C465,COS!$B$8:$I$991,8,FALSE)=1,"UWFE","IBU")</f>
        <v>UWFE</v>
      </c>
      <c r="V465" s="26">
        <f t="shared" ref="V465" si="748">MIN(IF(IF($AA$3=2,AND(E465=1,G465=1,L465=1,L469=1,M465=1,U465="IBU"),AND(E465=1,G465=1,L465=1,L469=1,M465=1)),T465,0),I465)</f>
        <v>0</v>
      </c>
      <c r="W465" s="26"/>
      <c r="X465" s="26"/>
      <c r="Y465" s="26"/>
      <c r="Z465" s="26"/>
      <c r="AA465" s="26"/>
      <c r="AB465" s="33"/>
    </row>
    <row r="466" spans="1:28" x14ac:dyDescent="0.3">
      <c r="A466" s="32">
        <f>VLOOKUP(YEAR(C466),Flags!$A$13:$B$95,2,FALSE)</f>
        <v>3</v>
      </c>
      <c r="B466" s="24">
        <f t="shared" si="739"/>
        <v>1972</v>
      </c>
      <c r="C466" s="25">
        <v>26480</v>
      </c>
      <c r="D466" s="26">
        <f>VLOOKUP($C466,COS!$B$8:$H$991,3,FALSE)</f>
        <v>13446.5849609375</v>
      </c>
      <c r="E466" s="24">
        <f>IF(D466&gt;=IF(MONTH($C466)=4,$C$3,IF(MONTH($C466)=5,$C$4,IF(MONTH($C466)=6,$C$5,IF(MONTH($C466)=7,$C$6,"ERROR")))),1,0)</f>
        <v>1</v>
      </c>
      <c r="F466" s="26">
        <f>VLOOKUP($C466,COS!$B$8:$H$991,7,FALSE)</f>
        <v>50.5291748046875</v>
      </c>
      <c r="G466" s="24">
        <f>IF(F466&lt;=IF(MONTH($C466)=4,$F$3,IF(MONTH($C466)=5,$F$4,IF(MONTH($C466)=6,$F$5,IF(MONTH($C466)=7,$F$6,"ERROR")))),1,0)</f>
        <v>1</v>
      </c>
      <c r="H466" s="26">
        <f>IF(J466=1,D466-$C$5,0)</f>
        <v>3446.5849609375</v>
      </c>
      <c r="I466" s="26">
        <f t="shared" si="661"/>
        <v>205.0860472623967</v>
      </c>
      <c r="J466" s="24">
        <f t="shared" si="740"/>
        <v>1</v>
      </c>
      <c r="K466" s="26">
        <f>VLOOKUP($C466,COS!$B$8:$H$991,2,FALSE)</f>
        <v>3879.44091796875</v>
      </c>
      <c r="L466" s="24">
        <f t="shared" si="741"/>
        <v>1</v>
      </c>
      <c r="M466" s="24">
        <f t="shared" si="742"/>
        <v>0</v>
      </c>
      <c r="N466" s="26">
        <f>VLOOKUP($C466,COS!$B$8:$H$991,5,FALSE)</f>
        <v>428.46661376953125</v>
      </c>
      <c r="O466" s="26">
        <f t="shared" si="743"/>
        <v>25.495534042484504</v>
      </c>
      <c r="P466" s="26">
        <f>VLOOKUP($C466,COS!$B$8:$H$991,6,FALSE)</f>
        <v>2616.696044921875</v>
      </c>
      <c r="Q466" s="26">
        <f t="shared" si="744"/>
        <v>155.70422746642564</v>
      </c>
      <c r="R466" s="26">
        <f>MIN(IF(MONTH($C466)=4,$S$3,IF(MONTH($C466)=5,$S$4,IF(MONTH($C466)=6,$S$5,IF(MONTH($C466)=7,$S$6,"ERROR")))),MAX(VLOOKUP($C466,COS!$B$8:$K$991,10,FALSE)-IF(MONTH($C466)=4,$Y$3,IF(MONTH($C466)=5,$Y$4,IF(MONTH($C466)=6,$Y$5,IF(MONTH($C466)=7,$Y$6,"ERROR")))),0),MAX(VLOOKUP($C466,COS!$B$8:$K$991,9,FALSE)-IF(MONTH($C466)=4,$V$3,IF(MONTH($C466)=5,$V$4,IF(MONTH($C466)=6,$V$5,IF(MONTH($C466)=7,$V$6,"ERROR"))))-VLOOKUP($C466,COS!$B$8:$K$991,6,FALSE)/2,0))</f>
        <v>1500</v>
      </c>
      <c r="S466" s="26">
        <f t="shared" si="745"/>
        <v>89.256198347107429</v>
      </c>
      <c r="T466" s="26">
        <f t="shared" si="746"/>
        <v>179.8560791015625</v>
      </c>
      <c r="U466" s="26" t="str">
        <f>IF(VLOOKUP($C466,COS!$B$8:$I$991,8,FALSE)=1,"UWFE","IBU")</f>
        <v>IBU</v>
      </c>
      <c r="V466" s="26">
        <f t="shared" ref="V466" si="749">MIN(IF(IF($AA$3=2,AND(E466=1,G466=1,L466=1,L469=1,M466=1,U466="IBU"),AND(E466=1,G466=1,L466=1,L469=1,M466=1)),T466,0),I466)</f>
        <v>0</v>
      </c>
      <c r="W466" s="26"/>
      <c r="X466" s="26"/>
      <c r="Y466" s="26"/>
      <c r="Z466" s="26"/>
      <c r="AA466" s="26"/>
      <c r="AB466" s="33"/>
    </row>
    <row r="467" spans="1:28" x14ac:dyDescent="0.3">
      <c r="A467" s="32">
        <f>VLOOKUP(YEAR(C467),Flags!$A$13:$B$95,2,FALSE)</f>
        <v>3</v>
      </c>
      <c r="B467" s="24">
        <f t="shared" si="739"/>
        <v>1972</v>
      </c>
      <c r="C467" s="25">
        <v>26511</v>
      </c>
      <c r="D467" s="26">
        <f>VLOOKUP($C467,COS!$B$8:$H$991,3,FALSE)</f>
        <v>15975.8271484375</v>
      </c>
      <c r="E467" s="24">
        <f>IF(D467&gt;=IF(MONTH($C467)=4,$C$3,IF(MONTH($C467)=5,$C$4,IF(MONTH($C467)=6,$C$5,IF(MONTH($C467)=7,$C$6,"ERROR")))),1,0)</f>
        <v>1</v>
      </c>
      <c r="F467" s="26">
        <f>VLOOKUP($C467,COS!$B$8:$H$991,7,FALSE)</f>
        <v>51.616970062255859</v>
      </c>
      <c r="G467" s="24">
        <f>IF(F467&lt;=IF(MONTH($C467)=4,$F$3,IF(MONTH($C467)=5,$F$4,IF(MONTH($C467)=6,$F$5,IF(MONTH($C467)=7,$F$6,"ERROR")))),1,0)</f>
        <v>1</v>
      </c>
      <c r="H467" s="26">
        <f>IF(J467=1,D467-$C$6,0)</f>
        <v>3975.8271484375</v>
      </c>
      <c r="I467" s="26">
        <f t="shared" si="661"/>
        <v>244.46408251549585</v>
      </c>
      <c r="J467" s="24">
        <f t="shared" si="740"/>
        <v>1</v>
      </c>
      <c r="K467" s="26">
        <f>VLOOKUP($C467,COS!$B$8:$H$991,2,FALSE)</f>
        <v>3200</v>
      </c>
      <c r="L467" s="24">
        <f t="shared" si="741"/>
        <v>1</v>
      </c>
      <c r="M467" s="24">
        <f t="shared" si="742"/>
        <v>0</v>
      </c>
      <c r="N467" s="26">
        <f>VLOOKUP($C467,COS!$B$8:$H$991,5,FALSE)</f>
        <v>484.07479858398438</v>
      </c>
      <c r="O467" s="26">
        <f t="shared" si="743"/>
        <v>29.764599185659868</v>
      </c>
      <c r="P467" s="26">
        <f>VLOOKUP($C467,COS!$B$8:$H$991,6,FALSE)</f>
        <v>2537.385498046875</v>
      </c>
      <c r="Q467" s="26">
        <f t="shared" si="744"/>
        <v>156.01775293775825</v>
      </c>
      <c r="R467" s="26">
        <f>MIN(IF(MONTH($C467)=4,$S$3,IF(MONTH($C467)=5,$S$4,IF(MONTH($C467)=6,$S$5,IF(MONTH($C467)=7,$S$6,"ERROR")))),MAX(VLOOKUP($C467,COS!$B$8:$K$991,10,FALSE)-IF(MONTH($C467)=4,$Y$3,IF(MONTH($C467)=5,$Y$4,IF(MONTH($C467)=6,$Y$5,IF(MONTH($C467)=7,$Y$6,"ERROR")))),0),MAX(VLOOKUP($C467,COS!$B$8:$K$991,9,FALSE)-IF(MONTH($C467)=4,$V$3,IF(MONTH($C467)=5,$V$4,IF(MONTH($C467)=6,$V$5,IF(MONTH($C467)=7,$V$6,"ERROR"))))-VLOOKUP($C467,COS!$B$8:$K$991,6,FALSE)/2,0))</f>
        <v>1500</v>
      </c>
      <c r="S467" s="26">
        <f t="shared" si="745"/>
        <v>92.231404958677686</v>
      </c>
      <c r="T467" s="26">
        <f t="shared" si="746"/>
        <v>185.12258102038675</v>
      </c>
      <c r="U467" s="26" t="str">
        <f>IF(VLOOKUP($C467,COS!$B$8:$I$991,8,FALSE)=1,"UWFE","IBU")</f>
        <v>IBU</v>
      </c>
      <c r="V467" s="26">
        <f t="shared" ref="V467" si="750">MIN(IF(IF($AA$3=2,AND(E467=1,G467=1,L467=1,L469=1,M467=1,U467="IBU"),AND(E467=1,G467=1,L467=1,L469=1,M467=1)),T467,0),I467)</f>
        <v>0</v>
      </c>
      <c r="W467" s="26"/>
      <c r="X467" s="26"/>
      <c r="Y467" s="26"/>
      <c r="Z467" s="26"/>
      <c r="AA467" s="26"/>
      <c r="AB467" s="33"/>
    </row>
    <row r="468" spans="1:28" x14ac:dyDescent="0.3">
      <c r="A468" s="32">
        <f>VLOOKUP(YEAR(C468),Flags!$A$13:$B$95,2,FALSE)</f>
        <v>3</v>
      </c>
      <c r="B468" s="24">
        <f t="shared" si="739"/>
        <v>1972</v>
      </c>
      <c r="C468" s="25">
        <v>26542</v>
      </c>
      <c r="D468" s="26"/>
      <c r="E468" s="24"/>
      <c r="F468" s="26"/>
      <c r="G468" s="24"/>
      <c r="H468" s="24"/>
      <c r="I468" s="26"/>
      <c r="J468" s="24"/>
      <c r="K468" s="26"/>
      <c r="L468" s="24"/>
      <c r="M468" s="24"/>
      <c r="N468" s="26"/>
      <c r="O468" s="26"/>
      <c r="P468" s="26"/>
      <c r="Q468" s="26"/>
      <c r="R468" s="26"/>
      <c r="S468" s="26"/>
      <c r="T468" s="26"/>
      <c r="U468" s="26"/>
      <c r="V468" s="26"/>
      <c r="W468" s="26">
        <f>MAX($C$7-VLOOKUP($C468,COS!$B$8:$H$991,3,FALSE),0)</f>
        <v>1879.541015625</v>
      </c>
      <c r="X468" s="26">
        <f t="shared" si="667"/>
        <v>115.56847236570248</v>
      </c>
      <c r="Y468" s="26">
        <f>VLOOKUP($C468,COS!$B$8:$H$991,4,FALSE)</f>
        <v>1250.875732421875</v>
      </c>
      <c r="Z468" s="26">
        <f t="shared" si="668"/>
        <v>76.913350819989674</v>
      </c>
      <c r="AA468" s="26">
        <f t="shared" ref="AA468:AA472" si="751">MIN(W468,Y468)</f>
        <v>1250.875732421875</v>
      </c>
      <c r="AB468" s="33">
        <f t="shared" ref="AB468:AB526" si="752">AA468*DAY($C468)*86400/43560/1000*IF(MONTH($C468)=8,$P$3,IF(MONTH($C468)=9,$P$4,IF(MONTH($C468)=10,$P$5,IF(MONTH($C468)=11,$P$6,IF(MONTH($C468)=12,$P$7,NA())))))</f>
        <v>76.913350819989674</v>
      </c>
    </row>
    <row r="469" spans="1:28" x14ac:dyDescent="0.3">
      <c r="A469" s="32">
        <f>VLOOKUP(YEAR(C469),Flags!$A$13:$B$95,2,FALSE)</f>
        <v>3</v>
      </c>
      <c r="B469" s="24">
        <f t="shared" si="739"/>
        <v>1972</v>
      </c>
      <c r="C469" s="25">
        <v>26572</v>
      </c>
      <c r="D469" s="26"/>
      <c r="E469" s="24"/>
      <c r="F469" s="26"/>
      <c r="G469" s="24"/>
      <c r="H469" s="24"/>
      <c r="I469" s="26"/>
      <c r="J469" s="24"/>
      <c r="K469" s="26">
        <f>VLOOKUP($C469,COS!$B$8:$H$991,2,FALSE)</f>
        <v>2958.29638671875</v>
      </c>
      <c r="L469" s="24">
        <f t="shared" ref="L469" si="753">IF(AND(K469&gt;$I$7,K469&lt;$I$8),1,0)</f>
        <v>1</v>
      </c>
      <c r="M469" s="24"/>
      <c r="N469" s="26"/>
      <c r="O469" s="26"/>
      <c r="P469" s="26"/>
      <c r="Q469" s="26"/>
      <c r="R469" s="26"/>
      <c r="S469" s="26"/>
      <c r="T469" s="26"/>
      <c r="U469" s="26"/>
      <c r="V469" s="26"/>
      <c r="W469" s="26">
        <f>MAX($C$8-VLOOKUP($C469,COS!$B$8:$H$991,3,FALSE),0)</f>
        <v>1243.72265625</v>
      </c>
      <c r="X469" s="26">
        <f t="shared" si="667"/>
        <v>74.006637396694217</v>
      </c>
      <c r="Y469" s="26">
        <f>VLOOKUP($C469,COS!$B$8:$H$991,4,FALSE)</f>
        <v>954.7808837890625</v>
      </c>
      <c r="Z469" s="26">
        <f t="shared" si="668"/>
        <v>56.813407961002063</v>
      </c>
      <c r="AA469" s="26">
        <f t="shared" si="751"/>
        <v>954.7808837890625</v>
      </c>
      <c r="AB469" s="33">
        <f t="shared" si="752"/>
        <v>56.813407961002063</v>
      </c>
    </row>
    <row r="470" spans="1:28" x14ac:dyDescent="0.3">
      <c r="A470" s="32">
        <f>VLOOKUP(YEAR(C470),Flags!$A$13:$B$95,2,FALSE)</f>
        <v>3</v>
      </c>
      <c r="B470" s="24">
        <f t="shared" si="739"/>
        <v>1972</v>
      </c>
      <c r="C470" s="25">
        <v>26603</v>
      </c>
      <c r="D470" s="26"/>
      <c r="E470" s="24"/>
      <c r="F470" s="26"/>
      <c r="G470" s="26"/>
      <c r="H470" s="26"/>
      <c r="I470" s="26"/>
      <c r="J470" s="26"/>
      <c r="K470" s="26"/>
      <c r="L470" s="24"/>
      <c r="M470" s="24"/>
      <c r="N470" s="26"/>
      <c r="O470" s="26"/>
      <c r="P470" s="26"/>
      <c r="Q470" s="26"/>
      <c r="R470" s="26"/>
      <c r="S470" s="26"/>
      <c r="T470" s="26"/>
      <c r="U470" s="26"/>
      <c r="V470" s="26"/>
      <c r="W470" s="26">
        <f>MAX($C$9-VLOOKUP($C470,COS!$B$8:$H$991,3,FALSE),0)</f>
        <v>129.9990234375</v>
      </c>
      <c r="X470" s="26">
        <f t="shared" si="667"/>
        <v>7.9933283832644628</v>
      </c>
      <c r="Y470" s="26">
        <f>VLOOKUP($C470,COS!$B$8:$H$991,4,FALSE)</f>
        <v>439.72247314453125</v>
      </c>
      <c r="Z470" s="26">
        <f t="shared" si="668"/>
        <v>27.037480993349689</v>
      </c>
      <c r="AA470" s="26">
        <f t="shared" si="751"/>
        <v>129.9990234375</v>
      </c>
      <c r="AB470" s="33">
        <f t="shared" si="752"/>
        <v>7.9933283832644628</v>
      </c>
    </row>
    <row r="471" spans="1:28" x14ac:dyDescent="0.3">
      <c r="A471" s="32">
        <f>VLOOKUP(YEAR(C471),Flags!$A$13:$B$95,2,FALSE)</f>
        <v>3</v>
      </c>
      <c r="B471" s="24">
        <f t="shared" si="739"/>
        <v>1972</v>
      </c>
      <c r="C471" s="25">
        <v>26633</v>
      </c>
      <c r="D471" s="26"/>
      <c r="E471" s="24"/>
      <c r="F471" s="26"/>
      <c r="G471" s="26"/>
      <c r="H471" s="26"/>
      <c r="I471" s="26"/>
      <c r="J471" s="26"/>
      <c r="K471" s="26"/>
      <c r="L471" s="24"/>
      <c r="M471" s="24"/>
      <c r="N471" s="26"/>
      <c r="O471" s="26"/>
      <c r="P471" s="26"/>
      <c r="Q471" s="26"/>
      <c r="R471" s="26"/>
      <c r="S471" s="26"/>
      <c r="T471" s="26"/>
      <c r="U471" s="26"/>
      <c r="V471" s="26"/>
      <c r="W471" s="26">
        <f>MAX($C$10-VLOOKUP($C471,COS!$B$8:$H$991,3,FALSE),0)</f>
        <v>1244.074462890625</v>
      </c>
      <c r="X471" s="26">
        <f t="shared" si="667"/>
        <v>74.027571345557845</v>
      </c>
      <c r="Y471" s="26">
        <f>VLOOKUP($C471,COS!$B$8:$H$991,4,FALSE)</f>
        <v>2301.576171875</v>
      </c>
      <c r="Z471" s="26">
        <f t="shared" si="668"/>
        <v>136.95329287190083</v>
      </c>
      <c r="AA471" s="26">
        <f t="shared" si="751"/>
        <v>1244.074462890625</v>
      </c>
      <c r="AB471" s="33">
        <f t="shared" si="752"/>
        <v>74.027571345557845</v>
      </c>
    </row>
    <row r="472" spans="1:28" x14ac:dyDescent="0.3">
      <c r="A472" s="34">
        <f>VLOOKUP(YEAR(C472),Flags!$A$13:$B$95,2,FALSE)</f>
        <v>3</v>
      </c>
      <c r="B472" s="35">
        <f t="shared" si="739"/>
        <v>1972</v>
      </c>
      <c r="C472" s="36">
        <v>26664</v>
      </c>
      <c r="D472" s="37"/>
      <c r="E472" s="35"/>
      <c r="F472" s="37"/>
      <c r="G472" s="37"/>
      <c r="H472" s="37"/>
      <c r="I472" s="37"/>
      <c r="J472" s="37"/>
      <c r="K472" s="37"/>
      <c r="L472" s="35"/>
      <c r="M472" s="35"/>
      <c r="N472" s="37"/>
      <c r="O472" s="37"/>
      <c r="P472" s="37"/>
      <c r="Q472" s="37"/>
      <c r="R472" s="37"/>
      <c r="S472" s="37"/>
      <c r="T472" s="37"/>
      <c r="U472" s="37"/>
      <c r="V472" s="37"/>
      <c r="W472" s="37">
        <f>MAX($C$11-VLOOKUP($C472,COS!$B$8:$H$991,3,FALSE),0)</f>
        <v>0</v>
      </c>
      <c r="X472" s="37">
        <f t="shared" si="667"/>
        <v>0</v>
      </c>
      <c r="Y472" s="37">
        <f>VLOOKUP($C472,COS!$B$8:$H$991,4,FALSE)</f>
        <v>0</v>
      </c>
      <c r="Z472" s="37">
        <f t="shared" si="668"/>
        <v>0</v>
      </c>
      <c r="AA472" s="37">
        <f t="shared" si="751"/>
        <v>0</v>
      </c>
      <c r="AB472" s="38">
        <f t="shared" si="752"/>
        <v>0</v>
      </c>
    </row>
    <row r="473" spans="1:28" x14ac:dyDescent="0.3">
      <c r="A473" s="27">
        <f>VLOOKUP(YEAR(C473),Flags!$A$13:$B$95,2,FALSE)</f>
        <v>2</v>
      </c>
      <c r="B473" s="28">
        <f t="shared" si="739"/>
        <v>1973</v>
      </c>
      <c r="C473" s="29">
        <v>26784</v>
      </c>
      <c r="D473" s="30">
        <f>VLOOKUP($C473,COS!$B$8:$H$991,3,FALSE)</f>
        <v>3250</v>
      </c>
      <c r="E473" s="28">
        <f>IF(D473&gt;=IF(MONTH($C473)=4,$C$3,IF(MONTH($C473)=5,$C$4,IF(MONTH($C473)=6,$C$5,IF(MONTH($C473)=7,$C$6,"ERROR")))),1,0)</f>
        <v>0</v>
      </c>
      <c r="F473" s="30">
        <f>VLOOKUP($C473,COS!$B$8:$H$991,7,FALSE)</f>
        <v>50.581394195556641</v>
      </c>
      <c r="G473" s="28">
        <f>IF(F473&lt;=IF(MONTH($C473)=4,$F$3,IF(MONTH($C473)=5,$F$4,IF(MONTH($C473)=6,$F$5,IF(MONTH($C473)=7,$F$6,"ERROR")))),1,0)</f>
        <v>1</v>
      </c>
      <c r="H473" s="30">
        <f>IF(J473=1,D473-$C$3,0)</f>
        <v>0</v>
      </c>
      <c r="I473" s="30">
        <f t="shared" si="661"/>
        <v>0</v>
      </c>
      <c r="J473" s="28">
        <f t="shared" ref="J473:J476" si="754">IF(AND(E473=1,G473=1),1,0)</f>
        <v>0</v>
      </c>
      <c r="K473" s="30">
        <f>VLOOKUP($C473,COS!$B$8:$H$991,2,FALSE)</f>
        <v>4464.4716796875</v>
      </c>
      <c r="L473" s="28">
        <f t="shared" ref="L473" si="755">IF(K473&lt;=IF(MONTH($C473)=4,$I$3,IF(MONTH($C473)=5,$I$4,IF(MONTH($C473)=6,$I$5,IF(MONTH($C473)=7,$I$6,"ERROR")))),1,0)</f>
        <v>1</v>
      </c>
      <c r="M473" s="28">
        <f t="shared" ref="M473" si="756">VLOOKUP($A473,$L$3:$M$7,2,FALSE)</f>
        <v>0</v>
      </c>
      <c r="N473" s="30">
        <f>VLOOKUP($C473,COS!$B$8:$H$991,5,FALSE)</f>
        <v>411.989013671875</v>
      </c>
      <c r="O473" s="30">
        <f t="shared" ref="O473:O476" si="757">N473*DAY($C473)*86400/43560/1000</f>
        <v>24.515048747417357</v>
      </c>
      <c r="P473" s="30">
        <f>VLOOKUP($C473,COS!$B$8:$H$991,6,FALSE)</f>
        <v>453.39697265625</v>
      </c>
      <c r="Q473" s="30">
        <f t="shared" ref="Q473:Q476" si="758">P473*DAY($C473)*86400/43560/1000</f>
        <v>26.978993414256198</v>
      </c>
      <c r="R473" s="30">
        <f>MIN(IF(MONTH($C473)=4,$S$3,IF(MONTH($C473)=5,$S$4,IF(MONTH($C473)=6,$S$5,IF(MONTH($C473)=7,$S$6,"ERROR")))),MAX(VLOOKUP($C473,COS!$B$8:$K$991,10,FALSE)-IF(MONTH($C473)=4,$Y$3,IF(MONTH($C473)=5,$Y$4,IF(MONTH($C473)=6,$Y$5,IF(MONTH($C473)=7,$Y$6,"ERROR")))),0),MAX(VLOOKUP($C473,COS!$B$8:$K$991,9,FALSE)-IF(MONTH($C473)=4,$V$3,IF(MONTH($C473)=5,$V$4,IF(MONTH($C473)=6,$V$5,IF(MONTH($C473)=7,$V$6,"ERROR"))))-VLOOKUP($C473,COS!$B$8:$K$991,6,FALSE)/2,0))</f>
        <v>1500</v>
      </c>
      <c r="S473" s="30">
        <f t="shared" ref="S473:S476" si="759">R473*DAY($C473)*86400/43560/1000</f>
        <v>89.256198347107429</v>
      </c>
      <c r="T473" s="30">
        <f t="shared" ref="T473:T476" si="760">(O473+Q473)/2+S473</f>
        <v>115.0032194279442</v>
      </c>
      <c r="U473" s="30" t="str">
        <f>IF(VLOOKUP($C473,COS!$B$8:$I$991,8,FALSE)=1,"UWFE","IBU")</f>
        <v>UWFE</v>
      </c>
      <c r="V473" s="30">
        <f t="shared" ref="V473" si="761">MIN(IF(IF($AA$3=2,AND(E473=1,G473=1,L473=1,L478=1,M473=1,U473="IBU"),AND(E473=1,G473=1,L473=1,L478=1,M473=1)),T473,0),I473)</f>
        <v>0</v>
      </c>
      <c r="W473" s="30"/>
      <c r="X473" s="30"/>
      <c r="Y473" s="30"/>
      <c r="Z473" s="30"/>
      <c r="AA473" s="30"/>
      <c r="AB473" s="31"/>
    </row>
    <row r="474" spans="1:28" x14ac:dyDescent="0.3">
      <c r="A474" s="32">
        <f>VLOOKUP(YEAR(C474),Flags!$A$13:$B$95,2,FALSE)</f>
        <v>2</v>
      </c>
      <c r="B474" s="24">
        <f t="shared" si="739"/>
        <v>1973</v>
      </c>
      <c r="C474" s="25">
        <v>26815</v>
      </c>
      <c r="D474" s="26">
        <f>VLOOKUP($C474,COS!$B$8:$H$991,3,FALSE)</f>
        <v>6365.75537109375</v>
      </c>
      <c r="E474" s="24">
        <f>IF(D474&gt;=IF(MONTH($C474)=4,$C$3,IF(MONTH($C474)=5,$C$4,IF(MONTH($C474)=6,$C$5,IF(MONTH($C474)=7,$C$6,"ERROR")))),1,0)</f>
        <v>1</v>
      </c>
      <c r="F474" s="26">
        <f>VLOOKUP($C474,COS!$B$8:$H$991,7,FALSE)</f>
        <v>51.265758514404297</v>
      </c>
      <c r="G474" s="24">
        <f>IF(F474&lt;=IF(MONTH($C474)=4,$F$3,IF(MONTH($C474)=5,$F$4,IF(MONTH($C474)=6,$F$5,IF(MONTH($C474)=7,$F$6,"ERROR")))),1,0)</f>
        <v>1</v>
      </c>
      <c r="H474" s="26">
        <f>IF(J474=1,D474-$C$4,0)</f>
        <v>365.75537109375</v>
      </c>
      <c r="I474" s="26">
        <f t="shared" si="661"/>
        <v>22.489421164772729</v>
      </c>
      <c r="J474" s="24">
        <f t="shared" si="754"/>
        <v>1</v>
      </c>
      <c r="K474" s="26">
        <f>VLOOKUP($C474,COS!$B$8:$H$991,2,FALSE)</f>
        <v>4489.771484375</v>
      </c>
      <c r="L474" s="24">
        <f t="shared" si="741"/>
        <v>1</v>
      </c>
      <c r="M474" s="24">
        <f t="shared" si="742"/>
        <v>0</v>
      </c>
      <c r="N474" s="26">
        <f>VLOOKUP($C474,COS!$B$8:$H$991,5,FALSE)</f>
        <v>753.90789794921875</v>
      </c>
      <c r="O474" s="26">
        <f t="shared" si="757"/>
        <v>46.355989758199897</v>
      </c>
      <c r="P474" s="26">
        <f>VLOOKUP($C474,COS!$B$8:$H$991,6,FALSE)</f>
        <v>2250.21826171875</v>
      </c>
      <c r="Q474" s="26">
        <f t="shared" si="758"/>
        <v>138.36052782799587</v>
      </c>
      <c r="R474" s="26">
        <f>MIN(IF(MONTH($C474)=4,$S$3,IF(MONTH($C474)=5,$S$4,IF(MONTH($C474)=6,$S$5,IF(MONTH($C474)=7,$S$6,"ERROR")))),MAX(VLOOKUP($C474,COS!$B$8:$K$991,10,FALSE)-IF(MONTH($C474)=4,$Y$3,IF(MONTH($C474)=5,$Y$4,IF(MONTH($C474)=6,$Y$5,IF(MONTH($C474)=7,$Y$6,"ERROR")))),0),MAX(VLOOKUP($C474,COS!$B$8:$K$991,9,FALSE)-IF(MONTH($C474)=4,$V$3,IF(MONTH($C474)=5,$V$4,IF(MONTH($C474)=6,$V$5,IF(MONTH($C474)=7,$V$6,"ERROR"))))-VLOOKUP($C474,COS!$B$8:$K$991,6,FALSE)/2,0))</f>
        <v>1500</v>
      </c>
      <c r="S474" s="26">
        <f t="shared" si="759"/>
        <v>92.231404958677686</v>
      </c>
      <c r="T474" s="26">
        <f t="shared" si="760"/>
        <v>184.58966375177556</v>
      </c>
      <c r="U474" s="26" t="str">
        <f>IF(VLOOKUP($C474,COS!$B$8:$I$991,8,FALSE)=1,"UWFE","IBU")</f>
        <v>UWFE</v>
      </c>
      <c r="V474" s="26">
        <f t="shared" ref="V474" si="762">MIN(IF(IF($AA$3=2,AND(E474=1,G474=1,L474=1,L478=1,M474=1,U474="IBU"),AND(E474=1,G474=1,L474=1,L478=1,M474=1)),T474,0),I474)</f>
        <v>0</v>
      </c>
      <c r="W474" s="26"/>
      <c r="X474" s="26"/>
      <c r="Y474" s="26"/>
      <c r="Z474" s="26"/>
      <c r="AA474" s="26"/>
      <c r="AB474" s="33"/>
    </row>
    <row r="475" spans="1:28" x14ac:dyDescent="0.3">
      <c r="A475" s="32">
        <f>VLOOKUP(YEAR(C475),Flags!$A$13:$B$95,2,FALSE)</f>
        <v>2</v>
      </c>
      <c r="B475" s="24">
        <f t="shared" si="739"/>
        <v>1973</v>
      </c>
      <c r="C475" s="25">
        <v>26845</v>
      </c>
      <c r="D475" s="26">
        <f>VLOOKUP($C475,COS!$B$8:$H$991,3,FALSE)</f>
        <v>13158.140625</v>
      </c>
      <c r="E475" s="24">
        <f>IF(D475&gt;=IF(MONTH($C475)=4,$C$3,IF(MONTH($C475)=5,$C$4,IF(MONTH($C475)=6,$C$5,IF(MONTH($C475)=7,$C$6,"ERROR")))),1,0)</f>
        <v>1</v>
      </c>
      <c r="F475" s="26">
        <f>VLOOKUP($C475,COS!$B$8:$H$991,7,FALSE)</f>
        <v>49.900630950927734</v>
      </c>
      <c r="G475" s="24">
        <f>IF(F475&lt;=IF(MONTH($C475)=4,$F$3,IF(MONTH($C475)=5,$F$4,IF(MONTH($C475)=6,$F$5,IF(MONTH($C475)=7,$F$6,"ERROR")))),1,0)</f>
        <v>1</v>
      </c>
      <c r="H475" s="26">
        <f>IF(J475=1,D475-$C$5,0)</f>
        <v>3158.140625</v>
      </c>
      <c r="I475" s="26">
        <f t="shared" si="661"/>
        <v>187.92241735537189</v>
      </c>
      <c r="J475" s="24">
        <f t="shared" si="754"/>
        <v>1</v>
      </c>
      <c r="K475" s="26">
        <f>VLOOKUP($C475,COS!$B$8:$H$991,2,FALSE)</f>
        <v>3919.55078125</v>
      </c>
      <c r="L475" s="24">
        <f t="shared" si="741"/>
        <v>1</v>
      </c>
      <c r="M475" s="24">
        <f t="shared" si="742"/>
        <v>0</v>
      </c>
      <c r="N475" s="26">
        <f>VLOOKUP($C475,COS!$B$8:$H$991,5,FALSE)</f>
        <v>1050.899658203125</v>
      </c>
      <c r="O475" s="26">
        <f t="shared" si="757"/>
        <v>62.532872223657023</v>
      </c>
      <c r="P475" s="26">
        <f>VLOOKUP($C475,COS!$B$8:$H$991,6,FALSE)</f>
        <v>2424.520751953125</v>
      </c>
      <c r="Q475" s="26">
        <f t="shared" si="758"/>
        <v>144.26900342200415</v>
      </c>
      <c r="R475" s="26">
        <f>MIN(IF(MONTH($C475)=4,$S$3,IF(MONTH($C475)=5,$S$4,IF(MONTH($C475)=6,$S$5,IF(MONTH($C475)=7,$S$6,"ERROR")))),MAX(VLOOKUP($C475,COS!$B$8:$K$991,10,FALSE)-IF(MONTH($C475)=4,$Y$3,IF(MONTH($C475)=5,$Y$4,IF(MONTH($C475)=6,$Y$5,IF(MONTH($C475)=7,$Y$6,"ERROR")))),0),MAX(VLOOKUP($C475,COS!$B$8:$K$991,9,FALSE)-IF(MONTH($C475)=4,$V$3,IF(MONTH($C475)=5,$V$4,IF(MONTH($C475)=6,$V$5,IF(MONTH($C475)=7,$V$6,"ERROR"))))-VLOOKUP($C475,COS!$B$8:$K$991,6,FALSE)/2,0))</f>
        <v>1500</v>
      </c>
      <c r="S475" s="26">
        <f t="shared" si="759"/>
        <v>89.256198347107429</v>
      </c>
      <c r="T475" s="26">
        <f t="shared" si="760"/>
        <v>192.65713616993801</v>
      </c>
      <c r="U475" s="26" t="str">
        <f>IF(VLOOKUP($C475,COS!$B$8:$I$991,8,FALSE)=1,"UWFE","IBU")</f>
        <v>IBU</v>
      </c>
      <c r="V475" s="26">
        <f t="shared" ref="V475" si="763">MIN(IF(IF($AA$3=2,AND(E475=1,G475=1,L475=1,L478=1,M475=1,U475="IBU"),AND(E475=1,G475=1,L475=1,L478=1,M475=1)),T475,0),I475)</f>
        <v>0</v>
      </c>
      <c r="W475" s="26"/>
      <c r="X475" s="26"/>
      <c r="Y475" s="26"/>
      <c r="Z475" s="26"/>
      <c r="AA475" s="26"/>
      <c r="AB475" s="33"/>
    </row>
    <row r="476" spans="1:28" x14ac:dyDescent="0.3">
      <c r="A476" s="32">
        <f>VLOOKUP(YEAR(C476),Flags!$A$13:$B$95,2,FALSE)</f>
        <v>2</v>
      </c>
      <c r="B476" s="24">
        <f t="shared" si="739"/>
        <v>1973</v>
      </c>
      <c r="C476" s="25">
        <v>26876</v>
      </c>
      <c r="D476" s="26">
        <f>VLOOKUP($C476,COS!$B$8:$H$991,3,FALSE)</f>
        <v>16000</v>
      </c>
      <c r="E476" s="24">
        <f>IF(D476&gt;=IF(MONTH($C476)=4,$C$3,IF(MONTH($C476)=5,$C$4,IF(MONTH($C476)=6,$C$5,IF(MONTH($C476)=7,$C$6,"ERROR")))),1,0)</f>
        <v>1</v>
      </c>
      <c r="F476" s="26">
        <f>VLOOKUP($C476,COS!$B$8:$H$991,7,FALSE)</f>
        <v>50.579265594482422</v>
      </c>
      <c r="G476" s="24">
        <f>IF(F476&lt;=IF(MONTH($C476)=4,$F$3,IF(MONTH($C476)=5,$F$4,IF(MONTH($C476)=6,$F$5,IF(MONTH($C476)=7,$F$6,"ERROR")))),1,0)</f>
        <v>1</v>
      </c>
      <c r="H476" s="26">
        <f>IF(J476=1,D476-$C$6,0)</f>
        <v>4000</v>
      </c>
      <c r="I476" s="26">
        <f t="shared" ref="I476:I539" si="764">H476*DAY($C476)*86400/43560/1000</f>
        <v>245.95041322314049</v>
      </c>
      <c r="J476" s="24">
        <f t="shared" si="754"/>
        <v>1</v>
      </c>
      <c r="K476" s="26">
        <f>VLOOKUP($C476,COS!$B$8:$H$991,2,FALSE)</f>
        <v>3219.93359375</v>
      </c>
      <c r="L476" s="24">
        <f t="shared" si="741"/>
        <v>1</v>
      </c>
      <c r="M476" s="24">
        <f t="shared" si="742"/>
        <v>0</v>
      </c>
      <c r="N476" s="26">
        <f>VLOOKUP($C476,COS!$B$8:$H$991,5,FALSE)</f>
        <v>1148.61376953125</v>
      </c>
      <c r="O476" s="26">
        <f t="shared" si="757"/>
        <v>70.625507812500004</v>
      </c>
      <c r="P476" s="26">
        <f>VLOOKUP($C476,COS!$B$8:$H$991,6,FALSE)</f>
        <v>2522.65771484375</v>
      </c>
      <c r="Q476" s="26">
        <f t="shared" si="758"/>
        <v>155.1121768465909</v>
      </c>
      <c r="R476" s="26">
        <f>MIN(IF(MONTH($C476)=4,$S$3,IF(MONTH($C476)=5,$S$4,IF(MONTH($C476)=6,$S$5,IF(MONTH($C476)=7,$S$6,"ERROR")))),MAX(VLOOKUP($C476,COS!$B$8:$K$991,10,FALSE)-IF(MONTH($C476)=4,$Y$3,IF(MONTH($C476)=5,$Y$4,IF(MONTH($C476)=6,$Y$5,IF(MONTH($C476)=7,$Y$6,"ERROR")))),0),MAX(VLOOKUP($C476,COS!$B$8:$K$991,9,FALSE)-IF(MONTH($C476)=4,$V$3,IF(MONTH($C476)=5,$V$4,IF(MONTH($C476)=6,$V$5,IF(MONTH($C476)=7,$V$6,"ERROR"))))-VLOOKUP($C476,COS!$B$8:$K$991,6,FALSE)/2,0))</f>
        <v>1500</v>
      </c>
      <c r="S476" s="26">
        <f t="shared" si="759"/>
        <v>92.231404958677686</v>
      </c>
      <c r="T476" s="26">
        <f t="shared" si="760"/>
        <v>205.10024728822316</v>
      </c>
      <c r="U476" s="26" t="str">
        <f>IF(VLOOKUP($C476,COS!$B$8:$I$991,8,FALSE)=1,"UWFE","IBU")</f>
        <v>IBU</v>
      </c>
      <c r="V476" s="26">
        <f t="shared" ref="V476" si="765">MIN(IF(IF($AA$3=2,AND(E476=1,G476=1,L476=1,L478=1,M476=1,U476="IBU"),AND(E476=1,G476=1,L476=1,L478=1,M476=1)),T476,0),I476)</f>
        <v>0</v>
      </c>
      <c r="W476" s="26"/>
      <c r="X476" s="26"/>
      <c r="Y476" s="26"/>
      <c r="Z476" s="26"/>
      <c r="AA476" s="26"/>
      <c r="AB476" s="33"/>
    </row>
    <row r="477" spans="1:28" x14ac:dyDescent="0.3">
      <c r="A477" s="32">
        <f>VLOOKUP(YEAR(C477),Flags!$A$13:$B$95,2,FALSE)</f>
        <v>2</v>
      </c>
      <c r="B477" s="24">
        <f t="shared" si="739"/>
        <v>1973</v>
      </c>
      <c r="C477" s="25">
        <v>26907</v>
      </c>
      <c r="D477" s="26"/>
      <c r="E477" s="24"/>
      <c r="F477" s="26"/>
      <c r="G477" s="24"/>
      <c r="H477" s="24"/>
      <c r="I477" s="26"/>
      <c r="J477" s="24"/>
      <c r="K477" s="26"/>
      <c r="L477" s="24"/>
      <c r="M477" s="24"/>
      <c r="N477" s="26"/>
      <c r="O477" s="26"/>
      <c r="P477" s="26"/>
      <c r="Q477" s="26"/>
      <c r="R477" s="26"/>
      <c r="S477" s="26"/>
      <c r="T477" s="26"/>
      <c r="U477" s="26"/>
      <c r="V477" s="26"/>
      <c r="W477" s="26">
        <f>MAX($C$7-VLOOKUP($C477,COS!$B$8:$H$991,3,FALSE),0)</f>
        <v>3232.0947265625</v>
      </c>
      <c r="X477" s="26">
        <f t="shared" si="667"/>
        <v>198.73375839359505</v>
      </c>
      <c r="Y477" s="26">
        <f>VLOOKUP($C477,COS!$B$8:$H$991,4,FALSE)</f>
        <v>266.08578491210938</v>
      </c>
      <c r="Z477" s="26">
        <f t="shared" si="668"/>
        <v>16.360977187984247</v>
      </c>
      <c r="AA477" s="26">
        <f t="shared" ref="AA477:AA481" si="766">MIN(W477,Y477)</f>
        <v>266.08578491210938</v>
      </c>
      <c r="AB477" s="33">
        <f t="shared" ref="AB477" si="767">AA477*DAY($C477)*86400/43560/1000*IF(MONTH($C477)=8,$P$3,IF(MONTH($C477)=9,$P$4,IF(MONTH($C477)=10,$P$5,IF(MONTH($C477)=11,$P$6,IF(MONTH($C477)=12,$P$7,NA())))))</f>
        <v>16.360977187984247</v>
      </c>
    </row>
    <row r="478" spans="1:28" x14ac:dyDescent="0.3">
      <c r="A478" s="32">
        <f>VLOOKUP(YEAR(C478),Flags!$A$13:$B$95,2,FALSE)</f>
        <v>2</v>
      </c>
      <c r="B478" s="24">
        <f t="shared" si="739"/>
        <v>1973</v>
      </c>
      <c r="C478" s="25">
        <v>26937</v>
      </c>
      <c r="D478" s="26"/>
      <c r="E478" s="24"/>
      <c r="F478" s="26"/>
      <c r="G478" s="24"/>
      <c r="H478" s="24"/>
      <c r="I478" s="26"/>
      <c r="J478" s="24"/>
      <c r="K478" s="26">
        <f>VLOOKUP($C478,COS!$B$8:$H$991,2,FALSE)</f>
        <v>2805.609619140625</v>
      </c>
      <c r="L478" s="24">
        <f t="shared" ref="L478" si="768">IF(AND(K478&gt;$I$7,K478&lt;$I$8),1,0)</f>
        <v>1</v>
      </c>
      <c r="M478" s="24"/>
      <c r="N478" s="26"/>
      <c r="O478" s="26"/>
      <c r="P478" s="26"/>
      <c r="Q478" s="26"/>
      <c r="R478" s="26"/>
      <c r="S478" s="26"/>
      <c r="T478" s="26"/>
      <c r="U478" s="26"/>
      <c r="V478" s="26"/>
      <c r="W478" s="26">
        <f>MAX($C$8-VLOOKUP($C478,COS!$B$8:$H$991,3,FALSE),0)</f>
        <v>0</v>
      </c>
      <c r="X478" s="26">
        <f t="shared" si="667"/>
        <v>0</v>
      </c>
      <c r="Y478" s="26">
        <f>VLOOKUP($C478,COS!$B$8:$H$991,4,FALSE)</f>
        <v>632.89453125</v>
      </c>
      <c r="Z478" s="26">
        <f t="shared" si="668"/>
        <v>37.659839876033061</v>
      </c>
      <c r="AA478" s="26">
        <f t="shared" si="766"/>
        <v>0</v>
      </c>
      <c r="AB478" s="33">
        <f t="shared" si="752"/>
        <v>0</v>
      </c>
    </row>
    <row r="479" spans="1:28" x14ac:dyDescent="0.3">
      <c r="A479" s="32">
        <f>VLOOKUP(YEAR(C479),Flags!$A$13:$B$95,2,FALSE)</f>
        <v>2</v>
      </c>
      <c r="B479" s="24">
        <f t="shared" si="739"/>
        <v>1973</v>
      </c>
      <c r="C479" s="25">
        <v>26968</v>
      </c>
      <c r="D479" s="26"/>
      <c r="E479" s="24"/>
      <c r="F479" s="26"/>
      <c r="G479" s="26"/>
      <c r="H479" s="26"/>
      <c r="I479" s="26"/>
      <c r="J479" s="26"/>
      <c r="K479" s="26"/>
      <c r="L479" s="24"/>
      <c r="M479" s="24"/>
      <c r="N479" s="26"/>
      <c r="O479" s="26"/>
      <c r="P479" s="26"/>
      <c r="Q479" s="26"/>
      <c r="R479" s="26"/>
      <c r="S479" s="26"/>
      <c r="T479" s="26"/>
      <c r="U479" s="26"/>
      <c r="V479" s="26"/>
      <c r="W479" s="26">
        <f>MAX($C$9-VLOOKUP($C479,COS!$B$8:$H$991,3,FALSE),0)</f>
        <v>0</v>
      </c>
      <c r="X479" s="26">
        <f t="shared" ref="X479:X542" si="769">W479*DAY($C479)*86400/43560/1000</f>
        <v>0</v>
      </c>
      <c r="Y479" s="26">
        <f>VLOOKUP($C479,COS!$B$8:$H$991,4,FALSE)</f>
        <v>827.64825439453125</v>
      </c>
      <c r="Z479" s="26">
        <f t="shared" ref="Z479:Z542" si="770">Y479*DAY($C479)*86400/43560/1000</f>
        <v>50.890107542936462</v>
      </c>
      <c r="AA479" s="26">
        <f t="shared" si="766"/>
        <v>0</v>
      </c>
      <c r="AB479" s="33">
        <f t="shared" si="752"/>
        <v>0</v>
      </c>
    </row>
    <row r="480" spans="1:28" x14ac:dyDescent="0.3">
      <c r="A480" s="32">
        <f>VLOOKUP(YEAR(C480),Flags!$A$13:$B$95,2,FALSE)</f>
        <v>2</v>
      </c>
      <c r="B480" s="24">
        <f t="shared" si="739"/>
        <v>1973</v>
      </c>
      <c r="C480" s="25">
        <v>26998</v>
      </c>
      <c r="D480" s="26"/>
      <c r="E480" s="24"/>
      <c r="F480" s="26"/>
      <c r="G480" s="26"/>
      <c r="H480" s="26"/>
      <c r="I480" s="26"/>
      <c r="J480" s="26"/>
      <c r="K480" s="26"/>
      <c r="L480" s="24"/>
      <c r="M480" s="24"/>
      <c r="N480" s="26"/>
      <c r="O480" s="26"/>
      <c r="P480" s="26"/>
      <c r="Q480" s="26"/>
      <c r="R480" s="26"/>
      <c r="S480" s="26"/>
      <c r="T480" s="26"/>
      <c r="U480" s="26"/>
      <c r="V480" s="26"/>
      <c r="W480" s="26">
        <f>MAX($C$10-VLOOKUP($C480,COS!$B$8:$H$991,3,FALSE),0)</f>
        <v>0</v>
      </c>
      <c r="X480" s="26">
        <f t="shared" si="769"/>
        <v>0</v>
      </c>
      <c r="Y480" s="26">
        <f>VLOOKUP($C480,COS!$B$8:$H$991,4,FALSE)</f>
        <v>0</v>
      </c>
      <c r="Z480" s="26">
        <f t="shared" si="770"/>
        <v>0</v>
      </c>
      <c r="AA480" s="26">
        <f t="shared" si="766"/>
        <v>0</v>
      </c>
      <c r="AB480" s="33">
        <f t="shared" si="752"/>
        <v>0</v>
      </c>
    </row>
    <row r="481" spans="1:28" x14ac:dyDescent="0.3">
      <c r="A481" s="34">
        <f>VLOOKUP(YEAR(C481),Flags!$A$13:$B$95,2,FALSE)</f>
        <v>2</v>
      </c>
      <c r="B481" s="35">
        <f t="shared" si="739"/>
        <v>1973</v>
      </c>
      <c r="C481" s="36">
        <v>27029</v>
      </c>
      <c r="D481" s="37"/>
      <c r="E481" s="35"/>
      <c r="F481" s="37"/>
      <c r="G481" s="37"/>
      <c r="H481" s="37"/>
      <c r="I481" s="37"/>
      <c r="J481" s="37"/>
      <c r="K481" s="37"/>
      <c r="L481" s="35"/>
      <c r="M481" s="35"/>
      <c r="N481" s="37"/>
      <c r="O481" s="37"/>
      <c r="P481" s="37"/>
      <c r="Q481" s="37"/>
      <c r="R481" s="37"/>
      <c r="S481" s="37"/>
      <c r="T481" s="37"/>
      <c r="U481" s="37"/>
      <c r="V481" s="37"/>
      <c r="W481" s="37">
        <f>MAX($C$11-VLOOKUP($C481,COS!$B$8:$H$991,3,FALSE),0)</f>
        <v>0</v>
      </c>
      <c r="X481" s="37">
        <f t="shared" si="769"/>
        <v>0</v>
      </c>
      <c r="Y481" s="37">
        <f>VLOOKUP($C481,COS!$B$8:$H$991,4,FALSE)</f>
        <v>0</v>
      </c>
      <c r="Z481" s="37">
        <f t="shared" si="770"/>
        <v>0</v>
      </c>
      <c r="AA481" s="37">
        <f t="shared" si="766"/>
        <v>0</v>
      </c>
      <c r="AB481" s="38">
        <f t="shared" si="752"/>
        <v>0</v>
      </c>
    </row>
    <row r="482" spans="1:28" x14ac:dyDescent="0.3">
      <c r="A482" s="27">
        <f>VLOOKUP(YEAR(C482),Flags!$A$13:$B$95,2,FALSE)</f>
        <v>1</v>
      </c>
      <c r="B482" s="28">
        <f t="shared" si="739"/>
        <v>1974</v>
      </c>
      <c r="C482" s="29">
        <v>27149</v>
      </c>
      <c r="D482" s="30">
        <f>VLOOKUP($C482,COS!$B$8:$H$991,3,FALSE)</f>
        <v>5857.21484375</v>
      </c>
      <c r="E482" s="28">
        <f>IF(D482&gt;=IF(MONTH($C482)=4,$C$3,IF(MONTH($C482)=5,$C$4,IF(MONTH($C482)=6,$C$5,IF(MONTH($C482)=7,$C$6,"ERROR")))),1,0)</f>
        <v>0</v>
      </c>
      <c r="F482" s="30">
        <f>VLOOKUP($C482,COS!$B$8:$H$991,7,FALSE)</f>
        <v>48.415458679199219</v>
      </c>
      <c r="G482" s="28">
        <f>IF(F482&lt;=IF(MONTH($C482)=4,$F$3,IF(MONTH($C482)=5,$F$4,IF(MONTH($C482)=6,$F$5,IF(MONTH($C482)=7,$F$6,"ERROR")))),1,0)</f>
        <v>1</v>
      </c>
      <c r="H482" s="30">
        <f>IF(J482=1,D482-$C$3,0)</f>
        <v>0</v>
      </c>
      <c r="I482" s="30">
        <f t="shared" si="764"/>
        <v>0</v>
      </c>
      <c r="J482" s="28">
        <f t="shared" ref="J482:J485" si="771">IF(AND(E482=1,G482=1),1,0)</f>
        <v>0</v>
      </c>
      <c r="K482" s="30">
        <f>VLOOKUP($C482,COS!$B$8:$H$991,2,FALSE)</f>
        <v>4289</v>
      </c>
      <c r="L482" s="28">
        <f t="shared" ref="L482" si="772">IF(K482&lt;=IF(MONTH($C482)=4,$I$3,IF(MONTH($C482)=5,$I$4,IF(MONTH($C482)=6,$I$5,IF(MONTH($C482)=7,$I$6,"ERROR")))),1,0)</f>
        <v>1</v>
      </c>
      <c r="M482" s="28">
        <f t="shared" ref="M482" si="773">VLOOKUP($A482,$L$3:$M$7,2,FALSE)</f>
        <v>0</v>
      </c>
      <c r="N482" s="30">
        <f>VLOOKUP($C482,COS!$B$8:$H$991,5,FALSE)</f>
        <v>44.716442108154297</v>
      </c>
      <c r="O482" s="30">
        <f t="shared" ref="O482:O485" si="774">N482*DAY($C482)*86400/43560/1000</f>
        <v>2.6608130841215778</v>
      </c>
      <c r="P482" s="30">
        <f>VLOOKUP($C482,COS!$B$8:$H$991,6,FALSE)</f>
        <v>403.17050170898438</v>
      </c>
      <c r="Q482" s="30">
        <f t="shared" ref="Q482:Q485" si="775">P482*DAY($C482)*86400/43560/1000</f>
        <v>23.990310845493283</v>
      </c>
      <c r="R482" s="30">
        <f>MIN(IF(MONTH($C482)=4,$S$3,IF(MONTH($C482)=5,$S$4,IF(MONTH($C482)=6,$S$5,IF(MONTH($C482)=7,$S$6,"ERROR")))),MAX(VLOOKUP($C482,COS!$B$8:$K$991,10,FALSE)-IF(MONTH($C482)=4,$Y$3,IF(MONTH($C482)=5,$Y$4,IF(MONTH($C482)=6,$Y$5,IF(MONTH($C482)=7,$Y$6,"ERROR")))),0),MAX(VLOOKUP($C482,COS!$B$8:$K$991,9,FALSE)-IF(MONTH($C482)=4,$V$3,IF(MONTH($C482)=5,$V$4,IF(MONTH($C482)=6,$V$5,IF(MONTH($C482)=7,$V$6,"ERROR"))))-VLOOKUP($C482,COS!$B$8:$K$991,6,FALSE)/2,0))</f>
        <v>1500</v>
      </c>
      <c r="S482" s="30">
        <f t="shared" ref="S482:S485" si="776">R482*DAY($C482)*86400/43560/1000</f>
        <v>89.256198347107429</v>
      </c>
      <c r="T482" s="30">
        <f t="shared" ref="T482:T485" si="777">(O482+Q482)/2+S482</f>
        <v>102.58176031191486</v>
      </c>
      <c r="U482" s="30" t="str">
        <f>IF(VLOOKUP($C482,COS!$B$8:$I$991,8,FALSE)=1,"UWFE","IBU")</f>
        <v>UWFE</v>
      </c>
      <c r="V482" s="30">
        <f t="shared" ref="V482" si="778">MIN(IF(IF($AA$3=2,AND(E482=1,G482=1,L482=1,L487=1,M482=1,U482="IBU"),AND(E482=1,G482=1,L482=1,L487=1,M482=1)),T482,0),I482)</f>
        <v>0</v>
      </c>
      <c r="W482" s="30"/>
      <c r="X482" s="30"/>
      <c r="Y482" s="30"/>
      <c r="Z482" s="30"/>
      <c r="AA482" s="30"/>
      <c r="AB482" s="31"/>
    </row>
    <row r="483" spans="1:28" x14ac:dyDescent="0.3">
      <c r="A483" s="32">
        <f>VLOOKUP(YEAR(C483),Flags!$A$13:$B$95,2,FALSE)</f>
        <v>1</v>
      </c>
      <c r="B483" s="24">
        <f t="shared" si="739"/>
        <v>1974</v>
      </c>
      <c r="C483" s="25">
        <v>27180</v>
      </c>
      <c r="D483" s="26">
        <f>VLOOKUP($C483,COS!$B$8:$H$991,3,FALSE)</f>
        <v>5594.63427734375</v>
      </c>
      <c r="E483" s="24">
        <f>IF(D483&gt;=IF(MONTH($C483)=4,$C$3,IF(MONTH($C483)=5,$C$4,IF(MONTH($C483)=6,$C$5,IF(MONTH($C483)=7,$C$6,"ERROR")))),1,0)</f>
        <v>0</v>
      </c>
      <c r="F483" s="26">
        <f>VLOOKUP($C483,COS!$B$8:$H$991,7,FALSE)</f>
        <v>50.93426513671875</v>
      </c>
      <c r="G483" s="24">
        <f>IF(F483&lt;=IF(MONTH($C483)=4,$F$3,IF(MONTH($C483)=5,$F$4,IF(MONTH($C483)=6,$F$5,IF(MONTH($C483)=7,$F$6,"ERROR")))),1,0)</f>
        <v>1</v>
      </c>
      <c r="H483" s="26">
        <f>IF(J483=1,D483-$C$4,0)</f>
        <v>0</v>
      </c>
      <c r="I483" s="26">
        <f t="shared" si="764"/>
        <v>0</v>
      </c>
      <c r="J483" s="24">
        <f t="shared" si="771"/>
        <v>0</v>
      </c>
      <c r="K483" s="26">
        <f>VLOOKUP($C483,COS!$B$8:$H$991,2,FALSE)</f>
        <v>4515.02880859375</v>
      </c>
      <c r="L483" s="24">
        <f t="shared" si="741"/>
        <v>1</v>
      </c>
      <c r="M483" s="24">
        <f t="shared" si="742"/>
        <v>0</v>
      </c>
      <c r="N483" s="26">
        <f>VLOOKUP($C483,COS!$B$8:$H$991,5,FALSE)</f>
        <v>762.792724609375</v>
      </c>
      <c r="O483" s="26">
        <f t="shared" si="774"/>
        <v>46.902296455320247</v>
      </c>
      <c r="P483" s="26">
        <f>VLOOKUP($C483,COS!$B$8:$H$991,6,FALSE)</f>
        <v>2255.40283203125</v>
      </c>
      <c r="Q483" s="26">
        <f t="shared" si="775"/>
        <v>138.67931463068183</v>
      </c>
      <c r="R483" s="26">
        <f>MIN(IF(MONTH($C483)=4,$S$3,IF(MONTH($C483)=5,$S$4,IF(MONTH($C483)=6,$S$5,IF(MONTH($C483)=7,$S$6,"ERROR")))),MAX(VLOOKUP($C483,COS!$B$8:$K$991,10,FALSE)-IF(MONTH($C483)=4,$Y$3,IF(MONTH($C483)=5,$Y$4,IF(MONTH($C483)=6,$Y$5,IF(MONTH($C483)=7,$Y$6,"ERROR")))),0),MAX(VLOOKUP($C483,COS!$B$8:$K$991,9,FALSE)-IF(MONTH($C483)=4,$V$3,IF(MONTH($C483)=5,$V$4,IF(MONTH($C483)=6,$V$5,IF(MONTH($C483)=7,$V$6,"ERROR"))))-VLOOKUP($C483,COS!$B$8:$K$991,6,FALSE)/2,0))</f>
        <v>1500</v>
      </c>
      <c r="S483" s="26">
        <f t="shared" si="776"/>
        <v>92.231404958677686</v>
      </c>
      <c r="T483" s="26">
        <f t="shared" si="777"/>
        <v>185.02221050167873</v>
      </c>
      <c r="U483" s="26" t="str">
        <f>IF(VLOOKUP($C483,COS!$B$8:$I$991,8,FALSE)=1,"UWFE","IBU")</f>
        <v>UWFE</v>
      </c>
      <c r="V483" s="26">
        <f t="shared" ref="V483" si="779">MIN(IF(IF($AA$3=2,AND(E483=1,G483=1,L483=1,L487=1,M483=1,U483="IBU"),AND(E483=1,G483=1,L483=1,L487=1,M483=1)),T483,0),I483)</f>
        <v>0</v>
      </c>
      <c r="W483" s="26"/>
      <c r="X483" s="26"/>
      <c r="Y483" s="26"/>
      <c r="Z483" s="26"/>
      <c r="AA483" s="26"/>
      <c r="AB483" s="33"/>
    </row>
    <row r="484" spans="1:28" x14ac:dyDescent="0.3">
      <c r="A484" s="32">
        <f>VLOOKUP(YEAR(C484),Flags!$A$13:$B$95,2,FALSE)</f>
        <v>1</v>
      </c>
      <c r="B484" s="24">
        <f t="shared" si="739"/>
        <v>1974</v>
      </c>
      <c r="C484" s="25">
        <v>27210</v>
      </c>
      <c r="D484" s="26">
        <f>VLOOKUP($C484,COS!$B$8:$H$991,3,FALSE)</f>
        <v>8124.50732421875</v>
      </c>
      <c r="E484" s="24">
        <f>IF(D484&gt;=IF(MONTH($C484)=4,$C$3,IF(MONTH($C484)=5,$C$4,IF(MONTH($C484)=6,$C$5,IF(MONTH($C484)=7,$C$6,"ERROR")))),1,0)</f>
        <v>0</v>
      </c>
      <c r="F484" s="26">
        <f>VLOOKUP($C484,COS!$B$8:$H$991,7,FALSE)</f>
        <v>51.255088806152344</v>
      </c>
      <c r="G484" s="24">
        <f>IF(F484&lt;=IF(MONTH($C484)=4,$F$3,IF(MONTH($C484)=5,$F$4,IF(MONTH($C484)=6,$F$5,IF(MONTH($C484)=7,$F$6,"ERROR")))),1,0)</f>
        <v>1</v>
      </c>
      <c r="H484" s="26">
        <f>IF(J484=1,D484-$C$5,0)</f>
        <v>0</v>
      </c>
      <c r="I484" s="26">
        <f t="shared" si="764"/>
        <v>0</v>
      </c>
      <c r="J484" s="24">
        <f t="shared" si="771"/>
        <v>0</v>
      </c>
      <c r="K484" s="26">
        <f>VLOOKUP($C484,COS!$B$8:$H$991,2,FALSE)</f>
        <v>4359.88232421875</v>
      </c>
      <c r="L484" s="24">
        <f t="shared" si="741"/>
        <v>1</v>
      </c>
      <c r="M484" s="24">
        <f t="shared" si="742"/>
        <v>0</v>
      </c>
      <c r="N484" s="26">
        <f>VLOOKUP($C484,COS!$B$8:$H$991,5,FALSE)</f>
        <v>1221.2120361328125</v>
      </c>
      <c r="O484" s="26">
        <f t="shared" si="774"/>
        <v>72.667162480630168</v>
      </c>
      <c r="P484" s="26">
        <f>VLOOKUP($C484,COS!$B$8:$H$991,6,FALSE)</f>
        <v>2328.534912109375</v>
      </c>
      <c r="Q484" s="26">
        <f t="shared" si="775"/>
        <v>138.55744931559917</v>
      </c>
      <c r="R484" s="26">
        <f>MIN(IF(MONTH($C484)=4,$S$3,IF(MONTH($C484)=5,$S$4,IF(MONTH($C484)=6,$S$5,IF(MONTH($C484)=7,$S$6,"ERROR")))),MAX(VLOOKUP($C484,COS!$B$8:$K$991,10,FALSE)-IF(MONTH($C484)=4,$Y$3,IF(MONTH($C484)=5,$Y$4,IF(MONTH($C484)=6,$Y$5,IF(MONTH($C484)=7,$Y$6,"ERROR")))),0),MAX(VLOOKUP($C484,COS!$B$8:$K$991,9,FALSE)-IF(MONTH($C484)=4,$V$3,IF(MONTH($C484)=5,$V$4,IF(MONTH($C484)=6,$V$5,IF(MONTH($C484)=7,$V$6,"ERROR"))))-VLOOKUP($C484,COS!$B$8:$K$991,6,FALSE)/2,0))</f>
        <v>1500</v>
      </c>
      <c r="S484" s="26">
        <f t="shared" si="776"/>
        <v>89.256198347107429</v>
      </c>
      <c r="T484" s="26">
        <f t="shared" si="777"/>
        <v>194.86850424522208</v>
      </c>
      <c r="U484" s="26" t="str">
        <f>IF(VLOOKUP($C484,COS!$B$8:$I$991,8,FALSE)=1,"UWFE","IBU")</f>
        <v>UWFE</v>
      </c>
      <c r="V484" s="26">
        <f t="shared" ref="V484" si="780">MIN(IF(IF($AA$3=2,AND(E484=1,G484=1,L484=1,L487=1,M484=1,U484="IBU"),AND(E484=1,G484=1,L484=1,L487=1,M484=1)),T484,0),I484)</f>
        <v>0</v>
      </c>
      <c r="W484" s="26"/>
      <c r="X484" s="26"/>
      <c r="Y484" s="26"/>
      <c r="Z484" s="26"/>
      <c r="AA484" s="26"/>
      <c r="AB484" s="33"/>
    </row>
    <row r="485" spans="1:28" x14ac:dyDescent="0.3">
      <c r="A485" s="32">
        <f>VLOOKUP(YEAR(C485),Flags!$A$13:$B$95,2,FALSE)</f>
        <v>1</v>
      </c>
      <c r="B485" s="24">
        <f t="shared" si="739"/>
        <v>1974</v>
      </c>
      <c r="C485" s="25">
        <v>27241</v>
      </c>
      <c r="D485" s="26">
        <f>VLOOKUP($C485,COS!$B$8:$H$991,3,FALSE)</f>
        <v>12602.3798828125</v>
      </c>
      <c r="E485" s="24">
        <f>IF(D485&gt;=IF(MONTH($C485)=4,$C$3,IF(MONTH($C485)=5,$C$4,IF(MONTH($C485)=6,$C$5,IF(MONTH($C485)=7,$C$6,"ERROR")))),1,0)</f>
        <v>1</v>
      </c>
      <c r="F485" s="26">
        <f>VLOOKUP($C485,COS!$B$8:$H$991,7,FALSE)</f>
        <v>51.680782318115234</v>
      </c>
      <c r="G485" s="24">
        <f>IF(F485&lt;=IF(MONTH($C485)=4,$F$3,IF(MONTH($C485)=5,$F$4,IF(MONTH($C485)=6,$F$5,IF(MONTH($C485)=7,$F$6,"ERROR")))),1,0)</f>
        <v>1</v>
      </c>
      <c r="H485" s="26">
        <f>IF(J485=1,D485-$C$6,0)</f>
        <v>602.3798828125</v>
      </c>
      <c r="I485" s="26">
        <f t="shared" si="764"/>
        <v>37.038895273760332</v>
      </c>
      <c r="J485" s="24">
        <f t="shared" si="771"/>
        <v>1</v>
      </c>
      <c r="K485" s="26">
        <f>VLOOKUP($C485,COS!$B$8:$H$991,2,FALSE)</f>
        <v>3927.6494140625</v>
      </c>
      <c r="L485" s="24">
        <f t="shared" si="741"/>
        <v>1</v>
      </c>
      <c r="M485" s="24">
        <f t="shared" si="742"/>
        <v>0</v>
      </c>
      <c r="N485" s="26">
        <f>VLOOKUP($C485,COS!$B$8:$H$991,5,FALSE)</f>
        <v>1157.809326171875</v>
      </c>
      <c r="O485" s="26">
        <f t="shared" si="774"/>
        <v>71.190920551394626</v>
      </c>
      <c r="P485" s="26">
        <f>VLOOKUP($C485,COS!$B$8:$H$991,6,FALSE)</f>
        <v>2265.91064453125</v>
      </c>
      <c r="Q485" s="26">
        <f t="shared" si="775"/>
        <v>139.32541483729338</v>
      </c>
      <c r="R485" s="26">
        <f>MIN(IF(MONTH($C485)=4,$S$3,IF(MONTH($C485)=5,$S$4,IF(MONTH($C485)=6,$S$5,IF(MONTH($C485)=7,$S$6,"ERROR")))),MAX(VLOOKUP($C485,COS!$B$8:$K$991,10,FALSE)-IF(MONTH($C485)=4,$Y$3,IF(MONTH($C485)=5,$Y$4,IF(MONTH($C485)=6,$Y$5,IF(MONTH($C485)=7,$Y$6,"ERROR")))),0),MAX(VLOOKUP($C485,COS!$B$8:$K$991,9,FALSE)-IF(MONTH($C485)=4,$V$3,IF(MONTH($C485)=5,$V$4,IF(MONTH($C485)=6,$V$5,IF(MONTH($C485)=7,$V$6,"ERROR"))))-VLOOKUP($C485,COS!$B$8:$K$991,6,FALSE)/2,0))</f>
        <v>1500</v>
      </c>
      <c r="S485" s="26">
        <f t="shared" si="776"/>
        <v>92.231404958677686</v>
      </c>
      <c r="T485" s="26">
        <f t="shared" si="777"/>
        <v>197.4895726530217</v>
      </c>
      <c r="U485" s="26" t="str">
        <f>IF(VLOOKUP($C485,COS!$B$8:$I$991,8,FALSE)=1,"UWFE","IBU")</f>
        <v>IBU</v>
      </c>
      <c r="V485" s="26">
        <f t="shared" ref="V485" si="781">MIN(IF(IF($AA$3=2,AND(E485=1,G485=1,L485=1,L487=1,M485=1,U485="IBU"),AND(E485=1,G485=1,L485=1,L487=1,M485=1)),T485,0),I485)</f>
        <v>0</v>
      </c>
      <c r="W485" s="26"/>
      <c r="X485" s="26"/>
      <c r="Y485" s="26"/>
      <c r="Z485" s="26"/>
      <c r="AA485" s="26"/>
      <c r="AB485" s="33"/>
    </row>
    <row r="486" spans="1:28" x14ac:dyDescent="0.3">
      <c r="A486" s="32">
        <f>VLOOKUP(YEAR(C486),Flags!$A$13:$B$95,2,FALSE)</f>
        <v>1</v>
      </c>
      <c r="B486" s="24">
        <f t="shared" si="739"/>
        <v>1974</v>
      </c>
      <c r="C486" s="25">
        <v>27272</v>
      </c>
      <c r="D486" s="26"/>
      <c r="E486" s="24"/>
      <c r="F486" s="26"/>
      <c r="G486" s="24"/>
      <c r="H486" s="24"/>
      <c r="I486" s="26"/>
      <c r="J486" s="24"/>
      <c r="K486" s="26"/>
      <c r="L486" s="24"/>
      <c r="M486" s="24"/>
      <c r="N486" s="26"/>
      <c r="O486" s="26"/>
      <c r="P486" s="26"/>
      <c r="Q486" s="26"/>
      <c r="R486" s="26"/>
      <c r="S486" s="26"/>
      <c r="T486" s="26"/>
      <c r="U486" s="26"/>
      <c r="V486" s="26"/>
      <c r="W486" s="26">
        <f>MAX($C$7-VLOOKUP($C486,COS!$B$8:$H$991,3,FALSE),0)</f>
        <v>2404.6591796875</v>
      </c>
      <c r="X486" s="26">
        <f t="shared" si="769"/>
        <v>147.85672972623965</v>
      </c>
      <c r="Y486" s="26">
        <f>VLOOKUP($C486,COS!$B$8:$H$991,4,FALSE)</f>
        <v>0</v>
      </c>
      <c r="Z486" s="26">
        <f t="shared" si="770"/>
        <v>0</v>
      </c>
      <c r="AA486" s="26">
        <f t="shared" ref="AA486:AA490" si="782">MIN(W486,Y486)</f>
        <v>0</v>
      </c>
      <c r="AB486" s="33">
        <f t="shared" ref="AB486" si="783">AA486*DAY($C486)*86400/43560/1000*IF(MONTH($C486)=8,$P$3,IF(MONTH($C486)=9,$P$4,IF(MONTH($C486)=10,$P$5,IF(MONTH($C486)=11,$P$6,IF(MONTH($C486)=12,$P$7,NA())))))</f>
        <v>0</v>
      </c>
    </row>
    <row r="487" spans="1:28" x14ac:dyDescent="0.3">
      <c r="A487" s="32">
        <f>VLOOKUP(YEAR(C487),Flags!$A$13:$B$95,2,FALSE)</f>
        <v>1</v>
      </c>
      <c r="B487" s="24">
        <f t="shared" si="739"/>
        <v>1974</v>
      </c>
      <c r="C487" s="25">
        <v>27302</v>
      </c>
      <c r="D487" s="26"/>
      <c r="E487" s="24"/>
      <c r="F487" s="26"/>
      <c r="G487" s="24"/>
      <c r="H487" s="24"/>
      <c r="I487" s="26"/>
      <c r="J487" s="24"/>
      <c r="K487" s="26">
        <f>VLOOKUP($C487,COS!$B$8:$H$991,2,FALSE)</f>
        <v>3201.753173828125</v>
      </c>
      <c r="L487" s="24">
        <f t="shared" ref="L487" si="784">IF(AND(K487&gt;$I$7,K487&lt;$I$8),1,0)</f>
        <v>1</v>
      </c>
      <c r="M487" s="24"/>
      <c r="N487" s="26"/>
      <c r="O487" s="26"/>
      <c r="P487" s="26"/>
      <c r="Q487" s="26"/>
      <c r="R487" s="26"/>
      <c r="S487" s="26"/>
      <c r="T487" s="26"/>
      <c r="U487" s="26"/>
      <c r="V487" s="26"/>
      <c r="W487" s="26">
        <f>MAX($C$8-VLOOKUP($C487,COS!$B$8:$H$991,3,FALSE),0)</f>
        <v>0</v>
      </c>
      <c r="X487" s="26">
        <f t="shared" si="769"/>
        <v>0</v>
      </c>
      <c r="Y487" s="26">
        <f>VLOOKUP($C487,COS!$B$8:$H$991,4,FALSE)</f>
        <v>0</v>
      </c>
      <c r="Z487" s="26">
        <f t="shared" si="770"/>
        <v>0</v>
      </c>
      <c r="AA487" s="26">
        <f t="shared" si="782"/>
        <v>0</v>
      </c>
      <c r="AB487" s="33">
        <f t="shared" si="752"/>
        <v>0</v>
      </c>
    </row>
    <row r="488" spans="1:28" x14ac:dyDescent="0.3">
      <c r="A488" s="32">
        <f>VLOOKUP(YEAR(C488),Flags!$A$13:$B$95,2,FALSE)</f>
        <v>1</v>
      </c>
      <c r="B488" s="24">
        <f t="shared" si="739"/>
        <v>1974</v>
      </c>
      <c r="C488" s="25">
        <v>27333</v>
      </c>
      <c r="D488" s="26"/>
      <c r="E488" s="24"/>
      <c r="F488" s="26"/>
      <c r="G488" s="26"/>
      <c r="H488" s="26"/>
      <c r="I488" s="26"/>
      <c r="J488" s="26"/>
      <c r="K488" s="26"/>
      <c r="L488" s="24"/>
      <c r="M488" s="24"/>
      <c r="N488" s="26"/>
      <c r="O488" s="26"/>
      <c r="P488" s="26"/>
      <c r="Q488" s="26"/>
      <c r="R488" s="26"/>
      <c r="S488" s="26"/>
      <c r="T488" s="26"/>
      <c r="U488" s="26"/>
      <c r="V488" s="26"/>
      <c r="W488" s="26">
        <f>MAX($C$9-VLOOKUP($C488,COS!$B$8:$H$991,3,FALSE),0)</f>
        <v>0</v>
      </c>
      <c r="X488" s="26">
        <f t="shared" si="769"/>
        <v>0</v>
      </c>
      <c r="Y488" s="26">
        <f>VLOOKUP($C488,COS!$B$8:$H$991,4,FALSE)</f>
        <v>1233.3179931640625</v>
      </c>
      <c r="Z488" s="26">
        <f t="shared" si="770"/>
        <v>75.833767513558882</v>
      </c>
      <c r="AA488" s="26">
        <f t="shared" si="782"/>
        <v>0</v>
      </c>
      <c r="AB488" s="33">
        <f t="shared" si="752"/>
        <v>0</v>
      </c>
    </row>
    <row r="489" spans="1:28" x14ac:dyDescent="0.3">
      <c r="A489" s="32">
        <f>VLOOKUP(YEAR(C489),Flags!$A$13:$B$95,2,FALSE)</f>
        <v>1</v>
      </c>
      <c r="B489" s="24">
        <f t="shared" si="739"/>
        <v>1974</v>
      </c>
      <c r="C489" s="25">
        <v>27363</v>
      </c>
      <c r="D489" s="26"/>
      <c r="E489" s="24"/>
      <c r="F489" s="26"/>
      <c r="G489" s="26"/>
      <c r="H489" s="26"/>
      <c r="I489" s="26"/>
      <c r="J489" s="26"/>
      <c r="K489" s="26"/>
      <c r="L489" s="24"/>
      <c r="M489" s="24"/>
      <c r="N489" s="26"/>
      <c r="O489" s="26"/>
      <c r="P489" s="26"/>
      <c r="Q489" s="26"/>
      <c r="R489" s="26"/>
      <c r="S489" s="26"/>
      <c r="T489" s="26"/>
      <c r="U489" s="26"/>
      <c r="V489" s="26"/>
      <c r="W489" s="26">
        <f>MAX($C$10-VLOOKUP($C489,COS!$B$8:$H$991,3,FALSE),0)</f>
        <v>0</v>
      </c>
      <c r="X489" s="26">
        <f t="shared" si="769"/>
        <v>0</v>
      </c>
      <c r="Y489" s="26">
        <f>VLOOKUP($C489,COS!$B$8:$H$991,4,FALSE)</f>
        <v>1391.8277587890625</v>
      </c>
      <c r="Z489" s="26">
        <f t="shared" si="770"/>
        <v>82.819503002324367</v>
      </c>
      <c r="AA489" s="26">
        <f t="shared" si="782"/>
        <v>0</v>
      </c>
      <c r="AB489" s="33">
        <f t="shared" si="752"/>
        <v>0</v>
      </c>
    </row>
    <row r="490" spans="1:28" x14ac:dyDescent="0.3">
      <c r="A490" s="34">
        <f>VLOOKUP(YEAR(C490),Flags!$A$13:$B$95,2,FALSE)</f>
        <v>1</v>
      </c>
      <c r="B490" s="35">
        <f t="shared" si="739"/>
        <v>1974</v>
      </c>
      <c r="C490" s="36">
        <v>27394</v>
      </c>
      <c r="D490" s="37"/>
      <c r="E490" s="35"/>
      <c r="F490" s="37"/>
      <c r="G490" s="37"/>
      <c r="H490" s="37"/>
      <c r="I490" s="37"/>
      <c r="J490" s="37"/>
      <c r="K490" s="37"/>
      <c r="L490" s="35"/>
      <c r="M490" s="35"/>
      <c r="N490" s="37"/>
      <c r="O490" s="37"/>
      <c r="P490" s="37"/>
      <c r="Q490" s="37"/>
      <c r="R490" s="37"/>
      <c r="S490" s="37"/>
      <c r="T490" s="37"/>
      <c r="U490" s="37"/>
      <c r="V490" s="37"/>
      <c r="W490" s="37">
        <f>MAX($C$11-VLOOKUP($C490,COS!$B$8:$H$991,3,FALSE),0)</f>
        <v>1750</v>
      </c>
      <c r="X490" s="37">
        <f t="shared" si="769"/>
        <v>107.60330578512398</v>
      </c>
      <c r="Y490" s="37">
        <f>VLOOKUP($C490,COS!$B$8:$H$991,4,FALSE)</f>
        <v>0</v>
      </c>
      <c r="Z490" s="37">
        <f t="shared" si="770"/>
        <v>0</v>
      </c>
      <c r="AA490" s="37">
        <f t="shared" si="782"/>
        <v>0</v>
      </c>
      <c r="AB490" s="38">
        <f t="shared" si="752"/>
        <v>0</v>
      </c>
    </row>
    <row r="491" spans="1:28" x14ac:dyDescent="0.3">
      <c r="A491" s="27">
        <f>VLOOKUP(YEAR(C491),Flags!$A$13:$B$95,2,FALSE)</f>
        <v>1</v>
      </c>
      <c r="B491" s="28">
        <f t="shared" si="739"/>
        <v>1975</v>
      </c>
      <c r="C491" s="29">
        <v>27514</v>
      </c>
      <c r="D491" s="30">
        <f>VLOOKUP($C491,COS!$B$8:$H$991,3,FALSE)</f>
        <v>3250</v>
      </c>
      <c r="E491" s="28">
        <f>IF(D491&gt;=IF(MONTH($C491)=4,$C$3,IF(MONTH($C491)=5,$C$4,IF(MONTH($C491)=6,$C$5,IF(MONTH($C491)=7,$C$6,"ERROR")))),1,0)</f>
        <v>0</v>
      </c>
      <c r="F491" s="30">
        <f>VLOOKUP($C491,COS!$B$8:$H$991,7,FALSE)</f>
        <v>50.470378875732422</v>
      </c>
      <c r="G491" s="28">
        <f>IF(F491&lt;=IF(MONTH($C491)=4,$F$3,IF(MONTH($C491)=5,$F$4,IF(MONTH($C491)=6,$F$5,IF(MONTH($C491)=7,$F$6,"ERROR")))),1,0)</f>
        <v>1</v>
      </c>
      <c r="H491" s="30">
        <f>IF(J491=1,D491-$C$3,0)</f>
        <v>0</v>
      </c>
      <c r="I491" s="30">
        <f t="shared" si="764"/>
        <v>0</v>
      </c>
      <c r="J491" s="28">
        <f t="shared" ref="J491:J494" si="785">IF(AND(E491=1,G491=1),1,0)</f>
        <v>0</v>
      </c>
      <c r="K491" s="30">
        <f>VLOOKUP($C491,COS!$B$8:$H$991,2,FALSE)</f>
        <v>4449.69873046875</v>
      </c>
      <c r="L491" s="28">
        <f t="shared" ref="L491" si="786">IF(K491&lt;=IF(MONTH($C491)=4,$I$3,IF(MONTH($C491)=5,$I$4,IF(MONTH($C491)=6,$I$5,IF(MONTH($C491)=7,$I$6,"ERROR")))),1,0)</f>
        <v>1</v>
      </c>
      <c r="M491" s="28">
        <f t="shared" ref="M491" si="787">VLOOKUP($A491,$L$3:$M$7,2,FALSE)</f>
        <v>0</v>
      </c>
      <c r="N491" s="30">
        <f>VLOOKUP($C491,COS!$B$8:$H$991,5,FALSE)</f>
        <v>348.71612548828125</v>
      </c>
      <c r="O491" s="30">
        <f t="shared" ref="O491:O494" si="788">N491*DAY($C491)*86400/43560/1000</f>
        <v>20.750050442277892</v>
      </c>
      <c r="P491" s="30">
        <f>VLOOKUP($C491,COS!$B$8:$H$991,6,FALSE)</f>
        <v>422.25656127929688</v>
      </c>
      <c r="Q491" s="30">
        <f t="shared" ref="Q491:Q494" si="789">P491*DAY($C491)*86400/43560/1000</f>
        <v>25.12601025794163</v>
      </c>
      <c r="R491" s="30">
        <f>MIN(IF(MONTH($C491)=4,$S$3,IF(MONTH($C491)=5,$S$4,IF(MONTH($C491)=6,$S$5,IF(MONTH($C491)=7,$S$6,"ERROR")))),MAX(VLOOKUP($C491,COS!$B$8:$K$991,10,FALSE)-IF(MONTH($C491)=4,$Y$3,IF(MONTH($C491)=5,$Y$4,IF(MONTH($C491)=6,$Y$5,IF(MONTH($C491)=7,$Y$6,"ERROR")))),0),MAX(VLOOKUP($C491,COS!$B$8:$K$991,9,FALSE)-IF(MONTH($C491)=4,$V$3,IF(MONTH($C491)=5,$V$4,IF(MONTH($C491)=6,$V$5,IF(MONTH($C491)=7,$V$6,"ERROR"))))-VLOOKUP($C491,COS!$B$8:$K$991,6,FALSE)/2,0))</f>
        <v>1500</v>
      </c>
      <c r="S491" s="30">
        <f t="shared" ref="S491:S494" si="790">R491*DAY($C491)*86400/43560/1000</f>
        <v>89.256198347107429</v>
      </c>
      <c r="T491" s="30">
        <f t="shared" ref="T491:T494" si="791">(O491+Q491)/2+S491</f>
        <v>112.1942286972172</v>
      </c>
      <c r="U491" s="30" t="str">
        <f>IF(VLOOKUP($C491,COS!$B$8:$I$991,8,FALSE)=1,"UWFE","IBU")</f>
        <v>UWFE</v>
      </c>
      <c r="V491" s="30">
        <f t="shared" ref="V491" si="792">MIN(IF(IF($AA$3=2,AND(E491=1,G491=1,L491=1,L496=1,M491=1,U491="IBU"),AND(E491=1,G491=1,L491=1,L496=1,M491=1)),T491,0),I491)</f>
        <v>0</v>
      </c>
      <c r="W491" s="30"/>
      <c r="X491" s="30"/>
      <c r="Y491" s="30"/>
      <c r="Z491" s="30"/>
      <c r="AA491" s="30"/>
      <c r="AB491" s="31"/>
    </row>
    <row r="492" spans="1:28" x14ac:dyDescent="0.3">
      <c r="A492" s="32">
        <f>VLOOKUP(YEAR(C492),Flags!$A$13:$B$95,2,FALSE)</f>
        <v>1</v>
      </c>
      <c r="B492" s="24">
        <f t="shared" si="739"/>
        <v>1975</v>
      </c>
      <c r="C492" s="25">
        <v>27545</v>
      </c>
      <c r="D492" s="26">
        <f>VLOOKUP($C492,COS!$B$8:$H$991,3,FALSE)</f>
        <v>9954.1455078125</v>
      </c>
      <c r="E492" s="24">
        <f>IF(D492&gt;=IF(MONTH($C492)=4,$C$3,IF(MONTH($C492)=5,$C$4,IF(MONTH($C492)=6,$C$5,IF(MONTH($C492)=7,$C$6,"ERROR")))),1,0)</f>
        <v>1</v>
      </c>
      <c r="F492" s="26">
        <f>VLOOKUP($C492,COS!$B$8:$H$991,7,FALSE)</f>
        <v>50.279342651367188</v>
      </c>
      <c r="G492" s="24">
        <f>IF(F492&lt;=IF(MONTH($C492)=4,$F$3,IF(MONTH($C492)=5,$F$4,IF(MONTH($C492)=6,$F$5,IF(MONTH($C492)=7,$F$6,"ERROR")))),1,0)</f>
        <v>1</v>
      </c>
      <c r="H492" s="26">
        <f>IF(J492=1,D492-$C$4,0)</f>
        <v>3954.1455078125</v>
      </c>
      <c r="I492" s="26">
        <f t="shared" si="764"/>
        <v>243.13093039772727</v>
      </c>
      <c r="J492" s="24">
        <f t="shared" si="785"/>
        <v>1</v>
      </c>
      <c r="K492" s="26">
        <f>VLOOKUP($C492,COS!$B$8:$H$991,2,FALSE)</f>
        <v>4552</v>
      </c>
      <c r="L492" s="24">
        <f t="shared" si="741"/>
        <v>1</v>
      </c>
      <c r="M492" s="24">
        <f t="shared" si="742"/>
        <v>0</v>
      </c>
      <c r="N492" s="26">
        <f>VLOOKUP($C492,COS!$B$8:$H$991,5,FALSE)</f>
        <v>880.44073486328125</v>
      </c>
      <c r="O492" s="26">
        <f t="shared" si="788"/>
        <v>54.136190639527378</v>
      </c>
      <c r="P492" s="26">
        <f>VLOOKUP($C492,COS!$B$8:$H$991,6,FALSE)</f>
        <v>2314.501708984375</v>
      </c>
      <c r="Q492" s="26">
        <f t="shared" si="789"/>
        <v>142.31316293259297</v>
      </c>
      <c r="R492" s="26">
        <f>MIN(IF(MONTH($C492)=4,$S$3,IF(MONTH($C492)=5,$S$4,IF(MONTH($C492)=6,$S$5,IF(MONTH($C492)=7,$S$6,"ERROR")))),MAX(VLOOKUP($C492,COS!$B$8:$K$991,10,FALSE)-IF(MONTH($C492)=4,$Y$3,IF(MONTH($C492)=5,$Y$4,IF(MONTH($C492)=6,$Y$5,IF(MONTH($C492)=7,$Y$6,"ERROR")))),0),MAX(VLOOKUP($C492,COS!$B$8:$K$991,9,FALSE)-IF(MONTH($C492)=4,$V$3,IF(MONTH($C492)=5,$V$4,IF(MONTH($C492)=6,$V$5,IF(MONTH($C492)=7,$V$6,"ERROR"))))-VLOOKUP($C492,COS!$B$8:$K$991,6,FALSE)/2,0))</f>
        <v>1500</v>
      </c>
      <c r="S492" s="26">
        <f t="shared" si="790"/>
        <v>92.231404958677686</v>
      </c>
      <c r="T492" s="26">
        <f t="shared" si="791"/>
        <v>190.45608174473784</v>
      </c>
      <c r="U492" s="26" t="str">
        <f>IF(VLOOKUP($C492,COS!$B$8:$I$991,8,FALSE)=1,"UWFE","IBU")</f>
        <v>UWFE</v>
      </c>
      <c r="V492" s="26">
        <f t="shared" ref="V492" si="793">MIN(IF(IF($AA$3=2,AND(E492=1,G492=1,L492=1,L496=1,M492=1,U492="IBU"),AND(E492=1,G492=1,L492=1,L496=1,M492=1)),T492,0),I492)</f>
        <v>0</v>
      </c>
      <c r="W492" s="26"/>
      <c r="X492" s="26"/>
      <c r="Y492" s="26"/>
      <c r="Z492" s="26"/>
      <c r="AA492" s="26"/>
      <c r="AB492" s="33"/>
    </row>
    <row r="493" spans="1:28" x14ac:dyDescent="0.3">
      <c r="A493" s="32">
        <f>VLOOKUP(YEAR(C493),Flags!$A$13:$B$95,2,FALSE)</f>
        <v>1</v>
      </c>
      <c r="B493" s="24">
        <f t="shared" si="739"/>
        <v>1975</v>
      </c>
      <c r="C493" s="25">
        <v>27575</v>
      </c>
      <c r="D493" s="26">
        <f>VLOOKUP($C493,COS!$B$8:$H$991,3,FALSE)</f>
        <v>8908.6064453125</v>
      </c>
      <c r="E493" s="24">
        <f>IF(D493&gt;=IF(MONTH($C493)=4,$C$3,IF(MONTH($C493)=5,$C$4,IF(MONTH($C493)=6,$C$5,IF(MONTH($C493)=7,$C$6,"ERROR")))),1,0)</f>
        <v>0</v>
      </c>
      <c r="F493" s="26">
        <f>VLOOKUP($C493,COS!$B$8:$H$991,7,FALSE)</f>
        <v>51.962612152099609</v>
      </c>
      <c r="G493" s="24">
        <f>IF(F493&lt;=IF(MONTH($C493)=4,$F$3,IF(MONTH($C493)=5,$F$4,IF(MONTH($C493)=6,$F$5,IF(MONTH($C493)=7,$F$6,"ERROR")))),1,0)</f>
        <v>1</v>
      </c>
      <c r="H493" s="26">
        <f>IF(J493=1,D493-$C$5,0)</f>
        <v>0</v>
      </c>
      <c r="I493" s="26">
        <f t="shared" si="764"/>
        <v>0</v>
      </c>
      <c r="J493" s="24">
        <f t="shared" si="785"/>
        <v>0</v>
      </c>
      <c r="K493" s="26">
        <f>VLOOKUP($C493,COS!$B$8:$H$991,2,FALSE)</f>
        <v>4422.015625</v>
      </c>
      <c r="L493" s="24">
        <f t="shared" si="741"/>
        <v>1</v>
      </c>
      <c r="M493" s="24">
        <f t="shared" si="742"/>
        <v>0</v>
      </c>
      <c r="N493" s="26">
        <f>VLOOKUP($C493,COS!$B$8:$H$991,5,FALSE)</f>
        <v>1191.22607421875</v>
      </c>
      <c r="O493" s="26">
        <f t="shared" si="788"/>
        <v>70.882873837809925</v>
      </c>
      <c r="P493" s="26">
        <f>VLOOKUP($C493,COS!$B$8:$H$991,6,FALSE)</f>
        <v>2278.943359375</v>
      </c>
      <c r="Q493" s="26">
        <f t="shared" si="789"/>
        <v>135.60654700413224</v>
      </c>
      <c r="R493" s="26">
        <f>MIN(IF(MONTH($C493)=4,$S$3,IF(MONTH($C493)=5,$S$4,IF(MONTH($C493)=6,$S$5,IF(MONTH($C493)=7,$S$6,"ERROR")))),MAX(VLOOKUP($C493,COS!$B$8:$K$991,10,FALSE)-IF(MONTH($C493)=4,$Y$3,IF(MONTH($C493)=5,$Y$4,IF(MONTH($C493)=6,$Y$5,IF(MONTH($C493)=7,$Y$6,"ERROR")))),0),MAX(VLOOKUP($C493,COS!$B$8:$K$991,9,FALSE)-IF(MONTH($C493)=4,$V$3,IF(MONTH($C493)=5,$V$4,IF(MONTH($C493)=6,$V$5,IF(MONTH($C493)=7,$V$6,"ERROR"))))-VLOOKUP($C493,COS!$B$8:$K$991,6,FALSE)/2,0))</f>
        <v>1500</v>
      </c>
      <c r="S493" s="26">
        <f t="shared" si="790"/>
        <v>89.256198347107429</v>
      </c>
      <c r="T493" s="26">
        <f t="shared" si="791"/>
        <v>192.50090876807849</v>
      </c>
      <c r="U493" s="26" t="str">
        <f>IF(VLOOKUP($C493,COS!$B$8:$I$991,8,FALSE)=1,"UWFE","IBU")</f>
        <v>UWFE</v>
      </c>
      <c r="V493" s="26">
        <f t="shared" ref="V493" si="794">MIN(IF(IF($AA$3=2,AND(E493=1,G493=1,L493=1,L496=1,M493=1,U493="IBU"),AND(E493=1,G493=1,L493=1,L496=1,M493=1)),T493,0),I493)</f>
        <v>0</v>
      </c>
      <c r="W493" s="26"/>
      <c r="X493" s="26"/>
      <c r="Y493" s="26"/>
      <c r="Z493" s="26"/>
      <c r="AA493" s="26"/>
      <c r="AB493" s="33"/>
    </row>
    <row r="494" spans="1:28" x14ac:dyDescent="0.3">
      <c r="A494" s="32">
        <f>VLOOKUP(YEAR(C494),Flags!$A$13:$B$95,2,FALSE)</f>
        <v>1</v>
      </c>
      <c r="B494" s="24">
        <f t="shared" si="739"/>
        <v>1975</v>
      </c>
      <c r="C494" s="25">
        <v>27606</v>
      </c>
      <c r="D494" s="26">
        <f>VLOOKUP($C494,COS!$B$8:$H$991,3,FALSE)</f>
        <v>13871.7421875</v>
      </c>
      <c r="E494" s="24">
        <f>IF(D494&gt;=IF(MONTH($C494)=4,$C$3,IF(MONTH($C494)=5,$C$4,IF(MONTH($C494)=6,$C$5,IF(MONTH($C494)=7,$C$6,"ERROR")))),1,0)</f>
        <v>1</v>
      </c>
      <c r="F494" s="26">
        <f>VLOOKUP($C494,COS!$B$8:$H$991,7,FALSE)</f>
        <v>52.175071716308594</v>
      </c>
      <c r="G494" s="24">
        <f>IF(F494&lt;=IF(MONTH($C494)=4,$F$3,IF(MONTH($C494)=5,$F$4,IF(MONTH($C494)=6,$F$5,IF(MONTH($C494)=7,$F$6,"ERROR")))),1,0)</f>
        <v>1</v>
      </c>
      <c r="H494" s="26">
        <f>IF(J494=1,D494-$C$6,0)</f>
        <v>1871.7421875</v>
      </c>
      <c r="I494" s="26">
        <f t="shared" si="764"/>
        <v>115.08894111570247</v>
      </c>
      <c r="J494" s="24">
        <f t="shared" si="785"/>
        <v>1</v>
      </c>
      <c r="K494" s="26">
        <f>VLOOKUP($C494,COS!$B$8:$H$991,2,FALSE)</f>
        <v>3940.190673828125</v>
      </c>
      <c r="L494" s="24">
        <f t="shared" si="741"/>
        <v>1</v>
      </c>
      <c r="M494" s="24">
        <f t="shared" si="742"/>
        <v>0</v>
      </c>
      <c r="N494" s="26">
        <f>VLOOKUP($C494,COS!$B$8:$H$991,5,FALSE)</f>
        <v>1259.2373046875</v>
      </c>
      <c r="O494" s="26">
        <f t="shared" si="788"/>
        <v>77.427483858471078</v>
      </c>
      <c r="P494" s="26">
        <f>VLOOKUP($C494,COS!$B$8:$H$991,6,FALSE)</f>
        <v>2566.025634765625</v>
      </c>
      <c r="Q494" s="26">
        <f t="shared" si="789"/>
        <v>157.77876630294421</v>
      </c>
      <c r="R494" s="26">
        <f>MIN(IF(MONTH($C494)=4,$S$3,IF(MONTH($C494)=5,$S$4,IF(MONTH($C494)=6,$S$5,IF(MONTH($C494)=7,$S$6,"ERROR")))),MAX(VLOOKUP($C494,COS!$B$8:$K$991,10,FALSE)-IF(MONTH($C494)=4,$Y$3,IF(MONTH($C494)=5,$Y$4,IF(MONTH($C494)=6,$Y$5,IF(MONTH($C494)=7,$Y$6,"ERROR")))),0),MAX(VLOOKUP($C494,COS!$B$8:$K$991,9,FALSE)-IF(MONTH($C494)=4,$V$3,IF(MONTH($C494)=5,$V$4,IF(MONTH($C494)=6,$V$5,IF(MONTH($C494)=7,$V$6,"ERROR"))))-VLOOKUP($C494,COS!$B$8:$K$991,6,FALSE)/2,0))</f>
        <v>1500</v>
      </c>
      <c r="S494" s="26">
        <f t="shared" si="790"/>
        <v>92.231404958677686</v>
      </c>
      <c r="T494" s="26">
        <f t="shared" si="791"/>
        <v>209.83453003938533</v>
      </c>
      <c r="U494" s="26" t="str">
        <f>IF(VLOOKUP($C494,COS!$B$8:$I$991,8,FALSE)=1,"UWFE","IBU")</f>
        <v>IBU</v>
      </c>
      <c r="V494" s="26">
        <f t="shared" ref="V494" si="795">MIN(IF(IF($AA$3=2,AND(E494=1,G494=1,L494=1,L496=1,M494=1,U494="IBU"),AND(E494=1,G494=1,L494=1,L496=1,M494=1)),T494,0),I494)</f>
        <v>0</v>
      </c>
      <c r="W494" s="26"/>
      <c r="X494" s="26"/>
      <c r="Y494" s="26"/>
      <c r="Z494" s="26"/>
      <c r="AA494" s="26"/>
      <c r="AB494" s="33"/>
    </row>
    <row r="495" spans="1:28" x14ac:dyDescent="0.3">
      <c r="A495" s="32">
        <f>VLOOKUP(YEAR(C495),Flags!$A$13:$B$95,2,FALSE)</f>
        <v>1</v>
      </c>
      <c r="B495" s="24">
        <f t="shared" si="739"/>
        <v>1975</v>
      </c>
      <c r="C495" s="25">
        <v>27637</v>
      </c>
      <c r="D495" s="26"/>
      <c r="E495" s="24"/>
      <c r="F495" s="26"/>
      <c r="G495" s="24"/>
      <c r="H495" s="24"/>
      <c r="I495" s="26"/>
      <c r="J495" s="24"/>
      <c r="K495" s="26"/>
      <c r="L495" s="24"/>
      <c r="M495" s="24"/>
      <c r="N495" s="26"/>
      <c r="O495" s="26"/>
      <c r="P495" s="26"/>
      <c r="Q495" s="26"/>
      <c r="R495" s="26"/>
      <c r="S495" s="26"/>
      <c r="T495" s="26"/>
      <c r="U495" s="26"/>
      <c r="V495" s="26"/>
      <c r="W495" s="26">
        <f>MAX($C$7-VLOOKUP($C495,COS!$B$8:$H$991,3,FALSE),0)</f>
        <v>2236.9765625</v>
      </c>
      <c r="X495" s="26">
        <f t="shared" si="769"/>
        <v>137.54632747933886</v>
      </c>
      <c r="Y495" s="26">
        <f>VLOOKUP($C495,COS!$B$8:$H$991,4,FALSE)</f>
        <v>0</v>
      </c>
      <c r="Z495" s="26">
        <f t="shared" si="770"/>
        <v>0</v>
      </c>
      <c r="AA495" s="26">
        <f t="shared" ref="AA495:AA499" si="796">MIN(W495,Y495)</f>
        <v>0</v>
      </c>
      <c r="AB495" s="33">
        <f t="shared" ref="AB495" si="797">AA495*DAY($C495)*86400/43560/1000*IF(MONTH($C495)=8,$P$3,IF(MONTH($C495)=9,$P$4,IF(MONTH($C495)=10,$P$5,IF(MONTH($C495)=11,$P$6,IF(MONTH($C495)=12,$P$7,NA())))))</f>
        <v>0</v>
      </c>
    </row>
    <row r="496" spans="1:28" x14ac:dyDescent="0.3">
      <c r="A496" s="32">
        <f>VLOOKUP(YEAR(C496),Flags!$A$13:$B$95,2,FALSE)</f>
        <v>1</v>
      </c>
      <c r="B496" s="24">
        <f t="shared" si="739"/>
        <v>1975</v>
      </c>
      <c r="C496" s="25">
        <v>27667</v>
      </c>
      <c r="D496" s="26"/>
      <c r="E496" s="24"/>
      <c r="F496" s="26"/>
      <c r="G496" s="24"/>
      <c r="H496" s="24"/>
      <c r="I496" s="26"/>
      <c r="J496" s="24"/>
      <c r="K496" s="26">
        <f>VLOOKUP($C496,COS!$B$8:$H$991,2,FALSE)</f>
        <v>3139.902587890625</v>
      </c>
      <c r="L496" s="24">
        <f t="shared" ref="L496" si="798">IF(AND(K496&gt;$I$7,K496&lt;$I$8),1,0)</f>
        <v>1</v>
      </c>
      <c r="M496" s="24"/>
      <c r="N496" s="26"/>
      <c r="O496" s="26"/>
      <c r="P496" s="26"/>
      <c r="Q496" s="26"/>
      <c r="R496" s="26"/>
      <c r="S496" s="26"/>
      <c r="T496" s="26"/>
      <c r="U496" s="26"/>
      <c r="V496" s="26"/>
      <c r="W496" s="26">
        <f>MAX($C$8-VLOOKUP($C496,COS!$B$8:$H$991,3,FALSE),0)</f>
        <v>0</v>
      </c>
      <c r="X496" s="26">
        <f t="shared" si="769"/>
        <v>0</v>
      </c>
      <c r="Y496" s="26">
        <f>VLOOKUP($C496,COS!$B$8:$H$991,4,FALSE)</f>
        <v>0</v>
      </c>
      <c r="Z496" s="26">
        <f t="shared" si="770"/>
        <v>0</v>
      </c>
      <c r="AA496" s="26">
        <f t="shared" si="796"/>
        <v>0</v>
      </c>
      <c r="AB496" s="33">
        <f t="shared" si="752"/>
        <v>0</v>
      </c>
    </row>
    <row r="497" spans="1:28" x14ac:dyDescent="0.3">
      <c r="A497" s="32">
        <f>VLOOKUP(YEAR(C497),Flags!$A$13:$B$95,2,FALSE)</f>
        <v>1</v>
      </c>
      <c r="B497" s="24">
        <f t="shared" si="739"/>
        <v>1975</v>
      </c>
      <c r="C497" s="25">
        <v>27698</v>
      </c>
      <c r="D497" s="26"/>
      <c r="E497" s="24"/>
      <c r="F497" s="26"/>
      <c r="G497" s="26"/>
      <c r="H497" s="26"/>
      <c r="I497" s="26"/>
      <c r="J497" s="26"/>
      <c r="K497" s="26"/>
      <c r="L497" s="24"/>
      <c r="M497" s="24"/>
      <c r="N497" s="26"/>
      <c r="O497" s="26"/>
      <c r="P497" s="26"/>
      <c r="Q497" s="26"/>
      <c r="R497" s="26"/>
      <c r="S497" s="26"/>
      <c r="T497" s="26"/>
      <c r="U497" s="26"/>
      <c r="V497" s="26"/>
      <c r="W497" s="26">
        <f>MAX($C$9-VLOOKUP($C497,COS!$B$8:$H$991,3,FALSE),0)</f>
        <v>0</v>
      </c>
      <c r="X497" s="26">
        <f t="shared" si="769"/>
        <v>0</v>
      </c>
      <c r="Y497" s="26">
        <f>VLOOKUP($C497,COS!$B$8:$H$991,4,FALSE)</f>
        <v>935.7257080078125</v>
      </c>
      <c r="Z497" s="26">
        <f t="shared" si="770"/>
        <v>57.535531137009293</v>
      </c>
      <c r="AA497" s="26">
        <f t="shared" si="796"/>
        <v>0</v>
      </c>
      <c r="AB497" s="33">
        <f t="shared" si="752"/>
        <v>0</v>
      </c>
    </row>
    <row r="498" spans="1:28" x14ac:dyDescent="0.3">
      <c r="A498" s="32">
        <f>VLOOKUP(YEAR(C498),Flags!$A$13:$B$95,2,FALSE)</f>
        <v>1</v>
      </c>
      <c r="B498" s="24">
        <f t="shared" si="739"/>
        <v>1975</v>
      </c>
      <c r="C498" s="25">
        <v>27728</v>
      </c>
      <c r="D498" s="26"/>
      <c r="E498" s="24"/>
      <c r="F498" s="26"/>
      <c r="G498" s="26"/>
      <c r="H498" s="26"/>
      <c r="I498" s="26"/>
      <c r="J498" s="26"/>
      <c r="K498" s="26"/>
      <c r="L498" s="24"/>
      <c r="M498" s="24"/>
      <c r="N498" s="26"/>
      <c r="O498" s="26"/>
      <c r="P498" s="26"/>
      <c r="Q498" s="26"/>
      <c r="R498" s="26"/>
      <c r="S498" s="26"/>
      <c r="T498" s="26"/>
      <c r="U498" s="26"/>
      <c r="V498" s="26"/>
      <c r="W498" s="26">
        <f>MAX($C$10-VLOOKUP($C498,COS!$B$8:$H$991,3,FALSE),0)</f>
        <v>0</v>
      </c>
      <c r="X498" s="26">
        <f t="shared" si="769"/>
        <v>0</v>
      </c>
      <c r="Y498" s="26">
        <f>VLOOKUP($C498,COS!$B$8:$H$991,4,FALSE)</f>
        <v>1105.79541015625</v>
      </c>
      <c r="Z498" s="26">
        <f t="shared" si="770"/>
        <v>65.799396306818181</v>
      </c>
      <c r="AA498" s="26">
        <f t="shared" si="796"/>
        <v>0</v>
      </c>
      <c r="AB498" s="33">
        <f t="shared" si="752"/>
        <v>0</v>
      </c>
    </row>
    <row r="499" spans="1:28" x14ac:dyDescent="0.3">
      <c r="A499" s="34">
        <f>VLOOKUP(YEAR(C499),Flags!$A$13:$B$95,2,FALSE)</f>
        <v>1</v>
      </c>
      <c r="B499" s="35">
        <f t="shared" si="739"/>
        <v>1975</v>
      </c>
      <c r="C499" s="36">
        <v>27759</v>
      </c>
      <c r="D499" s="37"/>
      <c r="E499" s="35"/>
      <c r="F499" s="37"/>
      <c r="G499" s="37"/>
      <c r="H499" s="37"/>
      <c r="I499" s="37"/>
      <c r="J499" s="37"/>
      <c r="K499" s="37"/>
      <c r="L499" s="35"/>
      <c r="M499" s="35"/>
      <c r="N499" s="37"/>
      <c r="O499" s="37"/>
      <c r="P499" s="37"/>
      <c r="Q499" s="37"/>
      <c r="R499" s="37"/>
      <c r="S499" s="37"/>
      <c r="T499" s="37"/>
      <c r="U499" s="37"/>
      <c r="V499" s="37"/>
      <c r="W499" s="37">
        <f>MAX($C$11-VLOOKUP($C499,COS!$B$8:$H$991,3,FALSE),0)</f>
        <v>1750</v>
      </c>
      <c r="X499" s="37">
        <f t="shared" si="769"/>
        <v>107.60330578512398</v>
      </c>
      <c r="Y499" s="37">
        <f>VLOOKUP($C499,COS!$B$8:$H$991,4,FALSE)</f>
        <v>0</v>
      </c>
      <c r="Z499" s="37">
        <f t="shared" si="770"/>
        <v>0</v>
      </c>
      <c r="AA499" s="37">
        <f t="shared" si="796"/>
        <v>0</v>
      </c>
      <c r="AB499" s="38">
        <f t="shared" si="752"/>
        <v>0</v>
      </c>
    </row>
    <row r="500" spans="1:28" x14ac:dyDescent="0.3">
      <c r="A500" s="27">
        <f>VLOOKUP(YEAR(C500),Flags!$A$13:$B$95,2,FALSE)</f>
        <v>4</v>
      </c>
      <c r="B500" s="28">
        <f t="shared" si="739"/>
        <v>1976</v>
      </c>
      <c r="C500" s="29">
        <v>27880</v>
      </c>
      <c r="D500" s="30">
        <f>VLOOKUP($C500,COS!$B$8:$H$991,3,FALSE)</f>
        <v>3250</v>
      </c>
      <c r="E500" s="28">
        <f>IF(D500&gt;=IF(MONTH($C500)=4,$C$3,IF(MONTH($C500)=5,$C$4,IF(MONTH($C500)=6,$C$5,IF(MONTH($C500)=7,$C$6,"ERROR")))),1,0)</f>
        <v>0</v>
      </c>
      <c r="F500" s="30">
        <f>VLOOKUP($C500,COS!$B$8:$H$991,7,FALSE)</f>
        <v>51.587924957275391</v>
      </c>
      <c r="G500" s="28">
        <f>IF(F500&lt;=IF(MONTH($C500)=4,$F$3,IF(MONTH($C500)=5,$F$4,IF(MONTH($C500)=6,$F$5,IF(MONTH($C500)=7,$F$6,"ERROR")))),1,0)</f>
        <v>1</v>
      </c>
      <c r="H500" s="30">
        <f>IF(J500=1,D500-$C$3,0)</f>
        <v>0</v>
      </c>
      <c r="I500" s="30">
        <f t="shared" si="764"/>
        <v>0</v>
      </c>
      <c r="J500" s="28">
        <f t="shared" ref="J500:J503" si="799">IF(AND(E500=1,G500=1),1,0)</f>
        <v>0</v>
      </c>
      <c r="K500" s="30">
        <f>VLOOKUP($C500,COS!$B$8:$H$991,2,FALSE)</f>
        <v>3878.489990234375</v>
      </c>
      <c r="L500" s="28">
        <f t="shared" ref="L500" si="800">IF(K500&lt;=IF(MONTH($C500)=4,$I$3,IF(MONTH($C500)=5,$I$4,IF(MONTH($C500)=6,$I$5,IF(MONTH($C500)=7,$I$6,"ERROR")))),1,0)</f>
        <v>1</v>
      </c>
      <c r="M500" s="28">
        <f t="shared" ref="M500" si="801">VLOOKUP($A500,$L$3:$M$7,2,FALSE)</f>
        <v>1</v>
      </c>
      <c r="N500" s="30">
        <f>VLOOKUP($C500,COS!$B$8:$H$991,5,FALSE)</f>
        <v>162.41636657714844</v>
      </c>
      <c r="O500" s="30">
        <f t="shared" ref="O500:O503" si="802">N500*DAY($C500)*86400/43560/1000</f>
        <v>9.6644449533509817</v>
      </c>
      <c r="P500" s="30">
        <f>VLOOKUP($C500,COS!$B$8:$H$991,6,FALSE)</f>
        <v>525.2208251953125</v>
      </c>
      <c r="Q500" s="30">
        <f t="shared" ref="Q500:Q503" si="803">P500*DAY($C500)*86400/43560/1000</f>
        <v>31.252809433109505</v>
      </c>
      <c r="R500" s="30">
        <f>MIN(IF(MONTH($C500)=4,$S$3,IF(MONTH($C500)=5,$S$4,IF(MONTH($C500)=6,$S$5,IF(MONTH($C500)=7,$S$6,"ERROR")))),MAX(VLOOKUP($C500,COS!$B$8:$K$991,10,FALSE)-IF(MONTH($C500)=4,$Y$3,IF(MONTH($C500)=5,$Y$4,IF(MONTH($C500)=6,$Y$5,IF(MONTH($C500)=7,$Y$6,"ERROR")))),0),MAX(VLOOKUP($C500,COS!$B$8:$K$991,9,FALSE)-IF(MONTH($C500)=4,$V$3,IF(MONTH($C500)=5,$V$4,IF(MONTH($C500)=6,$V$5,IF(MONTH($C500)=7,$V$6,"ERROR"))))-VLOOKUP($C500,COS!$B$8:$K$991,6,FALSE)/2,0))</f>
        <v>1238.28173828125</v>
      </c>
      <c r="S500" s="30">
        <f t="shared" ref="S500:S503" si="804">R500*DAY($C500)*86400/43560/1000</f>
        <v>73.68288029442148</v>
      </c>
      <c r="T500" s="30">
        <f t="shared" ref="T500:T503" si="805">(O500+Q500)/2+S500</f>
        <v>94.141507487651722</v>
      </c>
      <c r="U500" s="30" t="str">
        <f>IF(VLOOKUP($C500,COS!$B$8:$I$991,8,FALSE)=1,"UWFE","IBU")</f>
        <v>UWFE</v>
      </c>
      <c r="V500" s="30">
        <f t="shared" ref="V500" si="806">MIN(IF(IF($AA$3=2,AND(E500=1,G500=1,L500=1,L505=1,M500=1,U500="IBU"),AND(E500=1,G500=1,L500=1,L505=1,M500=1)),T500,0),I500)</f>
        <v>0</v>
      </c>
      <c r="W500" s="30"/>
      <c r="X500" s="30"/>
      <c r="Y500" s="30"/>
      <c r="Z500" s="30"/>
      <c r="AA500" s="30"/>
      <c r="AB500" s="31"/>
    </row>
    <row r="501" spans="1:28" x14ac:dyDescent="0.3">
      <c r="A501" s="32">
        <f>VLOOKUP(YEAR(C501),Flags!$A$13:$B$95,2,FALSE)</f>
        <v>4</v>
      </c>
      <c r="B501" s="24">
        <f t="shared" si="739"/>
        <v>1976</v>
      </c>
      <c r="C501" s="25">
        <v>27911</v>
      </c>
      <c r="D501" s="26">
        <f>VLOOKUP($C501,COS!$B$8:$H$991,3,FALSE)</f>
        <v>10081.5947265625</v>
      </c>
      <c r="E501" s="24">
        <f>IF(D501&gt;=IF(MONTH($C501)=4,$C$3,IF(MONTH($C501)=5,$C$4,IF(MONTH($C501)=6,$C$5,IF(MONTH($C501)=7,$C$6,"ERROR")))),1,0)</f>
        <v>1</v>
      </c>
      <c r="F501" s="26">
        <f>VLOOKUP($C501,COS!$B$8:$H$991,7,FALSE)</f>
        <v>51.443138122558594</v>
      </c>
      <c r="G501" s="24">
        <f>IF(F501&lt;=IF(MONTH($C501)=4,$F$3,IF(MONTH($C501)=5,$F$4,IF(MONTH($C501)=6,$F$5,IF(MONTH($C501)=7,$F$6,"ERROR")))),1,0)</f>
        <v>1</v>
      </c>
      <c r="H501" s="26">
        <f>IF(J501=1,D501-$C$4,0)</f>
        <v>4081.5947265625</v>
      </c>
      <c r="I501" s="26">
        <f t="shared" si="764"/>
        <v>250.9674774018595</v>
      </c>
      <c r="J501" s="24">
        <f t="shared" si="799"/>
        <v>1</v>
      </c>
      <c r="K501" s="26">
        <f>VLOOKUP($C501,COS!$B$8:$H$991,2,FALSE)</f>
        <v>3615.4599609375</v>
      </c>
      <c r="L501" s="24">
        <f t="shared" si="741"/>
        <v>1</v>
      </c>
      <c r="M501" s="24">
        <f t="shared" si="742"/>
        <v>1</v>
      </c>
      <c r="N501" s="26">
        <f>VLOOKUP($C501,COS!$B$8:$H$991,5,FALSE)</f>
        <v>197.63545227050781</v>
      </c>
      <c r="O501" s="26">
        <f t="shared" si="802"/>
        <v>12.152130288368415</v>
      </c>
      <c r="P501" s="26">
        <f>VLOOKUP($C501,COS!$B$8:$H$991,6,FALSE)</f>
        <v>2397.456298828125</v>
      </c>
      <c r="Q501" s="26">
        <f t="shared" si="803"/>
        <v>147.41384184529957</v>
      </c>
      <c r="R501" s="26">
        <f>MIN(IF(MONTH($C501)=4,$S$3,IF(MONTH($C501)=5,$S$4,IF(MONTH($C501)=6,$S$5,IF(MONTH($C501)=7,$S$6,"ERROR")))),MAX(VLOOKUP($C501,COS!$B$8:$K$991,10,FALSE)-IF(MONTH($C501)=4,$Y$3,IF(MONTH($C501)=5,$Y$4,IF(MONTH($C501)=6,$Y$5,IF(MONTH($C501)=7,$Y$6,"ERROR")))),0),MAX(VLOOKUP($C501,COS!$B$8:$K$991,9,FALSE)-IF(MONTH($C501)=4,$V$3,IF(MONTH($C501)=5,$V$4,IF(MONTH($C501)=6,$V$5,IF(MONTH($C501)=7,$V$6,"ERROR"))))-VLOOKUP($C501,COS!$B$8:$K$991,6,FALSE)/2,0))</f>
        <v>1500</v>
      </c>
      <c r="S501" s="26">
        <f t="shared" si="804"/>
        <v>92.231404958677686</v>
      </c>
      <c r="T501" s="26">
        <f t="shared" si="805"/>
        <v>172.01439102551169</v>
      </c>
      <c r="U501" s="26" t="str">
        <f>IF(VLOOKUP($C501,COS!$B$8:$I$991,8,FALSE)=1,"UWFE","IBU")</f>
        <v>IBU</v>
      </c>
      <c r="V501" s="26">
        <f t="shared" ref="V501" si="807">MIN(IF(IF($AA$3=2,AND(E501=1,G501=1,L501=1,L505=1,M501=1,U501="IBU"),AND(E501=1,G501=1,L501=1,L505=1,M501=1)),T501,0),I501)</f>
        <v>172.01439102551169</v>
      </c>
      <c r="W501" s="26"/>
      <c r="X501" s="26"/>
      <c r="Y501" s="26"/>
      <c r="Z501" s="26"/>
      <c r="AA501" s="26"/>
      <c r="AB501" s="33"/>
    </row>
    <row r="502" spans="1:28" x14ac:dyDescent="0.3">
      <c r="A502" s="32">
        <f>VLOOKUP(YEAR(C502),Flags!$A$13:$B$95,2,FALSE)</f>
        <v>4</v>
      </c>
      <c r="B502" s="24">
        <f t="shared" si="739"/>
        <v>1976</v>
      </c>
      <c r="C502" s="25">
        <v>27941</v>
      </c>
      <c r="D502" s="26">
        <f>VLOOKUP($C502,COS!$B$8:$H$991,3,FALSE)</f>
        <v>9693.1298828125</v>
      </c>
      <c r="E502" s="24">
        <f>IF(D502&gt;=IF(MONTH($C502)=4,$C$3,IF(MONTH($C502)=5,$C$4,IF(MONTH($C502)=6,$C$5,IF(MONTH($C502)=7,$C$6,"ERROR")))),1,0)</f>
        <v>0</v>
      </c>
      <c r="F502" s="26">
        <f>VLOOKUP($C502,COS!$B$8:$H$991,7,FALSE)</f>
        <v>52.964691162109375</v>
      </c>
      <c r="G502" s="24">
        <f>IF(F502&lt;=IF(MONTH($C502)=4,$F$3,IF(MONTH($C502)=5,$F$4,IF(MONTH($C502)=6,$F$5,IF(MONTH($C502)=7,$F$6,"ERROR")))),1,0)</f>
        <v>1</v>
      </c>
      <c r="H502" s="26">
        <f>IF(J502=1,D502-$C$5,0)</f>
        <v>0</v>
      </c>
      <c r="I502" s="26">
        <f t="shared" si="764"/>
        <v>0</v>
      </c>
      <c r="J502" s="24">
        <f t="shared" si="799"/>
        <v>0</v>
      </c>
      <c r="K502" s="26">
        <f>VLOOKUP($C502,COS!$B$8:$H$991,2,FALSE)</f>
        <v>3290.374755859375</v>
      </c>
      <c r="L502" s="24">
        <f t="shared" si="741"/>
        <v>1</v>
      </c>
      <c r="M502" s="24">
        <f t="shared" si="742"/>
        <v>1</v>
      </c>
      <c r="N502" s="26">
        <f>VLOOKUP($C502,COS!$B$8:$H$991,5,FALSE)</f>
        <v>220.81330871582031</v>
      </c>
      <c r="O502" s="26">
        <f t="shared" si="802"/>
        <v>13.139304320280216</v>
      </c>
      <c r="P502" s="26">
        <f>VLOOKUP($C502,COS!$B$8:$H$991,6,FALSE)</f>
        <v>2496.31787109375</v>
      </c>
      <c r="Q502" s="26">
        <f t="shared" si="803"/>
        <v>148.54122869318184</v>
      </c>
      <c r="R502" s="26">
        <f>MIN(IF(MONTH($C502)=4,$S$3,IF(MONTH($C502)=5,$S$4,IF(MONTH($C502)=6,$S$5,IF(MONTH($C502)=7,$S$6,"ERROR")))),MAX(VLOOKUP($C502,COS!$B$8:$K$991,10,FALSE)-IF(MONTH($C502)=4,$Y$3,IF(MONTH($C502)=5,$Y$4,IF(MONTH($C502)=6,$Y$5,IF(MONTH($C502)=7,$Y$6,"ERROR")))),0),MAX(VLOOKUP($C502,COS!$B$8:$K$991,9,FALSE)-IF(MONTH($C502)=4,$V$3,IF(MONTH($C502)=5,$V$4,IF(MONTH($C502)=6,$V$5,IF(MONTH($C502)=7,$V$6,"ERROR"))))-VLOOKUP($C502,COS!$B$8:$K$991,6,FALSE)/2,0))</f>
        <v>1500</v>
      </c>
      <c r="S502" s="26">
        <f t="shared" si="804"/>
        <v>89.256198347107429</v>
      </c>
      <c r="T502" s="26">
        <f t="shared" si="805"/>
        <v>170.09646485383846</v>
      </c>
      <c r="U502" s="26" t="str">
        <f>IF(VLOOKUP($C502,COS!$B$8:$I$991,8,FALSE)=1,"UWFE","IBU")</f>
        <v>IBU</v>
      </c>
      <c r="V502" s="26">
        <f t="shared" ref="V502" si="808">MIN(IF(IF($AA$3=2,AND(E502=1,G502=1,L502=1,L505=1,M502=1,U502="IBU"),AND(E502=1,G502=1,L502=1,L505=1,M502=1)),T502,0),I502)</f>
        <v>0</v>
      </c>
      <c r="W502" s="26"/>
      <c r="X502" s="26"/>
      <c r="Y502" s="26"/>
      <c r="Z502" s="26"/>
      <c r="AA502" s="26"/>
      <c r="AB502" s="33"/>
    </row>
    <row r="503" spans="1:28" x14ac:dyDescent="0.3">
      <c r="A503" s="32">
        <f>VLOOKUP(YEAR(C503),Flags!$A$13:$B$95,2,FALSE)</f>
        <v>4</v>
      </c>
      <c r="B503" s="24">
        <f t="shared" si="739"/>
        <v>1976</v>
      </c>
      <c r="C503" s="25">
        <v>27972</v>
      </c>
      <c r="D503" s="26">
        <f>VLOOKUP($C503,COS!$B$8:$H$991,3,FALSE)</f>
        <v>13307.634765625</v>
      </c>
      <c r="E503" s="24">
        <f>IF(D503&gt;=IF(MONTH($C503)=4,$C$3,IF(MONTH($C503)=5,$C$4,IF(MONTH($C503)=6,$C$5,IF(MONTH($C503)=7,$C$6,"ERROR")))),1,0)</f>
        <v>1</v>
      </c>
      <c r="F503" s="26">
        <f>VLOOKUP($C503,COS!$B$8:$H$991,7,FALSE)</f>
        <v>54.076438903808594</v>
      </c>
      <c r="G503" s="24">
        <f>IF(F503&lt;=IF(MONTH($C503)=4,$F$3,IF(MONTH($C503)=5,$F$4,IF(MONTH($C503)=6,$F$5,IF(MONTH($C503)=7,$F$6,"ERROR")))),1,0)</f>
        <v>0</v>
      </c>
      <c r="H503" s="26">
        <f>IF(J503=1,D503-$C$6,0)</f>
        <v>0</v>
      </c>
      <c r="I503" s="26">
        <f t="shared" si="764"/>
        <v>0</v>
      </c>
      <c r="J503" s="24">
        <f t="shared" si="799"/>
        <v>0</v>
      </c>
      <c r="K503" s="26">
        <f>VLOOKUP($C503,COS!$B$8:$H$991,2,FALSE)</f>
        <v>2839.34033203125</v>
      </c>
      <c r="L503" s="24">
        <f t="shared" si="741"/>
        <v>1</v>
      </c>
      <c r="M503" s="24">
        <f t="shared" si="742"/>
        <v>1</v>
      </c>
      <c r="N503" s="26">
        <f>VLOOKUP($C503,COS!$B$8:$H$991,5,FALSE)</f>
        <v>243.29853820800781</v>
      </c>
      <c r="O503" s="26">
        <f t="shared" si="802"/>
        <v>14.959844002211391</v>
      </c>
      <c r="P503" s="26">
        <f>VLOOKUP($C503,COS!$B$8:$H$991,6,FALSE)</f>
        <v>2326.644775390625</v>
      </c>
      <c r="Q503" s="26">
        <f t="shared" si="803"/>
        <v>143.05981098269626</v>
      </c>
      <c r="R503" s="26">
        <f>MIN(IF(MONTH($C503)=4,$S$3,IF(MONTH($C503)=5,$S$4,IF(MONTH($C503)=6,$S$5,IF(MONTH($C503)=7,$S$6,"ERROR")))),MAX(VLOOKUP($C503,COS!$B$8:$K$991,10,FALSE)-IF(MONTH($C503)=4,$Y$3,IF(MONTH($C503)=5,$Y$4,IF(MONTH($C503)=6,$Y$5,IF(MONTH($C503)=7,$Y$6,"ERROR")))),0),MAX(VLOOKUP($C503,COS!$B$8:$K$991,9,FALSE)-IF(MONTH($C503)=4,$V$3,IF(MONTH($C503)=5,$V$4,IF(MONTH($C503)=6,$V$5,IF(MONTH($C503)=7,$V$6,"ERROR"))))-VLOOKUP($C503,COS!$B$8:$K$991,6,FALSE)/2,0))</f>
        <v>1500</v>
      </c>
      <c r="S503" s="26">
        <f t="shared" si="804"/>
        <v>92.231404958677686</v>
      </c>
      <c r="T503" s="26">
        <f t="shared" si="805"/>
        <v>171.24123245113151</v>
      </c>
      <c r="U503" s="26" t="str">
        <f>IF(VLOOKUP($C503,COS!$B$8:$I$991,8,FALSE)=1,"UWFE","IBU")</f>
        <v>IBU</v>
      </c>
      <c r="V503" s="26">
        <f t="shared" ref="V503" si="809">MIN(IF(IF($AA$3=2,AND(E503=1,G503=1,L503=1,L505=1,M503=1,U503="IBU"),AND(E503=1,G503=1,L503=1,L505=1,M503=1)),T503,0),I503)</f>
        <v>0</v>
      </c>
      <c r="W503" s="26"/>
      <c r="X503" s="26"/>
      <c r="Y503" s="26"/>
      <c r="Z503" s="26"/>
      <c r="AA503" s="26"/>
      <c r="AB503" s="33"/>
    </row>
    <row r="504" spans="1:28" x14ac:dyDescent="0.3">
      <c r="A504" s="32">
        <f>VLOOKUP(YEAR(C504),Flags!$A$13:$B$95,2,FALSE)</f>
        <v>4</v>
      </c>
      <c r="B504" s="24">
        <f t="shared" si="739"/>
        <v>1976</v>
      </c>
      <c r="C504" s="25">
        <v>28003</v>
      </c>
      <c r="D504" s="26"/>
      <c r="E504" s="24"/>
      <c r="F504" s="26"/>
      <c r="G504" s="24"/>
      <c r="H504" s="24"/>
      <c r="I504" s="26"/>
      <c r="J504" s="24"/>
      <c r="K504" s="26"/>
      <c r="L504" s="24"/>
      <c r="M504" s="24"/>
      <c r="N504" s="26"/>
      <c r="O504" s="26"/>
      <c r="P504" s="26"/>
      <c r="Q504" s="26"/>
      <c r="R504" s="26"/>
      <c r="S504" s="26"/>
      <c r="T504" s="26"/>
      <c r="U504" s="26"/>
      <c r="V504" s="26"/>
      <c r="W504" s="26">
        <f>MAX($C$7-VLOOKUP($C504,COS!$B$8:$H$991,3,FALSE),0)</f>
        <v>5361.21484375</v>
      </c>
      <c r="X504" s="26">
        <f t="shared" si="769"/>
        <v>329.64825154958675</v>
      </c>
      <c r="Y504" s="26">
        <f>VLOOKUP($C504,COS!$B$8:$H$991,4,FALSE)</f>
        <v>1948.8914794921875</v>
      </c>
      <c r="Z504" s="26">
        <f t="shared" si="770"/>
        <v>119.83266617704028</v>
      </c>
      <c r="AA504" s="26">
        <f t="shared" ref="AA504:AA508" si="810">MIN(W504,Y504)</f>
        <v>1948.8914794921875</v>
      </c>
      <c r="AB504" s="33">
        <f t="shared" ref="AB504" si="811">AA504*DAY($C504)*86400/43560/1000*IF(MONTH($C504)=8,$P$3,IF(MONTH($C504)=9,$P$4,IF(MONTH($C504)=10,$P$5,IF(MONTH($C504)=11,$P$6,IF(MONTH($C504)=12,$P$7,NA())))))</f>
        <v>119.83266617704028</v>
      </c>
    </row>
    <row r="505" spans="1:28" x14ac:dyDescent="0.3">
      <c r="A505" s="32">
        <f>VLOOKUP(YEAR(C505),Flags!$A$13:$B$95,2,FALSE)</f>
        <v>4</v>
      </c>
      <c r="B505" s="24">
        <f t="shared" si="739"/>
        <v>1976</v>
      </c>
      <c r="C505" s="25">
        <v>28033</v>
      </c>
      <c r="D505" s="26"/>
      <c r="E505" s="24"/>
      <c r="F505" s="26"/>
      <c r="G505" s="24"/>
      <c r="H505" s="24"/>
      <c r="I505" s="26"/>
      <c r="J505" s="24"/>
      <c r="K505" s="26">
        <f>VLOOKUP($C505,COS!$B$8:$H$991,2,FALSE)</f>
        <v>2776.3486328125</v>
      </c>
      <c r="L505" s="24">
        <f t="shared" ref="L505" si="812">IF(AND(K505&gt;$I$7,K505&lt;$I$8),1,0)</f>
        <v>1</v>
      </c>
      <c r="M505" s="24"/>
      <c r="N505" s="26"/>
      <c r="O505" s="26"/>
      <c r="P505" s="26"/>
      <c r="Q505" s="26"/>
      <c r="R505" s="26"/>
      <c r="S505" s="26"/>
      <c r="T505" s="26"/>
      <c r="U505" s="26"/>
      <c r="V505" s="26"/>
      <c r="W505" s="26">
        <f>MAX($C$8-VLOOKUP($C505,COS!$B$8:$H$991,3,FALSE),0)</f>
        <v>1119.068359375</v>
      </c>
      <c r="X505" s="26">
        <f t="shared" si="769"/>
        <v>66.589191632231405</v>
      </c>
      <c r="Y505" s="26">
        <f>VLOOKUP($C505,COS!$B$8:$H$991,4,FALSE)</f>
        <v>1649.7568359375</v>
      </c>
      <c r="Z505" s="26">
        <f t="shared" si="770"/>
        <v>98.167348915289253</v>
      </c>
      <c r="AA505" s="26">
        <f t="shared" si="810"/>
        <v>1119.068359375</v>
      </c>
      <c r="AB505" s="33">
        <f t="shared" si="752"/>
        <v>66.589191632231405</v>
      </c>
    </row>
    <row r="506" spans="1:28" x14ac:dyDescent="0.3">
      <c r="A506" s="32">
        <f>VLOOKUP(YEAR(C506),Flags!$A$13:$B$95,2,FALSE)</f>
        <v>4</v>
      </c>
      <c r="B506" s="24">
        <f t="shared" si="739"/>
        <v>1976</v>
      </c>
      <c r="C506" s="25">
        <v>28064</v>
      </c>
      <c r="D506" s="26"/>
      <c r="E506" s="24"/>
      <c r="F506" s="26"/>
      <c r="G506" s="26"/>
      <c r="H506" s="26"/>
      <c r="I506" s="26"/>
      <c r="J506" s="26"/>
      <c r="K506" s="26"/>
      <c r="L506" s="24"/>
      <c r="M506" s="24"/>
      <c r="N506" s="26"/>
      <c r="O506" s="26"/>
      <c r="P506" s="26"/>
      <c r="Q506" s="26"/>
      <c r="R506" s="26"/>
      <c r="S506" s="26"/>
      <c r="T506" s="26"/>
      <c r="U506" s="26"/>
      <c r="V506" s="26"/>
      <c r="W506" s="26">
        <f>MAX($C$9-VLOOKUP($C506,COS!$B$8:$H$991,3,FALSE),0)</f>
        <v>0</v>
      </c>
      <c r="X506" s="26">
        <f t="shared" si="769"/>
        <v>0</v>
      </c>
      <c r="Y506" s="26">
        <f>VLOOKUP($C506,COS!$B$8:$H$991,4,FALSE)</f>
        <v>1735.9190673828125</v>
      </c>
      <c r="Z506" s="26">
        <f t="shared" si="770"/>
        <v>106.73750298618285</v>
      </c>
      <c r="AA506" s="26">
        <f t="shared" si="810"/>
        <v>0</v>
      </c>
      <c r="AB506" s="33">
        <f t="shared" si="752"/>
        <v>0</v>
      </c>
    </row>
    <row r="507" spans="1:28" x14ac:dyDescent="0.3">
      <c r="A507" s="32">
        <f>VLOOKUP(YEAR(C507),Flags!$A$13:$B$95,2,FALSE)</f>
        <v>4</v>
      </c>
      <c r="B507" s="24">
        <f t="shared" si="739"/>
        <v>1976</v>
      </c>
      <c r="C507" s="25">
        <v>28094</v>
      </c>
      <c r="D507" s="26"/>
      <c r="E507" s="24"/>
      <c r="F507" s="26"/>
      <c r="G507" s="26"/>
      <c r="H507" s="26"/>
      <c r="I507" s="26"/>
      <c r="J507" s="26"/>
      <c r="K507" s="26"/>
      <c r="L507" s="24"/>
      <c r="M507" s="24"/>
      <c r="N507" s="26"/>
      <c r="O507" s="26"/>
      <c r="P507" s="26"/>
      <c r="Q507" s="26"/>
      <c r="R507" s="26"/>
      <c r="S507" s="26"/>
      <c r="T507" s="26"/>
      <c r="U507" s="26"/>
      <c r="V507" s="26"/>
      <c r="W507" s="26">
        <f>MAX($C$10-VLOOKUP($C507,COS!$B$8:$H$991,3,FALSE),0)</f>
        <v>0</v>
      </c>
      <c r="X507" s="26">
        <f t="shared" si="769"/>
        <v>0</v>
      </c>
      <c r="Y507" s="26">
        <f>VLOOKUP($C507,COS!$B$8:$H$991,4,FALSE)</f>
        <v>1444.778564453125</v>
      </c>
      <c r="Z507" s="26">
        <f t="shared" si="770"/>
        <v>85.970294744318181</v>
      </c>
      <c r="AA507" s="26">
        <f t="shared" si="810"/>
        <v>0</v>
      </c>
      <c r="AB507" s="33">
        <f t="shared" si="752"/>
        <v>0</v>
      </c>
    </row>
    <row r="508" spans="1:28" x14ac:dyDescent="0.3">
      <c r="A508" s="34">
        <f>VLOOKUP(YEAR(C508),Flags!$A$13:$B$95,2,FALSE)</f>
        <v>4</v>
      </c>
      <c r="B508" s="35">
        <f t="shared" si="739"/>
        <v>1976</v>
      </c>
      <c r="C508" s="36">
        <v>28125</v>
      </c>
      <c r="D508" s="37"/>
      <c r="E508" s="35"/>
      <c r="F508" s="37"/>
      <c r="G508" s="37"/>
      <c r="H508" s="37"/>
      <c r="I508" s="37"/>
      <c r="J508" s="37"/>
      <c r="K508" s="37"/>
      <c r="L508" s="35"/>
      <c r="M508" s="35"/>
      <c r="N508" s="37"/>
      <c r="O508" s="37"/>
      <c r="P508" s="37"/>
      <c r="Q508" s="37"/>
      <c r="R508" s="37"/>
      <c r="S508" s="37"/>
      <c r="T508" s="37"/>
      <c r="U508" s="37"/>
      <c r="V508" s="37"/>
      <c r="W508" s="37">
        <f>MAX($C$11-VLOOKUP($C508,COS!$B$8:$H$991,3,FALSE),0)</f>
        <v>0</v>
      </c>
      <c r="X508" s="37">
        <f t="shared" si="769"/>
        <v>0</v>
      </c>
      <c r="Y508" s="37">
        <f>VLOOKUP($C508,COS!$B$8:$H$991,4,FALSE)</f>
        <v>2446.426025390625</v>
      </c>
      <c r="Z508" s="37">
        <f t="shared" si="770"/>
        <v>150.42487296616736</v>
      </c>
      <c r="AA508" s="37">
        <f t="shared" si="810"/>
        <v>0</v>
      </c>
      <c r="AB508" s="38">
        <f t="shared" si="752"/>
        <v>0</v>
      </c>
    </row>
    <row r="509" spans="1:28" x14ac:dyDescent="0.3">
      <c r="A509" s="27">
        <f>VLOOKUP(YEAR(C509),Flags!$A$13:$B$95,2,FALSE)</f>
        <v>5</v>
      </c>
      <c r="B509" s="28">
        <f t="shared" si="739"/>
        <v>1977</v>
      </c>
      <c r="C509" s="29">
        <v>28245</v>
      </c>
      <c r="D509" s="30">
        <f>VLOOKUP($C509,COS!$B$8:$H$991,3,FALSE)</f>
        <v>7071.7509765625</v>
      </c>
      <c r="E509" s="28">
        <f>IF(D509&gt;=IF(MONTH($C509)=4,$C$3,IF(MONTH($C509)=5,$C$4,IF(MONTH($C509)=6,$C$5,IF(MONTH($C509)=7,$C$6,"ERROR")))),1,0)</f>
        <v>1</v>
      </c>
      <c r="F509" s="30">
        <f>VLOOKUP($C509,COS!$B$8:$H$991,7,FALSE)</f>
        <v>50.791873931884766</v>
      </c>
      <c r="G509" s="28">
        <f>IF(F509&lt;=IF(MONTH($C509)=4,$F$3,IF(MONTH($C509)=5,$F$4,IF(MONTH($C509)=6,$F$5,IF(MONTH($C509)=7,$F$6,"ERROR")))),1,0)</f>
        <v>1</v>
      </c>
      <c r="H509" s="30">
        <f>IF(J509=1,D509-$C$3,0)</f>
        <v>1071.7509765625</v>
      </c>
      <c r="I509" s="30">
        <f t="shared" si="764"/>
        <v>63.773611828512394</v>
      </c>
      <c r="J509" s="28">
        <f t="shared" ref="J509:J512" si="813">IF(AND(E509=1,G509=1),1,0)</f>
        <v>1</v>
      </c>
      <c r="K509" s="30">
        <f>VLOOKUP($C509,COS!$B$8:$H$991,2,FALSE)</f>
        <v>1944.6558837890625</v>
      </c>
      <c r="L509" s="28">
        <f t="shared" ref="L509" si="814">IF(K509&lt;=IF(MONTH($C509)=4,$I$3,IF(MONTH($C509)=5,$I$4,IF(MONTH($C509)=6,$I$5,IF(MONTH($C509)=7,$I$6,"ERROR")))),1,0)</f>
        <v>1</v>
      </c>
      <c r="M509" s="28">
        <f t="shared" ref="M509" si="815">VLOOKUP($A509,$L$3:$M$7,2,FALSE)</f>
        <v>1</v>
      </c>
      <c r="N509" s="30">
        <f>VLOOKUP($C509,COS!$B$8:$H$991,5,FALSE)</f>
        <v>201.60958862304688</v>
      </c>
      <c r="O509" s="30">
        <f t="shared" ref="O509:O512" si="816">N509*DAY($C509)*86400/43560/1000</f>
        <v>11.996603620544938</v>
      </c>
      <c r="P509" s="30">
        <f>VLOOKUP($C509,COS!$B$8:$H$991,6,FALSE)</f>
        <v>581.802490234375</v>
      </c>
      <c r="Q509" s="30">
        <f t="shared" ref="Q509:Q512" si="817">P509*DAY($C509)*86400/43560/1000</f>
        <v>34.619652311466943</v>
      </c>
      <c r="R509" s="30">
        <f>MIN(IF(MONTH($C509)=4,$S$3,IF(MONTH($C509)=5,$S$4,IF(MONTH($C509)=6,$S$5,IF(MONTH($C509)=7,$S$6,"ERROR")))),MAX(VLOOKUP($C509,COS!$B$8:$K$991,10,FALSE)-IF(MONTH($C509)=4,$Y$3,IF(MONTH($C509)=5,$Y$4,IF(MONTH($C509)=6,$Y$5,IF(MONTH($C509)=7,$Y$6,"ERROR")))),0),MAX(VLOOKUP($C509,COS!$B$8:$K$991,9,FALSE)-IF(MONTH($C509)=4,$V$3,IF(MONTH($C509)=5,$V$4,IF(MONTH($C509)=6,$V$5,IF(MONTH($C509)=7,$V$6,"ERROR"))))-VLOOKUP($C509,COS!$B$8:$K$991,6,FALSE)/2,0))</f>
        <v>1500</v>
      </c>
      <c r="S509" s="30">
        <f t="shared" ref="S509:S512" si="818">R509*DAY($C509)*86400/43560/1000</f>
        <v>89.256198347107429</v>
      </c>
      <c r="T509" s="30">
        <f t="shared" ref="T509:T512" si="819">(O509+Q509)/2+S509</f>
        <v>112.56432631311337</v>
      </c>
      <c r="U509" s="30" t="str">
        <f>IF(VLOOKUP($C509,COS!$B$8:$I$991,8,FALSE)=1,"UWFE","IBU")</f>
        <v>IBU</v>
      </c>
      <c r="V509" s="30">
        <f t="shared" ref="V509" si="820">MIN(IF(IF($AA$3=2,AND(E509=1,G509=1,L509=1,L514=1,M509=1,U509="IBU"),AND(E509=1,G509=1,L509=1,L514=1,M509=1)),T509,0),I509)</f>
        <v>0</v>
      </c>
      <c r="W509" s="30"/>
      <c r="X509" s="30"/>
      <c r="Y509" s="30"/>
      <c r="Z509" s="30"/>
      <c r="AA509" s="30"/>
      <c r="AB509" s="31"/>
    </row>
    <row r="510" spans="1:28" x14ac:dyDescent="0.3">
      <c r="A510" s="32">
        <f>VLOOKUP(YEAR(C510),Flags!$A$13:$B$95,2,FALSE)</f>
        <v>5</v>
      </c>
      <c r="B510" s="24">
        <f t="shared" si="739"/>
        <v>1977</v>
      </c>
      <c r="C510" s="25">
        <v>28276</v>
      </c>
      <c r="D510" s="26">
        <f>VLOOKUP($C510,COS!$B$8:$H$991,3,FALSE)</f>
        <v>5902.6396484375</v>
      </c>
      <c r="E510" s="24">
        <f>IF(D510&gt;=IF(MONTH($C510)=4,$C$3,IF(MONTH($C510)=5,$C$4,IF(MONTH($C510)=6,$C$5,IF(MONTH($C510)=7,$C$6,"ERROR")))),1,0)</f>
        <v>0</v>
      </c>
      <c r="F510" s="26">
        <f>VLOOKUP($C510,COS!$B$8:$H$991,7,FALSE)</f>
        <v>52.327152252197266</v>
      </c>
      <c r="G510" s="24">
        <f>IF(F510&lt;=IF(MONTH($C510)=4,$F$3,IF(MONTH($C510)=5,$F$4,IF(MONTH($C510)=6,$F$5,IF(MONTH($C510)=7,$F$6,"ERROR")))),1,0)</f>
        <v>1</v>
      </c>
      <c r="H510" s="26">
        <f>IF(J510=1,D510-$C$4,0)</f>
        <v>0</v>
      </c>
      <c r="I510" s="26">
        <f t="shared" si="764"/>
        <v>0</v>
      </c>
      <c r="J510" s="24">
        <f t="shared" si="813"/>
        <v>0</v>
      </c>
      <c r="K510" s="26">
        <f>VLOOKUP($C510,COS!$B$8:$H$991,2,FALSE)</f>
        <v>1775.2607421875</v>
      </c>
      <c r="L510" s="24">
        <f t="shared" si="741"/>
        <v>1</v>
      </c>
      <c r="M510" s="24">
        <f t="shared" si="742"/>
        <v>1</v>
      </c>
      <c r="N510" s="26">
        <f>VLOOKUP($C510,COS!$B$8:$H$991,5,FALSE)</f>
        <v>129.15513610839844</v>
      </c>
      <c r="O510" s="26">
        <f t="shared" si="816"/>
        <v>7.941439773937887</v>
      </c>
      <c r="P510" s="26">
        <f>VLOOKUP($C510,COS!$B$8:$H$991,6,FALSE)</f>
        <v>1768.8984375</v>
      </c>
      <c r="Q510" s="26">
        <f t="shared" si="817"/>
        <v>108.76532541322314</v>
      </c>
      <c r="R510" s="26">
        <f>MIN(IF(MONTH($C510)=4,$S$3,IF(MONTH($C510)=5,$S$4,IF(MONTH($C510)=6,$S$5,IF(MONTH($C510)=7,$S$6,"ERROR")))),MAX(VLOOKUP($C510,COS!$B$8:$K$991,10,FALSE)-IF(MONTH($C510)=4,$Y$3,IF(MONTH($C510)=5,$Y$4,IF(MONTH($C510)=6,$Y$5,IF(MONTH($C510)=7,$Y$6,"ERROR")))),0),MAX(VLOOKUP($C510,COS!$B$8:$K$991,9,FALSE)-IF(MONTH($C510)=4,$V$3,IF(MONTH($C510)=5,$V$4,IF(MONTH($C510)=6,$V$5,IF(MONTH($C510)=7,$V$6,"ERROR"))))-VLOOKUP($C510,COS!$B$8:$K$991,6,FALSE)/2,0))</f>
        <v>1500</v>
      </c>
      <c r="S510" s="26">
        <f t="shared" si="818"/>
        <v>92.231404958677686</v>
      </c>
      <c r="T510" s="26">
        <f t="shared" si="819"/>
        <v>150.58478755225821</v>
      </c>
      <c r="U510" s="26" t="str">
        <f>IF(VLOOKUP($C510,COS!$B$8:$I$991,8,FALSE)=1,"UWFE","IBU")</f>
        <v>IBU</v>
      </c>
      <c r="V510" s="26">
        <f t="shared" ref="V510" si="821">MIN(IF(IF($AA$3=2,AND(E510=1,G510=1,L510=1,L514=1,M510=1,U510="IBU"),AND(E510=1,G510=1,L510=1,L514=1,M510=1)),T510,0),I510)</f>
        <v>0</v>
      </c>
      <c r="W510" s="26"/>
      <c r="X510" s="26"/>
      <c r="Y510" s="26"/>
      <c r="Z510" s="26"/>
      <c r="AA510" s="26"/>
      <c r="AB510" s="33"/>
    </row>
    <row r="511" spans="1:28" x14ac:dyDescent="0.3">
      <c r="A511" s="32">
        <f>VLOOKUP(YEAR(C511),Flags!$A$13:$B$95,2,FALSE)</f>
        <v>5</v>
      </c>
      <c r="B511" s="24">
        <f t="shared" si="739"/>
        <v>1977</v>
      </c>
      <c r="C511" s="25">
        <v>28306</v>
      </c>
      <c r="D511" s="26">
        <f>VLOOKUP($C511,COS!$B$8:$H$991,3,FALSE)</f>
        <v>12227.62890625</v>
      </c>
      <c r="E511" s="24">
        <f>IF(D511&gt;=IF(MONTH($C511)=4,$C$3,IF(MONTH($C511)=5,$C$4,IF(MONTH($C511)=6,$C$5,IF(MONTH($C511)=7,$C$6,"ERROR")))),1,0)</f>
        <v>1</v>
      </c>
      <c r="F511" s="26">
        <f>VLOOKUP($C511,COS!$B$8:$H$991,7,FALSE)</f>
        <v>54.287090301513672</v>
      </c>
      <c r="G511" s="24">
        <f>IF(F511&lt;=IF(MONTH($C511)=4,$F$3,IF(MONTH($C511)=5,$F$4,IF(MONTH($C511)=6,$F$5,IF(MONTH($C511)=7,$F$6,"ERROR")))),1,0)</f>
        <v>1</v>
      </c>
      <c r="H511" s="26">
        <f>IF(J511=1,D511-$C$5,0)</f>
        <v>2227.62890625</v>
      </c>
      <c r="I511" s="26">
        <f t="shared" si="764"/>
        <v>132.55312499999999</v>
      </c>
      <c r="J511" s="24">
        <f t="shared" si="813"/>
        <v>1</v>
      </c>
      <c r="K511" s="26">
        <f>VLOOKUP($C511,COS!$B$8:$H$991,2,FALSE)</f>
        <v>1227.3997802734375</v>
      </c>
      <c r="L511" s="24">
        <f t="shared" si="741"/>
        <v>1</v>
      </c>
      <c r="M511" s="24">
        <f t="shared" si="742"/>
        <v>1</v>
      </c>
      <c r="N511" s="26">
        <f>VLOOKUP($C511,COS!$B$8:$H$991,5,FALSE)</f>
        <v>215.26878356933594</v>
      </c>
      <c r="O511" s="26">
        <f t="shared" si="816"/>
        <v>12.809382162803461</v>
      </c>
      <c r="P511" s="26">
        <f>VLOOKUP($C511,COS!$B$8:$H$991,6,FALSE)</f>
        <v>2477.72265625</v>
      </c>
      <c r="Q511" s="26">
        <f t="shared" si="817"/>
        <v>147.43473657024794</v>
      </c>
      <c r="R511" s="26">
        <f>MIN(IF(MONTH($C511)=4,$S$3,IF(MONTH($C511)=5,$S$4,IF(MONTH($C511)=6,$S$5,IF(MONTH($C511)=7,$S$6,"ERROR")))),MAX(VLOOKUP($C511,COS!$B$8:$K$991,10,FALSE)-IF(MONTH($C511)=4,$Y$3,IF(MONTH($C511)=5,$Y$4,IF(MONTH($C511)=6,$Y$5,IF(MONTH($C511)=7,$Y$6,"ERROR")))),0),MAX(VLOOKUP($C511,COS!$B$8:$K$991,9,FALSE)-IF(MONTH($C511)=4,$V$3,IF(MONTH($C511)=5,$V$4,IF(MONTH($C511)=6,$V$5,IF(MONTH($C511)=7,$V$6,"ERROR"))))-VLOOKUP($C511,COS!$B$8:$K$991,6,FALSE)/2,0))</f>
        <v>1500</v>
      </c>
      <c r="S511" s="26">
        <f t="shared" si="818"/>
        <v>89.256198347107429</v>
      </c>
      <c r="T511" s="26">
        <f t="shared" si="819"/>
        <v>169.37825771363313</v>
      </c>
      <c r="U511" s="26" t="str">
        <f>IF(VLOOKUP($C511,COS!$B$8:$I$991,8,FALSE)=1,"UWFE","IBU")</f>
        <v>IBU</v>
      </c>
      <c r="V511" s="26">
        <f t="shared" ref="V511" si="822">MIN(IF(IF($AA$3=2,AND(E511=1,G511=1,L511=1,L514=1,M511=1,U511="IBU"),AND(E511=1,G511=1,L511=1,L514=1,M511=1)),T511,0),I511)</f>
        <v>0</v>
      </c>
      <c r="W511" s="26"/>
      <c r="X511" s="26"/>
      <c r="Y511" s="26"/>
      <c r="Z511" s="26"/>
      <c r="AA511" s="26"/>
      <c r="AB511" s="33"/>
    </row>
    <row r="512" spans="1:28" x14ac:dyDescent="0.3">
      <c r="A512" s="32">
        <f>VLOOKUP(YEAR(C512),Flags!$A$13:$B$95,2,FALSE)</f>
        <v>5</v>
      </c>
      <c r="B512" s="24">
        <f t="shared" si="739"/>
        <v>1977</v>
      </c>
      <c r="C512" s="25">
        <v>28337</v>
      </c>
      <c r="D512" s="26">
        <f>VLOOKUP($C512,COS!$B$8:$H$991,3,FALSE)</f>
        <v>12847.9814453125</v>
      </c>
      <c r="E512" s="24">
        <f>IF(D512&gt;=IF(MONTH($C512)=4,$C$3,IF(MONTH($C512)=5,$C$4,IF(MONTH($C512)=6,$C$5,IF(MONTH($C512)=7,$C$6,"ERROR")))),1,0)</f>
        <v>1</v>
      </c>
      <c r="F512" s="26">
        <f>VLOOKUP($C512,COS!$B$8:$H$991,7,FALSE)</f>
        <v>56.79901123046875</v>
      </c>
      <c r="G512" s="24">
        <f>IF(F512&lt;=IF(MONTH($C512)=4,$F$3,IF(MONTH($C512)=5,$F$4,IF(MONTH($C512)=6,$F$5,IF(MONTH($C512)=7,$F$6,"ERROR")))),1,0)</f>
        <v>0</v>
      </c>
      <c r="H512" s="26">
        <f>IF(J512=1,D512-$C$6,0)</f>
        <v>0</v>
      </c>
      <c r="I512" s="26">
        <f t="shared" si="764"/>
        <v>0</v>
      </c>
      <c r="J512" s="24">
        <f t="shared" si="813"/>
        <v>0</v>
      </c>
      <c r="K512" s="26">
        <f>VLOOKUP($C512,COS!$B$8:$H$991,2,FALSE)</f>
        <v>674.0113525390625</v>
      </c>
      <c r="L512" s="24">
        <f t="shared" si="741"/>
        <v>1</v>
      </c>
      <c r="M512" s="24">
        <f t="shared" si="742"/>
        <v>1</v>
      </c>
      <c r="N512" s="26">
        <f>VLOOKUP($C512,COS!$B$8:$H$991,5,FALSE)</f>
        <v>236.5211181640625</v>
      </c>
      <c r="O512" s="26">
        <f t="shared" si="816"/>
        <v>14.543116687112603</v>
      </c>
      <c r="P512" s="26">
        <f>VLOOKUP($C512,COS!$B$8:$H$991,6,FALSE)</f>
        <v>2273.37158203125</v>
      </c>
      <c r="Q512" s="26">
        <f t="shared" si="817"/>
        <v>139.78417000258267</v>
      </c>
      <c r="R512" s="26">
        <f>MIN(IF(MONTH($C512)=4,$S$3,IF(MONTH($C512)=5,$S$4,IF(MONTH($C512)=6,$S$5,IF(MONTH($C512)=7,$S$6,"ERROR")))),MAX(VLOOKUP($C512,COS!$B$8:$K$991,10,FALSE)-IF(MONTH($C512)=4,$Y$3,IF(MONTH($C512)=5,$Y$4,IF(MONTH($C512)=6,$Y$5,IF(MONTH($C512)=7,$Y$6,"ERROR")))),0),MAX(VLOOKUP($C512,COS!$B$8:$K$991,9,FALSE)-IF(MONTH($C512)=4,$V$3,IF(MONTH($C512)=5,$V$4,IF(MONTH($C512)=6,$V$5,IF(MONTH($C512)=7,$V$6,"ERROR"))))-VLOOKUP($C512,COS!$B$8:$K$991,6,FALSE)/2,0))</f>
        <v>1500</v>
      </c>
      <c r="S512" s="26">
        <f t="shared" si="818"/>
        <v>92.231404958677686</v>
      </c>
      <c r="T512" s="26">
        <f t="shared" si="819"/>
        <v>169.39504830352533</v>
      </c>
      <c r="U512" s="26" t="str">
        <f>IF(VLOOKUP($C512,COS!$B$8:$I$991,8,FALSE)=1,"UWFE","IBU")</f>
        <v>IBU</v>
      </c>
      <c r="V512" s="26">
        <f t="shared" ref="V512" si="823">MIN(IF(IF($AA$3=2,AND(E512=1,G512=1,L512=1,L514=1,M512=1,U512="IBU"),AND(E512=1,G512=1,L512=1,L514=1,M512=1)),T512,0),I512)</f>
        <v>0</v>
      </c>
      <c r="W512" s="26"/>
      <c r="X512" s="26"/>
      <c r="Y512" s="26"/>
      <c r="Z512" s="26"/>
      <c r="AA512" s="26"/>
      <c r="AB512" s="33"/>
    </row>
    <row r="513" spans="1:28" x14ac:dyDescent="0.3">
      <c r="A513" s="32">
        <f>VLOOKUP(YEAR(C513),Flags!$A$13:$B$95,2,FALSE)</f>
        <v>5</v>
      </c>
      <c r="B513" s="24">
        <f t="shared" si="739"/>
        <v>1977</v>
      </c>
      <c r="C513" s="25">
        <v>28368</v>
      </c>
      <c r="D513" s="26"/>
      <c r="E513" s="24"/>
      <c r="F513" s="26"/>
      <c r="G513" s="24"/>
      <c r="H513" s="24"/>
      <c r="I513" s="26"/>
      <c r="J513" s="24"/>
      <c r="K513" s="26"/>
      <c r="L513" s="24"/>
      <c r="M513" s="24"/>
      <c r="N513" s="26"/>
      <c r="O513" s="26"/>
      <c r="P513" s="26"/>
      <c r="Q513" s="26"/>
      <c r="R513" s="26"/>
      <c r="S513" s="26"/>
      <c r="T513" s="26"/>
      <c r="U513" s="26"/>
      <c r="V513" s="26"/>
      <c r="W513" s="26">
        <f>MAX($C$7-VLOOKUP($C513,COS!$B$8:$H$991,3,FALSE),0)</f>
        <v>2812.39453125</v>
      </c>
      <c r="X513" s="26">
        <f t="shared" si="769"/>
        <v>172.92739927685952</v>
      </c>
      <c r="Y513" s="26">
        <f>VLOOKUP($C513,COS!$B$8:$H$991,4,FALSE)</f>
        <v>3103.3232421875</v>
      </c>
      <c r="Z513" s="26">
        <f t="shared" si="770"/>
        <v>190.81590844524794</v>
      </c>
      <c r="AA513" s="26">
        <f t="shared" ref="AA513:AA517" si="824">MIN(W513,Y513)</f>
        <v>2812.39453125</v>
      </c>
      <c r="AB513" s="33">
        <f t="shared" ref="AB513" si="825">AA513*DAY($C513)*86400/43560/1000*IF(MONTH($C513)=8,$P$3,IF(MONTH($C513)=9,$P$4,IF(MONTH($C513)=10,$P$5,IF(MONTH($C513)=11,$P$6,IF(MONTH($C513)=12,$P$7,NA())))))</f>
        <v>172.92739927685952</v>
      </c>
    </row>
    <row r="514" spans="1:28" x14ac:dyDescent="0.3">
      <c r="A514" s="32">
        <f>VLOOKUP(YEAR(C514),Flags!$A$13:$B$95,2,FALSE)</f>
        <v>5</v>
      </c>
      <c r="B514" s="24">
        <f t="shared" si="739"/>
        <v>1977</v>
      </c>
      <c r="C514" s="25">
        <v>28398</v>
      </c>
      <c r="D514" s="26"/>
      <c r="E514" s="24"/>
      <c r="F514" s="26"/>
      <c r="G514" s="24"/>
      <c r="H514" s="24"/>
      <c r="I514" s="26"/>
      <c r="J514" s="24"/>
      <c r="K514" s="26">
        <f>VLOOKUP($C514,COS!$B$8:$H$991,2,FALSE)</f>
        <v>550</v>
      </c>
      <c r="L514" s="24">
        <f t="shared" ref="L514" si="826">IF(AND(K514&gt;$I$7,K514&lt;$I$8),1,0)</f>
        <v>0</v>
      </c>
      <c r="M514" s="24"/>
      <c r="N514" s="26"/>
      <c r="O514" s="26"/>
      <c r="P514" s="26"/>
      <c r="Q514" s="26"/>
      <c r="R514" s="26"/>
      <c r="S514" s="26"/>
      <c r="T514" s="26"/>
      <c r="U514" s="26"/>
      <c r="V514" s="26"/>
      <c r="W514" s="26">
        <f>MAX($C$8-VLOOKUP($C514,COS!$B$8:$H$991,3,FALSE),0)</f>
        <v>2011.7861328125</v>
      </c>
      <c r="X514" s="26">
        <f t="shared" si="769"/>
        <v>119.70958806818183</v>
      </c>
      <c r="Y514" s="26">
        <f>VLOOKUP($C514,COS!$B$8:$H$991,4,FALSE)</f>
        <v>2002.165283203125</v>
      </c>
      <c r="Z514" s="26">
        <f t="shared" si="770"/>
        <v>119.13710776084712</v>
      </c>
      <c r="AA514" s="26">
        <f t="shared" si="824"/>
        <v>2002.165283203125</v>
      </c>
      <c r="AB514" s="33">
        <f t="shared" si="752"/>
        <v>119.13710776084712</v>
      </c>
    </row>
    <row r="515" spans="1:28" x14ac:dyDescent="0.3">
      <c r="A515" s="32">
        <f>VLOOKUP(YEAR(C515),Flags!$A$13:$B$95,2,FALSE)</f>
        <v>5</v>
      </c>
      <c r="B515" s="24">
        <f t="shared" si="739"/>
        <v>1977</v>
      </c>
      <c r="C515" s="25">
        <v>28429</v>
      </c>
      <c r="D515" s="26"/>
      <c r="E515" s="24"/>
      <c r="F515" s="26"/>
      <c r="G515" s="26"/>
      <c r="H515" s="26"/>
      <c r="I515" s="26"/>
      <c r="J515" s="26"/>
      <c r="K515" s="26"/>
      <c r="L515" s="24"/>
      <c r="M515" s="24"/>
      <c r="N515" s="26"/>
      <c r="O515" s="26"/>
      <c r="P515" s="26"/>
      <c r="Q515" s="26"/>
      <c r="R515" s="26"/>
      <c r="S515" s="26"/>
      <c r="T515" s="26"/>
      <c r="U515" s="26"/>
      <c r="V515" s="26"/>
      <c r="W515" s="26">
        <f>MAX($C$9-VLOOKUP($C515,COS!$B$8:$H$991,3,FALSE),0)</f>
        <v>0</v>
      </c>
      <c r="X515" s="26">
        <f t="shared" si="769"/>
        <v>0</v>
      </c>
      <c r="Y515" s="26">
        <f>VLOOKUP($C515,COS!$B$8:$H$991,4,FALSE)</f>
        <v>1799.302734375</v>
      </c>
      <c r="Z515" s="26">
        <f t="shared" si="770"/>
        <v>110.63481275826447</v>
      </c>
      <c r="AA515" s="26">
        <f t="shared" si="824"/>
        <v>0</v>
      </c>
      <c r="AB515" s="33">
        <f t="shared" si="752"/>
        <v>0</v>
      </c>
    </row>
    <row r="516" spans="1:28" x14ac:dyDescent="0.3">
      <c r="A516" s="32">
        <f>VLOOKUP(YEAR(C516),Flags!$A$13:$B$95,2,FALSE)</f>
        <v>5</v>
      </c>
      <c r="B516" s="24">
        <f t="shared" si="739"/>
        <v>1977</v>
      </c>
      <c r="C516" s="25">
        <v>28459</v>
      </c>
      <c r="D516" s="26"/>
      <c r="E516" s="24"/>
      <c r="F516" s="26"/>
      <c r="G516" s="26"/>
      <c r="H516" s="26"/>
      <c r="I516" s="26"/>
      <c r="J516" s="26"/>
      <c r="K516" s="26"/>
      <c r="L516" s="24"/>
      <c r="M516" s="24"/>
      <c r="N516" s="26"/>
      <c r="O516" s="26"/>
      <c r="P516" s="26"/>
      <c r="Q516" s="26"/>
      <c r="R516" s="26"/>
      <c r="S516" s="26"/>
      <c r="T516" s="26"/>
      <c r="U516" s="26"/>
      <c r="V516" s="26"/>
      <c r="W516" s="26">
        <f>MAX($C$10-VLOOKUP($C516,COS!$B$8:$H$991,3,FALSE),0)</f>
        <v>1635.680419921875</v>
      </c>
      <c r="X516" s="26">
        <f t="shared" si="769"/>
        <v>97.329743995351237</v>
      </c>
      <c r="Y516" s="26">
        <f>VLOOKUP($C516,COS!$B$8:$H$991,4,FALSE)</f>
        <v>1647.787109375</v>
      </c>
      <c r="Z516" s="26">
        <f t="shared" si="770"/>
        <v>98.05014204545455</v>
      </c>
      <c r="AA516" s="26">
        <f t="shared" si="824"/>
        <v>1635.680419921875</v>
      </c>
      <c r="AB516" s="33">
        <f t="shared" si="752"/>
        <v>97.329743995351237</v>
      </c>
    </row>
    <row r="517" spans="1:28" x14ac:dyDescent="0.3">
      <c r="A517" s="34">
        <f>VLOOKUP(YEAR(C517),Flags!$A$13:$B$95,2,FALSE)</f>
        <v>5</v>
      </c>
      <c r="B517" s="35">
        <f t="shared" si="739"/>
        <v>1977</v>
      </c>
      <c r="C517" s="36">
        <v>28490</v>
      </c>
      <c r="D517" s="37"/>
      <c r="E517" s="35"/>
      <c r="F517" s="37"/>
      <c r="G517" s="37"/>
      <c r="H517" s="37"/>
      <c r="I517" s="37"/>
      <c r="J517" s="37"/>
      <c r="K517" s="37"/>
      <c r="L517" s="35"/>
      <c r="M517" s="35"/>
      <c r="N517" s="37"/>
      <c r="O517" s="37"/>
      <c r="P517" s="37"/>
      <c r="Q517" s="37"/>
      <c r="R517" s="37"/>
      <c r="S517" s="37"/>
      <c r="T517" s="37"/>
      <c r="U517" s="37"/>
      <c r="V517" s="37"/>
      <c r="W517" s="37">
        <f>MAX($C$11-VLOOKUP($C517,COS!$B$8:$H$991,3,FALSE),0)</f>
        <v>1750</v>
      </c>
      <c r="X517" s="37">
        <f t="shared" si="769"/>
        <v>107.60330578512398</v>
      </c>
      <c r="Y517" s="37">
        <f>VLOOKUP($C517,COS!$B$8:$H$991,4,FALSE)</f>
        <v>1898.17529296875</v>
      </c>
      <c r="Z517" s="37">
        <f t="shared" si="770"/>
        <v>116.71424941890496</v>
      </c>
      <c r="AA517" s="37">
        <f t="shared" si="824"/>
        <v>1750</v>
      </c>
      <c r="AB517" s="38">
        <f t="shared" si="752"/>
        <v>107.60330578512398</v>
      </c>
    </row>
    <row r="518" spans="1:28" x14ac:dyDescent="0.3">
      <c r="A518" s="27">
        <f>VLOOKUP(YEAR(C518),Flags!$A$13:$B$95,2,FALSE)</f>
        <v>2</v>
      </c>
      <c r="B518" s="28">
        <f t="shared" si="739"/>
        <v>1978</v>
      </c>
      <c r="C518" s="29">
        <v>28610</v>
      </c>
      <c r="D518" s="30">
        <f>VLOOKUP($C518,COS!$B$8:$H$991,3,FALSE)</f>
        <v>5366.947265625</v>
      </c>
      <c r="E518" s="28">
        <f>IF(D518&gt;=IF(MONTH($C518)=4,$C$3,IF(MONTH($C518)=5,$C$4,IF(MONTH($C518)=6,$C$5,IF(MONTH($C518)=7,$C$6,"ERROR")))),1,0)</f>
        <v>0</v>
      </c>
      <c r="F518" s="30">
        <f>VLOOKUP($C518,COS!$B$8:$H$991,7,FALSE)</f>
        <v>47.174221038818359</v>
      </c>
      <c r="G518" s="28">
        <f>IF(F518&lt;=IF(MONTH($C518)=4,$F$3,IF(MONTH($C518)=5,$F$4,IF(MONTH($C518)=6,$F$5,IF(MONTH($C518)=7,$F$6,"ERROR")))),1,0)</f>
        <v>1</v>
      </c>
      <c r="H518" s="30">
        <f>IF(J518=1,D518-$C$3,0)</f>
        <v>0</v>
      </c>
      <c r="I518" s="30">
        <f t="shared" si="764"/>
        <v>0</v>
      </c>
      <c r="J518" s="28">
        <f t="shared" ref="J518:J521" si="827">IF(AND(E518=1,G518=1),1,0)</f>
        <v>0</v>
      </c>
      <c r="K518" s="30">
        <f>VLOOKUP($C518,COS!$B$8:$H$991,2,FALSE)</f>
        <v>4552</v>
      </c>
      <c r="L518" s="28">
        <f t="shared" ref="L518" si="828">IF(K518&lt;=IF(MONTH($C518)=4,$I$3,IF(MONTH($C518)=5,$I$4,IF(MONTH($C518)=6,$I$5,IF(MONTH($C518)=7,$I$6,"ERROR")))),1,0)</f>
        <v>1</v>
      </c>
      <c r="M518" s="28">
        <f t="shared" ref="M518" si="829">VLOOKUP($A518,$L$3:$M$7,2,FALSE)</f>
        <v>0</v>
      </c>
      <c r="N518" s="30">
        <f>VLOOKUP($C518,COS!$B$8:$H$991,5,FALSE)</f>
        <v>14.349928855895996</v>
      </c>
      <c r="O518" s="30">
        <f t="shared" ref="O518:O521" si="830">N518*DAY($C518)*86400/43560/1000</f>
        <v>0.85388006415248896</v>
      </c>
      <c r="P518" s="30">
        <f>VLOOKUP($C518,COS!$B$8:$H$991,6,FALSE)</f>
        <v>353.44631958007813</v>
      </c>
      <c r="Q518" s="30">
        <f t="shared" ref="Q518:Q521" si="831">P518*DAY($C518)*86400/43560/1000</f>
        <v>21.031516536996385</v>
      </c>
      <c r="R518" s="30">
        <f>MIN(IF(MONTH($C518)=4,$S$3,IF(MONTH($C518)=5,$S$4,IF(MONTH($C518)=6,$S$5,IF(MONTH($C518)=7,$S$6,"ERROR")))),MAX(VLOOKUP($C518,COS!$B$8:$K$991,10,FALSE)-IF(MONTH($C518)=4,$Y$3,IF(MONTH($C518)=5,$Y$4,IF(MONTH($C518)=6,$Y$5,IF(MONTH($C518)=7,$Y$6,"ERROR")))),0),MAX(VLOOKUP($C518,COS!$B$8:$K$991,9,FALSE)-IF(MONTH($C518)=4,$V$3,IF(MONTH($C518)=5,$V$4,IF(MONTH($C518)=6,$V$5,IF(MONTH($C518)=7,$V$6,"ERROR"))))-VLOOKUP($C518,COS!$B$8:$K$991,6,FALSE)/2,0))</f>
        <v>1500</v>
      </c>
      <c r="S518" s="30">
        <f t="shared" ref="S518:S521" si="832">R518*DAY($C518)*86400/43560/1000</f>
        <v>89.256198347107429</v>
      </c>
      <c r="T518" s="30">
        <f t="shared" ref="T518:T521" si="833">(O518+Q518)/2+S518</f>
        <v>100.19889664768186</v>
      </c>
      <c r="U518" s="30" t="str">
        <f>IF(VLOOKUP($C518,COS!$B$8:$I$991,8,FALSE)=1,"UWFE","IBU")</f>
        <v>UWFE</v>
      </c>
      <c r="V518" s="30">
        <f t="shared" ref="V518" si="834">MIN(IF(IF($AA$3=2,AND(E518=1,G518=1,L518=1,L523=1,M518=1,U518="IBU"),AND(E518=1,G518=1,L518=1,L523=1,M518=1)),T518,0),I518)</f>
        <v>0</v>
      </c>
      <c r="W518" s="30"/>
      <c r="X518" s="30"/>
      <c r="Y518" s="30"/>
      <c r="Z518" s="30"/>
      <c r="AA518" s="30"/>
      <c r="AB518" s="31"/>
    </row>
    <row r="519" spans="1:28" x14ac:dyDescent="0.3">
      <c r="A519" s="32">
        <f>VLOOKUP(YEAR(C519),Flags!$A$13:$B$95,2,FALSE)</f>
        <v>2</v>
      </c>
      <c r="B519" s="24">
        <f t="shared" si="739"/>
        <v>1978</v>
      </c>
      <c r="C519" s="25">
        <v>28641</v>
      </c>
      <c r="D519" s="26">
        <f>VLOOKUP($C519,COS!$B$8:$H$991,3,FALSE)</f>
        <v>8295.84765625</v>
      </c>
      <c r="E519" s="24">
        <f>IF(D519&gt;=IF(MONTH($C519)=4,$C$3,IF(MONTH($C519)=5,$C$4,IF(MONTH($C519)=6,$C$5,IF(MONTH($C519)=7,$C$6,"ERROR")))),1,0)</f>
        <v>1</v>
      </c>
      <c r="F519" s="26">
        <f>VLOOKUP($C519,COS!$B$8:$H$991,7,FALSE)</f>
        <v>48.754131317138672</v>
      </c>
      <c r="G519" s="24">
        <f>IF(F519&lt;=IF(MONTH($C519)=4,$F$3,IF(MONTH($C519)=5,$F$4,IF(MONTH($C519)=6,$F$5,IF(MONTH($C519)=7,$F$6,"ERROR")))),1,0)</f>
        <v>1</v>
      </c>
      <c r="H519" s="26">
        <f>IF(J519=1,D519-$C$4,0)</f>
        <v>2295.84765625</v>
      </c>
      <c r="I519" s="26">
        <f t="shared" si="764"/>
        <v>141.16616993801654</v>
      </c>
      <c r="J519" s="24">
        <f t="shared" si="827"/>
        <v>1</v>
      </c>
      <c r="K519" s="26">
        <f>VLOOKUP($C519,COS!$B$8:$H$991,2,FALSE)</f>
        <v>4552</v>
      </c>
      <c r="L519" s="24">
        <f t="shared" si="741"/>
        <v>1</v>
      </c>
      <c r="M519" s="24">
        <f t="shared" si="742"/>
        <v>0</v>
      </c>
      <c r="N519" s="26">
        <f>VLOOKUP($C519,COS!$B$8:$H$991,5,FALSE)</f>
        <v>802.34027099609375</v>
      </c>
      <c r="O519" s="26">
        <f t="shared" si="830"/>
        <v>49.333980299263942</v>
      </c>
      <c r="P519" s="26">
        <f>VLOOKUP($C519,COS!$B$8:$H$991,6,FALSE)</f>
        <v>2254.8779296875</v>
      </c>
      <c r="Q519" s="26">
        <f t="shared" si="831"/>
        <v>138.64703964359506</v>
      </c>
      <c r="R519" s="26">
        <f>MIN(IF(MONTH($C519)=4,$S$3,IF(MONTH($C519)=5,$S$4,IF(MONTH($C519)=6,$S$5,IF(MONTH($C519)=7,$S$6,"ERROR")))),MAX(VLOOKUP($C519,COS!$B$8:$K$991,10,FALSE)-IF(MONTH($C519)=4,$Y$3,IF(MONTH($C519)=5,$Y$4,IF(MONTH($C519)=6,$Y$5,IF(MONTH($C519)=7,$Y$6,"ERROR")))),0),MAX(VLOOKUP($C519,COS!$B$8:$K$991,9,FALSE)-IF(MONTH($C519)=4,$V$3,IF(MONTH($C519)=5,$V$4,IF(MONTH($C519)=6,$V$5,IF(MONTH($C519)=7,$V$6,"ERROR"))))-VLOOKUP($C519,COS!$B$8:$K$991,6,FALSE)/2,0))</f>
        <v>1500</v>
      </c>
      <c r="S519" s="26">
        <f t="shared" si="832"/>
        <v>92.231404958677686</v>
      </c>
      <c r="T519" s="26">
        <f t="shared" si="833"/>
        <v>186.22191493010718</v>
      </c>
      <c r="U519" s="26" t="str">
        <f>IF(VLOOKUP($C519,COS!$B$8:$I$991,8,FALSE)=1,"UWFE","IBU")</f>
        <v>UWFE</v>
      </c>
      <c r="V519" s="26">
        <f t="shared" ref="V519" si="835">MIN(IF(IF($AA$3=2,AND(E519=1,G519=1,L519=1,L523=1,M519=1,U519="IBU"),AND(E519=1,G519=1,L519=1,L523=1,M519=1)),T519,0),I519)</f>
        <v>0</v>
      </c>
      <c r="W519" s="26"/>
      <c r="X519" s="26"/>
      <c r="Y519" s="26"/>
      <c r="Z519" s="26"/>
      <c r="AA519" s="26"/>
      <c r="AB519" s="33"/>
    </row>
    <row r="520" spans="1:28" x14ac:dyDescent="0.3">
      <c r="A520" s="32">
        <f>VLOOKUP(YEAR(C520),Flags!$A$13:$B$95,2,FALSE)</f>
        <v>2</v>
      </c>
      <c r="B520" s="24">
        <f t="shared" si="739"/>
        <v>1978</v>
      </c>
      <c r="C520" s="25">
        <v>28671</v>
      </c>
      <c r="D520" s="26">
        <f>VLOOKUP($C520,COS!$B$8:$H$991,3,FALSE)</f>
        <v>9561.716796875</v>
      </c>
      <c r="E520" s="24">
        <f>IF(D520&gt;=IF(MONTH($C520)=4,$C$3,IF(MONTH($C520)=5,$C$4,IF(MONTH($C520)=6,$C$5,IF(MONTH($C520)=7,$C$6,"ERROR")))),1,0)</f>
        <v>0</v>
      </c>
      <c r="F520" s="26">
        <f>VLOOKUP($C520,COS!$B$8:$H$991,7,FALSE)</f>
        <v>49.9637451171875</v>
      </c>
      <c r="G520" s="24">
        <f>IF(F520&lt;=IF(MONTH($C520)=4,$F$3,IF(MONTH($C520)=5,$F$4,IF(MONTH($C520)=6,$F$5,IF(MONTH($C520)=7,$F$6,"ERROR")))),1,0)</f>
        <v>1</v>
      </c>
      <c r="H520" s="26">
        <f>IF(J520=1,D520-$C$5,0)</f>
        <v>0</v>
      </c>
      <c r="I520" s="26">
        <f t="shared" si="764"/>
        <v>0</v>
      </c>
      <c r="J520" s="24">
        <f t="shared" si="827"/>
        <v>0</v>
      </c>
      <c r="K520" s="26">
        <f>VLOOKUP($C520,COS!$B$8:$H$991,2,FALSE)</f>
        <v>4231.4814453125</v>
      </c>
      <c r="L520" s="24">
        <f t="shared" si="741"/>
        <v>1</v>
      </c>
      <c r="M520" s="24">
        <f t="shared" si="742"/>
        <v>0</v>
      </c>
      <c r="N520" s="26">
        <f>VLOOKUP($C520,COS!$B$8:$H$991,5,FALSE)</f>
        <v>1242.423828125</v>
      </c>
      <c r="O520" s="26">
        <f t="shared" si="830"/>
        <v>73.929351756198344</v>
      </c>
      <c r="P520" s="26">
        <f>VLOOKUP($C520,COS!$B$8:$H$991,6,FALSE)</f>
        <v>2349.44482421875</v>
      </c>
      <c r="Q520" s="26">
        <f t="shared" si="831"/>
        <v>139.80167549070248</v>
      </c>
      <c r="R520" s="26">
        <f>MIN(IF(MONTH($C520)=4,$S$3,IF(MONTH($C520)=5,$S$4,IF(MONTH($C520)=6,$S$5,IF(MONTH($C520)=7,$S$6,"ERROR")))),MAX(VLOOKUP($C520,COS!$B$8:$K$991,10,FALSE)-IF(MONTH($C520)=4,$Y$3,IF(MONTH($C520)=5,$Y$4,IF(MONTH($C520)=6,$Y$5,IF(MONTH($C520)=7,$Y$6,"ERROR")))),0),MAX(VLOOKUP($C520,COS!$B$8:$K$991,9,FALSE)-IF(MONTH($C520)=4,$V$3,IF(MONTH($C520)=5,$V$4,IF(MONTH($C520)=6,$V$5,IF(MONTH($C520)=7,$V$6,"ERROR"))))-VLOOKUP($C520,COS!$B$8:$K$991,6,FALSE)/2,0))</f>
        <v>1500</v>
      </c>
      <c r="S520" s="26">
        <f t="shared" si="832"/>
        <v>89.256198347107429</v>
      </c>
      <c r="T520" s="26">
        <f t="shared" si="833"/>
        <v>196.12171197055784</v>
      </c>
      <c r="U520" s="26" t="str">
        <f>IF(VLOOKUP($C520,COS!$B$8:$I$991,8,FALSE)=1,"UWFE","IBU")</f>
        <v>UWFE</v>
      </c>
      <c r="V520" s="26">
        <f t="shared" ref="V520" si="836">MIN(IF(IF($AA$3=2,AND(E520=1,G520=1,L520=1,L523=1,M520=1,U520="IBU"),AND(E520=1,G520=1,L520=1,L523=1,M520=1)),T520,0),I520)</f>
        <v>0</v>
      </c>
      <c r="W520" s="26"/>
      <c r="X520" s="26"/>
      <c r="Y520" s="26"/>
      <c r="Z520" s="26"/>
      <c r="AA520" s="26"/>
      <c r="AB520" s="33"/>
    </row>
    <row r="521" spans="1:28" x14ac:dyDescent="0.3">
      <c r="A521" s="32">
        <f>VLOOKUP(YEAR(C521),Flags!$A$13:$B$95,2,FALSE)</f>
        <v>2</v>
      </c>
      <c r="B521" s="24">
        <f t="shared" si="739"/>
        <v>1978</v>
      </c>
      <c r="C521" s="25">
        <v>28702</v>
      </c>
      <c r="D521" s="26">
        <f>VLOOKUP($C521,COS!$B$8:$H$991,3,FALSE)</f>
        <v>13248.9892578125</v>
      </c>
      <c r="E521" s="24">
        <f>IF(D521&gt;=IF(MONTH($C521)=4,$C$3,IF(MONTH($C521)=5,$C$4,IF(MONTH($C521)=6,$C$5,IF(MONTH($C521)=7,$C$6,"ERROR")))),1,0)</f>
        <v>1</v>
      </c>
      <c r="F521" s="26">
        <f>VLOOKUP($C521,COS!$B$8:$H$991,7,FALSE)</f>
        <v>50.877964019775391</v>
      </c>
      <c r="G521" s="24">
        <f>IF(F521&lt;=IF(MONTH($C521)=4,$F$3,IF(MONTH($C521)=5,$F$4,IF(MONTH($C521)=6,$F$5,IF(MONTH($C521)=7,$F$6,"ERROR")))),1,0)</f>
        <v>1</v>
      </c>
      <c r="H521" s="26">
        <f>IF(J521=1,D521-$C$6,0)</f>
        <v>1248.9892578125</v>
      </c>
      <c r="I521" s="26">
        <f t="shared" si="764"/>
        <v>76.797356017561981</v>
      </c>
      <c r="J521" s="24">
        <f t="shared" si="827"/>
        <v>1</v>
      </c>
      <c r="K521" s="26">
        <f>VLOOKUP($C521,COS!$B$8:$H$991,2,FALSE)</f>
        <v>3678.985107421875</v>
      </c>
      <c r="L521" s="24">
        <f t="shared" si="741"/>
        <v>1</v>
      </c>
      <c r="M521" s="24">
        <f t="shared" si="742"/>
        <v>0</v>
      </c>
      <c r="N521" s="26">
        <f>VLOOKUP($C521,COS!$B$8:$H$991,5,FALSE)</f>
        <v>1355.9876708984375</v>
      </c>
      <c r="O521" s="26">
        <f t="shared" si="830"/>
        <v>83.376431995738628</v>
      </c>
      <c r="P521" s="26">
        <f>VLOOKUP($C521,COS!$B$8:$H$991,6,FALSE)</f>
        <v>2562.892822265625</v>
      </c>
      <c r="Q521" s="26">
        <f t="shared" si="831"/>
        <v>157.58613717071282</v>
      </c>
      <c r="R521" s="26">
        <f>MIN(IF(MONTH($C521)=4,$S$3,IF(MONTH($C521)=5,$S$4,IF(MONTH($C521)=6,$S$5,IF(MONTH($C521)=7,$S$6,"ERROR")))),MAX(VLOOKUP($C521,COS!$B$8:$K$991,10,FALSE)-IF(MONTH($C521)=4,$Y$3,IF(MONTH($C521)=5,$Y$4,IF(MONTH($C521)=6,$Y$5,IF(MONTH($C521)=7,$Y$6,"ERROR")))),0),MAX(VLOOKUP($C521,COS!$B$8:$K$991,9,FALSE)-IF(MONTH($C521)=4,$V$3,IF(MONTH($C521)=5,$V$4,IF(MONTH($C521)=6,$V$5,IF(MONTH($C521)=7,$V$6,"ERROR"))))-VLOOKUP($C521,COS!$B$8:$K$991,6,FALSE)/2,0))</f>
        <v>1500</v>
      </c>
      <c r="S521" s="26">
        <f t="shared" si="832"/>
        <v>92.231404958677686</v>
      </c>
      <c r="T521" s="26">
        <f t="shared" si="833"/>
        <v>212.71268954190339</v>
      </c>
      <c r="U521" s="26" t="str">
        <f>IF(VLOOKUP($C521,COS!$B$8:$I$991,8,FALSE)=1,"UWFE","IBU")</f>
        <v>IBU</v>
      </c>
      <c r="V521" s="26">
        <f t="shared" ref="V521" si="837">MIN(IF(IF($AA$3=2,AND(E521=1,G521=1,L521=1,L523=1,M521=1,U521="IBU"),AND(E521=1,G521=1,L521=1,L523=1,M521=1)),T521,0),I521)</f>
        <v>0</v>
      </c>
      <c r="W521" s="26"/>
      <c r="X521" s="26"/>
      <c r="Y521" s="26"/>
      <c r="Z521" s="26"/>
      <c r="AA521" s="26"/>
      <c r="AB521" s="33"/>
    </row>
    <row r="522" spans="1:28" x14ac:dyDescent="0.3">
      <c r="A522" s="32">
        <f>VLOOKUP(YEAR(C522),Flags!$A$13:$B$95,2,FALSE)</f>
        <v>2</v>
      </c>
      <c r="B522" s="24">
        <f t="shared" si="739"/>
        <v>1978</v>
      </c>
      <c r="C522" s="25">
        <v>28733</v>
      </c>
      <c r="D522" s="26"/>
      <c r="E522" s="24"/>
      <c r="F522" s="26"/>
      <c r="G522" s="24"/>
      <c r="H522" s="24"/>
      <c r="I522" s="26"/>
      <c r="J522" s="24"/>
      <c r="K522" s="26"/>
      <c r="L522" s="24"/>
      <c r="M522" s="24"/>
      <c r="N522" s="26"/>
      <c r="O522" s="26"/>
      <c r="P522" s="26"/>
      <c r="Q522" s="26"/>
      <c r="R522" s="26"/>
      <c r="S522" s="26"/>
      <c r="T522" s="26"/>
      <c r="U522" s="26"/>
      <c r="V522" s="26"/>
      <c r="W522" s="26">
        <f>MAX($C$7-VLOOKUP($C522,COS!$B$8:$H$991,3,FALSE),0)</f>
        <v>2312.0869140625</v>
      </c>
      <c r="X522" s="26">
        <f t="shared" si="769"/>
        <v>142.16468298037191</v>
      </c>
      <c r="Y522" s="26">
        <f>VLOOKUP($C522,COS!$B$8:$H$991,4,FALSE)</f>
        <v>138.08555603027344</v>
      </c>
      <c r="Z522" s="26">
        <f t="shared" si="770"/>
        <v>8.490549891448218</v>
      </c>
      <c r="AA522" s="26">
        <f t="shared" ref="AA522:AA526" si="838">MIN(W522,Y522)</f>
        <v>138.08555603027344</v>
      </c>
      <c r="AB522" s="33">
        <f t="shared" ref="AB522" si="839">AA522*DAY($C522)*86400/43560/1000*IF(MONTH($C522)=8,$P$3,IF(MONTH($C522)=9,$P$4,IF(MONTH($C522)=10,$P$5,IF(MONTH($C522)=11,$P$6,IF(MONTH($C522)=12,$P$7,NA())))))</f>
        <v>8.490549891448218</v>
      </c>
    </row>
    <row r="523" spans="1:28" x14ac:dyDescent="0.3">
      <c r="A523" s="32">
        <f>VLOOKUP(YEAR(C523),Flags!$A$13:$B$95,2,FALSE)</f>
        <v>2</v>
      </c>
      <c r="B523" s="24">
        <f t="shared" si="739"/>
        <v>1978</v>
      </c>
      <c r="C523" s="25">
        <v>28763</v>
      </c>
      <c r="D523" s="26"/>
      <c r="E523" s="24"/>
      <c r="F523" s="26"/>
      <c r="G523" s="24"/>
      <c r="H523" s="24"/>
      <c r="I523" s="26"/>
      <c r="J523" s="24"/>
      <c r="K523" s="26">
        <f>VLOOKUP($C523,COS!$B$8:$H$991,2,FALSE)</f>
        <v>3233.942626953125</v>
      </c>
      <c r="L523" s="24">
        <f t="shared" ref="L523" si="840">IF(AND(K523&gt;$I$7,K523&lt;$I$8),1,0)</f>
        <v>1</v>
      </c>
      <c r="M523" s="24"/>
      <c r="N523" s="26"/>
      <c r="O523" s="26"/>
      <c r="P523" s="26"/>
      <c r="Q523" s="26"/>
      <c r="R523" s="26"/>
      <c r="S523" s="26"/>
      <c r="T523" s="26"/>
      <c r="U523" s="26"/>
      <c r="V523" s="26"/>
      <c r="W523" s="26">
        <f>MAX($C$8-VLOOKUP($C523,COS!$B$8:$H$991,3,FALSE),0)</f>
        <v>0</v>
      </c>
      <c r="X523" s="26">
        <f t="shared" si="769"/>
        <v>0</v>
      </c>
      <c r="Y523" s="26">
        <f>VLOOKUP($C523,COS!$B$8:$H$991,4,FALSE)</f>
        <v>124.30649566650391</v>
      </c>
      <c r="Z523" s="26">
        <f t="shared" si="770"/>
        <v>7.3967501553622164</v>
      </c>
      <c r="AA523" s="26">
        <f t="shared" si="838"/>
        <v>0</v>
      </c>
      <c r="AB523" s="33">
        <f t="shared" si="752"/>
        <v>0</v>
      </c>
    </row>
    <row r="524" spans="1:28" x14ac:dyDescent="0.3">
      <c r="A524" s="32">
        <f>VLOOKUP(YEAR(C524),Flags!$A$13:$B$95,2,FALSE)</f>
        <v>2</v>
      </c>
      <c r="B524" s="24">
        <f t="shared" si="739"/>
        <v>1978</v>
      </c>
      <c r="C524" s="25">
        <v>28794</v>
      </c>
      <c r="D524" s="26"/>
      <c r="E524" s="24"/>
      <c r="F524" s="26"/>
      <c r="G524" s="26"/>
      <c r="H524" s="26"/>
      <c r="I524" s="26"/>
      <c r="J524" s="26"/>
      <c r="K524" s="26"/>
      <c r="L524" s="24"/>
      <c r="M524" s="24"/>
      <c r="N524" s="26"/>
      <c r="O524" s="26"/>
      <c r="P524" s="26"/>
      <c r="Q524" s="26"/>
      <c r="R524" s="26"/>
      <c r="S524" s="26"/>
      <c r="T524" s="26"/>
      <c r="U524" s="26"/>
      <c r="V524" s="26"/>
      <c r="W524" s="26">
        <f>MAX($C$9-VLOOKUP($C524,COS!$B$8:$H$991,3,FALSE),0)</f>
        <v>0</v>
      </c>
      <c r="X524" s="26">
        <f t="shared" si="769"/>
        <v>0</v>
      </c>
      <c r="Y524" s="26">
        <f>VLOOKUP($C524,COS!$B$8:$H$991,4,FALSE)</f>
        <v>308.338623046875</v>
      </c>
      <c r="Z524" s="26">
        <f t="shared" si="770"/>
        <v>18.959002937758264</v>
      </c>
      <c r="AA524" s="26">
        <f t="shared" si="838"/>
        <v>0</v>
      </c>
      <c r="AB524" s="33">
        <f t="shared" si="752"/>
        <v>0</v>
      </c>
    </row>
    <row r="525" spans="1:28" x14ac:dyDescent="0.3">
      <c r="A525" s="32">
        <f>VLOOKUP(YEAR(C525),Flags!$A$13:$B$95,2,FALSE)</f>
        <v>2</v>
      </c>
      <c r="B525" s="24">
        <f t="shared" si="739"/>
        <v>1978</v>
      </c>
      <c r="C525" s="25">
        <v>28824</v>
      </c>
      <c r="D525" s="26"/>
      <c r="E525" s="24"/>
      <c r="F525" s="26"/>
      <c r="G525" s="26"/>
      <c r="H525" s="26"/>
      <c r="I525" s="26"/>
      <c r="J525" s="26"/>
      <c r="K525" s="26"/>
      <c r="L525" s="24"/>
      <c r="M525" s="24"/>
      <c r="N525" s="26"/>
      <c r="O525" s="26"/>
      <c r="P525" s="26"/>
      <c r="Q525" s="26"/>
      <c r="R525" s="26"/>
      <c r="S525" s="26"/>
      <c r="T525" s="26"/>
      <c r="U525" s="26"/>
      <c r="V525" s="26"/>
      <c r="W525" s="26">
        <f>MAX($C$10-VLOOKUP($C525,COS!$B$8:$H$991,3,FALSE),0)</f>
        <v>0</v>
      </c>
      <c r="X525" s="26">
        <f t="shared" si="769"/>
        <v>0</v>
      </c>
      <c r="Y525" s="26">
        <f>VLOOKUP($C525,COS!$B$8:$H$991,4,FALSE)</f>
        <v>283.46884155273438</v>
      </c>
      <c r="Z525" s="26">
        <f t="shared" si="770"/>
        <v>16.867567431237088</v>
      </c>
      <c r="AA525" s="26">
        <f t="shared" si="838"/>
        <v>0</v>
      </c>
      <c r="AB525" s="33">
        <f t="shared" si="752"/>
        <v>0</v>
      </c>
    </row>
    <row r="526" spans="1:28" x14ac:dyDescent="0.3">
      <c r="A526" s="34">
        <f>VLOOKUP(YEAR(C526),Flags!$A$13:$B$95,2,FALSE)</f>
        <v>2</v>
      </c>
      <c r="B526" s="35">
        <f t="shared" si="739"/>
        <v>1978</v>
      </c>
      <c r="C526" s="36">
        <v>28855</v>
      </c>
      <c r="D526" s="37"/>
      <c r="E526" s="35"/>
      <c r="F526" s="37"/>
      <c r="G526" s="37"/>
      <c r="H526" s="37"/>
      <c r="I526" s="37"/>
      <c r="J526" s="37"/>
      <c r="K526" s="37"/>
      <c r="L526" s="35"/>
      <c r="M526" s="35"/>
      <c r="N526" s="37"/>
      <c r="O526" s="37"/>
      <c r="P526" s="37"/>
      <c r="Q526" s="37"/>
      <c r="R526" s="37"/>
      <c r="S526" s="37"/>
      <c r="T526" s="37"/>
      <c r="U526" s="37"/>
      <c r="V526" s="37"/>
      <c r="W526" s="37">
        <f>MAX($C$11-VLOOKUP($C526,COS!$B$8:$H$991,3,FALSE),0)</f>
        <v>84.77880859375</v>
      </c>
      <c r="X526" s="37">
        <f t="shared" si="769"/>
        <v>5.2128457515495867</v>
      </c>
      <c r="Y526" s="37">
        <f>VLOOKUP($C526,COS!$B$8:$H$991,4,FALSE)</f>
        <v>569.04254150390625</v>
      </c>
      <c r="Z526" s="37">
        <f t="shared" si="770"/>
        <v>34.989062056107954</v>
      </c>
      <c r="AA526" s="37">
        <f t="shared" si="838"/>
        <v>84.77880859375</v>
      </c>
      <c r="AB526" s="38">
        <f t="shared" si="752"/>
        <v>5.2128457515495867</v>
      </c>
    </row>
    <row r="527" spans="1:28" x14ac:dyDescent="0.3">
      <c r="A527" s="27">
        <f>VLOOKUP(YEAR(C527),Flags!$A$13:$B$95,2,FALSE)</f>
        <v>4</v>
      </c>
      <c r="B527" s="28">
        <f t="shared" ref="B527:B590" si="841">YEAR(C527)</f>
        <v>1979</v>
      </c>
      <c r="C527" s="29">
        <v>28975</v>
      </c>
      <c r="D527" s="30">
        <f>VLOOKUP($C527,COS!$B$8:$H$991,3,FALSE)</f>
        <v>3250</v>
      </c>
      <c r="E527" s="28">
        <f>IF(D527&gt;=IF(MONTH($C527)=4,$C$3,IF(MONTH($C527)=5,$C$4,IF(MONTH($C527)=6,$C$5,IF(MONTH($C527)=7,$C$6,"ERROR")))),1,0)</f>
        <v>0</v>
      </c>
      <c r="F527" s="30">
        <f>VLOOKUP($C527,COS!$B$8:$H$991,7,FALSE)</f>
        <v>51.270172119140625</v>
      </c>
      <c r="G527" s="28">
        <f>IF(F527&lt;=IF(MONTH($C527)=4,$F$3,IF(MONTH($C527)=5,$F$4,IF(MONTH($C527)=6,$F$5,IF(MONTH($C527)=7,$F$6,"ERROR")))),1,0)</f>
        <v>1</v>
      </c>
      <c r="H527" s="30">
        <f>IF(J527=1,D527-$C$3,0)</f>
        <v>0</v>
      </c>
      <c r="I527" s="30">
        <f t="shared" si="764"/>
        <v>0</v>
      </c>
      <c r="J527" s="28">
        <f t="shared" ref="J527:J530" si="842">IF(AND(E527=1,G527=1),1,0)</f>
        <v>0</v>
      </c>
      <c r="K527" s="30">
        <f>VLOOKUP($C527,COS!$B$8:$H$991,2,FALSE)</f>
        <v>4053.44189453125</v>
      </c>
      <c r="L527" s="28">
        <f t="shared" ref="L527:L584" si="843">IF(K527&lt;=IF(MONTH($C527)=4,$I$3,IF(MONTH($C527)=5,$I$4,IF(MONTH($C527)=6,$I$5,IF(MONTH($C527)=7,$I$6,"ERROR")))),1,0)</f>
        <v>1</v>
      </c>
      <c r="M527" s="28">
        <f t="shared" ref="M527:M584" si="844">VLOOKUP($A527,$L$3:$M$7,2,FALSE)</f>
        <v>1</v>
      </c>
      <c r="N527" s="30">
        <f>VLOOKUP($C527,COS!$B$8:$H$991,5,FALSE)</f>
        <v>214.24491882324219</v>
      </c>
      <c r="O527" s="30">
        <f t="shared" ref="O527:O530" si="845">N527*DAY($C527)*86400/43560/1000</f>
        <v>12.748457979564824</v>
      </c>
      <c r="P527" s="30">
        <f>VLOOKUP($C527,COS!$B$8:$H$991,6,FALSE)</f>
        <v>439.33358764648438</v>
      </c>
      <c r="Q527" s="30">
        <f t="shared" ref="Q527:Q530" si="846">P527*DAY($C527)*86400/43560/1000</f>
        <v>26.142163893013944</v>
      </c>
      <c r="R527" s="30">
        <f>MIN(IF(MONTH($C527)=4,$S$3,IF(MONTH($C527)=5,$S$4,IF(MONTH($C527)=6,$S$5,IF(MONTH($C527)=7,$S$6,"ERROR")))),MAX(VLOOKUP($C527,COS!$B$8:$K$991,10,FALSE)-IF(MONTH($C527)=4,$Y$3,IF(MONTH($C527)=5,$Y$4,IF(MONTH($C527)=6,$Y$5,IF(MONTH($C527)=7,$Y$6,"ERROR")))),0),MAX(VLOOKUP($C527,COS!$B$8:$K$991,9,FALSE)-IF(MONTH($C527)=4,$V$3,IF(MONTH($C527)=5,$V$4,IF(MONTH($C527)=6,$V$5,IF(MONTH($C527)=7,$V$6,"ERROR"))))-VLOOKUP($C527,COS!$B$8:$K$991,6,FALSE)/2,0))</f>
        <v>1500</v>
      </c>
      <c r="S527" s="30">
        <f t="shared" ref="S527:S530" si="847">R527*DAY($C527)*86400/43560/1000</f>
        <v>89.256198347107429</v>
      </c>
      <c r="T527" s="30">
        <f t="shared" ref="T527:T530" si="848">(O527+Q527)/2+S527</f>
        <v>108.70150928339682</v>
      </c>
      <c r="U527" s="30" t="str">
        <f>IF(VLOOKUP($C527,COS!$B$8:$I$991,8,FALSE)=1,"UWFE","IBU")</f>
        <v>UWFE</v>
      </c>
      <c r="V527" s="30">
        <f t="shared" ref="V527" si="849">MIN(IF(IF($AA$3=2,AND(E527=1,G527=1,L527=1,L532=1,M527=1,U527="IBU"),AND(E527=1,G527=1,L527=1,L532=1,M527=1)),T527,0),I527)</f>
        <v>0</v>
      </c>
      <c r="W527" s="30"/>
      <c r="X527" s="30"/>
      <c r="Y527" s="30"/>
      <c r="Z527" s="30"/>
      <c r="AA527" s="30"/>
      <c r="AB527" s="31"/>
    </row>
    <row r="528" spans="1:28" x14ac:dyDescent="0.3">
      <c r="A528" s="32">
        <f>VLOOKUP(YEAR(C528),Flags!$A$13:$B$95,2,FALSE)</f>
        <v>4</v>
      </c>
      <c r="B528" s="24">
        <f t="shared" si="841"/>
        <v>1979</v>
      </c>
      <c r="C528" s="25">
        <v>29006</v>
      </c>
      <c r="D528" s="26">
        <f>VLOOKUP($C528,COS!$B$8:$H$991,3,FALSE)</f>
        <v>4739.0380859375</v>
      </c>
      <c r="E528" s="24">
        <f>IF(D528&gt;=IF(MONTH($C528)=4,$C$3,IF(MONTH($C528)=5,$C$4,IF(MONTH($C528)=6,$C$5,IF(MONTH($C528)=7,$C$6,"ERROR")))),1,0)</f>
        <v>0</v>
      </c>
      <c r="F528" s="26">
        <f>VLOOKUP($C528,COS!$B$8:$H$991,7,FALSE)</f>
        <v>53.222888946533203</v>
      </c>
      <c r="G528" s="24">
        <f>IF(F528&lt;=IF(MONTH($C528)=4,$F$3,IF(MONTH($C528)=5,$F$4,IF(MONTH($C528)=6,$F$5,IF(MONTH($C528)=7,$F$6,"ERROR")))),1,0)</f>
        <v>1</v>
      </c>
      <c r="H528" s="26">
        <f>IF(J528=1,D528-$C$4,0)</f>
        <v>0</v>
      </c>
      <c r="I528" s="26">
        <f t="shared" si="764"/>
        <v>0</v>
      </c>
      <c r="J528" s="24">
        <f t="shared" si="842"/>
        <v>0</v>
      </c>
      <c r="K528" s="26">
        <f>VLOOKUP($C528,COS!$B$8:$H$991,2,FALSE)</f>
        <v>4220.81298828125</v>
      </c>
      <c r="L528" s="24">
        <f t="shared" si="843"/>
        <v>1</v>
      </c>
      <c r="M528" s="24">
        <f t="shared" si="844"/>
        <v>1</v>
      </c>
      <c r="N528" s="26">
        <f>VLOOKUP($C528,COS!$B$8:$H$991,5,FALSE)</f>
        <v>321.92453002929688</v>
      </c>
      <c r="O528" s="26">
        <f t="shared" si="845"/>
        <v>19.794367796842717</v>
      </c>
      <c r="P528" s="26">
        <f>VLOOKUP($C528,COS!$B$8:$H$991,6,FALSE)</f>
        <v>2260.58740234375</v>
      </c>
      <c r="Q528" s="26">
        <f t="shared" si="846"/>
        <v>138.99810143336776</v>
      </c>
      <c r="R528" s="26">
        <f>MIN(IF(MONTH($C528)=4,$S$3,IF(MONTH($C528)=5,$S$4,IF(MONTH($C528)=6,$S$5,IF(MONTH($C528)=7,$S$6,"ERROR")))),MAX(VLOOKUP($C528,COS!$B$8:$K$991,10,FALSE)-IF(MONTH($C528)=4,$Y$3,IF(MONTH($C528)=5,$Y$4,IF(MONTH($C528)=6,$Y$5,IF(MONTH($C528)=7,$Y$6,"ERROR")))),0),MAX(VLOOKUP($C528,COS!$B$8:$K$991,9,FALSE)-IF(MONTH($C528)=4,$V$3,IF(MONTH($C528)=5,$V$4,IF(MONTH($C528)=6,$V$5,IF(MONTH($C528)=7,$V$6,"ERROR"))))-VLOOKUP($C528,COS!$B$8:$K$991,6,FALSE)/2,0))</f>
        <v>1374.939453125</v>
      </c>
      <c r="S528" s="26">
        <f t="shared" si="847"/>
        <v>84.541731663223132</v>
      </c>
      <c r="T528" s="26">
        <f t="shared" si="848"/>
        <v>163.93796627832836</v>
      </c>
      <c r="U528" s="26" t="str">
        <f>IF(VLOOKUP($C528,COS!$B$8:$I$991,8,FALSE)=1,"UWFE","IBU")</f>
        <v>UWFE</v>
      </c>
      <c r="V528" s="26">
        <f t="shared" ref="V528" si="850">MIN(IF(IF($AA$3=2,AND(E528=1,G528=1,L528=1,L532=1,M528=1,U528="IBU"),AND(E528=1,G528=1,L528=1,L532=1,M528=1)),T528,0),I528)</f>
        <v>0</v>
      </c>
      <c r="W528" s="26"/>
      <c r="X528" s="26"/>
      <c r="Y528" s="26"/>
      <c r="Z528" s="26"/>
      <c r="AA528" s="26"/>
      <c r="AB528" s="33"/>
    </row>
    <row r="529" spans="1:28" x14ac:dyDescent="0.3">
      <c r="A529" s="32">
        <f>VLOOKUP(YEAR(C529),Flags!$A$13:$B$95,2,FALSE)</f>
        <v>4</v>
      </c>
      <c r="B529" s="24">
        <f t="shared" si="841"/>
        <v>1979</v>
      </c>
      <c r="C529" s="25">
        <v>29036</v>
      </c>
      <c r="D529" s="26">
        <f>VLOOKUP($C529,COS!$B$8:$H$991,3,FALSE)</f>
        <v>10586.1376953125</v>
      </c>
      <c r="E529" s="24">
        <f>IF(D529&gt;=IF(MONTH($C529)=4,$C$3,IF(MONTH($C529)=5,$C$4,IF(MONTH($C529)=6,$C$5,IF(MONTH($C529)=7,$C$6,"ERROR")))),1,0)</f>
        <v>1</v>
      </c>
      <c r="F529" s="26">
        <f>VLOOKUP($C529,COS!$B$8:$H$991,7,FALSE)</f>
        <v>51.544940948486328</v>
      </c>
      <c r="G529" s="24">
        <f>IF(F529&lt;=IF(MONTH($C529)=4,$F$3,IF(MONTH($C529)=5,$F$4,IF(MONTH($C529)=6,$F$5,IF(MONTH($C529)=7,$F$6,"ERROR")))),1,0)</f>
        <v>1</v>
      </c>
      <c r="H529" s="26">
        <f>IF(J529=1,D529-$C$5,0)</f>
        <v>586.1376953125</v>
      </c>
      <c r="I529" s="26">
        <f t="shared" si="764"/>
        <v>34.877614927685947</v>
      </c>
      <c r="J529" s="24">
        <f t="shared" si="842"/>
        <v>1</v>
      </c>
      <c r="K529" s="26">
        <f>VLOOKUP($C529,COS!$B$8:$H$991,2,FALSE)</f>
        <v>3800.5693359375</v>
      </c>
      <c r="L529" s="24">
        <f t="shared" si="843"/>
        <v>1</v>
      </c>
      <c r="M529" s="24">
        <f t="shared" si="844"/>
        <v>1</v>
      </c>
      <c r="N529" s="26">
        <f>VLOOKUP($C529,COS!$B$8:$H$991,5,FALSE)</f>
        <v>618.16412353515625</v>
      </c>
      <c r="O529" s="26">
        <f t="shared" si="845"/>
        <v>36.783319747546486</v>
      </c>
      <c r="P529" s="26">
        <f>VLOOKUP($C529,COS!$B$8:$H$991,6,FALSE)</f>
        <v>2677.335693359375</v>
      </c>
      <c r="Q529" s="26">
        <f t="shared" si="846"/>
        <v>159.31253712551654</v>
      </c>
      <c r="R529" s="26">
        <f>MIN(IF(MONTH($C529)=4,$S$3,IF(MONTH($C529)=5,$S$4,IF(MONTH($C529)=6,$S$5,IF(MONTH($C529)=7,$S$6,"ERROR")))),MAX(VLOOKUP($C529,COS!$B$8:$K$991,10,FALSE)-IF(MONTH($C529)=4,$Y$3,IF(MONTH($C529)=5,$Y$4,IF(MONTH($C529)=6,$Y$5,IF(MONTH($C529)=7,$Y$6,"ERROR")))),0),MAX(VLOOKUP($C529,COS!$B$8:$K$991,9,FALSE)-IF(MONTH($C529)=4,$V$3,IF(MONTH($C529)=5,$V$4,IF(MONTH($C529)=6,$V$5,IF(MONTH($C529)=7,$V$6,"ERROR"))))-VLOOKUP($C529,COS!$B$8:$K$991,6,FALSE)/2,0))</f>
        <v>1500</v>
      </c>
      <c r="S529" s="26">
        <f t="shared" si="847"/>
        <v>89.256198347107429</v>
      </c>
      <c r="T529" s="26">
        <f t="shared" si="848"/>
        <v>187.30412678363894</v>
      </c>
      <c r="U529" s="26" t="str">
        <f>IF(VLOOKUP($C529,COS!$B$8:$I$991,8,FALSE)=1,"UWFE","IBU")</f>
        <v>IBU</v>
      </c>
      <c r="V529" s="26">
        <f t="shared" ref="V529" si="851">MIN(IF(IF($AA$3=2,AND(E529=1,G529=1,L529=1,L532=1,M529=1,U529="IBU"),AND(E529=1,G529=1,L529=1,L532=1,M529=1)),T529,0),I529)</f>
        <v>34.877614927685947</v>
      </c>
      <c r="W529" s="26"/>
      <c r="X529" s="26"/>
      <c r="Y529" s="26"/>
      <c r="Z529" s="26"/>
      <c r="AA529" s="26"/>
      <c r="AB529" s="33"/>
    </row>
    <row r="530" spans="1:28" x14ac:dyDescent="0.3">
      <c r="A530" s="32">
        <f>VLOOKUP(YEAR(C530),Flags!$A$13:$B$95,2,FALSE)</f>
        <v>4</v>
      </c>
      <c r="B530" s="24">
        <f t="shared" si="841"/>
        <v>1979</v>
      </c>
      <c r="C530" s="25">
        <v>29067</v>
      </c>
      <c r="D530" s="26">
        <f>VLOOKUP($C530,COS!$B$8:$H$991,3,FALSE)</f>
        <v>10198.0205078125</v>
      </c>
      <c r="E530" s="24">
        <f>IF(D530&gt;=IF(MONTH($C530)=4,$C$3,IF(MONTH($C530)=5,$C$4,IF(MONTH($C530)=6,$C$5,IF(MONTH($C530)=7,$C$6,"ERROR")))),1,0)</f>
        <v>0</v>
      </c>
      <c r="F530" s="26">
        <f>VLOOKUP($C530,COS!$B$8:$H$991,7,FALSE)</f>
        <v>52.837936401367188</v>
      </c>
      <c r="G530" s="24">
        <f>IF(F530&lt;=IF(MONTH($C530)=4,$F$3,IF(MONTH($C530)=5,$F$4,IF(MONTH($C530)=6,$F$5,IF(MONTH($C530)=7,$F$6,"ERROR")))),1,0)</f>
        <v>1</v>
      </c>
      <c r="H530" s="26">
        <f>IF(J530=1,D530-$C$6,0)</f>
        <v>0</v>
      </c>
      <c r="I530" s="26">
        <f t="shared" si="764"/>
        <v>0</v>
      </c>
      <c r="J530" s="24">
        <f t="shared" si="842"/>
        <v>0</v>
      </c>
      <c r="K530" s="26">
        <f>VLOOKUP($C530,COS!$B$8:$H$991,2,FALSE)</f>
        <v>3407.86474609375</v>
      </c>
      <c r="L530" s="24">
        <f t="shared" si="843"/>
        <v>1</v>
      </c>
      <c r="M530" s="24">
        <f t="shared" si="844"/>
        <v>1</v>
      </c>
      <c r="N530" s="26">
        <f>VLOOKUP($C530,COS!$B$8:$H$991,5,FALSE)</f>
        <v>673.1793212890625</v>
      </c>
      <c r="O530" s="26">
        <f t="shared" si="845"/>
        <v>41.392183061079542</v>
      </c>
      <c r="P530" s="26">
        <f>VLOOKUP($C530,COS!$B$8:$H$991,6,FALSE)</f>
        <v>2632.5888671875</v>
      </c>
      <c r="Q530" s="26">
        <f t="shared" si="846"/>
        <v>161.87157993285126</v>
      </c>
      <c r="R530" s="26">
        <f>MIN(IF(MONTH($C530)=4,$S$3,IF(MONTH($C530)=5,$S$4,IF(MONTH($C530)=6,$S$5,IF(MONTH($C530)=7,$S$6,"ERROR")))),MAX(VLOOKUP($C530,COS!$B$8:$K$991,10,FALSE)-IF(MONTH($C530)=4,$Y$3,IF(MONTH($C530)=5,$Y$4,IF(MONTH($C530)=6,$Y$5,IF(MONTH($C530)=7,$Y$6,"ERROR")))),0),MAX(VLOOKUP($C530,COS!$B$8:$K$991,9,FALSE)-IF(MONTH($C530)=4,$V$3,IF(MONTH($C530)=5,$V$4,IF(MONTH($C530)=6,$V$5,IF(MONTH($C530)=7,$V$6,"ERROR"))))-VLOOKUP($C530,COS!$B$8:$K$991,6,FALSE)/2,0))</f>
        <v>1500</v>
      </c>
      <c r="S530" s="26">
        <f t="shared" si="847"/>
        <v>92.231404958677686</v>
      </c>
      <c r="T530" s="26">
        <f t="shared" si="848"/>
        <v>193.86328645564311</v>
      </c>
      <c r="U530" s="26" t="str">
        <f>IF(VLOOKUP($C530,COS!$B$8:$I$991,8,FALSE)=1,"UWFE","IBU")</f>
        <v>IBU</v>
      </c>
      <c r="V530" s="26">
        <f t="shared" ref="V530" si="852">MIN(IF(IF($AA$3=2,AND(E530=1,G530=1,L530=1,L532=1,M530=1,U530="IBU"),AND(E530=1,G530=1,L530=1,L532=1,M530=1)),T530,0),I530)</f>
        <v>0</v>
      </c>
      <c r="W530" s="26"/>
      <c r="X530" s="26"/>
      <c r="Y530" s="26"/>
      <c r="Z530" s="26"/>
      <c r="AA530" s="26"/>
      <c r="AB530" s="33"/>
    </row>
    <row r="531" spans="1:28" x14ac:dyDescent="0.3">
      <c r="A531" s="32">
        <f>VLOOKUP(YEAR(C531),Flags!$A$13:$B$95,2,FALSE)</f>
        <v>4</v>
      </c>
      <c r="B531" s="24">
        <f t="shared" si="841"/>
        <v>1979</v>
      </c>
      <c r="C531" s="25">
        <v>29098</v>
      </c>
      <c r="D531" s="26"/>
      <c r="E531" s="24"/>
      <c r="F531" s="26"/>
      <c r="G531" s="24"/>
      <c r="H531" s="24"/>
      <c r="I531" s="26"/>
      <c r="J531" s="24"/>
      <c r="K531" s="26"/>
      <c r="L531" s="24"/>
      <c r="M531" s="24"/>
      <c r="N531" s="26"/>
      <c r="O531" s="26"/>
      <c r="P531" s="26"/>
      <c r="Q531" s="26"/>
      <c r="R531" s="26"/>
      <c r="S531" s="26"/>
      <c r="T531" s="26"/>
      <c r="U531" s="26"/>
      <c r="V531" s="26"/>
      <c r="W531" s="26">
        <f>MAX($C$7-VLOOKUP($C531,COS!$B$8:$H$991,3,FALSE),0)</f>
        <v>3696.837890625</v>
      </c>
      <c r="X531" s="26">
        <f t="shared" si="769"/>
        <v>227.30970170454543</v>
      </c>
      <c r="Y531" s="26">
        <f>VLOOKUP($C531,COS!$B$8:$H$991,4,FALSE)</f>
        <v>53.124755859375</v>
      </c>
      <c r="Z531" s="26">
        <f t="shared" si="770"/>
        <v>3.2665139139979336</v>
      </c>
      <c r="AA531" s="26">
        <f t="shared" ref="AA531:AA535" si="853">MIN(W531,Y531)</f>
        <v>53.124755859375</v>
      </c>
      <c r="AB531" s="33">
        <f t="shared" ref="AB531:AB589" si="854">AA531*DAY($C531)*86400/43560/1000*IF(MONTH($C531)=8,$P$3,IF(MONTH($C531)=9,$P$4,IF(MONTH($C531)=10,$P$5,IF(MONTH($C531)=11,$P$6,IF(MONTH($C531)=12,$P$7,NA())))))</f>
        <v>3.2665139139979336</v>
      </c>
    </row>
    <row r="532" spans="1:28" x14ac:dyDescent="0.3">
      <c r="A532" s="32">
        <f>VLOOKUP(YEAR(C532),Flags!$A$13:$B$95,2,FALSE)</f>
        <v>4</v>
      </c>
      <c r="B532" s="24">
        <f t="shared" si="841"/>
        <v>1979</v>
      </c>
      <c r="C532" s="25">
        <v>29128</v>
      </c>
      <c r="D532" s="26"/>
      <c r="E532" s="24"/>
      <c r="F532" s="26"/>
      <c r="G532" s="24"/>
      <c r="H532" s="24"/>
      <c r="I532" s="26"/>
      <c r="J532" s="24"/>
      <c r="K532" s="26">
        <f>VLOOKUP($C532,COS!$B$8:$H$991,2,FALSE)</f>
        <v>3119.8076171875</v>
      </c>
      <c r="L532" s="24">
        <f t="shared" ref="L532" si="855">IF(AND(K532&gt;$I$7,K532&lt;$I$8),1,0)</f>
        <v>1</v>
      </c>
      <c r="M532" s="24"/>
      <c r="N532" s="26"/>
      <c r="O532" s="26"/>
      <c r="P532" s="26"/>
      <c r="Q532" s="26"/>
      <c r="R532" s="26"/>
      <c r="S532" s="26"/>
      <c r="T532" s="26"/>
      <c r="U532" s="26"/>
      <c r="V532" s="26"/>
      <c r="W532" s="26">
        <f>MAX($C$8-VLOOKUP($C532,COS!$B$8:$H$991,3,FALSE),0)</f>
        <v>1204.8974609375</v>
      </c>
      <c r="X532" s="26">
        <f t="shared" si="769"/>
        <v>71.696377840909093</v>
      </c>
      <c r="Y532" s="26">
        <f>VLOOKUP($C532,COS!$B$8:$H$991,4,FALSE)</f>
        <v>0</v>
      </c>
      <c r="Z532" s="26">
        <f t="shared" si="770"/>
        <v>0</v>
      </c>
      <c r="AA532" s="26">
        <f t="shared" si="853"/>
        <v>0</v>
      </c>
      <c r="AB532" s="33">
        <f t="shared" si="854"/>
        <v>0</v>
      </c>
    </row>
    <row r="533" spans="1:28" x14ac:dyDescent="0.3">
      <c r="A533" s="32">
        <f>VLOOKUP(YEAR(C533),Flags!$A$13:$B$95,2,FALSE)</f>
        <v>4</v>
      </c>
      <c r="B533" s="24">
        <f t="shared" si="841"/>
        <v>1979</v>
      </c>
      <c r="C533" s="25">
        <v>29159</v>
      </c>
      <c r="D533" s="26"/>
      <c r="E533" s="24"/>
      <c r="F533" s="26"/>
      <c r="G533" s="26"/>
      <c r="H533" s="26"/>
      <c r="I533" s="26"/>
      <c r="J533" s="26"/>
      <c r="K533" s="26"/>
      <c r="L533" s="24"/>
      <c r="M533" s="24"/>
      <c r="N533" s="26"/>
      <c r="O533" s="26"/>
      <c r="P533" s="26"/>
      <c r="Q533" s="26"/>
      <c r="R533" s="26"/>
      <c r="S533" s="26"/>
      <c r="T533" s="26"/>
      <c r="U533" s="26"/>
      <c r="V533" s="26"/>
      <c r="W533" s="26">
        <f>MAX($C$9-VLOOKUP($C533,COS!$B$8:$H$991,3,FALSE),0)</f>
        <v>851.04736328125</v>
      </c>
      <c r="X533" s="26">
        <f t="shared" si="769"/>
        <v>52.328862667871903</v>
      </c>
      <c r="Y533" s="26">
        <f>VLOOKUP($C533,COS!$B$8:$H$991,4,FALSE)</f>
        <v>801.079833984375</v>
      </c>
      <c r="Z533" s="26">
        <f t="shared" si="770"/>
        <v>49.256479048295454</v>
      </c>
      <c r="AA533" s="26">
        <f t="shared" si="853"/>
        <v>801.079833984375</v>
      </c>
      <c r="AB533" s="33">
        <f t="shared" si="854"/>
        <v>49.256479048295454</v>
      </c>
    </row>
    <row r="534" spans="1:28" x14ac:dyDescent="0.3">
      <c r="A534" s="32">
        <f>VLOOKUP(YEAR(C534),Flags!$A$13:$B$95,2,FALSE)</f>
        <v>4</v>
      </c>
      <c r="B534" s="24">
        <f t="shared" si="841"/>
        <v>1979</v>
      </c>
      <c r="C534" s="25">
        <v>29189</v>
      </c>
      <c r="D534" s="26"/>
      <c r="E534" s="24"/>
      <c r="F534" s="26"/>
      <c r="G534" s="26"/>
      <c r="H534" s="26"/>
      <c r="I534" s="26"/>
      <c r="J534" s="26"/>
      <c r="K534" s="26"/>
      <c r="L534" s="24"/>
      <c r="M534" s="24"/>
      <c r="N534" s="26"/>
      <c r="O534" s="26"/>
      <c r="P534" s="26"/>
      <c r="Q534" s="26"/>
      <c r="R534" s="26"/>
      <c r="S534" s="26"/>
      <c r="T534" s="26"/>
      <c r="U534" s="26"/>
      <c r="V534" s="26"/>
      <c r="W534" s="26">
        <f>MAX($C$10-VLOOKUP($C534,COS!$B$8:$H$991,3,FALSE),0)</f>
        <v>0</v>
      </c>
      <c r="X534" s="26">
        <f t="shared" si="769"/>
        <v>0</v>
      </c>
      <c r="Y534" s="26">
        <f>VLOOKUP($C534,COS!$B$8:$H$991,4,FALSE)</f>
        <v>1226.431884765625</v>
      </c>
      <c r="Z534" s="26">
        <f t="shared" si="770"/>
        <v>72.977765043904967</v>
      </c>
      <c r="AA534" s="26">
        <f t="shared" si="853"/>
        <v>0</v>
      </c>
      <c r="AB534" s="33">
        <f t="shared" si="854"/>
        <v>0</v>
      </c>
    </row>
    <row r="535" spans="1:28" x14ac:dyDescent="0.3">
      <c r="A535" s="34">
        <f>VLOOKUP(YEAR(C535),Flags!$A$13:$B$95,2,FALSE)</f>
        <v>4</v>
      </c>
      <c r="B535" s="35">
        <f t="shared" si="841"/>
        <v>1979</v>
      </c>
      <c r="C535" s="36">
        <v>29220</v>
      </c>
      <c r="D535" s="37"/>
      <c r="E535" s="35"/>
      <c r="F535" s="37"/>
      <c r="G535" s="37"/>
      <c r="H535" s="37"/>
      <c r="I535" s="37"/>
      <c r="J535" s="37"/>
      <c r="K535" s="37"/>
      <c r="L535" s="35"/>
      <c r="M535" s="35"/>
      <c r="N535" s="37"/>
      <c r="O535" s="37"/>
      <c r="P535" s="37"/>
      <c r="Q535" s="37"/>
      <c r="R535" s="37"/>
      <c r="S535" s="37"/>
      <c r="T535" s="37"/>
      <c r="U535" s="37"/>
      <c r="V535" s="37"/>
      <c r="W535" s="37">
        <f>MAX($C$11-VLOOKUP($C535,COS!$B$8:$H$991,3,FALSE),0)</f>
        <v>725.72412109375</v>
      </c>
      <c r="X535" s="37">
        <f t="shared" si="769"/>
        <v>44.623036867252061</v>
      </c>
      <c r="Y535" s="37">
        <f>VLOOKUP($C535,COS!$B$8:$H$991,4,FALSE)</f>
        <v>0</v>
      </c>
      <c r="Z535" s="37">
        <f t="shared" si="770"/>
        <v>0</v>
      </c>
      <c r="AA535" s="37">
        <f t="shared" si="853"/>
        <v>0</v>
      </c>
      <c r="AB535" s="38">
        <f t="shared" si="854"/>
        <v>0</v>
      </c>
    </row>
    <row r="536" spans="1:28" x14ac:dyDescent="0.3">
      <c r="A536" s="27">
        <f>VLOOKUP(YEAR(C536),Flags!$A$13:$B$95,2,FALSE)</f>
        <v>2</v>
      </c>
      <c r="B536" s="28">
        <f t="shared" si="841"/>
        <v>1980</v>
      </c>
      <c r="C536" s="29">
        <v>29341</v>
      </c>
      <c r="D536" s="30">
        <f>VLOOKUP($C536,COS!$B$8:$H$991,3,FALSE)</f>
        <v>3250</v>
      </c>
      <c r="E536" s="28">
        <f>IF(D536&gt;=IF(MONTH($C536)=4,$C$3,IF(MONTH($C536)=5,$C$4,IF(MONTH($C536)=6,$C$5,IF(MONTH($C536)=7,$C$6,"ERROR")))),1,0)</f>
        <v>0</v>
      </c>
      <c r="F536" s="30">
        <f>VLOOKUP($C536,COS!$B$8:$H$991,7,FALSE)</f>
        <v>50.949337005615234</v>
      </c>
      <c r="G536" s="28">
        <f>IF(F536&lt;=IF(MONTH($C536)=4,$F$3,IF(MONTH($C536)=5,$F$4,IF(MONTH($C536)=6,$F$5,IF(MONTH($C536)=7,$F$6,"ERROR")))),1,0)</f>
        <v>1</v>
      </c>
      <c r="H536" s="30">
        <f>IF(J536=1,D536-$C$3,0)</f>
        <v>0</v>
      </c>
      <c r="I536" s="30">
        <f t="shared" si="764"/>
        <v>0</v>
      </c>
      <c r="J536" s="28">
        <f t="shared" ref="J536:J539" si="856">IF(AND(E536=1,G536=1),1,0)</f>
        <v>0</v>
      </c>
      <c r="K536" s="30">
        <f>VLOOKUP($C536,COS!$B$8:$H$991,2,FALSE)</f>
        <v>4390.5458984375</v>
      </c>
      <c r="L536" s="28">
        <f t="shared" ref="L536" si="857">IF(K536&lt;=IF(MONTH($C536)=4,$I$3,IF(MONTH($C536)=5,$I$4,IF(MONTH($C536)=6,$I$5,IF(MONTH($C536)=7,$I$6,"ERROR")))),1,0)</f>
        <v>1</v>
      </c>
      <c r="M536" s="28">
        <f t="shared" ref="M536" si="858">VLOOKUP($A536,$L$3:$M$7,2,FALSE)</f>
        <v>0</v>
      </c>
      <c r="N536" s="30">
        <f>VLOOKUP($C536,COS!$B$8:$H$991,5,FALSE)</f>
        <v>343.85354614257813</v>
      </c>
      <c r="O536" s="30">
        <f t="shared" ref="O536:O539" si="859">N536*DAY($C536)*86400/43560/1000</f>
        <v>20.460706877905476</v>
      </c>
      <c r="P536" s="30">
        <f>VLOOKUP($C536,COS!$B$8:$H$991,6,FALSE)</f>
        <v>435.81771850585938</v>
      </c>
      <c r="Q536" s="30">
        <f t="shared" ref="Q536:Q539" si="860">P536*DAY($C536)*86400/43560/1000</f>
        <v>25.932955150761881</v>
      </c>
      <c r="R536" s="30">
        <f>MIN(IF(MONTH($C536)=4,$S$3,IF(MONTH($C536)=5,$S$4,IF(MONTH($C536)=6,$S$5,IF(MONTH($C536)=7,$S$6,"ERROR")))),MAX(VLOOKUP($C536,COS!$B$8:$K$991,10,FALSE)-IF(MONTH($C536)=4,$Y$3,IF(MONTH($C536)=5,$Y$4,IF(MONTH($C536)=6,$Y$5,IF(MONTH($C536)=7,$Y$6,"ERROR")))),0),MAX(VLOOKUP($C536,COS!$B$8:$K$991,9,FALSE)-IF(MONTH($C536)=4,$V$3,IF(MONTH($C536)=5,$V$4,IF(MONTH($C536)=6,$V$5,IF(MONTH($C536)=7,$V$6,"ERROR"))))-VLOOKUP($C536,COS!$B$8:$K$991,6,FALSE)/2,0))</f>
        <v>1500</v>
      </c>
      <c r="S536" s="30">
        <f t="shared" ref="S536:S539" si="861">R536*DAY($C536)*86400/43560/1000</f>
        <v>89.256198347107429</v>
      </c>
      <c r="T536" s="30">
        <f t="shared" ref="T536:T539" si="862">(O536+Q536)/2+S536</f>
        <v>112.45302936144111</v>
      </c>
      <c r="U536" s="30" t="str">
        <f>IF(VLOOKUP($C536,COS!$B$8:$I$991,8,FALSE)=1,"UWFE","IBU")</f>
        <v>UWFE</v>
      </c>
      <c r="V536" s="30">
        <f t="shared" ref="V536" si="863">MIN(IF(IF($AA$3=2,AND(E536=1,G536=1,L536=1,L541=1,M536=1,U536="IBU"),AND(E536=1,G536=1,L536=1,L541=1,M536=1)),T536,0),I536)</f>
        <v>0</v>
      </c>
      <c r="W536" s="30"/>
      <c r="X536" s="30"/>
      <c r="Y536" s="30"/>
      <c r="Z536" s="30"/>
      <c r="AA536" s="30"/>
      <c r="AB536" s="31"/>
    </row>
    <row r="537" spans="1:28" x14ac:dyDescent="0.3">
      <c r="A537" s="32">
        <f>VLOOKUP(YEAR(C537),Flags!$A$13:$B$95,2,FALSE)</f>
        <v>2</v>
      </c>
      <c r="B537" s="24">
        <f t="shared" si="841"/>
        <v>1980</v>
      </c>
      <c r="C537" s="25">
        <v>29372</v>
      </c>
      <c r="D537" s="26">
        <f>VLOOKUP($C537,COS!$B$8:$H$991,3,FALSE)</f>
        <v>6651.8935546875</v>
      </c>
      <c r="E537" s="24">
        <f>IF(D537&gt;=IF(MONTH($C537)=4,$C$3,IF(MONTH($C537)=5,$C$4,IF(MONTH($C537)=6,$C$5,IF(MONTH($C537)=7,$C$6,"ERROR")))),1,0)</f>
        <v>1</v>
      </c>
      <c r="F537" s="26">
        <f>VLOOKUP($C537,COS!$B$8:$H$991,7,FALSE)</f>
        <v>50.088848114013672</v>
      </c>
      <c r="G537" s="24">
        <f>IF(F537&lt;=IF(MONTH($C537)=4,$F$3,IF(MONTH($C537)=5,$F$4,IF(MONTH($C537)=6,$F$5,IF(MONTH($C537)=7,$F$6,"ERROR")))),1,0)</f>
        <v>1</v>
      </c>
      <c r="H537" s="26">
        <f>IF(J537=1,D537-$C$4,0)</f>
        <v>651.8935546875</v>
      </c>
      <c r="I537" s="26">
        <f t="shared" si="764"/>
        <v>40.083372288223138</v>
      </c>
      <c r="J537" s="24">
        <f t="shared" si="856"/>
        <v>1</v>
      </c>
      <c r="K537" s="26">
        <f>VLOOKUP($C537,COS!$B$8:$H$991,2,FALSE)</f>
        <v>4360.00341796875</v>
      </c>
      <c r="L537" s="24">
        <f t="shared" si="843"/>
        <v>1</v>
      </c>
      <c r="M537" s="24">
        <f t="shared" si="844"/>
        <v>0</v>
      </c>
      <c r="N537" s="26">
        <f>VLOOKUP($C537,COS!$B$8:$H$991,5,FALSE)</f>
        <v>671.396728515625</v>
      </c>
      <c r="O537" s="26">
        <f t="shared" si="859"/>
        <v>41.282575703770661</v>
      </c>
      <c r="P537" s="26">
        <f>VLOOKUP($C537,COS!$B$8:$H$991,6,FALSE)</f>
        <v>2141.340087890625</v>
      </c>
      <c r="Q537" s="26">
        <f t="shared" si="860"/>
        <v>131.6658698669938</v>
      </c>
      <c r="R537" s="26">
        <f>MIN(IF(MONTH($C537)=4,$S$3,IF(MONTH($C537)=5,$S$4,IF(MONTH($C537)=6,$S$5,IF(MONTH($C537)=7,$S$6,"ERROR")))),MAX(VLOOKUP($C537,COS!$B$8:$K$991,10,FALSE)-IF(MONTH($C537)=4,$Y$3,IF(MONTH($C537)=5,$Y$4,IF(MONTH($C537)=6,$Y$5,IF(MONTH($C537)=7,$Y$6,"ERROR")))),0),MAX(VLOOKUP($C537,COS!$B$8:$K$991,9,FALSE)-IF(MONTH($C537)=4,$V$3,IF(MONTH($C537)=5,$V$4,IF(MONTH($C537)=6,$V$5,IF(MONTH($C537)=7,$V$6,"ERROR"))))-VLOOKUP($C537,COS!$B$8:$K$991,6,FALSE)/2,0))</f>
        <v>1500</v>
      </c>
      <c r="S537" s="26">
        <f t="shared" si="861"/>
        <v>92.231404958677686</v>
      </c>
      <c r="T537" s="26">
        <f t="shared" si="862"/>
        <v>178.70562774405994</v>
      </c>
      <c r="U537" s="26" t="str">
        <f>IF(VLOOKUP($C537,COS!$B$8:$I$991,8,FALSE)=1,"UWFE","IBU")</f>
        <v>UWFE</v>
      </c>
      <c r="V537" s="26">
        <f t="shared" ref="V537" si="864">MIN(IF(IF($AA$3=2,AND(E537=1,G537=1,L537=1,L541=1,M537=1,U537="IBU"),AND(E537=1,G537=1,L537=1,L541=1,M537=1)),T537,0),I537)</f>
        <v>0</v>
      </c>
      <c r="W537" s="26"/>
      <c r="X537" s="26"/>
      <c r="Y537" s="26"/>
      <c r="Z537" s="26"/>
      <c r="AA537" s="26"/>
      <c r="AB537" s="33"/>
    </row>
    <row r="538" spans="1:28" x14ac:dyDescent="0.3">
      <c r="A538" s="32">
        <f>VLOOKUP(YEAR(C538),Flags!$A$13:$B$95,2,FALSE)</f>
        <v>2</v>
      </c>
      <c r="B538" s="24">
        <f t="shared" si="841"/>
        <v>1980</v>
      </c>
      <c r="C538" s="25">
        <v>29402</v>
      </c>
      <c r="D538" s="26">
        <f>VLOOKUP($C538,COS!$B$8:$H$991,3,FALSE)</f>
        <v>9056.001953125</v>
      </c>
      <c r="E538" s="24">
        <f>IF(D538&gt;=IF(MONTH($C538)=4,$C$3,IF(MONTH($C538)=5,$C$4,IF(MONTH($C538)=6,$C$5,IF(MONTH($C538)=7,$C$6,"ERROR")))),1,0)</f>
        <v>0</v>
      </c>
      <c r="F538" s="26">
        <f>VLOOKUP($C538,COS!$B$8:$H$991,7,FALSE)</f>
        <v>51.123935699462891</v>
      </c>
      <c r="G538" s="24">
        <f>IF(F538&lt;=IF(MONTH($C538)=4,$F$3,IF(MONTH($C538)=5,$F$4,IF(MONTH($C538)=6,$F$5,IF(MONTH($C538)=7,$F$6,"ERROR")))),1,0)</f>
        <v>1</v>
      </c>
      <c r="H538" s="26">
        <f>IF(J538=1,D538-$C$5,0)</f>
        <v>0</v>
      </c>
      <c r="I538" s="26">
        <f t="shared" si="764"/>
        <v>0</v>
      </c>
      <c r="J538" s="24">
        <f t="shared" si="856"/>
        <v>0</v>
      </c>
      <c r="K538" s="26">
        <f>VLOOKUP($C538,COS!$B$8:$H$991,2,FALSE)</f>
        <v>4114.19091796875</v>
      </c>
      <c r="L538" s="24">
        <f t="shared" si="843"/>
        <v>1</v>
      </c>
      <c r="M538" s="24">
        <f t="shared" si="844"/>
        <v>0</v>
      </c>
      <c r="N538" s="26">
        <f>VLOOKUP($C538,COS!$B$8:$H$991,5,FALSE)</f>
        <v>914.7728271484375</v>
      </c>
      <c r="O538" s="26">
        <f t="shared" si="859"/>
        <v>54.432763268336778</v>
      </c>
      <c r="P538" s="26">
        <f>VLOOKUP($C538,COS!$B$8:$H$991,6,FALSE)</f>
        <v>2280.555419921875</v>
      </c>
      <c r="Q538" s="26">
        <f t="shared" si="860"/>
        <v>135.70247126807851</v>
      </c>
      <c r="R538" s="26">
        <f>MIN(IF(MONTH($C538)=4,$S$3,IF(MONTH($C538)=5,$S$4,IF(MONTH($C538)=6,$S$5,IF(MONTH($C538)=7,$S$6,"ERROR")))),MAX(VLOOKUP($C538,COS!$B$8:$K$991,10,FALSE)-IF(MONTH($C538)=4,$Y$3,IF(MONTH($C538)=5,$Y$4,IF(MONTH($C538)=6,$Y$5,IF(MONTH($C538)=7,$Y$6,"ERROR")))),0),MAX(VLOOKUP($C538,COS!$B$8:$K$991,9,FALSE)-IF(MONTH($C538)=4,$V$3,IF(MONTH($C538)=5,$V$4,IF(MONTH($C538)=6,$V$5,IF(MONTH($C538)=7,$V$6,"ERROR"))))-VLOOKUP($C538,COS!$B$8:$K$991,6,FALSE)/2,0))</f>
        <v>1500</v>
      </c>
      <c r="S538" s="26">
        <f t="shared" si="861"/>
        <v>89.256198347107429</v>
      </c>
      <c r="T538" s="26">
        <f t="shared" si="862"/>
        <v>184.32381561531508</v>
      </c>
      <c r="U538" s="26" t="str">
        <f>IF(VLOOKUP($C538,COS!$B$8:$I$991,8,FALSE)=1,"UWFE","IBU")</f>
        <v>UWFE</v>
      </c>
      <c r="V538" s="26">
        <f t="shared" ref="V538" si="865">MIN(IF(IF($AA$3=2,AND(E538=1,G538=1,L538=1,L541=1,M538=1,U538="IBU"),AND(E538=1,G538=1,L538=1,L541=1,M538=1)),T538,0),I538)</f>
        <v>0</v>
      </c>
      <c r="W538" s="26"/>
      <c r="X538" s="26"/>
      <c r="Y538" s="26"/>
      <c r="Z538" s="26"/>
      <c r="AA538" s="26"/>
      <c r="AB538" s="33"/>
    </row>
    <row r="539" spans="1:28" x14ac:dyDescent="0.3">
      <c r="A539" s="32">
        <f>VLOOKUP(YEAR(C539),Flags!$A$13:$B$95,2,FALSE)</f>
        <v>2</v>
      </c>
      <c r="B539" s="24">
        <f t="shared" si="841"/>
        <v>1980</v>
      </c>
      <c r="C539" s="25">
        <v>29433</v>
      </c>
      <c r="D539" s="26">
        <f>VLOOKUP($C539,COS!$B$8:$H$991,3,FALSE)</f>
        <v>11086.111328125</v>
      </c>
      <c r="E539" s="24">
        <f>IF(D539&gt;=IF(MONTH($C539)=4,$C$3,IF(MONTH($C539)=5,$C$4,IF(MONTH($C539)=6,$C$5,IF(MONTH($C539)=7,$C$6,"ERROR")))),1,0)</f>
        <v>0</v>
      </c>
      <c r="F539" s="26">
        <f>VLOOKUP($C539,COS!$B$8:$H$991,7,FALSE)</f>
        <v>51.426025390625</v>
      </c>
      <c r="G539" s="24">
        <f>IF(F539&lt;=IF(MONTH($C539)=4,$F$3,IF(MONTH($C539)=5,$F$4,IF(MONTH($C539)=6,$F$5,IF(MONTH($C539)=7,$F$6,"ERROR")))),1,0)</f>
        <v>1</v>
      </c>
      <c r="H539" s="26">
        <f>IF(J539=1,D539-$C$6,0)</f>
        <v>0</v>
      </c>
      <c r="I539" s="26">
        <f t="shared" si="764"/>
        <v>0</v>
      </c>
      <c r="J539" s="24">
        <f t="shared" si="856"/>
        <v>0</v>
      </c>
      <c r="K539" s="26">
        <f>VLOOKUP($C539,COS!$B$8:$H$991,2,FALSE)</f>
        <v>3708.154052734375</v>
      </c>
      <c r="L539" s="24">
        <f t="shared" si="843"/>
        <v>1</v>
      </c>
      <c r="M539" s="24">
        <f t="shared" si="844"/>
        <v>0</v>
      </c>
      <c r="N539" s="26">
        <f>VLOOKUP($C539,COS!$B$8:$H$991,5,FALSE)</f>
        <v>1062.265380859375</v>
      </c>
      <c r="O539" s="26">
        <f t="shared" si="859"/>
        <v>65.316152343750005</v>
      </c>
      <c r="P539" s="26">
        <f>VLOOKUP($C539,COS!$B$8:$H$991,6,FALSE)</f>
        <v>2538.12646484375</v>
      </c>
      <c r="Q539" s="26">
        <f t="shared" si="860"/>
        <v>156.06331321022728</v>
      </c>
      <c r="R539" s="26">
        <f>MIN(IF(MONTH($C539)=4,$S$3,IF(MONTH($C539)=5,$S$4,IF(MONTH($C539)=6,$S$5,IF(MONTH($C539)=7,$S$6,"ERROR")))),MAX(VLOOKUP($C539,COS!$B$8:$K$991,10,FALSE)-IF(MONTH($C539)=4,$Y$3,IF(MONTH($C539)=5,$Y$4,IF(MONTH($C539)=6,$Y$5,IF(MONTH($C539)=7,$Y$6,"ERROR")))),0),MAX(VLOOKUP($C539,COS!$B$8:$K$991,9,FALSE)-IF(MONTH($C539)=4,$V$3,IF(MONTH($C539)=5,$V$4,IF(MONTH($C539)=6,$V$5,IF(MONTH($C539)=7,$V$6,"ERROR"))))-VLOOKUP($C539,COS!$B$8:$K$991,6,FALSE)/2,0))</f>
        <v>1500</v>
      </c>
      <c r="S539" s="26">
        <f t="shared" si="861"/>
        <v>92.231404958677686</v>
      </c>
      <c r="T539" s="26">
        <f t="shared" si="862"/>
        <v>202.92113773566632</v>
      </c>
      <c r="U539" s="26" t="str">
        <f>IF(VLOOKUP($C539,COS!$B$8:$I$991,8,FALSE)=1,"UWFE","IBU")</f>
        <v>IBU</v>
      </c>
      <c r="V539" s="26">
        <f t="shared" ref="V539" si="866">MIN(IF(IF($AA$3=2,AND(E539=1,G539=1,L539=1,L541=1,M539=1,U539="IBU"),AND(E539=1,G539=1,L539=1,L541=1,M539=1)),T539,0),I539)</f>
        <v>0</v>
      </c>
      <c r="W539" s="26"/>
      <c r="X539" s="26"/>
      <c r="Y539" s="26"/>
      <c r="Z539" s="26"/>
      <c r="AA539" s="26"/>
      <c r="AB539" s="33"/>
    </row>
    <row r="540" spans="1:28" x14ac:dyDescent="0.3">
      <c r="A540" s="32">
        <f>VLOOKUP(YEAR(C540),Flags!$A$13:$B$95,2,FALSE)</f>
        <v>2</v>
      </c>
      <c r="B540" s="24">
        <f t="shared" si="841"/>
        <v>1980</v>
      </c>
      <c r="C540" s="25">
        <v>29464</v>
      </c>
      <c r="D540" s="26"/>
      <c r="E540" s="24"/>
      <c r="F540" s="26"/>
      <c r="G540" s="24"/>
      <c r="H540" s="24"/>
      <c r="I540" s="26"/>
      <c r="J540" s="24"/>
      <c r="K540" s="26"/>
      <c r="L540" s="24"/>
      <c r="M540" s="24"/>
      <c r="N540" s="26"/>
      <c r="O540" s="26"/>
      <c r="P540" s="26"/>
      <c r="Q540" s="26"/>
      <c r="R540" s="26"/>
      <c r="S540" s="26"/>
      <c r="T540" s="26"/>
      <c r="U540" s="26"/>
      <c r="V540" s="26"/>
      <c r="W540" s="26">
        <f>MAX($C$7-VLOOKUP($C540,COS!$B$8:$H$991,3,FALSE),0)</f>
        <v>2860.5693359375</v>
      </c>
      <c r="X540" s="26">
        <f t="shared" si="769"/>
        <v>175.88955255681819</v>
      </c>
      <c r="Y540" s="26">
        <f>VLOOKUP($C540,COS!$B$8:$H$991,4,FALSE)</f>
        <v>0</v>
      </c>
      <c r="Z540" s="26">
        <f t="shared" si="770"/>
        <v>0</v>
      </c>
      <c r="AA540" s="26">
        <f t="shared" ref="AA540:AA544" si="867">MIN(W540,Y540)</f>
        <v>0</v>
      </c>
      <c r="AB540" s="33">
        <f t="shared" ref="AB540" si="868">AA540*DAY($C540)*86400/43560/1000*IF(MONTH($C540)=8,$P$3,IF(MONTH($C540)=9,$P$4,IF(MONTH($C540)=10,$P$5,IF(MONTH($C540)=11,$P$6,IF(MONTH($C540)=12,$P$7,NA())))))</f>
        <v>0</v>
      </c>
    </row>
    <row r="541" spans="1:28" x14ac:dyDescent="0.3">
      <c r="A541" s="32">
        <f>VLOOKUP(YEAR(C541),Flags!$A$13:$B$95,2,FALSE)</f>
        <v>2</v>
      </c>
      <c r="B541" s="24">
        <f t="shared" si="841"/>
        <v>1980</v>
      </c>
      <c r="C541" s="25">
        <v>29494</v>
      </c>
      <c r="D541" s="26"/>
      <c r="E541" s="24"/>
      <c r="F541" s="26"/>
      <c r="G541" s="24"/>
      <c r="H541" s="24"/>
      <c r="I541" s="26"/>
      <c r="J541" s="24"/>
      <c r="K541" s="26">
        <f>VLOOKUP($C541,COS!$B$8:$H$991,2,FALSE)</f>
        <v>3161.38623046875</v>
      </c>
      <c r="L541" s="24">
        <f t="shared" ref="L541" si="869">IF(AND(K541&gt;$I$7,K541&lt;$I$8),1,0)</f>
        <v>1</v>
      </c>
      <c r="M541" s="24"/>
      <c r="N541" s="26"/>
      <c r="O541" s="26"/>
      <c r="P541" s="26"/>
      <c r="Q541" s="26"/>
      <c r="R541" s="26"/>
      <c r="S541" s="26"/>
      <c r="T541" s="26"/>
      <c r="U541" s="26"/>
      <c r="V541" s="26"/>
      <c r="W541" s="26">
        <f>MAX($C$8-VLOOKUP($C541,COS!$B$8:$H$991,3,FALSE),0)</f>
        <v>0</v>
      </c>
      <c r="X541" s="26">
        <f t="shared" si="769"/>
        <v>0</v>
      </c>
      <c r="Y541" s="26">
        <f>VLOOKUP($C541,COS!$B$8:$H$991,4,FALSE)</f>
        <v>103.58695983886719</v>
      </c>
      <c r="Z541" s="26">
        <f t="shared" si="770"/>
        <v>6.1638521557011883</v>
      </c>
      <c r="AA541" s="26">
        <f t="shared" si="867"/>
        <v>0</v>
      </c>
      <c r="AB541" s="33">
        <f t="shared" si="854"/>
        <v>0</v>
      </c>
    </row>
    <row r="542" spans="1:28" x14ac:dyDescent="0.3">
      <c r="A542" s="32">
        <f>VLOOKUP(YEAR(C542),Flags!$A$13:$B$95,2,FALSE)</f>
        <v>2</v>
      </c>
      <c r="B542" s="24">
        <f t="shared" si="841"/>
        <v>1980</v>
      </c>
      <c r="C542" s="25">
        <v>29525</v>
      </c>
      <c r="D542" s="26"/>
      <c r="E542" s="24"/>
      <c r="F542" s="26"/>
      <c r="G542" s="26"/>
      <c r="H542" s="26"/>
      <c r="I542" s="26"/>
      <c r="J542" s="26"/>
      <c r="K542" s="26"/>
      <c r="L542" s="24"/>
      <c r="M542" s="24"/>
      <c r="N542" s="26"/>
      <c r="O542" s="26"/>
      <c r="P542" s="26"/>
      <c r="Q542" s="26"/>
      <c r="R542" s="26"/>
      <c r="S542" s="26"/>
      <c r="T542" s="26"/>
      <c r="U542" s="26"/>
      <c r="V542" s="26"/>
      <c r="W542" s="26">
        <f>MAX($C$9-VLOOKUP($C542,COS!$B$8:$H$991,3,FALSE),0)</f>
        <v>0</v>
      </c>
      <c r="X542" s="26">
        <f t="shared" si="769"/>
        <v>0</v>
      </c>
      <c r="Y542" s="26">
        <f>VLOOKUP($C542,COS!$B$8:$H$991,4,FALSE)</f>
        <v>295.8243408203125</v>
      </c>
      <c r="Z542" s="26">
        <f t="shared" si="770"/>
        <v>18.189529716554752</v>
      </c>
      <c r="AA542" s="26">
        <f t="shared" si="867"/>
        <v>0</v>
      </c>
      <c r="AB542" s="33">
        <f t="shared" si="854"/>
        <v>0</v>
      </c>
    </row>
    <row r="543" spans="1:28" x14ac:dyDescent="0.3">
      <c r="A543" s="32">
        <f>VLOOKUP(YEAR(C543),Flags!$A$13:$B$95,2,FALSE)</f>
        <v>2</v>
      </c>
      <c r="B543" s="24">
        <f t="shared" si="841"/>
        <v>1980</v>
      </c>
      <c r="C543" s="25">
        <v>29555</v>
      </c>
      <c r="D543" s="26"/>
      <c r="E543" s="24"/>
      <c r="F543" s="26"/>
      <c r="G543" s="26"/>
      <c r="H543" s="26"/>
      <c r="I543" s="26"/>
      <c r="J543" s="26"/>
      <c r="K543" s="26"/>
      <c r="L543" s="24"/>
      <c r="M543" s="24"/>
      <c r="N543" s="26"/>
      <c r="O543" s="26"/>
      <c r="P543" s="26"/>
      <c r="Q543" s="26"/>
      <c r="R543" s="26"/>
      <c r="S543" s="26"/>
      <c r="T543" s="26"/>
      <c r="U543" s="26"/>
      <c r="V543" s="26"/>
      <c r="W543" s="26">
        <f>MAX($C$10-VLOOKUP($C543,COS!$B$8:$H$991,3,FALSE),0)</f>
        <v>0</v>
      </c>
      <c r="X543" s="26">
        <f t="shared" ref="X543:X606" si="870">W543*DAY($C543)*86400/43560/1000</f>
        <v>0</v>
      </c>
      <c r="Y543" s="26">
        <f>VLOOKUP($C543,COS!$B$8:$H$991,4,FALSE)</f>
        <v>250.89311218261719</v>
      </c>
      <c r="Z543" s="26">
        <f t="shared" ref="Z543:Z606" si="871">Y543*DAY($C543)*86400/43560/1000</f>
        <v>14.929176923263173</v>
      </c>
      <c r="AA543" s="26">
        <f t="shared" si="867"/>
        <v>0</v>
      </c>
      <c r="AB543" s="33">
        <f t="shared" si="854"/>
        <v>0</v>
      </c>
    </row>
    <row r="544" spans="1:28" x14ac:dyDescent="0.3">
      <c r="A544" s="34">
        <f>VLOOKUP(YEAR(C544),Flags!$A$13:$B$95,2,FALSE)</f>
        <v>2</v>
      </c>
      <c r="B544" s="35">
        <f t="shared" si="841"/>
        <v>1980</v>
      </c>
      <c r="C544" s="36">
        <v>29586</v>
      </c>
      <c r="D544" s="37"/>
      <c r="E544" s="35"/>
      <c r="F544" s="37"/>
      <c r="G544" s="37"/>
      <c r="H544" s="37"/>
      <c r="I544" s="37"/>
      <c r="J544" s="37"/>
      <c r="K544" s="37"/>
      <c r="L544" s="35"/>
      <c r="M544" s="35"/>
      <c r="N544" s="37"/>
      <c r="O544" s="37"/>
      <c r="P544" s="37"/>
      <c r="Q544" s="37"/>
      <c r="R544" s="37"/>
      <c r="S544" s="37"/>
      <c r="T544" s="37"/>
      <c r="U544" s="37"/>
      <c r="V544" s="37"/>
      <c r="W544" s="37">
        <f>MAX($C$11-VLOOKUP($C544,COS!$B$8:$H$991,3,FALSE),0)</f>
        <v>1750</v>
      </c>
      <c r="X544" s="37">
        <f t="shared" si="870"/>
        <v>107.60330578512398</v>
      </c>
      <c r="Y544" s="37">
        <f>VLOOKUP($C544,COS!$B$8:$H$991,4,FALSE)</f>
        <v>0</v>
      </c>
      <c r="Z544" s="37">
        <f t="shared" si="871"/>
        <v>0</v>
      </c>
      <c r="AA544" s="37">
        <f t="shared" si="867"/>
        <v>0</v>
      </c>
      <c r="AB544" s="38">
        <f t="shared" si="854"/>
        <v>0</v>
      </c>
    </row>
    <row r="545" spans="1:28" x14ac:dyDescent="0.3">
      <c r="A545" s="27">
        <f>VLOOKUP(YEAR(C545),Flags!$A$13:$B$95,2,FALSE)</f>
        <v>4</v>
      </c>
      <c r="B545" s="28">
        <f t="shared" si="841"/>
        <v>1981</v>
      </c>
      <c r="C545" s="29">
        <v>29706</v>
      </c>
      <c r="D545" s="30">
        <f>VLOOKUP($C545,COS!$B$8:$H$991,3,FALSE)</f>
        <v>3250</v>
      </c>
      <c r="E545" s="28">
        <f>IF(D545&gt;=IF(MONTH($C545)=4,$C$3,IF(MONTH($C545)=5,$C$4,IF(MONTH($C545)=6,$C$5,IF(MONTH($C545)=7,$C$6,"ERROR")))),1,0)</f>
        <v>0</v>
      </c>
      <c r="F545" s="30">
        <f>VLOOKUP($C545,COS!$B$8:$H$991,7,FALSE)</f>
        <v>51.835830688476563</v>
      </c>
      <c r="G545" s="28">
        <f>IF(F545&lt;=IF(MONTH($C545)=4,$F$3,IF(MONTH($C545)=5,$F$4,IF(MONTH($C545)=6,$F$5,IF(MONTH($C545)=7,$F$6,"ERROR")))),1,0)</f>
        <v>1</v>
      </c>
      <c r="H545" s="30">
        <f>IF(J545=1,D545-$C$3,0)</f>
        <v>0</v>
      </c>
      <c r="I545" s="30">
        <f t="shared" ref="I545:I608" si="872">H545*DAY($C545)*86400/43560/1000</f>
        <v>0</v>
      </c>
      <c r="J545" s="28">
        <f t="shared" ref="J545:J548" si="873">IF(AND(E545=1,G545=1),1,0)</f>
        <v>0</v>
      </c>
      <c r="K545" s="30">
        <f>VLOOKUP($C545,COS!$B$8:$H$991,2,FALSE)</f>
        <v>4273.45361328125</v>
      </c>
      <c r="L545" s="28">
        <f t="shared" ref="L545" si="874">IF(K545&lt;=IF(MONTH($C545)=4,$I$3,IF(MONTH($C545)=5,$I$4,IF(MONTH($C545)=6,$I$5,IF(MONTH($C545)=7,$I$6,"ERROR")))),1,0)</f>
        <v>1</v>
      </c>
      <c r="M545" s="28">
        <f t="shared" ref="M545" si="875">VLOOKUP($A545,$L$3:$M$7,2,FALSE)</f>
        <v>1</v>
      </c>
      <c r="N545" s="30">
        <f>VLOOKUP($C545,COS!$B$8:$H$991,5,FALSE)</f>
        <v>216.92788696289063</v>
      </c>
      <c r="O545" s="30">
        <f t="shared" ref="O545:O548" si="876">N545*DAY($C545)*86400/43560/1000</f>
        <v>12.908105670519111</v>
      </c>
      <c r="P545" s="30">
        <f>VLOOKUP($C545,COS!$B$8:$H$991,6,FALSE)</f>
        <v>405.1795654296875</v>
      </c>
      <c r="Q545" s="30">
        <f t="shared" ref="Q545:Q548" si="877">P545*DAY($C545)*86400/43560/1000</f>
        <v>24.109858438791321</v>
      </c>
      <c r="R545" s="30">
        <f>MIN(IF(MONTH($C545)=4,$S$3,IF(MONTH($C545)=5,$S$4,IF(MONTH($C545)=6,$S$5,IF(MONTH($C545)=7,$S$6,"ERROR")))),MAX(VLOOKUP($C545,COS!$B$8:$K$991,10,FALSE)-IF(MONTH($C545)=4,$Y$3,IF(MONTH($C545)=5,$Y$4,IF(MONTH($C545)=6,$Y$5,IF(MONTH($C545)=7,$Y$6,"ERROR")))),0),MAX(VLOOKUP($C545,COS!$B$8:$K$991,9,FALSE)-IF(MONTH($C545)=4,$V$3,IF(MONTH($C545)=5,$V$4,IF(MONTH($C545)=6,$V$5,IF(MONTH($C545)=7,$V$6,"ERROR"))))-VLOOKUP($C545,COS!$B$8:$K$991,6,FALSE)/2,0))</f>
        <v>1500</v>
      </c>
      <c r="S545" s="30">
        <f t="shared" ref="S545:S548" si="878">R545*DAY($C545)*86400/43560/1000</f>
        <v>89.256198347107429</v>
      </c>
      <c r="T545" s="30">
        <f t="shared" ref="T545:T548" si="879">(O545+Q545)/2+S545</f>
        <v>107.76518040176265</v>
      </c>
      <c r="U545" s="30" t="str">
        <f>IF(VLOOKUP($C545,COS!$B$8:$I$991,8,FALSE)=1,"UWFE","IBU")</f>
        <v>UWFE</v>
      </c>
      <c r="V545" s="30">
        <f t="shared" ref="V545" si="880">MIN(IF(IF($AA$3=2,AND(E545=1,G545=1,L545=1,L550=1,M545=1,U545="IBU"),AND(E545=1,G545=1,L545=1,L550=1,M545=1)),T545,0),I545)</f>
        <v>0</v>
      </c>
      <c r="W545" s="30"/>
      <c r="X545" s="30"/>
      <c r="Y545" s="30"/>
      <c r="Z545" s="30"/>
      <c r="AA545" s="30"/>
      <c r="AB545" s="31"/>
    </row>
    <row r="546" spans="1:28" x14ac:dyDescent="0.3">
      <c r="A546" s="32">
        <f>VLOOKUP(YEAR(C546),Flags!$A$13:$B$95,2,FALSE)</f>
        <v>4</v>
      </c>
      <c r="B546" s="24">
        <f t="shared" si="841"/>
        <v>1981</v>
      </c>
      <c r="C546" s="25">
        <v>29737</v>
      </c>
      <c r="D546" s="26">
        <f>VLOOKUP($C546,COS!$B$8:$H$991,3,FALSE)</f>
        <v>7636.04248046875</v>
      </c>
      <c r="E546" s="24">
        <f>IF(D546&gt;=IF(MONTH($C546)=4,$C$3,IF(MONTH($C546)=5,$C$4,IF(MONTH($C546)=6,$C$5,IF(MONTH($C546)=7,$C$6,"ERROR")))),1,0)</f>
        <v>1</v>
      </c>
      <c r="F546" s="26">
        <f>VLOOKUP($C546,COS!$B$8:$H$991,7,FALSE)</f>
        <v>50.98291015625</v>
      </c>
      <c r="G546" s="24">
        <f>IF(F546&lt;=IF(MONTH($C546)=4,$F$3,IF(MONTH($C546)=5,$F$4,IF(MONTH($C546)=6,$F$5,IF(MONTH($C546)=7,$F$6,"ERROR")))),1,0)</f>
        <v>1</v>
      </c>
      <c r="H546" s="26">
        <f>IF(J546=1,D546-$C$4,0)</f>
        <v>1636.04248046875</v>
      </c>
      <c r="I546" s="26">
        <f t="shared" si="872"/>
        <v>100.59633103047521</v>
      </c>
      <c r="J546" s="24">
        <f t="shared" si="873"/>
        <v>1</v>
      </c>
      <c r="K546" s="26">
        <f>VLOOKUP($C546,COS!$B$8:$H$991,2,FALSE)</f>
        <v>4072.649658203125</v>
      </c>
      <c r="L546" s="24">
        <f t="shared" si="843"/>
        <v>1</v>
      </c>
      <c r="M546" s="24">
        <f t="shared" si="844"/>
        <v>1</v>
      </c>
      <c r="N546" s="26">
        <f>VLOOKUP($C546,COS!$B$8:$H$991,5,FALSE)</f>
        <v>512.199951171875</v>
      </c>
      <c r="O546" s="26">
        <f t="shared" si="876"/>
        <v>31.493947410898759</v>
      </c>
      <c r="P546" s="26">
        <f>VLOOKUP($C546,COS!$B$8:$H$991,6,FALSE)</f>
        <v>2162.07861328125</v>
      </c>
      <c r="Q546" s="26">
        <f t="shared" si="877"/>
        <v>132.94103208935951</v>
      </c>
      <c r="R546" s="26">
        <f>MIN(IF(MONTH($C546)=4,$S$3,IF(MONTH($C546)=5,$S$4,IF(MONTH($C546)=6,$S$5,IF(MONTH($C546)=7,$S$6,"ERROR")))),MAX(VLOOKUP($C546,COS!$B$8:$K$991,10,FALSE)-IF(MONTH($C546)=4,$Y$3,IF(MONTH($C546)=5,$Y$4,IF(MONTH($C546)=6,$Y$5,IF(MONTH($C546)=7,$Y$6,"ERROR")))),0),MAX(VLOOKUP($C546,COS!$B$8:$K$991,9,FALSE)-IF(MONTH($C546)=4,$V$3,IF(MONTH($C546)=5,$V$4,IF(MONTH($C546)=6,$V$5,IF(MONTH($C546)=7,$V$6,"ERROR"))))-VLOOKUP($C546,COS!$B$8:$K$991,6,FALSE)/2,0))</f>
        <v>1500</v>
      </c>
      <c r="S546" s="26">
        <f t="shared" si="878"/>
        <v>92.231404958677686</v>
      </c>
      <c r="T546" s="26">
        <f t="shared" si="879"/>
        <v>174.44889470880682</v>
      </c>
      <c r="U546" s="26" t="str">
        <f>IF(VLOOKUP($C546,COS!$B$8:$I$991,8,FALSE)=1,"UWFE","IBU")</f>
        <v>IBU</v>
      </c>
      <c r="V546" s="26">
        <f t="shared" ref="V546" si="881">MIN(IF(IF($AA$3=2,AND(E546=1,G546=1,L546=1,L550=1,M546=1,U546="IBU"),AND(E546=1,G546=1,L546=1,L550=1,M546=1)),T546,0),I546)</f>
        <v>100.59633103047521</v>
      </c>
      <c r="W546" s="26"/>
      <c r="X546" s="26"/>
      <c r="Y546" s="26"/>
      <c r="Z546" s="26"/>
      <c r="AA546" s="26"/>
      <c r="AB546" s="33"/>
    </row>
    <row r="547" spans="1:28" x14ac:dyDescent="0.3">
      <c r="A547" s="32">
        <f>VLOOKUP(YEAR(C547),Flags!$A$13:$B$95,2,FALSE)</f>
        <v>4</v>
      </c>
      <c r="B547" s="24">
        <f t="shared" si="841"/>
        <v>1981</v>
      </c>
      <c r="C547" s="25">
        <v>29767</v>
      </c>
      <c r="D547" s="26">
        <f>VLOOKUP($C547,COS!$B$8:$H$991,3,FALSE)</f>
        <v>14118.259765625</v>
      </c>
      <c r="E547" s="24">
        <f>IF(D547&gt;=IF(MONTH($C547)=4,$C$3,IF(MONTH($C547)=5,$C$4,IF(MONTH($C547)=6,$C$5,IF(MONTH($C547)=7,$C$6,"ERROR")))),1,0)</f>
        <v>1</v>
      </c>
      <c r="F547" s="26">
        <f>VLOOKUP($C547,COS!$B$8:$H$991,7,FALSE)</f>
        <v>50.939315795898438</v>
      </c>
      <c r="G547" s="24">
        <f>IF(F547&lt;=IF(MONTH($C547)=4,$F$3,IF(MONTH($C547)=5,$F$4,IF(MONTH($C547)=6,$F$5,IF(MONTH($C547)=7,$F$6,"ERROR")))),1,0)</f>
        <v>1</v>
      </c>
      <c r="H547" s="26">
        <f>IF(J547=1,D547-$C$5,0)</f>
        <v>4118.259765625</v>
      </c>
      <c r="I547" s="26">
        <f t="shared" si="872"/>
        <v>245.0534736570248</v>
      </c>
      <c r="J547" s="24">
        <f t="shared" si="873"/>
        <v>1</v>
      </c>
      <c r="K547" s="26">
        <f>VLOOKUP($C547,COS!$B$8:$H$991,2,FALSE)</f>
        <v>3447.17138671875</v>
      </c>
      <c r="L547" s="24">
        <f t="shared" si="843"/>
        <v>1</v>
      </c>
      <c r="M547" s="24">
        <f t="shared" si="844"/>
        <v>1</v>
      </c>
      <c r="N547" s="26">
        <f>VLOOKUP($C547,COS!$B$8:$H$991,5,FALSE)</f>
        <v>824.02752685546875</v>
      </c>
      <c r="O547" s="26">
        <f t="shared" si="876"/>
        <v>49.033042920325407</v>
      </c>
      <c r="P547" s="26">
        <f>VLOOKUP($C547,COS!$B$8:$H$991,6,FALSE)</f>
        <v>2714.961669921875</v>
      </c>
      <c r="Q547" s="26">
        <f t="shared" si="877"/>
        <v>161.55143821022727</v>
      </c>
      <c r="R547" s="26">
        <f>MIN(IF(MONTH($C547)=4,$S$3,IF(MONTH($C547)=5,$S$4,IF(MONTH($C547)=6,$S$5,IF(MONTH($C547)=7,$S$6,"ERROR")))),MAX(VLOOKUP($C547,COS!$B$8:$K$991,10,FALSE)-IF(MONTH($C547)=4,$Y$3,IF(MONTH($C547)=5,$Y$4,IF(MONTH($C547)=6,$Y$5,IF(MONTH($C547)=7,$Y$6,"ERROR")))),0),MAX(VLOOKUP($C547,COS!$B$8:$K$991,9,FALSE)-IF(MONTH($C547)=4,$V$3,IF(MONTH($C547)=5,$V$4,IF(MONTH($C547)=6,$V$5,IF(MONTH($C547)=7,$V$6,"ERROR"))))-VLOOKUP($C547,COS!$B$8:$K$991,6,FALSE)/2,0))</f>
        <v>1500</v>
      </c>
      <c r="S547" s="26">
        <f t="shared" si="878"/>
        <v>89.256198347107429</v>
      </c>
      <c r="T547" s="26">
        <f t="shared" si="879"/>
        <v>194.54843891238377</v>
      </c>
      <c r="U547" s="26" t="str">
        <f>IF(VLOOKUP($C547,COS!$B$8:$I$991,8,FALSE)=1,"UWFE","IBU")</f>
        <v>IBU</v>
      </c>
      <c r="V547" s="26">
        <f t="shared" ref="V547" si="882">MIN(IF(IF($AA$3=2,AND(E547=1,G547=1,L547=1,L550=1,M547=1,U547="IBU"),AND(E547=1,G547=1,L547=1,L550=1,M547=1)),T547,0),I547)</f>
        <v>194.54843891238377</v>
      </c>
      <c r="W547" s="26"/>
      <c r="X547" s="26"/>
      <c r="Y547" s="26"/>
      <c r="Z547" s="26"/>
      <c r="AA547" s="26"/>
      <c r="AB547" s="33"/>
    </row>
    <row r="548" spans="1:28" x14ac:dyDescent="0.3">
      <c r="A548" s="32">
        <f>VLOOKUP(YEAR(C548),Flags!$A$13:$B$95,2,FALSE)</f>
        <v>4</v>
      </c>
      <c r="B548" s="24">
        <f t="shared" si="841"/>
        <v>1981</v>
      </c>
      <c r="C548" s="25">
        <v>29798</v>
      </c>
      <c r="D548" s="26">
        <f>VLOOKUP($C548,COS!$B$8:$H$991,3,FALSE)</f>
        <v>16000</v>
      </c>
      <c r="E548" s="24">
        <f>IF(D548&gt;=IF(MONTH($C548)=4,$C$3,IF(MONTH($C548)=5,$C$4,IF(MONTH($C548)=6,$C$5,IF(MONTH($C548)=7,$C$6,"ERROR")))),1,0)</f>
        <v>1</v>
      </c>
      <c r="F548" s="26">
        <f>VLOOKUP($C548,COS!$B$8:$H$991,7,FALSE)</f>
        <v>52.245452880859375</v>
      </c>
      <c r="G548" s="24">
        <f>IF(F548&lt;=IF(MONTH($C548)=4,$F$3,IF(MONTH($C548)=5,$F$4,IF(MONTH($C548)=6,$F$5,IF(MONTH($C548)=7,$F$6,"ERROR")))),1,0)</f>
        <v>1</v>
      </c>
      <c r="H548" s="26">
        <f>IF(J548=1,D548-$C$6,0)</f>
        <v>4000</v>
      </c>
      <c r="I548" s="26">
        <f t="shared" si="872"/>
        <v>245.95041322314049</v>
      </c>
      <c r="J548" s="24">
        <f t="shared" si="873"/>
        <v>1</v>
      </c>
      <c r="K548" s="26">
        <f>VLOOKUP($C548,COS!$B$8:$H$991,2,FALSE)</f>
        <v>2809.813720703125</v>
      </c>
      <c r="L548" s="24">
        <f t="shared" si="843"/>
        <v>1</v>
      </c>
      <c r="M548" s="24">
        <f t="shared" si="844"/>
        <v>1</v>
      </c>
      <c r="N548" s="26">
        <f>VLOOKUP($C548,COS!$B$8:$H$991,5,FALSE)</f>
        <v>902.334716796875</v>
      </c>
      <c r="O548" s="26">
        <f t="shared" si="876"/>
        <v>55.48239911544421</v>
      </c>
      <c r="P548" s="26">
        <f>VLOOKUP($C548,COS!$B$8:$H$991,6,FALSE)</f>
        <v>2538.07568359375</v>
      </c>
      <c r="Q548" s="26">
        <f t="shared" si="877"/>
        <v>156.06019079287191</v>
      </c>
      <c r="R548" s="26">
        <f>MIN(IF(MONTH($C548)=4,$S$3,IF(MONTH($C548)=5,$S$4,IF(MONTH($C548)=6,$S$5,IF(MONTH($C548)=7,$S$6,"ERROR")))),MAX(VLOOKUP($C548,COS!$B$8:$K$991,10,FALSE)-IF(MONTH($C548)=4,$Y$3,IF(MONTH($C548)=5,$Y$4,IF(MONTH($C548)=6,$Y$5,IF(MONTH($C548)=7,$Y$6,"ERROR")))),0),MAX(VLOOKUP($C548,COS!$B$8:$K$991,9,FALSE)-IF(MONTH($C548)=4,$V$3,IF(MONTH($C548)=5,$V$4,IF(MONTH($C548)=6,$V$5,IF(MONTH($C548)=7,$V$6,"ERROR"))))-VLOOKUP($C548,COS!$B$8:$K$991,6,FALSE)/2,0))</f>
        <v>1500</v>
      </c>
      <c r="S548" s="26">
        <f t="shared" si="878"/>
        <v>92.231404958677686</v>
      </c>
      <c r="T548" s="26">
        <f t="shared" si="879"/>
        <v>198.00269991283574</v>
      </c>
      <c r="U548" s="26" t="str">
        <f>IF(VLOOKUP($C548,COS!$B$8:$I$991,8,FALSE)=1,"UWFE","IBU")</f>
        <v>IBU</v>
      </c>
      <c r="V548" s="26">
        <f t="shared" ref="V548" si="883">MIN(IF(IF($AA$3=2,AND(E548=1,G548=1,L548=1,L550=1,M548=1,U548="IBU"),AND(E548=1,G548=1,L548=1,L550=1,M548=1)),T548,0),I548)</f>
        <v>198.00269991283574</v>
      </c>
      <c r="W548" s="26"/>
      <c r="X548" s="26"/>
      <c r="Y548" s="26"/>
      <c r="Z548" s="26"/>
      <c r="AA548" s="26"/>
      <c r="AB548" s="33"/>
    </row>
    <row r="549" spans="1:28" x14ac:dyDescent="0.3">
      <c r="A549" s="32">
        <f>VLOOKUP(YEAR(C549),Flags!$A$13:$B$95,2,FALSE)</f>
        <v>4</v>
      </c>
      <c r="B549" s="24">
        <f t="shared" si="841"/>
        <v>1981</v>
      </c>
      <c r="C549" s="25">
        <v>29829</v>
      </c>
      <c r="D549" s="26"/>
      <c r="E549" s="24"/>
      <c r="F549" s="26"/>
      <c r="G549" s="24"/>
      <c r="H549" s="24"/>
      <c r="I549" s="26"/>
      <c r="J549" s="24"/>
      <c r="K549" s="26"/>
      <c r="L549" s="24"/>
      <c r="M549" s="24"/>
      <c r="N549" s="26"/>
      <c r="O549" s="26"/>
      <c r="P549" s="26"/>
      <c r="Q549" s="26"/>
      <c r="R549" s="26"/>
      <c r="S549" s="26"/>
      <c r="T549" s="26"/>
      <c r="U549" s="26"/>
      <c r="V549" s="26"/>
      <c r="W549" s="26">
        <f>MAX($C$7-VLOOKUP($C549,COS!$B$8:$H$991,3,FALSE),0)</f>
        <v>3032.4130859375</v>
      </c>
      <c r="X549" s="26">
        <f t="shared" si="870"/>
        <v>186.45581288739669</v>
      </c>
      <c r="Y549" s="26">
        <f>VLOOKUP($C549,COS!$B$8:$H$991,4,FALSE)</f>
        <v>3055.62109375</v>
      </c>
      <c r="Z549" s="26">
        <f t="shared" si="871"/>
        <v>187.88281766528925</v>
      </c>
      <c r="AA549" s="26">
        <f t="shared" ref="AA549:AA553" si="884">MIN(W549,Y549)</f>
        <v>3032.4130859375</v>
      </c>
      <c r="AB549" s="33">
        <f t="shared" ref="AB549" si="885">AA549*DAY($C549)*86400/43560/1000*IF(MONTH($C549)=8,$P$3,IF(MONTH($C549)=9,$P$4,IF(MONTH($C549)=10,$P$5,IF(MONTH($C549)=11,$P$6,IF(MONTH($C549)=12,$P$7,NA())))))</f>
        <v>186.45581288739669</v>
      </c>
    </row>
    <row r="550" spans="1:28" x14ac:dyDescent="0.3">
      <c r="A550" s="32">
        <f>VLOOKUP(YEAR(C550),Flags!$A$13:$B$95,2,FALSE)</f>
        <v>4</v>
      </c>
      <c r="B550" s="24">
        <f t="shared" si="841"/>
        <v>1981</v>
      </c>
      <c r="C550" s="25">
        <v>29859</v>
      </c>
      <c r="D550" s="26"/>
      <c r="E550" s="24"/>
      <c r="F550" s="26"/>
      <c r="G550" s="24"/>
      <c r="H550" s="24"/>
      <c r="I550" s="26"/>
      <c r="J550" s="24"/>
      <c r="K550" s="26">
        <f>VLOOKUP($C550,COS!$B$8:$H$991,2,FALSE)</f>
        <v>2475.966796875</v>
      </c>
      <c r="L550" s="24">
        <f t="shared" ref="L550" si="886">IF(AND(K550&gt;$I$7,K550&lt;$I$8),1,0)</f>
        <v>1</v>
      </c>
      <c r="M550" s="24"/>
      <c r="N550" s="26"/>
      <c r="O550" s="26"/>
      <c r="P550" s="26"/>
      <c r="Q550" s="26"/>
      <c r="R550" s="26"/>
      <c r="S550" s="26"/>
      <c r="T550" s="26"/>
      <c r="U550" s="26"/>
      <c r="V550" s="26"/>
      <c r="W550" s="26">
        <f>MAX($C$8-VLOOKUP($C550,COS!$B$8:$H$991,3,FALSE),0)</f>
        <v>646.4052734375</v>
      </c>
      <c r="X550" s="26">
        <f t="shared" si="870"/>
        <v>38.463784865702479</v>
      </c>
      <c r="Y550" s="26">
        <f>VLOOKUP($C550,COS!$B$8:$H$991,4,FALSE)</f>
        <v>917.53326416015625</v>
      </c>
      <c r="Z550" s="26">
        <f t="shared" si="871"/>
        <v>54.597020677298552</v>
      </c>
      <c r="AA550" s="26">
        <f t="shared" si="884"/>
        <v>646.4052734375</v>
      </c>
      <c r="AB550" s="33">
        <f t="shared" si="854"/>
        <v>38.463784865702479</v>
      </c>
    </row>
    <row r="551" spans="1:28" x14ac:dyDescent="0.3">
      <c r="A551" s="32">
        <f>VLOOKUP(YEAR(C551),Flags!$A$13:$B$95,2,FALSE)</f>
        <v>4</v>
      </c>
      <c r="B551" s="24">
        <f t="shared" si="841"/>
        <v>1981</v>
      </c>
      <c r="C551" s="25">
        <v>29890</v>
      </c>
      <c r="D551" s="26"/>
      <c r="E551" s="24"/>
      <c r="F551" s="26"/>
      <c r="G551" s="26"/>
      <c r="H551" s="26"/>
      <c r="I551" s="26"/>
      <c r="J551" s="26"/>
      <c r="K551" s="26"/>
      <c r="L551" s="24"/>
      <c r="M551" s="24"/>
      <c r="N551" s="26"/>
      <c r="O551" s="26"/>
      <c r="P551" s="26"/>
      <c r="Q551" s="26"/>
      <c r="R551" s="26"/>
      <c r="S551" s="26"/>
      <c r="T551" s="26"/>
      <c r="U551" s="26"/>
      <c r="V551" s="26"/>
      <c r="W551" s="26">
        <f>MAX($C$9-VLOOKUP($C551,COS!$B$8:$H$991,3,FALSE),0)</f>
        <v>1680.089599609375</v>
      </c>
      <c r="X551" s="26">
        <f t="shared" si="870"/>
        <v>103.30468281895662</v>
      </c>
      <c r="Y551" s="26">
        <f>VLOOKUP($C551,COS!$B$8:$H$991,4,FALSE)</f>
        <v>1399.4996337890625</v>
      </c>
      <c r="Z551" s="26">
        <f t="shared" si="871"/>
        <v>86.051878309013418</v>
      </c>
      <c r="AA551" s="26">
        <f t="shared" si="884"/>
        <v>1399.4996337890625</v>
      </c>
      <c r="AB551" s="33">
        <f t="shared" si="854"/>
        <v>86.051878309013418</v>
      </c>
    </row>
    <row r="552" spans="1:28" x14ac:dyDescent="0.3">
      <c r="A552" s="32">
        <f>VLOOKUP(YEAR(C552),Flags!$A$13:$B$95,2,FALSE)</f>
        <v>4</v>
      </c>
      <c r="B552" s="24">
        <f t="shared" si="841"/>
        <v>1981</v>
      </c>
      <c r="C552" s="25">
        <v>29920</v>
      </c>
      <c r="D552" s="26"/>
      <c r="E552" s="24"/>
      <c r="F552" s="26"/>
      <c r="G552" s="26"/>
      <c r="H552" s="26"/>
      <c r="I552" s="26"/>
      <c r="J552" s="26"/>
      <c r="K552" s="26"/>
      <c r="L552" s="24"/>
      <c r="M552" s="24"/>
      <c r="N552" s="26"/>
      <c r="O552" s="26"/>
      <c r="P552" s="26"/>
      <c r="Q552" s="26"/>
      <c r="R552" s="26"/>
      <c r="S552" s="26"/>
      <c r="T552" s="26"/>
      <c r="U552" s="26"/>
      <c r="V552" s="26"/>
      <c r="W552" s="26">
        <f>MAX($C$10-VLOOKUP($C552,COS!$B$8:$H$991,3,FALSE),0)</f>
        <v>0</v>
      </c>
      <c r="X552" s="26">
        <f t="shared" si="870"/>
        <v>0</v>
      </c>
      <c r="Y552" s="26">
        <f>VLOOKUP($C552,COS!$B$8:$H$991,4,FALSE)</f>
        <v>0</v>
      </c>
      <c r="Z552" s="26">
        <f t="shared" si="871"/>
        <v>0</v>
      </c>
      <c r="AA552" s="26">
        <f t="shared" si="884"/>
        <v>0</v>
      </c>
      <c r="AB552" s="33">
        <f t="shared" si="854"/>
        <v>0</v>
      </c>
    </row>
    <row r="553" spans="1:28" x14ac:dyDescent="0.3">
      <c r="A553" s="34">
        <f>VLOOKUP(YEAR(C553),Flags!$A$13:$B$95,2,FALSE)</f>
        <v>4</v>
      </c>
      <c r="B553" s="35">
        <f t="shared" si="841"/>
        <v>1981</v>
      </c>
      <c r="C553" s="36">
        <v>29951</v>
      </c>
      <c r="D553" s="37"/>
      <c r="E553" s="35"/>
      <c r="F553" s="37"/>
      <c r="G553" s="37"/>
      <c r="H553" s="37"/>
      <c r="I553" s="37"/>
      <c r="J553" s="37"/>
      <c r="K553" s="37"/>
      <c r="L553" s="35"/>
      <c r="M553" s="35"/>
      <c r="N553" s="37"/>
      <c r="O553" s="37"/>
      <c r="P553" s="37"/>
      <c r="Q553" s="37"/>
      <c r="R553" s="37"/>
      <c r="S553" s="37"/>
      <c r="T553" s="37"/>
      <c r="U553" s="37"/>
      <c r="V553" s="37"/>
      <c r="W553" s="37">
        <f>MAX($C$11-VLOOKUP($C553,COS!$B$8:$H$991,3,FALSE),0)</f>
        <v>0</v>
      </c>
      <c r="X553" s="37">
        <f t="shared" si="870"/>
        <v>0</v>
      </c>
      <c r="Y553" s="37">
        <f>VLOOKUP($C553,COS!$B$8:$H$991,4,FALSE)</f>
        <v>0</v>
      </c>
      <c r="Z553" s="37">
        <f t="shared" si="871"/>
        <v>0</v>
      </c>
      <c r="AA553" s="37">
        <f t="shared" si="884"/>
        <v>0</v>
      </c>
      <c r="AB553" s="38">
        <f t="shared" si="854"/>
        <v>0</v>
      </c>
    </row>
    <row r="554" spans="1:28" x14ac:dyDescent="0.3">
      <c r="A554" s="27">
        <f>VLOOKUP(YEAR(C554),Flags!$A$13:$B$95,2,FALSE)</f>
        <v>1</v>
      </c>
      <c r="B554" s="28">
        <f t="shared" si="841"/>
        <v>1982</v>
      </c>
      <c r="C554" s="29">
        <v>30071</v>
      </c>
      <c r="D554" s="30">
        <f>VLOOKUP($C554,COS!$B$8:$H$991,3,FALSE)</f>
        <v>24913.6875</v>
      </c>
      <c r="E554" s="28">
        <f>IF(D554&gt;=IF(MONTH($C554)=4,$C$3,IF(MONTH($C554)=5,$C$4,IF(MONTH($C554)=6,$C$5,IF(MONTH($C554)=7,$C$6,"ERROR")))),1,0)</f>
        <v>1</v>
      </c>
      <c r="F554" s="30">
        <f>VLOOKUP($C554,COS!$B$8:$H$991,7,FALSE)</f>
        <v>46.657176971435547</v>
      </c>
      <c r="G554" s="28">
        <f>IF(F554&lt;=IF(MONTH($C554)=4,$F$3,IF(MONTH($C554)=5,$F$4,IF(MONTH($C554)=6,$F$5,IF(MONTH($C554)=7,$F$6,"ERROR")))),1,0)</f>
        <v>1</v>
      </c>
      <c r="H554" s="30">
        <f>IF(J554=1,D554-$C$3,0)</f>
        <v>18913.6875</v>
      </c>
      <c r="I554" s="30">
        <f t="shared" si="872"/>
        <v>1125.442561983471</v>
      </c>
      <c r="J554" s="28">
        <f t="shared" ref="J554:J557" si="887">IF(AND(E554=1,G554=1),1,0)</f>
        <v>1</v>
      </c>
      <c r="K554" s="30">
        <f>VLOOKUP($C554,COS!$B$8:$H$991,2,FALSE)</f>
        <v>4094</v>
      </c>
      <c r="L554" s="28">
        <f t="shared" ref="L554" si="888">IF(K554&lt;=IF(MONTH($C554)=4,$I$3,IF(MONTH($C554)=5,$I$4,IF(MONTH($C554)=6,$I$5,IF(MONTH($C554)=7,$I$6,"ERROR")))),1,0)</f>
        <v>1</v>
      </c>
      <c r="M554" s="28">
        <f t="shared" ref="M554" si="889">VLOOKUP($A554,$L$3:$M$7,2,FALSE)</f>
        <v>0</v>
      </c>
      <c r="N554" s="30">
        <f>VLOOKUP($C554,COS!$B$8:$H$991,5,FALSE)</f>
        <v>47.432540893554688</v>
      </c>
      <c r="O554" s="30">
        <f t="shared" ref="O554:O557" si="890">N554*DAY($C554)*86400/43560/1000</f>
        <v>2.8224321854016012</v>
      </c>
      <c r="P554" s="30">
        <f>VLOOKUP($C554,COS!$B$8:$H$991,6,FALSE)</f>
        <v>305.73114013671875</v>
      </c>
      <c r="Q554" s="30">
        <f t="shared" ref="Q554:Q557" si="891">P554*DAY($C554)*86400/43560/1000</f>
        <v>18.192266189953511</v>
      </c>
      <c r="R554" s="30">
        <f>MIN(IF(MONTH($C554)=4,$S$3,IF(MONTH($C554)=5,$S$4,IF(MONTH($C554)=6,$S$5,IF(MONTH($C554)=7,$S$6,"ERROR")))),MAX(VLOOKUP($C554,COS!$B$8:$K$991,10,FALSE)-IF(MONTH($C554)=4,$Y$3,IF(MONTH($C554)=5,$Y$4,IF(MONTH($C554)=6,$Y$5,IF(MONTH($C554)=7,$Y$6,"ERROR")))),0),MAX(VLOOKUP($C554,COS!$B$8:$K$991,9,FALSE)-IF(MONTH($C554)=4,$V$3,IF(MONTH($C554)=5,$V$4,IF(MONTH($C554)=6,$V$5,IF(MONTH($C554)=7,$V$6,"ERROR"))))-VLOOKUP($C554,COS!$B$8:$K$991,6,FALSE)/2,0))</f>
        <v>1500</v>
      </c>
      <c r="S554" s="30">
        <f t="shared" ref="S554:S557" si="892">R554*DAY($C554)*86400/43560/1000</f>
        <v>89.256198347107429</v>
      </c>
      <c r="T554" s="30">
        <f t="shared" ref="T554:T557" si="893">(O554+Q554)/2+S554</f>
        <v>99.76354753478499</v>
      </c>
      <c r="U554" s="30" t="str">
        <f>IF(VLOOKUP($C554,COS!$B$8:$I$991,8,FALSE)=1,"UWFE","IBU")</f>
        <v>UWFE</v>
      </c>
      <c r="V554" s="30">
        <f t="shared" ref="V554" si="894">MIN(IF(IF($AA$3=2,AND(E554=1,G554=1,L554=1,L559=1,M554=1,U554="IBU"),AND(E554=1,G554=1,L554=1,L559=1,M554=1)),T554,0),I554)</f>
        <v>0</v>
      </c>
      <c r="W554" s="30"/>
      <c r="X554" s="30"/>
      <c r="Y554" s="30"/>
      <c r="Z554" s="30"/>
      <c r="AA554" s="30"/>
      <c r="AB554" s="31"/>
    </row>
    <row r="555" spans="1:28" x14ac:dyDescent="0.3">
      <c r="A555" s="32">
        <f>VLOOKUP(YEAR(C555),Flags!$A$13:$B$95,2,FALSE)</f>
        <v>1</v>
      </c>
      <c r="B555" s="24">
        <f t="shared" si="841"/>
        <v>1982</v>
      </c>
      <c r="C555" s="25">
        <v>30102</v>
      </c>
      <c r="D555" s="26">
        <f>VLOOKUP($C555,COS!$B$8:$H$991,3,FALSE)</f>
        <v>3472.723876953125</v>
      </c>
      <c r="E555" s="24">
        <f>IF(D555&gt;=IF(MONTH($C555)=4,$C$3,IF(MONTH($C555)=5,$C$4,IF(MONTH($C555)=6,$C$5,IF(MONTH($C555)=7,$C$6,"ERROR")))),1,0)</f>
        <v>0</v>
      </c>
      <c r="F555" s="26">
        <f>VLOOKUP($C555,COS!$B$8:$H$991,7,FALSE)</f>
        <v>53.570789337158203</v>
      </c>
      <c r="G555" s="24">
        <f>IF(F555&lt;=IF(MONTH($C555)=4,$F$3,IF(MONTH($C555)=5,$F$4,IF(MONTH($C555)=6,$F$5,IF(MONTH($C555)=7,$F$6,"ERROR")))),1,0)</f>
        <v>1</v>
      </c>
      <c r="H555" s="26">
        <f>IF(J555=1,D555-$C$4,0)</f>
        <v>0</v>
      </c>
      <c r="I555" s="26">
        <f t="shared" si="872"/>
        <v>0</v>
      </c>
      <c r="J555" s="24">
        <f t="shared" si="887"/>
        <v>0</v>
      </c>
      <c r="K555" s="26">
        <f>VLOOKUP($C555,COS!$B$8:$H$991,2,FALSE)</f>
        <v>4481.19091796875</v>
      </c>
      <c r="L555" s="24">
        <f t="shared" si="843"/>
        <v>1</v>
      </c>
      <c r="M555" s="24">
        <f t="shared" si="844"/>
        <v>0</v>
      </c>
      <c r="N555" s="26">
        <f>VLOOKUP($C555,COS!$B$8:$H$991,5,FALSE)</f>
        <v>674.9888916015625</v>
      </c>
      <c r="O555" s="26">
        <f t="shared" si="890"/>
        <v>41.503449202608472</v>
      </c>
      <c r="P555" s="26">
        <f>VLOOKUP($C555,COS!$B$8:$H$991,6,FALSE)</f>
        <v>2221.702392578125</v>
      </c>
      <c r="Q555" s="26">
        <f t="shared" si="891"/>
        <v>136.60715537835745</v>
      </c>
      <c r="R555" s="26">
        <f>MIN(IF(MONTH($C555)=4,$S$3,IF(MONTH($C555)=5,$S$4,IF(MONTH($C555)=6,$S$5,IF(MONTH($C555)=7,$S$6,"ERROR")))),MAX(VLOOKUP($C555,COS!$B$8:$K$991,10,FALSE)-IF(MONTH($C555)=4,$Y$3,IF(MONTH($C555)=5,$Y$4,IF(MONTH($C555)=6,$Y$5,IF(MONTH($C555)=7,$Y$6,"ERROR")))),0),MAX(VLOOKUP($C555,COS!$B$8:$K$991,9,FALSE)-IF(MONTH($C555)=4,$V$3,IF(MONTH($C555)=5,$V$4,IF(MONTH($C555)=6,$V$5,IF(MONTH($C555)=7,$V$6,"ERROR"))))-VLOOKUP($C555,COS!$B$8:$K$991,6,FALSE)/2,0))</f>
        <v>858.08984375</v>
      </c>
      <c r="S555" s="26">
        <f t="shared" si="892"/>
        <v>52.761887913223134</v>
      </c>
      <c r="T555" s="26">
        <f t="shared" si="893"/>
        <v>141.8171902037061</v>
      </c>
      <c r="U555" s="26" t="str">
        <f>IF(VLOOKUP($C555,COS!$B$8:$I$991,8,FALSE)=1,"UWFE","IBU")</f>
        <v>UWFE</v>
      </c>
      <c r="V555" s="26">
        <f t="shared" ref="V555" si="895">MIN(IF(IF($AA$3=2,AND(E555=1,G555=1,L555=1,L559=1,M555=1,U555="IBU"),AND(E555=1,G555=1,L555=1,L559=1,M555=1)),T555,0),I555)</f>
        <v>0</v>
      </c>
      <c r="W555" s="26"/>
      <c r="X555" s="26"/>
      <c r="Y555" s="26"/>
      <c r="Z555" s="26"/>
      <c r="AA555" s="26"/>
      <c r="AB555" s="33"/>
    </row>
    <row r="556" spans="1:28" x14ac:dyDescent="0.3">
      <c r="A556" s="32">
        <f>VLOOKUP(YEAR(C556),Flags!$A$13:$B$95,2,FALSE)</f>
        <v>1</v>
      </c>
      <c r="B556" s="24">
        <f t="shared" si="841"/>
        <v>1982</v>
      </c>
      <c r="C556" s="25">
        <v>30132</v>
      </c>
      <c r="D556" s="26">
        <f>VLOOKUP($C556,COS!$B$8:$H$991,3,FALSE)</f>
        <v>6372.11962890625</v>
      </c>
      <c r="E556" s="24">
        <f>IF(D556&gt;=IF(MONTH($C556)=4,$C$3,IF(MONTH($C556)=5,$C$4,IF(MONTH($C556)=6,$C$5,IF(MONTH($C556)=7,$C$6,"ERROR")))),1,0)</f>
        <v>0</v>
      </c>
      <c r="F556" s="26">
        <f>VLOOKUP($C556,COS!$B$8:$H$991,7,FALSE)</f>
        <v>52.376934051513672</v>
      </c>
      <c r="G556" s="24">
        <f>IF(F556&lt;=IF(MONTH($C556)=4,$F$3,IF(MONTH($C556)=5,$F$4,IF(MONTH($C556)=6,$F$5,IF(MONTH($C556)=7,$F$6,"ERROR")))),1,0)</f>
        <v>1</v>
      </c>
      <c r="H556" s="26">
        <f>IF(J556=1,D556-$C$5,0)</f>
        <v>0</v>
      </c>
      <c r="I556" s="26">
        <f t="shared" si="872"/>
        <v>0</v>
      </c>
      <c r="J556" s="24">
        <f t="shared" si="887"/>
        <v>0</v>
      </c>
      <c r="K556" s="26">
        <f>VLOOKUP($C556,COS!$B$8:$H$991,2,FALSE)</f>
        <v>4397.3564453125</v>
      </c>
      <c r="L556" s="24">
        <f t="shared" si="843"/>
        <v>1</v>
      </c>
      <c r="M556" s="24">
        <f t="shared" si="844"/>
        <v>0</v>
      </c>
      <c r="N556" s="26">
        <f>VLOOKUP($C556,COS!$B$8:$H$991,5,FALSE)</f>
        <v>1084.0577392578125</v>
      </c>
      <c r="O556" s="26">
        <f t="shared" si="890"/>
        <v>64.505915063274784</v>
      </c>
      <c r="P556" s="26">
        <f>VLOOKUP($C556,COS!$B$8:$H$991,6,FALSE)</f>
        <v>2094.6748046875</v>
      </c>
      <c r="Q556" s="26">
        <f t="shared" si="891"/>
        <v>124.64180655991736</v>
      </c>
      <c r="R556" s="26">
        <f>MIN(IF(MONTH($C556)=4,$S$3,IF(MONTH($C556)=5,$S$4,IF(MONTH($C556)=6,$S$5,IF(MONTH($C556)=7,$S$6,"ERROR")))),MAX(VLOOKUP($C556,COS!$B$8:$K$991,10,FALSE)-IF(MONTH($C556)=4,$Y$3,IF(MONTH($C556)=5,$Y$4,IF(MONTH($C556)=6,$Y$5,IF(MONTH($C556)=7,$Y$6,"ERROR")))),0),MAX(VLOOKUP($C556,COS!$B$8:$K$991,9,FALSE)-IF(MONTH($C556)=4,$V$3,IF(MONTH($C556)=5,$V$4,IF(MONTH($C556)=6,$V$5,IF(MONTH($C556)=7,$V$6,"ERROR"))))-VLOOKUP($C556,COS!$B$8:$K$991,6,FALSE)/2,0))</f>
        <v>1500</v>
      </c>
      <c r="S556" s="26">
        <f t="shared" si="892"/>
        <v>89.256198347107429</v>
      </c>
      <c r="T556" s="26">
        <f t="shared" si="893"/>
        <v>183.83005915870348</v>
      </c>
      <c r="U556" s="26" t="str">
        <f>IF(VLOOKUP($C556,COS!$B$8:$I$991,8,FALSE)=1,"UWFE","IBU")</f>
        <v>UWFE</v>
      </c>
      <c r="V556" s="26">
        <f t="shared" ref="V556" si="896">MIN(IF(IF($AA$3=2,AND(E556=1,G556=1,L556=1,L559=1,M556=1,U556="IBU"),AND(E556=1,G556=1,L556=1,L559=1,M556=1)),T556,0),I556)</f>
        <v>0</v>
      </c>
      <c r="W556" s="26"/>
      <c r="X556" s="26"/>
      <c r="Y556" s="26"/>
      <c r="Z556" s="26"/>
      <c r="AA556" s="26"/>
      <c r="AB556" s="33"/>
    </row>
    <row r="557" spans="1:28" x14ac:dyDescent="0.3">
      <c r="A557" s="32">
        <f>VLOOKUP(YEAR(C557),Flags!$A$13:$B$95,2,FALSE)</f>
        <v>1</v>
      </c>
      <c r="B557" s="24">
        <f t="shared" si="841"/>
        <v>1982</v>
      </c>
      <c r="C557" s="25">
        <v>30163</v>
      </c>
      <c r="D557" s="26">
        <f>VLOOKUP($C557,COS!$B$8:$H$991,3,FALSE)</f>
        <v>10502.37890625</v>
      </c>
      <c r="E557" s="24">
        <f>IF(D557&gt;=IF(MONTH($C557)=4,$C$3,IF(MONTH($C557)=5,$C$4,IF(MONTH($C557)=6,$C$5,IF(MONTH($C557)=7,$C$6,"ERROR")))),1,0)</f>
        <v>0</v>
      </c>
      <c r="F557" s="26">
        <f>VLOOKUP($C557,COS!$B$8:$H$991,7,FALSE)</f>
        <v>52.655227661132813</v>
      </c>
      <c r="G557" s="24">
        <f>IF(F557&lt;=IF(MONTH($C557)=4,$F$3,IF(MONTH($C557)=5,$F$4,IF(MONTH($C557)=6,$F$5,IF(MONTH($C557)=7,$F$6,"ERROR")))),1,0)</f>
        <v>1</v>
      </c>
      <c r="H557" s="26">
        <f>IF(J557=1,D557-$C$6,0)</f>
        <v>0</v>
      </c>
      <c r="I557" s="26">
        <f t="shared" si="872"/>
        <v>0</v>
      </c>
      <c r="J557" s="24">
        <f t="shared" si="887"/>
        <v>0</v>
      </c>
      <c r="K557" s="26">
        <f>VLOOKUP($C557,COS!$B$8:$H$991,2,FALSE)</f>
        <v>4071.590576171875</v>
      </c>
      <c r="L557" s="24">
        <f t="shared" si="843"/>
        <v>1</v>
      </c>
      <c r="M557" s="24">
        <f t="shared" si="844"/>
        <v>0</v>
      </c>
      <c r="N557" s="26">
        <f>VLOOKUP($C557,COS!$B$8:$H$991,5,FALSE)</f>
        <v>1375.2449951171875</v>
      </c>
      <c r="O557" s="26">
        <f t="shared" si="890"/>
        <v>84.560518708032035</v>
      </c>
      <c r="P557" s="26">
        <f>VLOOKUP($C557,COS!$B$8:$H$991,6,FALSE)</f>
        <v>2616.67822265625</v>
      </c>
      <c r="Q557" s="26">
        <f t="shared" si="891"/>
        <v>160.89327253357436</v>
      </c>
      <c r="R557" s="26">
        <f>MIN(IF(MONTH($C557)=4,$S$3,IF(MONTH($C557)=5,$S$4,IF(MONTH($C557)=6,$S$5,IF(MONTH($C557)=7,$S$6,"ERROR")))),MAX(VLOOKUP($C557,COS!$B$8:$K$991,10,FALSE)-IF(MONTH($C557)=4,$Y$3,IF(MONTH($C557)=5,$Y$4,IF(MONTH($C557)=6,$Y$5,IF(MONTH($C557)=7,$Y$6,"ERROR")))),0),MAX(VLOOKUP($C557,COS!$B$8:$K$991,9,FALSE)-IF(MONTH($C557)=4,$V$3,IF(MONTH($C557)=5,$V$4,IF(MONTH($C557)=6,$V$5,IF(MONTH($C557)=7,$V$6,"ERROR"))))-VLOOKUP($C557,COS!$B$8:$K$991,6,FALSE)/2,0))</f>
        <v>1500</v>
      </c>
      <c r="S557" s="26">
        <f t="shared" si="892"/>
        <v>92.231404958677686</v>
      </c>
      <c r="T557" s="26">
        <f t="shared" si="893"/>
        <v>214.95830057948086</v>
      </c>
      <c r="U557" s="26" t="str">
        <f>IF(VLOOKUP($C557,COS!$B$8:$I$991,8,FALSE)=1,"UWFE","IBU")</f>
        <v>IBU</v>
      </c>
      <c r="V557" s="26">
        <f t="shared" ref="V557" si="897">MIN(IF(IF($AA$3=2,AND(E557=1,G557=1,L557=1,L559=1,M557=1,U557="IBU"),AND(E557=1,G557=1,L557=1,L559=1,M557=1)),T557,0),I557)</f>
        <v>0</v>
      </c>
      <c r="W557" s="26"/>
      <c r="X557" s="26"/>
      <c r="Y557" s="26"/>
      <c r="Z557" s="26"/>
      <c r="AA557" s="26"/>
      <c r="AB557" s="33"/>
    </row>
    <row r="558" spans="1:28" x14ac:dyDescent="0.3">
      <c r="A558" s="32">
        <f>VLOOKUP(YEAR(C558),Flags!$A$13:$B$95,2,FALSE)</f>
        <v>1</v>
      </c>
      <c r="B558" s="24">
        <f t="shared" si="841"/>
        <v>1982</v>
      </c>
      <c r="C558" s="25">
        <v>30194</v>
      </c>
      <c r="D558" s="26"/>
      <c r="E558" s="24"/>
      <c r="F558" s="26"/>
      <c r="G558" s="24"/>
      <c r="H558" s="24"/>
      <c r="I558" s="26"/>
      <c r="J558" s="24"/>
      <c r="K558" s="26"/>
      <c r="L558" s="24"/>
      <c r="M558" s="24"/>
      <c r="N558" s="26"/>
      <c r="O558" s="26"/>
      <c r="P558" s="26"/>
      <c r="Q558" s="26"/>
      <c r="R558" s="26"/>
      <c r="S558" s="26"/>
      <c r="T558" s="26"/>
      <c r="U558" s="26"/>
      <c r="V558" s="26"/>
      <c r="W558" s="26">
        <f>MAX($C$7-VLOOKUP($C558,COS!$B$8:$H$991,3,FALSE),0)</f>
        <v>2772.0556640625</v>
      </c>
      <c r="X558" s="26">
        <f t="shared" si="870"/>
        <v>170.44705901342974</v>
      </c>
      <c r="Y558" s="26">
        <f>VLOOKUP($C558,COS!$B$8:$H$991,4,FALSE)</f>
        <v>0</v>
      </c>
      <c r="Z558" s="26">
        <f t="shared" si="871"/>
        <v>0</v>
      </c>
      <c r="AA558" s="26">
        <f t="shared" ref="AA558:AA562" si="898">MIN(W558,Y558)</f>
        <v>0</v>
      </c>
      <c r="AB558" s="33">
        <f t="shared" ref="AB558" si="899">AA558*DAY($C558)*86400/43560/1000*IF(MONTH($C558)=8,$P$3,IF(MONTH($C558)=9,$P$4,IF(MONTH($C558)=10,$P$5,IF(MONTH($C558)=11,$P$6,IF(MONTH($C558)=12,$P$7,NA())))))</f>
        <v>0</v>
      </c>
    </row>
    <row r="559" spans="1:28" x14ac:dyDescent="0.3">
      <c r="A559" s="32">
        <f>VLOOKUP(YEAR(C559),Flags!$A$13:$B$95,2,FALSE)</f>
        <v>1</v>
      </c>
      <c r="B559" s="24">
        <f t="shared" si="841"/>
        <v>1982</v>
      </c>
      <c r="C559" s="25">
        <v>30224</v>
      </c>
      <c r="D559" s="26"/>
      <c r="E559" s="24"/>
      <c r="F559" s="26"/>
      <c r="G559" s="24"/>
      <c r="H559" s="24"/>
      <c r="I559" s="26"/>
      <c r="J559" s="24"/>
      <c r="K559" s="26">
        <f>VLOOKUP($C559,COS!$B$8:$H$991,2,FALSE)</f>
        <v>3400</v>
      </c>
      <c r="L559" s="24">
        <f t="shared" ref="L559" si="900">IF(AND(K559&gt;$I$7,K559&lt;$I$8),1,0)</f>
        <v>1</v>
      </c>
      <c r="M559" s="24"/>
      <c r="N559" s="26"/>
      <c r="O559" s="26"/>
      <c r="P559" s="26"/>
      <c r="Q559" s="26"/>
      <c r="R559" s="26"/>
      <c r="S559" s="26"/>
      <c r="T559" s="26"/>
      <c r="U559" s="26"/>
      <c r="V559" s="26"/>
      <c r="W559" s="26">
        <f>MAX($C$8-VLOOKUP($C559,COS!$B$8:$H$991,3,FALSE),0)</f>
        <v>0</v>
      </c>
      <c r="X559" s="26">
        <f t="shared" si="870"/>
        <v>0</v>
      </c>
      <c r="Y559" s="26">
        <f>VLOOKUP($C559,COS!$B$8:$H$991,4,FALSE)</f>
        <v>0</v>
      </c>
      <c r="Z559" s="26">
        <f t="shared" si="871"/>
        <v>0</v>
      </c>
      <c r="AA559" s="26">
        <f t="shared" si="898"/>
        <v>0</v>
      </c>
      <c r="AB559" s="33">
        <f t="shared" si="854"/>
        <v>0</v>
      </c>
    </row>
    <row r="560" spans="1:28" x14ac:dyDescent="0.3">
      <c r="A560" s="32">
        <f>VLOOKUP(YEAR(C560),Flags!$A$13:$B$95,2,FALSE)</f>
        <v>1</v>
      </c>
      <c r="B560" s="24">
        <f t="shared" si="841"/>
        <v>1982</v>
      </c>
      <c r="C560" s="25">
        <v>30255</v>
      </c>
      <c r="D560" s="26"/>
      <c r="E560" s="24"/>
      <c r="F560" s="26"/>
      <c r="G560" s="26"/>
      <c r="H560" s="26"/>
      <c r="I560" s="26"/>
      <c r="J560" s="26"/>
      <c r="K560" s="26"/>
      <c r="L560" s="24"/>
      <c r="M560" s="24"/>
      <c r="N560" s="26"/>
      <c r="O560" s="26"/>
      <c r="P560" s="26"/>
      <c r="Q560" s="26"/>
      <c r="R560" s="26"/>
      <c r="S560" s="26"/>
      <c r="T560" s="26"/>
      <c r="U560" s="26"/>
      <c r="V560" s="26"/>
      <c r="W560" s="26">
        <f>MAX($C$9-VLOOKUP($C560,COS!$B$8:$H$991,3,FALSE),0)</f>
        <v>0</v>
      </c>
      <c r="X560" s="26">
        <f t="shared" si="870"/>
        <v>0</v>
      </c>
      <c r="Y560" s="26">
        <f>VLOOKUP($C560,COS!$B$8:$H$991,4,FALSE)</f>
        <v>0</v>
      </c>
      <c r="Z560" s="26">
        <f t="shared" si="871"/>
        <v>0</v>
      </c>
      <c r="AA560" s="26">
        <f t="shared" si="898"/>
        <v>0</v>
      </c>
      <c r="AB560" s="33">
        <f t="shared" si="854"/>
        <v>0</v>
      </c>
    </row>
    <row r="561" spans="1:28" x14ac:dyDescent="0.3">
      <c r="A561" s="32">
        <f>VLOOKUP(YEAR(C561),Flags!$A$13:$B$95,2,FALSE)</f>
        <v>1</v>
      </c>
      <c r="B561" s="24">
        <f t="shared" si="841"/>
        <v>1982</v>
      </c>
      <c r="C561" s="25">
        <v>30285</v>
      </c>
      <c r="D561" s="26"/>
      <c r="E561" s="24"/>
      <c r="F561" s="26"/>
      <c r="G561" s="26"/>
      <c r="H561" s="26"/>
      <c r="I561" s="26"/>
      <c r="J561" s="26"/>
      <c r="K561" s="26"/>
      <c r="L561" s="24"/>
      <c r="M561" s="24"/>
      <c r="N561" s="26"/>
      <c r="O561" s="26"/>
      <c r="P561" s="26"/>
      <c r="Q561" s="26"/>
      <c r="R561" s="26"/>
      <c r="S561" s="26"/>
      <c r="T561" s="26"/>
      <c r="U561" s="26"/>
      <c r="V561" s="26"/>
      <c r="W561" s="26">
        <f>MAX($C$10-VLOOKUP($C561,COS!$B$8:$H$991,3,FALSE),0)</f>
        <v>0</v>
      </c>
      <c r="X561" s="26">
        <f t="shared" si="870"/>
        <v>0</v>
      </c>
      <c r="Y561" s="26">
        <f>VLOOKUP($C561,COS!$B$8:$H$991,4,FALSE)</f>
        <v>0</v>
      </c>
      <c r="Z561" s="26">
        <f t="shared" si="871"/>
        <v>0</v>
      </c>
      <c r="AA561" s="26">
        <f t="shared" si="898"/>
        <v>0</v>
      </c>
      <c r="AB561" s="33">
        <f t="shared" si="854"/>
        <v>0</v>
      </c>
    </row>
    <row r="562" spans="1:28" x14ac:dyDescent="0.3">
      <c r="A562" s="34">
        <f>VLOOKUP(YEAR(C562),Flags!$A$13:$B$95,2,FALSE)</f>
        <v>1</v>
      </c>
      <c r="B562" s="35">
        <f t="shared" si="841"/>
        <v>1982</v>
      </c>
      <c r="C562" s="36">
        <v>30316</v>
      </c>
      <c r="D562" s="37"/>
      <c r="E562" s="35"/>
      <c r="F562" s="37"/>
      <c r="G562" s="37"/>
      <c r="H562" s="37"/>
      <c r="I562" s="37"/>
      <c r="J562" s="37"/>
      <c r="K562" s="37"/>
      <c r="L562" s="35"/>
      <c r="M562" s="35"/>
      <c r="N562" s="37"/>
      <c r="O562" s="37"/>
      <c r="P562" s="37"/>
      <c r="Q562" s="37"/>
      <c r="R562" s="37"/>
      <c r="S562" s="37"/>
      <c r="T562" s="37"/>
      <c r="U562" s="37"/>
      <c r="V562" s="37"/>
      <c r="W562" s="37">
        <f>MAX($C$11-VLOOKUP($C562,COS!$B$8:$H$991,3,FALSE),0)</f>
        <v>0</v>
      </c>
      <c r="X562" s="37">
        <f t="shared" si="870"/>
        <v>0</v>
      </c>
      <c r="Y562" s="37">
        <f>VLOOKUP($C562,COS!$B$8:$H$991,4,FALSE)</f>
        <v>0</v>
      </c>
      <c r="Z562" s="37">
        <f t="shared" si="871"/>
        <v>0</v>
      </c>
      <c r="AA562" s="37">
        <f t="shared" si="898"/>
        <v>0</v>
      </c>
      <c r="AB562" s="38">
        <f t="shared" si="854"/>
        <v>0</v>
      </c>
    </row>
    <row r="563" spans="1:28" x14ac:dyDescent="0.3">
      <c r="A563" s="27">
        <f>VLOOKUP(YEAR(C563),Flags!$A$13:$B$95,2,FALSE)</f>
        <v>1</v>
      </c>
      <c r="B563" s="28">
        <f t="shared" si="841"/>
        <v>1983</v>
      </c>
      <c r="C563" s="29">
        <v>30436</v>
      </c>
      <c r="D563" s="30">
        <f>VLOOKUP($C563,COS!$B$8:$H$991,3,FALSE)</f>
        <v>21283.287109375</v>
      </c>
      <c r="E563" s="28">
        <f>IF(D563&gt;=IF(MONTH($C563)=4,$C$3,IF(MONTH($C563)=5,$C$4,IF(MONTH($C563)=6,$C$5,IF(MONTH($C563)=7,$C$6,"ERROR")))),1,0)</f>
        <v>1</v>
      </c>
      <c r="F563" s="30">
        <f>VLOOKUP($C563,COS!$B$8:$H$991,7,FALSE)</f>
        <v>47.246109008789063</v>
      </c>
      <c r="G563" s="28">
        <f>IF(F563&lt;=IF(MONTH($C563)=4,$F$3,IF(MONTH($C563)=5,$F$4,IF(MONTH($C563)=6,$F$5,IF(MONTH($C563)=7,$F$6,"ERROR")))),1,0)</f>
        <v>1</v>
      </c>
      <c r="H563" s="30">
        <f>IF(J563=1,D563-$C$3,0)</f>
        <v>15283.287109375</v>
      </c>
      <c r="I563" s="30">
        <f t="shared" si="872"/>
        <v>909.4187370867769</v>
      </c>
      <c r="J563" s="28">
        <f t="shared" ref="J563:J566" si="901">IF(AND(E563=1,G563=1),1,0)</f>
        <v>1</v>
      </c>
      <c r="K563" s="30">
        <f>VLOOKUP($C563,COS!$B$8:$H$991,2,FALSE)</f>
        <v>4074</v>
      </c>
      <c r="L563" s="28">
        <f t="shared" ref="L563" si="902">IF(K563&lt;=IF(MONTH($C563)=4,$I$3,IF(MONTH($C563)=5,$I$4,IF(MONTH($C563)=6,$I$5,IF(MONTH($C563)=7,$I$6,"ERROR")))),1,0)</f>
        <v>1</v>
      </c>
      <c r="M563" s="28">
        <f t="shared" ref="M563" si="903">VLOOKUP($A563,$L$3:$M$7,2,FALSE)</f>
        <v>0</v>
      </c>
      <c r="N563" s="30">
        <f>VLOOKUP($C563,COS!$B$8:$H$991,5,FALSE)</f>
        <v>21.902835845947266</v>
      </c>
      <c r="O563" s="30">
        <f t="shared" ref="O563:O566" si="904">N563*DAY($C563)*86400/43560/1000</f>
        <v>1.3033092404200026</v>
      </c>
      <c r="P563" s="30">
        <f>VLOOKUP($C563,COS!$B$8:$H$991,6,FALSE)</f>
        <v>283.12924194335938</v>
      </c>
      <c r="Q563" s="30">
        <f t="shared" ref="Q563:Q566" si="905">P563*DAY($C563)*86400/43560/1000</f>
        <v>16.847359851175103</v>
      </c>
      <c r="R563" s="30">
        <f>MIN(IF(MONTH($C563)=4,$S$3,IF(MONTH($C563)=5,$S$4,IF(MONTH($C563)=6,$S$5,IF(MONTH($C563)=7,$S$6,"ERROR")))),MAX(VLOOKUP($C563,COS!$B$8:$K$991,10,FALSE)-IF(MONTH($C563)=4,$Y$3,IF(MONTH($C563)=5,$Y$4,IF(MONTH($C563)=6,$Y$5,IF(MONTH($C563)=7,$Y$6,"ERROR")))),0),MAX(VLOOKUP($C563,COS!$B$8:$K$991,9,FALSE)-IF(MONTH($C563)=4,$V$3,IF(MONTH($C563)=5,$V$4,IF(MONTH($C563)=6,$V$5,IF(MONTH($C563)=7,$V$6,"ERROR"))))-VLOOKUP($C563,COS!$B$8:$K$991,6,FALSE)/2,0))</f>
        <v>1500</v>
      </c>
      <c r="S563" s="30">
        <f t="shared" ref="S563:S566" si="906">R563*DAY($C563)*86400/43560/1000</f>
        <v>89.256198347107429</v>
      </c>
      <c r="T563" s="30">
        <f t="shared" ref="T563:T566" si="907">(O563+Q563)/2+S563</f>
        <v>98.331532892904988</v>
      </c>
      <c r="U563" s="30" t="str">
        <f>IF(VLOOKUP($C563,COS!$B$8:$I$991,8,FALSE)=1,"UWFE","IBU")</f>
        <v>UWFE</v>
      </c>
      <c r="V563" s="30">
        <f t="shared" ref="V563" si="908">MIN(IF(IF($AA$3=2,AND(E563=1,G563=1,L563=1,L568=1,M563=1,U563="IBU"),AND(E563=1,G563=1,L563=1,L568=1,M563=1)),T563,0),I563)</f>
        <v>0</v>
      </c>
      <c r="W563" s="30"/>
      <c r="X563" s="30"/>
      <c r="Y563" s="30"/>
      <c r="Z563" s="30"/>
      <c r="AA563" s="30"/>
      <c r="AB563" s="31"/>
    </row>
    <row r="564" spans="1:28" x14ac:dyDescent="0.3">
      <c r="A564" s="32">
        <f>VLOOKUP(YEAR(C564),Flags!$A$13:$B$95,2,FALSE)</f>
        <v>1</v>
      </c>
      <c r="B564" s="24">
        <f t="shared" si="841"/>
        <v>1983</v>
      </c>
      <c r="C564" s="25">
        <v>30467</v>
      </c>
      <c r="D564" s="26">
        <f>VLOOKUP($C564,COS!$B$8:$H$991,3,FALSE)</f>
        <v>9426.208984375</v>
      </c>
      <c r="E564" s="24">
        <f>IF(D564&gt;=IF(MONTH($C564)=4,$C$3,IF(MONTH($C564)=5,$C$4,IF(MONTH($C564)=6,$C$5,IF(MONTH($C564)=7,$C$6,"ERROR")))),1,0)</f>
        <v>1</v>
      </c>
      <c r="F564" s="26">
        <f>VLOOKUP($C564,COS!$B$8:$H$991,7,FALSE)</f>
        <v>51.257026672363281</v>
      </c>
      <c r="G564" s="24">
        <f>IF(F564&lt;=IF(MONTH($C564)=4,$F$3,IF(MONTH($C564)=5,$F$4,IF(MONTH($C564)=6,$F$5,IF(MONTH($C564)=7,$F$6,"ERROR")))),1,0)</f>
        <v>1</v>
      </c>
      <c r="H564" s="26">
        <f>IF(J564=1,D564-$C$4,0)</f>
        <v>3426.208984375</v>
      </c>
      <c r="I564" s="26">
        <f t="shared" si="872"/>
        <v>210.66937887396696</v>
      </c>
      <c r="J564" s="24">
        <f t="shared" si="901"/>
        <v>1</v>
      </c>
      <c r="K564" s="26">
        <f>VLOOKUP($C564,COS!$B$8:$H$991,2,FALSE)</f>
        <v>4552</v>
      </c>
      <c r="L564" s="24">
        <f t="shared" si="843"/>
        <v>1</v>
      </c>
      <c r="M564" s="24">
        <f t="shared" si="844"/>
        <v>0</v>
      </c>
      <c r="N564" s="26">
        <f>VLOOKUP($C564,COS!$B$8:$H$991,5,FALSE)</f>
        <v>574.8585205078125</v>
      </c>
      <c r="O564" s="26">
        <f t="shared" si="904"/>
        <v>35.346672665934918</v>
      </c>
      <c r="P564" s="26">
        <f>VLOOKUP($C564,COS!$B$8:$H$991,6,FALSE)</f>
        <v>2133.038330078125</v>
      </c>
      <c r="Q564" s="26">
        <f t="shared" si="905"/>
        <v>131.15541467587809</v>
      </c>
      <c r="R564" s="26">
        <f>MIN(IF(MONTH($C564)=4,$S$3,IF(MONTH($C564)=5,$S$4,IF(MONTH($C564)=6,$S$5,IF(MONTH($C564)=7,$S$6,"ERROR")))),MAX(VLOOKUP($C564,COS!$B$8:$K$991,10,FALSE)-IF(MONTH($C564)=4,$Y$3,IF(MONTH($C564)=5,$Y$4,IF(MONTH($C564)=6,$Y$5,IF(MONTH($C564)=7,$Y$6,"ERROR")))),0),MAX(VLOOKUP($C564,COS!$B$8:$K$991,9,FALSE)-IF(MONTH($C564)=4,$V$3,IF(MONTH($C564)=5,$V$4,IF(MONTH($C564)=6,$V$5,IF(MONTH($C564)=7,$V$6,"ERROR"))))-VLOOKUP($C564,COS!$B$8:$K$991,6,FALSE)/2,0))</f>
        <v>1500</v>
      </c>
      <c r="S564" s="26">
        <f t="shared" si="906"/>
        <v>92.231404958677686</v>
      </c>
      <c r="T564" s="26">
        <f t="shared" si="907"/>
        <v>175.48244862958421</v>
      </c>
      <c r="U564" s="26" t="str">
        <f>IF(VLOOKUP($C564,COS!$B$8:$I$991,8,FALSE)=1,"UWFE","IBU")</f>
        <v>UWFE</v>
      </c>
      <c r="V564" s="26">
        <f t="shared" ref="V564" si="909">MIN(IF(IF($AA$3=2,AND(E564=1,G564=1,L564=1,L568=1,M564=1,U564="IBU"),AND(E564=1,G564=1,L564=1,L568=1,M564=1)),T564,0),I564)</f>
        <v>0</v>
      </c>
      <c r="W564" s="26"/>
      <c r="X564" s="26"/>
      <c r="Y564" s="26"/>
      <c r="Z564" s="26"/>
      <c r="AA564" s="26"/>
      <c r="AB564" s="33"/>
    </row>
    <row r="565" spans="1:28" x14ac:dyDescent="0.3">
      <c r="A565" s="32">
        <f>VLOOKUP(YEAR(C565),Flags!$A$13:$B$95,2,FALSE)</f>
        <v>1</v>
      </c>
      <c r="B565" s="24">
        <f t="shared" si="841"/>
        <v>1983</v>
      </c>
      <c r="C565" s="25">
        <v>30497</v>
      </c>
      <c r="D565" s="26">
        <f>VLOOKUP($C565,COS!$B$8:$H$991,3,FALSE)</f>
        <v>12851.6533203125</v>
      </c>
      <c r="E565" s="24">
        <f>IF(D565&gt;=IF(MONTH($C565)=4,$C$3,IF(MONTH($C565)=5,$C$4,IF(MONTH($C565)=6,$C$5,IF(MONTH($C565)=7,$C$6,"ERROR")))),1,0)</f>
        <v>1</v>
      </c>
      <c r="F565" s="26">
        <f>VLOOKUP($C565,COS!$B$8:$H$991,7,FALSE)</f>
        <v>52.077590942382813</v>
      </c>
      <c r="G565" s="24">
        <f>IF(F565&lt;=IF(MONTH($C565)=4,$F$3,IF(MONTH($C565)=5,$F$4,IF(MONTH($C565)=6,$F$5,IF(MONTH($C565)=7,$F$6,"ERROR")))),1,0)</f>
        <v>1</v>
      </c>
      <c r="H565" s="26">
        <f>IF(J565=1,D565-$C$5,0)</f>
        <v>2851.6533203125</v>
      </c>
      <c r="I565" s="26">
        <f t="shared" si="872"/>
        <v>169.68515625000001</v>
      </c>
      <c r="J565" s="24">
        <f t="shared" si="901"/>
        <v>1</v>
      </c>
      <c r="K565" s="26">
        <f>VLOOKUP($C565,COS!$B$8:$H$991,2,FALSE)</f>
        <v>4500</v>
      </c>
      <c r="L565" s="24">
        <f t="shared" si="843"/>
        <v>1</v>
      </c>
      <c r="M565" s="24">
        <f t="shared" si="844"/>
        <v>0</v>
      </c>
      <c r="N565" s="26">
        <f>VLOOKUP($C565,COS!$B$8:$H$991,5,FALSE)</f>
        <v>1170.465087890625</v>
      </c>
      <c r="O565" s="26">
        <f t="shared" si="904"/>
        <v>69.647509362086765</v>
      </c>
      <c r="P565" s="26">
        <f>VLOOKUP($C565,COS!$B$8:$H$991,6,FALSE)</f>
        <v>2257.964111328125</v>
      </c>
      <c r="Q565" s="26">
        <f t="shared" si="905"/>
        <v>134.35819505423555</v>
      </c>
      <c r="R565" s="26">
        <f>MIN(IF(MONTH($C565)=4,$S$3,IF(MONTH($C565)=5,$S$4,IF(MONTH($C565)=6,$S$5,IF(MONTH($C565)=7,$S$6,"ERROR")))),MAX(VLOOKUP($C565,COS!$B$8:$K$991,10,FALSE)-IF(MONTH($C565)=4,$Y$3,IF(MONTH($C565)=5,$Y$4,IF(MONTH($C565)=6,$Y$5,IF(MONTH($C565)=7,$Y$6,"ERROR")))),0),MAX(VLOOKUP($C565,COS!$B$8:$K$991,9,FALSE)-IF(MONTH($C565)=4,$V$3,IF(MONTH($C565)=5,$V$4,IF(MONTH($C565)=6,$V$5,IF(MONTH($C565)=7,$V$6,"ERROR"))))-VLOOKUP($C565,COS!$B$8:$K$991,6,FALSE)/2,0))</f>
        <v>1500</v>
      </c>
      <c r="S565" s="26">
        <f t="shared" si="906"/>
        <v>89.256198347107429</v>
      </c>
      <c r="T565" s="26">
        <f t="shared" si="907"/>
        <v>191.25905055526857</v>
      </c>
      <c r="U565" s="26" t="str">
        <f>IF(VLOOKUP($C565,COS!$B$8:$I$991,8,FALSE)=1,"UWFE","IBU")</f>
        <v>UWFE</v>
      </c>
      <c r="V565" s="26">
        <f t="shared" ref="V565" si="910">MIN(IF(IF($AA$3=2,AND(E565=1,G565=1,L565=1,L568=1,M565=1,U565="IBU"),AND(E565=1,G565=1,L565=1,L568=1,M565=1)),T565,0),I565)</f>
        <v>0</v>
      </c>
      <c r="W565" s="26"/>
      <c r="X565" s="26"/>
      <c r="Y565" s="26"/>
      <c r="Z565" s="26"/>
      <c r="AA565" s="26"/>
      <c r="AB565" s="33"/>
    </row>
    <row r="566" spans="1:28" x14ac:dyDescent="0.3">
      <c r="A566" s="32">
        <f>VLOOKUP(YEAR(C566),Flags!$A$13:$B$95,2,FALSE)</f>
        <v>1</v>
      </c>
      <c r="B566" s="24">
        <f t="shared" si="841"/>
        <v>1983</v>
      </c>
      <c r="C566" s="25">
        <v>30528</v>
      </c>
      <c r="D566" s="26">
        <f>VLOOKUP($C566,COS!$B$8:$H$991,3,FALSE)</f>
        <v>13464.8525390625</v>
      </c>
      <c r="E566" s="24">
        <f>IF(D566&gt;=IF(MONTH($C566)=4,$C$3,IF(MONTH($C566)=5,$C$4,IF(MONTH($C566)=6,$C$5,IF(MONTH($C566)=7,$C$6,"ERROR")))),1,0)</f>
        <v>1</v>
      </c>
      <c r="F566" s="26">
        <f>VLOOKUP($C566,COS!$B$8:$H$991,7,FALSE)</f>
        <v>52.801334381103516</v>
      </c>
      <c r="G566" s="24">
        <f>IF(F566&lt;=IF(MONTH($C566)=4,$F$3,IF(MONTH($C566)=5,$F$4,IF(MONTH($C566)=6,$F$5,IF(MONTH($C566)=7,$F$6,"ERROR")))),1,0)</f>
        <v>1</v>
      </c>
      <c r="H566" s="26">
        <f>IF(J566=1,D566-$C$6,0)</f>
        <v>1464.8525390625</v>
      </c>
      <c r="I566" s="26">
        <f t="shared" si="872"/>
        <v>90.070271823347113</v>
      </c>
      <c r="J566" s="24">
        <f t="shared" si="901"/>
        <v>1</v>
      </c>
      <c r="K566" s="26">
        <f>VLOOKUP($C566,COS!$B$8:$H$991,2,FALSE)</f>
        <v>4150</v>
      </c>
      <c r="L566" s="24">
        <f t="shared" si="843"/>
        <v>1</v>
      </c>
      <c r="M566" s="24">
        <f t="shared" si="844"/>
        <v>0</v>
      </c>
      <c r="N566" s="26">
        <f>VLOOKUP($C566,COS!$B$8:$H$991,5,FALSE)</f>
        <v>1382.7108154296875</v>
      </c>
      <c r="O566" s="26">
        <f t="shared" si="904"/>
        <v>85.01957410575929</v>
      </c>
      <c r="P566" s="26">
        <f>VLOOKUP($C566,COS!$B$8:$H$991,6,FALSE)</f>
        <v>2616.67822265625</v>
      </c>
      <c r="Q566" s="26">
        <f t="shared" si="905"/>
        <v>160.89327253357436</v>
      </c>
      <c r="R566" s="26">
        <f>MIN(IF(MONTH($C566)=4,$S$3,IF(MONTH($C566)=5,$S$4,IF(MONTH($C566)=6,$S$5,IF(MONTH($C566)=7,$S$6,"ERROR")))),MAX(VLOOKUP($C566,COS!$B$8:$K$991,10,FALSE)-IF(MONTH($C566)=4,$Y$3,IF(MONTH($C566)=5,$Y$4,IF(MONTH($C566)=6,$Y$5,IF(MONTH($C566)=7,$Y$6,"ERROR")))),0),MAX(VLOOKUP($C566,COS!$B$8:$K$991,9,FALSE)-IF(MONTH($C566)=4,$V$3,IF(MONTH($C566)=5,$V$4,IF(MONTH($C566)=6,$V$5,IF(MONTH($C566)=7,$V$6,"ERROR"))))-VLOOKUP($C566,COS!$B$8:$K$991,6,FALSE)/2,0))</f>
        <v>1500</v>
      </c>
      <c r="S566" s="26">
        <f t="shared" si="906"/>
        <v>92.231404958677686</v>
      </c>
      <c r="T566" s="26">
        <f t="shared" si="907"/>
        <v>215.18782827834451</v>
      </c>
      <c r="U566" s="26" t="str">
        <f>IF(VLOOKUP($C566,COS!$B$8:$I$991,8,FALSE)=1,"UWFE","IBU")</f>
        <v>UWFE</v>
      </c>
      <c r="V566" s="26">
        <f t="shared" ref="V566" si="911">MIN(IF(IF($AA$3=2,AND(E566=1,G566=1,L566=1,L568=1,M566=1,U566="IBU"),AND(E566=1,G566=1,L566=1,L568=1,M566=1)),T566,0),I566)</f>
        <v>0</v>
      </c>
      <c r="W566" s="26"/>
      <c r="X566" s="26"/>
      <c r="Y566" s="26"/>
      <c r="Z566" s="26"/>
      <c r="AA566" s="26"/>
      <c r="AB566" s="33"/>
    </row>
    <row r="567" spans="1:28" x14ac:dyDescent="0.3">
      <c r="A567" s="32">
        <f>VLOOKUP(YEAR(C567),Flags!$A$13:$B$95,2,FALSE)</f>
        <v>1</v>
      </c>
      <c r="B567" s="24">
        <f t="shared" si="841"/>
        <v>1983</v>
      </c>
      <c r="C567" s="25">
        <v>30559</v>
      </c>
      <c r="D567" s="26"/>
      <c r="E567" s="24"/>
      <c r="F567" s="26"/>
      <c r="G567" s="24"/>
      <c r="H567" s="24"/>
      <c r="I567" s="26"/>
      <c r="J567" s="24"/>
      <c r="K567" s="26"/>
      <c r="L567" s="24"/>
      <c r="M567" s="24"/>
      <c r="N567" s="26"/>
      <c r="O567" s="26"/>
      <c r="P567" s="26"/>
      <c r="Q567" s="26"/>
      <c r="R567" s="26"/>
      <c r="S567" s="26"/>
      <c r="T567" s="26"/>
      <c r="U567" s="26"/>
      <c r="V567" s="26"/>
      <c r="W567" s="26">
        <f>MAX($C$7-VLOOKUP($C567,COS!$B$8:$H$991,3,FALSE),0)</f>
        <v>0</v>
      </c>
      <c r="X567" s="26">
        <f t="shared" si="870"/>
        <v>0</v>
      </c>
      <c r="Y567" s="26">
        <f>VLOOKUP($C567,COS!$B$8:$H$991,4,FALSE)</f>
        <v>0</v>
      </c>
      <c r="Z567" s="26">
        <f t="shared" si="871"/>
        <v>0</v>
      </c>
      <c r="AA567" s="26">
        <f t="shared" ref="AA567:AA571" si="912">MIN(W567,Y567)</f>
        <v>0</v>
      </c>
      <c r="AB567" s="33">
        <f t="shared" ref="AB567" si="913">AA567*DAY($C567)*86400/43560/1000*IF(MONTH($C567)=8,$P$3,IF(MONTH($C567)=9,$P$4,IF(MONTH($C567)=10,$P$5,IF(MONTH($C567)=11,$P$6,IF(MONTH($C567)=12,$P$7,NA())))))</f>
        <v>0</v>
      </c>
    </row>
    <row r="568" spans="1:28" x14ac:dyDescent="0.3">
      <c r="A568" s="32">
        <f>VLOOKUP(YEAR(C568),Flags!$A$13:$B$95,2,FALSE)</f>
        <v>1</v>
      </c>
      <c r="B568" s="24">
        <f t="shared" si="841"/>
        <v>1983</v>
      </c>
      <c r="C568" s="25">
        <v>30589</v>
      </c>
      <c r="D568" s="26"/>
      <c r="E568" s="24"/>
      <c r="F568" s="26"/>
      <c r="G568" s="24"/>
      <c r="H568" s="24"/>
      <c r="I568" s="26"/>
      <c r="J568" s="24"/>
      <c r="K568" s="26">
        <f>VLOOKUP($C568,COS!$B$8:$H$991,2,FALSE)</f>
        <v>3400</v>
      </c>
      <c r="L568" s="24">
        <f t="shared" ref="L568" si="914">IF(AND(K568&gt;$I$7,K568&lt;$I$8),1,0)</f>
        <v>1</v>
      </c>
      <c r="M568" s="24"/>
      <c r="N568" s="26"/>
      <c r="O568" s="26"/>
      <c r="P568" s="26"/>
      <c r="Q568" s="26"/>
      <c r="R568" s="26"/>
      <c r="S568" s="26"/>
      <c r="T568" s="26"/>
      <c r="U568" s="26"/>
      <c r="V568" s="26"/>
      <c r="W568" s="26">
        <f>MAX($C$8-VLOOKUP($C568,COS!$B$8:$H$991,3,FALSE),0)</f>
        <v>0</v>
      </c>
      <c r="X568" s="26">
        <f t="shared" si="870"/>
        <v>0</v>
      </c>
      <c r="Y568" s="26">
        <f>VLOOKUP($C568,COS!$B$8:$H$991,4,FALSE)</f>
        <v>0</v>
      </c>
      <c r="Z568" s="26">
        <f t="shared" si="871"/>
        <v>0</v>
      </c>
      <c r="AA568" s="26">
        <f t="shared" si="912"/>
        <v>0</v>
      </c>
      <c r="AB568" s="33">
        <f t="shared" si="854"/>
        <v>0</v>
      </c>
    </row>
    <row r="569" spans="1:28" x14ac:dyDescent="0.3">
      <c r="A569" s="32">
        <f>VLOOKUP(YEAR(C569),Flags!$A$13:$B$95,2,FALSE)</f>
        <v>1</v>
      </c>
      <c r="B569" s="24">
        <f t="shared" si="841"/>
        <v>1983</v>
      </c>
      <c r="C569" s="25">
        <v>30620</v>
      </c>
      <c r="D569" s="26"/>
      <c r="E569" s="24"/>
      <c r="F569" s="26"/>
      <c r="G569" s="26"/>
      <c r="H569" s="26"/>
      <c r="I569" s="26"/>
      <c r="J569" s="26"/>
      <c r="K569" s="26"/>
      <c r="L569" s="24"/>
      <c r="M569" s="24"/>
      <c r="N569" s="26"/>
      <c r="O569" s="26"/>
      <c r="P569" s="26"/>
      <c r="Q569" s="26"/>
      <c r="R569" s="26"/>
      <c r="S569" s="26"/>
      <c r="T569" s="26"/>
      <c r="U569" s="26"/>
      <c r="V569" s="26"/>
      <c r="W569" s="26">
        <f>MAX($C$9-VLOOKUP($C569,COS!$B$8:$H$991,3,FALSE),0)</f>
        <v>0</v>
      </c>
      <c r="X569" s="26">
        <f t="shared" si="870"/>
        <v>0</v>
      </c>
      <c r="Y569" s="26">
        <f>VLOOKUP($C569,COS!$B$8:$H$991,4,FALSE)</f>
        <v>322.68313598632813</v>
      </c>
      <c r="Z569" s="26">
        <f t="shared" si="871"/>
        <v>19.84101265899406</v>
      </c>
      <c r="AA569" s="26">
        <f t="shared" si="912"/>
        <v>0</v>
      </c>
      <c r="AB569" s="33">
        <f t="shared" si="854"/>
        <v>0</v>
      </c>
    </row>
    <row r="570" spans="1:28" x14ac:dyDescent="0.3">
      <c r="A570" s="32">
        <f>VLOOKUP(YEAR(C570),Flags!$A$13:$B$95,2,FALSE)</f>
        <v>1</v>
      </c>
      <c r="B570" s="24">
        <f t="shared" si="841"/>
        <v>1983</v>
      </c>
      <c r="C570" s="25">
        <v>30650</v>
      </c>
      <c r="D570" s="26"/>
      <c r="E570" s="24"/>
      <c r="F570" s="26"/>
      <c r="G570" s="26"/>
      <c r="H570" s="26"/>
      <c r="I570" s="26"/>
      <c r="J570" s="26"/>
      <c r="K570" s="26"/>
      <c r="L570" s="24"/>
      <c r="M570" s="24"/>
      <c r="N570" s="26"/>
      <c r="O570" s="26"/>
      <c r="P570" s="26"/>
      <c r="Q570" s="26"/>
      <c r="R570" s="26"/>
      <c r="S570" s="26"/>
      <c r="T570" s="26"/>
      <c r="U570" s="26"/>
      <c r="V570" s="26"/>
      <c r="W570" s="26">
        <f>MAX($C$10-VLOOKUP($C570,COS!$B$8:$H$991,3,FALSE),0)</f>
        <v>0</v>
      </c>
      <c r="X570" s="26">
        <f t="shared" si="870"/>
        <v>0</v>
      </c>
      <c r="Y570" s="26">
        <f>VLOOKUP($C570,COS!$B$8:$H$991,4,FALSE)</f>
        <v>0</v>
      </c>
      <c r="Z570" s="26">
        <f t="shared" si="871"/>
        <v>0</v>
      </c>
      <c r="AA570" s="26">
        <f t="shared" si="912"/>
        <v>0</v>
      </c>
      <c r="AB570" s="33">
        <f t="shared" si="854"/>
        <v>0</v>
      </c>
    </row>
    <row r="571" spans="1:28" x14ac:dyDescent="0.3">
      <c r="A571" s="34">
        <f>VLOOKUP(YEAR(C571),Flags!$A$13:$B$95,2,FALSE)</f>
        <v>1</v>
      </c>
      <c r="B571" s="35">
        <f t="shared" si="841"/>
        <v>1983</v>
      </c>
      <c r="C571" s="36">
        <v>30681</v>
      </c>
      <c r="D571" s="37"/>
      <c r="E571" s="35"/>
      <c r="F571" s="37"/>
      <c r="G571" s="37"/>
      <c r="H571" s="37"/>
      <c r="I571" s="37"/>
      <c r="J571" s="37"/>
      <c r="K571" s="37"/>
      <c r="L571" s="35"/>
      <c r="M571" s="35"/>
      <c r="N571" s="37"/>
      <c r="O571" s="37"/>
      <c r="P571" s="37"/>
      <c r="Q571" s="37"/>
      <c r="R571" s="37"/>
      <c r="S571" s="37"/>
      <c r="T571" s="37"/>
      <c r="U571" s="37"/>
      <c r="V571" s="37"/>
      <c r="W571" s="37">
        <f>MAX($C$11-VLOOKUP($C571,COS!$B$8:$H$991,3,FALSE),0)</f>
        <v>0</v>
      </c>
      <c r="X571" s="37">
        <f t="shared" si="870"/>
        <v>0</v>
      </c>
      <c r="Y571" s="37">
        <f>VLOOKUP($C571,COS!$B$8:$H$991,4,FALSE)</f>
        <v>0</v>
      </c>
      <c r="Z571" s="37">
        <f t="shared" si="871"/>
        <v>0</v>
      </c>
      <c r="AA571" s="37">
        <f t="shared" si="912"/>
        <v>0</v>
      </c>
      <c r="AB571" s="38">
        <f t="shared" si="854"/>
        <v>0</v>
      </c>
    </row>
    <row r="572" spans="1:28" x14ac:dyDescent="0.3">
      <c r="A572" s="27">
        <f>VLOOKUP(YEAR(C572),Flags!$A$13:$B$95,2,FALSE)</f>
        <v>1</v>
      </c>
      <c r="B572" s="28">
        <f t="shared" si="841"/>
        <v>1984</v>
      </c>
      <c r="C572" s="29">
        <v>30802</v>
      </c>
      <c r="D572" s="30">
        <f>VLOOKUP($C572,COS!$B$8:$H$991,3,FALSE)</f>
        <v>3741.849609375</v>
      </c>
      <c r="E572" s="28">
        <f>IF(D572&gt;=IF(MONTH($C572)=4,$C$3,IF(MONTH($C572)=5,$C$4,IF(MONTH($C572)=6,$C$5,IF(MONTH($C572)=7,$C$6,"ERROR")))),1,0)</f>
        <v>0</v>
      </c>
      <c r="F572" s="30">
        <f>VLOOKUP($C572,COS!$B$8:$H$991,7,FALSE)</f>
        <v>49.945255279541016</v>
      </c>
      <c r="G572" s="28">
        <f>IF(F572&lt;=IF(MONTH($C572)=4,$F$3,IF(MONTH($C572)=5,$F$4,IF(MONTH($C572)=6,$F$5,IF(MONTH($C572)=7,$F$6,"ERROR")))),1,0)</f>
        <v>1</v>
      </c>
      <c r="H572" s="30">
        <f>IF(J572=1,D572-$C$3,0)</f>
        <v>0</v>
      </c>
      <c r="I572" s="30">
        <f t="shared" si="872"/>
        <v>0</v>
      </c>
      <c r="J572" s="28">
        <f t="shared" ref="J572:J575" si="915">IF(AND(E572=1,G572=1),1,0)</f>
        <v>0</v>
      </c>
      <c r="K572" s="30">
        <f>VLOOKUP($C572,COS!$B$8:$H$991,2,FALSE)</f>
        <v>4552</v>
      </c>
      <c r="L572" s="28">
        <f t="shared" ref="L572" si="916">IF(K572&lt;=IF(MONTH($C572)=4,$I$3,IF(MONTH($C572)=5,$I$4,IF(MONTH($C572)=6,$I$5,IF(MONTH($C572)=7,$I$6,"ERROR")))),1,0)</f>
        <v>1</v>
      </c>
      <c r="M572" s="28">
        <f t="shared" ref="M572" si="917">VLOOKUP($A572,$L$3:$M$7,2,FALSE)</f>
        <v>0</v>
      </c>
      <c r="N572" s="30">
        <f>VLOOKUP($C572,COS!$B$8:$H$991,5,FALSE)</f>
        <v>325.60305786132813</v>
      </c>
      <c r="O572" s="30">
        <f t="shared" ref="O572:O575" si="918">N572*DAY($C572)*86400/43560/1000</f>
        <v>19.374727409930269</v>
      </c>
      <c r="P572" s="30">
        <f>VLOOKUP($C572,COS!$B$8:$H$991,6,FALSE)</f>
        <v>551.338623046875</v>
      </c>
      <c r="Q572" s="30">
        <f t="shared" ref="Q572:Q575" si="919">P572*DAY($C572)*86400/43560/1000</f>
        <v>32.806926330061984</v>
      </c>
      <c r="R572" s="30">
        <f>MIN(IF(MONTH($C572)=4,$S$3,IF(MONTH($C572)=5,$S$4,IF(MONTH($C572)=6,$S$5,IF(MONTH($C572)=7,$S$6,"ERROR")))),MAX(VLOOKUP($C572,COS!$B$8:$K$991,10,FALSE)-IF(MONTH($C572)=4,$Y$3,IF(MONTH($C572)=5,$Y$4,IF(MONTH($C572)=6,$Y$5,IF(MONTH($C572)=7,$Y$6,"ERROR")))),0),MAX(VLOOKUP($C572,COS!$B$8:$K$991,9,FALSE)-IF(MONTH($C572)=4,$V$3,IF(MONTH($C572)=5,$V$4,IF(MONTH($C572)=6,$V$5,IF(MONTH($C572)=7,$V$6,"ERROR"))))-VLOOKUP($C572,COS!$B$8:$K$991,6,FALSE)/2,0))</f>
        <v>1500</v>
      </c>
      <c r="S572" s="30">
        <f t="shared" ref="S572:S575" si="920">R572*DAY($C572)*86400/43560/1000</f>
        <v>89.256198347107429</v>
      </c>
      <c r="T572" s="30">
        <f t="shared" ref="T572:T575" si="921">(O572+Q572)/2+S572</f>
        <v>115.34702521710355</v>
      </c>
      <c r="U572" s="30" t="str">
        <f>IF(VLOOKUP($C572,COS!$B$8:$I$991,8,FALSE)=1,"UWFE","IBU")</f>
        <v>UWFE</v>
      </c>
      <c r="V572" s="30">
        <f t="shared" ref="V572" si="922">MIN(IF(IF($AA$3=2,AND(E572=1,G572=1,L572=1,L577=1,M572=1,U572="IBU"),AND(E572=1,G572=1,L572=1,L577=1,M572=1)),T572,0),I572)</f>
        <v>0</v>
      </c>
      <c r="W572" s="30"/>
      <c r="X572" s="30"/>
      <c r="Y572" s="30"/>
      <c r="Z572" s="30"/>
      <c r="AA572" s="30"/>
      <c r="AB572" s="31"/>
    </row>
    <row r="573" spans="1:28" x14ac:dyDescent="0.3">
      <c r="A573" s="32">
        <f>VLOOKUP(YEAR(C573),Flags!$A$13:$B$95,2,FALSE)</f>
        <v>1</v>
      </c>
      <c r="B573" s="24">
        <f t="shared" si="841"/>
        <v>1984</v>
      </c>
      <c r="C573" s="25">
        <v>30833</v>
      </c>
      <c r="D573" s="26">
        <f>VLOOKUP($C573,COS!$B$8:$H$991,3,FALSE)</f>
        <v>7339.09130859375</v>
      </c>
      <c r="E573" s="24">
        <f>IF(D573&gt;=IF(MONTH($C573)=4,$C$3,IF(MONTH($C573)=5,$C$4,IF(MONTH($C573)=6,$C$5,IF(MONTH($C573)=7,$C$6,"ERROR")))),1,0)</f>
        <v>1</v>
      </c>
      <c r="F573" s="26">
        <f>VLOOKUP($C573,COS!$B$8:$H$991,7,FALSE)</f>
        <v>50.413700103759766</v>
      </c>
      <c r="G573" s="24">
        <f>IF(F573&lt;=IF(MONTH($C573)=4,$F$3,IF(MONTH($C573)=5,$F$4,IF(MONTH($C573)=6,$F$5,IF(MONTH($C573)=7,$F$6,"ERROR")))),1,0)</f>
        <v>1</v>
      </c>
      <c r="H573" s="26">
        <f>IF(J573=1,D573-$C$4,0)</f>
        <v>1339.09130859375</v>
      </c>
      <c r="I573" s="26">
        <f t="shared" si="872"/>
        <v>82.33751517303719</v>
      </c>
      <c r="J573" s="24">
        <f t="shared" si="915"/>
        <v>1</v>
      </c>
      <c r="K573" s="26">
        <f>VLOOKUP($C573,COS!$B$8:$H$991,2,FALSE)</f>
        <v>4539.20361328125</v>
      </c>
      <c r="L573" s="24">
        <f t="shared" si="843"/>
        <v>1</v>
      </c>
      <c r="M573" s="24">
        <f t="shared" si="844"/>
        <v>0</v>
      </c>
      <c r="N573" s="26">
        <f>VLOOKUP($C573,COS!$B$8:$H$991,5,FALSE)</f>
        <v>787.246337890625</v>
      </c>
      <c r="O573" s="26">
        <f t="shared" si="918"/>
        <v>48.405890528150827</v>
      </c>
      <c r="P573" s="26">
        <f>VLOOKUP($C573,COS!$B$8:$H$991,6,FALSE)</f>
        <v>2330.58056640625</v>
      </c>
      <c r="Q573" s="26">
        <f t="shared" si="919"/>
        <v>143.30181333935951</v>
      </c>
      <c r="R573" s="26">
        <f>MIN(IF(MONTH($C573)=4,$S$3,IF(MONTH($C573)=5,$S$4,IF(MONTH($C573)=6,$S$5,IF(MONTH($C573)=7,$S$6,"ERROR")))),MAX(VLOOKUP($C573,COS!$B$8:$K$991,10,FALSE)-IF(MONTH($C573)=4,$Y$3,IF(MONTH($C573)=5,$Y$4,IF(MONTH($C573)=6,$Y$5,IF(MONTH($C573)=7,$Y$6,"ERROR")))),0),MAX(VLOOKUP($C573,COS!$B$8:$K$991,9,FALSE)-IF(MONTH($C573)=4,$V$3,IF(MONTH($C573)=5,$V$4,IF(MONTH($C573)=6,$V$5,IF(MONTH($C573)=7,$V$6,"ERROR"))))-VLOOKUP($C573,COS!$B$8:$K$991,6,FALSE)/2,0))</f>
        <v>1500</v>
      </c>
      <c r="S573" s="26">
        <f t="shared" si="920"/>
        <v>92.231404958677686</v>
      </c>
      <c r="T573" s="26">
        <f t="shared" si="921"/>
        <v>188.08525689243285</v>
      </c>
      <c r="U573" s="26" t="str">
        <f>IF(VLOOKUP($C573,COS!$B$8:$I$991,8,FALSE)=1,"UWFE","IBU")</f>
        <v>UWFE</v>
      </c>
      <c r="V573" s="26">
        <f t="shared" ref="V573" si="923">MIN(IF(IF($AA$3=2,AND(E573=1,G573=1,L573=1,L577=1,M573=1,U573="IBU"),AND(E573=1,G573=1,L573=1,L577=1,M573=1)),T573,0),I573)</f>
        <v>0</v>
      </c>
      <c r="W573" s="26"/>
      <c r="X573" s="26"/>
      <c r="Y573" s="26"/>
      <c r="Z573" s="26"/>
      <c r="AA573" s="26"/>
      <c r="AB573" s="33"/>
    </row>
    <row r="574" spans="1:28" x14ac:dyDescent="0.3">
      <c r="A574" s="32">
        <f>VLOOKUP(YEAR(C574),Flags!$A$13:$B$95,2,FALSE)</f>
        <v>1</v>
      </c>
      <c r="B574" s="24">
        <f t="shared" si="841"/>
        <v>1984</v>
      </c>
      <c r="C574" s="25">
        <v>30863</v>
      </c>
      <c r="D574" s="26">
        <f>VLOOKUP($C574,COS!$B$8:$H$991,3,FALSE)</f>
        <v>11324.5849609375</v>
      </c>
      <c r="E574" s="24">
        <f>IF(D574&gt;=IF(MONTH($C574)=4,$C$3,IF(MONTH($C574)=5,$C$4,IF(MONTH($C574)=6,$C$5,IF(MONTH($C574)=7,$C$6,"ERROR")))),1,0)</f>
        <v>1</v>
      </c>
      <c r="F574" s="26">
        <f>VLOOKUP($C574,COS!$B$8:$H$991,7,FALSE)</f>
        <v>50.518535614013672</v>
      </c>
      <c r="G574" s="24">
        <f>IF(F574&lt;=IF(MONTH($C574)=4,$F$3,IF(MONTH($C574)=5,$F$4,IF(MONTH($C574)=6,$F$5,IF(MONTH($C574)=7,$F$6,"ERROR")))),1,0)</f>
        <v>1</v>
      </c>
      <c r="H574" s="26">
        <f>IF(J574=1,D574-$C$5,0)</f>
        <v>1324.5849609375</v>
      </c>
      <c r="I574" s="26">
        <f t="shared" si="872"/>
        <v>78.818278667355372</v>
      </c>
      <c r="J574" s="24">
        <f t="shared" si="915"/>
        <v>1</v>
      </c>
      <c r="K574" s="26">
        <f>VLOOKUP($C574,COS!$B$8:$H$991,2,FALSE)</f>
        <v>4156.24755859375</v>
      </c>
      <c r="L574" s="24">
        <f t="shared" si="843"/>
        <v>1</v>
      </c>
      <c r="M574" s="24">
        <f t="shared" si="844"/>
        <v>0</v>
      </c>
      <c r="N574" s="26">
        <f>VLOOKUP($C574,COS!$B$8:$H$991,5,FALSE)</f>
        <v>904.4803466796875</v>
      </c>
      <c r="O574" s="26">
        <f t="shared" si="918"/>
        <v>53.820318149535126</v>
      </c>
      <c r="P574" s="26">
        <f>VLOOKUP($C574,COS!$B$8:$H$991,6,FALSE)</f>
        <v>2326.57470703125</v>
      </c>
      <c r="Q574" s="26">
        <f t="shared" si="919"/>
        <v>138.44080901342974</v>
      </c>
      <c r="R574" s="26">
        <f>MIN(IF(MONTH($C574)=4,$S$3,IF(MONTH($C574)=5,$S$4,IF(MONTH($C574)=6,$S$5,IF(MONTH($C574)=7,$S$6,"ERROR")))),MAX(VLOOKUP($C574,COS!$B$8:$K$991,10,FALSE)-IF(MONTH($C574)=4,$Y$3,IF(MONTH($C574)=5,$Y$4,IF(MONTH($C574)=6,$Y$5,IF(MONTH($C574)=7,$Y$6,"ERROR")))),0),MAX(VLOOKUP($C574,COS!$B$8:$K$991,9,FALSE)-IF(MONTH($C574)=4,$V$3,IF(MONTH($C574)=5,$V$4,IF(MONTH($C574)=6,$V$5,IF(MONTH($C574)=7,$V$6,"ERROR"))))-VLOOKUP($C574,COS!$B$8:$K$991,6,FALSE)/2,0))</f>
        <v>1500</v>
      </c>
      <c r="S574" s="26">
        <f t="shared" si="920"/>
        <v>89.256198347107429</v>
      </c>
      <c r="T574" s="26">
        <f t="shared" si="921"/>
        <v>185.38676192858986</v>
      </c>
      <c r="U574" s="26" t="str">
        <f>IF(VLOOKUP($C574,COS!$B$8:$I$991,8,FALSE)=1,"UWFE","IBU")</f>
        <v>IBU</v>
      </c>
      <c r="V574" s="26">
        <f t="shared" ref="V574" si="924">MIN(IF(IF($AA$3=2,AND(E574=1,G574=1,L574=1,L577=1,M574=1,U574="IBU"),AND(E574=1,G574=1,L574=1,L577=1,M574=1)),T574,0),I574)</f>
        <v>0</v>
      </c>
      <c r="W574" s="26"/>
      <c r="X574" s="26"/>
      <c r="Y574" s="26"/>
      <c r="Z574" s="26"/>
      <c r="AA574" s="26"/>
      <c r="AB574" s="33"/>
    </row>
    <row r="575" spans="1:28" x14ac:dyDescent="0.3">
      <c r="A575" s="32">
        <f>VLOOKUP(YEAR(C575),Flags!$A$13:$B$95,2,FALSE)</f>
        <v>1</v>
      </c>
      <c r="B575" s="24">
        <f t="shared" si="841"/>
        <v>1984</v>
      </c>
      <c r="C575" s="25">
        <v>30894</v>
      </c>
      <c r="D575" s="26">
        <f>VLOOKUP($C575,COS!$B$8:$H$991,3,FALSE)</f>
        <v>16000</v>
      </c>
      <c r="E575" s="24">
        <f>IF(D575&gt;=IF(MONTH($C575)=4,$C$3,IF(MONTH($C575)=5,$C$4,IF(MONTH($C575)=6,$C$5,IF(MONTH($C575)=7,$C$6,"ERROR")))),1,0)</f>
        <v>1</v>
      </c>
      <c r="F575" s="26">
        <f>VLOOKUP($C575,COS!$B$8:$H$991,7,FALSE)</f>
        <v>51.311916351318359</v>
      </c>
      <c r="G575" s="24">
        <f>IF(F575&lt;=IF(MONTH($C575)=4,$F$3,IF(MONTH($C575)=5,$F$4,IF(MONTH($C575)=6,$F$5,IF(MONTH($C575)=7,$F$6,"ERROR")))),1,0)</f>
        <v>1</v>
      </c>
      <c r="H575" s="26">
        <f>IF(J575=1,D575-$C$6,0)</f>
        <v>4000</v>
      </c>
      <c r="I575" s="26">
        <f t="shared" si="872"/>
        <v>245.95041322314049</v>
      </c>
      <c r="J575" s="24">
        <f t="shared" si="915"/>
        <v>1</v>
      </c>
      <c r="K575" s="26">
        <f>VLOOKUP($C575,COS!$B$8:$H$991,2,FALSE)</f>
        <v>3457.78173828125</v>
      </c>
      <c r="L575" s="24">
        <f t="shared" si="843"/>
        <v>1</v>
      </c>
      <c r="M575" s="24">
        <f t="shared" si="844"/>
        <v>0</v>
      </c>
      <c r="N575" s="26">
        <f>VLOOKUP($C575,COS!$B$8:$H$991,5,FALSE)</f>
        <v>1002.6513061523438</v>
      </c>
      <c r="O575" s="26">
        <f t="shared" si="918"/>
        <v>61.650625766722627</v>
      </c>
      <c r="P575" s="26">
        <f>VLOOKUP($C575,COS!$B$8:$H$991,6,FALSE)</f>
        <v>2616.67822265625</v>
      </c>
      <c r="Q575" s="26">
        <f t="shared" si="919"/>
        <v>160.89327253357436</v>
      </c>
      <c r="R575" s="26">
        <f>MIN(IF(MONTH($C575)=4,$S$3,IF(MONTH($C575)=5,$S$4,IF(MONTH($C575)=6,$S$5,IF(MONTH($C575)=7,$S$6,"ERROR")))),MAX(VLOOKUP($C575,COS!$B$8:$K$991,10,FALSE)-IF(MONTH($C575)=4,$Y$3,IF(MONTH($C575)=5,$Y$4,IF(MONTH($C575)=6,$Y$5,IF(MONTH($C575)=7,$Y$6,"ERROR")))),0),MAX(VLOOKUP($C575,COS!$B$8:$K$991,9,FALSE)-IF(MONTH($C575)=4,$V$3,IF(MONTH($C575)=5,$V$4,IF(MONTH($C575)=6,$V$5,IF(MONTH($C575)=7,$V$6,"ERROR"))))-VLOOKUP($C575,COS!$B$8:$K$991,6,FALSE)/2,0))</f>
        <v>1500</v>
      </c>
      <c r="S575" s="26">
        <f t="shared" si="920"/>
        <v>92.231404958677686</v>
      </c>
      <c r="T575" s="26">
        <f t="shared" si="921"/>
        <v>203.50335410882616</v>
      </c>
      <c r="U575" s="26" t="str">
        <f>IF(VLOOKUP($C575,COS!$B$8:$I$991,8,FALSE)=1,"UWFE","IBU")</f>
        <v>IBU</v>
      </c>
      <c r="V575" s="26">
        <f t="shared" ref="V575" si="925">MIN(IF(IF($AA$3=2,AND(E575=1,G575=1,L575=1,L577=1,M575=1,U575="IBU"),AND(E575=1,G575=1,L575=1,L577=1,M575=1)),T575,0),I575)</f>
        <v>0</v>
      </c>
      <c r="W575" s="26"/>
      <c r="X575" s="26"/>
      <c r="Y575" s="26"/>
      <c r="Z575" s="26"/>
      <c r="AA575" s="26"/>
      <c r="AB575" s="33"/>
    </row>
    <row r="576" spans="1:28" x14ac:dyDescent="0.3">
      <c r="A576" s="32">
        <f>VLOOKUP(YEAR(C576),Flags!$A$13:$B$95,2,FALSE)</f>
        <v>1</v>
      </c>
      <c r="B576" s="24">
        <f t="shared" si="841"/>
        <v>1984</v>
      </c>
      <c r="C576" s="25">
        <v>30925</v>
      </c>
      <c r="D576" s="26"/>
      <c r="E576" s="24"/>
      <c r="F576" s="26"/>
      <c r="G576" s="24"/>
      <c r="H576" s="24"/>
      <c r="I576" s="26"/>
      <c r="J576" s="24"/>
      <c r="K576" s="26"/>
      <c r="L576" s="24"/>
      <c r="M576" s="24"/>
      <c r="N576" s="26"/>
      <c r="O576" s="26"/>
      <c r="P576" s="26"/>
      <c r="Q576" s="26"/>
      <c r="R576" s="26"/>
      <c r="S576" s="26"/>
      <c r="T576" s="26"/>
      <c r="U576" s="26"/>
      <c r="V576" s="26"/>
      <c r="W576" s="26">
        <f>MAX($C$7-VLOOKUP($C576,COS!$B$8:$H$991,3,FALSE),0)</f>
        <v>3392.3505859375</v>
      </c>
      <c r="X576" s="26">
        <f t="shared" si="870"/>
        <v>208.58750710227272</v>
      </c>
      <c r="Y576" s="26">
        <f>VLOOKUP($C576,COS!$B$8:$H$991,4,FALSE)</f>
        <v>0</v>
      </c>
      <c r="Z576" s="26">
        <f t="shared" si="871"/>
        <v>0</v>
      </c>
      <c r="AA576" s="26">
        <f t="shared" ref="AA576:AA580" si="926">MIN(W576,Y576)</f>
        <v>0</v>
      </c>
      <c r="AB576" s="33">
        <f t="shared" ref="AB576" si="927">AA576*DAY($C576)*86400/43560/1000*IF(MONTH($C576)=8,$P$3,IF(MONTH($C576)=9,$P$4,IF(MONTH($C576)=10,$P$5,IF(MONTH($C576)=11,$P$6,IF(MONTH($C576)=12,$P$7,NA())))))</f>
        <v>0</v>
      </c>
    </row>
    <row r="577" spans="1:28" x14ac:dyDescent="0.3">
      <c r="A577" s="32">
        <f>VLOOKUP(YEAR(C577),Flags!$A$13:$B$95,2,FALSE)</f>
        <v>1</v>
      </c>
      <c r="B577" s="24">
        <f t="shared" si="841"/>
        <v>1984</v>
      </c>
      <c r="C577" s="25">
        <v>30955</v>
      </c>
      <c r="D577" s="26"/>
      <c r="E577" s="24"/>
      <c r="F577" s="26"/>
      <c r="G577" s="24"/>
      <c r="H577" s="24"/>
      <c r="I577" s="26"/>
      <c r="J577" s="24"/>
      <c r="K577" s="26">
        <f>VLOOKUP($C577,COS!$B$8:$H$991,2,FALSE)</f>
        <v>2599.457763671875</v>
      </c>
      <c r="L577" s="24">
        <f t="shared" ref="L577" si="928">IF(AND(K577&gt;$I$7,K577&lt;$I$8),1,0)</f>
        <v>1</v>
      </c>
      <c r="M577" s="24"/>
      <c r="N577" s="26"/>
      <c r="O577" s="26"/>
      <c r="P577" s="26"/>
      <c r="Q577" s="26"/>
      <c r="R577" s="26"/>
      <c r="S577" s="26"/>
      <c r="T577" s="26"/>
      <c r="U577" s="26"/>
      <c r="V577" s="26"/>
      <c r="W577" s="26">
        <f>MAX($C$8-VLOOKUP($C577,COS!$B$8:$H$991,3,FALSE),0)</f>
        <v>0</v>
      </c>
      <c r="X577" s="26">
        <f t="shared" si="870"/>
        <v>0</v>
      </c>
      <c r="Y577" s="26">
        <f>VLOOKUP($C577,COS!$B$8:$H$991,4,FALSE)</f>
        <v>489.46258544921875</v>
      </c>
      <c r="Z577" s="26">
        <f t="shared" si="871"/>
        <v>29.12504640689566</v>
      </c>
      <c r="AA577" s="26">
        <f t="shared" si="926"/>
        <v>0</v>
      </c>
      <c r="AB577" s="33">
        <f t="shared" si="854"/>
        <v>0</v>
      </c>
    </row>
    <row r="578" spans="1:28" x14ac:dyDescent="0.3">
      <c r="A578" s="32">
        <f>VLOOKUP(YEAR(C578),Flags!$A$13:$B$95,2,FALSE)</f>
        <v>1</v>
      </c>
      <c r="B578" s="24">
        <f t="shared" si="841"/>
        <v>1984</v>
      </c>
      <c r="C578" s="25">
        <v>30986</v>
      </c>
      <c r="D578" s="26"/>
      <c r="E578" s="24"/>
      <c r="F578" s="26"/>
      <c r="G578" s="26"/>
      <c r="H578" s="26"/>
      <c r="I578" s="26"/>
      <c r="J578" s="26"/>
      <c r="K578" s="26"/>
      <c r="L578" s="24"/>
      <c r="M578" s="24"/>
      <c r="N578" s="26"/>
      <c r="O578" s="26"/>
      <c r="P578" s="26"/>
      <c r="Q578" s="26"/>
      <c r="R578" s="26"/>
      <c r="S578" s="26"/>
      <c r="T578" s="26"/>
      <c r="U578" s="26"/>
      <c r="V578" s="26"/>
      <c r="W578" s="26">
        <f>MAX($C$9-VLOOKUP($C578,COS!$B$8:$H$991,3,FALSE),0)</f>
        <v>0</v>
      </c>
      <c r="X578" s="26">
        <f t="shared" si="870"/>
        <v>0</v>
      </c>
      <c r="Y578" s="26">
        <f>VLOOKUP($C578,COS!$B$8:$H$991,4,FALSE)</f>
        <v>692.67999267578125</v>
      </c>
      <c r="Z578" s="26">
        <f t="shared" si="871"/>
        <v>42.591232607502583</v>
      </c>
      <c r="AA578" s="26">
        <f t="shared" si="926"/>
        <v>0</v>
      </c>
      <c r="AB578" s="33">
        <f t="shared" si="854"/>
        <v>0</v>
      </c>
    </row>
    <row r="579" spans="1:28" x14ac:dyDescent="0.3">
      <c r="A579" s="32">
        <f>VLOOKUP(YEAR(C579),Flags!$A$13:$B$95,2,FALSE)</f>
        <v>1</v>
      </c>
      <c r="B579" s="24">
        <f t="shared" si="841"/>
        <v>1984</v>
      </c>
      <c r="C579" s="25">
        <v>31016</v>
      </c>
      <c r="D579" s="26"/>
      <c r="E579" s="24"/>
      <c r="F579" s="26"/>
      <c r="G579" s="26"/>
      <c r="H579" s="26"/>
      <c r="I579" s="26"/>
      <c r="J579" s="26"/>
      <c r="K579" s="26"/>
      <c r="L579" s="24"/>
      <c r="M579" s="24"/>
      <c r="N579" s="26"/>
      <c r="O579" s="26"/>
      <c r="P579" s="26"/>
      <c r="Q579" s="26"/>
      <c r="R579" s="26"/>
      <c r="S579" s="26"/>
      <c r="T579" s="26"/>
      <c r="U579" s="26"/>
      <c r="V579" s="26"/>
      <c r="W579" s="26">
        <f>MAX($C$10-VLOOKUP($C579,COS!$B$8:$H$991,3,FALSE),0)</f>
        <v>1750</v>
      </c>
      <c r="X579" s="26">
        <f t="shared" si="870"/>
        <v>104.13223140495867</v>
      </c>
      <c r="Y579" s="26">
        <f>VLOOKUP($C579,COS!$B$8:$H$991,4,FALSE)</f>
        <v>0</v>
      </c>
      <c r="Z579" s="26">
        <f t="shared" si="871"/>
        <v>0</v>
      </c>
      <c r="AA579" s="26">
        <f t="shared" si="926"/>
        <v>0</v>
      </c>
      <c r="AB579" s="33">
        <f t="shared" si="854"/>
        <v>0</v>
      </c>
    </row>
    <row r="580" spans="1:28" x14ac:dyDescent="0.3">
      <c r="A580" s="34">
        <f>VLOOKUP(YEAR(C580),Flags!$A$13:$B$95,2,FALSE)</f>
        <v>1</v>
      </c>
      <c r="B580" s="35">
        <f t="shared" si="841"/>
        <v>1984</v>
      </c>
      <c r="C580" s="36">
        <v>31047</v>
      </c>
      <c r="D580" s="37"/>
      <c r="E580" s="35"/>
      <c r="F580" s="37"/>
      <c r="G580" s="37"/>
      <c r="H580" s="37"/>
      <c r="I580" s="37"/>
      <c r="J580" s="37"/>
      <c r="K580" s="37"/>
      <c r="L580" s="35"/>
      <c r="M580" s="35"/>
      <c r="N580" s="37"/>
      <c r="O580" s="37"/>
      <c r="P580" s="37"/>
      <c r="Q580" s="37"/>
      <c r="R580" s="37"/>
      <c r="S580" s="37"/>
      <c r="T580" s="37"/>
      <c r="U580" s="37"/>
      <c r="V580" s="37"/>
      <c r="W580" s="37">
        <f>MAX($C$11-VLOOKUP($C580,COS!$B$8:$H$991,3,FALSE),0)</f>
        <v>1750</v>
      </c>
      <c r="X580" s="37">
        <f t="shared" si="870"/>
        <v>107.60330578512398</v>
      </c>
      <c r="Y580" s="37">
        <f>VLOOKUP($C580,COS!$B$8:$H$991,4,FALSE)</f>
        <v>0</v>
      </c>
      <c r="Z580" s="37">
        <f t="shared" si="871"/>
        <v>0</v>
      </c>
      <c r="AA580" s="37">
        <f t="shared" si="926"/>
        <v>0</v>
      </c>
      <c r="AB580" s="38">
        <f t="shared" si="854"/>
        <v>0</v>
      </c>
    </row>
    <row r="581" spans="1:28" x14ac:dyDescent="0.3">
      <c r="A581" s="27">
        <f>VLOOKUP(YEAR(C581),Flags!$A$13:$B$95,2,FALSE)</f>
        <v>3</v>
      </c>
      <c r="B581" s="28">
        <f t="shared" si="841"/>
        <v>1985</v>
      </c>
      <c r="C581" s="29">
        <v>31167</v>
      </c>
      <c r="D581" s="30">
        <f>VLOOKUP($C581,COS!$B$8:$H$991,3,FALSE)</f>
        <v>3250</v>
      </c>
      <c r="E581" s="28">
        <f>IF(D581&gt;=IF(MONTH($C581)=4,$C$3,IF(MONTH($C581)=5,$C$4,IF(MONTH($C581)=6,$C$5,IF(MONTH($C581)=7,$C$6,"ERROR")))),1,0)</f>
        <v>0</v>
      </c>
      <c r="F581" s="30">
        <f>VLOOKUP($C581,COS!$B$8:$H$991,7,FALSE)</f>
        <v>52.461292266845703</v>
      </c>
      <c r="G581" s="28">
        <f>IF(F581&lt;=IF(MONTH($C581)=4,$F$3,IF(MONTH($C581)=5,$F$4,IF(MONTH($C581)=6,$F$5,IF(MONTH($C581)=7,$F$6,"ERROR")))),1,0)</f>
        <v>1</v>
      </c>
      <c r="H581" s="30">
        <f>IF(J581=1,D581-$C$3,0)</f>
        <v>0</v>
      </c>
      <c r="I581" s="30">
        <f t="shared" si="872"/>
        <v>0</v>
      </c>
      <c r="J581" s="28">
        <f t="shared" ref="J581:J584" si="929">IF(AND(E581=1,G581=1),1,0)</f>
        <v>0</v>
      </c>
      <c r="K581" s="30">
        <f>VLOOKUP($C581,COS!$B$8:$H$991,2,FALSE)</f>
        <v>3952.674072265625</v>
      </c>
      <c r="L581" s="28">
        <f t="shared" ref="L581" si="930">IF(K581&lt;=IF(MONTH($C581)=4,$I$3,IF(MONTH($C581)=5,$I$4,IF(MONTH($C581)=6,$I$5,IF(MONTH($C581)=7,$I$6,"ERROR")))),1,0)</f>
        <v>1</v>
      </c>
      <c r="M581" s="28">
        <f t="shared" ref="M581" si="931">VLOOKUP($A581,$L$3:$M$7,2,FALSE)</f>
        <v>0</v>
      </c>
      <c r="N581" s="30">
        <f>VLOOKUP($C581,COS!$B$8:$H$991,5,FALSE)</f>
        <v>325.05386352539063</v>
      </c>
      <c r="O581" s="30">
        <f t="shared" ref="O581:O584" si="932">N581*DAY($C581)*86400/43560/1000</f>
        <v>19.342048077543907</v>
      </c>
      <c r="P581" s="30">
        <f>VLOOKUP($C581,COS!$B$8:$H$991,6,FALSE)</f>
        <v>469.97174072265625</v>
      </c>
      <c r="Q581" s="30">
        <f t="shared" ref="Q581:Q584" si="933">P581*DAY($C581)*86400/43560/1000</f>
        <v>27.965260604984504</v>
      </c>
      <c r="R581" s="30">
        <f>MIN(IF(MONTH($C581)=4,$S$3,IF(MONTH($C581)=5,$S$4,IF(MONTH($C581)=6,$S$5,IF(MONTH($C581)=7,$S$6,"ERROR")))),MAX(VLOOKUP($C581,COS!$B$8:$K$991,10,FALSE)-IF(MONTH($C581)=4,$Y$3,IF(MONTH($C581)=5,$Y$4,IF(MONTH($C581)=6,$Y$5,IF(MONTH($C581)=7,$Y$6,"ERROR")))),0),MAX(VLOOKUP($C581,COS!$B$8:$K$991,9,FALSE)-IF(MONTH($C581)=4,$V$3,IF(MONTH($C581)=5,$V$4,IF(MONTH($C581)=6,$V$5,IF(MONTH($C581)=7,$V$6,"ERROR"))))-VLOOKUP($C581,COS!$B$8:$K$991,6,FALSE)/2,0))</f>
        <v>1164.9433288574219</v>
      </c>
      <c r="S581" s="30">
        <f t="shared" ref="S581:S584" si="934">R581*DAY($C581)*86400/43560/1000</f>
        <v>69.318941882425108</v>
      </c>
      <c r="T581" s="30">
        <f t="shared" ref="T581:T584" si="935">(O581+Q581)/2+S581</f>
        <v>92.972596223689322</v>
      </c>
      <c r="U581" s="30" t="str">
        <f>IF(VLOOKUP($C581,COS!$B$8:$I$991,8,FALSE)=1,"UWFE","IBU")</f>
        <v>UWFE</v>
      </c>
      <c r="V581" s="30">
        <f t="shared" ref="V581" si="936">MIN(IF(IF($AA$3=2,AND(E581=1,G581=1,L581=1,L586=1,M581=1,U581="IBU"),AND(E581=1,G581=1,L581=1,L586=1,M581=1)),T581,0),I581)</f>
        <v>0</v>
      </c>
      <c r="W581" s="30"/>
      <c r="X581" s="30"/>
      <c r="Y581" s="30"/>
      <c r="Z581" s="30"/>
      <c r="AA581" s="30"/>
      <c r="AB581" s="31"/>
    </row>
    <row r="582" spans="1:28" x14ac:dyDescent="0.3">
      <c r="A582" s="32">
        <f>VLOOKUP(YEAR(C582),Flags!$A$13:$B$95,2,FALSE)</f>
        <v>3</v>
      </c>
      <c r="B582" s="24">
        <f t="shared" si="841"/>
        <v>1985</v>
      </c>
      <c r="C582" s="25">
        <v>31198</v>
      </c>
      <c r="D582" s="26">
        <f>VLOOKUP($C582,COS!$B$8:$H$991,3,FALSE)</f>
        <v>8077.96923828125</v>
      </c>
      <c r="E582" s="24">
        <f>IF(D582&gt;=IF(MONTH($C582)=4,$C$3,IF(MONTH($C582)=5,$C$4,IF(MONTH($C582)=6,$C$5,IF(MONTH($C582)=7,$C$6,"ERROR")))),1,0)</f>
        <v>1</v>
      </c>
      <c r="F582" s="26">
        <f>VLOOKUP($C582,COS!$B$8:$H$991,7,FALSE)</f>
        <v>50.861595153808594</v>
      </c>
      <c r="G582" s="24">
        <f>IF(F582&lt;=IF(MONTH($C582)=4,$F$3,IF(MONTH($C582)=5,$F$4,IF(MONTH($C582)=6,$F$5,IF(MONTH($C582)=7,$F$6,"ERROR")))),1,0)</f>
        <v>1</v>
      </c>
      <c r="H582" s="26">
        <f>IF(J582=1,D582-$C$4,0)</f>
        <v>2077.96923828125</v>
      </c>
      <c r="I582" s="26">
        <f t="shared" si="872"/>
        <v>127.76934820506197</v>
      </c>
      <c r="J582" s="24">
        <f t="shared" si="929"/>
        <v>1</v>
      </c>
      <c r="K582" s="26">
        <f>VLOOKUP($C582,COS!$B$8:$H$991,2,FALSE)</f>
        <v>3694.770751953125</v>
      </c>
      <c r="L582" s="24">
        <f t="shared" si="843"/>
        <v>1</v>
      </c>
      <c r="M582" s="24">
        <f t="shared" si="844"/>
        <v>0</v>
      </c>
      <c r="N582" s="26">
        <f>VLOOKUP($C582,COS!$B$8:$H$991,5,FALSE)</f>
        <v>497.94390869140625</v>
      </c>
      <c r="O582" s="26">
        <f t="shared" si="932"/>
        <v>30.617377526149276</v>
      </c>
      <c r="P582" s="26">
        <f>VLOOKUP($C582,COS!$B$8:$H$991,6,FALSE)</f>
        <v>2340.425048828125</v>
      </c>
      <c r="Q582" s="26">
        <f t="shared" si="933"/>
        <v>143.90712696926653</v>
      </c>
      <c r="R582" s="26">
        <f>MIN(IF(MONTH($C582)=4,$S$3,IF(MONTH($C582)=5,$S$4,IF(MONTH($C582)=6,$S$5,IF(MONTH($C582)=7,$S$6,"ERROR")))),MAX(VLOOKUP($C582,COS!$B$8:$K$991,10,FALSE)-IF(MONTH($C582)=4,$Y$3,IF(MONTH($C582)=5,$Y$4,IF(MONTH($C582)=6,$Y$5,IF(MONTH($C582)=7,$Y$6,"ERROR")))),0),MAX(VLOOKUP($C582,COS!$B$8:$K$991,9,FALSE)-IF(MONTH($C582)=4,$V$3,IF(MONTH($C582)=5,$V$4,IF(MONTH($C582)=6,$V$5,IF(MONTH($C582)=7,$V$6,"ERROR"))))-VLOOKUP($C582,COS!$B$8:$K$991,6,FALSE)/2,0))</f>
        <v>1500</v>
      </c>
      <c r="S582" s="26">
        <f t="shared" si="934"/>
        <v>92.231404958677686</v>
      </c>
      <c r="T582" s="26">
        <f t="shared" si="935"/>
        <v>179.49365720638559</v>
      </c>
      <c r="U582" s="26" t="str">
        <f>IF(VLOOKUP($C582,COS!$B$8:$I$991,8,FALSE)=1,"UWFE","IBU")</f>
        <v>IBU</v>
      </c>
      <c r="V582" s="26">
        <f t="shared" ref="V582" si="937">MIN(IF(IF($AA$3=2,AND(E582=1,G582=1,L582=1,L586=1,M582=1,U582="IBU"),AND(E582=1,G582=1,L582=1,L586=1,M582=1)),T582,0),I582)</f>
        <v>0</v>
      </c>
      <c r="W582" s="26"/>
      <c r="X582" s="26"/>
      <c r="Y582" s="26"/>
      <c r="Z582" s="26"/>
      <c r="AA582" s="26"/>
      <c r="AB582" s="33"/>
    </row>
    <row r="583" spans="1:28" x14ac:dyDescent="0.3">
      <c r="A583" s="32">
        <f>VLOOKUP(YEAR(C583),Flags!$A$13:$B$95,2,FALSE)</f>
        <v>3</v>
      </c>
      <c r="B583" s="24">
        <f t="shared" si="841"/>
        <v>1985</v>
      </c>
      <c r="C583" s="25">
        <v>31228</v>
      </c>
      <c r="D583" s="26">
        <f>VLOOKUP($C583,COS!$B$8:$H$991,3,FALSE)</f>
        <v>12637.884765625</v>
      </c>
      <c r="E583" s="24">
        <f>IF(D583&gt;=IF(MONTH($C583)=4,$C$3,IF(MONTH($C583)=5,$C$4,IF(MONTH($C583)=6,$C$5,IF(MONTH($C583)=7,$C$6,"ERROR")))),1,0)</f>
        <v>1</v>
      </c>
      <c r="F583" s="26">
        <f>VLOOKUP($C583,COS!$B$8:$H$991,7,FALSE)</f>
        <v>51.714122772216797</v>
      </c>
      <c r="G583" s="24">
        <f>IF(F583&lt;=IF(MONTH($C583)=4,$F$3,IF(MONTH($C583)=5,$F$4,IF(MONTH($C583)=6,$F$5,IF(MONTH($C583)=7,$F$6,"ERROR")))),1,0)</f>
        <v>1</v>
      </c>
      <c r="H583" s="26">
        <f>IF(J583=1,D583-$C$5,0)</f>
        <v>2637.884765625</v>
      </c>
      <c r="I583" s="26">
        <f t="shared" si="872"/>
        <v>156.96504390495866</v>
      </c>
      <c r="J583" s="24">
        <f t="shared" si="929"/>
        <v>1</v>
      </c>
      <c r="K583" s="26">
        <f>VLOOKUP($C583,COS!$B$8:$H$991,2,FALSE)</f>
        <v>3196.5283203125</v>
      </c>
      <c r="L583" s="24">
        <f t="shared" si="843"/>
        <v>1</v>
      </c>
      <c r="M583" s="24">
        <f t="shared" si="844"/>
        <v>0</v>
      </c>
      <c r="N583" s="26">
        <f>VLOOKUP($C583,COS!$B$8:$H$991,5,FALSE)</f>
        <v>737.8311767578125</v>
      </c>
      <c r="O583" s="26">
        <f t="shared" si="932"/>
        <v>43.904003906249997</v>
      </c>
      <c r="P583" s="26">
        <f>VLOOKUP($C583,COS!$B$8:$H$991,6,FALSE)</f>
        <v>2708.118408203125</v>
      </c>
      <c r="Q583" s="26">
        <f t="shared" si="933"/>
        <v>161.14423586002064</v>
      </c>
      <c r="R583" s="26">
        <f>MIN(IF(MONTH($C583)=4,$S$3,IF(MONTH($C583)=5,$S$4,IF(MONTH($C583)=6,$S$5,IF(MONTH($C583)=7,$S$6,"ERROR")))),MAX(VLOOKUP($C583,COS!$B$8:$K$991,10,FALSE)-IF(MONTH($C583)=4,$Y$3,IF(MONTH($C583)=5,$Y$4,IF(MONTH($C583)=6,$Y$5,IF(MONTH($C583)=7,$Y$6,"ERROR")))),0),MAX(VLOOKUP($C583,COS!$B$8:$K$991,9,FALSE)-IF(MONTH($C583)=4,$V$3,IF(MONTH($C583)=5,$V$4,IF(MONTH($C583)=6,$V$5,IF(MONTH($C583)=7,$V$6,"ERROR"))))-VLOOKUP($C583,COS!$B$8:$K$991,6,FALSE)/2,0))</f>
        <v>1500</v>
      </c>
      <c r="S583" s="26">
        <f t="shared" si="934"/>
        <v>89.256198347107429</v>
      </c>
      <c r="T583" s="26">
        <f t="shared" si="935"/>
        <v>191.78031823024276</v>
      </c>
      <c r="U583" s="26" t="str">
        <f>IF(VLOOKUP($C583,COS!$B$8:$I$991,8,FALSE)=1,"UWFE","IBU")</f>
        <v>IBU</v>
      </c>
      <c r="V583" s="26">
        <f t="shared" ref="V583" si="938">MIN(IF(IF($AA$3=2,AND(E583=1,G583=1,L583=1,L586=1,M583=1,U583="IBU"),AND(E583=1,G583=1,L583=1,L586=1,M583=1)),T583,0),I583)</f>
        <v>0</v>
      </c>
      <c r="W583" s="26"/>
      <c r="X583" s="26"/>
      <c r="Y583" s="26"/>
      <c r="Z583" s="26"/>
      <c r="AA583" s="26"/>
      <c r="AB583" s="33"/>
    </row>
    <row r="584" spans="1:28" x14ac:dyDescent="0.3">
      <c r="A584" s="32">
        <f>VLOOKUP(YEAR(C584),Flags!$A$13:$B$95,2,FALSE)</f>
        <v>3</v>
      </c>
      <c r="B584" s="24">
        <f t="shared" si="841"/>
        <v>1985</v>
      </c>
      <c r="C584" s="25">
        <v>31259</v>
      </c>
      <c r="D584" s="26">
        <f>VLOOKUP($C584,COS!$B$8:$H$991,3,FALSE)</f>
        <v>15330.47265625</v>
      </c>
      <c r="E584" s="24">
        <f>IF(D584&gt;=IF(MONTH($C584)=4,$C$3,IF(MONTH($C584)=5,$C$4,IF(MONTH($C584)=6,$C$5,IF(MONTH($C584)=7,$C$6,"ERROR")))),1,0)</f>
        <v>1</v>
      </c>
      <c r="F584" s="26">
        <f>VLOOKUP($C584,COS!$B$8:$H$991,7,FALSE)</f>
        <v>53.327499389648438</v>
      </c>
      <c r="G584" s="24">
        <f>IF(F584&lt;=IF(MONTH($C584)=4,$F$3,IF(MONTH($C584)=5,$F$4,IF(MONTH($C584)=6,$F$5,IF(MONTH($C584)=7,$F$6,"ERROR")))),1,0)</f>
        <v>1</v>
      </c>
      <c r="H584" s="26">
        <f>IF(J584=1,D584-$C$6,0)</f>
        <v>3330.47265625</v>
      </c>
      <c r="I584" s="26">
        <f t="shared" si="872"/>
        <v>204.78278150826446</v>
      </c>
      <c r="J584" s="24">
        <f t="shared" si="929"/>
        <v>1</v>
      </c>
      <c r="K584" s="26">
        <f>VLOOKUP($C584,COS!$B$8:$H$991,2,FALSE)</f>
        <v>2582.746337890625</v>
      </c>
      <c r="L584" s="24">
        <f t="shared" si="843"/>
        <v>1</v>
      </c>
      <c r="M584" s="24">
        <f t="shared" si="844"/>
        <v>0</v>
      </c>
      <c r="N584" s="26">
        <f>VLOOKUP($C584,COS!$B$8:$H$991,5,FALSE)</f>
        <v>805.3907470703125</v>
      </c>
      <c r="O584" s="26">
        <f t="shared" si="932"/>
        <v>49.521546762009294</v>
      </c>
      <c r="P584" s="26">
        <f>VLOOKUP($C584,COS!$B$8:$H$991,6,FALSE)</f>
        <v>2442.872314453125</v>
      </c>
      <c r="Q584" s="26">
        <f t="shared" si="933"/>
        <v>150.20636379777892</v>
      </c>
      <c r="R584" s="26">
        <f>MIN(IF(MONTH($C584)=4,$S$3,IF(MONTH($C584)=5,$S$4,IF(MONTH($C584)=6,$S$5,IF(MONTH($C584)=7,$S$6,"ERROR")))),MAX(VLOOKUP($C584,COS!$B$8:$K$991,10,FALSE)-IF(MONTH($C584)=4,$Y$3,IF(MONTH($C584)=5,$Y$4,IF(MONTH($C584)=6,$Y$5,IF(MONTH($C584)=7,$Y$6,"ERROR")))),0),MAX(VLOOKUP($C584,COS!$B$8:$K$991,9,FALSE)-IF(MONTH($C584)=4,$V$3,IF(MONTH($C584)=5,$V$4,IF(MONTH($C584)=6,$V$5,IF(MONTH($C584)=7,$V$6,"ERROR"))))-VLOOKUP($C584,COS!$B$8:$K$991,6,FALSE)/2,0))</f>
        <v>1500</v>
      </c>
      <c r="S584" s="26">
        <f t="shared" si="934"/>
        <v>92.231404958677686</v>
      </c>
      <c r="T584" s="26">
        <f t="shared" si="935"/>
        <v>192.0953602385718</v>
      </c>
      <c r="U584" s="26" t="str">
        <f>IF(VLOOKUP($C584,COS!$B$8:$I$991,8,FALSE)=1,"UWFE","IBU")</f>
        <v>IBU</v>
      </c>
      <c r="V584" s="26">
        <f t="shared" ref="V584" si="939">MIN(IF(IF($AA$3=2,AND(E584=1,G584=1,L584=1,L586=1,M584=1,U584="IBU"),AND(E584=1,G584=1,L584=1,L586=1,M584=1)),T584,0),I584)</f>
        <v>0</v>
      </c>
      <c r="W584" s="26"/>
      <c r="X584" s="26"/>
      <c r="Y584" s="26"/>
      <c r="Z584" s="26"/>
      <c r="AA584" s="26"/>
      <c r="AB584" s="33"/>
    </row>
    <row r="585" spans="1:28" x14ac:dyDescent="0.3">
      <c r="A585" s="32">
        <f>VLOOKUP(YEAR(C585),Flags!$A$13:$B$95,2,FALSE)</f>
        <v>3</v>
      </c>
      <c r="B585" s="24">
        <f t="shared" si="841"/>
        <v>1985</v>
      </c>
      <c r="C585" s="25">
        <v>31290</v>
      </c>
      <c r="D585" s="26"/>
      <c r="E585" s="24"/>
      <c r="F585" s="26"/>
      <c r="G585" s="24"/>
      <c r="H585" s="24"/>
      <c r="I585" s="26"/>
      <c r="J585" s="24"/>
      <c r="K585" s="26"/>
      <c r="L585" s="24"/>
      <c r="M585" s="24"/>
      <c r="N585" s="26"/>
      <c r="O585" s="26"/>
      <c r="P585" s="26"/>
      <c r="Q585" s="26"/>
      <c r="R585" s="26"/>
      <c r="S585" s="26"/>
      <c r="T585" s="26"/>
      <c r="U585" s="26"/>
      <c r="V585" s="26"/>
      <c r="W585" s="26">
        <f>MAX($C$7-VLOOKUP($C585,COS!$B$8:$H$991,3,FALSE),0)</f>
        <v>181.107421875</v>
      </c>
      <c r="X585" s="26">
        <f t="shared" si="870"/>
        <v>11.135861311983472</v>
      </c>
      <c r="Y585" s="26">
        <f>VLOOKUP($C585,COS!$B$8:$H$991,4,FALSE)</f>
        <v>2388.483154296875</v>
      </c>
      <c r="Z585" s="26">
        <f t="shared" si="871"/>
        <v>146.86210469395661</v>
      </c>
      <c r="AA585" s="26">
        <f t="shared" ref="AA585:AA589" si="940">MIN(W585,Y585)</f>
        <v>181.107421875</v>
      </c>
      <c r="AB585" s="33">
        <f t="shared" ref="AB585" si="941">AA585*DAY($C585)*86400/43560/1000*IF(MONTH($C585)=8,$P$3,IF(MONTH($C585)=9,$P$4,IF(MONTH($C585)=10,$P$5,IF(MONTH($C585)=11,$P$6,IF(MONTH($C585)=12,$P$7,NA())))))</f>
        <v>11.135861311983472</v>
      </c>
    </row>
    <row r="586" spans="1:28" x14ac:dyDescent="0.3">
      <c r="A586" s="32">
        <f>VLOOKUP(YEAR(C586),Flags!$A$13:$B$95,2,FALSE)</f>
        <v>3</v>
      </c>
      <c r="B586" s="24">
        <f t="shared" si="841"/>
        <v>1985</v>
      </c>
      <c r="C586" s="25">
        <v>31320</v>
      </c>
      <c r="D586" s="26"/>
      <c r="E586" s="24"/>
      <c r="F586" s="26"/>
      <c r="G586" s="24"/>
      <c r="H586" s="24"/>
      <c r="I586" s="26"/>
      <c r="J586" s="24"/>
      <c r="K586" s="26">
        <f>VLOOKUP($C586,COS!$B$8:$H$991,2,FALSE)</f>
        <v>2217.799560546875</v>
      </c>
      <c r="L586" s="24">
        <f t="shared" ref="L586" si="942">IF(AND(K586&gt;$I$7,K586&lt;$I$8),1,0)</f>
        <v>1</v>
      </c>
      <c r="M586" s="24"/>
      <c r="N586" s="26"/>
      <c r="O586" s="26"/>
      <c r="P586" s="26"/>
      <c r="Q586" s="26"/>
      <c r="R586" s="26"/>
      <c r="S586" s="26"/>
      <c r="T586" s="26"/>
      <c r="U586" s="26"/>
      <c r="V586" s="26"/>
      <c r="W586" s="26">
        <f>MAX($C$8-VLOOKUP($C586,COS!$B$8:$H$991,3,FALSE),0)</f>
        <v>425.607421875</v>
      </c>
      <c r="X586" s="26">
        <f t="shared" si="870"/>
        <v>25.325400309917356</v>
      </c>
      <c r="Y586" s="26">
        <f>VLOOKUP($C586,COS!$B$8:$H$991,4,FALSE)</f>
        <v>202.43043518066406</v>
      </c>
      <c r="Z586" s="26">
        <f t="shared" si="871"/>
        <v>12.045447382651084</v>
      </c>
      <c r="AA586" s="26">
        <f t="shared" si="940"/>
        <v>202.43043518066406</v>
      </c>
      <c r="AB586" s="33">
        <f t="shared" si="854"/>
        <v>12.045447382651084</v>
      </c>
    </row>
    <row r="587" spans="1:28" x14ac:dyDescent="0.3">
      <c r="A587" s="32">
        <f>VLOOKUP(YEAR(C587),Flags!$A$13:$B$95,2,FALSE)</f>
        <v>3</v>
      </c>
      <c r="B587" s="24">
        <f t="shared" si="841"/>
        <v>1985</v>
      </c>
      <c r="C587" s="25">
        <v>31351</v>
      </c>
      <c r="D587" s="26"/>
      <c r="E587" s="24"/>
      <c r="F587" s="26"/>
      <c r="G587" s="26"/>
      <c r="H587" s="26"/>
      <c r="I587" s="26"/>
      <c r="J587" s="26"/>
      <c r="K587" s="26"/>
      <c r="L587" s="24"/>
      <c r="M587" s="24"/>
      <c r="N587" s="26"/>
      <c r="O587" s="26"/>
      <c r="P587" s="26"/>
      <c r="Q587" s="26"/>
      <c r="R587" s="26"/>
      <c r="S587" s="26"/>
      <c r="T587" s="26"/>
      <c r="U587" s="26"/>
      <c r="V587" s="26"/>
      <c r="W587" s="26">
        <f>MAX($C$9-VLOOKUP($C587,COS!$B$8:$H$991,3,FALSE),0)</f>
        <v>206.248046875</v>
      </c>
      <c r="X587" s="26">
        <f t="shared" si="870"/>
        <v>12.681698088842975</v>
      </c>
      <c r="Y587" s="26">
        <f>VLOOKUP($C587,COS!$B$8:$H$991,4,FALSE)</f>
        <v>1064.7911376953125</v>
      </c>
      <c r="Z587" s="26">
        <f t="shared" si="871"/>
        <v>65.471455078125004</v>
      </c>
      <c r="AA587" s="26">
        <f t="shared" si="940"/>
        <v>206.248046875</v>
      </c>
      <c r="AB587" s="33">
        <f t="shared" si="854"/>
        <v>12.681698088842975</v>
      </c>
    </row>
    <row r="588" spans="1:28" x14ac:dyDescent="0.3">
      <c r="A588" s="32">
        <f>VLOOKUP(YEAR(C588),Flags!$A$13:$B$95,2,FALSE)</f>
        <v>3</v>
      </c>
      <c r="B588" s="24">
        <f t="shared" si="841"/>
        <v>1985</v>
      </c>
      <c r="C588" s="25">
        <v>31381</v>
      </c>
      <c r="D588" s="26"/>
      <c r="E588" s="24"/>
      <c r="F588" s="26"/>
      <c r="G588" s="26"/>
      <c r="H588" s="26"/>
      <c r="I588" s="26"/>
      <c r="J588" s="26"/>
      <c r="K588" s="26"/>
      <c r="L588" s="24"/>
      <c r="M588" s="24"/>
      <c r="N588" s="26"/>
      <c r="O588" s="26"/>
      <c r="P588" s="26"/>
      <c r="Q588" s="26"/>
      <c r="R588" s="26"/>
      <c r="S588" s="26"/>
      <c r="T588" s="26"/>
      <c r="U588" s="26"/>
      <c r="V588" s="26"/>
      <c r="W588" s="26">
        <f>MAX($C$10-VLOOKUP($C588,COS!$B$8:$H$991,3,FALSE),0)</f>
        <v>1374.38037109375</v>
      </c>
      <c r="X588" s="26">
        <f t="shared" si="870"/>
        <v>81.781311337809925</v>
      </c>
      <c r="Y588" s="26">
        <f>VLOOKUP($C588,COS!$B$8:$H$991,4,FALSE)</f>
        <v>110.72906494140625</v>
      </c>
      <c r="Z588" s="26">
        <f t="shared" si="871"/>
        <v>6.5888369221332646</v>
      </c>
      <c r="AA588" s="26">
        <f t="shared" si="940"/>
        <v>110.72906494140625</v>
      </c>
      <c r="AB588" s="33">
        <f t="shared" si="854"/>
        <v>6.5888369221332646</v>
      </c>
    </row>
    <row r="589" spans="1:28" x14ac:dyDescent="0.3">
      <c r="A589" s="34">
        <f>VLOOKUP(YEAR(C589),Flags!$A$13:$B$95,2,FALSE)</f>
        <v>3</v>
      </c>
      <c r="B589" s="35">
        <f t="shared" si="841"/>
        <v>1985</v>
      </c>
      <c r="C589" s="36">
        <v>31412</v>
      </c>
      <c r="D589" s="37"/>
      <c r="E589" s="35"/>
      <c r="F589" s="37"/>
      <c r="G589" s="37"/>
      <c r="H589" s="37"/>
      <c r="I589" s="37"/>
      <c r="J589" s="37"/>
      <c r="K589" s="37"/>
      <c r="L589" s="35"/>
      <c r="M589" s="35"/>
      <c r="N589" s="37"/>
      <c r="O589" s="37"/>
      <c r="P589" s="37"/>
      <c r="Q589" s="37"/>
      <c r="R589" s="37"/>
      <c r="S589" s="37"/>
      <c r="T589" s="37"/>
      <c r="U589" s="37"/>
      <c r="V589" s="37"/>
      <c r="W589" s="37">
        <f>MAX($C$11-VLOOKUP($C589,COS!$B$8:$H$991,3,FALSE),0)</f>
        <v>1750</v>
      </c>
      <c r="X589" s="37">
        <f t="shared" si="870"/>
        <v>107.60330578512398</v>
      </c>
      <c r="Y589" s="37">
        <f>VLOOKUP($C589,COS!$B$8:$H$991,4,FALSE)</f>
        <v>364.45733642578125</v>
      </c>
      <c r="Z589" s="37">
        <f t="shared" si="871"/>
        <v>22.409608124031507</v>
      </c>
      <c r="AA589" s="37">
        <f t="shared" si="940"/>
        <v>364.45733642578125</v>
      </c>
      <c r="AB589" s="38">
        <f t="shared" si="854"/>
        <v>22.409608124031507</v>
      </c>
    </row>
    <row r="590" spans="1:28" x14ac:dyDescent="0.3">
      <c r="A590" s="27">
        <f>VLOOKUP(YEAR(C590),Flags!$A$13:$B$95,2,FALSE)</f>
        <v>1</v>
      </c>
      <c r="B590" s="28">
        <f t="shared" si="841"/>
        <v>1986</v>
      </c>
      <c r="C590" s="29">
        <v>31532</v>
      </c>
      <c r="D590" s="30">
        <f>VLOOKUP($C590,COS!$B$8:$H$991,3,FALSE)</f>
        <v>3250</v>
      </c>
      <c r="E590" s="28">
        <f>IF(D590&gt;=IF(MONTH($C590)=4,$C$3,IF(MONTH($C590)=5,$C$4,IF(MONTH($C590)=6,$C$5,IF(MONTH($C590)=7,$C$6,"ERROR")))),1,0)</f>
        <v>0</v>
      </c>
      <c r="F590" s="30">
        <f>VLOOKUP($C590,COS!$B$8:$H$991,7,FALSE)</f>
        <v>51.891460418701172</v>
      </c>
      <c r="G590" s="28">
        <f>IF(F590&lt;=IF(MONTH($C590)=4,$F$3,IF(MONTH($C590)=5,$F$4,IF(MONTH($C590)=6,$F$5,IF(MONTH($C590)=7,$F$6,"ERROR")))),1,0)</f>
        <v>1</v>
      </c>
      <c r="H590" s="30">
        <f>IF(J590=1,D590-$C$3,0)</f>
        <v>0</v>
      </c>
      <c r="I590" s="30">
        <f t="shared" si="872"/>
        <v>0</v>
      </c>
      <c r="J590" s="28">
        <f t="shared" ref="J590:J593" si="943">IF(AND(E590=1,G590=1),1,0)</f>
        <v>0</v>
      </c>
      <c r="K590" s="30">
        <f>VLOOKUP($C590,COS!$B$8:$H$991,2,FALSE)</f>
        <v>4012.635986328125</v>
      </c>
      <c r="L590" s="28">
        <f t="shared" ref="L590:L647" si="944">IF(K590&lt;=IF(MONTH($C590)=4,$I$3,IF(MONTH($C590)=5,$I$4,IF(MONTH($C590)=6,$I$5,IF(MONTH($C590)=7,$I$6,"ERROR")))),1,0)</f>
        <v>1</v>
      </c>
      <c r="M590" s="28">
        <f t="shared" ref="M590:M647" si="945">VLOOKUP($A590,$L$3:$M$7,2,FALSE)</f>
        <v>0</v>
      </c>
      <c r="N590" s="30">
        <f>VLOOKUP($C590,COS!$B$8:$H$991,5,FALSE)</f>
        <v>174.09121704101563</v>
      </c>
      <c r="O590" s="30">
        <f t="shared" ref="O590:O593" si="946">N590*DAY($C590)*86400/43560/1000</f>
        <v>10.359146799134814</v>
      </c>
      <c r="P590" s="30">
        <f>VLOOKUP($C590,COS!$B$8:$H$991,6,FALSE)</f>
        <v>419.7452392578125</v>
      </c>
      <c r="Q590" s="30">
        <f t="shared" ref="Q590:Q593" si="947">P590*DAY($C590)*86400/43560/1000</f>
        <v>24.976576220299588</v>
      </c>
      <c r="R590" s="30">
        <f>MIN(IF(MONTH($C590)=4,$S$3,IF(MONTH($C590)=5,$S$4,IF(MONTH($C590)=6,$S$5,IF(MONTH($C590)=7,$S$6,"ERROR")))),MAX(VLOOKUP($C590,COS!$B$8:$K$991,10,FALSE)-IF(MONTH($C590)=4,$Y$3,IF(MONTH($C590)=5,$Y$4,IF(MONTH($C590)=6,$Y$5,IF(MONTH($C590)=7,$Y$6,"ERROR")))),0),MAX(VLOOKUP($C590,COS!$B$8:$K$991,9,FALSE)-IF(MONTH($C590)=4,$V$3,IF(MONTH($C590)=5,$V$4,IF(MONTH($C590)=6,$V$5,IF(MONTH($C590)=7,$V$6,"ERROR"))))-VLOOKUP($C590,COS!$B$8:$K$991,6,FALSE)/2,0))</f>
        <v>1500</v>
      </c>
      <c r="S590" s="30">
        <f t="shared" ref="S590:S593" si="948">R590*DAY($C590)*86400/43560/1000</f>
        <v>89.256198347107429</v>
      </c>
      <c r="T590" s="30">
        <f t="shared" ref="T590:T593" si="949">(O590+Q590)/2+S590</f>
        <v>106.92405985682463</v>
      </c>
      <c r="U590" s="30" t="str">
        <f>IF(VLOOKUP($C590,COS!$B$8:$I$991,8,FALSE)=1,"UWFE","IBU")</f>
        <v>UWFE</v>
      </c>
      <c r="V590" s="30">
        <f t="shared" ref="V590" si="950">MIN(IF(IF($AA$3=2,AND(E590=1,G590=1,L590=1,L595=1,M590=1,U590="IBU"),AND(E590=1,G590=1,L590=1,L595=1,M590=1)),T590,0),I590)</f>
        <v>0</v>
      </c>
      <c r="W590" s="30"/>
      <c r="X590" s="30"/>
      <c r="Y590" s="30"/>
      <c r="Z590" s="30"/>
      <c r="AA590" s="30"/>
      <c r="AB590" s="31"/>
    </row>
    <row r="591" spans="1:28" x14ac:dyDescent="0.3">
      <c r="A591" s="32">
        <f>VLOOKUP(YEAR(C591),Flags!$A$13:$B$95,2,FALSE)</f>
        <v>1</v>
      </c>
      <c r="B591" s="24">
        <f t="shared" ref="B591:B654" si="951">YEAR(C591)</f>
        <v>1986</v>
      </c>
      <c r="C591" s="25">
        <v>31563</v>
      </c>
      <c r="D591" s="26">
        <f>VLOOKUP($C591,COS!$B$8:$H$991,3,FALSE)</f>
        <v>6404.04443359375</v>
      </c>
      <c r="E591" s="24">
        <f>IF(D591&gt;=IF(MONTH($C591)=4,$C$3,IF(MONTH($C591)=5,$C$4,IF(MONTH($C591)=6,$C$5,IF(MONTH($C591)=7,$C$6,"ERROR")))),1,0)</f>
        <v>1</v>
      </c>
      <c r="F591" s="26">
        <f>VLOOKUP($C591,COS!$B$8:$H$991,7,FALSE)</f>
        <v>50.922679901123047</v>
      </c>
      <c r="G591" s="24">
        <f>IF(F591&lt;=IF(MONTH($C591)=4,$F$3,IF(MONTH($C591)=5,$F$4,IF(MONTH($C591)=6,$F$5,IF(MONTH($C591)=7,$F$6,"ERROR")))),1,0)</f>
        <v>1</v>
      </c>
      <c r="H591" s="26">
        <f>IF(J591=1,D591-$C$4,0)</f>
        <v>404.04443359375</v>
      </c>
      <c r="I591" s="26">
        <f t="shared" si="872"/>
        <v>24.843723850723141</v>
      </c>
      <c r="J591" s="24">
        <f t="shared" si="943"/>
        <v>1</v>
      </c>
      <c r="K591" s="26">
        <f>VLOOKUP($C591,COS!$B$8:$H$991,2,FALSE)</f>
        <v>4026.975341796875</v>
      </c>
      <c r="L591" s="24">
        <f t="shared" si="944"/>
        <v>1</v>
      </c>
      <c r="M591" s="24">
        <f t="shared" si="945"/>
        <v>0</v>
      </c>
      <c r="N591" s="26">
        <f>VLOOKUP($C591,COS!$B$8:$H$991,5,FALSE)</f>
        <v>294.54061889648438</v>
      </c>
      <c r="O591" s="26">
        <f t="shared" si="946"/>
        <v>18.110596732147467</v>
      </c>
      <c r="P591" s="26">
        <f>VLOOKUP($C591,COS!$B$8:$H$991,6,FALSE)</f>
        <v>2245.033447265625</v>
      </c>
      <c r="Q591" s="26">
        <f t="shared" si="947"/>
        <v>138.04172601368802</v>
      </c>
      <c r="R591" s="26">
        <f>MIN(IF(MONTH($C591)=4,$S$3,IF(MONTH($C591)=5,$S$4,IF(MONTH($C591)=6,$S$5,IF(MONTH($C591)=7,$S$6,"ERROR")))),MAX(VLOOKUP($C591,COS!$B$8:$K$991,10,FALSE)-IF(MONTH($C591)=4,$Y$3,IF(MONTH($C591)=5,$Y$4,IF(MONTH($C591)=6,$Y$5,IF(MONTH($C591)=7,$Y$6,"ERROR")))),0),MAX(VLOOKUP($C591,COS!$B$8:$K$991,9,FALSE)-IF(MONTH($C591)=4,$V$3,IF(MONTH($C591)=5,$V$4,IF(MONTH($C591)=6,$V$5,IF(MONTH($C591)=7,$V$6,"ERROR"))))-VLOOKUP($C591,COS!$B$8:$K$991,6,FALSE)/2,0))</f>
        <v>1500</v>
      </c>
      <c r="S591" s="26">
        <f t="shared" si="948"/>
        <v>92.231404958677686</v>
      </c>
      <c r="T591" s="26">
        <f t="shared" si="949"/>
        <v>170.30756633159541</v>
      </c>
      <c r="U591" s="26" t="str">
        <f>IF(VLOOKUP($C591,COS!$B$8:$I$991,8,FALSE)=1,"UWFE","IBU")</f>
        <v>UWFE</v>
      </c>
      <c r="V591" s="26">
        <f t="shared" ref="V591" si="952">MIN(IF(IF($AA$3=2,AND(E591=1,G591=1,L591=1,L595=1,M591=1,U591="IBU"),AND(E591=1,G591=1,L591=1,L595=1,M591=1)),T591,0),I591)</f>
        <v>0</v>
      </c>
      <c r="W591" s="26"/>
      <c r="X591" s="26"/>
      <c r="Y591" s="26"/>
      <c r="Z591" s="26"/>
      <c r="AA591" s="26"/>
      <c r="AB591" s="33"/>
    </row>
    <row r="592" spans="1:28" x14ac:dyDescent="0.3">
      <c r="A592" s="32">
        <f>VLOOKUP(YEAR(C592),Flags!$A$13:$B$95,2,FALSE)</f>
        <v>1</v>
      </c>
      <c r="B592" s="24">
        <f t="shared" si="951"/>
        <v>1986</v>
      </c>
      <c r="C592" s="25">
        <v>31593</v>
      </c>
      <c r="D592" s="26">
        <f>VLOOKUP($C592,COS!$B$8:$H$991,3,FALSE)</f>
        <v>8645.5615234375</v>
      </c>
      <c r="E592" s="24">
        <f>IF(D592&gt;=IF(MONTH($C592)=4,$C$3,IF(MONTH($C592)=5,$C$4,IF(MONTH($C592)=6,$C$5,IF(MONTH($C592)=7,$C$6,"ERROR")))),1,0)</f>
        <v>0</v>
      </c>
      <c r="F592" s="26">
        <f>VLOOKUP($C592,COS!$B$8:$H$991,7,FALSE)</f>
        <v>51.637722015380859</v>
      </c>
      <c r="G592" s="24">
        <f>IF(F592&lt;=IF(MONTH($C592)=4,$F$3,IF(MONTH($C592)=5,$F$4,IF(MONTH($C592)=6,$F$5,IF(MONTH($C592)=7,$F$6,"ERROR")))),1,0)</f>
        <v>1</v>
      </c>
      <c r="H592" s="26">
        <f>IF(J592=1,D592-$C$5,0)</f>
        <v>0</v>
      </c>
      <c r="I592" s="26">
        <f t="shared" si="872"/>
        <v>0</v>
      </c>
      <c r="J592" s="24">
        <f t="shared" si="943"/>
        <v>0</v>
      </c>
      <c r="K592" s="26">
        <f>VLOOKUP($C592,COS!$B$8:$H$991,2,FALSE)</f>
        <v>3745.956298828125</v>
      </c>
      <c r="L592" s="24">
        <f t="shared" si="944"/>
        <v>1</v>
      </c>
      <c r="M592" s="24">
        <f t="shared" si="945"/>
        <v>0</v>
      </c>
      <c r="N592" s="26">
        <f>VLOOKUP($C592,COS!$B$8:$H$991,5,FALSE)</f>
        <v>616.0546875</v>
      </c>
      <c r="O592" s="26">
        <f t="shared" si="946"/>
        <v>36.657799586776861</v>
      </c>
      <c r="P592" s="26">
        <f>VLOOKUP($C592,COS!$B$8:$H$991,6,FALSE)</f>
        <v>2278.943359375</v>
      </c>
      <c r="Q592" s="26">
        <f t="shared" si="947"/>
        <v>135.60654700413224</v>
      </c>
      <c r="R592" s="26">
        <f>MIN(IF(MONTH($C592)=4,$S$3,IF(MONTH($C592)=5,$S$4,IF(MONTH($C592)=6,$S$5,IF(MONTH($C592)=7,$S$6,"ERROR")))),MAX(VLOOKUP($C592,COS!$B$8:$K$991,10,FALSE)-IF(MONTH($C592)=4,$Y$3,IF(MONTH($C592)=5,$Y$4,IF(MONTH($C592)=6,$Y$5,IF(MONTH($C592)=7,$Y$6,"ERROR")))),0),MAX(VLOOKUP($C592,COS!$B$8:$K$991,9,FALSE)-IF(MONTH($C592)=4,$V$3,IF(MONTH($C592)=5,$V$4,IF(MONTH($C592)=6,$V$5,IF(MONTH($C592)=7,$V$6,"ERROR"))))-VLOOKUP($C592,COS!$B$8:$K$991,6,FALSE)/2,0))</f>
        <v>1500</v>
      </c>
      <c r="S592" s="26">
        <f t="shared" si="948"/>
        <v>89.256198347107429</v>
      </c>
      <c r="T592" s="26">
        <f t="shared" si="949"/>
        <v>175.38837164256199</v>
      </c>
      <c r="U592" s="26" t="str">
        <f>IF(VLOOKUP($C592,COS!$B$8:$I$991,8,FALSE)=1,"UWFE","IBU")</f>
        <v>IBU</v>
      </c>
      <c r="V592" s="26">
        <f t="shared" ref="V592" si="953">MIN(IF(IF($AA$3=2,AND(E592=1,G592=1,L592=1,L595=1,M592=1,U592="IBU"),AND(E592=1,G592=1,L592=1,L595=1,M592=1)),T592,0),I592)</f>
        <v>0</v>
      </c>
      <c r="W592" s="26"/>
      <c r="X592" s="26"/>
      <c r="Y592" s="26"/>
      <c r="Z592" s="26"/>
      <c r="AA592" s="26"/>
      <c r="AB592" s="33"/>
    </row>
    <row r="593" spans="1:28" x14ac:dyDescent="0.3">
      <c r="A593" s="32">
        <f>VLOOKUP(YEAR(C593),Flags!$A$13:$B$95,2,FALSE)</f>
        <v>1</v>
      </c>
      <c r="B593" s="24">
        <f t="shared" si="951"/>
        <v>1986</v>
      </c>
      <c r="C593" s="25">
        <v>31624</v>
      </c>
      <c r="D593" s="26">
        <f>VLOOKUP($C593,COS!$B$8:$H$991,3,FALSE)</f>
        <v>12633.615234375</v>
      </c>
      <c r="E593" s="24">
        <f>IF(D593&gt;=IF(MONTH($C593)=4,$C$3,IF(MONTH($C593)=5,$C$4,IF(MONTH($C593)=6,$C$5,IF(MONTH($C593)=7,$C$6,"ERROR")))),1,0)</f>
        <v>1</v>
      </c>
      <c r="F593" s="26">
        <f>VLOOKUP($C593,COS!$B$8:$H$991,7,FALSE)</f>
        <v>51.914817810058594</v>
      </c>
      <c r="G593" s="24">
        <f>IF(F593&lt;=IF(MONTH($C593)=4,$F$3,IF(MONTH($C593)=5,$F$4,IF(MONTH($C593)=6,$F$5,IF(MONTH($C593)=7,$F$6,"ERROR")))),1,0)</f>
        <v>1</v>
      </c>
      <c r="H593" s="26">
        <f>IF(J593=1,D593-$C$6,0)</f>
        <v>633.615234375</v>
      </c>
      <c r="I593" s="26">
        <f t="shared" si="872"/>
        <v>38.959482179752065</v>
      </c>
      <c r="J593" s="24">
        <f t="shared" si="943"/>
        <v>1</v>
      </c>
      <c r="K593" s="26">
        <f>VLOOKUP($C593,COS!$B$8:$H$991,2,FALSE)</f>
        <v>3301.90478515625</v>
      </c>
      <c r="L593" s="24">
        <f t="shared" si="944"/>
        <v>1</v>
      </c>
      <c r="M593" s="24">
        <f t="shared" si="945"/>
        <v>0</v>
      </c>
      <c r="N593" s="26">
        <f>VLOOKUP($C593,COS!$B$8:$H$991,5,FALSE)</f>
        <v>673.447265625</v>
      </c>
      <c r="O593" s="26">
        <f t="shared" si="946"/>
        <v>41.408658316115705</v>
      </c>
      <c r="P593" s="26">
        <f>VLOOKUP($C593,COS!$B$8:$H$991,6,FALSE)</f>
        <v>2521.474853515625</v>
      </c>
      <c r="Q593" s="26">
        <f t="shared" si="947"/>
        <v>155.0394455384814</v>
      </c>
      <c r="R593" s="26">
        <f>MIN(IF(MONTH($C593)=4,$S$3,IF(MONTH($C593)=5,$S$4,IF(MONTH($C593)=6,$S$5,IF(MONTH($C593)=7,$S$6,"ERROR")))),MAX(VLOOKUP($C593,COS!$B$8:$K$991,10,FALSE)-IF(MONTH($C593)=4,$Y$3,IF(MONTH($C593)=5,$Y$4,IF(MONTH($C593)=6,$Y$5,IF(MONTH($C593)=7,$Y$6,"ERROR")))),0),MAX(VLOOKUP($C593,COS!$B$8:$K$991,9,FALSE)-IF(MONTH($C593)=4,$V$3,IF(MONTH($C593)=5,$V$4,IF(MONTH($C593)=6,$V$5,IF(MONTH($C593)=7,$V$6,"ERROR"))))-VLOOKUP($C593,COS!$B$8:$K$991,6,FALSE)/2,0))</f>
        <v>1500</v>
      </c>
      <c r="S593" s="26">
        <f t="shared" si="948"/>
        <v>92.231404958677686</v>
      </c>
      <c r="T593" s="26">
        <f t="shared" si="949"/>
        <v>190.45545688597622</v>
      </c>
      <c r="U593" s="26" t="str">
        <f>IF(VLOOKUP($C593,COS!$B$8:$I$991,8,FALSE)=1,"UWFE","IBU")</f>
        <v>IBU</v>
      </c>
      <c r="V593" s="26">
        <f t="shared" ref="V593" si="954">MIN(IF(IF($AA$3=2,AND(E593=1,G593=1,L593=1,L595=1,M593=1,U593="IBU"),AND(E593=1,G593=1,L593=1,L595=1,M593=1)),T593,0),I593)</f>
        <v>0</v>
      </c>
      <c r="W593" s="26"/>
      <c r="X593" s="26"/>
      <c r="Y593" s="26"/>
      <c r="Z593" s="26"/>
      <c r="AA593" s="26"/>
      <c r="AB593" s="33"/>
    </row>
    <row r="594" spans="1:28" x14ac:dyDescent="0.3">
      <c r="A594" s="32">
        <f>VLOOKUP(YEAR(C594),Flags!$A$13:$B$95,2,FALSE)</f>
        <v>1</v>
      </c>
      <c r="B594" s="24">
        <f t="shared" si="951"/>
        <v>1986</v>
      </c>
      <c r="C594" s="25">
        <v>31655</v>
      </c>
      <c r="D594" s="26"/>
      <c r="E594" s="24"/>
      <c r="F594" s="26"/>
      <c r="G594" s="24"/>
      <c r="H594" s="24"/>
      <c r="I594" s="26"/>
      <c r="J594" s="24"/>
      <c r="K594" s="26"/>
      <c r="L594" s="24"/>
      <c r="M594" s="24"/>
      <c r="N594" s="26"/>
      <c r="O594" s="26"/>
      <c r="P594" s="26"/>
      <c r="Q594" s="26"/>
      <c r="R594" s="26"/>
      <c r="S594" s="26"/>
      <c r="T594" s="26"/>
      <c r="U594" s="26"/>
      <c r="V594" s="26"/>
      <c r="W594" s="26">
        <f>MAX($C$7-VLOOKUP($C594,COS!$B$8:$H$991,3,FALSE),0)</f>
        <v>2770.2431640625</v>
      </c>
      <c r="X594" s="26">
        <f t="shared" si="870"/>
        <v>170.33561273243802</v>
      </c>
      <c r="Y594" s="26">
        <f>VLOOKUP($C594,COS!$B$8:$H$991,4,FALSE)</f>
        <v>387.97982788085938</v>
      </c>
      <c r="Z594" s="26">
        <f t="shared" si="871"/>
        <v>23.855949747385072</v>
      </c>
      <c r="AA594" s="26">
        <f t="shared" ref="AA594:AA598" si="955">MIN(W594,Y594)</f>
        <v>387.97982788085938</v>
      </c>
      <c r="AB594" s="33">
        <f t="shared" ref="AB594:AB652" si="956">AA594*DAY($C594)*86400/43560/1000*IF(MONTH($C594)=8,$P$3,IF(MONTH($C594)=9,$P$4,IF(MONTH($C594)=10,$P$5,IF(MONTH($C594)=11,$P$6,IF(MONTH($C594)=12,$P$7,NA())))))</f>
        <v>23.855949747385072</v>
      </c>
    </row>
    <row r="595" spans="1:28" x14ac:dyDescent="0.3">
      <c r="A595" s="32">
        <f>VLOOKUP(YEAR(C595),Flags!$A$13:$B$95,2,FALSE)</f>
        <v>1</v>
      </c>
      <c r="B595" s="24">
        <f t="shared" si="951"/>
        <v>1986</v>
      </c>
      <c r="C595" s="25">
        <v>31685</v>
      </c>
      <c r="D595" s="26"/>
      <c r="E595" s="24"/>
      <c r="F595" s="26"/>
      <c r="G595" s="24"/>
      <c r="H595" s="24"/>
      <c r="I595" s="26"/>
      <c r="J595" s="24"/>
      <c r="K595" s="26">
        <f>VLOOKUP($C595,COS!$B$8:$H$991,2,FALSE)</f>
        <v>2914.57763671875</v>
      </c>
      <c r="L595" s="24">
        <f t="shared" ref="L595" si="957">IF(AND(K595&gt;$I$7,K595&lt;$I$8),1,0)</f>
        <v>1</v>
      </c>
      <c r="M595" s="24"/>
      <c r="N595" s="26"/>
      <c r="O595" s="26"/>
      <c r="P595" s="26"/>
      <c r="Q595" s="26"/>
      <c r="R595" s="26"/>
      <c r="S595" s="26"/>
      <c r="T595" s="26"/>
      <c r="U595" s="26"/>
      <c r="V595" s="26"/>
      <c r="W595" s="26">
        <f>MAX($C$8-VLOOKUP($C595,COS!$B$8:$H$991,3,FALSE),0)</f>
        <v>0</v>
      </c>
      <c r="X595" s="26">
        <f t="shared" si="870"/>
        <v>0</v>
      </c>
      <c r="Y595" s="26">
        <f>VLOOKUP($C595,COS!$B$8:$H$991,4,FALSE)</f>
        <v>343.38613891601563</v>
      </c>
      <c r="Z595" s="26">
        <f t="shared" si="871"/>
        <v>20.432894216490187</v>
      </c>
      <c r="AA595" s="26">
        <f t="shared" si="955"/>
        <v>0</v>
      </c>
      <c r="AB595" s="33">
        <f t="shared" si="956"/>
        <v>0</v>
      </c>
    </row>
    <row r="596" spans="1:28" x14ac:dyDescent="0.3">
      <c r="A596" s="32">
        <f>VLOOKUP(YEAR(C596),Flags!$A$13:$B$95,2,FALSE)</f>
        <v>1</v>
      </c>
      <c r="B596" s="24">
        <f t="shared" si="951"/>
        <v>1986</v>
      </c>
      <c r="C596" s="25">
        <v>31716</v>
      </c>
      <c r="D596" s="26"/>
      <c r="E596" s="24"/>
      <c r="F596" s="26"/>
      <c r="G596" s="26"/>
      <c r="H596" s="26"/>
      <c r="I596" s="26"/>
      <c r="J596" s="26"/>
      <c r="K596" s="26"/>
      <c r="L596" s="24"/>
      <c r="M596" s="24"/>
      <c r="N596" s="26"/>
      <c r="O596" s="26"/>
      <c r="P596" s="26"/>
      <c r="Q596" s="26"/>
      <c r="R596" s="26"/>
      <c r="S596" s="26"/>
      <c r="T596" s="26"/>
      <c r="U596" s="26"/>
      <c r="V596" s="26"/>
      <c r="W596" s="26">
        <f>MAX($C$9-VLOOKUP($C596,COS!$B$8:$H$991,3,FALSE),0)</f>
        <v>0</v>
      </c>
      <c r="X596" s="26">
        <f t="shared" si="870"/>
        <v>0</v>
      </c>
      <c r="Y596" s="26">
        <f>VLOOKUP($C596,COS!$B$8:$H$991,4,FALSE)</f>
        <v>539.67193603515625</v>
      </c>
      <c r="Z596" s="26">
        <f t="shared" si="871"/>
        <v>33.183133918194734</v>
      </c>
      <c r="AA596" s="26">
        <f t="shared" si="955"/>
        <v>0</v>
      </c>
      <c r="AB596" s="33">
        <f t="shared" si="956"/>
        <v>0</v>
      </c>
    </row>
    <row r="597" spans="1:28" x14ac:dyDescent="0.3">
      <c r="A597" s="32">
        <f>VLOOKUP(YEAR(C597),Flags!$A$13:$B$95,2,FALSE)</f>
        <v>1</v>
      </c>
      <c r="B597" s="24">
        <f t="shared" si="951"/>
        <v>1986</v>
      </c>
      <c r="C597" s="25">
        <v>31746</v>
      </c>
      <c r="D597" s="26"/>
      <c r="E597" s="24"/>
      <c r="F597" s="26"/>
      <c r="G597" s="26"/>
      <c r="H597" s="26"/>
      <c r="I597" s="26"/>
      <c r="J597" s="26"/>
      <c r="K597" s="26"/>
      <c r="L597" s="24"/>
      <c r="M597" s="24"/>
      <c r="N597" s="26"/>
      <c r="O597" s="26"/>
      <c r="P597" s="26"/>
      <c r="Q597" s="26"/>
      <c r="R597" s="26"/>
      <c r="S597" s="26"/>
      <c r="T597" s="26"/>
      <c r="U597" s="26"/>
      <c r="V597" s="26"/>
      <c r="W597" s="26">
        <f>MAX($C$10-VLOOKUP($C597,COS!$B$8:$H$991,3,FALSE),0)</f>
        <v>0</v>
      </c>
      <c r="X597" s="26">
        <f t="shared" si="870"/>
        <v>0</v>
      </c>
      <c r="Y597" s="26">
        <f>VLOOKUP($C597,COS!$B$8:$H$991,4,FALSE)</f>
        <v>3081.6455078125</v>
      </c>
      <c r="Z597" s="26">
        <f t="shared" si="871"/>
        <v>183.37064178719007</v>
      </c>
      <c r="AA597" s="26">
        <f t="shared" si="955"/>
        <v>0</v>
      </c>
      <c r="AB597" s="33">
        <f t="shared" si="956"/>
        <v>0</v>
      </c>
    </row>
    <row r="598" spans="1:28" x14ac:dyDescent="0.3">
      <c r="A598" s="34">
        <f>VLOOKUP(YEAR(C598),Flags!$A$13:$B$95,2,FALSE)</f>
        <v>1</v>
      </c>
      <c r="B598" s="35">
        <f t="shared" si="951"/>
        <v>1986</v>
      </c>
      <c r="C598" s="36">
        <v>31777</v>
      </c>
      <c r="D598" s="37"/>
      <c r="E598" s="35"/>
      <c r="F598" s="37"/>
      <c r="G598" s="37"/>
      <c r="H598" s="37"/>
      <c r="I598" s="37"/>
      <c r="J598" s="37"/>
      <c r="K598" s="37"/>
      <c r="L598" s="35"/>
      <c r="M598" s="35"/>
      <c r="N598" s="37"/>
      <c r="O598" s="37"/>
      <c r="P598" s="37"/>
      <c r="Q598" s="37"/>
      <c r="R598" s="37"/>
      <c r="S598" s="37"/>
      <c r="T598" s="37"/>
      <c r="U598" s="37"/>
      <c r="V598" s="37"/>
      <c r="W598" s="37">
        <f>MAX($C$11-VLOOKUP($C598,COS!$B$8:$H$991,3,FALSE),0)</f>
        <v>664.515625</v>
      </c>
      <c r="X598" s="37">
        <f t="shared" si="870"/>
        <v>40.859473140495865</v>
      </c>
      <c r="Y598" s="37">
        <f>VLOOKUP($C598,COS!$B$8:$H$991,4,FALSE)</f>
        <v>442.69561767578125</v>
      </c>
      <c r="Z598" s="37">
        <f t="shared" si="871"/>
        <v>27.220292524857957</v>
      </c>
      <c r="AA598" s="37">
        <f t="shared" si="955"/>
        <v>442.69561767578125</v>
      </c>
      <c r="AB598" s="38">
        <f t="shared" si="956"/>
        <v>27.220292524857957</v>
      </c>
    </row>
    <row r="599" spans="1:28" x14ac:dyDescent="0.3">
      <c r="A599" s="27">
        <f>VLOOKUP(YEAR(C599),Flags!$A$13:$B$95,2,FALSE)</f>
        <v>4</v>
      </c>
      <c r="B599" s="28">
        <f t="shared" si="951"/>
        <v>1987</v>
      </c>
      <c r="C599" s="29">
        <v>31897</v>
      </c>
      <c r="D599" s="30">
        <f>VLOOKUP($C599,COS!$B$8:$H$991,3,FALSE)</f>
        <v>5294.4443359375</v>
      </c>
      <c r="E599" s="28">
        <f>IF(D599&gt;=IF(MONTH($C599)=4,$C$3,IF(MONTH($C599)=5,$C$4,IF(MONTH($C599)=6,$C$5,IF(MONTH($C599)=7,$C$6,"ERROR")))),1,0)</f>
        <v>0</v>
      </c>
      <c r="F599" s="30">
        <f>VLOOKUP($C599,COS!$B$8:$H$991,7,FALSE)</f>
        <v>50.914810180664063</v>
      </c>
      <c r="G599" s="28">
        <f>IF(F599&lt;=IF(MONTH($C599)=4,$F$3,IF(MONTH($C599)=5,$F$4,IF(MONTH($C599)=6,$F$5,IF(MONTH($C599)=7,$F$6,"ERROR")))),1,0)</f>
        <v>1</v>
      </c>
      <c r="H599" s="30">
        <f>IF(J599=1,D599-$C$3,0)</f>
        <v>0</v>
      </c>
      <c r="I599" s="30">
        <f t="shared" si="872"/>
        <v>0</v>
      </c>
      <c r="J599" s="28">
        <f t="shared" ref="J599:J602" si="958">IF(AND(E599=1,G599=1),1,0)</f>
        <v>0</v>
      </c>
      <c r="K599" s="30">
        <f>VLOOKUP($C599,COS!$B$8:$H$991,2,FALSE)</f>
        <v>3623.035888671875</v>
      </c>
      <c r="L599" s="28">
        <f t="shared" ref="L599" si="959">IF(K599&lt;=IF(MONTH($C599)=4,$I$3,IF(MONTH($C599)=5,$I$4,IF(MONTH($C599)=6,$I$5,IF(MONTH($C599)=7,$I$6,"ERROR")))),1,0)</f>
        <v>1</v>
      </c>
      <c r="M599" s="28">
        <f t="shared" ref="M599" si="960">VLOOKUP($A599,$L$3:$M$7,2,FALSE)</f>
        <v>1</v>
      </c>
      <c r="N599" s="30">
        <f>VLOOKUP($C599,COS!$B$8:$H$991,5,FALSE)</f>
        <v>182.17179870605469</v>
      </c>
      <c r="O599" s="30">
        <f t="shared" ref="O599:O602" si="961">N599*DAY($C599)*86400/43560/1000</f>
        <v>10.839974799037966</v>
      </c>
      <c r="P599" s="30">
        <f>VLOOKUP($C599,COS!$B$8:$H$991,6,FALSE)</f>
        <v>465.95361328125</v>
      </c>
      <c r="Q599" s="30">
        <f t="shared" ref="Q599:Q602" si="962">P599*DAY($C599)*86400/43560/1000</f>
        <v>27.72616541838843</v>
      </c>
      <c r="R599" s="30">
        <f>MIN(IF(MONTH($C599)=4,$S$3,IF(MONTH($C599)=5,$S$4,IF(MONTH($C599)=6,$S$5,IF(MONTH($C599)=7,$S$6,"ERROR")))),MAX(VLOOKUP($C599,COS!$B$8:$K$991,10,FALSE)-IF(MONTH($C599)=4,$Y$3,IF(MONTH($C599)=5,$Y$4,IF(MONTH($C599)=6,$Y$5,IF(MONTH($C599)=7,$Y$6,"ERROR")))),0),MAX(VLOOKUP($C599,COS!$B$8:$K$991,9,FALSE)-IF(MONTH($C599)=4,$V$3,IF(MONTH($C599)=5,$V$4,IF(MONTH($C599)=6,$V$5,IF(MONTH($C599)=7,$V$6,"ERROR"))))-VLOOKUP($C599,COS!$B$8:$K$991,6,FALSE)/2,0))</f>
        <v>1500</v>
      </c>
      <c r="S599" s="30">
        <f t="shared" ref="S599:S602" si="963">R599*DAY($C599)*86400/43560/1000</f>
        <v>89.256198347107429</v>
      </c>
      <c r="T599" s="30">
        <f t="shared" ref="T599:T602" si="964">(O599+Q599)/2+S599</f>
        <v>108.53926845582063</v>
      </c>
      <c r="U599" s="30" t="str">
        <f>IF(VLOOKUP($C599,COS!$B$8:$I$991,8,FALSE)=1,"UWFE","IBU")</f>
        <v>UWFE</v>
      </c>
      <c r="V599" s="30">
        <f t="shared" ref="V599" si="965">MIN(IF(IF($AA$3=2,AND(E599=1,G599=1,L599=1,L604=1,M599=1,U599="IBU"),AND(E599=1,G599=1,L599=1,L604=1,M599=1)),T599,0),I599)</f>
        <v>0</v>
      </c>
      <c r="W599" s="30"/>
      <c r="X599" s="30"/>
      <c r="Y599" s="30"/>
      <c r="Z599" s="30"/>
      <c r="AA599" s="30"/>
      <c r="AB599" s="31"/>
    </row>
    <row r="600" spans="1:28" x14ac:dyDescent="0.3">
      <c r="A600" s="32">
        <f>VLOOKUP(YEAR(C600),Flags!$A$13:$B$95,2,FALSE)</f>
        <v>4</v>
      </c>
      <c r="B600" s="24">
        <f t="shared" si="951"/>
        <v>1987</v>
      </c>
      <c r="C600" s="25">
        <v>31928</v>
      </c>
      <c r="D600" s="26">
        <f>VLOOKUP($C600,COS!$B$8:$H$991,3,FALSE)</f>
        <v>9427.30078125</v>
      </c>
      <c r="E600" s="24">
        <f>IF(D600&gt;=IF(MONTH($C600)=4,$C$3,IF(MONTH($C600)=5,$C$4,IF(MONTH($C600)=6,$C$5,IF(MONTH($C600)=7,$C$6,"ERROR")))),1,0)</f>
        <v>1</v>
      </c>
      <c r="F600" s="26">
        <f>VLOOKUP($C600,COS!$B$8:$H$991,7,FALSE)</f>
        <v>50.738330841064453</v>
      </c>
      <c r="G600" s="24">
        <f>IF(F600&lt;=IF(MONTH($C600)=4,$F$3,IF(MONTH($C600)=5,$F$4,IF(MONTH($C600)=6,$F$5,IF(MONTH($C600)=7,$F$6,"ERROR")))),1,0)</f>
        <v>1</v>
      </c>
      <c r="H600" s="26">
        <f>IF(J600=1,D600-$C$4,0)</f>
        <v>3427.30078125</v>
      </c>
      <c r="I600" s="26">
        <f t="shared" si="872"/>
        <v>210.73651084710744</v>
      </c>
      <c r="J600" s="24">
        <f t="shared" si="958"/>
        <v>1</v>
      </c>
      <c r="K600" s="26">
        <f>VLOOKUP($C600,COS!$B$8:$H$991,2,FALSE)</f>
        <v>3278.966796875</v>
      </c>
      <c r="L600" s="24">
        <f t="shared" si="944"/>
        <v>1</v>
      </c>
      <c r="M600" s="24">
        <f t="shared" si="945"/>
        <v>1</v>
      </c>
      <c r="N600" s="26">
        <f>VLOOKUP($C600,COS!$B$8:$H$991,5,FALSE)</f>
        <v>250.50456237792969</v>
      </c>
      <c r="O600" s="26">
        <f t="shared" si="961"/>
        <v>15.402925157783447</v>
      </c>
      <c r="P600" s="26">
        <f>VLOOKUP($C600,COS!$B$8:$H$991,6,FALSE)</f>
        <v>2345.609619140625</v>
      </c>
      <c r="Q600" s="26">
        <f t="shared" si="962"/>
        <v>144.22591377195246</v>
      </c>
      <c r="R600" s="26">
        <f>MIN(IF(MONTH($C600)=4,$S$3,IF(MONTH($C600)=5,$S$4,IF(MONTH($C600)=6,$S$5,IF(MONTH($C600)=7,$S$6,"ERROR")))),MAX(VLOOKUP($C600,COS!$B$8:$K$991,10,FALSE)-IF(MONTH($C600)=4,$Y$3,IF(MONTH($C600)=5,$Y$4,IF(MONTH($C600)=6,$Y$5,IF(MONTH($C600)=7,$Y$6,"ERROR")))),0),MAX(VLOOKUP($C600,COS!$B$8:$K$991,9,FALSE)-IF(MONTH($C600)=4,$V$3,IF(MONTH($C600)=5,$V$4,IF(MONTH($C600)=6,$V$5,IF(MONTH($C600)=7,$V$6,"ERROR"))))-VLOOKUP($C600,COS!$B$8:$K$991,6,FALSE)/2,0))</f>
        <v>1500</v>
      </c>
      <c r="S600" s="26">
        <f t="shared" si="963"/>
        <v>92.231404958677686</v>
      </c>
      <c r="T600" s="26">
        <f t="shared" si="964"/>
        <v>172.04582442354564</v>
      </c>
      <c r="U600" s="26" t="str">
        <f>IF(VLOOKUP($C600,COS!$B$8:$I$991,8,FALSE)=1,"UWFE","IBU")</f>
        <v>IBU</v>
      </c>
      <c r="V600" s="26">
        <f t="shared" ref="V600" si="966">MIN(IF(IF($AA$3=2,AND(E600=1,G600=1,L600=1,L604=1,M600=1,U600="IBU"),AND(E600=1,G600=1,L600=1,L604=1,M600=1)),T600,0),I600)</f>
        <v>172.04582442354564</v>
      </c>
      <c r="W600" s="26"/>
      <c r="X600" s="26"/>
      <c r="Y600" s="26"/>
      <c r="Z600" s="26"/>
      <c r="AA600" s="26"/>
      <c r="AB600" s="33"/>
    </row>
    <row r="601" spans="1:28" x14ac:dyDescent="0.3">
      <c r="A601" s="32">
        <f>VLOOKUP(YEAR(C601),Flags!$A$13:$B$95,2,FALSE)</f>
        <v>4</v>
      </c>
      <c r="B601" s="24">
        <f t="shared" si="951"/>
        <v>1987</v>
      </c>
      <c r="C601" s="25">
        <v>31958</v>
      </c>
      <c r="D601" s="26">
        <f>VLOOKUP($C601,COS!$B$8:$H$991,3,FALSE)</f>
        <v>12915.80859375</v>
      </c>
      <c r="E601" s="24">
        <f>IF(D601&gt;=IF(MONTH($C601)=4,$C$3,IF(MONTH($C601)=5,$C$4,IF(MONTH($C601)=6,$C$5,IF(MONTH($C601)=7,$C$6,"ERROR")))),1,0)</f>
        <v>1</v>
      </c>
      <c r="F601" s="26">
        <f>VLOOKUP($C601,COS!$B$8:$H$991,7,FALSE)</f>
        <v>52.064525604248047</v>
      </c>
      <c r="G601" s="24">
        <f>IF(F601&lt;=IF(MONTH($C601)=4,$F$3,IF(MONTH($C601)=5,$F$4,IF(MONTH($C601)=6,$F$5,IF(MONTH($C601)=7,$F$6,"ERROR")))),1,0)</f>
        <v>1</v>
      </c>
      <c r="H601" s="26">
        <f>IF(J601=1,D601-$C$5,0)</f>
        <v>2915.80859375</v>
      </c>
      <c r="I601" s="26">
        <f t="shared" si="872"/>
        <v>173.50266012396696</v>
      </c>
      <c r="J601" s="24">
        <f t="shared" si="958"/>
        <v>1</v>
      </c>
      <c r="K601" s="26">
        <f>VLOOKUP($C601,COS!$B$8:$H$991,2,FALSE)</f>
        <v>2849.214111328125</v>
      </c>
      <c r="L601" s="24">
        <f t="shared" si="944"/>
        <v>1</v>
      </c>
      <c r="M601" s="24">
        <f t="shared" si="945"/>
        <v>1</v>
      </c>
      <c r="N601" s="26">
        <f>VLOOKUP($C601,COS!$B$8:$H$991,5,FALSE)</f>
        <v>294.71493530273438</v>
      </c>
      <c r="O601" s="26">
        <f t="shared" si="961"/>
        <v>17.536756480823865</v>
      </c>
      <c r="P601" s="26">
        <f>VLOOKUP($C601,COS!$B$8:$H$991,6,FALSE)</f>
        <v>2714.961669921875</v>
      </c>
      <c r="Q601" s="26">
        <f t="shared" si="962"/>
        <v>161.55143821022727</v>
      </c>
      <c r="R601" s="26">
        <f>MIN(IF(MONTH($C601)=4,$S$3,IF(MONTH($C601)=5,$S$4,IF(MONTH($C601)=6,$S$5,IF(MONTH($C601)=7,$S$6,"ERROR")))),MAX(VLOOKUP($C601,COS!$B$8:$K$991,10,FALSE)-IF(MONTH($C601)=4,$Y$3,IF(MONTH($C601)=5,$Y$4,IF(MONTH($C601)=6,$Y$5,IF(MONTH($C601)=7,$Y$6,"ERROR")))),0),MAX(VLOOKUP($C601,COS!$B$8:$K$991,9,FALSE)-IF(MONTH($C601)=4,$V$3,IF(MONTH($C601)=5,$V$4,IF(MONTH($C601)=6,$V$5,IF(MONTH($C601)=7,$V$6,"ERROR"))))-VLOOKUP($C601,COS!$B$8:$K$991,6,FALSE)/2,0))</f>
        <v>1500</v>
      </c>
      <c r="S601" s="26">
        <f t="shared" si="963"/>
        <v>89.256198347107429</v>
      </c>
      <c r="T601" s="26">
        <f t="shared" si="964"/>
        <v>178.800295692633</v>
      </c>
      <c r="U601" s="26" t="str">
        <f>IF(VLOOKUP($C601,COS!$B$8:$I$991,8,FALSE)=1,"UWFE","IBU")</f>
        <v>IBU</v>
      </c>
      <c r="V601" s="26">
        <f t="shared" ref="V601" si="967">MIN(IF(IF($AA$3=2,AND(E601=1,G601=1,L601=1,L604=1,M601=1,U601="IBU"),AND(E601=1,G601=1,L601=1,L604=1,M601=1)),T601,0),I601)</f>
        <v>173.50266012396696</v>
      </c>
      <c r="W601" s="26"/>
      <c r="X601" s="26"/>
      <c r="Y601" s="26"/>
      <c r="Z601" s="26"/>
      <c r="AA601" s="26"/>
      <c r="AB601" s="33"/>
    </row>
    <row r="602" spans="1:28" x14ac:dyDescent="0.3">
      <c r="A602" s="32">
        <f>VLOOKUP(YEAR(C602),Flags!$A$13:$B$95,2,FALSE)</f>
        <v>4</v>
      </c>
      <c r="B602" s="24">
        <f t="shared" si="951"/>
        <v>1987</v>
      </c>
      <c r="C602" s="25">
        <v>31989</v>
      </c>
      <c r="D602" s="26">
        <f>VLOOKUP($C602,COS!$B$8:$H$991,3,FALSE)</f>
        <v>12279.78515625</v>
      </c>
      <c r="E602" s="24">
        <f>IF(D602&gt;=IF(MONTH($C602)=4,$C$3,IF(MONTH($C602)=5,$C$4,IF(MONTH($C602)=6,$C$5,IF(MONTH($C602)=7,$C$6,"ERROR")))),1,0)</f>
        <v>1</v>
      </c>
      <c r="F602" s="26">
        <f>VLOOKUP($C602,COS!$B$8:$H$991,7,FALSE)</f>
        <v>53.705059051513672</v>
      </c>
      <c r="G602" s="24">
        <f>IF(F602&lt;=IF(MONTH($C602)=4,$F$3,IF(MONTH($C602)=5,$F$4,IF(MONTH($C602)=6,$F$5,IF(MONTH($C602)=7,$F$6,"ERROR")))),1,0)</f>
        <v>0</v>
      </c>
      <c r="H602" s="26">
        <f>IF(J602=1,D602-$C$6,0)</f>
        <v>0</v>
      </c>
      <c r="I602" s="26">
        <f t="shared" si="872"/>
        <v>0</v>
      </c>
      <c r="J602" s="24">
        <f t="shared" si="958"/>
        <v>0</v>
      </c>
      <c r="K602" s="26">
        <f>VLOOKUP($C602,COS!$B$8:$H$991,2,FALSE)</f>
        <v>2473.188232421875</v>
      </c>
      <c r="L602" s="24">
        <f t="shared" si="944"/>
        <v>1</v>
      </c>
      <c r="M602" s="24">
        <f t="shared" si="945"/>
        <v>1</v>
      </c>
      <c r="N602" s="26">
        <f>VLOOKUP($C602,COS!$B$8:$H$991,5,FALSE)</f>
        <v>320.8253173828125</v>
      </c>
      <c r="O602" s="26">
        <f t="shared" si="961"/>
        <v>19.726779845686984</v>
      </c>
      <c r="P602" s="26">
        <f>VLOOKUP($C602,COS!$B$8:$H$991,6,FALSE)</f>
        <v>2538.07568359375</v>
      </c>
      <c r="Q602" s="26">
        <f t="shared" si="962"/>
        <v>156.06019079287191</v>
      </c>
      <c r="R602" s="26">
        <f>MIN(IF(MONTH($C602)=4,$S$3,IF(MONTH($C602)=5,$S$4,IF(MONTH($C602)=6,$S$5,IF(MONTH($C602)=7,$S$6,"ERROR")))),MAX(VLOOKUP($C602,COS!$B$8:$K$991,10,FALSE)-IF(MONTH($C602)=4,$Y$3,IF(MONTH($C602)=5,$Y$4,IF(MONTH($C602)=6,$Y$5,IF(MONTH($C602)=7,$Y$6,"ERROR")))),0),MAX(VLOOKUP($C602,COS!$B$8:$K$991,9,FALSE)-IF(MONTH($C602)=4,$V$3,IF(MONTH($C602)=5,$V$4,IF(MONTH($C602)=6,$V$5,IF(MONTH($C602)=7,$V$6,"ERROR"))))-VLOOKUP($C602,COS!$B$8:$K$991,6,FALSE)/2,0))</f>
        <v>1500</v>
      </c>
      <c r="S602" s="26">
        <f t="shared" si="963"/>
        <v>92.231404958677686</v>
      </c>
      <c r="T602" s="26">
        <f t="shared" si="964"/>
        <v>180.12489027795715</v>
      </c>
      <c r="U602" s="26" t="str">
        <f>IF(VLOOKUP($C602,COS!$B$8:$I$991,8,FALSE)=1,"UWFE","IBU")</f>
        <v>IBU</v>
      </c>
      <c r="V602" s="26">
        <f t="shared" ref="V602" si="968">MIN(IF(IF($AA$3=2,AND(E602=1,G602=1,L602=1,L604=1,M602=1,U602="IBU"),AND(E602=1,G602=1,L602=1,L604=1,M602=1)),T602,0),I602)</f>
        <v>0</v>
      </c>
      <c r="W602" s="26"/>
      <c r="X602" s="26"/>
      <c r="Y602" s="26"/>
      <c r="Z602" s="26"/>
      <c r="AA602" s="26"/>
      <c r="AB602" s="33"/>
    </row>
    <row r="603" spans="1:28" x14ac:dyDescent="0.3">
      <c r="A603" s="32">
        <f>VLOOKUP(YEAR(C603),Flags!$A$13:$B$95,2,FALSE)</f>
        <v>4</v>
      </c>
      <c r="B603" s="24">
        <f t="shared" si="951"/>
        <v>1987</v>
      </c>
      <c r="C603" s="25">
        <v>32020</v>
      </c>
      <c r="D603" s="26"/>
      <c r="E603" s="24"/>
      <c r="F603" s="26"/>
      <c r="G603" s="24"/>
      <c r="H603" s="24"/>
      <c r="I603" s="26"/>
      <c r="J603" s="24"/>
      <c r="K603" s="26"/>
      <c r="L603" s="24"/>
      <c r="M603" s="24"/>
      <c r="N603" s="26"/>
      <c r="O603" s="26"/>
      <c r="P603" s="26"/>
      <c r="Q603" s="26"/>
      <c r="R603" s="26"/>
      <c r="S603" s="26"/>
      <c r="T603" s="26"/>
      <c r="U603" s="26"/>
      <c r="V603" s="26"/>
      <c r="W603" s="26">
        <f>MAX($C$7-VLOOKUP($C603,COS!$B$8:$H$991,3,FALSE),0)</f>
        <v>4402.0830078125</v>
      </c>
      <c r="X603" s="26">
        <f t="shared" si="870"/>
        <v>270.67353370351242</v>
      </c>
      <c r="Y603" s="26">
        <f>VLOOKUP($C603,COS!$B$8:$H$991,4,FALSE)</f>
        <v>2881.91650390625</v>
      </c>
      <c r="Z603" s="26">
        <f t="shared" si="871"/>
        <v>177.20213875258267</v>
      </c>
      <c r="AA603" s="26">
        <f t="shared" ref="AA603:AA607" si="969">MIN(W603,Y603)</f>
        <v>2881.91650390625</v>
      </c>
      <c r="AB603" s="33">
        <f t="shared" ref="AB603" si="970">AA603*DAY($C603)*86400/43560/1000*IF(MONTH($C603)=8,$P$3,IF(MONTH($C603)=9,$P$4,IF(MONTH($C603)=10,$P$5,IF(MONTH($C603)=11,$P$6,IF(MONTH($C603)=12,$P$7,NA())))))</f>
        <v>177.20213875258267</v>
      </c>
    </row>
    <row r="604" spans="1:28" x14ac:dyDescent="0.3">
      <c r="A604" s="32">
        <f>VLOOKUP(YEAR(C604),Flags!$A$13:$B$95,2,FALSE)</f>
        <v>4</v>
      </c>
      <c r="B604" s="24">
        <f t="shared" si="951"/>
        <v>1987</v>
      </c>
      <c r="C604" s="25">
        <v>32050</v>
      </c>
      <c r="D604" s="26"/>
      <c r="E604" s="24"/>
      <c r="F604" s="26"/>
      <c r="G604" s="24"/>
      <c r="H604" s="24"/>
      <c r="I604" s="26"/>
      <c r="J604" s="24"/>
      <c r="K604" s="26">
        <f>VLOOKUP($C604,COS!$B$8:$H$991,2,FALSE)</f>
        <v>2192.67578125</v>
      </c>
      <c r="L604" s="24">
        <f t="shared" ref="L604" si="971">IF(AND(K604&gt;$I$7,K604&lt;$I$8),1,0)</f>
        <v>1</v>
      </c>
      <c r="M604" s="24"/>
      <c r="N604" s="26"/>
      <c r="O604" s="26"/>
      <c r="P604" s="26"/>
      <c r="Q604" s="26"/>
      <c r="R604" s="26"/>
      <c r="S604" s="26"/>
      <c r="T604" s="26"/>
      <c r="U604" s="26"/>
      <c r="V604" s="26"/>
      <c r="W604" s="26">
        <f>MAX($C$8-VLOOKUP($C604,COS!$B$8:$H$991,3,FALSE),0)</f>
        <v>662.54638671875</v>
      </c>
      <c r="X604" s="26">
        <f t="shared" si="870"/>
        <v>39.424247804752063</v>
      </c>
      <c r="Y604" s="26">
        <f>VLOOKUP($C604,COS!$B$8:$H$991,4,FALSE)</f>
        <v>1887.955078125</v>
      </c>
      <c r="Z604" s="26">
        <f t="shared" si="871"/>
        <v>112.34112861570247</v>
      </c>
      <c r="AA604" s="26">
        <f t="shared" si="969"/>
        <v>662.54638671875</v>
      </c>
      <c r="AB604" s="33">
        <f t="shared" si="956"/>
        <v>39.424247804752063</v>
      </c>
    </row>
    <row r="605" spans="1:28" x14ac:dyDescent="0.3">
      <c r="A605" s="32">
        <f>VLOOKUP(YEAR(C605),Flags!$A$13:$B$95,2,FALSE)</f>
        <v>4</v>
      </c>
      <c r="B605" s="24">
        <f t="shared" si="951"/>
        <v>1987</v>
      </c>
      <c r="C605" s="25">
        <v>32081</v>
      </c>
      <c r="D605" s="26"/>
      <c r="E605" s="24"/>
      <c r="F605" s="26"/>
      <c r="G605" s="26"/>
      <c r="H605" s="26"/>
      <c r="I605" s="26"/>
      <c r="J605" s="26"/>
      <c r="K605" s="26"/>
      <c r="L605" s="24"/>
      <c r="M605" s="24"/>
      <c r="N605" s="26"/>
      <c r="O605" s="26"/>
      <c r="P605" s="26"/>
      <c r="Q605" s="26"/>
      <c r="R605" s="26"/>
      <c r="S605" s="26"/>
      <c r="T605" s="26"/>
      <c r="U605" s="26"/>
      <c r="V605" s="26"/>
      <c r="W605" s="26">
        <f>MAX($C$9-VLOOKUP($C605,COS!$B$8:$H$991,3,FALSE),0)</f>
        <v>0</v>
      </c>
      <c r="X605" s="26">
        <f t="shared" si="870"/>
        <v>0</v>
      </c>
      <c r="Y605" s="26">
        <f>VLOOKUP($C605,COS!$B$8:$H$991,4,FALSE)</f>
        <v>1710.297119140625</v>
      </c>
      <c r="Z605" s="26">
        <f t="shared" si="871"/>
        <v>105.16207079674588</v>
      </c>
      <c r="AA605" s="26">
        <f t="shared" si="969"/>
        <v>0</v>
      </c>
      <c r="AB605" s="33">
        <f t="shared" si="956"/>
        <v>0</v>
      </c>
    </row>
    <row r="606" spans="1:28" x14ac:dyDescent="0.3">
      <c r="A606" s="32">
        <f>VLOOKUP(YEAR(C606),Flags!$A$13:$B$95,2,FALSE)</f>
        <v>4</v>
      </c>
      <c r="B606" s="24">
        <f t="shared" si="951"/>
        <v>1987</v>
      </c>
      <c r="C606" s="25">
        <v>32111</v>
      </c>
      <c r="D606" s="26"/>
      <c r="E606" s="24"/>
      <c r="F606" s="26"/>
      <c r="G606" s="26"/>
      <c r="H606" s="26"/>
      <c r="I606" s="26"/>
      <c r="J606" s="26"/>
      <c r="K606" s="26"/>
      <c r="L606" s="24"/>
      <c r="M606" s="24"/>
      <c r="N606" s="26"/>
      <c r="O606" s="26"/>
      <c r="P606" s="26"/>
      <c r="Q606" s="26"/>
      <c r="R606" s="26"/>
      <c r="S606" s="26"/>
      <c r="T606" s="26"/>
      <c r="U606" s="26"/>
      <c r="V606" s="26"/>
      <c r="W606" s="26">
        <f>MAX($C$10-VLOOKUP($C606,COS!$B$8:$H$991,3,FALSE),0)</f>
        <v>804.09228515625</v>
      </c>
      <c r="X606" s="26">
        <f t="shared" si="870"/>
        <v>47.846813662190087</v>
      </c>
      <c r="Y606" s="26">
        <f>VLOOKUP($C606,COS!$B$8:$H$991,4,FALSE)</f>
        <v>1824.783935546875</v>
      </c>
      <c r="Z606" s="26">
        <f t="shared" si="871"/>
        <v>108.58218459452479</v>
      </c>
      <c r="AA606" s="26">
        <f t="shared" si="969"/>
        <v>804.09228515625</v>
      </c>
      <c r="AB606" s="33">
        <f t="shared" si="956"/>
        <v>47.846813662190087</v>
      </c>
    </row>
    <row r="607" spans="1:28" x14ac:dyDescent="0.3">
      <c r="A607" s="34">
        <f>VLOOKUP(YEAR(C607),Flags!$A$13:$B$95,2,FALSE)</f>
        <v>4</v>
      </c>
      <c r="B607" s="35">
        <f t="shared" si="951"/>
        <v>1987</v>
      </c>
      <c r="C607" s="36">
        <v>32142</v>
      </c>
      <c r="D607" s="37"/>
      <c r="E607" s="35"/>
      <c r="F607" s="37"/>
      <c r="G607" s="37"/>
      <c r="H607" s="37"/>
      <c r="I607" s="37"/>
      <c r="J607" s="37"/>
      <c r="K607" s="37"/>
      <c r="L607" s="35"/>
      <c r="M607" s="35"/>
      <c r="N607" s="37"/>
      <c r="O607" s="37"/>
      <c r="P607" s="37"/>
      <c r="Q607" s="37"/>
      <c r="R607" s="37"/>
      <c r="S607" s="37"/>
      <c r="T607" s="37"/>
      <c r="U607" s="37"/>
      <c r="V607" s="37"/>
      <c r="W607" s="37">
        <f>MAX($C$11-VLOOKUP($C607,COS!$B$8:$H$991,3,FALSE),0)</f>
        <v>1750</v>
      </c>
      <c r="X607" s="37">
        <f t="shared" ref="X607:X670" si="972">W607*DAY($C607)*86400/43560/1000</f>
        <v>107.60330578512398</v>
      </c>
      <c r="Y607" s="37">
        <f>VLOOKUP($C607,COS!$B$8:$H$991,4,FALSE)</f>
        <v>906.1927490234375</v>
      </c>
      <c r="Z607" s="37">
        <f t="shared" ref="Z607:Z670" si="973">Y607*DAY($C607)*86400/43560/1000</f>
        <v>55.719620270532026</v>
      </c>
      <c r="AA607" s="37">
        <f t="shared" si="969"/>
        <v>906.1927490234375</v>
      </c>
      <c r="AB607" s="38">
        <f t="shared" si="956"/>
        <v>55.719620270532026</v>
      </c>
    </row>
    <row r="608" spans="1:28" x14ac:dyDescent="0.3">
      <c r="A608" s="27">
        <f>VLOOKUP(YEAR(C608),Flags!$A$13:$B$95,2,FALSE)</f>
        <v>5</v>
      </c>
      <c r="B608" s="28">
        <f t="shared" si="951"/>
        <v>1988</v>
      </c>
      <c r="C608" s="29">
        <v>32263</v>
      </c>
      <c r="D608" s="30">
        <f>VLOOKUP($C608,COS!$B$8:$H$991,3,FALSE)</f>
        <v>3250</v>
      </c>
      <c r="E608" s="28">
        <f>IF(D608&gt;=IF(MONTH($C608)=4,$C$3,IF(MONTH($C608)=5,$C$4,IF(MONTH($C608)=6,$C$5,IF(MONTH($C608)=7,$C$6,"ERROR")))),1,0)</f>
        <v>0</v>
      </c>
      <c r="F608" s="30">
        <f>VLOOKUP($C608,COS!$B$8:$H$991,7,FALSE)</f>
        <v>51.376628875732422</v>
      </c>
      <c r="G608" s="28">
        <f>IF(F608&lt;=IF(MONTH($C608)=4,$F$3,IF(MONTH($C608)=5,$F$4,IF(MONTH($C608)=6,$F$5,IF(MONTH($C608)=7,$F$6,"ERROR")))),1,0)</f>
        <v>1</v>
      </c>
      <c r="H608" s="30">
        <f>IF(J608=1,D608-$C$3,0)</f>
        <v>0</v>
      </c>
      <c r="I608" s="30">
        <f t="shared" si="872"/>
        <v>0</v>
      </c>
      <c r="J608" s="28">
        <f t="shared" ref="J608:J611" si="974">IF(AND(E608=1,G608=1),1,0)</f>
        <v>0</v>
      </c>
      <c r="K608" s="30">
        <f>VLOOKUP($C608,COS!$B$8:$H$991,2,FALSE)</f>
        <v>3432.6455078125</v>
      </c>
      <c r="L608" s="28">
        <f t="shared" ref="L608" si="975">IF(K608&lt;=IF(MONTH($C608)=4,$I$3,IF(MONTH($C608)=5,$I$4,IF(MONTH($C608)=6,$I$5,IF(MONTH($C608)=7,$I$6,"ERROR")))),1,0)</f>
        <v>1</v>
      </c>
      <c r="M608" s="28">
        <f t="shared" ref="M608" si="976">VLOOKUP($A608,$L$3:$M$7,2,FALSE)</f>
        <v>1</v>
      </c>
      <c r="N608" s="30">
        <f>VLOOKUP($C608,COS!$B$8:$H$991,5,FALSE)</f>
        <v>119.56303405761719</v>
      </c>
      <c r="O608" s="30">
        <f t="shared" ref="O608:O611" si="977">N608*DAY($C608)*86400/43560/1000</f>
        <v>7.1144945885524278</v>
      </c>
      <c r="P608" s="30">
        <f>VLOOKUP($C608,COS!$B$8:$H$991,6,FALSE)</f>
        <v>472.98532104492188</v>
      </c>
      <c r="Q608" s="30">
        <f t="shared" ref="Q608:Q611" si="978">P608*DAY($C608)*86400/43560/1000</f>
        <v>28.144581086970557</v>
      </c>
      <c r="R608" s="30">
        <f>MIN(IF(MONTH($C608)=4,$S$3,IF(MONTH($C608)=5,$S$4,IF(MONTH($C608)=6,$S$5,IF(MONTH($C608)=7,$S$6,"ERROR")))),MAX(VLOOKUP($C608,COS!$B$8:$K$991,10,FALSE)-IF(MONTH($C608)=4,$Y$3,IF(MONTH($C608)=5,$Y$4,IF(MONTH($C608)=6,$Y$5,IF(MONTH($C608)=7,$Y$6,"ERROR")))),0),MAX(VLOOKUP($C608,COS!$B$8:$K$991,9,FALSE)-IF(MONTH($C608)=4,$V$3,IF(MONTH($C608)=5,$V$4,IF(MONTH($C608)=6,$V$5,IF(MONTH($C608)=7,$V$6,"ERROR"))))-VLOOKUP($C608,COS!$B$8:$K$991,6,FALSE)/2,0))</f>
        <v>764.98193359375</v>
      </c>
      <c r="S608" s="30">
        <f t="shared" ref="S608:S611" si="979">R608*DAY($C608)*86400/43560/1000</f>
        <v>45.519586131198345</v>
      </c>
      <c r="T608" s="30">
        <f t="shared" ref="T608:T611" si="980">(O608+Q608)/2+S608</f>
        <v>63.149123968959842</v>
      </c>
      <c r="U608" s="30" t="str">
        <f>IF(VLOOKUP($C608,COS!$B$8:$I$991,8,FALSE)=1,"UWFE","IBU")</f>
        <v>UWFE</v>
      </c>
      <c r="V608" s="30">
        <f t="shared" ref="V608" si="981">MIN(IF(IF($AA$3=2,AND(E608=1,G608=1,L608=1,L613=1,M608=1,U608="IBU"),AND(E608=1,G608=1,L608=1,L613=1,M608=1)),T608,0),I608)</f>
        <v>0</v>
      </c>
      <c r="W608" s="30"/>
      <c r="X608" s="30"/>
      <c r="Y608" s="30"/>
      <c r="Z608" s="30"/>
      <c r="AA608" s="30"/>
      <c r="AB608" s="31"/>
    </row>
    <row r="609" spans="1:28" x14ac:dyDescent="0.3">
      <c r="A609" s="32">
        <f>VLOOKUP(YEAR(C609),Flags!$A$13:$B$95,2,FALSE)</f>
        <v>5</v>
      </c>
      <c r="B609" s="24">
        <f t="shared" si="951"/>
        <v>1988</v>
      </c>
      <c r="C609" s="25">
        <v>32294</v>
      </c>
      <c r="D609" s="26">
        <f>VLOOKUP($C609,COS!$B$8:$H$991,3,FALSE)</f>
        <v>6883.46142578125</v>
      </c>
      <c r="E609" s="24">
        <f>IF(D609&gt;=IF(MONTH($C609)=4,$C$3,IF(MONTH($C609)=5,$C$4,IF(MONTH($C609)=6,$C$5,IF(MONTH($C609)=7,$C$6,"ERROR")))),1,0)</f>
        <v>1</v>
      </c>
      <c r="F609" s="26">
        <f>VLOOKUP($C609,COS!$B$8:$H$991,7,FALSE)</f>
        <v>51.008148193359375</v>
      </c>
      <c r="G609" s="24">
        <f>IF(F609&lt;=IF(MONTH($C609)=4,$F$3,IF(MONTH($C609)=5,$F$4,IF(MONTH($C609)=6,$F$5,IF(MONTH($C609)=7,$F$6,"ERROR")))),1,0)</f>
        <v>1</v>
      </c>
      <c r="H609" s="26">
        <f>IF(J609=1,D609-$C$4,0)</f>
        <v>883.46142578125</v>
      </c>
      <c r="I609" s="26">
        <f t="shared" ref="I609:I672" si="982">H609*DAY($C609)*86400/43560/1000</f>
        <v>54.321925684400824</v>
      </c>
      <c r="J609" s="24">
        <f t="shared" si="974"/>
        <v>1</v>
      </c>
      <c r="K609" s="26">
        <f>VLOOKUP($C609,COS!$B$8:$H$991,2,FALSE)</f>
        <v>3330.71044921875</v>
      </c>
      <c r="L609" s="24">
        <f t="shared" si="944"/>
        <v>1</v>
      </c>
      <c r="M609" s="24">
        <f t="shared" si="945"/>
        <v>1</v>
      </c>
      <c r="N609" s="26">
        <f>VLOOKUP($C609,COS!$B$8:$H$991,5,FALSE)</f>
        <v>152.79158020019531</v>
      </c>
      <c r="O609" s="26">
        <f t="shared" si="977"/>
        <v>9.3947880718136627</v>
      </c>
      <c r="P609" s="26">
        <f>VLOOKUP($C609,COS!$B$8:$H$991,6,FALSE)</f>
        <v>2086.376220703125</v>
      </c>
      <c r="Q609" s="26">
        <f t="shared" si="978"/>
        <v>128.28627340521695</v>
      </c>
      <c r="R609" s="26">
        <f>MIN(IF(MONTH($C609)=4,$S$3,IF(MONTH($C609)=5,$S$4,IF(MONTH($C609)=6,$S$5,IF(MONTH($C609)=7,$S$6,"ERROR")))),MAX(VLOOKUP($C609,COS!$B$8:$K$991,10,FALSE)-IF(MONTH($C609)=4,$Y$3,IF(MONTH($C609)=5,$Y$4,IF(MONTH($C609)=6,$Y$5,IF(MONTH($C609)=7,$Y$6,"ERROR")))),0),MAX(VLOOKUP($C609,COS!$B$8:$K$991,9,FALSE)-IF(MONTH($C609)=4,$V$3,IF(MONTH($C609)=5,$V$4,IF(MONTH($C609)=6,$V$5,IF(MONTH($C609)=7,$V$6,"ERROR"))))-VLOOKUP($C609,COS!$B$8:$K$991,6,FALSE)/2,0))</f>
        <v>1500</v>
      </c>
      <c r="S609" s="26">
        <f t="shared" si="979"/>
        <v>92.231404958677686</v>
      </c>
      <c r="T609" s="26">
        <f t="shared" si="980"/>
        <v>161.071935697193</v>
      </c>
      <c r="U609" s="26" t="str">
        <f>IF(VLOOKUP($C609,COS!$B$8:$I$991,8,FALSE)=1,"UWFE","IBU")</f>
        <v>IBU</v>
      </c>
      <c r="V609" s="26">
        <f t="shared" ref="V609" si="983">MIN(IF(IF($AA$3=2,AND(E609=1,G609=1,L609=1,L613=1,M609=1,U609="IBU"),AND(E609=1,G609=1,L609=1,L613=1,M609=1)),T609,0),I609)</f>
        <v>54.321925684400824</v>
      </c>
      <c r="W609" s="26"/>
      <c r="X609" s="26"/>
      <c r="Y609" s="26"/>
      <c r="Z609" s="26"/>
      <c r="AA609" s="26"/>
      <c r="AB609" s="33"/>
    </row>
    <row r="610" spans="1:28" x14ac:dyDescent="0.3">
      <c r="A610" s="32">
        <f>VLOOKUP(YEAR(C610),Flags!$A$13:$B$95,2,FALSE)</f>
        <v>5</v>
      </c>
      <c r="B610" s="24">
        <f t="shared" si="951"/>
        <v>1988</v>
      </c>
      <c r="C610" s="25">
        <v>32324</v>
      </c>
      <c r="D610" s="26">
        <f>VLOOKUP($C610,COS!$B$8:$H$991,3,FALSE)</f>
        <v>10946.3818359375</v>
      </c>
      <c r="E610" s="24">
        <f>IF(D610&gt;=IF(MONTH($C610)=4,$C$3,IF(MONTH($C610)=5,$C$4,IF(MONTH($C610)=6,$C$5,IF(MONTH($C610)=7,$C$6,"ERROR")))),1,0)</f>
        <v>1</v>
      </c>
      <c r="F610" s="26">
        <f>VLOOKUP($C610,COS!$B$8:$H$991,7,FALSE)</f>
        <v>51.772979736328125</v>
      </c>
      <c r="G610" s="24">
        <f>IF(F610&lt;=IF(MONTH($C610)=4,$F$3,IF(MONTH($C610)=5,$F$4,IF(MONTH($C610)=6,$F$5,IF(MONTH($C610)=7,$F$6,"ERROR")))),1,0)</f>
        <v>1</v>
      </c>
      <c r="H610" s="26">
        <f>IF(J610=1,D610-$C$5,0)</f>
        <v>946.3818359375</v>
      </c>
      <c r="I610" s="26">
        <f t="shared" si="982"/>
        <v>56.31362990702479</v>
      </c>
      <c r="J610" s="24">
        <f t="shared" si="974"/>
        <v>1</v>
      </c>
      <c r="K610" s="26">
        <f>VLOOKUP($C610,COS!$B$8:$H$991,2,FALSE)</f>
        <v>2960.935791015625</v>
      </c>
      <c r="L610" s="24">
        <f t="shared" si="944"/>
        <v>1</v>
      </c>
      <c r="M610" s="24">
        <f t="shared" si="945"/>
        <v>1</v>
      </c>
      <c r="N610" s="26">
        <f>VLOOKUP($C610,COS!$B$8:$H$991,5,FALSE)</f>
        <v>203.79988098144531</v>
      </c>
      <c r="O610" s="26">
        <f t="shared" si="977"/>
        <v>12.126935066664515</v>
      </c>
      <c r="P610" s="26">
        <f>VLOOKUP($C610,COS!$B$8:$H$991,6,FALSE)</f>
        <v>2416.343017578125</v>
      </c>
      <c r="Q610" s="26">
        <f t="shared" si="978"/>
        <v>143.78239443440083</v>
      </c>
      <c r="R610" s="26">
        <f>MIN(IF(MONTH($C610)=4,$S$3,IF(MONTH($C610)=5,$S$4,IF(MONTH($C610)=6,$S$5,IF(MONTH($C610)=7,$S$6,"ERROR")))),MAX(VLOOKUP($C610,COS!$B$8:$K$991,10,FALSE)-IF(MONTH($C610)=4,$Y$3,IF(MONTH($C610)=5,$Y$4,IF(MONTH($C610)=6,$Y$5,IF(MONTH($C610)=7,$Y$6,"ERROR")))),0),MAX(VLOOKUP($C610,COS!$B$8:$K$991,9,FALSE)-IF(MONTH($C610)=4,$V$3,IF(MONTH($C610)=5,$V$4,IF(MONTH($C610)=6,$V$5,IF(MONTH($C610)=7,$V$6,"ERROR"))))-VLOOKUP($C610,COS!$B$8:$K$991,6,FALSE)/2,0))</f>
        <v>1500</v>
      </c>
      <c r="S610" s="26">
        <f t="shared" si="979"/>
        <v>89.256198347107429</v>
      </c>
      <c r="T610" s="26">
        <f t="shared" si="980"/>
        <v>167.2108630976401</v>
      </c>
      <c r="U610" s="26" t="str">
        <f>IF(VLOOKUP($C610,COS!$B$8:$I$991,8,FALSE)=1,"UWFE","IBU")</f>
        <v>IBU</v>
      </c>
      <c r="V610" s="26">
        <f t="shared" ref="V610" si="984">MIN(IF(IF($AA$3=2,AND(E610=1,G610=1,L610=1,L613=1,M610=1,U610="IBU"),AND(E610=1,G610=1,L610=1,L613=1,M610=1)),T610,0),I610)</f>
        <v>56.31362990702479</v>
      </c>
      <c r="W610" s="26"/>
      <c r="X610" s="26"/>
      <c r="Y610" s="26"/>
      <c r="Z610" s="26"/>
      <c r="AA610" s="26"/>
      <c r="AB610" s="33"/>
    </row>
    <row r="611" spans="1:28" x14ac:dyDescent="0.3">
      <c r="A611" s="32">
        <f>VLOOKUP(YEAR(C611),Flags!$A$13:$B$95,2,FALSE)</f>
        <v>5</v>
      </c>
      <c r="B611" s="24">
        <f t="shared" si="951"/>
        <v>1988</v>
      </c>
      <c r="C611" s="25">
        <v>32355</v>
      </c>
      <c r="D611" s="26">
        <f>VLOOKUP($C611,COS!$B$8:$H$991,3,FALSE)</f>
        <v>11770.708984375</v>
      </c>
      <c r="E611" s="24">
        <f>IF(D611&gt;=IF(MONTH($C611)=4,$C$3,IF(MONTH($C611)=5,$C$4,IF(MONTH($C611)=6,$C$5,IF(MONTH($C611)=7,$C$6,"ERROR")))),1,0)</f>
        <v>0</v>
      </c>
      <c r="F611" s="26">
        <f>VLOOKUP($C611,COS!$B$8:$H$991,7,FALSE)</f>
        <v>53.894107818603516</v>
      </c>
      <c r="G611" s="24">
        <f>IF(F611&lt;=IF(MONTH($C611)=4,$F$3,IF(MONTH($C611)=5,$F$4,IF(MONTH($C611)=6,$F$5,IF(MONTH($C611)=7,$F$6,"ERROR")))),1,0)</f>
        <v>0</v>
      </c>
      <c r="H611" s="26">
        <f>IF(J611=1,D611-$C$6,0)</f>
        <v>0</v>
      </c>
      <c r="I611" s="26">
        <f t="shared" si="982"/>
        <v>0</v>
      </c>
      <c r="J611" s="24">
        <f t="shared" si="974"/>
        <v>0</v>
      </c>
      <c r="K611" s="26">
        <f>VLOOKUP($C611,COS!$B$8:$H$991,2,FALSE)</f>
        <v>2490.652587890625</v>
      </c>
      <c r="L611" s="24">
        <f t="shared" si="944"/>
        <v>1</v>
      </c>
      <c r="M611" s="24">
        <f t="shared" si="945"/>
        <v>1</v>
      </c>
      <c r="N611" s="26">
        <f>VLOOKUP($C611,COS!$B$8:$H$991,5,FALSE)</f>
        <v>242.14094543457031</v>
      </c>
      <c r="O611" s="26">
        <f t="shared" si="977"/>
        <v>14.888666396968622</v>
      </c>
      <c r="P611" s="26">
        <f>VLOOKUP($C611,COS!$B$8:$H$991,6,FALSE)</f>
        <v>2326.644775390625</v>
      </c>
      <c r="Q611" s="26">
        <f t="shared" si="978"/>
        <v>143.05981098269626</v>
      </c>
      <c r="R611" s="26">
        <f>MIN(IF(MONTH($C611)=4,$S$3,IF(MONTH($C611)=5,$S$4,IF(MONTH($C611)=6,$S$5,IF(MONTH($C611)=7,$S$6,"ERROR")))),MAX(VLOOKUP($C611,COS!$B$8:$K$991,10,FALSE)-IF(MONTH($C611)=4,$Y$3,IF(MONTH($C611)=5,$Y$4,IF(MONTH($C611)=6,$Y$5,IF(MONTH($C611)=7,$Y$6,"ERROR")))),0),MAX(VLOOKUP($C611,COS!$B$8:$K$991,9,FALSE)-IF(MONTH($C611)=4,$V$3,IF(MONTH($C611)=5,$V$4,IF(MONTH($C611)=6,$V$5,IF(MONTH($C611)=7,$V$6,"ERROR"))))-VLOOKUP($C611,COS!$B$8:$K$991,6,FALSE)/2,0))</f>
        <v>1500</v>
      </c>
      <c r="S611" s="26">
        <f t="shared" si="979"/>
        <v>92.231404958677686</v>
      </c>
      <c r="T611" s="26">
        <f t="shared" si="980"/>
        <v>171.20564364851015</v>
      </c>
      <c r="U611" s="26" t="str">
        <f>IF(VLOOKUP($C611,COS!$B$8:$I$991,8,FALSE)=1,"UWFE","IBU")</f>
        <v>IBU</v>
      </c>
      <c r="V611" s="26">
        <f t="shared" ref="V611" si="985">MIN(IF(IF($AA$3=2,AND(E611=1,G611=1,L611=1,L613=1,M611=1,U611="IBU"),AND(E611=1,G611=1,L611=1,L613=1,M611=1)),T611,0),I611)</f>
        <v>0</v>
      </c>
      <c r="W611" s="26"/>
      <c r="X611" s="26"/>
      <c r="Y611" s="26"/>
      <c r="Z611" s="26"/>
      <c r="AA611" s="26"/>
      <c r="AB611" s="33"/>
    </row>
    <row r="612" spans="1:28" x14ac:dyDescent="0.3">
      <c r="A612" s="32">
        <f>VLOOKUP(YEAR(C612),Flags!$A$13:$B$95,2,FALSE)</f>
        <v>5</v>
      </c>
      <c r="B612" s="24">
        <f t="shared" si="951"/>
        <v>1988</v>
      </c>
      <c r="C612" s="25">
        <v>32386</v>
      </c>
      <c r="D612" s="26"/>
      <c r="E612" s="24"/>
      <c r="F612" s="26"/>
      <c r="G612" s="24"/>
      <c r="H612" s="24"/>
      <c r="I612" s="26"/>
      <c r="J612" s="24"/>
      <c r="K612" s="26"/>
      <c r="L612" s="24"/>
      <c r="M612" s="24"/>
      <c r="N612" s="26"/>
      <c r="O612" s="26"/>
      <c r="P612" s="26"/>
      <c r="Q612" s="26"/>
      <c r="R612" s="26"/>
      <c r="S612" s="26"/>
      <c r="T612" s="26"/>
      <c r="U612" s="26"/>
      <c r="V612" s="26"/>
      <c r="W612" s="26">
        <f>MAX($C$7-VLOOKUP($C612,COS!$B$8:$H$991,3,FALSE),0)</f>
        <v>4408.8330078125</v>
      </c>
      <c r="X612" s="26">
        <f t="shared" si="972"/>
        <v>271.08857502582646</v>
      </c>
      <c r="Y612" s="26">
        <f>VLOOKUP($C612,COS!$B$8:$H$991,4,FALSE)</f>
        <v>2363.936279296875</v>
      </c>
      <c r="Z612" s="26">
        <f t="shared" si="973"/>
        <v>145.35277618155993</v>
      </c>
      <c r="AA612" s="26">
        <f t="shared" ref="AA612:AA616" si="986">MIN(W612,Y612)</f>
        <v>2363.936279296875</v>
      </c>
      <c r="AB612" s="33">
        <f t="shared" ref="AB612" si="987">AA612*DAY($C612)*86400/43560/1000*IF(MONTH($C612)=8,$P$3,IF(MONTH($C612)=9,$P$4,IF(MONTH($C612)=10,$P$5,IF(MONTH($C612)=11,$P$6,IF(MONTH($C612)=12,$P$7,NA())))))</f>
        <v>145.35277618155993</v>
      </c>
    </row>
    <row r="613" spans="1:28" x14ac:dyDescent="0.3">
      <c r="A613" s="32">
        <f>VLOOKUP(YEAR(C613),Flags!$A$13:$B$95,2,FALSE)</f>
        <v>5</v>
      </c>
      <c r="B613" s="24">
        <f t="shared" si="951"/>
        <v>1988</v>
      </c>
      <c r="C613" s="25">
        <v>32416</v>
      </c>
      <c r="D613" s="26"/>
      <c r="E613" s="24"/>
      <c r="F613" s="26"/>
      <c r="G613" s="24"/>
      <c r="H613" s="24"/>
      <c r="I613" s="26"/>
      <c r="J613" s="24"/>
      <c r="K613" s="26">
        <f>VLOOKUP($C613,COS!$B$8:$H$991,2,FALSE)</f>
        <v>2110.7509765625</v>
      </c>
      <c r="L613" s="24">
        <f t="shared" ref="L613" si="988">IF(AND(K613&gt;$I$7,K613&lt;$I$8),1,0)</f>
        <v>1</v>
      </c>
      <c r="M613" s="24"/>
      <c r="N613" s="26"/>
      <c r="O613" s="26"/>
      <c r="P613" s="26"/>
      <c r="Q613" s="26"/>
      <c r="R613" s="26"/>
      <c r="S613" s="26"/>
      <c r="T613" s="26"/>
      <c r="U613" s="26"/>
      <c r="V613" s="26"/>
      <c r="W613" s="26">
        <f>MAX($C$8-VLOOKUP($C613,COS!$B$8:$H$991,3,FALSE),0)</f>
        <v>116.951171875</v>
      </c>
      <c r="X613" s="26">
        <f t="shared" si="972"/>
        <v>6.9590779958677684</v>
      </c>
      <c r="Y613" s="26">
        <f>VLOOKUP($C613,COS!$B$8:$H$991,4,FALSE)</f>
        <v>1955.6697998046875</v>
      </c>
      <c r="Z613" s="26">
        <f t="shared" si="973"/>
        <v>116.37043436854339</v>
      </c>
      <c r="AA613" s="26">
        <f t="shared" si="986"/>
        <v>116.951171875</v>
      </c>
      <c r="AB613" s="33">
        <f t="shared" si="956"/>
        <v>6.9590779958677684</v>
      </c>
    </row>
    <row r="614" spans="1:28" x14ac:dyDescent="0.3">
      <c r="A614" s="32">
        <f>VLOOKUP(YEAR(C614),Flags!$A$13:$B$95,2,FALSE)</f>
        <v>5</v>
      </c>
      <c r="B614" s="24">
        <f t="shared" si="951"/>
        <v>1988</v>
      </c>
      <c r="C614" s="25">
        <v>32447</v>
      </c>
      <c r="D614" s="26"/>
      <c r="E614" s="24"/>
      <c r="F614" s="26"/>
      <c r="G614" s="26"/>
      <c r="H614" s="26"/>
      <c r="I614" s="26"/>
      <c r="J614" s="26"/>
      <c r="K614" s="26"/>
      <c r="L614" s="24"/>
      <c r="M614" s="24"/>
      <c r="N614" s="26"/>
      <c r="O614" s="26"/>
      <c r="P614" s="26"/>
      <c r="Q614" s="26"/>
      <c r="R614" s="26"/>
      <c r="S614" s="26"/>
      <c r="T614" s="26"/>
      <c r="U614" s="26"/>
      <c r="V614" s="26"/>
      <c r="W614" s="26">
        <f>MAX($C$9-VLOOKUP($C614,COS!$B$8:$H$991,3,FALSE),0)</f>
        <v>0</v>
      </c>
      <c r="X614" s="26">
        <f t="shared" si="972"/>
        <v>0</v>
      </c>
      <c r="Y614" s="26">
        <f>VLOOKUP($C614,COS!$B$8:$H$991,4,FALSE)</f>
        <v>1615.891357421875</v>
      </c>
      <c r="Z614" s="26">
        <f t="shared" si="973"/>
        <v>99.357286770402894</v>
      </c>
      <c r="AA614" s="26">
        <f t="shared" si="986"/>
        <v>0</v>
      </c>
      <c r="AB614" s="33">
        <f t="shared" si="956"/>
        <v>0</v>
      </c>
    </row>
    <row r="615" spans="1:28" x14ac:dyDescent="0.3">
      <c r="A615" s="32">
        <f>VLOOKUP(YEAR(C615),Flags!$A$13:$B$95,2,FALSE)</f>
        <v>5</v>
      </c>
      <c r="B615" s="24">
        <f t="shared" si="951"/>
        <v>1988</v>
      </c>
      <c r="C615" s="25">
        <v>32477</v>
      </c>
      <c r="D615" s="26"/>
      <c r="E615" s="24"/>
      <c r="F615" s="26"/>
      <c r="G615" s="26"/>
      <c r="H615" s="26"/>
      <c r="I615" s="26"/>
      <c r="J615" s="26"/>
      <c r="K615" s="26"/>
      <c r="L615" s="24"/>
      <c r="M615" s="24"/>
      <c r="N615" s="26"/>
      <c r="O615" s="26"/>
      <c r="P615" s="26"/>
      <c r="Q615" s="26"/>
      <c r="R615" s="26"/>
      <c r="S615" s="26"/>
      <c r="T615" s="26"/>
      <c r="U615" s="26"/>
      <c r="V615" s="26"/>
      <c r="W615" s="26">
        <f>MAX($C$10-VLOOKUP($C615,COS!$B$8:$H$991,3,FALSE),0)</f>
        <v>1750</v>
      </c>
      <c r="X615" s="26">
        <f t="shared" si="972"/>
        <v>104.13223140495867</v>
      </c>
      <c r="Y615" s="26">
        <f>VLOOKUP($C615,COS!$B$8:$H$991,4,FALSE)</f>
        <v>1854.902587890625</v>
      </c>
      <c r="Z615" s="26">
        <f t="shared" si="973"/>
        <v>110.37436886621902</v>
      </c>
      <c r="AA615" s="26">
        <f t="shared" si="986"/>
        <v>1750</v>
      </c>
      <c r="AB615" s="33">
        <f t="shared" si="956"/>
        <v>104.13223140495867</v>
      </c>
    </row>
    <row r="616" spans="1:28" x14ac:dyDescent="0.3">
      <c r="A616" s="34">
        <f>VLOOKUP(YEAR(C616),Flags!$A$13:$B$95,2,FALSE)</f>
        <v>5</v>
      </c>
      <c r="B616" s="35">
        <f t="shared" si="951"/>
        <v>1988</v>
      </c>
      <c r="C616" s="36">
        <v>32508</v>
      </c>
      <c r="D616" s="37"/>
      <c r="E616" s="35"/>
      <c r="F616" s="37"/>
      <c r="G616" s="37"/>
      <c r="H616" s="37"/>
      <c r="I616" s="37"/>
      <c r="J616" s="37"/>
      <c r="K616" s="37"/>
      <c r="L616" s="35"/>
      <c r="M616" s="35"/>
      <c r="N616" s="37"/>
      <c r="O616" s="37"/>
      <c r="P616" s="37"/>
      <c r="Q616" s="37"/>
      <c r="R616" s="37"/>
      <c r="S616" s="37"/>
      <c r="T616" s="37"/>
      <c r="U616" s="37"/>
      <c r="V616" s="37"/>
      <c r="W616" s="37">
        <f>MAX($C$11-VLOOKUP($C616,COS!$B$8:$H$991,3,FALSE),0)</f>
        <v>1750</v>
      </c>
      <c r="X616" s="37">
        <f t="shared" si="972"/>
        <v>107.60330578512398</v>
      </c>
      <c r="Y616" s="37">
        <f>VLOOKUP($C616,COS!$B$8:$H$991,4,FALSE)</f>
        <v>1030.474853515625</v>
      </c>
      <c r="Z616" s="37">
        <f t="shared" si="973"/>
        <v>63.361429009555785</v>
      </c>
      <c r="AA616" s="37">
        <f t="shared" si="986"/>
        <v>1030.474853515625</v>
      </c>
      <c r="AB616" s="38">
        <f t="shared" si="956"/>
        <v>63.361429009555785</v>
      </c>
    </row>
    <row r="617" spans="1:28" x14ac:dyDescent="0.3">
      <c r="A617" s="27">
        <f>VLOOKUP(YEAR(C617),Flags!$A$13:$B$95,2,FALSE)</f>
        <v>4</v>
      </c>
      <c r="B617" s="28">
        <f t="shared" si="951"/>
        <v>1989</v>
      </c>
      <c r="C617" s="29">
        <v>32628</v>
      </c>
      <c r="D617" s="30">
        <f>VLOOKUP($C617,COS!$B$8:$H$991,3,FALSE)</f>
        <v>3250</v>
      </c>
      <c r="E617" s="28">
        <f>IF(D617&gt;=IF(MONTH($C617)=4,$C$3,IF(MONTH($C617)=5,$C$4,IF(MONTH($C617)=6,$C$5,IF(MONTH($C617)=7,$C$6,"ERROR")))),1,0)</f>
        <v>0</v>
      </c>
      <c r="F617" s="30">
        <f>VLOOKUP($C617,COS!$B$8:$H$991,7,FALSE)</f>
        <v>52.776580810546875</v>
      </c>
      <c r="G617" s="28">
        <f>IF(F617&lt;=IF(MONTH($C617)=4,$F$3,IF(MONTH($C617)=5,$F$4,IF(MONTH($C617)=6,$F$5,IF(MONTH($C617)=7,$F$6,"ERROR")))),1,0)</f>
        <v>1</v>
      </c>
      <c r="H617" s="30">
        <f>IF(J617=1,D617-$C$3,0)</f>
        <v>0</v>
      </c>
      <c r="I617" s="30">
        <f t="shared" si="982"/>
        <v>0</v>
      </c>
      <c r="J617" s="28">
        <f t="shared" ref="J617:J620" si="989">IF(AND(E617=1,G617=1),1,0)</f>
        <v>0</v>
      </c>
      <c r="K617" s="30">
        <f>VLOOKUP($C617,COS!$B$8:$H$991,2,FALSE)</f>
        <v>4257.525390625</v>
      </c>
      <c r="L617" s="28">
        <f t="shared" ref="L617" si="990">IF(K617&lt;=IF(MONTH($C617)=4,$I$3,IF(MONTH($C617)=5,$I$4,IF(MONTH($C617)=6,$I$5,IF(MONTH($C617)=7,$I$6,"ERROR")))),1,0)</f>
        <v>1</v>
      </c>
      <c r="M617" s="28">
        <f t="shared" ref="M617" si="991">VLOOKUP($A617,$L$3:$M$7,2,FALSE)</f>
        <v>1</v>
      </c>
      <c r="N617" s="30">
        <f>VLOOKUP($C617,COS!$B$8:$H$991,5,FALSE)</f>
        <v>278.56231689453125</v>
      </c>
      <c r="O617" s="30">
        <f t="shared" ref="O617:O620" si="992">N617*DAY($C617)*86400/43560/1000</f>
        <v>16.575608939178718</v>
      </c>
      <c r="P617" s="30">
        <f>VLOOKUP($C617,COS!$B$8:$H$991,6,FALSE)</f>
        <v>448.37432861328125</v>
      </c>
      <c r="Q617" s="30">
        <f t="shared" ref="Q617:Q620" si="993">P617*DAY($C617)*86400/43560/1000</f>
        <v>26.680125338972108</v>
      </c>
      <c r="R617" s="30">
        <f>MIN(IF(MONTH($C617)=4,$S$3,IF(MONTH($C617)=5,$S$4,IF(MONTH($C617)=6,$S$5,IF(MONTH($C617)=7,$S$6,"ERROR")))),MAX(VLOOKUP($C617,COS!$B$8:$K$991,10,FALSE)-IF(MONTH($C617)=4,$Y$3,IF(MONTH($C617)=5,$Y$4,IF(MONTH($C617)=6,$Y$5,IF(MONTH($C617)=7,$Y$6,"ERROR")))),0),MAX(VLOOKUP($C617,COS!$B$8:$K$991,9,FALSE)-IF(MONTH($C617)=4,$V$3,IF(MONTH($C617)=5,$V$4,IF(MONTH($C617)=6,$V$5,IF(MONTH($C617)=7,$V$6,"ERROR"))))-VLOOKUP($C617,COS!$B$8:$K$991,6,FALSE)/2,0))</f>
        <v>1500</v>
      </c>
      <c r="S617" s="30">
        <f t="shared" ref="S617:S620" si="994">R617*DAY($C617)*86400/43560/1000</f>
        <v>89.256198347107429</v>
      </c>
      <c r="T617" s="30">
        <f t="shared" ref="T617:T620" si="995">(O617+Q617)/2+S617</f>
        <v>110.88406548618283</v>
      </c>
      <c r="U617" s="30" t="str">
        <f>IF(VLOOKUP($C617,COS!$B$8:$I$991,8,FALSE)=1,"UWFE","IBU")</f>
        <v>UWFE</v>
      </c>
      <c r="V617" s="30">
        <f t="shared" ref="V617" si="996">MIN(IF(IF($AA$3=2,AND(E617=1,G617=1,L617=1,L622=1,M617=1,U617="IBU"),AND(E617=1,G617=1,L617=1,L622=1,M617=1)),T617,0),I617)</f>
        <v>0</v>
      </c>
      <c r="W617" s="30"/>
      <c r="X617" s="30"/>
      <c r="Y617" s="30"/>
      <c r="Z617" s="30"/>
      <c r="AA617" s="30"/>
      <c r="AB617" s="31"/>
    </row>
    <row r="618" spans="1:28" x14ac:dyDescent="0.3">
      <c r="A618" s="32">
        <f>VLOOKUP(YEAR(C618),Flags!$A$13:$B$95,2,FALSE)</f>
        <v>4</v>
      </c>
      <c r="B618" s="24">
        <f t="shared" si="951"/>
        <v>1989</v>
      </c>
      <c r="C618" s="25">
        <v>32659</v>
      </c>
      <c r="D618" s="26">
        <f>VLOOKUP($C618,COS!$B$8:$H$991,3,FALSE)</f>
        <v>10011.177734375</v>
      </c>
      <c r="E618" s="24">
        <f>IF(D618&gt;=IF(MONTH($C618)=4,$C$3,IF(MONTH($C618)=5,$C$4,IF(MONTH($C618)=6,$C$5,IF(MONTH($C618)=7,$C$6,"ERROR")))),1,0)</f>
        <v>1</v>
      </c>
      <c r="F618" s="26">
        <f>VLOOKUP($C618,COS!$B$8:$H$991,7,FALSE)</f>
        <v>50.918426513671875</v>
      </c>
      <c r="G618" s="24">
        <f>IF(F618&lt;=IF(MONTH($C618)=4,$F$3,IF(MONTH($C618)=5,$F$4,IF(MONTH($C618)=6,$F$5,IF(MONTH($C618)=7,$F$6,"ERROR")))),1,0)</f>
        <v>1</v>
      </c>
      <c r="H618" s="26">
        <f>IF(J618=1,D618-$C$4,0)</f>
        <v>4011.177734375</v>
      </c>
      <c r="I618" s="26">
        <f t="shared" si="982"/>
        <v>246.63770532024793</v>
      </c>
      <c r="J618" s="24">
        <f t="shared" si="989"/>
        <v>1</v>
      </c>
      <c r="K618" s="26">
        <f>VLOOKUP($C618,COS!$B$8:$H$991,2,FALSE)</f>
        <v>3934.481689453125</v>
      </c>
      <c r="L618" s="24">
        <f t="shared" si="944"/>
        <v>1</v>
      </c>
      <c r="M618" s="24">
        <f t="shared" si="945"/>
        <v>1</v>
      </c>
      <c r="N618" s="26">
        <f>VLOOKUP($C618,COS!$B$8:$H$991,5,FALSE)</f>
        <v>317.6539306640625</v>
      </c>
      <c r="O618" s="26">
        <f t="shared" si="992"/>
        <v>19.531778877195247</v>
      </c>
      <c r="P618" s="26">
        <f>VLOOKUP($C618,COS!$B$8:$H$991,6,FALSE)</f>
        <v>2368.940673828125</v>
      </c>
      <c r="Q618" s="26">
        <f t="shared" si="993"/>
        <v>145.66048440728304</v>
      </c>
      <c r="R618" s="26">
        <f>MIN(IF(MONTH($C618)=4,$S$3,IF(MONTH($C618)=5,$S$4,IF(MONTH($C618)=6,$S$5,IF(MONTH($C618)=7,$S$6,"ERROR")))),MAX(VLOOKUP($C618,COS!$B$8:$K$991,10,FALSE)-IF(MONTH($C618)=4,$Y$3,IF(MONTH($C618)=5,$Y$4,IF(MONTH($C618)=6,$Y$5,IF(MONTH($C618)=7,$Y$6,"ERROR")))),0),MAX(VLOOKUP($C618,COS!$B$8:$K$991,9,FALSE)-IF(MONTH($C618)=4,$V$3,IF(MONTH($C618)=5,$V$4,IF(MONTH($C618)=6,$V$5,IF(MONTH($C618)=7,$V$6,"ERROR"))))-VLOOKUP($C618,COS!$B$8:$K$991,6,FALSE)/2,0))</f>
        <v>1500</v>
      </c>
      <c r="S618" s="26">
        <f t="shared" si="994"/>
        <v>92.231404958677686</v>
      </c>
      <c r="T618" s="26">
        <f t="shared" si="995"/>
        <v>174.82753660091683</v>
      </c>
      <c r="U618" s="26" t="str">
        <f>IF(VLOOKUP($C618,COS!$B$8:$I$991,8,FALSE)=1,"UWFE","IBU")</f>
        <v>IBU</v>
      </c>
      <c r="V618" s="26">
        <f t="shared" ref="V618" si="997">MIN(IF(IF($AA$3=2,AND(E618=1,G618=1,L618=1,L622=1,M618=1,U618="IBU"),AND(E618=1,G618=1,L618=1,L622=1,M618=1)),T618,0),I618)</f>
        <v>174.82753660091683</v>
      </c>
      <c r="W618" s="26"/>
      <c r="X618" s="26"/>
      <c r="Y618" s="26"/>
      <c r="Z618" s="26"/>
      <c r="AA618" s="26"/>
      <c r="AB618" s="33"/>
    </row>
    <row r="619" spans="1:28" x14ac:dyDescent="0.3">
      <c r="A619" s="32">
        <f>VLOOKUP(YEAR(C619),Flags!$A$13:$B$95,2,FALSE)</f>
        <v>4</v>
      </c>
      <c r="B619" s="24">
        <f t="shared" si="951"/>
        <v>1989</v>
      </c>
      <c r="C619" s="25">
        <v>32689</v>
      </c>
      <c r="D619" s="26">
        <f>VLOOKUP($C619,COS!$B$8:$H$991,3,FALSE)</f>
        <v>11206.92578125</v>
      </c>
      <c r="E619" s="24">
        <f>IF(D619&gt;=IF(MONTH($C619)=4,$C$3,IF(MONTH($C619)=5,$C$4,IF(MONTH($C619)=6,$C$5,IF(MONTH($C619)=7,$C$6,"ERROR")))),1,0)</f>
        <v>1</v>
      </c>
      <c r="F619" s="26">
        <f>VLOOKUP($C619,COS!$B$8:$H$991,7,FALSE)</f>
        <v>51.800579071044922</v>
      </c>
      <c r="G619" s="24">
        <f>IF(F619&lt;=IF(MONTH($C619)=4,$F$3,IF(MONTH($C619)=5,$F$4,IF(MONTH($C619)=6,$F$5,IF(MONTH($C619)=7,$F$6,"ERROR")))),1,0)</f>
        <v>1</v>
      </c>
      <c r="H619" s="26">
        <f>IF(J619=1,D619-$C$5,0)</f>
        <v>1206.92578125</v>
      </c>
      <c r="I619" s="26">
        <f t="shared" si="982"/>
        <v>71.817071280991726</v>
      </c>
      <c r="J619" s="24">
        <f t="shared" si="989"/>
        <v>1</v>
      </c>
      <c r="K619" s="26">
        <f>VLOOKUP($C619,COS!$B$8:$H$991,2,FALSE)</f>
        <v>3457.87646484375</v>
      </c>
      <c r="L619" s="24">
        <f t="shared" si="944"/>
        <v>1</v>
      </c>
      <c r="M619" s="24">
        <f t="shared" si="945"/>
        <v>1</v>
      </c>
      <c r="N619" s="26">
        <f>VLOOKUP($C619,COS!$B$8:$H$991,5,FALSE)</f>
        <v>517.07537841796875</v>
      </c>
      <c r="O619" s="26">
        <f t="shared" si="992"/>
        <v>30.768121690986568</v>
      </c>
      <c r="P619" s="26">
        <f>VLOOKUP($C619,COS!$B$8:$H$991,6,FALSE)</f>
        <v>2621.433837890625</v>
      </c>
      <c r="Q619" s="26">
        <f t="shared" si="993"/>
        <v>155.98614572572316</v>
      </c>
      <c r="R619" s="26">
        <f>MIN(IF(MONTH($C619)=4,$S$3,IF(MONTH($C619)=5,$S$4,IF(MONTH($C619)=6,$S$5,IF(MONTH($C619)=7,$S$6,"ERROR")))),MAX(VLOOKUP($C619,COS!$B$8:$K$991,10,FALSE)-IF(MONTH($C619)=4,$Y$3,IF(MONTH($C619)=5,$Y$4,IF(MONTH($C619)=6,$Y$5,IF(MONTH($C619)=7,$Y$6,"ERROR")))),0),MAX(VLOOKUP($C619,COS!$B$8:$K$991,9,FALSE)-IF(MONTH($C619)=4,$V$3,IF(MONTH($C619)=5,$V$4,IF(MONTH($C619)=6,$V$5,IF(MONTH($C619)=7,$V$6,"ERROR"))))-VLOOKUP($C619,COS!$B$8:$K$991,6,FALSE)/2,0))</f>
        <v>1500</v>
      </c>
      <c r="S619" s="26">
        <f t="shared" si="994"/>
        <v>89.256198347107429</v>
      </c>
      <c r="T619" s="26">
        <f t="shared" si="995"/>
        <v>182.63333205546229</v>
      </c>
      <c r="U619" s="26" t="str">
        <f>IF(VLOOKUP($C619,COS!$B$8:$I$991,8,FALSE)=1,"UWFE","IBU")</f>
        <v>IBU</v>
      </c>
      <c r="V619" s="26">
        <f t="shared" ref="V619" si="998">MIN(IF(IF($AA$3=2,AND(E619=1,G619=1,L619=1,L622=1,M619=1,U619="IBU"),AND(E619=1,G619=1,L619=1,L622=1,M619=1)),T619,0),I619)</f>
        <v>71.817071280991726</v>
      </c>
      <c r="W619" s="26"/>
      <c r="X619" s="26"/>
      <c r="Y619" s="26"/>
      <c r="Z619" s="26"/>
      <c r="AA619" s="26"/>
      <c r="AB619" s="33"/>
    </row>
    <row r="620" spans="1:28" x14ac:dyDescent="0.3">
      <c r="A620" s="32">
        <f>VLOOKUP(YEAR(C620),Flags!$A$13:$B$95,2,FALSE)</f>
        <v>4</v>
      </c>
      <c r="B620" s="24">
        <f t="shared" si="951"/>
        <v>1989</v>
      </c>
      <c r="C620" s="25">
        <v>32720</v>
      </c>
      <c r="D620" s="26">
        <f>VLOOKUP($C620,COS!$B$8:$H$991,3,FALSE)</f>
        <v>12592.146484375</v>
      </c>
      <c r="E620" s="24">
        <f>IF(D620&gt;=IF(MONTH($C620)=4,$C$3,IF(MONTH($C620)=5,$C$4,IF(MONTH($C620)=6,$C$5,IF(MONTH($C620)=7,$C$6,"ERROR")))),1,0)</f>
        <v>1</v>
      </c>
      <c r="F620" s="26">
        <f>VLOOKUP($C620,COS!$B$8:$H$991,7,FALSE)</f>
        <v>53.21966552734375</v>
      </c>
      <c r="G620" s="24">
        <f>IF(F620&lt;=IF(MONTH($C620)=4,$F$3,IF(MONTH($C620)=5,$F$4,IF(MONTH($C620)=6,$F$5,IF(MONTH($C620)=7,$F$6,"ERROR")))),1,0)</f>
        <v>1</v>
      </c>
      <c r="H620" s="26">
        <f>IF(J620=1,D620-$C$6,0)</f>
        <v>592.146484375</v>
      </c>
      <c r="I620" s="26">
        <f t="shared" si="982"/>
        <v>36.409668130165286</v>
      </c>
      <c r="J620" s="24">
        <f t="shared" si="989"/>
        <v>1</v>
      </c>
      <c r="K620" s="26">
        <f>VLOOKUP($C620,COS!$B$8:$H$991,2,FALSE)</f>
        <v>2918.839599609375</v>
      </c>
      <c r="L620" s="24">
        <f t="shared" si="944"/>
        <v>1</v>
      </c>
      <c r="M620" s="24">
        <f t="shared" si="945"/>
        <v>1</v>
      </c>
      <c r="N620" s="26">
        <f>VLOOKUP($C620,COS!$B$8:$H$991,5,FALSE)</f>
        <v>602.97808837890625</v>
      </c>
      <c r="O620" s="26">
        <f t="shared" si="992"/>
        <v>37.075677500322833</v>
      </c>
      <c r="P620" s="26">
        <f>VLOOKUP($C620,COS!$B$8:$H$991,6,FALSE)</f>
        <v>2442.872314453125</v>
      </c>
      <c r="Q620" s="26">
        <f t="shared" si="993"/>
        <v>150.20636379777892</v>
      </c>
      <c r="R620" s="26">
        <f>MIN(IF(MONTH($C620)=4,$S$3,IF(MONTH($C620)=5,$S$4,IF(MONTH($C620)=6,$S$5,IF(MONTH($C620)=7,$S$6,"ERROR")))),MAX(VLOOKUP($C620,COS!$B$8:$K$991,10,FALSE)-IF(MONTH($C620)=4,$Y$3,IF(MONTH($C620)=5,$Y$4,IF(MONTH($C620)=6,$Y$5,IF(MONTH($C620)=7,$Y$6,"ERROR")))),0),MAX(VLOOKUP($C620,COS!$B$8:$K$991,9,FALSE)-IF(MONTH($C620)=4,$V$3,IF(MONTH($C620)=5,$V$4,IF(MONTH($C620)=6,$V$5,IF(MONTH($C620)=7,$V$6,"ERROR"))))-VLOOKUP($C620,COS!$B$8:$K$991,6,FALSE)/2,0))</f>
        <v>1500</v>
      </c>
      <c r="S620" s="26">
        <f t="shared" si="994"/>
        <v>92.231404958677686</v>
      </c>
      <c r="T620" s="26">
        <f t="shared" si="995"/>
        <v>185.87242560772856</v>
      </c>
      <c r="U620" s="26" t="str">
        <f>IF(VLOOKUP($C620,COS!$B$8:$I$991,8,FALSE)=1,"UWFE","IBU")</f>
        <v>IBU</v>
      </c>
      <c r="V620" s="26">
        <f t="shared" ref="V620" si="999">MIN(IF(IF($AA$3=2,AND(E620=1,G620=1,L620=1,L622=1,M620=1,U620="IBU"),AND(E620=1,G620=1,L620=1,L622=1,M620=1)),T620,0),I620)</f>
        <v>36.409668130165286</v>
      </c>
      <c r="W620" s="26"/>
      <c r="X620" s="26"/>
      <c r="Y620" s="26"/>
      <c r="Z620" s="26"/>
      <c r="AA620" s="26"/>
      <c r="AB620" s="33"/>
    </row>
    <row r="621" spans="1:28" x14ac:dyDescent="0.3">
      <c r="A621" s="32">
        <f>VLOOKUP(YEAR(C621),Flags!$A$13:$B$95,2,FALSE)</f>
        <v>4</v>
      </c>
      <c r="B621" s="24">
        <f t="shared" si="951"/>
        <v>1989</v>
      </c>
      <c r="C621" s="25">
        <v>32751</v>
      </c>
      <c r="D621" s="26"/>
      <c r="E621" s="24"/>
      <c r="F621" s="26"/>
      <c r="G621" s="24"/>
      <c r="H621" s="24"/>
      <c r="I621" s="26"/>
      <c r="J621" s="24"/>
      <c r="K621" s="26"/>
      <c r="L621" s="24"/>
      <c r="M621" s="24"/>
      <c r="N621" s="26"/>
      <c r="O621" s="26"/>
      <c r="P621" s="26"/>
      <c r="Q621" s="26"/>
      <c r="R621" s="26"/>
      <c r="S621" s="26"/>
      <c r="T621" s="26"/>
      <c r="U621" s="26"/>
      <c r="V621" s="26"/>
      <c r="W621" s="26">
        <f>MAX($C$7-VLOOKUP($C621,COS!$B$8:$H$991,3,FALSE),0)</f>
        <v>3857.2431640625</v>
      </c>
      <c r="X621" s="26">
        <f t="shared" si="972"/>
        <v>237.17263752582647</v>
      </c>
      <c r="Y621" s="26">
        <f>VLOOKUP($C621,COS!$B$8:$H$991,4,FALSE)</f>
        <v>2140.86328125</v>
      </c>
      <c r="Z621" s="26">
        <f t="shared" si="973"/>
        <v>131.63655216942149</v>
      </c>
      <c r="AA621" s="26">
        <f t="shared" ref="AA621:AA625" si="1000">MIN(W621,Y621)</f>
        <v>2140.86328125</v>
      </c>
      <c r="AB621" s="33">
        <f t="shared" ref="AB621" si="1001">AA621*DAY($C621)*86400/43560/1000*IF(MONTH($C621)=8,$P$3,IF(MONTH($C621)=9,$P$4,IF(MONTH($C621)=10,$P$5,IF(MONTH($C621)=11,$P$6,IF(MONTH($C621)=12,$P$7,NA())))))</f>
        <v>131.63655216942149</v>
      </c>
    </row>
    <row r="622" spans="1:28" x14ac:dyDescent="0.3">
      <c r="A622" s="32">
        <f>VLOOKUP(YEAR(C622),Flags!$A$13:$B$95,2,FALSE)</f>
        <v>4</v>
      </c>
      <c r="B622" s="24">
        <f t="shared" si="951"/>
        <v>1989</v>
      </c>
      <c r="C622" s="25">
        <v>32781</v>
      </c>
      <c r="D622" s="26"/>
      <c r="E622" s="24"/>
      <c r="F622" s="26"/>
      <c r="G622" s="24"/>
      <c r="H622" s="24"/>
      <c r="I622" s="26"/>
      <c r="J622" s="24"/>
      <c r="K622" s="26">
        <f>VLOOKUP($C622,COS!$B$8:$H$991,2,FALSE)</f>
        <v>2659.4970703125</v>
      </c>
      <c r="L622" s="24">
        <f t="shared" ref="L622" si="1002">IF(AND(K622&gt;$I$7,K622&lt;$I$8),1,0)</f>
        <v>1</v>
      </c>
      <c r="M622" s="24"/>
      <c r="N622" s="26"/>
      <c r="O622" s="26"/>
      <c r="P622" s="26"/>
      <c r="Q622" s="26"/>
      <c r="R622" s="26"/>
      <c r="S622" s="26"/>
      <c r="T622" s="26"/>
      <c r="U622" s="26"/>
      <c r="V622" s="26"/>
      <c r="W622" s="26">
        <f>MAX($C$8-VLOOKUP($C622,COS!$B$8:$H$991,3,FALSE),0)</f>
        <v>2572.319580078125</v>
      </c>
      <c r="X622" s="26">
        <f t="shared" si="972"/>
        <v>153.06364443440083</v>
      </c>
      <c r="Y622" s="26">
        <f>VLOOKUP($C622,COS!$B$8:$H$991,4,FALSE)</f>
        <v>447.037109375</v>
      </c>
      <c r="Z622" s="26">
        <f t="shared" si="973"/>
        <v>26.600555268595041</v>
      </c>
      <c r="AA622" s="26">
        <f t="shared" si="1000"/>
        <v>447.037109375</v>
      </c>
      <c r="AB622" s="33">
        <f t="shared" si="956"/>
        <v>26.600555268595041</v>
      </c>
    </row>
    <row r="623" spans="1:28" x14ac:dyDescent="0.3">
      <c r="A623" s="32">
        <f>VLOOKUP(YEAR(C623),Flags!$A$13:$B$95,2,FALSE)</f>
        <v>4</v>
      </c>
      <c r="B623" s="24">
        <f t="shared" si="951"/>
        <v>1989</v>
      </c>
      <c r="C623" s="25">
        <v>32812</v>
      </c>
      <c r="D623" s="26"/>
      <c r="E623" s="24"/>
      <c r="F623" s="26"/>
      <c r="G623" s="26"/>
      <c r="H623" s="26"/>
      <c r="I623" s="26"/>
      <c r="J623" s="26"/>
      <c r="K623" s="26"/>
      <c r="L623" s="24"/>
      <c r="M623" s="24"/>
      <c r="N623" s="26"/>
      <c r="O623" s="26"/>
      <c r="P623" s="26"/>
      <c r="Q623" s="26"/>
      <c r="R623" s="26"/>
      <c r="S623" s="26"/>
      <c r="T623" s="26"/>
      <c r="U623" s="26"/>
      <c r="V623" s="26"/>
      <c r="W623" s="26">
        <f>MAX($C$9-VLOOKUP($C623,COS!$B$8:$H$991,3,FALSE),0)</f>
        <v>861.29296875</v>
      </c>
      <c r="X623" s="26">
        <f t="shared" si="972"/>
        <v>52.958840392561989</v>
      </c>
      <c r="Y623" s="26">
        <f>VLOOKUP($C623,COS!$B$8:$H$991,4,FALSE)</f>
        <v>977.87164306640625</v>
      </c>
      <c r="Z623" s="26">
        <f t="shared" si="973"/>
        <v>60.126983672843487</v>
      </c>
      <c r="AA623" s="26">
        <f t="shared" si="1000"/>
        <v>861.29296875</v>
      </c>
      <c r="AB623" s="33">
        <f t="shared" si="956"/>
        <v>52.958840392561989</v>
      </c>
    </row>
    <row r="624" spans="1:28" x14ac:dyDescent="0.3">
      <c r="A624" s="32">
        <f>VLOOKUP(YEAR(C624),Flags!$A$13:$B$95,2,FALSE)</f>
        <v>4</v>
      </c>
      <c r="B624" s="24">
        <f t="shared" si="951"/>
        <v>1989</v>
      </c>
      <c r="C624" s="25">
        <v>32842</v>
      </c>
      <c r="D624" s="26"/>
      <c r="E624" s="24"/>
      <c r="F624" s="26"/>
      <c r="G624" s="26"/>
      <c r="H624" s="26"/>
      <c r="I624" s="26"/>
      <c r="J624" s="26"/>
      <c r="K624" s="26"/>
      <c r="L624" s="24"/>
      <c r="M624" s="24"/>
      <c r="N624" s="26"/>
      <c r="O624" s="26"/>
      <c r="P624" s="26"/>
      <c r="Q624" s="26"/>
      <c r="R624" s="26"/>
      <c r="S624" s="26"/>
      <c r="T624" s="26"/>
      <c r="U624" s="26"/>
      <c r="V624" s="26"/>
      <c r="W624" s="26">
        <f>MAX($C$10-VLOOKUP($C624,COS!$B$8:$H$991,3,FALSE),0)</f>
        <v>0</v>
      </c>
      <c r="X624" s="26">
        <f t="shared" si="972"/>
        <v>0</v>
      </c>
      <c r="Y624" s="26">
        <f>VLOOKUP($C624,COS!$B$8:$H$991,4,FALSE)</f>
        <v>1557.039306640625</v>
      </c>
      <c r="Z624" s="26">
        <f t="shared" si="973"/>
        <v>92.650272791838844</v>
      </c>
      <c r="AA624" s="26">
        <f t="shared" si="1000"/>
        <v>0</v>
      </c>
      <c r="AB624" s="33">
        <f t="shared" si="956"/>
        <v>0</v>
      </c>
    </row>
    <row r="625" spans="1:28" x14ac:dyDescent="0.3">
      <c r="A625" s="34">
        <f>VLOOKUP(YEAR(C625),Flags!$A$13:$B$95,2,FALSE)</f>
        <v>4</v>
      </c>
      <c r="B625" s="35">
        <f t="shared" si="951"/>
        <v>1989</v>
      </c>
      <c r="C625" s="36">
        <v>32873</v>
      </c>
      <c r="D625" s="37"/>
      <c r="E625" s="35"/>
      <c r="F625" s="37"/>
      <c r="G625" s="37"/>
      <c r="H625" s="37"/>
      <c r="I625" s="37"/>
      <c r="J625" s="37"/>
      <c r="K625" s="37"/>
      <c r="L625" s="35"/>
      <c r="M625" s="35"/>
      <c r="N625" s="37"/>
      <c r="O625" s="37"/>
      <c r="P625" s="37"/>
      <c r="Q625" s="37"/>
      <c r="R625" s="37"/>
      <c r="S625" s="37"/>
      <c r="T625" s="37"/>
      <c r="U625" s="37"/>
      <c r="V625" s="37"/>
      <c r="W625" s="37">
        <f>MAX($C$11-VLOOKUP($C625,COS!$B$8:$H$991,3,FALSE),0)</f>
        <v>814.19921875</v>
      </c>
      <c r="X625" s="37">
        <f t="shared" si="972"/>
        <v>50.063158574380161</v>
      </c>
      <c r="Y625" s="37">
        <f>VLOOKUP($C625,COS!$B$8:$H$991,4,FALSE)</f>
        <v>2009.1300048828125</v>
      </c>
      <c r="Z625" s="37">
        <f t="shared" si="973"/>
        <v>123.5365887299845</v>
      </c>
      <c r="AA625" s="37">
        <f t="shared" si="1000"/>
        <v>814.19921875</v>
      </c>
      <c r="AB625" s="38">
        <f t="shared" si="956"/>
        <v>50.063158574380161</v>
      </c>
    </row>
    <row r="626" spans="1:28" x14ac:dyDescent="0.3">
      <c r="A626" s="27">
        <f>VLOOKUP(YEAR(C626),Flags!$A$13:$B$95,2,FALSE)</f>
        <v>5</v>
      </c>
      <c r="B626" s="28">
        <f t="shared" si="951"/>
        <v>1990</v>
      </c>
      <c r="C626" s="29">
        <v>32993</v>
      </c>
      <c r="D626" s="30">
        <f>VLOOKUP($C626,COS!$B$8:$H$991,3,FALSE)</f>
        <v>3250</v>
      </c>
      <c r="E626" s="28">
        <f>IF(D626&gt;=IF(MONTH($C626)=4,$C$3,IF(MONTH($C626)=5,$C$4,IF(MONTH($C626)=6,$C$5,IF(MONTH($C626)=7,$C$6,"ERROR")))),1,0)</f>
        <v>0</v>
      </c>
      <c r="F626" s="30">
        <f>VLOOKUP($C626,COS!$B$8:$H$991,7,FALSE)</f>
        <v>52.837333679199219</v>
      </c>
      <c r="G626" s="28">
        <f>IF(F626&lt;=IF(MONTH($C626)=4,$F$3,IF(MONTH($C626)=5,$F$4,IF(MONTH($C626)=6,$F$5,IF(MONTH($C626)=7,$F$6,"ERROR")))),1,0)</f>
        <v>1</v>
      </c>
      <c r="H626" s="30">
        <f>IF(J626=1,D626-$C$3,0)</f>
        <v>0</v>
      </c>
      <c r="I626" s="30">
        <f t="shared" si="982"/>
        <v>0</v>
      </c>
      <c r="J626" s="28">
        <f t="shared" ref="J626:J629" si="1003">IF(AND(E626=1,G626=1),1,0)</f>
        <v>0</v>
      </c>
      <c r="K626" s="30">
        <f>VLOOKUP($C626,COS!$B$8:$H$991,2,FALSE)</f>
        <v>3255.982421875</v>
      </c>
      <c r="L626" s="28">
        <f t="shared" ref="L626" si="1004">IF(K626&lt;=IF(MONTH($C626)=4,$I$3,IF(MONTH($C626)=5,$I$4,IF(MONTH($C626)=6,$I$5,IF(MONTH($C626)=7,$I$6,"ERROR")))),1,0)</f>
        <v>1</v>
      </c>
      <c r="M626" s="28">
        <f t="shared" ref="M626" si="1005">VLOOKUP($A626,$L$3:$M$7,2,FALSE)</f>
        <v>1</v>
      </c>
      <c r="N626" s="30">
        <f>VLOOKUP($C626,COS!$B$8:$H$991,5,FALSE)</f>
        <v>164.3074951171875</v>
      </c>
      <c r="O626" s="30">
        <f t="shared" ref="O626:O629" si="1006">N626*DAY($C626)*86400/43560/1000</f>
        <v>9.7769749160640487</v>
      </c>
      <c r="P626" s="30">
        <f>VLOOKUP($C626,COS!$B$8:$H$991,6,FALSE)</f>
        <v>546.31597900390625</v>
      </c>
      <c r="Q626" s="30">
        <f t="shared" ref="Q626:Q629" si="1007">P626*DAY($C626)*86400/43560/1000</f>
        <v>32.508058254777893</v>
      </c>
      <c r="R626" s="30">
        <f>MIN(IF(MONTH($C626)=4,$S$3,IF(MONTH($C626)=5,$S$4,IF(MONTH($C626)=6,$S$5,IF(MONTH($C626)=7,$S$6,"ERROR")))),MAX(VLOOKUP($C626,COS!$B$8:$K$991,10,FALSE)-IF(MONTH($C626)=4,$Y$3,IF(MONTH($C626)=5,$Y$4,IF(MONTH($C626)=6,$Y$5,IF(MONTH($C626)=7,$Y$6,"ERROR")))),0),MAX(VLOOKUP($C626,COS!$B$8:$K$991,9,FALSE)-IF(MONTH($C626)=4,$V$3,IF(MONTH($C626)=5,$V$4,IF(MONTH($C626)=6,$V$5,IF(MONTH($C626)=7,$V$6,"ERROR"))))-VLOOKUP($C626,COS!$B$8:$K$991,6,FALSE)/2,0))</f>
        <v>0</v>
      </c>
      <c r="S626" s="30">
        <f t="shared" ref="S626:S629" si="1008">R626*DAY($C626)*86400/43560/1000</f>
        <v>0</v>
      </c>
      <c r="T626" s="30">
        <f t="shared" ref="T626:T629" si="1009">(O626+Q626)/2+S626</f>
        <v>21.142516585420971</v>
      </c>
      <c r="U626" s="30" t="str">
        <f>IF(VLOOKUP($C626,COS!$B$8:$I$991,8,FALSE)=1,"UWFE","IBU")</f>
        <v>UWFE</v>
      </c>
      <c r="V626" s="30">
        <f t="shared" ref="V626" si="1010">MIN(IF(IF($AA$3=2,AND(E626=1,G626=1,L626=1,L631=1,M626=1,U626="IBU"),AND(E626=1,G626=1,L626=1,L631=1,M626=1)),T626,0),I626)</f>
        <v>0</v>
      </c>
      <c r="W626" s="30"/>
      <c r="X626" s="30"/>
      <c r="Y626" s="30"/>
      <c r="Z626" s="30"/>
      <c r="AA626" s="30"/>
      <c r="AB626" s="31"/>
    </row>
    <row r="627" spans="1:28" x14ac:dyDescent="0.3">
      <c r="A627" s="32">
        <f>VLOOKUP(YEAR(C627),Flags!$A$13:$B$95,2,FALSE)</f>
        <v>5</v>
      </c>
      <c r="B627" s="24">
        <f t="shared" si="951"/>
        <v>1990</v>
      </c>
      <c r="C627" s="25">
        <v>33024</v>
      </c>
      <c r="D627" s="26">
        <f>VLOOKUP($C627,COS!$B$8:$H$991,3,FALSE)</f>
        <v>5630.49853515625</v>
      </c>
      <c r="E627" s="24">
        <f>IF(D627&gt;=IF(MONTH($C627)=4,$C$3,IF(MONTH($C627)=5,$C$4,IF(MONTH($C627)=6,$C$5,IF(MONTH($C627)=7,$C$6,"ERROR")))),1,0)</f>
        <v>0</v>
      </c>
      <c r="F627" s="26">
        <f>VLOOKUP($C627,COS!$B$8:$H$991,7,FALSE)</f>
        <v>52.459934234619141</v>
      </c>
      <c r="G627" s="24">
        <f>IF(F627&lt;=IF(MONTH($C627)=4,$F$3,IF(MONTH($C627)=5,$F$4,IF(MONTH($C627)=6,$F$5,IF(MONTH($C627)=7,$F$6,"ERROR")))),1,0)</f>
        <v>1</v>
      </c>
      <c r="H627" s="26">
        <f>IF(J627=1,D627-$C$4,0)</f>
        <v>0</v>
      </c>
      <c r="I627" s="26">
        <f t="shared" si="982"/>
        <v>0</v>
      </c>
      <c r="J627" s="24">
        <f t="shared" si="1003"/>
        <v>0</v>
      </c>
      <c r="K627" s="26">
        <f>VLOOKUP($C627,COS!$B$8:$H$991,2,FALSE)</f>
        <v>3362.06884765625</v>
      </c>
      <c r="L627" s="24">
        <f t="shared" si="944"/>
        <v>1</v>
      </c>
      <c r="M627" s="24">
        <f t="shared" si="945"/>
        <v>1</v>
      </c>
      <c r="N627" s="26">
        <f>VLOOKUP($C627,COS!$B$8:$H$991,5,FALSE)</f>
        <v>102.29715728759766</v>
      </c>
      <c r="O627" s="26">
        <f t="shared" si="1006"/>
        <v>6.2900070266093104</v>
      </c>
      <c r="P627" s="26">
        <f>VLOOKUP($C627,COS!$B$8:$H$991,6,FALSE)</f>
        <v>1666.94287109375</v>
      </c>
      <c r="Q627" s="26">
        <f t="shared" si="1007"/>
        <v>102.49632199121901</v>
      </c>
      <c r="R627" s="26">
        <f>MIN(IF(MONTH($C627)=4,$S$3,IF(MONTH($C627)=5,$S$4,IF(MONTH($C627)=6,$S$5,IF(MONTH($C627)=7,$S$6,"ERROR")))),MAX(VLOOKUP($C627,COS!$B$8:$K$991,10,FALSE)-IF(MONTH($C627)=4,$Y$3,IF(MONTH($C627)=5,$Y$4,IF(MONTH($C627)=6,$Y$5,IF(MONTH($C627)=7,$Y$6,"ERROR")))),0),MAX(VLOOKUP($C627,COS!$B$8:$K$991,9,FALSE)-IF(MONTH($C627)=4,$V$3,IF(MONTH($C627)=5,$V$4,IF(MONTH($C627)=6,$V$5,IF(MONTH($C627)=7,$V$6,"ERROR"))))-VLOOKUP($C627,COS!$B$8:$K$991,6,FALSE)/2,0))</f>
        <v>1500</v>
      </c>
      <c r="S627" s="26">
        <f t="shared" si="1008"/>
        <v>92.231404958677686</v>
      </c>
      <c r="T627" s="26">
        <f t="shared" si="1009"/>
        <v>146.62456946759184</v>
      </c>
      <c r="U627" s="26" t="str">
        <f>IF(VLOOKUP($C627,COS!$B$8:$I$991,8,FALSE)=1,"UWFE","IBU")</f>
        <v>UWFE</v>
      </c>
      <c r="V627" s="26">
        <f t="shared" ref="V627" si="1011">MIN(IF(IF($AA$3=2,AND(E627=1,G627=1,L627=1,L631=1,M627=1,U627="IBU"),AND(E627=1,G627=1,L627=1,L631=1,M627=1)),T627,0),I627)</f>
        <v>0</v>
      </c>
      <c r="W627" s="26"/>
      <c r="X627" s="26"/>
      <c r="Y627" s="26"/>
      <c r="Z627" s="26"/>
      <c r="AA627" s="26"/>
      <c r="AB627" s="33"/>
    </row>
    <row r="628" spans="1:28" x14ac:dyDescent="0.3">
      <c r="A628" s="32">
        <f>VLOOKUP(YEAR(C628),Flags!$A$13:$B$95,2,FALSE)</f>
        <v>5</v>
      </c>
      <c r="B628" s="24">
        <f t="shared" si="951"/>
        <v>1990</v>
      </c>
      <c r="C628" s="25">
        <v>33054</v>
      </c>
      <c r="D628" s="26">
        <f>VLOOKUP($C628,COS!$B$8:$H$991,3,FALSE)</f>
        <v>8063.263671875</v>
      </c>
      <c r="E628" s="24">
        <f>IF(D628&gt;=IF(MONTH($C628)=4,$C$3,IF(MONTH($C628)=5,$C$4,IF(MONTH($C628)=6,$C$5,IF(MONTH($C628)=7,$C$6,"ERROR")))),1,0)</f>
        <v>0</v>
      </c>
      <c r="F628" s="26">
        <f>VLOOKUP($C628,COS!$B$8:$H$991,7,FALSE)</f>
        <v>53.181201934814453</v>
      </c>
      <c r="G628" s="24">
        <f>IF(F628&lt;=IF(MONTH($C628)=4,$F$3,IF(MONTH($C628)=5,$F$4,IF(MONTH($C628)=6,$F$5,IF(MONTH($C628)=7,$F$6,"ERROR")))),1,0)</f>
        <v>1</v>
      </c>
      <c r="H628" s="26">
        <f>IF(J628=1,D628-$C$5,0)</f>
        <v>0</v>
      </c>
      <c r="I628" s="26">
        <f t="shared" si="982"/>
        <v>0</v>
      </c>
      <c r="J628" s="24">
        <f t="shared" si="1003"/>
        <v>0</v>
      </c>
      <c r="K628" s="26">
        <f>VLOOKUP($C628,COS!$B$8:$H$991,2,FALSE)</f>
        <v>3180.568359375</v>
      </c>
      <c r="L628" s="24">
        <f t="shared" si="944"/>
        <v>1</v>
      </c>
      <c r="M628" s="24">
        <f t="shared" si="945"/>
        <v>1</v>
      </c>
      <c r="N628" s="26">
        <f>VLOOKUP($C628,COS!$B$8:$H$991,5,FALSE)</f>
        <v>206.65235900878906</v>
      </c>
      <c r="O628" s="26">
        <f t="shared" si="1006"/>
        <v>12.296669296390753</v>
      </c>
      <c r="P628" s="26">
        <f>VLOOKUP($C628,COS!$B$8:$H$991,6,FALSE)</f>
        <v>2506.8408203125</v>
      </c>
      <c r="Q628" s="26">
        <f t="shared" si="1007"/>
        <v>149.16738765495867</v>
      </c>
      <c r="R628" s="26">
        <f>MIN(IF(MONTH($C628)=4,$S$3,IF(MONTH($C628)=5,$S$4,IF(MONTH($C628)=6,$S$5,IF(MONTH($C628)=7,$S$6,"ERROR")))),MAX(VLOOKUP($C628,COS!$B$8:$K$991,10,FALSE)-IF(MONTH($C628)=4,$Y$3,IF(MONTH($C628)=5,$Y$4,IF(MONTH($C628)=6,$Y$5,IF(MONTH($C628)=7,$Y$6,"ERROR")))),0),MAX(VLOOKUP($C628,COS!$B$8:$K$991,9,FALSE)-IF(MONTH($C628)=4,$V$3,IF(MONTH($C628)=5,$V$4,IF(MONTH($C628)=6,$V$5,IF(MONTH($C628)=7,$V$6,"ERROR"))))-VLOOKUP($C628,COS!$B$8:$K$991,6,FALSE)/2,0))</f>
        <v>1500</v>
      </c>
      <c r="S628" s="26">
        <f t="shared" si="1008"/>
        <v>89.256198347107429</v>
      </c>
      <c r="T628" s="26">
        <f t="shared" si="1009"/>
        <v>169.98822682278214</v>
      </c>
      <c r="U628" s="26" t="str">
        <f>IF(VLOOKUP($C628,COS!$B$8:$I$991,8,FALSE)=1,"UWFE","IBU")</f>
        <v>IBU</v>
      </c>
      <c r="V628" s="26">
        <f t="shared" ref="V628" si="1012">MIN(IF(IF($AA$3=2,AND(E628=1,G628=1,L628=1,L631=1,M628=1,U628="IBU"),AND(E628=1,G628=1,L628=1,L631=1,M628=1)),T628,0),I628)</f>
        <v>0</v>
      </c>
      <c r="W628" s="26"/>
      <c r="X628" s="26"/>
      <c r="Y628" s="26"/>
      <c r="Z628" s="26"/>
      <c r="AA628" s="26"/>
      <c r="AB628" s="33"/>
    </row>
    <row r="629" spans="1:28" x14ac:dyDescent="0.3">
      <c r="A629" s="32">
        <f>VLOOKUP(YEAR(C629),Flags!$A$13:$B$95,2,FALSE)</f>
        <v>5</v>
      </c>
      <c r="B629" s="24">
        <f t="shared" si="951"/>
        <v>1990</v>
      </c>
      <c r="C629" s="25">
        <v>33085</v>
      </c>
      <c r="D629" s="26">
        <f>VLOOKUP($C629,COS!$B$8:$H$991,3,FALSE)</f>
        <v>12447.279296875</v>
      </c>
      <c r="E629" s="24">
        <f>IF(D629&gt;=IF(MONTH($C629)=4,$C$3,IF(MONTH($C629)=5,$C$4,IF(MONTH($C629)=6,$C$5,IF(MONTH($C629)=7,$C$6,"ERROR")))),1,0)</f>
        <v>1</v>
      </c>
      <c r="F629" s="26">
        <f>VLOOKUP($C629,COS!$B$8:$H$991,7,FALSE)</f>
        <v>53.944061279296875</v>
      </c>
      <c r="G629" s="24">
        <f>IF(F629&lt;=IF(MONTH($C629)=4,$F$3,IF(MONTH($C629)=5,$F$4,IF(MONTH($C629)=6,$F$5,IF(MONTH($C629)=7,$F$6,"ERROR")))),1,0)</f>
        <v>0</v>
      </c>
      <c r="H629" s="26">
        <f>IF(J629=1,D629-$C$6,0)</f>
        <v>0</v>
      </c>
      <c r="I629" s="26">
        <f t="shared" si="982"/>
        <v>0</v>
      </c>
      <c r="J629" s="24">
        <f t="shared" si="1003"/>
        <v>0</v>
      </c>
      <c r="K629" s="26">
        <f>VLOOKUP($C629,COS!$B$8:$H$991,2,FALSE)</f>
        <v>2634.774169921875</v>
      </c>
      <c r="L629" s="24">
        <f t="shared" si="944"/>
        <v>1</v>
      </c>
      <c r="M629" s="24">
        <f t="shared" si="945"/>
        <v>1</v>
      </c>
      <c r="N629" s="26">
        <f>VLOOKUP($C629,COS!$B$8:$H$991,5,FALSE)</f>
        <v>227.43785095214844</v>
      </c>
      <c r="O629" s="26">
        <f t="shared" si="1006"/>
        <v>13.984608356065987</v>
      </c>
      <c r="P629" s="26">
        <f>VLOOKUP($C629,COS!$B$8:$H$991,6,FALSE)</f>
        <v>2326.644775390625</v>
      </c>
      <c r="Q629" s="26">
        <f t="shared" si="1007"/>
        <v>143.05981098269626</v>
      </c>
      <c r="R629" s="26">
        <f>MIN(IF(MONTH($C629)=4,$S$3,IF(MONTH($C629)=5,$S$4,IF(MONTH($C629)=6,$S$5,IF(MONTH($C629)=7,$S$6,"ERROR")))),MAX(VLOOKUP($C629,COS!$B$8:$K$991,10,FALSE)-IF(MONTH($C629)=4,$Y$3,IF(MONTH($C629)=5,$Y$4,IF(MONTH($C629)=6,$Y$5,IF(MONTH($C629)=7,$Y$6,"ERROR")))),0),MAX(VLOOKUP($C629,COS!$B$8:$K$991,9,FALSE)-IF(MONTH($C629)=4,$V$3,IF(MONTH($C629)=5,$V$4,IF(MONTH($C629)=6,$V$5,IF(MONTH($C629)=7,$V$6,"ERROR"))))-VLOOKUP($C629,COS!$B$8:$K$991,6,FALSE)/2,0))</f>
        <v>1500</v>
      </c>
      <c r="S629" s="26">
        <f t="shared" si="1008"/>
        <v>92.231404958677686</v>
      </c>
      <c r="T629" s="26">
        <f t="shared" si="1009"/>
        <v>170.75361462805881</v>
      </c>
      <c r="U629" s="26" t="str">
        <f>IF(VLOOKUP($C629,COS!$B$8:$I$991,8,FALSE)=1,"UWFE","IBU")</f>
        <v>IBU</v>
      </c>
      <c r="V629" s="26">
        <f t="shared" ref="V629" si="1013">MIN(IF(IF($AA$3=2,AND(E629=1,G629=1,L629=1,L631=1,M629=1,U629="IBU"),AND(E629=1,G629=1,L629=1,L631=1,M629=1)),T629,0),I629)</f>
        <v>0</v>
      </c>
      <c r="W629" s="26"/>
      <c r="X629" s="26"/>
      <c r="Y629" s="26"/>
      <c r="Z629" s="26"/>
      <c r="AA629" s="26"/>
      <c r="AB629" s="33"/>
    </row>
    <row r="630" spans="1:28" x14ac:dyDescent="0.3">
      <c r="A630" s="32">
        <f>VLOOKUP(YEAR(C630),Flags!$A$13:$B$95,2,FALSE)</f>
        <v>5</v>
      </c>
      <c r="B630" s="24">
        <f t="shared" si="951"/>
        <v>1990</v>
      </c>
      <c r="C630" s="25">
        <v>33116</v>
      </c>
      <c r="D630" s="26"/>
      <c r="E630" s="24"/>
      <c r="F630" s="26"/>
      <c r="G630" s="24"/>
      <c r="H630" s="24"/>
      <c r="I630" s="26"/>
      <c r="J630" s="24"/>
      <c r="K630" s="26"/>
      <c r="L630" s="24"/>
      <c r="M630" s="24"/>
      <c r="N630" s="26"/>
      <c r="O630" s="26"/>
      <c r="P630" s="26"/>
      <c r="Q630" s="26"/>
      <c r="R630" s="26"/>
      <c r="S630" s="26"/>
      <c r="T630" s="26"/>
      <c r="U630" s="26"/>
      <c r="V630" s="26"/>
      <c r="W630" s="26">
        <f>MAX($C$7-VLOOKUP($C630,COS!$B$8:$H$991,3,FALSE),0)</f>
        <v>3988.85546875</v>
      </c>
      <c r="X630" s="26">
        <f t="shared" si="972"/>
        <v>245.26516270661156</v>
      </c>
      <c r="Y630" s="26">
        <f>VLOOKUP($C630,COS!$B$8:$H$991,4,FALSE)</f>
        <v>3233.810302734375</v>
      </c>
      <c r="Z630" s="26">
        <f t="shared" si="973"/>
        <v>198.83924506069215</v>
      </c>
      <c r="AA630" s="26">
        <f t="shared" ref="AA630:AA634" si="1014">MIN(W630,Y630)</f>
        <v>3233.810302734375</v>
      </c>
      <c r="AB630" s="33">
        <f t="shared" ref="AB630" si="1015">AA630*DAY($C630)*86400/43560/1000*IF(MONTH($C630)=8,$P$3,IF(MONTH($C630)=9,$P$4,IF(MONTH($C630)=10,$P$5,IF(MONTH($C630)=11,$P$6,IF(MONTH($C630)=12,$P$7,NA())))))</f>
        <v>198.83924506069215</v>
      </c>
    </row>
    <row r="631" spans="1:28" x14ac:dyDescent="0.3">
      <c r="A631" s="32">
        <f>VLOOKUP(YEAR(C631),Flags!$A$13:$B$95,2,FALSE)</f>
        <v>5</v>
      </c>
      <c r="B631" s="24">
        <f t="shared" si="951"/>
        <v>1990</v>
      </c>
      <c r="C631" s="25">
        <v>33146</v>
      </c>
      <c r="D631" s="26"/>
      <c r="E631" s="24"/>
      <c r="F631" s="26"/>
      <c r="G631" s="24"/>
      <c r="H631" s="24"/>
      <c r="I631" s="26"/>
      <c r="J631" s="24"/>
      <c r="K631" s="26">
        <f>VLOOKUP($C631,COS!$B$8:$H$991,2,FALSE)</f>
        <v>2239.517822265625</v>
      </c>
      <c r="L631" s="24">
        <f t="shared" ref="L631" si="1016">IF(AND(K631&gt;$I$7,K631&lt;$I$8),1,0)</f>
        <v>1</v>
      </c>
      <c r="M631" s="24"/>
      <c r="N631" s="26"/>
      <c r="O631" s="26"/>
      <c r="P631" s="26"/>
      <c r="Q631" s="26"/>
      <c r="R631" s="26"/>
      <c r="S631" s="26"/>
      <c r="T631" s="26"/>
      <c r="U631" s="26"/>
      <c r="V631" s="26"/>
      <c r="W631" s="26">
        <f>MAX($C$8-VLOOKUP($C631,COS!$B$8:$H$991,3,FALSE),0)</f>
        <v>346.31689453125</v>
      </c>
      <c r="X631" s="26">
        <f t="shared" si="972"/>
        <v>20.607286286157024</v>
      </c>
      <c r="Y631" s="26">
        <f>VLOOKUP($C631,COS!$B$8:$H$991,4,FALSE)</f>
        <v>1878.513671875</v>
      </c>
      <c r="Z631" s="26">
        <f t="shared" si="973"/>
        <v>111.77932592975208</v>
      </c>
      <c r="AA631" s="26">
        <f t="shared" si="1014"/>
        <v>346.31689453125</v>
      </c>
      <c r="AB631" s="33">
        <f t="shared" si="956"/>
        <v>20.607286286157024</v>
      </c>
    </row>
    <row r="632" spans="1:28" x14ac:dyDescent="0.3">
      <c r="A632" s="32">
        <f>VLOOKUP(YEAR(C632),Flags!$A$13:$B$95,2,FALSE)</f>
        <v>5</v>
      </c>
      <c r="B632" s="24">
        <f t="shared" si="951"/>
        <v>1990</v>
      </c>
      <c r="C632" s="25">
        <v>33177</v>
      </c>
      <c r="D632" s="26"/>
      <c r="E632" s="24"/>
      <c r="F632" s="26"/>
      <c r="G632" s="26"/>
      <c r="H632" s="26"/>
      <c r="I632" s="26"/>
      <c r="J632" s="26"/>
      <c r="K632" s="26"/>
      <c r="L632" s="24"/>
      <c r="M632" s="24"/>
      <c r="N632" s="26"/>
      <c r="O632" s="26"/>
      <c r="P632" s="26"/>
      <c r="Q632" s="26"/>
      <c r="R632" s="26"/>
      <c r="S632" s="26"/>
      <c r="T632" s="26"/>
      <c r="U632" s="26"/>
      <c r="V632" s="26"/>
      <c r="W632" s="26">
        <f>MAX($C$9-VLOOKUP($C632,COS!$B$8:$H$991,3,FALSE),0)</f>
        <v>0</v>
      </c>
      <c r="X632" s="26">
        <f t="shared" si="972"/>
        <v>0</v>
      </c>
      <c r="Y632" s="26">
        <f>VLOOKUP($C632,COS!$B$8:$H$991,4,FALSE)</f>
        <v>1555.8990478515625</v>
      </c>
      <c r="Z632" s="26">
        <f t="shared" si="973"/>
        <v>95.668503438145663</v>
      </c>
      <c r="AA632" s="26">
        <f t="shared" si="1014"/>
        <v>0</v>
      </c>
      <c r="AB632" s="33">
        <f t="shared" si="956"/>
        <v>0</v>
      </c>
    </row>
    <row r="633" spans="1:28" x14ac:dyDescent="0.3">
      <c r="A633" s="32">
        <f>VLOOKUP(YEAR(C633),Flags!$A$13:$B$95,2,FALSE)</f>
        <v>5</v>
      </c>
      <c r="B633" s="24">
        <f t="shared" si="951"/>
        <v>1990</v>
      </c>
      <c r="C633" s="25">
        <v>33207</v>
      </c>
      <c r="D633" s="26"/>
      <c r="E633" s="24"/>
      <c r="F633" s="26"/>
      <c r="G633" s="26"/>
      <c r="H633" s="26"/>
      <c r="I633" s="26"/>
      <c r="J633" s="26"/>
      <c r="K633" s="26"/>
      <c r="L633" s="24"/>
      <c r="M633" s="24"/>
      <c r="N633" s="26"/>
      <c r="O633" s="26"/>
      <c r="P633" s="26"/>
      <c r="Q633" s="26"/>
      <c r="R633" s="26"/>
      <c r="S633" s="26"/>
      <c r="T633" s="26"/>
      <c r="U633" s="26"/>
      <c r="V633" s="26"/>
      <c r="W633" s="26">
        <f>MAX($C$10-VLOOKUP($C633,COS!$B$8:$H$991,3,FALSE),0)</f>
        <v>914.387451171875</v>
      </c>
      <c r="X633" s="26">
        <f t="shared" si="972"/>
        <v>54.409831805268595</v>
      </c>
      <c r="Y633" s="26">
        <f>VLOOKUP($C633,COS!$B$8:$H$991,4,FALSE)</f>
        <v>1488.062255859375</v>
      </c>
      <c r="Z633" s="26">
        <f t="shared" si="973"/>
        <v>88.545853241219007</v>
      </c>
      <c r="AA633" s="26">
        <f t="shared" si="1014"/>
        <v>914.387451171875</v>
      </c>
      <c r="AB633" s="33">
        <f t="shared" si="956"/>
        <v>54.409831805268595</v>
      </c>
    </row>
    <row r="634" spans="1:28" x14ac:dyDescent="0.3">
      <c r="A634" s="34">
        <f>VLOOKUP(YEAR(C634),Flags!$A$13:$B$95,2,FALSE)</f>
        <v>5</v>
      </c>
      <c r="B634" s="35">
        <f t="shared" si="951"/>
        <v>1990</v>
      </c>
      <c r="C634" s="36">
        <v>33238</v>
      </c>
      <c r="D634" s="37"/>
      <c r="E634" s="35"/>
      <c r="F634" s="37"/>
      <c r="G634" s="37"/>
      <c r="H634" s="37"/>
      <c r="I634" s="37"/>
      <c r="J634" s="37"/>
      <c r="K634" s="37"/>
      <c r="L634" s="35"/>
      <c r="M634" s="35"/>
      <c r="N634" s="37"/>
      <c r="O634" s="37"/>
      <c r="P634" s="37"/>
      <c r="Q634" s="37"/>
      <c r="R634" s="37"/>
      <c r="S634" s="37"/>
      <c r="T634" s="37"/>
      <c r="U634" s="37"/>
      <c r="V634" s="37"/>
      <c r="W634" s="37">
        <f>MAX($C$11-VLOOKUP($C634,COS!$B$8:$H$991,3,FALSE),0)</f>
        <v>1740.13525390625</v>
      </c>
      <c r="X634" s="37">
        <f t="shared" si="972"/>
        <v>106.99674619059918</v>
      </c>
      <c r="Y634" s="37">
        <f>VLOOKUP($C634,COS!$B$8:$H$991,4,FALSE)</f>
        <v>3086.0771484375</v>
      </c>
      <c r="Z634" s="37">
        <f t="shared" si="973"/>
        <v>189.75548747417355</v>
      </c>
      <c r="AA634" s="37">
        <f t="shared" si="1014"/>
        <v>1740.13525390625</v>
      </c>
      <c r="AB634" s="38">
        <f t="shared" si="956"/>
        <v>106.99674619059918</v>
      </c>
    </row>
    <row r="635" spans="1:28" x14ac:dyDescent="0.3">
      <c r="A635" s="27">
        <f>VLOOKUP(YEAR(C635),Flags!$A$13:$B$95,2,FALSE)</f>
        <v>5</v>
      </c>
      <c r="B635" s="28">
        <f t="shared" si="951"/>
        <v>1991</v>
      </c>
      <c r="C635" s="29">
        <v>33358</v>
      </c>
      <c r="D635" s="30">
        <f>VLOOKUP($C635,COS!$B$8:$H$991,3,FALSE)</f>
        <v>3250</v>
      </c>
      <c r="E635" s="28">
        <f>IF(D635&gt;=IF(MONTH($C635)=4,$C$3,IF(MONTH($C635)=5,$C$4,IF(MONTH($C635)=6,$C$5,IF(MONTH($C635)=7,$C$6,"ERROR")))),1,0)</f>
        <v>0</v>
      </c>
      <c r="F635" s="30">
        <f>VLOOKUP($C635,COS!$B$8:$H$991,7,FALSE)</f>
        <v>52.174777984619141</v>
      </c>
      <c r="G635" s="28">
        <f>IF(F635&lt;=IF(MONTH($C635)=4,$F$3,IF(MONTH($C635)=5,$F$4,IF(MONTH($C635)=6,$F$5,IF(MONTH($C635)=7,$F$6,"ERROR")))),1,0)</f>
        <v>1</v>
      </c>
      <c r="H635" s="30">
        <f>IF(J635=1,D635-$C$3,0)</f>
        <v>0</v>
      </c>
      <c r="I635" s="30">
        <f t="shared" si="982"/>
        <v>0</v>
      </c>
      <c r="J635" s="28">
        <f t="shared" ref="J635:J638" si="1017">IF(AND(E635=1,G635=1),1,0)</f>
        <v>0</v>
      </c>
      <c r="K635" s="30">
        <f>VLOOKUP($C635,COS!$B$8:$H$991,2,FALSE)</f>
        <v>2608.74365234375</v>
      </c>
      <c r="L635" s="28">
        <f t="shared" ref="L635" si="1018">IF(K635&lt;=IF(MONTH($C635)=4,$I$3,IF(MONTH($C635)=5,$I$4,IF(MONTH($C635)=6,$I$5,IF(MONTH($C635)=7,$I$6,"ERROR")))),1,0)</f>
        <v>1</v>
      </c>
      <c r="M635" s="28">
        <f t="shared" ref="M635" si="1019">VLOOKUP($A635,$L$3:$M$7,2,FALSE)</f>
        <v>1</v>
      </c>
      <c r="N635" s="30">
        <f>VLOOKUP($C635,COS!$B$8:$H$991,5,FALSE)</f>
        <v>99.786216735839844</v>
      </c>
      <c r="O635" s="30">
        <f t="shared" ref="O635:O638" si="1020">N635*DAY($C635)*86400/43560/1000</f>
        <v>5.9376922355210482</v>
      </c>
      <c r="P635" s="30">
        <f>VLOOKUP($C635,COS!$B$8:$H$991,6,FALSE)</f>
        <v>390.43963623046875</v>
      </c>
      <c r="Q635" s="30">
        <f t="shared" ref="Q635:Q638" si="1021">P635*DAY($C635)*86400/43560/1000</f>
        <v>23.232771742639464</v>
      </c>
      <c r="R635" s="30">
        <f>MIN(IF(MONTH($C635)=4,$S$3,IF(MONTH($C635)=5,$S$4,IF(MONTH($C635)=6,$S$5,IF(MONTH($C635)=7,$S$6,"ERROR")))),MAX(VLOOKUP($C635,COS!$B$8:$K$991,10,FALSE)-IF(MONTH($C635)=4,$Y$3,IF(MONTH($C635)=5,$Y$4,IF(MONTH($C635)=6,$Y$5,IF(MONTH($C635)=7,$Y$6,"ERROR")))),0),MAX(VLOOKUP($C635,COS!$B$8:$K$991,9,FALSE)-IF(MONTH($C635)=4,$V$3,IF(MONTH($C635)=5,$V$4,IF(MONTH($C635)=6,$V$5,IF(MONTH($C635)=7,$V$6,"ERROR"))))-VLOOKUP($C635,COS!$B$8:$K$991,6,FALSE)/2,0))</f>
        <v>1454.1971740722656</v>
      </c>
      <c r="S635" s="30">
        <f t="shared" ref="S635:S638" si="1022">R635*DAY($C635)*86400/43560/1000</f>
        <v>86.530740936531515</v>
      </c>
      <c r="T635" s="30">
        <f t="shared" ref="T635:T638" si="1023">(O635+Q635)/2+S635</f>
        <v>101.11597292561177</v>
      </c>
      <c r="U635" s="30" t="str">
        <f>IF(VLOOKUP($C635,COS!$B$8:$I$991,8,FALSE)=1,"UWFE","IBU")</f>
        <v>UWFE</v>
      </c>
      <c r="V635" s="30">
        <f t="shared" ref="V635" si="1024">MIN(IF(IF($AA$3=2,AND(E635=1,G635=1,L635=1,L640=1,M635=1,U635="IBU"),AND(E635=1,G635=1,L635=1,L640=1,M635=1)),T635,0),I635)</f>
        <v>0</v>
      </c>
      <c r="W635" s="30"/>
      <c r="X635" s="30"/>
      <c r="Y635" s="30"/>
      <c r="Z635" s="30"/>
      <c r="AA635" s="30"/>
      <c r="AB635" s="31"/>
    </row>
    <row r="636" spans="1:28" x14ac:dyDescent="0.3">
      <c r="A636" s="32">
        <f>VLOOKUP(YEAR(C636),Flags!$A$13:$B$95,2,FALSE)</f>
        <v>5</v>
      </c>
      <c r="B636" s="24">
        <f t="shared" si="951"/>
        <v>1991</v>
      </c>
      <c r="C636" s="25">
        <v>33389</v>
      </c>
      <c r="D636" s="26">
        <f>VLOOKUP($C636,COS!$B$8:$H$991,3,FALSE)</f>
        <v>6746.265625</v>
      </c>
      <c r="E636" s="24">
        <f>IF(D636&gt;=IF(MONTH($C636)=4,$C$3,IF(MONTH($C636)=5,$C$4,IF(MONTH($C636)=6,$C$5,IF(MONTH($C636)=7,$C$6,"ERROR")))),1,0)</f>
        <v>1</v>
      </c>
      <c r="F636" s="26">
        <f>VLOOKUP($C636,COS!$B$8:$H$991,7,FALSE)</f>
        <v>52.1820068359375</v>
      </c>
      <c r="G636" s="24">
        <f>IF(F636&lt;=IF(MONTH($C636)=4,$F$3,IF(MONTH($C636)=5,$F$4,IF(MONTH($C636)=6,$F$5,IF(MONTH($C636)=7,$F$6,"ERROR")))),1,0)</f>
        <v>1</v>
      </c>
      <c r="H636" s="26">
        <f>IF(J636=1,D636-$C$4,0)</f>
        <v>746.265625</v>
      </c>
      <c r="I636" s="26">
        <f t="shared" si="982"/>
        <v>45.886084710743802</v>
      </c>
      <c r="J636" s="24">
        <f t="shared" si="1017"/>
        <v>1</v>
      </c>
      <c r="K636" s="26">
        <f>VLOOKUP($C636,COS!$B$8:$H$991,2,FALSE)</f>
        <v>2510.05419921875</v>
      </c>
      <c r="L636" s="24">
        <f t="shared" si="944"/>
        <v>1</v>
      </c>
      <c r="M636" s="24">
        <f t="shared" si="945"/>
        <v>1</v>
      </c>
      <c r="N636" s="26">
        <f>VLOOKUP($C636,COS!$B$8:$H$991,5,FALSE)</f>
        <v>265.20388793945313</v>
      </c>
      <c r="O636" s="26">
        <f t="shared" si="1020"/>
        <v>16.306751456772986</v>
      </c>
      <c r="P636" s="26">
        <f>VLOOKUP($C636,COS!$B$8:$H$991,6,FALSE)</f>
        <v>2166.270751953125</v>
      </c>
      <c r="Q636" s="26">
        <f t="shared" si="1021"/>
        <v>133.19879664901859</v>
      </c>
      <c r="R636" s="26">
        <f>MIN(IF(MONTH($C636)=4,$S$3,IF(MONTH($C636)=5,$S$4,IF(MONTH($C636)=6,$S$5,IF(MONTH($C636)=7,$S$6,"ERROR")))),MAX(VLOOKUP($C636,COS!$B$8:$K$991,10,FALSE)-IF(MONTH($C636)=4,$Y$3,IF(MONTH($C636)=5,$Y$4,IF(MONTH($C636)=6,$Y$5,IF(MONTH($C636)=7,$Y$6,"ERROR")))),0),MAX(VLOOKUP($C636,COS!$B$8:$K$991,9,FALSE)-IF(MONTH($C636)=4,$V$3,IF(MONTH($C636)=5,$V$4,IF(MONTH($C636)=6,$V$5,IF(MONTH($C636)=7,$V$6,"ERROR"))))-VLOOKUP($C636,COS!$B$8:$K$991,6,FALSE)/2,0))</f>
        <v>1500</v>
      </c>
      <c r="S636" s="26">
        <f t="shared" si="1022"/>
        <v>92.231404958677686</v>
      </c>
      <c r="T636" s="26">
        <f t="shared" si="1023"/>
        <v>166.98417901157347</v>
      </c>
      <c r="U636" s="26" t="str">
        <f>IF(VLOOKUP($C636,COS!$B$8:$I$991,8,FALSE)=1,"UWFE","IBU")</f>
        <v>UWFE</v>
      </c>
      <c r="V636" s="26">
        <f t="shared" ref="V636" si="1025">MIN(IF(IF($AA$3=2,AND(E636=1,G636=1,L636=1,L640=1,M636=1,U636="IBU"),AND(E636=1,G636=1,L636=1,L640=1,M636=1)),T636,0),I636)</f>
        <v>0</v>
      </c>
      <c r="W636" s="26"/>
      <c r="X636" s="26"/>
      <c r="Y636" s="26"/>
      <c r="Z636" s="26"/>
      <c r="AA636" s="26"/>
      <c r="AB636" s="33"/>
    </row>
    <row r="637" spans="1:28" x14ac:dyDescent="0.3">
      <c r="A637" s="32">
        <f>VLOOKUP(YEAR(C637),Flags!$A$13:$B$95,2,FALSE)</f>
        <v>5</v>
      </c>
      <c r="B637" s="24">
        <f t="shared" si="951"/>
        <v>1991</v>
      </c>
      <c r="C637" s="25">
        <v>33419</v>
      </c>
      <c r="D637" s="26">
        <f>VLOOKUP($C637,COS!$B$8:$H$991,3,FALSE)</f>
        <v>7646.2861328125</v>
      </c>
      <c r="E637" s="24">
        <f>IF(D637&gt;=IF(MONTH($C637)=4,$C$3,IF(MONTH($C637)=5,$C$4,IF(MONTH($C637)=6,$C$5,IF(MONTH($C637)=7,$C$6,"ERROR")))),1,0)</f>
        <v>0</v>
      </c>
      <c r="F637" s="26">
        <f>VLOOKUP($C637,COS!$B$8:$H$991,7,FALSE)</f>
        <v>53.892311096191406</v>
      </c>
      <c r="G637" s="24">
        <f>IF(F637&lt;=IF(MONTH($C637)=4,$F$3,IF(MONTH($C637)=5,$F$4,IF(MONTH($C637)=6,$F$5,IF(MONTH($C637)=7,$F$6,"ERROR")))),1,0)</f>
        <v>1</v>
      </c>
      <c r="H637" s="26">
        <f>IF(J637=1,D637-$C$5,0)</f>
        <v>0</v>
      </c>
      <c r="I637" s="26">
        <f t="shared" si="982"/>
        <v>0</v>
      </c>
      <c r="J637" s="24">
        <f t="shared" si="1017"/>
        <v>0</v>
      </c>
      <c r="K637" s="26">
        <f>VLOOKUP($C637,COS!$B$8:$H$991,2,FALSE)</f>
        <v>2234.704833984375</v>
      </c>
      <c r="L637" s="24">
        <f t="shared" si="944"/>
        <v>1</v>
      </c>
      <c r="M637" s="24">
        <f t="shared" si="945"/>
        <v>1</v>
      </c>
      <c r="N637" s="26">
        <f>VLOOKUP($C637,COS!$B$8:$H$991,5,FALSE)</f>
        <v>362.696044921875</v>
      </c>
      <c r="O637" s="26">
        <f t="shared" si="1020"/>
        <v>21.581913416838844</v>
      </c>
      <c r="P637" s="26">
        <f>VLOOKUP($C637,COS!$B$8:$H$991,6,FALSE)</f>
        <v>2380.910888671875</v>
      </c>
      <c r="Q637" s="26">
        <f t="shared" si="1021"/>
        <v>141.67403635072316</v>
      </c>
      <c r="R637" s="26">
        <f>MIN(IF(MONTH($C637)=4,$S$3,IF(MONTH($C637)=5,$S$4,IF(MONTH($C637)=6,$S$5,IF(MONTH($C637)=7,$S$6,"ERROR")))),MAX(VLOOKUP($C637,COS!$B$8:$K$991,10,FALSE)-IF(MONTH($C637)=4,$Y$3,IF(MONTH($C637)=5,$Y$4,IF(MONTH($C637)=6,$Y$5,IF(MONTH($C637)=7,$Y$6,"ERROR")))),0),MAX(VLOOKUP($C637,COS!$B$8:$K$991,9,FALSE)-IF(MONTH($C637)=4,$V$3,IF(MONTH($C637)=5,$V$4,IF(MONTH($C637)=6,$V$5,IF(MONTH($C637)=7,$V$6,"ERROR"))))-VLOOKUP($C637,COS!$B$8:$K$991,6,FALSE)/2,0))</f>
        <v>1289.97314453125</v>
      </c>
      <c r="S637" s="26">
        <f t="shared" si="1022"/>
        <v>76.758732567148769</v>
      </c>
      <c r="T637" s="26">
        <f t="shared" si="1023"/>
        <v>158.38670745092978</v>
      </c>
      <c r="U637" s="26" t="str">
        <f>IF(VLOOKUP($C637,COS!$B$8:$I$991,8,FALSE)=1,"UWFE","IBU")</f>
        <v>IBU</v>
      </c>
      <c r="V637" s="26">
        <f t="shared" ref="V637" si="1026">MIN(IF(IF($AA$3=2,AND(E637=1,G637=1,L637=1,L640=1,M637=1,U637="IBU"),AND(E637=1,G637=1,L637=1,L640=1,M637=1)),T637,0),I637)</f>
        <v>0</v>
      </c>
      <c r="W637" s="26"/>
      <c r="X637" s="26"/>
      <c r="Y637" s="26"/>
      <c r="Z637" s="26"/>
      <c r="AA637" s="26"/>
      <c r="AB637" s="33"/>
    </row>
    <row r="638" spans="1:28" x14ac:dyDescent="0.3">
      <c r="A638" s="32">
        <f>VLOOKUP(YEAR(C638),Flags!$A$13:$B$95,2,FALSE)</f>
        <v>5</v>
      </c>
      <c r="B638" s="24">
        <f t="shared" si="951"/>
        <v>1991</v>
      </c>
      <c r="C638" s="25">
        <v>33450</v>
      </c>
      <c r="D638" s="26">
        <f>VLOOKUP($C638,COS!$B$8:$H$991,3,FALSE)</f>
        <v>8667.65625</v>
      </c>
      <c r="E638" s="24">
        <f>IF(D638&gt;=IF(MONTH($C638)=4,$C$3,IF(MONTH($C638)=5,$C$4,IF(MONTH($C638)=6,$C$5,IF(MONTH($C638)=7,$C$6,"ERROR")))),1,0)</f>
        <v>0</v>
      </c>
      <c r="F638" s="26">
        <f>VLOOKUP($C638,COS!$B$8:$H$991,7,FALSE)</f>
        <v>56.067035675048828</v>
      </c>
      <c r="G638" s="24">
        <f>IF(F638&lt;=IF(MONTH($C638)=4,$F$3,IF(MONTH($C638)=5,$F$4,IF(MONTH($C638)=6,$F$5,IF(MONTH($C638)=7,$F$6,"ERROR")))),1,0)</f>
        <v>0</v>
      </c>
      <c r="H638" s="26">
        <f>IF(J638=1,D638-$C$6,0)</f>
        <v>0</v>
      </c>
      <c r="I638" s="26">
        <f t="shared" si="982"/>
        <v>0</v>
      </c>
      <c r="J638" s="24">
        <f t="shared" si="1017"/>
        <v>0</v>
      </c>
      <c r="K638" s="26">
        <f>VLOOKUP($C638,COS!$B$8:$H$991,2,FALSE)</f>
        <v>1917.2408447265625</v>
      </c>
      <c r="L638" s="24">
        <f t="shared" si="944"/>
        <v>1</v>
      </c>
      <c r="M638" s="24">
        <f t="shared" si="945"/>
        <v>1</v>
      </c>
      <c r="N638" s="26">
        <f>VLOOKUP($C638,COS!$B$8:$H$991,5,FALSE)</f>
        <v>424.0916748046875</v>
      </c>
      <c r="O638" s="26">
        <f t="shared" si="1020"/>
        <v>26.076380665676655</v>
      </c>
      <c r="P638" s="26">
        <f>VLOOKUP($C638,COS!$B$8:$H$991,6,FALSE)</f>
        <v>2281.4833984375</v>
      </c>
      <c r="Q638" s="26">
        <f t="shared" si="1021"/>
        <v>140.28294615185951</v>
      </c>
      <c r="R638" s="26">
        <f>MIN(IF(MONTH($C638)=4,$S$3,IF(MONTH($C638)=5,$S$4,IF(MONTH($C638)=6,$S$5,IF(MONTH($C638)=7,$S$6,"ERROR")))),MAX(VLOOKUP($C638,COS!$B$8:$K$991,10,FALSE)-IF(MONTH($C638)=4,$Y$3,IF(MONTH($C638)=5,$Y$4,IF(MONTH($C638)=6,$Y$5,IF(MONTH($C638)=7,$Y$6,"ERROR")))),0),MAX(VLOOKUP($C638,COS!$B$8:$K$991,9,FALSE)-IF(MONTH($C638)=4,$V$3,IF(MONTH($C638)=5,$V$4,IF(MONTH($C638)=6,$V$5,IF(MONTH($C638)=7,$V$6,"ERROR"))))-VLOOKUP($C638,COS!$B$8:$K$991,6,FALSE)/2,0))</f>
        <v>1500</v>
      </c>
      <c r="S638" s="26">
        <f t="shared" si="1022"/>
        <v>92.231404958677686</v>
      </c>
      <c r="T638" s="26">
        <f t="shared" si="1023"/>
        <v>175.41106836744575</v>
      </c>
      <c r="U638" s="26" t="str">
        <f>IF(VLOOKUP($C638,COS!$B$8:$I$991,8,FALSE)=1,"UWFE","IBU")</f>
        <v>IBU</v>
      </c>
      <c r="V638" s="26">
        <f t="shared" ref="V638" si="1027">MIN(IF(IF($AA$3=2,AND(E638=1,G638=1,L638=1,L640=1,M638=1,U638="IBU"),AND(E638=1,G638=1,L638=1,L640=1,M638=1)),T638,0),I638)</f>
        <v>0</v>
      </c>
      <c r="W638" s="26"/>
      <c r="X638" s="26"/>
      <c r="Y638" s="26"/>
      <c r="Z638" s="26"/>
      <c r="AA638" s="26"/>
      <c r="AB638" s="33"/>
    </row>
    <row r="639" spans="1:28" x14ac:dyDescent="0.3">
      <c r="A639" s="32">
        <f>VLOOKUP(YEAR(C639),Flags!$A$13:$B$95,2,FALSE)</f>
        <v>5</v>
      </c>
      <c r="B639" s="24">
        <f t="shared" si="951"/>
        <v>1991</v>
      </c>
      <c r="C639" s="25">
        <v>33481</v>
      </c>
      <c r="D639" s="26"/>
      <c r="E639" s="24"/>
      <c r="F639" s="26"/>
      <c r="G639" s="24"/>
      <c r="H639" s="24"/>
      <c r="I639" s="26"/>
      <c r="J639" s="24"/>
      <c r="K639" s="26"/>
      <c r="L639" s="24"/>
      <c r="M639" s="24"/>
      <c r="N639" s="26"/>
      <c r="O639" s="26"/>
      <c r="P639" s="26"/>
      <c r="Q639" s="26"/>
      <c r="R639" s="26"/>
      <c r="S639" s="26"/>
      <c r="T639" s="26"/>
      <c r="U639" s="26"/>
      <c r="V639" s="26"/>
      <c r="W639" s="26">
        <f>MAX($C$7-VLOOKUP($C639,COS!$B$8:$H$991,3,FALSE),0)</f>
        <v>5271.849609375</v>
      </c>
      <c r="X639" s="26">
        <f t="shared" si="972"/>
        <v>324.15339746900827</v>
      </c>
      <c r="Y639" s="26">
        <f>VLOOKUP($C639,COS!$B$8:$H$991,4,FALSE)</f>
        <v>3158.24462890625</v>
      </c>
      <c r="Z639" s="26">
        <f t="shared" si="973"/>
        <v>194.19289288481406</v>
      </c>
      <c r="AA639" s="26">
        <f t="shared" ref="AA639:AA643" si="1028">MIN(W639,Y639)</f>
        <v>3158.24462890625</v>
      </c>
      <c r="AB639" s="33">
        <f t="shared" ref="AB639" si="1029">AA639*DAY($C639)*86400/43560/1000*IF(MONTH($C639)=8,$P$3,IF(MONTH($C639)=9,$P$4,IF(MONTH($C639)=10,$P$5,IF(MONTH($C639)=11,$P$6,IF(MONTH($C639)=12,$P$7,NA())))))</f>
        <v>194.19289288481406</v>
      </c>
    </row>
    <row r="640" spans="1:28" x14ac:dyDescent="0.3">
      <c r="A640" s="32">
        <f>VLOOKUP(YEAR(C640),Flags!$A$13:$B$95,2,FALSE)</f>
        <v>5</v>
      </c>
      <c r="B640" s="24">
        <f t="shared" si="951"/>
        <v>1991</v>
      </c>
      <c r="C640" s="25">
        <v>33511</v>
      </c>
      <c r="D640" s="26"/>
      <c r="E640" s="24"/>
      <c r="F640" s="26"/>
      <c r="G640" s="24"/>
      <c r="H640" s="24"/>
      <c r="I640" s="26"/>
      <c r="J640" s="24"/>
      <c r="K640" s="26">
        <f>VLOOKUP($C640,COS!$B$8:$H$991,2,FALSE)</f>
        <v>1656.5145263671875</v>
      </c>
      <c r="L640" s="24">
        <f t="shared" ref="L640" si="1030">IF(AND(K640&gt;$I$7,K640&lt;$I$8),1,0)</f>
        <v>0</v>
      </c>
      <c r="M640" s="24"/>
      <c r="N640" s="26"/>
      <c r="O640" s="26"/>
      <c r="P640" s="26"/>
      <c r="Q640" s="26"/>
      <c r="R640" s="26"/>
      <c r="S640" s="26"/>
      <c r="T640" s="26"/>
      <c r="U640" s="26"/>
      <c r="V640" s="26"/>
      <c r="W640" s="26">
        <f>MAX($C$8-VLOOKUP($C640,COS!$B$8:$H$991,3,FALSE),0)</f>
        <v>1646.72998046875</v>
      </c>
      <c r="X640" s="26">
        <f t="shared" si="972"/>
        <v>97.98723850723141</v>
      </c>
      <c r="Y640" s="26">
        <f>VLOOKUP($C640,COS!$B$8:$H$991,4,FALSE)</f>
        <v>2165.95703125</v>
      </c>
      <c r="Z640" s="26">
        <f t="shared" si="973"/>
        <v>128.88339359504133</v>
      </c>
      <c r="AA640" s="26">
        <f t="shared" si="1028"/>
        <v>1646.72998046875</v>
      </c>
      <c r="AB640" s="33">
        <f t="shared" si="956"/>
        <v>97.98723850723141</v>
      </c>
    </row>
    <row r="641" spans="1:28" x14ac:dyDescent="0.3">
      <c r="A641" s="32">
        <f>VLOOKUP(YEAR(C641),Flags!$A$13:$B$95,2,FALSE)</f>
        <v>5</v>
      </c>
      <c r="B641" s="24">
        <f t="shared" si="951"/>
        <v>1991</v>
      </c>
      <c r="C641" s="25">
        <v>33542</v>
      </c>
      <c r="D641" s="26"/>
      <c r="E641" s="24"/>
      <c r="F641" s="26"/>
      <c r="G641" s="26"/>
      <c r="H641" s="26"/>
      <c r="I641" s="26"/>
      <c r="J641" s="26"/>
      <c r="K641" s="26"/>
      <c r="L641" s="24"/>
      <c r="M641" s="24"/>
      <c r="N641" s="26"/>
      <c r="O641" s="26"/>
      <c r="P641" s="26"/>
      <c r="Q641" s="26"/>
      <c r="R641" s="26"/>
      <c r="S641" s="26"/>
      <c r="T641" s="26"/>
      <c r="U641" s="26"/>
      <c r="V641" s="26"/>
      <c r="W641" s="26">
        <f>MAX($C$9-VLOOKUP($C641,COS!$B$8:$H$991,3,FALSE),0)</f>
        <v>0</v>
      </c>
      <c r="X641" s="26">
        <f t="shared" si="972"/>
        <v>0</v>
      </c>
      <c r="Y641" s="26">
        <f>VLOOKUP($C641,COS!$B$8:$H$991,4,FALSE)</f>
        <v>1365.7271728515625</v>
      </c>
      <c r="Z641" s="26">
        <f t="shared" si="973"/>
        <v>83.975290628228308</v>
      </c>
      <c r="AA641" s="26">
        <f t="shared" si="1028"/>
        <v>0</v>
      </c>
      <c r="AB641" s="33">
        <f t="shared" si="956"/>
        <v>0</v>
      </c>
    </row>
    <row r="642" spans="1:28" x14ac:dyDescent="0.3">
      <c r="A642" s="32">
        <f>VLOOKUP(YEAR(C642),Flags!$A$13:$B$95,2,FALSE)</f>
        <v>5</v>
      </c>
      <c r="B642" s="24">
        <f t="shared" si="951"/>
        <v>1991</v>
      </c>
      <c r="C642" s="25">
        <v>33572</v>
      </c>
      <c r="D642" s="26"/>
      <c r="E642" s="24"/>
      <c r="F642" s="26"/>
      <c r="G642" s="26"/>
      <c r="H642" s="26"/>
      <c r="I642" s="26"/>
      <c r="J642" s="26"/>
      <c r="K642" s="26"/>
      <c r="L642" s="24"/>
      <c r="M642" s="24"/>
      <c r="N642" s="26"/>
      <c r="O642" s="26"/>
      <c r="P642" s="26"/>
      <c r="Q642" s="26"/>
      <c r="R642" s="26"/>
      <c r="S642" s="26"/>
      <c r="T642" s="26"/>
      <c r="U642" s="26"/>
      <c r="V642" s="26"/>
      <c r="W642" s="26">
        <f>MAX($C$10-VLOOKUP($C642,COS!$B$8:$H$991,3,FALSE),0)</f>
        <v>0</v>
      </c>
      <c r="X642" s="26">
        <f t="shared" si="972"/>
        <v>0</v>
      </c>
      <c r="Y642" s="26">
        <f>VLOOKUP($C642,COS!$B$8:$H$991,4,FALSE)</f>
        <v>1633.0859375</v>
      </c>
      <c r="Z642" s="26">
        <f t="shared" si="973"/>
        <v>97.175361570247929</v>
      </c>
      <c r="AA642" s="26">
        <f t="shared" si="1028"/>
        <v>0</v>
      </c>
      <c r="AB642" s="33">
        <f t="shared" si="956"/>
        <v>0</v>
      </c>
    </row>
    <row r="643" spans="1:28" x14ac:dyDescent="0.3">
      <c r="A643" s="34">
        <f>VLOOKUP(YEAR(C643),Flags!$A$13:$B$95,2,FALSE)</f>
        <v>5</v>
      </c>
      <c r="B643" s="35">
        <f t="shared" si="951"/>
        <v>1991</v>
      </c>
      <c r="C643" s="36">
        <v>33603</v>
      </c>
      <c r="D643" s="37"/>
      <c r="E643" s="35"/>
      <c r="F643" s="37"/>
      <c r="G643" s="37"/>
      <c r="H643" s="37"/>
      <c r="I643" s="37"/>
      <c r="J643" s="37"/>
      <c r="K643" s="37"/>
      <c r="L643" s="35"/>
      <c r="M643" s="35"/>
      <c r="N643" s="37"/>
      <c r="O643" s="37"/>
      <c r="P643" s="37"/>
      <c r="Q643" s="37"/>
      <c r="R643" s="37"/>
      <c r="S643" s="37"/>
      <c r="T643" s="37"/>
      <c r="U643" s="37"/>
      <c r="V643" s="37"/>
      <c r="W643" s="37">
        <f>MAX($C$11-VLOOKUP($C643,COS!$B$8:$H$991,3,FALSE),0)</f>
        <v>1750</v>
      </c>
      <c r="X643" s="37">
        <f t="shared" si="972"/>
        <v>107.60330578512398</v>
      </c>
      <c r="Y643" s="37">
        <f>VLOOKUP($C643,COS!$B$8:$H$991,4,FALSE)</f>
        <v>3048.85693359375</v>
      </c>
      <c r="Z643" s="37">
        <f t="shared" si="973"/>
        <v>187.46690566890496</v>
      </c>
      <c r="AA643" s="37">
        <f t="shared" si="1028"/>
        <v>1750</v>
      </c>
      <c r="AB643" s="38">
        <f t="shared" si="956"/>
        <v>107.60330578512398</v>
      </c>
    </row>
    <row r="644" spans="1:28" x14ac:dyDescent="0.3">
      <c r="A644" s="27">
        <f>VLOOKUP(YEAR(C644),Flags!$A$13:$B$95,2,FALSE)</f>
        <v>5</v>
      </c>
      <c r="B644" s="28">
        <f t="shared" si="951"/>
        <v>1992</v>
      </c>
      <c r="C644" s="29">
        <v>33724</v>
      </c>
      <c r="D644" s="30">
        <f>VLOOKUP($C644,COS!$B$8:$H$991,3,FALSE)</f>
        <v>3250</v>
      </c>
      <c r="E644" s="28">
        <f>IF(D644&gt;=IF(MONTH($C644)=4,$C$3,IF(MONTH($C644)=5,$C$4,IF(MONTH($C644)=6,$C$5,IF(MONTH($C644)=7,$C$6,"ERROR")))),1,0)</f>
        <v>0</v>
      </c>
      <c r="F644" s="30">
        <f>VLOOKUP($C644,COS!$B$8:$H$991,7,FALSE)</f>
        <v>52.492954254150391</v>
      </c>
      <c r="G644" s="28">
        <f>IF(F644&lt;=IF(MONTH($C644)=4,$F$3,IF(MONTH($C644)=5,$F$4,IF(MONTH($C644)=6,$F$5,IF(MONTH($C644)=7,$F$6,"ERROR")))),1,0)</f>
        <v>1</v>
      </c>
      <c r="H644" s="30">
        <f>IF(J644=1,D644-$C$3,0)</f>
        <v>0</v>
      </c>
      <c r="I644" s="30">
        <f t="shared" si="982"/>
        <v>0</v>
      </c>
      <c r="J644" s="28">
        <f t="shared" ref="J644:J647" si="1031">IF(AND(E644=1,G644=1),1,0)</f>
        <v>0</v>
      </c>
      <c r="K644" s="30">
        <f>VLOOKUP($C644,COS!$B$8:$H$991,2,FALSE)</f>
        <v>2746.148681640625</v>
      </c>
      <c r="L644" s="28">
        <f t="shared" ref="L644" si="1032">IF(K644&lt;=IF(MONTH($C644)=4,$I$3,IF(MONTH($C644)=5,$I$4,IF(MONTH($C644)=6,$I$5,IF(MONTH($C644)=7,$I$6,"ERROR")))),1,0)</f>
        <v>1</v>
      </c>
      <c r="M644" s="28">
        <f t="shared" ref="M644" si="1033">VLOOKUP($A644,$L$3:$M$7,2,FALSE)</f>
        <v>1</v>
      </c>
      <c r="N644" s="30">
        <f>VLOOKUP($C644,COS!$B$8:$H$991,5,FALSE)</f>
        <v>32.692440032958984</v>
      </c>
      <c r="O644" s="30">
        <f t="shared" ref="O644:O647" si="1034">N644*DAY($C644)*86400/43560/1000</f>
        <v>1.9453352746884685</v>
      </c>
      <c r="P644" s="30">
        <f>VLOOKUP($C644,COS!$B$8:$H$991,6,FALSE)</f>
        <v>421.25204467773438</v>
      </c>
      <c r="Q644" s="30">
        <f t="shared" ref="Q644:Q647" si="1035">P644*DAY($C644)*86400/43560/1000</f>
        <v>25.066237369253617</v>
      </c>
      <c r="R644" s="30">
        <f>MIN(IF(MONTH($C644)=4,$S$3,IF(MONTH($C644)=5,$S$4,IF(MONTH($C644)=6,$S$5,IF(MONTH($C644)=7,$S$6,"ERROR")))),MAX(VLOOKUP($C644,COS!$B$8:$K$991,10,FALSE)-IF(MONTH($C644)=4,$Y$3,IF(MONTH($C644)=5,$Y$4,IF(MONTH($C644)=6,$Y$5,IF(MONTH($C644)=7,$Y$6,"ERROR")))),0),MAX(VLOOKUP($C644,COS!$B$8:$K$991,9,FALSE)-IF(MONTH($C644)=4,$V$3,IF(MONTH($C644)=5,$V$4,IF(MONTH($C644)=6,$V$5,IF(MONTH($C644)=7,$V$6,"ERROR"))))-VLOOKUP($C644,COS!$B$8:$K$991,6,FALSE)/2,0))</f>
        <v>1500</v>
      </c>
      <c r="S644" s="30">
        <f t="shared" ref="S644:S647" si="1036">R644*DAY($C644)*86400/43560/1000</f>
        <v>89.256198347107429</v>
      </c>
      <c r="T644" s="30">
        <f t="shared" ref="T644:T647" si="1037">(O644+Q644)/2+S644</f>
        <v>102.76198466907847</v>
      </c>
      <c r="U644" s="30" t="str">
        <f>IF(VLOOKUP($C644,COS!$B$8:$I$991,8,FALSE)=1,"UWFE","IBU")</f>
        <v>UWFE</v>
      </c>
      <c r="V644" s="30">
        <f t="shared" ref="V644" si="1038">MIN(IF(IF($AA$3=2,AND(E644=1,G644=1,L644=1,L649=1,M644=1,U644="IBU"),AND(E644=1,G644=1,L644=1,L649=1,M644=1)),T644,0),I644)</f>
        <v>0</v>
      </c>
      <c r="W644" s="30"/>
      <c r="X644" s="30"/>
      <c r="Y644" s="30"/>
      <c r="Z644" s="30"/>
      <c r="AA644" s="30"/>
      <c r="AB644" s="31"/>
    </row>
    <row r="645" spans="1:28" x14ac:dyDescent="0.3">
      <c r="A645" s="32">
        <f>VLOOKUP(YEAR(C645),Flags!$A$13:$B$95,2,FALSE)</f>
        <v>5</v>
      </c>
      <c r="B645" s="24">
        <f t="shared" si="951"/>
        <v>1992</v>
      </c>
      <c r="C645" s="25">
        <v>33755</v>
      </c>
      <c r="D645" s="26">
        <f>VLOOKUP($C645,COS!$B$8:$H$991,3,FALSE)</f>
        <v>8644.7744140625</v>
      </c>
      <c r="E645" s="24">
        <f>IF(D645&gt;=IF(MONTH($C645)=4,$C$3,IF(MONTH($C645)=5,$C$4,IF(MONTH($C645)=6,$C$5,IF(MONTH($C645)=7,$C$6,"ERROR")))),1,0)</f>
        <v>1</v>
      </c>
      <c r="F645" s="26">
        <f>VLOOKUP($C645,COS!$B$8:$H$991,7,FALSE)</f>
        <v>52.123382568359375</v>
      </c>
      <c r="G645" s="24">
        <f>IF(F645&lt;=IF(MONTH($C645)=4,$F$3,IF(MONTH($C645)=5,$F$4,IF(MONTH($C645)=6,$F$5,IF(MONTH($C645)=7,$F$6,"ERROR")))),1,0)</f>
        <v>1</v>
      </c>
      <c r="H645" s="26">
        <f>IF(J645=1,D645-$C$4,0)</f>
        <v>2644.7744140625</v>
      </c>
      <c r="I645" s="26">
        <f t="shared" si="982"/>
        <v>162.62084000516529</v>
      </c>
      <c r="J645" s="24">
        <f t="shared" si="1031"/>
        <v>1</v>
      </c>
      <c r="K645" s="26">
        <f>VLOOKUP($C645,COS!$B$8:$H$991,2,FALSE)</f>
        <v>2460.489501953125</v>
      </c>
      <c r="L645" s="24">
        <f t="shared" si="944"/>
        <v>1</v>
      </c>
      <c r="M645" s="24">
        <f t="shared" si="945"/>
        <v>1</v>
      </c>
      <c r="N645" s="26">
        <f>VLOOKUP($C645,COS!$B$8:$H$991,5,FALSE)</f>
        <v>10.813337326049805</v>
      </c>
      <c r="O645" s="26">
        <f t="shared" si="1034"/>
        <v>0.66488619591578968</v>
      </c>
      <c r="P645" s="26">
        <f>VLOOKUP($C645,COS!$B$8:$H$991,6,FALSE)</f>
        <v>2317.093994140625</v>
      </c>
      <c r="Q645" s="26">
        <f t="shared" si="1035"/>
        <v>142.47255633393593</v>
      </c>
      <c r="R645" s="26">
        <f>MIN(IF(MONTH($C645)=4,$S$3,IF(MONTH($C645)=5,$S$4,IF(MONTH($C645)=6,$S$5,IF(MONTH($C645)=7,$S$6,"ERROR")))),MAX(VLOOKUP($C645,COS!$B$8:$K$991,10,FALSE)-IF(MONTH($C645)=4,$Y$3,IF(MONTH($C645)=5,$Y$4,IF(MONTH($C645)=6,$Y$5,IF(MONTH($C645)=7,$Y$6,"ERROR")))),0),MAX(VLOOKUP($C645,COS!$B$8:$K$991,9,FALSE)-IF(MONTH($C645)=4,$V$3,IF(MONTH($C645)=5,$V$4,IF(MONTH($C645)=6,$V$5,IF(MONTH($C645)=7,$V$6,"ERROR"))))-VLOOKUP($C645,COS!$B$8:$K$991,6,FALSE)/2,0))</f>
        <v>1500</v>
      </c>
      <c r="S645" s="26">
        <f t="shared" si="1036"/>
        <v>92.231404958677686</v>
      </c>
      <c r="T645" s="26">
        <f t="shared" si="1037"/>
        <v>163.80012622360354</v>
      </c>
      <c r="U645" s="26" t="str">
        <f>IF(VLOOKUP($C645,COS!$B$8:$I$991,8,FALSE)=1,"UWFE","IBU")</f>
        <v>IBU</v>
      </c>
      <c r="V645" s="26">
        <f t="shared" ref="V645" si="1039">MIN(IF(IF($AA$3=2,AND(E645=1,G645=1,L645=1,L649=1,M645=1,U645="IBU"),AND(E645=1,G645=1,L645=1,L649=1,M645=1)),T645,0),I645)</f>
        <v>0</v>
      </c>
      <c r="W645" s="26"/>
      <c r="X645" s="26"/>
      <c r="Y645" s="26"/>
      <c r="Z645" s="26"/>
      <c r="AA645" s="26"/>
      <c r="AB645" s="33"/>
    </row>
    <row r="646" spans="1:28" x14ac:dyDescent="0.3">
      <c r="A646" s="32">
        <f>VLOOKUP(YEAR(C646),Flags!$A$13:$B$95,2,FALSE)</f>
        <v>5</v>
      </c>
      <c r="B646" s="24">
        <f t="shared" si="951"/>
        <v>1992</v>
      </c>
      <c r="C646" s="25">
        <v>33785</v>
      </c>
      <c r="D646" s="26">
        <f>VLOOKUP($C646,COS!$B$8:$H$991,3,FALSE)</f>
        <v>10366.1689453125</v>
      </c>
      <c r="E646" s="24">
        <f>IF(D646&gt;=IF(MONTH($C646)=4,$C$3,IF(MONTH($C646)=5,$C$4,IF(MONTH($C646)=6,$C$5,IF(MONTH($C646)=7,$C$6,"ERROR")))),1,0)</f>
        <v>1</v>
      </c>
      <c r="F646" s="26">
        <f>VLOOKUP($C646,COS!$B$8:$H$991,7,FALSE)</f>
        <v>53.589008331298828</v>
      </c>
      <c r="G646" s="24">
        <f>IF(F646&lt;=IF(MONTH($C646)=4,$F$3,IF(MONTH($C646)=5,$F$4,IF(MONTH($C646)=6,$F$5,IF(MONTH($C646)=7,$F$6,"ERROR")))),1,0)</f>
        <v>1</v>
      </c>
      <c r="H646" s="26">
        <f>IF(J646=1,D646-$C$5,0)</f>
        <v>366.1689453125</v>
      </c>
      <c r="I646" s="26">
        <f t="shared" si="982"/>
        <v>21.788565340909091</v>
      </c>
      <c r="J646" s="24">
        <f t="shared" si="1031"/>
        <v>1</v>
      </c>
      <c r="K646" s="26">
        <f>VLOOKUP($C646,COS!$B$8:$H$991,2,FALSE)</f>
        <v>2027.753173828125</v>
      </c>
      <c r="L646" s="24">
        <f t="shared" si="944"/>
        <v>1</v>
      </c>
      <c r="M646" s="24">
        <f t="shared" si="945"/>
        <v>1</v>
      </c>
      <c r="N646" s="26">
        <f>VLOOKUP($C646,COS!$B$8:$H$991,5,FALSE)</f>
        <v>98.261642456054688</v>
      </c>
      <c r="O646" s="26">
        <f t="shared" si="1034"/>
        <v>5.8469737659801142</v>
      </c>
      <c r="P646" s="26">
        <f>VLOOKUP($C646,COS!$B$8:$H$991,6,FALSE)</f>
        <v>2327.949951171875</v>
      </c>
      <c r="Q646" s="26">
        <f t="shared" si="1035"/>
        <v>138.52264172262394</v>
      </c>
      <c r="R646" s="26">
        <f>MIN(IF(MONTH($C646)=4,$S$3,IF(MONTH($C646)=5,$S$4,IF(MONTH($C646)=6,$S$5,IF(MONTH($C646)=7,$S$6,"ERROR")))),MAX(VLOOKUP($C646,COS!$B$8:$K$991,10,FALSE)-IF(MONTH($C646)=4,$Y$3,IF(MONTH($C646)=5,$Y$4,IF(MONTH($C646)=6,$Y$5,IF(MONTH($C646)=7,$Y$6,"ERROR")))),0),MAX(VLOOKUP($C646,COS!$B$8:$K$991,9,FALSE)-IF(MONTH($C646)=4,$V$3,IF(MONTH($C646)=5,$V$4,IF(MONTH($C646)=6,$V$5,IF(MONTH($C646)=7,$V$6,"ERROR"))))-VLOOKUP($C646,COS!$B$8:$K$991,6,FALSE)/2,0))</f>
        <v>1500</v>
      </c>
      <c r="S646" s="26">
        <f t="shared" si="1036"/>
        <v>89.256198347107429</v>
      </c>
      <c r="T646" s="26">
        <f t="shared" si="1037"/>
        <v>161.44100609140946</v>
      </c>
      <c r="U646" s="26" t="str">
        <f>IF(VLOOKUP($C646,COS!$B$8:$I$991,8,FALSE)=1,"UWFE","IBU")</f>
        <v>IBU</v>
      </c>
      <c r="V646" s="26">
        <f t="shared" ref="V646" si="1040">MIN(IF(IF($AA$3=2,AND(E646=1,G646=1,L646=1,L649=1,M646=1,U646="IBU"),AND(E646=1,G646=1,L646=1,L649=1,M646=1)),T646,0),I646)</f>
        <v>0</v>
      </c>
      <c r="W646" s="26"/>
      <c r="X646" s="26"/>
      <c r="Y646" s="26"/>
      <c r="Z646" s="26"/>
      <c r="AA646" s="26"/>
      <c r="AB646" s="33"/>
    </row>
    <row r="647" spans="1:28" x14ac:dyDescent="0.3">
      <c r="A647" s="32">
        <f>VLOOKUP(YEAR(C647),Flags!$A$13:$B$95,2,FALSE)</f>
        <v>5</v>
      </c>
      <c r="B647" s="24">
        <f t="shared" si="951"/>
        <v>1992</v>
      </c>
      <c r="C647" s="25">
        <v>33816</v>
      </c>
      <c r="D647" s="26">
        <f>VLOOKUP($C647,COS!$B$8:$H$991,3,FALSE)</f>
        <v>9934.8115234375</v>
      </c>
      <c r="E647" s="24">
        <f>IF(D647&gt;=IF(MONTH($C647)=4,$C$3,IF(MONTH($C647)=5,$C$4,IF(MONTH($C647)=6,$C$5,IF(MONTH($C647)=7,$C$6,"ERROR")))),1,0)</f>
        <v>0</v>
      </c>
      <c r="F647" s="26">
        <f>VLOOKUP($C647,COS!$B$8:$H$991,7,FALSE)</f>
        <v>55.741245269775391</v>
      </c>
      <c r="G647" s="24">
        <f>IF(F647&lt;=IF(MONTH($C647)=4,$F$3,IF(MONTH($C647)=5,$F$4,IF(MONTH($C647)=6,$F$5,IF(MONTH($C647)=7,$F$6,"ERROR")))),1,0)</f>
        <v>0</v>
      </c>
      <c r="H647" s="26">
        <f>IF(J647=1,D647-$C$6,0)</f>
        <v>0</v>
      </c>
      <c r="I647" s="26">
        <f t="shared" si="982"/>
        <v>0</v>
      </c>
      <c r="J647" s="24">
        <f t="shared" si="1031"/>
        <v>0</v>
      </c>
      <c r="K647" s="26">
        <f>VLOOKUP($C647,COS!$B$8:$H$991,2,FALSE)</f>
        <v>1648.2286376953125</v>
      </c>
      <c r="L647" s="24">
        <f t="shared" si="944"/>
        <v>1</v>
      </c>
      <c r="M647" s="24">
        <f t="shared" si="945"/>
        <v>1</v>
      </c>
      <c r="N647" s="26">
        <f>VLOOKUP($C647,COS!$B$8:$H$991,5,FALSE)</f>
        <v>123.65061187744141</v>
      </c>
      <c r="O647" s="26">
        <f t="shared" si="1034"/>
        <v>7.6029797716377194</v>
      </c>
      <c r="P647" s="26">
        <f>VLOOKUP($C647,COS!$B$8:$H$991,6,FALSE)</f>
        <v>2316.5048828125</v>
      </c>
      <c r="Q647" s="26">
        <f t="shared" si="1035"/>
        <v>142.43633329028924</v>
      </c>
      <c r="R647" s="26">
        <f>MIN(IF(MONTH($C647)=4,$S$3,IF(MONTH($C647)=5,$S$4,IF(MONTH($C647)=6,$S$5,IF(MONTH($C647)=7,$S$6,"ERROR")))),MAX(VLOOKUP($C647,COS!$B$8:$K$991,10,FALSE)-IF(MONTH($C647)=4,$Y$3,IF(MONTH($C647)=5,$Y$4,IF(MONTH($C647)=6,$Y$5,IF(MONTH($C647)=7,$Y$6,"ERROR")))),0),MAX(VLOOKUP($C647,COS!$B$8:$K$991,9,FALSE)-IF(MONTH($C647)=4,$V$3,IF(MONTH($C647)=5,$V$4,IF(MONTH($C647)=6,$V$5,IF(MONTH($C647)=7,$V$6,"ERROR"))))-VLOOKUP($C647,COS!$B$8:$K$991,6,FALSE)/2,0))</f>
        <v>1500</v>
      </c>
      <c r="S647" s="26">
        <f t="shared" si="1036"/>
        <v>92.231404958677686</v>
      </c>
      <c r="T647" s="26">
        <f t="shared" si="1037"/>
        <v>167.25106148964116</v>
      </c>
      <c r="U647" s="26" t="str">
        <f>IF(VLOOKUP($C647,COS!$B$8:$I$991,8,FALSE)=1,"UWFE","IBU")</f>
        <v>IBU</v>
      </c>
      <c r="V647" s="26">
        <f t="shared" ref="V647" si="1041">MIN(IF(IF($AA$3=2,AND(E647=1,G647=1,L647=1,L649=1,M647=1,U647="IBU"),AND(E647=1,G647=1,L647=1,L649=1,M647=1)),T647,0),I647)</f>
        <v>0</v>
      </c>
      <c r="W647" s="26"/>
      <c r="X647" s="26"/>
      <c r="Y647" s="26"/>
      <c r="Z647" s="26"/>
      <c r="AA647" s="26"/>
      <c r="AB647" s="33"/>
    </row>
    <row r="648" spans="1:28" x14ac:dyDescent="0.3">
      <c r="A648" s="32">
        <f>VLOOKUP(YEAR(C648),Flags!$A$13:$B$95,2,FALSE)</f>
        <v>5</v>
      </c>
      <c r="B648" s="24">
        <f t="shared" si="951"/>
        <v>1992</v>
      </c>
      <c r="C648" s="25">
        <v>33847</v>
      </c>
      <c r="D648" s="26"/>
      <c r="E648" s="24"/>
      <c r="F648" s="26"/>
      <c r="G648" s="24"/>
      <c r="H648" s="24"/>
      <c r="I648" s="26"/>
      <c r="J648" s="24"/>
      <c r="K648" s="26"/>
      <c r="L648" s="24"/>
      <c r="M648" s="24"/>
      <c r="N648" s="26"/>
      <c r="O648" s="26"/>
      <c r="P648" s="26"/>
      <c r="Q648" s="26"/>
      <c r="R648" s="26"/>
      <c r="S648" s="26"/>
      <c r="T648" s="26"/>
      <c r="U648" s="26"/>
      <c r="V648" s="26"/>
      <c r="W648" s="26">
        <f>MAX($C$7-VLOOKUP($C648,COS!$B$8:$H$991,3,FALSE),0)</f>
        <v>4620.11181640625</v>
      </c>
      <c r="X648" s="26">
        <f t="shared" si="972"/>
        <v>284.07960259555784</v>
      </c>
      <c r="Y648" s="26">
        <f>VLOOKUP($C648,COS!$B$8:$H$991,4,FALSE)</f>
        <v>2159.716552734375</v>
      </c>
      <c r="Z648" s="26">
        <f t="shared" si="973"/>
        <v>132.79579464746902</v>
      </c>
      <c r="AA648" s="26">
        <f t="shared" ref="AA648:AA652" si="1042">MIN(W648,Y648)</f>
        <v>2159.716552734375</v>
      </c>
      <c r="AB648" s="33">
        <f t="shared" ref="AB648" si="1043">AA648*DAY($C648)*86400/43560/1000*IF(MONTH($C648)=8,$P$3,IF(MONTH($C648)=9,$P$4,IF(MONTH($C648)=10,$P$5,IF(MONTH($C648)=11,$P$6,IF(MONTH($C648)=12,$P$7,NA())))))</f>
        <v>132.79579464746902</v>
      </c>
    </row>
    <row r="649" spans="1:28" x14ac:dyDescent="0.3">
      <c r="A649" s="32">
        <f>VLOOKUP(YEAR(C649),Flags!$A$13:$B$95,2,FALSE)</f>
        <v>5</v>
      </c>
      <c r="B649" s="24">
        <f t="shared" si="951"/>
        <v>1992</v>
      </c>
      <c r="C649" s="25">
        <v>33877</v>
      </c>
      <c r="D649" s="26"/>
      <c r="E649" s="24"/>
      <c r="F649" s="26"/>
      <c r="G649" s="24"/>
      <c r="H649" s="24"/>
      <c r="I649" s="26"/>
      <c r="J649" s="24"/>
      <c r="K649" s="26">
        <f>VLOOKUP($C649,COS!$B$8:$H$991,2,FALSE)</f>
        <v>1352.76123046875</v>
      </c>
      <c r="L649" s="24">
        <f t="shared" ref="L649" si="1044">IF(AND(K649&gt;$I$7,K649&lt;$I$8),1,0)</f>
        <v>0</v>
      </c>
      <c r="M649" s="24"/>
      <c r="N649" s="26"/>
      <c r="O649" s="26"/>
      <c r="P649" s="26"/>
      <c r="Q649" s="26"/>
      <c r="R649" s="26"/>
      <c r="S649" s="26"/>
      <c r="T649" s="26"/>
      <c r="U649" s="26"/>
      <c r="V649" s="26"/>
      <c r="W649" s="26">
        <f>MAX($C$8-VLOOKUP($C649,COS!$B$8:$H$991,3,FALSE),0)</f>
        <v>1769.34130859375</v>
      </c>
      <c r="X649" s="26">
        <f t="shared" si="972"/>
        <v>105.28311918904959</v>
      </c>
      <c r="Y649" s="26">
        <f>VLOOKUP($C649,COS!$B$8:$H$991,4,FALSE)</f>
        <v>1930.2186279296875</v>
      </c>
      <c r="Z649" s="26">
        <f t="shared" si="973"/>
        <v>114.85598447184918</v>
      </c>
      <c r="AA649" s="26">
        <f t="shared" si="1042"/>
        <v>1769.34130859375</v>
      </c>
      <c r="AB649" s="33">
        <f t="shared" si="956"/>
        <v>105.28311918904959</v>
      </c>
    </row>
    <row r="650" spans="1:28" x14ac:dyDescent="0.3">
      <c r="A650" s="32">
        <f>VLOOKUP(YEAR(C650),Flags!$A$13:$B$95,2,FALSE)</f>
        <v>5</v>
      </c>
      <c r="B650" s="24">
        <f t="shared" si="951"/>
        <v>1992</v>
      </c>
      <c r="C650" s="25">
        <v>33908</v>
      </c>
      <c r="D650" s="26"/>
      <c r="E650" s="24"/>
      <c r="F650" s="26"/>
      <c r="G650" s="26"/>
      <c r="H650" s="26"/>
      <c r="I650" s="26"/>
      <c r="J650" s="26"/>
      <c r="K650" s="26"/>
      <c r="L650" s="24"/>
      <c r="M650" s="24"/>
      <c r="N650" s="26"/>
      <c r="O650" s="26"/>
      <c r="P650" s="26"/>
      <c r="Q650" s="26"/>
      <c r="R650" s="26"/>
      <c r="S650" s="26"/>
      <c r="T650" s="26"/>
      <c r="U650" s="26"/>
      <c r="V650" s="26"/>
      <c r="W650" s="26">
        <f>MAX($C$9-VLOOKUP($C650,COS!$B$8:$H$991,3,FALSE),0)</f>
        <v>0</v>
      </c>
      <c r="X650" s="26">
        <f t="shared" si="972"/>
        <v>0</v>
      </c>
      <c r="Y650" s="26">
        <f>VLOOKUP($C650,COS!$B$8:$H$991,4,FALSE)</f>
        <v>1311.4129638671875</v>
      </c>
      <c r="Z650" s="26">
        <f t="shared" si="973"/>
        <v>80.635640092329538</v>
      </c>
      <c r="AA650" s="26">
        <f t="shared" si="1042"/>
        <v>0</v>
      </c>
      <c r="AB650" s="33">
        <f t="shared" si="956"/>
        <v>0</v>
      </c>
    </row>
    <row r="651" spans="1:28" x14ac:dyDescent="0.3">
      <c r="A651" s="32">
        <f>VLOOKUP(YEAR(C651),Flags!$A$13:$B$95,2,FALSE)</f>
        <v>5</v>
      </c>
      <c r="B651" s="24">
        <f t="shared" si="951"/>
        <v>1992</v>
      </c>
      <c r="C651" s="25">
        <v>33938</v>
      </c>
      <c r="D651" s="26"/>
      <c r="E651" s="24"/>
      <c r="F651" s="26"/>
      <c r="G651" s="26"/>
      <c r="H651" s="26"/>
      <c r="I651" s="26"/>
      <c r="J651" s="26"/>
      <c r="K651" s="26"/>
      <c r="L651" s="24"/>
      <c r="M651" s="24"/>
      <c r="N651" s="26"/>
      <c r="O651" s="26"/>
      <c r="P651" s="26"/>
      <c r="Q651" s="26"/>
      <c r="R651" s="26"/>
      <c r="S651" s="26"/>
      <c r="T651" s="26"/>
      <c r="U651" s="26"/>
      <c r="V651" s="26"/>
      <c r="W651" s="26">
        <f>MAX($C$10-VLOOKUP($C651,COS!$B$8:$H$991,3,FALSE),0)</f>
        <v>168.818359375</v>
      </c>
      <c r="X651" s="26">
        <f t="shared" si="972"/>
        <v>10.045389979338843</v>
      </c>
      <c r="Y651" s="26">
        <f>VLOOKUP($C651,COS!$B$8:$H$991,4,FALSE)</f>
        <v>1543.501953125</v>
      </c>
      <c r="Z651" s="26">
        <f t="shared" si="973"/>
        <v>91.844744318181824</v>
      </c>
      <c r="AA651" s="26">
        <f t="shared" si="1042"/>
        <v>168.818359375</v>
      </c>
      <c r="AB651" s="33">
        <f t="shared" si="956"/>
        <v>10.045389979338843</v>
      </c>
    </row>
    <row r="652" spans="1:28" x14ac:dyDescent="0.3">
      <c r="A652" s="34">
        <f>VLOOKUP(YEAR(C652),Flags!$A$13:$B$95,2,FALSE)</f>
        <v>5</v>
      </c>
      <c r="B652" s="35">
        <f t="shared" si="951"/>
        <v>1992</v>
      </c>
      <c r="C652" s="36">
        <v>33969</v>
      </c>
      <c r="D652" s="37"/>
      <c r="E652" s="35"/>
      <c r="F652" s="37"/>
      <c r="G652" s="37"/>
      <c r="H652" s="37"/>
      <c r="I652" s="37"/>
      <c r="J652" s="37"/>
      <c r="K652" s="37"/>
      <c r="L652" s="35"/>
      <c r="M652" s="35"/>
      <c r="N652" s="37"/>
      <c r="O652" s="37"/>
      <c r="P652" s="37"/>
      <c r="Q652" s="37"/>
      <c r="R652" s="37"/>
      <c r="S652" s="37"/>
      <c r="T652" s="37"/>
      <c r="U652" s="37"/>
      <c r="V652" s="37"/>
      <c r="W652" s="37">
        <f>MAX($C$11-VLOOKUP($C652,COS!$B$8:$H$991,3,FALSE),0)</f>
        <v>1750</v>
      </c>
      <c r="X652" s="37">
        <f t="shared" si="972"/>
        <v>107.60330578512398</v>
      </c>
      <c r="Y652" s="37">
        <f>VLOOKUP($C652,COS!$B$8:$H$991,4,FALSE)</f>
        <v>1778.0540771484375</v>
      </c>
      <c r="Z652" s="37">
        <f t="shared" si="973"/>
        <v>109.32828375193698</v>
      </c>
      <c r="AA652" s="37">
        <f t="shared" si="1042"/>
        <v>1750</v>
      </c>
      <c r="AB652" s="38">
        <f t="shared" si="956"/>
        <v>107.60330578512398</v>
      </c>
    </row>
    <row r="653" spans="1:28" x14ac:dyDescent="0.3">
      <c r="A653" s="27">
        <f>VLOOKUP(YEAR(C653),Flags!$A$13:$B$95,2,FALSE)</f>
        <v>2</v>
      </c>
      <c r="B653" s="28">
        <f t="shared" si="951"/>
        <v>1993</v>
      </c>
      <c r="C653" s="29">
        <v>34089</v>
      </c>
      <c r="D653" s="30">
        <f>VLOOKUP($C653,COS!$B$8:$H$991,3,FALSE)</f>
        <v>4509.7060546875</v>
      </c>
      <c r="E653" s="28">
        <f>IF(D653&gt;=IF(MONTH($C653)=4,$C$3,IF(MONTH($C653)=5,$C$4,IF(MONTH($C653)=6,$C$5,IF(MONTH($C653)=7,$C$6,"ERROR")))),1,0)</f>
        <v>0</v>
      </c>
      <c r="F653" s="30">
        <f>VLOOKUP($C653,COS!$B$8:$H$991,7,FALSE)</f>
        <v>48.90673828125</v>
      </c>
      <c r="G653" s="28">
        <f>IF(F653&lt;=IF(MONTH($C653)=4,$F$3,IF(MONTH($C653)=5,$F$4,IF(MONTH($C653)=6,$F$5,IF(MONTH($C653)=7,$F$6,"ERROR")))),1,0)</f>
        <v>1</v>
      </c>
      <c r="H653" s="30">
        <f>IF(J653=1,D653-$C$3,0)</f>
        <v>0</v>
      </c>
      <c r="I653" s="30">
        <f t="shared" si="982"/>
        <v>0</v>
      </c>
      <c r="J653" s="28">
        <f t="shared" ref="J653:J656" si="1045">IF(AND(E653=1,G653=1),1,0)</f>
        <v>0</v>
      </c>
      <c r="K653" s="30">
        <f>VLOOKUP($C653,COS!$B$8:$H$991,2,FALSE)</f>
        <v>4552</v>
      </c>
      <c r="L653" s="28">
        <f t="shared" ref="L653:L710" si="1046">IF(K653&lt;=IF(MONTH($C653)=4,$I$3,IF(MONTH($C653)=5,$I$4,IF(MONTH($C653)=6,$I$5,IF(MONTH($C653)=7,$I$6,"ERROR")))),1,0)</f>
        <v>1</v>
      </c>
      <c r="M653" s="28">
        <f t="shared" ref="M653:M710" si="1047">VLOOKUP($A653,$L$3:$M$7,2,FALSE)</f>
        <v>0</v>
      </c>
      <c r="N653" s="30">
        <f>VLOOKUP($C653,COS!$B$8:$H$991,5,FALSE)</f>
        <v>455.07608032226563</v>
      </c>
      <c r="O653" s="30">
        <f t="shared" ref="O653:O656" si="1048">N653*DAY($C653)*86400/43560/1000</f>
        <v>27.078907258845557</v>
      </c>
      <c r="P653" s="30">
        <f>VLOOKUP($C653,COS!$B$8:$H$991,6,FALSE)</f>
        <v>445.36074829101563</v>
      </c>
      <c r="Q653" s="30">
        <f t="shared" ref="Q653:Q656" si="1049">P653*DAY($C653)*86400/43560/1000</f>
        <v>26.500804856986054</v>
      </c>
      <c r="R653" s="30">
        <f>MIN(IF(MONTH($C653)=4,$S$3,IF(MONTH($C653)=5,$S$4,IF(MONTH($C653)=6,$S$5,IF(MONTH($C653)=7,$S$6,"ERROR")))),MAX(VLOOKUP($C653,COS!$B$8:$K$991,10,FALSE)-IF(MONTH($C653)=4,$Y$3,IF(MONTH($C653)=5,$Y$4,IF(MONTH($C653)=6,$Y$5,IF(MONTH($C653)=7,$Y$6,"ERROR")))),0),MAX(VLOOKUP($C653,COS!$B$8:$K$991,9,FALSE)-IF(MONTH($C653)=4,$V$3,IF(MONTH($C653)=5,$V$4,IF(MONTH($C653)=6,$V$5,IF(MONTH($C653)=7,$V$6,"ERROR"))))-VLOOKUP($C653,COS!$B$8:$K$991,6,FALSE)/2,0))</f>
        <v>1500</v>
      </c>
      <c r="S653" s="30">
        <f t="shared" ref="S653:S656" si="1050">R653*DAY($C653)*86400/43560/1000</f>
        <v>89.256198347107429</v>
      </c>
      <c r="T653" s="30">
        <f t="shared" ref="T653:T656" si="1051">(O653+Q653)/2+S653</f>
        <v>116.04605440502323</v>
      </c>
      <c r="U653" s="30" t="str">
        <f>IF(VLOOKUP($C653,COS!$B$8:$I$991,8,FALSE)=1,"UWFE","IBU")</f>
        <v>UWFE</v>
      </c>
      <c r="V653" s="30">
        <f t="shared" ref="V653" si="1052">MIN(IF(IF($AA$3=2,AND(E653=1,G653=1,L653=1,L658=1,M653=1,U653="IBU"),AND(E653=1,G653=1,L653=1,L658=1,M653=1)),T653,0),I653)</f>
        <v>0</v>
      </c>
      <c r="W653" s="30"/>
      <c r="X653" s="30"/>
      <c r="Y653" s="30"/>
      <c r="Z653" s="30"/>
      <c r="AA653" s="30"/>
      <c r="AB653" s="31"/>
    </row>
    <row r="654" spans="1:28" x14ac:dyDescent="0.3">
      <c r="A654" s="32">
        <f>VLOOKUP(YEAR(C654),Flags!$A$13:$B$95,2,FALSE)</f>
        <v>2</v>
      </c>
      <c r="B654" s="24">
        <f t="shared" si="951"/>
        <v>1993</v>
      </c>
      <c r="C654" s="25">
        <v>34120</v>
      </c>
      <c r="D654" s="26">
        <f>VLOOKUP($C654,COS!$B$8:$H$991,3,FALSE)</f>
        <v>9188.9970703125</v>
      </c>
      <c r="E654" s="24">
        <f>IF(D654&gt;=IF(MONTH($C654)=4,$C$3,IF(MONTH($C654)=5,$C$4,IF(MONTH($C654)=6,$C$5,IF(MONTH($C654)=7,$C$6,"ERROR")))),1,0)</f>
        <v>1</v>
      </c>
      <c r="F654" s="26">
        <f>VLOOKUP($C654,COS!$B$8:$H$991,7,FALSE)</f>
        <v>49.416866302490234</v>
      </c>
      <c r="G654" s="24">
        <f>IF(F654&lt;=IF(MONTH($C654)=4,$F$3,IF(MONTH($C654)=5,$F$4,IF(MONTH($C654)=6,$F$5,IF(MONTH($C654)=7,$F$6,"ERROR")))),1,0)</f>
        <v>1</v>
      </c>
      <c r="H654" s="26">
        <f>IF(J654=1,D654-$C$4,0)</f>
        <v>3188.9970703125</v>
      </c>
      <c r="I654" s="26">
        <f t="shared" si="982"/>
        <v>196.08378680268595</v>
      </c>
      <c r="J654" s="24">
        <f t="shared" si="1045"/>
        <v>1</v>
      </c>
      <c r="K654" s="26">
        <f>VLOOKUP($C654,COS!$B$8:$H$991,2,FALSE)</f>
        <v>4552</v>
      </c>
      <c r="L654" s="24">
        <f t="shared" si="1046"/>
        <v>1</v>
      </c>
      <c r="M654" s="24">
        <f t="shared" si="1047"/>
        <v>0</v>
      </c>
      <c r="N654" s="26">
        <f>VLOOKUP($C654,COS!$B$8:$H$991,5,FALSE)</f>
        <v>533.46905517578125</v>
      </c>
      <c r="O654" s="26">
        <f t="shared" si="1048"/>
        <v>32.801733640560435</v>
      </c>
      <c r="P654" s="26">
        <f>VLOOKUP($C654,COS!$B$8:$H$991,6,FALSE)</f>
        <v>1840.1044921875</v>
      </c>
      <c r="Q654" s="26">
        <f t="shared" si="1049"/>
        <v>113.14361505681818</v>
      </c>
      <c r="R654" s="26">
        <f>MIN(IF(MONTH($C654)=4,$S$3,IF(MONTH($C654)=5,$S$4,IF(MONTH($C654)=6,$S$5,IF(MONTH($C654)=7,$S$6,"ERROR")))),MAX(VLOOKUP($C654,COS!$B$8:$K$991,10,FALSE)-IF(MONTH($C654)=4,$Y$3,IF(MONTH($C654)=5,$Y$4,IF(MONTH($C654)=6,$Y$5,IF(MONTH($C654)=7,$Y$6,"ERROR")))),0),MAX(VLOOKUP($C654,COS!$B$8:$K$991,9,FALSE)-IF(MONTH($C654)=4,$V$3,IF(MONTH($C654)=5,$V$4,IF(MONTH($C654)=6,$V$5,IF(MONTH($C654)=7,$V$6,"ERROR"))))-VLOOKUP($C654,COS!$B$8:$K$991,6,FALSE)/2,0))</f>
        <v>1500</v>
      </c>
      <c r="S654" s="26">
        <f t="shared" si="1050"/>
        <v>92.231404958677686</v>
      </c>
      <c r="T654" s="26">
        <f t="shared" si="1051"/>
        <v>165.20407930736701</v>
      </c>
      <c r="U654" s="26" t="str">
        <f>IF(VLOOKUP($C654,COS!$B$8:$I$991,8,FALSE)=1,"UWFE","IBU")</f>
        <v>UWFE</v>
      </c>
      <c r="V654" s="26">
        <f t="shared" ref="V654" si="1053">MIN(IF(IF($AA$3=2,AND(E654=1,G654=1,L654=1,L658=1,M654=1,U654="IBU"),AND(E654=1,G654=1,L654=1,L658=1,M654=1)),T654,0),I654)</f>
        <v>0</v>
      </c>
      <c r="W654" s="26"/>
      <c r="X654" s="26"/>
      <c r="Y654" s="26"/>
      <c r="Z654" s="26"/>
      <c r="AA654" s="26"/>
      <c r="AB654" s="33"/>
    </row>
    <row r="655" spans="1:28" x14ac:dyDescent="0.3">
      <c r="A655" s="32">
        <f>VLOOKUP(YEAR(C655),Flags!$A$13:$B$95,2,FALSE)</f>
        <v>2</v>
      </c>
      <c r="B655" s="24">
        <f t="shared" ref="B655:B718" si="1054">YEAR(C655)</f>
        <v>1993</v>
      </c>
      <c r="C655" s="25">
        <v>34150</v>
      </c>
      <c r="D655" s="26">
        <f>VLOOKUP($C655,COS!$B$8:$H$991,3,FALSE)</f>
        <v>8366.6103515625</v>
      </c>
      <c r="E655" s="24">
        <f>IF(D655&gt;=IF(MONTH($C655)=4,$C$3,IF(MONTH($C655)=5,$C$4,IF(MONTH($C655)=6,$C$5,IF(MONTH($C655)=7,$C$6,"ERROR")))),1,0)</f>
        <v>0</v>
      </c>
      <c r="F655" s="26">
        <f>VLOOKUP($C655,COS!$B$8:$H$991,7,FALSE)</f>
        <v>51.333587646484375</v>
      </c>
      <c r="G655" s="24">
        <f>IF(F655&lt;=IF(MONTH($C655)=4,$F$3,IF(MONTH($C655)=5,$F$4,IF(MONTH($C655)=6,$F$5,IF(MONTH($C655)=7,$F$6,"ERROR")))),1,0)</f>
        <v>1</v>
      </c>
      <c r="H655" s="26">
        <f>IF(J655=1,D655-$C$5,0)</f>
        <v>0</v>
      </c>
      <c r="I655" s="26">
        <f t="shared" si="982"/>
        <v>0</v>
      </c>
      <c r="J655" s="24">
        <f t="shared" si="1045"/>
        <v>0</v>
      </c>
      <c r="K655" s="26">
        <f>VLOOKUP($C655,COS!$B$8:$H$991,2,FALSE)</f>
        <v>4500</v>
      </c>
      <c r="L655" s="24">
        <f t="shared" si="1046"/>
        <v>1</v>
      </c>
      <c r="M655" s="24">
        <f t="shared" si="1047"/>
        <v>0</v>
      </c>
      <c r="N655" s="26">
        <f>VLOOKUP($C655,COS!$B$8:$H$991,5,FALSE)</f>
        <v>1014.9423828125</v>
      </c>
      <c r="O655" s="26">
        <f t="shared" si="1048"/>
        <v>60.39326575413223</v>
      </c>
      <c r="P655" s="26">
        <f>VLOOKUP($C655,COS!$B$8:$H$991,6,FALSE)</f>
        <v>2171.25048828125</v>
      </c>
      <c r="Q655" s="26">
        <f t="shared" si="1049"/>
        <v>129.19837616219007</v>
      </c>
      <c r="R655" s="26">
        <f>MIN(IF(MONTH($C655)=4,$S$3,IF(MONTH($C655)=5,$S$4,IF(MONTH($C655)=6,$S$5,IF(MONTH($C655)=7,$S$6,"ERROR")))),MAX(VLOOKUP($C655,COS!$B$8:$K$991,10,FALSE)-IF(MONTH($C655)=4,$Y$3,IF(MONTH($C655)=5,$Y$4,IF(MONTH($C655)=6,$Y$5,IF(MONTH($C655)=7,$Y$6,"ERROR")))),0),MAX(VLOOKUP($C655,COS!$B$8:$K$991,9,FALSE)-IF(MONTH($C655)=4,$V$3,IF(MONTH($C655)=5,$V$4,IF(MONTH($C655)=6,$V$5,IF(MONTH($C655)=7,$V$6,"ERROR"))))-VLOOKUP($C655,COS!$B$8:$K$991,6,FALSE)/2,0))</f>
        <v>1500</v>
      </c>
      <c r="S655" s="26">
        <f t="shared" si="1050"/>
        <v>89.256198347107429</v>
      </c>
      <c r="T655" s="26">
        <f t="shared" si="1051"/>
        <v>184.05201930526857</v>
      </c>
      <c r="U655" s="26" t="str">
        <f>IF(VLOOKUP($C655,COS!$B$8:$I$991,8,FALSE)=1,"UWFE","IBU")</f>
        <v>UWFE</v>
      </c>
      <c r="V655" s="26">
        <f t="shared" ref="V655" si="1055">MIN(IF(IF($AA$3=2,AND(E655=1,G655=1,L655=1,L658=1,M655=1,U655="IBU"),AND(E655=1,G655=1,L655=1,L658=1,M655=1)),T655,0),I655)</f>
        <v>0</v>
      </c>
      <c r="W655" s="26"/>
      <c r="X655" s="26"/>
      <c r="Y655" s="26"/>
      <c r="Z655" s="26"/>
      <c r="AA655" s="26"/>
      <c r="AB655" s="33"/>
    </row>
    <row r="656" spans="1:28" x14ac:dyDescent="0.3">
      <c r="A656" s="32">
        <f>VLOOKUP(YEAR(C656),Flags!$A$13:$B$95,2,FALSE)</f>
        <v>2</v>
      </c>
      <c r="B656" s="24">
        <f t="shared" si="1054"/>
        <v>1993</v>
      </c>
      <c r="C656" s="25">
        <v>34181</v>
      </c>
      <c r="D656" s="26">
        <f>VLOOKUP($C656,COS!$B$8:$H$991,3,FALSE)</f>
        <v>14804.357421875</v>
      </c>
      <c r="E656" s="24">
        <f>IF(D656&gt;=IF(MONTH($C656)=4,$C$3,IF(MONTH($C656)=5,$C$4,IF(MONTH($C656)=6,$C$5,IF(MONTH($C656)=7,$C$6,"ERROR")))),1,0)</f>
        <v>1</v>
      </c>
      <c r="F656" s="26">
        <f>VLOOKUP($C656,COS!$B$8:$H$991,7,FALSE)</f>
        <v>51.517642974853516</v>
      </c>
      <c r="G656" s="24">
        <f>IF(F656&lt;=IF(MONTH($C656)=4,$F$3,IF(MONTH($C656)=5,$F$4,IF(MONTH($C656)=6,$F$5,IF(MONTH($C656)=7,$F$6,"ERROR")))),1,0)</f>
        <v>1</v>
      </c>
      <c r="H656" s="26">
        <f>IF(J656=1,D656-$C$6,0)</f>
        <v>2804.357421875</v>
      </c>
      <c r="I656" s="26">
        <f t="shared" si="982"/>
        <v>172.4332166838843</v>
      </c>
      <c r="J656" s="24">
        <f t="shared" si="1045"/>
        <v>1</v>
      </c>
      <c r="K656" s="26">
        <f>VLOOKUP($C656,COS!$B$8:$H$991,2,FALSE)</f>
        <v>3787.8994140625</v>
      </c>
      <c r="L656" s="24">
        <f t="shared" si="1046"/>
        <v>1</v>
      </c>
      <c r="M656" s="24">
        <f t="shared" si="1047"/>
        <v>0</v>
      </c>
      <c r="N656" s="26">
        <f>VLOOKUP($C656,COS!$B$8:$H$991,5,FALSE)</f>
        <v>1376.93798828125</v>
      </c>
      <c r="O656" s="26">
        <f t="shared" si="1048"/>
        <v>84.664616800103303</v>
      </c>
      <c r="P656" s="26">
        <f>VLOOKUP($C656,COS!$B$8:$H$991,6,FALSE)</f>
        <v>2562.892822265625</v>
      </c>
      <c r="Q656" s="26">
        <f t="shared" si="1049"/>
        <v>157.58613717071282</v>
      </c>
      <c r="R656" s="26">
        <f>MIN(IF(MONTH($C656)=4,$S$3,IF(MONTH($C656)=5,$S$4,IF(MONTH($C656)=6,$S$5,IF(MONTH($C656)=7,$S$6,"ERROR")))),MAX(VLOOKUP($C656,COS!$B$8:$K$991,10,FALSE)-IF(MONTH($C656)=4,$Y$3,IF(MONTH($C656)=5,$Y$4,IF(MONTH($C656)=6,$Y$5,IF(MONTH($C656)=7,$Y$6,"ERROR")))),0),MAX(VLOOKUP($C656,COS!$B$8:$K$991,9,FALSE)-IF(MONTH($C656)=4,$V$3,IF(MONTH($C656)=5,$V$4,IF(MONTH($C656)=6,$V$5,IF(MONTH($C656)=7,$V$6,"ERROR"))))-VLOOKUP($C656,COS!$B$8:$K$991,6,FALSE)/2,0))</f>
        <v>1500</v>
      </c>
      <c r="S656" s="26">
        <f t="shared" si="1050"/>
        <v>92.231404958677686</v>
      </c>
      <c r="T656" s="26">
        <f t="shared" si="1051"/>
        <v>213.35678194408575</v>
      </c>
      <c r="U656" s="26" t="str">
        <f>IF(VLOOKUP($C656,COS!$B$8:$I$991,8,FALSE)=1,"UWFE","IBU")</f>
        <v>IBU</v>
      </c>
      <c r="V656" s="26">
        <f t="shared" ref="V656" si="1056">MIN(IF(IF($AA$3=2,AND(E656=1,G656=1,L656=1,L658=1,M656=1,U656="IBU"),AND(E656=1,G656=1,L656=1,L658=1,M656=1)),T656,0),I656)</f>
        <v>0</v>
      </c>
      <c r="W656" s="26"/>
      <c r="X656" s="26"/>
      <c r="Y656" s="26"/>
      <c r="Z656" s="26"/>
      <c r="AA656" s="26"/>
      <c r="AB656" s="33"/>
    </row>
    <row r="657" spans="1:28" x14ac:dyDescent="0.3">
      <c r="A657" s="32">
        <f>VLOOKUP(YEAR(C657),Flags!$A$13:$B$95,2,FALSE)</f>
        <v>2</v>
      </c>
      <c r="B657" s="24">
        <f t="shared" si="1054"/>
        <v>1993</v>
      </c>
      <c r="C657" s="25">
        <v>34212</v>
      </c>
      <c r="D657" s="26"/>
      <c r="E657" s="24"/>
      <c r="F657" s="26"/>
      <c r="G657" s="24"/>
      <c r="H657" s="24"/>
      <c r="I657" s="26"/>
      <c r="J657" s="24"/>
      <c r="K657" s="26"/>
      <c r="L657" s="24"/>
      <c r="M657" s="24"/>
      <c r="N657" s="26"/>
      <c r="O657" s="26"/>
      <c r="P657" s="26"/>
      <c r="Q657" s="26"/>
      <c r="R657" s="26"/>
      <c r="S657" s="26"/>
      <c r="T657" s="26"/>
      <c r="U657" s="26"/>
      <c r="V657" s="26"/>
      <c r="W657" s="26">
        <f>MAX($C$7-VLOOKUP($C657,COS!$B$8:$H$991,3,FALSE),0)</f>
        <v>2623.63671875</v>
      </c>
      <c r="X657" s="26">
        <f t="shared" si="972"/>
        <v>161.32113378099174</v>
      </c>
      <c r="Y657" s="26">
        <f>VLOOKUP($C657,COS!$B$8:$H$991,4,FALSE)</f>
        <v>168.43087768554688</v>
      </c>
      <c r="Z657" s="26">
        <f t="shared" si="973"/>
        <v>10.356410991574121</v>
      </c>
      <c r="AA657" s="26">
        <f t="shared" ref="AA657:AA661" si="1057">MIN(W657,Y657)</f>
        <v>168.43087768554688</v>
      </c>
      <c r="AB657" s="33">
        <f t="shared" ref="AB657:AB715" si="1058">AA657*DAY($C657)*86400/43560/1000*IF(MONTH($C657)=8,$P$3,IF(MONTH($C657)=9,$P$4,IF(MONTH($C657)=10,$P$5,IF(MONTH($C657)=11,$P$6,IF(MONTH($C657)=12,$P$7,NA())))))</f>
        <v>10.356410991574121</v>
      </c>
    </row>
    <row r="658" spans="1:28" x14ac:dyDescent="0.3">
      <c r="A658" s="32">
        <f>VLOOKUP(YEAR(C658),Flags!$A$13:$B$95,2,FALSE)</f>
        <v>2</v>
      </c>
      <c r="B658" s="24">
        <f t="shared" si="1054"/>
        <v>1993</v>
      </c>
      <c r="C658" s="25">
        <v>34242</v>
      </c>
      <c r="D658" s="26"/>
      <c r="E658" s="24"/>
      <c r="F658" s="26"/>
      <c r="G658" s="24"/>
      <c r="H658" s="24"/>
      <c r="I658" s="26"/>
      <c r="J658" s="24"/>
      <c r="K658" s="26">
        <f>VLOOKUP($C658,COS!$B$8:$H$991,2,FALSE)</f>
        <v>3136.02685546875</v>
      </c>
      <c r="L658" s="24">
        <f t="shared" ref="L658" si="1059">IF(AND(K658&gt;$I$7,K658&lt;$I$8),1,0)</f>
        <v>1</v>
      </c>
      <c r="M658" s="24"/>
      <c r="N658" s="26"/>
      <c r="O658" s="26"/>
      <c r="P658" s="26"/>
      <c r="Q658" s="26"/>
      <c r="R658" s="26"/>
      <c r="S658" s="26"/>
      <c r="T658" s="26"/>
      <c r="U658" s="26"/>
      <c r="V658" s="26"/>
      <c r="W658" s="26">
        <f>MAX($C$8-VLOOKUP($C658,COS!$B$8:$H$991,3,FALSE),0)</f>
        <v>0</v>
      </c>
      <c r="X658" s="26">
        <f t="shared" si="972"/>
        <v>0</v>
      </c>
      <c r="Y658" s="26">
        <f>VLOOKUP($C658,COS!$B$8:$H$991,4,FALSE)</f>
        <v>0</v>
      </c>
      <c r="Z658" s="26">
        <f t="shared" si="973"/>
        <v>0</v>
      </c>
      <c r="AA658" s="26">
        <f t="shared" si="1057"/>
        <v>0</v>
      </c>
      <c r="AB658" s="33">
        <f t="shared" si="1058"/>
        <v>0</v>
      </c>
    </row>
    <row r="659" spans="1:28" x14ac:dyDescent="0.3">
      <c r="A659" s="32">
        <f>VLOOKUP(YEAR(C659),Flags!$A$13:$B$95,2,FALSE)</f>
        <v>2</v>
      </c>
      <c r="B659" s="24">
        <f t="shared" si="1054"/>
        <v>1993</v>
      </c>
      <c r="C659" s="25">
        <v>34273</v>
      </c>
      <c r="D659" s="26"/>
      <c r="E659" s="24"/>
      <c r="F659" s="26"/>
      <c r="G659" s="26"/>
      <c r="H659" s="26"/>
      <c r="I659" s="26"/>
      <c r="J659" s="26"/>
      <c r="K659" s="26"/>
      <c r="L659" s="24"/>
      <c r="M659" s="24"/>
      <c r="N659" s="26"/>
      <c r="O659" s="26"/>
      <c r="P659" s="26"/>
      <c r="Q659" s="26"/>
      <c r="R659" s="26"/>
      <c r="S659" s="26"/>
      <c r="T659" s="26"/>
      <c r="U659" s="26"/>
      <c r="V659" s="26"/>
      <c r="W659" s="26">
        <f>MAX($C$9-VLOOKUP($C659,COS!$B$8:$H$991,3,FALSE),0)</f>
        <v>0</v>
      </c>
      <c r="X659" s="26">
        <f t="shared" si="972"/>
        <v>0</v>
      </c>
      <c r="Y659" s="26">
        <f>VLOOKUP($C659,COS!$B$8:$H$991,4,FALSE)</f>
        <v>766.87762451171875</v>
      </c>
      <c r="Z659" s="26">
        <f t="shared" si="973"/>
        <v>47.1534671600594</v>
      </c>
      <c r="AA659" s="26">
        <f t="shared" si="1057"/>
        <v>0</v>
      </c>
      <c r="AB659" s="33">
        <f t="shared" si="1058"/>
        <v>0</v>
      </c>
    </row>
    <row r="660" spans="1:28" x14ac:dyDescent="0.3">
      <c r="A660" s="32">
        <f>VLOOKUP(YEAR(C660),Flags!$A$13:$B$95,2,FALSE)</f>
        <v>2</v>
      </c>
      <c r="B660" s="24">
        <f t="shared" si="1054"/>
        <v>1993</v>
      </c>
      <c r="C660" s="25">
        <v>34303</v>
      </c>
      <c r="D660" s="26"/>
      <c r="E660" s="24"/>
      <c r="F660" s="26"/>
      <c r="G660" s="26"/>
      <c r="H660" s="26"/>
      <c r="I660" s="26"/>
      <c r="J660" s="26"/>
      <c r="K660" s="26"/>
      <c r="L660" s="24"/>
      <c r="M660" s="24"/>
      <c r="N660" s="26"/>
      <c r="O660" s="26"/>
      <c r="P660" s="26"/>
      <c r="Q660" s="26"/>
      <c r="R660" s="26"/>
      <c r="S660" s="26"/>
      <c r="T660" s="26"/>
      <c r="U660" s="26"/>
      <c r="V660" s="26"/>
      <c r="W660" s="26">
        <f>MAX($C$10-VLOOKUP($C660,COS!$B$8:$H$991,3,FALSE),0)</f>
        <v>0</v>
      </c>
      <c r="X660" s="26">
        <f t="shared" si="972"/>
        <v>0</v>
      </c>
      <c r="Y660" s="26">
        <f>VLOOKUP($C660,COS!$B$8:$H$991,4,FALSE)</f>
        <v>1359.887451171875</v>
      </c>
      <c r="Z660" s="26">
        <f t="shared" si="973"/>
        <v>80.91892271435951</v>
      </c>
      <c r="AA660" s="26">
        <f t="shared" si="1057"/>
        <v>0</v>
      </c>
      <c r="AB660" s="33">
        <f t="shared" si="1058"/>
        <v>0</v>
      </c>
    </row>
    <row r="661" spans="1:28" x14ac:dyDescent="0.3">
      <c r="A661" s="34">
        <f>VLOOKUP(YEAR(C661),Flags!$A$13:$B$95,2,FALSE)</f>
        <v>2</v>
      </c>
      <c r="B661" s="35">
        <f t="shared" si="1054"/>
        <v>1993</v>
      </c>
      <c r="C661" s="36">
        <v>34334</v>
      </c>
      <c r="D661" s="37"/>
      <c r="E661" s="35"/>
      <c r="F661" s="37"/>
      <c r="G661" s="37"/>
      <c r="H661" s="37"/>
      <c r="I661" s="37"/>
      <c r="J661" s="37"/>
      <c r="K661" s="37"/>
      <c r="L661" s="35"/>
      <c r="M661" s="35"/>
      <c r="N661" s="37"/>
      <c r="O661" s="37"/>
      <c r="P661" s="37"/>
      <c r="Q661" s="37"/>
      <c r="R661" s="37"/>
      <c r="S661" s="37"/>
      <c r="T661" s="37"/>
      <c r="U661" s="37"/>
      <c r="V661" s="37"/>
      <c r="W661" s="37">
        <f>MAX($C$11-VLOOKUP($C661,COS!$B$8:$H$991,3,FALSE),0)</f>
        <v>1750</v>
      </c>
      <c r="X661" s="37">
        <f t="shared" si="972"/>
        <v>107.60330578512398</v>
      </c>
      <c r="Y661" s="37">
        <f>VLOOKUP($C661,COS!$B$8:$H$991,4,FALSE)</f>
        <v>188.46723937988281</v>
      </c>
      <c r="Z661" s="37">
        <f t="shared" si="973"/>
        <v>11.588398851126678</v>
      </c>
      <c r="AA661" s="37">
        <f t="shared" si="1057"/>
        <v>188.46723937988281</v>
      </c>
      <c r="AB661" s="38">
        <f t="shared" si="1058"/>
        <v>11.588398851126678</v>
      </c>
    </row>
    <row r="662" spans="1:28" x14ac:dyDescent="0.3">
      <c r="A662" s="27">
        <f>VLOOKUP(YEAR(C662),Flags!$A$13:$B$95,2,FALSE)</f>
        <v>5</v>
      </c>
      <c r="B662" s="28">
        <f t="shared" si="1054"/>
        <v>1994</v>
      </c>
      <c r="C662" s="29">
        <v>34454</v>
      </c>
      <c r="D662" s="30">
        <f>VLOOKUP($C662,COS!$B$8:$H$991,3,FALSE)</f>
        <v>3250</v>
      </c>
      <c r="E662" s="28">
        <f>IF(D662&gt;=IF(MONTH($C662)=4,$C$3,IF(MONTH($C662)=5,$C$4,IF(MONTH($C662)=6,$C$5,IF(MONTH($C662)=7,$C$6,"ERROR")))),1,0)</f>
        <v>0</v>
      </c>
      <c r="F662" s="30">
        <f>VLOOKUP($C662,COS!$B$8:$H$991,7,FALSE)</f>
        <v>52.782566070556641</v>
      </c>
      <c r="G662" s="28">
        <f>IF(F662&lt;=IF(MONTH($C662)=4,$F$3,IF(MONTH($C662)=5,$F$4,IF(MONTH($C662)=6,$F$5,IF(MONTH($C662)=7,$F$6,"ERROR")))),1,0)</f>
        <v>1</v>
      </c>
      <c r="H662" s="30">
        <f>IF(J662=1,D662-$C$3,0)</f>
        <v>0</v>
      </c>
      <c r="I662" s="30">
        <f t="shared" si="982"/>
        <v>0</v>
      </c>
      <c r="J662" s="28">
        <f t="shared" ref="J662:J665" si="1060">IF(AND(E662=1,G662=1),1,0)</f>
        <v>0</v>
      </c>
      <c r="K662" s="30">
        <f>VLOOKUP($C662,COS!$B$8:$H$991,2,FALSE)</f>
        <v>3428.306884765625</v>
      </c>
      <c r="L662" s="28">
        <f t="shared" ref="L662" si="1061">IF(K662&lt;=IF(MONTH($C662)=4,$I$3,IF(MONTH($C662)=5,$I$4,IF(MONTH($C662)=6,$I$5,IF(MONTH($C662)=7,$I$6,"ERROR")))),1,0)</f>
        <v>1</v>
      </c>
      <c r="M662" s="28">
        <f t="shared" ref="M662" si="1062">VLOOKUP($A662,$L$3:$M$7,2,FALSE)</f>
        <v>1</v>
      </c>
      <c r="N662" s="30">
        <f>VLOOKUP($C662,COS!$B$8:$H$991,5,FALSE)</f>
        <v>498.4775390625</v>
      </c>
      <c r="O662" s="30">
        <f t="shared" ref="O662:O665" si="1063">N662*DAY($C662)*86400/43560/1000</f>
        <v>29.661473398760332</v>
      </c>
      <c r="P662" s="30">
        <f>VLOOKUP($C662,COS!$B$8:$H$991,6,FALSE)</f>
        <v>517.51263427734375</v>
      </c>
      <c r="Q662" s="30">
        <f t="shared" ref="Q662:Q665" si="1064">P662*DAY($C662)*86400/43560/1000</f>
        <v>30.794140221461777</v>
      </c>
      <c r="R662" s="30">
        <f>MIN(IF(MONTH($C662)=4,$S$3,IF(MONTH($C662)=5,$S$4,IF(MONTH($C662)=6,$S$5,IF(MONTH($C662)=7,$S$6,"ERROR")))),MAX(VLOOKUP($C662,COS!$B$8:$K$991,10,FALSE)-IF(MONTH($C662)=4,$Y$3,IF(MONTH($C662)=5,$Y$4,IF(MONTH($C662)=6,$Y$5,IF(MONTH($C662)=7,$Y$6,"ERROR")))),0),MAX(VLOOKUP($C662,COS!$B$8:$K$991,9,FALSE)-IF(MONTH($C662)=4,$V$3,IF(MONTH($C662)=5,$V$4,IF(MONTH($C662)=6,$V$5,IF(MONTH($C662)=7,$V$6,"ERROR"))))-VLOOKUP($C662,COS!$B$8:$K$991,6,FALSE)/2,0))</f>
        <v>84.6376953125</v>
      </c>
      <c r="S662" s="30">
        <f t="shared" ref="S662:S665" si="1065">R662*DAY($C662)*86400/43560/1000</f>
        <v>5.0362926136363644</v>
      </c>
      <c r="T662" s="30">
        <f t="shared" ref="T662:T665" si="1066">(O662+Q662)/2+S662</f>
        <v>35.264099423747417</v>
      </c>
      <c r="U662" s="30" t="str">
        <f>IF(VLOOKUP($C662,COS!$B$8:$I$991,8,FALSE)=1,"UWFE","IBU")</f>
        <v>UWFE</v>
      </c>
      <c r="V662" s="30">
        <f t="shared" ref="V662" si="1067">MIN(IF(IF($AA$3=2,AND(E662=1,G662=1,L662=1,L667=1,M662=1,U662="IBU"),AND(E662=1,G662=1,L662=1,L667=1,M662=1)),T662,0),I662)</f>
        <v>0</v>
      </c>
      <c r="W662" s="30"/>
      <c r="X662" s="30"/>
      <c r="Y662" s="30"/>
      <c r="Z662" s="30"/>
      <c r="AA662" s="30"/>
      <c r="AB662" s="31"/>
    </row>
    <row r="663" spans="1:28" x14ac:dyDescent="0.3">
      <c r="A663" s="32">
        <f>VLOOKUP(YEAR(C663),Flags!$A$13:$B$95,2,FALSE)</f>
        <v>5</v>
      </c>
      <c r="B663" s="24">
        <f t="shared" si="1054"/>
        <v>1994</v>
      </c>
      <c r="C663" s="25">
        <v>34485</v>
      </c>
      <c r="D663" s="26">
        <f>VLOOKUP($C663,COS!$B$8:$H$991,3,FALSE)</f>
        <v>5763.49560546875</v>
      </c>
      <c r="E663" s="24">
        <f>IF(D663&gt;=IF(MONTH($C663)=4,$C$3,IF(MONTH($C663)=5,$C$4,IF(MONTH($C663)=6,$C$5,IF(MONTH($C663)=7,$C$6,"ERROR")))),1,0)</f>
        <v>0</v>
      </c>
      <c r="F663" s="26">
        <f>VLOOKUP($C663,COS!$B$8:$H$991,7,FALSE)</f>
        <v>52.981971740722656</v>
      </c>
      <c r="G663" s="24">
        <f>IF(F663&lt;=IF(MONTH($C663)=4,$F$3,IF(MONTH($C663)=5,$F$4,IF(MONTH($C663)=6,$F$5,IF(MONTH($C663)=7,$F$6,"ERROR")))),1,0)</f>
        <v>1</v>
      </c>
      <c r="H663" s="26">
        <f>IF(J663=1,D663-$C$4,0)</f>
        <v>0</v>
      </c>
      <c r="I663" s="26">
        <f t="shared" si="982"/>
        <v>0</v>
      </c>
      <c r="J663" s="24">
        <f t="shared" si="1060"/>
        <v>0</v>
      </c>
      <c r="K663" s="26">
        <f>VLOOKUP($C663,COS!$B$8:$H$991,2,FALSE)</f>
        <v>3315.498291015625</v>
      </c>
      <c r="L663" s="24">
        <f t="shared" si="1046"/>
        <v>1</v>
      </c>
      <c r="M663" s="24">
        <f t="shared" si="1047"/>
        <v>1</v>
      </c>
      <c r="N663" s="26">
        <f>VLOOKUP($C663,COS!$B$8:$H$991,5,FALSE)</f>
        <v>494.24356079101563</v>
      </c>
      <c r="O663" s="26">
        <f t="shared" si="1063"/>
        <v>30.389852002356662</v>
      </c>
      <c r="P663" s="26">
        <f>VLOOKUP($C663,COS!$B$8:$H$991,6,FALSE)</f>
        <v>1839.63671875</v>
      </c>
      <c r="Q663" s="26">
        <f t="shared" si="1064"/>
        <v>113.1148527892562</v>
      </c>
      <c r="R663" s="26">
        <f>MIN(IF(MONTH($C663)=4,$S$3,IF(MONTH($C663)=5,$S$4,IF(MONTH($C663)=6,$S$5,IF(MONTH($C663)=7,$S$6,"ERROR")))),MAX(VLOOKUP($C663,COS!$B$8:$K$991,10,FALSE)-IF(MONTH($C663)=4,$Y$3,IF(MONTH($C663)=5,$Y$4,IF(MONTH($C663)=6,$Y$5,IF(MONTH($C663)=7,$Y$6,"ERROR")))),0),MAX(VLOOKUP($C663,COS!$B$8:$K$991,9,FALSE)-IF(MONTH($C663)=4,$V$3,IF(MONTH($C663)=5,$V$4,IF(MONTH($C663)=6,$V$5,IF(MONTH($C663)=7,$V$6,"ERROR"))))-VLOOKUP($C663,COS!$B$8:$K$991,6,FALSE)/2,0))</f>
        <v>1248.31787109375</v>
      </c>
      <c r="S663" s="26">
        <f t="shared" si="1065"/>
        <v>76.756074057334715</v>
      </c>
      <c r="T663" s="26">
        <f t="shared" si="1066"/>
        <v>148.50842645314117</v>
      </c>
      <c r="U663" s="26" t="str">
        <f>IF(VLOOKUP($C663,COS!$B$8:$I$991,8,FALSE)=1,"UWFE","IBU")</f>
        <v>UWFE</v>
      </c>
      <c r="V663" s="26">
        <f t="shared" ref="V663" si="1068">MIN(IF(IF($AA$3=2,AND(E663=1,G663=1,L663=1,L667=1,M663=1,U663="IBU"),AND(E663=1,G663=1,L663=1,L667=1,M663=1)),T663,0),I663)</f>
        <v>0</v>
      </c>
      <c r="W663" s="26"/>
      <c r="X663" s="26"/>
      <c r="Y663" s="26"/>
      <c r="Z663" s="26"/>
      <c r="AA663" s="26"/>
      <c r="AB663" s="33"/>
    </row>
    <row r="664" spans="1:28" x14ac:dyDescent="0.3">
      <c r="A664" s="32">
        <f>VLOOKUP(YEAR(C664),Flags!$A$13:$B$95,2,FALSE)</f>
        <v>5</v>
      </c>
      <c r="B664" s="24">
        <f t="shared" si="1054"/>
        <v>1994</v>
      </c>
      <c r="C664" s="25">
        <v>34515</v>
      </c>
      <c r="D664" s="26">
        <f>VLOOKUP($C664,COS!$B$8:$H$991,3,FALSE)</f>
        <v>10365.828125</v>
      </c>
      <c r="E664" s="24">
        <f>IF(D664&gt;=IF(MONTH($C664)=4,$C$3,IF(MONTH($C664)=5,$C$4,IF(MONTH($C664)=6,$C$5,IF(MONTH($C664)=7,$C$6,"ERROR")))),1,0)</f>
        <v>1</v>
      </c>
      <c r="F664" s="26">
        <f>VLOOKUP($C664,COS!$B$8:$H$991,7,FALSE)</f>
        <v>52.776744842529297</v>
      </c>
      <c r="G664" s="24">
        <f>IF(F664&lt;=IF(MONTH($C664)=4,$F$3,IF(MONTH($C664)=5,$F$4,IF(MONTH($C664)=6,$F$5,IF(MONTH($C664)=7,$F$6,"ERROR")))),1,0)</f>
        <v>1</v>
      </c>
      <c r="H664" s="26">
        <f>IF(J664=1,D664-$C$5,0)</f>
        <v>365.828125</v>
      </c>
      <c r="I664" s="26">
        <f t="shared" si="982"/>
        <v>21.768285123966944</v>
      </c>
      <c r="J664" s="24">
        <f t="shared" si="1060"/>
        <v>1</v>
      </c>
      <c r="K664" s="26">
        <f>VLOOKUP($C664,COS!$B$8:$H$991,2,FALSE)</f>
        <v>2912.7509765625</v>
      </c>
      <c r="L664" s="24">
        <f t="shared" si="1046"/>
        <v>1</v>
      </c>
      <c r="M664" s="24">
        <f t="shared" si="1047"/>
        <v>1</v>
      </c>
      <c r="N664" s="26">
        <f>VLOOKUP($C664,COS!$B$8:$H$991,5,FALSE)</f>
        <v>825.04803466796875</v>
      </c>
      <c r="O664" s="26">
        <f t="shared" si="1063"/>
        <v>49.093767352143594</v>
      </c>
      <c r="P664" s="26">
        <f>VLOOKUP($C664,COS!$B$8:$H$991,6,FALSE)</f>
        <v>2477.72265625</v>
      </c>
      <c r="Q664" s="26">
        <f t="shared" si="1064"/>
        <v>147.43473657024794</v>
      </c>
      <c r="R664" s="26">
        <f>MIN(IF(MONTH($C664)=4,$S$3,IF(MONTH($C664)=5,$S$4,IF(MONTH($C664)=6,$S$5,IF(MONTH($C664)=7,$S$6,"ERROR")))),MAX(VLOOKUP($C664,COS!$B$8:$K$991,10,FALSE)-IF(MONTH($C664)=4,$Y$3,IF(MONTH($C664)=5,$Y$4,IF(MONTH($C664)=6,$Y$5,IF(MONTH($C664)=7,$Y$6,"ERROR")))),0),MAX(VLOOKUP($C664,COS!$B$8:$K$991,9,FALSE)-IF(MONTH($C664)=4,$V$3,IF(MONTH($C664)=5,$V$4,IF(MONTH($C664)=6,$V$5,IF(MONTH($C664)=7,$V$6,"ERROR"))))-VLOOKUP($C664,COS!$B$8:$K$991,6,FALSE)/2,0))</f>
        <v>1500</v>
      </c>
      <c r="S664" s="26">
        <f t="shared" si="1065"/>
        <v>89.256198347107429</v>
      </c>
      <c r="T664" s="26">
        <f t="shared" si="1066"/>
        <v>187.5204503083032</v>
      </c>
      <c r="U664" s="26" t="str">
        <f>IF(VLOOKUP($C664,COS!$B$8:$I$991,8,FALSE)=1,"UWFE","IBU")</f>
        <v>IBU</v>
      </c>
      <c r="V664" s="26">
        <f t="shared" ref="V664" si="1069">MIN(IF(IF($AA$3=2,AND(E664=1,G664=1,L664=1,L667=1,M664=1,U664="IBU"),AND(E664=1,G664=1,L664=1,L667=1,M664=1)),T664,0),I664)</f>
        <v>0</v>
      </c>
      <c r="W664" s="26"/>
      <c r="X664" s="26"/>
      <c r="Y664" s="26"/>
      <c r="Z664" s="26"/>
      <c r="AA664" s="26"/>
      <c r="AB664" s="33"/>
    </row>
    <row r="665" spans="1:28" x14ac:dyDescent="0.3">
      <c r="A665" s="32">
        <f>VLOOKUP(YEAR(C665),Flags!$A$13:$B$95,2,FALSE)</f>
        <v>5</v>
      </c>
      <c r="B665" s="24">
        <f t="shared" si="1054"/>
        <v>1994</v>
      </c>
      <c r="C665" s="25">
        <v>34546</v>
      </c>
      <c r="D665" s="26">
        <f>VLOOKUP($C665,COS!$B$8:$H$991,3,FALSE)</f>
        <v>14755.16796875</v>
      </c>
      <c r="E665" s="24">
        <f>IF(D665&gt;=IF(MONTH($C665)=4,$C$3,IF(MONTH($C665)=5,$C$4,IF(MONTH($C665)=6,$C$5,IF(MONTH($C665)=7,$C$6,"ERROR")))),1,0)</f>
        <v>1</v>
      </c>
      <c r="F665" s="26">
        <f>VLOOKUP($C665,COS!$B$8:$H$991,7,FALSE)</f>
        <v>54.302021026611328</v>
      </c>
      <c r="G665" s="24">
        <f>IF(F665&lt;=IF(MONTH($C665)=4,$F$3,IF(MONTH($C665)=5,$F$4,IF(MONTH($C665)=6,$F$5,IF(MONTH($C665)=7,$F$6,"ERROR")))),1,0)</f>
        <v>0</v>
      </c>
      <c r="H665" s="26">
        <f>IF(J665=1,D665-$C$6,0)</f>
        <v>0</v>
      </c>
      <c r="I665" s="26">
        <f t="shared" si="982"/>
        <v>0</v>
      </c>
      <c r="J665" s="24">
        <f t="shared" si="1060"/>
        <v>0</v>
      </c>
      <c r="K665" s="26">
        <f>VLOOKUP($C665,COS!$B$8:$H$991,2,FALSE)</f>
        <v>2260.914306640625</v>
      </c>
      <c r="L665" s="24">
        <f t="shared" si="1046"/>
        <v>1</v>
      </c>
      <c r="M665" s="24">
        <f t="shared" si="1047"/>
        <v>1</v>
      </c>
      <c r="N665" s="26">
        <f>VLOOKUP($C665,COS!$B$8:$H$991,5,FALSE)</f>
        <v>905.84417724609375</v>
      </c>
      <c r="O665" s="26">
        <f t="shared" si="1063"/>
        <v>55.698187427363116</v>
      </c>
      <c r="P665" s="26">
        <f>VLOOKUP($C665,COS!$B$8:$H$991,6,FALSE)</f>
        <v>2281.4833984375</v>
      </c>
      <c r="Q665" s="26">
        <f t="shared" si="1064"/>
        <v>140.28294615185951</v>
      </c>
      <c r="R665" s="26">
        <f>MIN(IF(MONTH($C665)=4,$S$3,IF(MONTH($C665)=5,$S$4,IF(MONTH($C665)=6,$S$5,IF(MONTH($C665)=7,$S$6,"ERROR")))),MAX(VLOOKUP($C665,COS!$B$8:$K$991,10,FALSE)-IF(MONTH($C665)=4,$Y$3,IF(MONTH($C665)=5,$Y$4,IF(MONTH($C665)=6,$Y$5,IF(MONTH($C665)=7,$Y$6,"ERROR")))),0),MAX(VLOOKUP($C665,COS!$B$8:$K$991,9,FALSE)-IF(MONTH($C665)=4,$V$3,IF(MONTH($C665)=5,$V$4,IF(MONTH($C665)=6,$V$5,IF(MONTH($C665)=7,$V$6,"ERROR"))))-VLOOKUP($C665,COS!$B$8:$K$991,6,FALSE)/2,0))</f>
        <v>1500</v>
      </c>
      <c r="S665" s="26">
        <f t="shared" si="1065"/>
        <v>92.231404958677686</v>
      </c>
      <c r="T665" s="26">
        <f t="shared" si="1066"/>
        <v>190.22197174828898</v>
      </c>
      <c r="U665" s="26" t="str">
        <f>IF(VLOOKUP($C665,COS!$B$8:$I$991,8,FALSE)=1,"UWFE","IBU")</f>
        <v>IBU</v>
      </c>
      <c r="V665" s="26">
        <f t="shared" ref="V665" si="1070">MIN(IF(IF($AA$3=2,AND(E665=1,G665=1,L665=1,L667=1,M665=1,U665="IBU"),AND(E665=1,G665=1,L665=1,L667=1,M665=1)),T665,0),I665)</f>
        <v>0</v>
      </c>
      <c r="W665" s="26"/>
      <c r="X665" s="26"/>
      <c r="Y665" s="26"/>
      <c r="Z665" s="26"/>
      <c r="AA665" s="26"/>
      <c r="AB665" s="33"/>
    </row>
    <row r="666" spans="1:28" x14ac:dyDescent="0.3">
      <c r="A666" s="32">
        <f>VLOOKUP(YEAR(C666),Flags!$A$13:$B$95,2,FALSE)</f>
        <v>5</v>
      </c>
      <c r="B666" s="24">
        <f t="shared" si="1054"/>
        <v>1994</v>
      </c>
      <c r="C666" s="25">
        <v>34577</v>
      </c>
      <c r="D666" s="26"/>
      <c r="E666" s="24"/>
      <c r="F666" s="26"/>
      <c r="G666" s="24"/>
      <c r="H666" s="24"/>
      <c r="I666" s="26"/>
      <c r="J666" s="24"/>
      <c r="K666" s="26"/>
      <c r="L666" s="24"/>
      <c r="M666" s="24"/>
      <c r="N666" s="26"/>
      <c r="O666" s="26"/>
      <c r="P666" s="26"/>
      <c r="Q666" s="26"/>
      <c r="R666" s="26"/>
      <c r="S666" s="26"/>
      <c r="T666" s="26"/>
      <c r="U666" s="26"/>
      <c r="V666" s="26"/>
      <c r="W666" s="26">
        <f>MAX($C$7-VLOOKUP($C666,COS!$B$8:$H$991,3,FALSE),0)</f>
        <v>3435.9501953125</v>
      </c>
      <c r="X666" s="26">
        <f t="shared" si="972"/>
        <v>211.26834258780991</v>
      </c>
      <c r="Y666" s="26">
        <f>VLOOKUP($C666,COS!$B$8:$H$991,4,FALSE)</f>
        <v>3456.213134765625</v>
      </c>
      <c r="Z666" s="26">
        <f t="shared" si="973"/>
        <v>212.51426217071281</v>
      </c>
      <c r="AA666" s="26">
        <f t="shared" ref="AA666:AA670" si="1071">MIN(W666,Y666)</f>
        <v>3435.9501953125</v>
      </c>
      <c r="AB666" s="33">
        <f t="shared" ref="AB666" si="1072">AA666*DAY($C666)*86400/43560/1000*IF(MONTH($C666)=8,$P$3,IF(MONTH($C666)=9,$P$4,IF(MONTH($C666)=10,$P$5,IF(MONTH($C666)=11,$P$6,IF(MONTH($C666)=12,$P$7,NA())))))</f>
        <v>211.26834258780991</v>
      </c>
    </row>
    <row r="667" spans="1:28" x14ac:dyDescent="0.3">
      <c r="A667" s="32">
        <f>VLOOKUP(YEAR(C667),Flags!$A$13:$B$95,2,FALSE)</f>
        <v>5</v>
      </c>
      <c r="B667" s="24">
        <f t="shared" si="1054"/>
        <v>1994</v>
      </c>
      <c r="C667" s="25">
        <v>34607</v>
      </c>
      <c r="D667" s="26"/>
      <c r="E667" s="24"/>
      <c r="F667" s="26"/>
      <c r="G667" s="24"/>
      <c r="H667" s="24"/>
      <c r="I667" s="26"/>
      <c r="J667" s="24"/>
      <c r="K667" s="26">
        <f>VLOOKUP($C667,COS!$B$8:$H$991,2,FALSE)</f>
        <v>1881.7786865234375</v>
      </c>
      <c r="L667" s="24">
        <f t="shared" ref="L667" si="1073">IF(AND(K667&gt;$I$7,K667&lt;$I$8),1,0)</f>
        <v>0</v>
      </c>
      <c r="M667" s="24"/>
      <c r="N667" s="26"/>
      <c r="O667" s="26"/>
      <c r="P667" s="26"/>
      <c r="Q667" s="26"/>
      <c r="R667" s="26"/>
      <c r="S667" s="26"/>
      <c r="T667" s="26"/>
      <c r="U667" s="26"/>
      <c r="V667" s="26"/>
      <c r="W667" s="26">
        <f>MAX($C$8-VLOOKUP($C667,COS!$B$8:$H$991,3,FALSE),0)</f>
        <v>1593.1025390625</v>
      </c>
      <c r="X667" s="26">
        <f t="shared" si="972"/>
        <v>94.796184142561984</v>
      </c>
      <c r="Y667" s="26">
        <f>VLOOKUP($C667,COS!$B$8:$H$991,4,FALSE)</f>
        <v>676.519775390625</v>
      </c>
      <c r="Z667" s="26">
        <f t="shared" si="973"/>
        <v>40.255722172004134</v>
      </c>
      <c r="AA667" s="26">
        <f t="shared" si="1071"/>
        <v>676.519775390625</v>
      </c>
      <c r="AB667" s="33">
        <f t="shared" si="1058"/>
        <v>40.255722172004134</v>
      </c>
    </row>
    <row r="668" spans="1:28" x14ac:dyDescent="0.3">
      <c r="A668" s="32">
        <f>VLOOKUP(YEAR(C668),Flags!$A$13:$B$95,2,FALSE)</f>
        <v>5</v>
      </c>
      <c r="B668" s="24">
        <f t="shared" si="1054"/>
        <v>1994</v>
      </c>
      <c r="C668" s="25">
        <v>34638</v>
      </c>
      <c r="D668" s="26"/>
      <c r="E668" s="24"/>
      <c r="F668" s="26"/>
      <c r="G668" s="26"/>
      <c r="H668" s="26"/>
      <c r="I668" s="26"/>
      <c r="J668" s="26"/>
      <c r="K668" s="26"/>
      <c r="L668" s="24"/>
      <c r="M668" s="24"/>
      <c r="N668" s="26"/>
      <c r="O668" s="26"/>
      <c r="P668" s="26"/>
      <c r="Q668" s="26"/>
      <c r="R668" s="26"/>
      <c r="S668" s="26"/>
      <c r="T668" s="26"/>
      <c r="U668" s="26"/>
      <c r="V668" s="26"/>
      <c r="W668" s="26">
        <f>MAX($C$9-VLOOKUP($C668,COS!$B$8:$H$991,3,FALSE),0)</f>
        <v>462.50390625</v>
      </c>
      <c r="X668" s="26">
        <f t="shared" si="972"/>
        <v>28.438256714876033</v>
      </c>
      <c r="Y668" s="26">
        <f>VLOOKUP($C668,COS!$B$8:$H$991,4,FALSE)</f>
        <v>1343.8326416015625</v>
      </c>
      <c r="Z668" s="26">
        <f t="shared" si="973"/>
        <v>82.629048376162189</v>
      </c>
      <c r="AA668" s="26">
        <f t="shared" si="1071"/>
        <v>462.50390625</v>
      </c>
      <c r="AB668" s="33">
        <f t="shared" si="1058"/>
        <v>28.438256714876033</v>
      </c>
    </row>
    <row r="669" spans="1:28" x14ac:dyDescent="0.3">
      <c r="A669" s="32">
        <f>VLOOKUP(YEAR(C669),Flags!$A$13:$B$95,2,FALSE)</f>
        <v>5</v>
      </c>
      <c r="B669" s="24">
        <f t="shared" si="1054"/>
        <v>1994</v>
      </c>
      <c r="C669" s="25">
        <v>34668</v>
      </c>
      <c r="D669" s="26"/>
      <c r="E669" s="24"/>
      <c r="F669" s="26"/>
      <c r="G669" s="26"/>
      <c r="H669" s="26"/>
      <c r="I669" s="26"/>
      <c r="J669" s="26"/>
      <c r="K669" s="26"/>
      <c r="L669" s="24"/>
      <c r="M669" s="24"/>
      <c r="N669" s="26"/>
      <c r="O669" s="26"/>
      <c r="P669" s="26"/>
      <c r="Q669" s="26"/>
      <c r="R669" s="26"/>
      <c r="S669" s="26"/>
      <c r="T669" s="26"/>
      <c r="U669" s="26"/>
      <c r="V669" s="26"/>
      <c r="W669" s="26">
        <f>MAX($C$10-VLOOKUP($C669,COS!$B$8:$H$991,3,FALSE),0)</f>
        <v>1750</v>
      </c>
      <c r="X669" s="26">
        <f t="shared" si="972"/>
        <v>104.13223140495867</v>
      </c>
      <c r="Y669" s="26">
        <f>VLOOKUP($C669,COS!$B$8:$H$991,4,FALSE)</f>
        <v>1050.6527099609375</v>
      </c>
      <c r="Z669" s="26">
        <f t="shared" si="973"/>
        <v>62.51817778279959</v>
      </c>
      <c r="AA669" s="26">
        <f t="shared" si="1071"/>
        <v>1050.6527099609375</v>
      </c>
      <c r="AB669" s="33">
        <f t="shared" si="1058"/>
        <v>62.51817778279959</v>
      </c>
    </row>
    <row r="670" spans="1:28" x14ac:dyDescent="0.3">
      <c r="A670" s="34">
        <f>VLOOKUP(YEAR(C670),Flags!$A$13:$B$95,2,FALSE)</f>
        <v>5</v>
      </c>
      <c r="B670" s="35">
        <f t="shared" si="1054"/>
        <v>1994</v>
      </c>
      <c r="C670" s="36">
        <v>34699</v>
      </c>
      <c r="D670" s="37"/>
      <c r="E670" s="35"/>
      <c r="F670" s="37"/>
      <c r="G670" s="37"/>
      <c r="H670" s="37"/>
      <c r="I670" s="37"/>
      <c r="J670" s="37"/>
      <c r="K670" s="37"/>
      <c r="L670" s="35"/>
      <c r="M670" s="35"/>
      <c r="N670" s="37"/>
      <c r="O670" s="37"/>
      <c r="P670" s="37"/>
      <c r="Q670" s="37"/>
      <c r="R670" s="37"/>
      <c r="S670" s="37"/>
      <c r="T670" s="37"/>
      <c r="U670" s="37"/>
      <c r="V670" s="37"/>
      <c r="W670" s="37">
        <f>MAX($C$11-VLOOKUP($C670,COS!$B$8:$H$991,3,FALSE),0)</f>
        <v>1750</v>
      </c>
      <c r="X670" s="37">
        <f t="shared" si="972"/>
        <v>107.60330578512398</v>
      </c>
      <c r="Y670" s="37">
        <f>VLOOKUP($C670,COS!$B$8:$H$991,4,FALSE)</f>
        <v>2007.343505859375</v>
      </c>
      <c r="Z670" s="37">
        <f t="shared" si="973"/>
        <v>123.42674118672521</v>
      </c>
      <c r="AA670" s="37">
        <f t="shared" si="1071"/>
        <v>1750</v>
      </c>
      <c r="AB670" s="38">
        <f t="shared" si="1058"/>
        <v>107.60330578512398</v>
      </c>
    </row>
    <row r="671" spans="1:28" x14ac:dyDescent="0.3">
      <c r="A671" s="27">
        <f>VLOOKUP(YEAR(C671),Flags!$A$13:$B$95,2,FALSE)</f>
        <v>1</v>
      </c>
      <c r="B671" s="28">
        <f t="shared" si="1054"/>
        <v>1995</v>
      </c>
      <c r="C671" s="29">
        <v>34819</v>
      </c>
      <c r="D671" s="30">
        <f>VLOOKUP($C671,COS!$B$8:$H$991,3,FALSE)</f>
        <v>7633.5703125</v>
      </c>
      <c r="E671" s="28">
        <f>IF(D671&gt;=IF(MONTH($C671)=4,$C$3,IF(MONTH($C671)=5,$C$4,IF(MONTH($C671)=6,$C$5,IF(MONTH($C671)=7,$C$6,"ERROR")))),1,0)</f>
        <v>1</v>
      </c>
      <c r="F671" s="30">
        <f>VLOOKUP($C671,COS!$B$8:$H$991,7,FALSE)</f>
        <v>49.096889495849609</v>
      </c>
      <c r="G671" s="28">
        <f>IF(F671&lt;=IF(MONTH($C671)=4,$F$3,IF(MONTH($C671)=5,$F$4,IF(MONTH($C671)=6,$F$5,IF(MONTH($C671)=7,$F$6,"ERROR")))),1,0)</f>
        <v>1</v>
      </c>
      <c r="H671" s="30">
        <f>IF(J671=1,D671-$C$3,0)</f>
        <v>1633.5703125</v>
      </c>
      <c r="I671" s="30">
        <f t="shared" si="982"/>
        <v>97.204183884297521</v>
      </c>
      <c r="J671" s="28">
        <f t="shared" ref="J671:J674" si="1074">IF(AND(E671=1,G671=1),1,0)</f>
        <v>1</v>
      </c>
      <c r="K671" s="30">
        <f>VLOOKUP($C671,COS!$B$8:$H$991,2,FALSE)</f>
        <v>4216.7998046875</v>
      </c>
      <c r="L671" s="28">
        <f t="shared" ref="L671" si="1075">IF(K671&lt;=IF(MONTH($C671)=4,$I$3,IF(MONTH($C671)=5,$I$4,IF(MONTH($C671)=6,$I$5,IF(MONTH($C671)=7,$I$6,"ERROR")))),1,0)</f>
        <v>1</v>
      </c>
      <c r="M671" s="28">
        <f t="shared" ref="M671" si="1076">VLOOKUP($A671,$L$3:$M$7,2,FALSE)</f>
        <v>0</v>
      </c>
      <c r="N671" s="30">
        <f>VLOOKUP($C671,COS!$B$8:$H$991,5,FALSE)</f>
        <v>350.99301147460938</v>
      </c>
      <c r="O671" s="30">
        <f t="shared" ref="O671:O674" si="1077">N671*DAY($C671)*86400/43560/1000</f>
        <v>20.885534567084193</v>
      </c>
      <c r="P671" s="30">
        <f>VLOOKUP($C671,COS!$B$8:$H$991,6,FALSE)</f>
        <v>420.74978637695313</v>
      </c>
      <c r="Q671" s="30">
        <f t="shared" ref="Q671:Q674" si="1078">P671*DAY($C671)*86400/43560/1000</f>
        <v>25.036350924909605</v>
      </c>
      <c r="R671" s="30">
        <f>MIN(IF(MONTH($C671)=4,$S$3,IF(MONTH($C671)=5,$S$4,IF(MONTH($C671)=6,$S$5,IF(MONTH($C671)=7,$S$6,"ERROR")))),MAX(VLOOKUP($C671,COS!$B$8:$K$991,10,FALSE)-IF(MONTH($C671)=4,$Y$3,IF(MONTH($C671)=5,$Y$4,IF(MONTH($C671)=6,$Y$5,IF(MONTH($C671)=7,$Y$6,"ERROR")))),0),MAX(VLOOKUP($C671,COS!$B$8:$K$991,9,FALSE)-IF(MONTH($C671)=4,$V$3,IF(MONTH($C671)=5,$V$4,IF(MONTH($C671)=6,$V$5,IF(MONTH($C671)=7,$V$6,"ERROR"))))-VLOOKUP($C671,COS!$B$8:$K$991,6,FALSE)/2,0))</f>
        <v>1500</v>
      </c>
      <c r="S671" s="30">
        <f t="shared" ref="S671:S674" si="1079">R671*DAY($C671)*86400/43560/1000</f>
        <v>89.256198347107429</v>
      </c>
      <c r="T671" s="30">
        <f t="shared" ref="T671:T674" si="1080">(O671+Q671)/2+S671</f>
        <v>112.21714109310433</v>
      </c>
      <c r="U671" s="30" t="str">
        <f>IF(VLOOKUP($C671,COS!$B$8:$I$991,8,FALSE)=1,"UWFE","IBU")</f>
        <v>UWFE</v>
      </c>
      <c r="V671" s="30">
        <f t="shared" ref="V671" si="1081">MIN(IF(IF($AA$3=2,AND(E671=1,G671=1,L671=1,L676=1,M671=1,U671="IBU"),AND(E671=1,G671=1,L671=1,L676=1,M671=1)),T671,0),I671)</f>
        <v>0</v>
      </c>
      <c r="W671" s="30"/>
      <c r="X671" s="30"/>
      <c r="Y671" s="30"/>
      <c r="Z671" s="30"/>
      <c r="AA671" s="30"/>
      <c r="AB671" s="31"/>
    </row>
    <row r="672" spans="1:28" x14ac:dyDescent="0.3">
      <c r="A672" s="32">
        <f>VLOOKUP(YEAR(C672),Flags!$A$13:$B$95,2,FALSE)</f>
        <v>1</v>
      </c>
      <c r="B672" s="24">
        <f t="shared" si="1054"/>
        <v>1995</v>
      </c>
      <c r="C672" s="25">
        <v>34850</v>
      </c>
      <c r="D672" s="26">
        <f>VLOOKUP($C672,COS!$B$8:$H$991,3,FALSE)</f>
        <v>10509.75390625</v>
      </c>
      <c r="E672" s="24">
        <f>IF(D672&gt;=IF(MONTH($C672)=4,$C$3,IF(MONTH($C672)=5,$C$4,IF(MONTH($C672)=6,$C$5,IF(MONTH($C672)=7,$C$6,"ERROR")))),1,0)</f>
        <v>1</v>
      </c>
      <c r="F672" s="26">
        <f>VLOOKUP($C672,COS!$B$8:$H$991,7,FALSE)</f>
        <v>50.252239227294922</v>
      </c>
      <c r="G672" s="24">
        <f>IF(F672&lt;=IF(MONTH($C672)=4,$F$3,IF(MONTH($C672)=5,$F$4,IF(MONTH($C672)=6,$F$5,IF(MONTH($C672)=7,$F$6,"ERROR")))),1,0)</f>
        <v>1</v>
      </c>
      <c r="H672" s="26">
        <f>IF(J672=1,D672-$C$4,0)</f>
        <v>4509.75390625</v>
      </c>
      <c r="I672" s="26">
        <f t="shared" si="982"/>
        <v>277.29395919421489</v>
      </c>
      <c r="J672" s="24">
        <f t="shared" si="1074"/>
        <v>1</v>
      </c>
      <c r="K672" s="26">
        <f>VLOOKUP($C672,COS!$B$8:$H$991,2,FALSE)</f>
        <v>4552</v>
      </c>
      <c r="L672" s="24">
        <f t="shared" si="1046"/>
        <v>1</v>
      </c>
      <c r="M672" s="24">
        <f t="shared" si="1047"/>
        <v>0</v>
      </c>
      <c r="N672" s="26">
        <f>VLOOKUP($C672,COS!$B$8:$H$991,5,FALSE)</f>
        <v>475.432861328125</v>
      </c>
      <c r="O672" s="26">
        <f t="shared" si="1077"/>
        <v>29.233227175878099</v>
      </c>
      <c r="P672" s="26">
        <f>VLOOKUP($C672,COS!$B$8:$H$991,6,FALSE)</f>
        <v>1824.550537109375</v>
      </c>
      <c r="Q672" s="26">
        <f t="shared" si="1078"/>
        <v>112.18723963713842</v>
      </c>
      <c r="R672" s="26">
        <f>MIN(IF(MONTH($C672)=4,$S$3,IF(MONTH($C672)=5,$S$4,IF(MONTH($C672)=6,$S$5,IF(MONTH($C672)=7,$S$6,"ERROR")))),MAX(VLOOKUP($C672,COS!$B$8:$K$991,10,FALSE)-IF(MONTH($C672)=4,$Y$3,IF(MONTH($C672)=5,$Y$4,IF(MONTH($C672)=6,$Y$5,IF(MONTH($C672)=7,$Y$6,"ERROR")))),0),MAX(VLOOKUP($C672,COS!$B$8:$K$991,9,FALSE)-IF(MONTH($C672)=4,$V$3,IF(MONTH($C672)=5,$V$4,IF(MONTH($C672)=6,$V$5,IF(MONTH($C672)=7,$V$6,"ERROR"))))-VLOOKUP($C672,COS!$B$8:$K$991,6,FALSE)/2,0))</f>
        <v>1500</v>
      </c>
      <c r="S672" s="26">
        <f t="shared" si="1079"/>
        <v>92.231404958677686</v>
      </c>
      <c r="T672" s="26">
        <f t="shared" si="1080"/>
        <v>162.94163836518595</v>
      </c>
      <c r="U672" s="26" t="str">
        <f>IF(VLOOKUP($C672,COS!$B$8:$I$991,8,FALSE)=1,"UWFE","IBU")</f>
        <v>UWFE</v>
      </c>
      <c r="V672" s="26">
        <f t="shared" ref="V672" si="1082">MIN(IF(IF($AA$3=2,AND(E672=1,G672=1,L672=1,L676=1,M672=1,U672="IBU"),AND(E672=1,G672=1,L672=1,L676=1,M672=1)),T672,0),I672)</f>
        <v>0</v>
      </c>
      <c r="W672" s="26"/>
      <c r="X672" s="26"/>
      <c r="Y672" s="26"/>
      <c r="Z672" s="26"/>
      <c r="AA672" s="26"/>
      <c r="AB672" s="33"/>
    </row>
    <row r="673" spans="1:28" x14ac:dyDescent="0.3">
      <c r="A673" s="32">
        <f>VLOOKUP(YEAR(C673),Flags!$A$13:$B$95,2,FALSE)</f>
        <v>1</v>
      </c>
      <c r="B673" s="24">
        <f t="shared" si="1054"/>
        <v>1995</v>
      </c>
      <c r="C673" s="25">
        <v>34880</v>
      </c>
      <c r="D673" s="26">
        <f>VLOOKUP($C673,COS!$B$8:$H$991,3,FALSE)</f>
        <v>8446.6552734375</v>
      </c>
      <c r="E673" s="24">
        <f>IF(D673&gt;=IF(MONTH($C673)=4,$C$3,IF(MONTH($C673)=5,$C$4,IF(MONTH($C673)=6,$C$5,IF(MONTH($C673)=7,$C$6,"ERROR")))),1,0)</f>
        <v>0</v>
      </c>
      <c r="F673" s="26">
        <f>VLOOKUP($C673,COS!$B$8:$H$991,7,FALSE)</f>
        <v>52.693340301513672</v>
      </c>
      <c r="G673" s="24">
        <f>IF(F673&lt;=IF(MONTH($C673)=4,$F$3,IF(MONTH($C673)=5,$F$4,IF(MONTH($C673)=6,$F$5,IF(MONTH($C673)=7,$F$6,"ERROR")))),1,0)</f>
        <v>1</v>
      </c>
      <c r="H673" s="26">
        <f>IF(J673=1,D673-$C$5,0)</f>
        <v>0</v>
      </c>
      <c r="I673" s="26">
        <f t="shared" ref="I673:I736" si="1083">H673*DAY($C673)*86400/43560/1000</f>
        <v>0</v>
      </c>
      <c r="J673" s="24">
        <f t="shared" si="1074"/>
        <v>0</v>
      </c>
      <c r="K673" s="26">
        <f>VLOOKUP($C673,COS!$B$8:$H$991,2,FALSE)</f>
        <v>4500</v>
      </c>
      <c r="L673" s="24">
        <f t="shared" si="1046"/>
        <v>1</v>
      </c>
      <c r="M673" s="24">
        <f t="shared" si="1047"/>
        <v>0</v>
      </c>
      <c r="N673" s="26">
        <f>VLOOKUP($C673,COS!$B$8:$H$991,5,FALSE)</f>
        <v>1088.7784423828125</v>
      </c>
      <c r="O673" s="26">
        <f t="shared" si="1077"/>
        <v>64.786816406249997</v>
      </c>
      <c r="P673" s="26">
        <f>VLOOKUP($C673,COS!$B$8:$H$991,6,FALSE)</f>
        <v>2195.234619140625</v>
      </c>
      <c r="Q673" s="26">
        <f t="shared" si="1078"/>
        <v>130.62553105630167</v>
      </c>
      <c r="R673" s="26">
        <f>MIN(IF(MONTH($C673)=4,$S$3,IF(MONTH($C673)=5,$S$4,IF(MONTH($C673)=6,$S$5,IF(MONTH($C673)=7,$S$6,"ERROR")))),MAX(VLOOKUP($C673,COS!$B$8:$K$991,10,FALSE)-IF(MONTH($C673)=4,$Y$3,IF(MONTH($C673)=5,$Y$4,IF(MONTH($C673)=6,$Y$5,IF(MONTH($C673)=7,$Y$6,"ERROR")))),0),MAX(VLOOKUP($C673,COS!$B$8:$K$991,9,FALSE)-IF(MONTH($C673)=4,$V$3,IF(MONTH($C673)=5,$V$4,IF(MONTH($C673)=6,$V$5,IF(MONTH($C673)=7,$V$6,"ERROR"))))-VLOOKUP($C673,COS!$B$8:$K$991,6,FALSE)/2,0))</f>
        <v>1500</v>
      </c>
      <c r="S673" s="26">
        <f t="shared" si="1079"/>
        <v>89.256198347107429</v>
      </c>
      <c r="T673" s="26">
        <f t="shared" si="1080"/>
        <v>186.96237207838328</v>
      </c>
      <c r="U673" s="26" t="str">
        <f>IF(VLOOKUP($C673,COS!$B$8:$I$991,8,FALSE)=1,"UWFE","IBU")</f>
        <v>UWFE</v>
      </c>
      <c r="V673" s="26">
        <f t="shared" ref="V673" si="1084">MIN(IF(IF($AA$3=2,AND(E673=1,G673=1,L673=1,L676=1,M673=1,U673="IBU"),AND(E673=1,G673=1,L673=1,L676=1,M673=1)),T673,0),I673)</f>
        <v>0</v>
      </c>
      <c r="W673" s="26"/>
      <c r="X673" s="26"/>
      <c r="Y673" s="26"/>
      <c r="Z673" s="26"/>
      <c r="AA673" s="26"/>
      <c r="AB673" s="33"/>
    </row>
    <row r="674" spans="1:28" x14ac:dyDescent="0.3">
      <c r="A674" s="32">
        <f>VLOOKUP(YEAR(C674),Flags!$A$13:$B$95,2,FALSE)</f>
        <v>1</v>
      </c>
      <c r="B674" s="24">
        <f t="shared" si="1054"/>
        <v>1995</v>
      </c>
      <c r="C674" s="25">
        <v>34911</v>
      </c>
      <c r="D674" s="26">
        <f>VLOOKUP($C674,COS!$B$8:$H$991,3,FALSE)</f>
        <v>9700.0400390625</v>
      </c>
      <c r="E674" s="24">
        <f>IF(D674&gt;=IF(MONTH($C674)=4,$C$3,IF(MONTH($C674)=5,$C$4,IF(MONTH($C674)=6,$C$5,IF(MONTH($C674)=7,$C$6,"ERROR")))),1,0)</f>
        <v>0</v>
      </c>
      <c r="F674" s="26">
        <f>VLOOKUP($C674,COS!$B$8:$H$991,7,FALSE)</f>
        <v>53.995834350585938</v>
      </c>
      <c r="G674" s="24">
        <f>IF(F674&lt;=IF(MONTH($C674)=4,$F$3,IF(MONTH($C674)=5,$F$4,IF(MONTH($C674)=6,$F$5,IF(MONTH($C674)=7,$F$6,"ERROR")))),1,0)</f>
        <v>0</v>
      </c>
      <c r="H674" s="26">
        <f>IF(J674=1,D674-$C$6,0)</f>
        <v>0</v>
      </c>
      <c r="I674" s="26">
        <f t="shared" si="1083"/>
        <v>0</v>
      </c>
      <c r="J674" s="24">
        <f t="shared" si="1074"/>
        <v>0</v>
      </c>
      <c r="K674" s="26">
        <f>VLOOKUP($C674,COS!$B$8:$H$991,2,FALSE)</f>
        <v>4150</v>
      </c>
      <c r="L674" s="24">
        <f t="shared" si="1046"/>
        <v>1</v>
      </c>
      <c r="M674" s="24">
        <f t="shared" si="1047"/>
        <v>0</v>
      </c>
      <c r="N674" s="26">
        <f>VLOOKUP($C674,COS!$B$8:$H$991,5,FALSE)</f>
        <v>1360.538818359375</v>
      </c>
      <c r="O674" s="26">
        <f t="shared" si="1077"/>
        <v>83.656271145402897</v>
      </c>
      <c r="P674" s="26">
        <f>VLOOKUP($C674,COS!$B$8:$H$991,6,FALSE)</f>
        <v>2616.67822265625</v>
      </c>
      <c r="Q674" s="26">
        <f t="shared" si="1078"/>
        <v>160.89327253357436</v>
      </c>
      <c r="R674" s="26">
        <f>MIN(IF(MONTH($C674)=4,$S$3,IF(MONTH($C674)=5,$S$4,IF(MONTH($C674)=6,$S$5,IF(MONTH($C674)=7,$S$6,"ERROR")))),MAX(VLOOKUP($C674,COS!$B$8:$K$991,10,FALSE)-IF(MONTH($C674)=4,$Y$3,IF(MONTH($C674)=5,$Y$4,IF(MONTH($C674)=6,$Y$5,IF(MONTH($C674)=7,$Y$6,"ERROR")))),0),MAX(VLOOKUP($C674,COS!$B$8:$K$991,9,FALSE)-IF(MONTH($C674)=4,$V$3,IF(MONTH($C674)=5,$V$4,IF(MONTH($C674)=6,$V$5,IF(MONTH($C674)=7,$V$6,"ERROR"))))-VLOOKUP($C674,COS!$B$8:$K$991,6,FALSE)/2,0))</f>
        <v>1500</v>
      </c>
      <c r="S674" s="26">
        <f t="shared" si="1079"/>
        <v>92.231404958677686</v>
      </c>
      <c r="T674" s="26">
        <f t="shared" si="1080"/>
        <v>214.50617679816634</v>
      </c>
      <c r="U674" s="26" t="str">
        <f>IF(VLOOKUP($C674,COS!$B$8:$I$991,8,FALSE)=1,"UWFE","IBU")</f>
        <v>UWFE</v>
      </c>
      <c r="V674" s="26">
        <f t="shared" ref="V674" si="1085">MIN(IF(IF($AA$3=2,AND(E674=1,G674=1,L674=1,L676=1,M674=1,U674="IBU"),AND(E674=1,G674=1,L674=1,L676=1,M674=1)),T674,0),I674)</f>
        <v>0</v>
      </c>
      <c r="W674" s="26"/>
      <c r="X674" s="26"/>
      <c r="Y674" s="26"/>
      <c r="Z674" s="26"/>
      <c r="AA674" s="26"/>
      <c r="AB674" s="33"/>
    </row>
    <row r="675" spans="1:28" x14ac:dyDescent="0.3">
      <c r="A675" s="32">
        <f>VLOOKUP(YEAR(C675),Flags!$A$13:$B$95,2,FALSE)</f>
        <v>1</v>
      </c>
      <c r="B675" s="24">
        <f t="shared" si="1054"/>
        <v>1995</v>
      </c>
      <c r="C675" s="25">
        <v>34942</v>
      </c>
      <c r="D675" s="26"/>
      <c r="E675" s="24"/>
      <c r="F675" s="26"/>
      <c r="G675" s="24"/>
      <c r="H675" s="24"/>
      <c r="I675" s="26"/>
      <c r="J675" s="24"/>
      <c r="K675" s="26"/>
      <c r="L675" s="24"/>
      <c r="M675" s="24"/>
      <c r="N675" s="26"/>
      <c r="O675" s="26"/>
      <c r="P675" s="26"/>
      <c r="Q675" s="26"/>
      <c r="R675" s="26"/>
      <c r="S675" s="26"/>
      <c r="T675" s="26"/>
      <c r="U675" s="26"/>
      <c r="V675" s="26"/>
      <c r="W675" s="26">
        <f>MAX($C$7-VLOOKUP($C675,COS!$B$8:$H$991,3,FALSE),0)</f>
        <v>0</v>
      </c>
      <c r="X675" s="26">
        <f t="shared" ref="X675:X738" si="1086">W675*DAY($C675)*86400/43560/1000</f>
        <v>0</v>
      </c>
      <c r="Y675" s="26">
        <f>VLOOKUP($C675,COS!$B$8:$H$991,4,FALSE)</f>
        <v>0</v>
      </c>
      <c r="Z675" s="26">
        <f t="shared" ref="Z675:Z738" si="1087">Y675*DAY($C675)*86400/43560/1000</f>
        <v>0</v>
      </c>
      <c r="AA675" s="26">
        <f t="shared" ref="AA675:AA679" si="1088">MIN(W675,Y675)</f>
        <v>0</v>
      </c>
      <c r="AB675" s="33">
        <f t="shared" ref="AB675" si="1089">AA675*DAY($C675)*86400/43560/1000*IF(MONTH($C675)=8,$P$3,IF(MONTH($C675)=9,$P$4,IF(MONTH($C675)=10,$P$5,IF(MONTH($C675)=11,$P$6,IF(MONTH($C675)=12,$P$7,NA())))))</f>
        <v>0</v>
      </c>
    </row>
    <row r="676" spans="1:28" x14ac:dyDescent="0.3">
      <c r="A676" s="32">
        <f>VLOOKUP(YEAR(C676),Flags!$A$13:$B$95,2,FALSE)</f>
        <v>1</v>
      </c>
      <c r="B676" s="24">
        <f t="shared" si="1054"/>
        <v>1995</v>
      </c>
      <c r="C676" s="25">
        <v>34972</v>
      </c>
      <c r="D676" s="26"/>
      <c r="E676" s="24"/>
      <c r="F676" s="26"/>
      <c r="G676" s="24"/>
      <c r="H676" s="24"/>
      <c r="I676" s="26"/>
      <c r="J676" s="24"/>
      <c r="K676" s="26">
        <f>VLOOKUP($C676,COS!$B$8:$H$991,2,FALSE)</f>
        <v>3358.360595703125</v>
      </c>
      <c r="L676" s="24">
        <f t="shared" ref="L676" si="1090">IF(AND(K676&gt;$I$7,K676&lt;$I$8),1,0)</f>
        <v>1</v>
      </c>
      <c r="M676" s="24"/>
      <c r="N676" s="26"/>
      <c r="O676" s="26"/>
      <c r="P676" s="26"/>
      <c r="Q676" s="26"/>
      <c r="R676" s="26"/>
      <c r="S676" s="26"/>
      <c r="T676" s="26"/>
      <c r="U676" s="26"/>
      <c r="V676" s="26"/>
      <c r="W676" s="26">
        <f>MAX($C$8-VLOOKUP($C676,COS!$B$8:$H$991,3,FALSE),0)</f>
        <v>0</v>
      </c>
      <c r="X676" s="26">
        <f t="shared" si="1086"/>
        <v>0</v>
      </c>
      <c r="Y676" s="26">
        <f>VLOOKUP($C676,COS!$B$8:$H$991,4,FALSE)</f>
        <v>0</v>
      </c>
      <c r="Z676" s="26">
        <f t="shared" si="1087"/>
        <v>0</v>
      </c>
      <c r="AA676" s="26">
        <f t="shared" si="1088"/>
        <v>0</v>
      </c>
      <c r="AB676" s="33">
        <f t="shared" si="1058"/>
        <v>0</v>
      </c>
    </row>
    <row r="677" spans="1:28" x14ac:dyDescent="0.3">
      <c r="A677" s="32">
        <f>VLOOKUP(YEAR(C677),Flags!$A$13:$B$95,2,FALSE)</f>
        <v>1</v>
      </c>
      <c r="B677" s="24">
        <f t="shared" si="1054"/>
        <v>1995</v>
      </c>
      <c r="C677" s="25">
        <v>35003</v>
      </c>
      <c r="D677" s="26"/>
      <c r="E677" s="24"/>
      <c r="F677" s="26"/>
      <c r="G677" s="26"/>
      <c r="H677" s="26"/>
      <c r="I677" s="26"/>
      <c r="J677" s="26"/>
      <c r="K677" s="26"/>
      <c r="L677" s="24"/>
      <c r="M677" s="24"/>
      <c r="N677" s="26"/>
      <c r="O677" s="26"/>
      <c r="P677" s="26"/>
      <c r="Q677" s="26"/>
      <c r="R677" s="26"/>
      <c r="S677" s="26"/>
      <c r="T677" s="26"/>
      <c r="U677" s="26"/>
      <c r="V677" s="26"/>
      <c r="W677" s="26">
        <f>MAX($C$9-VLOOKUP($C677,COS!$B$8:$H$991,3,FALSE),0)</f>
        <v>0</v>
      </c>
      <c r="X677" s="26">
        <f t="shared" si="1086"/>
        <v>0</v>
      </c>
      <c r="Y677" s="26">
        <f>VLOOKUP($C677,COS!$B$8:$H$991,4,FALSE)</f>
        <v>122.30811309814453</v>
      </c>
      <c r="Z677" s="26">
        <f t="shared" si="1087"/>
        <v>7.5204327392578127</v>
      </c>
      <c r="AA677" s="26">
        <f t="shared" si="1088"/>
        <v>0</v>
      </c>
      <c r="AB677" s="33">
        <f t="shared" si="1058"/>
        <v>0</v>
      </c>
    </row>
    <row r="678" spans="1:28" x14ac:dyDescent="0.3">
      <c r="A678" s="32">
        <f>VLOOKUP(YEAR(C678),Flags!$A$13:$B$95,2,FALSE)</f>
        <v>1</v>
      </c>
      <c r="B678" s="24">
        <f t="shared" si="1054"/>
        <v>1995</v>
      </c>
      <c r="C678" s="25">
        <v>35033</v>
      </c>
      <c r="D678" s="26"/>
      <c r="E678" s="24"/>
      <c r="F678" s="26"/>
      <c r="G678" s="26"/>
      <c r="H678" s="26"/>
      <c r="I678" s="26"/>
      <c r="J678" s="26"/>
      <c r="K678" s="26"/>
      <c r="L678" s="24"/>
      <c r="M678" s="24"/>
      <c r="N678" s="26"/>
      <c r="O678" s="26"/>
      <c r="P678" s="26"/>
      <c r="Q678" s="26"/>
      <c r="R678" s="26"/>
      <c r="S678" s="26"/>
      <c r="T678" s="26"/>
      <c r="U678" s="26"/>
      <c r="V678" s="26"/>
      <c r="W678" s="26">
        <f>MAX($C$10-VLOOKUP($C678,COS!$B$8:$H$991,3,FALSE),0)</f>
        <v>0</v>
      </c>
      <c r="X678" s="26">
        <f t="shared" si="1086"/>
        <v>0</v>
      </c>
      <c r="Y678" s="26">
        <f>VLOOKUP($C678,COS!$B$8:$H$991,4,FALSE)</f>
        <v>1767.1361083984375</v>
      </c>
      <c r="Z678" s="26">
        <f t="shared" si="1087"/>
        <v>105.15190066503099</v>
      </c>
      <c r="AA678" s="26">
        <f t="shared" si="1088"/>
        <v>0</v>
      </c>
      <c r="AB678" s="33">
        <f t="shared" si="1058"/>
        <v>0</v>
      </c>
    </row>
    <row r="679" spans="1:28" x14ac:dyDescent="0.3">
      <c r="A679" s="34">
        <f>VLOOKUP(YEAR(C679),Flags!$A$13:$B$95,2,FALSE)</f>
        <v>1</v>
      </c>
      <c r="B679" s="35">
        <f t="shared" si="1054"/>
        <v>1995</v>
      </c>
      <c r="C679" s="36">
        <v>35064</v>
      </c>
      <c r="D679" s="37"/>
      <c r="E679" s="35"/>
      <c r="F679" s="37"/>
      <c r="G679" s="37"/>
      <c r="H679" s="37"/>
      <c r="I679" s="37"/>
      <c r="J679" s="37"/>
      <c r="K679" s="37"/>
      <c r="L679" s="35"/>
      <c r="M679" s="35"/>
      <c r="N679" s="37"/>
      <c r="O679" s="37"/>
      <c r="P679" s="37"/>
      <c r="Q679" s="37"/>
      <c r="R679" s="37"/>
      <c r="S679" s="37"/>
      <c r="T679" s="37"/>
      <c r="U679" s="37"/>
      <c r="V679" s="37"/>
      <c r="W679" s="37">
        <f>MAX($C$11-VLOOKUP($C679,COS!$B$8:$H$991,3,FALSE),0)</f>
        <v>1576.743408203125</v>
      </c>
      <c r="X679" s="37">
        <f t="shared" si="1086"/>
        <v>96.950173198605384</v>
      </c>
      <c r="Y679" s="37">
        <f>VLOOKUP($C679,COS!$B$8:$H$991,4,FALSE)</f>
        <v>0</v>
      </c>
      <c r="Z679" s="37">
        <f t="shared" si="1087"/>
        <v>0</v>
      </c>
      <c r="AA679" s="37">
        <f t="shared" si="1088"/>
        <v>0</v>
      </c>
      <c r="AB679" s="38">
        <f t="shared" si="1058"/>
        <v>0</v>
      </c>
    </row>
    <row r="680" spans="1:28" x14ac:dyDescent="0.3">
      <c r="A680" s="27">
        <f>VLOOKUP(YEAR(C680),Flags!$A$13:$B$95,2,FALSE)</f>
        <v>1</v>
      </c>
      <c r="B680" s="28">
        <f t="shared" si="1054"/>
        <v>1996</v>
      </c>
      <c r="C680" s="29">
        <v>35185</v>
      </c>
      <c r="D680" s="30">
        <f>VLOOKUP($C680,COS!$B$8:$H$991,3,FALSE)</f>
        <v>3250</v>
      </c>
      <c r="E680" s="28">
        <f>IF(D680&gt;=IF(MONTH($C680)=4,$C$3,IF(MONTH($C680)=5,$C$4,IF(MONTH($C680)=6,$C$5,IF(MONTH($C680)=7,$C$6,"ERROR")))),1,0)</f>
        <v>0</v>
      </c>
      <c r="F680" s="30">
        <f>VLOOKUP($C680,COS!$B$8:$H$991,7,FALSE)</f>
        <v>52.729835510253906</v>
      </c>
      <c r="G680" s="28">
        <f>IF(F680&lt;=IF(MONTH($C680)=4,$F$3,IF(MONTH($C680)=5,$F$4,IF(MONTH($C680)=6,$F$5,IF(MONTH($C680)=7,$F$6,"ERROR")))),1,0)</f>
        <v>1</v>
      </c>
      <c r="H680" s="30">
        <f>IF(J680=1,D680-$C$3,0)</f>
        <v>0</v>
      </c>
      <c r="I680" s="30">
        <f t="shared" si="1083"/>
        <v>0</v>
      </c>
      <c r="J680" s="28">
        <f t="shared" ref="J680:J683" si="1091">IF(AND(E680=1,G680=1),1,0)</f>
        <v>0</v>
      </c>
      <c r="K680" s="30">
        <f>VLOOKUP($C680,COS!$B$8:$H$991,2,FALSE)</f>
        <v>4477.14208984375</v>
      </c>
      <c r="L680" s="28">
        <f t="shared" ref="L680" si="1092">IF(K680&lt;=IF(MONTH($C680)=4,$I$3,IF(MONTH($C680)=5,$I$4,IF(MONTH($C680)=6,$I$5,IF(MONTH($C680)=7,$I$6,"ERROR")))),1,0)</f>
        <v>1</v>
      </c>
      <c r="M680" s="28">
        <f t="shared" ref="M680" si="1093">VLOOKUP($A680,$L$3:$M$7,2,FALSE)</f>
        <v>0</v>
      </c>
      <c r="N680" s="30">
        <f>VLOOKUP($C680,COS!$B$8:$H$991,5,FALSE)</f>
        <v>334.49749755859375</v>
      </c>
      <c r="O680" s="30">
        <f t="shared" ref="O680:O683" si="1094">N680*DAY($C680)*86400/43560/1000</f>
        <v>19.903983325800617</v>
      </c>
      <c r="P680" s="30">
        <f>VLOOKUP($C680,COS!$B$8:$H$991,6,FALSE)</f>
        <v>392.12069702148438</v>
      </c>
      <c r="Q680" s="30">
        <f t="shared" ref="Q680:Q683" si="1095">P680*DAY($C680)*86400/43560/1000</f>
        <v>23.332801806237086</v>
      </c>
      <c r="R680" s="30">
        <f>MIN(IF(MONTH($C680)=4,$S$3,IF(MONTH($C680)=5,$S$4,IF(MONTH($C680)=6,$S$5,IF(MONTH($C680)=7,$S$6,"ERROR")))),MAX(VLOOKUP($C680,COS!$B$8:$K$991,10,FALSE)-IF(MONTH($C680)=4,$Y$3,IF(MONTH($C680)=5,$Y$4,IF(MONTH($C680)=6,$Y$5,IF(MONTH($C680)=7,$Y$6,"ERROR")))),0),MAX(VLOOKUP($C680,COS!$B$8:$K$991,9,FALSE)-IF(MONTH($C680)=4,$V$3,IF(MONTH($C680)=5,$V$4,IF(MONTH($C680)=6,$V$5,IF(MONTH($C680)=7,$V$6,"ERROR"))))-VLOOKUP($C680,COS!$B$8:$K$991,6,FALSE)/2,0))</f>
        <v>1500</v>
      </c>
      <c r="S680" s="30">
        <f t="shared" ref="S680:S683" si="1096">R680*DAY($C680)*86400/43560/1000</f>
        <v>89.256198347107429</v>
      </c>
      <c r="T680" s="30">
        <f t="shared" ref="T680:T683" si="1097">(O680+Q680)/2+S680</f>
        <v>110.87459091312628</v>
      </c>
      <c r="U680" s="30" t="str">
        <f>IF(VLOOKUP($C680,COS!$B$8:$I$991,8,FALSE)=1,"UWFE","IBU")</f>
        <v>UWFE</v>
      </c>
      <c r="V680" s="30">
        <f t="shared" ref="V680" si="1098">MIN(IF(IF($AA$3=2,AND(E680=1,G680=1,L680=1,L685=1,M680=1,U680="IBU"),AND(E680=1,G680=1,L680=1,L685=1,M680=1)),T680,0),I680)</f>
        <v>0</v>
      </c>
      <c r="W680" s="30"/>
      <c r="X680" s="30"/>
      <c r="Y680" s="30"/>
      <c r="Z680" s="30"/>
      <c r="AA680" s="30"/>
      <c r="AB680" s="31"/>
    </row>
    <row r="681" spans="1:28" x14ac:dyDescent="0.3">
      <c r="A681" s="32">
        <f>VLOOKUP(YEAR(C681),Flags!$A$13:$B$95,2,FALSE)</f>
        <v>1</v>
      </c>
      <c r="B681" s="24">
        <f t="shared" si="1054"/>
        <v>1996</v>
      </c>
      <c r="C681" s="25">
        <v>35216</v>
      </c>
      <c r="D681" s="26">
        <f>VLOOKUP($C681,COS!$B$8:$H$991,3,FALSE)</f>
        <v>10559.1572265625</v>
      </c>
      <c r="E681" s="24">
        <f>IF(D681&gt;=IF(MONTH($C681)=4,$C$3,IF(MONTH($C681)=5,$C$4,IF(MONTH($C681)=6,$C$5,IF(MONTH($C681)=7,$C$6,"ERROR")))),1,0)</f>
        <v>1</v>
      </c>
      <c r="F681" s="26">
        <f>VLOOKUP($C681,COS!$B$8:$H$991,7,FALSE)</f>
        <v>51.389583587646484</v>
      </c>
      <c r="G681" s="24">
        <f>IF(F681&lt;=IF(MONTH($C681)=4,$F$3,IF(MONTH($C681)=5,$F$4,IF(MONTH($C681)=6,$F$5,IF(MONTH($C681)=7,$F$6,"ERROR")))),1,0)</f>
        <v>1</v>
      </c>
      <c r="H681" s="26">
        <f>IF(J681=1,D681-$C$4,0)</f>
        <v>4559.1572265625</v>
      </c>
      <c r="I681" s="26">
        <f t="shared" si="1083"/>
        <v>280.33165095557848</v>
      </c>
      <c r="J681" s="24">
        <f t="shared" si="1091"/>
        <v>1</v>
      </c>
      <c r="K681" s="26">
        <f>VLOOKUP($C681,COS!$B$8:$H$991,2,FALSE)</f>
        <v>4552</v>
      </c>
      <c r="L681" s="24">
        <f t="shared" si="1046"/>
        <v>1</v>
      </c>
      <c r="M681" s="24">
        <f t="shared" si="1047"/>
        <v>0</v>
      </c>
      <c r="N681" s="26">
        <f>VLOOKUP($C681,COS!$B$8:$H$991,5,FALSE)</f>
        <v>391.34814453125</v>
      </c>
      <c r="O681" s="26">
        <f t="shared" si="1094"/>
        <v>24.063059465392563</v>
      </c>
      <c r="P681" s="26">
        <f>VLOOKUP($C681,COS!$B$8:$H$991,6,FALSE)</f>
        <v>1692.3414306640625</v>
      </c>
      <c r="Q681" s="26">
        <f t="shared" si="1095"/>
        <v>104.05801854661674</v>
      </c>
      <c r="R681" s="26">
        <f>MIN(IF(MONTH($C681)=4,$S$3,IF(MONTH($C681)=5,$S$4,IF(MONTH($C681)=6,$S$5,IF(MONTH($C681)=7,$S$6,"ERROR")))),MAX(VLOOKUP($C681,COS!$B$8:$K$991,10,FALSE)-IF(MONTH($C681)=4,$Y$3,IF(MONTH($C681)=5,$Y$4,IF(MONTH($C681)=6,$Y$5,IF(MONTH($C681)=7,$Y$6,"ERROR")))),0),MAX(VLOOKUP($C681,COS!$B$8:$K$991,9,FALSE)-IF(MONTH($C681)=4,$V$3,IF(MONTH($C681)=5,$V$4,IF(MONTH($C681)=6,$V$5,IF(MONTH($C681)=7,$V$6,"ERROR"))))-VLOOKUP($C681,COS!$B$8:$K$991,6,FALSE)/2,0))</f>
        <v>1500</v>
      </c>
      <c r="S681" s="26">
        <f t="shared" si="1096"/>
        <v>92.231404958677686</v>
      </c>
      <c r="T681" s="26">
        <f t="shared" si="1097"/>
        <v>156.29194396468233</v>
      </c>
      <c r="U681" s="26" t="str">
        <f>IF(VLOOKUP($C681,COS!$B$8:$I$991,8,FALSE)=1,"UWFE","IBU")</f>
        <v>UWFE</v>
      </c>
      <c r="V681" s="26">
        <f t="shared" ref="V681" si="1099">MIN(IF(IF($AA$3=2,AND(E681=1,G681=1,L681=1,L685=1,M681=1,U681="IBU"),AND(E681=1,G681=1,L681=1,L685=1,M681=1)),T681,0),I681)</f>
        <v>0</v>
      </c>
      <c r="W681" s="26"/>
      <c r="X681" s="26"/>
      <c r="Y681" s="26"/>
      <c r="Z681" s="26"/>
      <c r="AA681" s="26"/>
      <c r="AB681" s="33"/>
    </row>
    <row r="682" spans="1:28" x14ac:dyDescent="0.3">
      <c r="A682" s="32">
        <f>VLOOKUP(YEAR(C682),Flags!$A$13:$B$95,2,FALSE)</f>
        <v>1</v>
      </c>
      <c r="B682" s="24">
        <f t="shared" si="1054"/>
        <v>1996</v>
      </c>
      <c r="C682" s="25">
        <v>35246</v>
      </c>
      <c r="D682" s="26">
        <f>VLOOKUP($C682,COS!$B$8:$H$991,3,FALSE)</f>
        <v>7585.73583984375</v>
      </c>
      <c r="E682" s="24">
        <f>IF(D682&gt;=IF(MONTH($C682)=4,$C$3,IF(MONTH($C682)=5,$C$4,IF(MONTH($C682)=6,$C$5,IF(MONTH($C682)=7,$C$6,"ERROR")))),1,0)</f>
        <v>0</v>
      </c>
      <c r="F682" s="26">
        <f>VLOOKUP($C682,COS!$B$8:$H$991,7,FALSE)</f>
        <v>53.900276184082031</v>
      </c>
      <c r="G682" s="24">
        <f>IF(F682&lt;=IF(MONTH($C682)=4,$F$3,IF(MONTH($C682)=5,$F$4,IF(MONTH($C682)=6,$F$5,IF(MONTH($C682)=7,$F$6,"ERROR")))),1,0)</f>
        <v>1</v>
      </c>
      <c r="H682" s="26">
        <f>IF(J682=1,D682-$C$5,0)</f>
        <v>0</v>
      </c>
      <c r="I682" s="26">
        <f t="shared" si="1083"/>
        <v>0</v>
      </c>
      <c r="J682" s="24">
        <f t="shared" si="1091"/>
        <v>0</v>
      </c>
      <c r="K682" s="26">
        <f>VLOOKUP($C682,COS!$B$8:$H$991,2,FALSE)</f>
        <v>4421.00390625</v>
      </c>
      <c r="L682" s="24">
        <f t="shared" si="1046"/>
        <v>1</v>
      </c>
      <c r="M682" s="24">
        <f t="shared" si="1047"/>
        <v>0</v>
      </c>
      <c r="N682" s="26">
        <f>VLOOKUP($C682,COS!$B$8:$H$991,5,FALSE)</f>
        <v>1206.450439453125</v>
      </c>
      <c r="O682" s="26">
        <f t="shared" si="1094"/>
        <v>71.788786479855375</v>
      </c>
      <c r="P682" s="26">
        <f>VLOOKUP($C682,COS!$B$8:$H$991,6,FALSE)</f>
        <v>2328.534912109375</v>
      </c>
      <c r="Q682" s="26">
        <f t="shared" si="1095"/>
        <v>138.55744931559917</v>
      </c>
      <c r="R682" s="26">
        <f>MIN(IF(MONTH($C682)=4,$S$3,IF(MONTH($C682)=5,$S$4,IF(MONTH($C682)=6,$S$5,IF(MONTH($C682)=7,$S$6,"ERROR")))),MAX(VLOOKUP($C682,COS!$B$8:$K$991,10,FALSE)-IF(MONTH($C682)=4,$Y$3,IF(MONTH($C682)=5,$Y$4,IF(MONTH($C682)=6,$Y$5,IF(MONTH($C682)=7,$Y$6,"ERROR")))),0),MAX(VLOOKUP($C682,COS!$B$8:$K$991,9,FALSE)-IF(MONTH($C682)=4,$V$3,IF(MONTH($C682)=5,$V$4,IF(MONTH($C682)=6,$V$5,IF(MONTH($C682)=7,$V$6,"ERROR"))))-VLOOKUP($C682,COS!$B$8:$K$991,6,FALSE)/2,0))</f>
        <v>1500</v>
      </c>
      <c r="S682" s="26">
        <f t="shared" si="1096"/>
        <v>89.256198347107429</v>
      </c>
      <c r="T682" s="26">
        <f t="shared" si="1097"/>
        <v>194.42931624483469</v>
      </c>
      <c r="U682" s="26" t="str">
        <f>IF(VLOOKUP($C682,COS!$B$8:$I$991,8,FALSE)=1,"UWFE","IBU")</f>
        <v>UWFE</v>
      </c>
      <c r="V682" s="26">
        <f t="shared" ref="V682" si="1100">MIN(IF(IF($AA$3=2,AND(E682=1,G682=1,L682=1,L685=1,M682=1,U682="IBU"),AND(E682=1,G682=1,L682=1,L685=1,M682=1)),T682,0),I682)</f>
        <v>0</v>
      </c>
      <c r="W682" s="26"/>
      <c r="X682" s="26"/>
      <c r="Y682" s="26"/>
      <c r="Z682" s="26"/>
      <c r="AA682" s="26"/>
      <c r="AB682" s="33"/>
    </row>
    <row r="683" spans="1:28" x14ac:dyDescent="0.3">
      <c r="A683" s="32">
        <f>VLOOKUP(YEAR(C683),Flags!$A$13:$B$95,2,FALSE)</f>
        <v>1</v>
      </c>
      <c r="B683" s="24">
        <f t="shared" si="1054"/>
        <v>1996</v>
      </c>
      <c r="C683" s="25">
        <v>35277</v>
      </c>
      <c r="D683" s="26">
        <f>VLOOKUP($C683,COS!$B$8:$H$991,3,FALSE)</f>
        <v>15098.107421875</v>
      </c>
      <c r="E683" s="24">
        <f>IF(D683&gt;=IF(MONTH($C683)=4,$C$3,IF(MONTH($C683)=5,$C$4,IF(MONTH($C683)=6,$C$5,IF(MONTH($C683)=7,$C$6,"ERROR")))),1,0)</f>
        <v>1</v>
      </c>
      <c r="F683" s="26">
        <f>VLOOKUP($C683,COS!$B$8:$H$991,7,FALSE)</f>
        <v>53.102745056152344</v>
      </c>
      <c r="G683" s="24">
        <f>IF(F683&lt;=IF(MONTH($C683)=4,$F$3,IF(MONTH($C683)=5,$F$4,IF(MONTH($C683)=6,$F$5,IF(MONTH($C683)=7,$F$6,"ERROR")))),1,0)</f>
        <v>1</v>
      </c>
      <c r="H683" s="26">
        <f>IF(J683=1,D683-$C$6,0)</f>
        <v>3098.107421875</v>
      </c>
      <c r="I683" s="26">
        <f t="shared" si="1083"/>
        <v>190.49520015495867</v>
      </c>
      <c r="J683" s="24">
        <f t="shared" si="1091"/>
        <v>1</v>
      </c>
      <c r="K683" s="26">
        <f>VLOOKUP($C683,COS!$B$8:$H$991,2,FALSE)</f>
        <v>3708.637451171875</v>
      </c>
      <c r="L683" s="24">
        <f t="shared" si="1046"/>
        <v>1</v>
      </c>
      <c r="M683" s="24">
        <f t="shared" si="1047"/>
        <v>0</v>
      </c>
      <c r="N683" s="26">
        <f>VLOOKUP($C683,COS!$B$8:$H$991,5,FALSE)</f>
        <v>1377.7275390625</v>
      </c>
      <c r="O683" s="26">
        <f t="shared" si="1094"/>
        <v>84.713164385330572</v>
      </c>
      <c r="P683" s="26">
        <f>VLOOKUP($C683,COS!$B$8:$H$991,6,FALSE)</f>
        <v>2521.474853515625</v>
      </c>
      <c r="Q683" s="26">
        <f t="shared" si="1095"/>
        <v>155.0394455384814</v>
      </c>
      <c r="R683" s="26">
        <f>MIN(IF(MONTH($C683)=4,$S$3,IF(MONTH($C683)=5,$S$4,IF(MONTH($C683)=6,$S$5,IF(MONTH($C683)=7,$S$6,"ERROR")))),MAX(VLOOKUP($C683,COS!$B$8:$K$991,10,FALSE)-IF(MONTH($C683)=4,$Y$3,IF(MONTH($C683)=5,$Y$4,IF(MONTH($C683)=6,$Y$5,IF(MONTH($C683)=7,$Y$6,"ERROR")))),0),MAX(VLOOKUP($C683,COS!$B$8:$K$991,9,FALSE)-IF(MONTH($C683)=4,$V$3,IF(MONTH($C683)=5,$V$4,IF(MONTH($C683)=6,$V$5,IF(MONTH($C683)=7,$V$6,"ERROR"))))-VLOOKUP($C683,COS!$B$8:$K$991,6,FALSE)/2,0))</f>
        <v>1500</v>
      </c>
      <c r="S683" s="26">
        <f t="shared" si="1096"/>
        <v>92.231404958677686</v>
      </c>
      <c r="T683" s="26">
        <f t="shared" si="1097"/>
        <v>212.10770992058366</v>
      </c>
      <c r="U683" s="26" t="str">
        <f>IF(VLOOKUP($C683,COS!$B$8:$I$991,8,FALSE)=1,"UWFE","IBU")</f>
        <v>IBU</v>
      </c>
      <c r="V683" s="26">
        <f t="shared" ref="V683" si="1101">MIN(IF(IF($AA$3=2,AND(E683=1,G683=1,L683=1,L685=1,M683=1,U683="IBU"),AND(E683=1,G683=1,L683=1,L685=1,M683=1)),T683,0),I683)</f>
        <v>0</v>
      </c>
      <c r="W683" s="26"/>
      <c r="X683" s="26"/>
      <c r="Y683" s="26"/>
      <c r="Z683" s="26"/>
      <c r="AA683" s="26"/>
      <c r="AB683" s="33"/>
    </row>
    <row r="684" spans="1:28" x14ac:dyDescent="0.3">
      <c r="A684" s="32">
        <f>VLOOKUP(YEAR(C684),Flags!$A$13:$B$95,2,FALSE)</f>
        <v>1</v>
      </c>
      <c r="B684" s="24">
        <f t="shared" si="1054"/>
        <v>1996</v>
      </c>
      <c r="C684" s="25">
        <v>35308</v>
      </c>
      <c r="D684" s="26"/>
      <c r="E684" s="24"/>
      <c r="F684" s="26"/>
      <c r="G684" s="24"/>
      <c r="H684" s="24"/>
      <c r="I684" s="26"/>
      <c r="J684" s="24"/>
      <c r="K684" s="26"/>
      <c r="L684" s="24"/>
      <c r="M684" s="24"/>
      <c r="N684" s="26"/>
      <c r="O684" s="26"/>
      <c r="P684" s="26"/>
      <c r="Q684" s="26"/>
      <c r="R684" s="26"/>
      <c r="S684" s="26"/>
      <c r="T684" s="26"/>
      <c r="U684" s="26"/>
      <c r="V684" s="26"/>
      <c r="W684" s="26">
        <f>MAX($C$7-VLOOKUP($C684,COS!$B$8:$H$991,3,FALSE),0)</f>
        <v>2643.01953125</v>
      </c>
      <c r="X684" s="26">
        <f t="shared" si="1086"/>
        <v>162.51293646694216</v>
      </c>
      <c r="Y684" s="26">
        <f>VLOOKUP($C684,COS!$B$8:$H$991,4,FALSE)</f>
        <v>0</v>
      </c>
      <c r="Z684" s="26">
        <f t="shared" si="1087"/>
        <v>0</v>
      </c>
      <c r="AA684" s="26">
        <f t="shared" ref="AA684:AA688" si="1102">MIN(W684,Y684)</f>
        <v>0</v>
      </c>
      <c r="AB684" s="33">
        <f t="shared" ref="AB684" si="1103">AA684*DAY($C684)*86400/43560/1000*IF(MONTH($C684)=8,$P$3,IF(MONTH($C684)=9,$P$4,IF(MONTH($C684)=10,$P$5,IF(MONTH($C684)=11,$P$6,IF(MONTH($C684)=12,$P$7,NA())))))</f>
        <v>0</v>
      </c>
    </row>
    <row r="685" spans="1:28" x14ac:dyDescent="0.3">
      <c r="A685" s="32">
        <f>VLOOKUP(YEAR(C685),Flags!$A$13:$B$95,2,FALSE)</f>
        <v>1</v>
      </c>
      <c r="B685" s="24">
        <f t="shared" si="1054"/>
        <v>1996</v>
      </c>
      <c r="C685" s="25">
        <v>35338</v>
      </c>
      <c r="D685" s="26"/>
      <c r="E685" s="24"/>
      <c r="F685" s="26"/>
      <c r="G685" s="24"/>
      <c r="H685" s="24"/>
      <c r="I685" s="26"/>
      <c r="J685" s="24"/>
      <c r="K685" s="26">
        <f>VLOOKUP($C685,COS!$B$8:$H$991,2,FALSE)</f>
        <v>3012.986572265625</v>
      </c>
      <c r="L685" s="24">
        <f t="shared" ref="L685" si="1104">IF(AND(K685&gt;$I$7,K685&lt;$I$8),1,0)</f>
        <v>1</v>
      </c>
      <c r="M685" s="24"/>
      <c r="N685" s="26"/>
      <c r="O685" s="26"/>
      <c r="P685" s="26"/>
      <c r="Q685" s="26"/>
      <c r="R685" s="26"/>
      <c r="S685" s="26"/>
      <c r="T685" s="26"/>
      <c r="U685" s="26"/>
      <c r="V685" s="26"/>
      <c r="W685" s="26">
        <f>MAX($C$8-VLOOKUP($C685,COS!$B$8:$H$991,3,FALSE),0)</f>
        <v>0</v>
      </c>
      <c r="X685" s="26">
        <f t="shared" si="1086"/>
        <v>0</v>
      </c>
      <c r="Y685" s="26">
        <f>VLOOKUP($C685,COS!$B$8:$H$991,4,FALSE)</f>
        <v>0</v>
      </c>
      <c r="Z685" s="26">
        <f t="shared" si="1087"/>
        <v>0</v>
      </c>
      <c r="AA685" s="26">
        <f t="shared" si="1102"/>
        <v>0</v>
      </c>
      <c r="AB685" s="33">
        <f t="shared" si="1058"/>
        <v>0</v>
      </c>
    </row>
    <row r="686" spans="1:28" x14ac:dyDescent="0.3">
      <c r="A686" s="32">
        <f>VLOOKUP(YEAR(C686),Flags!$A$13:$B$95,2,FALSE)</f>
        <v>1</v>
      </c>
      <c r="B686" s="24">
        <f t="shared" si="1054"/>
        <v>1996</v>
      </c>
      <c r="C686" s="25">
        <v>35369</v>
      </c>
      <c r="D686" s="26"/>
      <c r="E686" s="24"/>
      <c r="F686" s="26"/>
      <c r="G686" s="26"/>
      <c r="H686" s="26"/>
      <c r="I686" s="26"/>
      <c r="J686" s="26"/>
      <c r="K686" s="26"/>
      <c r="L686" s="24"/>
      <c r="M686" s="24"/>
      <c r="N686" s="26"/>
      <c r="O686" s="26"/>
      <c r="P686" s="26"/>
      <c r="Q686" s="26"/>
      <c r="R686" s="26"/>
      <c r="S686" s="26"/>
      <c r="T686" s="26"/>
      <c r="U686" s="26"/>
      <c r="V686" s="26"/>
      <c r="W686" s="26">
        <f>MAX($C$9-VLOOKUP($C686,COS!$B$8:$H$991,3,FALSE),0)</f>
        <v>0</v>
      </c>
      <c r="X686" s="26">
        <f t="shared" si="1086"/>
        <v>0</v>
      </c>
      <c r="Y686" s="26">
        <f>VLOOKUP($C686,COS!$B$8:$H$991,4,FALSE)</f>
        <v>729.4923095703125</v>
      </c>
      <c r="Z686" s="26">
        <f t="shared" si="1087"/>
        <v>44.854733745480374</v>
      </c>
      <c r="AA686" s="26">
        <f t="shared" si="1102"/>
        <v>0</v>
      </c>
      <c r="AB686" s="33">
        <f t="shared" si="1058"/>
        <v>0</v>
      </c>
    </row>
    <row r="687" spans="1:28" x14ac:dyDescent="0.3">
      <c r="A687" s="32">
        <f>VLOOKUP(YEAR(C687),Flags!$A$13:$B$95,2,FALSE)</f>
        <v>1</v>
      </c>
      <c r="B687" s="24">
        <f t="shared" si="1054"/>
        <v>1996</v>
      </c>
      <c r="C687" s="25">
        <v>35399</v>
      </c>
      <c r="D687" s="26"/>
      <c r="E687" s="24"/>
      <c r="F687" s="26"/>
      <c r="G687" s="26"/>
      <c r="H687" s="26"/>
      <c r="I687" s="26"/>
      <c r="J687" s="26"/>
      <c r="K687" s="26"/>
      <c r="L687" s="24"/>
      <c r="M687" s="24"/>
      <c r="N687" s="26"/>
      <c r="O687" s="26"/>
      <c r="P687" s="26"/>
      <c r="Q687" s="26"/>
      <c r="R687" s="26"/>
      <c r="S687" s="26"/>
      <c r="T687" s="26"/>
      <c r="U687" s="26"/>
      <c r="V687" s="26"/>
      <c r="W687" s="26">
        <f>MAX($C$10-VLOOKUP($C687,COS!$B$8:$H$991,3,FALSE),0)</f>
        <v>0</v>
      </c>
      <c r="X687" s="26">
        <f t="shared" si="1086"/>
        <v>0</v>
      </c>
      <c r="Y687" s="26">
        <f>VLOOKUP($C687,COS!$B$8:$H$991,4,FALSE)</f>
        <v>1822.423095703125</v>
      </c>
      <c r="Z687" s="26">
        <f t="shared" si="1087"/>
        <v>108.44170486828513</v>
      </c>
      <c r="AA687" s="26">
        <f t="shared" si="1102"/>
        <v>0</v>
      </c>
      <c r="AB687" s="33">
        <f t="shared" si="1058"/>
        <v>0</v>
      </c>
    </row>
    <row r="688" spans="1:28" x14ac:dyDescent="0.3">
      <c r="A688" s="34">
        <f>VLOOKUP(YEAR(C688),Flags!$A$13:$B$95,2,FALSE)</f>
        <v>1</v>
      </c>
      <c r="B688" s="35">
        <f t="shared" si="1054"/>
        <v>1996</v>
      </c>
      <c r="C688" s="36">
        <v>35430</v>
      </c>
      <c r="D688" s="37"/>
      <c r="E688" s="35"/>
      <c r="F688" s="37"/>
      <c r="G688" s="37"/>
      <c r="H688" s="37"/>
      <c r="I688" s="37"/>
      <c r="J688" s="37"/>
      <c r="K688" s="37"/>
      <c r="L688" s="35"/>
      <c r="M688" s="35"/>
      <c r="N688" s="37"/>
      <c r="O688" s="37"/>
      <c r="P688" s="37"/>
      <c r="Q688" s="37"/>
      <c r="R688" s="37"/>
      <c r="S688" s="37"/>
      <c r="T688" s="37"/>
      <c r="U688" s="37"/>
      <c r="V688" s="37"/>
      <c r="W688" s="37">
        <f>MAX($C$11-VLOOKUP($C688,COS!$B$8:$H$991,3,FALSE),0)</f>
        <v>0</v>
      </c>
      <c r="X688" s="37">
        <f t="shared" si="1086"/>
        <v>0</v>
      </c>
      <c r="Y688" s="37">
        <f>VLOOKUP($C688,COS!$B$8:$H$991,4,FALSE)</f>
        <v>0</v>
      </c>
      <c r="Z688" s="37">
        <f t="shared" si="1087"/>
        <v>0</v>
      </c>
      <c r="AA688" s="37">
        <f t="shared" si="1102"/>
        <v>0</v>
      </c>
      <c r="AB688" s="38">
        <f t="shared" si="1058"/>
        <v>0</v>
      </c>
    </row>
    <row r="689" spans="1:28" x14ac:dyDescent="0.3">
      <c r="A689" s="27">
        <f>VLOOKUP(YEAR(C689),Flags!$A$13:$B$95,2,FALSE)</f>
        <v>1</v>
      </c>
      <c r="B689" s="28">
        <f t="shared" si="1054"/>
        <v>1997</v>
      </c>
      <c r="C689" s="29">
        <v>35550</v>
      </c>
      <c r="D689" s="30">
        <f>VLOOKUP($C689,COS!$B$8:$H$991,3,FALSE)</f>
        <v>3250</v>
      </c>
      <c r="E689" s="28">
        <f>IF(D689&gt;=IF(MONTH($C689)=4,$C$3,IF(MONTH($C689)=5,$C$4,IF(MONTH($C689)=6,$C$5,IF(MONTH($C689)=7,$C$6,"ERROR")))),1,0)</f>
        <v>0</v>
      </c>
      <c r="F689" s="30">
        <f>VLOOKUP($C689,COS!$B$8:$H$991,7,FALSE)</f>
        <v>50.800266265869141</v>
      </c>
      <c r="G689" s="28">
        <f>IF(F689&lt;=IF(MONTH($C689)=4,$F$3,IF(MONTH($C689)=5,$F$4,IF(MONTH($C689)=6,$F$5,IF(MONTH($C689)=7,$F$6,"ERROR")))),1,0)</f>
        <v>1</v>
      </c>
      <c r="H689" s="30">
        <f>IF(J689=1,D689-$C$3,0)</f>
        <v>0</v>
      </c>
      <c r="I689" s="30">
        <f t="shared" si="1083"/>
        <v>0</v>
      </c>
      <c r="J689" s="28">
        <f t="shared" ref="J689:J692" si="1105">IF(AND(E689=1,G689=1),1,0)</f>
        <v>0</v>
      </c>
      <c r="K689" s="30">
        <f>VLOOKUP($C689,COS!$B$8:$H$991,2,FALSE)</f>
        <v>4284.2431640625</v>
      </c>
      <c r="L689" s="28">
        <f t="shared" ref="L689" si="1106">IF(K689&lt;=IF(MONTH($C689)=4,$I$3,IF(MONTH($C689)=5,$I$4,IF(MONTH($C689)=6,$I$5,IF(MONTH($C689)=7,$I$6,"ERROR")))),1,0)</f>
        <v>1</v>
      </c>
      <c r="M689" s="28">
        <f t="shared" ref="M689" si="1107">VLOOKUP($A689,$L$3:$M$7,2,FALSE)</f>
        <v>0</v>
      </c>
      <c r="N689" s="30">
        <f>VLOOKUP($C689,COS!$B$8:$H$991,5,FALSE)</f>
        <v>312.31362915039063</v>
      </c>
      <c r="O689" s="30">
        <f t="shared" ref="O689:O692" si="1108">N689*DAY($C689)*86400/43560/1000</f>
        <v>18.583951486634813</v>
      </c>
      <c r="P689" s="30">
        <f>VLOOKUP($C689,COS!$B$8:$H$991,6,FALSE)</f>
        <v>564.39752197265625</v>
      </c>
      <c r="Q689" s="30">
        <f t="shared" ref="Q689:Q692" si="1109">P689*DAY($C689)*86400/43560/1000</f>
        <v>33.583984778538223</v>
      </c>
      <c r="R689" s="30">
        <f>MIN(IF(MONTH($C689)=4,$S$3,IF(MONTH($C689)=5,$S$4,IF(MONTH($C689)=6,$S$5,IF(MONTH($C689)=7,$S$6,"ERROR")))),MAX(VLOOKUP($C689,COS!$B$8:$K$991,10,FALSE)-IF(MONTH($C689)=4,$Y$3,IF(MONTH($C689)=5,$Y$4,IF(MONTH($C689)=6,$Y$5,IF(MONTH($C689)=7,$Y$6,"ERROR")))),0),MAX(VLOOKUP($C689,COS!$B$8:$K$991,9,FALSE)-IF(MONTH($C689)=4,$V$3,IF(MONTH($C689)=5,$V$4,IF(MONTH($C689)=6,$V$5,IF(MONTH($C689)=7,$V$6,"ERROR"))))-VLOOKUP($C689,COS!$B$8:$K$991,6,FALSE)/2,0))</f>
        <v>1500</v>
      </c>
      <c r="S689" s="30">
        <f t="shared" ref="S689:S692" si="1110">R689*DAY($C689)*86400/43560/1000</f>
        <v>89.256198347107429</v>
      </c>
      <c r="T689" s="30">
        <f t="shared" ref="T689:T692" si="1111">(O689+Q689)/2+S689</f>
        <v>115.34016647969395</v>
      </c>
      <c r="U689" s="30" t="str">
        <f>IF(VLOOKUP($C689,COS!$B$8:$I$991,8,FALSE)=1,"UWFE","IBU")</f>
        <v>UWFE</v>
      </c>
      <c r="V689" s="30">
        <f t="shared" ref="V689" si="1112">MIN(IF(IF($AA$3=2,AND(E689=1,G689=1,L689=1,L694=1,M689=1,U689="IBU"),AND(E689=1,G689=1,L689=1,L694=1,M689=1)),T689,0),I689)</f>
        <v>0</v>
      </c>
      <c r="W689" s="30"/>
      <c r="X689" s="30"/>
      <c r="Y689" s="30"/>
      <c r="Z689" s="30"/>
      <c r="AA689" s="30"/>
      <c r="AB689" s="31"/>
    </row>
    <row r="690" spans="1:28" x14ac:dyDescent="0.3">
      <c r="A690" s="32">
        <f>VLOOKUP(YEAR(C690),Flags!$A$13:$B$95,2,FALSE)</f>
        <v>1</v>
      </c>
      <c r="B690" s="24">
        <f t="shared" si="1054"/>
        <v>1997</v>
      </c>
      <c r="C690" s="25">
        <v>35581</v>
      </c>
      <c r="D690" s="26">
        <f>VLOOKUP($C690,COS!$B$8:$H$991,3,FALSE)</f>
        <v>8600.0205078125</v>
      </c>
      <c r="E690" s="24">
        <f>IF(D690&gt;=IF(MONTH($C690)=4,$C$3,IF(MONTH($C690)=5,$C$4,IF(MONTH($C690)=6,$C$5,IF(MONTH($C690)=7,$C$6,"ERROR")))),1,0)</f>
        <v>1</v>
      </c>
      <c r="F690" s="26">
        <f>VLOOKUP($C690,COS!$B$8:$H$991,7,FALSE)</f>
        <v>50.114212036132813</v>
      </c>
      <c r="G690" s="24">
        <f>IF(F690&lt;=IF(MONTH($C690)=4,$F$3,IF(MONTH($C690)=5,$F$4,IF(MONTH($C690)=6,$F$5,IF(MONTH($C690)=7,$F$6,"ERROR")))),1,0)</f>
        <v>1</v>
      </c>
      <c r="H690" s="26">
        <f>IF(J690=1,D690-$C$4,0)</f>
        <v>2600.0205078125</v>
      </c>
      <c r="I690" s="26">
        <f t="shared" si="1083"/>
        <v>159.86902957128098</v>
      </c>
      <c r="J690" s="24">
        <f t="shared" si="1105"/>
        <v>1</v>
      </c>
      <c r="K690" s="26">
        <f>VLOOKUP($C690,COS!$B$8:$H$991,2,FALSE)</f>
        <v>4051.203369140625</v>
      </c>
      <c r="L690" s="24">
        <f t="shared" si="1046"/>
        <v>1</v>
      </c>
      <c r="M690" s="24">
        <f t="shared" si="1047"/>
        <v>0</v>
      </c>
      <c r="N690" s="26">
        <f>VLOOKUP($C690,COS!$B$8:$H$991,5,FALSE)</f>
        <v>869.624755859375</v>
      </c>
      <c r="O690" s="26">
        <f t="shared" si="1108"/>
        <v>53.471142013171487</v>
      </c>
      <c r="P690" s="26">
        <f>VLOOKUP($C690,COS!$B$8:$H$991,6,FALSE)</f>
        <v>2219.110107421875</v>
      </c>
      <c r="Q690" s="26">
        <f t="shared" si="1109"/>
        <v>136.44776197701447</v>
      </c>
      <c r="R690" s="26">
        <f>MIN(IF(MONTH($C690)=4,$S$3,IF(MONTH($C690)=5,$S$4,IF(MONTH($C690)=6,$S$5,IF(MONTH($C690)=7,$S$6,"ERROR")))),MAX(VLOOKUP($C690,COS!$B$8:$K$991,10,FALSE)-IF(MONTH($C690)=4,$Y$3,IF(MONTH($C690)=5,$Y$4,IF(MONTH($C690)=6,$Y$5,IF(MONTH($C690)=7,$Y$6,"ERROR")))),0),MAX(VLOOKUP($C690,COS!$B$8:$K$991,9,FALSE)-IF(MONTH($C690)=4,$V$3,IF(MONTH($C690)=5,$V$4,IF(MONTH($C690)=6,$V$5,IF(MONTH($C690)=7,$V$6,"ERROR"))))-VLOOKUP($C690,COS!$B$8:$K$991,6,FALSE)/2,0))</f>
        <v>1500</v>
      </c>
      <c r="S690" s="26">
        <f t="shared" si="1110"/>
        <v>92.231404958677686</v>
      </c>
      <c r="T690" s="26">
        <f t="shared" si="1111"/>
        <v>187.19085695377066</v>
      </c>
      <c r="U690" s="26" t="str">
        <f>IF(VLOOKUP($C690,COS!$B$8:$I$991,8,FALSE)=1,"UWFE","IBU")</f>
        <v>UWFE</v>
      </c>
      <c r="V690" s="26">
        <f t="shared" ref="V690" si="1113">MIN(IF(IF($AA$3=2,AND(E690=1,G690=1,L690=1,L694=1,M690=1,U690="IBU"),AND(E690=1,G690=1,L690=1,L694=1,M690=1)),T690,0),I690)</f>
        <v>0</v>
      </c>
      <c r="W690" s="26"/>
      <c r="X690" s="26"/>
      <c r="Y690" s="26"/>
      <c r="Z690" s="26"/>
      <c r="AA690" s="26"/>
      <c r="AB690" s="33"/>
    </row>
    <row r="691" spans="1:28" x14ac:dyDescent="0.3">
      <c r="A691" s="32">
        <f>VLOOKUP(YEAR(C691),Flags!$A$13:$B$95,2,FALSE)</f>
        <v>1</v>
      </c>
      <c r="B691" s="24">
        <f t="shared" si="1054"/>
        <v>1997</v>
      </c>
      <c r="C691" s="25">
        <v>35611</v>
      </c>
      <c r="D691" s="26">
        <f>VLOOKUP($C691,COS!$B$8:$H$991,3,FALSE)</f>
        <v>8785.2919921875</v>
      </c>
      <c r="E691" s="24">
        <f>IF(D691&gt;=IF(MONTH($C691)=4,$C$3,IF(MONTH($C691)=5,$C$4,IF(MONTH($C691)=6,$C$5,IF(MONTH($C691)=7,$C$6,"ERROR")))),1,0)</f>
        <v>0</v>
      </c>
      <c r="F691" s="26">
        <f>VLOOKUP($C691,COS!$B$8:$H$991,7,FALSE)</f>
        <v>50.868202209472656</v>
      </c>
      <c r="G691" s="24">
        <f>IF(F691&lt;=IF(MONTH($C691)=4,$F$3,IF(MONTH($C691)=5,$F$4,IF(MONTH($C691)=6,$F$5,IF(MONTH($C691)=7,$F$6,"ERROR")))),1,0)</f>
        <v>1</v>
      </c>
      <c r="H691" s="26">
        <f>IF(J691=1,D691-$C$5,0)</f>
        <v>0</v>
      </c>
      <c r="I691" s="26">
        <f t="shared" si="1083"/>
        <v>0</v>
      </c>
      <c r="J691" s="24">
        <f t="shared" si="1105"/>
        <v>0</v>
      </c>
      <c r="K691" s="26">
        <f>VLOOKUP($C691,COS!$B$8:$H$991,2,FALSE)</f>
        <v>3776.169677734375</v>
      </c>
      <c r="L691" s="24">
        <f t="shared" si="1046"/>
        <v>1</v>
      </c>
      <c r="M691" s="24">
        <f t="shared" si="1047"/>
        <v>0</v>
      </c>
      <c r="N691" s="26">
        <f>VLOOKUP($C691,COS!$B$8:$H$991,5,FALSE)</f>
        <v>771.67578125</v>
      </c>
      <c r="O691" s="26">
        <f t="shared" si="1108"/>
        <v>45.917897727272731</v>
      </c>
      <c r="P691" s="26">
        <f>VLOOKUP($C691,COS!$B$8:$H$991,6,FALSE)</f>
        <v>2299.130615234375</v>
      </c>
      <c r="Q691" s="26">
        <f t="shared" si="1109"/>
        <v>136.80777214617768</v>
      </c>
      <c r="R691" s="26">
        <f>MIN(IF(MONTH($C691)=4,$S$3,IF(MONTH($C691)=5,$S$4,IF(MONTH($C691)=6,$S$5,IF(MONTH($C691)=7,$S$6,"ERROR")))),MAX(VLOOKUP($C691,COS!$B$8:$K$991,10,FALSE)-IF(MONTH($C691)=4,$Y$3,IF(MONTH($C691)=5,$Y$4,IF(MONTH($C691)=6,$Y$5,IF(MONTH($C691)=7,$Y$6,"ERROR")))),0),MAX(VLOOKUP($C691,COS!$B$8:$K$991,9,FALSE)-IF(MONTH($C691)=4,$V$3,IF(MONTH($C691)=5,$V$4,IF(MONTH($C691)=6,$V$5,IF(MONTH($C691)=7,$V$6,"ERROR"))))-VLOOKUP($C691,COS!$B$8:$K$991,6,FALSE)/2,0))</f>
        <v>1500</v>
      </c>
      <c r="S691" s="26">
        <f t="shared" si="1110"/>
        <v>89.256198347107429</v>
      </c>
      <c r="T691" s="26">
        <f t="shared" si="1111"/>
        <v>180.61903328383264</v>
      </c>
      <c r="U691" s="26" t="str">
        <f>IF(VLOOKUP($C691,COS!$B$8:$I$991,8,FALSE)=1,"UWFE","IBU")</f>
        <v>IBU</v>
      </c>
      <c r="V691" s="26">
        <f t="shared" ref="V691" si="1114">MIN(IF(IF($AA$3=2,AND(E691=1,G691=1,L691=1,L694=1,M691=1,U691="IBU"),AND(E691=1,G691=1,L691=1,L694=1,M691=1)),T691,0),I691)</f>
        <v>0</v>
      </c>
      <c r="W691" s="26"/>
      <c r="X691" s="26"/>
      <c r="Y691" s="26"/>
      <c r="Z691" s="26"/>
      <c r="AA691" s="26"/>
      <c r="AB691" s="33"/>
    </row>
    <row r="692" spans="1:28" x14ac:dyDescent="0.3">
      <c r="A692" s="32">
        <f>VLOOKUP(YEAR(C692),Flags!$A$13:$B$95,2,FALSE)</f>
        <v>1</v>
      </c>
      <c r="B692" s="24">
        <f t="shared" si="1054"/>
        <v>1997</v>
      </c>
      <c r="C692" s="25">
        <v>35642</v>
      </c>
      <c r="D692" s="26">
        <f>VLOOKUP($C692,COS!$B$8:$H$991,3,FALSE)</f>
        <v>15565.1083984375</v>
      </c>
      <c r="E692" s="24">
        <f>IF(D692&gt;=IF(MONTH($C692)=4,$C$3,IF(MONTH($C692)=5,$C$4,IF(MONTH($C692)=6,$C$5,IF(MONTH($C692)=7,$C$6,"ERROR")))),1,0)</f>
        <v>1</v>
      </c>
      <c r="F692" s="26">
        <f>VLOOKUP($C692,COS!$B$8:$H$991,7,FALSE)</f>
        <v>51.028911590576172</v>
      </c>
      <c r="G692" s="24">
        <f>IF(F692&lt;=IF(MONTH($C692)=4,$F$3,IF(MONTH($C692)=5,$F$4,IF(MONTH($C692)=6,$F$5,IF(MONTH($C692)=7,$F$6,"ERROR")))),1,0)</f>
        <v>1</v>
      </c>
      <c r="H692" s="26">
        <f>IF(J692=1,D692-$C$6,0)</f>
        <v>3565.1083984375</v>
      </c>
      <c r="I692" s="26">
        <f t="shared" si="1083"/>
        <v>219.20997094524793</v>
      </c>
      <c r="J692" s="24">
        <f t="shared" si="1105"/>
        <v>1</v>
      </c>
      <c r="K692" s="26">
        <f>VLOOKUP($C692,COS!$B$8:$H$991,2,FALSE)</f>
        <v>3132.19189453125</v>
      </c>
      <c r="L692" s="24">
        <f t="shared" si="1046"/>
        <v>1</v>
      </c>
      <c r="M692" s="24">
        <f t="shared" si="1047"/>
        <v>0</v>
      </c>
      <c r="N692" s="26">
        <f>VLOOKUP($C692,COS!$B$8:$H$991,5,FALSE)</f>
        <v>889.0089111328125</v>
      </c>
      <c r="O692" s="26">
        <f t="shared" si="1108"/>
        <v>54.663027263042359</v>
      </c>
      <c r="P692" s="26">
        <f>VLOOKUP($C692,COS!$B$8:$H$991,6,FALSE)</f>
        <v>2607.468505859375</v>
      </c>
      <c r="Q692" s="26">
        <f t="shared" si="1109"/>
        <v>160.32698912060951</v>
      </c>
      <c r="R692" s="26">
        <f>MIN(IF(MONTH($C692)=4,$S$3,IF(MONTH($C692)=5,$S$4,IF(MONTH($C692)=6,$S$5,IF(MONTH($C692)=7,$S$6,"ERROR")))),MAX(VLOOKUP($C692,COS!$B$8:$K$991,10,FALSE)-IF(MONTH($C692)=4,$Y$3,IF(MONTH($C692)=5,$Y$4,IF(MONTH($C692)=6,$Y$5,IF(MONTH($C692)=7,$Y$6,"ERROR")))),0),MAX(VLOOKUP($C692,COS!$B$8:$K$991,9,FALSE)-IF(MONTH($C692)=4,$V$3,IF(MONTH($C692)=5,$V$4,IF(MONTH($C692)=6,$V$5,IF(MONTH($C692)=7,$V$6,"ERROR"))))-VLOOKUP($C692,COS!$B$8:$K$991,6,FALSE)/2,0))</f>
        <v>1500</v>
      </c>
      <c r="S692" s="26">
        <f t="shared" si="1110"/>
        <v>92.231404958677686</v>
      </c>
      <c r="T692" s="26">
        <f t="shared" si="1111"/>
        <v>199.72641315050362</v>
      </c>
      <c r="U692" s="26" t="str">
        <f>IF(VLOOKUP($C692,COS!$B$8:$I$991,8,FALSE)=1,"UWFE","IBU")</f>
        <v>IBU</v>
      </c>
      <c r="V692" s="26">
        <f t="shared" ref="V692" si="1115">MIN(IF(IF($AA$3=2,AND(E692=1,G692=1,L692=1,L694=1,M692=1,U692="IBU"),AND(E692=1,G692=1,L692=1,L694=1,M692=1)),T692,0),I692)</f>
        <v>0</v>
      </c>
      <c r="W692" s="26"/>
      <c r="X692" s="26"/>
      <c r="Y692" s="26"/>
      <c r="Z692" s="26"/>
      <c r="AA692" s="26"/>
      <c r="AB692" s="33"/>
    </row>
    <row r="693" spans="1:28" x14ac:dyDescent="0.3">
      <c r="A693" s="32">
        <f>VLOOKUP(YEAR(C693),Flags!$A$13:$B$95,2,FALSE)</f>
        <v>1</v>
      </c>
      <c r="B693" s="24">
        <f t="shared" si="1054"/>
        <v>1997</v>
      </c>
      <c r="C693" s="25">
        <v>35673</v>
      </c>
      <c r="D693" s="26"/>
      <c r="E693" s="24"/>
      <c r="F693" s="26"/>
      <c r="G693" s="24"/>
      <c r="H693" s="24"/>
      <c r="I693" s="26"/>
      <c r="J693" s="24"/>
      <c r="K693" s="26"/>
      <c r="L693" s="24"/>
      <c r="M693" s="24"/>
      <c r="N693" s="26"/>
      <c r="O693" s="26"/>
      <c r="P693" s="26"/>
      <c r="Q693" s="26"/>
      <c r="R693" s="26"/>
      <c r="S693" s="26"/>
      <c r="T693" s="26"/>
      <c r="U693" s="26"/>
      <c r="V693" s="26"/>
      <c r="W693" s="26">
        <f>MAX($C$7-VLOOKUP($C693,COS!$B$8:$H$991,3,FALSE),0)</f>
        <v>3755.5810546875</v>
      </c>
      <c r="X693" s="26">
        <f t="shared" si="1086"/>
        <v>230.9216780733471</v>
      </c>
      <c r="Y693" s="26">
        <f>VLOOKUP($C693,COS!$B$8:$H$991,4,FALSE)</f>
        <v>0</v>
      </c>
      <c r="Z693" s="26">
        <f t="shared" si="1087"/>
        <v>0</v>
      </c>
      <c r="AA693" s="26">
        <f t="shared" ref="AA693:AA697" si="1116">MIN(W693,Y693)</f>
        <v>0</v>
      </c>
      <c r="AB693" s="33">
        <f t="shared" ref="AB693" si="1117">AA693*DAY($C693)*86400/43560/1000*IF(MONTH($C693)=8,$P$3,IF(MONTH($C693)=9,$P$4,IF(MONTH($C693)=10,$P$5,IF(MONTH($C693)=11,$P$6,IF(MONTH($C693)=12,$P$7,NA())))))</f>
        <v>0</v>
      </c>
    </row>
    <row r="694" spans="1:28" x14ac:dyDescent="0.3">
      <c r="A694" s="32">
        <f>VLOOKUP(YEAR(C694),Flags!$A$13:$B$95,2,FALSE)</f>
        <v>1</v>
      </c>
      <c r="B694" s="24">
        <f t="shared" si="1054"/>
        <v>1997</v>
      </c>
      <c r="C694" s="25">
        <v>35703</v>
      </c>
      <c r="D694" s="26"/>
      <c r="E694" s="24"/>
      <c r="F694" s="26"/>
      <c r="G694" s="24"/>
      <c r="H694" s="24"/>
      <c r="I694" s="26"/>
      <c r="J694" s="24"/>
      <c r="K694" s="26">
        <f>VLOOKUP($C694,COS!$B$8:$H$991,2,FALSE)</f>
        <v>2308.70703125</v>
      </c>
      <c r="L694" s="24">
        <f t="shared" ref="L694" si="1118">IF(AND(K694&gt;$I$7,K694&lt;$I$8),1,0)</f>
        <v>1</v>
      </c>
      <c r="M694" s="24"/>
      <c r="N694" s="26"/>
      <c r="O694" s="26"/>
      <c r="P694" s="26"/>
      <c r="Q694" s="26"/>
      <c r="R694" s="26"/>
      <c r="S694" s="26"/>
      <c r="T694" s="26"/>
      <c r="U694" s="26"/>
      <c r="V694" s="26"/>
      <c r="W694" s="26">
        <f>MAX($C$8-VLOOKUP($C694,COS!$B$8:$H$991,3,FALSE),0)</f>
        <v>0</v>
      </c>
      <c r="X694" s="26">
        <f t="shared" si="1086"/>
        <v>0</v>
      </c>
      <c r="Y694" s="26">
        <f>VLOOKUP($C694,COS!$B$8:$H$991,4,FALSE)</f>
        <v>0</v>
      </c>
      <c r="Z694" s="26">
        <f t="shared" si="1087"/>
        <v>0</v>
      </c>
      <c r="AA694" s="26">
        <f t="shared" si="1116"/>
        <v>0</v>
      </c>
      <c r="AB694" s="33">
        <f t="shared" si="1058"/>
        <v>0</v>
      </c>
    </row>
    <row r="695" spans="1:28" x14ac:dyDescent="0.3">
      <c r="A695" s="32">
        <f>VLOOKUP(YEAR(C695),Flags!$A$13:$B$95,2,FALSE)</f>
        <v>1</v>
      </c>
      <c r="B695" s="24">
        <f t="shared" si="1054"/>
        <v>1997</v>
      </c>
      <c r="C695" s="25">
        <v>35734</v>
      </c>
      <c r="D695" s="26"/>
      <c r="E695" s="24"/>
      <c r="F695" s="26"/>
      <c r="G695" s="26"/>
      <c r="H695" s="26"/>
      <c r="I695" s="26"/>
      <c r="J695" s="26"/>
      <c r="K695" s="26"/>
      <c r="L695" s="24"/>
      <c r="M695" s="24"/>
      <c r="N695" s="26"/>
      <c r="O695" s="26"/>
      <c r="P695" s="26"/>
      <c r="Q695" s="26"/>
      <c r="R695" s="26"/>
      <c r="S695" s="26"/>
      <c r="T695" s="26"/>
      <c r="U695" s="26"/>
      <c r="V695" s="26"/>
      <c r="W695" s="26">
        <f>MAX($C$9-VLOOKUP($C695,COS!$B$8:$H$991,3,FALSE),0)</f>
        <v>0</v>
      </c>
      <c r="X695" s="26">
        <f t="shared" si="1086"/>
        <v>0</v>
      </c>
      <c r="Y695" s="26">
        <f>VLOOKUP($C695,COS!$B$8:$H$991,4,FALSE)</f>
        <v>1005.2962646484375</v>
      </c>
      <c r="Z695" s="26">
        <f t="shared" si="1087"/>
        <v>61.813257925490703</v>
      </c>
      <c r="AA695" s="26">
        <f t="shared" si="1116"/>
        <v>0</v>
      </c>
      <c r="AB695" s="33">
        <f t="shared" si="1058"/>
        <v>0</v>
      </c>
    </row>
    <row r="696" spans="1:28" x14ac:dyDescent="0.3">
      <c r="A696" s="32">
        <f>VLOOKUP(YEAR(C696),Flags!$A$13:$B$95,2,FALSE)</f>
        <v>1</v>
      </c>
      <c r="B696" s="24">
        <f t="shared" si="1054"/>
        <v>1997</v>
      </c>
      <c r="C696" s="25">
        <v>35764</v>
      </c>
      <c r="D696" s="26"/>
      <c r="E696" s="24"/>
      <c r="F696" s="26"/>
      <c r="G696" s="26"/>
      <c r="H696" s="26"/>
      <c r="I696" s="26"/>
      <c r="J696" s="26"/>
      <c r="K696" s="26"/>
      <c r="L696" s="24"/>
      <c r="M696" s="24"/>
      <c r="N696" s="26"/>
      <c r="O696" s="26"/>
      <c r="P696" s="26"/>
      <c r="Q696" s="26"/>
      <c r="R696" s="26"/>
      <c r="S696" s="26"/>
      <c r="T696" s="26"/>
      <c r="U696" s="26"/>
      <c r="V696" s="26"/>
      <c r="W696" s="26">
        <f>MAX($C$10-VLOOKUP($C696,COS!$B$8:$H$991,3,FALSE),0)</f>
        <v>0</v>
      </c>
      <c r="X696" s="26">
        <f t="shared" si="1086"/>
        <v>0</v>
      </c>
      <c r="Y696" s="26">
        <f>VLOOKUP($C696,COS!$B$8:$H$991,4,FALSE)</f>
        <v>1155.107177734375</v>
      </c>
      <c r="Z696" s="26">
        <f t="shared" si="1087"/>
        <v>68.733650245351242</v>
      </c>
      <c r="AA696" s="26">
        <f t="shared" si="1116"/>
        <v>0</v>
      </c>
      <c r="AB696" s="33">
        <f t="shared" si="1058"/>
        <v>0</v>
      </c>
    </row>
    <row r="697" spans="1:28" x14ac:dyDescent="0.3">
      <c r="A697" s="34">
        <f>VLOOKUP(YEAR(C697),Flags!$A$13:$B$95,2,FALSE)</f>
        <v>1</v>
      </c>
      <c r="B697" s="35">
        <f t="shared" si="1054"/>
        <v>1997</v>
      </c>
      <c r="C697" s="36">
        <v>35795</v>
      </c>
      <c r="D697" s="37"/>
      <c r="E697" s="35"/>
      <c r="F697" s="37"/>
      <c r="G697" s="37"/>
      <c r="H697" s="37"/>
      <c r="I697" s="37"/>
      <c r="J697" s="37"/>
      <c r="K697" s="37"/>
      <c r="L697" s="35"/>
      <c r="M697" s="35"/>
      <c r="N697" s="37"/>
      <c r="O697" s="37"/>
      <c r="P697" s="37"/>
      <c r="Q697" s="37"/>
      <c r="R697" s="37"/>
      <c r="S697" s="37"/>
      <c r="T697" s="37"/>
      <c r="U697" s="37"/>
      <c r="V697" s="37"/>
      <c r="W697" s="37">
        <f>MAX($C$11-VLOOKUP($C697,COS!$B$8:$H$991,3,FALSE),0)</f>
        <v>1750</v>
      </c>
      <c r="X697" s="37">
        <f t="shared" si="1086"/>
        <v>107.60330578512398</v>
      </c>
      <c r="Y697" s="37">
        <f>VLOOKUP($C697,COS!$B$8:$H$991,4,FALSE)</f>
        <v>0</v>
      </c>
      <c r="Z697" s="37">
        <f t="shared" si="1087"/>
        <v>0</v>
      </c>
      <c r="AA697" s="37">
        <f t="shared" si="1116"/>
        <v>0</v>
      </c>
      <c r="AB697" s="38">
        <f t="shared" si="1058"/>
        <v>0</v>
      </c>
    </row>
    <row r="698" spans="1:28" x14ac:dyDescent="0.3">
      <c r="A698" s="27">
        <f>VLOOKUP(YEAR(C698),Flags!$A$13:$B$95,2,FALSE)</f>
        <v>1</v>
      </c>
      <c r="B698" s="28">
        <f t="shared" si="1054"/>
        <v>1998</v>
      </c>
      <c r="C698" s="29">
        <v>35915</v>
      </c>
      <c r="D698" s="30">
        <f>VLOOKUP($C698,COS!$B$8:$H$991,3,FALSE)</f>
        <v>3250</v>
      </c>
      <c r="E698" s="28">
        <f>IF(D698&gt;=IF(MONTH($C698)=4,$C$3,IF(MONTH($C698)=5,$C$4,IF(MONTH($C698)=6,$C$5,IF(MONTH($C698)=7,$C$6,"ERROR")))),1,0)</f>
        <v>0</v>
      </c>
      <c r="F698" s="30">
        <f>VLOOKUP($C698,COS!$B$8:$H$991,7,FALSE)</f>
        <v>51.311630249023438</v>
      </c>
      <c r="G698" s="28">
        <f>IF(F698&lt;=IF(MONTH($C698)=4,$F$3,IF(MONTH($C698)=5,$F$4,IF(MONTH($C698)=6,$F$5,IF(MONTH($C698)=7,$F$6,"ERROR")))),1,0)</f>
        <v>1</v>
      </c>
      <c r="H698" s="30">
        <f>IF(J698=1,D698-$C$3,0)</f>
        <v>0</v>
      </c>
      <c r="I698" s="30">
        <f t="shared" si="1083"/>
        <v>0</v>
      </c>
      <c r="J698" s="28">
        <f t="shared" ref="J698:J701" si="1119">IF(AND(E698=1,G698=1),1,0)</f>
        <v>0</v>
      </c>
      <c r="K698" s="30">
        <f>VLOOKUP($C698,COS!$B$8:$H$991,2,FALSE)</f>
        <v>4367.82666015625</v>
      </c>
      <c r="L698" s="28">
        <f t="shared" ref="L698" si="1120">IF(K698&lt;=IF(MONTH($C698)=4,$I$3,IF(MONTH($C698)=5,$I$4,IF(MONTH($C698)=6,$I$5,IF(MONTH($C698)=7,$I$6,"ERROR")))),1,0)</f>
        <v>1</v>
      </c>
      <c r="M698" s="28">
        <f t="shared" ref="M698" si="1121">VLOOKUP($A698,$L$3:$M$7,2,FALSE)</f>
        <v>0</v>
      </c>
      <c r="N698" s="30">
        <f>VLOOKUP($C698,COS!$B$8:$H$991,5,FALSE)</f>
        <v>36.427017211914063</v>
      </c>
      <c r="O698" s="30">
        <f t="shared" ref="O698:O701" si="1122">N698*DAY($C698)*86400/43560/1000</f>
        <v>2.1675580489733988</v>
      </c>
      <c r="P698" s="30">
        <f>VLOOKUP($C698,COS!$B$8:$H$991,6,FALSE)</f>
        <v>359.47348022460938</v>
      </c>
      <c r="Q698" s="30">
        <f t="shared" ref="Q698:Q701" si="1123">P698*DAY($C698)*86400/43560/1000</f>
        <v>21.390157500968492</v>
      </c>
      <c r="R698" s="30">
        <f>MIN(IF(MONTH($C698)=4,$S$3,IF(MONTH($C698)=5,$S$4,IF(MONTH($C698)=6,$S$5,IF(MONTH($C698)=7,$S$6,"ERROR")))),MAX(VLOOKUP($C698,COS!$B$8:$K$991,10,FALSE)-IF(MONTH($C698)=4,$Y$3,IF(MONTH($C698)=5,$Y$4,IF(MONTH($C698)=6,$Y$5,IF(MONTH($C698)=7,$Y$6,"ERROR")))),0),MAX(VLOOKUP($C698,COS!$B$8:$K$991,9,FALSE)-IF(MONTH($C698)=4,$V$3,IF(MONTH($C698)=5,$V$4,IF(MONTH($C698)=6,$V$5,IF(MONTH($C698)=7,$V$6,"ERROR"))))-VLOOKUP($C698,COS!$B$8:$K$991,6,FALSE)/2,0))</f>
        <v>1500</v>
      </c>
      <c r="S698" s="30">
        <f t="shared" ref="S698:S701" si="1124">R698*DAY($C698)*86400/43560/1000</f>
        <v>89.256198347107429</v>
      </c>
      <c r="T698" s="30">
        <f t="shared" ref="T698:T701" si="1125">(O698+Q698)/2+S698</f>
        <v>101.03505612207837</v>
      </c>
      <c r="U698" s="30" t="str">
        <f>IF(VLOOKUP($C698,COS!$B$8:$I$991,8,FALSE)=1,"UWFE","IBU")</f>
        <v>UWFE</v>
      </c>
      <c r="V698" s="30">
        <f t="shared" ref="V698" si="1126">MIN(IF(IF($AA$3=2,AND(E698=1,G698=1,L698=1,L703=1,M698=1,U698="IBU"),AND(E698=1,G698=1,L698=1,L703=1,M698=1)),T698,0),I698)</f>
        <v>0</v>
      </c>
      <c r="W698" s="30"/>
      <c r="X698" s="30"/>
      <c r="Y698" s="30"/>
      <c r="Z698" s="30"/>
      <c r="AA698" s="30"/>
      <c r="AB698" s="31"/>
    </row>
    <row r="699" spans="1:28" x14ac:dyDescent="0.3">
      <c r="A699" s="32">
        <f>VLOOKUP(YEAR(C699),Flags!$A$13:$B$95,2,FALSE)</f>
        <v>1</v>
      </c>
      <c r="B699" s="24">
        <f t="shared" si="1054"/>
        <v>1998</v>
      </c>
      <c r="C699" s="25">
        <v>35946</v>
      </c>
      <c r="D699" s="26">
        <f>VLOOKUP($C699,COS!$B$8:$H$991,3,FALSE)</f>
        <v>14100.6455078125</v>
      </c>
      <c r="E699" s="24">
        <f>IF(D699&gt;=IF(MONTH($C699)=4,$C$3,IF(MONTH($C699)=5,$C$4,IF(MONTH($C699)=6,$C$5,IF(MONTH($C699)=7,$C$6,"ERROR")))),1,0)</f>
        <v>1</v>
      </c>
      <c r="F699" s="26">
        <f>VLOOKUP($C699,COS!$B$8:$H$991,7,FALSE)</f>
        <v>48.434772491455078</v>
      </c>
      <c r="G699" s="24">
        <f>IF(F699&lt;=IF(MONTH($C699)=4,$F$3,IF(MONTH($C699)=5,$F$4,IF(MONTH($C699)=6,$F$5,IF(MONTH($C699)=7,$F$6,"ERROR")))),1,0)</f>
        <v>1</v>
      </c>
      <c r="H699" s="26">
        <f>IF(J699=1,D699-$C$4,0)</f>
        <v>8100.6455078125</v>
      </c>
      <c r="I699" s="26">
        <f t="shared" si="1083"/>
        <v>498.08927750516534</v>
      </c>
      <c r="J699" s="24">
        <f t="shared" si="1119"/>
        <v>1</v>
      </c>
      <c r="K699" s="26">
        <f>VLOOKUP($C699,COS!$B$8:$H$991,2,FALSE)</f>
        <v>4552</v>
      </c>
      <c r="L699" s="24">
        <f t="shared" si="1046"/>
        <v>1</v>
      </c>
      <c r="M699" s="24">
        <f t="shared" si="1047"/>
        <v>0</v>
      </c>
      <c r="N699" s="26">
        <f>VLOOKUP($C699,COS!$B$8:$H$991,5,FALSE)</f>
        <v>95.197517395019531</v>
      </c>
      <c r="O699" s="26">
        <f t="shared" si="1122"/>
        <v>5.8534671852805396</v>
      </c>
      <c r="P699" s="26">
        <f>VLOOKUP($C699,COS!$B$8:$H$991,6,FALSE)</f>
        <v>1202.3902587890625</v>
      </c>
      <c r="Q699" s="26">
        <f t="shared" si="1123"/>
        <v>73.932095251162181</v>
      </c>
      <c r="R699" s="26">
        <f>MIN(IF(MONTH($C699)=4,$S$3,IF(MONTH($C699)=5,$S$4,IF(MONTH($C699)=6,$S$5,IF(MONTH($C699)=7,$S$6,"ERROR")))),MAX(VLOOKUP($C699,COS!$B$8:$K$991,10,FALSE)-IF(MONTH($C699)=4,$Y$3,IF(MONTH($C699)=5,$Y$4,IF(MONTH($C699)=6,$Y$5,IF(MONTH($C699)=7,$Y$6,"ERROR")))),0),MAX(VLOOKUP($C699,COS!$B$8:$K$991,9,FALSE)-IF(MONTH($C699)=4,$V$3,IF(MONTH($C699)=5,$V$4,IF(MONTH($C699)=6,$V$5,IF(MONTH($C699)=7,$V$6,"ERROR"))))-VLOOKUP($C699,COS!$B$8:$K$991,6,FALSE)/2,0))</f>
        <v>1500</v>
      </c>
      <c r="S699" s="26">
        <f t="shared" si="1124"/>
        <v>92.231404958677686</v>
      </c>
      <c r="T699" s="26">
        <f t="shared" si="1125"/>
        <v>132.12418617689906</v>
      </c>
      <c r="U699" s="26" t="str">
        <f>IF(VLOOKUP($C699,COS!$B$8:$I$991,8,FALSE)=1,"UWFE","IBU")</f>
        <v>UWFE</v>
      </c>
      <c r="V699" s="26">
        <f t="shared" ref="V699" si="1127">MIN(IF(IF($AA$3=2,AND(E699=1,G699=1,L699=1,L703=1,M699=1,U699="IBU"),AND(E699=1,G699=1,L699=1,L703=1,M699=1)),T699,0),I699)</f>
        <v>0</v>
      </c>
      <c r="W699" s="26"/>
      <c r="X699" s="26"/>
      <c r="Y699" s="26"/>
      <c r="Z699" s="26"/>
      <c r="AA699" s="26"/>
      <c r="AB699" s="33"/>
    </row>
    <row r="700" spans="1:28" x14ac:dyDescent="0.3">
      <c r="A700" s="32">
        <f>VLOOKUP(YEAR(C700),Flags!$A$13:$B$95,2,FALSE)</f>
        <v>1</v>
      </c>
      <c r="B700" s="24">
        <f t="shared" si="1054"/>
        <v>1998</v>
      </c>
      <c r="C700" s="25">
        <v>35976</v>
      </c>
      <c r="D700" s="26">
        <f>VLOOKUP($C700,COS!$B$8:$H$991,3,FALSE)</f>
        <v>16775.65625</v>
      </c>
      <c r="E700" s="24">
        <f>IF(D700&gt;=IF(MONTH($C700)=4,$C$3,IF(MONTH($C700)=5,$C$4,IF(MONTH($C700)=6,$C$5,IF(MONTH($C700)=7,$C$6,"ERROR")))),1,0)</f>
        <v>1</v>
      </c>
      <c r="F700" s="26">
        <f>VLOOKUP($C700,COS!$B$8:$H$991,7,FALSE)</f>
        <v>50.810955047607422</v>
      </c>
      <c r="G700" s="24">
        <f>IF(F700&lt;=IF(MONTH($C700)=4,$F$3,IF(MONTH($C700)=5,$F$4,IF(MONTH($C700)=6,$F$5,IF(MONTH($C700)=7,$F$6,"ERROR")))),1,0)</f>
        <v>1</v>
      </c>
      <c r="H700" s="26">
        <f>IF(J700=1,D700-$C$5,0)</f>
        <v>6775.65625</v>
      </c>
      <c r="I700" s="26">
        <f t="shared" si="1083"/>
        <v>403.17954545454546</v>
      </c>
      <c r="J700" s="24">
        <f t="shared" si="1119"/>
        <v>1</v>
      </c>
      <c r="K700" s="26">
        <f>VLOOKUP($C700,COS!$B$8:$H$991,2,FALSE)</f>
        <v>4500</v>
      </c>
      <c r="L700" s="24">
        <f t="shared" si="1046"/>
        <v>1</v>
      </c>
      <c r="M700" s="24">
        <f t="shared" si="1047"/>
        <v>0</v>
      </c>
      <c r="N700" s="26">
        <f>VLOOKUP($C700,COS!$B$8:$H$991,5,FALSE)</f>
        <v>1109.75537109375</v>
      </c>
      <c r="O700" s="26">
        <f t="shared" si="1122"/>
        <v>66.035030346074379</v>
      </c>
      <c r="P700" s="26">
        <f>VLOOKUP($C700,COS!$B$8:$H$991,6,FALSE)</f>
        <v>2242.28173828125</v>
      </c>
      <c r="Q700" s="26">
        <f t="shared" si="1123"/>
        <v>133.42502905475206</v>
      </c>
      <c r="R700" s="26">
        <f>MIN(IF(MONTH($C700)=4,$S$3,IF(MONTH($C700)=5,$S$4,IF(MONTH($C700)=6,$S$5,IF(MONTH($C700)=7,$S$6,"ERROR")))),MAX(VLOOKUP($C700,COS!$B$8:$K$991,10,FALSE)-IF(MONTH($C700)=4,$Y$3,IF(MONTH($C700)=5,$Y$4,IF(MONTH($C700)=6,$Y$5,IF(MONTH($C700)=7,$Y$6,"ERROR")))),0),MAX(VLOOKUP($C700,COS!$B$8:$K$991,9,FALSE)-IF(MONTH($C700)=4,$V$3,IF(MONTH($C700)=5,$V$4,IF(MONTH($C700)=6,$V$5,IF(MONTH($C700)=7,$V$6,"ERROR"))))-VLOOKUP($C700,COS!$B$8:$K$991,6,FALSE)/2,0))</f>
        <v>1500</v>
      </c>
      <c r="S700" s="26">
        <f t="shared" si="1124"/>
        <v>89.256198347107429</v>
      </c>
      <c r="T700" s="26">
        <f t="shared" si="1125"/>
        <v>188.98622804752063</v>
      </c>
      <c r="U700" s="26" t="str">
        <f>IF(VLOOKUP($C700,COS!$B$8:$I$991,8,FALSE)=1,"UWFE","IBU")</f>
        <v>UWFE</v>
      </c>
      <c r="V700" s="26">
        <f t="shared" ref="V700" si="1128">MIN(IF(IF($AA$3=2,AND(E700=1,G700=1,L700=1,L703=1,M700=1,U700="IBU"),AND(E700=1,G700=1,L700=1,L703=1,M700=1)),T700,0),I700)</f>
        <v>0</v>
      </c>
      <c r="W700" s="26"/>
      <c r="X700" s="26"/>
      <c r="Y700" s="26"/>
      <c r="Z700" s="26"/>
      <c r="AA700" s="26"/>
      <c r="AB700" s="33"/>
    </row>
    <row r="701" spans="1:28" x14ac:dyDescent="0.3">
      <c r="A701" s="32">
        <f>VLOOKUP(YEAR(C701),Flags!$A$13:$B$95,2,FALSE)</f>
        <v>1</v>
      </c>
      <c r="B701" s="24">
        <f t="shared" si="1054"/>
        <v>1998</v>
      </c>
      <c r="C701" s="25">
        <v>36007</v>
      </c>
      <c r="D701" s="26">
        <f>VLOOKUP($C701,COS!$B$8:$H$991,3,FALSE)</f>
        <v>14362.4873046875</v>
      </c>
      <c r="E701" s="24">
        <f>IF(D701&gt;=IF(MONTH($C701)=4,$C$3,IF(MONTH($C701)=5,$C$4,IF(MONTH($C701)=6,$C$5,IF(MONTH($C701)=7,$C$6,"ERROR")))),1,0)</f>
        <v>1</v>
      </c>
      <c r="F701" s="26">
        <f>VLOOKUP($C701,COS!$B$8:$H$991,7,FALSE)</f>
        <v>53.361946105957031</v>
      </c>
      <c r="G701" s="24">
        <f>IF(F701&lt;=IF(MONTH($C701)=4,$F$3,IF(MONTH($C701)=5,$F$4,IF(MONTH($C701)=6,$F$5,IF(MONTH($C701)=7,$F$6,"ERROR")))),1,0)</f>
        <v>1</v>
      </c>
      <c r="H701" s="26">
        <f>IF(J701=1,D701-$C$6,0)</f>
        <v>2362.4873046875</v>
      </c>
      <c r="I701" s="26">
        <f t="shared" si="1083"/>
        <v>145.2636822055785</v>
      </c>
      <c r="J701" s="24">
        <f t="shared" si="1119"/>
        <v>1</v>
      </c>
      <c r="K701" s="26">
        <f>VLOOKUP($C701,COS!$B$8:$H$991,2,FALSE)</f>
        <v>4150</v>
      </c>
      <c r="L701" s="24">
        <f t="shared" si="1046"/>
        <v>1</v>
      </c>
      <c r="M701" s="24">
        <f t="shared" si="1047"/>
        <v>0</v>
      </c>
      <c r="N701" s="26">
        <f>VLOOKUP($C701,COS!$B$8:$H$991,5,FALSE)</f>
        <v>1396.974609375</v>
      </c>
      <c r="O701" s="26">
        <f t="shared" si="1122"/>
        <v>85.896620609504126</v>
      </c>
      <c r="P701" s="26">
        <f>VLOOKUP($C701,COS!$B$8:$H$991,6,FALSE)</f>
        <v>2616.67822265625</v>
      </c>
      <c r="Q701" s="26">
        <f t="shared" si="1123"/>
        <v>160.89327253357436</v>
      </c>
      <c r="R701" s="26">
        <f>MIN(IF(MONTH($C701)=4,$S$3,IF(MONTH($C701)=5,$S$4,IF(MONTH($C701)=6,$S$5,IF(MONTH($C701)=7,$S$6,"ERROR")))),MAX(VLOOKUP($C701,COS!$B$8:$K$991,10,FALSE)-IF(MONTH($C701)=4,$Y$3,IF(MONTH($C701)=5,$Y$4,IF(MONTH($C701)=6,$Y$5,IF(MONTH($C701)=7,$Y$6,"ERROR")))),0),MAX(VLOOKUP($C701,COS!$B$8:$K$991,9,FALSE)-IF(MONTH($C701)=4,$V$3,IF(MONTH($C701)=5,$V$4,IF(MONTH($C701)=6,$V$5,IF(MONTH($C701)=7,$V$6,"ERROR"))))-VLOOKUP($C701,COS!$B$8:$K$991,6,FALSE)/2,0))</f>
        <v>1500</v>
      </c>
      <c r="S701" s="26">
        <f t="shared" si="1124"/>
        <v>92.231404958677686</v>
      </c>
      <c r="T701" s="26">
        <f t="shared" si="1125"/>
        <v>215.62635153021694</v>
      </c>
      <c r="U701" s="26" t="str">
        <f>IF(VLOOKUP($C701,COS!$B$8:$I$991,8,FALSE)=1,"UWFE","IBU")</f>
        <v>UWFE</v>
      </c>
      <c r="V701" s="26">
        <f t="shared" ref="V701" si="1129">MIN(IF(IF($AA$3=2,AND(E701=1,G701=1,L701=1,L703=1,M701=1,U701="IBU"),AND(E701=1,G701=1,L701=1,L703=1,M701=1)),T701,0),I701)</f>
        <v>0</v>
      </c>
      <c r="W701" s="26"/>
      <c r="X701" s="26"/>
      <c r="Y701" s="26"/>
      <c r="Z701" s="26"/>
      <c r="AA701" s="26"/>
      <c r="AB701" s="33"/>
    </row>
    <row r="702" spans="1:28" x14ac:dyDescent="0.3">
      <c r="A702" s="32">
        <f>VLOOKUP(YEAR(C702),Flags!$A$13:$B$95,2,FALSE)</f>
        <v>1</v>
      </c>
      <c r="B702" s="24">
        <f t="shared" si="1054"/>
        <v>1998</v>
      </c>
      <c r="C702" s="25">
        <v>36038</v>
      </c>
      <c r="D702" s="26"/>
      <c r="E702" s="24"/>
      <c r="F702" s="26"/>
      <c r="G702" s="24"/>
      <c r="H702" s="24"/>
      <c r="I702" s="26"/>
      <c r="J702" s="24"/>
      <c r="K702" s="26"/>
      <c r="L702" s="24"/>
      <c r="M702" s="24"/>
      <c r="N702" s="26"/>
      <c r="O702" s="26"/>
      <c r="P702" s="26"/>
      <c r="Q702" s="26"/>
      <c r="R702" s="26"/>
      <c r="S702" s="26"/>
      <c r="T702" s="26"/>
      <c r="U702" s="26"/>
      <c r="V702" s="26"/>
      <c r="W702" s="26">
        <f>MAX($C$7-VLOOKUP($C702,COS!$B$8:$H$991,3,FALSE),0)</f>
        <v>0</v>
      </c>
      <c r="X702" s="26">
        <f t="shared" si="1086"/>
        <v>0</v>
      </c>
      <c r="Y702" s="26">
        <f>VLOOKUP($C702,COS!$B$8:$H$991,4,FALSE)</f>
        <v>0</v>
      </c>
      <c r="Z702" s="26">
        <f t="shared" si="1087"/>
        <v>0</v>
      </c>
      <c r="AA702" s="26">
        <f t="shared" ref="AA702:AA706" si="1130">MIN(W702,Y702)</f>
        <v>0</v>
      </c>
      <c r="AB702" s="33">
        <f t="shared" ref="AB702" si="1131">AA702*DAY($C702)*86400/43560/1000*IF(MONTH($C702)=8,$P$3,IF(MONTH($C702)=9,$P$4,IF(MONTH($C702)=10,$P$5,IF(MONTH($C702)=11,$P$6,IF(MONTH($C702)=12,$P$7,NA())))))</f>
        <v>0</v>
      </c>
    </row>
    <row r="703" spans="1:28" x14ac:dyDescent="0.3">
      <c r="A703" s="32">
        <f>VLOOKUP(YEAR(C703),Flags!$A$13:$B$95,2,FALSE)</f>
        <v>1</v>
      </c>
      <c r="B703" s="24">
        <f t="shared" si="1054"/>
        <v>1998</v>
      </c>
      <c r="C703" s="25">
        <v>36068</v>
      </c>
      <c r="D703" s="26"/>
      <c r="E703" s="24"/>
      <c r="F703" s="26"/>
      <c r="G703" s="24"/>
      <c r="H703" s="24"/>
      <c r="I703" s="26"/>
      <c r="J703" s="24"/>
      <c r="K703" s="26">
        <f>VLOOKUP($C703,COS!$B$8:$H$991,2,FALSE)</f>
        <v>3400</v>
      </c>
      <c r="L703" s="24">
        <f t="shared" ref="L703" si="1132">IF(AND(K703&gt;$I$7,K703&lt;$I$8),1,0)</f>
        <v>1</v>
      </c>
      <c r="M703" s="24"/>
      <c r="N703" s="26"/>
      <c r="O703" s="26"/>
      <c r="P703" s="26"/>
      <c r="Q703" s="26"/>
      <c r="R703" s="26"/>
      <c r="S703" s="26"/>
      <c r="T703" s="26"/>
      <c r="U703" s="26"/>
      <c r="V703" s="26"/>
      <c r="W703" s="26">
        <f>MAX($C$8-VLOOKUP($C703,COS!$B$8:$H$991,3,FALSE),0)</f>
        <v>0</v>
      </c>
      <c r="X703" s="26">
        <f t="shared" si="1086"/>
        <v>0</v>
      </c>
      <c r="Y703" s="26">
        <f>VLOOKUP($C703,COS!$B$8:$H$991,4,FALSE)</f>
        <v>0</v>
      </c>
      <c r="Z703" s="26">
        <f t="shared" si="1087"/>
        <v>0</v>
      </c>
      <c r="AA703" s="26">
        <f t="shared" si="1130"/>
        <v>0</v>
      </c>
      <c r="AB703" s="33">
        <f t="shared" si="1058"/>
        <v>0</v>
      </c>
    </row>
    <row r="704" spans="1:28" x14ac:dyDescent="0.3">
      <c r="A704" s="32">
        <f>VLOOKUP(YEAR(C704),Flags!$A$13:$B$95,2,FALSE)</f>
        <v>1</v>
      </c>
      <c r="B704" s="24">
        <f t="shared" si="1054"/>
        <v>1998</v>
      </c>
      <c r="C704" s="25">
        <v>36099</v>
      </c>
      <c r="D704" s="26"/>
      <c r="E704" s="24"/>
      <c r="F704" s="26"/>
      <c r="G704" s="26"/>
      <c r="H704" s="26"/>
      <c r="I704" s="26"/>
      <c r="J704" s="26"/>
      <c r="K704" s="26"/>
      <c r="L704" s="24"/>
      <c r="M704" s="24"/>
      <c r="N704" s="26"/>
      <c r="O704" s="26"/>
      <c r="P704" s="26"/>
      <c r="Q704" s="26"/>
      <c r="R704" s="26"/>
      <c r="S704" s="26"/>
      <c r="T704" s="26"/>
      <c r="U704" s="26"/>
      <c r="V704" s="26"/>
      <c r="W704" s="26">
        <f>MAX($C$9-VLOOKUP($C704,COS!$B$8:$H$991,3,FALSE),0)</f>
        <v>0</v>
      </c>
      <c r="X704" s="26">
        <f t="shared" si="1086"/>
        <v>0</v>
      </c>
      <c r="Y704" s="26">
        <f>VLOOKUP($C704,COS!$B$8:$H$991,4,FALSE)</f>
        <v>53.249282836914063</v>
      </c>
      <c r="Z704" s="26">
        <f t="shared" si="1087"/>
        <v>3.2741707793937245</v>
      </c>
      <c r="AA704" s="26">
        <f t="shared" si="1130"/>
        <v>0</v>
      </c>
      <c r="AB704" s="33">
        <f t="shared" si="1058"/>
        <v>0</v>
      </c>
    </row>
    <row r="705" spans="1:28" x14ac:dyDescent="0.3">
      <c r="A705" s="32">
        <f>VLOOKUP(YEAR(C705),Flags!$A$13:$B$95,2,FALSE)</f>
        <v>1</v>
      </c>
      <c r="B705" s="24">
        <f t="shared" si="1054"/>
        <v>1998</v>
      </c>
      <c r="C705" s="25">
        <v>36129</v>
      </c>
      <c r="D705" s="26"/>
      <c r="E705" s="24"/>
      <c r="F705" s="26"/>
      <c r="G705" s="26"/>
      <c r="H705" s="26"/>
      <c r="I705" s="26"/>
      <c r="J705" s="26"/>
      <c r="K705" s="26"/>
      <c r="L705" s="24"/>
      <c r="M705" s="24"/>
      <c r="N705" s="26"/>
      <c r="O705" s="26"/>
      <c r="P705" s="26"/>
      <c r="Q705" s="26"/>
      <c r="R705" s="26"/>
      <c r="S705" s="26"/>
      <c r="T705" s="26"/>
      <c r="U705" s="26"/>
      <c r="V705" s="26"/>
      <c r="W705" s="26">
        <f>MAX($C$10-VLOOKUP($C705,COS!$B$8:$H$991,3,FALSE),0)</f>
        <v>0</v>
      </c>
      <c r="X705" s="26">
        <f t="shared" si="1086"/>
        <v>0</v>
      </c>
      <c r="Y705" s="26">
        <f>VLOOKUP($C705,COS!$B$8:$H$991,4,FALSE)</f>
        <v>0</v>
      </c>
      <c r="Z705" s="26">
        <f t="shared" si="1087"/>
        <v>0</v>
      </c>
      <c r="AA705" s="26">
        <f t="shared" si="1130"/>
        <v>0</v>
      </c>
      <c r="AB705" s="33">
        <f t="shared" si="1058"/>
        <v>0</v>
      </c>
    </row>
    <row r="706" spans="1:28" x14ac:dyDescent="0.3">
      <c r="A706" s="34">
        <f>VLOOKUP(YEAR(C706),Flags!$A$13:$B$95,2,FALSE)</f>
        <v>1</v>
      </c>
      <c r="B706" s="35">
        <f t="shared" si="1054"/>
        <v>1998</v>
      </c>
      <c r="C706" s="36">
        <v>36160</v>
      </c>
      <c r="D706" s="37"/>
      <c r="E706" s="35"/>
      <c r="F706" s="37"/>
      <c r="G706" s="37"/>
      <c r="H706" s="37"/>
      <c r="I706" s="37"/>
      <c r="J706" s="37"/>
      <c r="K706" s="37"/>
      <c r="L706" s="35"/>
      <c r="M706" s="35"/>
      <c r="N706" s="37"/>
      <c r="O706" s="37"/>
      <c r="P706" s="37"/>
      <c r="Q706" s="37"/>
      <c r="R706" s="37"/>
      <c r="S706" s="37"/>
      <c r="T706" s="37"/>
      <c r="U706" s="37"/>
      <c r="V706" s="37"/>
      <c r="W706" s="37">
        <f>MAX($C$11-VLOOKUP($C706,COS!$B$8:$H$991,3,FALSE),0)</f>
        <v>0</v>
      </c>
      <c r="X706" s="37">
        <f t="shared" si="1086"/>
        <v>0</v>
      </c>
      <c r="Y706" s="37">
        <f>VLOOKUP($C706,COS!$B$8:$H$991,4,FALSE)</f>
        <v>0</v>
      </c>
      <c r="Z706" s="37">
        <f t="shared" si="1087"/>
        <v>0</v>
      </c>
      <c r="AA706" s="37">
        <f t="shared" si="1130"/>
        <v>0</v>
      </c>
      <c r="AB706" s="38">
        <f t="shared" si="1058"/>
        <v>0</v>
      </c>
    </row>
    <row r="707" spans="1:28" x14ac:dyDescent="0.3">
      <c r="A707" s="27">
        <f>VLOOKUP(YEAR(C707),Flags!$A$13:$B$95,2,FALSE)</f>
        <v>1</v>
      </c>
      <c r="B707" s="28">
        <f t="shared" si="1054"/>
        <v>1999</v>
      </c>
      <c r="C707" s="29">
        <v>36280</v>
      </c>
      <c r="D707" s="30">
        <f>VLOOKUP($C707,COS!$B$8:$H$991,3,FALSE)</f>
        <v>3438.072509765625</v>
      </c>
      <c r="E707" s="28">
        <f>IF(D707&gt;=IF(MONTH($C707)=4,$C$3,IF(MONTH($C707)=5,$C$4,IF(MONTH($C707)=6,$C$5,IF(MONTH($C707)=7,$C$6,"ERROR")))),1,0)</f>
        <v>0</v>
      </c>
      <c r="F707" s="30">
        <f>VLOOKUP($C707,COS!$B$8:$H$991,7,FALSE)</f>
        <v>51.189750671386719</v>
      </c>
      <c r="G707" s="28">
        <f>IF(F707&lt;=IF(MONTH($C707)=4,$F$3,IF(MONTH($C707)=5,$F$4,IF(MONTH($C707)=6,$F$5,IF(MONTH($C707)=7,$F$6,"ERROR")))),1,0)</f>
        <v>1</v>
      </c>
      <c r="H707" s="30">
        <f>IF(J707=1,D707-$C$3,0)</f>
        <v>0</v>
      </c>
      <c r="I707" s="30">
        <f t="shared" si="1083"/>
        <v>0</v>
      </c>
      <c r="J707" s="28">
        <f t="shared" ref="J707:J710" si="1133">IF(AND(E707=1,G707=1),1,0)</f>
        <v>0</v>
      </c>
      <c r="K707" s="30">
        <f>VLOOKUP($C707,COS!$B$8:$H$991,2,FALSE)</f>
        <v>4552.10009765625</v>
      </c>
      <c r="L707" s="28">
        <f t="shared" ref="L707" si="1134">IF(K707&lt;=IF(MONTH($C707)=4,$I$3,IF(MONTH($C707)=5,$I$4,IF(MONTH($C707)=6,$I$5,IF(MONTH($C707)=7,$I$6,"ERROR")))),1,0)</f>
        <v>1</v>
      </c>
      <c r="M707" s="28">
        <f t="shared" ref="M707" si="1135">VLOOKUP($A707,$L$3:$M$7,2,FALSE)</f>
        <v>0</v>
      </c>
      <c r="N707" s="30">
        <f>VLOOKUP($C707,COS!$B$8:$H$991,5,FALSE)</f>
        <v>141.06893920898438</v>
      </c>
      <c r="O707" s="30">
        <f t="shared" ref="O707:O710" si="1136">N707*DAY($C707)*86400/43560/1000</f>
        <v>8.3941848124354355</v>
      </c>
      <c r="P707" s="30">
        <f>VLOOKUP($C707,COS!$B$8:$H$991,6,FALSE)</f>
        <v>412.21127319335938</v>
      </c>
      <c r="Q707" s="30">
        <f t="shared" ref="Q707:Q710" si="1137">P707*DAY($C707)*86400/43560/1000</f>
        <v>24.528274107373452</v>
      </c>
      <c r="R707" s="30">
        <f>MIN(IF(MONTH($C707)=4,$S$3,IF(MONTH($C707)=5,$S$4,IF(MONTH($C707)=6,$S$5,IF(MONTH($C707)=7,$S$6,"ERROR")))),MAX(VLOOKUP($C707,COS!$B$8:$K$991,10,FALSE)-IF(MONTH($C707)=4,$Y$3,IF(MONTH($C707)=5,$Y$4,IF(MONTH($C707)=6,$Y$5,IF(MONTH($C707)=7,$Y$6,"ERROR")))),0),MAX(VLOOKUP($C707,COS!$B$8:$K$991,9,FALSE)-IF(MONTH($C707)=4,$V$3,IF(MONTH($C707)=5,$V$4,IF(MONTH($C707)=6,$V$5,IF(MONTH($C707)=7,$V$6,"ERROR"))))-VLOOKUP($C707,COS!$B$8:$K$991,6,FALSE)/2,0))</f>
        <v>1500</v>
      </c>
      <c r="S707" s="30">
        <f t="shared" ref="S707:S710" si="1138">R707*DAY($C707)*86400/43560/1000</f>
        <v>89.256198347107429</v>
      </c>
      <c r="T707" s="30">
        <f t="shared" ref="T707:T710" si="1139">(O707+Q707)/2+S707</f>
        <v>105.71742780701187</v>
      </c>
      <c r="U707" s="30" t="str">
        <f>IF(VLOOKUP($C707,COS!$B$8:$I$991,8,FALSE)=1,"UWFE","IBU")</f>
        <v>UWFE</v>
      </c>
      <c r="V707" s="30">
        <f t="shared" ref="V707" si="1140">MIN(IF(IF($AA$3=2,AND(E707=1,G707=1,L707=1,L712=1,M707=1,U707="IBU"),AND(E707=1,G707=1,L707=1,L712=1,M707=1)),T707,0),I707)</f>
        <v>0</v>
      </c>
      <c r="W707" s="30"/>
      <c r="X707" s="30"/>
      <c r="Y707" s="30"/>
      <c r="Z707" s="30"/>
      <c r="AA707" s="30"/>
      <c r="AB707" s="31"/>
    </row>
    <row r="708" spans="1:28" x14ac:dyDescent="0.3">
      <c r="A708" s="32">
        <f>VLOOKUP(YEAR(C708),Flags!$A$13:$B$95,2,FALSE)</f>
        <v>1</v>
      </c>
      <c r="B708" s="24">
        <f t="shared" si="1054"/>
        <v>1999</v>
      </c>
      <c r="C708" s="25">
        <v>36311</v>
      </c>
      <c r="D708" s="26">
        <f>VLOOKUP($C708,COS!$B$8:$H$991,3,FALSE)</f>
        <v>8437.2080078125</v>
      </c>
      <c r="E708" s="24">
        <f>IF(D708&gt;=IF(MONTH($C708)=4,$C$3,IF(MONTH($C708)=5,$C$4,IF(MONTH($C708)=6,$C$5,IF(MONTH($C708)=7,$C$6,"ERROR")))),1,0)</f>
        <v>1</v>
      </c>
      <c r="F708" s="26">
        <f>VLOOKUP($C708,COS!$B$8:$H$991,7,FALSE)</f>
        <v>50.693416595458984</v>
      </c>
      <c r="G708" s="24">
        <f>IF(F708&lt;=IF(MONTH($C708)=4,$F$3,IF(MONTH($C708)=5,$F$4,IF(MONTH($C708)=6,$F$5,IF(MONTH($C708)=7,$F$6,"ERROR")))),1,0)</f>
        <v>1</v>
      </c>
      <c r="H708" s="26">
        <f>IF(J708=1,D708-$C$4,0)</f>
        <v>2437.2080078125</v>
      </c>
      <c r="I708" s="26">
        <f t="shared" si="1083"/>
        <v>149.85807915805785</v>
      </c>
      <c r="J708" s="24">
        <f t="shared" si="1133"/>
        <v>1</v>
      </c>
      <c r="K708" s="26">
        <f>VLOOKUP($C708,COS!$B$8:$H$991,2,FALSE)</f>
        <v>4552</v>
      </c>
      <c r="L708" s="24">
        <f t="shared" si="1046"/>
        <v>1</v>
      </c>
      <c r="M708" s="24">
        <f t="shared" si="1047"/>
        <v>0</v>
      </c>
      <c r="N708" s="26">
        <f>VLOOKUP($C708,COS!$B$8:$H$991,5,FALSE)</f>
        <v>838.45135498046875</v>
      </c>
      <c r="O708" s="26">
        <f t="shared" si="1136"/>
        <v>51.55436430623709</v>
      </c>
      <c r="P708" s="26">
        <f>VLOOKUP($C708,COS!$B$8:$H$991,6,FALSE)</f>
        <v>2288.578369140625</v>
      </c>
      <c r="Q708" s="26">
        <f t="shared" si="1137"/>
        <v>140.71919889591942</v>
      </c>
      <c r="R708" s="26">
        <f>MIN(IF(MONTH($C708)=4,$S$3,IF(MONTH($C708)=5,$S$4,IF(MONTH($C708)=6,$S$5,IF(MONTH($C708)=7,$S$6,"ERROR")))),MAX(VLOOKUP($C708,COS!$B$8:$K$991,10,FALSE)-IF(MONTH($C708)=4,$Y$3,IF(MONTH($C708)=5,$Y$4,IF(MONTH($C708)=6,$Y$5,IF(MONTH($C708)=7,$Y$6,"ERROR")))),0),MAX(VLOOKUP($C708,COS!$B$8:$K$991,9,FALSE)-IF(MONTH($C708)=4,$V$3,IF(MONTH($C708)=5,$V$4,IF(MONTH($C708)=6,$V$5,IF(MONTH($C708)=7,$V$6,"ERROR"))))-VLOOKUP($C708,COS!$B$8:$K$991,6,FALSE)/2,0))</f>
        <v>1500</v>
      </c>
      <c r="S708" s="26">
        <f t="shared" si="1138"/>
        <v>92.231404958677686</v>
      </c>
      <c r="T708" s="26">
        <f t="shared" si="1139"/>
        <v>188.36818655975594</v>
      </c>
      <c r="U708" s="26" t="str">
        <f>IF(VLOOKUP($C708,COS!$B$8:$I$991,8,FALSE)=1,"UWFE","IBU")</f>
        <v>UWFE</v>
      </c>
      <c r="V708" s="26">
        <f t="shared" ref="V708" si="1141">MIN(IF(IF($AA$3=2,AND(E708=1,G708=1,L708=1,L712=1,M708=1,U708="IBU"),AND(E708=1,G708=1,L708=1,L712=1,M708=1)),T708,0),I708)</f>
        <v>0</v>
      </c>
      <c r="W708" s="26"/>
      <c r="X708" s="26"/>
      <c r="Y708" s="26"/>
      <c r="Z708" s="26"/>
      <c r="AA708" s="26"/>
      <c r="AB708" s="33"/>
    </row>
    <row r="709" spans="1:28" x14ac:dyDescent="0.3">
      <c r="A709" s="32">
        <f>VLOOKUP(YEAR(C709),Flags!$A$13:$B$95,2,FALSE)</f>
        <v>1</v>
      </c>
      <c r="B709" s="24">
        <f t="shared" si="1054"/>
        <v>1999</v>
      </c>
      <c r="C709" s="25">
        <v>36341</v>
      </c>
      <c r="D709" s="26">
        <f>VLOOKUP($C709,COS!$B$8:$H$991,3,FALSE)</f>
        <v>8144.7666015625</v>
      </c>
      <c r="E709" s="24">
        <f>IF(D709&gt;=IF(MONTH($C709)=4,$C$3,IF(MONTH($C709)=5,$C$4,IF(MONTH($C709)=6,$C$5,IF(MONTH($C709)=7,$C$6,"ERROR")))),1,0)</f>
        <v>0</v>
      </c>
      <c r="F709" s="26">
        <f>VLOOKUP($C709,COS!$B$8:$H$991,7,FALSE)</f>
        <v>51.85150146484375</v>
      </c>
      <c r="G709" s="24">
        <f>IF(F709&lt;=IF(MONTH($C709)=4,$F$3,IF(MONTH($C709)=5,$F$4,IF(MONTH($C709)=6,$F$5,IF(MONTH($C709)=7,$F$6,"ERROR")))),1,0)</f>
        <v>1</v>
      </c>
      <c r="H709" s="26">
        <f>IF(J709=1,D709-$C$5,0)</f>
        <v>0</v>
      </c>
      <c r="I709" s="26">
        <f t="shared" si="1083"/>
        <v>0</v>
      </c>
      <c r="J709" s="24">
        <f t="shared" si="1133"/>
        <v>0</v>
      </c>
      <c r="K709" s="26">
        <f>VLOOKUP($C709,COS!$B$8:$H$991,2,FALSE)</f>
        <v>4382.97265625</v>
      </c>
      <c r="L709" s="24">
        <f t="shared" si="1046"/>
        <v>1</v>
      </c>
      <c r="M709" s="24">
        <f t="shared" si="1047"/>
        <v>0</v>
      </c>
      <c r="N709" s="26">
        <f>VLOOKUP($C709,COS!$B$8:$H$991,5,FALSE)</f>
        <v>1060.0843505859375</v>
      </c>
      <c r="O709" s="26">
        <f t="shared" si="1136"/>
        <v>63.079399373708675</v>
      </c>
      <c r="P709" s="26">
        <f>VLOOKUP($C709,COS!$B$8:$H$991,6,FALSE)</f>
        <v>2226.599365234375</v>
      </c>
      <c r="Q709" s="26">
        <f t="shared" si="1137"/>
        <v>132.4918630552686</v>
      </c>
      <c r="R709" s="26">
        <f>MIN(IF(MONTH($C709)=4,$S$3,IF(MONTH($C709)=5,$S$4,IF(MONTH($C709)=6,$S$5,IF(MONTH($C709)=7,$S$6,"ERROR")))),MAX(VLOOKUP($C709,COS!$B$8:$K$991,10,FALSE)-IF(MONTH($C709)=4,$Y$3,IF(MONTH($C709)=5,$Y$4,IF(MONTH($C709)=6,$Y$5,IF(MONTH($C709)=7,$Y$6,"ERROR")))),0),MAX(VLOOKUP($C709,COS!$B$8:$K$991,9,FALSE)-IF(MONTH($C709)=4,$V$3,IF(MONTH($C709)=5,$V$4,IF(MONTH($C709)=6,$V$5,IF(MONTH($C709)=7,$V$6,"ERROR"))))-VLOOKUP($C709,COS!$B$8:$K$991,6,FALSE)/2,0))</f>
        <v>1500</v>
      </c>
      <c r="S709" s="26">
        <f t="shared" si="1138"/>
        <v>89.256198347107429</v>
      </c>
      <c r="T709" s="26">
        <f t="shared" si="1139"/>
        <v>187.04182956159605</v>
      </c>
      <c r="U709" s="26" t="str">
        <f>IF(VLOOKUP($C709,COS!$B$8:$I$991,8,FALSE)=1,"UWFE","IBU")</f>
        <v>UWFE</v>
      </c>
      <c r="V709" s="26">
        <f t="shared" ref="V709" si="1142">MIN(IF(IF($AA$3=2,AND(E709=1,G709=1,L709=1,L712=1,M709=1,U709="IBU"),AND(E709=1,G709=1,L709=1,L712=1,M709=1)),T709,0),I709)</f>
        <v>0</v>
      </c>
      <c r="W709" s="26"/>
      <c r="X709" s="26"/>
      <c r="Y709" s="26"/>
      <c r="Z709" s="26"/>
      <c r="AA709" s="26"/>
      <c r="AB709" s="33"/>
    </row>
    <row r="710" spans="1:28" x14ac:dyDescent="0.3">
      <c r="A710" s="32">
        <f>VLOOKUP(YEAR(C710),Flags!$A$13:$B$95,2,FALSE)</f>
        <v>1</v>
      </c>
      <c r="B710" s="24">
        <f t="shared" si="1054"/>
        <v>1999</v>
      </c>
      <c r="C710" s="25">
        <v>36372</v>
      </c>
      <c r="D710" s="26">
        <f>VLOOKUP($C710,COS!$B$8:$H$991,3,FALSE)</f>
        <v>16000</v>
      </c>
      <c r="E710" s="24">
        <f>IF(D710&gt;=IF(MONTH($C710)=4,$C$3,IF(MONTH($C710)=5,$C$4,IF(MONTH($C710)=6,$C$5,IF(MONTH($C710)=7,$C$6,"ERROR")))),1,0)</f>
        <v>1</v>
      </c>
      <c r="F710" s="26">
        <f>VLOOKUP($C710,COS!$B$8:$H$991,7,FALSE)</f>
        <v>51.293598175048828</v>
      </c>
      <c r="G710" s="24">
        <f>IF(F710&lt;=IF(MONTH($C710)=4,$F$3,IF(MONTH($C710)=5,$F$4,IF(MONTH($C710)=6,$F$5,IF(MONTH($C710)=7,$F$6,"ERROR")))),1,0)</f>
        <v>1</v>
      </c>
      <c r="H710" s="26">
        <f>IF(J710=1,D710-$C$6,0)</f>
        <v>4000</v>
      </c>
      <c r="I710" s="26">
        <f t="shared" si="1083"/>
        <v>245.95041322314049</v>
      </c>
      <c r="J710" s="24">
        <f t="shared" si="1133"/>
        <v>1</v>
      </c>
      <c r="K710" s="26">
        <f>VLOOKUP($C710,COS!$B$8:$H$991,2,FALSE)</f>
        <v>3724.72216796875</v>
      </c>
      <c r="L710" s="24">
        <f t="shared" si="1046"/>
        <v>1</v>
      </c>
      <c r="M710" s="24">
        <f t="shared" si="1047"/>
        <v>0</v>
      </c>
      <c r="N710" s="26">
        <f>VLOOKUP($C710,COS!$B$8:$H$991,5,FALSE)</f>
        <v>1277.9014892578125</v>
      </c>
      <c r="O710" s="26">
        <f t="shared" si="1136"/>
        <v>78.575099835356411</v>
      </c>
      <c r="P710" s="26">
        <f>VLOOKUP($C710,COS!$B$8:$H$991,6,FALSE)</f>
        <v>2616.67822265625</v>
      </c>
      <c r="Q710" s="26">
        <f t="shared" si="1137"/>
        <v>160.89327253357436</v>
      </c>
      <c r="R710" s="26">
        <f>MIN(IF(MONTH($C710)=4,$S$3,IF(MONTH($C710)=5,$S$4,IF(MONTH($C710)=6,$S$5,IF(MONTH($C710)=7,$S$6,"ERROR")))),MAX(VLOOKUP($C710,COS!$B$8:$K$991,10,FALSE)-IF(MONTH($C710)=4,$Y$3,IF(MONTH($C710)=5,$Y$4,IF(MONTH($C710)=6,$Y$5,IF(MONTH($C710)=7,$Y$6,"ERROR")))),0),MAX(VLOOKUP($C710,COS!$B$8:$K$991,9,FALSE)-IF(MONTH($C710)=4,$V$3,IF(MONTH($C710)=5,$V$4,IF(MONTH($C710)=6,$V$5,IF(MONTH($C710)=7,$V$6,"ERROR"))))-VLOOKUP($C710,COS!$B$8:$K$991,6,FALSE)/2,0))</f>
        <v>1500</v>
      </c>
      <c r="S710" s="26">
        <f t="shared" si="1138"/>
        <v>92.231404958677686</v>
      </c>
      <c r="T710" s="26">
        <f t="shared" si="1139"/>
        <v>211.96559114314306</v>
      </c>
      <c r="U710" s="26" t="str">
        <f>IF(VLOOKUP($C710,COS!$B$8:$I$991,8,FALSE)=1,"UWFE","IBU")</f>
        <v>IBU</v>
      </c>
      <c r="V710" s="26">
        <f t="shared" ref="V710" si="1143">MIN(IF(IF($AA$3=2,AND(E710=1,G710=1,L710=1,L712=1,M710=1,U710="IBU"),AND(E710=1,G710=1,L710=1,L712=1,M710=1)),T710,0),I710)</f>
        <v>0</v>
      </c>
      <c r="W710" s="26"/>
      <c r="X710" s="26"/>
      <c r="Y710" s="26"/>
      <c r="Z710" s="26"/>
      <c r="AA710" s="26"/>
      <c r="AB710" s="33"/>
    </row>
    <row r="711" spans="1:28" x14ac:dyDescent="0.3">
      <c r="A711" s="32">
        <f>VLOOKUP(YEAR(C711),Flags!$A$13:$B$95,2,FALSE)</f>
        <v>1</v>
      </c>
      <c r="B711" s="24">
        <f t="shared" si="1054"/>
        <v>1999</v>
      </c>
      <c r="C711" s="25">
        <v>36403</v>
      </c>
      <c r="D711" s="26"/>
      <c r="E711" s="24"/>
      <c r="F711" s="26"/>
      <c r="G711" s="24"/>
      <c r="H711" s="24"/>
      <c r="I711" s="26"/>
      <c r="J711" s="24"/>
      <c r="K711" s="26"/>
      <c r="L711" s="24"/>
      <c r="M711" s="24"/>
      <c r="N711" s="26"/>
      <c r="O711" s="26"/>
      <c r="P711" s="26"/>
      <c r="Q711" s="26"/>
      <c r="R711" s="26"/>
      <c r="S711" s="26"/>
      <c r="T711" s="26"/>
      <c r="U711" s="26"/>
      <c r="V711" s="26"/>
      <c r="W711" s="26">
        <f>MAX($C$7-VLOOKUP($C711,COS!$B$8:$H$991,3,FALSE),0)</f>
        <v>2286.5068359375</v>
      </c>
      <c r="X711" s="26">
        <f t="shared" si="1086"/>
        <v>140.5918252840909</v>
      </c>
      <c r="Y711" s="26">
        <f>VLOOKUP($C711,COS!$B$8:$H$991,4,FALSE)</f>
        <v>0</v>
      </c>
      <c r="Z711" s="26">
        <f t="shared" si="1087"/>
        <v>0</v>
      </c>
      <c r="AA711" s="26">
        <f t="shared" ref="AA711:AA715" si="1144">MIN(W711,Y711)</f>
        <v>0</v>
      </c>
      <c r="AB711" s="33">
        <f t="shared" ref="AB711" si="1145">AA711*DAY($C711)*86400/43560/1000*IF(MONTH($C711)=8,$P$3,IF(MONTH($C711)=9,$P$4,IF(MONTH($C711)=10,$P$5,IF(MONTH($C711)=11,$P$6,IF(MONTH($C711)=12,$P$7,NA())))))</f>
        <v>0</v>
      </c>
    </row>
    <row r="712" spans="1:28" x14ac:dyDescent="0.3">
      <c r="A712" s="32">
        <f>VLOOKUP(YEAR(C712),Flags!$A$13:$B$95,2,FALSE)</f>
        <v>1</v>
      </c>
      <c r="B712" s="24">
        <f t="shared" si="1054"/>
        <v>1999</v>
      </c>
      <c r="C712" s="25">
        <v>36433</v>
      </c>
      <c r="D712" s="26"/>
      <c r="E712" s="24"/>
      <c r="F712" s="26"/>
      <c r="G712" s="24"/>
      <c r="H712" s="24"/>
      <c r="I712" s="26"/>
      <c r="J712" s="24"/>
      <c r="K712" s="26">
        <f>VLOOKUP($C712,COS!$B$8:$H$991,2,FALSE)</f>
        <v>2879.5078125</v>
      </c>
      <c r="L712" s="24">
        <f t="shared" ref="L712" si="1146">IF(AND(K712&gt;$I$7,K712&lt;$I$8),1,0)</f>
        <v>1</v>
      </c>
      <c r="M712" s="24"/>
      <c r="N712" s="26"/>
      <c r="O712" s="26"/>
      <c r="P712" s="26"/>
      <c r="Q712" s="26"/>
      <c r="R712" s="26"/>
      <c r="S712" s="26"/>
      <c r="T712" s="26"/>
      <c r="U712" s="26"/>
      <c r="V712" s="26"/>
      <c r="W712" s="26">
        <f>MAX($C$8-VLOOKUP($C712,COS!$B$8:$H$991,3,FALSE),0)</f>
        <v>0</v>
      </c>
      <c r="X712" s="26">
        <f t="shared" si="1086"/>
        <v>0</v>
      </c>
      <c r="Y712" s="26">
        <f>VLOOKUP($C712,COS!$B$8:$H$991,4,FALSE)</f>
        <v>0</v>
      </c>
      <c r="Z712" s="26">
        <f t="shared" si="1087"/>
        <v>0</v>
      </c>
      <c r="AA712" s="26">
        <f t="shared" si="1144"/>
        <v>0</v>
      </c>
      <c r="AB712" s="33">
        <f t="shared" si="1058"/>
        <v>0</v>
      </c>
    </row>
    <row r="713" spans="1:28" x14ac:dyDescent="0.3">
      <c r="A713" s="32">
        <f>VLOOKUP(YEAR(C713),Flags!$A$13:$B$95,2,FALSE)</f>
        <v>1</v>
      </c>
      <c r="B713" s="24">
        <f t="shared" si="1054"/>
        <v>1999</v>
      </c>
      <c r="C713" s="25">
        <v>36464</v>
      </c>
      <c r="D713" s="26"/>
      <c r="E713" s="24"/>
      <c r="F713" s="26"/>
      <c r="G713" s="26"/>
      <c r="H713" s="26"/>
      <c r="I713" s="26"/>
      <c r="J713" s="26"/>
      <c r="K713" s="26"/>
      <c r="L713" s="24"/>
      <c r="M713" s="24"/>
      <c r="N713" s="26"/>
      <c r="O713" s="26"/>
      <c r="P713" s="26"/>
      <c r="Q713" s="26"/>
      <c r="R713" s="26"/>
      <c r="S713" s="26"/>
      <c r="T713" s="26"/>
      <c r="U713" s="26"/>
      <c r="V713" s="26"/>
      <c r="W713" s="26">
        <f>MAX($C$9-VLOOKUP($C713,COS!$B$8:$H$991,3,FALSE),0)</f>
        <v>0</v>
      </c>
      <c r="X713" s="26">
        <f t="shared" si="1086"/>
        <v>0</v>
      </c>
      <c r="Y713" s="26">
        <f>VLOOKUP($C713,COS!$B$8:$H$991,4,FALSE)</f>
        <v>1020.4207763671875</v>
      </c>
      <c r="Z713" s="26">
        <f t="shared" si="1087"/>
        <v>62.7432279022469</v>
      </c>
      <c r="AA713" s="26">
        <f t="shared" si="1144"/>
        <v>0</v>
      </c>
      <c r="AB713" s="33">
        <f t="shared" si="1058"/>
        <v>0</v>
      </c>
    </row>
    <row r="714" spans="1:28" x14ac:dyDescent="0.3">
      <c r="A714" s="32">
        <f>VLOOKUP(YEAR(C714),Flags!$A$13:$B$95,2,FALSE)</f>
        <v>1</v>
      </c>
      <c r="B714" s="24">
        <f t="shared" si="1054"/>
        <v>1999</v>
      </c>
      <c r="C714" s="25">
        <v>36494</v>
      </c>
      <c r="D714" s="26"/>
      <c r="E714" s="24"/>
      <c r="F714" s="26"/>
      <c r="G714" s="26"/>
      <c r="H714" s="26"/>
      <c r="I714" s="26"/>
      <c r="J714" s="26"/>
      <c r="K714" s="26"/>
      <c r="L714" s="24"/>
      <c r="M714" s="24"/>
      <c r="N714" s="26"/>
      <c r="O714" s="26"/>
      <c r="P714" s="26"/>
      <c r="Q714" s="26"/>
      <c r="R714" s="26"/>
      <c r="S714" s="26"/>
      <c r="T714" s="26"/>
      <c r="U714" s="26"/>
      <c r="V714" s="26"/>
      <c r="W714" s="26">
        <f>MAX($C$10-VLOOKUP($C714,COS!$B$8:$H$991,3,FALSE),0)</f>
        <v>0</v>
      </c>
      <c r="X714" s="26">
        <f t="shared" si="1086"/>
        <v>0</v>
      </c>
      <c r="Y714" s="26">
        <f>VLOOKUP($C714,COS!$B$8:$H$991,4,FALSE)</f>
        <v>1214.3294677734375</v>
      </c>
      <c r="Z714" s="26">
        <f t="shared" si="1087"/>
        <v>72.257621222882221</v>
      </c>
      <c r="AA714" s="26">
        <f t="shared" si="1144"/>
        <v>0</v>
      </c>
      <c r="AB714" s="33">
        <f t="shared" si="1058"/>
        <v>0</v>
      </c>
    </row>
    <row r="715" spans="1:28" x14ac:dyDescent="0.3">
      <c r="A715" s="34">
        <f>VLOOKUP(YEAR(C715),Flags!$A$13:$B$95,2,FALSE)</f>
        <v>1</v>
      </c>
      <c r="B715" s="35">
        <f t="shared" si="1054"/>
        <v>1999</v>
      </c>
      <c r="C715" s="36">
        <v>36525</v>
      </c>
      <c r="D715" s="37"/>
      <c r="E715" s="35"/>
      <c r="F715" s="37"/>
      <c r="G715" s="37"/>
      <c r="H715" s="37"/>
      <c r="I715" s="37"/>
      <c r="J715" s="37"/>
      <c r="K715" s="37"/>
      <c r="L715" s="35"/>
      <c r="M715" s="35"/>
      <c r="N715" s="37"/>
      <c r="O715" s="37"/>
      <c r="P715" s="37"/>
      <c r="Q715" s="37"/>
      <c r="R715" s="37"/>
      <c r="S715" s="37"/>
      <c r="T715" s="37"/>
      <c r="U715" s="37"/>
      <c r="V715" s="37"/>
      <c r="W715" s="37">
        <f>MAX($C$11-VLOOKUP($C715,COS!$B$8:$H$991,3,FALSE),0)</f>
        <v>0</v>
      </c>
      <c r="X715" s="37">
        <f t="shared" si="1086"/>
        <v>0</v>
      </c>
      <c r="Y715" s="37">
        <f>VLOOKUP($C715,COS!$B$8:$H$991,4,FALSE)</f>
        <v>0</v>
      </c>
      <c r="Z715" s="37">
        <f t="shared" si="1087"/>
        <v>0</v>
      </c>
      <c r="AA715" s="37">
        <f t="shared" si="1144"/>
        <v>0</v>
      </c>
      <c r="AB715" s="38">
        <f t="shared" si="1058"/>
        <v>0</v>
      </c>
    </row>
    <row r="716" spans="1:28" x14ac:dyDescent="0.3">
      <c r="A716" s="27">
        <f>VLOOKUP(YEAR(C716),Flags!$A$13:$B$95,2,FALSE)</f>
        <v>2</v>
      </c>
      <c r="B716" s="28">
        <f t="shared" si="1054"/>
        <v>2000</v>
      </c>
      <c r="C716" s="29">
        <v>36646</v>
      </c>
      <c r="D716" s="30">
        <f>VLOOKUP($C716,COS!$B$8:$H$991,3,FALSE)</f>
        <v>3250</v>
      </c>
      <c r="E716" s="28">
        <f>IF(D716&gt;=IF(MONTH($C716)=4,$C$3,IF(MONTH($C716)=5,$C$4,IF(MONTH($C716)=6,$C$5,IF(MONTH($C716)=7,$C$6,"ERROR")))),1,0)</f>
        <v>0</v>
      </c>
      <c r="F716" s="30">
        <f>VLOOKUP($C716,COS!$B$8:$H$991,7,FALSE)</f>
        <v>53.549808502197266</v>
      </c>
      <c r="G716" s="28">
        <f>IF(F716&lt;=IF(MONTH($C716)=4,$F$3,IF(MONTH($C716)=5,$F$4,IF(MONTH($C716)=6,$F$5,IF(MONTH($C716)=7,$F$6,"ERROR")))),1,0)</f>
        <v>1</v>
      </c>
      <c r="H716" s="30">
        <f>IF(J716=1,D716-$C$3,0)</f>
        <v>0</v>
      </c>
      <c r="I716" s="30">
        <f t="shared" si="1083"/>
        <v>0</v>
      </c>
      <c r="J716" s="28">
        <f t="shared" ref="J716:J719" si="1147">IF(AND(E716=1,G716=1),1,0)</f>
        <v>0</v>
      </c>
      <c r="K716" s="30">
        <f>VLOOKUP($C716,COS!$B$8:$H$991,2,FALSE)</f>
        <v>4550.50927734375</v>
      </c>
      <c r="L716" s="28">
        <f t="shared" ref="L716:L737" si="1148">IF(K716&lt;=IF(MONTH($C716)=4,$I$3,IF(MONTH($C716)=5,$I$4,IF(MONTH($C716)=6,$I$5,IF(MONTH($C716)=7,$I$6,"ERROR")))),1,0)</f>
        <v>1</v>
      </c>
      <c r="M716" s="28">
        <f t="shared" ref="M716:M737" si="1149">VLOOKUP($A716,$L$3:$M$7,2,FALSE)</f>
        <v>0</v>
      </c>
      <c r="N716" s="30">
        <f>VLOOKUP($C716,COS!$B$8:$H$991,5,FALSE)</f>
        <v>37.464950561523438</v>
      </c>
      <c r="O716" s="30">
        <f t="shared" ref="O716:O719" si="1150">N716*DAY($C716)*86400/43560/1000</f>
        <v>2.2293193722559401</v>
      </c>
      <c r="P716" s="30">
        <f>VLOOKUP($C716,COS!$B$8:$H$991,6,FALSE)</f>
        <v>403.17050170898438</v>
      </c>
      <c r="Q716" s="30">
        <f t="shared" ref="Q716:Q719" si="1151">P716*DAY($C716)*86400/43560/1000</f>
        <v>23.990310845493283</v>
      </c>
      <c r="R716" s="30">
        <f>MIN(IF(MONTH($C716)=4,$S$3,IF(MONTH($C716)=5,$S$4,IF(MONTH($C716)=6,$S$5,IF(MONTH($C716)=7,$S$6,"ERROR")))),MAX(VLOOKUP($C716,COS!$B$8:$K$991,10,FALSE)-IF(MONTH($C716)=4,$Y$3,IF(MONTH($C716)=5,$Y$4,IF(MONTH($C716)=6,$Y$5,IF(MONTH($C716)=7,$Y$6,"ERROR")))),0),MAX(VLOOKUP($C716,COS!$B$8:$K$991,9,FALSE)-IF(MONTH($C716)=4,$V$3,IF(MONTH($C716)=5,$V$4,IF(MONTH($C716)=6,$V$5,IF(MONTH($C716)=7,$V$6,"ERROR"))))-VLOOKUP($C716,COS!$B$8:$K$991,6,FALSE)/2,0))</f>
        <v>1500</v>
      </c>
      <c r="S716" s="30">
        <f t="shared" ref="S716:S719" si="1152">R716*DAY($C716)*86400/43560/1000</f>
        <v>89.256198347107429</v>
      </c>
      <c r="T716" s="30">
        <f t="shared" ref="T716:T719" si="1153">(O716+Q716)/2+S716</f>
        <v>102.36601345598204</v>
      </c>
      <c r="U716" s="30" t="str">
        <f>IF(VLOOKUP($C716,COS!$B$8:$I$991,8,FALSE)=1,"UWFE","IBU")</f>
        <v>UWFE</v>
      </c>
      <c r="V716" s="30">
        <f t="shared" ref="V716" si="1154">MIN(IF(IF($AA$3=2,AND(E716=1,G716=1,L716=1,L721=1,M716=1,U716="IBU"),AND(E716=1,G716=1,L716=1,L721=1,M716=1)),T716,0),I716)</f>
        <v>0</v>
      </c>
      <c r="W716" s="30"/>
      <c r="X716" s="30"/>
      <c r="Y716" s="30"/>
      <c r="Z716" s="30"/>
      <c r="AA716" s="30"/>
      <c r="AB716" s="31"/>
    </row>
    <row r="717" spans="1:28" x14ac:dyDescent="0.3">
      <c r="A717" s="32">
        <f>VLOOKUP(YEAR(C717),Flags!$A$13:$B$95,2,FALSE)</f>
        <v>2</v>
      </c>
      <c r="B717" s="24">
        <f t="shared" si="1054"/>
        <v>2000</v>
      </c>
      <c r="C717" s="25">
        <v>36677</v>
      </c>
      <c r="D717" s="26">
        <f>VLOOKUP($C717,COS!$B$8:$H$991,3,FALSE)</f>
        <v>7298.4775390625</v>
      </c>
      <c r="E717" s="24">
        <f>IF(D717&gt;=IF(MONTH($C717)=4,$C$3,IF(MONTH($C717)=5,$C$4,IF(MONTH($C717)=6,$C$5,IF(MONTH($C717)=7,$C$6,"ERROR")))),1,0)</f>
        <v>1</v>
      </c>
      <c r="F717" s="26">
        <f>VLOOKUP($C717,COS!$B$8:$H$991,7,FALSE)</f>
        <v>51.98187255859375</v>
      </c>
      <c r="G717" s="24">
        <f>IF(F717&lt;=IF(MONTH($C717)=4,$F$3,IF(MONTH($C717)=5,$F$4,IF(MONTH($C717)=6,$F$5,IF(MONTH($C717)=7,$F$6,"ERROR")))),1,0)</f>
        <v>1</v>
      </c>
      <c r="H717" s="26">
        <f>IF(J717=1,D717-$C$4,0)</f>
        <v>1298.4775390625</v>
      </c>
      <c r="I717" s="26">
        <f t="shared" si="1083"/>
        <v>79.840271823347109</v>
      </c>
      <c r="J717" s="24">
        <f t="shared" si="1147"/>
        <v>1</v>
      </c>
      <c r="K717" s="26">
        <f>VLOOKUP($C717,COS!$B$8:$H$991,2,FALSE)</f>
        <v>4552</v>
      </c>
      <c r="L717" s="24">
        <f t="shared" si="1148"/>
        <v>1</v>
      </c>
      <c r="M717" s="24">
        <f t="shared" si="1149"/>
        <v>0</v>
      </c>
      <c r="N717" s="26">
        <f>VLOOKUP($C717,COS!$B$8:$H$991,5,FALSE)</f>
        <v>651.51641845703125</v>
      </c>
      <c r="O717" s="26">
        <f t="shared" si="1150"/>
        <v>40.060183085291833</v>
      </c>
      <c r="P717" s="26">
        <f>VLOOKUP($C717,COS!$B$8:$H$991,6,FALSE)</f>
        <v>1855.6585693359375</v>
      </c>
      <c r="Q717" s="26">
        <f t="shared" si="1151"/>
        <v>114.09999798230888</v>
      </c>
      <c r="R717" s="26">
        <f>MIN(IF(MONTH($C717)=4,$S$3,IF(MONTH($C717)=5,$S$4,IF(MONTH($C717)=6,$S$5,IF(MONTH($C717)=7,$S$6,"ERROR")))),MAX(VLOOKUP($C717,COS!$B$8:$K$991,10,FALSE)-IF(MONTH($C717)=4,$Y$3,IF(MONTH($C717)=5,$Y$4,IF(MONTH($C717)=6,$Y$5,IF(MONTH($C717)=7,$Y$6,"ERROR")))),0),MAX(VLOOKUP($C717,COS!$B$8:$K$991,9,FALSE)-IF(MONTH($C717)=4,$V$3,IF(MONTH($C717)=5,$V$4,IF(MONTH($C717)=6,$V$5,IF(MONTH($C717)=7,$V$6,"ERROR"))))-VLOOKUP($C717,COS!$B$8:$K$991,6,FALSE)/2,0))</f>
        <v>1500</v>
      </c>
      <c r="S717" s="26">
        <f t="shared" si="1152"/>
        <v>92.231404958677686</v>
      </c>
      <c r="T717" s="26">
        <f t="shared" si="1153"/>
        <v>169.31149549247806</v>
      </c>
      <c r="U717" s="26" t="str">
        <f>IF(VLOOKUP($C717,COS!$B$8:$I$991,8,FALSE)=1,"UWFE","IBU")</f>
        <v>UWFE</v>
      </c>
      <c r="V717" s="26">
        <f t="shared" ref="V717" si="1155">MIN(IF(IF($AA$3=2,AND(E717=1,G717=1,L717=1,L721=1,M717=1,U717="IBU"),AND(E717=1,G717=1,L717=1,L721=1,M717=1)),T717,0),I717)</f>
        <v>0</v>
      </c>
      <c r="W717" s="26"/>
      <c r="X717" s="26"/>
      <c r="Y717" s="26"/>
      <c r="Z717" s="26"/>
      <c r="AA717" s="26"/>
      <c r="AB717" s="33"/>
    </row>
    <row r="718" spans="1:28" x14ac:dyDescent="0.3">
      <c r="A718" s="32">
        <f>VLOOKUP(YEAR(C718),Flags!$A$13:$B$95,2,FALSE)</f>
        <v>2</v>
      </c>
      <c r="B718" s="24">
        <f t="shared" si="1054"/>
        <v>2000</v>
      </c>
      <c r="C718" s="25">
        <v>36707</v>
      </c>
      <c r="D718" s="26">
        <f>VLOOKUP($C718,COS!$B$8:$H$991,3,FALSE)</f>
        <v>12915.84765625</v>
      </c>
      <c r="E718" s="24">
        <f>IF(D718&gt;=IF(MONTH($C718)=4,$C$3,IF(MONTH($C718)=5,$C$4,IF(MONTH($C718)=6,$C$5,IF(MONTH($C718)=7,$C$6,"ERROR")))),1,0)</f>
        <v>1</v>
      </c>
      <c r="F718" s="26">
        <f>VLOOKUP($C718,COS!$B$8:$H$991,7,FALSE)</f>
        <v>51.933616638183594</v>
      </c>
      <c r="G718" s="24">
        <f>IF(F718&lt;=IF(MONTH($C718)=4,$F$3,IF(MONTH($C718)=5,$F$4,IF(MONTH($C718)=6,$F$5,IF(MONTH($C718)=7,$F$6,"ERROR")))),1,0)</f>
        <v>1</v>
      </c>
      <c r="H718" s="26">
        <f>IF(J718=1,D718-$C$5,0)</f>
        <v>2915.84765625</v>
      </c>
      <c r="I718" s="26">
        <f t="shared" si="1083"/>
        <v>173.50498450413224</v>
      </c>
      <c r="J718" s="24">
        <f t="shared" si="1147"/>
        <v>1</v>
      </c>
      <c r="K718" s="26">
        <f>VLOOKUP($C718,COS!$B$8:$H$991,2,FALSE)</f>
        <v>4064.68359375</v>
      </c>
      <c r="L718" s="24">
        <f t="shared" si="1148"/>
        <v>1</v>
      </c>
      <c r="M718" s="24">
        <f t="shared" si="1149"/>
        <v>0</v>
      </c>
      <c r="N718" s="26">
        <f>VLOOKUP($C718,COS!$B$8:$H$991,5,FALSE)</f>
        <v>1133.98681640625</v>
      </c>
      <c r="O718" s="26">
        <f t="shared" si="1150"/>
        <v>67.476901472107429</v>
      </c>
      <c r="P718" s="26">
        <f>VLOOKUP($C718,COS!$B$8:$H$991,6,FALSE)</f>
        <v>2300.9248046875</v>
      </c>
      <c r="Q718" s="26">
        <f t="shared" si="1151"/>
        <v>136.91453383264462</v>
      </c>
      <c r="R718" s="26">
        <f>MIN(IF(MONTH($C718)=4,$S$3,IF(MONTH($C718)=5,$S$4,IF(MONTH($C718)=6,$S$5,IF(MONTH($C718)=7,$S$6,"ERROR")))),MAX(VLOOKUP($C718,COS!$B$8:$K$991,10,FALSE)-IF(MONTH($C718)=4,$Y$3,IF(MONTH($C718)=5,$Y$4,IF(MONTH($C718)=6,$Y$5,IF(MONTH($C718)=7,$Y$6,"ERROR")))),0),MAX(VLOOKUP($C718,COS!$B$8:$K$991,9,FALSE)-IF(MONTH($C718)=4,$V$3,IF(MONTH($C718)=5,$V$4,IF(MONTH($C718)=6,$V$5,IF(MONTH($C718)=7,$V$6,"ERROR"))))-VLOOKUP($C718,COS!$B$8:$K$991,6,FALSE)/2,0))</f>
        <v>1500</v>
      </c>
      <c r="S718" s="26">
        <f t="shared" si="1152"/>
        <v>89.256198347107429</v>
      </c>
      <c r="T718" s="26">
        <f t="shared" si="1153"/>
        <v>191.45191599948345</v>
      </c>
      <c r="U718" s="26" t="str">
        <f>IF(VLOOKUP($C718,COS!$B$8:$I$991,8,FALSE)=1,"UWFE","IBU")</f>
        <v>IBU</v>
      </c>
      <c r="V718" s="26">
        <f t="shared" ref="V718" si="1156">MIN(IF(IF($AA$3=2,AND(E718=1,G718=1,L718=1,L721=1,M718=1,U718="IBU"),AND(E718=1,G718=1,L718=1,L721=1,M718=1)),T718,0),I718)</f>
        <v>0</v>
      </c>
      <c r="W718" s="26"/>
      <c r="X718" s="26"/>
      <c r="Y718" s="26"/>
      <c r="Z718" s="26"/>
      <c r="AA718" s="26"/>
      <c r="AB718" s="33"/>
    </row>
    <row r="719" spans="1:28" x14ac:dyDescent="0.3">
      <c r="A719" s="32">
        <f>VLOOKUP(YEAR(C719),Flags!$A$13:$B$95,2,FALSE)</f>
        <v>2</v>
      </c>
      <c r="B719" s="24">
        <f t="shared" ref="B719:B742" si="1157">YEAR(C719)</f>
        <v>2000</v>
      </c>
      <c r="C719" s="25">
        <v>36738</v>
      </c>
      <c r="D719" s="26">
        <f>VLOOKUP($C719,COS!$B$8:$H$991,3,FALSE)</f>
        <v>16243.5498046875</v>
      </c>
      <c r="E719" s="24">
        <f>IF(D719&gt;=IF(MONTH($C719)=4,$C$3,IF(MONTH($C719)=5,$C$4,IF(MONTH($C719)=6,$C$5,IF(MONTH($C719)=7,$C$6,"ERROR")))),1,0)</f>
        <v>1</v>
      </c>
      <c r="F719" s="26">
        <f>VLOOKUP($C719,COS!$B$8:$H$991,7,FALSE)</f>
        <v>51.968482971191406</v>
      </c>
      <c r="G719" s="24">
        <f>IF(F719&lt;=IF(MONTH($C719)=4,$F$3,IF(MONTH($C719)=5,$F$4,IF(MONTH($C719)=6,$F$5,IF(MONTH($C719)=7,$F$6,"ERROR")))),1,0)</f>
        <v>1</v>
      </c>
      <c r="H719" s="26">
        <f>IF(J719=1,D719-$C$6,0)</f>
        <v>4243.5498046875</v>
      </c>
      <c r="I719" s="26">
        <f t="shared" si="1083"/>
        <v>260.92570699896697</v>
      </c>
      <c r="J719" s="24">
        <f t="shared" si="1147"/>
        <v>1</v>
      </c>
      <c r="K719" s="26">
        <f>VLOOKUP($C719,COS!$B$8:$H$991,2,FALSE)</f>
        <v>3391.262451171875</v>
      </c>
      <c r="L719" s="24">
        <f t="shared" si="1148"/>
        <v>1</v>
      </c>
      <c r="M719" s="24">
        <f t="shared" si="1149"/>
        <v>0</v>
      </c>
      <c r="N719" s="26">
        <f>VLOOKUP($C719,COS!$B$8:$H$991,5,FALSE)</f>
        <v>1372.8363037109375</v>
      </c>
      <c r="O719" s="26">
        <f t="shared" si="1150"/>
        <v>84.412414046358478</v>
      </c>
      <c r="P719" s="26">
        <f>VLOOKUP($C719,COS!$B$8:$H$991,6,FALSE)</f>
        <v>2562.892822265625</v>
      </c>
      <c r="Q719" s="26">
        <f t="shared" si="1151"/>
        <v>157.58613717071282</v>
      </c>
      <c r="R719" s="26">
        <f>MIN(IF(MONTH($C719)=4,$S$3,IF(MONTH($C719)=5,$S$4,IF(MONTH($C719)=6,$S$5,IF(MONTH($C719)=7,$S$6,"ERROR")))),MAX(VLOOKUP($C719,COS!$B$8:$K$991,10,FALSE)-IF(MONTH($C719)=4,$Y$3,IF(MONTH($C719)=5,$Y$4,IF(MONTH($C719)=6,$Y$5,IF(MONTH($C719)=7,$Y$6,"ERROR")))),0),MAX(VLOOKUP($C719,COS!$B$8:$K$991,9,FALSE)-IF(MONTH($C719)=4,$V$3,IF(MONTH($C719)=5,$V$4,IF(MONTH($C719)=6,$V$5,IF(MONTH($C719)=7,$V$6,"ERROR"))))-VLOOKUP($C719,COS!$B$8:$K$991,6,FALSE)/2,0))</f>
        <v>1500</v>
      </c>
      <c r="S719" s="26">
        <f t="shared" si="1152"/>
        <v>92.231404958677686</v>
      </c>
      <c r="T719" s="26">
        <f t="shared" si="1153"/>
        <v>213.23068056721331</v>
      </c>
      <c r="U719" s="26" t="str">
        <f>IF(VLOOKUP($C719,COS!$B$8:$I$991,8,FALSE)=1,"UWFE","IBU")</f>
        <v>IBU</v>
      </c>
      <c r="V719" s="26">
        <f t="shared" ref="V719" si="1158">MIN(IF(IF($AA$3=2,AND(E719=1,G719=1,L719=1,L721=1,M719=1,U719="IBU"),AND(E719=1,G719=1,L719=1,L721=1,M719=1)),T719,0),I719)</f>
        <v>0</v>
      </c>
      <c r="W719" s="26"/>
      <c r="X719" s="26"/>
      <c r="Y719" s="26"/>
      <c r="Z719" s="26"/>
      <c r="AA719" s="26"/>
      <c r="AB719" s="33"/>
    </row>
    <row r="720" spans="1:28" x14ac:dyDescent="0.3">
      <c r="A720" s="32">
        <f>VLOOKUP(YEAR(C720),Flags!$A$13:$B$95,2,FALSE)</f>
        <v>2</v>
      </c>
      <c r="B720" s="24">
        <f t="shared" si="1157"/>
        <v>2000</v>
      </c>
      <c r="C720" s="25">
        <v>36769</v>
      </c>
      <c r="D720" s="26"/>
      <c r="E720" s="24"/>
      <c r="F720" s="26"/>
      <c r="G720" s="24"/>
      <c r="H720" s="24"/>
      <c r="I720" s="26"/>
      <c r="J720" s="24"/>
      <c r="K720" s="26"/>
      <c r="L720" s="24"/>
      <c r="M720" s="24"/>
      <c r="N720" s="26"/>
      <c r="O720" s="26"/>
      <c r="P720" s="26"/>
      <c r="Q720" s="26"/>
      <c r="R720" s="26"/>
      <c r="S720" s="26"/>
      <c r="T720" s="26"/>
      <c r="U720" s="26"/>
      <c r="V720" s="26"/>
      <c r="W720" s="26">
        <f>MAX($C$7-VLOOKUP($C720,COS!$B$8:$H$991,3,FALSE),0)</f>
        <v>1269.6640625</v>
      </c>
      <c r="X720" s="26">
        <f t="shared" si="1086"/>
        <v>78.068600206611578</v>
      </c>
      <c r="Y720" s="26">
        <f>VLOOKUP($C720,COS!$B$8:$H$991,4,FALSE)</f>
        <v>0</v>
      </c>
      <c r="Z720" s="26">
        <f t="shared" si="1087"/>
        <v>0</v>
      </c>
      <c r="AA720" s="26">
        <f t="shared" ref="AA720:AA724" si="1159">MIN(W720,Y720)</f>
        <v>0</v>
      </c>
      <c r="AB720" s="33">
        <f t="shared" ref="AB720:AB742" si="1160">AA720*DAY($C720)*86400/43560/1000*IF(MONTH($C720)=8,$P$3,IF(MONTH($C720)=9,$P$4,IF(MONTH($C720)=10,$P$5,IF(MONTH($C720)=11,$P$6,IF(MONTH($C720)=12,$P$7,NA())))))</f>
        <v>0</v>
      </c>
    </row>
    <row r="721" spans="1:28" x14ac:dyDescent="0.3">
      <c r="A721" s="32">
        <f>VLOOKUP(YEAR(C721),Flags!$A$13:$B$95,2,FALSE)</f>
        <v>2</v>
      </c>
      <c r="B721" s="24">
        <f t="shared" si="1157"/>
        <v>2000</v>
      </c>
      <c r="C721" s="25">
        <v>36799</v>
      </c>
      <c r="D721" s="26"/>
      <c r="E721" s="24"/>
      <c r="F721" s="26"/>
      <c r="G721" s="24"/>
      <c r="H721" s="24"/>
      <c r="I721" s="26"/>
      <c r="J721" s="24"/>
      <c r="K721" s="26">
        <f>VLOOKUP($C721,COS!$B$8:$H$991,2,FALSE)</f>
        <v>2897.057861328125</v>
      </c>
      <c r="L721" s="24">
        <f t="shared" ref="L721" si="1161">IF(AND(K721&gt;$I$7,K721&lt;$I$8),1,0)</f>
        <v>1</v>
      </c>
      <c r="M721" s="24"/>
      <c r="N721" s="26"/>
      <c r="O721" s="26"/>
      <c r="P721" s="26"/>
      <c r="Q721" s="26"/>
      <c r="R721" s="26"/>
      <c r="S721" s="26"/>
      <c r="T721" s="26"/>
      <c r="U721" s="26"/>
      <c r="V721" s="26"/>
      <c r="W721" s="26">
        <f>MAX($C$8-VLOOKUP($C721,COS!$B$8:$H$991,3,FALSE),0)</f>
        <v>0</v>
      </c>
      <c r="X721" s="26">
        <f t="shared" si="1086"/>
        <v>0</v>
      </c>
      <c r="Y721" s="26">
        <f>VLOOKUP($C721,COS!$B$8:$H$991,4,FALSE)</f>
        <v>0</v>
      </c>
      <c r="Z721" s="26">
        <f t="shared" si="1087"/>
        <v>0</v>
      </c>
      <c r="AA721" s="26">
        <f t="shared" si="1159"/>
        <v>0</v>
      </c>
      <c r="AB721" s="33">
        <f t="shared" si="1160"/>
        <v>0</v>
      </c>
    </row>
    <row r="722" spans="1:28" x14ac:dyDescent="0.3">
      <c r="A722" s="32">
        <f>VLOOKUP(YEAR(C722),Flags!$A$13:$B$95,2,FALSE)</f>
        <v>2</v>
      </c>
      <c r="B722" s="24">
        <f t="shared" si="1157"/>
        <v>2000</v>
      </c>
      <c r="C722" s="25">
        <v>36830</v>
      </c>
      <c r="D722" s="26"/>
      <c r="E722" s="24"/>
      <c r="F722" s="26"/>
      <c r="G722" s="26"/>
      <c r="H722" s="26"/>
      <c r="I722" s="26"/>
      <c r="J722" s="26"/>
      <c r="K722" s="26"/>
      <c r="L722" s="24"/>
      <c r="M722" s="24"/>
      <c r="N722" s="26"/>
      <c r="O722" s="26"/>
      <c r="P722" s="26"/>
      <c r="Q722" s="26"/>
      <c r="R722" s="26"/>
      <c r="S722" s="26"/>
      <c r="T722" s="26"/>
      <c r="U722" s="26"/>
      <c r="V722" s="26"/>
      <c r="W722" s="26">
        <f>MAX($C$9-VLOOKUP($C722,COS!$B$8:$H$991,3,FALSE),0)</f>
        <v>0</v>
      </c>
      <c r="X722" s="26">
        <f t="shared" si="1086"/>
        <v>0</v>
      </c>
      <c r="Y722" s="26">
        <f>VLOOKUP($C722,COS!$B$8:$H$991,4,FALSE)</f>
        <v>877.78619384765625</v>
      </c>
      <c r="Z722" s="26">
        <f t="shared" si="1087"/>
        <v>53.972969274599684</v>
      </c>
      <c r="AA722" s="26">
        <f t="shared" si="1159"/>
        <v>0</v>
      </c>
      <c r="AB722" s="33">
        <f t="shared" si="1160"/>
        <v>0</v>
      </c>
    </row>
    <row r="723" spans="1:28" x14ac:dyDescent="0.3">
      <c r="A723" s="32">
        <f>VLOOKUP(YEAR(C723),Flags!$A$13:$B$95,2,FALSE)</f>
        <v>2</v>
      </c>
      <c r="B723" s="24">
        <f t="shared" si="1157"/>
        <v>2000</v>
      </c>
      <c r="C723" s="25">
        <v>36860</v>
      </c>
      <c r="D723" s="26"/>
      <c r="E723" s="24"/>
      <c r="F723" s="26"/>
      <c r="G723" s="26"/>
      <c r="H723" s="26"/>
      <c r="I723" s="26"/>
      <c r="J723" s="26"/>
      <c r="K723" s="26"/>
      <c r="L723" s="24"/>
      <c r="M723" s="24"/>
      <c r="N723" s="26"/>
      <c r="O723" s="26"/>
      <c r="P723" s="26"/>
      <c r="Q723" s="26"/>
      <c r="R723" s="26"/>
      <c r="S723" s="26"/>
      <c r="T723" s="26"/>
      <c r="U723" s="26"/>
      <c r="V723" s="26"/>
      <c r="W723" s="26">
        <f>MAX($C$10-VLOOKUP($C723,COS!$B$8:$H$991,3,FALSE),0)</f>
        <v>0</v>
      </c>
      <c r="X723" s="26">
        <f t="shared" si="1086"/>
        <v>0</v>
      </c>
      <c r="Y723" s="26">
        <f>VLOOKUP($C723,COS!$B$8:$H$991,4,FALSE)</f>
        <v>1047.9903564453125</v>
      </c>
      <c r="Z723" s="26">
        <f t="shared" si="1087"/>
        <v>62.359756747159089</v>
      </c>
      <c r="AA723" s="26">
        <f t="shared" si="1159"/>
        <v>0</v>
      </c>
      <c r="AB723" s="33">
        <f t="shared" si="1160"/>
        <v>0</v>
      </c>
    </row>
    <row r="724" spans="1:28" x14ac:dyDescent="0.3">
      <c r="A724" s="34">
        <f>VLOOKUP(YEAR(C724),Flags!$A$13:$B$95,2,FALSE)</f>
        <v>2</v>
      </c>
      <c r="B724" s="35">
        <f t="shared" si="1157"/>
        <v>2000</v>
      </c>
      <c r="C724" s="36">
        <v>36891</v>
      </c>
      <c r="D724" s="37"/>
      <c r="E724" s="35"/>
      <c r="F724" s="37"/>
      <c r="G724" s="37"/>
      <c r="H724" s="37"/>
      <c r="I724" s="37"/>
      <c r="J724" s="37"/>
      <c r="K724" s="37"/>
      <c r="L724" s="35"/>
      <c r="M724" s="35"/>
      <c r="N724" s="37"/>
      <c r="O724" s="37"/>
      <c r="P724" s="37"/>
      <c r="Q724" s="37"/>
      <c r="R724" s="37"/>
      <c r="S724" s="37"/>
      <c r="T724" s="37"/>
      <c r="U724" s="37"/>
      <c r="V724" s="37"/>
      <c r="W724" s="37">
        <f>MAX($C$11-VLOOKUP($C724,COS!$B$8:$H$991,3,FALSE),0)</f>
        <v>0</v>
      </c>
      <c r="X724" s="37">
        <f t="shared" si="1086"/>
        <v>0</v>
      </c>
      <c r="Y724" s="37">
        <f>VLOOKUP($C724,COS!$B$8:$H$991,4,FALSE)</f>
        <v>1045.7059326171875</v>
      </c>
      <c r="Z724" s="37">
        <f t="shared" si="1087"/>
        <v>64.297951559271695</v>
      </c>
      <c r="AA724" s="37">
        <f t="shared" si="1159"/>
        <v>0</v>
      </c>
      <c r="AB724" s="38">
        <f t="shared" si="1160"/>
        <v>0</v>
      </c>
    </row>
    <row r="725" spans="1:28" x14ac:dyDescent="0.3">
      <c r="A725" s="27">
        <f>VLOOKUP(YEAR(C725),Flags!$A$13:$B$95,2,FALSE)</f>
        <v>4</v>
      </c>
      <c r="B725" s="28">
        <f t="shared" si="1157"/>
        <v>2001</v>
      </c>
      <c r="C725" s="29">
        <v>37011</v>
      </c>
      <c r="D725" s="30">
        <f>VLOOKUP($C725,COS!$B$8:$H$991,3,FALSE)</f>
        <v>3250</v>
      </c>
      <c r="E725" s="28">
        <f>IF(D725&gt;=IF(MONTH($C725)=4,$C$3,IF(MONTH($C725)=5,$C$4,IF(MONTH($C725)=6,$C$5,IF(MONTH($C725)=7,$C$6,"ERROR")))),1,0)</f>
        <v>0</v>
      </c>
      <c r="F725" s="30">
        <f>VLOOKUP($C725,COS!$B$8:$H$991,7,FALSE)</f>
        <v>51.856029510498047</v>
      </c>
      <c r="G725" s="28">
        <f>IF(F725&lt;=IF(MONTH($C725)=4,$F$3,IF(MONTH($C725)=5,$F$4,IF(MONTH($C725)=6,$F$5,IF(MONTH($C725)=7,$F$6,"ERROR")))),1,0)</f>
        <v>1</v>
      </c>
      <c r="H725" s="30">
        <f>IF(J725=1,D725-$C$3,0)</f>
        <v>0</v>
      </c>
      <c r="I725" s="30">
        <f t="shared" si="1083"/>
        <v>0</v>
      </c>
      <c r="J725" s="28">
        <f t="shared" ref="J725:J728" si="1162">IF(AND(E725=1,G725=1),1,0)</f>
        <v>0</v>
      </c>
      <c r="K725" s="30">
        <f>VLOOKUP($C725,COS!$B$8:$H$991,2,FALSE)</f>
        <v>3754.83837890625</v>
      </c>
      <c r="L725" s="28">
        <f t="shared" ref="L725" si="1163">IF(K725&lt;=IF(MONTH($C725)=4,$I$3,IF(MONTH($C725)=5,$I$4,IF(MONTH($C725)=6,$I$5,IF(MONTH($C725)=7,$I$6,"ERROR")))),1,0)</f>
        <v>1</v>
      </c>
      <c r="M725" s="28">
        <f t="shared" ref="M725" si="1164">VLOOKUP($A725,$L$3:$M$7,2,FALSE)</f>
        <v>1</v>
      </c>
      <c r="N725" s="30">
        <f>VLOOKUP($C725,COS!$B$8:$H$991,5,FALSE)</f>
        <v>153.87185668945313</v>
      </c>
      <c r="O725" s="30">
        <f t="shared" ref="O725:O728" si="1165">N725*DAY($C725)*86400/43560/1000</f>
        <v>9.1560113071410125</v>
      </c>
      <c r="P725" s="30">
        <f>VLOOKUP($C725,COS!$B$8:$H$991,6,FALSE)</f>
        <v>425.27017211914063</v>
      </c>
      <c r="Q725" s="30">
        <f t="shared" ref="Q725:Q728" si="1166">P725*DAY($C725)*86400/43560/1000</f>
        <v>25.305332555849692</v>
      </c>
      <c r="R725" s="30">
        <f>MIN(IF(MONTH($C725)=4,$S$3,IF(MONTH($C725)=5,$S$4,IF(MONTH($C725)=6,$S$5,IF(MONTH($C725)=7,$S$6,"ERROR")))),MAX(VLOOKUP($C725,COS!$B$8:$K$991,10,FALSE)-IF(MONTH($C725)=4,$Y$3,IF(MONTH($C725)=5,$Y$4,IF(MONTH($C725)=6,$Y$5,IF(MONTH($C725)=7,$Y$6,"ERROR")))),0),MAX(VLOOKUP($C725,COS!$B$8:$K$991,9,FALSE)-IF(MONTH($C725)=4,$V$3,IF(MONTH($C725)=5,$V$4,IF(MONTH($C725)=6,$V$5,IF(MONTH($C725)=7,$V$6,"ERROR"))))-VLOOKUP($C725,COS!$B$8:$K$991,6,FALSE)/2,0))</f>
        <v>1418.6572265625</v>
      </c>
      <c r="S725" s="30">
        <f t="shared" ref="S725:S728" si="1167">R725*DAY($C725)*86400/43560/1000</f>
        <v>84.415967200413235</v>
      </c>
      <c r="T725" s="30">
        <f t="shared" ref="T725:T728" si="1168">(O725+Q725)/2+S725</f>
        <v>101.64663913190859</v>
      </c>
      <c r="U725" s="30" t="str">
        <f>IF(VLOOKUP($C725,COS!$B$8:$I$991,8,FALSE)=1,"UWFE","IBU")</f>
        <v>UWFE</v>
      </c>
      <c r="V725" s="30">
        <f t="shared" ref="V725" si="1169">MIN(IF(IF($AA$3=2,AND(E725=1,G725=1,L725=1,L730=1,M725=1,U725="IBU"),AND(E725=1,G725=1,L725=1,L730=1,M725=1)),T725,0),I725)</f>
        <v>0</v>
      </c>
      <c r="W725" s="30"/>
      <c r="X725" s="30"/>
      <c r="Y725" s="30"/>
      <c r="Z725" s="30"/>
      <c r="AA725" s="30"/>
      <c r="AB725" s="31"/>
    </row>
    <row r="726" spans="1:28" x14ac:dyDescent="0.3">
      <c r="A726" s="32">
        <f>VLOOKUP(YEAR(C726),Flags!$A$13:$B$95,2,FALSE)</f>
        <v>4</v>
      </c>
      <c r="B726" s="24">
        <f t="shared" si="1157"/>
        <v>2001</v>
      </c>
      <c r="C726" s="25">
        <v>37042</v>
      </c>
      <c r="D726" s="26">
        <f>VLOOKUP($C726,COS!$B$8:$H$991,3,FALSE)</f>
        <v>9349.091796875</v>
      </c>
      <c r="E726" s="24">
        <f>IF(D726&gt;=IF(MONTH($C726)=4,$C$3,IF(MONTH($C726)=5,$C$4,IF(MONTH($C726)=6,$C$5,IF(MONTH($C726)=7,$C$6,"ERROR")))),1,0)</f>
        <v>1</v>
      </c>
      <c r="F726" s="26">
        <f>VLOOKUP($C726,COS!$B$8:$H$991,7,FALSE)</f>
        <v>51.669788360595703</v>
      </c>
      <c r="G726" s="24">
        <f>IF(F726&lt;=IF(MONTH($C726)=4,$F$3,IF(MONTH($C726)=5,$F$4,IF(MONTH($C726)=6,$F$5,IF(MONTH($C726)=7,$F$6,"ERROR")))),1,0)</f>
        <v>1</v>
      </c>
      <c r="H726" s="26">
        <f>IF(J726=1,D726-$C$4,0)</f>
        <v>3349.091796875</v>
      </c>
      <c r="I726" s="26">
        <f t="shared" si="1083"/>
        <v>205.92762784090908</v>
      </c>
      <c r="J726" s="24">
        <f t="shared" si="1162"/>
        <v>1</v>
      </c>
      <c r="K726" s="26">
        <f>VLOOKUP($C726,COS!$B$8:$H$991,2,FALSE)</f>
        <v>3513.1181640625</v>
      </c>
      <c r="L726" s="24">
        <f t="shared" si="1148"/>
        <v>1</v>
      </c>
      <c r="M726" s="24">
        <f t="shared" si="1149"/>
        <v>1</v>
      </c>
      <c r="N726" s="26">
        <f>VLOOKUP($C726,COS!$B$8:$H$991,5,FALSE)</f>
        <v>131.51080322265625</v>
      </c>
      <c r="O726" s="26">
        <f t="shared" si="1165"/>
        <v>8.0862840989798546</v>
      </c>
      <c r="P726" s="26">
        <f>VLOOKUP($C726,COS!$B$8:$H$991,6,FALSE)</f>
        <v>2330.0556640625</v>
      </c>
      <c r="Q726" s="26">
        <f t="shared" si="1166"/>
        <v>143.26953835227275</v>
      </c>
      <c r="R726" s="26">
        <f>MIN(IF(MONTH($C726)=4,$S$3,IF(MONTH($C726)=5,$S$4,IF(MONTH($C726)=6,$S$5,IF(MONTH($C726)=7,$S$6,"ERROR")))),MAX(VLOOKUP($C726,COS!$B$8:$K$991,10,FALSE)-IF(MONTH($C726)=4,$Y$3,IF(MONTH($C726)=5,$Y$4,IF(MONTH($C726)=6,$Y$5,IF(MONTH($C726)=7,$Y$6,"ERROR")))),0),MAX(VLOOKUP($C726,COS!$B$8:$K$991,9,FALSE)-IF(MONTH($C726)=4,$V$3,IF(MONTH($C726)=5,$V$4,IF(MONTH($C726)=6,$V$5,IF(MONTH($C726)=7,$V$6,"ERROR"))))-VLOOKUP($C726,COS!$B$8:$K$991,6,FALSE)/2,0))</f>
        <v>1500</v>
      </c>
      <c r="S726" s="26">
        <f t="shared" si="1167"/>
        <v>92.231404958677686</v>
      </c>
      <c r="T726" s="26">
        <f t="shared" si="1168"/>
        <v>167.90931618430398</v>
      </c>
      <c r="U726" s="26" t="str">
        <f>IF(VLOOKUP($C726,COS!$B$8:$I$991,8,FALSE)=1,"UWFE","IBU")</f>
        <v>IBU</v>
      </c>
      <c r="V726" s="26">
        <f t="shared" ref="V726" si="1170">MIN(IF(IF($AA$3=2,AND(E726=1,G726=1,L726=1,L730=1,M726=1,U726="IBU"),AND(E726=1,G726=1,L726=1,L730=1,M726=1)),T726,0),I726)</f>
        <v>167.90931618430398</v>
      </c>
      <c r="W726" s="26"/>
      <c r="X726" s="26"/>
      <c r="Y726" s="26"/>
      <c r="Z726" s="26"/>
      <c r="AA726" s="26"/>
      <c r="AB726" s="33"/>
    </row>
    <row r="727" spans="1:28" x14ac:dyDescent="0.3">
      <c r="A727" s="32">
        <f>VLOOKUP(YEAR(C727),Flags!$A$13:$B$95,2,FALSE)</f>
        <v>4</v>
      </c>
      <c r="B727" s="24">
        <f t="shared" si="1157"/>
        <v>2001</v>
      </c>
      <c r="C727" s="25">
        <v>37072</v>
      </c>
      <c r="D727" s="26">
        <f>VLOOKUP($C727,COS!$B$8:$H$991,3,FALSE)</f>
        <v>13580.42578125</v>
      </c>
      <c r="E727" s="24">
        <f>IF(D727&gt;=IF(MONTH($C727)=4,$C$3,IF(MONTH($C727)=5,$C$4,IF(MONTH($C727)=6,$C$5,IF(MONTH($C727)=7,$C$6,"ERROR")))),1,0)</f>
        <v>1</v>
      </c>
      <c r="F727" s="26">
        <f>VLOOKUP($C727,COS!$B$8:$H$991,7,FALSE)</f>
        <v>52.129489898681641</v>
      </c>
      <c r="G727" s="24">
        <f>IF(F727&lt;=IF(MONTH($C727)=4,$F$3,IF(MONTH($C727)=5,$F$4,IF(MONTH($C727)=6,$F$5,IF(MONTH($C727)=7,$F$6,"ERROR")))),1,0)</f>
        <v>1</v>
      </c>
      <c r="H727" s="26">
        <f>IF(J727=1,D727-$C$5,0)</f>
        <v>3580.42578125</v>
      </c>
      <c r="I727" s="26">
        <f t="shared" si="1083"/>
        <v>213.0501291322314</v>
      </c>
      <c r="J727" s="24">
        <f t="shared" si="1162"/>
        <v>1</v>
      </c>
      <c r="K727" s="26">
        <f>VLOOKUP($C727,COS!$B$8:$H$991,2,FALSE)</f>
        <v>3084.426025390625</v>
      </c>
      <c r="L727" s="24">
        <f t="shared" si="1148"/>
        <v>1</v>
      </c>
      <c r="M727" s="24">
        <f t="shared" si="1149"/>
        <v>1</v>
      </c>
      <c r="N727" s="26">
        <f>VLOOKUP($C727,COS!$B$8:$H$991,5,FALSE)</f>
        <v>341.73458862304688</v>
      </c>
      <c r="O727" s="26">
        <f t="shared" si="1165"/>
        <v>20.334620149470556</v>
      </c>
      <c r="P727" s="26">
        <f>VLOOKUP($C727,COS!$B$8:$H$991,6,FALSE)</f>
        <v>2635.120849609375</v>
      </c>
      <c r="Q727" s="26">
        <f t="shared" si="1166"/>
        <v>156.80057948088844</v>
      </c>
      <c r="R727" s="26">
        <f>MIN(IF(MONTH($C727)=4,$S$3,IF(MONTH($C727)=5,$S$4,IF(MONTH($C727)=6,$S$5,IF(MONTH($C727)=7,$S$6,"ERROR")))),MAX(VLOOKUP($C727,COS!$B$8:$K$991,10,FALSE)-IF(MONTH($C727)=4,$Y$3,IF(MONTH($C727)=5,$Y$4,IF(MONTH($C727)=6,$Y$5,IF(MONTH($C727)=7,$Y$6,"ERROR")))),0),MAX(VLOOKUP($C727,COS!$B$8:$K$991,9,FALSE)-IF(MONTH($C727)=4,$V$3,IF(MONTH($C727)=5,$V$4,IF(MONTH($C727)=6,$V$5,IF(MONTH($C727)=7,$V$6,"ERROR"))))-VLOOKUP($C727,COS!$B$8:$K$991,6,FALSE)/2,0))</f>
        <v>1500</v>
      </c>
      <c r="S727" s="26">
        <f t="shared" si="1167"/>
        <v>89.256198347107429</v>
      </c>
      <c r="T727" s="26">
        <f t="shared" si="1168"/>
        <v>177.82379816228695</v>
      </c>
      <c r="U727" s="26" t="str">
        <f>IF(VLOOKUP($C727,COS!$B$8:$I$991,8,FALSE)=1,"UWFE","IBU")</f>
        <v>IBU</v>
      </c>
      <c r="V727" s="26">
        <f t="shared" ref="V727" si="1171">MIN(IF(IF($AA$3=2,AND(E727=1,G727=1,L727=1,L730=1,M727=1,U727="IBU"),AND(E727=1,G727=1,L727=1,L730=1,M727=1)),T727,0),I727)</f>
        <v>177.82379816228695</v>
      </c>
      <c r="W727" s="26"/>
      <c r="X727" s="26"/>
      <c r="Y727" s="26"/>
      <c r="Z727" s="26"/>
      <c r="AA727" s="26"/>
      <c r="AB727" s="33"/>
    </row>
    <row r="728" spans="1:28" x14ac:dyDescent="0.3">
      <c r="A728" s="32">
        <f>VLOOKUP(YEAR(C728),Flags!$A$13:$B$95,2,FALSE)</f>
        <v>4</v>
      </c>
      <c r="B728" s="24">
        <f t="shared" si="1157"/>
        <v>2001</v>
      </c>
      <c r="C728" s="25">
        <v>37103</v>
      </c>
      <c r="D728" s="26">
        <f>VLOOKUP($C728,COS!$B$8:$H$991,3,FALSE)</f>
        <v>11758.25</v>
      </c>
      <c r="E728" s="24">
        <f>IF(D728&gt;=IF(MONTH($C728)=4,$C$3,IF(MONTH($C728)=5,$C$4,IF(MONTH($C728)=6,$C$5,IF(MONTH($C728)=7,$C$6,"ERROR")))),1,0)</f>
        <v>0</v>
      </c>
      <c r="F728" s="26">
        <f>VLOOKUP($C728,COS!$B$8:$H$991,7,FALSE)</f>
        <v>54.356548309326172</v>
      </c>
      <c r="G728" s="24">
        <f>IF(F728&lt;=IF(MONTH($C728)=4,$F$3,IF(MONTH($C728)=5,$F$4,IF(MONTH($C728)=6,$F$5,IF(MONTH($C728)=7,$F$6,"ERROR")))),1,0)</f>
        <v>0</v>
      </c>
      <c r="H728" s="26">
        <f>IF(J728=1,D728-$C$6,0)</f>
        <v>0</v>
      </c>
      <c r="I728" s="26">
        <f t="shared" si="1083"/>
        <v>0</v>
      </c>
      <c r="J728" s="24">
        <f t="shared" si="1162"/>
        <v>0</v>
      </c>
      <c r="K728" s="26">
        <f>VLOOKUP($C728,COS!$B$8:$H$991,2,FALSE)</f>
        <v>2758.937255859375</v>
      </c>
      <c r="L728" s="24">
        <f t="shared" si="1148"/>
        <v>1</v>
      </c>
      <c r="M728" s="24">
        <f t="shared" si="1149"/>
        <v>1</v>
      </c>
      <c r="N728" s="26">
        <f>VLOOKUP($C728,COS!$B$8:$H$991,5,FALSE)</f>
        <v>395.15768432617188</v>
      </c>
      <c r="O728" s="26">
        <f t="shared" si="1165"/>
        <v>24.297298937080321</v>
      </c>
      <c r="P728" s="26">
        <f>VLOOKUP($C728,COS!$B$8:$H$991,6,FALSE)</f>
        <v>2538.07568359375</v>
      </c>
      <c r="Q728" s="26">
        <f t="shared" si="1166"/>
        <v>156.06019079287191</v>
      </c>
      <c r="R728" s="26">
        <f>MIN(IF(MONTH($C728)=4,$S$3,IF(MONTH($C728)=5,$S$4,IF(MONTH($C728)=6,$S$5,IF(MONTH($C728)=7,$S$6,"ERROR")))),MAX(VLOOKUP($C728,COS!$B$8:$K$991,10,FALSE)-IF(MONTH($C728)=4,$Y$3,IF(MONTH($C728)=5,$Y$4,IF(MONTH($C728)=6,$Y$5,IF(MONTH($C728)=7,$Y$6,"ERROR")))),0),MAX(VLOOKUP($C728,COS!$B$8:$K$991,9,FALSE)-IF(MONTH($C728)=4,$V$3,IF(MONTH($C728)=5,$V$4,IF(MONTH($C728)=6,$V$5,IF(MONTH($C728)=7,$V$6,"ERROR"))))-VLOOKUP($C728,COS!$B$8:$K$991,6,FALSE)/2,0))</f>
        <v>1500</v>
      </c>
      <c r="S728" s="26">
        <f t="shared" si="1167"/>
        <v>92.231404958677686</v>
      </c>
      <c r="T728" s="26">
        <f t="shared" si="1168"/>
        <v>182.4101498236538</v>
      </c>
      <c r="U728" s="26" t="str">
        <f>IF(VLOOKUP($C728,COS!$B$8:$I$991,8,FALSE)=1,"UWFE","IBU")</f>
        <v>IBU</v>
      </c>
      <c r="V728" s="26">
        <f t="shared" ref="V728" si="1172">MIN(IF(IF($AA$3=2,AND(E728=1,G728=1,L728=1,L730=1,M728=1,U728="IBU"),AND(E728=1,G728=1,L728=1,L730=1,M728=1)),T728,0),I728)</f>
        <v>0</v>
      </c>
      <c r="W728" s="26"/>
      <c r="X728" s="26"/>
      <c r="Y728" s="26"/>
      <c r="Z728" s="26"/>
      <c r="AA728" s="26"/>
      <c r="AB728" s="33"/>
    </row>
    <row r="729" spans="1:28" x14ac:dyDescent="0.3">
      <c r="A729" s="32">
        <f>VLOOKUP(YEAR(C729),Flags!$A$13:$B$95,2,FALSE)</f>
        <v>4</v>
      </c>
      <c r="B729" s="24">
        <f t="shared" si="1157"/>
        <v>2001</v>
      </c>
      <c r="C729" s="25">
        <v>37134</v>
      </c>
      <c r="D729" s="26"/>
      <c r="E729" s="24"/>
      <c r="F729" s="26"/>
      <c r="G729" s="24"/>
      <c r="H729" s="24"/>
      <c r="I729" s="26"/>
      <c r="J729" s="24"/>
      <c r="K729" s="26"/>
      <c r="L729" s="24"/>
      <c r="M729" s="24"/>
      <c r="N729" s="26"/>
      <c r="O729" s="26"/>
      <c r="P729" s="26"/>
      <c r="Q729" s="26"/>
      <c r="R729" s="26"/>
      <c r="S729" s="26"/>
      <c r="T729" s="26"/>
      <c r="U729" s="26"/>
      <c r="V729" s="26"/>
      <c r="W729" s="26">
        <f>MAX($C$7-VLOOKUP($C729,COS!$B$8:$H$991,3,FALSE),0)</f>
        <v>4243.5517578125</v>
      </c>
      <c r="X729" s="26">
        <f t="shared" si="1086"/>
        <v>260.92582709194215</v>
      </c>
      <c r="Y729" s="26">
        <f>VLOOKUP($C729,COS!$B$8:$H$991,4,FALSE)</f>
        <v>2668.290283203125</v>
      </c>
      <c r="Z729" s="26">
        <f t="shared" si="1087"/>
        <v>164.06677443827479</v>
      </c>
      <c r="AA729" s="26">
        <f t="shared" ref="AA729:AA733" si="1173">MIN(W729,Y729)</f>
        <v>2668.290283203125</v>
      </c>
      <c r="AB729" s="33">
        <f t="shared" ref="AB729" si="1174">AA729*DAY($C729)*86400/43560/1000*IF(MONTH($C729)=8,$P$3,IF(MONTH($C729)=9,$P$4,IF(MONTH($C729)=10,$P$5,IF(MONTH($C729)=11,$P$6,IF(MONTH($C729)=12,$P$7,NA())))))</f>
        <v>164.06677443827479</v>
      </c>
    </row>
    <row r="730" spans="1:28" x14ac:dyDescent="0.3">
      <c r="A730" s="32">
        <f>VLOOKUP(YEAR(C730),Flags!$A$13:$B$95,2,FALSE)</f>
        <v>4</v>
      </c>
      <c r="B730" s="24">
        <f t="shared" si="1157"/>
        <v>2001</v>
      </c>
      <c r="C730" s="25">
        <v>37164</v>
      </c>
      <c r="D730" s="26"/>
      <c r="E730" s="24"/>
      <c r="F730" s="26"/>
      <c r="G730" s="24"/>
      <c r="H730" s="24"/>
      <c r="I730" s="26"/>
      <c r="J730" s="24"/>
      <c r="K730" s="26">
        <f>VLOOKUP($C730,COS!$B$8:$H$991,2,FALSE)</f>
        <v>2536.139892578125</v>
      </c>
      <c r="L730" s="24">
        <f t="shared" ref="L730" si="1175">IF(AND(K730&gt;$I$7,K730&lt;$I$8),1,0)</f>
        <v>1</v>
      </c>
      <c r="M730" s="24"/>
      <c r="N730" s="26"/>
      <c r="O730" s="26"/>
      <c r="P730" s="26"/>
      <c r="Q730" s="26"/>
      <c r="R730" s="26"/>
      <c r="S730" s="26"/>
      <c r="T730" s="26"/>
      <c r="U730" s="26"/>
      <c r="V730" s="26"/>
      <c r="W730" s="26">
        <f>MAX($C$8-VLOOKUP($C730,COS!$B$8:$H$991,3,FALSE),0)</f>
        <v>658.2197265625</v>
      </c>
      <c r="X730" s="26">
        <f t="shared" si="1086"/>
        <v>39.166793646694209</v>
      </c>
      <c r="Y730" s="26">
        <f>VLOOKUP($C730,COS!$B$8:$H$991,4,FALSE)</f>
        <v>1212.2628173828125</v>
      </c>
      <c r="Z730" s="26">
        <f t="shared" si="1087"/>
        <v>72.134646984762398</v>
      </c>
      <c r="AA730" s="26">
        <f t="shared" si="1173"/>
        <v>658.2197265625</v>
      </c>
      <c r="AB730" s="33">
        <f t="shared" si="1160"/>
        <v>39.166793646694209</v>
      </c>
    </row>
    <row r="731" spans="1:28" x14ac:dyDescent="0.3">
      <c r="A731" s="32">
        <f>VLOOKUP(YEAR(C731),Flags!$A$13:$B$95,2,FALSE)</f>
        <v>4</v>
      </c>
      <c r="B731" s="24">
        <f t="shared" si="1157"/>
        <v>2001</v>
      </c>
      <c r="C731" s="25">
        <v>37195</v>
      </c>
      <c r="D731" s="26"/>
      <c r="E731" s="24"/>
      <c r="F731" s="26"/>
      <c r="G731" s="26"/>
      <c r="H731" s="26"/>
      <c r="I731" s="26"/>
      <c r="J731" s="26"/>
      <c r="K731" s="26"/>
      <c r="L731" s="24"/>
      <c r="M731" s="24"/>
      <c r="N731" s="26"/>
      <c r="O731" s="26"/>
      <c r="P731" s="26"/>
      <c r="Q731" s="26"/>
      <c r="R731" s="26"/>
      <c r="S731" s="26"/>
      <c r="T731" s="26"/>
      <c r="U731" s="26"/>
      <c r="V731" s="26"/>
      <c r="W731" s="26">
        <f>MAX($C$9-VLOOKUP($C731,COS!$B$8:$H$991,3,FALSE),0)</f>
        <v>0</v>
      </c>
      <c r="X731" s="26">
        <f t="shared" si="1086"/>
        <v>0</v>
      </c>
      <c r="Y731" s="26">
        <f>VLOOKUP($C731,COS!$B$8:$H$991,4,FALSE)</f>
        <v>1937.2271728515625</v>
      </c>
      <c r="Z731" s="26">
        <f t="shared" si="1087"/>
        <v>119.11545591748451</v>
      </c>
      <c r="AA731" s="26">
        <f t="shared" si="1173"/>
        <v>0</v>
      </c>
      <c r="AB731" s="33">
        <f t="shared" si="1160"/>
        <v>0</v>
      </c>
    </row>
    <row r="732" spans="1:28" x14ac:dyDescent="0.3">
      <c r="A732" s="32">
        <f>VLOOKUP(YEAR(C732),Flags!$A$13:$B$95,2,FALSE)</f>
        <v>4</v>
      </c>
      <c r="B732" s="24">
        <f t="shared" si="1157"/>
        <v>2001</v>
      </c>
      <c r="C732" s="25">
        <v>37225</v>
      </c>
      <c r="D732" s="26"/>
      <c r="E732" s="24"/>
      <c r="F732" s="26"/>
      <c r="G732" s="26"/>
      <c r="H732" s="26"/>
      <c r="I732" s="26"/>
      <c r="J732" s="26"/>
      <c r="K732" s="26"/>
      <c r="L732" s="24"/>
      <c r="M732" s="24"/>
      <c r="N732" s="26"/>
      <c r="O732" s="26"/>
      <c r="P732" s="26"/>
      <c r="Q732" s="26"/>
      <c r="R732" s="26"/>
      <c r="S732" s="26"/>
      <c r="T732" s="26"/>
      <c r="U732" s="26"/>
      <c r="V732" s="26"/>
      <c r="W732" s="26">
        <f>MAX($C$10-VLOOKUP($C732,COS!$B$8:$H$991,3,FALSE),0)</f>
        <v>1750</v>
      </c>
      <c r="X732" s="26">
        <f t="shared" si="1086"/>
        <v>104.13223140495867</v>
      </c>
      <c r="Y732" s="26">
        <f>VLOOKUP($C732,COS!$B$8:$H$991,4,FALSE)</f>
        <v>1367.04638671875</v>
      </c>
      <c r="Z732" s="26">
        <f t="shared" si="1087"/>
        <v>81.344908961776866</v>
      </c>
      <c r="AA732" s="26">
        <f t="shared" si="1173"/>
        <v>1367.04638671875</v>
      </c>
      <c r="AB732" s="33">
        <f t="shared" si="1160"/>
        <v>81.344908961776866</v>
      </c>
    </row>
    <row r="733" spans="1:28" x14ac:dyDescent="0.3">
      <c r="A733" s="34">
        <f>VLOOKUP(YEAR(C733),Flags!$A$13:$B$95,2,FALSE)</f>
        <v>4</v>
      </c>
      <c r="B733" s="35">
        <f t="shared" si="1157"/>
        <v>2001</v>
      </c>
      <c r="C733" s="36">
        <v>37256</v>
      </c>
      <c r="D733" s="37"/>
      <c r="E733" s="35"/>
      <c r="F733" s="37"/>
      <c r="G733" s="37"/>
      <c r="H733" s="37"/>
      <c r="I733" s="37"/>
      <c r="J733" s="37"/>
      <c r="K733" s="37"/>
      <c r="L733" s="35"/>
      <c r="M733" s="35"/>
      <c r="N733" s="37"/>
      <c r="O733" s="37"/>
      <c r="P733" s="37"/>
      <c r="Q733" s="37"/>
      <c r="R733" s="37"/>
      <c r="S733" s="37"/>
      <c r="T733" s="37"/>
      <c r="U733" s="37"/>
      <c r="V733" s="37"/>
      <c r="W733" s="37">
        <f>MAX($C$11-VLOOKUP($C733,COS!$B$8:$H$991,3,FALSE),0)</f>
        <v>0</v>
      </c>
      <c r="X733" s="37">
        <f t="shared" si="1086"/>
        <v>0</v>
      </c>
      <c r="Y733" s="37">
        <f>VLOOKUP($C733,COS!$B$8:$H$991,4,FALSE)</f>
        <v>0</v>
      </c>
      <c r="Z733" s="37">
        <f t="shared" si="1087"/>
        <v>0</v>
      </c>
      <c r="AA733" s="37">
        <f t="shared" si="1173"/>
        <v>0</v>
      </c>
      <c r="AB733" s="38">
        <f t="shared" si="1160"/>
        <v>0</v>
      </c>
    </row>
    <row r="734" spans="1:28" x14ac:dyDescent="0.3">
      <c r="A734" s="27">
        <f>VLOOKUP(YEAR(C734),Flags!$A$13:$B$95,2,FALSE)</f>
        <v>4</v>
      </c>
      <c r="B734" s="28">
        <f t="shared" si="1157"/>
        <v>2002</v>
      </c>
      <c r="C734" s="29">
        <v>37376</v>
      </c>
      <c r="D734" s="30">
        <f>VLOOKUP($C734,COS!$B$8:$H$991,3,FALSE)</f>
        <v>3790.32568359375</v>
      </c>
      <c r="E734" s="28">
        <f>IF(D734&gt;=IF(MONTH($C734)=4,$C$3,IF(MONTH($C734)=5,$C$4,IF(MONTH($C734)=6,$C$5,IF(MONTH($C734)=7,$C$6,"ERROR")))),1,0)</f>
        <v>0</v>
      </c>
      <c r="F734" s="30">
        <f>VLOOKUP($C734,COS!$B$8:$H$991,7,FALSE)</f>
        <v>51.393619537353516</v>
      </c>
      <c r="G734" s="28">
        <f>IF(F734&lt;=IF(MONTH($C734)=4,$F$3,IF(MONTH($C734)=5,$F$4,IF(MONTH($C734)=6,$F$5,IF(MONTH($C734)=7,$F$6,"ERROR")))),1,0)</f>
        <v>1</v>
      </c>
      <c r="H734" s="30">
        <f>IF(J734=1,D734-$C$3,0)</f>
        <v>0</v>
      </c>
      <c r="I734" s="30">
        <f t="shared" si="1083"/>
        <v>0</v>
      </c>
      <c r="J734" s="28">
        <f t="shared" ref="J734:J737" si="1176">IF(AND(E734=1,G734=1),1,0)</f>
        <v>0</v>
      </c>
      <c r="K734" s="30">
        <f>VLOOKUP($C734,COS!$B$8:$H$991,2,FALSE)</f>
        <v>4552.10009765625</v>
      </c>
      <c r="L734" s="28">
        <f t="shared" ref="L734" si="1177">IF(K734&lt;=IF(MONTH($C734)=4,$I$3,IF(MONTH($C734)=5,$I$4,IF(MONTH($C734)=6,$I$5,IF(MONTH($C734)=7,$I$6,"ERROR")))),1,0)</f>
        <v>1</v>
      </c>
      <c r="M734" s="28">
        <f t="shared" ref="M734" si="1178">VLOOKUP($A734,$L$3:$M$7,2,FALSE)</f>
        <v>1</v>
      </c>
      <c r="N734" s="30">
        <f>VLOOKUP($C734,COS!$B$8:$H$991,5,FALSE)</f>
        <v>592.5997314453125</v>
      </c>
      <c r="O734" s="30">
        <f t="shared" ref="O734:O737" si="1179">N734*DAY($C734)*86400/43560/1000</f>
        <v>35.262132780216938</v>
      </c>
      <c r="P734" s="30">
        <f>VLOOKUP($C734,COS!$B$8:$H$991,6,FALSE)</f>
        <v>570.92694091796875</v>
      </c>
      <c r="Q734" s="30">
        <f t="shared" ref="Q734:Q737" si="1180">P734*DAY($C734)*86400/43560/1000</f>
        <v>33.972512186854338</v>
      </c>
      <c r="R734" s="30">
        <f>MIN(IF(MONTH($C734)=4,$S$3,IF(MONTH($C734)=5,$S$4,IF(MONTH($C734)=6,$S$5,IF(MONTH($C734)=7,$S$6,"ERROR")))),MAX(VLOOKUP($C734,COS!$B$8:$K$991,10,FALSE)-IF(MONTH($C734)=4,$Y$3,IF(MONTH($C734)=5,$Y$4,IF(MONTH($C734)=6,$Y$5,IF(MONTH($C734)=7,$Y$6,"ERROR")))),0),MAX(VLOOKUP($C734,COS!$B$8:$K$991,9,FALSE)-IF(MONTH($C734)=4,$V$3,IF(MONTH($C734)=5,$V$4,IF(MONTH($C734)=6,$V$5,IF(MONTH($C734)=7,$V$6,"ERROR"))))-VLOOKUP($C734,COS!$B$8:$K$991,6,FALSE)/2,0))</f>
        <v>1500</v>
      </c>
      <c r="S734" s="30">
        <f t="shared" ref="S734:S737" si="1181">R734*DAY($C734)*86400/43560/1000</f>
        <v>89.256198347107429</v>
      </c>
      <c r="T734" s="30">
        <f t="shared" ref="T734:T737" si="1182">(O734+Q734)/2+S734</f>
        <v>123.87352083064306</v>
      </c>
      <c r="U734" s="30" t="str">
        <f>IF(VLOOKUP($C734,COS!$B$8:$I$991,8,FALSE)=1,"UWFE","IBU")</f>
        <v>UWFE</v>
      </c>
      <c r="V734" s="30">
        <f t="shared" ref="V734" si="1183">MIN(IF(IF($AA$3=2,AND(E734=1,G734=1,L734=1,L739=1,M734=1,U734="IBU"),AND(E734=1,G734=1,L734=1,L739=1,M734=1)),T734,0),I734)</f>
        <v>0</v>
      </c>
      <c r="W734" s="30"/>
      <c r="X734" s="30"/>
      <c r="Y734" s="30"/>
      <c r="Z734" s="30"/>
      <c r="AA734" s="30"/>
      <c r="AB734" s="31"/>
    </row>
    <row r="735" spans="1:28" x14ac:dyDescent="0.3">
      <c r="A735" s="32">
        <f>VLOOKUP(YEAR(C735),Flags!$A$13:$B$95,2,FALSE)</f>
        <v>4</v>
      </c>
      <c r="B735" s="24">
        <f t="shared" si="1157"/>
        <v>2002</v>
      </c>
      <c r="C735" s="25">
        <v>37407</v>
      </c>
      <c r="D735" s="26">
        <f>VLOOKUP($C735,COS!$B$8:$H$991,3,FALSE)</f>
        <v>8129.60498046875</v>
      </c>
      <c r="E735" s="24">
        <f>IF(D735&gt;=IF(MONTH($C735)=4,$C$3,IF(MONTH($C735)=5,$C$4,IF(MONTH($C735)=6,$C$5,IF(MONTH($C735)=7,$C$6,"ERROR")))),1,0)</f>
        <v>1</v>
      </c>
      <c r="F735" s="26">
        <f>VLOOKUP($C735,COS!$B$8:$H$991,7,FALSE)</f>
        <v>50.423126220703125</v>
      </c>
      <c r="G735" s="24">
        <f>IF(F735&lt;=IF(MONTH($C735)=4,$F$3,IF(MONTH($C735)=5,$F$4,IF(MONTH($C735)=6,$F$5,IF(MONTH($C735)=7,$F$6,"ERROR")))),1,0)</f>
        <v>1</v>
      </c>
      <c r="H735" s="26">
        <f>IF(J735=1,D735-$C$4,0)</f>
        <v>2129.60498046875</v>
      </c>
      <c r="I735" s="26">
        <f t="shared" si="1083"/>
        <v>130.94430623708678</v>
      </c>
      <c r="J735" s="24">
        <f t="shared" si="1176"/>
        <v>1</v>
      </c>
      <c r="K735" s="26">
        <f>VLOOKUP($C735,COS!$B$8:$H$991,2,FALSE)</f>
        <v>4345.9794921875</v>
      </c>
      <c r="L735" s="24">
        <f t="shared" si="1148"/>
        <v>1</v>
      </c>
      <c r="M735" s="24">
        <f t="shared" si="1149"/>
        <v>1</v>
      </c>
      <c r="N735" s="26">
        <f>VLOOKUP($C735,COS!$B$8:$H$991,5,FALSE)</f>
        <v>512.00897216796875</v>
      </c>
      <c r="O735" s="26">
        <f t="shared" si="1179"/>
        <v>31.482204569666838</v>
      </c>
      <c r="P735" s="26">
        <f>VLOOKUP($C735,COS!$B$8:$H$991,6,FALSE)</f>
        <v>2032.4620361328125</v>
      </c>
      <c r="Q735" s="26">
        <f t="shared" si="1180"/>
        <v>124.97121941180268</v>
      </c>
      <c r="R735" s="26">
        <f>MIN(IF(MONTH($C735)=4,$S$3,IF(MONTH($C735)=5,$S$4,IF(MONTH($C735)=6,$S$5,IF(MONTH($C735)=7,$S$6,"ERROR")))),MAX(VLOOKUP($C735,COS!$B$8:$K$991,10,FALSE)-IF(MONTH($C735)=4,$Y$3,IF(MONTH($C735)=5,$Y$4,IF(MONTH($C735)=6,$Y$5,IF(MONTH($C735)=7,$Y$6,"ERROR")))),0),MAX(VLOOKUP($C735,COS!$B$8:$K$991,9,FALSE)-IF(MONTH($C735)=4,$V$3,IF(MONTH($C735)=5,$V$4,IF(MONTH($C735)=6,$V$5,IF(MONTH($C735)=7,$V$6,"ERROR"))))-VLOOKUP($C735,COS!$B$8:$K$991,6,FALSE)/2,0))</f>
        <v>1500</v>
      </c>
      <c r="S735" s="26">
        <f t="shared" si="1181"/>
        <v>92.231404958677686</v>
      </c>
      <c r="T735" s="26">
        <f t="shared" si="1182"/>
        <v>170.45811694941244</v>
      </c>
      <c r="U735" s="26" t="str">
        <f>IF(VLOOKUP($C735,COS!$B$8:$I$991,8,FALSE)=1,"UWFE","IBU")</f>
        <v>UWFE</v>
      </c>
      <c r="V735" s="26">
        <f t="shared" ref="V735" si="1184">MIN(IF(IF($AA$3=2,AND(E735=1,G735=1,L735=1,L739=1,M735=1,U735="IBU"),AND(E735=1,G735=1,L735=1,L739=1,M735=1)),T735,0),I735)</f>
        <v>0</v>
      </c>
      <c r="W735" s="26"/>
      <c r="X735" s="26"/>
      <c r="Y735" s="26"/>
      <c r="Z735" s="26"/>
      <c r="AA735" s="26"/>
      <c r="AB735" s="33"/>
    </row>
    <row r="736" spans="1:28" x14ac:dyDescent="0.3">
      <c r="A736" s="32">
        <f>VLOOKUP(YEAR(C736),Flags!$A$13:$B$95,2,FALSE)</f>
        <v>4</v>
      </c>
      <c r="B736" s="24">
        <f t="shared" si="1157"/>
        <v>2002</v>
      </c>
      <c r="C736" s="25">
        <v>37437</v>
      </c>
      <c r="D736" s="26">
        <f>VLOOKUP($C736,COS!$B$8:$H$991,3,FALSE)</f>
        <v>11090.05078125</v>
      </c>
      <c r="E736" s="24">
        <f>IF(D736&gt;=IF(MONTH($C736)=4,$C$3,IF(MONTH($C736)=5,$C$4,IF(MONTH($C736)=6,$C$5,IF(MONTH($C736)=7,$C$6,"ERROR")))),1,0)</f>
        <v>1</v>
      </c>
      <c r="F736" s="26">
        <f>VLOOKUP($C736,COS!$B$8:$H$991,7,FALSE)</f>
        <v>51.078281402587891</v>
      </c>
      <c r="G736" s="24">
        <f>IF(F736&lt;=IF(MONTH($C736)=4,$F$3,IF(MONTH($C736)=5,$F$4,IF(MONTH($C736)=6,$F$5,IF(MONTH($C736)=7,$F$6,"ERROR")))),1,0)</f>
        <v>1</v>
      </c>
      <c r="H736" s="26">
        <f>IF(J736=1,D736-$C$5,0)</f>
        <v>1090.05078125</v>
      </c>
      <c r="I736" s="26">
        <f t="shared" si="1083"/>
        <v>64.862525826446287</v>
      </c>
      <c r="J736" s="24">
        <f t="shared" si="1176"/>
        <v>1</v>
      </c>
      <c r="K736" s="26">
        <f>VLOOKUP($C736,COS!$B$8:$H$991,2,FALSE)</f>
        <v>3872.047119140625</v>
      </c>
      <c r="L736" s="24">
        <f t="shared" si="1148"/>
        <v>1</v>
      </c>
      <c r="M736" s="24">
        <f t="shared" si="1149"/>
        <v>1</v>
      </c>
      <c r="N736" s="26">
        <f>VLOOKUP($C736,COS!$B$8:$H$991,5,FALSE)</f>
        <v>765.88287353515625</v>
      </c>
      <c r="O736" s="26">
        <f t="shared" si="1179"/>
        <v>45.573195780604337</v>
      </c>
      <c r="P736" s="26">
        <f>VLOOKUP($C736,COS!$B$8:$H$991,6,FALSE)</f>
        <v>2710.3994140625</v>
      </c>
      <c r="Q736" s="26">
        <f t="shared" si="1180"/>
        <v>161.27996513429753</v>
      </c>
      <c r="R736" s="26">
        <f>MIN(IF(MONTH($C736)=4,$S$3,IF(MONTH($C736)=5,$S$4,IF(MONTH($C736)=6,$S$5,IF(MONTH($C736)=7,$S$6,"ERROR")))),MAX(VLOOKUP($C736,COS!$B$8:$K$991,10,FALSE)-IF(MONTH($C736)=4,$Y$3,IF(MONTH($C736)=5,$Y$4,IF(MONTH($C736)=6,$Y$5,IF(MONTH($C736)=7,$Y$6,"ERROR")))),0),MAX(VLOOKUP($C736,COS!$B$8:$K$991,9,FALSE)-IF(MONTH($C736)=4,$V$3,IF(MONTH($C736)=5,$V$4,IF(MONTH($C736)=6,$V$5,IF(MONTH($C736)=7,$V$6,"ERROR"))))-VLOOKUP($C736,COS!$B$8:$K$991,6,FALSE)/2,0))</f>
        <v>1500</v>
      </c>
      <c r="S736" s="26">
        <f t="shared" si="1181"/>
        <v>89.256198347107429</v>
      </c>
      <c r="T736" s="26">
        <f t="shared" si="1182"/>
        <v>192.68277880455838</v>
      </c>
      <c r="U736" s="26" t="str">
        <f>IF(VLOOKUP($C736,COS!$B$8:$I$991,8,FALSE)=1,"UWFE","IBU")</f>
        <v>IBU</v>
      </c>
      <c r="V736" s="26">
        <f t="shared" ref="V736" si="1185">MIN(IF(IF($AA$3=2,AND(E736=1,G736=1,L736=1,L739=1,M736=1,U736="IBU"),AND(E736=1,G736=1,L736=1,L739=1,M736=1)),T736,0),I736)</f>
        <v>64.862525826446287</v>
      </c>
      <c r="W736" s="26"/>
      <c r="X736" s="26"/>
      <c r="Y736" s="26"/>
      <c r="Z736" s="26"/>
      <c r="AA736" s="26"/>
      <c r="AB736" s="33"/>
    </row>
    <row r="737" spans="1:28" x14ac:dyDescent="0.3">
      <c r="A737" s="32">
        <f>VLOOKUP(YEAR(C737),Flags!$A$13:$B$95,2,FALSE)</f>
        <v>4</v>
      </c>
      <c r="B737" s="24">
        <f t="shared" si="1157"/>
        <v>2002</v>
      </c>
      <c r="C737" s="25">
        <v>37468</v>
      </c>
      <c r="D737" s="26">
        <f>VLOOKUP($C737,COS!$B$8:$H$991,3,FALSE)</f>
        <v>14797.642578125</v>
      </c>
      <c r="E737" s="24">
        <f>IF(D737&gt;=IF(MONTH($C737)=4,$C$3,IF(MONTH($C737)=5,$C$4,IF(MONTH($C737)=6,$C$5,IF(MONTH($C737)=7,$C$6,"ERROR")))),1,0)</f>
        <v>1</v>
      </c>
      <c r="F737" s="26">
        <f>VLOOKUP($C737,COS!$B$8:$H$991,7,FALSE)</f>
        <v>51.499664306640625</v>
      </c>
      <c r="G737" s="24">
        <f>IF(F737&lt;=IF(MONTH($C737)=4,$F$3,IF(MONTH($C737)=5,$F$4,IF(MONTH($C737)=6,$F$5,IF(MONTH($C737)=7,$F$6,"ERROR")))),1,0)</f>
        <v>1</v>
      </c>
      <c r="H737" s="26">
        <f>IF(J737=1,D737-$C$6,0)</f>
        <v>2797.642578125</v>
      </c>
      <c r="I737" s="26">
        <f t="shared" ref="I737" si="1186">H737*DAY($C737)*86400/43560/1000</f>
        <v>172.02033703512396</v>
      </c>
      <c r="J737" s="24">
        <f t="shared" si="1176"/>
        <v>1</v>
      </c>
      <c r="K737" s="26">
        <f>VLOOKUP($C737,COS!$B$8:$H$991,2,FALSE)</f>
        <v>3213.63134765625</v>
      </c>
      <c r="L737" s="24">
        <f t="shared" si="1148"/>
        <v>1</v>
      </c>
      <c r="M737" s="24">
        <f t="shared" si="1149"/>
        <v>1</v>
      </c>
      <c r="N737" s="26">
        <f>VLOOKUP($C737,COS!$B$8:$H$991,5,FALSE)</f>
        <v>838.20123291015625</v>
      </c>
      <c r="O737" s="26">
        <f t="shared" si="1179"/>
        <v>51.53898489959969</v>
      </c>
      <c r="P737" s="26">
        <f>VLOOKUP($C737,COS!$B$8:$H$991,6,FALSE)</f>
        <v>2538.07568359375</v>
      </c>
      <c r="Q737" s="26">
        <f t="shared" si="1180"/>
        <v>156.06019079287191</v>
      </c>
      <c r="R737" s="26">
        <f>MIN(IF(MONTH($C737)=4,$S$3,IF(MONTH($C737)=5,$S$4,IF(MONTH($C737)=6,$S$5,IF(MONTH($C737)=7,$S$6,"ERROR")))),MAX(VLOOKUP($C737,COS!$B$8:$K$991,10,FALSE)-IF(MONTH($C737)=4,$Y$3,IF(MONTH($C737)=5,$Y$4,IF(MONTH($C737)=6,$Y$5,IF(MONTH($C737)=7,$Y$6,"ERROR")))),0),MAX(VLOOKUP($C737,COS!$B$8:$K$991,9,FALSE)-IF(MONTH($C737)=4,$V$3,IF(MONTH($C737)=5,$V$4,IF(MONTH($C737)=6,$V$5,IF(MONTH($C737)=7,$V$6,"ERROR"))))-VLOOKUP($C737,COS!$B$8:$K$991,6,FALSE)/2,0))</f>
        <v>1500</v>
      </c>
      <c r="S737" s="26">
        <f t="shared" si="1181"/>
        <v>92.231404958677686</v>
      </c>
      <c r="T737" s="26">
        <f t="shared" si="1182"/>
        <v>196.03099280491347</v>
      </c>
      <c r="U737" s="26" t="str">
        <f>IF(VLOOKUP($C737,COS!$B$8:$I$991,8,FALSE)=1,"UWFE","IBU")</f>
        <v>IBU</v>
      </c>
      <c r="V737" s="26">
        <f t="shared" ref="V737" si="1187">MIN(IF(IF($AA$3=2,AND(E737=1,G737=1,L737=1,L739=1,M737=1,U737="IBU"),AND(E737=1,G737=1,L737=1,L739=1,M737=1)),T737,0),I737)</f>
        <v>172.02033703512396</v>
      </c>
      <c r="W737" s="26"/>
      <c r="X737" s="26"/>
      <c r="Y737" s="26"/>
      <c r="Z737" s="26"/>
      <c r="AA737" s="26"/>
      <c r="AB737" s="33"/>
    </row>
    <row r="738" spans="1:28" x14ac:dyDescent="0.3">
      <c r="A738" s="32">
        <f>VLOOKUP(YEAR(C738),Flags!$A$13:$B$95,2,FALSE)</f>
        <v>4</v>
      </c>
      <c r="B738" s="24">
        <f t="shared" si="1157"/>
        <v>2002</v>
      </c>
      <c r="C738" s="25">
        <v>37499</v>
      </c>
      <c r="D738" s="26"/>
      <c r="E738" s="24"/>
      <c r="F738" s="26"/>
      <c r="G738" s="24"/>
      <c r="H738" s="24"/>
      <c r="I738" s="26"/>
      <c r="J738" s="24"/>
      <c r="K738" s="26"/>
      <c r="L738" s="24"/>
      <c r="M738" s="24"/>
      <c r="N738" s="26"/>
      <c r="O738" s="26"/>
      <c r="P738" s="26"/>
      <c r="Q738" s="26"/>
      <c r="R738" s="26"/>
      <c r="S738" s="26"/>
      <c r="T738" s="26"/>
      <c r="U738" s="26"/>
      <c r="V738" s="26"/>
      <c r="W738" s="26">
        <f>MAX($C$7-VLOOKUP($C738,COS!$B$8:$H$991,3,FALSE),0)</f>
        <v>4012.7978515625</v>
      </c>
      <c r="X738" s="26">
        <f t="shared" si="1086"/>
        <v>246.73732244318182</v>
      </c>
      <c r="Y738" s="26">
        <f>VLOOKUP($C738,COS!$B$8:$H$991,4,FALSE)</f>
        <v>1265.3411865234375</v>
      </c>
      <c r="Z738" s="26">
        <f t="shared" si="1087"/>
        <v>77.80279692342458</v>
      </c>
      <c r="AA738" s="26">
        <f t="shared" ref="AA738:AA742" si="1188">MIN(W738,Y738)</f>
        <v>1265.3411865234375</v>
      </c>
      <c r="AB738" s="33">
        <f t="shared" ref="AB738" si="1189">AA738*DAY($C738)*86400/43560/1000*IF(MONTH($C738)=8,$P$3,IF(MONTH($C738)=9,$P$4,IF(MONTH($C738)=10,$P$5,IF(MONTH($C738)=11,$P$6,IF(MONTH($C738)=12,$P$7,NA())))))</f>
        <v>77.80279692342458</v>
      </c>
    </row>
    <row r="739" spans="1:28" x14ac:dyDescent="0.3">
      <c r="A739" s="32">
        <f>VLOOKUP(YEAR(C739),Flags!$A$13:$B$95,2,FALSE)</f>
        <v>4</v>
      </c>
      <c r="B739" s="24">
        <f t="shared" si="1157"/>
        <v>2002</v>
      </c>
      <c r="C739" s="25">
        <v>37529</v>
      </c>
      <c r="D739" s="26"/>
      <c r="E739" s="24"/>
      <c r="F739" s="26"/>
      <c r="G739" s="24"/>
      <c r="H739" s="24"/>
      <c r="I739" s="26"/>
      <c r="J739" s="24"/>
      <c r="K739" s="26">
        <f>VLOOKUP($C739,COS!$B$8:$H$991,2,FALSE)</f>
        <v>2964.52880859375</v>
      </c>
      <c r="L739" s="24">
        <f t="shared" ref="L739" si="1190">IF(AND(K739&gt;$I$7,K739&lt;$I$8),1,0)</f>
        <v>1</v>
      </c>
      <c r="M739" s="24"/>
      <c r="N739" s="26"/>
      <c r="O739" s="26"/>
      <c r="P739" s="26"/>
      <c r="Q739" s="26"/>
      <c r="R739" s="26"/>
      <c r="S739" s="26"/>
      <c r="T739" s="26"/>
      <c r="U739" s="26"/>
      <c r="V739" s="26"/>
      <c r="W739" s="26">
        <f>MAX($C$8-VLOOKUP($C739,COS!$B$8:$H$991,3,FALSE),0)</f>
        <v>1017.09326171875</v>
      </c>
      <c r="X739" s="26">
        <f t="shared" ref="X739:X742" si="1191">W739*DAY($C739)*86400/43560/1000</f>
        <v>60.521251936983468</v>
      </c>
      <c r="Y739" s="26">
        <f>VLOOKUP($C739,COS!$B$8:$H$991,4,FALSE)</f>
        <v>1150.0072021484375</v>
      </c>
      <c r="Z739" s="26">
        <f t="shared" ref="Z739:Z742" si="1192">Y739*DAY($C739)*86400/43560/1000</f>
        <v>68.430180623708665</v>
      </c>
      <c r="AA739" s="26">
        <f t="shared" si="1188"/>
        <v>1017.09326171875</v>
      </c>
      <c r="AB739" s="33">
        <f t="shared" si="1160"/>
        <v>60.521251936983468</v>
      </c>
    </row>
    <row r="740" spans="1:28" x14ac:dyDescent="0.3">
      <c r="A740" s="32">
        <f>VLOOKUP(YEAR(C740),Flags!$A$13:$B$95,2,FALSE)</f>
        <v>4</v>
      </c>
      <c r="B740" s="24">
        <f t="shared" si="1157"/>
        <v>2002</v>
      </c>
      <c r="C740" s="25">
        <v>37560</v>
      </c>
      <c r="D740" s="26"/>
      <c r="E740" s="24"/>
      <c r="F740" s="26"/>
      <c r="G740" s="26"/>
      <c r="H740" s="26"/>
      <c r="I740" s="26"/>
      <c r="J740" s="26"/>
      <c r="K740" s="26"/>
      <c r="L740" s="24"/>
      <c r="M740" s="24"/>
      <c r="N740" s="26"/>
      <c r="O740" s="26"/>
      <c r="P740" s="26"/>
      <c r="Q740" s="26"/>
      <c r="R740" s="26"/>
      <c r="S740" s="26"/>
      <c r="T740" s="26"/>
      <c r="U740" s="26"/>
      <c r="V740" s="26"/>
      <c r="W740" s="26">
        <f>MAX($C$9-VLOOKUP($C740,COS!$B$8:$H$991,3,FALSE),0)</f>
        <v>0</v>
      </c>
      <c r="X740" s="26">
        <f t="shared" si="1191"/>
        <v>0</v>
      </c>
      <c r="Y740" s="26">
        <f>VLOOKUP($C740,COS!$B$8:$H$991,4,FALSE)</f>
        <v>1966.750244140625</v>
      </c>
      <c r="Z740" s="26">
        <f t="shared" si="1192"/>
        <v>120.93075881327479</v>
      </c>
      <c r="AA740" s="26">
        <f t="shared" si="1188"/>
        <v>0</v>
      </c>
      <c r="AB740" s="33">
        <f t="shared" si="1160"/>
        <v>0</v>
      </c>
    </row>
    <row r="741" spans="1:28" x14ac:dyDescent="0.3">
      <c r="A741" s="32">
        <f>VLOOKUP(YEAR(C741),Flags!$A$13:$B$95,2,FALSE)</f>
        <v>4</v>
      </c>
      <c r="B741" s="24">
        <f t="shared" si="1157"/>
        <v>2002</v>
      </c>
      <c r="C741" s="25">
        <v>37590</v>
      </c>
      <c r="D741" s="26"/>
      <c r="E741" s="24"/>
      <c r="F741" s="26"/>
      <c r="G741" s="26"/>
      <c r="H741" s="26"/>
      <c r="I741" s="26"/>
      <c r="J741" s="26"/>
      <c r="K741" s="26"/>
      <c r="L741" s="24"/>
      <c r="M741" s="24"/>
      <c r="N741" s="26"/>
      <c r="O741" s="26"/>
      <c r="P741" s="26"/>
      <c r="Q741" s="26"/>
      <c r="R741" s="26"/>
      <c r="S741" s="26"/>
      <c r="T741" s="26"/>
      <c r="U741" s="26"/>
      <c r="V741" s="26"/>
      <c r="W741" s="26">
        <f>MAX($C$10-VLOOKUP($C741,COS!$B$8:$H$991,3,FALSE),0)</f>
        <v>0</v>
      </c>
      <c r="X741" s="26">
        <f t="shared" si="1191"/>
        <v>0</v>
      </c>
      <c r="Y741" s="26">
        <f>VLOOKUP($C741,COS!$B$8:$H$991,4,FALSE)</f>
        <v>797.55865478515625</v>
      </c>
      <c r="Z741" s="26">
        <f t="shared" si="1192"/>
        <v>47.458035656637392</v>
      </c>
      <c r="AA741" s="26">
        <f t="shared" si="1188"/>
        <v>0</v>
      </c>
      <c r="AB741" s="33">
        <f t="shared" si="1160"/>
        <v>0</v>
      </c>
    </row>
    <row r="742" spans="1:28" x14ac:dyDescent="0.3">
      <c r="A742" s="34">
        <f>VLOOKUP(YEAR(C742),Flags!$A$13:$B$95,2,FALSE)</f>
        <v>4</v>
      </c>
      <c r="B742" s="35">
        <f t="shared" si="1157"/>
        <v>2002</v>
      </c>
      <c r="C742" s="36">
        <v>37621</v>
      </c>
      <c r="D742" s="37"/>
      <c r="E742" s="35"/>
      <c r="F742" s="37"/>
      <c r="G742" s="37"/>
      <c r="H742" s="37"/>
      <c r="I742" s="37"/>
      <c r="J742" s="37"/>
      <c r="K742" s="37"/>
      <c r="L742" s="35"/>
      <c r="M742" s="35"/>
      <c r="N742" s="37"/>
      <c r="O742" s="37"/>
      <c r="P742" s="37"/>
      <c r="Q742" s="37"/>
      <c r="R742" s="37"/>
      <c r="S742" s="37"/>
      <c r="T742" s="37"/>
      <c r="U742" s="37"/>
      <c r="V742" s="37"/>
      <c r="W742" s="37">
        <f>MAX($C$11-VLOOKUP($C742,COS!$B$8:$H$991,3,FALSE),0)</f>
        <v>0</v>
      </c>
      <c r="X742" s="37">
        <f t="shared" si="1191"/>
        <v>0</v>
      </c>
      <c r="Y742" s="37">
        <f>VLOOKUP($C742,COS!$B$8:$H$991,4,FALSE)</f>
        <v>0</v>
      </c>
      <c r="Z742" s="37">
        <f t="shared" si="1192"/>
        <v>0</v>
      </c>
      <c r="AA742" s="37">
        <f t="shared" si="1188"/>
        <v>0</v>
      </c>
      <c r="AB742" s="38">
        <f t="shared" si="1160"/>
        <v>0</v>
      </c>
    </row>
  </sheetData>
  <mergeCells count="20">
    <mergeCell ref="W12:X12"/>
    <mergeCell ref="Y12:Z12"/>
    <mergeCell ref="AA12:AB12"/>
    <mergeCell ref="AN14:AO14"/>
    <mergeCell ref="R2:S2"/>
    <mergeCell ref="U2:V2"/>
    <mergeCell ref="X2:Y2"/>
    <mergeCell ref="P12:Q12"/>
    <mergeCell ref="R12:S12"/>
    <mergeCell ref="A2:A11"/>
    <mergeCell ref="B2:C2"/>
    <mergeCell ref="E2:F2"/>
    <mergeCell ref="H2:I2"/>
    <mergeCell ref="K2:M2"/>
    <mergeCell ref="O2:P2"/>
    <mergeCell ref="D12:E12"/>
    <mergeCell ref="F12:G12"/>
    <mergeCell ref="H12:J12"/>
    <mergeCell ref="K12:L12"/>
    <mergeCell ref="N12:O1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Option Button 1">
              <controlPr defaultSize="0" autoFill="0" autoLine="0" autoPict="0">
                <anchor moveWithCells="1">
                  <from>
                    <xdr:col>25</xdr:col>
                    <xdr:colOff>792480</xdr:colOff>
                    <xdr:row>1</xdr:row>
                    <xdr:rowOff>175260</xdr:rowOff>
                  </from>
                  <to>
                    <xdr:col>26</xdr:col>
                    <xdr:colOff>868680</xdr:colOff>
                    <xdr:row>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5" name="Option Button 2">
              <controlPr defaultSize="0" autoFill="0" autoLine="0" autoPict="0">
                <anchor moveWithCells="1">
                  <from>
                    <xdr:col>25</xdr:col>
                    <xdr:colOff>800100</xdr:colOff>
                    <xdr:row>2</xdr:row>
                    <xdr:rowOff>175260</xdr:rowOff>
                  </from>
                  <to>
                    <xdr:col>26</xdr:col>
                    <xdr:colOff>876300</xdr:colOff>
                    <xdr:row>4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181A9-8875-49EB-8907-75732D11ED5C}">
  <sheetPr>
    <tabColor theme="4"/>
  </sheetPr>
  <dimension ref="A1:N991"/>
  <sheetViews>
    <sheetView workbookViewId="0">
      <selection activeCell="I16" sqref="I16"/>
    </sheetView>
  </sheetViews>
  <sheetFormatPr defaultRowHeight="14.4" x14ac:dyDescent="0.3"/>
  <cols>
    <col min="1" max="1" width="10" bestFit="1" customWidth="1"/>
    <col min="2" max="2" width="11" bestFit="1" customWidth="1"/>
    <col min="3" max="3" width="12" bestFit="1" customWidth="1"/>
    <col min="5" max="5" width="18.109375" bestFit="1" customWidth="1"/>
    <col min="9" max="9" width="12" style="6" bestFit="1" customWidth="1"/>
    <col min="10" max="11" width="12" bestFit="1" customWidth="1"/>
  </cols>
  <sheetData>
    <row r="1" spans="1:14" x14ac:dyDescent="0.3">
      <c r="A1" s="5" t="s">
        <v>3</v>
      </c>
      <c r="B1" s="5" t="s">
        <v>4</v>
      </c>
      <c r="C1" s="5" t="s">
        <v>5</v>
      </c>
      <c r="D1" s="5" t="s">
        <v>5</v>
      </c>
      <c r="E1" s="5" t="s">
        <v>5</v>
      </c>
      <c r="F1" s="5" t="s">
        <v>5</v>
      </c>
      <c r="G1" s="5" t="s">
        <v>5</v>
      </c>
      <c r="H1" s="5" t="s">
        <v>53</v>
      </c>
      <c r="I1" s="96" t="s">
        <v>5</v>
      </c>
      <c r="J1" s="5" t="s">
        <v>5</v>
      </c>
      <c r="K1" s="5" t="s">
        <v>5</v>
      </c>
      <c r="N1" t="s">
        <v>171</v>
      </c>
    </row>
    <row r="2" spans="1:14" x14ac:dyDescent="0.3">
      <c r="A2" s="5" t="s">
        <v>6</v>
      </c>
      <c r="B2" s="5" t="s">
        <v>4</v>
      </c>
      <c r="C2" s="5" t="s">
        <v>7</v>
      </c>
      <c r="D2" s="5" t="s">
        <v>8</v>
      </c>
      <c r="E2" s="5" t="s">
        <v>9</v>
      </c>
      <c r="F2" s="5" t="s">
        <v>50</v>
      </c>
      <c r="G2" s="5" t="s">
        <v>51</v>
      </c>
      <c r="H2" s="5" t="s">
        <v>54</v>
      </c>
      <c r="I2" s="96" t="s">
        <v>123</v>
      </c>
      <c r="J2" s="5" t="s">
        <v>127</v>
      </c>
      <c r="K2" s="5" t="s">
        <v>128</v>
      </c>
    </row>
    <row r="3" spans="1:14" x14ac:dyDescent="0.3">
      <c r="A3" s="5" t="s">
        <v>10</v>
      </c>
      <c r="B3" s="5" t="s">
        <v>4</v>
      </c>
      <c r="C3" s="5" t="s">
        <v>11</v>
      </c>
      <c r="D3" s="5" t="s">
        <v>12</v>
      </c>
      <c r="E3" s="5" t="s">
        <v>13</v>
      </c>
      <c r="F3" s="5" t="s">
        <v>52</v>
      </c>
      <c r="G3" s="5" t="s">
        <v>52</v>
      </c>
      <c r="H3" s="5" t="s">
        <v>55</v>
      </c>
      <c r="I3" s="96" t="s">
        <v>124</v>
      </c>
      <c r="J3" s="5" t="s">
        <v>12</v>
      </c>
      <c r="K3" s="5" t="s">
        <v>12</v>
      </c>
    </row>
    <row r="4" spans="1:14" x14ac:dyDescent="0.3">
      <c r="A4" s="5" t="s">
        <v>14</v>
      </c>
      <c r="B4" s="5" t="s">
        <v>4</v>
      </c>
      <c r="C4" s="5" t="s">
        <v>4</v>
      </c>
      <c r="D4" s="5" t="s">
        <v>4</v>
      </c>
      <c r="E4" s="5" t="s">
        <v>4</v>
      </c>
      <c r="F4" s="5" t="s">
        <v>4</v>
      </c>
      <c r="G4" s="5" t="s">
        <v>4</v>
      </c>
      <c r="H4" s="5" t="s">
        <v>4</v>
      </c>
      <c r="I4" s="96" t="s">
        <v>4</v>
      </c>
      <c r="J4" s="5" t="s">
        <v>4</v>
      </c>
      <c r="K4" s="5" t="s">
        <v>4</v>
      </c>
    </row>
    <row r="5" spans="1:14" x14ac:dyDescent="0.3">
      <c r="A5" s="5" t="s">
        <v>15</v>
      </c>
      <c r="B5" s="5" t="s">
        <v>4</v>
      </c>
      <c r="C5" s="5" t="s">
        <v>16</v>
      </c>
      <c r="D5" s="5" t="s">
        <v>16</v>
      </c>
      <c r="E5" s="5" t="s">
        <v>16</v>
      </c>
      <c r="F5" s="5" t="s">
        <v>16</v>
      </c>
      <c r="G5" s="5" t="s">
        <v>16</v>
      </c>
      <c r="H5" s="5" t="s">
        <v>56</v>
      </c>
      <c r="I5" s="96" t="s">
        <v>16</v>
      </c>
      <c r="J5" s="5" t="s">
        <v>16</v>
      </c>
      <c r="K5" s="5" t="s">
        <v>16</v>
      </c>
    </row>
    <row r="6" spans="1:14" x14ac:dyDescent="0.3">
      <c r="A6" s="5" t="s">
        <v>17</v>
      </c>
      <c r="B6" s="5" t="s">
        <v>4</v>
      </c>
      <c r="C6" s="5" t="s">
        <v>2</v>
      </c>
      <c r="D6" s="5" t="s">
        <v>18</v>
      </c>
      <c r="E6" s="5" t="s">
        <v>18</v>
      </c>
      <c r="F6" s="5" t="s">
        <v>18</v>
      </c>
      <c r="G6" s="5" t="s">
        <v>18</v>
      </c>
      <c r="H6" s="5" t="s">
        <v>57</v>
      </c>
      <c r="I6" s="96" t="s">
        <v>125</v>
      </c>
      <c r="J6" s="5" t="s">
        <v>18</v>
      </c>
      <c r="K6" s="5" t="s">
        <v>18</v>
      </c>
    </row>
    <row r="7" spans="1:14" x14ac:dyDescent="0.3">
      <c r="A7" s="5" t="s">
        <v>19</v>
      </c>
      <c r="B7" s="5" t="s">
        <v>4</v>
      </c>
      <c r="C7" s="5" t="s">
        <v>20</v>
      </c>
      <c r="D7" s="5" t="s">
        <v>20</v>
      </c>
      <c r="E7" s="5" t="s">
        <v>20</v>
      </c>
      <c r="F7" s="5" t="s">
        <v>20</v>
      </c>
      <c r="G7" s="5" t="s">
        <v>20</v>
      </c>
      <c r="H7" s="5" t="s">
        <v>20</v>
      </c>
      <c r="I7" s="96" t="s">
        <v>20</v>
      </c>
      <c r="J7" s="5" t="s">
        <v>20</v>
      </c>
      <c r="K7" s="5" t="s">
        <v>20</v>
      </c>
    </row>
    <row r="8" spans="1:14" x14ac:dyDescent="0.3">
      <c r="A8" s="6">
        <v>1</v>
      </c>
      <c r="B8" s="7">
        <v>7975</v>
      </c>
      <c r="C8" s="8">
        <v>2510.80322265625</v>
      </c>
      <c r="D8" s="6">
        <v>10149.1611328125</v>
      </c>
      <c r="E8" s="8">
        <v>639.0599365234375</v>
      </c>
      <c r="F8" s="8">
        <v>104.40042114257813</v>
      </c>
      <c r="G8" s="8">
        <v>812.36138916015625</v>
      </c>
      <c r="H8" t="e">
        <f>NA()</f>
        <v>#N/A</v>
      </c>
      <c r="I8" s="6">
        <v>0</v>
      </c>
      <c r="J8" s="6">
        <v>10436.7646484375</v>
      </c>
      <c r="K8" s="6">
        <v>9834.5634765625</v>
      </c>
    </row>
    <row r="9" spans="1:14" x14ac:dyDescent="0.3">
      <c r="A9" s="6">
        <v>2</v>
      </c>
      <c r="B9" s="7">
        <v>8005</v>
      </c>
      <c r="C9" s="8">
        <v>2500</v>
      </c>
      <c r="D9" s="6">
        <v>7232.81640625</v>
      </c>
      <c r="E9" s="8">
        <v>892.16845703125</v>
      </c>
      <c r="F9" s="8">
        <v>0</v>
      </c>
      <c r="G9" s="8">
        <v>512.1280517578125</v>
      </c>
      <c r="H9" t="e">
        <f>NA()</f>
        <v>#N/A</v>
      </c>
      <c r="I9" s="6">
        <v>1</v>
      </c>
      <c r="J9" s="6">
        <v>8173.1572265625</v>
      </c>
      <c r="K9" s="6">
        <v>7946.00927734375</v>
      </c>
    </row>
    <row r="10" spans="1:14" x14ac:dyDescent="0.3">
      <c r="A10" s="6">
        <v>3</v>
      </c>
      <c r="B10" s="7">
        <v>8036</v>
      </c>
      <c r="C10" s="8">
        <v>2706.362060546875</v>
      </c>
      <c r="D10" s="6">
        <v>3250</v>
      </c>
      <c r="E10" s="8">
        <v>0</v>
      </c>
      <c r="F10" s="8">
        <v>0</v>
      </c>
      <c r="G10" s="8">
        <v>157.75537109375</v>
      </c>
      <c r="H10" t="e">
        <f>NA()</f>
        <v>#N/A</v>
      </c>
      <c r="I10" s="6">
        <v>1</v>
      </c>
      <c r="J10" s="6">
        <v>6796.3564453125</v>
      </c>
      <c r="K10" s="6">
        <v>7936.6416015625</v>
      </c>
    </row>
    <row r="11" spans="1:14" x14ac:dyDescent="0.3">
      <c r="A11" s="6">
        <v>4</v>
      </c>
      <c r="B11" s="7">
        <v>8067</v>
      </c>
      <c r="C11" s="8">
        <v>2875.6865234375</v>
      </c>
      <c r="D11" s="6">
        <v>3250</v>
      </c>
      <c r="E11" s="8">
        <v>0</v>
      </c>
      <c r="F11" s="8">
        <v>0</v>
      </c>
      <c r="G11" s="8">
        <v>86.196235656738281</v>
      </c>
      <c r="H11" s="18">
        <v>53.547344207763672</v>
      </c>
      <c r="I11" s="6">
        <v>1</v>
      </c>
      <c r="J11" s="6">
        <v>4944.41259765625</v>
      </c>
      <c r="K11" s="6">
        <v>6334.18017578125</v>
      </c>
    </row>
    <row r="12" spans="1:14" x14ac:dyDescent="0.3">
      <c r="A12" s="6">
        <v>5</v>
      </c>
      <c r="B12" s="7">
        <v>8095</v>
      </c>
      <c r="C12" s="8">
        <v>3413.356201171875</v>
      </c>
      <c r="D12" s="6">
        <v>3250</v>
      </c>
      <c r="E12" s="8">
        <v>0</v>
      </c>
      <c r="F12" s="8">
        <v>0</v>
      </c>
      <c r="G12" s="8">
        <v>70.504661560058594</v>
      </c>
      <c r="H12" s="18">
        <v>51.897029876708984</v>
      </c>
      <c r="I12" s="6">
        <v>1</v>
      </c>
      <c r="J12" s="6">
        <v>9624.494140625</v>
      </c>
      <c r="K12" s="6">
        <v>11663.833984375</v>
      </c>
    </row>
    <row r="13" spans="1:14" x14ac:dyDescent="0.3">
      <c r="A13" s="6">
        <v>6</v>
      </c>
      <c r="B13" s="7">
        <v>8126</v>
      </c>
      <c r="C13" s="8">
        <v>3959.014892578125</v>
      </c>
      <c r="D13" s="6">
        <v>3250</v>
      </c>
      <c r="E13" s="8">
        <v>0</v>
      </c>
      <c r="F13" s="8">
        <v>8.133723258972168</v>
      </c>
      <c r="G13" s="8">
        <v>35.394004821777344</v>
      </c>
      <c r="H13" s="18">
        <v>52.219688415527344</v>
      </c>
      <c r="I13" s="6">
        <v>1</v>
      </c>
      <c r="J13" s="6">
        <v>5612.6435546875</v>
      </c>
      <c r="K13" s="6">
        <v>7094.60498046875</v>
      </c>
    </row>
    <row r="14" spans="1:14" x14ac:dyDescent="0.3">
      <c r="A14" s="6">
        <v>7</v>
      </c>
      <c r="B14" s="7">
        <v>8156</v>
      </c>
      <c r="C14" s="8">
        <v>4552</v>
      </c>
      <c r="D14" s="6">
        <v>4490.92138671875</v>
      </c>
      <c r="E14" s="8">
        <v>0</v>
      </c>
      <c r="F14" s="8">
        <v>373.61062622070313</v>
      </c>
      <c r="G14" s="8">
        <v>533.257080078125</v>
      </c>
      <c r="H14" s="18">
        <v>53.804779052734375</v>
      </c>
      <c r="I14" s="6">
        <v>1</v>
      </c>
      <c r="J14" s="6">
        <v>6117.2119140625</v>
      </c>
      <c r="K14" s="6">
        <v>7804.76318359375</v>
      </c>
    </row>
    <row r="15" spans="1:14" x14ac:dyDescent="0.3">
      <c r="A15" s="6">
        <v>8</v>
      </c>
      <c r="B15" s="7">
        <v>8187</v>
      </c>
      <c r="C15" s="8">
        <v>4552</v>
      </c>
      <c r="D15" s="6">
        <v>11232.6396484375</v>
      </c>
      <c r="E15" s="8">
        <v>0</v>
      </c>
      <c r="F15" s="8">
        <v>868.27056884765625</v>
      </c>
      <c r="G15" s="8">
        <v>2241.916259765625</v>
      </c>
      <c r="H15" s="18">
        <v>55.40838623046875</v>
      </c>
      <c r="I15" s="6">
        <v>1</v>
      </c>
      <c r="J15" s="6">
        <v>11471.2900390625</v>
      </c>
      <c r="K15" s="6">
        <v>11807.5693359375</v>
      </c>
    </row>
    <row r="16" spans="1:14" x14ac:dyDescent="0.3">
      <c r="A16" s="6">
        <v>9</v>
      </c>
      <c r="B16" s="7">
        <v>8217</v>
      </c>
      <c r="C16" s="8">
        <v>4241.47265625</v>
      </c>
      <c r="D16" s="6">
        <v>10909.794921875</v>
      </c>
      <c r="E16" s="8">
        <v>0</v>
      </c>
      <c r="F16" s="8">
        <v>1108.1929931640625</v>
      </c>
      <c r="G16" s="8">
        <v>2347.418701171875</v>
      </c>
      <c r="H16" s="18">
        <v>53.329750061035156</v>
      </c>
      <c r="I16" s="6">
        <v>1</v>
      </c>
      <c r="J16" s="6">
        <v>9855.1767578125</v>
      </c>
      <c r="K16" s="6">
        <v>8708.609375</v>
      </c>
    </row>
    <row r="17" spans="1:11" x14ac:dyDescent="0.3">
      <c r="A17" s="6">
        <v>10</v>
      </c>
      <c r="B17" s="7">
        <v>8248</v>
      </c>
      <c r="C17" s="8">
        <v>3788.69091796875</v>
      </c>
      <c r="D17" s="6">
        <v>12170.349609375</v>
      </c>
      <c r="E17" s="8">
        <v>717.851806640625</v>
      </c>
      <c r="F17" s="8">
        <v>1209.6676025390625</v>
      </c>
      <c r="G17" s="8">
        <v>2562.892822265625</v>
      </c>
      <c r="H17" s="18">
        <v>54.132045745849609</v>
      </c>
      <c r="I17" s="6">
        <v>0</v>
      </c>
      <c r="J17" s="6">
        <v>10612.4541015625</v>
      </c>
      <c r="K17" s="6">
        <v>8222.19921875</v>
      </c>
    </row>
    <row r="18" spans="1:11" x14ac:dyDescent="0.3">
      <c r="A18" s="6">
        <v>11</v>
      </c>
      <c r="B18" s="7">
        <v>8279</v>
      </c>
      <c r="C18" s="8">
        <v>3418.402587890625</v>
      </c>
      <c r="D18" s="6">
        <v>10761.8525390625</v>
      </c>
      <c r="E18" s="8">
        <v>0</v>
      </c>
      <c r="F18" s="8">
        <v>962.80328369140625</v>
      </c>
      <c r="G18" s="8">
        <v>1955.062255859375</v>
      </c>
      <c r="H18" s="18">
        <v>54.306781768798828</v>
      </c>
      <c r="I18" s="6">
        <v>0</v>
      </c>
      <c r="J18" s="6">
        <v>9547.5703125</v>
      </c>
      <c r="K18" s="6">
        <v>7629.64208984375</v>
      </c>
    </row>
    <row r="19" spans="1:11" x14ac:dyDescent="0.3">
      <c r="A19" s="6">
        <v>12</v>
      </c>
      <c r="B19" s="7">
        <v>8309</v>
      </c>
      <c r="C19" s="8">
        <v>2693.51513671875</v>
      </c>
      <c r="D19" s="6">
        <v>17080.74609375</v>
      </c>
      <c r="E19" s="8">
        <v>136.41513061523438</v>
      </c>
      <c r="F19" s="8">
        <v>248.09788513183594</v>
      </c>
      <c r="G19" s="8">
        <v>541.48492431640625</v>
      </c>
      <c r="H19" s="18">
        <v>54.249858856201172</v>
      </c>
      <c r="I19" s="6">
        <v>0</v>
      </c>
      <c r="J19" s="6">
        <v>16651.080078125</v>
      </c>
      <c r="K19" s="6">
        <v>16177.1708984375</v>
      </c>
    </row>
    <row r="20" spans="1:11" x14ac:dyDescent="0.3">
      <c r="A20" s="6">
        <v>13</v>
      </c>
      <c r="B20" s="7">
        <v>8340</v>
      </c>
      <c r="C20" s="8">
        <v>2704.54052734375</v>
      </c>
      <c r="D20" s="6">
        <v>4593.8291015625</v>
      </c>
      <c r="E20" s="8">
        <v>940.9134521484375</v>
      </c>
      <c r="F20" s="8">
        <v>71.37744140625</v>
      </c>
      <c r="G20" s="8">
        <v>762.51434326171875</v>
      </c>
      <c r="H20" s="18">
        <v>55.953449249267578</v>
      </c>
      <c r="I20" s="6">
        <v>0</v>
      </c>
      <c r="J20" s="6">
        <v>5346.61962890625</v>
      </c>
      <c r="K20" s="6">
        <v>4866.65771484375</v>
      </c>
    </row>
    <row r="21" spans="1:11" x14ac:dyDescent="0.3">
      <c r="A21" s="6">
        <v>14</v>
      </c>
      <c r="B21" s="7">
        <v>8370</v>
      </c>
      <c r="C21" s="8">
        <v>2553.844970703125</v>
      </c>
      <c r="D21" s="6">
        <v>7987.0771484375</v>
      </c>
      <c r="E21" s="8">
        <v>1104.9873046875</v>
      </c>
      <c r="F21" s="8">
        <v>0</v>
      </c>
      <c r="G21" s="8">
        <v>346.1944580078125</v>
      </c>
      <c r="H21" s="18">
        <v>55.815227508544922</v>
      </c>
      <c r="I21" s="6">
        <v>1</v>
      </c>
      <c r="J21" s="6">
        <v>9257.9287109375</v>
      </c>
      <c r="K21" s="6">
        <v>9431.17578125</v>
      </c>
    </row>
    <row r="22" spans="1:11" x14ac:dyDescent="0.3">
      <c r="A22" s="6">
        <v>15</v>
      </c>
      <c r="B22" s="7">
        <v>8401</v>
      </c>
      <c r="C22" s="8">
        <v>2772.09912109375</v>
      </c>
      <c r="D22" s="6">
        <v>3250</v>
      </c>
      <c r="E22" s="8">
        <v>0</v>
      </c>
      <c r="F22" s="8">
        <v>0</v>
      </c>
      <c r="G22" s="8">
        <v>157.75537109375</v>
      </c>
      <c r="H22" s="18">
        <v>52.692928314208984</v>
      </c>
      <c r="I22" s="6">
        <v>1</v>
      </c>
      <c r="J22" s="6">
        <v>8204.8603515625</v>
      </c>
      <c r="K22" s="6">
        <v>10316.9580078125</v>
      </c>
    </row>
    <row r="23" spans="1:11" x14ac:dyDescent="0.3">
      <c r="A23" s="6">
        <v>16</v>
      </c>
      <c r="B23" s="7">
        <v>8432</v>
      </c>
      <c r="C23" s="8">
        <v>3033.91357421875</v>
      </c>
      <c r="D23" s="6">
        <v>3250</v>
      </c>
      <c r="E23" s="8">
        <v>0</v>
      </c>
      <c r="F23" s="8">
        <v>0</v>
      </c>
      <c r="G23" s="8">
        <v>74.81182861328125</v>
      </c>
      <c r="H23" s="18">
        <v>48.831916809082031</v>
      </c>
      <c r="I23" s="6">
        <v>1</v>
      </c>
      <c r="J23" s="6">
        <v>7571.59521484375</v>
      </c>
      <c r="K23" s="6">
        <v>9320.7998046875</v>
      </c>
    </row>
    <row r="24" spans="1:11" x14ac:dyDescent="0.3">
      <c r="A24" s="6">
        <v>17</v>
      </c>
      <c r="B24" s="7">
        <v>8460</v>
      </c>
      <c r="C24" s="8">
        <v>3193.66845703125</v>
      </c>
      <c r="D24" s="6">
        <v>3250</v>
      </c>
      <c r="E24" s="8">
        <v>783.35821533203125</v>
      </c>
      <c r="F24" s="8">
        <v>0</v>
      </c>
      <c r="G24" s="8">
        <v>68.422615051269531</v>
      </c>
      <c r="H24" s="18">
        <v>48.72406005859375</v>
      </c>
      <c r="I24" s="6">
        <v>1</v>
      </c>
      <c r="J24" s="6">
        <v>5255.8701171875</v>
      </c>
      <c r="K24" s="6">
        <v>5964.083984375</v>
      </c>
    </row>
    <row r="25" spans="1:11" x14ac:dyDescent="0.3">
      <c r="A25" s="6">
        <v>18</v>
      </c>
      <c r="B25" s="7">
        <v>8491</v>
      </c>
      <c r="C25" s="8">
        <v>3315.421875</v>
      </c>
      <c r="D25" s="6">
        <v>3250</v>
      </c>
      <c r="E25" s="8">
        <v>0</v>
      </c>
      <c r="F25" s="8">
        <v>63.087806701660156</v>
      </c>
      <c r="G25" s="8">
        <v>97.610023498535156</v>
      </c>
      <c r="H25" s="18">
        <v>50.695919036865234</v>
      </c>
      <c r="I25" s="6">
        <v>1</v>
      </c>
      <c r="J25" s="6">
        <v>4180.55419921875</v>
      </c>
      <c r="K25" s="6">
        <v>4650.48876953125</v>
      </c>
    </row>
    <row r="26" spans="1:11" x14ac:dyDescent="0.3">
      <c r="A26" s="6">
        <v>19</v>
      </c>
      <c r="B26" s="7">
        <v>8521</v>
      </c>
      <c r="C26" s="8">
        <v>3743.0517578125</v>
      </c>
      <c r="D26" s="6">
        <v>3250</v>
      </c>
      <c r="E26" s="8">
        <v>0</v>
      </c>
      <c r="F26" s="8">
        <v>244.48347473144531</v>
      </c>
      <c r="G26" s="8">
        <v>427.781494140625</v>
      </c>
      <c r="H26" s="18">
        <v>52.349773406982422</v>
      </c>
      <c r="I26" s="6">
        <v>1</v>
      </c>
      <c r="J26" s="6">
        <v>6509.78759765625</v>
      </c>
      <c r="K26" s="6">
        <v>7526.44677734375</v>
      </c>
    </row>
    <row r="27" spans="1:11" x14ac:dyDescent="0.3">
      <c r="A27" s="6">
        <v>20</v>
      </c>
      <c r="B27" s="7">
        <v>8552</v>
      </c>
      <c r="C27" s="8">
        <v>3524.205322265625</v>
      </c>
      <c r="D27" s="6">
        <v>9231.1298828125</v>
      </c>
      <c r="E27" s="8">
        <v>0</v>
      </c>
      <c r="F27" s="8">
        <v>301.41696166992188</v>
      </c>
      <c r="G27" s="8">
        <v>2265.772216796875</v>
      </c>
      <c r="H27" s="18">
        <v>55.448532104492188</v>
      </c>
      <c r="I27" s="6">
        <v>1</v>
      </c>
      <c r="J27" s="6">
        <v>9229.265625</v>
      </c>
      <c r="K27" s="6">
        <v>7463.22412109375</v>
      </c>
    </row>
    <row r="28" spans="1:11" x14ac:dyDescent="0.3">
      <c r="A28" s="6">
        <v>21</v>
      </c>
      <c r="B28" s="7">
        <v>8582</v>
      </c>
      <c r="C28" s="8">
        <v>3273.186279296875</v>
      </c>
      <c r="D28" s="6">
        <v>9187.771484375</v>
      </c>
      <c r="E28" s="8">
        <v>291.79754638671875</v>
      </c>
      <c r="F28" s="8">
        <v>530.37872314453125</v>
      </c>
      <c r="G28" s="8">
        <v>2621.187744140625</v>
      </c>
      <c r="H28" s="18">
        <v>53.151496887207031</v>
      </c>
      <c r="I28" s="6">
        <v>0</v>
      </c>
      <c r="J28" s="6">
        <v>9233.3828125</v>
      </c>
      <c r="K28" s="6">
        <v>6846.8525390625</v>
      </c>
    </row>
    <row r="29" spans="1:11" x14ac:dyDescent="0.3">
      <c r="A29" s="6">
        <v>22</v>
      </c>
      <c r="B29" s="7">
        <v>8613</v>
      </c>
      <c r="C29" s="8">
        <v>2867.132080078125</v>
      </c>
      <c r="D29" s="6">
        <v>11611.94921875</v>
      </c>
      <c r="E29" s="8">
        <v>530.60626220703125</v>
      </c>
      <c r="F29" s="8">
        <v>613.4034423828125</v>
      </c>
      <c r="G29" s="8">
        <v>2537.385498046875</v>
      </c>
      <c r="H29" s="18">
        <v>55.377204895019531</v>
      </c>
      <c r="I29" s="6">
        <v>0</v>
      </c>
      <c r="J29" s="6">
        <v>10828.0029296875</v>
      </c>
      <c r="K29" s="6">
        <v>8325.787109375</v>
      </c>
    </row>
    <row r="30" spans="1:11" x14ac:dyDescent="0.3">
      <c r="A30" s="6">
        <v>23</v>
      </c>
      <c r="B30" s="7">
        <v>8644</v>
      </c>
      <c r="C30" s="8">
        <v>2603.08984375</v>
      </c>
      <c r="D30" s="6">
        <v>9018.890625</v>
      </c>
      <c r="E30" s="8">
        <v>223.26168823242188</v>
      </c>
      <c r="F30" s="8">
        <v>488.62576293945313</v>
      </c>
      <c r="G30" s="8">
        <v>1980.0391845703125</v>
      </c>
      <c r="H30" s="18">
        <v>55.644638061523438</v>
      </c>
      <c r="I30" s="6">
        <v>0</v>
      </c>
      <c r="J30" s="6">
        <v>8398.232421875</v>
      </c>
      <c r="K30" s="6">
        <v>6439.88037109375</v>
      </c>
    </row>
    <row r="31" spans="1:11" x14ac:dyDescent="0.3">
      <c r="A31" s="6">
        <v>24</v>
      </c>
      <c r="B31" s="7">
        <v>8674</v>
      </c>
      <c r="C31" s="8">
        <v>2596.2392578125</v>
      </c>
      <c r="D31" s="6">
        <v>4415.64404296875</v>
      </c>
      <c r="E31" s="8">
        <v>0</v>
      </c>
      <c r="F31" s="8">
        <v>140.01615905761719</v>
      </c>
      <c r="G31" s="8">
        <v>550.7103271484375</v>
      </c>
      <c r="H31" s="18">
        <v>56.403099060058594</v>
      </c>
      <c r="I31" s="6">
        <v>1</v>
      </c>
      <c r="J31" s="6">
        <v>4741.365234375</v>
      </c>
      <c r="K31" s="6">
        <v>4325.67236328125</v>
      </c>
    </row>
    <row r="32" spans="1:11" x14ac:dyDescent="0.3">
      <c r="A32" s="6">
        <v>25</v>
      </c>
      <c r="B32" s="7">
        <v>8705</v>
      </c>
      <c r="C32" s="8">
        <v>2576.69287109375</v>
      </c>
      <c r="D32" s="6">
        <v>4606.337890625</v>
      </c>
      <c r="E32" s="8">
        <v>906.51263427734375</v>
      </c>
      <c r="F32" s="8">
        <v>114.84269714355469</v>
      </c>
      <c r="G32" s="8">
        <v>824.15557861328125</v>
      </c>
      <c r="H32" s="18">
        <v>55.741291046142578</v>
      </c>
      <c r="I32" s="6">
        <v>1</v>
      </c>
      <c r="J32" s="6">
        <v>5144.37158203125</v>
      </c>
      <c r="K32" s="6">
        <v>4488.06103515625</v>
      </c>
    </row>
    <row r="33" spans="1:11" x14ac:dyDescent="0.3">
      <c r="A33" s="6">
        <v>26</v>
      </c>
      <c r="B33" s="7">
        <v>8735</v>
      </c>
      <c r="C33" s="8">
        <v>2446.1484375</v>
      </c>
      <c r="D33" s="6">
        <v>5712.01220703125</v>
      </c>
      <c r="E33" s="8">
        <v>1181.566162109375</v>
      </c>
      <c r="F33" s="8">
        <v>2.7031624317169189</v>
      </c>
      <c r="G33" s="8">
        <v>557.462158203125</v>
      </c>
      <c r="H33" s="18">
        <v>55.744701385498047</v>
      </c>
      <c r="I33" s="6">
        <v>1</v>
      </c>
      <c r="J33" s="6">
        <v>6378.18359375</v>
      </c>
      <c r="K33" s="6">
        <v>6002.482421875</v>
      </c>
    </row>
    <row r="34" spans="1:11" x14ac:dyDescent="0.3">
      <c r="A34" s="6">
        <v>27</v>
      </c>
      <c r="B34" s="7">
        <v>8766</v>
      </c>
      <c r="C34" s="8">
        <v>2385.034423828125</v>
      </c>
      <c r="D34" s="6">
        <v>4897.23193359375</v>
      </c>
      <c r="E34" s="8">
        <v>1277.1646728515625</v>
      </c>
      <c r="F34" s="8">
        <v>0</v>
      </c>
      <c r="G34" s="8">
        <v>284.6102294921875</v>
      </c>
      <c r="H34" s="18">
        <v>52.122947692871094</v>
      </c>
      <c r="I34" s="6">
        <v>1</v>
      </c>
      <c r="J34" s="6">
        <v>5520.080078125</v>
      </c>
      <c r="K34" s="6">
        <v>5521.71044921875</v>
      </c>
    </row>
    <row r="35" spans="1:11" x14ac:dyDescent="0.3">
      <c r="A35" s="6">
        <v>28</v>
      </c>
      <c r="B35" s="7">
        <v>8797</v>
      </c>
      <c r="C35" s="8">
        <v>2540.17236328125</v>
      </c>
      <c r="D35" s="6">
        <v>3250</v>
      </c>
      <c r="E35" s="8">
        <v>209.8955078125</v>
      </c>
      <c r="F35" s="8">
        <v>0</v>
      </c>
      <c r="G35" s="8">
        <v>74.81182861328125</v>
      </c>
      <c r="H35" s="18">
        <v>50.140434265136719</v>
      </c>
      <c r="I35" s="6">
        <v>1</v>
      </c>
      <c r="J35" s="6">
        <v>4442.716796875</v>
      </c>
      <c r="K35" s="6">
        <v>4783.1220703125</v>
      </c>
    </row>
    <row r="36" spans="1:11" x14ac:dyDescent="0.3">
      <c r="A36" s="6">
        <v>29</v>
      </c>
      <c r="B36" s="7">
        <v>8826</v>
      </c>
      <c r="C36" s="8">
        <v>2705.639404296875</v>
      </c>
      <c r="D36" s="6">
        <v>3250</v>
      </c>
      <c r="E36" s="8">
        <v>0</v>
      </c>
      <c r="F36" s="8">
        <v>0</v>
      </c>
      <c r="G36" s="8">
        <v>66.063217163085938</v>
      </c>
      <c r="H36" s="18">
        <v>49.796222686767578</v>
      </c>
      <c r="I36" s="6">
        <v>1</v>
      </c>
      <c r="J36" s="6">
        <v>5386.84326171875</v>
      </c>
      <c r="K36" s="6">
        <v>6231.7783203125</v>
      </c>
    </row>
    <row r="37" spans="1:11" x14ac:dyDescent="0.3">
      <c r="A37" s="6">
        <v>30</v>
      </c>
      <c r="B37" s="7">
        <v>8857</v>
      </c>
      <c r="C37" s="8">
        <v>2614.701171875</v>
      </c>
      <c r="D37" s="6">
        <v>5170.62109375</v>
      </c>
      <c r="E37" s="8">
        <v>0</v>
      </c>
      <c r="F37" s="8">
        <v>40.609230041503906</v>
      </c>
      <c r="G37" s="8">
        <v>79.135421752929688</v>
      </c>
      <c r="H37" s="18">
        <v>49.55426025390625</v>
      </c>
      <c r="I37" s="6">
        <v>1</v>
      </c>
      <c r="J37" s="6">
        <v>5843.76953125</v>
      </c>
      <c r="K37" s="6">
        <v>6078.60302734375</v>
      </c>
    </row>
    <row r="38" spans="1:11" x14ac:dyDescent="0.3">
      <c r="A38" s="6">
        <v>31</v>
      </c>
      <c r="B38" s="7">
        <v>8887</v>
      </c>
      <c r="C38" s="8">
        <v>2500</v>
      </c>
      <c r="D38" s="6">
        <v>5624.3779296875</v>
      </c>
      <c r="E38" s="8">
        <v>0</v>
      </c>
      <c r="F38" s="8">
        <v>202.00408935546875</v>
      </c>
      <c r="G38" s="8">
        <v>537.10101318359375</v>
      </c>
      <c r="H38" s="18">
        <v>51.900558471679688</v>
      </c>
      <c r="I38" s="6">
        <v>0</v>
      </c>
      <c r="J38" s="6">
        <v>5867.3720703125</v>
      </c>
      <c r="K38" s="6">
        <v>5411.9501953125</v>
      </c>
    </row>
    <row r="39" spans="1:11" x14ac:dyDescent="0.3">
      <c r="A39" s="6">
        <v>32</v>
      </c>
      <c r="B39" s="7">
        <v>8918</v>
      </c>
      <c r="C39" s="8">
        <v>2135.375732421875</v>
      </c>
      <c r="D39" s="6">
        <v>8620.7529296875</v>
      </c>
      <c r="E39" s="8">
        <v>0</v>
      </c>
      <c r="F39" s="8">
        <v>220.09066772460938</v>
      </c>
      <c r="G39" s="8">
        <v>2324.4033203125</v>
      </c>
      <c r="H39" s="18">
        <v>55.089752197265625</v>
      </c>
      <c r="I39" s="6">
        <v>0</v>
      </c>
      <c r="J39" s="6">
        <v>8703.9208984375</v>
      </c>
      <c r="K39" s="6">
        <v>6416.0537109375</v>
      </c>
    </row>
    <row r="40" spans="1:11" x14ac:dyDescent="0.3">
      <c r="A40" s="6">
        <v>33</v>
      </c>
      <c r="B40" s="7">
        <v>8948</v>
      </c>
      <c r="C40" s="8">
        <v>1764.862060546875</v>
      </c>
      <c r="D40" s="6">
        <v>8906.197265625</v>
      </c>
      <c r="E40" s="8">
        <v>0</v>
      </c>
      <c r="F40" s="8">
        <v>251.78248596191406</v>
      </c>
      <c r="G40" s="8">
        <v>2484.036376953125</v>
      </c>
      <c r="H40" s="18">
        <v>56.186325073242188</v>
      </c>
      <c r="I40" s="6">
        <v>0</v>
      </c>
      <c r="J40" s="6">
        <v>8774.7802734375</v>
      </c>
      <c r="K40" s="6">
        <v>6315.31689453125</v>
      </c>
    </row>
    <row r="41" spans="1:11" x14ac:dyDescent="0.3">
      <c r="A41" s="6">
        <v>34</v>
      </c>
      <c r="B41" s="7">
        <v>8979</v>
      </c>
      <c r="C41" s="8">
        <v>1413.5540771484375</v>
      </c>
      <c r="D41" s="6">
        <v>9371.8037109375</v>
      </c>
      <c r="E41" s="8">
        <v>3056.799560546875</v>
      </c>
      <c r="F41" s="8">
        <v>274.10446166992188</v>
      </c>
      <c r="G41" s="8">
        <v>2281.4833984375</v>
      </c>
      <c r="H41" s="18">
        <v>55.104015350341797</v>
      </c>
      <c r="I41" s="6">
        <v>0</v>
      </c>
      <c r="J41" s="6">
        <v>9217.607421875</v>
      </c>
      <c r="K41" s="6">
        <v>6967.1044921875</v>
      </c>
    </row>
    <row r="42" spans="1:11" x14ac:dyDescent="0.3">
      <c r="A42" s="6">
        <v>35</v>
      </c>
      <c r="B42" s="7">
        <v>9010</v>
      </c>
      <c r="C42" s="8">
        <v>1141.271484375</v>
      </c>
      <c r="D42" s="6">
        <v>8134.46875</v>
      </c>
      <c r="E42" s="8">
        <v>3013.011474609375</v>
      </c>
      <c r="F42" s="8">
        <v>218.38192749023438</v>
      </c>
      <c r="G42" s="8">
        <v>1795.085693359375</v>
      </c>
      <c r="H42" s="18">
        <v>55.786487579345703</v>
      </c>
      <c r="I42" s="6">
        <v>0</v>
      </c>
      <c r="J42" s="6">
        <v>8084.623046875</v>
      </c>
      <c r="K42" s="6">
        <v>6308.6923828125</v>
      </c>
    </row>
    <row r="43" spans="1:11" x14ac:dyDescent="0.3">
      <c r="A43" s="6">
        <v>36</v>
      </c>
      <c r="B43" s="7">
        <v>9040</v>
      </c>
      <c r="C43" s="8">
        <v>953.81658935546875</v>
      </c>
      <c r="D43" s="6">
        <v>6202.08349609375</v>
      </c>
      <c r="E43" s="8">
        <v>1832.2586669921875</v>
      </c>
      <c r="F43" s="8">
        <v>100.4278564453125</v>
      </c>
      <c r="G43" s="8">
        <v>498.20333862304688</v>
      </c>
      <c r="H43" s="18">
        <v>55.696857452392578</v>
      </c>
      <c r="I43" s="6">
        <v>0</v>
      </c>
      <c r="J43" s="6">
        <v>6256.95068359375</v>
      </c>
      <c r="K43" s="6">
        <v>5762.6904296875</v>
      </c>
    </row>
    <row r="44" spans="1:11" x14ac:dyDescent="0.3">
      <c r="A44" s="6">
        <v>37</v>
      </c>
      <c r="B44" s="7">
        <v>9071</v>
      </c>
      <c r="C44" s="8">
        <v>993.689208984375</v>
      </c>
      <c r="D44" s="6">
        <v>4023.43896484375</v>
      </c>
      <c r="E44" s="8">
        <v>661.1058349609375</v>
      </c>
      <c r="F44" s="8">
        <v>54.211467742919922</v>
      </c>
      <c r="G44" s="8">
        <v>532.224365234375</v>
      </c>
      <c r="H44" s="18">
        <v>58.939762115478516</v>
      </c>
      <c r="I44" s="6">
        <v>1</v>
      </c>
      <c r="J44" s="6">
        <v>4785.595703125</v>
      </c>
      <c r="K44" s="6">
        <v>4530.54931640625</v>
      </c>
    </row>
    <row r="45" spans="1:11" x14ac:dyDescent="0.3">
      <c r="A45" s="6">
        <v>38</v>
      </c>
      <c r="B45" s="7">
        <v>9101</v>
      </c>
      <c r="C45" s="8">
        <v>1178.8514404296875</v>
      </c>
      <c r="D45" s="6">
        <v>3250</v>
      </c>
      <c r="E45" s="8">
        <v>1030.6826171875</v>
      </c>
      <c r="F45" s="8">
        <v>8.4876546859741211</v>
      </c>
      <c r="G45" s="8">
        <v>387.57632446289063</v>
      </c>
      <c r="H45" s="18">
        <v>55.208385467529297</v>
      </c>
      <c r="I45" s="6">
        <v>1</v>
      </c>
      <c r="J45" s="6">
        <v>5308.0712890625</v>
      </c>
      <c r="K45" s="6">
        <v>5466.15966796875</v>
      </c>
    </row>
    <row r="46" spans="1:11" x14ac:dyDescent="0.3">
      <c r="A46" s="6">
        <v>39</v>
      </c>
      <c r="B46" s="7">
        <v>9132</v>
      </c>
      <c r="C46" s="8">
        <v>1296.6754150390625</v>
      </c>
      <c r="D46" s="6">
        <v>3250</v>
      </c>
      <c r="E46" s="8">
        <v>3291.532958984375</v>
      </c>
      <c r="F46" s="8">
        <v>0</v>
      </c>
      <c r="G46" s="8">
        <v>119.09523773193359</v>
      </c>
      <c r="H46" s="18">
        <v>49.427822113037109</v>
      </c>
      <c r="I46" s="6">
        <v>1</v>
      </c>
      <c r="J46" s="6">
        <v>5701.38623046875</v>
      </c>
      <c r="K46" s="6">
        <v>6548.66650390625</v>
      </c>
    </row>
    <row r="47" spans="1:11" x14ac:dyDescent="0.3">
      <c r="A47" s="6">
        <v>40</v>
      </c>
      <c r="B47" s="7">
        <v>9163</v>
      </c>
      <c r="C47" s="8">
        <v>1623.391845703125</v>
      </c>
      <c r="D47" s="6">
        <v>3250</v>
      </c>
      <c r="E47" s="8">
        <v>0</v>
      </c>
      <c r="F47" s="8">
        <v>0</v>
      </c>
      <c r="G47" s="8">
        <v>82.062614440917969</v>
      </c>
      <c r="H47" s="18">
        <v>48.529872894287109</v>
      </c>
      <c r="I47" s="6">
        <v>1</v>
      </c>
      <c r="J47" s="6">
        <v>5090.2197265625</v>
      </c>
      <c r="K47" s="6">
        <v>5932.2236328125</v>
      </c>
    </row>
    <row r="48" spans="1:11" x14ac:dyDescent="0.3">
      <c r="A48" s="6">
        <v>41</v>
      </c>
      <c r="B48" s="7">
        <v>9191</v>
      </c>
      <c r="C48" s="8">
        <v>3157.170654296875</v>
      </c>
      <c r="D48" s="6">
        <v>3250</v>
      </c>
      <c r="E48" s="8">
        <v>0</v>
      </c>
      <c r="F48" s="8">
        <v>0</v>
      </c>
      <c r="G48" s="8">
        <v>51.695350646972656</v>
      </c>
      <c r="H48" s="18">
        <v>47.816085815429688</v>
      </c>
      <c r="I48" s="6">
        <v>1</v>
      </c>
      <c r="J48" s="6">
        <v>24336.6015625</v>
      </c>
      <c r="K48" s="6">
        <v>28219.283203125</v>
      </c>
    </row>
    <row r="49" spans="1:11" x14ac:dyDescent="0.3">
      <c r="A49" s="6">
        <v>42</v>
      </c>
      <c r="B49" s="7">
        <v>9222</v>
      </c>
      <c r="C49" s="8">
        <v>3553.05419921875</v>
      </c>
      <c r="D49" s="6">
        <v>3250</v>
      </c>
      <c r="E49" s="8">
        <v>0</v>
      </c>
      <c r="F49" s="8">
        <v>0</v>
      </c>
      <c r="G49" s="8">
        <v>19.516128540039063</v>
      </c>
      <c r="H49" s="18">
        <v>48.641002655029297</v>
      </c>
      <c r="I49" s="6">
        <v>1</v>
      </c>
      <c r="J49" s="6">
        <v>6518.53857421875</v>
      </c>
      <c r="K49" s="6">
        <v>7852.35107421875</v>
      </c>
    </row>
    <row r="50" spans="1:11" x14ac:dyDescent="0.3">
      <c r="A50" s="6">
        <v>43</v>
      </c>
      <c r="B50" s="7">
        <v>9252</v>
      </c>
      <c r="C50" s="8">
        <v>4202.82470703125</v>
      </c>
      <c r="D50" s="6">
        <v>3250</v>
      </c>
      <c r="E50" s="8">
        <v>0</v>
      </c>
      <c r="F50" s="8">
        <v>154.96903991699219</v>
      </c>
      <c r="G50" s="8">
        <v>375.54595947265625</v>
      </c>
      <c r="H50" s="18">
        <v>49.611015319824219</v>
      </c>
      <c r="I50" s="6">
        <v>1</v>
      </c>
      <c r="J50" s="6">
        <v>8693.7080078125</v>
      </c>
      <c r="K50" s="6">
        <v>10349.6767578125</v>
      </c>
    </row>
    <row r="51" spans="1:11" x14ac:dyDescent="0.3">
      <c r="A51" s="6">
        <v>44</v>
      </c>
      <c r="B51" s="7">
        <v>9283</v>
      </c>
      <c r="C51" s="8">
        <v>4282.16650390625</v>
      </c>
      <c r="D51" s="6">
        <v>6016.6982421875</v>
      </c>
      <c r="E51" s="8">
        <v>0</v>
      </c>
      <c r="F51" s="8">
        <v>377.79129028320313</v>
      </c>
      <c r="G51" s="8">
        <v>1796.5595703125</v>
      </c>
      <c r="H51" s="18">
        <v>50.364429473876953</v>
      </c>
      <c r="I51" s="6">
        <v>1</v>
      </c>
      <c r="J51" s="6">
        <v>7183.76220703125</v>
      </c>
      <c r="K51" s="6">
        <v>6654.60009765625</v>
      </c>
    </row>
    <row r="52" spans="1:11" x14ac:dyDescent="0.3">
      <c r="A52" s="6">
        <v>45</v>
      </c>
      <c r="B52" s="7">
        <v>9313</v>
      </c>
      <c r="C52" s="8">
        <v>3989.940673828125</v>
      </c>
      <c r="D52" s="6">
        <v>9612.4140625</v>
      </c>
      <c r="E52" s="8">
        <v>1404.2579345703125</v>
      </c>
      <c r="F52" s="8">
        <v>794.0576171875</v>
      </c>
      <c r="G52" s="8">
        <v>2591.778564453125</v>
      </c>
      <c r="H52" s="18">
        <v>50.799709320068359</v>
      </c>
      <c r="I52" s="6">
        <v>0</v>
      </c>
      <c r="J52" s="6">
        <v>9611.224609375</v>
      </c>
      <c r="K52" s="6">
        <v>7338.259765625</v>
      </c>
    </row>
    <row r="53" spans="1:11" x14ac:dyDescent="0.3">
      <c r="A53" s="6">
        <v>46</v>
      </c>
      <c r="B53" s="7">
        <v>9344</v>
      </c>
      <c r="C53" s="8">
        <v>3437.54150390625</v>
      </c>
      <c r="D53" s="6">
        <v>12695.501953125</v>
      </c>
      <c r="E53" s="8">
        <v>1891.3511962890625</v>
      </c>
      <c r="F53" s="8">
        <v>979.5245361328125</v>
      </c>
      <c r="G53" s="8">
        <v>2538.07568359375</v>
      </c>
      <c r="H53" s="18">
        <v>51.456871032714844</v>
      </c>
      <c r="I53" s="6">
        <v>0</v>
      </c>
      <c r="J53" s="6">
        <v>11583.884765625</v>
      </c>
      <c r="K53" s="6">
        <v>9129.1162109375</v>
      </c>
    </row>
    <row r="54" spans="1:11" x14ac:dyDescent="0.3">
      <c r="A54" s="6">
        <v>47</v>
      </c>
      <c r="B54" s="7">
        <v>9375</v>
      </c>
      <c r="C54" s="8">
        <v>3095.36865234375</v>
      </c>
      <c r="D54" s="6">
        <v>9829.5859375</v>
      </c>
      <c r="E54" s="8">
        <v>1755.4483642578125</v>
      </c>
      <c r="F54" s="8">
        <v>776.48785400390625</v>
      </c>
      <c r="G54" s="8">
        <v>1913.05859375</v>
      </c>
      <c r="H54" s="18">
        <v>53.409610748291016</v>
      </c>
      <c r="I54" s="6">
        <v>0</v>
      </c>
      <c r="J54" s="6">
        <v>8986.5810546875</v>
      </c>
      <c r="K54" s="6">
        <v>7109.01025390625</v>
      </c>
    </row>
    <row r="55" spans="1:11" x14ac:dyDescent="0.3">
      <c r="A55" s="6">
        <v>48</v>
      </c>
      <c r="B55" s="7">
        <v>9405</v>
      </c>
      <c r="C55" s="8">
        <v>2972.557373046875</v>
      </c>
      <c r="D55" s="6">
        <v>5876.60400390625</v>
      </c>
      <c r="E55" s="8">
        <v>601.609375</v>
      </c>
      <c r="F55" s="8">
        <v>100.30849456787109</v>
      </c>
      <c r="G55" s="8">
        <v>595.0416259765625</v>
      </c>
      <c r="H55" s="18">
        <v>53.164779663085938</v>
      </c>
      <c r="I55" s="6">
        <v>1</v>
      </c>
      <c r="J55" s="6">
        <v>5963.0693359375</v>
      </c>
      <c r="K55" s="6">
        <v>5440.525390625</v>
      </c>
    </row>
    <row r="56" spans="1:11" x14ac:dyDescent="0.3">
      <c r="A56" s="6">
        <v>49</v>
      </c>
      <c r="B56" s="7">
        <v>9436</v>
      </c>
      <c r="C56" s="8">
        <v>2833.73193359375</v>
      </c>
      <c r="D56" s="6">
        <v>5901.0546875</v>
      </c>
      <c r="E56" s="8">
        <v>1509.1988525390625</v>
      </c>
      <c r="F56" s="8">
        <v>182.76481628417969</v>
      </c>
      <c r="G56" s="8">
        <v>856.21405029296875</v>
      </c>
      <c r="H56" s="18">
        <v>54.622097015380859</v>
      </c>
      <c r="I56" s="6">
        <v>1</v>
      </c>
      <c r="J56" s="6">
        <v>6216.27001953125</v>
      </c>
      <c r="K56" s="6">
        <v>5531.53759765625</v>
      </c>
    </row>
    <row r="57" spans="1:11" x14ac:dyDescent="0.3">
      <c r="A57" s="6">
        <v>50</v>
      </c>
      <c r="B57" s="7">
        <v>9466</v>
      </c>
      <c r="C57" s="8">
        <v>2762.43798828125</v>
      </c>
      <c r="D57" s="6">
        <v>5025.3994140625</v>
      </c>
      <c r="E57" s="8">
        <v>1037.1134033203125</v>
      </c>
      <c r="F57" s="8">
        <v>0</v>
      </c>
      <c r="G57" s="8">
        <v>522.65277099609375</v>
      </c>
      <c r="H57" s="18">
        <v>53.807502746582031</v>
      </c>
      <c r="I57" s="6">
        <v>1</v>
      </c>
      <c r="J57" s="6">
        <v>6013.22119140625</v>
      </c>
      <c r="K57" s="6">
        <v>5793.54736328125</v>
      </c>
    </row>
    <row r="58" spans="1:11" x14ac:dyDescent="0.3">
      <c r="A58" s="6">
        <v>51</v>
      </c>
      <c r="B58" s="7">
        <v>9497</v>
      </c>
      <c r="C58" s="8">
        <v>2788.123046875</v>
      </c>
      <c r="D58" s="6">
        <v>3576.870849609375</v>
      </c>
      <c r="E58" s="8">
        <v>1280.279541015625</v>
      </c>
      <c r="F58" s="8">
        <v>0</v>
      </c>
      <c r="G58" s="8">
        <v>255.33602905273438</v>
      </c>
      <c r="H58" s="18">
        <v>50.764778137207031</v>
      </c>
      <c r="I58" s="6">
        <v>1</v>
      </c>
      <c r="J58" s="6">
        <v>5311.80322265625</v>
      </c>
      <c r="K58" s="6">
        <v>5576.10595703125</v>
      </c>
    </row>
    <row r="59" spans="1:11" x14ac:dyDescent="0.3">
      <c r="A59" s="6">
        <v>52</v>
      </c>
      <c r="B59" s="7">
        <v>9528</v>
      </c>
      <c r="C59" s="8">
        <v>2827.680419921875</v>
      </c>
      <c r="D59" s="6">
        <v>3250</v>
      </c>
      <c r="E59" s="8">
        <v>0</v>
      </c>
      <c r="F59" s="8">
        <v>0</v>
      </c>
      <c r="G59" s="8">
        <v>74.81182861328125</v>
      </c>
      <c r="H59" s="18">
        <v>48.3056640625</v>
      </c>
      <c r="I59" s="6">
        <v>1</v>
      </c>
      <c r="J59" s="6">
        <v>6717.79443359375</v>
      </c>
      <c r="K59" s="6">
        <v>7510.41845703125</v>
      </c>
    </row>
    <row r="60" spans="1:11" x14ac:dyDescent="0.3">
      <c r="A60" s="6">
        <v>53</v>
      </c>
      <c r="B60" s="7">
        <v>9556</v>
      </c>
      <c r="C60" s="8">
        <v>3658.292236328125</v>
      </c>
      <c r="D60" s="6">
        <v>3250</v>
      </c>
      <c r="E60" s="8">
        <v>0</v>
      </c>
      <c r="F60" s="8">
        <v>0</v>
      </c>
      <c r="G60" s="8">
        <v>68.422615051269531</v>
      </c>
      <c r="H60" s="18">
        <v>47.975391387939453</v>
      </c>
      <c r="I60" s="6">
        <v>1</v>
      </c>
      <c r="J60" s="6">
        <v>15584.365234375</v>
      </c>
      <c r="K60" s="6">
        <v>18216.369140625</v>
      </c>
    </row>
    <row r="61" spans="1:11" x14ac:dyDescent="0.3">
      <c r="A61" s="6">
        <v>54</v>
      </c>
      <c r="B61" s="7">
        <v>9587</v>
      </c>
      <c r="C61" s="8">
        <v>3631.13330078125</v>
      </c>
      <c r="D61" s="6">
        <v>6442.71630859375</v>
      </c>
      <c r="E61" s="8">
        <v>41.950023651123047</v>
      </c>
      <c r="F61" s="8">
        <v>15.0894775390625</v>
      </c>
      <c r="G61" s="8">
        <v>61.317344665527344</v>
      </c>
      <c r="H61" s="18">
        <v>48.512088775634766</v>
      </c>
      <c r="I61" s="6">
        <v>1</v>
      </c>
      <c r="J61" s="6">
        <v>8155.16552734375</v>
      </c>
      <c r="K61" s="6">
        <v>9047.6728515625</v>
      </c>
    </row>
    <row r="62" spans="1:11" x14ac:dyDescent="0.3">
      <c r="A62" s="6">
        <v>55</v>
      </c>
      <c r="B62" s="7">
        <v>9617</v>
      </c>
      <c r="C62" s="8">
        <v>3896.73193359375</v>
      </c>
      <c r="D62" s="6">
        <v>3250</v>
      </c>
      <c r="E62" s="8">
        <v>0</v>
      </c>
      <c r="F62" s="8">
        <v>52.222553253173828</v>
      </c>
      <c r="G62" s="8">
        <v>311.75833129882813</v>
      </c>
      <c r="H62" s="18">
        <v>51.212348937988281</v>
      </c>
      <c r="I62" s="6">
        <v>1</v>
      </c>
      <c r="J62" s="6">
        <v>7777.162109375</v>
      </c>
      <c r="K62" s="6">
        <v>9463.8720703125</v>
      </c>
    </row>
    <row r="63" spans="1:11" x14ac:dyDescent="0.3">
      <c r="A63" s="6">
        <v>56</v>
      </c>
      <c r="B63" s="7">
        <v>9648</v>
      </c>
      <c r="C63" s="8">
        <v>3570.763671875</v>
      </c>
      <c r="D63" s="6">
        <v>8995.443359375</v>
      </c>
      <c r="E63" s="8">
        <v>0</v>
      </c>
      <c r="F63" s="8">
        <v>105.33164978027344</v>
      </c>
      <c r="G63" s="8">
        <v>2210.808349609375</v>
      </c>
      <c r="H63" s="18">
        <v>50.193782806396484</v>
      </c>
      <c r="I63" s="6">
        <v>0</v>
      </c>
      <c r="J63" s="6">
        <v>10508.9228515625</v>
      </c>
      <c r="K63" s="6">
        <v>8664.205078125</v>
      </c>
    </row>
    <row r="64" spans="1:11" x14ac:dyDescent="0.3">
      <c r="A64" s="6">
        <v>57</v>
      </c>
      <c r="B64" s="7">
        <v>9678</v>
      </c>
      <c r="C64" s="8">
        <v>3144.499267578125</v>
      </c>
      <c r="D64" s="6">
        <v>10166.794921875</v>
      </c>
      <c r="E64" s="8">
        <v>0</v>
      </c>
      <c r="F64" s="8">
        <v>393.1129150390625</v>
      </c>
      <c r="G64" s="8">
        <v>2714.961669921875</v>
      </c>
      <c r="H64" s="18">
        <v>51.801841735839844</v>
      </c>
      <c r="I64" s="6">
        <v>0</v>
      </c>
      <c r="J64" s="6">
        <v>10182.0185546875</v>
      </c>
      <c r="K64" s="6">
        <v>7514.6552734375</v>
      </c>
    </row>
    <row r="65" spans="1:11" x14ac:dyDescent="0.3">
      <c r="A65" s="6">
        <v>58</v>
      </c>
      <c r="B65" s="7">
        <v>9709</v>
      </c>
      <c r="C65" s="8">
        <v>2700.429443359375</v>
      </c>
      <c r="D65" s="6">
        <v>11392.6767578125</v>
      </c>
      <c r="E65" s="8">
        <v>1251.19091796875</v>
      </c>
      <c r="F65" s="8">
        <v>430.53424072265625</v>
      </c>
      <c r="G65" s="8">
        <v>2538.07568359375</v>
      </c>
      <c r="H65" s="18">
        <v>53.78912353515625</v>
      </c>
      <c r="I65" s="6">
        <v>0</v>
      </c>
      <c r="J65" s="6">
        <v>11131.96875</v>
      </c>
      <c r="K65" s="6">
        <v>8624.96875</v>
      </c>
    </row>
    <row r="66" spans="1:11" x14ac:dyDescent="0.3">
      <c r="A66" s="6">
        <v>59</v>
      </c>
      <c r="B66" s="7">
        <v>9740</v>
      </c>
      <c r="C66" s="8">
        <v>2383.646484375</v>
      </c>
      <c r="D66" s="6">
        <v>8308.3720703125</v>
      </c>
      <c r="E66" s="8">
        <v>1075.45947265625</v>
      </c>
      <c r="F66" s="8">
        <v>335.29617309570313</v>
      </c>
      <c r="G66" s="8">
        <v>1895.4920654296875</v>
      </c>
      <c r="H66" s="18">
        <v>55.472152709960938</v>
      </c>
      <c r="I66" s="6">
        <v>0</v>
      </c>
      <c r="J66" s="6">
        <v>8319.4990234375</v>
      </c>
      <c r="K66" s="6">
        <v>6439.888671875</v>
      </c>
    </row>
    <row r="67" spans="1:11" x14ac:dyDescent="0.3">
      <c r="A67" s="6">
        <v>60</v>
      </c>
      <c r="B67" s="7">
        <v>9770</v>
      </c>
      <c r="C67" s="8">
        <v>2281.95703125</v>
      </c>
      <c r="D67" s="6">
        <v>4886.8232421875</v>
      </c>
      <c r="E67" s="8">
        <v>1022.280029296875</v>
      </c>
      <c r="F67" s="8">
        <v>18.658763885498047</v>
      </c>
      <c r="G67" s="8">
        <v>632.9815673828125</v>
      </c>
      <c r="H67" s="18">
        <v>55.156990051269531</v>
      </c>
      <c r="I67" s="6">
        <v>1</v>
      </c>
      <c r="J67" s="6">
        <v>5275.67578125</v>
      </c>
      <c r="K67" s="6">
        <v>4646.49072265625</v>
      </c>
    </row>
    <row r="68" spans="1:11" x14ac:dyDescent="0.3">
      <c r="A68" s="6">
        <v>61</v>
      </c>
      <c r="B68" s="7">
        <v>9801</v>
      </c>
      <c r="C68" s="8">
        <v>2200.71142578125</v>
      </c>
      <c r="D68" s="6">
        <v>4601.6552734375</v>
      </c>
      <c r="E68" s="8">
        <v>1559.9654541015625</v>
      </c>
      <c r="F68" s="8">
        <v>75.100563049316406</v>
      </c>
      <c r="G68" s="8">
        <v>790.49066162109375</v>
      </c>
      <c r="H68" s="18">
        <v>56.127738952636719</v>
      </c>
      <c r="I68" s="6">
        <v>1</v>
      </c>
      <c r="J68" s="6">
        <v>5440.3955078125</v>
      </c>
      <c r="K68" s="6">
        <v>4805.89697265625</v>
      </c>
    </row>
    <row r="69" spans="1:11" x14ac:dyDescent="0.3">
      <c r="A69" s="6">
        <v>62</v>
      </c>
      <c r="B69" s="7">
        <v>9831</v>
      </c>
      <c r="C69" s="8">
        <v>2713.713134765625</v>
      </c>
      <c r="D69" s="6">
        <v>3250</v>
      </c>
      <c r="E69" s="8">
        <v>0</v>
      </c>
      <c r="F69" s="8">
        <v>0</v>
      </c>
      <c r="G69" s="8">
        <v>319.30557250976563</v>
      </c>
      <c r="H69" s="18">
        <v>55.115596771240234</v>
      </c>
      <c r="I69" s="6">
        <v>1</v>
      </c>
      <c r="J69" s="6">
        <v>7678.02294921875</v>
      </c>
      <c r="K69" s="6">
        <v>8881.9130859375</v>
      </c>
    </row>
    <row r="70" spans="1:11" x14ac:dyDescent="0.3">
      <c r="A70" s="6">
        <v>63</v>
      </c>
      <c r="B70" s="7">
        <v>9862</v>
      </c>
      <c r="C70" s="8">
        <v>3256.207275390625</v>
      </c>
      <c r="D70" s="6">
        <v>3250</v>
      </c>
      <c r="E70" s="8">
        <v>0</v>
      </c>
      <c r="F70" s="8">
        <v>0</v>
      </c>
      <c r="G70" s="8">
        <v>263.46774291992188</v>
      </c>
      <c r="H70" s="18">
        <v>49.97265625</v>
      </c>
      <c r="I70" s="6">
        <v>1</v>
      </c>
      <c r="J70" s="6">
        <v>10865.87109375</v>
      </c>
      <c r="K70" s="6">
        <v>12179.703125</v>
      </c>
    </row>
    <row r="71" spans="1:11" x14ac:dyDescent="0.3">
      <c r="A71" s="6">
        <v>64</v>
      </c>
      <c r="B71" s="7">
        <v>9893</v>
      </c>
      <c r="C71" s="8">
        <v>3668</v>
      </c>
      <c r="D71" s="6">
        <v>5375.494140625</v>
      </c>
      <c r="E71" s="8">
        <v>0</v>
      </c>
      <c r="F71" s="8">
        <v>0</v>
      </c>
      <c r="G71" s="8">
        <v>74.81182861328125</v>
      </c>
      <c r="H71" s="18">
        <v>46.96563720703125</v>
      </c>
      <c r="I71" s="6">
        <v>1</v>
      </c>
      <c r="J71" s="6">
        <v>13413.322265625</v>
      </c>
      <c r="K71" s="6">
        <v>15590.0888671875</v>
      </c>
    </row>
    <row r="72" spans="1:11" x14ac:dyDescent="0.3">
      <c r="A72" s="6">
        <v>65</v>
      </c>
      <c r="B72" s="7">
        <v>9921</v>
      </c>
      <c r="C72" s="8">
        <v>3462</v>
      </c>
      <c r="D72" s="6">
        <v>34741.66015625</v>
      </c>
      <c r="E72" s="8">
        <v>0</v>
      </c>
      <c r="F72" s="8">
        <v>0</v>
      </c>
      <c r="G72" s="8">
        <v>68.422615051269531</v>
      </c>
      <c r="H72" s="18">
        <v>45.753597259521484</v>
      </c>
      <c r="I72" s="6">
        <v>1</v>
      </c>
      <c r="J72" s="6">
        <v>55077.28515625</v>
      </c>
      <c r="K72" s="6">
        <v>59807.81640625</v>
      </c>
    </row>
    <row r="73" spans="1:11" x14ac:dyDescent="0.3">
      <c r="A73" s="6">
        <v>66</v>
      </c>
      <c r="B73" s="7">
        <v>9952</v>
      </c>
      <c r="C73" s="8">
        <v>4142</v>
      </c>
      <c r="D73" s="6">
        <v>4098.74951171875</v>
      </c>
      <c r="E73" s="8">
        <v>0</v>
      </c>
      <c r="F73" s="8">
        <v>8.4357051849365234</v>
      </c>
      <c r="G73" s="8">
        <v>35.394004821777344</v>
      </c>
      <c r="H73" s="18">
        <v>47.753406524658203</v>
      </c>
      <c r="I73" s="6">
        <v>1</v>
      </c>
      <c r="J73" s="6">
        <v>10980.7373046875</v>
      </c>
      <c r="K73" s="6">
        <v>13405.59375</v>
      </c>
    </row>
    <row r="74" spans="1:11" x14ac:dyDescent="0.3">
      <c r="A74" s="6">
        <v>67</v>
      </c>
      <c r="B74" s="7">
        <v>9982</v>
      </c>
      <c r="C74" s="8">
        <v>4552</v>
      </c>
      <c r="D74" s="6">
        <v>9794.8115234375</v>
      </c>
      <c r="E74" s="8">
        <v>0</v>
      </c>
      <c r="F74" s="8">
        <v>550.79229736328125</v>
      </c>
      <c r="G74" s="8">
        <v>486.04421997070313</v>
      </c>
      <c r="H74" s="18">
        <v>47.578723907470703</v>
      </c>
      <c r="I74" s="6">
        <v>1</v>
      </c>
      <c r="J74" s="6">
        <v>16024.380859375</v>
      </c>
      <c r="K74" s="6">
        <v>17774.279296875</v>
      </c>
    </row>
    <row r="75" spans="1:11" x14ac:dyDescent="0.3">
      <c r="A75" s="6">
        <v>68</v>
      </c>
      <c r="B75" s="7">
        <v>10013</v>
      </c>
      <c r="C75" s="8">
        <v>4552</v>
      </c>
      <c r="D75" s="6">
        <v>7714.3828125</v>
      </c>
      <c r="E75" s="8">
        <v>0</v>
      </c>
      <c r="F75" s="8">
        <v>894.1383056640625</v>
      </c>
      <c r="G75" s="8">
        <v>2249.693359375</v>
      </c>
      <c r="H75" s="18">
        <v>50.201419830322266</v>
      </c>
      <c r="I75" s="6">
        <v>1</v>
      </c>
      <c r="J75" s="6">
        <v>9141.3447265625</v>
      </c>
      <c r="K75" s="6">
        <v>8254.61328125</v>
      </c>
    </row>
    <row r="76" spans="1:11" x14ac:dyDescent="0.3">
      <c r="A76" s="6">
        <v>69</v>
      </c>
      <c r="B76" s="7">
        <v>10043</v>
      </c>
      <c r="C76" s="8">
        <v>4290.38525390625</v>
      </c>
      <c r="D76" s="6">
        <v>8988.9208984375</v>
      </c>
      <c r="E76" s="8">
        <v>0</v>
      </c>
      <c r="F76" s="8">
        <v>1054.7291259765625</v>
      </c>
      <c r="G76" s="8">
        <v>2141.721923828125</v>
      </c>
      <c r="H76" s="18">
        <v>51.129753112792969</v>
      </c>
      <c r="I76" s="6">
        <v>1</v>
      </c>
      <c r="J76" s="6">
        <v>8650.5693359375</v>
      </c>
      <c r="K76" s="6">
        <v>6953.4453125</v>
      </c>
    </row>
    <row r="77" spans="1:11" x14ac:dyDescent="0.3">
      <c r="A77" s="6">
        <v>70</v>
      </c>
      <c r="B77" s="7">
        <v>10074</v>
      </c>
      <c r="C77" s="8">
        <v>3557.699462890625</v>
      </c>
      <c r="D77" s="6">
        <v>16000</v>
      </c>
      <c r="E77" s="8">
        <v>625.63299560546875</v>
      </c>
      <c r="F77" s="8">
        <v>1278.4688720703125</v>
      </c>
      <c r="G77" s="8">
        <v>2521.474853515625</v>
      </c>
      <c r="H77" s="18">
        <v>51.332504272460938</v>
      </c>
      <c r="I77" s="6">
        <v>0</v>
      </c>
      <c r="J77" s="6">
        <v>14923.041015625</v>
      </c>
      <c r="K77" s="6">
        <v>12465.7685546875</v>
      </c>
    </row>
    <row r="78" spans="1:11" x14ac:dyDescent="0.3">
      <c r="A78" s="6">
        <v>71</v>
      </c>
      <c r="B78" s="7">
        <v>10105</v>
      </c>
      <c r="C78" s="8">
        <v>3161.84375</v>
      </c>
      <c r="D78" s="6">
        <v>11116.927734375</v>
      </c>
      <c r="E78" s="8">
        <v>131.21571350097656</v>
      </c>
      <c r="F78" s="8">
        <v>1021.0798950195313</v>
      </c>
      <c r="G78" s="8">
        <v>2240.93798828125</v>
      </c>
      <c r="H78" s="18">
        <v>52.043479919433594</v>
      </c>
      <c r="I78" s="6">
        <v>0</v>
      </c>
      <c r="J78" s="6">
        <v>10275.8076171875</v>
      </c>
      <c r="K78" s="6">
        <v>8060.03466796875</v>
      </c>
    </row>
    <row r="79" spans="1:11" x14ac:dyDescent="0.3">
      <c r="A79" s="6">
        <v>72</v>
      </c>
      <c r="B79" s="7">
        <v>10135</v>
      </c>
      <c r="C79" s="8">
        <v>2812.22802734375</v>
      </c>
      <c r="D79" s="6">
        <v>10802.5732421875</v>
      </c>
      <c r="E79" s="8">
        <v>0</v>
      </c>
      <c r="F79" s="8">
        <v>273.29840087890625</v>
      </c>
      <c r="G79" s="8">
        <v>632.9815673828125</v>
      </c>
      <c r="H79" s="18">
        <v>50.766872406005859</v>
      </c>
      <c r="I79" s="6">
        <v>0</v>
      </c>
      <c r="J79" s="6">
        <v>10887.18359375</v>
      </c>
      <c r="K79" s="6">
        <v>10276.607421875</v>
      </c>
    </row>
    <row r="80" spans="1:11" x14ac:dyDescent="0.3">
      <c r="A80" s="6">
        <v>73</v>
      </c>
      <c r="B80" s="7">
        <v>10166</v>
      </c>
      <c r="C80" s="8">
        <v>2654.27490234375</v>
      </c>
      <c r="D80" s="6">
        <v>7048.005859375</v>
      </c>
      <c r="E80" s="8">
        <v>958.4876708984375</v>
      </c>
      <c r="F80" s="8">
        <v>63.18865966796875</v>
      </c>
      <c r="G80" s="8">
        <v>744.76385498046875</v>
      </c>
      <c r="H80" s="18">
        <v>54.060672760009766</v>
      </c>
      <c r="I80" s="6">
        <v>0</v>
      </c>
      <c r="J80" s="6">
        <v>7791.80029296875</v>
      </c>
      <c r="K80" s="6">
        <v>7256.3583984375</v>
      </c>
    </row>
    <row r="81" spans="1:11" x14ac:dyDescent="0.3">
      <c r="A81" s="6">
        <v>74</v>
      </c>
      <c r="B81" s="7">
        <v>10196</v>
      </c>
      <c r="C81" s="8">
        <v>2789.267578125</v>
      </c>
      <c r="D81" s="6">
        <v>6822.4453125</v>
      </c>
      <c r="E81" s="8">
        <v>593.66107177734375</v>
      </c>
      <c r="F81" s="8">
        <v>0</v>
      </c>
      <c r="G81" s="8">
        <v>420.13888549804688</v>
      </c>
      <c r="H81" s="18">
        <v>54.774929046630859</v>
      </c>
      <c r="I81" s="6">
        <v>1</v>
      </c>
      <c r="J81" s="6">
        <v>10390.9375</v>
      </c>
      <c r="K81" s="6">
        <v>11188.1875</v>
      </c>
    </row>
    <row r="82" spans="1:11" x14ac:dyDescent="0.3">
      <c r="A82" s="6">
        <v>75</v>
      </c>
      <c r="B82" s="7">
        <v>10227</v>
      </c>
      <c r="C82" s="8">
        <v>2923.466796875</v>
      </c>
      <c r="D82" s="6">
        <v>3644.815673828125</v>
      </c>
      <c r="E82" s="8">
        <v>0</v>
      </c>
      <c r="F82" s="8">
        <v>0</v>
      </c>
      <c r="G82" s="8">
        <v>196.78764343261719</v>
      </c>
      <c r="H82" s="18">
        <v>51.15631103515625</v>
      </c>
      <c r="I82" s="6">
        <v>1</v>
      </c>
      <c r="J82" s="6">
        <v>7019.22314453125</v>
      </c>
      <c r="K82" s="6">
        <v>7634.68994140625</v>
      </c>
    </row>
    <row r="83" spans="1:11" x14ac:dyDescent="0.3">
      <c r="A83" s="6">
        <v>76</v>
      </c>
      <c r="B83" s="7">
        <v>10258</v>
      </c>
      <c r="C83" s="8">
        <v>3242.973388671875</v>
      </c>
      <c r="D83" s="6">
        <v>3250</v>
      </c>
      <c r="E83" s="8">
        <v>0</v>
      </c>
      <c r="F83" s="8">
        <v>0</v>
      </c>
      <c r="G83" s="8">
        <v>74.81182861328125</v>
      </c>
      <c r="H83" s="18">
        <v>48.241874694824219</v>
      </c>
      <c r="I83" s="6">
        <v>1</v>
      </c>
      <c r="J83" s="6">
        <v>7107.78271484375</v>
      </c>
      <c r="K83" s="6">
        <v>8453.365234375</v>
      </c>
    </row>
    <row r="84" spans="1:11" x14ac:dyDescent="0.3">
      <c r="A84" s="6">
        <v>77</v>
      </c>
      <c r="B84" s="7">
        <v>10287</v>
      </c>
      <c r="C84" s="8">
        <v>3735.645263671875</v>
      </c>
      <c r="D84" s="6">
        <v>3250</v>
      </c>
      <c r="E84" s="8">
        <v>0</v>
      </c>
      <c r="F84" s="8">
        <v>0</v>
      </c>
      <c r="G84" s="8">
        <v>66.063217163085938</v>
      </c>
      <c r="H84" s="18">
        <v>47.721214294433594</v>
      </c>
      <c r="I84" s="6">
        <v>1</v>
      </c>
      <c r="J84" s="6">
        <v>9584.1748046875</v>
      </c>
      <c r="K84" s="6">
        <v>11454.166015625</v>
      </c>
    </row>
    <row r="85" spans="1:11" x14ac:dyDescent="0.3">
      <c r="A85" s="6">
        <v>78</v>
      </c>
      <c r="B85" s="7">
        <v>10318</v>
      </c>
      <c r="C85" s="8">
        <v>3965</v>
      </c>
      <c r="D85" s="6">
        <v>12939.0517578125</v>
      </c>
      <c r="E85" s="8">
        <v>0</v>
      </c>
      <c r="F85" s="8">
        <v>0</v>
      </c>
      <c r="G85" s="8">
        <v>19.516128540039063</v>
      </c>
      <c r="H85" s="18">
        <v>47.532783508300781</v>
      </c>
      <c r="I85" s="6">
        <v>1</v>
      </c>
      <c r="J85" s="6">
        <v>21136.66015625</v>
      </c>
      <c r="K85" s="6">
        <v>25208.31640625</v>
      </c>
    </row>
    <row r="86" spans="1:11" x14ac:dyDescent="0.3">
      <c r="A86" s="6">
        <v>79</v>
      </c>
      <c r="B86" s="7">
        <v>10348</v>
      </c>
      <c r="C86" s="8">
        <v>4536.6591796875</v>
      </c>
      <c r="D86" s="6">
        <v>3250</v>
      </c>
      <c r="E86" s="8">
        <v>0</v>
      </c>
      <c r="F86" s="8">
        <v>195.05795288085938</v>
      </c>
      <c r="G86" s="8">
        <v>419.7452392578125</v>
      </c>
      <c r="H86" s="18">
        <v>51.280696868896484</v>
      </c>
      <c r="I86" s="6">
        <v>1</v>
      </c>
      <c r="J86" s="6">
        <v>8744.5615234375</v>
      </c>
      <c r="K86" s="6">
        <v>10005.9052734375</v>
      </c>
    </row>
    <row r="87" spans="1:11" x14ac:dyDescent="0.3">
      <c r="A87" s="6">
        <v>80</v>
      </c>
      <c r="B87" s="7">
        <v>10379</v>
      </c>
      <c r="C87" s="8">
        <v>4435.58349609375</v>
      </c>
      <c r="D87" s="6">
        <v>7197.19873046875</v>
      </c>
      <c r="E87" s="8">
        <v>0</v>
      </c>
      <c r="F87" s="8">
        <v>357.50259399414063</v>
      </c>
      <c r="G87" s="8">
        <v>2314.501708984375</v>
      </c>
      <c r="H87" s="18">
        <v>51.672935485839844</v>
      </c>
      <c r="I87" s="6">
        <v>1</v>
      </c>
      <c r="J87" s="6">
        <v>8105.16162109375</v>
      </c>
      <c r="K87" s="6">
        <v>6445.7470703125</v>
      </c>
    </row>
    <row r="88" spans="1:11" x14ac:dyDescent="0.3">
      <c r="A88" s="6">
        <v>81</v>
      </c>
      <c r="B88" s="7">
        <v>10409</v>
      </c>
      <c r="C88" s="8">
        <v>3819.055419921875</v>
      </c>
      <c r="D88" s="6">
        <v>13547.318359375</v>
      </c>
      <c r="E88" s="8">
        <v>808.72357177734375</v>
      </c>
      <c r="F88" s="8">
        <v>655.33172607421875</v>
      </c>
      <c r="G88" s="8">
        <v>2329.183349609375</v>
      </c>
      <c r="H88" s="18">
        <v>51.193431854248047</v>
      </c>
      <c r="I88" s="6">
        <v>0</v>
      </c>
      <c r="J88" s="6">
        <v>13284.7080078125</v>
      </c>
      <c r="K88" s="6">
        <v>11216.1181640625</v>
      </c>
    </row>
    <row r="89" spans="1:11" x14ac:dyDescent="0.3">
      <c r="A89" s="6">
        <v>82</v>
      </c>
      <c r="B89" s="7">
        <v>10440</v>
      </c>
      <c r="C89" s="8">
        <v>3098.602294921875</v>
      </c>
      <c r="D89" s="6">
        <v>16000</v>
      </c>
      <c r="E89" s="8">
        <v>809.29052734375</v>
      </c>
      <c r="F89" s="8">
        <v>724.34930419921875</v>
      </c>
      <c r="G89" s="8">
        <v>2562.892822265625</v>
      </c>
      <c r="H89" s="18">
        <v>52.268638610839844</v>
      </c>
      <c r="I89" s="6">
        <v>0</v>
      </c>
      <c r="J89" s="6">
        <v>15586.3515625</v>
      </c>
      <c r="K89" s="6">
        <v>13065.84375</v>
      </c>
    </row>
    <row r="90" spans="1:11" x14ac:dyDescent="0.3">
      <c r="A90" s="6">
        <v>83</v>
      </c>
      <c r="B90" s="7">
        <v>10471</v>
      </c>
      <c r="C90" s="8">
        <v>2632.283935546875</v>
      </c>
      <c r="D90" s="6">
        <v>12162.1259765625</v>
      </c>
      <c r="E90" s="8">
        <v>4.0736780166625977</v>
      </c>
      <c r="F90" s="8">
        <v>578.43798828125</v>
      </c>
      <c r="G90" s="8">
        <v>2065.3544921875</v>
      </c>
      <c r="H90" s="18">
        <v>52.015098571777344</v>
      </c>
      <c r="I90" s="6">
        <v>0</v>
      </c>
      <c r="J90" s="6">
        <v>11908.56640625</v>
      </c>
      <c r="K90" s="6">
        <v>9862.890625</v>
      </c>
    </row>
    <row r="91" spans="1:11" x14ac:dyDescent="0.3">
      <c r="A91" s="6">
        <v>84</v>
      </c>
      <c r="B91" s="7">
        <v>10501</v>
      </c>
      <c r="C91" s="8">
        <v>2247.118896484375</v>
      </c>
      <c r="D91" s="6">
        <v>12079.4482421875</v>
      </c>
      <c r="E91" s="8">
        <v>0</v>
      </c>
      <c r="F91" s="8">
        <v>70.342376708984375</v>
      </c>
      <c r="G91" s="8">
        <v>632.9815673828125</v>
      </c>
      <c r="H91" s="18">
        <v>52.381492614746094</v>
      </c>
      <c r="I91" s="6">
        <v>0</v>
      </c>
      <c r="J91" s="6">
        <v>12492.5625</v>
      </c>
      <c r="K91" s="6">
        <v>11874.4931640625</v>
      </c>
    </row>
    <row r="92" spans="1:11" x14ac:dyDescent="0.3">
      <c r="A92" s="6">
        <v>85</v>
      </c>
      <c r="B92" s="7">
        <v>10532</v>
      </c>
      <c r="C92" s="8">
        <v>2050.733154296875</v>
      </c>
      <c r="D92" s="6">
        <v>8849.55078125</v>
      </c>
      <c r="E92" s="8">
        <v>828.01947021484375</v>
      </c>
      <c r="F92" s="8">
        <v>143.08737182617188</v>
      </c>
      <c r="G92" s="8">
        <v>844.941650390625</v>
      </c>
      <c r="H92" s="18">
        <v>54.627304077148438</v>
      </c>
      <c r="I92" s="6">
        <v>0</v>
      </c>
      <c r="J92" s="6">
        <v>9437.8447265625</v>
      </c>
      <c r="K92" s="6">
        <v>8742.3154296875</v>
      </c>
    </row>
    <row r="93" spans="1:11" x14ac:dyDescent="0.3">
      <c r="A93" s="6">
        <v>86</v>
      </c>
      <c r="B93" s="7">
        <v>10562</v>
      </c>
      <c r="C93" s="8">
        <v>1984.550537109375</v>
      </c>
      <c r="D93" s="6">
        <v>6140.29345703125</v>
      </c>
      <c r="E93" s="8">
        <v>1034.00048828125</v>
      </c>
      <c r="F93" s="8">
        <v>0</v>
      </c>
      <c r="G93" s="8">
        <v>398.29165649414063</v>
      </c>
      <c r="H93" s="18">
        <v>55.589237213134766</v>
      </c>
      <c r="I93" s="6">
        <v>1</v>
      </c>
      <c r="J93" s="6">
        <v>8593.67578125</v>
      </c>
      <c r="K93" s="6">
        <v>8534.3369140625</v>
      </c>
    </row>
    <row r="94" spans="1:11" x14ac:dyDescent="0.3">
      <c r="A94" s="6">
        <v>87</v>
      </c>
      <c r="B94" s="7">
        <v>10593</v>
      </c>
      <c r="C94" s="8">
        <v>2059.74072265625</v>
      </c>
      <c r="D94" s="6">
        <v>3250</v>
      </c>
      <c r="E94" s="8">
        <v>0</v>
      </c>
      <c r="F94" s="8">
        <v>0</v>
      </c>
      <c r="G94" s="8">
        <v>203.29301452636719</v>
      </c>
      <c r="H94" s="18">
        <v>53.076454162597656</v>
      </c>
      <c r="I94" s="6">
        <v>1</v>
      </c>
      <c r="J94" s="6">
        <v>5309.033203125</v>
      </c>
      <c r="K94" s="6">
        <v>5690.1279296875</v>
      </c>
    </row>
    <row r="95" spans="1:11" x14ac:dyDescent="0.3">
      <c r="A95" s="6">
        <v>88</v>
      </c>
      <c r="B95" s="7">
        <v>10624</v>
      </c>
      <c r="C95" s="8">
        <v>2248.341064453125</v>
      </c>
      <c r="D95" s="6">
        <v>3250</v>
      </c>
      <c r="E95" s="8">
        <v>0</v>
      </c>
      <c r="F95" s="8">
        <v>0</v>
      </c>
      <c r="G95" s="8">
        <v>133.36021423339844</v>
      </c>
      <c r="H95" s="18">
        <v>49.165412902832031</v>
      </c>
      <c r="I95" s="6">
        <v>1</v>
      </c>
      <c r="J95" s="6">
        <v>4865.1103515625</v>
      </c>
      <c r="K95" s="6">
        <v>5216.68994140625</v>
      </c>
    </row>
    <row r="96" spans="1:11" x14ac:dyDescent="0.3">
      <c r="A96" s="6">
        <v>89</v>
      </c>
      <c r="B96" s="7">
        <v>10652</v>
      </c>
      <c r="C96" s="8">
        <v>2441.992431640625</v>
      </c>
      <c r="D96" s="6">
        <v>3250</v>
      </c>
      <c r="E96" s="8">
        <v>0</v>
      </c>
      <c r="F96" s="8">
        <v>0</v>
      </c>
      <c r="G96" s="8">
        <v>68.422615051269531</v>
      </c>
      <c r="H96" s="18">
        <v>48.47589111328125</v>
      </c>
      <c r="I96" s="6">
        <v>1</v>
      </c>
      <c r="J96" s="6">
        <v>8177.16650390625</v>
      </c>
      <c r="K96" s="6">
        <v>8915.212890625</v>
      </c>
    </row>
    <row r="97" spans="1:11" x14ac:dyDescent="0.3">
      <c r="A97" s="6">
        <v>90</v>
      </c>
      <c r="B97" s="7">
        <v>10683</v>
      </c>
      <c r="C97" s="8">
        <v>2590.473388671875</v>
      </c>
      <c r="D97" s="6">
        <v>3250</v>
      </c>
      <c r="E97" s="8">
        <v>0</v>
      </c>
      <c r="F97" s="8">
        <v>10.265549659729004</v>
      </c>
      <c r="G97" s="8">
        <v>40.250411987304688</v>
      </c>
      <c r="H97" s="18">
        <v>49.704879760742188</v>
      </c>
      <c r="I97" s="6">
        <v>1</v>
      </c>
      <c r="J97" s="6">
        <v>4842.162109375</v>
      </c>
      <c r="K97" s="6">
        <v>5421.56298828125</v>
      </c>
    </row>
    <row r="98" spans="1:11" x14ac:dyDescent="0.3">
      <c r="A98" s="6">
        <v>91</v>
      </c>
      <c r="B98" s="7">
        <v>10713</v>
      </c>
      <c r="C98" s="8">
        <v>2771.09326171875</v>
      </c>
      <c r="D98" s="6">
        <v>3250</v>
      </c>
      <c r="E98" s="8">
        <v>0</v>
      </c>
      <c r="F98" s="8">
        <v>223.38325500488281</v>
      </c>
      <c r="G98" s="8">
        <v>516.50811767578125</v>
      </c>
      <c r="H98" s="18">
        <v>51.192344665527344</v>
      </c>
      <c r="I98" s="6">
        <v>1</v>
      </c>
      <c r="J98" s="6">
        <v>4781.0068359375</v>
      </c>
      <c r="K98" s="6">
        <v>4785.21630859375</v>
      </c>
    </row>
    <row r="99" spans="1:11" x14ac:dyDescent="0.3">
      <c r="A99" s="6">
        <v>92</v>
      </c>
      <c r="B99" s="7">
        <v>10744</v>
      </c>
      <c r="C99" s="8">
        <v>2547.78955078125</v>
      </c>
      <c r="D99" s="6">
        <v>8080.45556640625</v>
      </c>
      <c r="E99" s="8">
        <v>0</v>
      </c>
      <c r="F99" s="8">
        <v>306.94467163085938</v>
      </c>
      <c r="G99" s="8">
        <v>2370.671630859375</v>
      </c>
      <c r="H99" s="18">
        <v>51.678050994873047</v>
      </c>
      <c r="I99" s="6">
        <v>0</v>
      </c>
      <c r="J99" s="6">
        <v>8749.919921875</v>
      </c>
      <c r="K99" s="6">
        <v>6815.26806640625</v>
      </c>
    </row>
    <row r="100" spans="1:11" x14ac:dyDescent="0.3">
      <c r="A100" s="6">
        <v>93</v>
      </c>
      <c r="B100" s="7">
        <v>10774</v>
      </c>
      <c r="C100" s="8">
        <v>2247.309814453125</v>
      </c>
      <c r="D100" s="6">
        <v>8416.89453125</v>
      </c>
      <c r="E100" s="8">
        <v>0</v>
      </c>
      <c r="F100" s="8">
        <v>280.00125122070313</v>
      </c>
      <c r="G100" s="8">
        <v>2189.392578125</v>
      </c>
      <c r="H100" s="18">
        <v>54.286209106445313</v>
      </c>
      <c r="I100" s="6">
        <v>0</v>
      </c>
      <c r="J100" s="6">
        <v>9235.4375</v>
      </c>
      <c r="K100" s="6">
        <v>7204.70361328125</v>
      </c>
    </row>
    <row r="101" spans="1:11" x14ac:dyDescent="0.3">
      <c r="A101" s="6">
        <v>94</v>
      </c>
      <c r="B101" s="7">
        <v>10805</v>
      </c>
      <c r="C101" s="8">
        <v>1718.207763671875</v>
      </c>
      <c r="D101" s="6">
        <v>12141.1708984375</v>
      </c>
      <c r="E101" s="8">
        <v>2695.603515625</v>
      </c>
      <c r="F101" s="8">
        <v>382.06051635742188</v>
      </c>
      <c r="G101" s="8">
        <v>2281.4833984375</v>
      </c>
      <c r="H101" s="18">
        <v>55.623313903808594</v>
      </c>
      <c r="I101" s="6">
        <v>0</v>
      </c>
      <c r="J101" s="6">
        <v>12106.611328125</v>
      </c>
      <c r="K101" s="6">
        <v>9856.1083984375</v>
      </c>
    </row>
    <row r="102" spans="1:11" x14ac:dyDescent="0.3">
      <c r="A102" s="6">
        <v>95</v>
      </c>
      <c r="B102" s="7">
        <v>10836</v>
      </c>
      <c r="C102" s="8">
        <v>1448.2216796875</v>
      </c>
      <c r="D102" s="6">
        <v>7886.93310546875</v>
      </c>
      <c r="E102" s="8">
        <v>2623.390625</v>
      </c>
      <c r="F102" s="8">
        <v>304.92153930664063</v>
      </c>
      <c r="G102" s="8">
        <v>1795.085693359375</v>
      </c>
      <c r="H102" s="18">
        <v>55.940517425537109</v>
      </c>
      <c r="I102" s="6">
        <v>0</v>
      </c>
      <c r="J102" s="6">
        <v>7900.24951171875</v>
      </c>
      <c r="K102" s="6">
        <v>6124.84228515625</v>
      </c>
    </row>
    <row r="103" spans="1:11" x14ac:dyDescent="0.3">
      <c r="A103" s="6">
        <v>96</v>
      </c>
      <c r="B103" s="7">
        <v>10866</v>
      </c>
      <c r="C103" s="8">
        <v>1326.92724609375</v>
      </c>
      <c r="D103" s="6">
        <v>5305.67431640625</v>
      </c>
      <c r="E103" s="8">
        <v>1966.5052490234375</v>
      </c>
      <c r="F103" s="8">
        <v>140.03874206542969</v>
      </c>
      <c r="G103" s="8">
        <v>503.9453125</v>
      </c>
      <c r="H103" s="18">
        <v>55.422134399414063</v>
      </c>
      <c r="I103" s="6">
        <v>1</v>
      </c>
      <c r="J103" s="6">
        <v>5660.0703125</v>
      </c>
      <c r="K103" s="6">
        <v>5160.068359375</v>
      </c>
    </row>
    <row r="104" spans="1:11" x14ac:dyDescent="0.3">
      <c r="A104" s="6">
        <v>97</v>
      </c>
      <c r="B104" s="7">
        <v>10897</v>
      </c>
      <c r="C104" s="8">
        <v>1197.433837890625</v>
      </c>
      <c r="D104" s="6">
        <v>5200.396484375</v>
      </c>
      <c r="E104" s="8">
        <v>1369.061767578125</v>
      </c>
      <c r="F104" s="8">
        <v>105.44140625</v>
      </c>
      <c r="G104" s="8">
        <v>629.1707763671875</v>
      </c>
      <c r="H104" s="18">
        <v>56.758674621582031</v>
      </c>
      <c r="I104" s="6">
        <v>1</v>
      </c>
      <c r="J104" s="6">
        <v>5830.73095703125</v>
      </c>
      <c r="K104" s="6">
        <v>5301.0185546875</v>
      </c>
    </row>
    <row r="105" spans="1:11" x14ac:dyDescent="0.3">
      <c r="A105" s="6">
        <v>98</v>
      </c>
      <c r="B105" s="7">
        <v>10927</v>
      </c>
      <c r="C105" s="8">
        <v>1119.400634765625</v>
      </c>
      <c r="D105" s="6">
        <v>4277.59912109375</v>
      </c>
      <c r="E105" s="8">
        <v>1476.7601318359375</v>
      </c>
      <c r="F105" s="8">
        <v>21.393344879150391</v>
      </c>
      <c r="G105" s="8">
        <v>432.76043701171875</v>
      </c>
      <c r="H105" s="18">
        <v>57.378398895263672</v>
      </c>
      <c r="I105" s="6">
        <v>1</v>
      </c>
      <c r="J105" s="6">
        <v>5006.73486328125</v>
      </c>
      <c r="K105" s="6">
        <v>4737.68115234375</v>
      </c>
    </row>
    <row r="106" spans="1:11" x14ac:dyDescent="0.3">
      <c r="A106" s="6">
        <v>99</v>
      </c>
      <c r="B106" s="7">
        <v>10958</v>
      </c>
      <c r="C106" s="8">
        <v>1715.02392578125</v>
      </c>
      <c r="D106" s="6">
        <v>3250</v>
      </c>
      <c r="E106" s="8">
        <v>1577.152099609375</v>
      </c>
      <c r="F106" s="8">
        <v>0</v>
      </c>
      <c r="G106" s="8">
        <v>119.09523773193359</v>
      </c>
      <c r="H106" s="18">
        <v>52.181316375732422</v>
      </c>
      <c r="I106" s="6">
        <v>1</v>
      </c>
      <c r="J106" s="6">
        <v>7830.0263671875</v>
      </c>
      <c r="K106" s="6">
        <v>9930.0029296875</v>
      </c>
    </row>
    <row r="107" spans="1:11" x14ac:dyDescent="0.3">
      <c r="A107" s="6">
        <v>100</v>
      </c>
      <c r="B107" s="7">
        <v>10989</v>
      </c>
      <c r="C107" s="8">
        <v>1933.577880859375</v>
      </c>
      <c r="D107" s="6">
        <v>3250</v>
      </c>
      <c r="E107" s="8">
        <v>0</v>
      </c>
      <c r="F107" s="8">
        <v>0</v>
      </c>
      <c r="G107" s="8">
        <v>56.44769287109375</v>
      </c>
      <c r="H107" s="18">
        <v>47.545970916748047</v>
      </c>
      <c r="I107" s="6">
        <v>1</v>
      </c>
      <c r="J107" s="6">
        <v>7464.26171875</v>
      </c>
      <c r="K107" s="6">
        <v>8814.357421875</v>
      </c>
    </row>
    <row r="108" spans="1:11" x14ac:dyDescent="0.3">
      <c r="A108" s="6">
        <v>101</v>
      </c>
      <c r="B108" s="7">
        <v>11017</v>
      </c>
      <c r="C108" s="8">
        <v>2299.655517578125</v>
      </c>
      <c r="D108" s="6">
        <v>3250</v>
      </c>
      <c r="E108" s="8">
        <v>0</v>
      </c>
      <c r="F108" s="8">
        <v>0</v>
      </c>
      <c r="G108" s="8">
        <v>51.695350646972656</v>
      </c>
      <c r="H108" s="18">
        <v>48.132789611816406</v>
      </c>
      <c r="I108" s="6">
        <v>1</v>
      </c>
      <c r="J108" s="6">
        <v>8585.478515625</v>
      </c>
      <c r="K108" s="6">
        <v>10301.806640625</v>
      </c>
    </row>
    <row r="109" spans="1:11" x14ac:dyDescent="0.3">
      <c r="A109" s="6">
        <v>102</v>
      </c>
      <c r="B109" s="7">
        <v>11048</v>
      </c>
      <c r="C109" s="8">
        <v>2747.459228515625</v>
      </c>
      <c r="D109" s="6">
        <v>3250</v>
      </c>
      <c r="E109" s="8">
        <v>0</v>
      </c>
      <c r="F109" s="8">
        <v>0</v>
      </c>
      <c r="G109" s="8">
        <v>19.516128540039063</v>
      </c>
      <c r="H109" s="18">
        <v>49.011825561523438</v>
      </c>
      <c r="I109" s="6">
        <v>1</v>
      </c>
      <c r="J109" s="6">
        <v>9704.8974609375</v>
      </c>
      <c r="K109" s="6">
        <v>11580.7802734375</v>
      </c>
    </row>
    <row r="110" spans="1:11" x14ac:dyDescent="0.3">
      <c r="A110" s="6">
        <v>103</v>
      </c>
      <c r="B110" s="7">
        <v>11078</v>
      </c>
      <c r="C110" s="8">
        <v>2916.82275390625</v>
      </c>
      <c r="D110" s="6">
        <v>3250</v>
      </c>
      <c r="E110" s="8">
        <v>0</v>
      </c>
      <c r="F110" s="8">
        <v>44.508659362792969</v>
      </c>
      <c r="G110" s="8">
        <v>392.62295532226563</v>
      </c>
      <c r="H110" s="18">
        <v>51.239517211914063</v>
      </c>
      <c r="I110" s="6">
        <v>1</v>
      </c>
      <c r="J110" s="6">
        <v>5037.2724609375</v>
      </c>
      <c r="K110" s="6">
        <v>5960.904296875</v>
      </c>
    </row>
    <row r="111" spans="1:11" x14ac:dyDescent="0.3">
      <c r="A111" s="6">
        <v>104</v>
      </c>
      <c r="B111" s="7">
        <v>11109</v>
      </c>
      <c r="C111" s="8">
        <v>2856.510986328125</v>
      </c>
      <c r="D111" s="6">
        <v>5412.98681640625</v>
      </c>
      <c r="E111" s="8">
        <v>0</v>
      </c>
      <c r="F111" s="8">
        <v>14.996692657470703</v>
      </c>
      <c r="G111" s="8">
        <v>2146.524658203125</v>
      </c>
      <c r="H111" s="18">
        <v>51.472103118896484</v>
      </c>
      <c r="I111" s="6">
        <v>1</v>
      </c>
      <c r="J111" s="6">
        <v>7398.4326171875</v>
      </c>
      <c r="K111" s="6">
        <v>5933.84228515625</v>
      </c>
    </row>
    <row r="112" spans="1:11" x14ac:dyDescent="0.3">
      <c r="A112" s="6">
        <v>105</v>
      </c>
      <c r="B112" s="7">
        <v>11139</v>
      </c>
      <c r="C112" s="8">
        <v>2536.044189453125</v>
      </c>
      <c r="D112" s="6">
        <v>8881.8974609375</v>
      </c>
      <c r="E112" s="8">
        <v>0</v>
      </c>
      <c r="F112" s="8">
        <v>199.59013366699219</v>
      </c>
      <c r="G112" s="8">
        <v>2714.961669921875</v>
      </c>
      <c r="H112" s="18">
        <v>52.899250030517578</v>
      </c>
      <c r="I112" s="6">
        <v>0</v>
      </c>
      <c r="J112" s="6">
        <v>9229.197265625</v>
      </c>
      <c r="K112" s="6">
        <v>6696.1416015625</v>
      </c>
    </row>
    <row r="113" spans="1:11" x14ac:dyDescent="0.3">
      <c r="A113" s="6">
        <v>106</v>
      </c>
      <c r="B113" s="7">
        <v>11170</v>
      </c>
      <c r="C113" s="8">
        <v>2214.108642578125</v>
      </c>
      <c r="D113" s="6">
        <v>9171.2353515625</v>
      </c>
      <c r="E113" s="8">
        <v>2241.7900390625</v>
      </c>
      <c r="F113" s="8">
        <v>218.08706665039063</v>
      </c>
      <c r="G113" s="8">
        <v>2538.07568359375</v>
      </c>
      <c r="H113" s="18">
        <v>55.481464385986328</v>
      </c>
      <c r="I113" s="6">
        <v>0</v>
      </c>
      <c r="J113" s="6">
        <v>9162.9345703125</v>
      </c>
      <c r="K113" s="6">
        <v>6655.83935546875</v>
      </c>
    </row>
    <row r="114" spans="1:11" x14ac:dyDescent="0.3">
      <c r="A114" s="6">
        <v>107</v>
      </c>
      <c r="B114" s="7">
        <v>11201</v>
      </c>
      <c r="C114" s="8">
        <v>1954.2130126953125</v>
      </c>
      <c r="D114" s="6">
        <v>7753.55908203125</v>
      </c>
      <c r="E114" s="8">
        <v>2140.212646484375</v>
      </c>
      <c r="F114" s="8">
        <v>174.13616943359375</v>
      </c>
      <c r="G114" s="8">
        <v>1921.841796875</v>
      </c>
      <c r="H114" s="18">
        <v>56.044998168945313</v>
      </c>
      <c r="I114" s="6">
        <v>0</v>
      </c>
      <c r="J114" s="6">
        <v>7747.58984375</v>
      </c>
      <c r="K114" s="6">
        <v>5845.4267578125</v>
      </c>
    </row>
    <row r="115" spans="1:11" x14ac:dyDescent="0.3">
      <c r="A115" s="6">
        <v>108</v>
      </c>
      <c r="B115" s="7">
        <v>11231</v>
      </c>
      <c r="C115" s="8">
        <v>1915.04248046875</v>
      </c>
      <c r="D115" s="6">
        <v>4057.031494140625</v>
      </c>
      <c r="E115" s="8">
        <v>1280.4638671875</v>
      </c>
      <c r="F115" s="8">
        <v>69.539894104003906</v>
      </c>
      <c r="G115" s="8">
        <v>605.009521484375</v>
      </c>
      <c r="H115" s="18">
        <v>55.999374389648438</v>
      </c>
      <c r="I115" s="6">
        <v>1</v>
      </c>
      <c r="J115" s="6">
        <v>4652.29541015625</v>
      </c>
      <c r="K115" s="6">
        <v>4100.6279296875</v>
      </c>
    </row>
    <row r="116" spans="1:11" x14ac:dyDescent="0.3">
      <c r="A116" s="6">
        <v>109</v>
      </c>
      <c r="B116" s="7">
        <v>11262</v>
      </c>
      <c r="C116" s="8">
        <v>1796.4207763671875</v>
      </c>
      <c r="D116" s="6">
        <v>4918.34912109375</v>
      </c>
      <c r="E116" s="8">
        <v>1605.8980712890625</v>
      </c>
      <c r="F116" s="8">
        <v>77.865379333496094</v>
      </c>
      <c r="G116" s="8">
        <v>834.09930419921875</v>
      </c>
      <c r="H116" s="18">
        <v>55.951328277587891</v>
      </c>
      <c r="I116" s="6">
        <v>0</v>
      </c>
      <c r="J116" s="6">
        <v>5421.654296875</v>
      </c>
      <c r="K116" s="6">
        <v>4724.89697265625</v>
      </c>
    </row>
    <row r="117" spans="1:11" x14ac:dyDescent="0.3">
      <c r="A117" s="6">
        <v>110</v>
      </c>
      <c r="B117" s="7">
        <v>11292</v>
      </c>
      <c r="C117" s="8">
        <v>1776.1741943359375</v>
      </c>
      <c r="D117" s="6">
        <v>3547.920166015625</v>
      </c>
      <c r="E117" s="8">
        <v>1772.532958984375</v>
      </c>
      <c r="F117" s="8">
        <v>16.975309371948242</v>
      </c>
      <c r="G117" s="8">
        <v>500.8055419921875</v>
      </c>
      <c r="H117" s="18">
        <v>55.865360260009766</v>
      </c>
      <c r="I117" s="6">
        <v>1</v>
      </c>
      <c r="J117" s="6">
        <v>4468.5830078125</v>
      </c>
      <c r="K117" s="6">
        <v>4220.2998046875</v>
      </c>
    </row>
    <row r="118" spans="1:11" x14ac:dyDescent="0.3">
      <c r="A118" s="6">
        <v>111</v>
      </c>
      <c r="B118" s="7">
        <v>11323</v>
      </c>
      <c r="C118" s="8">
        <v>1767.3125</v>
      </c>
      <c r="D118" s="6">
        <v>3250</v>
      </c>
      <c r="E118" s="8">
        <v>1918.959716796875</v>
      </c>
      <c r="F118" s="8">
        <v>0</v>
      </c>
      <c r="G118" s="8">
        <v>310.6317138671875</v>
      </c>
      <c r="H118" s="18">
        <v>53.182826995849609</v>
      </c>
      <c r="I118" s="6">
        <v>1</v>
      </c>
      <c r="J118" s="6">
        <v>4134.23974609375</v>
      </c>
      <c r="K118" s="6">
        <v>4083.185546875</v>
      </c>
    </row>
    <row r="119" spans="1:11" x14ac:dyDescent="0.3">
      <c r="A119" s="6">
        <v>112</v>
      </c>
      <c r="B119" s="7">
        <v>11354</v>
      </c>
      <c r="C119" s="8">
        <v>1861.8011474609375</v>
      </c>
      <c r="D119" s="6">
        <v>3250</v>
      </c>
      <c r="E119" s="8">
        <v>0</v>
      </c>
      <c r="F119" s="8">
        <v>0</v>
      </c>
      <c r="G119" s="8">
        <v>74.81182861328125</v>
      </c>
      <c r="H119" s="18">
        <v>49.073368072509766</v>
      </c>
      <c r="I119" s="6">
        <v>1</v>
      </c>
      <c r="J119" s="6">
        <v>6858.14013671875</v>
      </c>
      <c r="K119" s="6">
        <v>7525.57861328125</v>
      </c>
    </row>
    <row r="120" spans="1:11" x14ac:dyDescent="0.3">
      <c r="A120" s="6">
        <v>113</v>
      </c>
      <c r="B120" s="7">
        <v>11382</v>
      </c>
      <c r="C120" s="8">
        <v>1931.5045166015625</v>
      </c>
      <c r="D120" s="6">
        <v>3250</v>
      </c>
      <c r="E120" s="8">
        <v>0</v>
      </c>
      <c r="F120" s="8">
        <v>0</v>
      </c>
      <c r="G120" s="8">
        <v>68.422615051269531</v>
      </c>
      <c r="H120" s="18">
        <v>48.305019378662109</v>
      </c>
      <c r="I120" s="6">
        <v>1</v>
      </c>
      <c r="J120" s="6">
        <v>5388.54248046875</v>
      </c>
      <c r="K120" s="6">
        <v>5931.40673828125</v>
      </c>
    </row>
    <row r="121" spans="1:11" x14ac:dyDescent="0.3">
      <c r="A121" s="6">
        <v>114</v>
      </c>
      <c r="B121" s="7">
        <v>11413</v>
      </c>
      <c r="C121" s="8">
        <v>2060.28857421875</v>
      </c>
      <c r="D121" s="6">
        <v>3250</v>
      </c>
      <c r="E121" s="8">
        <v>0</v>
      </c>
      <c r="F121" s="8">
        <v>46.179252624511719</v>
      </c>
      <c r="G121" s="8">
        <v>112.83576965332031</v>
      </c>
      <c r="H121" s="18">
        <v>49.690456390380859</v>
      </c>
      <c r="I121" s="6">
        <v>1</v>
      </c>
      <c r="J121" s="6">
        <v>4318.54443359375</v>
      </c>
      <c r="K121" s="6">
        <v>5090.62353515625</v>
      </c>
    </row>
    <row r="122" spans="1:11" x14ac:dyDescent="0.3">
      <c r="A122" s="6">
        <v>115</v>
      </c>
      <c r="B122" s="7">
        <v>11443</v>
      </c>
      <c r="C122" s="8">
        <v>1860.261474609375</v>
      </c>
      <c r="D122" s="6">
        <v>6839.51904296875</v>
      </c>
      <c r="E122" s="8">
        <v>0</v>
      </c>
      <c r="F122" s="8">
        <v>166.208740234375</v>
      </c>
      <c r="G122" s="8">
        <v>541.11907958984375</v>
      </c>
      <c r="H122" s="18">
        <v>50.956645965576172</v>
      </c>
      <c r="I122" s="6">
        <v>0</v>
      </c>
      <c r="J122" s="6">
        <v>7332.56103515625</v>
      </c>
      <c r="K122" s="6">
        <v>7097.9990234375</v>
      </c>
    </row>
    <row r="123" spans="1:11" x14ac:dyDescent="0.3">
      <c r="A123" s="6">
        <v>116</v>
      </c>
      <c r="B123" s="7">
        <v>11474</v>
      </c>
      <c r="C123" s="8">
        <v>1533.49609375</v>
      </c>
      <c r="D123" s="6">
        <v>8021.2177734375</v>
      </c>
      <c r="E123" s="8">
        <v>0</v>
      </c>
      <c r="F123" s="8">
        <v>149.48806762695313</v>
      </c>
      <c r="G123" s="8">
        <v>2010.7308349609375</v>
      </c>
      <c r="H123" s="18">
        <v>54.440109252929688</v>
      </c>
      <c r="I123" s="6">
        <v>0</v>
      </c>
      <c r="J123" s="6">
        <v>8317.6962890625</v>
      </c>
      <c r="K123" s="6">
        <v>6481.25048828125</v>
      </c>
    </row>
    <row r="124" spans="1:11" x14ac:dyDescent="0.3">
      <c r="A124" s="6">
        <v>117</v>
      </c>
      <c r="B124" s="7">
        <v>11504</v>
      </c>
      <c r="C124" s="8">
        <v>1203.680419921875</v>
      </c>
      <c r="D124" s="6">
        <v>8236.236328125</v>
      </c>
      <c r="E124" s="8">
        <v>0</v>
      </c>
      <c r="F124" s="8">
        <v>183.68203735351563</v>
      </c>
      <c r="G124" s="8">
        <v>2250.943115234375</v>
      </c>
      <c r="H124" s="18">
        <v>53.915287017822266</v>
      </c>
      <c r="I124" s="6">
        <v>0</v>
      </c>
      <c r="J124" s="6">
        <v>8491.76953125</v>
      </c>
      <c r="K124" s="6">
        <v>6274.59130859375</v>
      </c>
    </row>
    <row r="125" spans="1:11" x14ac:dyDescent="0.3">
      <c r="A125" s="6">
        <v>118</v>
      </c>
      <c r="B125" s="7">
        <v>11535</v>
      </c>
      <c r="C125" s="8">
        <v>751.55364990234375</v>
      </c>
      <c r="D125" s="6">
        <v>9719.40234375</v>
      </c>
      <c r="E125" s="8">
        <v>2101.413818359375</v>
      </c>
      <c r="F125" s="8">
        <v>229.37615966796875</v>
      </c>
      <c r="G125" s="8">
        <v>2281.4833984375</v>
      </c>
      <c r="H125" s="18">
        <v>56.554588317871094</v>
      </c>
      <c r="I125" s="6">
        <v>0</v>
      </c>
      <c r="J125" s="6">
        <v>9598.4697265625</v>
      </c>
      <c r="K125" s="6">
        <v>7347.96630859375</v>
      </c>
    </row>
    <row r="126" spans="1:11" x14ac:dyDescent="0.3">
      <c r="A126" s="6">
        <v>119</v>
      </c>
      <c r="B126" s="7">
        <v>11566</v>
      </c>
      <c r="C126" s="8">
        <v>610.4549560546875</v>
      </c>
      <c r="D126" s="6">
        <v>7545.84521484375</v>
      </c>
      <c r="E126" s="8">
        <v>1954.847412109375</v>
      </c>
      <c r="F126" s="8">
        <v>182.97337341308594</v>
      </c>
      <c r="G126" s="8">
        <v>1795.085693359375</v>
      </c>
      <c r="H126" s="18">
        <v>60.215301513671875</v>
      </c>
      <c r="I126" s="6">
        <v>0</v>
      </c>
      <c r="J126" s="6">
        <v>7454.92138671875</v>
      </c>
      <c r="K126" s="6">
        <v>5679.5146484375</v>
      </c>
    </row>
    <row r="127" spans="1:11" x14ac:dyDescent="0.3">
      <c r="A127" s="6">
        <v>120</v>
      </c>
      <c r="B127" s="7">
        <v>11596</v>
      </c>
      <c r="C127" s="8">
        <v>558.61627197265625</v>
      </c>
      <c r="D127" s="6">
        <v>4364.51904296875</v>
      </c>
      <c r="E127" s="8">
        <v>2060.603515625</v>
      </c>
      <c r="F127" s="8">
        <v>82.770782470703125</v>
      </c>
      <c r="G127" s="8">
        <v>507.3187255859375</v>
      </c>
      <c r="H127" s="18">
        <v>64.5489501953125</v>
      </c>
      <c r="I127" s="6">
        <v>0</v>
      </c>
      <c r="J127" s="6">
        <v>4524.18701171875</v>
      </c>
      <c r="K127" s="6">
        <v>4017.356201171875</v>
      </c>
    </row>
    <row r="128" spans="1:11" x14ac:dyDescent="0.3">
      <c r="A128" s="6">
        <v>121</v>
      </c>
      <c r="B128" s="7">
        <v>11627</v>
      </c>
      <c r="C128" s="8">
        <v>550</v>
      </c>
      <c r="D128" s="6">
        <v>4642.38427734375</v>
      </c>
      <c r="E128" s="8">
        <v>1549.2154541015625</v>
      </c>
      <c r="F128" s="8">
        <v>82.050102233886719</v>
      </c>
      <c r="G128" s="8">
        <v>623.1375732421875</v>
      </c>
      <c r="H128" s="18">
        <v>61.203159332275391</v>
      </c>
      <c r="I128" s="6">
        <v>1</v>
      </c>
      <c r="J128" s="6">
        <v>5197.263671875</v>
      </c>
      <c r="K128" s="6">
        <v>4729.076171875</v>
      </c>
    </row>
    <row r="129" spans="1:11" x14ac:dyDescent="0.3">
      <c r="A129" s="6">
        <v>122</v>
      </c>
      <c r="B129" s="7">
        <v>11657</v>
      </c>
      <c r="C129" s="8">
        <v>550</v>
      </c>
      <c r="D129" s="6">
        <v>3196.133056640625</v>
      </c>
      <c r="E129" s="8">
        <v>1329.917724609375</v>
      </c>
      <c r="F129" s="8">
        <v>16.975309371948242</v>
      </c>
      <c r="G129" s="8">
        <v>357.7464599609375</v>
      </c>
      <c r="H129" s="18">
        <v>55.843387603759766</v>
      </c>
      <c r="I129" s="6">
        <v>1</v>
      </c>
      <c r="J129" s="6">
        <v>4062.998046875</v>
      </c>
      <c r="K129" s="6">
        <v>3975.056884765625</v>
      </c>
    </row>
    <row r="130" spans="1:11" x14ac:dyDescent="0.3">
      <c r="A130" s="6">
        <v>123</v>
      </c>
      <c r="B130" s="7">
        <v>11688</v>
      </c>
      <c r="C130" s="8">
        <v>788.0953369140625</v>
      </c>
      <c r="D130" s="6">
        <v>3250</v>
      </c>
      <c r="E130" s="8">
        <v>0</v>
      </c>
      <c r="F130" s="8">
        <v>0</v>
      </c>
      <c r="G130" s="8">
        <v>119.09523773193359</v>
      </c>
      <c r="H130" s="18">
        <v>48.103530883789063</v>
      </c>
      <c r="I130" s="6">
        <v>1</v>
      </c>
      <c r="J130" s="6">
        <v>10355.7587890625</v>
      </c>
      <c r="K130" s="6">
        <v>11493.3935546875</v>
      </c>
    </row>
    <row r="131" spans="1:11" x14ac:dyDescent="0.3">
      <c r="A131" s="6">
        <v>124</v>
      </c>
      <c r="B131" s="7">
        <v>11719</v>
      </c>
      <c r="C131" s="8">
        <v>969.96240234375</v>
      </c>
      <c r="D131" s="6">
        <v>3250</v>
      </c>
      <c r="E131" s="8">
        <v>0</v>
      </c>
      <c r="F131" s="8">
        <v>0</v>
      </c>
      <c r="G131" s="8">
        <v>62.546485900878906</v>
      </c>
      <c r="H131" s="18">
        <v>43.003231048583984</v>
      </c>
      <c r="I131" s="6">
        <v>1</v>
      </c>
      <c r="J131" s="6">
        <v>6620.240234375</v>
      </c>
      <c r="K131" s="6">
        <v>7485.17431640625</v>
      </c>
    </row>
    <row r="132" spans="1:11" x14ac:dyDescent="0.3">
      <c r="A132" s="6">
        <v>125</v>
      </c>
      <c r="B132" s="7">
        <v>11748</v>
      </c>
      <c r="C132" s="8">
        <v>1137.4171142578125</v>
      </c>
      <c r="D132" s="6">
        <v>3250</v>
      </c>
      <c r="E132" s="8">
        <v>0</v>
      </c>
      <c r="F132" s="8">
        <v>0</v>
      </c>
      <c r="G132" s="8">
        <v>49.912750244140625</v>
      </c>
      <c r="H132" s="18">
        <v>43.765758514404297</v>
      </c>
      <c r="I132" s="6">
        <v>1</v>
      </c>
      <c r="J132" s="6">
        <v>5087.7548828125</v>
      </c>
      <c r="K132" s="6">
        <v>5804.8349609375</v>
      </c>
    </row>
    <row r="133" spans="1:11" x14ac:dyDescent="0.3">
      <c r="A133" s="6">
        <v>126</v>
      </c>
      <c r="B133" s="7">
        <v>11779</v>
      </c>
      <c r="C133" s="8">
        <v>1577.3084716796875</v>
      </c>
      <c r="D133" s="6">
        <v>3250</v>
      </c>
      <c r="E133" s="8">
        <v>7.1065473556518555</v>
      </c>
      <c r="F133" s="8">
        <v>0</v>
      </c>
      <c r="G133" s="8">
        <v>43.171005249023438</v>
      </c>
      <c r="H133" s="18">
        <v>47.089759826660156</v>
      </c>
      <c r="I133" s="6">
        <v>1</v>
      </c>
      <c r="J133" s="6">
        <v>4981.2568359375</v>
      </c>
      <c r="K133" s="6">
        <v>6346.63037109375</v>
      </c>
    </row>
    <row r="134" spans="1:11" x14ac:dyDescent="0.3">
      <c r="A134" s="6">
        <v>127</v>
      </c>
      <c r="B134" s="7">
        <v>11809</v>
      </c>
      <c r="C134" s="8">
        <v>1787.3011474609375</v>
      </c>
      <c r="D134" s="6">
        <v>3250</v>
      </c>
      <c r="E134" s="8">
        <v>0</v>
      </c>
      <c r="F134" s="8">
        <v>0</v>
      </c>
      <c r="G134" s="8">
        <v>527.22991943359375</v>
      </c>
      <c r="H134" s="18">
        <v>49.347862243652344</v>
      </c>
      <c r="I134" s="6">
        <v>1</v>
      </c>
      <c r="J134" s="6">
        <v>4720.82177734375</v>
      </c>
      <c r="K134" s="6">
        <v>5330.1533203125</v>
      </c>
    </row>
    <row r="135" spans="1:11" x14ac:dyDescent="0.3">
      <c r="A135" s="6">
        <v>128</v>
      </c>
      <c r="B135" s="7">
        <v>11840</v>
      </c>
      <c r="C135" s="8">
        <v>1880.785400390625</v>
      </c>
      <c r="D135" s="6">
        <v>4951.02978515625</v>
      </c>
      <c r="E135" s="8">
        <v>0</v>
      </c>
      <c r="F135" s="8">
        <v>0</v>
      </c>
      <c r="G135" s="8">
        <v>2037.6466064453125</v>
      </c>
      <c r="H135" s="18">
        <v>51.659408569335938</v>
      </c>
      <c r="I135" s="6">
        <v>1</v>
      </c>
      <c r="J135" s="6">
        <v>6613.0830078125</v>
      </c>
      <c r="K135" s="6">
        <v>5748.830078125</v>
      </c>
    </row>
    <row r="136" spans="1:11" x14ac:dyDescent="0.3">
      <c r="A136" s="6">
        <v>129</v>
      </c>
      <c r="B136" s="7">
        <v>11870</v>
      </c>
      <c r="C136" s="8">
        <v>1657.180419921875</v>
      </c>
      <c r="D136" s="6">
        <v>7197.30029296875</v>
      </c>
      <c r="E136" s="8">
        <v>1635.8052978515625</v>
      </c>
      <c r="F136" s="8">
        <v>0</v>
      </c>
      <c r="G136" s="8">
        <v>2546.35791015625</v>
      </c>
      <c r="H136" s="18">
        <v>54.089519500732422</v>
      </c>
      <c r="I136" s="6">
        <v>0</v>
      </c>
      <c r="J136" s="6">
        <v>7821.6533203125</v>
      </c>
      <c r="K136" s="6">
        <v>5622.8359375</v>
      </c>
    </row>
    <row r="137" spans="1:11" x14ac:dyDescent="0.3">
      <c r="A137" s="6">
        <v>130</v>
      </c>
      <c r="B137" s="7">
        <v>11901</v>
      </c>
      <c r="C137" s="8">
        <v>1286.91845703125</v>
      </c>
      <c r="D137" s="6">
        <v>8582.53125</v>
      </c>
      <c r="E137" s="8">
        <v>2001.3604736328125</v>
      </c>
      <c r="F137" s="8">
        <v>0</v>
      </c>
      <c r="G137" s="8">
        <v>2538.07568359375</v>
      </c>
      <c r="H137" s="18">
        <v>55.753875732421875</v>
      </c>
      <c r="I137" s="6">
        <v>0</v>
      </c>
      <c r="J137" s="6">
        <v>8756.9287109375</v>
      </c>
      <c r="K137" s="6">
        <v>6255.7373046875</v>
      </c>
    </row>
    <row r="138" spans="1:11" x14ac:dyDescent="0.3">
      <c r="A138" s="6">
        <v>131</v>
      </c>
      <c r="B138" s="7">
        <v>11932</v>
      </c>
      <c r="C138" s="8">
        <v>1021.597900390625</v>
      </c>
      <c r="D138" s="6">
        <v>7272.603515625</v>
      </c>
      <c r="E138" s="8">
        <v>1881.437744140625</v>
      </c>
      <c r="F138" s="8">
        <v>0</v>
      </c>
      <c r="G138" s="8">
        <v>1811.549560546875</v>
      </c>
      <c r="H138" s="18">
        <v>56.056655883789063</v>
      </c>
      <c r="I138" s="6">
        <v>0</v>
      </c>
      <c r="J138" s="6">
        <v>7386.26171875</v>
      </c>
      <c r="K138" s="6">
        <v>5594.39111328125</v>
      </c>
    </row>
    <row r="139" spans="1:11" x14ac:dyDescent="0.3">
      <c r="A139" s="6">
        <v>132</v>
      </c>
      <c r="B139" s="7">
        <v>11962</v>
      </c>
      <c r="C139" s="8">
        <v>902.0557861328125</v>
      </c>
      <c r="D139" s="6">
        <v>4230.2568359375</v>
      </c>
      <c r="E139" s="8">
        <v>909.056396484375</v>
      </c>
      <c r="F139" s="8">
        <v>0</v>
      </c>
      <c r="G139" s="8">
        <v>632.9815673828125</v>
      </c>
      <c r="H139" s="18">
        <v>60.007061004638672</v>
      </c>
      <c r="I139" s="6">
        <v>1</v>
      </c>
      <c r="J139" s="6">
        <v>4467.96826171875</v>
      </c>
      <c r="K139" s="6">
        <v>3838.929931640625</v>
      </c>
    </row>
    <row r="140" spans="1:11" x14ac:dyDescent="0.3">
      <c r="A140" s="6">
        <v>133</v>
      </c>
      <c r="B140" s="7">
        <v>11993</v>
      </c>
      <c r="C140" s="8">
        <v>812.674560546875</v>
      </c>
      <c r="D140" s="6">
        <v>4731.11376953125</v>
      </c>
      <c r="E140" s="8">
        <v>1075.1279296875</v>
      </c>
      <c r="F140" s="8">
        <v>54.211467742919922</v>
      </c>
      <c r="G140" s="8">
        <v>852.56134033203125</v>
      </c>
      <c r="H140" s="18">
        <v>61.159164428710938</v>
      </c>
      <c r="I140" s="6">
        <v>0</v>
      </c>
      <c r="J140" s="6">
        <v>5002.9189453125</v>
      </c>
      <c r="K140" s="6">
        <v>4253.89599609375</v>
      </c>
    </row>
    <row r="141" spans="1:11" x14ac:dyDescent="0.3">
      <c r="A141" s="6">
        <v>134</v>
      </c>
      <c r="B141" s="7">
        <v>12023</v>
      </c>
      <c r="C141" s="8">
        <v>780.75787353515625</v>
      </c>
      <c r="D141" s="6">
        <v>3602.162841796875</v>
      </c>
      <c r="E141" s="8">
        <v>1139.5615234375</v>
      </c>
      <c r="F141" s="8">
        <v>16.975309371948242</v>
      </c>
      <c r="G141" s="8">
        <v>547.83819580078125</v>
      </c>
      <c r="H141" s="18">
        <v>56.736282348632813</v>
      </c>
      <c r="I141" s="6">
        <v>1</v>
      </c>
      <c r="J141" s="6">
        <v>4100.1142578125</v>
      </c>
      <c r="K141" s="6">
        <v>3748.159912109375</v>
      </c>
    </row>
    <row r="142" spans="1:11" x14ac:dyDescent="0.3">
      <c r="A142" s="6">
        <v>135</v>
      </c>
      <c r="B142" s="7">
        <v>12054</v>
      </c>
      <c r="C142" s="8">
        <v>768.142822265625</v>
      </c>
      <c r="D142" s="6">
        <v>3250</v>
      </c>
      <c r="E142" s="8">
        <v>2675.63427734375</v>
      </c>
      <c r="F142" s="8">
        <v>0</v>
      </c>
      <c r="G142" s="8">
        <v>229.31451416015625</v>
      </c>
      <c r="H142" s="18">
        <v>51.683391571044922</v>
      </c>
      <c r="I142" s="6">
        <v>1</v>
      </c>
      <c r="J142" s="6">
        <v>4638.05859375</v>
      </c>
      <c r="K142" s="6">
        <v>4677.986328125</v>
      </c>
    </row>
    <row r="143" spans="1:11" x14ac:dyDescent="0.3">
      <c r="A143" s="6">
        <v>136</v>
      </c>
      <c r="B143" s="7">
        <v>12085</v>
      </c>
      <c r="C143" s="8">
        <v>793.6121826171875</v>
      </c>
      <c r="D143" s="6">
        <v>3250</v>
      </c>
      <c r="E143" s="8">
        <v>0</v>
      </c>
      <c r="F143" s="8">
        <v>0</v>
      </c>
      <c r="G143" s="8">
        <v>74.81182861328125</v>
      </c>
      <c r="H143" s="18">
        <v>46.943901062011719</v>
      </c>
      <c r="I143" s="6">
        <v>1</v>
      </c>
      <c r="J143" s="6">
        <v>6561.541015625</v>
      </c>
      <c r="K143" s="6">
        <v>6912.98193359375</v>
      </c>
    </row>
    <row r="144" spans="1:11" x14ac:dyDescent="0.3">
      <c r="A144" s="6">
        <v>137</v>
      </c>
      <c r="B144" s="7">
        <v>12113</v>
      </c>
      <c r="C144" s="8">
        <v>838.2850341796875</v>
      </c>
      <c r="D144" s="6">
        <v>3250</v>
      </c>
      <c r="E144" s="8">
        <v>0</v>
      </c>
      <c r="F144" s="8">
        <v>0</v>
      </c>
      <c r="G144" s="8">
        <v>68.422615051269531</v>
      </c>
      <c r="H144" s="18">
        <v>45.657817840576172</v>
      </c>
      <c r="I144" s="6">
        <v>1</v>
      </c>
      <c r="J144" s="6">
        <v>5196.244140625</v>
      </c>
      <c r="K144" s="6">
        <v>5555.07080078125</v>
      </c>
    </row>
    <row r="145" spans="1:11" x14ac:dyDescent="0.3">
      <c r="A145" s="6">
        <v>138</v>
      </c>
      <c r="B145" s="7">
        <v>12144</v>
      </c>
      <c r="C145" s="8">
        <v>1457.1966552734375</v>
      </c>
      <c r="D145" s="6">
        <v>3250</v>
      </c>
      <c r="E145" s="8">
        <v>0</v>
      </c>
      <c r="F145" s="8">
        <v>20.583751678466797</v>
      </c>
      <c r="G145" s="8">
        <v>81.727760314941406</v>
      </c>
      <c r="H145" s="18">
        <v>48.224052429199219</v>
      </c>
      <c r="I145" s="6">
        <v>1</v>
      </c>
      <c r="J145" s="6">
        <v>7709.080078125</v>
      </c>
      <c r="K145" s="6">
        <v>8669.53125</v>
      </c>
    </row>
    <row r="146" spans="1:11" x14ac:dyDescent="0.3">
      <c r="A146" s="6">
        <v>139</v>
      </c>
      <c r="B146" s="7">
        <v>12174</v>
      </c>
      <c r="C146" s="8">
        <v>1716.4488525390625</v>
      </c>
      <c r="D146" s="6">
        <v>3250</v>
      </c>
      <c r="E146" s="8">
        <v>0</v>
      </c>
      <c r="F146" s="8">
        <v>180.99517822265625</v>
      </c>
      <c r="G146" s="8">
        <v>566.2322998046875</v>
      </c>
      <c r="H146" s="18">
        <v>51.034336090087891</v>
      </c>
      <c r="I146" s="6">
        <v>1</v>
      </c>
      <c r="J146" s="6">
        <v>4513.1484375</v>
      </c>
      <c r="K146" s="6">
        <v>4929.328125</v>
      </c>
    </row>
    <row r="147" spans="1:11" x14ac:dyDescent="0.3">
      <c r="A147" s="6">
        <v>140</v>
      </c>
      <c r="B147" s="7">
        <v>12205</v>
      </c>
      <c r="C147" s="8">
        <v>1691.36767578125</v>
      </c>
      <c r="D147" s="6">
        <v>6501.3232421875</v>
      </c>
      <c r="E147" s="8">
        <v>0</v>
      </c>
      <c r="F147" s="8">
        <v>170.30894470214844</v>
      </c>
      <c r="G147" s="8">
        <v>2197.37890625</v>
      </c>
      <c r="H147" s="18">
        <v>51.829986572265625</v>
      </c>
      <c r="I147" s="6">
        <v>1</v>
      </c>
      <c r="J147" s="6">
        <v>7513.27294921875</v>
      </c>
      <c r="K147" s="6">
        <v>6115.16455078125</v>
      </c>
    </row>
    <row r="148" spans="1:11" x14ac:dyDescent="0.3">
      <c r="A148" s="6">
        <v>141</v>
      </c>
      <c r="B148" s="7">
        <v>12235</v>
      </c>
      <c r="C148" s="8">
        <v>1503.1099853515625</v>
      </c>
      <c r="D148" s="6">
        <v>7378.09228515625</v>
      </c>
      <c r="E148" s="8">
        <v>0</v>
      </c>
      <c r="F148" s="8">
        <v>210.99021911621094</v>
      </c>
      <c r="G148" s="8">
        <v>2481.931884765625</v>
      </c>
      <c r="H148" s="18">
        <v>54.679584503173828</v>
      </c>
      <c r="I148" s="6">
        <v>0</v>
      </c>
      <c r="J148" s="6">
        <v>7780.64892578125</v>
      </c>
      <c r="K148" s="6">
        <v>5766.3466796875</v>
      </c>
    </row>
    <row r="149" spans="1:11" x14ac:dyDescent="0.3">
      <c r="A149" s="6">
        <v>142</v>
      </c>
      <c r="B149" s="7">
        <v>12266</v>
      </c>
      <c r="C149" s="8">
        <v>1036.812744140625</v>
      </c>
      <c r="D149" s="6">
        <v>10174.720703125</v>
      </c>
      <c r="E149" s="8">
        <v>1221.7886962890625</v>
      </c>
      <c r="F149" s="8">
        <v>230.72744750976563</v>
      </c>
      <c r="G149" s="8">
        <v>2281.4833984375</v>
      </c>
      <c r="H149" s="18">
        <v>55.866065979003906</v>
      </c>
      <c r="I149" s="6">
        <v>0</v>
      </c>
      <c r="J149" s="6">
        <v>10190.7998046875</v>
      </c>
      <c r="K149" s="6">
        <v>7964.02685546875</v>
      </c>
    </row>
    <row r="150" spans="1:11" x14ac:dyDescent="0.3">
      <c r="A150" s="6">
        <v>143</v>
      </c>
      <c r="B150" s="7">
        <v>12297</v>
      </c>
      <c r="C150" s="8">
        <v>696.4630126953125</v>
      </c>
      <c r="D150" s="6">
        <v>8038.21875</v>
      </c>
      <c r="E150" s="8">
        <v>1026.3896484375</v>
      </c>
      <c r="F150" s="8">
        <v>184.07438659667969</v>
      </c>
      <c r="G150" s="8">
        <v>1795.085693359375</v>
      </c>
      <c r="H150" s="18">
        <v>59.603187561035156</v>
      </c>
      <c r="I150" s="6">
        <v>0</v>
      </c>
      <c r="J150" s="6">
        <v>8027.85400390625</v>
      </c>
      <c r="K150" s="6">
        <v>6252.447265625</v>
      </c>
    </row>
    <row r="151" spans="1:11" x14ac:dyDescent="0.3">
      <c r="A151" s="6">
        <v>144</v>
      </c>
      <c r="B151" s="7">
        <v>12327</v>
      </c>
      <c r="C151" s="8">
        <v>614.1947021484375</v>
      </c>
      <c r="D151" s="6">
        <v>4193.42236328125</v>
      </c>
      <c r="E151" s="8">
        <v>1631.19287109375</v>
      </c>
      <c r="F151" s="8">
        <v>84.612449645996094</v>
      </c>
      <c r="G151" s="8">
        <v>498.95977783203125</v>
      </c>
      <c r="H151" s="18">
        <v>65.12811279296875</v>
      </c>
      <c r="I151" s="6">
        <v>1</v>
      </c>
      <c r="J151" s="6">
        <v>4468.83984375</v>
      </c>
      <c r="K151" s="6">
        <v>3973.5302734375</v>
      </c>
    </row>
    <row r="152" spans="1:11" x14ac:dyDescent="0.3">
      <c r="A152" s="6">
        <v>145</v>
      </c>
      <c r="B152" s="7">
        <v>12358</v>
      </c>
      <c r="C152" s="8">
        <v>582.65185546875</v>
      </c>
      <c r="D152" s="6">
        <v>4312.025390625</v>
      </c>
      <c r="E152" s="8">
        <v>1357.4503173828125</v>
      </c>
      <c r="F152" s="8">
        <v>74.506988525390625</v>
      </c>
      <c r="G152" s="8">
        <v>606.4779052734375</v>
      </c>
      <c r="H152" s="18">
        <v>62.519485473632813</v>
      </c>
      <c r="I152" s="6">
        <v>1</v>
      </c>
      <c r="J152" s="6">
        <v>4838.27734375</v>
      </c>
      <c r="K152" s="6">
        <v>4383.5498046875</v>
      </c>
    </row>
    <row r="153" spans="1:11" x14ac:dyDescent="0.3">
      <c r="A153" s="6">
        <v>146</v>
      </c>
      <c r="B153" s="7">
        <v>12388</v>
      </c>
      <c r="C153" s="8">
        <v>582.9273681640625</v>
      </c>
      <c r="D153" s="6">
        <v>3250</v>
      </c>
      <c r="E153" s="8">
        <v>1382.873779296875</v>
      </c>
      <c r="F153" s="8">
        <v>19.670795440673828</v>
      </c>
      <c r="G153" s="8">
        <v>432.326904296875</v>
      </c>
      <c r="H153" s="18">
        <v>57.044578552246094</v>
      </c>
      <c r="I153" s="6">
        <v>1</v>
      </c>
      <c r="J153" s="6">
        <v>3905.578369140625</v>
      </c>
      <c r="K153" s="6">
        <v>3661.677490234375</v>
      </c>
    </row>
    <row r="154" spans="1:11" x14ac:dyDescent="0.3">
      <c r="A154" s="6">
        <v>147</v>
      </c>
      <c r="B154" s="7">
        <v>12419</v>
      </c>
      <c r="C154" s="8">
        <v>726.39617919921875</v>
      </c>
      <c r="D154" s="6">
        <v>3250</v>
      </c>
      <c r="E154" s="8">
        <v>632.6298828125</v>
      </c>
      <c r="F154" s="8">
        <v>0</v>
      </c>
      <c r="G154" s="8">
        <v>119.09523773193359</v>
      </c>
      <c r="H154" s="18">
        <v>51.031265258789063</v>
      </c>
      <c r="I154" s="6">
        <v>1</v>
      </c>
      <c r="J154" s="6">
        <v>6979.626953125</v>
      </c>
      <c r="K154" s="6">
        <v>7809.68310546875</v>
      </c>
    </row>
    <row r="155" spans="1:11" x14ac:dyDescent="0.3">
      <c r="A155" s="6">
        <v>148</v>
      </c>
      <c r="B155" s="7">
        <v>12450</v>
      </c>
      <c r="C155" s="8">
        <v>1014.2672119140625</v>
      </c>
      <c r="D155" s="6">
        <v>3250</v>
      </c>
      <c r="E155" s="8">
        <v>0</v>
      </c>
      <c r="F155" s="8">
        <v>0</v>
      </c>
      <c r="G155" s="8">
        <v>90.600921630859375</v>
      </c>
      <c r="H155" s="18">
        <v>44.303474426269531</v>
      </c>
      <c r="I155" s="6">
        <v>1</v>
      </c>
      <c r="J155" s="6">
        <v>7607.4033203125</v>
      </c>
      <c r="K155" s="6">
        <v>8565.849609375</v>
      </c>
    </row>
    <row r="156" spans="1:11" x14ac:dyDescent="0.3">
      <c r="A156" s="6">
        <v>149</v>
      </c>
      <c r="B156" s="7">
        <v>12478</v>
      </c>
      <c r="C156" s="8">
        <v>1311.39208984375</v>
      </c>
      <c r="D156" s="6">
        <v>3250</v>
      </c>
      <c r="E156" s="8">
        <v>0</v>
      </c>
      <c r="F156" s="8">
        <v>0</v>
      </c>
      <c r="G156" s="8">
        <v>51.695350646972656</v>
      </c>
      <c r="H156" s="18">
        <v>44.371536254882813</v>
      </c>
      <c r="I156" s="6">
        <v>1</v>
      </c>
      <c r="J156" s="6">
        <v>7528.9716796875</v>
      </c>
      <c r="K156" s="6">
        <v>8658.693359375</v>
      </c>
    </row>
    <row r="157" spans="1:11" x14ac:dyDescent="0.3">
      <c r="A157" s="6">
        <v>150</v>
      </c>
      <c r="B157" s="7">
        <v>12509</v>
      </c>
      <c r="C157" s="8">
        <v>1539.3858642578125</v>
      </c>
      <c r="D157" s="6">
        <v>3250</v>
      </c>
      <c r="E157" s="8">
        <v>2401.542236328125</v>
      </c>
      <c r="F157" s="8">
        <v>3.4235942363739014</v>
      </c>
      <c r="G157" s="8">
        <v>37.658077239990234</v>
      </c>
      <c r="H157" s="18">
        <v>47.763168334960938</v>
      </c>
      <c r="I157" s="6">
        <v>1</v>
      </c>
      <c r="J157" s="6">
        <v>5529.17822265625</v>
      </c>
      <c r="K157" s="6">
        <v>6545.220703125</v>
      </c>
    </row>
    <row r="158" spans="1:11" x14ac:dyDescent="0.3">
      <c r="A158" s="6">
        <v>151</v>
      </c>
      <c r="B158" s="7">
        <v>12539</v>
      </c>
      <c r="C158" s="8">
        <v>1640.1229248046875</v>
      </c>
      <c r="D158" s="6">
        <v>3250</v>
      </c>
      <c r="E158" s="8">
        <v>0</v>
      </c>
      <c r="F158" s="8">
        <v>162.71662902832031</v>
      </c>
      <c r="G158" s="8">
        <v>521.53076171875</v>
      </c>
      <c r="H158" s="18">
        <v>50.49676513671875</v>
      </c>
      <c r="I158" s="6">
        <v>1</v>
      </c>
      <c r="J158" s="6">
        <v>4862.3828125</v>
      </c>
      <c r="K158" s="6">
        <v>4953.18115234375</v>
      </c>
    </row>
    <row r="159" spans="1:11" x14ac:dyDescent="0.3">
      <c r="A159" s="6">
        <v>152</v>
      </c>
      <c r="B159" s="7">
        <v>12570</v>
      </c>
      <c r="C159" s="8">
        <v>1420.9012451171875</v>
      </c>
      <c r="D159" s="6">
        <v>6994.35986328125</v>
      </c>
      <c r="E159" s="8">
        <v>0</v>
      </c>
      <c r="F159" s="8">
        <v>222.39739990234375</v>
      </c>
      <c r="G159" s="8">
        <v>2243.647216796875</v>
      </c>
      <c r="H159" s="18">
        <v>51.022247314453125</v>
      </c>
      <c r="I159" s="6">
        <v>0</v>
      </c>
      <c r="J159" s="6">
        <v>7782.72802734375</v>
      </c>
      <c r="K159" s="6">
        <v>5742.95947265625</v>
      </c>
    </row>
    <row r="160" spans="1:11" x14ac:dyDescent="0.3">
      <c r="A160" s="6">
        <v>153</v>
      </c>
      <c r="B160" s="7">
        <v>12600</v>
      </c>
      <c r="C160" s="8">
        <v>1102.0863037109375</v>
      </c>
      <c r="D160" s="6">
        <v>8056.033203125</v>
      </c>
      <c r="E160" s="8">
        <v>0</v>
      </c>
      <c r="F160" s="8">
        <v>267.839599609375</v>
      </c>
      <c r="G160" s="8">
        <v>2418.7939453125</v>
      </c>
      <c r="H160" s="18">
        <v>54.752338409423828</v>
      </c>
      <c r="I160" s="6">
        <v>0</v>
      </c>
      <c r="J160" s="6">
        <v>8247.12890625</v>
      </c>
      <c r="K160" s="6">
        <v>5869.2177734375</v>
      </c>
    </row>
    <row r="161" spans="1:11" x14ac:dyDescent="0.3">
      <c r="A161" s="6">
        <v>154</v>
      </c>
      <c r="B161" s="7">
        <v>12631</v>
      </c>
      <c r="C161" s="8">
        <v>650</v>
      </c>
      <c r="D161" s="6">
        <v>10945.8583984375</v>
      </c>
      <c r="E161" s="8">
        <v>3072.94580078125</v>
      </c>
      <c r="F161" s="8">
        <v>306.08538818359375</v>
      </c>
      <c r="G161" s="8">
        <v>2281.4833984375</v>
      </c>
      <c r="H161" s="18">
        <v>56.054607391357422</v>
      </c>
      <c r="I161" s="6">
        <v>0</v>
      </c>
      <c r="J161" s="6">
        <v>10815.01953125</v>
      </c>
      <c r="K161" s="6">
        <v>8564.515625</v>
      </c>
    </row>
    <row r="162" spans="1:11" x14ac:dyDescent="0.3">
      <c r="A162" s="6">
        <v>155</v>
      </c>
      <c r="B162" s="7">
        <v>12662</v>
      </c>
      <c r="C162" s="8">
        <v>552.88421630859375</v>
      </c>
      <c r="D162" s="6">
        <v>7174.51806640625</v>
      </c>
      <c r="E162" s="8">
        <v>3029.425537109375</v>
      </c>
      <c r="F162" s="8">
        <v>244.26849365234375</v>
      </c>
      <c r="G162" s="8">
        <v>1795.085693359375</v>
      </c>
      <c r="H162" s="18">
        <v>61.425792694091797</v>
      </c>
      <c r="I162" s="6">
        <v>0</v>
      </c>
      <c r="J162" s="6">
        <v>7084.16015625</v>
      </c>
      <c r="K162" s="6">
        <v>5308.7529296875</v>
      </c>
    </row>
    <row r="163" spans="1:11" x14ac:dyDescent="0.3">
      <c r="A163" s="6">
        <v>156</v>
      </c>
      <c r="B163" s="7">
        <v>12692</v>
      </c>
      <c r="C163" s="8">
        <v>550</v>
      </c>
      <c r="D163" s="6">
        <v>3933.37255859375</v>
      </c>
      <c r="E163" s="8">
        <v>1900.230224609375</v>
      </c>
      <c r="F163" s="8">
        <v>186.93527221679688</v>
      </c>
      <c r="G163" s="8">
        <v>354.05862426757813</v>
      </c>
      <c r="H163" s="18">
        <v>65.600120544433594</v>
      </c>
      <c r="I163" s="6">
        <v>0</v>
      </c>
      <c r="J163" s="6">
        <v>4246.44287109375</v>
      </c>
      <c r="K163" s="6">
        <v>3896.18115234375</v>
      </c>
    </row>
    <row r="164" spans="1:11" x14ac:dyDescent="0.3">
      <c r="A164" s="6">
        <v>157</v>
      </c>
      <c r="B164" s="7">
        <v>12723</v>
      </c>
      <c r="C164" s="8">
        <v>550</v>
      </c>
      <c r="D164" s="6">
        <v>2702.642333984375</v>
      </c>
      <c r="E164" s="8">
        <v>1445.2672119140625</v>
      </c>
      <c r="F164" s="8">
        <v>0</v>
      </c>
      <c r="G164" s="8">
        <v>0</v>
      </c>
      <c r="H164" s="18">
        <v>63.081687927246094</v>
      </c>
      <c r="I164" s="6">
        <v>1</v>
      </c>
      <c r="J164" s="6">
        <v>3310.138427734375</v>
      </c>
      <c r="K164" s="6">
        <v>3470.1630859375</v>
      </c>
    </row>
    <row r="165" spans="1:11" x14ac:dyDescent="0.3">
      <c r="A165" s="6">
        <v>158</v>
      </c>
      <c r="B165" s="7">
        <v>12753</v>
      </c>
      <c r="C165" s="8">
        <v>634.45013427734375</v>
      </c>
      <c r="D165" s="6">
        <v>3250</v>
      </c>
      <c r="E165" s="8">
        <v>2579.600341796875</v>
      </c>
      <c r="F165" s="8">
        <v>0</v>
      </c>
      <c r="G165" s="8">
        <v>285.06243896484375</v>
      </c>
      <c r="H165" s="18">
        <v>55.841541290283203</v>
      </c>
      <c r="I165" s="6">
        <v>1</v>
      </c>
      <c r="J165" s="6">
        <v>7172.44189453125</v>
      </c>
      <c r="K165" s="6">
        <v>7534.56005859375</v>
      </c>
    </row>
    <row r="166" spans="1:11" x14ac:dyDescent="0.3">
      <c r="A166" s="6">
        <v>159</v>
      </c>
      <c r="B166" s="7">
        <v>12784</v>
      </c>
      <c r="C166" s="8">
        <v>672.10406494140625</v>
      </c>
      <c r="D166" s="6">
        <v>3250</v>
      </c>
      <c r="E166" s="8">
        <v>0</v>
      </c>
      <c r="F166" s="8">
        <v>0</v>
      </c>
      <c r="G166" s="8">
        <v>182.52265930175781</v>
      </c>
      <c r="H166" s="18">
        <v>49.316177368164063</v>
      </c>
      <c r="I166" s="6">
        <v>1</v>
      </c>
      <c r="J166" s="6">
        <v>5120.15673828125</v>
      </c>
      <c r="K166" s="6">
        <v>5477.72314453125</v>
      </c>
    </row>
    <row r="167" spans="1:11" x14ac:dyDescent="0.3">
      <c r="A167" s="6">
        <v>160</v>
      </c>
      <c r="B167" s="7">
        <v>12815</v>
      </c>
      <c r="C167" s="8">
        <v>1020.5159912109375</v>
      </c>
      <c r="D167" s="6">
        <v>3250</v>
      </c>
      <c r="E167" s="8">
        <v>0</v>
      </c>
      <c r="F167" s="8">
        <v>0</v>
      </c>
      <c r="G167" s="8">
        <v>56.44769287109375</v>
      </c>
      <c r="H167" s="18">
        <v>45.170326232910156</v>
      </c>
      <c r="I167" s="6">
        <v>1</v>
      </c>
      <c r="J167" s="6">
        <v>11656.29296875</v>
      </c>
      <c r="K167" s="6">
        <v>13203.3759765625</v>
      </c>
    </row>
    <row r="168" spans="1:11" x14ac:dyDescent="0.3">
      <c r="A168" s="6">
        <v>161</v>
      </c>
      <c r="B168" s="7">
        <v>12843</v>
      </c>
      <c r="C168" s="8">
        <v>1341.13916015625</v>
      </c>
      <c r="D168" s="6">
        <v>3250</v>
      </c>
      <c r="E168" s="8">
        <v>0</v>
      </c>
      <c r="F168" s="8">
        <v>0</v>
      </c>
      <c r="G168" s="8">
        <v>51.695350646972656</v>
      </c>
      <c r="H168" s="18">
        <v>44.483680725097656</v>
      </c>
      <c r="I168" s="6">
        <v>1</v>
      </c>
      <c r="J168" s="6">
        <v>7179.681640625</v>
      </c>
      <c r="K168" s="6">
        <v>8383.5234375</v>
      </c>
    </row>
    <row r="169" spans="1:11" x14ac:dyDescent="0.3">
      <c r="A169" s="6">
        <v>162</v>
      </c>
      <c r="B169" s="7">
        <v>12874</v>
      </c>
      <c r="C169" s="8">
        <v>1718.4853515625</v>
      </c>
      <c r="D169" s="6">
        <v>3250</v>
      </c>
      <c r="E169" s="8">
        <v>0</v>
      </c>
      <c r="F169" s="8">
        <v>0</v>
      </c>
      <c r="G169" s="8">
        <v>19.516128540039063</v>
      </c>
      <c r="H169" s="18">
        <v>45.606708526611328</v>
      </c>
      <c r="I169" s="6">
        <v>1</v>
      </c>
      <c r="J169" s="6">
        <v>8667.9951171875</v>
      </c>
      <c r="K169" s="6">
        <v>10070.1923828125</v>
      </c>
    </row>
    <row r="170" spans="1:11" x14ac:dyDescent="0.3">
      <c r="A170" s="6">
        <v>163</v>
      </c>
      <c r="B170" s="7">
        <v>12904</v>
      </c>
      <c r="C170" s="8">
        <v>2701.329833984375</v>
      </c>
      <c r="D170" s="6">
        <v>3250</v>
      </c>
      <c r="E170" s="8">
        <v>0</v>
      </c>
      <c r="F170" s="8">
        <v>1.3366308212280273</v>
      </c>
      <c r="G170" s="8">
        <v>295.18359375</v>
      </c>
      <c r="H170" s="18">
        <v>49.358055114746094</v>
      </c>
      <c r="I170" s="6">
        <v>1</v>
      </c>
      <c r="J170" s="6">
        <v>13139.7373046875</v>
      </c>
      <c r="K170" s="6">
        <v>16098.93359375</v>
      </c>
    </row>
    <row r="171" spans="1:11" x14ac:dyDescent="0.3">
      <c r="A171" s="6">
        <v>164</v>
      </c>
      <c r="B171" s="7">
        <v>12935</v>
      </c>
      <c r="C171" s="8">
        <v>2993.270751953125</v>
      </c>
      <c r="D171" s="6">
        <v>3785.33349609375</v>
      </c>
      <c r="E171" s="8">
        <v>0</v>
      </c>
      <c r="F171" s="8">
        <v>70.798858642578125</v>
      </c>
      <c r="G171" s="8">
        <v>2185.40966796875</v>
      </c>
      <c r="H171" s="18">
        <v>51.774246215820313</v>
      </c>
      <c r="I171" s="6">
        <v>1</v>
      </c>
      <c r="J171" s="6">
        <v>6272.64892578125</v>
      </c>
      <c r="K171" s="6">
        <v>5637.78759765625</v>
      </c>
    </row>
    <row r="172" spans="1:11" x14ac:dyDescent="0.3">
      <c r="A172" s="6">
        <v>165</v>
      </c>
      <c r="B172" s="7">
        <v>12965</v>
      </c>
      <c r="C172" s="8">
        <v>2742.553466796875</v>
      </c>
      <c r="D172" s="6">
        <v>8129.7919921875</v>
      </c>
      <c r="E172" s="8">
        <v>0</v>
      </c>
      <c r="F172" s="8">
        <v>355.03094482421875</v>
      </c>
      <c r="G172" s="8">
        <v>2600.013916015625</v>
      </c>
      <c r="H172" s="18">
        <v>51.700939178466797</v>
      </c>
      <c r="I172" s="6">
        <v>0</v>
      </c>
      <c r="J172" s="6">
        <v>8394.9873046875</v>
      </c>
      <c r="K172" s="6">
        <v>6245.052734375</v>
      </c>
    </row>
    <row r="173" spans="1:11" x14ac:dyDescent="0.3">
      <c r="A173" s="6">
        <v>166</v>
      </c>
      <c r="B173" s="7">
        <v>12996</v>
      </c>
      <c r="C173" s="8">
        <v>2381.828857421875</v>
      </c>
      <c r="D173" s="6">
        <v>9552.029296875</v>
      </c>
      <c r="E173" s="8">
        <v>257.98171997070313</v>
      </c>
      <c r="F173" s="8">
        <v>386.67288208007813</v>
      </c>
      <c r="G173" s="8">
        <v>2632.5888671875</v>
      </c>
      <c r="H173" s="18">
        <v>53.422840118408203</v>
      </c>
      <c r="I173" s="6">
        <v>0</v>
      </c>
      <c r="J173" s="6">
        <v>9241.6318359375</v>
      </c>
      <c r="K173" s="6">
        <v>6646.45458984375</v>
      </c>
    </row>
    <row r="174" spans="1:11" x14ac:dyDescent="0.3">
      <c r="A174" s="6">
        <v>167</v>
      </c>
      <c r="B174" s="7">
        <v>13027</v>
      </c>
      <c r="C174" s="8">
        <v>2035.6097412109375</v>
      </c>
      <c r="D174" s="6">
        <v>8221.685546875</v>
      </c>
      <c r="E174" s="8">
        <v>311.4095458984375</v>
      </c>
      <c r="F174" s="8">
        <v>308.69155883789063</v>
      </c>
      <c r="G174" s="8">
        <v>1982.4593505859375</v>
      </c>
      <c r="H174" s="18">
        <v>55.133880615234375</v>
      </c>
      <c r="I174" s="6">
        <v>0</v>
      </c>
      <c r="J174" s="6">
        <v>7892.27001953125</v>
      </c>
      <c r="K174" s="6">
        <v>5929.48974609375</v>
      </c>
    </row>
    <row r="175" spans="1:11" x14ac:dyDescent="0.3">
      <c r="A175" s="6">
        <v>168</v>
      </c>
      <c r="B175" s="7">
        <v>13057</v>
      </c>
      <c r="C175" s="8">
        <v>1958.6934814453125</v>
      </c>
      <c r="D175" s="6">
        <v>4024.764404296875</v>
      </c>
      <c r="E175" s="8">
        <v>386.73208618164063</v>
      </c>
      <c r="F175" s="8">
        <v>15.988113403320313</v>
      </c>
      <c r="G175" s="8">
        <v>627.62408447265625</v>
      </c>
      <c r="H175" s="18">
        <v>55.805038452148438</v>
      </c>
      <c r="I175" s="6">
        <v>1</v>
      </c>
      <c r="J175" s="6">
        <v>4181.73974609375</v>
      </c>
      <c r="K175" s="6">
        <v>3576.659912109375</v>
      </c>
    </row>
    <row r="176" spans="1:11" x14ac:dyDescent="0.3">
      <c r="A176" s="6">
        <v>169</v>
      </c>
      <c r="B176" s="7">
        <v>13088</v>
      </c>
      <c r="C176" s="8">
        <v>1896.94775390625</v>
      </c>
      <c r="D176" s="6">
        <v>3890.19970703125</v>
      </c>
      <c r="E176" s="8">
        <v>839.30419921875</v>
      </c>
      <c r="F176" s="8">
        <v>80.036026000976563</v>
      </c>
      <c r="G176" s="8">
        <v>811.2252197265625</v>
      </c>
      <c r="H176" s="18">
        <v>56.260829925537109</v>
      </c>
      <c r="I176" s="6">
        <v>1</v>
      </c>
      <c r="J176" s="6">
        <v>4589.5205078125</v>
      </c>
      <c r="K176" s="6">
        <v>3974.744873046875</v>
      </c>
    </row>
    <row r="177" spans="1:11" x14ac:dyDescent="0.3">
      <c r="A177" s="6">
        <v>170</v>
      </c>
      <c r="B177" s="7">
        <v>13118</v>
      </c>
      <c r="C177" s="8">
        <v>1868.7940673828125</v>
      </c>
      <c r="D177" s="6">
        <v>3389.537353515625</v>
      </c>
      <c r="E177" s="8">
        <v>442.06243896484375</v>
      </c>
      <c r="F177" s="8">
        <v>0</v>
      </c>
      <c r="G177" s="8">
        <v>502.48611450195313</v>
      </c>
      <c r="H177" s="18">
        <v>55.033557891845703</v>
      </c>
      <c r="I177" s="6">
        <v>1</v>
      </c>
      <c r="J177" s="6">
        <v>4124.55517578125</v>
      </c>
      <c r="K177" s="6">
        <v>3849.45263671875</v>
      </c>
    </row>
    <row r="178" spans="1:11" x14ac:dyDescent="0.3">
      <c r="A178" s="6">
        <v>171</v>
      </c>
      <c r="B178" s="7">
        <v>13149</v>
      </c>
      <c r="C178" s="8">
        <v>1874.7750244140625</v>
      </c>
      <c r="D178" s="6">
        <v>3250</v>
      </c>
      <c r="E178" s="8">
        <v>18.913251876831055</v>
      </c>
      <c r="F178" s="8">
        <v>0</v>
      </c>
      <c r="G178" s="8">
        <v>237.44622802734375</v>
      </c>
      <c r="H178" s="18">
        <v>51.711963653564453</v>
      </c>
      <c r="I178" s="6">
        <v>1</v>
      </c>
      <c r="J178" s="6">
        <v>5096.75830078125</v>
      </c>
      <c r="K178" s="6">
        <v>5191.16845703125</v>
      </c>
    </row>
    <row r="179" spans="1:11" x14ac:dyDescent="0.3">
      <c r="A179" s="6">
        <v>172</v>
      </c>
      <c r="B179" s="7">
        <v>13180</v>
      </c>
      <c r="C179" s="8">
        <v>2562.140869140625</v>
      </c>
      <c r="D179" s="6">
        <v>3250</v>
      </c>
      <c r="E179" s="8">
        <v>0</v>
      </c>
      <c r="F179" s="8">
        <v>0</v>
      </c>
      <c r="G179" s="8">
        <v>74.81182861328125</v>
      </c>
      <c r="H179" s="18">
        <v>47.954837799072266</v>
      </c>
      <c r="I179" s="6">
        <v>1</v>
      </c>
      <c r="J179" s="6">
        <v>13706.0498046875</v>
      </c>
      <c r="K179" s="6">
        <v>16535.361328125</v>
      </c>
    </row>
    <row r="180" spans="1:11" x14ac:dyDescent="0.3">
      <c r="A180" s="6">
        <v>173</v>
      </c>
      <c r="B180" s="7">
        <v>13209</v>
      </c>
      <c r="C180" s="8">
        <v>3527.357421875</v>
      </c>
      <c r="D180" s="6">
        <v>3250</v>
      </c>
      <c r="E180" s="8">
        <v>0</v>
      </c>
      <c r="F180" s="8">
        <v>0</v>
      </c>
      <c r="G180" s="8">
        <v>66.063217163085938</v>
      </c>
      <c r="H180" s="18">
        <v>46.634223937988281</v>
      </c>
      <c r="I180" s="6">
        <v>1</v>
      </c>
      <c r="J180" s="6">
        <v>12977.517578125</v>
      </c>
      <c r="K180" s="6">
        <v>16236.4267578125</v>
      </c>
    </row>
    <row r="181" spans="1:11" x14ac:dyDescent="0.3">
      <c r="A181" s="6">
        <v>174</v>
      </c>
      <c r="B181" s="7">
        <v>13240</v>
      </c>
      <c r="C181" s="8">
        <v>3870.63134765625</v>
      </c>
      <c r="D181" s="6">
        <v>3250</v>
      </c>
      <c r="E181" s="8">
        <v>0</v>
      </c>
      <c r="F181" s="8">
        <v>0.95619016885757446</v>
      </c>
      <c r="G181" s="8">
        <v>23.293922424316406</v>
      </c>
      <c r="H181" s="18">
        <v>48.181510925292969</v>
      </c>
      <c r="I181" s="6">
        <v>1</v>
      </c>
      <c r="J181" s="6">
        <v>5942.8759765625</v>
      </c>
      <c r="K181" s="6">
        <v>7348.93359375</v>
      </c>
    </row>
    <row r="182" spans="1:11" x14ac:dyDescent="0.3">
      <c r="A182" s="6">
        <v>175</v>
      </c>
      <c r="B182" s="7">
        <v>13270</v>
      </c>
      <c r="C182" s="8">
        <v>4126.388671875</v>
      </c>
      <c r="D182" s="6">
        <v>3250</v>
      </c>
      <c r="E182" s="8">
        <v>0</v>
      </c>
      <c r="F182" s="8">
        <v>205.43023681640625</v>
      </c>
      <c r="G182" s="8">
        <v>427.27923583984375</v>
      </c>
      <c r="H182" s="18">
        <v>49.935798645019531</v>
      </c>
      <c r="I182" s="6">
        <v>1</v>
      </c>
      <c r="J182" s="6">
        <v>5829.80419921875</v>
      </c>
      <c r="K182" s="6">
        <v>6933.42724609375</v>
      </c>
    </row>
    <row r="183" spans="1:11" x14ac:dyDescent="0.3">
      <c r="A183" s="6">
        <v>176</v>
      </c>
      <c r="B183" s="7">
        <v>13301</v>
      </c>
      <c r="C183" s="8">
        <v>4065.37890625</v>
      </c>
      <c r="D183" s="6">
        <v>5730.4501953125</v>
      </c>
      <c r="E183" s="8">
        <v>0</v>
      </c>
      <c r="F183" s="8">
        <v>284.62387084960938</v>
      </c>
      <c r="G183" s="8">
        <v>2118.009033203125</v>
      </c>
      <c r="H183" s="18">
        <v>50.767982482910156</v>
      </c>
      <c r="I183" s="6">
        <v>1</v>
      </c>
      <c r="J183" s="6">
        <v>6978.3359375</v>
      </c>
      <c r="K183" s="6">
        <v>5627.33447265625</v>
      </c>
    </row>
    <row r="184" spans="1:11" x14ac:dyDescent="0.3">
      <c r="A184" s="6">
        <v>177</v>
      </c>
      <c r="B184" s="7">
        <v>13331</v>
      </c>
      <c r="C184" s="8">
        <v>3872.543701171875</v>
      </c>
      <c r="D184" s="6">
        <v>7140.05078125</v>
      </c>
      <c r="E184" s="8">
        <v>0</v>
      </c>
      <c r="F184" s="8">
        <v>523.20947265625</v>
      </c>
      <c r="G184" s="8">
        <v>2337.24169921875</v>
      </c>
      <c r="H184" s="18">
        <v>50.706310272216797</v>
      </c>
      <c r="I184" s="6">
        <v>1</v>
      </c>
      <c r="J184" s="6">
        <v>7818.64208984375</v>
      </c>
      <c r="K184" s="6">
        <v>5910.46923828125</v>
      </c>
    </row>
    <row r="185" spans="1:11" x14ac:dyDescent="0.3">
      <c r="A185" s="6">
        <v>178</v>
      </c>
      <c r="B185" s="7">
        <v>13362</v>
      </c>
      <c r="C185" s="8">
        <v>3405.32080078125</v>
      </c>
      <c r="D185" s="6">
        <v>10100.955078125</v>
      </c>
      <c r="E185" s="8">
        <v>685.21881103515625</v>
      </c>
      <c r="F185" s="8">
        <v>692.3970947265625</v>
      </c>
      <c r="G185" s="8">
        <v>2537.385498046875</v>
      </c>
      <c r="H185" s="18">
        <v>50.784397125244141</v>
      </c>
      <c r="I185" s="6">
        <v>0</v>
      </c>
      <c r="J185" s="6">
        <v>9698.142578125</v>
      </c>
      <c r="K185" s="6">
        <v>7200.25048828125</v>
      </c>
    </row>
    <row r="186" spans="1:11" x14ac:dyDescent="0.3">
      <c r="A186" s="6">
        <v>179</v>
      </c>
      <c r="B186" s="7">
        <v>13393</v>
      </c>
      <c r="C186" s="8">
        <v>2991.013916015625</v>
      </c>
      <c r="D186" s="6">
        <v>9677.9921875</v>
      </c>
      <c r="E186" s="8">
        <v>354.93222045898438</v>
      </c>
      <c r="F186" s="8">
        <v>553.49420166015625</v>
      </c>
      <c r="G186" s="8">
        <v>1982.4593505859375</v>
      </c>
      <c r="H186" s="18">
        <v>51.745185852050781</v>
      </c>
      <c r="I186" s="6">
        <v>0</v>
      </c>
      <c r="J186" s="6">
        <v>9225.625</v>
      </c>
      <c r="K186" s="6">
        <v>7262.84423828125</v>
      </c>
    </row>
    <row r="187" spans="1:11" x14ac:dyDescent="0.3">
      <c r="A187" s="6">
        <v>180</v>
      </c>
      <c r="B187" s="7">
        <v>13423</v>
      </c>
      <c r="C187" s="8">
        <v>2909.572509765625</v>
      </c>
      <c r="D187" s="6">
        <v>4203.35546875</v>
      </c>
      <c r="E187" s="8">
        <v>0</v>
      </c>
      <c r="F187" s="8">
        <v>46.499271392822266</v>
      </c>
      <c r="G187" s="8">
        <v>624.94537353515625</v>
      </c>
      <c r="H187" s="18">
        <v>54.199352264404297</v>
      </c>
      <c r="I187" s="6">
        <v>1</v>
      </c>
      <c r="J187" s="6">
        <v>4491.8291015625</v>
      </c>
      <c r="K187" s="6">
        <v>3914.934814453125</v>
      </c>
    </row>
    <row r="188" spans="1:11" x14ac:dyDescent="0.3">
      <c r="A188" s="6">
        <v>181</v>
      </c>
      <c r="B188" s="7">
        <v>13454</v>
      </c>
      <c r="C188" s="8">
        <v>2712.758544921875</v>
      </c>
      <c r="D188" s="6">
        <v>5797.71484375</v>
      </c>
      <c r="E188" s="8">
        <v>840.8681640625</v>
      </c>
      <c r="F188" s="8">
        <v>141.34107971191406</v>
      </c>
      <c r="G188" s="8">
        <v>846.9169921875</v>
      </c>
      <c r="H188" s="18">
        <v>52.63568115234375</v>
      </c>
      <c r="I188" s="6">
        <v>0</v>
      </c>
      <c r="J188" s="6">
        <v>6133.91748046875</v>
      </c>
      <c r="K188" s="6">
        <v>5411.49658203125</v>
      </c>
    </row>
    <row r="189" spans="1:11" x14ac:dyDescent="0.3">
      <c r="A189" s="6">
        <v>182</v>
      </c>
      <c r="B189" s="7">
        <v>13484</v>
      </c>
      <c r="C189" s="8">
        <v>2550.38623046875</v>
      </c>
      <c r="D189" s="6">
        <v>5401.8251953125</v>
      </c>
      <c r="E189" s="8">
        <v>1128.2205810546875</v>
      </c>
      <c r="F189" s="8">
        <v>7.998680591583252</v>
      </c>
      <c r="G189" s="8">
        <v>590.90753173828125</v>
      </c>
      <c r="H189" s="18">
        <v>52.613914489746094</v>
      </c>
      <c r="I189" s="6">
        <v>0</v>
      </c>
      <c r="J189" s="6">
        <v>6056.67138671875</v>
      </c>
      <c r="K189" s="6">
        <v>5659.8681640625</v>
      </c>
    </row>
    <row r="190" spans="1:11" x14ac:dyDescent="0.3">
      <c r="A190" s="6">
        <v>183</v>
      </c>
      <c r="B190" s="7">
        <v>13515</v>
      </c>
      <c r="C190" s="8">
        <v>2518.48779296875</v>
      </c>
      <c r="D190" s="6">
        <v>3357.947021484375</v>
      </c>
      <c r="E190" s="8">
        <v>608.6763916015625</v>
      </c>
      <c r="F190" s="8">
        <v>0</v>
      </c>
      <c r="G190" s="8">
        <v>239.07258605957031</v>
      </c>
      <c r="H190" s="18">
        <v>50.502700805664063</v>
      </c>
      <c r="I190" s="6">
        <v>1</v>
      </c>
      <c r="J190" s="6">
        <v>4701.3828125</v>
      </c>
      <c r="K190" s="6">
        <v>4710.15380859375</v>
      </c>
    </row>
    <row r="191" spans="1:11" x14ac:dyDescent="0.3">
      <c r="A191" s="6">
        <v>184</v>
      </c>
      <c r="B191" s="7">
        <v>13546</v>
      </c>
      <c r="C191" s="8">
        <v>2496.96728515625</v>
      </c>
      <c r="D191" s="6">
        <v>3250</v>
      </c>
      <c r="E191" s="8">
        <v>1063.4755859375</v>
      </c>
      <c r="F191" s="8">
        <v>0</v>
      </c>
      <c r="G191" s="8">
        <v>74.81182861328125</v>
      </c>
      <c r="H191" s="18">
        <v>48.301078796386719</v>
      </c>
      <c r="I191" s="6">
        <v>1</v>
      </c>
      <c r="J191" s="6">
        <v>5004.54345703125</v>
      </c>
      <c r="K191" s="6">
        <v>5229.19921875</v>
      </c>
    </row>
    <row r="192" spans="1:11" x14ac:dyDescent="0.3">
      <c r="A192" s="6">
        <v>185</v>
      </c>
      <c r="B192" s="7">
        <v>13574</v>
      </c>
      <c r="C192" s="8">
        <v>2628.235595703125</v>
      </c>
      <c r="D192" s="6">
        <v>3250</v>
      </c>
      <c r="E192" s="8">
        <v>0</v>
      </c>
      <c r="F192" s="8">
        <v>0</v>
      </c>
      <c r="G192" s="8">
        <v>68.422615051269531</v>
      </c>
      <c r="H192" s="18">
        <v>47.772361755371094</v>
      </c>
      <c r="I192" s="6">
        <v>1</v>
      </c>
      <c r="J192" s="6">
        <v>10778.5849609375</v>
      </c>
      <c r="K192" s="6">
        <v>11787.37890625</v>
      </c>
    </row>
    <row r="193" spans="1:11" x14ac:dyDescent="0.3">
      <c r="A193" s="6">
        <v>186</v>
      </c>
      <c r="B193" s="7">
        <v>13605</v>
      </c>
      <c r="C193" s="8">
        <v>3385.217529296875</v>
      </c>
      <c r="D193" s="6">
        <v>3250</v>
      </c>
      <c r="E193" s="8">
        <v>0</v>
      </c>
      <c r="F193" s="8">
        <v>0</v>
      </c>
      <c r="G193" s="8">
        <v>19.516128540039063</v>
      </c>
      <c r="H193" s="18">
        <v>49.062057495117188</v>
      </c>
      <c r="I193" s="6">
        <v>1</v>
      </c>
      <c r="J193" s="6">
        <v>12422.2294921875</v>
      </c>
      <c r="K193" s="6">
        <v>14169.6474609375</v>
      </c>
    </row>
    <row r="194" spans="1:11" x14ac:dyDescent="0.3">
      <c r="A194" s="6">
        <v>187</v>
      </c>
      <c r="B194" s="7">
        <v>13635</v>
      </c>
      <c r="C194" s="8">
        <v>4047.59912109375</v>
      </c>
      <c r="D194" s="6">
        <v>3250</v>
      </c>
      <c r="E194" s="8">
        <v>0</v>
      </c>
      <c r="F194" s="8">
        <v>21.622846603393555</v>
      </c>
      <c r="G194" s="8">
        <v>433.80865478515625</v>
      </c>
      <c r="H194" s="18">
        <v>51.161907196044922</v>
      </c>
      <c r="I194" s="6">
        <v>1</v>
      </c>
      <c r="J194" s="6">
        <v>6908.46044921875</v>
      </c>
      <c r="K194" s="6">
        <v>8544.802734375</v>
      </c>
    </row>
    <row r="195" spans="1:11" x14ac:dyDescent="0.3">
      <c r="A195" s="6">
        <v>188</v>
      </c>
      <c r="B195" s="7">
        <v>13666</v>
      </c>
      <c r="C195" s="8">
        <v>4246.3125</v>
      </c>
      <c r="D195" s="6">
        <v>5043.80322265625</v>
      </c>
      <c r="E195" s="8">
        <v>0</v>
      </c>
      <c r="F195" s="8">
        <v>298.0838623046875</v>
      </c>
      <c r="G195" s="8">
        <v>2283.91845703125</v>
      </c>
      <c r="H195" s="18">
        <v>52.362800598144531</v>
      </c>
      <c r="I195" s="6">
        <v>1</v>
      </c>
      <c r="J195" s="6">
        <v>6462.056640625</v>
      </c>
      <c r="K195" s="6">
        <v>5630.74951171875</v>
      </c>
    </row>
    <row r="196" spans="1:11" x14ac:dyDescent="0.3">
      <c r="A196" s="6">
        <v>189</v>
      </c>
      <c r="B196" s="7">
        <v>13696</v>
      </c>
      <c r="C196" s="8">
        <v>4074.04931640625</v>
      </c>
      <c r="D196" s="6">
        <v>7479.65771484375</v>
      </c>
      <c r="E196" s="8">
        <v>0</v>
      </c>
      <c r="F196" s="8">
        <v>523.22735595703125</v>
      </c>
      <c r="G196" s="8">
        <v>2560.548095703125</v>
      </c>
      <c r="H196" s="18">
        <v>52.658245086669922</v>
      </c>
      <c r="I196" s="6">
        <v>0</v>
      </c>
      <c r="J196" s="6">
        <v>8285.0263671875</v>
      </c>
      <c r="K196" s="6">
        <v>6175.755859375</v>
      </c>
    </row>
    <row r="197" spans="1:11" x14ac:dyDescent="0.3">
      <c r="A197" s="6">
        <v>190</v>
      </c>
      <c r="B197" s="7">
        <v>13727</v>
      </c>
      <c r="C197" s="8">
        <v>3583.887451171875</v>
      </c>
      <c r="D197" s="6">
        <v>10615.4677734375</v>
      </c>
      <c r="E197" s="8">
        <v>726.65484619140625</v>
      </c>
      <c r="F197" s="8">
        <v>624.25457763671875</v>
      </c>
      <c r="G197" s="8">
        <v>2537.385498046875</v>
      </c>
      <c r="H197" s="18">
        <v>52.404350280761719</v>
      </c>
      <c r="I197" s="6">
        <v>0</v>
      </c>
      <c r="J197" s="6">
        <v>10171.0703125</v>
      </c>
      <c r="K197" s="6">
        <v>7682.33251953125</v>
      </c>
    </row>
    <row r="198" spans="1:11" x14ac:dyDescent="0.3">
      <c r="A198" s="6">
        <v>191</v>
      </c>
      <c r="B198" s="7">
        <v>13758</v>
      </c>
      <c r="C198" s="8">
        <v>3177.3798828125</v>
      </c>
      <c r="D198" s="6">
        <v>9590.333984375</v>
      </c>
      <c r="E198" s="8">
        <v>565.9937744140625</v>
      </c>
      <c r="F198" s="8">
        <v>498.91268920898438</v>
      </c>
      <c r="G198" s="8">
        <v>1982.4593505859375</v>
      </c>
      <c r="H198" s="18">
        <v>53.210872650146484</v>
      </c>
      <c r="I198" s="6">
        <v>0</v>
      </c>
      <c r="J198" s="6">
        <v>9138.3974609375</v>
      </c>
      <c r="K198" s="6">
        <v>7175.6162109375</v>
      </c>
    </row>
    <row r="199" spans="1:11" x14ac:dyDescent="0.3">
      <c r="A199" s="6">
        <v>192</v>
      </c>
      <c r="B199" s="7">
        <v>13788</v>
      </c>
      <c r="C199" s="8">
        <v>3016.538330078125</v>
      </c>
      <c r="D199" s="6">
        <v>5535.84765625</v>
      </c>
      <c r="E199" s="8">
        <v>479.2886962890625</v>
      </c>
      <c r="F199" s="8">
        <v>34.196567535400391</v>
      </c>
      <c r="G199" s="8">
        <v>632.9815673828125</v>
      </c>
      <c r="H199" s="18">
        <v>53.727394104003906</v>
      </c>
      <c r="I199" s="6">
        <v>1</v>
      </c>
      <c r="J199" s="6">
        <v>5764.861328125</v>
      </c>
      <c r="K199" s="6">
        <v>5135.8232421875</v>
      </c>
    </row>
    <row r="200" spans="1:11" x14ac:dyDescent="0.3">
      <c r="A200" s="6">
        <v>193</v>
      </c>
      <c r="B200" s="7">
        <v>13819</v>
      </c>
      <c r="C200" s="8">
        <v>2926.266845703125</v>
      </c>
      <c r="D200" s="6">
        <v>4491.56005859375</v>
      </c>
      <c r="E200" s="8">
        <v>673.72100830078125</v>
      </c>
      <c r="F200" s="8">
        <v>77.218528747558594</v>
      </c>
      <c r="G200" s="8">
        <v>788.8759765625</v>
      </c>
      <c r="H200" s="18">
        <v>54.359928131103516</v>
      </c>
      <c r="I200" s="6">
        <v>1</v>
      </c>
      <c r="J200" s="6">
        <v>5789.40283203125</v>
      </c>
      <c r="K200" s="6">
        <v>5279.44677734375</v>
      </c>
    </row>
    <row r="201" spans="1:11" x14ac:dyDescent="0.3">
      <c r="A201" s="6">
        <v>194</v>
      </c>
      <c r="B201" s="7">
        <v>13849</v>
      </c>
      <c r="C201" s="8">
        <v>3252</v>
      </c>
      <c r="D201" s="6">
        <v>8213.2255859375</v>
      </c>
      <c r="E201" s="8">
        <v>0</v>
      </c>
      <c r="F201" s="8">
        <v>0</v>
      </c>
      <c r="G201" s="8">
        <v>369.72222900390625</v>
      </c>
      <c r="H201" s="18">
        <v>53.211658477783203</v>
      </c>
      <c r="I201" s="6">
        <v>1</v>
      </c>
      <c r="J201" s="6">
        <v>16343.916015625</v>
      </c>
      <c r="K201" s="6">
        <v>18126.265625</v>
      </c>
    </row>
    <row r="202" spans="1:11" x14ac:dyDescent="0.3">
      <c r="A202" s="6">
        <v>195</v>
      </c>
      <c r="B202" s="7">
        <v>13880</v>
      </c>
      <c r="C202" s="8">
        <v>3310</v>
      </c>
      <c r="D202" s="6">
        <v>18967.919921875</v>
      </c>
      <c r="E202" s="8">
        <v>0</v>
      </c>
      <c r="F202" s="8">
        <v>0</v>
      </c>
      <c r="G202" s="8">
        <v>175.64515686035156</v>
      </c>
      <c r="H202" s="18">
        <v>49.400886535644531</v>
      </c>
      <c r="I202" s="6">
        <v>1</v>
      </c>
      <c r="J202" s="6">
        <v>30926.296875</v>
      </c>
      <c r="K202" s="6">
        <v>35213.30078125</v>
      </c>
    </row>
    <row r="203" spans="1:11" x14ac:dyDescent="0.3">
      <c r="A203" s="6">
        <v>196</v>
      </c>
      <c r="B203" s="7">
        <v>13911</v>
      </c>
      <c r="C203" s="8">
        <v>3668</v>
      </c>
      <c r="D203" s="6">
        <v>4101.869140625</v>
      </c>
      <c r="E203" s="8">
        <v>0</v>
      </c>
      <c r="F203" s="8">
        <v>0</v>
      </c>
      <c r="G203" s="8">
        <v>74.81182861328125</v>
      </c>
      <c r="H203" s="18">
        <v>46.485782623291016</v>
      </c>
      <c r="I203" s="6">
        <v>1</v>
      </c>
      <c r="J203" s="6">
        <v>9924.908203125</v>
      </c>
      <c r="K203" s="6">
        <v>11270.2978515625</v>
      </c>
    </row>
    <row r="204" spans="1:11" x14ac:dyDescent="0.3">
      <c r="A204" s="6">
        <v>197</v>
      </c>
      <c r="B204" s="7">
        <v>13939</v>
      </c>
      <c r="C204" s="8">
        <v>3560</v>
      </c>
      <c r="D204" s="6">
        <v>37636.046875</v>
      </c>
      <c r="E204" s="8">
        <v>799.0692138671875</v>
      </c>
      <c r="F204" s="8">
        <v>0</v>
      </c>
      <c r="G204" s="8">
        <v>68.422615051269531</v>
      </c>
      <c r="H204" s="18">
        <v>45.476119995117188</v>
      </c>
      <c r="I204" s="6">
        <v>1</v>
      </c>
      <c r="J204" s="6">
        <v>57476.34375</v>
      </c>
      <c r="K204" s="6">
        <v>61766.984375</v>
      </c>
    </row>
    <row r="205" spans="1:11" x14ac:dyDescent="0.3">
      <c r="A205" s="6">
        <v>198</v>
      </c>
      <c r="B205" s="7">
        <v>13970</v>
      </c>
      <c r="C205" s="8">
        <v>3416</v>
      </c>
      <c r="D205" s="6">
        <v>35340.2109375</v>
      </c>
      <c r="E205" s="8">
        <v>448.79531860351563</v>
      </c>
      <c r="F205" s="8">
        <v>0</v>
      </c>
      <c r="G205" s="8">
        <v>19.516128540039063</v>
      </c>
      <c r="H205" s="18">
        <v>45.604228973388672</v>
      </c>
      <c r="I205" s="6">
        <v>1</v>
      </c>
      <c r="J205" s="6">
        <v>55352.8203125</v>
      </c>
      <c r="K205" s="6">
        <v>60724.5703125</v>
      </c>
    </row>
    <row r="206" spans="1:11" x14ac:dyDescent="0.3">
      <c r="A206" s="6">
        <v>199</v>
      </c>
      <c r="B206" s="7">
        <v>14000</v>
      </c>
      <c r="C206" s="8">
        <v>4058</v>
      </c>
      <c r="D206" s="6">
        <v>11215.0048828125</v>
      </c>
      <c r="E206" s="8">
        <v>0</v>
      </c>
      <c r="F206" s="8">
        <v>40.17889404296875</v>
      </c>
      <c r="G206" s="8">
        <v>377.05276489257813</v>
      </c>
      <c r="H206" s="18">
        <v>47.354358673095703</v>
      </c>
      <c r="I206" s="6">
        <v>1</v>
      </c>
      <c r="J206" s="6">
        <v>16630.58984375</v>
      </c>
      <c r="K206" s="6">
        <v>19965.970703125</v>
      </c>
    </row>
    <row r="207" spans="1:11" x14ac:dyDescent="0.3">
      <c r="A207" s="6">
        <v>200</v>
      </c>
      <c r="B207" s="7">
        <v>14031</v>
      </c>
      <c r="C207" s="8">
        <v>4488.45849609375</v>
      </c>
      <c r="D207" s="6">
        <v>8562.095703125</v>
      </c>
      <c r="E207" s="8">
        <v>0</v>
      </c>
      <c r="F207" s="8">
        <v>664.77288818359375</v>
      </c>
      <c r="G207" s="8">
        <v>2143.932373046875</v>
      </c>
      <c r="H207" s="18">
        <v>50.241443634033203</v>
      </c>
      <c r="I207" s="6">
        <v>1</v>
      </c>
      <c r="J207" s="6">
        <v>10419.62890625</v>
      </c>
      <c r="K207" s="6">
        <v>11562.7900390625</v>
      </c>
    </row>
    <row r="208" spans="1:11" x14ac:dyDescent="0.3">
      <c r="A208" s="6">
        <v>201</v>
      </c>
      <c r="B208" s="7">
        <v>14061</v>
      </c>
      <c r="C208" s="8">
        <v>4435.94384765625</v>
      </c>
      <c r="D208" s="6">
        <v>7901.6748046875</v>
      </c>
      <c r="E208" s="8">
        <v>0</v>
      </c>
      <c r="F208" s="8">
        <v>1236.6031494140625</v>
      </c>
      <c r="G208" s="8">
        <v>2276.98291015625</v>
      </c>
      <c r="H208" s="18">
        <v>52.2984619140625</v>
      </c>
      <c r="I208" s="6">
        <v>1</v>
      </c>
      <c r="J208" s="6">
        <v>7918.33251953125</v>
      </c>
      <c r="K208" s="6">
        <v>7097.91259765625</v>
      </c>
    </row>
    <row r="209" spans="1:11" x14ac:dyDescent="0.3">
      <c r="A209" s="6">
        <v>202</v>
      </c>
      <c r="B209" s="7">
        <v>14092</v>
      </c>
      <c r="C209" s="8">
        <v>4015.395751953125</v>
      </c>
      <c r="D209" s="6">
        <v>10626.4931640625</v>
      </c>
      <c r="E209" s="8">
        <v>71.458480834960938</v>
      </c>
      <c r="F209" s="8">
        <v>1349.977294921875</v>
      </c>
      <c r="G209" s="8">
        <v>2521.474853515625</v>
      </c>
      <c r="H209" s="18">
        <v>52.414962768554688</v>
      </c>
      <c r="I209" s="6">
        <v>0</v>
      </c>
      <c r="J209" s="6">
        <v>9708.482421875</v>
      </c>
      <c r="K209" s="6">
        <v>7565.93505859375</v>
      </c>
    </row>
    <row r="210" spans="1:11" x14ac:dyDescent="0.3">
      <c r="A210" s="6">
        <v>203</v>
      </c>
      <c r="B210" s="7">
        <v>14123</v>
      </c>
      <c r="C210" s="8">
        <v>3671.019287109375</v>
      </c>
      <c r="D210" s="6">
        <v>10468.8544921875</v>
      </c>
      <c r="E210" s="8">
        <v>0</v>
      </c>
      <c r="F210" s="8">
        <v>1078.4376220703125</v>
      </c>
      <c r="G210" s="8">
        <v>2130.645751953125</v>
      </c>
      <c r="H210" s="18">
        <v>53.062896728515625</v>
      </c>
      <c r="I210" s="6">
        <v>0</v>
      </c>
      <c r="J210" s="6">
        <v>9495.4482421875</v>
      </c>
      <c r="K210" s="6">
        <v>7480.826171875</v>
      </c>
    </row>
    <row r="211" spans="1:11" x14ac:dyDescent="0.3">
      <c r="A211" s="6">
        <v>204</v>
      </c>
      <c r="B211" s="7">
        <v>14153</v>
      </c>
      <c r="C211" s="8">
        <v>3067.66845703125</v>
      </c>
      <c r="D211" s="6">
        <v>15690.693359375</v>
      </c>
      <c r="E211" s="8">
        <v>0</v>
      </c>
      <c r="F211" s="8">
        <v>212.00946044921875</v>
      </c>
      <c r="G211" s="8">
        <v>595.0416259765625</v>
      </c>
      <c r="H211" s="18">
        <v>51.429630279541016</v>
      </c>
      <c r="I211" s="6">
        <v>0</v>
      </c>
      <c r="J211" s="6">
        <v>15888.31640625</v>
      </c>
      <c r="K211" s="6">
        <v>15468.6962890625</v>
      </c>
    </row>
    <row r="212" spans="1:11" x14ac:dyDescent="0.3">
      <c r="A212" s="6">
        <v>205</v>
      </c>
      <c r="B212" s="7">
        <v>14184</v>
      </c>
      <c r="C212" s="8">
        <v>3108.619873046875</v>
      </c>
      <c r="D212" s="6">
        <v>5156.0361328125</v>
      </c>
      <c r="E212" s="8">
        <v>48.355400085449219</v>
      </c>
      <c r="F212" s="8">
        <v>129.29313659667969</v>
      </c>
      <c r="G212" s="8">
        <v>804.62957763671875</v>
      </c>
      <c r="H212" s="18">
        <v>54.479175567626953</v>
      </c>
      <c r="I212" s="6">
        <v>0</v>
      </c>
      <c r="J212" s="6">
        <v>5952.0576171875</v>
      </c>
      <c r="K212" s="6">
        <v>5463.921875</v>
      </c>
    </row>
    <row r="213" spans="1:11" x14ac:dyDescent="0.3">
      <c r="A213" s="6">
        <v>206</v>
      </c>
      <c r="B213" s="7">
        <v>14214</v>
      </c>
      <c r="C213" s="8">
        <v>2900.93505859375</v>
      </c>
      <c r="D213" s="6">
        <v>8708.1142578125</v>
      </c>
      <c r="E213" s="8">
        <v>0</v>
      </c>
      <c r="F213" s="8">
        <v>1.947909951210022</v>
      </c>
      <c r="G213" s="8">
        <v>545.56378173828125</v>
      </c>
      <c r="H213" s="18">
        <v>54.998794555664063</v>
      </c>
      <c r="I213" s="6">
        <v>0</v>
      </c>
      <c r="J213" s="6">
        <v>9862.48828125</v>
      </c>
      <c r="K213" s="6">
        <v>9706.2998046875</v>
      </c>
    </row>
    <row r="214" spans="1:11" x14ac:dyDescent="0.3">
      <c r="A214" s="6">
        <v>207</v>
      </c>
      <c r="B214" s="7">
        <v>14245</v>
      </c>
      <c r="C214" s="8">
        <v>2984.035400390625</v>
      </c>
      <c r="D214" s="6">
        <v>4690.19482421875</v>
      </c>
      <c r="E214" s="8">
        <v>0</v>
      </c>
      <c r="F214" s="8">
        <v>0</v>
      </c>
      <c r="G214" s="8">
        <v>282.98385620117188</v>
      </c>
      <c r="H214" s="18">
        <v>52.282039642333984</v>
      </c>
      <c r="I214" s="6">
        <v>1</v>
      </c>
      <c r="J214" s="6">
        <v>6695.751953125</v>
      </c>
      <c r="K214" s="6">
        <v>7040.29541015625</v>
      </c>
    </row>
    <row r="215" spans="1:11" x14ac:dyDescent="0.3">
      <c r="A215" s="6">
        <v>208</v>
      </c>
      <c r="B215" s="7">
        <v>14276</v>
      </c>
      <c r="C215" s="8">
        <v>3131.806396484375</v>
      </c>
      <c r="D215" s="6">
        <v>3250</v>
      </c>
      <c r="E215" s="8">
        <v>0</v>
      </c>
      <c r="F215" s="8">
        <v>0</v>
      </c>
      <c r="G215" s="8">
        <v>108.96504974365234</v>
      </c>
      <c r="H215" s="18">
        <v>49.397449493408203</v>
      </c>
      <c r="I215" s="6">
        <v>1</v>
      </c>
      <c r="J215" s="6">
        <v>5019.42822265625</v>
      </c>
      <c r="K215" s="6">
        <v>5414.12158203125</v>
      </c>
    </row>
    <row r="216" spans="1:11" x14ac:dyDescent="0.3">
      <c r="A216" s="6">
        <v>209</v>
      </c>
      <c r="B216" s="7">
        <v>14304</v>
      </c>
      <c r="C216" s="8">
        <v>3260.89794921875</v>
      </c>
      <c r="D216" s="6">
        <v>3250</v>
      </c>
      <c r="E216" s="8">
        <v>0</v>
      </c>
      <c r="F216" s="8">
        <v>79.273078918457031</v>
      </c>
      <c r="G216" s="8">
        <v>113.08769989013672</v>
      </c>
      <c r="H216" s="18">
        <v>48.36895751953125</v>
      </c>
      <c r="I216" s="6">
        <v>1</v>
      </c>
      <c r="J216" s="6">
        <v>4965.34765625</v>
      </c>
      <c r="K216" s="6">
        <v>5373.96533203125</v>
      </c>
    </row>
    <row r="217" spans="1:11" x14ac:dyDescent="0.3">
      <c r="A217" s="6">
        <v>210</v>
      </c>
      <c r="B217" s="7">
        <v>14335</v>
      </c>
      <c r="C217" s="8">
        <v>3639.90869140625</v>
      </c>
      <c r="D217" s="6">
        <v>3250</v>
      </c>
      <c r="E217" s="8">
        <v>0</v>
      </c>
      <c r="F217" s="8">
        <v>282.12435913085938</v>
      </c>
      <c r="G217" s="8">
        <v>172.45945739746094</v>
      </c>
      <c r="H217" s="18">
        <v>49.690677642822266</v>
      </c>
      <c r="I217" s="6">
        <v>1</v>
      </c>
      <c r="J217" s="6">
        <v>4750.20556640625</v>
      </c>
      <c r="K217" s="6">
        <v>5618.283203125</v>
      </c>
    </row>
    <row r="218" spans="1:11" x14ac:dyDescent="0.3">
      <c r="A218" s="6">
        <v>211</v>
      </c>
      <c r="B218" s="7">
        <v>14365</v>
      </c>
      <c r="C218" s="8">
        <v>3617.388427734375</v>
      </c>
      <c r="D218" s="6">
        <v>5639.22900390625</v>
      </c>
      <c r="E218" s="8">
        <v>0</v>
      </c>
      <c r="F218" s="8">
        <v>605.5399169921875</v>
      </c>
      <c r="G218" s="8">
        <v>578.7889404296875</v>
      </c>
      <c r="H218" s="18">
        <v>50.994121551513672</v>
      </c>
      <c r="I218" s="6">
        <v>1</v>
      </c>
      <c r="J218" s="6">
        <v>5894.25390625</v>
      </c>
      <c r="K218" s="6">
        <v>5946.419921875</v>
      </c>
    </row>
    <row r="219" spans="1:11" x14ac:dyDescent="0.3">
      <c r="A219" s="6">
        <v>212</v>
      </c>
      <c r="B219" s="7">
        <v>14396</v>
      </c>
      <c r="C219" s="8">
        <v>3339.732177734375</v>
      </c>
      <c r="D219" s="6">
        <v>10183.0283203125</v>
      </c>
      <c r="E219" s="8">
        <v>0</v>
      </c>
      <c r="F219" s="8">
        <v>507.59902954101563</v>
      </c>
      <c r="G219" s="8">
        <v>2184.023681640625</v>
      </c>
      <c r="H219" s="18">
        <v>50.974002838134766</v>
      </c>
      <c r="I219" s="6">
        <v>0</v>
      </c>
      <c r="J219" s="6">
        <v>10574.919921875</v>
      </c>
      <c r="K219" s="6">
        <v>8711.25</v>
      </c>
    </row>
    <row r="220" spans="1:11" x14ac:dyDescent="0.3">
      <c r="A220" s="6">
        <v>213</v>
      </c>
      <c r="B220" s="7">
        <v>14426</v>
      </c>
      <c r="C220" s="8">
        <v>2944.504150390625</v>
      </c>
      <c r="D220" s="6">
        <v>12354.21484375</v>
      </c>
      <c r="E220" s="8">
        <v>0</v>
      </c>
      <c r="F220" s="8">
        <v>658.92901611328125</v>
      </c>
      <c r="G220" s="8">
        <v>2679.353271484375</v>
      </c>
      <c r="H220" s="18">
        <v>52.385540008544922</v>
      </c>
      <c r="I220" s="6">
        <v>0</v>
      </c>
      <c r="J220" s="6">
        <v>11862.3037109375</v>
      </c>
      <c r="K220" s="6">
        <v>9236.603515625</v>
      </c>
    </row>
    <row r="221" spans="1:11" x14ac:dyDescent="0.3">
      <c r="A221" s="6">
        <v>214</v>
      </c>
      <c r="B221" s="7">
        <v>14457</v>
      </c>
      <c r="C221" s="8">
        <v>2319.410888671875</v>
      </c>
      <c r="D221" s="6">
        <v>16000</v>
      </c>
      <c r="E221" s="8">
        <v>2102.14404296875</v>
      </c>
      <c r="F221" s="8">
        <v>718.189208984375</v>
      </c>
      <c r="G221" s="8">
        <v>2421.51171875</v>
      </c>
      <c r="H221" s="18">
        <v>53.516410827636719</v>
      </c>
      <c r="I221" s="6">
        <v>0</v>
      </c>
      <c r="J221" s="6">
        <v>15270.65625</v>
      </c>
      <c r="K221" s="6">
        <v>12880.1240234375</v>
      </c>
    </row>
    <row r="222" spans="1:11" x14ac:dyDescent="0.3">
      <c r="A222" s="6">
        <v>215</v>
      </c>
      <c r="B222" s="7">
        <v>14488</v>
      </c>
      <c r="C222" s="8">
        <v>1801.7528076171875</v>
      </c>
      <c r="D222" s="6">
        <v>14001.0859375</v>
      </c>
      <c r="E222" s="8">
        <v>3226.453125</v>
      </c>
      <c r="F222" s="8">
        <v>572.779541015625</v>
      </c>
      <c r="G222" s="8">
        <v>1860.71923828125</v>
      </c>
      <c r="H222" s="18">
        <v>54.437183380126953</v>
      </c>
      <c r="I222" s="6">
        <v>0</v>
      </c>
      <c r="J222" s="6">
        <v>13352.0107421875</v>
      </c>
      <c r="K222" s="6">
        <v>11510.9697265625</v>
      </c>
    </row>
    <row r="223" spans="1:11" x14ac:dyDescent="0.3">
      <c r="A223" s="6">
        <v>216</v>
      </c>
      <c r="B223" s="7">
        <v>14518</v>
      </c>
      <c r="C223" s="8">
        <v>1819.920654296875</v>
      </c>
      <c r="D223" s="6">
        <v>5473.9501953125</v>
      </c>
      <c r="E223" s="8">
        <v>1628.006103515625</v>
      </c>
      <c r="F223" s="8">
        <v>209.2119140625</v>
      </c>
      <c r="G223" s="8">
        <v>447.99542236328125</v>
      </c>
      <c r="H223" s="18">
        <v>56.394809722900391</v>
      </c>
      <c r="I223" s="6">
        <v>1</v>
      </c>
      <c r="J223" s="6">
        <v>5504.044921875</v>
      </c>
      <c r="K223" s="6">
        <v>5121.22119140625</v>
      </c>
    </row>
    <row r="224" spans="1:11" x14ac:dyDescent="0.3">
      <c r="A224" s="6">
        <v>217</v>
      </c>
      <c r="B224" s="7">
        <v>14549</v>
      </c>
      <c r="C224" s="8">
        <v>1791.34619140625</v>
      </c>
      <c r="D224" s="6">
        <v>5765.10400390625</v>
      </c>
      <c r="E224" s="8">
        <v>1678.0692138671875</v>
      </c>
      <c r="F224" s="8">
        <v>115.00720977783203</v>
      </c>
      <c r="G224" s="8">
        <v>600.9583740234375</v>
      </c>
      <c r="H224" s="18">
        <v>56.131191253662109</v>
      </c>
      <c r="I224" s="6">
        <v>1</v>
      </c>
      <c r="J224" s="6">
        <v>6187.27294921875</v>
      </c>
      <c r="K224" s="6">
        <v>5759.58056640625</v>
      </c>
    </row>
    <row r="225" spans="1:11" x14ac:dyDescent="0.3">
      <c r="A225" s="6">
        <v>218</v>
      </c>
      <c r="B225" s="7">
        <v>14579</v>
      </c>
      <c r="C225" s="8">
        <v>1668.2894287109375</v>
      </c>
      <c r="D225" s="6">
        <v>6149.470703125</v>
      </c>
      <c r="E225" s="8">
        <v>2018.930908203125</v>
      </c>
      <c r="F225" s="8">
        <v>23.328041076660156</v>
      </c>
      <c r="G225" s="8">
        <v>416.94418334960938</v>
      </c>
      <c r="H225" s="18">
        <v>55.788032531738281</v>
      </c>
      <c r="I225" s="6">
        <v>0</v>
      </c>
      <c r="J225" s="6">
        <v>6713.41455078125</v>
      </c>
      <c r="K225" s="6">
        <v>6503.91650390625</v>
      </c>
    </row>
    <row r="226" spans="1:11" x14ac:dyDescent="0.3">
      <c r="A226" s="6">
        <v>219</v>
      </c>
      <c r="B226" s="7">
        <v>14610</v>
      </c>
      <c r="C226" s="8">
        <v>1831.0350341796875</v>
      </c>
      <c r="D226" s="6">
        <v>3250</v>
      </c>
      <c r="E226" s="8">
        <v>1704.9423828125</v>
      </c>
      <c r="F226" s="8">
        <v>0</v>
      </c>
      <c r="G226" s="8">
        <v>202.03878784179688</v>
      </c>
      <c r="H226" s="18">
        <v>53.364589691162109</v>
      </c>
      <c r="I226" s="6">
        <v>1</v>
      </c>
      <c r="J226" s="6">
        <v>5656.359375</v>
      </c>
      <c r="K226" s="6">
        <v>6119.18896484375</v>
      </c>
    </row>
    <row r="227" spans="1:11" x14ac:dyDescent="0.3">
      <c r="A227" s="6">
        <v>220</v>
      </c>
      <c r="B227" s="7">
        <v>14641</v>
      </c>
      <c r="C227" s="8">
        <v>2735.288818359375</v>
      </c>
      <c r="D227" s="6">
        <v>3250</v>
      </c>
      <c r="E227" s="8">
        <v>0</v>
      </c>
      <c r="F227" s="8">
        <v>0</v>
      </c>
      <c r="G227" s="8">
        <v>56.44769287109375</v>
      </c>
      <c r="H227" s="18">
        <v>48.317001342773438</v>
      </c>
      <c r="I227" s="6">
        <v>1</v>
      </c>
      <c r="J227" s="6">
        <v>13941.208984375</v>
      </c>
      <c r="K227" s="6">
        <v>17047.3046875</v>
      </c>
    </row>
    <row r="228" spans="1:11" x14ac:dyDescent="0.3">
      <c r="A228" s="6">
        <v>221</v>
      </c>
      <c r="B228" s="7">
        <v>14670</v>
      </c>
      <c r="C228" s="8">
        <v>3252</v>
      </c>
      <c r="D228" s="6">
        <v>27132.9140625</v>
      </c>
      <c r="E228" s="8">
        <v>0</v>
      </c>
      <c r="F228" s="8">
        <v>0</v>
      </c>
      <c r="G228" s="8">
        <v>49.912750244140625</v>
      </c>
      <c r="H228" s="18">
        <v>45.887725830078125</v>
      </c>
      <c r="I228" s="6">
        <v>1</v>
      </c>
      <c r="J228" s="6">
        <v>41202.36328125</v>
      </c>
      <c r="K228" s="6">
        <v>47139.83984375</v>
      </c>
    </row>
    <row r="229" spans="1:11" x14ac:dyDescent="0.3">
      <c r="A229" s="6">
        <v>222</v>
      </c>
      <c r="B229" s="7">
        <v>14701</v>
      </c>
      <c r="C229" s="8">
        <v>3435</v>
      </c>
      <c r="D229" s="6">
        <v>21911.97265625</v>
      </c>
      <c r="E229" s="8">
        <v>0</v>
      </c>
      <c r="F229" s="8">
        <v>0</v>
      </c>
      <c r="G229" s="8">
        <v>19.516128540039063</v>
      </c>
      <c r="H229" s="18">
        <v>46.099193572998047</v>
      </c>
      <c r="I229" s="6">
        <v>1</v>
      </c>
      <c r="J229" s="6">
        <v>33751.9375</v>
      </c>
      <c r="K229" s="6">
        <v>37945.3125</v>
      </c>
    </row>
    <row r="230" spans="1:11" x14ac:dyDescent="0.3">
      <c r="A230" s="6">
        <v>223</v>
      </c>
      <c r="B230" s="7">
        <v>14731</v>
      </c>
      <c r="C230" s="8">
        <v>4211.595703125</v>
      </c>
      <c r="D230" s="6">
        <v>3250</v>
      </c>
      <c r="E230" s="8">
        <v>0</v>
      </c>
      <c r="F230" s="8">
        <v>253.27787780761719</v>
      </c>
      <c r="G230" s="8">
        <v>410.20220947265625</v>
      </c>
      <c r="H230" s="18">
        <v>50.942607879638672</v>
      </c>
      <c r="I230" s="6">
        <v>1</v>
      </c>
      <c r="J230" s="6">
        <v>10231.330078125</v>
      </c>
      <c r="K230" s="6">
        <v>12084.0986328125</v>
      </c>
    </row>
    <row r="231" spans="1:11" x14ac:dyDescent="0.3">
      <c r="A231" s="6">
        <v>224</v>
      </c>
      <c r="B231" s="7">
        <v>14762</v>
      </c>
      <c r="C231" s="8">
        <v>4218.22314453125</v>
      </c>
      <c r="D231" s="6">
        <v>5750.91845703125</v>
      </c>
      <c r="E231" s="8">
        <v>0</v>
      </c>
      <c r="F231" s="8">
        <v>465.70071411132813</v>
      </c>
      <c r="G231" s="8">
        <v>1936.545654296875</v>
      </c>
      <c r="H231" s="18">
        <v>51.514625549316406</v>
      </c>
      <c r="I231" s="6">
        <v>1</v>
      </c>
      <c r="J231" s="6">
        <v>6958.00927734375</v>
      </c>
      <c r="K231" s="6">
        <v>6030.884765625</v>
      </c>
    </row>
    <row r="232" spans="1:11" x14ac:dyDescent="0.3">
      <c r="A232" s="6">
        <v>225</v>
      </c>
      <c r="B232" s="7">
        <v>14792</v>
      </c>
      <c r="C232" s="8">
        <v>3893.91650390625</v>
      </c>
      <c r="D232" s="6">
        <v>9764.62109375</v>
      </c>
      <c r="E232" s="8">
        <v>0</v>
      </c>
      <c r="F232" s="8">
        <v>885.69073486328125</v>
      </c>
      <c r="G232" s="8">
        <v>2416.416259765625</v>
      </c>
      <c r="H232" s="18">
        <v>51.442054748535156</v>
      </c>
      <c r="I232" s="6">
        <v>0</v>
      </c>
      <c r="J232" s="6">
        <v>9318.4296875</v>
      </c>
      <c r="K232" s="6">
        <v>7276.69189453125</v>
      </c>
    </row>
    <row r="233" spans="1:11" x14ac:dyDescent="0.3">
      <c r="A233" s="6">
        <v>226</v>
      </c>
      <c r="B233" s="7">
        <v>14823</v>
      </c>
      <c r="C233" s="8">
        <v>3200</v>
      </c>
      <c r="D233" s="6">
        <v>15730.8037109375</v>
      </c>
      <c r="E233" s="8">
        <v>605.0950927734375</v>
      </c>
      <c r="F233" s="8">
        <v>981.25543212890625</v>
      </c>
      <c r="G233" s="8">
        <v>2562.892822265625</v>
      </c>
      <c r="H233" s="18">
        <v>51.379985809326172</v>
      </c>
      <c r="I233" s="6">
        <v>0</v>
      </c>
      <c r="J233" s="6">
        <v>14743.203125</v>
      </c>
      <c r="K233" s="6">
        <v>12216.6123046875</v>
      </c>
    </row>
    <row r="234" spans="1:11" x14ac:dyDescent="0.3">
      <c r="A234" s="6">
        <v>227</v>
      </c>
      <c r="B234" s="7">
        <v>14854</v>
      </c>
      <c r="C234" s="8">
        <v>2781.4091796875</v>
      </c>
      <c r="D234" s="6">
        <v>11536.025390625</v>
      </c>
      <c r="E234" s="8">
        <v>0</v>
      </c>
      <c r="F234" s="8">
        <v>783.59857177734375</v>
      </c>
      <c r="G234" s="8">
        <v>2065.3544921875</v>
      </c>
      <c r="H234" s="18">
        <v>53.131004333496094</v>
      </c>
      <c r="I234" s="6">
        <v>0</v>
      </c>
      <c r="J234" s="6">
        <v>10701.6513671875</v>
      </c>
      <c r="K234" s="6">
        <v>8655.9755859375</v>
      </c>
    </row>
    <row r="235" spans="1:11" x14ac:dyDescent="0.3">
      <c r="A235" s="6">
        <v>228</v>
      </c>
      <c r="B235" s="7">
        <v>14884</v>
      </c>
      <c r="C235" s="8">
        <v>2472.069580078125</v>
      </c>
      <c r="D235" s="6">
        <v>9422.85546875</v>
      </c>
      <c r="E235" s="8">
        <v>254.33448791503906</v>
      </c>
      <c r="F235" s="8">
        <v>156.25566101074219</v>
      </c>
      <c r="G235" s="8">
        <v>630.3028564453125</v>
      </c>
      <c r="H235" s="18">
        <v>52.328334808349609</v>
      </c>
      <c r="I235" s="6">
        <v>0</v>
      </c>
      <c r="J235" s="6">
        <v>9577.626953125</v>
      </c>
      <c r="K235" s="6">
        <v>9036.7900390625</v>
      </c>
    </row>
    <row r="236" spans="1:11" x14ac:dyDescent="0.3">
      <c r="A236" s="6">
        <v>229</v>
      </c>
      <c r="B236" s="7">
        <v>14915</v>
      </c>
      <c r="C236" s="8">
        <v>2323.353759765625</v>
      </c>
      <c r="D236" s="6">
        <v>6652.06640625</v>
      </c>
      <c r="E236" s="8">
        <v>785.3338623046875</v>
      </c>
      <c r="F236" s="8">
        <v>75.052169799804688</v>
      </c>
      <c r="G236" s="8">
        <v>776.918212890625</v>
      </c>
      <c r="H236" s="18">
        <v>54.96588134765625</v>
      </c>
      <c r="I236" s="6">
        <v>0</v>
      </c>
      <c r="J236" s="6">
        <v>7484.31298828125</v>
      </c>
      <c r="K236" s="6">
        <v>7008.0869140625</v>
      </c>
    </row>
    <row r="237" spans="1:11" x14ac:dyDescent="0.3">
      <c r="A237" s="6">
        <v>230</v>
      </c>
      <c r="B237" s="7">
        <v>14945</v>
      </c>
      <c r="C237" s="8">
        <v>2151.726806640625</v>
      </c>
      <c r="D237" s="6">
        <v>7540.9306640625</v>
      </c>
      <c r="E237" s="8">
        <v>1105.5103759765625</v>
      </c>
      <c r="F237" s="8">
        <v>0</v>
      </c>
      <c r="G237" s="8">
        <v>473.91668701171875</v>
      </c>
      <c r="H237" s="18">
        <v>55.376506805419922</v>
      </c>
      <c r="I237" s="6">
        <v>1</v>
      </c>
      <c r="J237" s="6">
        <v>9129.4375</v>
      </c>
      <c r="K237" s="6">
        <v>9098.9130859375</v>
      </c>
    </row>
    <row r="238" spans="1:11" x14ac:dyDescent="0.3">
      <c r="A238" s="6">
        <v>231</v>
      </c>
      <c r="B238" s="7">
        <v>14976</v>
      </c>
      <c r="C238" s="8">
        <v>3293</v>
      </c>
      <c r="D238" s="6">
        <v>6539.8544921875</v>
      </c>
      <c r="E238" s="8">
        <v>0</v>
      </c>
      <c r="F238" s="8">
        <v>0</v>
      </c>
      <c r="G238" s="8">
        <v>157.75537109375</v>
      </c>
      <c r="H238" s="18">
        <v>50.059749603271484</v>
      </c>
      <c r="I238" s="6">
        <v>1</v>
      </c>
      <c r="J238" s="6">
        <v>20222.791015625</v>
      </c>
      <c r="K238" s="6">
        <v>23199.462890625</v>
      </c>
    </row>
    <row r="239" spans="1:11" x14ac:dyDescent="0.3">
      <c r="A239" s="6">
        <v>232</v>
      </c>
      <c r="B239" s="7">
        <v>15007</v>
      </c>
      <c r="C239" s="8">
        <v>3317</v>
      </c>
      <c r="D239" s="6">
        <v>27203.96875</v>
      </c>
      <c r="E239" s="8">
        <v>0</v>
      </c>
      <c r="F239" s="8">
        <v>0</v>
      </c>
      <c r="G239" s="8">
        <v>74.81182861328125</v>
      </c>
      <c r="H239" s="18">
        <v>46.635665893554688</v>
      </c>
      <c r="I239" s="6">
        <v>1</v>
      </c>
      <c r="J239" s="6">
        <v>43838.171875</v>
      </c>
      <c r="K239" s="6">
        <v>47285.21484375</v>
      </c>
    </row>
    <row r="240" spans="1:11" x14ac:dyDescent="0.3">
      <c r="A240" s="6">
        <v>233</v>
      </c>
      <c r="B240" s="7">
        <v>15035</v>
      </c>
      <c r="C240" s="8">
        <v>3423</v>
      </c>
      <c r="D240" s="6">
        <v>24621.75390625</v>
      </c>
      <c r="E240" s="8">
        <v>0</v>
      </c>
      <c r="F240" s="8">
        <v>0</v>
      </c>
      <c r="G240" s="8">
        <v>68.422615051269531</v>
      </c>
      <c r="H240" s="18">
        <v>45.075450897216797</v>
      </c>
      <c r="I240" s="6">
        <v>1</v>
      </c>
      <c r="J240" s="6">
        <v>43342.46875</v>
      </c>
      <c r="K240" s="6">
        <v>49150.671875</v>
      </c>
    </row>
    <row r="241" spans="1:11" x14ac:dyDescent="0.3">
      <c r="A241" s="6">
        <v>234</v>
      </c>
      <c r="B241" s="7">
        <v>15066</v>
      </c>
      <c r="C241" s="8">
        <v>3940</v>
      </c>
      <c r="D241" s="6">
        <v>14015.2646484375</v>
      </c>
      <c r="E241" s="8">
        <v>93.531776428222656</v>
      </c>
      <c r="F241" s="8">
        <v>0</v>
      </c>
      <c r="G241" s="8">
        <v>19.516128540039063</v>
      </c>
      <c r="H241" s="18">
        <v>45.862567901611328</v>
      </c>
      <c r="I241" s="6">
        <v>1</v>
      </c>
      <c r="J241" s="6">
        <v>26417.728515625</v>
      </c>
      <c r="K241" s="6">
        <v>30972.322265625</v>
      </c>
    </row>
    <row r="242" spans="1:11" x14ac:dyDescent="0.3">
      <c r="A242" s="6">
        <v>235</v>
      </c>
      <c r="B242" s="7">
        <v>15096</v>
      </c>
      <c r="C242" s="8">
        <v>4456</v>
      </c>
      <c r="D242" s="6">
        <v>13347.38671875</v>
      </c>
      <c r="E242" s="8">
        <v>0</v>
      </c>
      <c r="F242" s="8">
        <v>23.296117782592773</v>
      </c>
      <c r="G242" s="8">
        <v>258.51828002929688</v>
      </c>
      <c r="H242" s="18">
        <v>47.10235595703125</v>
      </c>
      <c r="I242" s="6">
        <v>1</v>
      </c>
      <c r="J242" s="6">
        <v>24530.4140625</v>
      </c>
      <c r="K242" s="6">
        <v>28373.26171875</v>
      </c>
    </row>
    <row r="243" spans="1:11" x14ac:dyDescent="0.3">
      <c r="A243" s="6">
        <v>236</v>
      </c>
      <c r="B243" s="7">
        <v>15127</v>
      </c>
      <c r="C243" s="8">
        <v>4552</v>
      </c>
      <c r="D243" s="6">
        <v>11196.62890625</v>
      </c>
      <c r="E243" s="8">
        <v>0</v>
      </c>
      <c r="F243" s="8">
        <v>416.04388427734375</v>
      </c>
      <c r="G243" s="8">
        <v>1881.5819091796875</v>
      </c>
      <c r="H243" s="18">
        <v>49.271575927734375</v>
      </c>
      <c r="I243" s="6">
        <v>1</v>
      </c>
      <c r="J243" s="6">
        <v>14816.0166015625</v>
      </c>
      <c r="K243" s="6">
        <v>15543.9296875</v>
      </c>
    </row>
    <row r="244" spans="1:11" x14ac:dyDescent="0.3">
      <c r="A244" s="6">
        <v>237</v>
      </c>
      <c r="B244" s="7">
        <v>15157</v>
      </c>
      <c r="C244" s="8">
        <v>4473.59912109375</v>
      </c>
      <c r="D244" s="6">
        <v>7959.45068359375</v>
      </c>
      <c r="E244" s="8">
        <v>0</v>
      </c>
      <c r="F244" s="8">
        <v>1200.7138671875</v>
      </c>
      <c r="G244" s="8">
        <v>2235.81640625</v>
      </c>
      <c r="H244" s="18">
        <v>51.485713958740234</v>
      </c>
      <c r="I244" s="6">
        <v>1</v>
      </c>
      <c r="J244" s="6">
        <v>8009.8544921875</v>
      </c>
      <c r="K244" s="6">
        <v>6821.4931640625</v>
      </c>
    </row>
    <row r="245" spans="1:11" x14ac:dyDescent="0.3">
      <c r="A245" s="6">
        <v>238</v>
      </c>
      <c r="B245" s="7">
        <v>15188</v>
      </c>
      <c r="C245" s="8">
        <v>4107.0615234375</v>
      </c>
      <c r="D245" s="6">
        <v>13357.740234375</v>
      </c>
      <c r="E245" s="8">
        <v>349.03091430664063</v>
      </c>
      <c r="F245" s="8">
        <v>1380.17529296875</v>
      </c>
      <c r="G245" s="8">
        <v>2616.67822265625</v>
      </c>
      <c r="H245" s="18">
        <v>52.457145690917969</v>
      </c>
      <c r="I245" s="6">
        <v>0</v>
      </c>
      <c r="J245" s="6">
        <v>12204.9248046875</v>
      </c>
      <c r="K245" s="6">
        <v>9971.2451171875</v>
      </c>
    </row>
    <row r="246" spans="1:11" x14ac:dyDescent="0.3">
      <c r="A246" s="6">
        <v>239</v>
      </c>
      <c r="B246" s="7">
        <v>15219</v>
      </c>
      <c r="C246" s="8">
        <v>3700</v>
      </c>
      <c r="D246" s="6">
        <v>11872.826171875</v>
      </c>
      <c r="E246" s="8">
        <v>41.871162414550781</v>
      </c>
      <c r="F246" s="8">
        <v>1101.7642822265625</v>
      </c>
      <c r="G246" s="8">
        <v>2130.645751953125</v>
      </c>
      <c r="H246" s="18">
        <v>51.779338836669922</v>
      </c>
      <c r="I246" s="6">
        <v>0</v>
      </c>
      <c r="J246" s="6">
        <v>10819.5390625</v>
      </c>
      <c r="K246" s="6">
        <v>8847.0810546875</v>
      </c>
    </row>
    <row r="247" spans="1:11" x14ac:dyDescent="0.3">
      <c r="A247" s="6">
        <v>240</v>
      </c>
      <c r="B247" s="7">
        <v>15249</v>
      </c>
      <c r="C247" s="8">
        <v>3115.0087890625</v>
      </c>
      <c r="D247" s="6">
        <v>16733.720703125</v>
      </c>
      <c r="E247" s="8">
        <v>125.05797576904297</v>
      </c>
      <c r="F247" s="8">
        <v>309.26522827148438</v>
      </c>
      <c r="G247" s="8">
        <v>632.9815673828125</v>
      </c>
      <c r="H247" s="18">
        <v>51.662921905517578</v>
      </c>
      <c r="I247" s="6">
        <v>0</v>
      </c>
      <c r="J247" s="6">
        <v>16636.384765625</v>
      </c>
      <c r="K247" s="6">
        <v>16174.7275390625</v>
      </c>
    </row>
    <row r="248" spans="1:11" x14ac:dyDescent="0.3">
      <c r="A248" s="6">
        <v>241</v>
      </c>
      <c r="B248" s="7">
        <v>15280</v>
      </c>
      <c r="C248" s="8">
        <v>3008.909423828125</v>
      </c>
      <c r="D248" s="6">
        <v>6941.080078125</v>
      </c>
      <c r="E248" s="8">
        <v>404.5906982421875</v>
      </c>
      <c r="F248" s="8">
        <v>85.824325561523438</v>
      </c>
      <c r="G248" s="8">
        <v>771.78314208984375</v>
      </c>
      <c r="H248" s="18">
        <v>54.268104553222656</v>
      </c>
      <c r="I248" s="6">
        <v>0</v>
      </c>
      <c r="J248" s="6">
        <v>7436.232421875</v>
      </c>
      <c r="K248" s="6">
        <v>6971.76171875</v>
      </c>
    </row>
    <row r="249" spans="1:11" x14ac:dyDescent="0.3">
      <c r="A249" s="6">
        <v>242</v>
      </c>
      <c r="B249" s="7">
        <v>15310</v>
      </c>
      <c r="C249" s="8">
        <v>2705.9296875</v>
      </c>
      <c r="D249" s="6">
        <v>9992.234375</v>
      </c>
      <c r="E249" s="8">
        <v>455.62896728515625</v>
      </c>
      <c r="F249" s="8">
        <v>0</v>
      </c>
      <c r="G249" s="8">
        <v>475.59722900390625</v>
      </c>
      <c r="H249" s="18">
        <v>55.452716827392578</v>
      </c>
      <c r="I249" s="6">
        <v>0</v>
      </c>
      <c r="J249" s="6">
        <v>11324.0009765625</v>
      </c>
      <c r="K249" s="6">
        <v>11322.568359375</v>
      </c>
    </row>
    <row r="250" spans="1:11" x14ac:dyDescent="0.3">
      <c r="A250" s="6">
        <v>243</v>
      </c>
      <c r="B250" s="7">
        <v>15341</v>
      </c>
      <c r="C250" s="8">
        <v>3316</v>
      </c>
      <c r="D250" s="6">
        <v>11827.3310546875</v>
      </c>
      <c r="E250" s="8">
        <v>0</v>
      </c>
      <c r="F250" s="8">
        <v>0</v>
      </c>
      <c r="G250" s="8">
        <v>157.75537109375</v>
      </c>
      <c r="H250" s="18">
        <v>50.742740631103516</v>
      </c>
      <c r="I250" s="6">
        <v>1</v>
      </c>
      <c r="J250" s="6">
        <v>22097.177734375</v>
      </c>
      <c r="K250" s="6">
        <v>25666.990234375</v>
      </c>
    </row>
    <row r="251" spans="1:11" x14ac:dyDescent="0.3">
      <c r="A251" s="6">
        <v>244</v>
      </c>
      <c r="B251" s="7">
        <v>15372</v>
      </c>
      <c r="C251" s="8">
        <v>3389</v>
      </c>
      <c r="D251" s="6">
        <v>19439.32421875</v>
      </c>
      <c r="E251" s="8">
        <v>0</v>
      </c>
      <c r="F251" s="8">
        <v>0</v>
      </c>
      <c r="G251" s="8">
        <v>74.81182861328125</v>
      </c>
      <c r="H251" s="18">
        <v>47.209293365478516</v>
      </c>
      <c r="I251" s="6">
        <v>1</v>
      </c>
      <c r="J251" s="6">
        <v>28510.50390625</v>
      </c>
      <c r="K251" s="6">
        <v>32260.537109375</v>
      </c>
    </row>
    <row r="252" spans="1:11" x14ac:dyDescent="0.3">
      <c r="A252" s="6">
        <v>245</v>
      </c>
      <c r="B252" s="7">
        <v>15400</v>
      </c>
      <c r="C252" s="8">
        <v>3516</v>
      </c>
      <c r="D252" s="6">
        <v>30876.482421875</v>
      </c>
      <c r="E252" s="8">
        <v>0</v>
      </c>
      <c r="F252" s="8">
        <v>0</v>
      </c>
      <c r="G252" s="8">
        <v>68.422615051269531</v>
      </c>
      <c r="H252" s="18">
        <v>45.469501495361328</v>
      </c>
      <c r="I252" s="6">
        <v>1</v>
      </c>
      <c r="J252" s="6">
        <v>47932.23046875</v>
      </c>
      <c r="K252" s="6">
        <v>52565.203125</v>
      </c>
    </row>
    <row r="253" spans="1:11" x14ac:dyDescent="0.3">
      <c r="A253" s="6">
        <v>246</v>
      </c>
      <c r="B253" s="7">
        <v>15431</v>
      </c>
      <c r="C253" s="8">
        <v>3852.054931640625</v>
      </c>
      <c r="D253" s="6">
        <v>3250</v>
      </c>
      <c r="E253" s="8">
        <v>0</v>
      </c>
      <c r="F253" s="8">
        <v>0</v>
      </c>
      <c r="G253" s="8">
        <v>19.516128540039063</v>
      </c>
      <c r="H253" s="18">
        <v>47.824516296386719</v>
      </c>
      <c r="I253" s="6">
        <v>1</v>
      </c>
      <c r="J253" s="6">
        <v>5977.087890625</v>
      </c>
      <c r="K253" s="6">
        <v>7297.251953125</v>
      </c>
    </row>
    <row r="254" spans="1:11" x14ac:dyDescent="0.3">
      <c r="A254" s="6">
        <v>247</v>
      </c>
      <c r="B254" s="7">
        <v>15461</v>
      </c>
      <c r="C254" s="8">
        <v>4509.97900390625</v>
      </c>
      <c r="D254" s="6">
        <v>3250</v>
      </c>
      <c r="E254" s="8">
        <v>0</v>
      </c>
      <c r="F254" s="8">
        <v>20.96923828125</v>
      </c>
      <c r="G254" s="8">
        <v>278.10659790039063</v>
      </c>
      <c r="H254" s="18">
        <v>49.696609497070313</v>
      </c>
      <c r="I254" s="6">
        <v>1</v>
      </c>
      <c r="J254" s="6">
        <v>10081.4072265625</v>
      </c>
      <c r="K254" s="6">
        <v>12665.69140625</v>
      </c>
    </row>
    <row r="255" spans="1:11" x14ac:dyDescent="0.3">
      <c r="A255" s="6">
        <v>248</v>
      </c>
      <c r="B255" s="7">
        <v>15492</v>
      </c>
      <c r="C255" s="8">
        <v>4552</v>
      </c>
      <c r="D255" s="6">
        <v>10224.1552734375</v>
      </c>
      <c r="E255" s="8">
        <v>0</v>
      </c>
      <c r="F255" s="8">
        <v>528.735595703125</v>
      </c>
      <c r="G255" s="8">
        <v>2076.0068359375</v>
      </c>
      <c r="H255" s="18">
        <v>48.257987976074219</v>
      </c>
      <c r="I255" s="6">
        <v>1</v>
      </c>
      <c r="J255" s="6">
        <v>12758.6474609375</v>
      </c>
      <c r="K255" s="6">
        <v>12919.2939453125</v>
      </c>
    </row>
    <row r="256" spans="1:11" x14ac:dyDescent="0.3">
      <c r="A256" s="6">
        <v>249</v>
      </c>
      <c r="B256" s="7">
        <v>15522</v>
      </c>
      <c r="C256" s="8">
        <v>4500</v>
      </c>
      <c r="D256" s="6">
        <v>7711.70703125</v>
      </c>
      <c r="E256" s="8">
        <v>0</v>
      </c>
      <c r="F256" s="8">
        <v>1239.5582275390625</v>
      </c>
      <c r="G256" s="8">
        <v>2346.177734375</v>
      </c>
      <c r="H256" s="18">
        <v>50.720790863037109</v>
      </c>
      <c r="I256" s="6">
        <v>1</v>
      </c>
      <c r="J256" s="6">
        <v>8114.5390625</v>
      </c>
      <c r="K256" s="6">
        <v>6974.24951171875</v>
      </c>
    </row>
    <row r="257" spans="1:11" x14ac:dyDescent="0.3">
      <c r="A257" s="6">
        <v>250</v>
      </c>
      <c r="B257" s="7">
        <v>15553</v>
      </c>
      <c r="C257" s="8">
        <v>3968.421142578125</v>
      </c>
      <c r="D257" s="6">
        <v>12291.904296875</v>
      </c>
      <c r="E257" s="8">
        <v>0</v>
      </c>
      <c r="F257" s="8">
        <v>1378.510009765625</v>
      </c>
      <c r="G257" s="8">
        <v>2616.67822265625</v>
      </c>
      <c r="H257" s="18">
        <v>51.129238128662109</v>
      </c>
      <c r="I257" s="6">
        <v>0</v>
      </c>
      <c r="J257" s="6">
        <v>11152.9931640625</v>
      </c>
      <c r="K257" s="6">
        <v>8892.064453125</v>
      </c>
    </row>
    <row r="258" spans="1:11" x14ac:dyDescent="0.3">
      <c r="A258" s="6">
        <v>251</v>
      </c>
      <c r="B258" s="7">
        <v>15584</v>
      </c>
      <c r="C258" s="8">
        <v>3591.01611328125</v>
      </c>
      <c r="D258" s="6">
        <v>10876.232421875</v>
      </c>
      <c r="E258" s="8">
        <v>0</v>
      </c>
      <c r="F258" s="8">
        <v>1100.3702392578125</v>
      </c>
      <c r="G258" s="8">
        <v>2240.93798828125</v>
      </c>
      <c r="H258" s="18">
        <v>52.111656188964844</v>
      </c>
      <c r="I258" s="6">
        <v>0</v>
      </c>
      <c r="J258" s="6">
        <v>9815.0927734375</v>
      </c>
      <c r="K258" s="6">
        <v>7714.37353515625</v>
      </c>
    </row>
    <row r="259" spans="1:11" x14ac:dyDescent="0.3">
      <c r="A259" s="6">
        <v>252</v>
      </c>
      <c r="B259" s="7">
        <v>15614</v>
      </c>
      <c r="C259" s="8">
        <v>2988.85791015625</v>
      </c>
      <c r="D259" s="6">
        <v>16441.0390625</v>
      </c>
      <c r="E259" s="8">
        <v>0</v>
      </c>
      <c r="F259" s="8">
        <v>296.251708984375</v>
      </c>
      <c r="G259" s="8">
        <v>546.3223876953125</v>
      </c>
      <c r="H259" s="18">
        <v>50.557979583740234</v>
      </c>
      <c r="I259" s="6">
        <v>0</v>
      </c>
      <c r="J259" s="6">
        <v>16283.15234375</v>
      </c>
      <c r="K259" s="6">
        <v>15904.01171875</v>
      </c>
    </row>
    <row r="260" spans="1:11" x14ac:dyDescent="0.3">
      <c r="A260" s="6">
        <v>253</v>
      </c>
      <c r="B260" s="7">
        <v>15645</v>
      </c>
      <c r="C260" s="8">
        <v>2811.55517578125</v>
      </c>
      <c r="D260" s="6">
        <v>8017.1748046875</v>
      </c>
      <c r="E260" s="8">
        <v>1127.253662109375</v>
      </c>
      <c r="F260" s="8">
        <v>207.57769775390625</v>
      </c>
      <c r="G260" s="8">
        <v>839.365966796875</v>
      </c>
      <c r="H260" s="18">
        <v>54.367649078369141</v>
      </c>
      <c r="I260" s="6">
        <v>0</v>
      </c>
      <c r="J260" s="6">
        <v>8285.9775390625</v>
      </c>
      <c r="K260" s="6">
        <v>7677.873046875</v>
      </c>
    </row>
    <row r="261" spans="1:11" x14ac:dyDescent="0.3">
      <c r="A261" s="6">
        <v>254</v>
      </c>
      <c r="B261" s="7">
        <v>15675</v>
      </c>
      <c r="C261" s="8">
        <v>2611.368408203125</v>
      </c>
      <c r="D261" s="6">
        <v>9128.6396484375</v>
      </c>
      <c r="E261" s="8">
        <v>1237.8724365234375</v>
      </c>
      <c r="F261" s="8">
        <v>0</v>
      </c>
      <c r="G261" s="8">
        <v>482.3194580078125</v>
      </c>
      <c r="H261" s="18">
        <v>55.282325744628906</v>
      </c>
      <c r="I261" s="6">
        <v>1</v>
      </c>
      <c r="J261" s="6">
        <v>10672.9404296875</v>
      </c>
      <c r="K261" s="6">
        <v>10773.548828125</v>
      </c>
    </row>
    <row r="262" spans="1:11" x14ac:dyDescent="0.3">
      <c r="A262" s="6">
        <v>255</v>
      </c>
      <c r="B262" s="7">
        <v>15706</v>
      </c>
      <c r="C262" s="8">
        <v>2889.933349609375</v>
      </c>
      <c r="D262" s="6">
        <v>3250</v>
      </c>
      <c r="E262" s="8">
        <v>0</v>
      </c>
      <c r="F262" s="8">
        <v>0</v>
      </c>
      <c r="G262" s="8">
        <v>178.89784240722656</v>
      </c>
      <c r="H262" s="18">
        <v>51.351875305175781</v>
      </c>
      <c r="I262" s="6">
        <v>1</v>
      </c>
      <c r="J262" s="6">
        <v>6682.89208984375</v>
      </c>
      <c r="K262" s="6">
        <v>7742.4970703125</v>
      </c>
    </row>
    <row r="263" spans="1:11" x14ac:dyDescent="0.3">
      <c r="A263" s="6">
        <v>256</v>
      </c>
      <c r="B263" s="7">
        <v>15737</v>
      </c>
      <c r="C263" s="8">
        <v>3541</v>
      </c>
      <c r="D263" s="6">
        <v>6982.25341796875</v>
      </c>
      <c r="E263" s="8">
        <v>0</v>
      </c>
      <c r="F263" s="8">
        <v>0</v>
      </c>
      <c r="G263" s="8">
        <v>74.81182861328125</v>
      </c>
      <c r="H263" s="18">
        <v>47.854896545410156</v>
      </c>
      <c r="I263" s="6">
        <v>1</v>
      </c>
      <c r="J263" s="6">
        <v>19007.423828125</v>
      </c>
      <c r="K263" s="6">
        <v>22280.951171875</v>
      </c>
    </row>
    <row r="264" spans="1:11" x14ac:dyDescent="0.3">
      <c r="A264" s="6">
        <v>257</v>
      </c>
      <c r="B264" s="7">
        <v>15765</v>
      </c>
      <c r="C264" s="8">
        <v>3848</v>
      </c>
      <c r="D264" s="6">
        <v>8456.7333984375</v>
      </c>
      <c r="E264" s="8">
        <v>0</v>
      </c>
      <c r="F264" s="8">
        <v>0</v>
      </c>
      <c r="G264" s="8">
        <v>68.422615051269531</v>
      </c>
      <c r="H264" s="18">
        <v>46.587650299072266</v>
      </c>
      <c r="I264" s="6">
        <v>1</v>
      </c>
      <c r="J264" s="6">
        <v>14051.4736328125</v>
      </c>
      <c r="K264" s="6">
        <v>15965.123046875</v>
      </c>
    </row>
    <row r="265" spans="1:11" x14ac:dyDescent="0.3">
      <c r="A265" s="6">
        <v>258</v>
      </c>
      <c r="B265" s="7">
        <v>15796</v>
      </c>
      <c r="C265" s="8">
        <v>4118</v>
      </c>
      <c r="D265" s="6">
        <v>10984.1044921875</v>
      </c>
      <c r="E265" s="8">
        <v>1178.9932861328125</v>
      </c>
      <c r="F265" s="8">
        <v>1.3124222755432129</v>
      </c>
      <c r="G265" s="8">
        <v>23.228803634643555</v>
      </c>
      <c r="H265" s="18">
        <v>47.050071716308594</v>
      </c>
      <c r="I265" s="6">
        <v>1</v>
      </c>
      <c r="J265" s="6">
        <v>17405.384765625</v>
      </c>
      <c r="K265" s="6">
        <v>20460.80078125</v>
      </c>
    </row>
    <row r="266" spans="1:11" x14ac:dyDescent="0.3">
      <c r="A266" s="6">
        <v>259</v>
      </c>
      <c r="B266" s="7">
        <v>15826</v>
      </c>
      <c r="C266" s="8">
        <v>4552</v>
      </c>
      <c r="D266" s="6">
        <v>3750.597900390625</v>
      </c>
      <c r="E266" s="8">
        <v>0</v>
      </c>
      <c r="F266" s="8">
        <v>242.15982055664063</v>
      </c>
      <c r="G266" s="8">
        <v>409.699951171875</v>
      </c>
      <c r="H266" s="18">
        <v>50.021923065185547</v>
      </c>
      <c r="I266" s="6">
        <v>1</v>
      </c>
      <c r="J266" s="6">
        <v>7293.341796875</v>
      </c>
      <c r="K266" s="6">
        <v>9007.853515625</v>
      </c>
    </row>
    <row r="267" spans="1:11" x14ac:dyDescent="0.3">
      <c r="A267" s="6">
        <v>260</v>
      </c>
      <c r="B267" s="7">
        <v>15857</v>
      </c>
      <c r="C267" s="8">
        <v>4552</v>
      </c>
      <c r="D267" s="6">
        <v>7166.14208984375</v>
      </c>
      <c r="E267" s="8">
        <v>0</v>
      </c>
      <c r="F267" s="8">
        <v>758.106201171875</v>
      </c>
      <c r="G267" s="8">
        <v>2288.578369140625</v>
      </c>
      <c r="H267" s="18">
        <v>50.632198333740234</v>
      </c>
      <c r="I267" s="6">
        <v>1</v>
      </c>
      <c r="J267" s="6">
        <v>8171.794921875</v>
      </c>
      <c r="K267" s="6">
        <v>6973.66015625</v>
      </c>
    </row>
    <row r="268" spans="1:11" x14ac:dyDescent="0.3">
      <c r="A268" s="6">
        <v>261</v>
      </c>
      <c r="B268" s="7">
        <v>15887</v>
      </c>
      <c r="C268" s="8">
        <v>4340.33056640625</v>
      </c>
      <c r="D268" s="6">
        <v>8327.544921875</v>
      </c>
      <c r="E268" s="8">
        <v>0</v>
      </c>
      <c r="F268" s="8">
        <v>855.91656494140625</v>
      </c>
      <c r="G268" s="8">
        <v>2263.260986328125</v>
      </c>
      <c r="H268" s="18">
        <v>50.935405731201172</v>
      </c>
      <c r="I268" s="6">
        <v>1</v>
      </c>
      <c r="J268" s="6">
        <v>8449.357421875</v>
      </c>
      <c r="K268" s="6">
        <v>6770.49853515625</v>
      </c>
    </row>
    <row r="269" spans="1:11" x14ac:dyDescent="0.3">
      <c r="A269" s="6">
        <v>262</v>
      </c>
      <c r="B269" s="7">
        <v>15918</v>
      </c>
      <c r="C269" s="8">
        <v>3628.526611328125</v>
      </c>
      <c r="D269" s="6">
        <v>16000</v>
      </c>
      <c r="E269" s="8">
        <v>293.16183471679688</v>
      </c>
      <c r="F269" s="8">
        <v>941.12457275390625</v>
      </c>
      <c r="G269" s="8">
        <v>2607.468505859375</v>
      </c>
      <c r="H269" s="18">
        <v>50.874599456787109</v>
      </c>
      <c r="I269" s="6">
        <v>0</v>
      </c>
      <c r="J269" s="6">
        <v>15051.390625</v>
      </c>
      <c r="K269" s="6">
        <v>12601.6845703125</v>
      </c>
    </row>
    <row r="270" spans="1:11" x14ac:dyDescent="0.3">
      <c r="A270" s="6">
        <v>263</v>
      </c>
      <c r="B270" s="7">
        <v>15949</v>
      </c>
      <c r="C270" s="8">
        <v>3207.091552734375</v>
      </c>
      <c r="D270" s="6">
        <v>11424.2587890625</v>
      </c>
      <c r="E270" s="8">
        <v>301.35446166992188</v>
      </c>
      <c r="F270" s="8">
        <v>755.63104248046875</v>
      </c>
      <c r="G270" s="8">
        <v>2240.93798828125</v>
      </c>
      <c r="H270" s="18">
        <v>51.876686096191406</v>
      </c>
      <c r="I270" s="6">
        <v>0</v>
      </c>
      <c r="J270" s="6">
        <v>10594.060546875</v>
      </c>
      <c r="K270" s="6">
        <v>8416.34765625</v>
      </c>
    </row>
    <row r="271" spans="1:11" x14ac:dyDescent="0.3">
      <c r="A271" s="6">
        <v>264</v>
      </c>
      <c r="B271" s="7">
        <v>15979</v>
      </c>
      <c r="C271" s="8">
        <v>2551.45654296875</v>
      </c>
      <c r="D271" s="6">
        <v>16244.634765625</v>
      </c>
      <c r="E271" s="8">
        <v>0</v>
      </c>
      <c r="F271" s="8">
        <v>152.36436462402344</v>
      </c>
      <c r="G271" s="8">
        <v>632.9815673828125</v>
      </c>
      <c r="H271" s="18">
        <v>51.549350738525391</v>
      </c>
      <c r="I271" s="6">
        <v>0</v>
      </c>
      <c r="J271" s="6">
        <v>16136.1337890625</v>
      </c>
      <c r="K271" s="6">
        <v>15606.1044921875</v>
      </c>
    </row>
    <row r="272" spans="1:11" x14ac:dyDescent="0.3">
      <c r="A272" s="6">
        <v>265</v>
      </c>
      <c r="B272" s="7">
        <v>16010</v>
      </c>
      <c r="C272" s="8">
        <v>2361.369384765625</v>
      </c>
      <c r="D272" s="6">
        <v>8528.1826171875</v>
      </c>
      <c r="E272" s="8">
        <v>1550.2403564453125</v>
      </c>
      <c r="F272" s="8">
        <v>159.8173828125</v>
      </c>
      <c r="G272" s="8">
        <v>836.302490234375</v>
      </c>
      <c r="H272" s="18">
        <v>54.407260894775391</v>
      </c>
      <c r="I272" s="6">
        <v>0</v>
      </c>
      <c r="J272" s="6">
        <v>8954.15234375</v>
      </c>
      <c r="K272" s="6">
        <v>8348.6982421875</v>
      </c>
    </row>
    <row r="273" spans="1:11" x14ac:dyDescent="0.3">
      <c r="A273" s="6">
        <v>266</v>
      </c>
      <c r="B273" s="7">
        <v>16040</v>
      </c>
      <c r="C273" s="8">
        <v>2167.544921875</v>
      </c>
      <c r="D273" s="6">
        <v>10912.6953125</v>
      </c>
      <c r="E273" s="8">
        <v>2815.150390625</v>
      </c>
      <c r="F273" s="8">
        <v>2.6991710662841797</v>
      </c>
      <c r="G273" s="8">
        <v>554.3287353515625</v>
      </c>
      <c r="H273" s="18">
        <v>55.021083831787109</v>
      </c>
      <c r="I273" s="6">
        <v>0</v>
      </c>
      <c r="J273" s="6">
        <v>11808.09375</v>
      </c>
      <c r="K273" s="6">
        <v>11579.8876953125</v>
      </c>
    </row>
    <row r="274" spans="1:11" x14ac:dyDescent="0.3">
      <c r="A274" s="6">
        <v>267</v>
      </c>
      <c r="B274" s="7">
        <v>16071</v>
      </c>
      <c r="C274" s="8">
        <v>2218.51611328125</v>
      </c>
      <c r="D274" s="6">
        <v>3290.322021484375</v>
      </c>
      <c r="E274" s="8">
        <v>40.252571105957031</v>
      </c>
      <c r="F274" s="8">
        <v>0</v>
      </c>
      <c r="G274" s="8">
        <v>240.69892883300781</v>
      </c>
      <c r="H274" s="18">
        <v>52.930648803710938</v>
      </c>
      <c r="I274" s="6">
        <v>1</v>
      </c>
      <c r="J274" s="6">
        <v>4563.11669921875</v>
      </c>
      <c r="K274" s="6">
        <v>4664.529296875</v>
      </c>
    </row>
    <row r="275" spans="1:11" x14ac:dyDescent="0.3">
      <c r="A275" s="6">
        <v>268</v>
      </c>
      <c r="B275" s="7">
        <v>16102</v>
      </c>
      <c r="C275" s="8">
        <v>2380.153076171875</v>
      </c>
      <c r="D275" s="6">
        <v>3250</v>
      </c>
      <c r="E275" s="8">
        <v>0</v>
      </c>
      <c r="F275" s="8">
        <v>0</v>
      </c>
      <c r="G275" s="8">
        <v>74.81182861328125</v>
      </c>
      <c r="H275" s="18">
        <v>49.977432250976563</v>
      </c>
      <c r="I275" s="6">
        <v>1</v>
      </c>
      <c r="J275" s="6">
        <v>5421.24658203125</v>
      </c>
      <c r="K275" s="6">
        <v>5849.38427734375</v>
      </c>
    </row>
    <row r="276" spans="1:11" x14ac:dyDescent="0.3">
      <c r="A276" s="6">
        <v>269</v>
      </c>
      <c r="B276" s="7">
        <v>16131</v>
      </c>
      <c r="C276" s="8">
        <v>2708.094970703125</v>
      </c>
      <c r="D276" s="6">
        <v>3250</v>
      </c>
      <c r="E276" s="8">
        <v>0</v>
      </c>
      <c r="F276" s="8">
        <v>0</v>
      </c>
      <c r="G276" s="8">
        <v>66.063217163085938</v>
      </c>
      <c r="H276" s="18">
        <v>48.042137145996094</v>
      </c>
      <c r="I276" s="6">
        <v>1</v>
      </c>
      <c r="J276" s="6">
        <v>6810.45361328125</v>
      </c>
      <c r="K276" s="6">
        <v>7672.18115234375</v>
      </c>
    </row>
    <row r="277" spans="1:11" x14ac:dyDescent="0.3">
      <c r="A277" s="6">
        <v>270</v>
      </c>
      <c r="B277" s="7">
        <v>16162</v>
      </c>
      <c r="C277" s="8">
        <v>3005.096435546875</v>
      </c>
      <c r="D277" s="6">
        <v>3250</v>
      </c>
      <c r="E277" s="8">
        <v>0</v>
      </c>
      <c r="F277" s="8">
        <v>4.0596842765808105</v>
      </c>
      <c r="G277" s="8">
        <v>43.171005249023438</v>
      </c>
      <c r="H277" s="18">
        <v>49.563541412353516</v>
      </c>
      <c r="I277" s="6">
        <v>1</v>
      </c>
      <c r="J277" s="6">
        <v>5846.669921875</v>
      </c>
      <c r="K277" s="6">
        <v>6987.31591796875</v>
      </c>
    </row>
    <row r="278" spans="1:11" x14ac:dyDescent="0.3">
      <c r="A278" s="6">
        <v>271</v>
      </c>
      <c r="B278" s="7">
        <v>16192</v>
      </c>
      <c r="C278" s="8">
        <v>3187.75537109375</v>
      </c>
      <c r="D278" s="6">
        <v>3250</v>
      </c>
      <c r="E278" s="8">
        <v>0</v>
      </c>
      <c r="F278" s="8">
        <v>104.06297302246094</v>
      </c>
      <c r="G278" s="8">
        <v>468.96719360351563</v>
      </c>
      <c r="H278" s="18">
        <v>50.606151580810547</v>
      </c>
      <c r="I278" s="6">
        <v>1</v>
      </c>
      <c r="J278" s="6">
        <v>4268.78857421875</v>
      </c>
      <c r="K278" s="6">
        <v>4653.14990234375</v>
      </c>
    </row>
    <row r="279" spans="1:11" x14ac:dyDescent="0.3">
      <c r="A279" s="6">
        <v>272</v>
      </c>
      <c r="B279" s="7">
        <v>16223</v>
      </c>
      <c r="C279" s="8">
        <v>3183.985107421875</v>
      </c>
      <c r="D279" s="6">
        <v>5285.6044921875</v>
      </c>
      <c r="E279" s="8">
        <v>0</v>
      </c>
      <c r="F279" s="8">
        <v>20.680736541748047</v>
      </c>
      <c r="G279" s="8">
        <v>2024.68505859375</v>
      </c>
      <c r="H279" s="18">
        <v>51.930629730224609</v>
      </c>
      <c r="I279" s="6">
        <v>1</v>
      </c>
      <c r="J279" s="6">
        <v>6230.48583984375</v>
      </c>
      <c r="K279" s="6">
        <v>5042.197265625</v>
      </c>
    </row>
    <row r="280" spans="1:11" x14ac:dyDescent="0.3">
      <c r="A280" s="6">
        <v>273</v>
      </c>
      <c r="B280" s="7">
        <v>16253</v>
      </c>
      <c r="C280" s="8">
        <v>2883.628662109375</v>
      </c>
      <c r="D280" s="6">
        <v>9979.68359375</v>
      </c>
      <c r="E280" s="8">
        <v>0</v>
      </c>
      <c r="F280" s="8">
        <v>231.61277770996094</v>
      </c>
      <c r="G280" s="8">
        <v>2655.6513671875</v>
      </c>
      <c r="H280" s="18">
        <v>51.431163787841797</v>
      </c>
      <c r="I280" s="6">
        <v>0</v>
      </c>
      <c r="J280" s="6">
        <v>10386.8671875</v>
      </c>
      <c r="K280" s="6">
        <v>8031.36376953125</v>
      </c>
    </row>
    <row r="281" spans="1:11" x14ac:dyDescent="0.3">
      <c r="A281" s="6">
        <v>274</v>
      </c>
      <c r="B281" s="7">
        <v>16284</v>
      </c>
      <c r="C281" s="8">
        <v>2455.531494140625</v>
      </c>
      <c r="D281" s="6">
        <v>11936.8037109375</v>
      </c>
      <c r="E281" s="8">
        <v>1630.793212890625</v>
      </c>
      <c r="F281" s="8">
        <v>264.6837158203125</v>
      </c>
      <c r="G281" s="8">
        <v>2538.07568359375</v>
      </c>
      <c r="H281" s="18">
        <v>53.474411010742188</v>
      </c>
      <c r="I281" s="6">
        <v>0</v>
      </c>
      <c r="J281" s="6">
        <v>11487.9384765625</v>
      </c>
      <c r="K281" s="6">
        <v>8997.8046875</v>
      </c>
    </row>
    <row r="282" spans="1:11" x14ac:dyDescent="0.3">
      <c r="A282" s="6">
        <v>275</v>
      </c>
      <c r="B282" s="7">
        <v>16315</v>
      </c>
      <c r="C282" s="8">
        <v>2220.593017578125</v>
      </c>
      <c r="D282" s="6">
        <v>8804.8828125</v>
      </c>
      <c r="E282" s="8">
        <v>1479.651123046875</v>
      </c>
      <c r="F282" s="8">
        <v>211.33270263671875</v>
      </c>
      <c r="G282" s="8">
        <v>1921.841796875</v>
      </c>
      <c r="H282" s="18">
        <v>55.639957427978516</v>
      </c>
      <c r="I282" s="6">
        <v>0</v>
      </c>
      <c r="J282" s="6">
        <v>8388.3955078125</v>
      </c>
      <c r="K282" s="6">
        <v>6486.23291015625</v>
      </c>
    </row>
    <row r="283" spans="1:11" x14ac:dyDescent="0.3">
      <c r="A283" s="6">
        <v>276</v>
      </c>
      <c r="B283" s="7">
        <v>16345</v>
      </c>
      <c r="C283" s="8">
        <v>2136.83203125</v>
      </c>
      <c r="D283" s="6">
        <v>4972.36572265625</v>
      </c>
      <c r="E283" s="8">
        <v>1451.7376708984375</v>
      </c>
      <c r="F283" s="8">
        <v>97.005828857421875</v>
      </c>
      <c r="G283" s="8">
        <v>632.9815673828125</v>
      </c>
      <c r="H283" s="18">
        <v>55.590938568115234</v>
      </c>
      <c r="I283" s="6">
        <v>1</v>
      </c>
      <c r="J283" s="6">
        <v>4962.72900390625</v>
      </c>
      <c r="K283" s="6">
        <v>4360.0986328125</v>
      </c>
    </row>
    <row r="284" spans="1:11" x14ac:dyDescent="0.3">
      <c r="A284" s="6">
        <v>277</v>
      </c>
      <c r="B284" s="7">
        <v>16376</v>
      </c>
      <c r="C284" s="8">
        <v>2029.071044921875</v>
      </c>
      <c r="D284" s="6">
        <v>5477.94189453125</v>
      </c>
      <c r="E284" s="8">
        <v>1521.927001953125</v>
      </c>
      <c r="F284" s="8">
        <v>75.37847900390625</v>
      </c>
      <c r="G284" s="8">
        <v>812.96124267578125</v>
      </c>
      <c r="H284" s="18">
        <v>55.923236846923828</v>
      </c>
      <c r="I284" s="6">
        <v>1</v>
      </c>
      <c r="J284" s="6">
        <v>5908.0390625</v>
      </c>
      <c r="K284" s="6">
        <v>5270.52392578125</v>
      </c>
    </row>
    <row r="285" spans="1:11" x14ac:dyDescent="0.3">
      <c r="A285" s="6">
        <v>278</v>
      </c>
      <c r="B285" s="7">
        <v>16406</v>
      </c>
      <c r="C285" s="8">
        <v>2256.051025390625</v>
      </c>
      <c r="D285" s="6">
        <v>3250</v>
      </c>
      <c r="E285" s="8">
        <v>0</v>
      </c>
      <c r="F285" s="8">
        <v>0</v>
      </c>
      <c r="G285" s="8">
        <v>386.52777099609375</v>
      </c>
      <c r="H285" s="18">
        <v>54.608100891113281</v>
      </c>
      <c r="I285" s="6">
        <v>1</v>
      </c>
      <c r="J285" s="6">
        <v>6340.8046875</v>
      </c>
      <c r="K285" s="6">
        <v>6646.3125</v>
      </c>
    </row>
    <row r="286" spans="1:11" x14ac:dyDescent="0.3">
      <c r="A286" s="6">
        <v>279</v>
      </c>
      <c r="B286" s="7">
        <v>16437</v>
      </c>
      <c r="C286" s="8">
        <v>2565.279296875</v>
      </c>
      <c r="D286" s="6">
        <v>3250</v>
      </c>
      <c r="E286" s="8">
        <v>2511.267822265625</v>
      </c>
      <c r="F286" s="8">
        <v>0</v>
      </c>
      <c r="G286" s="8">
        <v>221.18280029296875</v>
      </c>
      <c r="H286" s="18">
        <v>50.093658447265625</v>
      </c>
      <c r="I286" s="6">
        <v>1</v>
      </c>
      <c r="J286" s="6">
        <v>6992.93359375</v>
      </c>
      <c r="K286" s="6">
        <v>7883.43115234375</v>
      </c>
    </row>
    <row r="287" spans="1:11" x14ac:dyDescent="0.3">
      <c r="A287" s="6">
        <v>280</v>
      </c>
      <c r="B287" s="7">
        <v>16468</v>
      </c>
      <c r="C287" s="8">
        <v>2776.846923828125</v>
      </c>
      <c r="D287" s="6">
        <v>3250</v>
      </c>
      <c r="E287" s="8">
        <v>0</v>
      </c>
      <c r="F287" s="8">
        <v>0</v>
      </c>
      <c r="G287" s="8">
        <v>86.196235656738281</v>
      </c>
      <c r="H287" s="18">
        <v>47.579647064208984</v>
      </c>
      <c r="I287" s="6">
        <v>1</v>
      </c>
      <c r="J287" s="6">
        <v>4703.85791015625</v>
      </c>
      <c r="K287" s="6">
        <v>5297.0859375</v>
      </c>
    </row>
    <row r="288" spans="1:11" x14ac:dyDescent="0.3">
      <c r="A288" s="6">
        <v>281</v>
      </c>
      <c r="B288" s="7">
        <v>16496</v>
      </c>
      <c r="C288" s="8">
        <v>3584.764404296875</v>
      </c>
      <c r="D288" s="6">
        <v>3250</v>
      </c>
      <c r="E288" s="8">
        <v>0</v>
      </c>
      <c r="F288" s="8">
        <v>0</v>
      </c>
      <c r="G288" s="8">
        <v>68.422615051269531</v>
      </c>
      <c r="H288" s="18">
        <v>47.678092956542969</v>
      </c>
      <c r="I288" s="6">
        <v>1</v>
      </c>
      <c r="J288" s="6">
        <v>11722.8037109375</v>
      </c>
      <c r="K288" s="6">
        <v>14168.029296875</v>
      </c>
    </row>
    <row r="289" spans="1:11" x14ac:dyDescent="0.3">
      <c r="A289" s="6">
        <v>282</v>
      </c>
      <c r="B289" s="7">
        <v>16527</v>
      </c>
      <c r="C289" s="8">
        <v>3910.586181640625</v>
      </c>
      <c r="D289" s="6">
        <v>3250</v>
      </c>
      <c r="E289" s="8">
        <v>0</v>
      </c>
      <c r="F289" s="8">
        <v>0</v>
      </c>
      <c r="G289" s="8">
        <v>19.516128540039063</v>
      </c>
      <c r="H289" s="18">
        <v>47.822319030761719</v>
      </c>
      <c r="I289" s="6">
        <v>1</v>
      </c>
      <c r="J289" s="6">
        <v>7517.62255859375</v>
      </c>
      <c r="K289" s="6">
        <v>8603.0166015625</v>
      </c>
    </row>
    <row r="290" spans="1:11" x14ac:dyDescent="0.3">
      <c r="A290" s="6">
        <v>283</v>
      </c>
      <c r="B290" s="7">
        <v>16557</v>
      </c>
      <c r="C290" s="8">
        <v>4155.40673828125</v>
      </c>
      <c r="D290" s="6">
        <v>3250</v>
      </c>
      <c r="E290" s="8">
        <v>0</v>
      </c>
      <c r="F290" s="8">
        <v>245.70526123046875</v>
      </c>
      <c r="G290" s="8">
        <v>453.39697265625</v>
      </c>
      <c r="H290" s="18">
        <v>50.669651031494141</v>
      </c>
      <c r="I290" s="6">
        <v>1</v>
      </c>
      <c r="J290" s="6">
        <v>4779.94775390625</v>
      </c>
      <c r="K290" s="6">
        <v>5528.41845703125</v>
      </c>
    </row>
    <row r="291" spans="1:11" x14ac:dyDescent="0.3">
      <c r="A291" s="6">
        <v>284</v>
      </c>
      <c r="B291" s="7">
        <v>16588</v>
      </c>
      <c r="C291" s="8">
        <v>4312.3994140625</v>
      </c>
      <c r="D291" s="6">
        <v>4815.7119140625</v>
      </c>
      <c r="E291" s="8">
        <v>0</v>
      </c>
      <c r="F291" s="8">
        <v>419.08834838867188</v>
      </c>
      <c r="G291" s="8">
        <v>2006.53857421875</v>
      </c>
      <c r="H291" s="18">
        <v>50.982772827148438</v>
      </c>
      <c r="I291" s="6">
        <v>1</v>
      </c>
      <c r="J291" s="6">
        <v>6445.18359375</v>
      </c>
      <c r="K291" s="6">
        <v>5448.30419921875</v>
      </c>
    </row>
    <row r="292" spans="1:11" x14ac:dyDescent="0.3">
      <c r="A292" s="6">
        <v>285</v>
      </c>
      <c r="B292" s="7">
        <v>16618</v>
      </c>
      <c r="C292" s="8">
        <v>4079.3798828125</v>
      </c>
      <c r="D292" s="6">
        <v>8762.8173828125</v>
      </c>
      <c r="E292" s="8">
        <v>0</v>
      </c>
      <c r="F292" s="8">
        <v>584.35906982421875</v>
      </c>
      <c r="G292" s="8">
        <v>2486.4326171875</v>
      </c>
      <c r="H292" s="18">
        <v>50.982040405273438</v>
      </c>
      <c r="I292" s="6">
        <v>0</v>
      </c>
      <c r="J292" s="6">
        <v>8893.482421875</v>
      </c>
      <c r="K292" s="6">
        <v>6842.28466796875</v>
      </c>
    </row>
    <row r="293" spans="1:11" x14ac:dyDescent="0.3">
      <c r="A293" s="6">
        <v>286</v>
      </c>
      <c r="B293" s="7">
        <v>16649</v>
      </c>
      <c r="C293" s="8">
        <v>3470.729248046875</v>
      </c>
      <c r="D293" s="6">
        <v>13865.92578125</v>
      </c>
      <c r="E293" s="8">
        <v>609.65301513671875</v>
      </c>
      <c r="F293" s="8">
        <v>726.76727294921875</v>
      </c>
      <c r="G293" s="8">
        <v>2632.5888671875</v>
      </c>
      <c r="H293" s="18">
        <v>50.834716796875</v>
      </c>
      <c r="I293" s="6">
        <v>0</v>
      </c>
      <c r="J293" s="6">
        <v>12907.2421875</v>
      </c>
      <c r="K293" s="6">
        <v>10333.6181640625</v>
      </c>
    </row>
    <row r="294" spans="1:11" x14ac:dyDescent="0.3">
      <c r="A294" s="6">
        <v>287</v>
      </c>
      <c r="B294" s="7">
        <v>16680</v>
      </c>
      <c r="C294" s="8">
        <v>3080.006103515625</v>
      </c>
      <c r="D294" s="6">
        <v>9892.8837890625</v>
      </c>
      <c r="E294" s="8">
        <v>465.335205078125</v>
      </c>
      <c r="F294" s="8">
        <v>579.1756591796875</v>
      </c>
      <c r="G294" s="8">
        <v>1980.0391845703125</v>
      </c>
      <c r="H294" s="18">
        <v>52.325424194335938</v>
      </c>
      <c r="I294" s="6">
        <v>0</v>
      </c>
      <c r="J294" s="6">
        <v>9200.619140625</v>
      </c>
      <c r="K294" s="6">
        <v>7240.25927734375</v>
      </c>
    </row>
    <row r="295" spans="1:11" x14ac:dyDescent="0.3">
      <c r="A295" s="6">
        <v>288</v>
      </c>
      <c r="B295" s="7">
        <v>16710</v>
      </c>
      <c r="C295" s="8">
        <v>2950.834716796875</v>
      </c>
      <c r="D295" s="6">
        <v>5636.38525390625</v>
      </c>
      <c r="E295" s="8">
        <v>334.24276733398438</v>
      </c>
      <c r="F295" s="8">
        <v>71.801605224609375</v>
      </c>
      <c r="G295" s="8">
        <v>632.9815673828125</v>
      </c>
      <c r="H295" s="18">
        <v>53.662078857421875</v>
      </c>
      <c r="I295" s="6">
        <v>1</v>
      </c>
      <c r="J295" s="6">
        <v>5488.17333984375</v>
      </c>
      <c r="K295" s="6">
        <v>4907.06787109375</v>
      </c>
    </row>
    <row r="296" spans="1:11" x14ac:dyDescent="0.3">
      <c r="A296" s="6">
        <v>289</v>
      </c>
      <c r="B296" s="7">
        <v>16741</v>
      </c>
      <c r="C296" s="8">
        <v>2984.231201171875</v>
      </c>
      <c r="D296" s="6">
        <v>5261.7841796875</v>
      </c>
      <c r="E296" s="8">
        <v>526.39361572265625</v>
      </c>
      <c r="F296" s="8">
        <v>55.220310211181641</v>
      </c>
      <c r="G296" s="8">
        <v>735.66754150390625</v>
      </c>
      <c r="H296" s="18">
        <v>53.666004180908203</v>
      </c>
      <c r="I296" s="6">
        <v>1</v>
      </c>
      <c r="J296" s="6">
        <v>6269.0791015625</v>
      </c>
      <c r="K296" s="6">
        <v>5927.359375</v>
      </c>
    </row>
    <row r="297" spans="1:11" x14ac:dyDescent="0.3">
      <c r="A297" s="6">
        <v>290</v>
      </c>
      <c r="B297" s="7">
        <v>16771</v>
      </c>
      <c r="C297" s="8">
        <v>3252</v>
      </c>
      <c r="D297" s="6">
        <v>6267.82958984375</v>
      </c>
      <c r="E297" s="8">
        <v>697.87353515625</v>
      </c>
      <c r="F297" s="8">
        <v>0</v>
      </c>
      <c r="G297" s="8">
        <v>443.66665649414063</v>
      </c>
      <c r="H297" s="18">
        <v>52.364761352539063</v>
      </c>
      <c r="I297" s="6">
        <v>1</v>
      </c>
      <c r="J297" s="6">
        <v>9149.01171875</v>
      </c>
      <c r="K297" s="6">
        <v>9632.693359375</v>
      </c>
    </row>
    <row r="298" spans="1:11" x14ac:dyDescent="0.3">
      <c r="A298" s="6">
        <v>291</v>
      </c>
      <c r="B298" s="7">
        <v>16802</v>
      </c>
      <c r="C298" s="8">
        <v>3265</v>
      </c>
      <c r="D298" s="6">
        <v>31539.578125</v>
      </c>
      <c r="E298" s="8">
        <v>0</v>
      </c>
      <c r="F298" s="8">
        <v>0</v>
      </c>
      <c r="G298" s="8">
        <v>157.75537109375</v>
      </c>
      <c r="H298" s="18">
        <v>48.891468048095703</v>
      </c>
      <c r="I298" s="6">
        <v>1</v>
      </c>
      <c r="J298" s="6">
        <v>44684.3515625</v>
      </c>
      <c r="K298" s="6">
        <v>48580.66796875</v>
      </c>
    </row>
    <row r="299" spans="1:11" x14ac:dyDescent="0.3">
      <c r="A299" s="6">
        <v>292</v>
      </c>
      <c r="B299" s="7">
        <v>16833</v>
      </c>
      <c r="C299" s="8">
        <v>3622</v>
      </c>
      <c r="D299" s="6">
        <v>8940.69140625</v>
      </c>
      <c r="E299" s="8">
        <v>0</v>
      </c>
      <c r="F299" s="8">
        <v>0</v>
      </c>
      <c r="G299" s="8">
        <v>126.85483551025391</v>
      </c>
      <c r="H299" s="18">
        <v>45.393844604492188</v>
      </c>
      <c r="I299" s="6">
        <v>1</v>
      </c>
      <c r="J299" s="6">
        <v>16471.01171875</v>
      </c>
      <c r="K299" s="6">
        <v>18320.287109375</v>
      </c>
    </row>
    <row r="300" spans="1:11" x14ac:dyDescent="0.3">
      <c r="A300" s="6">
        <v>293</v>
      </c>
      <c r="B300" s="7">
        <v>16861</v>
      </c>
      <c r="C300" s="8">
        <v>3877.52001953125</v>
      </c>
      <c r="D300" s="6">
        <v>3250</v>
      </c>
      <c r="E300" s="8">
        <v>0</v>
      </c>
      <c r="F300" s="8">
        <v>0</v>
      </c>
      <c r="G300" s="8">
        <v>68.422615051269531</v>
      </c>
      <c r="H300" s="18">
        <v>45.368625640869141</v>
      </c>
      <c r="I300" s="6">
        <v>1</v>
      </c>
      <c r="J300" s="6">
        <v>5374.99560546875</v>
      </c>
      <c r="K300" s="6">
        <v>6192.291015625</v>
      </c>
    </row>
    <row r="301" spans="1:11" x14ac:dyDescent="0.3">
      <c r="A301" s="6">
        <v>294</v>
      </c>
      <c r="B301" s="7">
        <v>16892</v>
      </c>
      <c r="C301" s="8">
        <v>4275.85107421875</v>
      </c>
      <c r="D301" s="6">
        <v>3250</v>
      </c>
      <c r="E301" s="8">
        <v>0</v>
      </c>
      <c r="F301" s="8">
        <v>15.823582649230957</v>
      </c>
      <c r="G301" s="8">
        <v>48.355674743652344</v>
      </c>
      <c r="H301" s="18">
        <v>47.105434417724609</v>
      </c>
      <c r="I301" s="6">
        <v>1</v>
      </c>
      <c r="J301" s="6">
        <v>5645.16064453125</v>
      </c>
      <c r="K301" s="6">
        <v>6894.85009765625</v>
      </c>
    </row>
    <row r="302" spans="1:11" x14ac:dyDescent="0.3">
      <c r="A302" s="6">
        <v>295</v>
      </c>
      <c r="B302" s="7">
        <v>16922</v>
      </c>
      <c r="C302" s="8">
        <v>4552</v>
      </c>
      <c r="D302" s="6">
        <v>4076.084716796875</v>
      </c>
      <c r="E302" s="8">
        <v>0</v>
      </c>
      <c r="F302" s="8">
        <v>571.77276611328125</v>
      </c>
      <c r="G302" s="8">
        <v>546.8182373046875</v>
      </c>
      <c r="H302" s="18">
        <v>48.838871002197266</v>
      </c>
      <c r="I302" s="6">
        <v>1</v>
      </c>
      <c r="J302" s="6">
        <v>5399.74365234375</v>
      </c>
      <c r="K302" s="6">
        <v>6388.71728515625</v>
      </c>
    </row>
    <row r="303" spans="1:11" x14ac:dyDescent="0.3">
      <c r="A303" s="6">
        <v>296</v>
      </c>
      <c r="B303" s="7">
        <v>16953</v>
      </c>
      <c r="C303" s="8">
        <v>4470.89013671875</v>
      </c>
      <c r="D303" s="6">
        <v>7674.50244140625</v>
      </c>
      <c r="E303" s="8">
        <v>0</v>
      </c>
      <c r="F303" s="8">
        <v>870.65301513671875</v>
      </c>
      <c r="G303" s="8">
        <v>2245.033447265625</v>
      </c>
      <c r="H303" s="18">
        <v>48.690444946289063</v>
      </c>
      <c r="I303" s="6">
        <v>1</v>
      </c>
      <c r="J303" s="6">
        <v>8007.2060546875</v>
      </c>
      <c r="K303" s="6">
        <v>6792.712890625</v>
      </c>
    </row>
    <row r="304" spans="1:11" x14ac:dyDescent="0.3">
      <c r="A304" s="6">
        <v>297</v>
      </c>
      <c r="B304" s="7">
        <v>16983</v>
      </c>
      <c r="C304" s="8">
        <v>4054.78515625</v>
      </c>
      <c r="D304" s="6">
        <v>10991.0703125</v>
      </c>
      <c r="E304" s="8">
        <v>0</v>
      </c>
      <c r="F304" s="8">
        <v>864.298095703125</v>
      </c>
      <c r="G304" s="8">
        <v>2675.089599609375</v>
      </c>
      <c r="H304" s="18">
        <v>49.001594543457031</v>
      </c>
      <c r="I304" s="6">
        <v>0</v>
      </c>
      <c r="J304" s="6">
        <v>10304.7607421875</v>
      </c>
      <c r="K304" s="6">
        <v>7952.21044921875</v>
      </c>
    </row>
    <row r="305" spans="1:11" x14ac:dyDescent="0.3">
      <c r="A305" s="6">
        <v>298</v>
      </c>
      <c r="B305" s="7">
        <v>17014</v>
      </c>
      <c r="C305" s="8">
        <v>3315.635498046875</v>
      </c>
      <c r="D305" s="6">
        <v>16000</v>
      </c>
      <c r="E305" s="8">
        <v>610.469970703125</v>
      </c>
      <c r="F305" s="8">
        <v>929.87835693359375</v>
      </c>
      <c r="G305" s="8">
        <v>2527.75390625</v>
      </c>
      <c r="H305" s="18">
        <v>49.493640899658203</v>
      </c>
      <c r="I305" s="6">
        <v>0</v>
      </c>
      <c r="J305" s="6">
        <v>14839.7470703125</v>
      </c>
      <c r="K305" s="6">
        <v>12373.328125</v>
      </c>
    </row>
    <row r="306" spans="1:11" x14ac:dyDescent="0.3">
      <c r="A306" s="6">
        <v>299</v>
      </c>
      <c r="B306" s="7">
        <v>17045</v>
      </c>
      <c r="C306" s="8">
        <v>2905.92236328125</v>
      </c>
      <c r="D306" s="6">
        <v>11714.40234375</v>
      </c>
      <c r="E306" s="8">
        <v>0</v>
      </c>
      <c r="F306" s="8">
        <v>752.98651123046875</v>
      </c>
      <c r="G306" s="8">
        <v>2092.751708984375</v>
      </c>
      <c r="H306" s="18">
        <v>51.479286193847656</v>
      </c>
      <c r="I306" s="6">
        <v>0</v>
      </c>
      <c r="J306" s="6">
        <v>10747.568359375</v>
      </c>
      <c r="K306" s="6">
        <v>8674.4951171875</v>
      </c>
    </row>
    <row r="307" spans="1:11" x14ac:dyDescent="0.3">
      <c r="A307" s="6">
        <v>300</v>
      </c>
      <c r="B307" s="7">
        <v>17075</v>
      </c>
      <c r="C307" s="8">
        <v>2524.6171875</v>
      </c>
      <c r="D307" s="6">
        <v>11380.1728515625</v>
      </c>
      <c r="E307" s="8">
        <v>0</v>
      </c>
      <c r="F307" s="8">
        <v>336.0859375</v>
      </c>
      <c r="G307" s="8">
        <v>627.62408447265625</v>
      </c>
      <c r="H307" s="18">
        <v>50.806617736816406</v>
      </c>
      <c r="I307" s="6">
        <v>0</v>
      </c>
      <c r="J307" s="6">
        <v>10971.3515625</v>
      </c>
      <c r="K307" s="6">
        <v>10421.853515625</v>
      </c>
    </row>
    <row r="308" spans="1:11" x14ac:dyDescent="0.3">
      <c r="A308" s="6">
        <v>301</v>
      </c>
      <c r="B308" s="7">
        <v>17106</v>
      </c>
      <c r="C308" s="8">
        <v>2281.94580078125</v>
      </c>
      <c r="D308" s="6">
        <v>8072.59765625</v>
      </c>
      <c r="E308" s="8">
        <v>1148.6480712890625</v>
      </c>
      <c r="F308" s="8">
        <v>168.52239990234375</v>
      </c>
      <c r="G308" s="8">
        <v>837.19140625</v>
      </c>
      <c r="H308" s="18">
        <v>54.269615173339844</v>
      </c>
      <c r="I308" s="6">
        <v>0</v>
      </c>
      <c r="J308" s="6">
        <v>8241.740234375</v>
      </c>
      <c r="K308" s="6">
        <v>7569.89599609375</v>
      </c>
    </row>
    <row r="309" spans="1:11" x14ac:dyDescent="0.3">
      <c r="A309" s="6">
        <v>302</v>
      </c>
      <c r="B309" s="7">
        <v>17136</v>
      </c>
      <c r="C309" s="8">
        <v>2210.030029296875</v>
      </c>
      <c r="D309" s="6">
        <v>8293.6728515625</v>
      </c>
      <c r="E309" s="8">
        <v>1644.781982421875</v>
      </c>
      <c r="F309" s="8">
        <v>0</v>
      </c>
      <c r="G309" s="8">
        <v>473.91668701171875</v>
      </c>
      <c r="H309" s="18">
        <v>54.569103240966797</v>
      </c>
      <c r="I309" s="6">
        <v>1</v>
      </c>
      <c r="J309" s="6">
        <v>9742.962890625</v>
      </c>
      <c r="K309" s="6">
        <v>9828.806640625</v>
      </c>
    </row>
    <row r="310" spans="1:11" x14ac:dyDescent="0.3">
      <c r="A310" s="6">
        <v>303</v>
      </c>
      <c r="B310" s="7">
        <v>17167</v>
      </c>
      <c r="C310" s="8">
        <v>2336.77392578125</v>
      </c>
      <c r="D310" s="6">
        <v>3250</v>
      </c>
      <c r="E310" s="8">
        <v>0</v>
      </c>
      <c r="F310" s="8">
        <v>0</v>
      </c>
      <c r="G310" s="8">
        <v>172.39247131347656</v>
      </c>
      <c r="H310" s="18">
        <v>51.336006164550781</v>
      </c>
      <c r="I310" s="6">
        <v>1</v>
      </c>
      <c r="J310" s="6">
        <v>5523.0634765625</v>
      </c>
      <c r="K310" s="6">
        <v>6092.6474609375</v>
      </c>
    </row>
    <row r="311" spans="1:11" x14ac:dyDescent="0.3">
      <c r="A311" s="6">
        <v>304</v>
      </c>
      <c r="B311" s="7">
        <v>17198</v>
      </c>
      <c r="C311" s="8">
        <v>2416.6064453125</v>
      </c>
      <c r="D311" s="6">
        <v>3250</v>
      </c>
      <c r="E311" s="8">
        <v>0</v>
      </c>
      <c r="F311" s="8">
        <v>0</v>
      </c>
      <c r="G311" s="8">
        <v>143.11827087402344</v>
      </c>
      <c r="H311" s="18">
        <v>48.352989196777344</v>
      </c>
      <c r="I311" s="6">
        <v>1</v>
      </c>
      <c r="J311" s="6">
        <v>4140.203125</v>
      </c>
      <c r="K311" s="6">
        <v>4324.20068359375</v>
      </c>
    </row>
    <row r="312" spans="1:11" x14ac:dyDescent="0.3">
      <c r="A312" s="6">
        <v>305</v>
      </c>
      <c r="B312" s="7">
        <v>17226</v>
      </c>
      <c r="C312" s="8">
        <v>2656.65625</v>
      </c>
      <c r="D312" s="6">
        <v>3250</v>
      </c>
      <c r="E312" s="8">
        <v>0</v>
      </c>
      <c r="F312" s="8">
        <v>0</v>
      </c>
      <c r="G312" s="8">
        <v>68.422615051269531</v>
      </c>
      <c r="H312" s="18">
        <v>48.017147064208984</v>
      </c>
      <c r="I312" s="6">
        <v>1</v>
      </c>
      <c r="J312" s="6">
        <v>6586.7998046875</v>
      </c>
      <c r="K312" s="6">
        <v>7802.6669921875</v>
      </c>
    </row>
    <row r="313" spans="1:11" x14ac:dyDescent="0.3">
      <c r="A313" s="6">
        <v>306</v>
      </c>
      <c r="B313" s="7">
        <v>17257</v>
      </c>
      <c r="C313" s="8">
        <v>3175.847412109375</v>
      </c>
      <c r="D313" s="6">
        <v>3250</v>
      </c>
      <c r="E313" s="8">
        <v>0</v>
      </c>
      <c r="F313" s="8">
        <v>0</v>
      </c>
      <c r="G313" s="8">
        <v>19.516128540039063</v>
      </c>
      <c r="H313" s="18">
        <v>49.573745727539063</v>
      </c>
      <c r="I313" s="6">
        <v>1</v>
      </c>
      <c r="J313" s="6">
        <v>7504.6337890625</v>
      </c>
      <c r="K313" s="6">
        <v>8901.2080078125</v>
      </c>
    </row>
    <row r="314" spans="1:11" x14ac:dyDescent="0.3">
      <c r="A314" s="6">
        <v>307</v>
      </c>
      <c r="B314" s="7">
        <v>17287</v>
      </c>
      <c r="C314" s="8">
        <v>3389.9931640625</v>
      </c>
      <c r="D314" s="6">
        <v>3250</v>
      </c>
      <c r="E314" s="8">
        <v>0</v>
      </c>
      <c r="F314" s="8">
        <v>210.8018798828125</v>
      </c>
      <c r="G314" s="8">
        <v>467.46041870117188</v>
      </c>
      <c r="H314" s="18">
        <v>51.992382049560547</v>
      </c>
      <c r="I314" s="6">
        <v>1</v>
      </c>
      <c r="J314" s="6">
        <v>5359.64013671875</v>
      </c>
      <c r="K314" s="6">
        <v>5874.033203125</v>
      </c>
    </row>
    <row r="315" spans="1:11" x14ac:dyDescent="0.3">
      <c r="A315" s="6">
        <v>308</v>
      </c>
      <c r="B315" s="7">
        <v>17318</v>
      </c>
      <c r="C315" s="8">
        <v>3099.48974609375</v>
      </c>
      <c r="D315" s="6">
        <v>8656.3466796875</v>
      </c>
      <c r="E315" s="8">
        <v>0</v>
      </c>
      <c r="F315" s="8">
        <v>304.60684204101563</v>
      </c>
      <c r="G315" s="8">
        <v>2205.62353515625</v>
      </c>
      <c r="H315" s="18">
        <v>50.687347412109375</v>
      </c>
      <c r="I315" s="6">
        <v>0</v>
      </c>
      <c r="J315" s="6">
        <v>8785.5927734375</v>
      </c>
      <c r="K315" s="6">
        <v>6874.89208984375</v>
      </c>
    </row>
    <row r="316" spans="1:11" x14ac:dyDescent="0.3">
      <c r="A316" s="6">
        <v>309</v>
      </c>
      <c r="B316" s="7">
        <v>17348</v>
      </c>
      <c r="C316" s="8">
        <v>2880.829833984375</v>
      </c>
      <c r="D316" s="6">
        <v>10092.3349609375</v>
      </c>
      <c r="E316" s="8">
        <v>0</v>
      </c>
      <c r="F316" s="8">
        <v>355.63311767578125</v>
      </c>
      <c r="G316" s="8">
        <v>2534.749267578125</v>
      </c>
      <c r="H316" s="18">
        <v>51.895301818847656</v>
      </c>
      <c r="I316" s="6">
        <v>0</v>
      </c>
      <c r="J316" s="6">
        <v>10697.05859375</v>
      </c>
      <c r="K316" s="6">
        <v>8336.8359375</v>
      </c>
    </row>
    <row r="317" spans="1:11" x14ac:dyDescent="0.3">
      <c r="A317" s="6">
        <v>310</v>
      </c>
      <c r="B317" s="7">
        <v>17379</v>
      </c>
      <c r="C317" s="8">
        <v>2415.119140625</v>
      </c>
      <c r="D317" s="6">
        <v>13768.3623046875</v>
      </c>
      <c r="E317" s="8">
        <v>956.32952880859375</v>
      </c>
      <c r="F317" s="8">
        <v>438.732666015625</v>
      </c>
      <c r="G317" s="8">
        <v>2538.07568359375</v>
      </c>
      <c r="H317" s="18">
        <v>53.452518463134766</v>
      </c>
      <c r="I317" s="6">
        <v>0</v>
      </c>
      <c r="J317" s="6">
        <v>13060.31640625</v>
      </c>
      <c r="K317" s="6">
        <v>10553.2294921875</v>
      </c>
    </row>
    <row r="318" spans="1:11" x14ac:dyDescent="0.3">
      <c r="A318" s="6">
        <v>311</v>
      </c>
      <c r="B318" s="7">
        <v>17410</v>
      </c>
      <c r="C318" s="8">
        <v>2092.518798828125</v>
      </c>
      <c r="D318" s="6">
        <v>9151.4482421875</v>
      </c>
      <c r="E318" s="8">
        <v>1509.713623046875</v>
      </c>
      <c r="F318" s="8">
        <v>347.59695434570313</v>
      </c>
      <c r="G318" s="8">
        <v>1910.86279296875</v>
      </c>
      <c r="H318" s="18">
        <v>55.136913299560547</v>
      </c>
      <c r="I318" s="6">
        <v>0</v>
      </c>
      <c r="J318" s="6">
        <v>8602.3154296875</v>
      </c>
      <c r="K318" s="6">
        <v>6711.060546875</v>
      </c>
    </row>
    <row r="319" spans="1:11" x14ac:dyDescent="0.3">
      <c r="A319" s="6">
        <v>312</v>
      </c>
      <c r="B319" s="7">
        <v>17440</v>
      </c>
      <c r="C319" s="8">
        <v>1968.9127197265625</v>
      </c>
      <c r="D319" s="6">
        <v>5726.87255859375</v>
      </c>
      <c r="E319" s="8">
        <v>1350.30224609375</v>
      </c>
      <c r="F319" s="8">
        <v>161.06483459472656</v>
      </c>
      <c r="G319" s="8">
        <v>632.9815673828125</v>
      </c>
      <c r="H319" s="18">
        <v>55.32208251953125</v>
      </c>
      <c r="I319" s="6">
        <v>1</v>
      </c>
      <c r="J319" s="6">
        <v>5577.24853515625</v>
      </c>
      <c r="K319" s="6">
        <v>4967.6806640625</v>
      </c>
    </row>
    <row r="320" spans="1:11" x14ac:dyDescent="0.3">
      <c r="A320" s="6">
        <v>313</v>
      </c>
      <c r="B320" s="7">
        <v>17471</v>
      </c>
      <c r="C320" s="8">
        <v>2181.29931640625</v>
      </c>
      <c r="D320" s="6">
        <v>3366.06640625</v>
      </c>
      <c r="E320" s="8">
        <v>1046.6112060546875</v>
      </c>
      <c r="F320" s="8">
        <v>56.061668395996094</v>
      </c>
      <c r="G320" s="8">
        <v>744.96630859375</v>
      </c>
      <c r="H320" s="18">
        <v>56.505489349365234</v>
      </c>
      <c r="I320" s="6">
        <v>1</v>
      </c>
      <c r="J320" s="6">
        <v>4976.11083984375</v>
      </c>
      <c r="K320" s="6">
        <v>4766.4072265625</v>
      </c>
    </row>
    <row r="321" spans="1:11" x14ac:dyDescent="0.3">
      <c r="A321" s="6">
        <v>314</v>
      </c>
      <c r="B321" s="7">
        <v>17501</v>
      </c>
      <c r="C321" s="8">
        <v>2248.793212890625</v>
      </c>
      <c r="D321" s="6">
        <v>3250</v>
      </c>
      <c r="E321" s="8">
        <v>1013.9700927734375</v>
      </c>
      <c r="F321" s="8">
        <v>0</v>
      </c>
      <c r="G321" s="8">
        <v>507.52780151367188</v>
      </c>
      <c r="H321" s="18">
        <v>54.445037841796875</v>
      </c>
      <c r="I321" s="6">
        <v>1</v>
      </c>
      <c r="J321" s="6">
        <v>4556.2822265625</v>
      </c>
      <c r="K321" s="6">
        <v>4551.98828125</v>
      </c>
    </row>
    <row r="322" spans="1:11" x14ac:dyDescent="0.3">
      <c r="A322" s="6">
        <v>315</v>
      </c>
      <c r="B322" s="7">
        <v>17532</v>
      </c>
      <c r="C322" s="8">
        <v>2291.6884765625</v>
      </c>
      <c r="D322" s="6">
        <v>3250</v>
      </c>
      <c r="E322" s="8">
        <v>1615.037353515625</v>
      </c>
      <c r="F322" s="8">
        <v>0</v>
      </c>
      <c r="G322" s="8">
        <v>268.34677124023438</v>
      </c>
      <c r="H322" s="18">
        <v>51.441082000732422</v>
      </c>
      <c r="I322" s="6">
        <v>1</v>
      </c>
      <c r="J322" s="6">
        <v>4435.591796875</v>
      </c>
      <c r="K322" s="6">
        <v>4485.806640625</v>
      </c>
    </row>
    <row r="323" spans="1:11" x14ac:dyDescent="0.3">
      <c r="A323" s="6">
        <v>316</v>
      </c>
      <c r="B323" s="7">
        <v>17563</v>
      </c>
      <c r="C323" s="8">
        <v>2856.406494140625</v>
      </c>
      <c r="D323" s="6">
        <v>3250</v>
      </c>
      <c r="E323" s="8">
        <v>0</v>
      </c>
      <c r="F323" s="8">
        <v>0</v>
      </c>
      <c r="G323" s="8">
        <v>138.23924255371094</v>
      </c>
      <c r="H323" s="18">
        <v>47.947071075439453</v>
      </c>
      <c r="I323" s="6">
        <v>1</v>
      </c>
      <c r="J323" s="6">
        <v>8108.228515625</v>
      </c>
      <c r="K323" s="6">
        <v>9646.13671875</v>
      </c>
    </row>
    <row r="324" spans="1:11" x14ac:dyDescent="0.3">
      <c r="A324" s="6">
        <v>317</v>
      </c>
      <c r="B324" s="7">
        <v>17592</v>
      </c>
      <c r="C324" s="8">
        <v>2939.5029296875</v>
      </c>
      <c r="D324" s="6">
        <v>3250</v>
      </c>
      <c r="E324" s="8">
        <v>1396.28857421875</v>
      </c>
      <c r="F324" s="8">
        <v>9.3208274841308594</v>
      </c>
      <c r="G324" s="8">
        <v>86.525177001953125</v>
      </c>
      <c r="H324" s="18">
        <v>46.80908203125</v>
      </c>
      <c r="I324" s="6">
        <v>1</v>
      </c>
      <c r="J324" s="6">
        <v>4507.677734375</v>
      </c>
      <c r="K324" s="6">
        <v>4908.0126953125</v>
      </c>
    </row>
    <row r="325" spans="1:11" x14ac:dyDescent="0.3">
      <c r="A325" s="6">
        <v>318</v>
      </c>
      <c r="B325" s="7">
        <v>17623</v>
      </c>
      <c r="C325" s="8">
        <v>3274.917236328125</v>
      </c>
      <c r="D325" s="6">
        <v>3250</v>
      </c>
      <c r="E325" s="8">
        <v>0</v>
      </c>
      <c r="F325" s="8">
        <v>16.991189956665039</v>
      </c>
      <c r="G325" s="8">
        <v>56.132678985595703</v>
      </c>
      <c r="H325" s="18">
        <v>47.742752075195313</v>
      </c>
      <c r="I325" s="6">
        <v>1</v>
      </c>
      <c r="J325" s="6">
        <v>8064.84912109375</v>
      </c>
      <c r="K325" s="6">
        <v>9383.388671875</v>
      </c>
    </row>
    <row r="326" spans="1:11" x14ac:dyDescent="0.3">
      <c r="A326" s="6">
        <v>319</v>
      </c>
      <c r="B326" s="7">
        <v>17653</v>
      </c>
      <c r="C326" s="8">
        <v>4304.84423828125</v>
      </c>
      <c r="D326" s="6">
        <v>3250</v>
      </c>
      <c r="E326" s="8">
        <v>0</v>
      </c>
      <c r="F326" s="8">
        <v>46.918926239013672</v>
      </c>
      <c r="G326" s="8">
        <v>211.80764770507813</v>
      </c>
      <c r="H326" s="18">
        <v>49.87957763671875</v>
      </c>
      <c r="I326" s="6">
        <v>1</v>
      </c>
      <c r="J326" s="6">
        <v>12482.2802734375</v>
      </c>
      <c r="K326" s="6">
        <v>15447.0791015625</v>
      </c>
    </row>
    <row r="327" spans="1:11" x14ac:dyDescent="0.3">
      <c r="A327" s="6">
        <v>320</v>
      </c>
      <c r="B327" s="7">
        <v>17684</v>
      </c>
      <c r="C327" s="8">
        <v>4552</v>
      </c>
      <c r="D327" s="6">
        <v>9188.48046875</v>
      </c>
      <c r="E327" s="8">
        <v>0</v>
      </c>
      <c r="F327" s="8">
        <v>414.791748046875</v>
      </c>
      <c r="G327" s="8">
        <v>1547.1707763671875</v>
      </c>
      <c r="H327" s="18">
        <v>49.27020263671875</v>
      </c>
      <c r="I327" s="6">
        <v>1</v>
      </c>
      <c r="J327" s="6">
        <v>13355.64453125</v>
      </c>
      <c r="K327" s="6">
        <v>13944.0322265625</v>
      </c>
    </row>
    <row r="328" spans="1:11" x14ac:dyDescent="0.3">
      <c r="A328" s="6">
        <v>321</v>
      </c>
      <c r="B328" s="7">
        <v>17714</v>
      </c>
      <c r="C328" s="8">
        <v>4500</v>
      </c>
      <c r="D328" s="6">
        <v>8322.865234375</v>
      </c>
      <c r="E328" s="8">
        <v>0</v>
      </c>
      <c r="F328" s="8">
        <v>739.47967529296875</v>
      </c>
      <c r="G328" s="8">
        <v>2358.41552734375</v>
      </c>
      <c r="H328" s="18">
        <v>51.372959136962891</v>
      </c>
      <c r="I328" s="6">
        <v>1</v>
      </c>
      <c r="J328" s="6">
        <v>10135.2119140625</v>
      </c>
      <c r="K328" s="6">
        <v>9102.587890625</v>
      </c>
    </row>
    <row r="329" spans="1:11" x14ac:dyDescent="0.3">
      <c r="A329" s="6">
        <v>322</v>
      </c>
      <c r="B329" s="7">
        <v>17745</v>
      </c>
      <c r="C329" s="8">
        <v>3932.43017578125</v>
      </c>
      <c r="D329" s="6">
        <v>12203.6953125</v>
      </c>
      <c r="E329" s="8">
        <v>483.88665771484375</v>
      </c>
      <c r="F329" s="8">
        <v>1057.1549072265625</v>
      </c>
      <c r="G329" s="8">
        <v>2632.5888671875</v>
      </c>
      <c r="H329" s="18">
        <v>51.679328918457031</v>
      </c>
      <c r="I329" s="6">
        <v>0</v>
      </c>
      <c r="J329" s="6">
        <v>11432.1630859375</v>
      </c>
      <c r="K329" s="6">
        <v>9002.90234375</v>
      </c>
    </row>
    <row r="330" spans="1:11" x14ac:dyDescent="0.3">
      <c r="A330" s="6">
        <v>323</v>
      </c>
      <c r="B330" s="7">
        <v>17776</v>
      </c>
      <c r="C330" s="8">
        <v>3561.07470703125</v>
      </c>
      <c r="D330" s="6">
        <v>9724.2470703125</v>
      </c>
      <c r="E330" s="8">
        <v>181.02853393554688</v>
      </c>
      <c r="F330" s="8">
        <v>844.63848876953125</v>
      </c>
      <c r="G330" s="8">
        <v>1982.4593505859375</v>
      </c>
      <c r="H330" s="18">
        <v>52.869594573974609</v>
      </c>
      <c r="I330" s="6">
        <v>0</v>
      </c>
      <c r="J330" s="6">
        <v>9158.36328125</v>
      </c>
      <c r="K330" s="6">
        <v>7234.54052734375</v>
      </c>
    </row>
    <row r="331" spans="1:11" x14ac:dyDescent="0.3">
      <c r="A331" s="6">
        <v>324</v>
      </c>
      <c r="B331" s="7">
        <v>17806</v>
      </c>
      <c r="C331" s="8">
        <v>3400</v>
      </c>
      <c r="D331" s="6">
        <v>5623.17431640625</v>
      </c>
      <c r="E331" s="8">
        <v>0</v>
      </c>
      <c r="F331" s="8">
        <v>153.03907775878906</v>
      </c>
      <c r="G331" s="8">
        <v>614.9774169921875</v>
      </c>
      <c r="H331" s="18">
        <v>53.079311370849609</v>
      </c>
      <c r="I331" s="6">
        <v>1</v>
      </c>
      <c r="J331" s="6">
        <v>6058.2158203125</v>
      </c>
      <c r="K331" s="6">
        <v>5568.3642578125</v>
      </c>
    </row>
    <row r="332" spans="1:11" x14ac:dyDescent="0.3">
      <c r="A332" s="6">
        <v>325</v>
      </c>
      <c r="B332" s="7">
        <v>17837</v>
      </c>
      <c r="C332" s="8">
        <v>3226.501953125</v>
      </c>
      <c r="D332" s="6">
        <v>6466.39111328125</v>
      </c>
      <c r="E332" s="8">
        <v>756.62615966796875</v>
      </c>
      <c r="F332" s="8">
        <v>118.05381774902344</v>
      </c>
      <c r="G332" s="8">
        <v>804.97210693359375</v>
      </c>
      <c r="H332" s="18">
        <v>53.880924224853516</v>
      </c>
      <c r="I332" s="6">
        <v>1</v>
      </c>
      <c r="J332" s="6">
        <v>6883.10302734375</v>
      </c>
      <c r="K332" s="6">
        <v>6278.3974609375</v>
      </c>
    </row>
    <row r="333" spans="1:11" x14ac:dyDescent="0.3">
      <c r="A333" s="6">
        <v>326</v>
      </c>
      <c r="B333" s="7">
        <v>17867</v>
      </c>
      <c r="C333" s="8">
        <v>3200</v>
      </c>
      <c r="D333" s="6">
        <v>4315.96875</v>
      </c>
      <c r="E333" s="8">
        <v>1042.5562744140625</v>
      </c>
      <c r="F333" s="8">
        <v>23.121118545532227</v>
      </c>
      <c r="G333" s="8">
        <v>549.04638671875</v>
      </c>
      <c r="H333" s="18">
        <v>53.088546752929688</v>
      </c>
      <c r="I333" s="6">
        <v>1</v>
      </c>
      <c r="J333" s="6">
        <v>5379.19189453125</v>
      </c>
      <c r="K333" s="6">
        <v>5191.11669921875</v>
      </c>
    </row>
    <row r="334" spans="1:11" x14ac:dyDescent="0.3">
      <c r="A334" s="6">
        <v>327</v>
      </c>
      <c r="B334" s="7">
        <v>17898</v>
      </c>
      <c r="C334" s="8">
        <v>3265.18310546875</v>
      </c>
      <c r="D334" s="6">
        <v>3250</v>
      </c>
      <c r="E334" s="8">
        <v>1411.7911376953125</v>
      </c>
      <c r="F334" s="8">
        <v>0</v>
      </c>
      <c r="G334" s="8">
        <v>180.52420043945313</v>
      </c>
      <c r="H334" s="18">
        <v>50.063201904296875</v>
      </c>
      <c r="I334" s="6">
        <v>1</v>
      </c>
      <c r="J334" s="6">
        <v>5247.08544921875</v>
      </c>
      <c r="K334" s="6">
        <v>5532.490234375</v>
      </c>
    </row>
    <row r="335" spans="1:11" x14ac:dyDescent="0.3">
      <c r="A335" s="6">
        <v>328</v>
      </c>
      <c r="B335" s="7">
        <v>17929</v>
      </c>
      <c r="C335" s="8">
        <v>3277.923583984375</v>
      </c>
      <c r="D335" s="6">
        <v>3250</v>
      </c>
      <c r="E335" s="8">
        <v>0</v>
      </c>
      <c r="F335" s="8">
        <v>0</v>
      </c>
      <c r="G335" s="8">
        <v>113.84408569335938</v>
      </c>
      <c r="H335" s="18">
        <v>47.739955902099609</v>
      </c>
      <c r="I335" s="6">
        <v>1</v>
      </c>
      <c r="J335" s="6">
        <v>4310.2666015625</v>
      </c>
      <c r="K335" s="6">
        <v>4531.10107421875</v>
      </c>
    </row>
    <row r="336" spans="1:11" x14ac:dyDescent="0.3">
      <c r="A336" s="6">
        <v>329</v>
      </c>
      <c r="B336" s="7">
        <v>17957</v>
      </c>
      <c r="C336" s="8">
        <v>3516.243896484375</v>
      </c>
      <c r="D336" s="6">
        <v>3250</v>
      </c>
      <c r="E336" s="8">
        <v>0</v>
      </c>
      <c r="F336" s="8">
        <v>0</v>
      </c>
      <c r="G336" s="8">
        <v>68.422615051269531</v>
      </c>
      <c r="H336" s="18">
        <v>47.376632690429688</v>
      </c>
      <c r="I336" s="6">
        <v>1</v>
      </c>
      <c r="J336" s="6">
        <v>5681.89404296875</v>
      </c>
      <c r="K336" s="6">
        <v>6205.4033203125</v>
      </c>
    </row>
    <row r="337" spans="1:11" x14ac:dyDescent="0.3">
      <c r="A337" s="6">
        <v>330</v>
      </c>
      <c r="B337" s="7">
        <v>17988</v>
      </c>
      <c r="C337" s="8">
        <v>4071</v>
      </c>
      <c r="D337" s="6">
        <v>11131.515625</v>
      </c>
      <c r="E337" s="8">
        <v>0</v>
      </c>
      <c r="F337" s="8">
        <v>0</v>
      </c>
      <c r="G337" s="8">
        <v>19.516128540039063</v>
      </c>
      <c r="H337" s="18">
        <v>47.010910034179688</v>
      </c>
      <c r="I337" s="6">
        <v>1</v>
      </c>
      <c r="J337" s="6">
        <v>22516.740234375</v>
      </c>
      <c r="K337" s="6">
        <v>25058.306640625</v>
      </c>
    </row>
    <row r="338" spans="1:11" x14ac:dyDescent="0.3">
      <c r="A338" s="6">
        <v>331</v>
      </c>
      <c r="B338" s="7">
        <v>18018</v>
      </c>
      <c r="C338" s="8">
        <v>4435.89990234375</v>
      </c>
      <c r="D338" s="6">
        <v>3250</v>
      </c>
      <c r="E338" s="8">
        <v>0</v>
      </c>
      <c r="F338" s="8">
        <v>261.805908203125</v>
      </c>
      <c r="G338" s="8">
        <v>454.90377807617188</v>
      </c>
      <c r="H338" s="18">
        <v>51.698932647705078</v>
      </c>
      <c r="I338" s="6">
        <v>1</v>
      </c>
      <c r="J338" s="6">
        <v>5072.68505859375</v>
      </c>
      <c r="K338" s="6">
        <v>6381.818359375</v>
      </c>
    </row>
    <row r="339" spans="1:11" x14ac:dyDescent="0.3">
      <c r="A339" s="6">
        <v>332</v>
      </c>
      <c r="B339" s="7">
        <v>18049</v>
      </c>
      <c r="C339" s="8">
        <v>4429.88037109375</v>
      </c>
      <c r="D339" s="6">
        <v>6600.49267578125</v>
      </c>
      <c r="E339" s="8">
        <v>0</v>
      </c>
      <c r="F339" s="8">
        <v>565.04315185546875</v>
      </c>
      <c r="G339" s="8">
        <v>2066.162353515625</v>
      </c>
      <c r="H339" s="18">
        <v>50.530754089355469</v>
      </c>
      <c r="I339" s="6">
        <v>1</v>
      </c>
      <c r="J339" s="6">
        <v>7507.9208984375</v>
      </c>
      <c r="K339" s="6">
        <v>6287.00634765625</v>
      </c>
    </row>
    <row r="340" spans="1:11" x14ac:dyDescent="0.3">
      <c r="A340" s="6">
        <v>333</v>
      </c>
      <c r="B340" s="7">
        <v>18079</v>
      </c>
      <c r="C340" s="8">
        <v>4039.34130859375</v>
      </c>
      <c r="D340" s="6">
        <v>9891.2216796875</v>
      </c>
      <c r="E340" s="8">
        <v>0</v>
      </c>
      <c r="F340" s="8">
        <v>696.944580078125</v>
      </c>
      <c r="G340" s="8">
        <v>2712.6806640625</v>
      </c>
      <c r="H340" s="18">
        <v>51.359127044677734</v>
      </c>
      <c r="I340" s="6">
        <v>0</v>
      </c>
      <c r="J340" s="6">
        <v>9533.1474609375</v>
      </c>
      <c r="K340" s="6">
        <v>7015.01513671875</v>
      </c>
    </row>
    <row r="341" spans="1:11" x14ac:dyDescent="0.3">
      <c r="A341" s="6">
        <v>334</v>
      </c>
      <c r="B341" s="7">
        <v>18110</v>
      </c>
      <c r="C341" s="8">
        <v>3385.65673828125</v>
      </c>
      <c r="D341" s="6">
        <v>14543.4052734375</v>
      </c>
      <c r="E341" s="8">
        <v>2138.36474609375</v>
      </c>
      <c r="F341" s="8">
        <v>761.88348388671875</v>
      </c>
      <c r="G341" s="8">
        <v>2538.07568359375</v>
      </c>
      <c r="H341" s="18">
        <v>50.889629364013672</v>
      </c>
      <c r="I341" s="6">
        <v>0</v>
      </c>
      <c r="J341" s="6">
        <v>13687.9169921875</v>
      </c>
      <c r="K341" s="6">
        <v>11188.775390625</v>
      </c>
    </row>
    <row r="342" spans="1:11" x14ac:dyDescent="0.3">
      <c r="A342" s="6">
        <v>335</v>
      </c>
      <c r="B342" s="7">
        <v>18141</v>
      </c>
      <c r="C342" s="8">
        <v>3075.694580078125</v>
      </c>
      <c r="D342" s="6">
        <v>9021.6298828125</v>
      </c>
      <c r="E342" s="8">
        <v>2030.735107421875</v>
      </c>
      <c r="F342" s="8">
        <v>606.22998046875</v>
      </c>
      <c r="G342" s="8">
        <v>1917.4501953125</v>
      </c>
      <c r="H342" s="18">
        <v>52.778701782226563</v>
      </c>
      <c r="I342" s="6">
        <v>0</v>
      </c>
      <c r="J342" s="6">
        <v>8450.8388671875</v>
      </c>
      <c r="K342" s="6">
        <v>6553.06689453125</v>
      </c>
    </row>
    <row r="343" spans="1:11" x14ac:dyDescent="0.3">
      <c r="A343" s="6">
        <v>336</v>
      </c>
      <c r="B343" s="7">
        <v>18171</v>
      </c>
      <c r="C343" s="8">
        <v>3001.73291015625</v>
      </c>
      <c r="D343" s="6">
        <v>5059.998046875</v>
      </c>
      <c r="E343" s="8">
        <v>1015.7754516601563</v>
      </c>
      <c r="F343" s="8">
        <v>81.971733093261719</v>
      </c>
      <c r="G343" s="8">
        <v>630.3028564453125</v>
      </c>
      <c r="H343" s="18">
        <v>53.324741363525391</v>
      </c>
      <c r="I343" s="6">
        <v>1</v>
      </c>
      <c r="J343" s="6">
        <v>5185.2509765625</v>
      </c>
      <c r="K343" s="6">
        <v>4569.99072265625</v>
      </c>
    </row>
    <row r="344" spans="1:11" x14ac:dyDescent="0.3">
      <c r="A344" s="6">
        <v>337</v>
      </c>
      <c r="B344" s="7">
        <v>18202</v>
      </c>
      <c r="C344" s="8">
        <v>2849.759033203125</v>
      </c>
      <c r="D344" s="6">
        <v>6072.42919921875</v>
      </c>
      <c r="E344" s="8">
        <v>1726.75830078125</v>
      </c>
      <c r="F344" s="8">
        <v>160.58624267578125</v>
      </c>
      <c r="G344" s="8">
        <v>852.41802978515625</v>
      </c>
      <c r="H344" s="18">
        <v>53.507274627685547</v>
      </c>
      <c r="I344" s="6">
        <v>0</v>
      </c>
      <c r="J344" s="6">
        <v>6349.357421875</v>
      </c>
      <c r="K344" s="6">
        <v>5615.7236328125</v>
      </c>
    </row>
    <row r="345" spans="1:11" x14ac:dyDescent="0.3">
      <c r="A345" s="6">
        <v>338</v>
      </c>
      <c r="B345" s="7">
        <v>18232</v>
      </c>
      <c r="C345" s="8">
        <v>2691.0029296875</v>
      </c>
      <c r="D345" s="6">
        <v>6120.6962890625</v>
      </c>
      <c r="E345" s="8">
        <v>814.205810546875</v>
      </c>
      <c r="F345" s="8">
        <v>1.0987299680709839</v>
      </c>
      <c r="G345" s="8">
        <v>533.28271484375</v>
      </c>
      <c r="H345" s="18">
        <v>53.384876251220703</v>
      </c>
      <c r="I345" s="6">
        <v>1</v>
      </c>
      <c r="J345" s="6">
        <v>6981.28515625</v>
      </c>
      <c r="K345" s="6">
        <v>6690.53271484375</v>
      </c>
    </row>
    <row r="346" spans="1:11" x14ac:dyDescent="0.3">
      <c r="A346" s="6">
        <v>339</v>
      </c>
      <c r="B346" s="7">
        <v>18263</v>
      </c>
      <c r="C346" s="8">
        <v>2660.396240234375</v>
      </c>
      <c r="D346" s="6">
        <v>3809.16796875</v>
      </c>
      <c r="E346" s="8">
        <v>1528.547607421875</v>
      </c>
      <c r="F346" s="8">
        <v>0</v>
      </c>
      <c r="G346" s="8">
        <v>271.59945678710938</v>
      </c>
      <c r="H346" s="18">
        <v>50.471435546875</v>
      </c>
      <c r="I346" s="6">
        <v>1</v>
      </c>
      <c r="J346" s="6">
        <v>4749.2021484375</v>
      </c>
      <c r="K346" s="6">
        <v>4724.0625</v>
      </c>
    </row>
    <row r="347" spans="1:11" x14ac:dyDescent="0.3">
      <c r="A347" s="6">
        <v>340</v>
      </c>
      <c r="B347" s="7">
        <v>18294</v>
      </c>
      <c r="C347" s="8">
        <v>2970.07763671875</v>
      </c>
      <c r="D347" s="6">
        <v>3250</v>
      </c>
      <c r="E347" s="8">
        <v>0</v>
      </c>
      <c r="F347" s="8">
        <v>0</v>
      </c>
      <c r="G347" s="8">
        <v>74.81182861328125</v>
      </c>
      <c r="H347" s="18">
        <v>47.460792541503906</v>
      </c>
      <c r="I347" s="6">
        <v>1</v>
      </c>
      <c r="J347" s="6">
        <v>8253.4384765625</v>
      </c>
      <c r="K347" s="6">
        <v>9292.7958984375</v>
      </c>
    </row>
    <row r="348" spans="1:11" x14ac:dyDescent="0.3">
      <c r="A348" s="6">
        <v>341</v>
      </c>
      <c r="B348" s="7">
        <v>18322</v>
      </c>
      <c r="C348" s="8">
        <v>3449.834228515625</v>
      </c>
      <c r="D348" s="6">
        <v>3250</v>
      </c>
      <c r="E348" s="8">
        <v>0</v>
      </c>
      <c r="F348" s="8">
        <v>0</v>
      </c>
      <c r="G348" s="8">
        <v>68.422615051269531</v>
      </c>
      <c r="H348" s="18">
        <v>47.225006103515625</v>
      </c>
      <c r="I348" s="6">
        <v>1</v>
      </c>
      <c r="J348" s="6">
        <v>9888.6298828125</v>
      </c>
      <c r="K348" s="6">
        <v>11818.599609375</v>
      </c>
    </row>
    <row r="349" spans="1:11" x14ac:dyDescent="0.3">
      <c r="A349" s="6">
        <v>342</v>
      </c>
      <c r="B349" s="7">
        <v>18353</v>
      </c>
      <c r="C349" s="8">
        <v>3877.279296875</v>
      </c>
      <c r="D349" s="6">
        <v>3250</v>
      </c>
      <c r="E349" s="8">
        <v>0</v>
      </c>
      <c r="F349" s="8">
        <v>4.129753589630127</v>
      </c>
      <c r="G349" s="8">
        <v>35.394004821777344</v>
      </c>
      <c r="H349" s="18">
        <v>48.457359313964844</v>
      </c>
      <c r="I349" s="6">
        <v>1</v>
      </c>
      <c r="J349" s="6">
        <v>6805.09228515625</v>
      </c>
      <c r="K349" s="6">
        <v>8339.24609375</v>
      </c>
    </row>
    <row r="350" spans="1:11" x14ac:dyDescent="0.3">
      <c r="A350" s="6">
        <v>343</v>
      </c>
      <c r="B350" s="7">
        <v>18383</v>
      </c>
      <c r="C350" s="8">
        <v>4233.70751953125</v>
      </c>
      <c r="D350" s="6">
        <v>3250</v>
      </c>
      <c r="E350" s="8">
        <v>0</v>
      </c>
      <c r="F350" s="8">
        <v>269.705322265625</v>
      </c>
      <c r="G350" s="8">
        <v>500.60986328125</v>
      </c>
      <c r="H350" s="18">
        <v>51.198993682861328</v>
      </c>
      <c r="I350" s="6">
        <v>1</v>
      </c>
      <c r="J350" s="6">
        <v>5456.4521484375</v>
      </c>
      <c r="K350" s="6">
        <v>6820.14013671875</v>
      </c>
    </row>
    <row r="351" spans="1:11" x14ac:dyDescent="0.3">
      <c r="A351" s="6">
        <v>344</v>
      </c>
      <c r="B351" s="7">
        <v>18414</v>
      </c>
      <c r="C351" s="8">
        <v>4172.81884765625</v>
      </c>
      <c r="D351" s="6">
        <v>6396.69482421875</v>
      </c>
      <c r="E351" s="8">
        <v>0</v>
      </c>
      <c r="F351" s="8">
        <v>221.03926086425781</v>
      </c>
      <c r="G351" s="8">
        <v>2273.549072265625</v>
      </c>
      <c r="H351" s="18">
        <v>50.986736297607422</v>
      </c>
      <c r="I351" s="6">
        <v>1</v>
      </c>
      <c r="J351" s="6">
        <v>7567.39013671875</v>
      </c>
      <c r="K351" s="6">
        <v>6352.37548828125</v>
      </c>
    </row>
    <row r="352" spans="1:11" x14ac:dyDescent="0.3">
      <c r="A352" s="6">
        <v>345</v>
      </c>
      <c r="B352" s="7">
        <v>18444</v>
      </c>
      <c r="C352" s="8">
        <v>3898.8837890625</v>
      </c>
      <c r="D352" s="6">
        <v>8106.11865234375</v>
      </c>
      <c r="E352" s="8">
        <v>0</v>
      </c>
      <c r="F352" s="8">
        <v>433.48184204101563</v>
      </c>
      <c r="G352" s="8">
        <v>2603.512451171875</v>
      </c>
      <c r="H352" s="18">
        <v>51.396080017089844</v>
      </c>
      <c r="I352" s="6">
        <v>0</v>
      </c>
      <c r="J352" s="6">
        <v>8280.423828125</v>
      </c>
      <c r="K352" s="6">
        <v>6044.6591796875</v>
      </c>
    </row>
    <row r="353" spans="1:11" x14ac:dyDescent="0.3">
      <c r="A353" s="6">
        <v>346</v>
      </c>
      <c r="B353" s="7">
        <v>18475</v>
      </c>
      <c r="C353" s="8">
        <v>3515.872314453125</v>
      </c>
      <c r="D353" s="6">
        <v>9670.4365234375</v>
      </c>
      <c r="E353" s="8">
        <v>695.04241943359375</v>
      </c>
      <c r="F353" s="8">
        <v>482.3499755859375</v>
      </c>
      <c r="G353" s="8">
        <v>2632.5888671875</v>
      </c>
      <c r="H353" s="18">
        <v>52.254299163818359</v>
      </c>
      <c r="I353" s="6">
        <v>0</v>
      </c>
      <c r="J353" s="6">
        <v>9303.0859375</v>
      </c>
      <c r="K353" s="6">
        <v>6701.70654296875</v>
      </c>
    </row>
    <row r="354" spans="1:11" x14ac:dyDescent="0.3">
      <c r="A354" s="6">
        <v>347</v>
      </c>
      <c r="B354" s="7">
        <v>18506</v>
      </c>
      <c r="C354" s="8">
        <v>3187.207763671875</v>
      </c>
      <c r="D354" s="6">
        <v>9257.7666015625</v>
      </c>
      <c r="E354" s="8">
        <v>437.07077026367188</v>
      </c>
      <c r="F354" s="8">
        <v>384.90631103515625</v>
      </c>
      <c r="G354" s="8">
        <v>1982.4593505859375</v>
      </c>
      <c r="H354" s="18">
        <v>52.873035430908203</v>
      </c>
      <c r="I354" s="6">
        <v>0</v>
      </c>
      <c r="J354" s="6">
        <v>8920.5927734375</v>
      </c>
      <c r="K354" s="6">
        <v>6957.599609375</v>
      </c>
    </row>
    <row r="355" spans="1:11" x14ac:dyDescent="0.3">
      <c r="A355" s="6">
        <v>348</v>
      </c>
      <c r="B355" s="7">
        <v>18536</v>
      </c>
      <c r="C355" s="8">
        <v>3133.93603515625</v>
      </c>
      <c r="D355" s="6">
        <v>4763.48095703125</v>
      </c>
      <c r="E355" s="8">
        <v>0</v>
      </c>
      <c r="F355" s="8">
        <v>20.089328765869141</v>
      </c>
      <c r="G355" s="8">
        <v>612.2987060546875</v>
      </c>
      <c r="H355" s="18">
        <v>54.663318634033203</v>
      </c>
      <c r="I355" s="6">
        <v>1</v>
      </c>
      <c r="J355" s="6">
        <v>5029.2412109375</v>
      </c>
      <c r="K355" s="6">
        <v>4466.11865234375</v>
      </c>
    </row>
    <row r="356" spans="1:11" x14ac:dyDescent="0.3">
      <c r="A356" s="6">
        <v>349</v>
      </c>
      <c r="B356" s="7">
        <v>18567</v>
      </c>
      <c r="C356" s="8">
        <v>3250</v>
      </c>
      <c r="D356" s="6">
        <v>8334.306640625</v>
      </c>
      <c r="E356" s="8">
        <v>1385.623291015625</v>
      </c>
      <c r="F356" s="8">
        <v>59.004253387451172</v>
      </c>
      <c r="G356" s="8">
        <v>754.84637451171875</v>
      </c>
      <c r="H356" s="18">
        <v>52.682399749755859</v>
      </c>
      <c r="I356" s="6">
        <v>1</v>
      </c>
      <c r="J356" s="6">
        <v>10354.599609375</v>
      </c>
      <c r="K356" s="6">
        <v>10250.501953125</v>
      </c>
    </row>
    <row r="357" spans="1:11" x14ac:dyDescent="0.3">
      <c r="A357" s="6">
        <v>350</v>
      </c>
      <c r="B357" s="7">
        <v>18597</v>
      </c>
      <c r="C357" s="8">
        <v>3252</v>
      </c>
      <c r="D357" s="6">
        <v>11359.677734375</v>
      </c>
      <c r="E357" s="8">
        <v>0</v>
      </c>
      <c r="F357" s="8">
        <v>0</v>
      </c>
      <c r="G357" s="8">
        <v>410.0555419921875</v>
      </c>
      <c r="H357" s="18">
        <v>53.113174438476563</v>
      </c>
      <c r="I357" s="6">
        <v>1</v>
      </c>
      <c r="J357" s="6">
        <v>14494.79296875</v>
      </c>
      <c r="K357" s="6">
        <v>15697.4541015625</v>
      </c>
    </row>
    <row r="358" spans="1:11" x14ac:dyDescent="0.3">
      <c r="A358" s="6">
        <v>351</v>
      </c>
      <c r="B358" s="7">
        <v>18628</v>
      </c>
      <c r="C358" s="8">
        <v>3322</v>
      </c>
      <c r="D358" s="6">
        <v>15823.48828125</v>
      </c>
      <c r="E358" s="8">
        <v>0</v>
      </c>
      <c r="F358" s="8">
        <v>0</v>
      </c>
      <c r="G358" s="8">
        <v>157.75537109375</v>
      </c>
      <c r="H358" s="18">
        <v>49.833713531494141</v>
      </c>
      <c r="I358" s="6">
        <v>1</v>
      </c>
      <c r="J358" s="6">
        <v>24856.3984375</v>
      </c>
      <c r="K358" s="6">
        <v>27404.099609375</v>
      </c>
    </row>
    <row r="359" spans="1:11" x14ac:dyDescent="0.3">
      <c r="A359" s="6">
        <v>352</v>
      </c>
      <c r="B359" s="7">
        <v>18659</v>
      </c>
      <c r="C359" s="8">
        <v>3624</v>
      </c>
      <c r="D359" s="6">
        <v>8993.28515625</v>
      </c>
      <c r="E359" s="8">
        <v>0</v>
      </c>
      <c r="F359" s="8">
        <v>0</v>
      </c>
      <c r="G359" s="8">
        <v>74.81182861328125</v>
      </c>
      <c r="H359" s="18">
        <v>46.478233337402344</v>
      </c>
      <c r="I359" s="6">
        <v>1</v>
      </c>
      <c r="J359" s="6">
        <v>17344.78515625</v>
      </c>
      <c r="K359" s="6">
        <v>19760.021484375</v>
      </c>
    </row>
    <row r="360" spans="1:11" x14ac:dyDescent="0.3">
      <c r="A360" s="6">
        <v>353</v>
      </c>
      <c r="B360" s="7">
        <v>18687</v>
      </c>
      <c r="C360" s="8">
        <v>3794</v>
      </c>
      <c r="D360" s="6">
        <v>17766.689453125</v>
      </c>
      <c r="E360" s="8">
        <v>0</v>
      </c>
      <c r="F360" s="8">
        <v>0</v>
      </c>
      <c r="G360" s="8">
        <v>68.422615051269531</v>
      </c>
      <c r="H360" s="18">
        <v>45.636394500732422</v>
      </c>
      <c r="I360" s="6">
        <v>1</v>
      </c>
      <c r="J360" s="6">
        <v>26827.6015625</v>
      </c>
      <c r="K360" s="6">
        <v>29898.046875</v>
      </c>
    </row>
    <row r="361" spans="1:11" x14ac:dyDescent="0.3">
      <c r="A361" s="6">
        <v>354</v>
      </c>
      <c r="B361" s="7">
        <v>18718</v>
      </c>
      <c r="C361" s="8">
        <v>4273.806640625</v>
      </c>
      <c r="D361" s="6">
        <v>3250</v>
      </c>
      <c r="E361" s="8">
        <v>137.19232177734375</v>
      </c>
      <c r="F361" s="8">
        <v>24.029178619384766</v>
      </c>
      <c r="G361" s="8">
        <v>48.355674743652344</v>
      </c>
      <c r="H361" s="18">
        <v>48.269168853759766</v>
      </c>
      <c r="I361" s="6">
        <v>1</v>
      </c>
      <c r="J361" s="6">
        <v>7041.79443359375</v>
      </c>
      <c r="K361" s="6">
        <v>8336.18359375</v>
      </c>
    </row>
    <row r="362" spans="1:11" x14ac:dyDescent="0.3">
      <c r="A362" s="6">
        <v>355</v>
      </c>
      <c r="B362" s="7">
        <v>18748</v>
      </c>
      <c r="C362" s="8">
        <v>4516.4619140625</v>
      </c>
      <c r="D362" s="6">
        <v>3250</v>
      </c>
      <c r="E362" s="8">
        <v>0</v>
      </c>
      <c r="F362" s="8">
        <v>285.89596557617188</v>
      </c>
      <c r="G362" s="8">
        <v>523.71405029296875</v>
      </c>
      <c r="H362" s="18">
        <v>50.026283264160156</v>
      </c>
      <c r="I362" s="6">
        <v>1</v>
      </c>
      <c r="J362" s="6">
        <v>4382.3359375</v>
      </c>
      <c r="K362" s="6">
        <v>5198.0185546875</v>
      </c>
    </row>
    <row r="363" spans="1:11" x14ac:dyDescent="0.3">
      <c r="A363" s="6">
        <v>356</v>
      </c>
      <c r="B363" s="7">
        <v>18779</v>
      </c>
      <c r="C363" s="8">
        <v>4552</v>
      </c>
      <c r="D363" s="6">
        <v>6537.244140625</v>
      </c>
      <c r="E363" s="8">
        <v>0</v>
      </c>
      <c r="F363" s="8">
        <v>725.94110107421875</v>
      </c>
      <c r="G363" s="8">
        <v>1961.9442138671875</v>
      </c>
      <c r="H363" s="18">
        <v>50.078166961669922</v>
      </c>
      <c r="I363" s="6">
        <v>1</v>
      </c>
      <c r="J363" s="6">
        <v>7780.169921875</v>
      </c>
      <c r="K363" s="6">
        <v>7087.3515625</v>
      </c>
    </row>
    <row r="364" spans="1:11" x14ac:dyDescent="0.3">
      <c r="A364" s="6">
        <v>357</v>
      </c>
      <c r="B364" s="7">
        <v>18809</v>
      </c>
      <c r="C364" s="8">
        <v>4123.96142578125</v>
      </c>
      <c r="D364" s="6">
        <v>10659.24609375</v>
      </c>
      <c r="E364" s="8">
        <v>0</v>
      </c>
      <c r="F364" s="8">
        <v>977.7628173828125</v>
      </c>
      <c r="G364" s="8">
        <v>2422.49462890625</v>
      </c>
      <c r="H364" s="18">
        <v>49.92681884765625</v>
      </c>
      <c r="I364" s="6">
        <v>0</v>
      </c>
      <c r="J364" s="6">
        <v>9953.4970703125</v>
      </c>
      <c r="K364" s="6">
        <v>7902.158203125</v>
      </c>
    </row>
    <row r="365" spans="1:11" x14ac:dyDescent="0.3">
      <c r="A365" s="6">
        <v>358</v>
      </c>
      <c r="B365" s="7">
        <v>18840</v>
      </c>
      <c r="C365" s="8">
        <v>3378.982666015625</v>
      </c>
      <c r="D365" s="6">
        <v>16000</v>
      </c>
      <c r="E365" s="8">
        <v>945.0625</v>
      </c>
      <c r="F365" s="8">
        <v>1073.9122314453125</v>
      </c>
      <c r="G365" s="8">
        <v>2562.892822265625</v>
      </c>
      <c r="H365" s="18">
        <v>50.000553131103516</v>
      </c>
      <c r="I365" s="6">
        <v>0</v>
      </c>
      <c r="J365" s="6">
        <v>14830.7275390625</v>
      </c>
      <c r="K365" s="6">
        <v>12315.6328125</v>
      </c>
    </row>
    <row r="366" spans="1:11" x14ac:dyDescent="0.3">
      <c r="A366" s="6">
        <v>359</v>
      </c>
      <c r="B366" s="7">
        <v>18871</v>
      </c>
      <c r="C366" s="8">
        <v>2968.688232421875</v>
      </c>
      <c r="D366" s="6">
        <v>11304.009765625</v>
      </c>
      <c r="E366" s="8">
        <v>0</v>
      </c>
      <c r="F366" s="8">
        <v>857.3995361328125</v>
      </c>
      <c r="G366" s="8">
        <v>2065.3544921875</v>
      </c>
      <c r="H366" s="18">
        <v>51.809551239013672</v>
      </c>
      <c r="I366" s="6">
        <v>0</v>
      </c>
      <c r="J366" s="6">
        <v>10501.728515625</v>
      </c>
      <c r="K366" s="6">
        <v>8460.6376953125</v>
      </c>
    </row>
    <row r="367" spans="1:11" x14ac:dyDescent="0.3">
      <c r="A367" s="6">
        <v>360</v>
      </c>
      <c r="B367" s="7">
        <v>18901</v>
      </c>
      <c r="C367" s="8">
        <v>2661.90625</v>
      </c>
      <c r="D367" s="6">
        <v>9973.33203125</v>
      </c>
      <c r="E367" s="8">
        <v>0</v>
      </c>
      <c r="F367" s="8">
        <v>197.07461547851563</v>
      </c>
      <c r="G367" s="8">
        <v>632.9815673828125</v>
      </c>
      <c r="H367" s="18">
        <v>51.104541778564453</v>
      </c>
      <c r="I367" s="6">
        <v>0</v>
      </c>
      <c r="J367" s="6">
        <v>9867.06640625</v>
      </c>
      <c r="K367" s="6">
        <v>9322.673828125</v>
      </c>
    </row>
    <row r="368" spans="1:11" x14ac:dyDescent="0.3">
      <c r="A368" s="6">
        <v>361</v>
      </c>
      <c r="B368" s="7">
        <v>18932</v>
      </c>
      <c r="C368" s="8">
        <v>2534.856689453125</v>
      </c>
      <c r="D368" s="6">
        <v>7099.89697265625</v>
      </c>
      <c r="E368" s="8">
        <v>951.9967041015625</v>
      </c>
      <c r="F368" s="8">
        <v>58.659358978271484</v>
      </c>
      <c r="G368" s="8">
        <v>739.6038818359375</v>
      </c>
      <c r="H368" s="18">
        <v>53.993686676025391</v>
      </c>
      <c r="I368" s="6">
        <v>1</v>
      </c>
      <c r="J368" s="6">
        <v>7862.08544921875</v>
      </c>
      <c r="K368" s="6">
        <v>7418.71630859375</v>
      </c>
    </row>
    <row r="369" spans="1:11" x14ac:dyDescent="0.3">
      <c r="A369" s="6">
        <v>362</v>
      </c>
      <c r="B369" s="7">
        <v>18962</v>
      </c>
      <c r="C369" s="8">
        <v>2509.688232421875</v>
      </c>
      <c r="D369" s="6">
        <v>8345.330078125</v>
      </c>
      <c r="E369" s="8">
        <v>1099.94921875</v>
      </c>
      <c r="F369" s="8">
        <v>0</v>
      </c>
      <c r="G369" s="8">
        <v>408.375</v>
      </c>
      <c r="H369" s="18">
        <v>54.268264770507813</v>
      </c>
      <c r="I369" s="6">
        <v>1</v>
      </c>
      <c r="J369" s="6">
        <v>10850.9775390625</v>
      </c>
      <c r="K369" s="6">
        <v>11125.1923828125</v>
      </c>
    </row>
    <row r="370" spans="1:11" x14ac:dyDescent="0.3">
      <c r="A370" s="6">
        <v>363</v>
      </c>
      <c r="B370" s="7">
        <v>18993</v>
      </c>
      <c r="C370" s="8">
        <v>3306</v>
      </c>
      <c r="D370" s="6">
        <v>9537.458984375</v>
      </c>
      <c r="E370" s="8">
        <v>0</v>
      </c>
      <c r="F370" s="8">
        <v>0</v>
      </c>
      <c r="G370" s="8">
        <v>157.75537109375</v>
      </c>
      <c r="H370" s="18">
        <v>49.168003082275391</v>
      </c>
      <c r="I370" s="6">
        <v>1</v>
      </c>
      <c r="J370" s="6">
        <v>21208.11328125</v>
      </c>
      <c r="K370" s="6">
        <v>24002.23828125</v>
      </c>
    </row>
    <row r="371" spans="1:11" x14ac:dyDescent="0.3">
      <c r="A371" s="6">
        <v>364</v>
      </c>
      <c r="B371" s="7">
        <v>19024</v>
      </c>
      <c r="C371" s="8">
        <v>3604</v>
      </c>
      <c r="D371" s="6">
        <v>12036.25</v>
      </c>
      <c r="E371" s="8">
        <v>0</v>
      </c>
      <c r="F371" s="8">
        <v>0</v>
      </c>
      <c r="G371" s="8">
        <v>74.81182861328125</v>
      </c>
      <c r="H371" s="18">
        <v>46.105457305908203</v>
      </c>
      <c r="I371" s="6">
        <v>1</v>
      </c>
      <c r="J371" s="6">
        <v>22745.38671875</v>
      </c>
      <c r="K371" s="6">
        <v>25108.669921875</v>
      </c>
    </row>
    <row r="372" spans="1:11" x14ac:dyDescent="0.3">
      <c r="A372" s="6">
        <v>365</v>
      </c>
      <c r="B372" s="7">
        <v>19053</v>
      </c>
      <c r="C372" s="8">
        <v>3739</v>
      </c>
      <c r="D372" s="6">
        <v>21602.54296875</v>
      </c>
      <c r="E372" s="8">
        <v>0</v>
      </c>
      <c r="F372" s="8">
        <v>0</v>
      </c>
      <c r="G372" s="8">
        <v>66.063217163085938</v>
      </c>
      <c r="H372" s="18">
        <v>45.111572265625</v>
      </c>
      <c r="I372" s="6">
        <v>1</v>
      </c>
      <c r="J372" s="6">
        <v>31424.095703125</v>
      </c>
      <c r="K372" s="6">
        <v>35267.4765625</v>
      </c>
    </row>
    <row r="373" spans="1:11" x14ac:dyDescent="0.3">
      <c r="A373" s="6">
        <v>366</v>
      </c>
      <c r="B373" s="7">
        <v>19084</v>
      </c>
      <c r="C373" s="8">
        <v>4022</v>
      </c>
      <c r="D373" s="6">
        <v>12225.638671875</v>
      </c>
      <c r="E373" s="8">
        <v>0</v>
      </c>
      <c r="F373" s="8">
        <v>0</v>
      </c>
      <c r="G373" s="8">
        <v>19.516128540039063</v>
      </c>
      <c r="H373" s="18">
        <v>45.761501312255859</v>
      </c>
      <c r="I373" s="6">
        <v>1</v>
      </c>
      <c r="J373" s="6">
        <v>19545.443359375</v>
      </c>
      <c r="K373" s="6">
        <v>22194.02734375</v>
      </c>
    </row>
    <row r="374" spans="1:11" x14ac:dyDescent="0.3">
      <c r="A374" s="6">
        <v>367</v>
      </c>
      <c r="B374" s="7">
        <v>19114</v>
      </c>
      <c r="C374" s="8">
        <v>4290</v>
      </c>
      <c r="D374" s="6">
        <v>16481.419921875</v>
      </c>
      <c r="E374" s="8">
        <v>0</v>
      </c>
      <c r="F374" s="8">
        <v>93.1021728515625</v>
      </c>
      <c r="G374" s="8">
        <v>430.79507446289063</v>
      </c>
      <c r="H374" s="18">
        <v>46.811973571777344</v>
      </c>
      <c r="I374" s="6">
        <v>1</v>
      </c>
      <c r="J374" s="6">
        <v>20067.13671875</v>
      </c>
      <c r="K374" s="6">
        <v>23264.216796875</v>
      </c>
    </row>
    <row r="375" spans="1:11" x14ac:dyDescent="0.3">
      <c r="A375" s="6">
        <v>368</v>
      </c>
      <c r="B375" s="7">
        <v>19145</v>
      </c>
      <c r="C375" s="8">
        <v>4552</v>
      </c>
      <c r="D375" s="6">
        <v>7205.154296875</v>
      </c>
      <c r="E375" s="8">
        <v>0</v>
      </c>
      <c r="F375" s="8">
        <v>740.753662109375</v>
      </c>
      <c r="G375" s="8">
        <v>2298.94775390625</v>
      </c>
      <c r="H375" s="18">
        <v>49.908802032470703</v>
      </c>
      <c r="I375" s="6">
        <v>1</v>
      </c>
      <c r="J375" s="6">
        <v>9888.990234375</v>
      </c>
      <c r="K375" s="6">
        <v>10505.2265625</v>
      </c>
    </row>
    <row r="376" spans="1:11" x14ac:dyDescent="0.3">
      <c r="A376" s="6">
        <v>369</v>
      </c>
      <c r="B376" s="7">
        <v>19175</v>
      </c>
      <c r="C376" s="8">
        <v>4500</v>
      </c>
      <c r="D376" s="6">
        <v>6688.24560546875</v>
      </c>
      <c r="E376" s="8">
        <v>0</v>
      </c>
      <c r="F376" s="8">
        <v>1056.9393310546875</v>
      </c>
      <c r="G376" s="8">
        <v>2224.63916015625</v>
      </c>
      <c r="H376" s="18">
        <v>51.496559143066406</v>
      </c>
      <c r="I376" s="6">
        <v>1</v>
      </c>
      <c r="J376" s="6">
        <v>7571.72021484375</v>
      </c>
      <c r="K376" s="6">
        <v>6560.2607421875</v>
      </c>
    </row>
    <row r="377" spans="1:11" x14ac:dyDescent="0.3">
      <c r="A377" s="6">
        <v>370</v>
      </c>
      <c r="B377" s="7">
        <v>19206</v>
      </c>
      <c r="C377" s="8">
        <v>4145.533203125</v>
      </c>
      <c r="D377" s="6">
        <v>9808.591796875</v>
      </c>
      <c r="E377" s="8">
        <v>0</v>
      </c>
      <c r="F377" s="8">
        <v>1272.6998291015625</v>
      </c>
      <c r="G377" s="8">
        <v>2503.0556640625</v>
      </c>
      <c r="H377" s="18">
        <v>52.452281951904297</v>
      </c>
      <c r="I377" s="6">
        <v>1</v>
      </c>
      <c r="J377" s="6">
        <v>9151.427734375</v>
      </c>
      <c r="K377" s="6">
        <v>7073.48828125</v>
      </c>
    </row>
    <row r="378" spans="1:11" x14ac:dyDescent="0.3">
      <c r="A378" s="6">
        <v>371</v>
      </c>
      <c r="B378" s="7">
        <v>19237</v>
      </c>
      <c r="C378" s="8">
        <v>3700</v>
      </c>
      <c r="D378" s="6">
        <v>11811.3349609375</v>
      </c>
      <c r="E378" s="8">
        <v>0</v>
      </c>
      <c r="F378" s="8">
        <v>1028.0335693359375</v>
      </c>
      <c r="G378" s="8">
        <v>2240.93798828125</v>
      </c>
      <c r="H378" s="18">
        <v>52.479015350341797</v>
      </c>
      <c r="I378" s="6">
        <v>0</v>
      </c>
      <c r="J378" s="6">
        <v>11132.9384765625</v>
      </c>
      <c r="K378" s="6">
        <v>9051.638671875</v>
      </c>
    </row>
    <row r="379" spans="1:11" x14ac:dyDescent="0.3">
      <c r="A379" s="6">
        <v>372</v>
      </c>
      <c r="B379" s="7">
        <v>19267</v>
      </c>
      <c r="C379" s="8">
        <v>3316.7529296875</v>
      </c>
      <c r="D379" s="6">
        <v>12184.6416015625</v>
      </c>
      <c r="E379" s="8">
        <v>38.310874938964844</v>
      </c>
      <c r="F379" s="8">
        <v>274.96139526367188</v>
      </c>
      <c r="G379" s="8">
        <v>632.9815673828125</v>
      </c>
      <c r="H379" s="18">
        <v>51.933830261230469</v>
      </c>
      <c r="I379" s="6">
        <v>0</v>
      </c>
      <c r="J379" s="6">
        <v>12386.49609375</v>
      </c>
      <c r="K379" s="6">
        <v>11902.052734375</v>
      </c>
    </row>
    <row r="380" spans="1:11" x14ac:dyDescent="0.3">
      <c r="A380" s="6">
        <v>373</v>
      </c>
      <c r="B380" s="7">
        <v>19298</v>
      </c>
      <c r="C380" s="8">
        <v>3161.876708984375</v>
      </c>
      <c r="D380" s="6">
        <v>7895.88330078125</v>
      </c>
      <c r="E380" s="8">
        <v>203.00856018066406</v>
      </c>
      <c r="F380" s="8">
        <v>224.95878601074219</v>
      </c>
      <c r="G380" s="8">
        <v>849.977783203125</v>
      </c>
      <c r="H380" s="18">
        <v>54.322162628173828</v>
      </c>
      <c r="I380" s="6">
        <v>0</v>
      </c>
      <c r="J380" s="6">
        <v>8186.39111328125</v>
      </c>
      <c r="K380" s="6">
        <v>7575.52734375</v>
      </c>
    </row>
    <row r="381" spans="1:11" x14ac:dyDescent="0.3">
      <c r="A381" s="6">
        <v>374</v>
      </c>
      <c r="B381" s="7">
        <v>19328</v>
      </c>
      <c r="C381" s="8">
        <v>2805.8408203125</v>
      </c>
      <c r="D381" s="6">
        <v>10099.7744140625</v>
      </c>
      <c r="E381" s="8">
        <v>736.8885498046875</v>
      </c>
      <c r="F381" s="8">
        <v>0</v>
      </c>
      <c r="G381" s="8">
        <v>478.95834350585938</v>
      </c>
      <c r="H381" s="18">
        <v>54.741142272949219</v>
      </c>
      <c r="I381" s="6">
        <v>0</v>
      </c>
      <c r="J381" s="6">
        <v>11335.861328125</v>
      </c>
      <c r="K381" s="6">
        <v>11229.9267578125</v>
      </c>
    </row>
    <row r="382" spans="1:11" x14ac:dyDescent="0.3">
      <c r="A382" s="6">
        <v>375</v>
      </c>
      <c r="B382" s="7">
        <v>19359</v>
      </c>
      <c r="C382" s="8">
        <v>3345</v>
      </c>
      <c r="D382" s="6">
        <v>7393.1845703125</v>
      </c>
      <c r="E382" s="8">
        <v>0</v>
      </c>
      <c r="F382" s="8">
        <v>0</v>
      </c>
      <c r="G382" s="8">
        <v>157.75537109375</v>
      </c>
      <c r="H382" s="18">
        <v>50.732021331787109</v>
      </c>
      <c r="I382" s="6">
        <v>1</v>
      </c>
      <c r="J382" s="6">
        <v>18817.12890625</v>
      </c>
      <c r="K382" s="6">
        <v>20778.7265625</v>
      </c>
    </row>
    <row r="383" spans="1:11" x14ac:dyDescent="0.3">
      <c r="A383" s="6">
        <v>376</v>
      </c>
      <c r="B383" s="7">
        <v>19390</v>
      </c>
      <c r="C383" s="8">
        <v>3366</v>
      </c>
      <c r="D383" s="6">
        <v>31939.537109375</v>
      </c>
      <c r="E383" s="8">
        <v>0</v>
      </c>
      <c r="F383" s="8">
        <v>0</v>
      </c>
      <c r="G383" s="8">
        <v>74.81182861328125</v>
      </c>
      <c r="H383" s="18">
        <v>47.192054748535156</v>
      </c>
      <c r="I383" s="6">
        <v>1</v>
      </c>
      <c r="J383" s="6">
        <v>48883.80859375</v>
      </c>
      <c r="K383" s="6">
        <v>54101.6484375</v>
      </c>
    </row>
    <row r="384" spans="1:11" x14ac:dyDescent="0.3">
      <c r="A384" s="6">
        <v>377</v>
      </c>
      <c r="B384" s="7">
        <v>19418</v>
      </c>
      <c r="C384" s="8">
        <v>3744.0390625</v>
      </c>
      <c r="D384" s="6">
        <v>3250</v>
      </c>
      <c r="E384" s="8">
        <v>0</v>
      </c>
      <c r="F384" s="8">
        <v>0</v>
      </c>
      <c r="G384" s="8">
        <v>68.422615051269531</v>
      </c>
      <c r="H384" s="18">
        <v>46.618747711181641</v>
      </c>
      <c r="I384" s="6">
        <v>1</v>
      </c>
      <c r="J384" s="6">
        <v>5780.04248046875</v>
      </c>
      <c r="K384" s="6">
        <v>7104.27734375</v>
      </c>
    </row>
    <row r="385" spans="1:11" x14ac:dyDescent="0.3">
      <c r="A385" s="6">
        <v>378</v>
      </c>
      <c r="B385" s="7">
        <v>19449</v>
      </c>
      <c r="C385" s="8">
        <v>4262.50244140625</v>
      </c>
      <c r="D385" s="6">
        <v>3250</v>
      </c>
      <c r="E385" s="8">
        <v>0</v>
      </c>
      <c r="F385" s="8">
        <v>48.113456726074219</v>
      </c>
      <c r="G385" s="8">
        <v>69.094345092773438</v>
      </c>
      <c r="H385" s="18">
        <v>48.455974578857422</v>
      </c>
      <c r="I385" s="6">
        <v>1</v>
      </c>
      <c r="J385" s="6">
        <v>6576.47607421875</v>
      </c>
      <c r="K385" s="6">
        <v>7790.21875</v>
      </c>
    </row>
    <row r="386" spans="1:11" x14ac:dyDescent="0.3">
      <c r="A386" s="6">
        <v>379</v>
      </c>
      <c r="B386" s="7">
        <v>19479</v>
      </c>
      <c r="C386" s="8">
        <v>4552</v>
      </c>
      <c r="D386" s="6">
        <v>5435.791015625</v>
      </c>
      <c r="E386" s="8">
        <v>0</v>
      </c>
      <c r="F386" s="8">
        <v>445.47723388671875</v>
      </c>
      <c r="G386" s="8">
        <v>432.80410766601563</v>
      </c>
      <c r="H386" s="18">
        <v>48.983604431152344</v>
      </c>
      <c r="I386" s="6">
        <v>1</v>
      </c>
      <c r="J386" s="6">
        <v>8141.77294921875</v>
      </c>
      <c r="K386" s="6">
        <v>9729.2587890625</v>
      </c>
    </row>
    <row r="387" spans="1:11" x14ac:dyDescent="0.3">
      <c r="A387" s="6">
        <v>380</v>
      </c>
      <c r="B387" s="7">
        <v>19510</v>
      </c>
      <c r="C387" s="8">
        <v>4552</v>
      </c>
      <c r="D387" s="6">
        <v>9500.9638671875</v>
      </c>
      <c r="E387" s="8">
        <v>0</v>
      </c>
      <c r="F387" s="8">
        <v>730.5885009765625</v>
      </c>
      <c r="G387" s="8">
        <v>2213.400634765625</v>
      </c>
      <c r="H387" s="18">
        <v>48.526103973388672</v>
      </c>
      <c r="I387" s="6">
        <v>1</v>
      </c>
      <c r="J387" s="6">
        <v>11974.021484375</v>
      </c>
      <c r="K387" s="6">
        <v>11479.947265625</v>
      </c>
    </row>
    <row r="388" spans="1:11" x14ac:dyDescent="0.3">
      <c r="A388" s="6">
        <v>381</v>
      </c>
      <c r="B388" s="7">
        <v>19540</v>
      </c>
      <c r="C388" s="8">
        <v>4500</v>
      </c>
      <c r="D388" s="6">
        <v>8763.9052734375</v>
      </c>
      <c r="E388" s="8">
        <v>0</v>
      </c>
      <c r="F388" s="8">
        <v>1097.9736328125</v>
      </c>
      <c r="G388" s="8">
        <v>2273.646484375</v>
      </c>
      <c r="H388" s="18">
        <v>50.420295715332031</v>
      </c>
      <c r="I388" s="6">
        <v>1</v>
      </c>
      <c r="J388" s="6">
        <v>9751.7587890625</v>
      </c>
      <c r="K388" s="6">
        <v>8625.4921875</v>
      </c>
    </row>
    <row r="389" spans="1:11" x14ac:dyDescent="0.3">
      <c r="A389" s="6">
        <v>382</v>
      </c>
      <c r="B389" s="7">
        <v>19571</v>
      </c>
      <c r="C389" s="8">
        <v>3867.513427734375</v>
      </c>
      <c r="D389" s="6">
        <v>14905.9033203125</v>
      </c>
      <c r="E389" s="8">
        <v>0</v>
      </c>
      <c r="F389" s="8">
        <v>1282.49609375</v>
      </c>
      <c r="G389" s="8">
        <v>2616.67822265625</v>
      </c>
      <c r="H389" s="18">
        <v>51.294979095458984</v>
      </c>
      <c r="I389" s="6">
        <v>0</v>
      </c>
      <c r="J389" s="6">
        <v>14072.74609375</v>
      </c>
      <c r="K389" s="6">
        <v>11798.1240234375</v>
      </c>
    </row>
    <row r="390" spans="1:11" x14ac:dyDescent="0.3">
      <c r="A390" s="6">
        <v>383</v>
      </c>
      <c r="B390" s="7">
        <v>19602</v>
      </c>
      <c r="C390" s="8">
        <v>3516.19873046875</v>
      </c>
      <c r="D390" s="6">
        <v>10343.9287109375</v>
      </c>
      <c r="E390" s="8">
        <v>19.638147354125977</v>
      </c>
      <c r="F390" s="8">
        <v>923.33734130859375</v>
      </c>
      <c r="G390" s="8">
        <v>1958.083251953125</v>
      </c>
      <c r="H390" s="18">
        <v>52.308395385742188</v>
      </c>
      <c r="I390" s="6">
        <v>0</v>
      </c>
      <c r="J390" s="6">
        <v>9679.7138671875</v>
      </c>
      <c r="K390" s="6">
        <v>7858.8515625</v>
      </c>
    </row>
    <row r="391" spans="1:11" x14ac:dyDescent="0.3">
      <c r="A391" s="6">
        <v>384</v>
      </c>
      <c r="B391" s="7">
        <v>19632</v>
      </c>
      <c r="C391" s="8">
        <v>3007.05029296875</v>
      </c>
      <c r="D391" s="6">
        <v>14831.01171875</v>
      </c>
      <c r="E391" s="8">
        <v>0</v>
      </c>
      <c r="F391" s="8">
        <v>275.1156005859375</v>
      </c>
      <c r="G391" s="8">
        <v>632.9815673828125</v>
      </c>
      <c r="H391" s="18">
        <v>51.190776824951172</v>
      </c>
      <c r="I391" s="6">
        <v>0</v>
      </c>
      <c r="J391" s="6">
        <v>14999.9873046875</v>
      </c>
      <c r="K391" s="6">
        <v>14502.361328125</v>
      </c>
    </row>
    <row r="392" spans="1:11" x14ac:dyDescent="0.3">
      <c r="A392" s="6">
        <v>385</v>
      </c>
      <c r="B392" s="7">
        <v>19663</v>
      </c>
      <c r="C392" s="8">
        <v>2699.9853515625</v>
      </c>
      <c r="D392" s="6">
        <v>9613.4150390625</v>
      </c>
      <c r="E392" s="8">
        <v>1224.5797119140625</v>
      </c>
      <c r="F392" s="8">
        <v>184.033935546875</v>
      </c>
      <c r="G392" s="8">
        <v>833.05780029296875</v>
      </c>
      <c r="H392" s="18">
        <v>54.204441070556641</v>
      </c>
      <c r="I392" s="6">
        <v>0</v>
      </c>
      <c r="J392" s="6">
        <v>10014.4599609375</v>
      </c>
      <c r="K392" s="6">
        <v>9429.0390625</v>
      </c>
    </row>
    <row r="393" spans="1:11" x14ac:dyDescent="0.3">
      <c r="A393" s="6">
        <v>386</v>
      </c>
      <c r="B393" s="7">
        <v>19693</v>
      </c>
      <c r="C393" s="8">
        <v>2500</v>
      </c>
      <c r="D393" s="6">
        <v>11936.3388671875</v>
      </c>
      <c r="E393" s="8">
        <v>1707.279296875</v>
      </c>
      <c r="F393" s="8">
        <v>0</v>
      </c>
      <c r="G393" s="8">
        <v>436.9444580078125</v>
      </c>
      <c r="H393" s="18">
        <v>54.839927673339844</v>
      </c>
      <c r="I393" s="6">
        <v>1</v>
      </c>
      <c r="J393" s="6">
        <v>13756.0205078125</v>
      </c>
      <c r="K393" s="6">
        <v>13940.8701171875</v>
      </c>
    </row>
    <row r="394" spans="1:11" x14ac:dyDescent="0.3">
      <c r="A394" s="6">
        <v>387</v>
      </c>
      <c r="B394" s="7">
        <v>19724</v>
      </c>
      <c r="C394" s="8">
        <v>2609.0302734375</v>
      </c>
      <c r="D394" s="6">
        <v>4554.83154296875</v>
      </c>
      <c r="E394" s="8">
        <v>98.75079345703125</v>
      </c>
      <c r="F394" s="8">
        <v>0</v>
      </c>
      <c r="G394" s="8">
        <v>304.1263427734375</v>
      </c>
      <c r="H394" s="18">
        <v>51.253814697265625</v>
      </c>
      <c r="I394" s="6">
        <v>1</v>
      </c>
      <c r="J394" s="6">
        <v>6012.365234375</v>
      </c>
      <c r="K394" s="6">
        <v>6221.9306640625</v>
      </c>
    </row>
    <row r="395" spans="1:11" x14ac:dyDescent="0.3">
      <c r="A395" s="6">
        <v>388</v>
      </c>
      <c r="B395" s="7">
        <v>19755</v>
      </c>
      <c r="C395" s="8">
        <v>3552</v>
      </c>
      <c r="D395" s="6">
        <v>4382.07080078125</v>
      </c>
      <c r="E395" s="8">
        <v>0</v>
      </c>
      <c r="F395" s="8">
        <v>0</v>
      </c>
      <c r="G395" s="8">
        <v>74.81182861328125</v>
      </c>
      <c r="H395" s="18">
        <v>48.056106567382813</v>
      </c>
      <c r="I395" s="6">
        <v>1</v>
      </c>
      <c r="J395" s="6">
        <v>13066.79296875</v>
      </c>
      <c r="K395" s="6">
        <v>15066.70703125</v>
      </c>
    </row>
    <row r="396" spans="1:11" x14ac:dyDescent="0.3">
      <c r="A396" s="6">
        <v>389</v>
      </c>
      <c r="B396" s="7">
        <v>19783</v>
      </c>
      <c r="C396" s="8">
        <v>3661</v>
      </c>
      <c r="D396" s="6">
        <v>17873.947265625</v>
      </c>
      <c r="E396" s="8">
        <v>0</v>
      </c>
      <c r="F396" s="8">
        <v>0</v>
      </c>
      <c r="G396" s="8">
        <v>68.422615051269531</v>
      </c>
      <c r="H396" s="18">
        <v>46.247585296630859</v>
      </c>
      <c r="I396" s="6">
        <v>1</v>
      </c>
      <c r="J396" s="6">
        <v>26948.5625</v>
      </c>
      <c r="K396" s="6">
        <v>29865.580078125</v>
      </c>
    </row>
    <row r="397" spans="1:11" x14ac:dyDescent="0.3">
      <c r="A397" s="6">
        <v>390</v>
      </c>
      <c r="B397" s="7">
        <v>19814</v>
      </c>
      <c r="C397" s="8">
        <v>4106</v>
      </c>
      <c r="D397" s="6">
        <v>10673.673828125</v>
      </c>
      <c r="E397" s="8">
        <v>0</v>
      </c>
      <c r="F397" s="8">
        <v>0</v>
      </c>
      <c r="G397" s="8">
        <v>19.516128540039063</v>
      </c>
      <c r="H397" s="18">
        <v>47.168369293212891</v>
      </c>
      <c r="I397" s="6">
        <v>1</v>
      </c>
      <c r="J397" s="6">
        <v>18162.142578125</v>
      </c>
      <c r="K397" s="6">
        <v>20723.755859375</v>
      </c>
    </row>
    <row r="398" spans="1:11" x14ac:dyDescent="0.3">
      <c r="A398" s="6">
        <v>391</v>
      </c>
      <c r="B398" s="7">
        <v>19844</v>
      </c>
      <c r="C398" s="8">
        <v>4546</v>
      </c>
      <c r="D398" s="6">
        <v>10966.724609375</v>
      </c>
      <c r="E398" s="8">
        <v>0</v>
      </c>
      <c r="F398" s="8">
        <v>33.86962890625</v>
      </c>
      <c r="G398" s="8">
        <v>347.92138671875</v>
      </c>
      <c r="H398" s="18">
        <v>48.739151000976563</v>
      </c>
      <c r="I398" s="6">
        <v>1</v>
      </c>
      <c r="J398" s="6">
        <v>16350.7373046875</v>
      </c>
      <c r="K398" s="6">
        <v>19232.14453125</v>
      </c>
    </row>
    <row r="399" spans="1:11" x14ac:dyDescent="0.3">
      <c r="A399" s="6">
        <v>392</v>
      </c>
      <c r="B399" s="7">
        <v>19875</v>
      </c>
      <c r="C399" s="8">
        <v>4520.74951171875</v>
      </c>
      <c r="D399" s="6">
        <v>7140.4267578125</v>
      </c>
      <c r="E399" s="8">
        <v>0</v>
      </c>
      <c r="F399" s="8">
        <v>705.2218017578125</v>
      </c>
      <c r="G399" s="8">
        <v>2247.10107421875</v>
      </c>
      <c r="H399" s="18">
        <v>50.82733154296875</v>
      </c>
      <c r="I399" s="6">
        <v>1</v>
      </c>
      <c r="J399" s="6">
        <v>7907.10595703125</v>
      </c>
      <c r="K399" s="6">
        <v>6767.72265625</v>
      </c>
    </row>
    <row r="400" spans="1:11" x14ac:dyDescent="0.3">
      <c r="A400" s="6">
        <v>393</v>
      </c>
      <c r="B400" s="7">
        <v>19905</v>
      </c>
      <c r="C400" s="8">
        <v>4172.916015625</v>
      </c>
      <c r="D400" s="6">
        <v>10288.154296875</v>
      </c>
      <c r="E400" s="8">
        <v>0</v>
      </c>
      <c r="F400" s="8">
        <v>1051.88525390625</v>
      </c>
      <c r="G400" s="8">
        <v>2396.154541015625</v>
      </c>
      <c r="H400" s="18">
        <v>50.714031219482422</v>
      </c>
      <c r="I400" s="6">
        <v>0</v>
      </c>
      <c r="J400" s="6">
        <v>10141.8037109375</v>
      </c>
      <c r="K400" s="6">
        <v>8215.6865234375</v>
      </c>
    </row>
    <row r="401" spans="1:11" x14ac:dyDescent="0.3">
      <c r="A401" s="6">
        <v>394</v>
      </c>
      <c r="B401" s="7">
        <v>19936</v>
      </c>
      <c r="C401" s="8">
        <v>3484.43505859375</v>
      </c>
      <c r="D401" s="6">
        <v>16000</v>
      </c>
      <c r="E401" s="8">
        <v>500.70394897460938</v>
      </c>
      <c r="F401" s="8">
        <v>1187.869384765625</v>
      </c>
      <c r="G401" s="8">
        <v>2562.892822265625</v>
      </c>
      <c r="H401" s="18">
        <v>51.326705932617188</v>
      </c>
      <c r="I401" s="6">
        <v>0</v>
      </c>
      <c r="J401" s="6">
        <v>14895.8408203125</v>
      </c>
      <c r="K401" s="6">
        <v>12423.279296875</v>
      </c>
    </row>
    <row r="402" spans="1:11" x14ac:dyDescent="0.3">
      <c r="A402" s="6">
        <v>395</v>
      </c>
      <c r="B402" s="7">
        <v>19967</v>
      </c>
      <c r="C402" s="8">
        <v>3195.903076171875</v>
      </c>
      <c r="D402" s="6">
        <v>10891.6728515625</v>
      </c>
      <c r="E402" s="8">
        <v>0</v>
      </c>
      <c r="F402" s="8">
        <v>848.469970703125</v>
      </c>
      <c r="G402" s="8">
        <v>1927.0733642578125</v>
      </c>
      <c r="H402" s="18">
        <v>52.632415771484375</v>
      </c>
      <c r="I402" s="6">
        <v>0</v>
      </c>
      <c r="J402" s="6">
        <v>10526.2587890625</v>
      </c>
      <c r="K402" s="6">
        <v>8711.3876953125</v>
      </c>
    </row>
    <row r="403" spans="1:11" x14ac:dyDescent="0.3">
      <c r="A403" s="6">
        <v>396</v>
      </c>
      <c r="B403" s="7">
        <v>19997</v>
      </c>
      <c r="C403" s="8">
        <v>2910.68115234375</v>
      </c>
      <c r="D403" s="6">
        <v>10293.9990234375</v>
      </c>
      <c r="E403" s="8">
        <v>0</v>
      </c>
      <c r="F403" s="8">
        <v>237.12907409667969</v>
      </c>
      <c r="G403" s="8">
        <v>632.9815673828125</v>
      </c>
      <c r="H403" s="18">
        <v>51.843894958496094</v>
      </c>
      <c r="I403" s="6">
        <v>0</v>
      </c>
      <c r="J403" s="6">
        <v>10527.5166015625</v>
      </c>
      <c r="K403" s="6">
        <v>10015.0048828125</v>
      </c>
    </row>
    <row r="404" spans="1:11" x14ac:dyDescent="0.3">
      <c r="A404" s="6">
        <v>397</v>
      </c>
      <c r="B404" s="7">
        <v>20028</v>
      </c>
      <c r="C404" s="8">
        <v>2783.679443359375</v>
      </c>
      <c r="D404" s="6">
        <v>7147.39599609375</v>
      </c>
      <c r="E404" s="8">
        <v>798.4456787109375</v>
      </c>
      <c r="F404" s="8">
        <v>193.17669677734375</v>
      </c>
      <c r="G404" s="8">
        <v>840.0799560546875</v>
      </c>
      <c r="H404" s="18">
        <v>54.243312835693359</v>
      </c>
      <c r="I404" s="6">
        <v>0</v>
      </c>
      <c r="J404" s="6">
        <v>7566.72314453125</v>
      </c>
      <c r="K404" s="6">
        <v>6950.32958984375</v>
      </c>
    </row>
    <row r="405" spans="1:11" x14ac:dyDescent="0.3">
      <c r="A405" s="6">
        <v>398</v>
      </c>
      <c r="B405" s="7">
        <v>20058</v>
      </c>
      <c r="C405" s="8">
        <v>2710.106689453125</v>
      </c>
      <c r="D405" s="6">
        <v>7845.74853515625</v>
      </c>
      <c r="E405" s="8">
        <v>832.2525634765625</v>
      </c>
      <c r="F405" s="8">
        <v>0</v>
      </c>
      <c r="G405" s="8">
        <v>378.125</v>
      </c>
      <c r="H405" s="18">
        <v>54.671340942382813</v>
      </c>
      <c r="I405" s="6">
        <v>1</v>
      </c>
      <c r="J405" s="6">
        <v>11333.0830078125</v>
      </c>
      <c r="K405" s="6">
        <v>11635.625</v>
      </c>
    </row>
    <row r="406" spans="1:11" x14ac:dyDescent="0.3">
      <c r="A406" s="6">
        <v>399</v>
      </c>
      <c r="B406" s="7">
        <v>20089</v>
      </c>
      <c r="C406" s="8">
        <v>3061.848388671875</v>
      </c>
      <c r="D406" s="6">
        <v>3250</v>
      </c>
      <c r="E406" s="8">
        <v>0</v>
      </c>
      <c r="F406" s="8">
        <v>0</v>
      </c>
      <c r="G406" s="8">
        <v>183.77688598632813</v>
      </c>
      <c r="H406" s="18">
        <v>50.506679534912109</v>
      </c>
      <c r="I406" s="6">
        <v>1</v>
      </c>
      <c r="J406" s="6">
        <v>7868.40185546875</v>
      </c>
      <c r="K406" s="6">
        <v>8753.4072265625</v>
      </c>
    </row>
    <row r="407" spans="1:11" x14ac:dyDescent="0.3">
      <c r="A407" s="6">
        <v>400</v>
      </c>
      <c r="B407" s="7">
        <v>20120</v>
      </c>
      <c r="C407" s="8">
        <v>3230.675048828125</v>
      </c>
      <c r="D407" s="6">
        <v>3250</v>
      </c>
      <c r="E407" s="8">
        <v>0</v>
      </c>
      <c r="F407" s="8">
        <v>0</v>
      </c>
      <c r="G407" s="8">
        <v>74.81182861328125</v>
      </c>
      <c r="H407" s="18">
        <v>47.191566467285156</v>
      </c>
      <c r="I407" s="6">
        <v>1</v>
      </c>
      <c r="J407" s="6">
        <v>6791.14453125</v>
      </c>
      <c r="K407" s="6">
        <v>7476.3994140625</v>
      </c>
    </row>
    <row r="408" spans="1:11" x14ac:dyDescent="0.3">
      <c r="A408" s="6">
        <v>401</v>
      </c>
      <c r="B408" s="7">
        <v>20148</v>
      </c>
      <c r="C408" s="8">
        <v>3404.0732421875</v>
      </c>
      <c r="D408" s="6">
        <v>3299.410400390625</v>
      </c>
      <c r="E408" s="8">
        <v>0</v>
      </c>
      <c r="F408" s="8">
        <v>0</v>
      </c>
      <c r="G408" s="8">
        <v>68.422615051269531</v>
      </c>
      <c r="H408" s="18">
        <v>47.267799377441406</v>
      </c>
      <c r="I408" s="6">
        <v>1</v>
      </c>
      <c r="J408" s="6">
        <v>5190.681640625</v>
      </c>
      <c r="K408" s="6">
        <v>5729.36328125</v>
      </c>
    </row>
    <row r="409" spans="1:11" x14ac:dyDescent="0.3">
      <c r="A409" s="6">
        <v>402</v>
      </c>
      <c r="B409" s="7">
        <v>20179</v>
      </c>
      <c r="C409" s="8">
        <v>3547.304931640625</v>
      </c>
      <c r="D409" s="6">
        <v>3250</v>
      </c>
      <c r="E409" s="8">
        <v>0</v>
      </c>
      <c r="F409" s="8">
        <v>38.040802001953125</v>
      </c>
      <c r="G409" s="8">
        <v>84.648353576660156</v>
      </c>
      <c r="H409" s="18">
        <v>49.157573699951172</v>
      </c>
      <c r="I409" s="6">
        <v>1</v>
      </c>
      <c r="J409" s="6">
        <v>4581.01416015625</v>
      </c>
      <c r="K409" s="6">
        <v>5153.7568359375</v>
      </c>
    </row>
    <row r="410" spans="1:11" x14ac:dyDescent="0.3">
      <c r="A410" s="6">
        <v>403</v>
      </c>
      <c r="B410" s="7">
        <v>20209</v>
      </c>
      <c r="C410" s="8">
        <v>3900.966552734375</v>
      </c>
      <c r="D410" s="6">
        <v>3250</v>
      </c>
      <c r="E410" s="8">
        <v>0</v>
      </c>
      <c r="F410" s="8">
        <v>222.8968505859375</v>
      </c>
      <c r="G410" s="8">
        <v>466.9581298828125</v>
      </c>
      <c r="H410" s="18">
        <v>50.451328277587891</v>
      </c>
      <c r="I410" s="6">
        <v>1</v>
      </c>
      <c r="J410" s="6">
        <v>5559.94873046875</v>
      </c>
      <c r="K410" s="6">
        <v>6019.2919921875</v>
      </c>
    </row>
    <row r="411" spans="1:11" x14ac:dyDescent="0.3">
      <c r="A411" s="6">
        <v>404</v>
      </c>
      <c r="B411" s="7">
        <v>20240</v>
      </c>
      <c r="C411" s="8">
        <v>4019.9189453125</v>
      </c>
      <c r="D411" s="6">
        <v>5268.8193359375</v>
      </c>
      <c r="E411" s="8">
        <v>0</v>
      </c>
      <c r="F411" s="8">
        <v>365.389892578125</v>
      </c>
      <c r="G411" s="8">
        <v>2265.77197265625</v>
      </c>
      <c r="H411" s="18">
        <v>51.616672515869141</v>
      </c>
      <c r="I411" s="6">
        <v>1</v>
      </c>
      <c r="J411" s="6">
        <v>6714.97314453125</v>
      </c>
      <c r="K411" s="6">
        <v>5486.18310546875</v>
      </c>
    </row>
    <row r="412" spans="1:11" x14ac:dyDescent="0.3">
      <c r="A412" s="6">
        <v>405</v>
      </c>
      <c r="B412" s="7">
        <v>20270</v>
      </c>
      <c r="C412" s="8">
        <v>3710.103271484375</v>
      </c>
      <c r="D412" s="6">
        <v>9586.744140625</v>
      </c>
      <c r="E412" s="8">
        <v>0</v>
      </c>
      <c r="F412" s="8">
        <v>444.3331298828125</v>
      </c>
      <c r="G412" s="8">
        <v>2712.6806640625</v>
      </c>
      <c r="H412" s="18">
        <v>51.253532409667969</v>
      </c>
      <c r="I412" s="6">
        <v>0</v>
      </c>
      <c r="J412" s="6">
        <v>9745.2841796875</v>
      </c>
      <c r="K412" s="6">
        <v>7300.0556640625</v>
      </c>
    </row>
    <row r="413" spans="1:11" x14ac:dyDescent="0.3">
      <c r="A413" s="6">
        <v>406</v>
      </c>
      <c r="B413" s="7">
        <v>20301</v>
      </c>
      <c r="C413" s="8">
        <v>3124.154052734375</v>
      </c>
      <c r="D413" s="6">
        <v>14380.9560546875</v>
      </c>
      <c r="E413" s="8">
        <v>1723.942138671875</v>
      </c>
      <c r="F413" s="8">
        <v>487.44525146484375</v>
      </c>
      <c r="G413" s="8">
        <v>2538.07568359375</v>
      </c>
      <c r="H413" s="18">
        <v>51.871387481689453</v>
      </c>
      <c r="I413" s="6">
        <v>0</v>
      </c>
      <c r="J413" s="6">
        <v>14142.00390625</v>
      </c>
      <c r="K413" s="6">
        <v>11646.533203125</v>
      </c>
    </row>
    <row r="414" spans="1:11" x14ac:dyDescent="0.3">
      <c r="A414" s="6">
        <v>407</v>
      </c>
      <c r="B414" s="7">
        <v>20332</v>
      </c>
      <c r="C414" s="8">
        <v>2857.8251953125</v>
      </c>
      <c r="D414" s="6">
        <v>8531.4599609375</v>
      </c>
      <c r="E414" s="8">
        <v>1565.8887939453125</v>
      </c>
      <c r="F414" s="8">
        <v>389.63516235351563</v>
      </c>
      <c r="G414" s="8">
        <v>1921.841796875</v>
      </c>
      <c r="H414" s="18">
        <v>54.333930969238281</v>
      </c>
      <c r="I414" s="6">
        <v>0</v>
      </c>
      <c r="J414" s="6">
        <v>8466.7138671875</v>
      </c>
      <c r="K414" s="6">
        <v>6564.55078125</v>
      </c>
    </row>
    <row r="415" spans="1:11" x14ac:dyDescent="0.3">
      <c r="A415" s="6">
        <v>408</v>
      </c>
      <c r="B415" s="7">
        <v>20362</v>
      </c>
      <c r="C415" s="8">
        <v>2864.943603515625</v>
      </c>
      <c r="D415" s="6">
        <v>4275.80712890625</v>
      </c>
      <c r="E415" s="8">
        <v>813.69903564453125</v>
      </c>
      <c r="F415" s="8">
        <v>16.113668441772461</v>
      </c>
      <c r="G415" s="8">
        <v>602.330810546875</v>
      </c>
      <c r="H415" s="18">
        <v>56.178371429443359</v>
      </c>
      <c r="I415" s="6">
        <v>1</v>
      </c>
      <c r="J415" s="6">
        <v>4778.79833984375</v>
      </c>
      <c r="K415" s="6">
        <v>4242.23876953125</v>
      </c>
    </row>
    <row r="416" spans="1:11" x14ac:dyDescent="0.3">
      <c r="A416" s="6">
        <v>409</v>
      </c>
      <c r="B416" s="7">
        <v>20393</v>
      </c>
      <c r="C416" s="8">
        <v>2740.707275390625</v>
      </c>
      <c r="D416" s="6">
        <v>5979.30029296875</v>
      </c>
      <c r="E416" s="8">
        <v>1413.0872802734375</v>
      </c>
      <c r="F416" s="8">
        <v>102.30293273925781</v>
      </c>
      <c r="G416" s="8">
        <v>821.42218017578125</v>
      </c>
      <c r="H416" s="18">
        <v>54.494461059570313</v>
      </c>
      <c r="I416" s="6">
        <v>0</v>
      </c>
      <c r="J416" s="6">
        <v>6412.4794921875</v>
      </c>
      <c r="K416" s="6">
        <v>5761.45849609375</v>
      </c>
    </row>
    <row r="417" spans="1:11" x14ac:dyDescent="0.3">
      <c r="A417" s="6">
        <v>410</v>
      </c>
      <c r="B417" s="7">
        <v>20423</v>
      </c>
      <c r="C417" s="8">
        <v>2880.290283203125</v>
      </c>
      <c r="D417" s="6">
        <v>3250</v>
      </c>
      <c r="E417" s="8">
        <v>1431.478759765625</v>
      </c>
      <c r="F417" s="8">
        <v>0</v>
      </c>
      <c r="G417" s="8">
        <v>463.83334350585938</v>
      </c>
      <c r="H417" s="18">
        <v>53.260593414306641</v>
      </c>
      <c r="I417" s="6">
        <v>1</v>
      </c>
      <c r="J417" s="6">
        <v>6052.55224609375</v>
      </c>
      <c r="K417" s="6">
        <v>6029.994140625</v>
      </c>
    </row>
    <row r="418" spans="1:11" x14ac:dyDescent="0.3">
      <c r="A418" s="6">
        <v>411</v>
      </c>
      <c r="B418" s="7">
        <v>20454</v>
      </c>
      <c r="C418" s="8">
        <v>3252</v>
      </c>
      <c r="D418" s="6">
        <v>29046.6328125</v>
      </c>
      <c r="E418" s="8">
        <v>0</v>
      </c>
      <c r="F418" s="8">
        <v>0</v>
      </c>
      <c r="G418" s="8">
        <v>157.75537109375</v>
      </c>
      <c r="H418" s="18">
        <v>50.114791870117188</v>
      </c>
      <c r="I418" s="6">
        <v>1</v>
      </c>
      <c r="J418" s="6">
        <v>45939.80078125</v>
      </c>
      <c r="K418" s="6">
        <v>52817.6015625</v>
      </c>
    </row>
    <row r="419" spans="1:11" x14ac:dyDescent="0.3">
      <c r="A419" s="6">
        <v>412</v>
      </c>
      <c r="B419" s="7">
        <v>20485</v>
      </c>
      <c r="C419" s="8">
        <v>3252</v>
      </c>
      <c r="D419" s="6">
        <v>34000.81640625</v>
      </c>
      <c r="E419" s="8">
        <v>0</v>
      </c>
      <c r="F419" s="8">
        <v>0</v>
      </c>
      <c r="G419" s="8">
        <v>74.81182861328125</v>
      </c>
      <c r="H419" s="18">
        <v>45.556041717529297</v>
      </c>
      <c r="I419" s="6">
        <v>1</v>
      </c>
      <c r="J419" s="6">
        <v>56402.37109375</v>
      </c>
      <c r="K419" s="6">
        <v>62493.46875</v>
      </c>
    </row>
    <row r="420" spans="1:11" x14ac:dyDescent="0.3">
      <c r="A420" s="6">
        <v>413</v>
      </c>
      <c r="B420" s="7">
        <v>20514</v>
      </c>
      <c r="C420" s="8">
        <v>3288</v>
      </c>
      <c r="D420" s="6">
        <v>24136.30859375</v>
      </c>
      <c r="E420" s="8">
        <v>0</v>
      </c>
      <c r="F420" s="8">
        <v>0</v>
      </c>
      <c r="G420" s="8">
        <v>66.063217163085938</v>
      </c>
      <c r="H420" s="18">
        <v>43.808097839355469</v>
      </c>
      <c r="I420" s="6">
        <v>1</v>
      </c>
      <c r="J420" s="6">
        <v>34489.671875</v>
      </c>
      <c r="K420" s="6">
        <v>38347.22265625</v>
      </c>
    </row>
    <row r="421" spans="1:11" x14ac:dyDescent="0.3">
      <c r="A421" s="6">
        <v>414</v>
      </c>
      <c r="B421" s="7">
        <v>20545</v>
      </c>
      <c r="C421" s="8">
        <v>4014</v>
      </c>
      <c r="D421" s="6">
        <v>4171.24609375</v>
      </c>
      <c r="E421" s="8">
        <v>84.333580017089844</v>
      </c>
      <c r="F421" s="8">
        <v>52.49029541015625</v>
      </c>
      <c r="G421" s="8">
        <v>58.725013732910156</v>
      </c>
      <c r="H421" s="18">
        <v>46.861061096191406</v>
      </c>
      <c r="I421" s="6">
        <v>1</v>
      </c>
      <c r="J421" s="6">
        <v>8500.76171875</v>
      </c>
      <c r="K421" s="6">
        <v>10486.927734375</v>
      </c>
    </row>
    <row r="422" spans="1:11" x14ac:dyDescent="0.3">
      <c r="A422" s="6">
        <v>415</v>
      </c>
      <c r="B422" s="7">
        <v>20575</v>
      </c>
      <c r="C422" s="8">
        <v>4525.97607421875</v>
      </c>
      <c r="D422" s="6">
        <v>3250</v>
      </c>
      <c r="E422" s="8">
        <v>0</v>
      </c>
      <c r="F422" s="8">
        <v>274.44708251953125</v>
      </c>
      <c r="G422" s="8">
        <v>472.98532104492188</v>
      </c>
      <c r="H422" s="18">
        <v>49.895095825195313</v>
      </c>
      <c r="I422" s="6">
        <v>1</v>
      </c>
      <c r="J422" s="6">
        <v>5861.83447265625</v>
      </c>
      <c r="K422" s="6">
        <v>7735.65673828125</v>
      </c>
    </row>
    <row r="423" spans="1:11" x14ac:dyDescent="0.3">
      <c r="A423" s="6">
        <v>416</v>
      </c>
      <c r="B423" s="7">
        <v>20606</v>
      </c>
      <c r="C423" s="8">
        <v>4552</v>
      </c>
      <c r="D423" s="6">
        <v>9877.4130859375</v>
      </c>
      <c r="E423" s="8">
        <v>0</v>
      </c>
      <c r="F423" s="8">
        <v>735.657470703125</v>
      </c>
      <c r="G423" s="8">
        <v>2024.16015625</v>
      </c>
      <c r="H423" s="18">
        <v>47.875160217285156</v>
      </c>
      <c r="I423" s="6">
        <v>1</v>
      </c>
      <c r="J423" s="6">
        <v>13189.8515625</v>
      </c>
      <c r="K423" s="6">
        <v>13820.1826171875</v>
      </c>
    </row>
    <row r="424" spans="1:11" x14ac:dyDescent="0.3">
      <c r="A424" s="6">
        <v>417</v>
      </c>
      <c r="B424" s="7">
        <v>20636</v>
      </c>
      <c r="C424" s="8">
        <v>4426.123046875</v>
      </c>
      <c r="D424" s="6">
        <v>7543.416015625</v>
      </c>
      <c r="E424" s="8">
        <v>0</v>
      </c>
      <c r="F424" s="8">
        <v>1099.9310302734375</v>
      </c>
      <c r="G424" s="8">
        <v>2200.53125</v>
      </c>
      <c r="H424" s="18">
        <v>50.089691162109375</v>
      </c>
      <c r="I424" s="6">
        <v>1</v>
      </c>
      <c r="J424" s="6">
        <v>7901.59375</v>
      </c>
      <c r="K424" s="6">
        <v>6820.19677734375</v>
      </c>
    </row>
    <row r="425" spans="1:11" x14ac:dyDescent="0.3">
      <c r="A425" s="6">
        <v>418</v>
      </c>
      <c r="B425" s="7">
        <v>20667</v>
      </c>
      <c r="C425" s="8">
        <v>3905.54736328125</v>
      </c>
      <c r="D425" s="6">
        <v>11823.966796875</v>
      </c>
      <c r="E425" s="8">
        <v>0</v>
      </c>
      <c r="F425" s="8">
        <v>1282.6153564453125</v>
      </c>
      <c r="G425" s="8">
        <v>2616.67822265625</v>
      </c>
      <c r="H425" s="18">
        <v>50.282562255859375</v>
      </c>
      <c r="I425" s="6">
        <v>0</v>
      </c>
      <c r="J425" s="6">
        <v>10949.1435546875</v>
      </c>
      <c r="K425" s="6">
        <v>8626.3818359375</v>
      </c>
    </row>
    <row r="426" spans="1:11" x14ac:dyDescent="0.3">
      <c r="A426" s="6">
        <v>419</v>
      </c>
      <c r="B426" s="7">
        <v>20698</v>
      </c>
      <c r="C426" s="8">
        <v>3614.647705078125</v>
      </c>
      <c r="D426" s="6">
        <v>9524.841796875</v>
      </c>
      <c r="E426" s="8">
        <v>0</v>
      </c>
      <c r="F426" s="8">
        <v>1024.259033203125</v>
      </c>
      <c r="G426" s="8">
        <v>2240.93798828125</v>
      </c>
      <c r="H426" s="18">
        <v>51.611839294433594</v>
      </c>
      <c r="I426" s="6">
        <v>0</v>
      </c>
      <c r="J426" s="6">
        <v>8718.6650390625</v>
      </c>
      <c r="K426" s="6">
        <v>6596.41455078125</v>
      </c>
    </row>
    <row r="427" spans="1:11" x14ac:dyDescent="0.3">
      <c r="A427" s="6">
        <v>420</v>
      </c>
      <c r="B427" s="7">
        <v>20728</v>
      </c>
      <c r="C427" s="8">
        <v>3055.82763671875</v>
      </c>
      <c r="D427" s="6">
        <v>15567.1982421875</v>
      </c>
      <c r="E427" s="8">
        <v>0</v>
      </c>
      <c r="F427" s="8">
        <v>214.49468994140625</v>
      </c>
      <c r="G427" s="8">
        <v>602.330810546875</v>
      </c>
      <c r="H427" s="18">
        <v>50.058818817138672</v>
      </c>
      <c r="I427" s="6">
        <v>0</v>
      </c>
      <c r="J427" s="6">
        <v>15761.474609375</v>
      </c>
      <c r="K427" s="6">
        <v>15337.630859375</v>
      </c>
    </row>
    <row r="428" spans="1:11" x14ac:dyDescent="0.3">
      <c r="A428" s="6">
        <v>421</v>
      </c>
      <c r="B428" s="7">
        <v>20759</v>
      </c>
      <c r="C428" s="8">
        <v>2989.99462890625</v>
      </c>
      <c r="D428" s="6">
        <v>7175.92431640625</v>
      </c>
      <c r="E428" s="8">
        <v>524.9937744140625</v>
      </c>
      <c r="F428" s="8">
        <v>143.765625</v>
      </c>
      <c r="G428" s="8">
        <v>805.39715576171875</v>
      </c>
      <c r="H428" s="18">
        <v>53.941276550292969</v>
      </c>
      <c r="I428" s="6">
        <v>0</v>
      </c>
      <c r="J428" s="6">
        <v>8171.20166015625</v>
      </c>
      <c r="K428" s="6">
        <v>7671.74755859375</v>
      </c>
    </row>
    <row r="429" spans="1:11" x14ac:dyDescent="0.3">
      <c r="A429" s="6">
        <v>422</v>
      </c>
      <c r="B429" s="7">
        <v>20789</v>
      </c>
      <c r="C429" s="8">
        <v>2593.2724609375</v>
      </c>
      <c r="D429" s="6">
        <v>12182.091796875</v>
      </c>
      <c r="E429" s="8">
        <v>630.58831787109375</v>
      </c>
      <c r="F429" s="8">
        <v>31.847023010253906</v>
      </c>
      <c r="G429" s="8">
        <v>570.95159912109375</v>
      </c>
      <c r="H429" s="18">
        <v>55.359161376953125</v>
      </c>
      <c r="I429" s="6">
        <v>0</v>
      </c>
      <c r="J429" s="6">
        <v>13256.1328125</v>
      </c>
      <c r="K429" s="6">
        <v>13015.6826171875</v>
      </c>
    </row>
    <row r="430" spans="1:11" x14ac:dyDescent="0.3">
      <c r="A430" s="6">
        <v>423</v>
      </c>
      <c r="B430" s="7">
        <v>20820</v>
      </c>
      <c r="C430" s="8">
        <v>2536.120849609375</v>
      </c>
      <c r="D430" s="6">
        <v>5352.97216796875</v>
      </c>
      <c r="E430" s="8">
        <v>0</v>
      </c>
      <c r="F430" s="8">
        <v>0</v>
      </c>
      <c r="G430" s="8">
        <v>315.5107421875</v>
      </c>
      <c r="H430" s="18">
        <v>52.102981567382813</v>
      </c>
      <c r="I430" s="6">
        <v>1</v>
      </c>
      <c r="J430" s="6">
        <v>6311.458984375</v>
      </c>
      <c r="K430" s="6">
        <v>6324.21142578125</v>
      </c>
    </row>
    <row r="431" spans="1:11" x14ac:dyDescent="0.3">
      <c r="A431" s="6">
        <v>424</v>
      </c>
      <c r="B431" s="7">
        <v>20851</v>
      </c>
      <c r="C431" s="8">
        <v>2673.375</v>
      </c>
      <c r="D431" s="6">
        <v>3250</v>
      </c>
      <c r="E431" s="8">
        <v>0</v>
      </c>
      <c r="F431" s="8">
        <v>0</v>
      </c>
      <c r="G431" s="8">
        <v>74.81182861328125</v>
      </c>
      <c r="H431" s="18">
        <v>49.21136474609375</v>
      </c>
      <c r="I431" s="6">
        <v>1</v>
      </c>
      <c r="J431" s="6">
        <v>5403.50537109375</v>
      </c>
      <c r="K431" s="6">
        <v>5824.34521484375</v>
      </c>
    </row>
    <row r="432" spans="1:11" x14ac:dyDescent="0.3">
      <c r="A432" s="6">
        <v>425</v>
      </c>
      <c r="B432" s="7">
        <v>20879</v>
      </c>
      <c r="C432" s="8">
        <v>3435.83544921875</v>
      </c>
      <c r="D432" s="6">
        <v>3250</v>
      </c>
      <c r="E432" s="8">
        <v>0</v>
      </c>
      <c r="F432" s="8">
        <v>0</v>
      </c>
      <c r="G432" s="8">
        <v>68.422615051269531</v>
      </c>
      <c r="H432" s="18">
        <v>48.255897521972656</v>
      </c>
      <c r="I432" s="6">
        <v>1</v>
      </c>
      <c r="J432" s="6">
        <v>7554.392578125</v>
      </c>
      <c r="K432" s="6">
        <v>9781.4423828125</v>
      </c>
    </row>
    <row r="433" spans="1:11" x14ac:dyDescent="0.3">
      <c r="A433" s="6">
        <v>426</v>
      </c>
      <c r="B433" s="7">
        <v>20910</v>
      </c>
      <c r="C433" s="8">
        <v>4129</v>
      </c>
      <c r="D433" s="6">
        <v>7885.5595703125</v>
      </c>
      <c r="E433" s="8">
        <v>0</v>
      </c>
      <c r="F433" s="8">
        <v>57.436592102050781</v>
      </c>
      <c r="G433" s="8">
        <v>56.132678985595703</v>
      </c>
      <c r="H433" s="18">
        <v>48.239582061767578</v>
      </c>
      <c r="I433" s="6">
        <v>1</v>
      </c>
      <c r="J433" s="6">
        <v>14485.6904296875</v>
      </c>
      <c r="K433" s="6">
        <v>16530.892578125</v>
      </c>
    </row>
    <row r="434" spans="1:11" x14ac:dyDescent="0.3">
      <c r="A434" s="6">
        <v>427</v>
      </c>
      <c r="B434" s="7">
        <v>20940</v>
      </c>
      <c r="C434" s="8">
        <v>4535.75439453125</v>
      </c>
      <c r="D434" s="6">
        <v>3250</v>
      </c>
      <c r="E434" s="8">
        <v>0</v>
      </c>
      <c r="F434" s="8">
        <v>473.61004638671875</v>
      </c>
      <c r="G434" s="8">
        <v>459.42416381835938</v>
      </c>
      <c r="H434" s="18">
        <v>51.217433929443359</v>
      </c>
      <c r="I434" s="6">
        <v>1</v>
      </c>
      <c r="J434" s="6">
        <v>5004.7353515625</v>
      </c>
      <c r="K434" s="6">
        <v>5607.234375</v>
      </c>
    </row>
    <row r="435" spans="1:11" x14ac:dyDescent="0.3">
      <c r="A435" s="6">
        <v>428</v>
      </c>
      <c r="B435" s="7">
        <v>20971</v>
      </c>
      <c r="C435" s="8">
        <v>4552</v>
      </c>
      <c r="D435" s="6">
        <v>10383.798828125</v>
      </c>
      <c r="E435" s="8">
        <v>0</v>
      </c>
      <c r="F435" s="8">
        <v>717.7584228515625</v>
      </c>
      <c r="G435" s="8">
        <v>2044.89892578125</v>
      </c>
      <c r="H435" s="18">
        <v>50.116058349609375</v>
      </c>
      <c r="I435" s="6">
        <v>1</v>
      </c>
      <c r="J435" s="6">
        <v>12772.076171875</v>
      </c>
      <c r="K435" s="6">
        <v>12202.53125</v>
      </c>
    </row>
    <row r="436" spans="1:11" x14ac:dyDescent="0.3">
      <c r="A436" s="6">
        <v>429</v>
      </c>
      <c r="B436" s="7">
        <v>21001</v>
      </c>
      <c r="C436" s="8">
        <v>4290.39404296875</v>
      </c>
      <c r="D436" s="6">
        <v>9041.25390625</v>
      </c>
      <c r="E436" s="8">
        <v>0</v>
      </c>
      <c r="F436" s="8">
        <v>866.60247802734375</v>
      </c>
      <c r="G436" s="8">
        <v>2422.49462890625</v>
      </c>
      <c r="H436" s="18">
        <v>52.248523712158203</v>
      </c>
      <c r="I436" s="6">
        <v>0</v>
      </c>
      <c r="J436" s="6">
        <v>8751.8759765625</v>
      </c>
      <c r="K436" s="6">
        <v>6765.447265625</v>
      </c>
    </row>
    <row r="437" spans="1:11" x14ac:dyDescent="0.3">
      <c r="A437" s="6">
        <v>430</v>
      </c>
      <c r="B437" s="7">
        <v>21032</v>
      </c>
      <c r="C437" s="8">
        <v>3601.666259765625</v>
      </c>
      <c r="D437" s="6">
        <v>16000</v>
      </c>
      <c r="E437" s="8">
        <v>1393.9866943359375</v>
      </c>
      <c r="F437" s="8">
        <v>947.87957763671875</v>
      </c>
      <c r="G437" s="8">
        <v>2467.689453125</v>
      </c>
      <c r="H437" s="18">
        <v>51.816173553466797</v>
      </c>
      <c r="I437" s="6">
        <v>0</v>
      </c>
      <c r="J437" s="6">
        <v>15043.1044921875</v>
      </c>
      <c r="K437" s="6">
        <v>12625.7373046875</v>
      </c>
    </row>
    <row r="438" spans="1:11" x14ac:dyDescent="0.3">
      <c r="A438" s="6">
        <v>431</v>
      </c>
      <c r="B438" s="7">
        <v>21063</v>
      </c>
      <c r="C438" s="8">
        <v>3243.876953125</v>
      </c>
      <c r="D438" s="6">
        <v>10377.8759765625</v>
      </c>
      <c r="E438" s="8">
        <v>972.99468994140625</v>
      </c>
      <c r="F438" s="8">
        <v>756.11749267578125</v>
      </c>
      <c r="G438" s="8">
        <v>2065.3544921875</v>
      </c>
      <c r="H438" s="18">
        <v>52.426334381103516</v>
      </c>
      <c r="I438" s="6">
        <v>0</v>
      </c>
      <c r="J438" s="6">
        <v>9680.2783203125</v>
      </c>
      <c r="K438" s="6">
        <v>7635.8916015625</v>
      </c>
    </row>
    <row r="439" spans="1:11" x14ac:dyDescent="0.3">
      <c r="A439" s="6">
        <v>432</v>
      </c>
      <c r="B439" s="7">
        <v>21093</v>
      </c>
      <c r="C439" s="8">
        <v>3041.052978515625</v>
      </c>
      <c r="D439" s="6">
        <v>9349.72265625</v>
      </c>
      <c r="E439" s="8">
        <v>579.7745361328125</v>
      </c>
      <c r="F439" s="8">
        <v>12.208489418029785</v>
      </c>
      <c r="G439" s="8">
        <v>498.13558959960938</v>
      </c>
      <c r="H439" s="18">
        <v>52.770999908447266</v>
      </c>
      <c r="I439" s="6">
        <v>0</v>
      </c>
      <c r="J439" s="6">
        <v>10259.078125</v>
      </c>
      <c r="K439" s="6">
        <v>10095.390625</v>
      </c>
    </row>
    <row r="440" spans="1:11" x14ac:dyDescent="0.3">
      <c r="A440" s="6">
        <v>433</v>
      </c>
      <c r="B440" s="7">
        <v>21124</v>
      </c>
      <c r="C440" s="8">
        <v>3219.752197265625</v>
      </c>
      <c r="D440" s="6">
        <v>5625.38720703125</v>
      </c>
      <c r="E440" s="8">
        <v>1307.7252197265625</v>
      </c>
      <c r="F440" s="8">
        <v>54.211467742919922</v>
      </c>
      <c r="G440" s="8">
        <v>728.60211181640625</v>
      </c>
      <c r="H440" s="18">
        <v>54.597003936767578</v>
      </c>
      <c r="I440" s="6">
        <v>1</v>
      </c>
      <c r="J440" s="6">
        <v>8739.216796875</v>
      </c>
      <c r="K440" s="6">
        <v>8956.8564453125</v>
      </c>
    </row>
    <row r="441" spans="1:11" x14ac:dyDescent="0.3">
      <c r="A441" s="6">
        <v>434</v>
      </c>
      <c r="B441" s="7">
        <v>21154</v>
      </c>
      <c r="C441" s="8">
        <v>3122.6435546875</v>
      </c>
      <c r="D441" s="6">
        <v>8939.5966796875</v>
      </c>
      <c r="E441" s="8">
        <v>2291.82421875</v>
      </c>
      <c r="F441" s="8">
        <v>2.7554643154144287</v>
      </c>
      <c r="G441" s="8">
        <v>573.4073486328125</v>
      </c>
      <c r="H441" s="18">
        <v>54.295242309570313</v>
      </c>
      <c r="I441" s="6">
        <v>1</v>
      </c>
      <c r="J441" s="6">
        <v>11518.7705078125</v>
      </c>
      <c r="K441" s="6">
        <v>11753.1796875</v>
      </c>
    </row>
    <row r="442" spans="1:11" x14ac:dyDescent="0.3">
      <c r="A442" s="6">
        <v>435</v>
      </c>
      <c r="B442" s="7">
        <v>21185</v>
      </c>
      <c r="C442" s="8">
        <v>3338</v>
      </c>
      <c r="D442" s="6">
        <v>10011.4208984375</v>
      </c>
      <c r="E442" s="8">
        <v>0</v>
      </c>
      <c r="F442" s="8">
        <v>0</v>
      </c>
      <c r="G442" s="8">
        <v>216.30375671386719</v>
      </c>
      <c r="H442" s="18">
        <v>50.485874176025391</v>
      </c>
      <c r="I442" s="6">
        <v>1</v>
      </c>
      <c r="J442" s="6">
        <v>14416.5146484375</v>
      </c>
      <c r="K442" s="6">
        <v>15745.650390625</v>
      </c>
    </row>
    <row r="443" spans="1:11" x14ac:dyDescent="0.3">
      <c r="A443" s="6">
        <v>436</v>
      </c>
      <c r="B443" s="7">
        <v>21216</v>
      </c>
      <c r="C443" s="8">
        <v>3531</v>
      </c>
      <c r="D443" s="6">
        <v>15293.85546875</v>
      </c>
      <c r="E443" s="8">
        <v>0</v>
      </c>
      <c r="F443" s="8">
        <v>0</v>
      </c>
      <c r="G443" s="8">
        <v>74.81182861328125</v>
      </c>
      <c r="H443" s="18">
        <v>47.790256500244141</v>
      </c>
      <c r="I443" s="6">
        <v>1</v>
      </c>
      <c r="J443" s="6">
        <v>24551.888671875</v>
      </c>
      <c r="K443" s="6">
        <v>27104.7578125</v>
      </c>
    </row>
    <row r="444" spans="1:11" x14ac:dyDescent="0.3">
      <c r="A444" s="6">
        <v>437</v>
      </c>
      <c r="B444" s="7">
        <v>21244</v>
      </c>
      <c r="C444" s="8">
        <v>4552</v>
      </c>
      <c r="D444" s="6">
        <v>29840.958984375</v>
      </c>
      <c r="E444" s="8">
        <v>0</v>
      </c>
      <c r="F444" s="8">
        <v>0</v>
      </c>
      <c r="G444" s="8">
        <v>68.422615051269531</v>
      </c>
      <c r="H444" s="18">
        <v>46.219253540039063</v>
      </c>
      <c r="I444" s="6">
        <v>1</v>
      </c>
      <c r="J444" s="6">
        <v>63291.9296875</v>
      </c>
      <c r="K444" s="6">
        <v>72222.3984375</v>
      </c>
    </row>
    <row r="445" spans="1:11" x14ac:dyDescent="0.3">
      <c r="A445" s="6">
        <v>438</v>
      </c>
      <c r="B445" s="7">
        <v>21275</v>
      </c>
      <c r="C445" s="8">
        <v>3416</v>
      </c>
      <c r="D445" s="6">
        <v>44227.55078125</v>
      </c>
      <c r="E445" s="8">
        <v>0</v>
      </c>
      <c r="F445" s="8">
        <v>0</v>
      </c>
      <c r="G445" s="8">
        <v>19.516128540039063</v>
      </c>
      <c r="H445" s="18">
        <v>45.930065155029297</v>
      </c>
      <c r="I445" s="6">
        <v>1</v>
      </c>
      <c r="J445" s="6">
        <v>54695.54296875</v>
      </c>
      <c r="K445" s="6">
        <v>58356.6640625</v>
      </c>
    </row>
    <row r="446" spans="1:11" x14ac:dyDescent="0.3">
      <c r="A446" s="6">
        <v>439</v>
      </c>
      <c r="B446" s="7">
        <v>21305</v>
      </c>
      <c r="C446" s="8">
        <v>4173</v>
      </c>
      <c r="D446" s="6">
        <v>11542.2392578125</v>
      </c>
      <c r="E446" s="8">
        <v>0</v>
      </c>
      <c r="F446" s="8">
        <v>28.527523040771484</v>
      </c>
      <c r="G446" s="8">
        <v>286.142822265625</v>
      </c>
      <c r="H446" s="18">
        <v>47.772865295410156</v>
      </c>
      <c r="I446" s="6">
        <v>1</v>
      </c>
      <c r="J446" s="6">
        <v>22233.115234375</v>
      </c>
      <c r="K446" s="6">
        <v>26165.8203125</v>
      </c>
    </row>
    <row r="447" spans="1:11" x14ac:dyDescent="0.3">
      <c r="A447" s="6">
        <v>440</v>
      </c>
      <c r="B447" s="7">
        <v>21336</v>
      </c>
      <c r="C447" s="8">
        <v>4552</v>
      </c>
      <c r="D447" s="6">
        <v>6985.326171875</v>
      </c>
      <c r="E447" s="8">
        <v>0</v>
      </c>
      <c r="F447" s="8">
        <v>454.28439331054688</v>
      </c>
      <c r="G447" s="8">
        <v>1943.7978515625</v>
      </c>
      <c r="H447" s="18">
        <v>51.385059356689453</v>
      </c>
      <c r="I447" s="6">
        <v>1</v>
      </c>
      <c r="J447" s="6">
        <v>9469.404296875</v>
      </c>
      <c r="K447" s="6">
        <v>10373.1474609375</v>
      </c>
    </row>
    <row r="448" spans="1:11" x14ac:dyDescent="0.3">
      <c r="A448" s="6">
        <v>441</v>
      </c>
      <c r="B448" s="7">
        <v>21366</v>
      </c>
      <c r="C448" s="8">
        <v>4500</v>
      </c>
      <c r="D448" s="6">
        <v>8232.15234375</v>
      </c>
      <c r="E448" s="8">
        <v>0</v>
      </c>
      <c r="F448" s="8">
        <v>1154.1927490234375</v>
      </c>
      <c r="G448" s="8">
        <v>2269.72607421875</v>
      </c>
      <c r="H448" s="18">
        <v>51.681552886962891</v>
      </c>
      <c r="I448" s="6">
        <v>1</v>
      </c>
      <c r="J448" s="6">
        <v>9580.3505859375</v>
      </c>
      <c r="K448" s="6">
        <v>8683.96875</v>
      </c>
    </row>
    <row r="449" spans="1:11" x14ac:dyDescent="0.3">
      <c r="A449" s="6">
        <v>442</v>
      </c>
      <c r="B449" s="7">
        <v>21397</v>
      </c>
      <c r="C449" s="8">
        <v>4105.73681640625</v>
      </c>
      <c r="D449" s="6">
        <v>12357.0048828125</v>
      </c>
      <c r="E449" s="8">
        <v>124.82685089111328</v>
      </c>
      <c r="F449" s="8">
        <v>1329.9095458984375</v>
      </c>
      <c r="G449" s="8">
        <v>2552.21142578125</v>
      </c>
      <c r="H449" s="18">
        <v>52.224693298339844</v>
      </c>
      <c r="I449" s="6">
        <v>0</v>
      </c>
      <c r="J449" s="6">
        <v>11849.4345703125</v>
      </c>
      <c r="K449" s="6">
        <v>9697.419921875</v>
      </c>
    </row>
    <row r="450" spans="1:11" x14ac:dyDescent="0.3">
      <c r="A450" s="6">
        <v>443</v>
      </c>
      <c r="B450" s="7">
        <v>21428</v>
      </c>
      <c r="C450" s="8">
        <v>3700</v>
      </c>
      <c r="D450" s="6">
        <v>12058.1279296875</v>
      </c>
      <c r="E450" s="8">
        <v>0</v>
      </c>
      <c r="F450" s="8">
        <v>1091.6405029296875</v>
      </c>
      <c r="G450" s="8">
        <v>2220.021240234375</v>
      </c>
      <c r="H450" s="18">
        <v>53.03253173828125</v>
      </c>
      <c r="I450" s="6">
        <v>0</v>
      </c>
      <c r="J450" s="6">
        <v>11481.0009765625</v>
      </c>
      <c r="K450" s="6">
        <v>9421.70703125</v>
      </c>
    </row>
    <row r="451" spans="1:11" x14ac:dyDescent="0.3">
      <c r="A451" s="6">
        <v>444</v>
      </c>
      <c r="B451" s="7">
        <v>21458</v>
      </c>
      <c r="C451" s="8">
        <v>3174.58203125</v>
      </c>
      <c r="D451" s="6">
        <v>15471.0478515625</v>
      </c>
      <c r="E451" s="8">
        <v>0</v>
      </c>
      <c r="F451" s="8">
        <v>299.13186645507813</v>
      </c>
      <c r="G451" s="8">
        <v>627.62408447265625</v>
      </c>
      <c r="H451" s="18">
        <v>51.647106170654297</v>
      </c>
      <c r="I451" s="6">
        <v>0</v>
      </c>
      <c r="J451" s="6">
        <v>15919.064453125</v>
      </c>
      <c r="K451" s="6">
        <v>15465.216796875</v>
      </c>
    </row>
    <row r="452" spans="1:11" x14ac:dyDescent="0.3">
      <c r="A452" s="6">
        <v>445</v>
      </c>
      <c r="B452" s="7">
        <v>21489</v>
      </c>
      <c r="C452" s="8">
        <v>3099.61865234375</v>
      </c>
      <c r="D452" s="6">
        <v>7031.13134765625</v>
      </c>
      <c r="E452" s="8">
        <v>50.698928833007813</v>
      </c>
      <c r="F452" s="8">
        <v>218.08198547363281</v>
      </c>
      <c r="G452" s="8">
        <v>841.986328125</v>
      </c>
      <c r="H452" s="18">
        <v>55.103355407714844</v>
      </c>
      <c r="I452" s="6">
        <v>0</v>
      </c>
      <c r="J452" s="6">
        <v>7676.12841796875</v>
      </c>
      <c r="K452" s="6">
        <v>7080.00341796875</v>
      </c>
    </row>
    <row r="453" spans="1:11" x14ac:dyDescent="0.3">
      <c r="A453" s="6">
        <v>446</v>
      </c>
      <c r="B453" s="7">
        <v>21519</v>
      </c>
      <c r="C453" s="8">
        <v>2724.443359375</v>
      </c>
      <c r="D453" s="6">
        <v>11112.8740234375</v>
      </c>
      <c r="E453" s="8">
        <v>1516.7578125</v>
      </c>
      <c r="F453" s="8">
        <v>31.423433303833008</v>
      </c>
      <c r="G453" s="8">
        <v>571.73919677734375</v>
      </c>
      <c r="H453" s="18">
        <v>55.963035583496094</v>
      </c>
      <c r="I453" s="6">
        <v>0</v>
      </c>
      <c r="J453" s="6">
        <v>12228.2998046875</v>
      </c>
      <c r="K453" s="6">
        <v>11999.1318359375</v>
      </c>
    </row>
    <row r="454" spans="1:11" x14ac:dyDescent="0.3">
      <c r="A454" s="6">
        <v>447</v>
      </c>
      <c r="B454" s="7">
        <v>21550</v>
      </c>
      <c r="C454" s="8">
        <v>2716.510986328125</v>
      </c>
      <c r="D454" s="6">
        <v>4958.53857421875</v>
      </c>
      <c r="E454" s="8">
        <v>0</v>
      </c>
      <c r="F454" s="8">
        <v>0</v>
      </c>
      <c r="G454" s="8">
        <v>271.59945678710938</v>
      </c>
      <c r="H454" s="18">
        <v>54.974697113037109</v>
      </c>
      <c r="I454" s="6">
        <v>1</v>
      </c>
      <c r="J454" s="6">
        <v>6259.51171875</v>
      </c>
      <c r="K454" s="6">
        <v>6368.5</v>
      </c>
    </row>
    <row r="455" spans="1:11" x14ac:dyDescent="0.3">
      <c r="A455" s="6">
        <v>448</v>
      </c>
      <c r="B455" s="7">
        <v>21581</v>
      </c>
      <c r="C455" s="8">
        <v>3572.578369140625</v>
      </c>
      <c r="D455" s="6">
        <v>3250</v>
      </c>
      <c r="E455" s="8">
        <v>0</v>
      </c>
      <c r="F455" s="8">
        <v>0</v>
      </c>
      <c r="G455" s="8">
        <v>74.81182861328125</v>
      </c>
      <c r="H455" s="18">
        <v>50.808029174804688</v>
      </c>
      <c r="I455" s="6">
        <v>1</v>
      </c>
      <c r="J455" s="6">
        <v>9054.4931640625</v>
      </c>
      <c r="K455" s="6">
        <v>10810.306640625</v>
      </c>
    </row>
    <row r="456" spans="1:11" x14ac:dyDescent="0.3">
      <c r="A456" s="6">
        <v>449</v>
      </c>
      <c r="B456" s="7">
        <v>21609</v>
      </c>
      <c r="C456" s="8">
        <v>3777</v>
      </c>
      <c r="D456" s="6">
        <v>14326.423828125</v>
      </c>
      <c r="E456" s="8">
        <v>0</v>
      </c>
      <c r="F456" s="8">
        <v>0</v>
      </c>
      <c r="G456" s="8">
        <v>68.422615051269531</v>
      </c>
      <c r="H456" s="18">
        <v>48.140224456787109</v>
      </c>
      <c r="I456" s="6">
        <v>1</v>
      </c>
      <c r="J456" s="6">
        <v>21834.48828125</v>
      </c>
      <c r="K456" s="6">
        <v>23996.29296875</v>
      </c>
    </row>
    <row r="457" spans="1:11" x14ac:dyDescent="0.3">
      <c r="A457" s="6">
        <v>450</v>
      </c>
      <c r="B457" s="7">
        <v>21640</v>
      </c>
      <c r="C457" s="8">
        <v>4190.4541015625</v>
      </c>
      <c r="D457" s="6">
        <v>3250</v>
      </c>
      <c r="E457" s="8">
        <v>0</v>
      </c>
      <c r="F457" s="8">
        <v>21.575126647949219</v>
      </c>
      <c r="G457" s="8">
        <v>50.948009490966797</v>
      </c>
      <c r="H457" s="18">
        <v>50.920211791992188</v>
      </c>
      <c r="I457" s="6">
        <v>1</v>
      </c>
      <c r="J457" s="6">
        <v>5466.94775390625</v>
      </c>
      <c r="K457" s="6">
        <v>6640.29296875</v>
      </c>
    </row>
    <row r="458" spans="1:11" x14ac:dyDescent="0.3">
      <c r="A458" s="6">
        <v>451</v>
      </c>
      <c r="B458" s="7">
        <v>21670</v>
      </c>
      <c r="C458" s="8">
        <v>4402.98779296875</v>
      </c>
      <c r="D458" s="6">
        <v>4176.9140625</v>
      </c>
      <c r="E458" s="8">
        <v>0</v>
      </c>
      <c r="F458" s="8">
        <v>220.10430908203125</v>
      </c>
      <c r="G458" s="8">
        <v>554.8544921875</v>
      </c>
      <c r="H458" s="18">
        <v>52.521034240722656</v>
      </c>
      <c r="I458" s="6">
        <v>1</v>
      </c>
      <c r="J458" s="6">
        <v>5150.42431640625</v>
      </c>
      <c r="K458" s="6">
        <v>5474.0966796875</v>
      </c>
    </row>
    <row r="459" spans="1:11" x14ac:dyDescent="0.3">
      <c r="A459" s="6">
        <v>452</v>
      </c>
      <c r="B459" s="7">
        <v>21701</v>
      </c>
      <c r="C459" s="8">
        <v>4231.4052734375</v>
      </c>
      <c r="D459" s="6">
        <v>8032.080078125</v>
      </c>
      <c r="E459" s="8">
        <v>0</v>
      </c>
      <c r="F459" s="8">
        <v>634.8975830078125</v>
      </c>
      <c r="G459" s="8">
        <v>2338.357666015625</v>
      </c>
      <c r="H459" s="18">
        <v>51.603923797607422</v>
      </c>
      <c r="I459" s="6">
        <v>1</v>
      </c>
      <c r="J459" s="6">
        <v>8258.5234375</v>
      </c>
      <c r="K459" s="6">
        <v>6342.19580078125</v>
      </c>
    </row>
    <row r="460" spans="1:11" x14ac:dyDescent="0.3">
      <c r="A460" s="6">
        <v>453</v>
      </c>
      <c r="B460" s="7">
        <v>21731</v>
      </c>
      <c r="C460" s="8">
        <v>3758.05615234375</v>
      </c>
      <c r="D460" s="6">
        <v>12238.9375</v>
      </c>
      <c r="E460" s="8">
        <v>0</v>
      </c>
      <c r="F460" s="8">
        <v>756.1251220703125</v>
      </c>
      <c r="G460" s="8">
        <v>2677.335693359375</v>
      </c>
      <c r="H460" s="18">
        <v>51.942916870117188</v>
      </c>
      <c r="I460" s="6">
        <v>0</v>
      </c>
      <c r="J460" s="6">
        <v>11774.7099609375</v>
      </c>
      <c r="K460" s="6">
        <v>9249.7373046875</v>
      </c>
    </row>
    <row r="461" spans="1:11" x14ac:dyDescent="0.3">
      <c r="A461" s="6">
        <v>454</v>
      </c>
      <c r="B461" s="7">
        <v>21762</v>
      </c>
      <c r="C461" s="8">
        <v>3122.560546875</v>
      </c>
      <c r="D461" s="6">
        <v>16000</v>
      </c>
      <c r="E461" s="8">
        <v>16.705476760864258</v>
      </c>
      <c r="F461" s="8">
        <v>824.85052490234375</v>
      </c>
      <c r="G461" s="8">
        <v>2537.385498046875</v>
      </c>
      <c r="H461" s="18">
        <v>52.936290740966797</v>
      </c>
      <c r="I461" s="6">
        <v>0</v>
      </c>
      <c r="J461" s="6">
        <v>15204.9765625</v>
      </c>
      <c r="K461" s="6">
        <v>12698.5712890625</v>
      </c>
    </row>
    <row r="462" spans="1:11" x14ac:dyDescent="0.3">
      <c r="A462" s="6">
        <v>455</v>
      </c>
      <c r="B462" s="7">
        <v>21793</v>
      </c>
      <c r="C462" s="8">
        <v>2702.43212890625</v>
      </c>
      <c r="D462" s="6">
        <v>12229.0556640625</v>
      </c>
      <c r="E462" s="8">
        <v>580.99884033203125</v>
      </c>
      <c r="F462" s="8">
        <v>639.72015380859375</v>
      </c>
      <c r="G462" s="8">
        <v>2049.189697265625</v>
      </c>
      <c r="H462" s="18">
        <v>53.897880554199219</v>
      </c>
      <c r="I462" s="6">
        <v>0</v>
      </c>
      <c r="J462" s="6">
        <v>11702.20703125</v>
      </c>
      <c r="K462" s="6">
        <v>9671.888671875</v>
      </c>
    </row>
    <row r="463" spans="1:11" x14ac:dyDescent="0.3">
      <c r="A463" s="6">
        <v>456</v>
      </c>
      <c r="B463" s="7">
        <v>21823</v>
      </c>
      <c r="C463" s="8">
        <v>2777.299560546875</v>
      </c>
      <c r="D463" s="6">
        <v>5247.646484375</v>
      </c>
      <c r="E463" s="8">
        <v>162.466064453125</v>
      </c>
      <c r="F463" s="8">
        <v>143.28555297851563</v>
      </c>
      <c r="G463" s="8">
        <v>491.57174682617188</v>
      </c>
      <c r="H463" s="18">
        <v>55.755146026611328</v>
      </c>
      <c r="I463" s="6">
        <v>1</v>
      </c>
      <c r="J463" s="6">
        <v>5932.43212890625</v>
      </c>
      <c r="K463" s="6">
        <v>5582.3017578125</v>
      </c>
    </row>
    <row r="464" spans="1:11" x14ac:dyDescent="0.3">
      <c r="A464" s="6">
        <v>457</v>
      </c>
      <c r="B464" s="7">
        <v>21854</v>
      </c>
      <c r="C464" s="8">
        <v>2640.419677734375</v>
      </c>
      <c r="D464" s="6">
        <v>6585.6396484375</v>
      </c>
      <c r="E464" s="8">
        <v>1540.0111083984375</v>
      </c>
      <c r="F464" s="8">
        <v>169.51011657714844</v>
      </c>
      <c r="G464" s="8">
        <v>847.45928955078125</v>
      </c>
      <c r="H464" s="18">
        <v>55.641506195068359</v>
      </c>
      <c r="I464" s="6">
        <v>0</v>
      </c>
      <c r="J464" s="6">
        <v>6969.6513671875</v>
      </c>
      <c r="K464" s="6">
        <v>6283.7841796875</v>
      </c>
    </row>
    <row r="465" spans="1:11" x14ac:dyDescent="0.3">
      <c r="A465" s="6">
        <v>458</v>
      </c>
      <c r="B465" s="7">
        <v>21884</v>
      </c>
      <c r="C465" s="8">
        <v>2453.543701171875</v>
      </c>
      <c r="D465" s="6">
        <v>7271.244140625</v>
      </c>
      <c r="E465" s="8">
        <v>1347.0540771484375</v>
      </c>
      <c r="F465" s="8">
        <v>26.513154983520508</v>
      </c>
      <c r="G465" s="8">
        <v>578.48046875</v>
      </c>
      <c r="H465" s="18">
        <v>55.722278594970703</v>
      </c>
      <c r="I465" s="6">
        <v>1</v>
      </c>
      <c r="J465" s="6">
        <v>7979.3232421875</v>
      </c>
      <c r="K465" s="6">
        <v>7616.27197265625</v>
      </c>
    </row>
    <row r="466" spans="1:11" x14ac:dyDescent="0.3">
      <c r="A466" s="6">
        <v>459</v>
      </c>
      <c r="B466" s="7">
        <v>21915</v>
      </c>
      <c r="C466" s="8">
        <v>2428.616455078125</v>
      </c>
      <c r="D466" s="6">
        <v>4404.16064453125</v>
      </c>
      <c r="E466" s="8">
        <v>2025.1993408203125</v>
      </c>
      <c r="F466" s="8">
        <v>0</v>
      </c>
      <c r="G466" s="8">
        <v>258.58871459960938</v>
      </c>
      <c r="H466" s="18">
        <v>53.589111328125</v>
      </c>
      <c r="I466" s="6">
        <v>1</v>
      </c>
      <c r="J466" s="6">
        <v>5422.42578125</v>
      </c>
      <c r="K466" s="6">
        <v>5429.2587890625</v>
      </c>
    </row>
    <row r="467" spans="1:11" x14ac:dyDescent="0.3">
      <c r="A467" s="6">
        <v>460</v>
      </c>
      <c r="B467" s="7">
        <v>21946</v>
      </c>
      <c r="C467" s="8">
        <v>2666.65625</v>
      </c>
      <c r="D467" s="6">
        <v>3250</v>
      </c>
      <c r="E467" s="8">
        <v>0</v>
      </c>
      <c r="F467" s="8">
        <v>0</v>
      </c>
      <c r="G467" s="8">
        <v>74.81182861328125</v>
      </c>
      <c r="H467" s="18">
        <v>50.018829345703125</v>
      </c>
      <c r="I467" s="6">
        <v>1</v>
      </c>
      <c r="J467" s="6">
        <v>5859.888671875</v>
      </c>
      <c r="K467" s="6">
        <v>6321.88720703125</v>
      </c>
    </row>
    <row r="468" spans="1:11" x14ac:dyDescent="0.3">
      <c r="A468" s="6">
        <v>461</v>
      </c>
      <c r="B468" s="7">
        <v>21975</v>
      </c>
      <c r="C468" s="8">
        <v>3490.311767578125</v>
      </c>
      <c r="D468" s="6">
        <v>3250</v>
      </c>
      <c r="E468" s="8">
        <v>0</v>
      </c>
      <c r="F468" s="8">
        <v>0</v>
      </c>
      <c r="G468" s="8">
        <v>66.063217163085938</v>
      </c>
      <c r="H468" s="18">
        <v>48.888156890869141</v>
      </c>
      <c r="I468" s="6">
        <v>1</v>
      </c>
      <c r="J468" s="6">
        <v>13001.9716796875</v>
      </c>
      <c r="K468" s="6">
        <v>15766.7158203125</v>
      </c>
    </row>
    <row r="469" spans="1:11" x14ac:dyDescent="0.3">
      <c r="A469" s="6">
        <v>462</v>
      </c>
      <c r="B469" s="7">
        <v>22006</v>
      </c>
      <c r="C469" s="8">
        <v>4146.4208984375</v>
      </c>
      <c r="D469" s="6">
        <v>3250</v>
      </c>
      <c r="E469" s="8">
        <v>0</v>
      </c>
      <c r="F469" s="8">
        <v>0.42621442675590515</v>
      </c>
      <c r="G469" s="8">
        <v>27.046722412109375</v>
      </c>
      <c r="H469" s="18">
        <v>50.064926147460938</v>
      </c>
      <c r="I469" s="6">
        <v>1</v>
      </c>
      <c r="J469" s="6">
        <v>8188.501953125</v>
      </c>
      <c r="K469" s="6">
        <v>10349.880859375</v>
      </c>
    </row>
    <row r="470" spans="1:11" x14ac:dyDescent="0.3">
      <c r="A470" s="6">
        <v>463</v>
      </c>
      <c r="B470" s="7">
        <v>22036</v>
      </c>
      <c r="C470" s="8">
        <v>4172.98876953125</v>
      </c>
      <c r="D470" s="6">
        <v>7127.0625</v>
      </c>
      <c r="E470" s="8">
        <v>0</v>
      </c>
      <c r="F470" s="8">
        <v>16.487361907958984</v>
      </c>
      <c r="G470" s="8">
        <v>466.45590209960938</v>
      </c>
      <c r="H470" s="18">
        <v>49.91119384765625</v>
      </c>
      <c r="I470" s="6">
        <v>1</v>
      </c>
      <c r="J470" s="6">
        <v>8794.5185546875</v>
      </c>
      <c r="K470" s="6">
        <v>9401.728515625</v>
      </c>
    </row>
    <row r="471" spans="1:11" x14ac:dyDescent="0.3">
      <c r="A471" s="6">
        <v>464</v>
      </c>
      <c r="B471" s="7">
        <v>22067</v>
      </c>
      <c r="C471" s="8">
        <v>4264.8515625</v>
      </c>
      <c r="D471" s="6">
        <v>4957.14453125</v>
      </c>
      <c r="E471" s="8">
        <v>0</v>
      </c>
      <c r="F471" s="8">
        <v>320.07254028320313</v>
      </c>
      <c r="G471" s="8">
        <v>2099.86279296875</v>
      </c>
      <c r="H471" s="18">
        <v>52.527271270751953</v>
      </c>
      <c r="I471" s="6">
        <v>1</v>
      </c>
      <c r="J471" s="6">
        <v>6372.474609375</v>
      </c>
      <c r="K471" s="6">
        <v>4998.0751953125</v>
      </c>
    </row>
    <row r="472" spans="1:11" x14ac:dyDescent="0.3">
      <c r="A472" s="6">
        <v>465</v>
      </c>
      <c r="B472" s="7">
        <v>22097</v>
      </c>
      <c r="C472" s="8">
        <v>3735.558837890625</v>
      </c>
      <c r="D472" s="6">
        <v>13233.97265625</v>
      </c>
      <c r="E472" s="8">
        <v>0</v>
      </c>
      <c r="F472" s="8">
        <v>457.70184326171875</v>
      </c>
      <c r="G472" s="8">
        <v>2712.6806640625</v>
      </c>
      <c r="H472" s="18">
        <v>51.440536499023438</v>
      </c>
      <c r="I472" s="6">
        <v>0</v>
      </c>
      <c r="J472" s="6">
        <v>13126.8486328125</v>
      </c>
      <c r="K472" s="6">
        <v>10756.2294921875</v>
      </c>
    </row>
    <row r="473" spans="1:11" x14ac:dyDescent="0.3">
      <c r="A473" s="6">
        <v>466</v>
      </c>
      <c r="B473" s="7">
        <v>22128</v>
      </c>
      <c r="C473" s="8">
        <v>3174.995361328125</v>
      </c>
      <c r="D473" s="6">
        <v>13995.5498046875</v>
      </c>
      <c r="E473" s="8">
        <v>193.49832153320313</v>
      </c>
      <c r="F473" s="8">
        <v>499.1810302734375</v>
      </c>
      <c r="G473" s="8">
        <v>2441.261474609375</v>
      </c>
      <c r="H473" s="18">
        <v>52.7860107421875</v>
      </c>
      <c r="I473" s="6">
        <v>0</v>
      </c>
      <c r="J473" s="6">
        <v>13396.1474609375</v>
      </c>
      <c r="K473" s="6">
        <v>10995.818359375</v>
      </c>
    </row>
    <row r="474" spans="1:11" x14ac:dyDescent="0.3">
      <c r="A474" s="6">
        <v>467</v>
      </c>
      <c r="B474" s="7">
        <v>22159</v>
      </c>
      <c r="C474" s="8">
        <v>2853.015869140625</v>
      </c>
      <c r="D474" s="6">
        <v>9622.7802734375</v>
      </c>
      <c r="E474" s="8">
        <v>1283.5350341796875</v>
      </c>
      <c r="F474" s="8">
        <v>398.9266357421875</v>
      </c>
      <c r="G474" s="8">
        <v>1811.549560546875</v>
      </c>
      <c r="H474" s="18">
        <v>54.137607574462891</v>
      </c>
      <c r="I474" s="6">
        <v>0</v>
      </c>
      <c r="J474" s="6">
        <v>9262.640625</v>
      </c>
      <c r="K474" s="6">
        <v>7470.76953125</v>
      </c>
    </row>
    <row r="475" spans="1:11" x14ac:dyDescent="0.3">
      <c r="A475" s="6">
        <v>468</v>
      </c>
      <c r="B475" s="7">
        <v>22189</v>
      </c>
      <c r="C475" s="8">
        <v>2747.35986328125</v>
      </c>
      <c r="D475" s="6">
        <v>6139.06787109375</v>
      </c>
      <c r="E475" s="8">
        <v>1185.9482421875</v>
      </c>
      <c r="F475" s="8">
        <v>22.901355743408203</v>
      </c>
      <c r="G475" s="8">
        <v>630.3028564453125</v>
      </c>
      <c r="H475" s="18">
        <v>54.113006591796875</v>
      </c>
      <c r="I475" s="6">
        <v>1</v>
      </c>
      <c r="J475" s="6">
        <v>6385.96044921875</v>
      </c>
      <c r="K475" s="6">
        <v>5799.09521484375</v>
      </c>
    </row>
    <row r="476" spans="1:11" x14ac:dyDescent="0.3">
      <c r="A476" s="6">
        <v>469</v>
      </c>
      <c r="B476" s="7">
        <v>22220</v>
      </c>
      <c r="C476" s="8">
        <v>2639.59912109375</v>
      </c>
      <c r="D476" s="6">
        <v>6087.6025390625</v>
      </c>
      <c r="E476" s="8">
        <v>1660.7847900390625</v>
      </c>
      <c r="F476" s="8">
        <v>113.38790893554688</v>
      </c>
      <c r="G476" s="8">
        <v>841.2254638671875</v>
      </c>
      <c r="H476" s="18">
        <v>55.397819519042969</v>
      </c>
      <c r="I476" s="6">
        <v>0</v>
      </c>
      <c r="J476" s="6">
        <v>6601.8203125</v>
      </c>
      <c r="K476" s="6">
        <v>5933.88134765625</v>
      </c>
    </row>
    <row r="477" spans="1:11" x14ac:dyDescent="0.3">
      <c r="A477" s="6">
        <v>470</v>
      </c>
      <c r="B477" s="7">
        <v>22250</v>
      </c>
      <c r="C477" s="8">
        <v>2817.53515625</v>
      </c>
      <c r="D477" s="6">
        <v>3250</v>
      </c>
      <c r="E477" s="8">
        <v>409.7125244140625</v>
      </c>
      <c r="F477" s="8">
        <v>0</v>
      </c>
      <c r="G477" s="8">
        <v>374.76388549804688</v>
      </c>
      <c r="H477" s="18">
        <v>54.475852966308594</v>
      </c>
      <c r="I477" s="6">
        <v>1</v>
      </c>
      <c r="J477" s="6">
        <v>5349.62890625</v>
      </c>
      <c r="K477" s="6">
        <v>5581.7080078125</v>
      </c>
    </row>
    <row r="478" spans="1:11" x14ac:dyDescent="0.3">
      <c r="A478" s="6">
        <v>471</v>
      </c>
      <c r="B478" s="7">
        <v>22281</v>
      </c>
      <c r="C478" s="8">
        <v>3325.75341796875</v>
      </c>
      <c r="D478" s="6">
        <v>3250</v>
      </c>
      <c r="E478" s="8">
        <v>2387.1279296875</v>
      </c>
      <c r="F478" s="8">
        <v>0</v>
      </c>
      <c r="G478" s="8">
        <v>237.44622802734375</v>
      </c>
      <c r="H478" s="18">
        <v>50.054477691650391</v>
      </c>
      <c r="I478" s="6">
        <v>1</v>
      </c>
      <c r="J478" s="6">
        <v>8522.0546875</v>
      </c>
      <c r="K478" s="6">
        <v>9463.4921875</v>
      </c>
    </row>
    <row r="479" spans="1:11" x14ac:dyDescent="0.3">
      <c r="A479" s="6">
        <v>472</v>
      </c>
      <c r="B479" s="7">
        <v>22312</v>
      </c>
      <c r="C479" s="8">
        <v>3531.285400390625</v>
      </c>
      <c r="D479" s="6">
        <v>3250</v>
      </c>
      <c r="E479" s="8">
        <v>0</v>
      </c>
      <c r="F479" s="8">
        <v>0</v>
      </c>
      <c r="G479" s="8">
        <v>74.81182861328125</v>
      </c>
      <c r="H479" s="18">
        <v>47.084510803222656</v>
      </c>
      <c r="I479" s="6">
        <v>1</v>
      </c>
      <c r="J479" s="6">
        <v>6071.787109375</v>
      </c>
      <c r="K479" s="6">
        <v>6834.23095703125</v>
      </c>
    </row>
    <row r="480" spans="1:11" x14ac:dyDescent="0.3">
      <c r="A480" s="6">
        <v>473</v>
      </c>
      <c r="B480" s="7">
        <v>22340</v>
      </c>
      <c r="C480" s="8">
        <v>3914</v>
      </c>
      <c r="D480" s="6">
        <v>8909.09765625</v>
      </c>
      <c r="E480" s="8">
        <v>0</v>
      </c>
      <c r="F480" s="8">
        <v>0</v>
      </c>
      <c r="G480" s="8">
        <v>68.422615051269531</v>
      </c>
      <c r="H480" s="18">
        <v>47.226810455322266</v>
      </c>
      <c r="I480" s="6">
        <v>1</v>
      </c>
      <c r="J480" s="6">
        <v>16806.1015625</v>
      </c>
      <c r="K480" s="6">
        <v>19082.966796875</v>
      </c>
    </row>
    <row r="481" spans="1:11" x14ac:dyDescent="0.3">
      <c r="A481" s="6">
        <v>474</v>
      </c>
      <c r="B481" s="7">
        <v>22371</v>
      </c>
      <c r="C481" s="8">
        <v>4280</v>
      </c>
      <c r="D481" s="6">
        <v>6303.97314453125</v>
      </c>
      <c r="E481" s="8">
        <v>0</v>
      </c>
      <c r="F481" s="8">
        <v>0</v>
      </c>
      <c r="G481" s="8">
        <v>19.516128540039063</v>
      </c>
      <c r="H481" s="18">
        <v>47.98175048828125</v>
      </c>
      <c r="I481" s="6">
        <v>1</v>
      </c>
      <c r="J481" s="6">
        <v>10947.12109375</v>
      </c>
      <c r="K481" s="6">
        <v>12396.9609375</v>
      </c>
    </row>
    <row r="482" spans="1:11" x14ac:dyDescent="0.3">
      <c r="A482" s="6">
        <v>475</v>
      </c>
      <c r="B482" s="7">
        <v>22401</v>
      </c>
      <c r="C482" s="8">
        <v>4552</v>
      </c>
      <c r="D482" s="6">
        <v>3330.927978515625</v>
      </c>
      <c r="E482" s="8">
        <v>0</v>
      </c>
      <c r="F482" s="8">
        <v>224.14614868164063</v>
      </c>
      <c r="G482" s="8">
        <v>461.4332275390625</v>
      </c>
      <c r="H482" s="18">
        <v>51.26251220703125</v>
      </c>
      <c r="I482" s="6">
        <v>1</v>
      </c>
      <c r="J482" s="6">
        <v>5226.69287109375</v>
      </c>
      <c r="K482" s="6">
        <v>5926.83203125</v>
      </c>
    </row>
    <row r="483" spans="1:11" x14ac:dyDescent="0.3">
      <c r="A483" s="6">
        <v>476</v>
      </c>
      <c r="B483" s="7">
        <v>22432</v>
      </c>
      <c r="C483" s="8">
        <v>4502.27978515625</v>
      </c>
      <c r="D483" s="6">
        <v>7787.1884765625</v>
      </c>
      <c r="E483" s="8">
        <v>0</v>
      </c>
      <c r="F483" s="8">
        <v>270.762451171875</v>
      </c>
      <c r="G483" s="8">
        <v>2241.916259765625</v>
      </c>
      <c r="H483" s="18">
        <v>50.240604400634766</v>
      </c>
      <c r="I483" s="6">
        <v>1</v>
      </c>
      <c r="J483" s="6">
        <v>9200.26171875</v>
      </c>
      <c r="K483" s="6">
        <v>7732.056640625</v>
      </c>
    </row>
    <row r="484" spans="1:11" x14ac:dyDescent="0.3">
      <c r="A484" s="6">
        <v>477</v>
      </c>
      <c r="B484" s="7">
        <v>22462</v>
      </c>
      <c r="C484" s="8">
        <v>4143.28564453125</v>
      </c>
      <c r="D484" s="6">
        <v>10063.0751953125</v>
      </c>
      <c r="E484" s="8">
        <v>0</v>
      </c>
      <c r="F484" s="8">
        <v>520.3306884765625</v>
      </c>
      <c r="G484" s="8">
        <v>2605.465576171875</v>
      </c>
      <c r="H484" s="18">
        <v>51.530010223388672</v>
      </c>
      <c r="I484" s="6">
        <v>0</v>
      </c>
      <c r="J484" s="6">
        <v>10428.490234375</v>
      </c>
      <c r="K484" s="6">
        <v>8239.501953125</v>
      </c>
    </row>
    <row r="485" spans="1:11" x14ac:dyDescent="0.3">
      <c r="A485" s="6">
        <v>478</v>
      </c>
      <c r="B485" s="7">
        <v>22493</v>
      </c>
      <c r="C485" s="8">
        <v>3417.93798828125</v>
      </c>
      <c r="D485" s="6">
        <v>16000</v>
      </c>
      <c r="E485" s="8">
        <v>1599.67919921875</v>
      </c>
      <c r="F485" s="8">
        <v>610.17608642578125</v>
      </c>
      <c r="G485" s="8">
        <v>2538.07568359375</v>
      </c>
      <c r="H485" s="18">
        <v>51.374370574951172</v>
      </c>
      <c r="I485" s="6">
        <v>0</v>
      </c>
      <c r="J485" s="6">
        <v>15587.0576171875</v>
      </c>
      <c r="K485" s="6">
        <v>13085.025390625</v>
      </c>
    </row>
    <row r="486" spans="1:11" x14ac:dyDescent="0.3">
      <c r="A486" s="6">
        <v>479</v>
      </c>
      <c r="B486" s="7">
        <v>22524</v>
      </c>
      <c r="C486" s="8">
        <v>3103.2099609375</v>
      </c>
      <c r="D486" s="6">
        <v>9858.578125</v>
      </c>
      <c r="E486" s="8">
        <v>3366.373779296875</v>
      </c>
      <c r="F486" s="8">
        <v>478.1424560546875</v>
      </c>
      <c r="G486" s="8">
        <v>1895.4920654296875</v>
      </c>
      <c r="H486" s="18">
        <v>53.117336273193359</v>
      </c>
      <c r="I486" s="6">
        <v>0</v>
      </c>
      <c r="J486" s="6">
        <v>9594.5625</v>
      </c>
      <c r="K486" s="6">
        <v>7717.94189453125</v>
      </c>
    </row>
    <row r="487" spans="1:11" x14ac:dyDescent="0.3">
      <c r="A487" s="6">
        <v>480</v>
      </c>
      <c r="B487" s="7">
        <v>22554</v>
      </c>
      <c r="C487" s="8">
        <v>3030.294189453125</v>
      </c>
      <c r="D487" s="6">
        <v>5456.61767578125</v>
      </c>
      <c r="E487" s="8">
        <v>1068.3673095703125</v>
      </c>
      <c r="F487" s="8">
        <v>18.471529006958008</v>
      </c>
      <c r="G487" s="8">
        <v>607.68829345703125</v>
      </c>
      <c r="H487" s="18">
        <v>53.439628601074219</v>
      </c>
      <c r="I487" s="6">
        <v>1</v>
      </c>
      <c r="J487" s="6">
        <v>5927.7490234375</v>
      </c>
      <c r="K487" s="6">
        <v>5402.32421875</v>
      </c>
    </row>
    <row r="488" spans="1:11" x14ac:dyDescent="0.3">
      <c r="A488" s="6">
        <v>481</v>
      </c>
      <c r="B488" s="7">
        <v>22585</v>
      </c>
      <c r="C488" s="8">
        <v>2848.31591796875</v>
      </c>
      <c r="D488" s="6">
        <v>7127.5869140625</v>
      </c>
      <c r="E488" s="8">
        <v>2354.580322265625</v>
      </c>
      <c r="F488" s="8">
        <v>131.11924743652344</v>
      </c>
      <c r="G488" s="8">
        <v>847.08831787109375</v>
      </c>
      <c r="H488" s="18">
        <v>54.552284240722656</v>
      </c>
      <c r="I488" s="6">
        <v>0</v>
      </c>
      <c r="J488" s="6">
        <v>7686.17529296875</v>
      </c>
      <c r="K488" s="6">
        <v>6982.09228515625</v>
      </c>
    </row>
    <row r="489" spans="1:11" x14ac:dyDescent="0.3">
      <c r="A489" s="6">
        <v>482</v>
      </c>
      <c r="B489" s="7">
        <v>22615</v>
      </c>
      <c r="C489" s="8">
        <v>3001.366943359375</v>
      </c>
      <c r="D489" s="6">
        <v>4440.01123046875</v>
      </c>
      <c r="E489" s="8">
        <v>1388.96728515625</v>
      </c>
      <c r="F489" s="8">
        <v>16.975309371948242</v>
      </c>
      <c r="G489" s="8">
        <v>416.77777099609375</v>
      </c>
      <c r="H489" s="18">
        <v>53.769443511962891</v>
      </c>
      <c r="I489" s="6">
        <v>1</v>
      </c>
      <c r="J489" s="6">
        <v>6300.25634765625</v>
      </c>
      <c r="K489" s="6">
        <v>6257.5400390625</v>
      </c>
    </row>
    <row r="490" spans="1:11" x14ac:dyDescent="0.3">
      <c r="A490" s="6">
        <v>483</v>
      </c>
      <c r="B490" s="7">
        <v>22646</v>
      </c>
      <c r="C490" s="8">
        <v>3356</v>
      </c>
      <c r="D490" s="6">
        <v>3368.5703125</v>
      </c>
      <c r="E490" s="8">
        <v>1553.054443359375</v>
      </c>
      <c r="F490" s="8">
        <v>0</v>
      </c>
      <c r="G490" s="8">
        <v>211.42472839355469</v>
      </c>
      <c r="H490" s="18">
        <v>49.448993682861328</v>
      </c>
      <c r="I490" s="6">
        <v>1</v>
      </c>
      <c r="J490" s="6">
        <v>8540.3115234375</v>
      </c>
      <c r="K490" s="6">
        <v>9320.404296875</v>
      </c>
    </row>
    <row r="491" spans="1:11" x14ac:dyDescent="0.3">
      <c r="A491" s="6">
        <v>484</v>
      </c>
      <c r="B491" s="7">
        <v>22677</v>
      </c>
      <c r="C491" s="8">
        <v>3460.3896484375</v>
      </c>
      <c r="D491" s="6">
        <v>3630.03759765625</v>
      </c>
      <c r="E491" s="8">
        <v>0</v>
      </c>
      <c r="F491" s="8">
        <v>0</v>
      </c>
      <c r="G491" s="8">
        <v>123.60214996337891</v>
      </c>
      <c r="H491" s="18">
        <v>47.315643310546875</v>
      </c>
      <c r="I491" s="6">
        <v>1</v>
      </c>
      <c r="J491" s="6">
        <v>6034.46923828125</v>
      </c>
      <c r="K491" s="6">
        <v>6472.5263671875</v>
      </c>
    </row>
    <row r="492" spans="1:11" x14ac:dyDescent="0.3">
      <c r="A492" s="6">
        <v>485</v>
      </c>
      <c r="B492" s="7">
        <v>22705</v>
      </c>
      <c r="C492" s="8">
        <v>3675</v>
      </c>
      <c r="D492" s="6">
        <v>24254.98828125</v>
      </c>
      <c r="E492" s="8">
        <v>0</v>
      </c>
      <c r="F492" s="8">
        <v>0</v>
      </c>
      <c r="G492" s="8">
        <v>68.422615051269531</v>
      </c>
      <c r="H492" s="18">
        <v>46.469573974609375</v>
      </c>
      <c r="I492" s="6">
        <v>1</v>
      </c>
      <c r="J492" s="6">
        <v>34567.70703125</v>
      </c>
      <c r="K492" s="6">
        <v>37324.46484375</v>
      </c>
    </row>
    <row r="493" spans="1:11" x14ac:dyDescent="0.3">
      <c r="A493" s="6">
        <v>486</v>
      </c>
      <c r="B493" s="7">
        <v>22736</v>
      </c>
      <c r="C493" s="8">
        <v>4266.99267578125</v>
      </c>
      <c r="D493" s="6">
        <v>3250</v>
      </c>
      <c r="E493" s="8">
        <v>0</v>
      </c>
      <c r="F493" s="8">
        <v>0</v>
      </c>
      <c r="G493" s="8">
        <v>19.516128540039063</v>
      </c>
      <c r="H493" s="18">
        <v>48.104541778564453</v>
      </c>
      <c r="I493" s="6">
        <v>1</v>
      </c>
      <c r="J493" s="6">
        <v>9068.146484375</v>
      </c>
      <c r="K493" s="6">
        <v>10476.73046875</v>
      </c>
    </row>
    <row r="494" spans="1:11" x14ac:dyDescent="0.3">
      <c r="A494" s="6">
        <v>487</v>
      </c>
      <c r="B494" s="7">
        <v>22766</v>
      </c>
      <c r="C494" s="8">
        <v>4552</v>
      </c>
      <c r="D494" s="6">
        <v>3754.135009765625</v>
      </c>
      <c r="E494" s="8">
        <v>0</v>
      </c>
      <c r="F494" s="8">
        <v>412.55120849609375</v>
      </c>
      <c r="G494" s="8">
        <v>496.0894775390625</v>
      </c>
      <c r="H494" s="18">
        <v>51.116634368896484</v>
      </c>
      <c r="I494" s="6">
        <v>1</v>
      </c>
      <c r="J494" s="6">
        <v>5280.6748046875</v>
      </c>
      <c r="K494" s="6">
        <v>6580.08984375</v>
      </c>
    </row>
    <row r="495" spans="1:11" x14ac:dyDescent="0.3">
      <c r="A495" s="6">
        <v>488</v>
      </c>
      <c r="B495" s="7">
        <v>22797</v>
      </c>
      <c r="C495" s="8">
        <v>4418.89453125</v>
      </c>
      <c r="D495" s="6">
        <v>8163.22021484375</v>
      </c>
      <c r="E495" s="8">
        <v>0</v>
      </c>
      <c r="F495" s="8">
        <v>657.1561279296875</v>
      </c>
      <c r="G495" s="8">
        <v>2288.578369140625</v>
      </c>
      <c r="H495" s="18">
        <v>49.783451080322266</v>
      </c>
      <c r="I495" s="6">
        <v>1</v>
      </c>
      <c r="J495" s="6">
        <v>9049.767578125</v>
      </c>
      <c r="K495" s="6">
        <v>7622.93408203125</v>
      </c>
    </row>
    <row r="496" spans="1:11" x14ac:dyDescent="0.3">
      <c r="A496" s="6">
        <v>489</v>
      </c>
      <c r="B496" s="7">
        <v>22827</v>
      </c>
      <c r="C496" s="8">
        <v>4081.933837890625</v>
      </c>
      <c r="D496" s="6">
        <v>9541.0107421875</v>
      </c>
      <c r="E496" s="8">
        <v>0</v>
      </c>
      <c r="F496" s="8">
        <v>805.975830078125</v>
      </c>
      <c r="G496" s="8">
        <v>2523.65283203125</v>
      </c>
      <c r="H496" s="18">
        <v>50.677501678466797</v>
      </c>
      <c r="I496" s="6">
        <v>0</v>
      </c>
      <c r="J496" s="6">
        <v>9395.900390625</v>
      </c>
      <c r="K496" s="6">
        <v>7259.033203125</v>
      </c>
    </row>
    <row r="497" spans="1:11" x14ac:dyDescent="0.3">
      <c r="A497" s="6">
        <v>490</v>
      </c>
      <c r="B497" s="7">
        <v>22858</v>
      </c>
      <c r="C497" s="8">
        <v>3381.171142578125</v>
      </c>
      <c r="D497" s="6">
        <v>15542.783203125</v>
      </c>
      <c r="E497" s="8">
        <v>562.44085693359375</v>
      </c>
      <c r="F497" s="8">
        <v>930.34075927734375</v>
      </c>
      <c r="G497" s="8">
        <v>2537.385498046875</v>
      </c>
      <c r="H497" s="18">
        <v>50.507843017578125</v>
      </c>
      <c r="I497" s="6">
        <v>0</v>
      </c>
      <c r="J497" s="6">
        <v>14815.001953125</v>
      </c>
      <c r="K497" s="6">
        <v>12314.6767578125</v>
      </c>
    </row>
    <row r="498" spans="1:11" x14ac:dyDescent="0.3">
      <c r="A498" s="6">
        <v>491</v>
      </c>
      <c r="B498" s="7">
        <v>22889</v>
      </c>
      <c r="C498" s="8">
        <v>3088.66943359375</v>
      </c>
      <c r="D498" s="6">
        <v>9497.494140625</v>
      </c>
      <c r="E498" s="8">
        <v>326.0140380859375</v>
      </c>
      <c r="F498" s="8">
        <v>741.148193359375</v>
      </c>
      <c r="G498" s="8">
        <v>2092.751708984375</v>
      </c>
      <c r="H498" s="18">
        <v>52.811408996582031</v>
      </c>
      <c r="I498" s="6">
        <v>0</v>
      </c>
      <c r="J498" s="6">
        <v>8838.6044921875</v>
      </c>
      <c r="K498" s="6">
        <v>6766.5615234375</v>
      </c>
    </row>
    <row r="499" spans="1:11" x14ac:dyDescent="0.3">
      <c r="A499" s="6">
        <v>492</v>
      </c>
      <c r="B499" s="7">
        <v>22919</v>
      </c>
      <c r="C499" s="8">
        <v>3012.717529296875</v>
      </c>
      <c r="D499" s="6">
        <v>5435.36474609375</v>
      </c>
      <c r="E499" s="8">
        <v>0</v>
      </c>
      <c r="F499" s="8">
        <v>134.00898742675781</v>
      </c>
      <c r="G499" s="8">
        <v>627.62408447265625</v>
      </c>
      <c r="H499" s="18">
        <v>53.392902374267578</v>
      </c>
      <c r="I499" s="6">
        <v>1</v>
      </c>
      <c r="J499" s="6">
        <v>5633.03564453125</v>
      </c>
      <c r="K499" s="6">
        <v>5045.0732421875</v>
      </c>
    </row>
    <row r="500" spans="1:11" x14ac:dyDescent="0.3">
      <c r="A500" s="6">
        <v>493</v>
      </c>
      <c r="B500" s="7">
        <v>22950</v>
      </c>
      <c r="C500" s="8">
        <v>3250</v>
      </c>
      <c r="D500" s="6">
        <v>8899.69140625</v>
      </c>
      <c r="E500" s="8">
        <v>0</v>
      </c>
      <c r="F500" s="8">
        <v>54.211467742919922</v>
      </c>
      <c r="G500" s="8">
        <v>694.44891357421875</v>
      </c>
      <c r="H500" s="18">
        <v>53.917343139648438</v>
      </c>
      <c r="I500" s="6">
        <v>1</v>
      </c>
      <c r="J500" s="6">
        <v>13029.09765625</v>
      </c>
      <c r="K500" s="6">
        <v>14458.1572265625</v>
      </c>
    </row>
    <row r="501" spans="1:11" x14ac:dyDescent="0.3">
      <c r="A501" s="6">
        <v>494</v>
      </c>
      <c r="B501" s="7">
        <v>22980</v>
      </c>
      <c r="C501" s="8">
        <v>3252</v>
      </c>
      <c r="D501" s="6">
        <v>5563.3046875</v>
      </c>
      <c r="E501" s="8">
        <v>0</v>
      </c>
      <c r="F501" s="8">
        <v>0</v>
      </c>
      <c r="G501" s="8">
        <v>546.1805419921875</v>
      </c>
      <c r="H501" s="18">
        <v>54.174419403076172</v>
      </c>
      <c r="I501" s="6">
        <v>1</v>
      </c>
      <c r="J501" s="6">
        <v>7042.80029296875</v>
      </c>
      <c r="K501" s="6">
        <v>7058.71044921875</v>
      </c>
    </row>
    <row r="502" spans="1:11" x14ac:dyDescent="0.3">
      <c r="A502" s="6">
        <v>495</v>
      </c>
      <c r="B502" s="7">
        <v>23011</v>
      </c>
      <c r="C502" s="8">
        <v>3349</v>
      </c>
      <c r="D502" s="6">
        <v>9092.9462890625</v>
      </c>
      <c r="E502" s="8">
        <v>0</v>
      </c>
      <c r="F502" s="8">
        <v>0</v>
      </c>
      <c r="G502" s="8">
        <v>209.79838562011719</v>
      </c>
      <c r="H502" s="18">
        <v>50.517131805419922</v>
      </c>
      <c r="I502" s="6">
        <v>1</v>
      </c>
      <c r="J502" s="6">
        <v>13836.9541015625</v>
      </c>
      <c r="K502" s="6">
        <v>15479.1484375</v>
      </c>
    </row>
    <row r="503" spans="1:11" x14ac:dyDescent="0.3">
      <c r="A503" s="6">
        <v>496</v>
      </c>
      <c r="B503" s="7">
        <v>23042</v>
      </c>
      <c r="C503" s="8">
        <v>3552.10791015625</v>
      </c>
      <c r="D503" s="6">
        <v>3250</v>
      </c>
      <c r="E503" s="8">
        <v>0</v>
      </c>
      <c r="F503" s="8">
        <v>0</v>
      </c>
      <c r="G503" s="8">
        <v>74.81182861328125</v>
      </c>
      <c r="H503" s="18">
        <v>47.209083557128906</v>
      </c>
      <c r="I503" s="6">
        <v>1</v>
      </c>
      <c r="J503" s="6">
        <v>5988.70947265625</v>
      </c>
      <c r="K503" s="6">
        <v>7216.11328125</v>
      </c>
    </row>
    <row r="504" spans="1:11" x14ac:dyDescent="0.3">
      <c r="A504" s="6">
        <v>497</v>
      </c>
      <c r="B504" s="7">
        <v>23070</v>
      </c>
      <c r="C504" s="8">
        <v>3944</v>
      </c>
      <c r="D504" s="6">
        <v>10854.6875</v>
      </c>
      <c r="E504" s="8">
        <v>0</v>
      </c>
      <c r="F504" s="8">
        <v>0</v>
      </c>
      <c r="G504" s="8">
        <v>68.422615051269531</v>
      </c>
      <c r="H504" s="18">
        <v>47.202175140380859</v>
      </c>
      <c r="I504" s="6">
        <v>1</v>
      </c>
      <c r="J504" s="6">
        <v>18576.154296875</v>
      </c>
      <c r="K504" s="6">
        <v>21880.8828125</v>
      </c>
    </row>
    <row r="505" spans="1:11" x14ac:dyDescent="0.3">
      <c r="A505" s="6">
        <v>498</v>
      </c>
      <c r="B505" s="7">
        <v>23101</v>
      </c>
      <c r="C505" s="8">
        <v>4226</v>
      </c>
      <c r="D505" s="6">
        <v>6279.40771484375</v>
      </c>
      <c r="E505" s="8">
        <v>0</v>
      </c>
      <c r="F505" s="8">
        <v>0</v>
      </c>
      <c r="G505" s="8">
        <v>19.516128540039063</v>
      </c>
      <c r="H505" s="18">
        <v>47.835437774658203</v>
      </c>
      <c r="I505" s="6">
        <v>1</v>
      </c>
      <c r="J505" s="6">
        <v>10076.7353515625</v>
      </c>
      <c r="K505" s="6">
        <v>11596.8515625</v>
      </c>
    </row>
    <row r="506" spans="1:11" x14ac:dyDescent="0.3">
      <c r="A506" s="6">
        <v>499</v>
      </c>
      <c r="B506" s="7">
        <v>23131</v>
      </c>
      <c r="C506" s="8">
        <v>4137</v>
      </c>
      <c r="D506" s="6">
        <v>30893.44921875</v>
      </c>
      <c r="E506" s="8">
        <v>0</v>
      </c>
      <c r="F506" s="8">
        <v>15.700532913208008</v>
      </c>
      <c r="G506" s="8">
        <v>254.50013732910156</v>
      </c>
      <c r="H506" s="18">
        <v>48.021064758300781</v>
      </c>
      <c r="I506" s="6">
        <v>1</v>
      </c>
      <c r="J506" s="6">
        <v>42323.1796875</v>
      </c>
      <c r="K506" s="6">
        <v>46217.8125</v>
      </c>
    </row>
    <row r="507" spans="1:11" x14ac:dyDescent="0.3">
      <c r="A507" s="6">
        <v>500</v>
      </c>
      <c r="B507" s="7">
        <v>23162</v>
      </c>
      <c r="C507" s="8">
        <v>4552</v>
      </c>
      <c r="D507" s="6">
        <v>4724.07177734375</v>
      </c>
      <c r="E507" s="8">
        <v>0</v>
      </c>
      <c r="F507" s="8">
        <v>528.83221435546875</v>
      </c>
      <c r="G507" s="8">
        <v>2086.376220703125</v>
      </c>
      <c r="H507" s="18">
        <v>52.657608032226563</v>
      </c>
      <c r="I507" s="6">
        <v>1</v>
      </c>
      <c r="J507" s="6">
        <v>7297.19677734375</v>
      </c>
      <c r="K507" s="6">
        <v>7086.525390625</v>
      </c>
    </row>
    <row r="508" spans="1:11" x14ac:dyDescent="0.3">
      <c r="A508" s="6">
        <v>501</v>
      </c>
      <c r="B508" s="7">
        <v>23192</v>
      </c>
      <c r="C508" s="8">
        <v>4318.48828125</v>
      </c>
      <c r="D508" s="6">
        <v>8594.71875</v>
      </c>
      <c r="E508" s="8">
        <v>0</v>
      </c>
      <c r="F508" s="8">
        <v>1228.4559326171875</v>
      </c>
      <c r="G508" s="8">
        <v>2324.6142578125</v>
      </c>
      <c r="H508" s="18">
        <v>52.543663024902344</v>
      </c>
      <c r="I508" s="6">
        <v>0</v>
      </c>
      <c r="J508" s="6">
        <v>8279.4365234375</v>
      </c>
      <c r="K508" s="6">
        <v>6478.056640625</v>
      </c>
    </row>
    <row r="509" spans="1:11" x14ac:dyDescent="0.3">
      <c r="A509" s="6">
        <v>502</v>
      </c>
      <c r="B509" s="7">
        <v>23223</v>
      </c>
      <c r="C509" s="8">
        <v>3649.526611328125</v>
      </c>
      <c r="D509" s="6">
        <v>16000</v>
      </c>
      <c r="E509" s="8">
        <v>793.86297607421875</v>
      </c>
      <c r="F509" s="8">
        <v>1381.7017822265625</v>
      </c>
      <c r="G509" s="8">
        <v>2521.474853515625</v>
      </c>
      <c r="H509" s="18">
        <v>52.109561920166016</v>
      </c>
      <c r="I509" s="6">
        <v>0</v>
      </c>
      <c r="J509" s="6">
        <v>14960.9833984375</v>
      </c>
      <c r="K509" s="6">
        <v>12542.6376953125</v>
      </c>
    </row>
    <row r="510" spans="1:11" x14ac:dyDescent="0.3">
      <c r="A510" s="6">
        <v>503</v>
      </c>
      <c r="B510" s="7">
        <v>23254</v>
      </c>
      <c r="C510" s="8">
        <v>3276.794677734375</v>
      </c>
      <c r="D510" s="6">
        <v>10712.146484375</v>
      </c>
      <c r="E510" s="8">
        <v>0</v>
      </c>
      <c r="F510" s="8">
        <v>1102.90771484375</v>
      </c>
      <c r="G510" s="8">
        <v>2240.93798828125</v>
      </c>
      <c r="H510" s="18">
        <v>53.501480102539063</v>
      </c>
      <c r="I510" s="6">
        <v>0</v>
      </c>
      <c r="J510" s="6">
        <v>10069.8291015625</v>
      </c>
      <c r="K510" s="6">
        <v>7866.4853515625</v>
      </c>
    </row>
    <row r="511" spans="1:11" x14ac:dyDescent="0.3">
      <c r="A511" s="6">
        <v>504</v>
      </c>
      <c r="B511" s="7">
        <v>23284</v>
      </c>
      <c r="C511" s="8">
        <v>2718.105712890625</v>
      </c>
      <c r="D511" s="6">
        <v>15022.0419921875</v>
      </c>
      <c r="E511" s="8">
        <v>0</v>
      </c>
      <c r="F511" s="8">
        <v>303.81503295898438</v>
      </c>
      <c r="G511" s="8">
        <v>630.3028564453125</v>
      </c>
      <c r="H511" s="18">
        <v>52.407405853271484</v>
      </c>
      <c r="I511" s="6">
        <v>0</v>
      </c>
      <c r="J511" s="6">
        <v>15233.958984375</v>
      </c>
      <c r="K511" s="6">
        <v>14690.44921875</v>
      </c>
    </row>
    <row r="512" spans="1:11" x14ac:dyDescent="0.3">
      <c r="A512" s="6">
        <v>505</v>
      </c>
      <c r="B512" s="7">
        <v>23315</v>
      </c>
      <c r="C512" s="8">
        <v>2592.30126953125</v>
      </c>
      <c r="D512" s="6">
        <v>7410.09033203125</v>
      </c>
      <c r="E512" s="8">
        <v>1189.5572509765625</v>
      </c>
      <c r="F512" s="8">
        <v>93.56317138671875</v>
      </c>
      <c r="G512" s="8">
        <v>785.89031982421875</v>
      </c>
      <c r="H512" s="18">
        <v>55.036331176757813</v>
      </c>
      <c r="I512" s="6">
        <v>1</v>
      </c>
      <c r="J512" s="6">
        <v>8679.193359375</v>
      </c>
      <c r="K512" s="6">
        <v>8195.2236328125</v>
      </c>
    </row>
    <row r="513" spans="1:11" x14ac:dyDescent="0.3">
      <c r="A513" s="6">
        <v>506</v>
      </c>
      <c r="B513" s="7">
        <v>23345</v>
      </c>
      <c r="C513" s="8">
        <v>2781.512939453125</v>
      </c>
      <c r="D513" s="6">
        <v>6208.16943359375</v>
      </c>
      <c r="E513" s="8">
        <v>1109.0794677734375</v>
      </c>
      <c r="F513" s="8">
        <v>0</v>
      </c>
      <c r="G513" s="8">
        <v>352.91665649414063</v>
      </c>
      <c r="H513" s="18">
        <v>54.737419128417969</v>
      </c>
      <c r="I513" s="6">
        <v>1</v>
      </c>
      <c r="J513" s="6">
        <v>10304.822265625</v>
      </c>
      <c r="K513" s="6">
        <v>10990.75390625</v>
      </c>
    </row>
    <row r="514" spans="1:11" x14ac:dyDescent="0.3">
      <c r="A514" s="6">
        <v>507</v>
      </c>
      <c r="B514" s="7">
        <v>23376</v>
      </c>
      <c r="C514" s="8">
        <v>2893.404541015625</v>
      </c>
      <c r="D514" s="6">
        <v>3250</v>
      </c>
      <c r="E514" s="8">
        <v>347.96035766601563</v>
      </c>
      <c r="F514" s="8">
        <v>0</v>
      </c>
      <c r="G514" s="8">
        <v>297.6209716796875</v>
      </c>
      <c r="H514" s="18">
        <v>50.890296936035156</v>
      </c>
      <c r="I514" s="6">
        <v>1</v>
      </c>
      <c r="J514" s="6">
        <v>4807.5224609375</v>
      </c>
      <c r="K514" s="6">
        <v>4957.18798828125</v>
      </c>
    </row>
    <row r="515" spans="1:11" x14ac:dyDescent="0.3">
      <c r="A515" s="6">
        <v>508</v>
      </c>
      <c r="B515" s="7">
        <v>23407</v>
      </c>
      <c r="C515" s="8">
        <v>3425.207275390625</v>
      </c>
      <c r="D515" s="6">
        <v>3250</v>
      </c>
      <c r="E515" s="8">
        <v>0</v>
      </c>
      <c r="F515" s="8">
        <v>0</v>
      </c>
      <c r="G515" s="8">
        <v>74.81182861328125</v>
      </c>
      <c r="H515" s="18">
        <v>47.85302734375</v>
      </c>
      <c r="I515" s="6">
        <v>1</v>
      </c>
      <c r="J515" s="6">
        <v>7118.228515625</v>
      </c>
      <c r="K515" s="6">
        <v>8135.61376953125</v>
      </c>
    </row>
    <row r="516" spans="1:11" x14ac:dyDescent="0.3">
      <c r="A516" s="6">
        <v>509</v>
      </c>
      <c r="B516" s="7">
        <v>23436</v>
      </c>
      <c r="C516" s="8">
        <v>3637.8447265625</v>
      </c>
      <c r="D516" s="6">
        <v>3250</v>
      </c>
      <c r="E516" s="8">
        <v>0</v>
      </c>
      <c r="F516" s="8">
        <v>0</v>
      </c>
      <c r="G516" s="8">
        <v>66.063217163085938</v>
      </c>
      <c r="H516" s="18">
        <v>48.047740936279297</v>
      </c>
      <c r="I516" s="6">
        <v>1</v>
      </c>
      <c r="J516" s="6">
        <v>4913.44287109375</v>
      </c>
      <c r="K516" s="6">
        <v>5556.6025390625</v>
      </c>
    </row>
    <row r="517" spans="1:11" x14ac:dyDescent="0.3">
      <c r="A517" s="6">
        <v>510</v>
      </c>
      <c r="B517" s="7">
        <v>23467</v>
      </c>
      <c r="C517" s="8">
        <v>3778.822021484375</v>
      </c>
      <c r="D517" s="6">
        <v>3250</v>
      </c>
      <c r="E517" s="8">
        <v>0</v>
      </c>
      <c r="F517" s="8">
        <v>42.314846038818359</v>
      </c>
      <c r="G517" s="8">
        <v>92.425361633300781</v>
      </c>
      <c r="H517" s="18">
        <v>49.118240356445313</v>
      </c>
      <c r="I517" s="6">
        <v>1</v>
      </c>
      <c r="J517" s="6">
        <v>4716.22119140625</v>
      </c>
      <c r="K517" s="6">
        <v>5134.79296875</v>
      </c>
    </row>
    <row r="518" spans="1:11" x14ac:dyDescent="0.3">
      <c r="A518" s="6">
        <v>511</v>
      </c>
      <c r="B518" s="7">
        <v>23497</v>
      </c>
      <c r="C518" s="8">
        <v>3746.64306640625</v>
      </c>
      <c r="D518" s="6">
        <v>6091.94580078125</v>
      </c>
      <c r="E518" s="8">
        <v>0</v>
      </c>
      <c r="F518" s="8">
        <v>316.77880859375</v>
      </c>
      <c r="G518" s="8">
        <v>564.8997802734375</v>
      </c>
      <c r="H518" s="18">
        <v>49.550472259521484</v>
      </c>
      <c r="I518" s="6">
        <v>1</v>
      </c>
      <c r="J518" s="6">
        <v>6662.533203125</v>
      </c>
      <c r="K518" s="6">
        <v>6692.1484375</v>
      </c>
    </row>
    <row r="519" spans="1:11" x14ac:dyDescent="0.3">
      <c r="A519" s="6">
        <v>512</v>
      </c>
      <c r="B519" s="7">
        <v>23528</v>
      </c>
      <c r="C519" s="8">
        <v>3609.5830078125</v>
      </c>
      <c r="D519" s="6">
        <v>6700.63427734375</v>
      </c>
      <c r="E519" s="8">
        <v>0</v>
      </c>
      <c r="F519" s="8">
        <v>332.74734497070313</v>
      </c>
      <c r="G519" s="8">
        <v>2309.841796875</v>
      </c>
      <c r="H519" s="18">
        <v>50.719039916992188</v>
      </c>
      <c r="I519" s="6">
        <v>1</v>
      </c>
      <c r="J519" s="6">
        <v>7484.80126953125</v>
      </c>
      <c r="K519" s="6">
        <v>5643.4873046875</v>
      </c>
    </row>
    <row r="520" spans="1:11" x14ac:dyDescent="0.3">
      <c r="A520" s="6">
        <v>513</v>
      </c>
      <c r="B520" s="7">
        <v>23558</v>
      </c>
      <c r="C520" s="8">
        <v>3402.844970703125</v>
      </c>
      <c r="D520" s="6">
        <v>8947.9150390625</v>
      </c>
      <c r="E520" s="8">
        <v>0</v>
      </c>
      <c r="F520" s="8">
        <v>359.117431640625</v>
      </c>
      <c r="G520" s="8">
        <v>2607.746826171875</v>
      </c>
      <c r="H520" s="18">
        <v>51.899105072021484</v>
      </c>
      <c r="I520" s="6">
        <v>0</v>
      </c>
      <c r="J520" s="6">
        <v>9319.2119140625</v>
      </c>
      <c r="K520" s="6">
        <v>6943.40087890625</v>
      </c>
    </row>
    <row r="521" spans="1:11" x14ac:dyDescent="0.3">
      <c r="A521" s="6">
        <v>514</v>
      </c>
      <c r="B521" s="7">
        <v>23589</v>
      </c>
      <c r="C521" s="8">
        <v>2786.120361328125</v>
      </c>
      <c r="D521" s="6">
        <v>14511.1044921875</v>
      </c>
      <c r="E521" s="8">
        <v>482.977294921875</v>
      </c>
      <c r="F521" s="8">
        <v>422.46829223632813</v>
      </c>
      <c r="G521" s="8">
        <v>2533.61962890625</v>
      </c>
      <c r="H521" s="18">
        <v>52.263500213623047</v>
      </c>
      <c r="I521" s="6">
        <v>0</v>
      </c>
      <c r="J521" s="6">
        <v>14154.3232421875</v>
      </c>
      <c r="K521" s="6">
        <v>11651.9462890625</v>
      </c>
    </row>
    <row r="522" spans="1:11" x14ac:dyDescent="0.3">
      <c r="A522" s="6">
        <v>515</v>
      </c>
      <c r="B522" s="7">
        <v>23620</v>
      </c>
      <c r="C522" s="8">
        <v>2533.371826171875</v>
      </c>
      <c r="D522" s="6">
        <v>8804.2744140625</v>
      </c>
      <c r="E522" s="8">
        <v>771.8970947265625</v>
      </c>
      <c r="F522" s="8">
        <v>333.94744873046875</v>
      </c>
      <c r="G522" s="8">
        <v>1917.4501953125</v>
      </c>
      <c r="H522" s="18">
        <v>54.772289276123047</v>
      </c>
      <c r="I522" s="6">
        <v>0</v>
      </c>
      <c r="J522" s="6">
        <v>8537.9619140625</v>
      </c>
      <c r="K522" s="6">
        <v>6636.60595703125</v>
      </c>
    </row>
    <row r="523" spans="1:11" x14ac:dyDescent="0.3">
      <c r="A523" s="6">
        <v>516</v>
      </c>
      <c r="B523" s="7">
        <v>23650</v>
      </c>
      <c r="C523" s="8">
        <v>2475.959716796875</v>
      </c>
      <c r="D523" s="6">
        <v>4998.412109375</v>
      </c>
      <c r="E523" s="8">
        <v>1010.355224609375</v>
      </c>
      <c r="F523" s="8">
        <v>132.52857971191406</v>
      </c>
      <c r="G523" s="8">
        <v>605.009521484375</v>
      </c>
      <c r="H523" s="18">
        <v>55.181526184082031</v>
      </c>
      <c r="I523" s="6">
        <v>1</v>
      </c>
      <c r="J523" s="6">
        <v>5223.54736328125</v>
      </c>
      <c r="K523" s="6">
        <v>4708.26123046875</v>
      </c>
    </row>
    <row r="524" spans="1:11" x14ac:dyDescent="0.3">
      <c r="A524" s="6">
        <v>517</v>
      </c>
      <c r="B524" s="7">
        <v>23681</v>
      </c>
      <c r="C524" s="8">
        <v>2412.759033203125</v>
      </c>
      <c r="D524" s="6">
        <v>5057.92138671875</v>
      </c>
      <c r="E524" s="8">
        <v>1503.157470703125</v>
      </c>
      <c r="F524" s="8">
        <v>65.606208801269531</v>
      </c>
      <c r="G524" s="8">
        <v>774.74969482421875</v>
      </c>
      <c r="H524" s="18">
        <v>55.884769439697266</v>
      </c>
      <c r="I524" s="6">
        <v>1</v>
      </c>
      <c r="J524" s="6">
        <v>5680.07421875</v>
      </c>
      <c r="K524" s="6">
        <v>5116.71533203125</v>
      </c>
    </row>
    <row r="525" spans="1:11" x14ac:dyDescent="0.3">
      <c r="A525" s="6">
        <v>518</v>
      </c>
      <c r="B525" s="7">
        <v>23711</v>
      </c>
      <c r="C525" s="8">
        <v>2550.89013671875</v>
      </c>
      <c r="D525" s="6">
        <v>3250</v>
      </c>
      <c r="E525" s="8">
        <v>1991.6624755859375</v>
      </c>
      <c r="F525" s="8">
        <v>0</v>
      </c>
      <c r="G525" s="8">
        <v>364.6805419921875</v>
      </c>
      <c r="H525" s="18">
        <v>53.835380554199219</v>
      </c>
      <c r="I525" s="6">
        <v>1</v>
      </c>
      <c r="J525" s="6">
        <v>7067.61767578125</v>
      </c>
      <c r="K525" s="6">
        <v>7681.35546875</v>
      </c>
    </row>
    <row r="526" spans="1:11" x14ac:dyDescent="0.3">
      <c r="A526" s="6">
        <v>519</v>
      </c>
      <c r="B526" s="7">
        <v>23742</v>
      </c>
      <c r="C526" s="8">
        <v>3252</v>
      </c>
      <c r="D526" s="6">
        <v>19662.951171875</v>
      </c>
      <c r="E526" s="8">
        <v>0</v>
      </c>
      <c r="F526" s="8">
        <v>0</v>
      </c>
      <c r="G526" s="8">
        <v>183.77688598632813</v>
      </c>
      <c r="H526" s="18">
        <v>49.306880950927734</v>
      </c>
      <c r="I526" s="6">
        <v>1</v>
      </c>
      <c r="J526" s="6">
        <v>34637.6171875</v>
      </c>
      <c r="K526" s="6">
        <v>42223.2578125</v>
      </c>
    </row>
    <row r="527" spans="1:11" x14ac:dyDescent="0.3">
      <c r="A527" s="6">
        <v>520</v>
      </c>
      <c r="B527" s="7">
        <v>23773</v>
      </c>
      <c r="C527" s="8">
        <v>3368</v>
      </c>
      <c r="D527" s="6">
        <v>24981.30078125</v>
      </c>
      <c r="E527" s="8">
        <v>0</v>
      </c>
      <c r="F527" s="8">
        <v>0</v>
      </c>
      <c r="G527" s="8">
        <v>74.81182861328125</v>
      </c>
      <c r="H527" s="18">
        <v>45.437679290771484</v>
      </c>
      <c r="I527" s="6">
        <v>1</v>
      </c>
      <c r="J527" s="6">
        <v>36836.95703125</v>
      </c>
      <c r="K527" s="6">
        <v>41452.23828125</v>
      </c>
    </row>
    <row r="528" spans="1:11" x14ac:dyDescent="0.3">
      <c r="A528" s="6">
        <v>521</v>
      </c>
      <c r="B528" s="7">
        <v>23801</v>
      </c>
      <c r="C528" s="8">
        <v>3770.85498046875</v>
      </c>
      <c r="D528" s="6">
        <v>3250</v>
      </c>
      <c r="E528" s="8">
        <v>0</v>
      </c>
      <c r="F528" s="8">
        <v>0</v>
      </c>
      <c r="G528" s="8">
        <v>68.422615051269531</v>
      </c>
      <c r="H528" s="18">
        <v>45.212921142578125</v>
      </c>
      <c r="I528" s="6">
        <v>1</v>
      </c>
      <c r="J528" s="6">
        <v>6803.578125</v>
      </c>
      <c r="K528" s="6">
        <v>8463.2509765625</v>
      </c>
    </row>
    <row r="529" spans="1:11" x14ac:dyDescent="0.3">
      <c r="A529" s="6">
        <v>522</v>
      </c>
      <c r="B529" s="7">
        <v>23832</v>
      </c>
      <c r="C529" s="8">
        <v>3980.13623046875</v>
      </c>
      <c r="D529" s="6">
        <v>3250</v>
      </c>
      <c r="E529" s="8">
        <v>0</v>
      </c>
      <c r="F529" s="8">
        <v>37.534275054931641</v>
      </c>
      <c r="G529" s="8">
        <v>76.871353149414063</v>
      </c>
      <c r="H529" s="18">
        <v>46.789493560791016</v>
      </c>
      <c r="I529" s="6">
        <v>1</v>
      </c>
      <c r="J529" s="6">
        <v>5574.0615234375</v>
      </c>
      <c r="K529" s="6">
        <v>6724.7451171875</v>
      </c>
    </row>
    <row r="530" spans="1:11" x14ac:dyDescent="0.3">
      <c r="A530" s="6">
        <v>523</v>
      </c>
      <c r="B530" s="7">
        <v>23862</v>
      </c>
      <c r="C530" s="8">
        <v>4500</v>
      </c>
      <c r="D530" s="6">
        <v>6748.35888671875</v>
      </c>
      <c r="E530" s="8">
        <v>0</v>
      </c>
      <c r="F530" s="8">
        <v>15.99506664276123</v>
      </c>
      <c r="G530" s="8">
        <v>409.699951171875</v>
      </c>
      <c r="H530" s="18">
        <v>46.947509765625</v>
      </c>
      <c r="I530" s="6">
        <v>1</v>
      </c>
      <c r="J530" s="6">
        <v>16820.390625</v>
      </c>
      <c r="K530" s="6">
        <v>20076.33203125</v>
      </c>
    </row>
    <row r="531" spans="1:11" x14ac:dyDescent="0.3">
      <c r="A531" s="6">
        <v>524</v>
      </c>
      <c r="B531" s="7">
        <v>23893</v>
      </c>
      <c r="C531" s="8">
        <v>4530.5419921875</v>
      </c>
      <c r="D531" s="6">
        <v>6685.54638671875</v>
      </c>
      <c r="E531" s="8">
        <v>0</v>
      </c>
      <c r="F531" s="8">
        <v>633.97503662109375</v>
      </c>
      <c r="G531" s="8">
        <v>2257.9951171875</v>
      </c>
      <c r="H531" s="18">
        <v>49.095413208007813</v>
      </c>
      <c r="I531" s="6">
        <v>1</v>
      </c>
      <c r="J531" s="6">
        <v>8036.00634765625</v>
      </c>
      <c r="K531" s="6">
        <v>7203.86279296875</v>
      </c>
    </row>
    <row r="532" spans="1:11" x14ac:dyDescent="0.3">
      <c r="A532" s="6">
        <v>525</v>
      </c>
      <c r="B532" s="7">
        <v>23923</v>
      </c>
      <c r="C532" s="8">
        <v>4283.341796875</v>
      </c>
      <c r="D532" s="6">
        <v>8087.30908203125</v>
      </c>
      <c r="E532" s="8">
        <v>0</v>
      </c>
      <c r="F532" s="8">
        <v>838.3341064453125</v>
      </c>
      <c r="G532" s="8">
        <v>2334.416015625</v>
      </c>
      <c r="H532" s="18">
        <v>49.536151885986328</v>
      </c>
      <c r="I532" s="6">
        <v>1</v>
      </c>
      <c r="J532" s="6">
        <v>8344.490234375</v>
      </c>
      <c r="K532" s="6">
        <v>6618.23388671875</v>
      </c>
    </row>
    <row r="533" spans="1:11" x14ac:dyDescent="0.3">
      <c r="A533" s="6">
        <v>526</v>
      </c>
      <c r="B533" s="7">
        <v>23954</v>
      </c>
      <c r="C533" s="8">
        <v>3588.650146484375</v>
      </c>
      <c r="D533" s="6">
        <v>16000</v>
      </c>
      <c r="E533" s="8">
        <v>672.29150390625</v>
      </c>
      <c r="F533" s="8">
        <v>922.08319091796875</v>
      </c>
      <c r="G533" s="8">
        <v>2612.073486328125</v>
      </c>
      <c r="H533" s="18">
        <v>49.443107604980469</v>
      </c>
      <c r="I533" s="6">
        <v>0</v>
      </c>
      <c r="J533" s="6">
        <v>15474.9150390625</v>
      </c>
      <c r="K533" s="6">
        <v>13032.15625</v>
      </c>
    </row>
    <row r="534" spans="1:11" x14ac:dyDescent="0.3">
      <c r="A534" s="6">
        <v>527</v>
      </c>
      <c r="B534" s="7">
        <v>23985</v>
      </c>
      <c r="C534" s="8">
        <v>3347.586669921875</v>
      </c>
      <c r="D534" s="6">
        <v>8953.3994140625</v>
      </c>
      <c r="E534" s="8">
        <v>0</v>
      </c>
      <c r="F534" s="8">
        <v>613.43536376953125</v>
      </c>
      <c r="G534" s="8">
        <v>1869.1873779296875</v>
      </c>
      <c r="H534" s="18">
        <v>52.365798950195313</v>
      </c>
      <c r="I534" s="6">
        <v>1</v>
      </c>
      <c r="J534" s="6">
        <v>8983.7109375</v>
      </c>
      <c r="K534" s="6">
        <v>7308.95703125</v>
      </c>
    </row>
    <row r="535" spans="1:11" x14ac:dyDescent="0.3">
      <c r="A535" s="6">
        <v>528</v>
      </c>
      <c r="B535" s="7">
        <v>24015</v>
      </c>
      <c r="C535" s="8">
        <v>2849.32861328125</v>
      </c>
      <c r="D535" s="6">
        <v>13588.3642578125</v>
      </c>
      <c r="E535" s="8">
        <v>0</v>
      </c>
      <c r="F535" s="8">
        <v>142.77409362792969</v>
      </c>
      <c r="G535" s="8">
        <v>632.9815673828125</v>
      </c>
      <c r="H535" s="18">
        <v>49.935207366943359</v>
      </c>
      <c r="I535" s="6">
        <v>0</v>
      </c>
      <c r="J535" s="6">
        <v>13775.990234375</v>
      </c>
      <c r="K535" s="6">
        <v>13266.0615234375</v>
      </c>
    </row>
    <row r="536" spans="1:11" x14ac:dyDescent="0.3">
      <c r="A536" s="6">
        <v>529</v>
      </c>
      <c r="B536" s="7">
        <v>24046</v>
      </c>
      <c r="C536" s="8">
        <v>2624.799560546875</v>
      </c>
      <c r="D536" s="6">
        <v>8497.025390625</v>
      </c>
      <c r="E536" s="8">
        <v>958.20550537109375</v>
      </c>
      <c r="F536" s="8">
        <v>180.83197021484375</v>
      </c>
      <c r="G536" s="8">
        <v>852.70172119140625</v>
      </c>
      <c r="H536" s="18">
        <v>53.821792602539063</v>
      </c>
      <c r="I536" s="6">
        <v>0</v>
      </c>
      <c r="J536" s="6">
        <v>8823.5712890625</v>
      </c>
      <c r="K536" s="6">
        <v>8156.56640625</v>
      </c>
    </row>
    <row r="537" spans="1:11" x14ac:dyDescent="0.3">
      <c r="A537" s="6">
        <v>530</v>
      </c>
      <c r="B537" s="7">
        <v>24076</v>
      </c>
      <c r="C537" s="8">
        <v>2786.249267578125</v>
      </c>
      <c r="D537" s="6">
        <v>7293.23974609375</v>
      </c>
      <c r="E537" s="8">
        <v>425.12249755859375</v>
      </c>
      <c r="F537" s="8">
        <v>0</v>
      </c>
      <c r="G537" s="8">
        <v>351.23611450195313</v>
      </c>
      <c r="H537" s="18">
        <v>54.4970703125</v>
      </c>
      <c r="I537" s="6">
        <v>1</v>
      </c>
      <c r="J537" s="6">
        <v>11324.505859375</v>
      </c>
      <c r="K537" s="6">
        <v>11954.9140625</v>
      </c>
    </row>
    <row r="538" spans="1:11" x14ac:dyDescent="0.3">
      <c r="A538" s="6">
        <v>531</v>
      </c>
      <c r="B538" s="7">
        <v>24107</v>
      </c>
      <c r="C538" s="8">
        <v>2932.43115234375</v>
      </c>
      <c r="D538" s="6">
        <v>3738.669921875</v>
      </c>
      <c r="E538" s="8">
        <v>0</v>
      </c>
      <c r="F538" s="8">
        <v>0</v>
      </c>
      <c r="G538" s="8">
        <v>232.56719970703125</v>
      </c>
      <c r="H538" s="18">
        <v>49.557487487792969</v>
      </c>
      <c r="I538" s="6">
        <v>1</v>
      </c>
      <c r="J538" s="6">
        <v>5898.12158203125</v>
      </c>
      <c r="K538" s="6">
        <v>6269.47265625</v>
      </c>
    </row>
    <row r="539" spans="1:11" x14ac:dyDescent="0.3">
      <c r="A539" s="6">
        <v>532</v>
      </c>
      <c r="B539" s="7">
        <v>24138</v>
      </c>
      <c r="C539" s="8">
        <v>3650.55712890625</v>
      </c>
      <c r="D539" s="6">
        <v>3250</v>
      </c>
      <c r="E539" s="8">
        <v>0</v>
      </c>
      <c r="F539" s="8">
        <v>0</v>
      </c>
      <c r="G539" s="8">
        <v>78.06451416015625</v>
      </c>
      <c r="H539" s="18">
        <v>46.866031646728516</v>
      </c>
      <c r="I539" s="6">
        <v>1</v>
      </c>
      <c r="J539" s="6">
        <v>9516.1162109375</v>
      </c>
      <c r="K539" s="6">
        <v>11145.939453125</v>
      </c>
    </row>
    <row r="540" spans="1:11" x14ac:dyDescent="0.3">
      <c r="A540" s="6">
        <v>533</v>
      </c>
      <c r="B540" s="7">
        <v>24166</v>
      </c>
      <c r="C540" s="8">
        <v>4037</v>
      </c>
      <c r="D540" s="6">
        <v>5296.6943359375</v>
      </c>
      <c r="E540" s="8">
        <v>0</v>
      </c>
      <c r="F540" s="8">
        <v>0</v>
      </c>
      <c r="G540" s="8">
        <v>68.422615051269531</v>
      </c>
      <c r="H540" s="18">
        <v>45.862480163574219</v>
      </c>
      <c r="I540" s="6">
        <v>1</v>
      </c>
      <c r="J540" s="6">
        <v>10725.126953125</v>
      </c>
      <c r="K540" s="6">
        <v>11815.0419921875</v>
      </c>
    </row>
    <row r="541" spans="1:11" x14ac:dyDescent="0.3">
      <c r="A541" s="6">
        <v>534</v>
      </c>
      <c r="B541" s="7">
        <v>24197</v>
      </c>
      <c r="C541" s="8">
        <v>4229</v>
      </c>
      <c r="D541" s="6">
        <v>10675.6552734375</v>
      </c>
      <c r="E541" s="8">
        <v>0</v>
      </c>
      <c r="F541" s="8">
        <v>21.533227920532227</v>
      </c>
      <c r="G541" s="8">
        <v>53.54034423828125</v>
      </c>
      <c r="H541" s="18">
        <v>46.479030609130859</v>
      </c>
      <c r="I541" s="6">
        <v>1</v>
      </c>
      <c r="J541" s="6">
        <v>14599.337890625</v>
      </c>
      <c r="K541" s="6">
        <v>16096.021484375</v>
      </c>
    </row>
    <row r="542" spans="1:11" x14ac:dyDescent="0.3">
      <c r="A542" s="6">
        <v>535</v>
      </c>
      <c r="B542" s="7">
        <v>24227</v>
      </c>
      <c r="C542" s="8">
        <v>4552</v>
      </c>
      <c r="D542" s="6">
        <v>4292.888671875</v>
      </c>
      <c r="E542" s="8">
        <v>0</v>
      </c>
      <c r="F542" s="8">
        <v>529.82769775390625</v>
      </c>
      <c r="G542" s="8">
        <v>552.3431396484375</v>
      </c>
      <c r="H542" s="18">
        <v>49.869205474853516</v>
      </c>
      <c r="I542" s="6">
        <v>1</v>
      </c>
      <c r="J542" s="6">
        <v>6198.8759765625</v>
      </c>
      <c r="K542" s="6">
        <v>7492.77099609375</v>
      </c>
    </row>
    <row r="543" spans="1:11" x14ac:dyDescent="0.3">
      <c r="A543" s="6">
        <v>536</v>
      </c>
      <c r="B543" s="7">
        <v>24258</v>
      </c>
      <c r="C543" s="8">
        <v>4347.7724609375</v>
      </c>
      <c r="D543" s="6">
        <v>8730.6591796875</v>
      </c>
      <c r="E543" s="8">
        <v>0</v>
      </c>
      <c r="F543" s="8">
        <v>640.74652099609375</v>
      </c>
      <c r="G543" s="8">
        <v>2340.425048828125</v>
      </c>
      <c r="H543" s="18">
        <v>49.472553253173828</v>
      </c>
      <c r="I543" s="6">
        <v>0</v>
      </c>
      <c r="J543" s="6">
        <v>8721.1650390625</v>
      </c>
      <c r="K543" s="6">
        <v>7111.81884765625</v>
      </c>
    </row>
    <row r="544" spans="1:11" x14ac:dyDescent="0.3">
      <c r="A544" s="6">
        <v>537</v>
      </c>
      <c r="B544" s="7">
        <v>24288</v>
      </c>
      <c r="C544" s="8">
        <v>3800.234375</v>
      </c>
      <c r="D544" s="6">
        <v>13508.86328125</v>
      </c>
      <c r="E544" s="8">
        <v>0</v>
      </c>
      <c r="F544" s="8">
        <v>770.628173828125</v>
      </c>
      <c r="G544" s="8">
        <v>2661.6142578125</v>
      </c>
      <c r="H544" s="18">
        <v>49.86444091796875</v>
      </c>
      <c r="I544" s="6">
        <v>0</v>
      </c>
      <c r="J544" s="6">
        <v>12997.8046875</v>
      </c>
      <c r="K544" s="6">
        <v>10490.4150390625</v>
      </c>
    </row>
    <row r="545" spans="1:11" x14ac:dyDescent="0.3">
      <c r="A545" s="6">
        <v>538</v>
      </c>
      <c r="B545" s="7">
        <v>24319</v>
      </c>
      <c r="C545" s="8">
        <v>3119.609375</v>
      </c>
      <c r="D545" s="6">
        <v>16000</v>
      </c>
      <c r="E545" s="8">
        <v>16.888114929199219</v>
      </c>
      <c r="F545" s="8">
        <v>838.9403076171875</v>
      </c>
      <c r="G545" s="8">
        <v>2521.163330078125</v>
      </c>
      <c r="H545" s="18">
        <v>50.834873199462891</v>
      </c>
      <c r="I545" s="6">
        <v>0</v>
      </c>
      <c r="J545" s="6">
        <v>15146.330078125</v>
      </c>
      <c r="K545" s="6">
        <v>12670.03515625</v>
      </c>
    </row>
    <row r="546" spans="1:11" x14ac:dyDescent="0.3">
      <c r="A546" s="6">
        <v>539</v>
      </c>
      <c r="B546" s="7">
        <v>24350</v>
      </c>
      <c r="C546" s="8">
        <v>2694.896240234375</v>
      </c>
      <c r="D546" s="6">
        <v>12764.5205078125</v>
      </c>
      <c r="E546" s="8">
        <v>442.35452270507813</v>
      </c>
      <c r="F546" s="8">
        <v>669.7724609375</v>
      </c>
      <c r="G546" s="8">
        <v>2083.0712890625</v>
      </c>
      <c r="H546" s="18">
        <v>52.0478515625</v>
      </c>
      <c r="I546" s="6">
        <v>0</v>
      </c>
      <c r="J546" s="6">
        <v>12246.02734375</v>
      </c>
      <c r="K546" s="6">
        <v>10181.5439453125</v>
      </c>
    </row>
    <row r="547" spans="1:11" x14ac:dyDescent="0.3">
      <c r="A547" s="6">
        <v>540</v>
      </c>
      <c r="B547" s="7">
        <v>24380</v>
      </c>
      <c r="C547" s="8">
        <v>2583.3671875</v>
      </c>
      <c r="D547" s="6">
        <v>7452.11474609375</v>
      </c>
      <c r="E547" s="8">
        <v>418.4725341796875</v>
      </c>
      <c r="F547" s="8">
        <v>109.99484252929688</v>
      </c>
      <c r="G547" s="8">
        <v>630.3028564453125</v>
      </c>
      <c r="H547" s="18">
        <v>52.727024078369141</v>
      </c>
      <c r="I547" s="6">
        <v>1</v>
      </c>
      <c r="J547" s="6">
        <v>7704.9541015625</v>
      </c>
      <c r="K547" s="6">
        <v>7116.830078125</v>
      </c>
    </row>
    <row r="548" spans="1:11" x14ac:dyDescent="0.3">
      <c r="A548" s="6">
        <v>541</v>
      </c>
      <c r="B548" s="7">
        <v>24411</v>
      </c>
      <c r="C548" s="8">
        <v>2456.68017578125</v>
      </c>
      <c r="D548" s="6">
        <v>6169.3076171875</v>
      </c>
      <c r="E548" s="8">
        <v>1319.8214111328125</v>
      </c>
      <c r="F548" s="8">
        <v>172.33566284179688</v>
      </c>
      <c r="G548" s="8">
        <v>847.0780029296875</v>
      </c>
      <c r="H548" s="18">
        <v>54.833747863769531</v>
      </c>
      <c r="I548" s="6">
        <v>0</v>
      </c>
      <c r="J548" s="6">
        <v>6351.53759765625</v>
      </c>
      <c r="K548" s="6">
        <v>5637.31982421875</v>
      </c>
    </row>
    <row r="549" spans="1:11" x14ac:dyDescent="0.3">
      <c r="A549" s="6">
        <v>542</v>
      </c>
      <c r="B549" s="7">
        <v>24441</v>
      </c>
      <c r="C549" s="8">
        <v>2907.746337890625</v>
      </c>
      <c r="D549" s="6">
        <v>3250</v>
      </c>
      <c r="E549" s="8">
        <v>1161.37109375</v>
      </c>
      <c r="F549" s="8">
        <v>0</v>
      </c>
      <c r="G549" s="8">
        <v>322.66665649414063</v>
      </c>
      <c r="H549" s="18">
        <v>54.643611907958984</v>
      </c>
      <c r="I549" s="6">
        <v>1</v>
      </c>
      <c r="J549" s="6">
        <v>6249.8759765625</v>
      </c>
      <c r="K549" s="6">
        <v>7151.88720703125</v>
      </c>
    </row>
    <row r="550" spans="1:11" x14ac:dyDescent="0.3">
      <c r="A550" s="6">
        <v>543</v>
      </c>
      <c r="B550" s="7">
        <v>24472</v>
      </c>
      <c r="C550" s="8">
        <v>3335</v>
      </c>
      <c r="D550" s="6">
        <v>9918.140625</v>
      </c>
      <c r="E550" s="8">
        <v>0</v>
      </c>
      <c r="F550" s="8">
        <v>0</v>
      </c>
      <c r="G550" s="8">
        <v>195.16128540039063</v>
      </c>
      <c r="H550" s="18">
        <v>50.311820983886719</v>
      </c>
      <c r="I550" s="6">
        <v>1</v>
      </c>
      <c r="J550" s="6">
        <v>15715.1318359375</v>
      </c>
      <c r="K550" s="6">
        <v>17726.74609375</v>
      </c>
    </row>
    <row r="551" spans="1:11" x14ac:dyDescent="0.3">
      <c r="A551" s="6">
        <v>544</v>
      </c>
      <c r="B551" s="7">
        <v>24503</v>
      </c>
      <c r="C551" s="8">
        <v>3551</v>
      </c>
      <c r="D551" s="6">
        <v>10611.583984375</v>
      </c>
      <c r="E551" s="8">
        <v>0</v>
      </c>
      <c r="F551" s="8">
        <v>0</v>
      </c>
      <c r="G551" s="8">
        <v>74.81182861328125</v>
      </c>
      <c r="H551" s="18">
        <v>47.007904052734375</v>
      </c>
      <c r="I551" s="6">
        <v>1</v>
      </c>
      <c r="J551" s="6">
        <v>21111.017578125</v>
      </c>
      <c r="K551" s="6">
        <v>24165.236328125</v>
      </c>
    </row>
    <row r="552" spans="1:11" x14ac:dyDescent="0.3">
      <c r="A552" s="6">
        <v>545</v>
      </c>
      <c r="B552" s="7">
        <v>24531</v>
      </c>
      <c r="C552" s="8">
        <v>3920</v>
      </c>
      <c r="D552" s="6">
        <v>8073.5185546875</v>
      </c>
      <c r="E552" s="8">
        <v>0</v>
      </c>
      <c r="F552" s="8">
        <v>0</v>
      </c>
      <c r="G552" s="8">
        <v>68.422615051269531</v>
      </c>
      <c r="H552" s="18">
        <v>46.132705688476563</v>
      </c>
      <c r="I552" s="6">
        <v>1</v>
      </c>
      <c r="J552" s="6">
        <v>13095.6923828125</v>
      </c>
      <c r="K552" s="6">
        <v>14912.58203125</v>
      </c>
    </row>
    <row r="553" spans="1:11" x14ac:dyDescent="0.3">
      <c r="A553" s="6">
        <v>546</v>
      </c>
      <c r="B553" s="7">
        <v>24562</v>
      </c>
      <c r="C553" s="8">
        <v>4033</v>
      </c>
      <c r="D553" s="6">
        <v>14069.04296875</v>
      </c>
      <c r="E553" s="8">
        <v>0</v>
      </c>
      <c r="F553" s="8">
        <v>1.6358222961425781</v>
      </c>
      <c r="G553" s="8">
        <v>19.516128540039063</v>
      </c>
      <c r="H553" s="18">
        <v>46.246219635009766</v>
      </c>
      <c r="I553" s="6">
        <v>1</v>
      </c>
      <c r="J553" s="6">
        <v>18896.494140625</v>
      </c>
      <c r="K553" s="6">
        <v>20995.642578125</v>
      </c>
    </row>
    <row r="554" spans="1:11" x14ac:dyDescent="0.3">
      <c r="A554" s="6">
        <v>547</v>
      </c>
      <c r="B554" s="7">
        <v>24592</v>
      </c>
      <c r="C554" s="8">
        <v>4479</v>
      </c>
      <c r="D554" s="6">
        <v>10209.6708984375</v>
      </c>
      <c r="E554" s="8">
        <v>0</v>
      </c>
      <c r="F554" s="8">
        <v>39.870414733886719</v>
      </c>
      <c r="G554" s="8">
        <v>237.42314147949219</v>
      </c>
      <c r="H554" s="18">
        <v>47.143501281738281</v>
      </c>
      <c r="I554" s="6">
        <v>1</v>
      </c>
      <c r="J554" s="6">
        <v>18042.96484375</v>
      </c>
      <c r="K554" s="6">
        <v>19986.216796875</v>
      </c>
    </row>
    <row r="555" spans="1:11" x14ac:dyDescent="0.3">
      <c r="A555" s="6">
        <v>548</v>
      </c>
      <c r="B555" s="7">
        <v>24623</v>
      </c>
      <c r="C555" s="8">
        <v>4552</v>
      </c>
      <c r="D555" s="6">
        <v>12507.45703125</v>
      </c>
      <c r="E555" s="8">
        <v>0</v>
      </c>
      <c r="F555" s="8">
        <v>634.8349609375</v>
      </c>
      <c r="G555" s="8">
        <v>2252.28564453125</v>
      </c>
      <c r="H555" s="18">
        <v>48.993885040283203</v>
      </c>
      <c r="I555" s="6">
        <v>1</v>
      </c>
      <c r="J555" s="6">
        <v>15740.0849609375</v>
      </c>
      <c r="K555" s="6">
        <v>16551.072265625</v>
      </c>
    </row>
    <row r="556" spans="1:11" x14ac:dyDescent="0.3">
      <c r="A556" s="6">
        <v>549</v>
      </c>
      <c r="B556" s="7">
        <v>24653</v>
      </c>
      <c r="C556" s="8">
        <v>4500</v>
      </c>
      <c r="D556" s="6">
        <v>8491.80078125</v>
      </c>
      <c r="E556" s="8">
        <v>0</v>
      </c>
      <c r="F556" s="8">
        <v>937.7822265625</v>
      </c>
      <c r="G556" s="8">
        <v>2001.16455078125</v>
      </c>
      <c r="H556" s="18">
        <v>51.173347473144531</v>
      </c>
      <c r="I556" s="6">
        <v>1</v>
      </c>
      <c r="J556" s="6">
        <v>9357.9833984375</v>
      </c>
      <c r="K556" s="6">
        <v>8940.00390625</v>
      </c>
    </row>
    <row r="557" spans="1:11" x14ac:dyDescent="0.3">
      <c r="A557" s="6">
        <v>550</v>
      </c>
      <c r="B557" s="7">
        <v>24684</v>
      </c>
      <c r="C557" s="8">
        <v>4019.93115234375</v>
      </c>
      <c r="D557" s="6">
        <v>11558.0478515625</v>
      </c>
      <c r="E557" s="8">
        <v>0</v>
      </c>
      <c r="F557" s="8">
        <v>1366.88818359375</v>
      </c>
      <c r="G557" s="8">
        <v>2516.8701171875</v>
      </c>
      <c r="H557" s="18">
        <v>52.531658172607422</v>
      </c>
      <c r="I557" s="6">
        <v>1</v>
      </c>
      <c r="J557" s="6">
        <v>10412.998046875</v>
      </c>
      <c r="K557" s="6">
        <v>8211.71484375</v>
      </c>
    </row>
    <row r="558" spans="1:11" x14ac:dyDescent="0.3">
      <c r="A558" s="6">
        <v>551</v>
      </c>
      <c r="B558" s="7">
        <v>24715</v>
      </c>
      <c r="C558" s="8">
        <v>3698.1318359375</v>
      </c>
      <c r="D558" s="6">
        <v>10058.3798828125</v>
      </c>
      <c r="E558" s="8">
        <v>0</v>
      </c>
      <c r="F558" s="8">
        <v>1091.318359375</v>
      </c>
      <c r="G558" s="8">
        <v>2128.03125</v>
      </c>
      <c r="H558" s="18">
        <v>52.818534851074219</v>
      </c>
      <c r="I558" s="6">
        <v>0</v>
      </c>
      <c r="J558" s="6">
        <v>8761.7802734375</v>
      </c>
      <c r="K558" s="6">
        <v>6722.80908203125</v>
      </c>
    </row>
    <row r="559" spans="1:11" x14ac:dyDescent="0.3">
      <c r="A559" s="6">
        <v>552</v>
      </c>
      <c r="B559" s="7">
        <v>24745</v>
      </c>
      <c r="C559" s="8">
        <v>3126.86767578125</v>
      </c>
      <c r="D559" s="6">
        <v>15723.04296875</v>
      </c>
      <c r="E559" s="8">
        <v>0</v>
      </c>
      <c r="F559" s="8">
        <v>298.46490478515625</v>
      </c>
      <c r="G559" s="8">
        <v>627.62408447265625</v>
      </c>
      <c r="H559" s="18">
        <v>51.500373840332031</v>
      </c>
      <c r="I559" s="6">
        <v>0</v>
      </c>
      <c r="J559" s="6">
        <v>15161.00390625</v>
      </c>
      <c r="K559" s="6">
        <v>14645.9296875</v>
      </c>
    </row>
    <row r="560" spans="1:11" x14ac:dyDescent="0.3">
      <c r="A560" s="6">
        <v>553</v>
      </c>
      <c r="B560" s="7">
        <v>24776</v>
      </c>
      <c r="C560" s="8">
        <v>3155.692626953125</v>
      </c>
      <c r="D560" s="6">
        <v>5283.41845703125</v>
      </c>
      <c r="E560" s="8">
        <v>302.17996215820313</v>
      </c>
      <c r="F560" s="8">
        <v>220.05780029296875</v>
      </c>
      <c r="G560" s="8">
        <v>845.2410888671875</v>
      </c>
      <c r="H560" s="18">
        <v>54.524124145507813</v>
      </c>
      <c r="I560" s="6">
        <v>0</v>
      </c>
      <c r="J560" s="6">
        <v>5242.39404296875</v>
      </c>
      <c r="K560" s="6">
        <v>4639.33203125</v>
      </c>
    </row>
    <row r="561" spans="1:11" x14ac:dyDescent="0.3">
      <c r="A561" s="6">
        <v>554</v>
      </c>
      <c r="B561" s="7">
        <v>24806</v>
      </c>
      <c r="C561" s="8">
        <v>2883.573486328125</v>
      </c>
      <c r="D561" s="6">
        <v>8763.396484375</v>
      </c>
      <c r="E561" s="8">
        <v>1725.1964111328125</v>
      </c>
      <c r="F561" s="8">
        <v>16.975309371948242</v>
      </c>
      <c r="G561" s="8">
        <v>500.8055419921875</v>
      </c>
      <c r="H561" s="18">
        <v>55.775627136230469</v>
      </c>
      <c r="I561" s="6">
        <v>0</v>
      </c>
      <c r="J561" s="6">
        <v>9828.9453125</v>
      </c>
      <c r="K561" s="6">
        <v>9687.4091796875</v>
      </c>
    </row>
    <row r="562" spans="1:11" x14ac:dyDescent="0.3">
      <c r="A562" s="6">
        <v>555</v>
      </c>
      <c r="B562" s="7">
        <v>24837</v>
      </c>
      <c r="C562" s="8">
        <v>2982.909912109375</v>
      </c>
      <c r="D562" s="6">
        <v>4275.11181640625</v>
      </c>
      <c r="E562" s="8">
        <v>0</v>
      </c>
      <c r="F562" s="8">
        <v>0</v>
      </c>
      <c r="G562" s="8">
        <v>268.34677124023438</v>
      </c>
      <c r="H562" s="18">
        <v>51.639698028564453</v>
      </c>
      <c r="I562" s="6">
        <v>1</v>
      </c>
      <c r="J562" s="6">
        <v>6485.005859375</v>
      </c>
      <c r="K562" s="6">
        <v>6806.7568359375</v>
      </c>
    </row>
    <row r="563" spans="1:11" x14ac:dyDescent="0.3">
      <c r="A563" s="6">
        <v>556</v>
      </c>
      <c r="B563" s="7">
        <v>24868</v>
      </c>
      <c r="C563" s="8">
        <v>3318.068359375</v>
      </c>
      <c r="D563" s="6">
        <v>3250</v>
      </c>
      <c r="E563" s="8">
        <v>0</v>
      </c>
      <c r="F563" s="8">
        <v>0</v>
      </c>
      <c r="G563" s="8">
        <v>74.81182861328125</v>
      </c>
      <c r="H563" s="18">
        <v>48.592559814453125</v>
      </c>
      <c r="I563" s="6">
        <v>1</v>
      </c>
      <c r="J563" s="6">
        <v>8961.494140625</v>
      </c>
      <c r="K563" s="6">
        <v>11062.6162109375</v>
      </c>
    </row>
    <row r="564" spans="1:11" x14ac:dyDescent="0.3">
      <c r="A564" s="6">
        <v>557</v>
      </c>
      <c r="B564" s="7">
        <v>24897</v>
      </c>
      <c r="C564" s="8">
        <v>3654</v>
      </c>
      <c r="D564" s="6">
        <v>12012.3759765625</v>
      </c>
      <c r="E564" s="8">
        <v>0</v>
      </c>
      <c r="F564" s="8">
        <v>0</v>
      </c>
      <c r="G564" s="8">
        <v>66.063217163085938</v>
      </c>
      <c r="H564" s="18">
        <v>47.311164855957031</v>
      </c>
      <c r="I564" s="6">
        <v>1</v>
      </c>
      <c r="J564" s="6">
        <v>22301.833984375</v>
      </c>
      <c r="K564" s="6">
        <v>25664.953125</v>
      </c>
    </row>
    <row r="565" spans="1:11" x14ac:dyDescent="0.3">
      <c r="A565" s="6">
        <v>558</v>
      </c>
      <c r="B565" s="7">
        <v>24928</v>
      </c>
      <c r="C565" s="8">
        <v>4187.45703125</v>
      </c>
      <c r="D565" s="6">
        <v>3250</v>
      </c>
      <c r="E565" s="8">
        <v>0</v>
      </c>
      <c r="F565" s="8">
        <v>1.0125044584274292</v>
      </c>
      <c r="G565" s="8">
        <v>19.516128540039063</v>
      </c>
      <c r="H565" s="18">
        <v>49.740390777587891</v>
      </c>
      <c r="I565" s="6">
        <v>1</v>
      </c>
      <c r="J565" s="6">
        <v>7855.3662109375</v>
      </c>
      <c r="K565" s="6">
        <v>9436.1796875</v>
      </c>
    </row>
    <row r="566" spans="1:11" x14ac:dyDescent="0.3">
      <c r="A566" s="6">
        <v>559</v>
      </c>
      <c r="B566" s="7">
        <v>24958</v>
      </c>
      <c r="C566" s="8">
        <v>4387.3369140625</v>
      </c>
      <c r="D566" s="6">
        <v>3250</v>
      </c>
      <c r="E566" s="8">
        <v>0</v>
      </c>
      <c r="F566" s="8">
        <v>372.8587646484375</v>
      </c>
      <c r="G566" s="8">
        <v>480.01702880859375</v>
      </c>
      <c r="H566" s="18">
        <v>51.910366058349609</v>
      </c>
      <c r="I566" s="6">
        <v>1</v>
      </c>
      <c r="J566" s="6">
        <v>4556.943359375</v>
      </c>
      <c r="K566" s="6">
        <v>5012.0751953125</v>
      </c>
    </row>
    <row r="567" spans="1:11" x14ac:dyDescent="0.3">
      <c r="A567" s="6">
        <v>560</v>
      </c>
      <c r="B567" s="7">
        <v>24989</v>
      </c>
      <c r="C567" s="8">
        <v>4254.63671875</v>
      </c>
      <c r="D567" s="6">
        <v>7092.59228515625</v>
      </c>
      <c r="E567" s="8">
        <v>0</v>
      </c>
      <c r="F567" s="8">
        <v>578.8367919921875</v>
      </c>
      <c r="G567" s="8">
        <v>2198.37158203125</v>
      </c>
      <c r="H567" s="18">
        <v>51.028709411621094</v>
      </c>
      <c r="I567" s="6">
        <v>1</v>
      </c>
      <c r="J567" s="6">
        <v>7636.34228515625</v>
      </c>
      <c r="K567" s="6">
        <v>5977.74169921875</v>
      </c>
    </row>
    <row r="568" spans="1:11" x14ac:dyDescent="0.3">
      <c r="A568" s="6">
        <v>561</v>
      </c>
      <c r="B568" s="7">
        <v>25019</v>
      </c>
      <c r="C568" s="8">
        <v>3698.470458984375</v>
      </c>
      <c r="D568" s="6">
        <v>13090.2783203125</v>
      </c>
      <c r="E568" s="8">
        <v>0</v>
      </c>
      <c r="F568" s="8">
        <v>708.03900146484375</v>
      </c>
      <c r="G568" s="8">
        <v>2497.662353515625</v>
      </c>
      <c r="H568" s="18">
        <v>50.739017486572266</v>
      </c>
      <c r="I568" s="6">
        <v>0</v>
      </c>
      <c r="J568" s="6">
        <v>12742.6494140625</v>
      </c>
      <c r="K568" s="6">
        <v>10444.7353515625</v>
      </c>
    </row>
    <row r="569" spans="1:11" x14ac:dyDescent="0.3">
      <c r="A569" s="6">
        <v>562</v>
      </c>
      <c r="B569" s="7">
        <v>25050</v>
      </c>
      <c r="C569" s="8">
        <v>3020.87158203125</v>
      </c>
      <c r="D569" s="6">
        <v>16000</v>
      </c>
      <c r="E569" s="8">
        <v>74.4168701171875</v>
      </c>
      <c r="F569" s="8">
        <v>869.43463134765625</v>
      </c>
      <c r="G569" s="8">
        <v>2537.385498046875</v>
      </c>
      <c r="H569" s="18">
        <v>51.892650604248047</v>
      </c>
      <c r="I569" s="6">
        <v>0</v>
      </c>
      <c r="J569" s="6">
        <v>15443.287109375</v>
      </c>
      <c r="K569" s="6">
        <v>12946.404296875</v>
      </c>
    </row>
    <row r="570" spans="1:11" x14ac:dyDescent="0.3">
      <c r="A570" s="6">
        <v>563</v>
      </c>
      <c r="B570" s="7">
        <v>25081</v>
      </c>
      <c r="C570" s="8">
        <v>2863.78369140625</v>
      </c>
      <c r="D570" s="6">
        <v>8113.576171875</v>
      </c>
      <c r="E570" s="8">
        <v>520.4456787109375</v>
      </c>
      <c r="F570" s="8">
        <v>604.7186279296875</v>
      </c>
      <c r="G570" s="8">
        <v>1928.1839599609375</v>
      </c>
      <c r="H570" s="18">
        <v>54.538143157958984</v>
      </c>
      <c r="I570" s="6">
        <v>0</v>
      </c>
      <c r="J570" s="6">
        <v>8295.5390625</v>
      </c>
      <c r="K570" s="6">
        <v>6469.4287109375</v>
      </c>
    </row>
    <row r="571" spans="1:11" x14ac:dyDescent="0.3">
      <c r="A571" s="6">
        <v>564</v>
      </c>
      <c r="B571" s="7">
        <v>25111</v>
      </c>
      <c r="C571" s="8">
        <v>2794.065185546875</v>
      </c>
      <c r="D571" s="6">
        <v>6603.3701171875</v>
      </c>
      <c r="E571" s="8">
        <v>164.13697814941406</v>
      </c>
      <c r="F571" s="8">
        <v>123.89948272705078</v>
      </c>
      <c r="G571" s="8">
        <v>632.9815673828125</v>
      </c>
      <c r="H571" s="18">
        <v>53.784252166748047</v>
      </c>
      <c r="I571" s="6">
        <v>1</v>
      </c>
      <c r="J571" s="6">
        <v>7095.1640625</v>
      </c>
      <c r="K571" s="6">
        <v>6507.45166015625</v>
      </c>
    </row>
    <row r="572" spans="1:11" x14ac:dyDescent="0.3">
      <c r="A572" s="6">
        <v>565</v>
      </c>
      <c r="B572" s="7">
        <v>25142</v>
      </c>
      <c r="C572" s="8">
        <v>2774.677001953125</v>
      </c>
      <c r="D572" s="6">
        <v>5048.45703125</v>
      </c>
      <c r="E572" s="8">
        <v>1019.0936889648438</v>
      </c>
      <c r="F572" s="8">
        <v>114.82463836669922</v>
      </c>
      <c r="G572" s="8">
        <v>812.17724609375</v>
      </c>
      <c r="H572" s="18">
        <v>54.982158660888672</v>
      </c>
      <c r="I572" s="6">
        <v>1</v>
      </c>
      <c r="J572" s="6">
        <v>5990.5966796875</v>
      </c>
      <c r="K572" s="6">
        <v>5453.9482421875</v>
      </c>
    </row>
    <row r="573" spans="1:11" x14ac:dyDescent="0.3">
      <c r="A573" s="6">
        <v>566</v>
      </c>
      <c r="B573" s="7">
        <v>25172</v>
      </c>
      <c r="C573" s="8">
        <v>2883.2255859375</v>
      </c>
      <c r="D573" s="6">
        <v>3250</v>
      </c>
      <c r="E573" s="8">
        <v>448.95883178710938</v>
      </c>
      <c r="F573" s="8">
        <v>0</v>
      </c>
      <c r="G573" s="8">
        <v>420.13888549804688</v>
      </c>
      <c r="H573" s="18">
        <v>53.654304504394531</v>
      </c>
      <c r="I573" s="6">
        <v>1</v>
      </c>
      <c r="J573" s="6">
        <v>5097.8125</v>
      </c>
      <c r="K573" s="6">
        <v>5270.61572265625</v>
      </c>
    </row>
    <row r="574" spans="1:11" x14ac:dyDescent="0.3">
      <c r="A574" s="6">
        <v>567</v>
      </c>
      <c r="B574" s="7">
        <v>25203</v>
      </c>
      <c r="C574" s="8">
        <v>3304.056884765625</v>
      </c>
      <c r="D574" s="6">
        <v>3250</v>
      </c>
      <c r="E574" s="8">
        <v>0</v>
      </c>
      <c r="F574" s="8">
        <v>0</v>
      </c>
      <c r="G574" s="8">
        <v>161.00807189941406</v>
      </c>
      <c r="H574" s="18">
        <v>49.982097625732422</v>
      </c>
      <c r="I574" s="6">
        <v>1</v>
      </c>
      <c r="J574" s="6">
        <v>11938.1396484375</v>
      </c>
      <c r="K574" s="6">
        <v>13741.9150390625</v>
      </c>
    </row>
    <row r="575" spans="1:11" x14ac:dyDescent="0.3">
      <c r="A575" s="6">
        <v>568</v>
      </c>
      <c r="B575" s="7">
        <v>25234</v>
      </c>
      <c r="C575" s="8">
        <v>3358</v>
      </c>
      <c r="D575" s="6">
        <v>26746.611328125</v>
      </c>
      <c r="E575" s="8">
        <v>0</v>
      </c>
      <c r="F575" s="8">
        <v>0</v>
      </c>
      <c r="G575" s="8">
        <v>74.81182861328125</v>
      </c>
      <c r="H575" s="18">
        <v>47.126491546630859</v>
      </c>
      <c r="I575" s="6">
        <v>1</v>
      </c>
      <c r="J575" s="6">
        <v>45232.26171875</v>
      </c>
      <c r="K575" s="6">
        <v>52137.79296875</v>
      </c>
    </row>
    <row r="576" spans="1:11" x14ac:dyDescent="0.3">
      <c r="A576" s="6">
        <v>569</v>
      </c>
      <c r="B576" s="7">
        <v>25262</v>
      </c>
      <c r="C576" s="8">
        <v>3480</v>
      </c>
      <c r="D576" s="6">
        <v>25682.244140625</v>
      </c>
      <c r="E576" s="8">
        <v>142.9521484375</v>
      </c>
      <c r="F576" s="8">
        <v>0</v>
      </c>
      <c r="G576" s="8">
        <v>68.422615051269531</v>
      </c>
      <c r="H576" s="18">
        <v>44.878532409667969</v>
      </c>
      <c r="I576" s="6">
        <v>1</v>
      </c>
      <c r="J576" s="6">
        <v>43801.34375</v>
      </c>
      <c r="K576" s="6">
        <v>47655.83203125</v>
      </c>
    </row>
    <row r="577" spans="1:11" x14ac:dyDescent="0.3">
      <c r="A577" s="6">
        <v>570</v>
      </c>
      <c r="B577" s="7">
        <v>25293</v>
      </c>
      <c r="C577" s="8">
        <v>4030</v>
      </c>
      <c r="D577" s="6">
        <v>6466.4072265625</v>
      </c>
      <c r="E577" s="8">
        <v>148.69058227539063</v>
      </c>
      <c r="F577" s="8">
        <v>1.7508934736251831</v>
      </c>
      <c r="G577" s="8">
        <v>23.207422256469727</v>
      </c>
      <c r="H577" s="18">
        <v>46.339279174804688</v>
      </c>
      <c r="I577" s="6">
        <v>1</v>
      </c>
      <c r="J577" s="6">
        <v>13717.9912109375</v>
      </c>
      <c r="K577" s="6">
        <v>16371.8232421875</v>
      </c>
    </row>
    <row r="578" spans="1:11" x14ac:dyDescent="0.3">
      <c r="A578" s="6">
        <v>571</v>
      </c>
      <c r="B578" s="7">
        <v>25323</v>
      </c>
      <c r="C578" s="8">
        <v>4434</v>
      </c>
      <c r="D578" s="6">
        <v>9669.7626953125</v>
      </c>
      <c r="E578" s="8">
        <v>0</v>
      </c>
      <c r="F578" s="8">
        <v>171.73318481445313</v>
      </c>
      <c r="G578" s="8">
        <v>463.4422607421875</v>
      </c>
      <c r="H578" s="18">
        <v>46.990718841552734</v>
      </c>
      <c r="I578" s="6">
        <v>1</v>
      </c>
      <c r="J578" s="6">
        <v>14991.095703125</v>
      </c>
      <c r="K578" s="6">
        <v>18636.6484375</v>
      </c>
    </row>
    <row r="579" spans="1:11" x14ac:dyDescent="0.3">
      <c r="A579" s="6">
        <v>572</v>
      </c>
      <c r="B579" s="7">
        <v>25354</v>
      </c>
      <c r="C579" s="8">
        <v>4552</v>
      </c>
      <c r="D579" s="6">
        <v>9579.4580078125</v>
      </c>
      <c r="E579" s="8">
        <v>0</v>
      </c>
      <c r="F579" s="8">
        <v>779.53582763671875</v>
      </c>
      <c r="G579" s="8">
        <v>2345.609619140625</v>
      </c>
      <c r="H579" s="18">
        <v>48.872310638427734</v>
      </c>
      <c r="I579" s="6">
        <v>1</v>
      </c>
      <c r="J579" s="6">
        <v>11868.6884765625</v>
      </c>
      <c r="K579" s="6">
        <v>12925.9267578125</v>
      </c>
    </row>
    <row r="580" spans="1:11" x14ac:dyDescent="0.3">
      <c r="A580" s="6">
        <v>573</v>
      </c>
      <c r="B580" s="7">
        <v>25384</v>
      </c>
      <c r="C580" s="8">
        <v>4403.0791015625</v>
      </c>
      <c r="D580" s="6">
        <v>8011.47998046875</v>
      </c>
      <c r="E580" s="8">
        <v>0</v>
      </c>
      <c r="F580" s="8">
        <v>1103.256591796875</v>
      </c>
      <c r="G580" s="8">
        <v>2226.01513671875</v>
      </c>
      <c r="H580" s="18">
        <v>50.501800537109375</v>
      </c>
      <c r="I580" s="6">
        <v>1</v>
      </c>
      <c r="J580" s="6">
        <v>7999.255859375</v>
      </c>
      <c r="K580" s="6">
        <v>6842.423828125</v>
      </c>
    </row>
    <row r="581" spans="1:11" x14ac:dyDescent="0.3">
      <c r="A581" s="6">
        <v>574</v>
      </c>
      <c r="B581" s="7">
        <v>25415</v>
      </c>
      <c r="C581" s="8">
        <v>3947.457763671875</v>
      </c>
      <c r="D581" s="6">
        <v>11045.078125</v>
      </c>
      <c r="E581" s="8">
        <v>186.29902648925781</v>
      </c>
      <c r="F581" s="8">
        <v>1249.15625</v>
      </c>
      <c r="G581" s="8">
        <v>2516.8701171875</v>
      </c>
      <c r="H581" s="18">
        <v>51.50872802734375</v>
      </c>
      <c r="I581" s="6">
        <v>0</v>
      </c>
      <c r="J581" s="6">
        <v>10155.7666015625</v>
      </c>
      <c r="K581" s="6">
        <v>7902.70556640625</v>
      </c>
    </row>
    <row r="582" spans="1:11" x14ac:dyDescent="0.3">
      <c r="A582" s="6">
        <v>575</v>
      </c>
      <c r="B582" s="7">
        <v>25446</v>
      </c>
      <c r="C582" s="8">
        <v>3585.748291015625</v>
      </c>
      <c r="D582" s="6">
        <v>10466.208984375</v>
      </c>
      <c r="E582" s="8">
        <v>0</v>
      </c>
      <c r="F582" s="8">
        <v>1000.3217163085938</v>
      </c>
      <c r="G582" s="8">
        <v>2130.645751953125</v>
      </c>
      <c r="H582" s="18">
        <v>52.360408782958984</v>
      </c>
      <c r="I582" s="6">
        <v>0</v>
      </c>
      <c r="J582" s="6">
        <v>9617.7265625</v>
      </c>
      <c r="K582" s="6">
        <v>7595.38525390625</v>
      </c>
    </row>
    <row r="583" spans="1:11" x14ac:dyDescent="0.3">
      <c r="A583" s="6">
        <v>576</v>
      </c>
      <c r="B583" s="7">
        <v>25476</v>
      </c>
      <c r="C583" s="8">
        <v>3239.390869140625</v>
      </c>
      <c r="D583" s="6">
        <v>11851.98046875</v>
      </c>
      <c r="E583" s="8">
        <v>42.857669830322266</v>
      </c>
      <c r="F583" s="8">
        <v>260.09890747070313</v>
      </c>
      <c r="G583" s="8">
        <v>630.3028564453125</v>
      </c>
      <c r="H583" s="18">
        <v>51.256191253662109</v>
      </c>
      <c r="I583" s="6">
        <v>0</v>
      </c>
      <c r="J583" s="6">
        <v>12091.9150390625</v>
      </c>
      <c r="K583" s="6">
        <v>11596.0166015625</v>
      </c>
    </row>
    <row r="584" spans="1:11" x14ac:dyDescent="0.3">
      <c r="A584" s="6">
        <v>577</v>
      </c>
      <c r="B584" s="7">
        <v>25507</v>
      </c>
      <c r="C584" s="8">
        <v>3200</v>
      </c>
      <c r="D584" s="6">
        <v>6717.57275390625</v>
      </c>
      <c r="E584" s="8">
        <v>245.98057556152344</v>
      </c>
      <c r="F584" s="8">
        <v>123.7518310546875</v>
      </c>
      <c r="G584" s="8">
        <v>798.16998291015625</v>
      </c>
      <c r="H584" s="18">
        <v>54.038837432861328</v>
      </c>
      <c r="I584" s="6">
        <v>1</v>
      </c>
      <c r="J584" s="6">
        <v>7830.0859375</v>
      </c>
      <c r="K584" s="6">
        <v>7380.2890625</v>
      </c>
    </row>
    <row r="585" spans="1:11" x14ac:dyDescent="0.3">
      <c r="A585" s="6">
        <v>578</v>
      </c>
      <c r="B585" s="7">
        <v>25537</v>
      </c>
      <c r="C585" s="8">
        <v>3035.093505859375</v>
      </c>
      <c r="D585" s="6">
        <v>7165.19482421875</v>
      </c>
      <c r="E585" s="8">
        <v>0</v>
      </c>
      <c r="F585" s="8">
        <v>3.5999979972839355</v>
      </c>
      <c r="G585" s="8">
        <v>552.5819091796875</v>
      </c>
      <c r="H585" s="18">
        <v>55.104572296142578</v>
      </c>
      <c r="I585" s="6">
        <v>0</v>
      </c>
      <c r="J585" s="6">
        <v>8521.287109375</v>
      </c>
      <c r="K585" s="6">
        <v>8418.669921875</v>
      </c>
    </row>
    <row r="586" spans="1:11" x14ac:dyDescent="0.3">
      <c r="A586" s="6">
        <v>579</v>
      </c>
      <c r="B586" s="7">
        <v>25568</v>
      </c>
      <c r="C586" s="8">
        <v>3317</v>
      </c>
      <c r="D586" s="6">
        <v>16876.130859375</v>
      </c>
      <c r="E586" s="8">
        <v>0</v>
      </c>
      <c r="F586" s="8">
        <v>0</v>
      </c>
      <c r="G586" s="8">
        <v>157.75537109375</v>
      </c>
      <c r="H586" s="18">
        <v>51.395801544189453</v>
      </c>
      <c r="I586" s="6">
        <v>1</v>
      </c>
      <c r="J586" s="6">
        <v>27169.2265625</v>
      </c>
      <c r="K586" s="6">
        <v>30571.21484375</v>
      </c>
    </row>
    <row r="587" spans="1:11" x14ac:dyDescent="0.3">
      <c r="A587" s="6">
        <v>580</v>
      </c>
      <c r="B587" s="7">
        <v>25599</v>
      </c>
      <c r="C587" s="8">
        <v>3252</v>
      </c>
      <c r="D587" s="6">
        <v>58978.4375</v>
      </c>
      <c r="E587" s="8">
        <v>0</v>
      </c>
      <c r="F587" s="8">
        <v>0</v>
      </c>
      <c r="G587" s="8">
        <v>74.81182861328125</v>
      </c>
      <c r="H587" s="18">
        <v>46.694297790527344</v>
      </c>
      <c r="I587" s="6">
        <v>1</v>
      </c>
      <c r="J587" s="6">
        <v>88720.4453125</v>
      </c>
      <c r="K587" s="6">
        <v>99350.2109375</v>
      </c>
    </row>
    <row r="588" spans="1:11" x14ac:dyDescent="0.3">
      <c r="A588" s="6">
        <v>581</v>
      </c>
      <c r="B588" s="7">
        <v>25627</v>
      </c>
      <c r="C588" s="8">
        <v>3431</v>
      </c>
      <c r="D588" s="6">
        <v>13490.826171875</v>
      </c>
      <c r="E588" s="8">
        <v>0</v>
      </c>
      <c r="F588" s="8">
        <v>0</v>
      </c>
      <c r="G588" s="8">
        <v>68.422615051269531</v>
      </c>
      <c r="H588" s="18">
        <v>44.967605590820313</v>
      </c>
      <c r="I588" s="6">
        <v>1</v>
      </c>
      <c r="J588" s="6">
        <v>21529.865234375</v>
      </c>
      <c r="K588" s="6">
        <v>23946.232421875</v>
      </c>
    </row>
    <row r="589" spans="1:11" x14ac:dyDescent="0.3">
      <c r="A589" s="6">
        <v>582</v>
      </c>
      <c r="B589" s="7">
        <v>25658</v>
      </c>
      <c r="C589" s="8">
        <v>4065.2119140625</v>
      </c>
      <c r="D589" s="6">
        <v>3250</v>
      </c>
      <c r="E589" s="8">
        <v>0</v>
      </c>
      <c r="F589" s="8">
        <v>0.98864281177520752</v>
      </c>
      <c r="G589" s="8">
        <v>26.8848876953125</v>
      </c>
      <c r="H589" s="18">
        <v>48.122188568115234</v>
      </c>
      <c r="I589" s="6">
        <v>1</v>
      </c>
      <c r="J589" s="6">
        <v>8764.6923828125</v>
      </c>
      <c r="K589" s="6">
        <v>11415.806640625</v>
      </c>
    </row>
    <row r="590" spans="1:11" x14ac:dyDescent="0.3">
      <c r="A590" s="6">
        <v>583</v>
      </c>
      <c r="B590" s="7">
        <v>25688</v>
      </c>
      <c r="C590" s="8">
        <v>4291.064453125</v>
      </c>
      <c r="D590" s="6">
        <v>3250</v>
      </c>
      <c r="E590" s="8">
        <v>0</v>
      </c>
      <c r="F590" s="8">
        <v>73.196624755859375</v>
      </c>
      <c r="G590" s="8">
        <v>508.6461181640625</v>
      </c>
      <c r="H590" s="18">
        <v>49.804428100585938</v>
      </c>
      <c r="I590" s="6">
        <v>1</v>
      </c>
      <c r="J590" s="6">
        <v>4357.765625</v>
      </c>
      <c r="K590" s="6">
        <v>4713.98388671875</v>
      </c>
    </row>
    <row r="591" spans="1:11" x14ac:dyDescent="0.3">
      <c r="A591" s="6">
        <v>584</v>
      </c>
      <c r="B591" s="7">
        <v>25719</v>
      </c>
      <c r="C591" s="8">
        <v>4231.88427734375</v>
      </c>
      <c r="D591" s="6">
        <v>6423.0224609375</v>
      </c>
      <c r="E591" s="8">
        <v>0</v>
      </c>
      <c r="F591" s="8">
        <v>572.192626953125</v>
      </c>
      <c r="G591" s="8">
        <v>2315.026611328125</v>
      </c>
      <c r="H591" s="18">
        <v>49.899898529052734</v>
      </c>
      <c r="I591" s="6">
        <v>1</v>
      </c>
      <c r="J591" s="6">
        <v>7251.74609375</v>
      </c>
      <c r="K591" s="6">
        <v>5718.8935546875</v>
      </c>
    </row>
    <row r="592" spans="1:11" x14ac:dyDescent="0.3">
      <c r="A592" s="6">
        <v>585</v>
      </c>
      <c r="B592" s="7">
        <v>25749</v>
      </c>
      <c r="C592" s="8">
        <v>3804.720947265625</v>
      </c>
      <c r="D592" s="6">
        <v>11296.083984375</v>
      </c>
      <c r="E592" s="8">
        <v>0</v>
      </c>
      <c r="F592" s="8">
        <v>657.61016845703125</v>
      </c>
      <c r="G592" s="8">
        <v>2256.00390625</v>
      </c>
      <c r="H592" s="18">
        <v>49.374355316162109</v>
      </c>
      <c r="I592" s="6">
        <v>0</v>
      </c>
      <c r="J592" s="6">
        <v>11693.8388671875</v>
      </c>
      <c r="K592" s="6">
        <v>10004.001953125</v>
      </c>
    </row>
    <row r="593" spans="1:11" x14ac:dyDescent="0.3">
      <c r="A593" s="6">
        <v>586</v>
      </c>
      <c r="B593" s="7">
        <v>25780</v>
      </c>
      <c r="C593" s="8">
        <v>3122.0966796875</v>
      </c>
      <c r="D593" s="6">
        <v>15933.296875</v>
      </c>
      <c r="E593" s="8">
        <v>949.174560546875</v>
      </c>
      <c r="F593" s="8">
        <v>784.4171142578125</v>
      </c>
      <c r="G593" s="8">
        <v>2616.67822265625</v>
      </c>
      <c r="H593" s="18">
        <v>50.264232635498047</v>
      </c>
      <c r="I593" s="6">
        <v>0</v>
      </c>
      <c r="J593" s="6">
        <v>15480.10546875</v>
      </c>
      <c r="K593" s="6">
        <v>12997.4990234375</v>
      </c>
    </row>
    <row r="594" spans="1:11" x14ac:dyDescent="0.3">
      <c r="A594" s="6">
        <v>587</v>
      </c>
      <c r="B594" s="7">
        <v>25811</v>
      </c>
      <c r="C594" s="8">
        <v>2801.684326171875</v>
      </c>
      <c r="D594" s="6">
        <v>10639.8798828125</v>
      </c>
      <c r="E594" s="8">
        <v>0</v>
      </c>
      <c r="F594" s="8">
        <v>626.04833984375</v>
      </c>
      <c r="G594" s="8">
        <v>2240.93798828125</v>
      </c>
      <c r="H594" s="18">
        <v>52.692100524902344</v>
      </c>
      <c r="I594" s="6">
        <v>0</v>
      </c>
      <c r="J594" s="6">
        <v>10301.0341796875</v>
      </c>
      <c r="K594" s="6">
        <v>8123.30712890625</v>
      </c>
    </row>
    <row r="595" spans="1:11" x14ac:dyDescent="0.3">
      <c r="A595" s="6">
        <v>588</v>
      </c>
      <c r="B595" s="7">
        <v>25841</v>
      </c>
      <c r="C595" s="8">
        <v>2249.6484375</v>
      </c>
      <c r="D595" s="6">
        <v>15750.0625</v>
      </c>
      <c r="E595" s="8">
        <v>762.34381103515625</v>
      </c>
      <c r="F595" s="8">
        <v>93.04132080078125</v>
      </c>
      <c r="G595" s="8">
        <v>632.9815673828125</v>
      </c>
      <c r="H595" s="18">
        <v>51.474533081054688</v>
      </c>
      <c r="I595" s="6">
        <v>0</v>
      </c>
      <c r="J595" s="6">
        <v>16135.6923828125</v>
      </c>
      <c r="K595" s="6">
        <v>15624.0146484375</v>
      </c>
    </row>
    <row r="596" spans="1:11" x14ac:dyDescent="0.3">
      <c r="A596" s="6">
        <v>589</v>
      </c>
      <c r="B596" s="7">
        <v>25872</v>
      </c>
      <c r="C596" s="8">
        <v>2082.2509765625</v>
      </c>
      <c r="D596" s="6">
        <v>9843.8095703125</v>
      </c>
      <c r="E596" s="8">
        <v>958.85076904296875</v>
      </c>
      <c r="F596" s="8">
        <v>109.92153930664063</v>
      </c>
      <c r="G596" s="8">
        <v>807.068359375</v>
      </c>
      <c r="H596" s="18">
        <v>54.663810729980469</v>
      </c>
      <c r="I596" s="6">
        <v>0</v>
      </c>
      <c r="J596" s="6">
        <v>10796.34375</v>
      </c>
      <c r="K596" s="6">
        <v>10248.30078125</v>
      </c>
    </row>
    <row r="597" spans="1:11" x14ac:dyDescent="0.3">
      <c r="A597" s="6">
        <v>590</v>
      </c>
      <c r="B597" s="7">
        <v>25902</v>
      </c>
      <c r="C597" s="8">
        <v>2456.121337890625</v>
      </c>
      <c r="D597" s="6">
        <v>5796.3330078125</v>
      </c>
      <c r="E597" s="8">
        <v>1112.5506591796875</v>
      </c>
      <c r="F597" s="8">
        <v>0</v>
      </c>
      <c r="G597" s="8">
        <v>307.54165649414063</v>
      </c>
      <c r="H597" s="18">
        <v>55.561176300048828</v>
      </c>
      <c r="I597" s="6">
        <v>1</v>
      </c>
      <c r="J597" s="6">
        <v>13078.3330078125</v>
      </c>
      <c r="K597" s="6">
        <v>14400.23828125</v>
      </c>
    </row>
    <row r="598" spans="1:11" x14ac:dyDescent="0.3">
      <c r="A598" s="6">
        <v>591</v>
      </c>
      <c r="B598" s="7">
        <v>25933</v>
      </c>
      <c r="C598" s="8">
        <v>3319</v>
      </c>
      <c r="D598" s="6">
        <v>5642.83056640625</v>
      </c>
      <c r="E598" s="8">
        <v>0</v>
      </c>
      <c r="F598" s="8">
        <v>0</v>
      </c>
      <c r="G598" s="8">
        <v>180.52420043945313</v>
      </c>
      <c r="H598" s="18">
        <v>50.339038848876953</v>
      </c>
      <c r="I598" s="6">
        <v>1</v>
      </c>
      <c r="J598" s="6">
        <v>17269.630859375</v>
      </c>
      <c r="K598" s="6">
        <v>19786.890625</v>
      </c>
    </row>
    <row r="599" spans="1:11" x14ac:dyDescent="0.3">
      <c r="A599" s="6">
        <v>592</v>
      </c>
      <c r="B599" s="7">
        <v>25964</v>
      </c>
      <c r="C599" s="8">
        <v>3515</v>
      </c>
      <c r="D599" s="6">
        <v>16862.21484375</v>
      </c>
      <c r="E599" s="8">
        <v>0</v>
      </c>
      <c r="F599" s="8">
        <v>0</v>
      </c>
      <c r="G599" s="8">
        <v>100.83332824707031</v>
      </c>
      <c r="H599" s="18">
        <v>47.0213623046875</v>
      </c>
      <c r="I599" s="6">
        <v>1</v>
      </c>
      <c r="J599" s="6">
        <v>25951.470703125</v>
      </c>
      <c r="K599" s="6">
        <v>28921.45703125</v>
      </c>
    </row>
    <row r="600" spans="1:11" x14ac:dyDescent="0.3">
      <c r="A600" s="6">
        <v>593</v>
      </c>
      <c r="B600" s="7">
        <v>25992</v>
      </c>
      <c r="C600" s="8">
        <v>3881.67724609375</v>
      </c>
      <c r="D600" s="6">
        <v>3250</v>
      </c>
      <c r="E600" s="8">
        <v>0</v>
      </c>
      <c r="F600" s="8">
        <v>0</v>
      </c>
      <c r="G600" s="8">
        <v>68.422615051269531</v>
      </c>
      <c r="H600" s="18">
        <v>46.657783508300781</v>
      </c>
      <c r="I600" s="6">
        <v>1</v>
      </c>
      <c r="J600" s="6">
        <v>6179.1513671875</v>
      </c>
      <c r="K600" s="6">
        <v>7546.728515625</v>
      </c>
    </row>
    <row r="601" spans="1:11" x14ac:dyDescent="0.3">
      <c r="A601" s="6">
        <v>594</v>
      </c>
      <c r="B601" s="7">
        <v>26023</v>
      </c>
      <c r="C601" s="8">
        <v>3873</v>
      </c>
      <c r="D601" s="6">
        <v>17149.8515625</v>
      </c>
      <c r="E601" s="8">
        <v>0</v>
      </c>
      <c r="F601" s="8">
        <v>42.952613830566406</v>
      </c>
      <c r="G601" s="8">
        <v>71.686683654785156</v>
      </c>
      <c r="H601" s="18">
        <v>46.019058227539063</v>
      </c>
      <c r="I601" s="6">
        <v>1</v>
      </c>
      <c r="J601" s="6">
        <v>24157.814453125</v>
      </c>
      <c r="K601" s="6">
        <v>26924.578125</v>
      </c>
    </row>
    <row r="602" spans="1:11" x14ac:dyDescent="0.3">
      <c r="A602" s="6">
        <v>595</v>
      </c>
      <c r="B602" s="7">
        <v>26053</v>
      </c>
      <c r="C602" s="8">
        <v>4470.4140625</v>
      </c>
      <c r="D602" s="6">
        <v>3250</v>
      </c>
      <c r="E602" s="8">
        <v>0</v>
      </c>
      <c r="F602" s="8">
        <v>663.01629638671875</v>
      </c>
      <c r="G602" s="8">
        <v>563.3929443359375</v>
      </c>
      <c r="H602" s="18">
        <v>50.101123809814453</v>
      </c>
      <c r="I602" s="6">
        <v>1</v>
      </c>
      <c r="J602" s="6">
        <v>5816.052734375</v>
      </c>
      <c r="K602" s="6">
        <v>7082.1181640625</v>
      </c>
    </row>
    <row r="603" spans="1:11" x14ac:dyDescent="0.3">
      <c r="A603" s="6">
        <v>596</v>
      </c>
      <c r="B603" s="7">
        <v>26084</v>
      </c>
      <c r="C603" s="8">
        <v>4552</v>
      </c>
      <c r="D603" s="6">
        <v>8956.8486328125</v>
      </c>
      <c r="E603" s="8">
        <v>0</v>
      </c>
      <c r="F603" s="8">
        <v>722.55084228515625</v>
      </c>
      <c r="G603" s="8">
        <v>1990.4598388671875</v>
      </c>
      <c r="H603" s="18">
        <v>49.074142456054688</v>
      </c>
      <c r="I603" s="6">
        <v>1</v>
      </c>
      <c r="J603" s="6">
        <v>11137.4365234375</v>
      </c>
      <c r="K603" s="6">
        <v>10755.0478515625</v>
      </c>
    </row>
    <row r="604" spans="1:11" x14ac:dyDescent="0.3">
      <c r="A604" s="6">
        <v>597</v>
      </c>
      <c r="B604" s="7">
        <v>26114</v>
      </c>
      <c r="C604" s="8">
        <v>4500</v>
      </c>
      <c r="D604" s="6">
        <v>7962.24658203125</v>
      </c>
      <c r="E604" s="8">
        <v>0</v>
      </c>
      <c r="F604" s="8">
        <v>865.0386962890625</v>
      </c>
      <c r="G604" s="8">
        <v>2342.25732421875</v>
      </c>
      <c r="H604" s="18">
        <v>51.377964019775391</v>
      </c>
      <c r="I604" s="6">
        <v>1</v>
      </c>
      <c r="J604" s="6">
        <v>8838.240234375</v>
      </c>
      <c r="K604" s="6">
        <v>7375.68896484375</v>
      </c>
    </row>
    <row r="605" spans="1:11" x14ac:dyDescent="0.3">
      <c r="A605" s="6">
        <v>598</v>
      </c>
      <c r="B605" s="7">
        <v>26145</v>
      </c>
      <c r="C605" s="8">
        <v>3763.6337890625</v>
      </c>
      <c r="D605" s="6">
        <v>15771.30859375</v>
      </c>
      <c r="E605" s="8">
        <v>103.75967407226563</v>
      </c>
      <c r="F605" s="8">
        <v>964.21917724609375</v>
      </c>
      <c r="G605" s="8">
        <v>2521.474853515625</v>
      </c>
      <c r="H605" s="18">
        <v>51.168178558349609</v>
      </c>
      <c r="I605" s="6">
        <v>0</v>
      </c>
      <c r="J605" s="6">
        <v>15679.001953125</v>
      </c>
      <c r="K605" s="6">
        <v>13423.0302734375</v>
      </c>
    </row>
    <row r="606" spans="1:11" x14ac:dyDescent="0.3">
      <c r="A606" s="6">
        <v>599</v>
      </c>
      <c r="B606" s="7">
        <v>26176</v>
      </c>
      <c r="C606" s="8">
        <v>3452.336669921875</v>
      </c>
      <c r="D606" s="6">
        <v>9464.470703125</v>
      </c>
      <c r="E606" s="8">
        <v>367.70223999023438</v>
      </c>
      <c r="F606" s="8">
        <v>766.8773193359375</v>
      </c>
      <c r="G606" s="8">
        <v>2125.41650390625</v>
      </c>
      <c r="H606" s="18">
        <v>52.940952301025391</v>
      </c>
      <c r="I606" s="6">
        <v>0</v>
      </c>
      <c r="J606" s="6">
        <v>9231.1416015625</v>
      </c>
      <c r="K606" s="6">
        <v>7189.92626953125</v>
      </c>
    </row>
    <row r="607" spans="1:11" x14ac:dyDescent="0.3">
      <c r="A607" s="6">
        <v>600</v>
      </c>
      <c r="B607" s="7">
        <v>26206</v>
      </c>
      <c r="C607" s="8">
        <v>2942.9580078125</v>
      </c>
      <c r="D607" s="6">
        <v>13459.740234375</v>
      </c>
      <c r="E607" s="8">
        <v>0</v>
      </c>
      <c r="F607" s="8">
        <v>154.82708740234375</v>
      </c>
      <c r="G607" s="8">
        <v>632.9815673828125</v>
      </c>
      <c r="H607" s="18">
        <v>51.391929626464844</v>
      </c>
      <c r="I607" s="6">
        <v>0</v>
      </c>
      <c r="J607" s="6">
        <v>14323.1435546875</v>
      </c>
      <c r="K607" s="6">
        <v>13823.9921875</v>
      </c>
    </row>
    <row r="608" spans="1:11" x14ac:dyDescent="0.3">
      <c r="A608" s="6">
        <v>601</v>
      </c>
      <c r="B608" s="7">
        <v>26237</v>
      </c>
      <c r="C608" s="8">
        <v>2765.109619140625</v>
      </c>
      <c r="D608" s="6">
        <v>8597.2421875</v>
      </c>
      <c r="E608" s="8">
        <v>1216.479248046875</v>
      </c>
      <c r="F608" s="8">
        <v>169.86729431152344</v>
      </c>
      <c r="G608" s="8">
        <v>837.1849365234375</v>
      </c>
      <c r="H608" s="18">
        <v>54.250484466552734</v>
      </c>
      <c r="I608" s="6">
        <v>0</v>
      </c>
      <c r="J608" s="6">
        <v>9368.3662109375</v>
      </c>
      <c r="K608" s="6">
        <v>8749.2607421875</v>
      </c>
    </row>
    <row r="609" spans="1:11" x14ac:dyDescent="0.3">
      <c r="A609" s="6">
        <v>602</v>
      </c>
      <c r="B609" s="7">
        <v>26267</v>
      </c>
      <c r="C609" s="8">
        <v>2500</v>
      </c>
      <c r="D609" s="6">
        <v>12434.3515625</v>
      </c>
      <c r="E609" s="8">
        <v>1703.5538330078125</v>
      </c>
      <c r="F609" s="8">
        <v>1.3927011489868164</v>
      </c>
      <c r="G609" s="8">
        <v>529.89178466796875</v>
      </c>
      <c r="H609" s="18">
        <v>54.414054870605469</v>
      </c>
      <c r="I609" s="6">
        <v>0</v>
      </c>
      <c r="J609" s="6">
        <v>13973.9609375</v>
      </c>
      <c r="K609" s="6">
        <v>13808.37890625</v>
      </c>
    </row>
    <row r="610" spans="1:11" x14ac:dyDescent="0.3">
      <c r="A610" s="6">
        <v>603</v>
      </c>
      <c r="B610" s="7">
        <v>26298</v>
      </c>
      <c r="C610" s="8">
        <v>2710.208251953125</v>
      </c>
      <c r="D610" s="6">
        <v>3250</v>
      </c>
      <c r="E610" s="8">
        <v>0</v>
      </c>
      <c r="F610" s="8">
        <v>0</v>
      </c>
      <c r="G610" s="8">
        <v>188.65591430664063</v>
      </c>
      <c r="H610" s="18">
        <v>50.665706634521484</v>
      </c>
      <c r="I610" s="6">
        <v>1</v>
      </c>
      <c r="J610" s="6">
        <v>5995.9990234375</v>
      </c>
      <c r="K610" s="6">
        <v>6427.66748046875</v>
      </c>
    </row>
    <row r="611" spans="1:11" x14ac:dyDescent="0.3">
      <c r="A611" s="6">
        <v>604</v>
      </c>
      <c r="B611" s="7">
        <v>26329</v>
      </c>
      <c r="C611" s="8">
        <v>3105.711181640625</v>
      </c>
      <c r="D611" s="6">
        <v>3250</v>
      </c>
      <c r="E611" s="8">
        <v>0</v>
      </c>
      <c r="F611" s="8">
        <v>0</v>
      </c>
      <c r="G611" s="8">
        <v>120.34946441650391</v>
      </c>
      <c r="H611" s="18">
        <v>46.589714050292969</v>
      </c>
      <c r="I611" s="6">
        <v>1</v>
      </c>
      <c r="J611" s="6">
        <v>6044.55908203125</v>
      </c>
      <c r="K611" s="6">
        <v>6822.5703125</v>
      </c>
    </row>
    <row r="612" spans="1:11" x14ac:dyDescent="0.3">
      <c r="A612" s="6">
        <v>605</v>
      </c>
      <c r="B612" s="7">
        <v>26358</v>
      </c>
      <c r="C612" s="8">
        <v>3486.478759765625</v>
      </c>
      <c r="D612" s="6">
        <v>3250</v>
      </c>
      <c r="E612" s="8">
        <v>0</v>
      </c>
      <c r="F612" s="8">
        <v>2.922360897064209</v>
      </c>
      <c r="G612" s="8">
        <v>66.063217163085938</v>
      </c>
      <c r="H612" s="18">
        <v>47.387157440185547</v>
      </c>
      <c r="I612" s="6">
        <v>1</v>
      </c>
      <c r="J612" s="6">
        <v>6566.95947265625</v>
      </c>
      <c r="K612" s="6">
        <v>7622.46142578125</v>
      </c>
    </row>
    <row r="613" spans="1:11" x14ac:dyDescent="0.3">
      <c r="A613" s="6">
        <v>606</v>
      </c>
      <c r="B613" s="7">
        <v>26389</v>
      </c>
      <c r="C613" s="8">
        <v>4182.5244140625</v>
      </c>
      <c r="D613" s="6">
        <v>3250</v>
      </c>
      <c r="E613" s="8">
        <v>0</v>
      </c>
      <c r="F613" s="8">
        <v>138.96481323242188</v>
      </c>
      <c r="G613" s="8">
        <v>162.41838073730469</v>
      </c>
      <c r="H613" s="18">
        <v>50.076915740966797</v>
      </c>
      <c r="I613" s="6">
        <v>1</v>
      </c>
      <c r="J613" s="6">
        <v>7192.6669921875</v>
      </c>
      <c r="K613" s="6">
        <v>9062.5625</v>
      </c>
    </row>
    <row r="614" spans="1:11" x14ac:dyDescent="0.3">
      <c r="A614" s="6">
        <v>607</v>
      </c>
      <c r="B614" s="7">
        <v>26419</v>
      </c>
      <c r="C614" s="8">
        <v>4552</v>
      </c>
      <c r="D614" s="6">
        <v>4466.64501953125</v>
      </c>
      <c r="E614" s="8">
        <v>0</v>
      </c>
      <c r="F614" s="8">
        <v>323.25350952148438</v>
      </c>
      <c r="G614" s="8">
        <v>539.28424072265625</v>
      </c>
      <c r="H614" s="18">
        <v>50.082248687744141</v>
      </c>
      <c r="I614" s="6">
        <v>1</v>
      </c>
      <c r="J614" s="6">
        <v>5965.70068359375</v>
      </c>
      <c r="K614" s="6">
        <v>6554.44482421875</v>
      </c>
    </row>
    <row r="615" spans="1:11" x14ac:dyDescent="0.3">
      <c r="A615" s="6">
        <v>608</v>
      </c>
      <c r="B615" s="7">
        <v>26450</v>
      </c>
      <c r="C615" s="8">
        <v>4444.4248046875</v>
      </c>
      <c r="D615" s="6">
        <v>7295.134765625</v>
      </c>
      <c r="E615" s="8">
        <v>0</v>
      </c>
      <c r="F615" s="8">
        <v>214.1783447265625</v>
      </c>
      <c r="G615" s="8">
        <v>2237.25634765625</v>
      </c>
      <c r="H615" s="18">
        <v>50.610748291015625</v>
      </c>
      <c r="I615" s="6">
        <v>1</v>
      </c>
      <c r="J615" s="6">
        <v>8359.68359375</v>
      </c>
      <c r="K615" s="6">
        <v>6727.54541015625</v>
      </c>
    </row>
    <row r="616" spans="1:11" x14ac:dyDescent="0.3">
      <c r="A616" s="6">
        <v>609</v>
      </c>
      <c r="B616" s="7">
        <v>26480</v>
      </c>
      <c r="C616" s="8">
        <v>3879.44091796875</v>
      </c>
      <c r="D616" s="6">
        <v>13446.5849609375</v>
      </c>
      <c r="E616" s="8">
        <v>0</v>
      </c>
      <c r="F616" s="8">
        <v>428.46661376953125</v>
      </c>
      <c r="G616" s="8">
        <v>2616.696044921875</v>
      </c>
      <c r="H616" s="18">
        <v>50.5291748046875</v>
      </c>
      <c r="I616" s="6">
        <v>0</v>
      </c>
      <c r="J616" s="6">
        <v>13555.5302734375</v>
      </c>
      <c r="K616" s="6">
        <v>11171.7373046875</v>
      </c>
    </row>
    <row r="617" spans="1:11" x14ac:dyDescent="0.3">
      <c r="A617" s="6">
        <v>610</v>
      </c>
      <c r="B617" s="7">
        <v>26511</v>
      </c>
      <c r="C617" s="8">
        <v>3200</v>
      </c>
      <c r="D617" s="6">
        <v>15975.8271484375</v>
      </c>
      <c r="E617" s="8">
        <v>655.90826416015625</v>
      </c>
      <c r="F617" s="8">
        <v>484.07479858398438</v>
      </c>
      <c r="G617" s="8">
        <v>2537.385498046875</v>
      </c>
      <c r="H617" s="18">
        <v>51.616970062255859</v>
      </c>
      <c r="I617" s="6">
        <v>0</v>
      </c>
      <c r="J617" s="6">
        <v>15499.83984375</v>
      </c>
      <c r="K617" s="6">
        <v>12996.3251953125</v>
      </c>
    </row>
    <row r="618" spans="1:11" x14ac:dyDescent="0.3">
      <c r="A618" s="6">
        <v>611</v>
      </c>
      <c r="B618" s="7">
        <v>26542</v>
      </c>
      <c r="C618" s="8">
        <v>2905.695068359375</v>
      </c>
      <c r="D618" s="6">
        <v>10120.458984375</v>
      </c>
      <c r="E618" s="8">
        <v>1250.875732421875</v>
      </c>
      <c r="F618" s="8">
        <v>386.12643432617188</v>
      </c>
      <c r="G618" s="8">
        <v>2092.751708984375</v>
      </c>
      <c r="H618" s="18">
        <v>52.891139984130859</v>
      </c>
      <c r="I618" s="6">
        <v>0</v>
      </c>
      <c r="J618" s="6">
        <v>9698.8583984375</v>
      </c>
      <c r="K618" s="6">
        <v>7625.71484375</v>
      </c>
    </row>
    <row r="619" spans="1:11" x14ac:dyDescent="0.3">
      <c r="A619" s="6">
        <v>612</v>
      </c>
      <c r="B619" s="7">
        <v>26572</v>
      </c>
      <c r="C619" s="8">
        <v>2958.29638671875</v>
      </c>
      <c r="D619" s="6">
        <v>4756.27734375</v>
      </c>
      <c r="E619" s="8">
        <v>954.7808837890625</v>
      </c>
      <c r="F619" s="8">
        <v>138.27836608886719</v>
      </c>
      <c r="G619" s="8">
        <v>589.18927001953125</v>
      </c>
      <c r="H619" s="18">
        <v>54.427963256835938</v>
      </c>
      <c r="I619" s="6">
        <v>1</v>
      </c>
      <c r="J619" s="6">
        <v>5105.90234375</v>
      </c>
      <c r="K619" s="6">
        <v>4646.66650390625</v>
      </c>
    </row>
    <row r="620" spans="1:11" x14ac:dyDescent="0.3">
      <c r="A620" s="6">
        <v>613</v>
      </c>
      <c r="B620" s="7">
        <v>26603</v>
      </c>
      <c r="C620" s="8">
        <v>2988.036376953125</v>
      </c>
      <c r="D620" s="6">
        <v>4870.0009765625</v>
      </c>
      <c r="E620" s="8">
        <v>439.72247314453125</v>
      </c>
      <c r="F620" s="8">
        <v>56.271644592285156</v>
      </c>
      <c r="G620" s="8">
        <v>744.267578125</v>
      </c>
      <c r="H620" s="18">
        <v>54.775348663330078</v>
      </c>
      <c r="I620" s="6">
        <v>1</v>
      </c>
      <c r="J620" s="6">
        <v>6215.1337890625</v>
      </c>
      <c r="K620" s="6">
        <v>5865.568359375</v>
      </c>
    </row>
    <row r="621" spans="1:11" x14ac:dyDescent="0.3">
      <c r="A621" s="6">
        <v>614</v>
      </c>
      <c r="B621" s="7">
        <v>26633</v>
      </c>
      <c r="C621" s="8">
        <v>3252</v>
      </c>
      <c r="D621" s="6">
        <v>3755.925537109375</v>
      </c>
      <c r="E621" s="8">
        <v>2301.576171875</v>
      </c>
      <c r="F621" s="8">
        <v>0</v>
      </c>
      <c r="G621" s="8">
        <v>331.0694580078125</v>
      </c>
      <c r="H621" s="18">
        <v>53.361099243164063</v>
      </c>
      <c r="I621" s="6">
        <v>1</v>
      </c>
      <c r="J621" s="6">
        <v>8063.5185546875</v>
      </c>
      <c r="K621" s="6">
        <v>8786.53125</v>
      </c>
    </row>
    <row r="622" spans="1:11" x14ac:dyDescent="0.3">
      <c r="A622" s="6">
        <v>615</v>
      </c>
      <c r="B622" s="7">
        <v>26664</v>
      </c>
      <c r="C622" s="8">
        <v>3346</v>
      </c>
      <c r="D622" s="6">
        <v>6931.90576171875</v>
      </c>
      <c r="E622" s="8">
        <v>0</v>
      </c>
      <c r="F622" s="8">
        <v>0</v>
      </c>
      <c r="G622" s="8">
        <v>224.43548583984375</v>
      </c>
      <c r="H622" s="18">
        <v>50.014034271240234</v>
      </c>
      <c r="I622" s="6">
        <v>1</v>
      </c>
      <c r="J622" s="6">
        <v>11927.3701171875</v>
      </c>
      <c r="K622" s="6">
        <v>13245.3466796875</v>
      </c>
    </row>
    <row r="623" spans="1:11" x14ac:dyDescent="0.3">
      <c r="A623" s="6">
        <v>616</v>
      </c>
      <c r="B623" s="7">
        <v>26695</v>
      </c>
      <c r="C623" s="8">
        <v>3552</v>
      </c>
      <c r="D623" s="6">
        <v>15145.9521484375</v>
      </c>
      <c r="E623" s="8">
        <v>0</v>
      </c>
      <c r="F623" s="8">
        <v>0</v>
      </c>
      <c r="G623" s="8">
        <v>74.81182861328125</v>
      </c>
      <c r="H623" s="18">
        <v>47.242767333984375</v>
      </c>
      <c r="I623" s="6">
        <v>1</v>
      </c>
      <c r="J623" s="6">
        <v>27326.279296875</v>
      </c>
      <c r="K623" s="6">
        <v>30747.08984375</v>
      </c>
    </row>
    <row r="624" spans="1:11" x14ac:dyDescent="0.3">
      <c r="A624" s="6">
        <v>617</v>
      </c>
      <c r="B624" s="7">
        <v>26723</v>
      </c>
      <c r="C624" s="8">
        <v>3636</v>
      </c>
      <c r="D624" s="6">
        <v>20651.841796875</v>
      </c>
      <c r="E624" s="8">
        <v>0</v>
      </c>
      <c r="F624" s="8">
        <v>0</v>
      </c>
      <c r="G624" s="8">
        <v>68.422615051269531</v>
      </c>
      <c r="H624" s="18">
        <v>45.8953857421875</v>
      </c>
      <c r="I624" s="6">
        <v>1</v>
      </c>
      <c r="J624" s="6">
        <v>32337.509765625</v>
      </c>
      <c r="K624" s="6">
        <v>35479.0625</v>
      </c>
    </row>
    <row r="625" spans="1:11" x14ac:dyDescent="0.3">
      <c r="A625" s="6">
        <v>618</v>
      </c>
      <c r="B625" s="7">
        <v>26754</v>
      </c>
      <c r="C625" s="8">
        <v>4162</v>
      </c>
      <c r="D625" s="6">
        <v>7772.14892578125</v>
      </c>
      <c r="E625" s="8">
        <v>0</v>
      </c>
      <c r="F625" s="8">
        <v>0</v>
      </c>
      <c r="G625" s="8">
        <v>19.516128540039063</v>
      </c>
      <c r="H625" s="18">
        <v>46.520843505859375</v>
      </c>
      <c r="I625" s="6">
        <v>1</v>
      </c>
      <c r="J625" s="6">
        <v>15695.37890625</v>
      </c>
      <c r="K625" s="6">
        <v>17860.2265625</v>
      </c>
    </row>
    <row r="626" spans="1:11" x14ac:dyDescent="0.3">
      <c r="A626" s="6">
        <v>619</v>
      </c>
      <c r="B626" s="7">
        <v>26784</v>
      </c>
      <c r="C626" s="8">
        <v>4464.4716796875</v>
      </c>
      <c r="D626" s="6">
        <v>3250</v>
      </c>
      <c r="E626" s="8">
        <v>0</v>
      </c>
      <c r="F626" s="8">
        <v>411.989013671875</v>
      </c>
      <c r="G626" s="8">
        <v>453.39697265625</v>
      </c>
      <c r="H626" s="18">
        <v>50.581394195556641</v>
      </c>
      <c r="I626" s="6">
        <v>1</v>
      </c>
      <c r="J626" s="6">
        <v>5643.74951171875</v>
      </c>
      <c r="K626" s="6">
        <v>7162.39990234375</v>
      </c>
    </row>
    <row r="627" spans="1:11" x14ac:dyDescent="0.3">
      <c r="A627" s="6">
        <v>620</v>
      </c>
      <c r="B627" s="7">
        <v>26815</v>
      </c>
      <c r="C627" s="8">
        <v>4489.771484375</v>
      </c>
      <c r="D627" s="6">
        <v>6365.75537109375</v>
      </c>
      <c r="E627" s="8">
        <v>0</v>
      </c>
      <c r="F627" s="8">
        <v>753.90789794921875</v>
      </c>
      <c r="G627" s="8">
        <v>2250.21826171875</v>
      </c>
      <c r="H627" s="18">
        <v>51.265758514404297</v>
      </c>
      <c r="I627" s="6">
        <v>1</v>
      </c>
      <c r="J627" s="6">
        <v>7717.66845703125</v>
      </c>
      <c r="K627" s="6">
        <v>6950.75390625</v>
      </c>
    </row>
    <row r="628" spans="1:11" x14ac:dyDescent="0.3">
      <c r="A628" s="6">
        <v>621</v>
      </c>
      <c r="B628" s="7">
        <v>26845</v>
      </c>
      <c r="C628" s="8">
        <v>3919.55078125</v>
      </c>
      <c r="D628" s="6">
        <v>13158.140625</v>
      </c>
      <c r="E628" s="8">
        <v>0</v>
      </c>
      <c r="F628" s="8">
        <v>1050.899658203125</v>
      </c>
      <c r="G628" s="8">
        <v>2424.520751953125</v>
      </c>
      <c r="H628" s="18">
        <v>49.900630950927734</v>
      </c>
      <c r="I628" s="6">
        <v>0</v>
      </c>
      <c r="J628" s="6">
        <v>13016.783203125</v>
      </c>
      <c r="K628" s="6">
        <v>10993.0556640625</v>
      </c>
    </row>
    <row r="629" spans="1:11" x14ac:dyDescent="0.3">
      <c r="A629" s="6">
        <v>622</v>
      </c>
      <c r="B629" s="7">
        <v>26876</v>
      </c>
      <c r="C629" s="8">
        <v>3219.93359375</v>
      </c>
      <c r="D629" s="6">
        <v>16000</v>
      </c>
      <c r="E629" s="8">
        <v>778.645751953125</v>
      </c>
      <c r="F629" s="8">
        <v>1148.61376953125</v>
      </c>
      <c r="G629" s="8">
        <v>2522.65771484375</v>
      </c>
      <c r="H629" s="18">
        <v>50.579265594482422</v>
      </c>
      <c r="I629" s="6">
        <v>0</v>
      </c>
      <c r="J629" s="6">
        <v>15286.5888671875</v>
      </c>
      <c r="K629" s="6">
        <v>12812.5478515625</v>
      </c>
    </row>
    <row r="630" spans="1:11" x14ac:dyDescent="0.3">
      <c r="A630" s="6">
        <v>623</v>
      </c>
      <c r="B630" s="7">
        <v>26907</v>
      </c>
      <c r="C630" s="8">
        <v>3036.816162109375</v>
      </c>
      <c r="D630" s="6">
        <v>8767.9052734375</v>
      </c>
      <c r="E630" s="8">
        <v>266.08578491210938</v>
      </c>
      <c r="F630" s="8">
        <v>917.28619384765625</v>
      </c>
      <c r="G630" s="8">
        <v>1955.062255859375</v>
      </c>
      <c r="H630" s="18">
        <v>53.345657348632813</v>
      </c>
      <c r="I630" s="6">
        <v>0</v>
      </c>
      <c r="J630" s="6">
        <v>8351.583984375</v>
      </c>
      <c r="K630" s="6">
        <v>6416.98095703125</v>
      </c>
    </row>
    <row r="631" spans="1:11" x14ac:dyDescent="0.3">
      <c r="A631" s="6">
        <v>624</v>
      </c>
      <c r="B631" s="7">
        <v>26937</v>
      </c>
      <c r="C631" s="8">
        <v>2805.609619140625</v>
      </c>
      <c r="D631" s="6">
        <v>9257.0126953125</v>
      </c>
      <c r="E631" s="8">
        <v>632.89453125</v>
      </c>
      <c r="F631" s="8">
        <v>212.49430847167969</v>
      </c>
      <c r="G631" s="8">
        <v>624.94537353515625</v>
      </c>
      <c r="H631" s="18">
        <v>51.33740234375</v>
      </c>
      <c r="I631" s="6">
        <v>0</v>
      </c>
      <c r="J631" s="6">
        <v>9745.9521484375</v>
      </c>
      <c r="K631" s="6">
        <v>9216.833984375</v>
      </c>
    </row>
    <row r="632" spans="1:11" x14ac:dyDescent="0.3">
      <c r="A632" s="6">
        <v>625</v>
      </c>
      <c r="B632" s="7">
        <v>26968</v>
      </c>
      <c r="C632" s="8">
        <v>2929.00439453125</v>
      </c>
      <c r="D632" s="6">
        <v>5095.6708984375</v>
      </c>
      <c r="E632" s="8">
        <v>827.64825439453125</v>
      </c>
      <c r="F632" s="8">
        <v>73.716110229492188</v>
      </c>
      <c r="G632" s="8">
        <v>770.1591796875</v>
      </c>
      <c r="H632" s="18">
        <v>54.246318817138672</v>
      </c>
      <c r="I632" s="6">
        <v>1</v>
      </c>
      <c r="J632" s="6">
        <v>6465.09130859375</v>
      </c>
      <c r="K632" s="6">
        <v>6056.94921875</v>
      </c>
    </row>
    <row r="633" spans="1:11" x14ac:dyDescent="0.3">
      <c r="A633" s="6">
        <v>626</v>
      </c>
      <c r="B633" s="7">
        <v>26998</v>
      </c>
      <c r="C633" s="8">
        <v>3252</v>
      </c>
      <c r="D633" s="6">
        <v>28645.693359375</v>
      </c>
      <c r="E633" s="8">
        <v>0</v>
      </c>
      <c r="F633" s="8">
        <v>0</v>
      </c>
      <c r="G633" s="8">
        <v>315.9444580078125</v>
      </c>
      <c r="H633" s="18">
        <v>54.001991271972656</v>
      </c>
      <c r="I633" s="6">
        <v>1</v>
      </c>
      <c r="J633" s="6">
        <v>37602.10546875</v>
      </c>
      <c r="K633" s="6">
        <v>41115.41015625</v>
      </c>
    </row>
    <row r="634" spans="1:11" x14ac:dyDescent="0.3">
      <c r="A634" s="6">
        <v>627</v>
      </c>
      <c r="B634" s="7">
        <v>27029</v>
      </c>
      <c r="C634" s="8">
        <v>3267</v>
      </c>
      <c r="D634" s="6">
        <v>23947.720703125</v>
      </c>
      <c r="E634" s="8">
        <v>0</v>
      </c>
      <c r="F634" s="8">
        <v>0</v>
      </c>
      <c r="G634" s="8">
        <v>201.66667175292969</v>
      </c>
      <c r="H634" s="18">
        <v>48.482086181640625</v>
      </c>
      <c r="I634" s="6">
        <v>1</v>
      </c>
      <c r="J634" s="6">
        <v>33848.9296875</v>
      </c>
      <c r="K634" s="6">
        <v>37003.48828125</v>
      </c>
    </row>
    <row r="635" spans="1:11" x14ac:dyDescent="0.3">
      <c r="A635" s="6">
        <v>628</v>
      </c>
      <c r="B635" s="7">
        <v>27060</v>
      </c>
      <c r="C635" s="8">
        <v>3252</v>
      </c>
      <c r="D635" s="6">
        <v>39202.296875</v>
      </c>
      <c r="E635" s="8">
        <v>0</v>
      </c>
      <c r="F635" s="8">
        <v>0</v>
      </c>
      <c r="G635" s="8">
        <v>74.81182861328125</v>
      </c>
      <c r="H635" s="18">
        <v>45.333965301513672</v>
      </c>
      <c r="I635" s="6">
        <v>1</v>
      </c>
      <c r="J635" s="6">
        <v>58900.953125</v>
      </c>
      <c r="K635" s="6">
        <v>65649.8359375</v>
      </c>
    </row>
    <row r="636" spans="1:11" x14ac:dyDescent="0.3">
      <c r="A636" s="6">
        <v>629</v>
      </c>
      <c r="B636" s="7">
        <v>27088</v>
      </c>
      <c r="C636" s="8">
        <v>3694</v>
      </c>
      <c r="D636" s="6">
        <v>5398.69189453125</v>
      </c>
      <c r="E636" s="8">
        <v>0</v>
      </c>
      <c r="F636" s="8">
        <v>0</v>
      </c>
      <c r="G636" s="8">
        <v>68.422615051269531</v>
      </c>
      <c r="H636" s="18">
        <v>45.2581787109375</v>
      </c>
      <c r="I636" s="6">
        <v>1</v>
      </c>
      <c r="J636" s="6">
        <v>10400.314453125</v>
      </c>
      <c r="K636" s="6">
        <v>11928.056640625</v>
      </c>
    </row>
    <row r="637" spans="1:11" x14ac:dyDescent="0.3">
      <c r="A637" s="6">
        <v>630</v>
      </c>
      <c r="B637" s="7">
        <v>27119</v>
      </c>
      <c r="C637" s="8">
        <v>3416</v>
      </c>
      <c r="D637" s="6">
        <v>34993.88671875</v>
      </c>
      <c r="E637" s="8">
        <v>0</v>
      </c>
      <c r="F637" s="8">
        <v>0</v>
      </c>
      <c r="G637" s="8">
        <v>19.516128540039063</v>
      </c>
      <c r="H637" s="18">
        <v>45.308208465576172</v>
      </c>
      <c r="I637" s="6">
        <v>1</v>
      </c>
      <c r="J637" s="6">
        <v>46784.59765625</v>
      </c>
      <c r="K637" s="6">
        <v>51827.30078125</v>
      </c>
    </row>
    <row r="638" spans="1:11" x14ac:dyDescent="0.3">
      <c r="A638" s="6">
        <v>631</v>
      </c>
      <c r="B638" s="7">
        <v>27149</v>
      </c>
      <c r="C638" s="8">
        <v>4289</v>
      </c>
      <c r="D638" s="6">
        <v>5857.21484375</v>
      </c>
      <c r="E638" s="8">
        <v>0</v>
      </c>
      <c r="F638" s="8">
        <v>44.716442108154297</v>
      </c>
      <c r="G638" s="8">
        <v>403.17050170898438</v>
      </c>
      <c r="H638" s="18">
        <v>48.415458679199219</v>
      </c>
      <c r="I638" s="6">
        <v>1</v>
      </c>
      <c r="J638" s="6">
        <v>14827.8642578125</v>
      </c>
      <c r="K638" s="6">
        <v>17738.8359375</v>
      </c>
    </row>
    <row r="639" spans="1:11" x14ac:dyDescent="0.3">
      <c r="A639" s="6">
        <v>632</v>
      </c>
      <c r="B639" s="7">
        <v>27180</v>
      </c>
      <c r="C639" s="8">
        <v>4515.02880859375</v>
      </c>
      <c r="D639" s="6">
        <v>5594.63427734375</v>
      </c>
      <c r="E639" s="8">
        <v>0</v>
      </c>
      <c r="F639" s="8">
        <v>762.792724609375</v>
      </c>
      <c r="G639" s="8">
        <v>2255.40283203125</v>
      </c>
      <c r="H639" s="18">
        <v>50.93426513671875</v>
      </c>
      <c r="I639" s="6">
        <v>1</v>
      </c>
      <c r="J639" s="6">
        <v>7113.98828125</v>
      </c>
      <c r="K639" s="6">
        <v>6606.150390625</v>
      </c>
    </row>
    <row r="640" spans="1:11" x14ac:dyDescent="0.3">
      <c r="A640" s="6">
        <v>633</v>
      </c>
      <c r="B640" s="7">
        <v>27210</v>
      </c>
      <c r="C640" s="8">
        <v>4359.88232421875</v>
      </c>
      <c r="D640" s="6">
        <v>8124.50732421875</v>
      </c>
      <c r="E640" s="8">
        <v>0</v>
      </c>
      <c r="F640" s="8">
        <v>1221.2120361328125</v>
      </c>
      <c r="G640" s="8">
        <v>2328.534912109375</v>
      </c>
      <c r="H640" s="18">
        <v>51.255088806152344</v>
      </c>
      <c r="I640" s="6">
        <v>1</v>
      </c>
      <c r="J640" s="6">
        <v>8513.6240234375</v>
      </c>
      <c r="K640" s="6">
        <v>7133.66845703125</v>
      </c>
    </row>
    <row r="641" spans="1:11" x14ac:dyDescent="0.3">
      <c r="A641" s="6">
        <v>634</v>
      </c>
      <c r="B641" s="7">
        <v>27241</v>
      </c>
      <c r="C641" s="8">
        <v>3927.6494140625</v>
      </c>
      <c r="D641" s="6">
        <v>12602.3798828125</v>
      </c>
      <c r="E641" s="8">
        <v>16.463848114013672</v>
      </c>
      <c r="F641" s="8">
        <v>1157.809326171875</v>
      </c>
      <c r="G641" s="8">
        <v>2265.91064453125</v>
      </c>
      <c r="H641" s="18">
        <v>51.680782318115234</v>
      </c>
      <c r="I641" s="6">
        <v>0</v>
      </c>
      <c r="J641" s="6">
        <v>12681.6240234375</v>
      </c>
      <c r="K641" s="6">
        <v>10850.3271484375</v>
      </c>
    </row>
    <row r="642" spans="1:11" x14ac:dyDescent="0.3">
      <c r="A642" s="6">
        <v>635</v>
      </c>
      <c r="B642" s="7">
        <v>27272</v>
      </c>
      <c r="C642" s="8">
        <v>3665.708251953125</v>
      </c>
      <c r="D642" s="6">
        <v>9595.3408203125</v>
      </c>
      <c r="E642" s="8">
        <v>0</v>
      </c>
      <c r="F642" s="8">
        <v>1079.9541015625</v>
      </c>
      <c r="G642" s="8">
        <v>2128.03125</v>
      </c>
      <c r="H642" s="18">
        <v>53.037139892578125</v>
      </c>
      <c r="I642" s="6">
        <v>0</v>
      </c>
      <c r="J642" s="6">
        <v>8947.3857421875</v>
      </c>
      <c r="K642" s="6">
        <v>6988.53369140625</v>
      </c>
    </row>
    <row r="643" spans="1:11" x14ac:dyDescent="0.3">
      <c r="A643" s="6">
        <v>636</v>
      </c>
      <c r="B643" s="7">
        <v>27302</v>
      </c>
      <c r="C643" s="8">
        <v>3201.753173828125</v>
      </c>
      <c r="D643" s="6">
        <v>13073.03125</v>
      </c>
      <c r="E643" s="8">
        <v>0</v>
      </c>
      <c r="F643" s="8">
        <v>301.14410400390625</v>
      </c>
      <c r="G643" s="8">
        <v>632.9815673828125</v>
      </c>
      <c r="H643" s="18">
        <v>51.421527862548828</v>
      </c>
      <c r="I643" s="6">
        <v>0</v>
      </c>
      <c r="J643" s="6">
        <v>13334.2861328125</v>
      </c>
      <c r="K643" s="6">
        <v>12863.8134765625</v>
      </c>
    </row>
    <row r="644" spans="1:11" x14ac:dyDescent="0.3">
      <c r="A644" s="6">
        <v>637</v>
      </c>
      <c r="B644" s="7">
        <v>27333</v>
      </c>
      <c r="C644" s="8">
        <v>2969.075927734375</v>
      </c>
      <c r="D644" s="6">
        <v>8795.67578125</v>
      </c>
      <c r="E644" s="8">
        <v>1233.3179931640625</v>
      </c>
      <c r="F644" s="8">
        <v>114.01310729980469</v>
      </c>
      <c r="G644" s="8">
        <v>790.83123779296875</v>
      </c>
      <c r="H644" s="18">
        <v>54.474369049072266</v>
      </c>
      <c r="I644" s="6">
        <v>0</v>
      </c>
      <c r="J644" s="6">
        <v>9664.763671875</v>
      </c>
      <c r="K644" s="6">
        <v>9206.2685546875</v>
      </c>
    </row>
    <row r="645" spans="1:11" x14ac:dyDescent="0.3">
      <c r="A645" s="6">
        <v>638</v>
      </c>
      <c r="B645" s="7">
        <v>27363</v>
      </c>
      <c r="C645" s="8">
        <v>2563.875</v>
      </c>
      <c r="D645" s="6">
        <v>12443.0205078125</v>
      </c>
      <c r="E645" s="8">
        <v>1391.8277587890625</v>
      </c>
      <c r="F645" s="8">
        <v>1.9581995010375977</v>
      </c>
      <c r="G645" s="8">
        <v>540.65240478515625</v>
      </c>
      <c r="H645" s="18">
        <v>55.472938537597656</v>
      </c>
      <c r="I645" s="6">
        <v>0</v>
      </c>
      <c r="J645" s="6">
        <v>13922.029296875</v>
      </c>
      <c r="K645" s="6">
        <v>13781.2158203125</v>
      </c>
    </row>
    <row r="646" spans="1:11" x14ac:dyDescent="0.3">
      <c r="A646" s="6">
        <v>639</v>
      </c>
      <c r="B646" s="7">
        <v>27394</v>
      </c>
      <c r="C646" s="8">
        <v>2757.164306640625</v>
      </c>
      <c r="D646" s="6">
        <v>3250</v>
      </c>
      <c r="E646" s="8">
        <v>0</v>
      </c>
      <c r="F646" s="8">
        <v>0</v>
      </c>
      <c r="G646" s="8">
        <v>172.39247131347656</v>
      </c>
      <c r="H646" s="18">
        <v>51.312717437744141</v>
      </c>
      <c r="I646" s="6">
        <v>1</v>
      </c>
      <c r="J646" s="6">
        <v>6297.68505859375</v>
      </c>
      <c r="K646" s="6">
        <v>6736.4111328125</v>
      </c>
    </row>
    <row r="647" spans="1:11" x14ac:dyDescent="0.3">
      <c r="A647" s="6">
        <v>640</v>
      </c>
      <c r="B647" s="7">
        <v>27425</v>
      </c>
      <c r="C647" s="8">
        <v>2915.905029296875</v>
      </c>
      <c r="D647" s="6">
        <v>3250</v>
      </c>
      <c r="E647" s="8">
        <v>0</v>
      </c>
      <c r="F647" s="8">
        <v>0</v>
      </c>
      <c r="G647" s="8">
        <v>139.86558532714844</v>
      </c>
      <c r="H647" s="18">
        <v>48.417957305908203</v>
      </c>
      <c r="I647" s="6">
        <v>1</v>
      </c>
      <c r="J647" s="6">
        <v>5906.31787109375</v>
      </c>
      <c r="K647" s="6">
        <v>6451.7001953125</v>
      </c>
    </row>
    <row r="648" spans="1:11" x14ac:dyDescent="0.3">
      <c r="A648" s="6">
        <v>641</v>
      </c>
      <c r="B648" s="7">
        <v>27453</v>
      </c>
      <c r="C648" s="8">
        <v>3848.717529296875</v>
      </c>
      <c r="D648" s="6">
        <v>3250</v>
      </c>
      <c r="E648" s="8">
        <v>0</v>
      </c>
      <c r="F648" s="8">
        <v>0</v>
      </c>
      <c r="G648" s="8">
        <v>68.422615051269531</v>
      </c>
      <c r="H648" s="18">
        <v>47.852882385253906</v>
      </c>
      <c r="I648" s="6">
        <v>1</v>
      </c>
      <c r="J648" s="6">
        <v>14218.416015625</v>
      </c>
      <c r="K648" s="6">
        <v>17435.2421875</v>
      </c>
    </row>
    <row r="649" spans="1:11" x14ac:dyDescent="0.3">
      <c r="A649" s="6">
        <v>642</v>
      </c>
      <c r="B649" s="7">
        <v>27484</v>
      </c>
      <c r="C649" s="8">
        <v>3756</v>
      </c>
      <c r="D649" s="6">
        <v>26853.83203125</v>
      </c>
      <c r="E649" s="8">
        <v>0</v>
      </c>
      <c r="F649" s="8">
        <v>0</v>
      </c>
      <c r="G649" s="8">
        <v>19.516128540039063</v>
      </c>
      <c r="H649" s="18">
        <v>46.823501586914063</v>
      </c>
      <c r="I649" s="6">
        <v>1</v>
      </c>
      <c r="J649" s="6">
        <v>40790.90625</v>
      </c>
      <c r="K649" s="6">
        <v>45252.5859375</v>
      </c>
    </row>
    <row r="650" spans="1:11" x14ac:dyDescent="0.3">
      <c r="A650" s="6">
        <v>643</v>
      </c>
      <c r="B650" s="7">
        <v>27514</v>
      </c>
      <c r="C650" s="8">
        <v>4449.69873046875</v>
      </c>
      <c r="D650" s="6">
        <v>3250</v>
      </c>
      <c r="E650" s="8">
        <v>0</v>
      </c>
      <c r="F650" s="8">
        <v>348.71612548828125</v>
      </c>
      <c r="G650" s="8">
        <v>422.25656127929688</v>
      </c>
      <c r="H650" s="18">
        <v>50.470378875732422</v>
      </c>
      <c r="I650" s="6">
        <v>1</v>
      </c>
      <c r="J650" s="6">
        <v>7298.36962890625</v>
      </c>
      <c r="K650" s="6">
        <v>8977.24609375</v>
      </c>
    </row>
    <row r="651" spans="1:11" x14ac:dyDescent="0.3">
      <c r="A651" s="6">
        <v>644</v>
      </c>
      <c r="B651" s="7">
        <v>27545</v>
      </c>
      <c r="C651" s="8">
        <v>4552</v>
      </c>
      <c r="D651" s="6">
        <v>9954.1455078125</v>
      </c>
      <c r="E651" s="8">
        <v>0</v>
      </c>
      <c r="F651" s="8">
        <v>880.44073486328125</v>
      </c>
      <c r="G651" s="8">
        <v>2314.501708984375</v>
      </c>
      <c r="H651" s="18">
        <v>50.279342651367188</v>
      </c>
      <c r="I651" s="6">
        <v>1</v>
      </c>
      <c r="J651" s="6">
        <v>11997.0693359375</v>
      </c>
      <c r="K651" s="6">
        <v>12351.2978515625</v>
      </c>
    </row>
    <row r="652" spans="1:11" x14ac:dyDescent="0.3">
      <c r="A652" s="6">
        <v>645</v>
      </c>
      <c r="B652" s="7">
        <v>27575</v>
      </c>
      <c r="C652" s="8">
        <v>4422.015625</v>
      </c>
      <c r="D652" s="6">
        <v>8908.6064453125</v>
      </c>
      <c r="E652" s="8">
        <v>0</v>
      </c>
      <c r="F652" s="8">
        <v>1191.22607421875</v>
      </c>
      <c r="G652" s="8">
        <v>2278.943359375</v>
      </c>
      <c r="H652" s="18">
        <v>51.962612152099609</v>
      </c>
      <c r="I652" s="6">
        <v>1</v>
      </c>
      <c r="J652" s="6">
        <v>8993.5166015625</v>
      </c>
      <c r="K652" s="6">
        <v>7908.95458984375</v>
      </c>
    </row>
    <row r="653" spans="1:11" x14ac:dyDescent="0.3">
      <c r="A653" s="6">
        <v>646</v>
      </c>
      <c r="B653" s="7">
        <v>27606</v>
      </c>
      <c r="C653" s="8">
        <v>3940.190673828125</v>
      </c>
      <c r="D653" s="6">
        <v>13871.7421875</v>
      </c>
      <c r="E653" s="8">
        <v>0</v>
      </c>
      <c r="F653" s="8">
        <v>1259.2373046875</v>
      </c>
      <c r="G653" s="8">
        <v>2566.025634765625</v>
      </c>
      <c r="H653" s="18">
        <v>52.175071716308594</v>
      </c>
      <c r="I653" s="6">
        <v>0</v>
      </c>
      <c r="J653" s="6">
        <v>13029.5517578125</v>
      </c>
      <c r="K653" s="6">
        <v>10763.787109375</v>
      </c>
    </row>
    <row r="654" spans="1:11" x14ac:dyDescent="0.3">
      <c r="A654" s="6">
        <v>647</v>
      </c>
      <c r="B654" s="7">
        <v>27637</v>
      </c>
      <c r="C654" s="8">
        <v>3653.91162109375</v>
      </c>
      <c r="D654" s="6">
        <v>9763.0234375</v>
      </c>
      <c r="E654" s="8">
        <v>0</v>
      </c>
      <c r="F654" s="8">
        <v>1017.1085205078125</v>
      </c>
      <c r="G654" s="8">
        <v>2104.5</v>
      </c>
      <c r="H654" s="18">
        <v>52.693984985351563</v>
      </c>
      <c r="I654" s="6">
        <v>1</v>
      </c>
      <c r="J654" s="6">
        <v>9077.798828125</v>
      </c>
      <c r="K654" s="6">
        <v>7126.98193359375</v>
      </c>
    </row>
    <row r="655" spans="1:11" x14ac:dyDescent="0.3">
      <c r="A655" s="6">
        <v>648</v>
      </c>
      <c r="B655" s="7">
        <v>27667</v>
      </c>
      <c r="C655" s="8">
        <v>3139.902587890625</v>
      </c>
      <c r="D655" s="6">
        <v>15090.4443359375</v>
      </c>
      <c r="E655" s="8">
        <v>0</v>
      </c>
      <c r="F655" s="8">
        <v>280.24822998046875</v>
      </c>
      <c r="G655" s="8">
        <v>632.9815673828125</v>
      </c>
      <c r="H655" s="18">
        <v>51.558666229248047</v>
      </c>
      <c r="I655" s="6">
        <v>0</v>
      </c>
      <c r="J655" s="6">
        <v>15242.9150390625</v>
      </c>
      <c r="K655" s="6">
        <v>14755.9150390625</v>
      </c>
    </row>
    <row r="656" spans="1:11" x14ac:dyDescent="0.3">
      <c r="A656" s="6">
        <v>649</v>
      </c>
      <c r="B656" s="7">
        <v>27698</v>
      </c>
      <c r="C656" s="8">
        <v>3184.2939453125</v>
      </c>
      <c r="D656" s="6">
        <v>6099.3173828125</v>
      </c>
      <c r="E656" s="8">
        <v>935.7257080078125</v>
      </c>
      <c r="F656" s="8">
        <v>63.380466461181641</v>
      </c>
      <c r="G656" s="8">
        <v>746.28741455078125</v>
      </c>
      <c r="H656" s="18">
        <v>54.491847991943359</v>
      </c>
      <c r="I656" s="6">
        <v>1</v>
      </c>
      <c r="J656" s="6">
        <v>7766.7548828125</v>
      </c>
      <c r="K656" s="6">
        <v>7456.25244140625</v>
      </c>
    </row>
    <row r="657" spans="1:11" x14ac:dyDescent="0.3">
      <c r="A657" s="6">
        <v>650</v>
      </c>
      <c r="B657" s="7">
        <v>27728</v>
      </c>
      <c r="C657" s="8">
        <v>2930.957275390625</v>
      </c>
      <c r="D657" s="6">
        <v>9969.369140625</v>
      </c>
      <c r="E657" s="8">
        <v>1105.79541015625</v>
      </c>
      <c r="F657" s="8">
        <v>3.7425196170806885</v>
      </c>
      <c r="G657" s="8">
        <v>564.455322265625</v>
      </c>
      <c r="H657" s="18">
        <v>55.230937957763672</v>
      </c>
      <c r="I657" s="6">
        <v>1</v>
      </c>
      <c r="J657" s="6">
        <v>11395.798828125</v>
      </c>
      <c r="K657" s="6">
        <v>11352.234375</v>
      </c>
    </row>
    <row r="658" spans="1:11" x14ac:dyDescent="0.3">
      <c r="A658" s="6">
        <v>651</v>
      </c>
      <c r="B658" s="7">
        <v>27759</v>
      </c>
      <c r="C658" s="8">
        <v>3056.103759765625</v>
      </c>
      <c r="D658" s="6">
        <v>3250</v>
      </c>
      <c r="E658" s="8">
        <v>0</v>
      </c>
      <c r="F658" s="8">
        <v>0</v>
      </c>
      <c r="G658" s="8">
        <v>295.99462890625</v>
      </c>
      <c r="H658" s="18">
        <v>51.334850311279297</v>
      </c>
      <c r="I658" s="6">
        <v>1</v>
      </c>
      <c r="J658" s="6">
        <v>5137.01708984375</v>
      </c>
      <c r="K658" s="6">
        <v>5341.76171875</v>
      </c>
    </row>
    <row r="659" spans="1:11" x14ac:dyDescent="0.3">
      <c r="A659" s="6">
        <v>652</v>
      </c>
      <c r="B659" s="7">
        <v>27790</v>
      </c>
      <c r="C659" s="8">
        <v>3331.877197265625</v>
      </c>
      <c r="D659" s="6">
        <v>3250</v>
      </c>
      <c r="E659" s="8">
        <v>0</v>
      </c>
      <c r="F659" s="8">
        <v>0</v>
      </c>
      <c r="G659" s="8">
        <v>146.3709716796875</v>
      </c>
      <c r="H659" s="18">
        <v>50.185283660888672</v>
      </c>
      <c r="I659" s="6">
        <v>1</v>
      </c>
      <c r="J659" s="6">
        <v>4614.15478515625</v>
      </c>
      <c r="K659" s="6">
        <v>4843.81640625</v>
      </c>
    </row>
    <row r="660" spans="1:11" x14ac:dyDescent="0.3">
      <c r="A660" s="6">
        <v>653</v>
      </c>
      <c r="B660" s="7">
        <v>27819</v>
      </c>
      <c r="C660" s="8">
        <v>3473.90771484375</v>
      </c>
      <c r="D660" s="6">
        <v>3784.426025390625</v>
      </c>
      <c r="E660" s="8">
        <v>0</v>
      </c>
      <c r="F660" s="8">
        <v>75.149269104003906</v>
      </c>
      <c r="G660" s="8">
        <v>61.229343414306641</v>
      </c>
      <c r="H660" s="18">
        <v>49.222003936767578</v>
      </c>
      <c r="I660" s="6">
        <v>1</v>
      </c>
      <c r="J660" s="6">
        <v>6921.56640625</v>
      </c>
      <c r="K660" s="6">
        <v>7550.048828125</v>
      </c>
    </row>
    <row r="661" spans="1:11" x14ac:dyDescent="0.3">
      <c r="A661" s="6">
        <v>654</v>
      </c>
      <c r="B661" s="7">
        <v>27850</v>
      </c>
      <c r="C661" s="8">
        <v>3705.854736328125</v>
      </c>
      <c r="D661" s="6">
        <v>3250</v>
      </c>
      <c r="E661" s="8">
        <v>0</v>
      </c>
      <c r="F661" s="8">
        <v>118.08795928955078</v>
      </c>
      <c r="G661" s="8">
        <v>211.6727294921875</v>
      </c>
      <c r="H661" s="18">
        <v>50.294597625732422</v>
      </c>
      <c r="I661" s="6">
        <v>1</v>
      </c>
      <c r="J661" s="6">
        <v>6061.4150390625</v>
      </c>
      <c r="K661" s="6">
        <v>6570.9833984375</v>
      </c>
    </row>
    <row r="662" spans="1:11" x14ac:dyDescent="0.3">
      <c r="A662" s="6">
        <v>655</v>
      </c>
      <c r="B662" s="7">
        <v>27880</v>
      </c>
      <c r="C662" s="8">
        <v>3878.489990234375</v>
      </c>
      <c r="D662" s="6">
        <v>3250</v>
      </c>
      <c r="E662" s="8">
        <v>0</v>
      </c>
      <c r="F662" s="8">
        <v>162.41636657714844</v>
      </c>
      <c r="G662" s="8">
        <v>525.2208251953125</v>
      </c>
      <c r="H662" s="18">
        <v>51.587924957275391</v>
      </c>
      <c r="I662" s="6">
        <v>1</v>
      </c>
      <c r="J662" s="6">
        <v>5135.03662109375</v>
      </c>
      <c r="K662" s="6">
        <v>5238.28173828125</v>
      </c>
    </row>
    <row r="663" spans="1:11" x14ac:dyDescent="0.3">
      <c r="A663" s="6">
        <v>656</v>
      </c>
      <c r="B663" s="7">
        <v>27911</v>
      </c>
      <c r="C663" s="8">
        <v>3615.4599609375</v>
      </c>
      <c r="D663" s="6">
        <v>10081.5947265625</v>
      </c>
      <c r="E663" s="8">
        <v>0</v>
      </c>
      <c r="F663" s="8">
        <v>197.63545227050781</v>
      </c>
      <c r="G663" s="8">
        <v>2397.456298828125</v>
      </c>
      <c r="H663" s="18">
        <v>51.443138122558594</v>
      </c>
      <c r="I663" s="6">
        <v>0</v>
      </c>
      <c r="J663" s="6">
        <v>10644.630859375</v>
      </c>
      <c r="K663" s="6">
        <v>8619.0458984375</v>
      </c>
    </row>
    <row r="664" spans="1:11" x14ac:dyDescent="0.3">
      <c r="A664" s="6">
        <v>657</v>
      </c>
      <c r="B664" s="7">
        <v>27941</v>
      </c>
      <c r="C664" s="8">
        <v>3290.374755859375</v>
      </c>
      <c r="D664" s="6">
        <v>9693.1298828125</v>
      </c>
      <c r="E664" s="8">
        <v>0</v>
      </c>
      <c r="F664" s="8">
        <v>220.81330871582031</v>
      </c>
      <c r="G664" s="8">
        <v>2496.31787109375</v>
      </c>
      <c r="H664" s="18">
        <v>52.964691162109375</v>
      </c>
      <c r="I664" s="6">
        <v>0</v>
      </c>
      <c r="J664" s="6">
        <v>9640.6259765625</v>
      </c>
      <c r="K664" s="6">
        <v>7203.7568359375</v>
      </c>
    </row>
    <row r="665" spans="1:11" x14ac:dyDescent="0.3">
      <c r="A665" s="6">
        <v>658</v>
      </c>
      <c r="B665" s="7">
        <v>27972</v>
      </c>
      <c r="C665" s="8">
        <v>2839.34033203125</v>
      </c>
      <c r="D665" s="6">
        <v>13307.634765625</v>
      </c>
      <c r="E665" s="8">
        <v>2059.42822265625</v>
      </c>
      <c r="F665" s="8">
        <v>243.29853820800781</v>
      </c>
      <c r="G665" s="8">
        <v>2326.644775390625</v>
      </c>
      <c r="H665" s="18">
        <v>54.076438903808594</v>
      </c>
      <c r="I665" s="6">
        <v>0</v>
      </c>
      <c r="J665" s="6">
        <v>12854.9404296875</v>
      </c>
      <c r="K665" s="6">
        <v>10559.2763671875</v>
      </c>
    </row>
    <row r="666" spans="1:11" x14ac:dyDescent="0.3">
      <c r="A666" s="6">
        <v>659</v>
      </c>
      <c r="B666" s="7">
        <v>28003</v>
      </c>
      <c r="C666" s="8">
        <v>2782.0380859375</v>
      </c>
      <c r="D666" s="6">
        <v>6638.78515625</v>
      </c>
      <c r="E666" s="8">
        <v>1948.8914794921875</v>
      </c>
      <c r="F666" s="8">
        <v>178.02534484863281</v>
      </c>
      <c r="G666" s="8">
        <v>1761.2723388671875</v>
      </c>
      <c r="H666" s="18">
        <v>56.425838470458984</v>
      </c>
      <c r="I666" s="6">
        <v>0</v>
      </c>
      <c r="J666" s="6">
        <v>6930.10107421875</v>
      </c>
      <c r="K666" s="6">
        <v>5203.021484375</v>
      </c>
    </row>
    <row r="667" spans="1:11" x14ac:dyDescent="0.3">
      <c r="A667" s="6">
        <v>660</v>
      </c>
      <c r="B667" s="7">
        <v>28033</v>
      </c>
      <c r="C667" s="8">
        <v>2776.3486328125</v>
      </c>
      <c r="D667" s="6">
        <v>4880.931640625</v>
      </c>
      <c r="E667" s="8">
        <v>1649.7568359375</v>
      </c>
      <c r="F667" s="8">
        <v>76.930084228515625</v>
      </c>
      <c r="G667" s="8">
        <v>607.68829345703125</v>
      </c>
      <c r="H667" s="18">
        <v>56.418403625488281</v>
      </c>
      <c r="I667" s="6">
        <v>1</v>
      </c>
      <c r="J667" s="6">
        <v>5379.46435546875</v>
      </c>
      <c r="K667" s="6">
        <v>4857.18115234375</v>
      </c>
    </row>
    <row r="668" spans="1:11" x14ac:dyDescent="0.3">
      <c r="A668" s="6">
        <v>661</v>
      </c>
      <c r="B668" s="7">
        <v>28064</v>
      </c>
      <c r="C668" s="8">
        <v>2573.72705078125</v>
      </c>
      <c r="D668" s="6">
        <v>7729.85302734375</v>
      </c>
      <c r="E668" s="8">
        <v>1735.9190673828125</v>
      </c>
      <c r="F668" s="8">
        <v>82.802757263183594</v>
      </c>
      <c r="G668" s="8">
        <v>838.15771484375</v>
      </c>
      <c r="H668" s="18">
        <v>55.343902587890625</v>
      </c>
      <c r="I668" s="6">
        <v>0</v>
      </c>
      <c r="J668" s="6">
        <v>8141.64599609375</v>
      </c>
      <c r="K668" s="6">
        <v>7442.82861328125</v>
      </c>
    </row>
    <row r="669" spans="1:11" x14ac:dyDescent="0.3">
      <c r="A669" s="6">
        <v>662</v>
      </c>
      <c r="B669" s="7">
        <v>28094</v>
      </c>
      <c r="C669" s="8">
        <v>2443.153564453125</v>
      </c>
      <c r="D669" s="6">
        <v>7393.74560546875</v>
      </c>
      <c r="E669" s="8">
        <v>1444.778564453125</v>
      </c>
      <c r="F669" s="8">
        <v>1.0865371227264404</v>
      </c>
      <c r="G669" s="8">
        <v>552.90960693359375</v>
      </c>
      <c r="H669" s="18">
        <v>55.016986846923828</v>
      </c>
      <c r="I669" s="6">
        <v>0</v>
      </c>
      <c r="J669" s="6">
        <v>8160.6669921875</v>
      </c>
      <c r="K669" s="6">
        <v>7834.94873046875</v>
      </c>
    </row>
    <row r="670" spans="1:11" x14ac:dyDescent="0.3">
      <c r="A670" s="6">
        <v>663</v>
      </c>
      <c r="B670" s="7">
        <v>28125</v>
      </c>
      <c r="C670" s="8">
        <v>2327.12646484375</v>
      </c>
      <c r="D670" s="6">
        <v>5602.13818359375</v>
      </c>
      <c r="E670" s="8">
        <v>2446.426025390625</v>
      </c>
      <c r="F670" s="8">
        <v>0</v>
      </c>
      <c r="G670" s="8">
        <v>282.98385620117188</v>
      </c>
      <c r="H670" s="18">
        <v>51.809246063232422</v>
      </c>
      <c r="I670" s="6">
        <v>0</v>
      </c>
      <c r="J670" s="6">
        <v>6350.046875</v>
      </c>
      <c r="K670" s="6">
        <v>6300.6376953125</v>
      </c>
    </row>
    <row r="671" spans="1:11" x14ac:dyDescent="0.3">
      <c r="A671" s="6">
        <v>664</v>
      </c>
      <c r="B671" s="7">
        <v>28156</v>
      </c>
      <c r="C671" s="8">
        <v>2266.021484375</v>
      </c>
      <c r="D671" s="6">
        <v>4672.4873046875</v>
      </c>
      <c r="E671" s="8">
        <v>640.74871826171875</v>
      </c>
      <c r="F671" s="8">
        <v>0</v>
      </c>
      <c r="G671" s="8">
        <v>74.81182861328125</v>
      </c>
      <c r="H671" s="18">
        <v>48.970584869384766</v>
      </c>
      <c r="I671" s="6">
        <v>1</v>
      </c>
      <c r="J671" s="6">
        <v>6062.998046875</v>
      </c>
      <c r="K671" s="6">
        <v>6256.5400390625</v>
      </c>
    </row>
    <row r="672" spans="1:11" x14ac:dyDescent="0.3">
      <c r="A672" s="6">
        <v>665</v>
      </c>
      <c r="B672" s="7">
        <v>28184</v>
      </c>
      <c r="C672" s="8">
        <v>2226.056640625</v>
      </c>
      <c r="D672" s="6">
        <v>4417.24462890625</v>
      </c>
      <c r="E672" s="8">
        <v>734.33160400390625</v>
      </c>
      <c r="F672" s="8">
        <v>6.8407068252563477</v>
      </c>
      <c r="G672" s="8">
        <v>89.441734313964844</v>
      </c>
      <c r="H672" s="18">
        <v>48.799587249755859</v>
      </c>
      <c r="I672" s="6">
        <v>1</v>
      </c>
      <c r="J672" s="6">
        <v>5568.888671875</v>
      </c>
      <c r="K672" s="6">
        <v>5739.0322265625</v>
      </c>
    </row>
    <row r="673" spans="1:11" x14ac:dyDescent="0.3">
      <c r="A673" s="6">
        <v>666</v>
      </c>
      <c r="B673" s="7">
        <v>28215</v>
      </c>
      <c r="C673" s="8">
        <v>2184.4560546875</v>
      </c>
      <c r="D673" s="6">
        <v>4434.2861328125</v>
      </c>
      <c r="E673" s="8">
        <v>0</v>
      </c>
      <c r="F673" s="8">
        <v>74.385414123535156</v>
      </c>
      <c r="G673" s="8">
        <v>141.35145568847656</v>
      </c>
      <c r="H673" s="18">
        <v>49.348167419433594</v>
      </c>
      <c r="I673" s="6">
        <v>1</v>
      </c>
      <c r="J673" s="6">
        <v>5503.47705078125</v>
      </c>
      <c r="K673" s="6">
        <v>5614.94287109375</v>
      </c>
    </row>
    <row r="674" spans="1:11" x14ac:dyDescent="0.3">
      <c r="A674" s="6">
        <v>667</v>
      </c>
      <c r="B674" s="7">
        <v>28245</v>
      </c>
      <c r="C674" s="8">
        <v>1944.6558837890625</v>
      </c>
      <c r="D674" s="6">
        <v>7071.7509765625</v>
      </c>
      <c r="E674" s="8">
        <v>0</v>
      </c>
      <c r="F674" s="8">
        <v>201.60958862304688</v>
      </c>
      <c r="G674" s="8">
        <v>581.802490234375</v>
      </c>
      <c r="H674" s="18">
        <v>50.791873931884766</v>
      </c>
      <c r="I674" s="6">
        <v>0</v>
      </c>
      <c r="J674" s="6">
        <v>7259.45703125</v>
      </c>
      <c r="K674" s="6">
        <v>6804.1669921875</v>
      </c>
    </row>
    <row r="675" spans="1:11" x14ac:dyDescent="0.3">
      <c r="A675" s="6">
        <v>668</v>
      </c>
      <c r="B675" s="7">
        <v>28276</v>
      </c>
      <c r="C675" s="8">
        <v>1775.2607421875</v>
      </c>
      <c r="D675" s="6">
        <v>5902.6396484375</v>
      </c>
      <c r="E675" s="8">
        <v>0</v>
      </c>
      <c r="F675" s="8">
        <v>129.15513610839844</v>
      </c>
      <c r="G675" s="8">
        <v>1768.8984375</v>
      </c>
      <c r="H675" s="18">
        <v>52.327152252197266</v>
      </c>
      <c r="I675" s="6">
        <v>0</v>
      </c>
      <c r="J675" s="6">
        <v>7133.5703125</v>
      </c>
      <c r="K675" s="6">
        <v>5600.79150390625</v>
      </c>
    </row>
    <row r="676" spans="1:11" x14ac:dyDescent="0.3">
      <c r="A676" s="6">
        <v>669</v>
      </c>
      <c r="B676" s="7">
        <v>28306</v>
      </c>
      <c r="C676" s="8">
        <v>1227.3997802734375</v>
      </c>
      <c r="D676" s="6">
        <v>12227.62890625</v>
      </c>
      <c r="E676" s="8">
        <v>0</v>
      </c>
      <c r="F676" s="8">
        <v>215.26878356933594</v>
      </c>
      <c r="G676" s="8">
        <v>2477.72265625</v>
      </c>
      <c r="H676" s="18">
        <v>54.287090301513672</v>
      </c>
      <c r="I676" s="6">
        <v>0</v>
      </c>
      <c r="J676" s="6">
        <v>12220.8623046875</v>
      </c>
      <c r="K676" s="6">
        <v>9774.3154296875</v>
      </c>
    </row>
    <row r="677" spans="1:11" x14ac:dyDescent="0.3">
      <c r="A677" s="6">
        <v>670</v>
      </c>
      <c r="B677" s="7">
        <v>28337</v>
      </c>
      <c r="C677" s="8">
        <v>674.0113525390625</v>
      </c>
      <c r="D677" s="6">
        <v>12847.9814453125</v>
      </c>
      <c r="E677" s="8">
        <v>3140.7509765625</v>
      </c>
      <c r="F677" s="8">
        <v>236.5211181640625</v>
      </c>
      <c r="G677" s="8">
        <v>2273.37158203125</v>
      </c>
      <c r="H677" s="18">
        <v>56.79901123046875</v>
      </c>
      <c r="I677" s="6">
        <v>0</v>
      </c>
      <c r="J677" s="6">
        <v>12729.6533203125</v>
      </c>
      <c r="K677" s="6">
        <v>10486.8095703125</v>
      </c>
    </row>
    <row r="678" spans="1:11" x14ac:dyDescent="0.3">
      <c r="A678" s="6">
        <v>671</v>
      </c>
      <c r="B678" s="7">
        <v>28368</v>
      </c>
      <c r="C678" s="8">
        <v>550</v>
      </c>
      <c r="D678" s="6">
        <v>9187.60546875</v>
      </c>
      <c r="E678" s="8">
        <v>3103.3232421875</v>
      </c>
      <c r="F678" s="8">
        <v>189.63734436035156</v>
      </c>
      <c r="G678" s="8">
        <v>1795.085693359375</v>
      </c>
      <c r="H678" s="18">
        <v>63.466094970703125</v>
      </c>
      <c r="I678" s="6">
        <v>0</v>
      </c>
      <c r="J678" s="6">
        <v>9054.69921875</v>
      </c>
      <c r="K678" s="6">
        <v>7279.150390625</v>
      </c>
    </row>
    <row r="679" spans="1:11" x14ac:dyDescent="0.3">
      <c r="A679" s="6">
        <v>672</v>
      </c>
      <c r="B679" s="7">
        <v>28398</v>
      </c>
      <c r="C679" s="8">
        <v>550</v>
      </c>
      <c r="D679" s="6">
        <v>3988.2138671875</v>
      </c>
      <c r="E679" s="8">
        <v>2002.165283203125</v>
      </c>
      <c r="F679" s="8">
        <v>68.214370727539063</v>
      </c>
      <c r="G679" s="8">
        <v>459.622802734375</v>
      </c>
      <c r="H679" s="18">
        <v>67.516654968261719</v>
      </c>
      <c r="I679" s="6">
        <v>1</v>
      </c>
      <c r="J679" s="6">
        <v>4898.38525390625</v>
      </c>
      <c r="K679" s="6">
        <v>4501.80615234375</v>
      </c>
    </row>
    <row r="680" spans="1:11" x14ac:dyDescent="0.3">
      <c r="A680" s="6">
        <v>673</v>
      </c>
      <c r="B680" s="7">
        <v>28429</v>
      </c>
      <c r="C680" s="8">
        <v>550</v>
      </c>
      <c r="D680" s="6">
        <v>6561.17919921875</v>
      </c>
      <c r="E680" s="8">
        <v>1799.302734375</v>
      </c>
      <c r="F680" s="8">
        <v>82.164970397949219</v>
      </c>
      <c r="G680" s="8">
        <v>619.92987060546875</v>
      </c>
      <c r="H680" s="18">
        <v>62.458827972412109</v>
      </c>
      <c r="I680" s="6">
        <v>1</v>
      </c>
      <c r="J680" s="6">
        <v>6883.6123046875</v>
      </c>
      <c r="K680" s="6">
        <v>6387.3544921875</v>
      </c>
    </row>
    <row r="681" spans="1:11" x14ac:dyDescent="0.3">
      <c r="A681" s="6">
        <v>674</v>
      </c>
      <c r="B681" s="7">
        <v>28459</v>
      </c>
      <c r="C681" s="8">
        <v>592.39166259765625</v>
      </c>
      <c r="D681" s="6">
        <v>3364.319580078125</v>
      </c>
      <c r="E681" s="8">
        <v>1647.787109375</v>
      </c>
      <c r="F681" s="8">
        <v>8.4876546859741211</v>
      </c>
      <c r="G681" s="8">
        <v>330.85757446289063</v>
      </c>
      <c r="H681" s="18">
        <v>56.078895568847656</v>
      </c>
      <c r="I681" s="6">
        <v>1</v>
      </c>
      <c r="J681" s="6">
        <v>4948.33837890625</v>
      </c>
      <c r="K681" s="6">
        <v>5000.7158203125</v>
      </c>
    </row>
    <row r="682" spans="1:11" x14ac:dyDescent="0.3">
      <c r="A682" s="6">
        <v>675</v>
      </c>
      <c r="B682" s="7">
        <v>28490</v>
      </c>
      <c r="C682" s="8">
        <v>1096.1082763671875</v>
      </c>
      <c r="D682" s="6">
        <v>3250</v>
      </c>
      <c r="E682" s="8">
        <v>1898.17529296875</v>
      </c>
      <c r="F682" s="8">
        <v>0</v>
      </c>
      <c r="G682" s="8">
        <v>138.61135864257813</v>
      </c>
      <c r="H682" s="18">
        <v>49.416652679443359</v>
      </c>
      <c r="I682" s="6">
        <v>1</v>
      </c>
      <c r="J682" s="6">
        <v>9058.703125</v>
      </c>
      <c r="K682" s="6">
        <v>10349.8369140625</v>
      </c>
    </row>
    <row r="683" spans="1:11" x14ac:dyDescent="0.3">
      <c r="A683" s="6">
        <v>676</v>
      </c>
      <c r="B683" s="7">
        <v>28521</v>
      </c>
      <c r="C683" s="8">
        <v>3275.162841796875</v>
      </c>
      <c r="D683" s="6">
        <v>3712.478271484375</v>
      </c>
      <c r="E683" s="8">
        <v>0</v>
      </c>
      <c r="F683" s="8">
        <v>0</v>
      </c>
      <c r="G683" s="8">
        <v>56.44769287109375</v>
      </c>
      <c r="H683" s="18">
        <v>47.293106079101563</v>
      </c>
      <c r="I683" s="6">
        <v>1</v>
      </c>
      <c r="J683" s="6">
        <v>21226.021484375</v>
      </c>
      <c r="K683" s="6">
        <v>26408.35546875</v>
      </c>
    </row>
    <row r="684" spans="1:11" x14ac:dyDescent="0.3">
      <c r="A684" s="6">
        <v>677</v>
      </c>
      <c r="B684" s="7">
        <v>28549</v>
      </c>
      <c r="C684" s="8">
        <v>3567</v>
      </c>
      <c r="D684" s="6">
        <v>15874.5712890625</v>
      </c>
      <c r="E684" s="8">
        <v>0</v>
      </c>
      <c r="F684" s="8">
        <v>0</v>
      </c>
      <c r="G684" s="8">
        <v>51.695350646972656</v>
      </c>
      <c r="H684" s="18">
        <v>43.387691497802734</v>
      </c>
      <c r="I684" s="6">
        <v>1</v>
      </c>
      <c r="J684" s="6">
        <v>25701.3359375</v>
      </c>
      <c r="K684" s="6">
        <v>28866.51953125</v>
      </c>
    </row>
    <row r="685" spans="1:11" x14ac:dyDescent="0.3">
      <c r="A685" s="6">
        <v>678</v>
      </c>
      <c r="B685" s="7">
        <v>28580</v>
      </c>
      <c r="C685" s="8">
        <v>4000</v>
      </c>
      <c r="D685" s="6">
        <v>14030.4638671875</v>
      </c>
      <c r="E685" s="8">
        <v>0</v>
      </c>
      <c r="F685" s="8">
        <v>0</v>
      </c>
      <c r="G685" s="8">
        <v>19.516128540039063</v>
      </c>
      <c r="H685" s="18">
        <v>44.375923156738281</v>
      </c>
      <c r="I685" s="6">
        <v>1</v>
      </c>
      <c r="J685" s="6">
        <v>26679.52734375</v>
      </c>
      <c r="K685" s="6">
        <v>30644.7578125</v>
      </c>
    </row>
    <row r="686" spans="1:11" x14ac:dyDescent="0.3">
      <c r="A686" s="6">
        <v>679</v>
      </c>
      <c r="B686" s="7">
        <v>28610</v>
      </c>
      <c r="C686" s="8">
        <v>4552</v>
      </c>
      <c r="D686" s="6">
        <v>5366.947265625</v>
      </c>
      <c r="E686" s="8">
        <v>0</v>
      </c>
      <c r="F686" s="8">
        <v>14.349928855895996</v>
      </c>
      <c r="G686" s="8">
        <v>353.44631958007813</v>
      </c>
      <c r="H686" s="18">
        <v>47.174221038818359</v>
      </c>
      <c r="I686" s="6">
        <v>1</v>
      </c>
      <c r="J686" s="6">
        <v>13255.03125</v>
      </c>
      <c r="K686" s="6">
        <v>15402.8203125</v>
      </c>
    </row>
    <row r="687" spans="1:11" x14ac:dyDescent="0.3">
      <c r="A687" s="6">
        <v>680</v>
      </c>
      <c r="B687" s="7">
        <v>28641</v>
      </c>
      <c r="C687" s="8">
        <v>4552</v>
      </c>
      <c r="D687" s="6">
        <v>8295.84765625</v>
      </c>
      <c r="E687" s="8">
        <v>0</v>
      </c>
      <c r="F687" s="8">
        <v>802.34027099609375</v>
      </c>
      <c r="G687" s="8">
        <v>2254.8779296875</v>
      </c>
      <c r="H687" s="18">
        <v>48.754131317138672</v>
      </c>
      <c r="I687" s="6">
        <v>1</v>
      </c>
      <c r="J687" s="6">
        <v>9853.51171875</v>
      </c>
      <c r="K687" s="6">
        <v>9008.1298828125</v>
      </c>
    </row>
    <row r="688" spans="1:11" x14ac:dyDescent="0.3">
      <c r="A688" s="6">
        <v>681</v>
      </c>
      <c r="B688" s="7">
        <v>28671</v>
      </c>
      <c r="C688" s="8">
        <v>4231.4814453125</v>
      </c>
      <c r="D688" s="6">
        <v>9561.716796875</v>
      </c>
      <c r="E688" s="8">
        <v>0</v>
      </c>
      <c r="F688" s="8">
        <v>1242.423828125</v>
      </c>
      <c r="G688" s="8">
        <v>2349.44482421875</v>
      </c>
      <c r="H688" s="18">
        <v>49.9637451171875</v>
      </c>
      <c r="I688" s="6">
        <v>1</v>
      </c>
      <c r="J688" s="6">
        <v>9132.373046875</v>
      </c>
      <c r="K688" s="6">
        <v>7504.4521484375</v>
      </c>
    </row>
    <row r="689" spans="1:11" x14ac:dyDescent="0.3">
      <c r="A689" s="6">
        <v>682</v>
      </c>
      <c r="B689" s="7">
        <v>28702</v>
      </c>
      <c r="C689" s="8">
        <v>3678.985107421875</v>
      </c>
      <c r="D689" s="6">
        <v>13248.9892578125</v>
      </c>
      <c r="E689" s="8">
        <v>330.34906005859375</v>
      </c>
      <c r="F689" s="8">
        <v>1355.9876708984375</v>
      </c>
      <c r="G689" s="8">
        <v>2562.892822265625</v>
      </c>
      <c r="H689" s="18">
        <v>50.877964019775391</v>
      </c>
      <c r="I689" s="6">
        <v>0</v>
      </c>
      <c r="J689" s="6">
        <v>12139.916015625</v>
      </c>
      <c r="K689" s="6">
        <v>9768.9814453125</v>
      </c>
    </row>
    <row r="690" spans="1:11" x14ac:dyDescent="0.3">
      <c r="A690" s="6">
        <v>683</v>
      </c>
      <c r="B690" s="7">
        <v>28733</v>
      </c>
      <c r="C690" s="8">
        <v>3343.135986328125</v>
      </c>
      <c r="D690" s="6">
        <v>9687.9130859375</v>
      </c>
      <c r="E690" s="8">
        <v>138.08555603027344</v>
      </c>
      <c r="F690" s="8">
        <v>1082.69384765625</v>
      </c>
      <c r="G690" s="8">
        <v>1955.062255859375</v>
      </c>
      <c r="H690" s="18">
        <v>52.648380279541016</v>
      </c>
      <c r="I690" s="6">
        <v>0</v>
      </c>
      <c r="J690" s="6">
        <v>8662.8486328125</v>
      </c>
      <c r="K690" s="6">
        <v>6742.9677734375</v>
      </c>
    </row>
    <row r="691" spans="1:11" x14ac:dyDescent="0.3">
      <c r="A691" s="6">
        <v>684</v>
      </c>
      <c r="B691" s="7">
        <v>28763</v>
      </c>
      <c r="C691" s="8">
        <v>3233.942626953125</v>
      </c>
      <c r="D691" s="6">
        <v>6682.2802734375</v>
      </c>
      <c r="E691" s="8">
        <v>124.30649566650391</v>
      </c>
      <c r="F691" s="8">
        <v>195.9578857421875</v>
      </c>
      <c r="G691" s="8">
        <v>584.32666015625</v>
      </c>
      <c r="H691" s="18">
        <v>52.311916351318359</v>
      </c>
      <c r="I691" s="6">
        <v>1</v>
      </c>
      <c r="J691" s="6">
        <v>7141.048828125</v>
      </c>
      <c r="K691" s="6">
        <v>6705.35546875</v>
      </c>
    </row>
    <row r="692" spans="1:11" x14ac:dyDescent="0.3">
      <c r="A692" s="6">
        <v>685</v>
      </c>
      <c r="B692" s="7">
        <v>28794</v>
      </c>
      <c r="C692" s="8">
        <v>3130.838623046875</v>
      </c>
      <c r="D692" s="6">
        <v>5761.48193359375</v>
      </c>
      <c r="E692" s="8">
        <v>308.338623046875</v>
      </c>
      <c r="F692" s="8">
        <v>243.29560852050781</v>
      </c>
      <c r="G692" s="8">
        <v>853.43670654296875</v>
      </c>
      <c r="H692" s="18">
        <v>54.826423645019531</v>
      </c>
      <c r="I692" s="6">
        <v>0</v>
      </c>
      <c r="J692" s="6">
        <v>5950.43359375</v>
      </c>
      <c r="K692" s="6">
        <v>5256.5380859375</v>
      </c>
    </row>
    <row r="693" spans="1:11" x14ac:dyDescent="0.3">
      <c r="A693" s="6">
        <v>686</v>
      </c>
      <c r="B693" s="7">
        <v>28824</v>
      </c>
      <c r="C693" s="8">
        <v>2833.3759765625</v>
      </c>
      <c r="D693" s="6">
        <v>9181.615234375</v>
      </c>
      <c r="E693" s="8">
        <v>283.46884155273438</v>
      </c>
      <c r="F693" s="8">
        <v>0</v>
      </c>
      <c r="G693" s="8">
        <v>480.63888549804688</v>
      </c>
      <c r="H693" s="18">
        <v>54.308971405029297</v>
      </c>
      <c r="I693" s="6">
        <v>1</v>
      </c>
      <c r="J693" s="6">
        <v>10132.2744140625</v>
      </c>
      <c r="K693" s="6">
        <v>9927.9208984375</v>
      </c>
    </row>
    <row r="694" spans="1:11" x14ac:dyDescent="0.3">
      <c r="A694" s="6">
        <v>687</v>
      </c>
      <c r="B694" s="7">
        <v>28855</v>
      </c>
      <c r="C694" s="8">
        <v>2757.314208984375</v>
      </c>
      <c r="D694" s="6">
        <v>4915.22119140625</v>
      </c>
      <c r="E694" s="8">
        <v>569.04254150390625</v>
      </c>
      <c r="F694" s="8">
        <v>0</v>
      </c>
      <c r="G694" s="8">
        <v>292.74191284179688</v>
      </c>
      <c r="H694" s="18">
        <v>51.380458831787109</v>
      </c>
      <c r="I694" s="6">
        <v>1</v>
      </c>
      <c r="J694" s="6">
        <v>5554.50830078125</v>
      </c>
      <c r="K694" s="6">
        <v>5549.4375</v>
      </c>
    </row>
    <row r="695" spans="1:11" x14ac:dyDescent="0.3">
      <c r="A695" s="6">
        <v>688</v>
      </c>
      <c r="B695" s="7">
        <v>28886</v>
      </c>
      <c r="C695" s="8">
        <v>2922.4072265625</v>
      </c>
      <c r="D695" s="6">
        <v>3250</v>
      </c>
      <c r="E695" s="8">
        <v>0</v>
      </c>
      <c r="F695" s="8">
        <v>0</v>
      </c>
      <c r="G695" s="8">
        <v>74.81182861328125</v>
      </c>
      <c r="H695" s="18">
        <v>48.615329742431641</v>
      </c>
      <c r="I695" s="6">
        <v>1</v>
      </c>
      <c r="J695" s="6">
        <v>7201.94873046875</v>
      </c>
      <c r="K695" s="6">
        <v>7842.2607421875</v>
      </c>
    </row>
    <row r="696" spans="1:11" x14ac:dyDescent="0.3">
      <c r="A696" s="6">
        <v>689</v>
      </c>
      <c r="B696" s="7">
        <v>28914</v>
      </c>
      <c r="C696" s="8">
        <v>3327.206298828125</v>
      </c>
      <c r="D696" s="6">
        <v>3250</v>
      </c>
      <c r="E696" s="8">
        <v>0</v>
      </c>
      <c r="F696" s="8">
        <v>0</v>
      </c>
      <c r="G696" s="8">
        <v>68.422615051269531</v>
      </c>
      <c r="H696" s="18">
        <v>47.830490112304688</v>
      </c>
      <c r="I696" s="6">
        <v>1</v>
      </c>
      <c r="J696" s="6">
        <v>10850.2841796875</v>
      </c>
      <c r="K696" s="6">
        <v>12594.728515625</v>
      </c>
    </row>
    <row r="697" spans="1:11" x14ac:dyDescent="0.3">
      <c r="A697" s="6">
        <v>690</v>
      </c>
      <c r="B697" s="7">
        <v>28945</v>
      </c>
      <c r="C697" s="8">
        <v>3809.800048828125</v>
      </c>
      <c r="D697" s="6">
        <v>3250</v>
      </c>
      <c r="E697" s="8">
        <v>0</v>
      </c>
      <c r="F697" s="8">
        <v>0</v>
      </c>
      <c r="G697" s="8">
        <v>23.155155181884766</v>
      </c>
      <c r="H697" s="18">
        <v>49.336864471435547</v>
      </c>
      <c r="I697" s="6">
        <v>1</v>
      </c>
      <c r="J697" s="6">
        <v>7804.18798828125</v>
      </c>
      <c r="K697" s="6">
        <v>9710.8642578125</v>
      </c>
    </row>
    <row r="698" spans="1:11" x14ac:dyDescent="0.3">
      <c r="A698" s="6">
        <v>691</v>
      </c>
      <c r="B698" s="7">
        <v>28975</v>
      </c>
      <c r="C698" s="8">
        <v>4053.44189453125</v>
      </c>
      <c r="D698" s="6">
        <v>3250</v>
      </c>
      <c r="E698" s="8">
        <v>0</v>
      </c>
      <c r="F698" s="8">
        <v>214.24491882324219</v>
      </c>
      <c r="G698" s="8">
        <v>439.33358764648438</v>
      </c>
      <c r="H698" s="18">
        <v>51.270172119140625</v>
      </c>
      <c r="I698" s="6">
        <v>1</v>
      </c>
      <c r="J698" s="6">
        <v>5449.7919921875</v>
      </c>
      <c r="K698" s="6">
        <v>6232.86181640625</v>
      </c>
    </row>
    <row r="699" spans="1:11" x14ac:dyDescent="0.3">
      <c r="A699" s="6">
        <v>692</v>
      </c>
      <c r="B699" s="7">
        <v>29006</v>
      </c>
      <c r="C699" s="8">
        <v>4220.81298828125</v>
      </c>
      <c r="D699" s="6">
        <v>4739.0380859375</v>
      </c>
      <c r="E699" s="8">
        <v>0</v>
      </c>
      <c r="F699" s="8">
        <v>321.92453002929688</v>
      </c>
      <c r="G699" s="8">
        <v>2260.58740234375</v>
      </c>
      <c r="H699" s="18">
        <v>53.222888946533203</v>
      </c>
      <c r="I699" s="6">
        <v>1</v>
      </c>
      <c r="J699" s="6">
        <v>6509.943359375</v>
      </c>
      <c r="K699" s="6">
        <v>5374.939453125</v>
      </c>
    </row>
    <row r="700" spans="1:11" x14ac:dyDescent="0.3">
      <c r="A700" s="6">
        <v>693</v>
      </c>
      <c r="B700" s="7">
        <v>29036</v>
      </c>
      <c r="C700" s="8">
        <v>3800.5693359375</v>
      </c>
      <c r="D700" s="6">
        <v>10586.1376953125</v>
      </c>
      <c r="E700" s="8">
        <v>0</v>
      </c>
      <c r="F700" s="8">
        <v>618.16412353515625</v>
      </c>
      <c r="G700" s="8">
        <v>2677.335693359375</v>
      </c>
      <c r="H700" s="18">
        <v>51.544940948486328</v>
      </c>
      <c r="I700" s="6">
        <v>0</v>
      </c>
      <c r="J700" s="6">
        <v>10305.9658203125</v>
      </c>
      <c r="K700" s="6">
        <v>7858.92236328125</v>
      </c>
    </row>
    <row r="701" spans="1:11" x14ac:dyDescent="0.3">
      <c r="A701" s="6">
        <v>694</v>
      </c>
      <c r="B701" s="7">
        <v>29067</v>
      </c>
      <c r="C701" s="8">
        <v>3407.86474609375</v>
      </c>
      <c r="D701" s="6">
        <v>10198.0205078125</v>
      </c>
      <c r="E701" s="8">
        <v>431.16342163085938</v>
      </c>
      <c r="F701" s="8">
        <v>673.1793212890625</v>
      </c>
      <c r="G701" s="8">
        <v>2632.5888671875</v>
      </c>
      <c r="H701" s="18">
        <v>52.837936401367188</v>
      </c>
      <c r="I701" s="6">
        <v>0</v>
      </c>
      <c r="J701" s="6">
        <v>9836.060546875</v>
      </c>
      <c r="K701" s="6">
        <v>7244.892578125</v>
      </c>
    </row>
    <row r="702" spans="1:11" x14ac:dyDescent="0.3">
      <c r="A702" s="6">
        <v>695</v>
      </c>
      <c r="B702" s="7">
        <v>29098</v>
      </c>
      <c r="C702" s="8">
        <v>3156.59326171875</v>
      </c>
      <c r="D702" s="6">
        <v>8303.162109375</v>
      </c>
      <c r="E702" s="8">
        <v>53.124755859375</v>
      </c>
      <c r="F702" s="8">
        <v>530.50689697265625</v>
      </c>
      <c r="G702" s="8">
        <v>1982.4593505859375</v>
      </c>
      <c r="H702" s="18">
        <v>54.282459259033203</v>
      </c>
      <c r="I702" s="6">
        <v>0</v>
      </c>
      <c r="J702" s="6">
        <v>8095.3837890625</v>
      </c>
      <c r="K702" s="6">
        <v>6132.408203125</v>
      </c>
    </row>
    <row r="703" spans="1:11" x14ac:dyDescent="0.3">
      <c r="A703" s="6">
        <v>696</v>
      </c>
      <c r="B703" s="7">
        <v>29128</v>
      </c>
      <c r="C703" s="8">
        <v>3119.8076171875</v>
      </c>
      <c r="D703" s="6">
        <v>4795.1025390625</v>
      </c>
      <c r="E703" s="8">
        <v>0</v>
      </c>
      <c r="F703" s="8">
        <v>29.969661712646484</v>
      </c>
      <c r="G703" s="8">
        <v>619.58782958984375</v>
      </c>
      <c r="H703" s="18">
        <v>55.774375915527344</v>
      </c>
      <c r="I703" s="6">
        <v>1</v>
      </c>
      <c r="J703" s="6">
        <v>5311.4833984375</v>
      </c>
      <c r="K703" s="6">
        <v>4757.6044921875</v>
      </c>
    </row>
    <row r="704" spans="1:11" x14ac:dyDescent="0.3">
      <c r="A704" s="6">
        <v>697</v>
      </c>
      <c r="B704" s="7">
        <v>29159</v>
      </c>
      <c r="C704" s="8">
        <v>3235.50146484375</v>
      </c>
      <c r="D704" s="6">
        <v>4148.95263671875</v>
      </c>
      <c r="E704" s="8">
        <v>801.079833984375</v>
      </c>
      <c r="F704" s="8">
        <v>67.535743713378906</v>
      </c>
      <c r="G704" s="8">
        <v>769.0987548828125</v>
      </c>
      <c r="H704" s="18">
        <v>54.355968475341797</v>
      </c>
      <c r="I704" s="6">
        <v>1</v>
      </c>
      <c r="J704" s="6">
        <v>5872.68359375</v>
      </c>
      <c r="K704" s="6">
        <v>5559.18359375</v>
      </c>
    </row>
    <row r="705" spans="1:11" x14ac:dyDescent="0.3">
      <c r="A705" s="6">
        <v>698</v>
      </c>
      <c r="B705" s="7">
        <v>29189</v>
      </c>
      <c r="C705" s="8">
        <v>3252</v>
      </c>
      <c r="D705" s="6">
        <v>5817.23291015625</v>
      </c>
      <c r="E705" s="8">
        <v>1226.431884765625</v>
      </c>
      <c r="F705" s="8">
        <v>0</v>
      </c>
      <c r="G705" s="8">
        <v>420.13888549804688</v>
      </c>
      <c r="H705" s="18">
        <v>52.88214111328125</v>
      </c>
      <c r="I705" s="6">
        <v>1</v>
      </c>
      <c r="J705" s="6">
        <v>8684.888671875</v>
      </c>
      <c r="K705" s="6">
        <v>9149.4033203125</v>
      </c>
    </row>
    <row r="706" spans="1:11" x14ac:dyDescent="0.3">
      <c r="A706" s="6">
        <v>699</v>
      </c>
      <c r="B706" s="7">
        <v>29220</v>
      </c>
      <c r="C706" s="8">
        <v>3367</v>
      </c>
      <c r="D706" s="6">
        <v>4274.27587890625</v>
      </c>
      <c r="E706" s="8">
        <v>0</v>
      </c>
      <c r="F706" s="8">
        <v>0</v>
      </c>
      <c r="G706" s="8">
        <v>157.75537109375</v>
      </c>
      <c r="H706" s="18">
        <v>50.628944396972656</v>
      </c>
      <c r="I706" s="6">
        <v>1</v>
      </c>
      <c r="J706" s="6">
        <v>10251.7666015625</v>
      </c>
      <c r="K706" s="6">
        <v>11396.4453125</v>
      </c>
    </row>
    <row r="707" spans="1:11" x14ac:dyDescent="0.3">
      <c r="A707" s="6">
        <v>700</v>
      </c>
      <c r="B707" s="7">
        <v>29251</v>
      </c>
      <c r="C707" s="8">
        <v>3528</v>
      </c>
      <c r="D707" s="6">
        <v>19628.5703125</v>
      </c>
      <c r="E707" s="8">
        <v>0</v>
      </c>
      <c r="F707" s="8">
        <v>0</v>
      </c>
      <c r="G707" s="8">
        <v>74.81182861328125</v>
      </c>
      <c r="H707" s="18">
        <v>47.972038269042969</v>
      </c>
      <c r="I707" s="6">
        <v>1</v>
      </c>
      <c r="J707" s="6">
        <v>29293.90234375</v>
      </c>
      <c r="K707" s="6">
        <v>34370.78125</v>
      </c>
    </row>
    <row r="708" spans="1:11" x14ac:dyDescent="0.3">
      <c r="A708" s="6">
        <v>701</v>
      </c>
      <c r="B708" s="7">
        <v>29280</v>
      </c>
      <c r="C708" s="8">
        <v>3292</v>
      </c>
      <c r="D708" s="6">
        <v>32211.89453125</v>
      </c>
      <c r="E708" s="8">
        <v>0</v>
      </c>
      <c r="F708" s="8">
        <v>0</v>
      </c>
      <c r="G708" s="8">
        <v>66.063217163085938</v>
      </c>
      <c r="H708" s="18">
        <v>46.215568542480469</v>
      </c>
      <c r="I708" s="6">
        <v>1</v>
      </c>
      <c r="J708" s="6">
        <v>47023.4765625</v>
      </c>
      <c r="K708" s="6">
        <v>52112.91015625</v>
      </c>
    </row>
    <row r="709" spans="1:11" x14ac:dyDescent="0.3">
      <c r="A709" s="6">
        <v>702</v>
      </c>
      <c r="B709" s="7">
        <v>29311</v>
      </c>
      <c r="C709" s="8">
        <v>4051.0673828125</v>
      </c>
      <c r="D709" s="6">
        <v>3250</v>
      </c>
      <c r="E709" s="8">
        <v>148.44804382324219</v>
      </c>
      <c r="F709" s="8">
        <v>0</v>
      </c>
      <c r="G709" s="8">
        <v>19.516128540039063</v>
      </c>
      <c r="H709" s="18">
        <v>48.499519348144531</v>
      </c>
      <c r="I709" s="6">
        <v>1</v>
      </c>
      <c r="J709" s="6">
        <v>10748.7880859375</v>
      </c>
      <c r="K709" s="6">
        <v>12847.890625</v>
      </c>
    </row>
    <row r="710" spans="1:11" x14ac:dyDescent="0.3">
      <c r="A710" s="6">
        <v>703</v>
      </c>
      <c r="B710" s="7">
        <v>29341</v>
      </c>
      <c r="C710" s="8">
        <v>4390.5458984375</v>
      </c>
      <c r="D710" s="6">
        <v>3250</v>
      </c>
      <c r="E710" s="8">
        <v>0</v>
      </c>
      <c r="F710" s="8">
        <v>343.85354614257813</v>
      </c>
      <c r="G710" s="8">
        <v>435.81771850585938</v>
      </c>
      <c r="H710" s="18">
        <v>50.949337005615234</v>
      </c>
      <c r="I710" s="6">
        <v>1</v>
      </c>
      <c r="J710" s="6">
        <v>5467.8076171875</v>
      </c>
      <c r="K710" s="6">
        <v>6422.5068359375</v>
      </c>
    </row>
    <row r="711" spans="1:11" x14ac:dyDescent="0.3">
      <c r="A711" s="6">
        <v>704</v>
      </c>
      <c r="B711" s="7">
        <v>29372</v>
      </c>
      <c r="C711" s="8">
        <v>4360.00341796875</v>
      </c>
      <c r="D711" s="6">
        <v>6651.8935546875</v>
      </c>
      <c r="E711" s="8">
        <v>0</v>
      </c>
      <c r="F711" s="8">
        <v>671.396728515625</v>
      </c>
      <c r="G711" s="8">
        <v>2141.340087890625</v>
      </c>
      <c r="H711" s="18">
        <v>50.088848114013672</v>
      </c>
      <c r="I711" s="6">
        <v>1</v>
      </c>
      <c r="J711" s="6">
        <v>7818.51123046875</v>
      </c>
      <c r="K711" s="6">
        <v>6774.21337890625</v>
      </c>
    </row>
    <row r="712" spans="1:11" x14ac:dyDescent="0.3">
      <c r="A712" s="6">
        <v>705</v>
      </c>
      <c r="B712" s="7">
        <v>29402</v>
      </c>
      <c r="C712" s="8">
        <v>4114.19091796875</v>
      </c>
      <c r="D712" s="6">
        <v>9056.001953125</v>
      </c>
      <c r="E712" s="8">
        <v>0</v>
      </c>
      <c r="F712" s="8">
        <v>914.7728271484375</v>
      </c>
      <c r="G712" s="8">
        <v>2280.555419921875</v>
      </c>
      <c r="H712" s="18">
        <v>51.123935699462891</v>
      </c>
      <c r="I712" s="6">
        <v>1</v>
      </c>
      <c r="J712" s="6">
        <v>9140.6337890625</v>
      </c>
      <c r="K712" s="6">
        <v>7393.0341796875</v>
      </c>
    </row>
    <row r="713" spans="1:11" x14ac:dyDescent="0.3">
      <c r="A713" s="6">
        <v>706</v>
      </c>
      <c r="B713" s="7">
        <v>29433</v>
      </c>
      <c r="C713" s="8">
        <v>3708.154052734375</v>
      </c>
      <c r="D713" s="6">
        <v>11086.111328125</v>
      </c>
      <c r="E713" s="8">
        <v>281.24774169921875</v>
      </c>
      <c r="F713" s="8">
        <v>1062.265380859375</v>
      </c>
      <c r="G713" s="8">
        <v>2538.12646484375</v>
      </c>
      <c r="H713" s="18">
        <v>51.426025390625</v>
      </c>
      <c r="I713" s="6">
        <v>0</v>
      </c>
      <c r="J713" s="6">
        <v>10312.9150390625</v>
      </c>
      <c r="K713" s="6">
        <v>7918.8662109375</v>
      </c>
    </row>
    <row r="714" spans="1:11" x14ac:dyDescent="0.3">
      <c r="A714" s="6">
        <v>707</v>
      </c>
      <c r="B714" s="7">
        <v>29464</v>
      </c>
      <c r="C714" s="8">
        <v>3401.189208984375</v>
      </c>
      <c r="D714" s="6">
        <v>9139.4306640625</v>
      </c>
      <c r="E714" s="8">
        <v>0</v>
      </c>
      <c r="F714" s="8">
        <v>859.0506591796875</v>
      </c>
      <c r="G714" s="8">
        <v>1955.062255859375</v>
      </c>
      <c r="H714" s="18">
        <v>52.491504669189453</v>
      </c>
      <c r="I714" s="6">
        <v>0</v>
      </c>
      <c r="J714" s="6">
        <v>8515.802734375</v>
      </c>
      <c r="K714" s="6">
        <v>6594.759765625</v>
      </c>
    </row>
    <row r="715" spans="1:11" x14ac:dyDescent="0.3">
      <c r="A715" s="6">
        <v>708</v>
      </c>
      <c r="B715" s="7">
        <v>29494</v>
      </c>
      <c r="C715" s="8">
        <v>3161.38623046875</v>
      </c>
      <c r="D715" s="6">
        <v>8933.0712890625</v>
      </c>
      <c r="E715" s="8">
        <v>103.58695983886719</v>
      </c>
      <c r="F715" s="8">
        <v>195.03079223632813</v>
      </c>
      <c r="G715" s="8">
        <v>630.3028564453125</v>
      </c>
      <c r="H715" s="18">
        <v>52.38189697265625</v>
      </c>
      <c r="I715" s="6">
        <v>0</v>
      </c>
      <c r="J715" s="6">
        <v>9115.1875</v>
      </c>
      <c r="K715" s="6">
        <v>8582.630859375</v>
      </c>
    </row>
    <row r="716" spans="1:11" x14ac:dyDescent="0.3">
      <c r="A716" s="6">
        <v>709</v>
      </c>
      <c r="B716" s="7">
        <v>29525</v>
      </c>
      <c r="C716" s="8">
        <v>3021.98486328125</v>
      </c>
      <c r="D716" s="6">
        <v>6258.2333984375</v>
      </c>
      <c r="E716" s="8">
        <v>295.8243408203125</v>
      </c>
      <c r="F716" s="8">
        <v>183.22134399414063</v>
      </c>
      <c r="G716" s="8">
        <v>842.92962646484375</v>
      </c>
      <c r="H716" s="18">
        <v>53.006763458251953</v>
      </c>
      <c r="I716" s="6">
        <v>0</v>
      </c>
      <c r="J716" s="6">
        <v>6806.73291015625</v>
      </c>
      <c r="K716" s="6">
        <v>6164.0517578125</v>
      </c>
    </row>
    <row r="717" spans="1:11" x14ac:dyDescent="0.3">
      <c r="A717" s="6">
        <v>710</v>
      </c>
      <c r="B717" s="7">
        <v>29555</v>
      </c>
      <c r="C717" s="8">
        <v>2620.886474609375</v>
      </c>
      <c r="D717" s="6">
        <v>10650.775390625</v>
      </c>
      <c r="E717" s="8">
        <v>250.89311218261719</v>
      </c>
      <c r="F717" s="8">
        <v>9.3501853942871094</v>
      </c>
      <c r="G717" s="8">
        <v>577.175048828125</v>
      </c>
      <c r="H717" s="18">
        <v>53.313117980957031</v>
      </c>
      <c r="I717" s="6">
        <v>0</v>
      </c>
      <c r="J717" s="6">
        <v>11357.65625</v>
      </c>
      <c r="K717" s="6">
        <v>11039.5732421875</v>
      </c>
    </row>
    <row r="718" spans="1:11" x14ac:dyDescent="0.3">
      <c r="A718" s="6">
        <v>711</v>
      </c>
      <c r="B718" s="7">
        <v>29586</v>
      </c>
      <c r="C718" s="8">
        <v>2803.71484375</v>
      </c>
      <c r="D718" s="6">
        <v>3250</v>
      </c>
      <c r="E718" s="8">
        <v>0</v>
      </c>
      <c r="F718" s="8">
        <v>0</v>
      </c>
      <c r="G718" s="8">
        <v>191.90859985351563</v>
      </c>
      <c r="H718" s="18">
        <v>50.459609985351563</v>
      </c>
      <c r="I718" s="6">
        <v>1</v>
      </c>
      <c r="J718" s="6">
        <v>5928.16259765625</v>
      </c>
      <c r="K718" s="6">
        <v>6585.69970703125</v>
      </c>
    </row>
    <row r="719" spans="1:11" x14ac:dyDescent="0.3">
      <c r="A719" s="6">
        <v>712</v>
      </c>
      <c r="B719" s="7">
        <v>29617</v>
      </c>
      <c r="C719" s="8">
        <v>3150.095703125</v>
      </c>
      <c r="D719" s="6">
        <v>3250</v>
      </c>
      <c r="E719" s="8">
        <v>0</v>
      </c>
      <c r="F719" s="8">
        <v>0</v>
      </c>
      <c r="G719" s="8">
        <v>74.81182861328125</v>
      </c>
      <c r="H719" s="18">
        <v>47.957202911376953</v>
      </c>
      <c r="I719" s="6">
        <v>1</v>
      </c>
      <c r="J719" s="6">
        <v>9688.3603515625</v>
      </c>
      <c r="K719" s="6">
        <v>11261.0302734375</v>
      </c>
    </row>
    <row r="720" spans="1:11" x14ac:dyDescent="0.3">
      <c r="A720" s="6">
        <v>713</v>
      </c>
      <c r="B720" s="7">
        <v>29645</v>
      </c>
      <c r="C720" s="8">
        <v>3518.818115234375</v>
      </c>
      <c r="D720" s="6">
        <v>3250</v>
      </c>
      <c r="E720" s="8">
        <v>0</v>
      </c>
      <c r="F720" s="8">
        <v>0</v>
      </c>
      <c r="G720" s="8">
        <v>68.422615051269531</v>
      </c>
      <c r="H720" s="18">
        <v>48.077735900878906</v>
      </c>
      <c r="I720" s="6">
        <v>1</v>
      </c>
      <c r="J720" s="6">
        <v>8912.439453125</v>
      </c>
      <c r="K720" s="6">
        <v>10494.9384765625</v>
      </c>
    </row>
    <row r="721" spans="1:11" x14ac:dyDescent="0.3">
      <c r="A721" s="6">
        <v>714</v>
      </c>
      <c r="B721" s="7">
        <v>29676</v>
      </c>
      <c r="C721" s="8">
        <v>4066.721435546875</v>
      </c>
      <c r="D721" s="6">
        <v>3250</v>
      </c>
      <c r="E721" s="8">
        <v>0</v>
      </c>
      <c r="F721" s="8">
        <v>0</v>
      </c>
      <c r="G721" s="8">
        <v>19.516128540039063</v>
      </c>
      <c r="H721" s="18">
        <v>49.167118072509766</v>
      </c>
      <c r="I721" s="6">
        <v>1</v>
      </c>
      <c r="J721" s="6">
        <v>10181.369140625</v>
      </c>
      <c r="K721" s="6">
        <v>11638.884765625</v>
      </c>
    </row>
    <row r="722" spans="1:11" x14ac:dyDescent="0.3">
      <c r="A722" s="6">
        <v>715</v>
      </c>
      <c r="B722" s="7">
        <v>29706</v>
      </c>
      <c r="C722" s="8">
        <v>4273.45361328125</v>
      </c>
      <c r="D722" s="6">
        <v>3250</v>
      </c>
      <c r="E722" s="8">
        <v>0</v>
      </c>
      <c r="F722" s="8">
        <v>216.92788696289063</v>
      </c>
      <c r="G722" s="8">
        <v>405.1795654296875</v>
      </c>
      <c r="H722" s="18">
        <v>51.835830688476563</v>
      </c>
      <c r="I722" s="6">
        <v>1</v>
      </c>
      <c r="J722" s="6">
        <v>5189.5537109375</v>
      </c>
      <c r="K722" s="6">
        <v>5693.95361328125</v>
      </c>
    </row>
    <row r="723" spans="1:11" x14ac:dyDescent="0.3">
      <c r="A723" s="6">
        <v>716</v>
      </c>
      <c r="B723" s="7">
        <v>29737</v>
      </c>
      <c r="C723" s="8">
        <v>4072.649658203125</v>
      </c>
      <c r="D723" s="6">
        <v>7636.04248046875</v>
      </c>
      <c r="E723" s="8">
        <v>0</v>
      </c>
      <c r="F723" s="8">
        <v>512.199951171875</v>
      </c>
      <c r="G723" s="8">
        <v>2162.07861328125</v>
      </c>
      <c r="H723" s="18">
        <v>50.98291015625</v>
      </c>
      <c r="I723" s="6">
        <v>0</v>
      </c>
      <c r="J723" s="6">
        <v>8833.9921875</v>
      </c>
      <c r="K723" s="6">
        <v>7143.34814453125</v>
      </c>
    </row>
    <row r="724" spans="1:11" x14ac:dyDescent="0.3">
      <c r="A724" s="6">
        <v>717</v>
      </c>
      <c r="B724" s="7">
        <v>29767</v>
      </c>
      <c r="C724" s="8">
        <v>3447.17138671875</v>
      </c>
      <c r="D724" s="6">
        <v>14118.259765625</v>
      </c>
      <c r="E724" s="8">
        <v>0</v>
      </c>
      <c r="F724" s="8">
        <v>824.02752685546875</v>
      </c>
      <c r="G724" s="8">
        <v>2714.961669921875</v>
      </c>
      <c r="H724" s="18">
        <v>50.939315795898438</v>
      </c>
      <c r="I724" s="6">
        <v>0</v>
      </c>
      <c r="J724" s="6">
        <v>13766.865234375</v>
      </c>
      <c r="K724" s="6">
        <v>11131.931640625</v>
      </c>
    </row>
    <row r="725" spans="1:11" x14ac:dyDescent="0.3">
      <c r="A725" s="6">
        <v>718</v>
      </c>
      <c r="B725" s="7">
        <v>29798</v>
      </c>
      <c r="C725" s="8">
        <v>2809.813720703125</v>
      </c>
      <c r="D725" s="6">
        <v>16000</v>
      </c>
      <c r="E725" s="8">
        <v>1701.1895751953125</v>
      </c>
      <c r="F725" s="8">
        <v>902.334716796875</v>
      </c>
      <c r="G725" s="8">
        <v>2538.07568359375</v>
      </c>
      <c r="H725" s="18">
        <v>52.245452880859375</v>
      </c>
      <c r="I725" s="6">
        <v>0</v>
      </c>
      <c r="J725" s="6">
        <v>15584.6787109375</v>
      </c>
      <c r="K725" s="6">
        <v>13077.5830078125</v>
      </c>
    </row>
    <row r="726" spans="1:11" x14ac:dyDescent="0.3">
      <c r="A726" s="6">
        <v>719</v>
      </c>
      <c r="B726" s="7">
        <v>29829</v>
      </c>
      <c r="C726" s="8">
        <v>2555.378662109375</v>
      </c>
      <c r="D726" s="6">
        <v>8967.5869140625</v>
      </c>
      <c r="E726" s="8">
        <v>3055.62109375</v>
      </c>
      <c r="F726" s="8">
        <v>720.13055419921875</v>
      </c>
      <c r="G726" s="8">
        <v>1921.841796875</v>
      </c>
      <c r="H726" s="18">
        <v>54.460971832275391</v>
      </c>
      <c r="I726" s="6">
        <v>0</v>
      </c>
      <c r="J726" s="6">
        <v>8675.353515625</v>
      </c>
      <c r="K726" s="6">
        <v>6773.1904296875</v>
      </c>
    </row>
    <row r="727" spans="1:11" x14ac:dyDescent="0.3">
      <c r="A727" s="6">
        <v>720</v>
      </c>
      <c r="B727" s="7">
        <v>29859</v>
      </c>
      <c r="C727" s="8">
        <v>2475.966796875</v>
      </c>
      <c r="D727" s="6">
        <v>5353.5947265625</v>
      </c>
      <c r="E727" s="8">
        <v>917.53326416015625</v>
      </c>
      <c r="F727" s="8">
        <v>97.063591003417969</v>
      </c>
      <c r="G727" s="8">
        <v>612.2987060546875</v>
      </c>
      <c r="H727" s="18">
        <v>54.749374389648438</v>
      </c>
      <c r="I727" s="6">
        <v>1</v>
      </c>
      <c r="J727" s="6">
        <v>5713.09814453125</v>
      </c>
      <c r="K727" s="6">
        <v>5162.845703125</v>
      </c>
    </row>
    <row r="728" spans="1:11" x14ac:dyDescent="0.3">
      <c r="A728" s="6">
        <v>721</v>
      </c>
      <c r="B728" s="7">
        <v>29890</v>
      </c>
      <c r="C728" s="8">
        <v>2564.669921875</v>
      </c>
      <c r="D728" s="6">
        <v>3319.910400390625</v>
      </c>
      <c r="E728" s="8">
        <v>1399.4996337890625</v>
      </c>
      <c r="F728" s="8">
        <v>60.534854888916016</v>
      </c>
      <c r="G728" s="8">
        <v>746.47821044921875</v>
      </c>
      <c r="H728" s="18">
        <v>55.212764739990234</v>
      </c>
      <c r="I728" s="6">
        <v>1</v>
      </c>
      <c r="J728" s="6">
        <v>4741.8525390625</v>
      </c>
      <c r="K728" s="6">
        <v>4431.9599609375</v>
      </c>
    </row>
    <row r="729" spans="1:11" x14ac:dyDescent="0.3">
      <c r="A729" s="6">
        <v>722</v>
      </c>
      <c r="B729" s="7">
        <v>29920</v>
      </c>
      <c r="C729" s="8">
        <v>3252</v>
      </c>
      <c r="D729" s="6">
        <v>8314.923828125</v>
      </c>
      <c r="E729" s="8">
        <v>0</v>
      </c>
      <c r="F729" s="8">
        <v>0</v>
      </c>
      <c r="G729" s="8">
        <v>331.0694580078125</v>
      </c>
      <c r="H729" s="18">
        <v>53.786491394042969</v>
      </c>
      <c r="I729" s="6">
        <v>1</v>
      </c>
      <c r="J729" s="6">
        <v>17108.93359375</v>
      </c>
      <c r="K729" s="6">
        <v>20473.623046875</v>
      </c>
    </row>
    <row r="730" spans="1:11" x14ac:dyDescent="0.3">
      <c r="A730" s="6">
        <v>723</v>
      </c>
      <c r="B730" s="7">
        <v>29951</v>
      </c>
      <c r="C730" s="8">
        <v>3276</v>
      </c>
      <c r="D730" s="6">
        <v>25088.7890625</v>
      </c>
      <c r="E730" s="8">
        <v>0</v>
      </c>
      <c r="F730" s="8">
        <v>0</v>
      </c>
      <c r="G730" s="8">
        <v>180.52420043945313</v>
      </c>
      <c r="H730" s="18">
        <v>49.133937835693359</v>
      </c>
      <c r="I730" s="6">
        <v>1</v>
      </c>
      <c r="J730" s="6">
        <v>38354.01953125</v>
      </c>
      <c r="K730" s="6">
        <v>42056.546875</v>
      </c>
    </row>
    <row r="731" spans="1:11" x14ac:dyDescent="0.3">
      <c r="A731" s="6">
        <v>724</v>
      </c>
      <c r="B731" s="7">
        <v>29982</v>
      </c>
      <c r="C731" s="8">
        <v>3616</v>
      </c>
      <c r="D731" s="6">
        <v>8480.478515625</v>
      </c>
      <c r="E731" s="8">
        <v>0</v>
      </c>
      <c r="F731" s="8">
        <v>0</v>
      </c>
      <c r="G731" s="8">
        <v>74.81182861328125</v>
      </c>
      <c r="H731" s="18">
        <v>45.531902313232422</v>
      </c>
      <c r="I731" s="6">
        <v>1</v>
      </c>
      <c r="J731" s="6">
        <v>16785.01171875</v>
      </c>
      <c r="K731" s="6">
        <v>18867.49609375</v>
      </c>
    </row>
    <row r="732" spans="1:11" x14ac:dyDescent="0.3">
      <c r="A732" s="6">
        <v>725</v>
      </c>
      <c r="B732" s="7">
        <v>30010</v>
      </c>
      <c r="C732" s="8">
        <v>3530</v>
      </c>
      <c r="D732" s="6">
        <v>24094.009765625</v>
      </c>
      <c r="E732" s="8">
        <v>0</v>
      </c>
      <c r="F732" s="8">
        <v>0</v>
      </c>
      <c r="G732" s="8">
        <v>68.422615051269531</v>
      </c>
      <c r="H732" s="18">
        <v>44.767475128173828</v>
      </c>
      <c r="I732" s="6">
        <v>1</v>
      </c>
      <c r="J732" s="6">
        <v>33672.796875</v>
      </c>
      <c r="K732" s="6">
        <v>37437.78125</v>
      </c>
    </row>
    <row r="733" spans="1:11" x14ac:dyDescent="0.3">
      <c r="A733" s="6">
        <v>726</v>
      </c>
      <c r="B733" s="7">
        <v>30041</v>
      </c>
      <c r="C733" s="8">
        <v>3953</v>
      </c>
      <c r="D733" s="6">
        <v>13234.173828125</v>
      </c>
      <c r="E733" s="8">
        <v>759.05426025390625</v>
      </c>
      <c r="F733" s="8">
        <v>0</v>
      </c>
      <c r="G733" s="8">
        <v>19.516128540039063</v>
      </c>
      <c r="H733" s="18">
        <v>45.632698059082031</v>
      </c>
      <c r="I733" s="6">
        <v>1</v>
      </c>
      <c r="J733" s="6">
        <v>22120.34765625</v>
      </c>
      <c r="K733" s="6">
        <v>24840.640625</v>
      </c>
    </row>
    <row r="734" spans="1:11" x14ac:dyDescent="0.3">
      <c r="A734" s="6">
        <v>727</v>
      </c>
      <c r="B734" s="7">
        <v>30071</v>
      </c>
      <c r="C734" s="8">
        <v>4094</v>
      </c>
      <c r="D734" s="6">
        <v>24913.6875</v>
      </c>
      <c r="E734" s="8">
        <v>0</v>
      </c>
      <c r="F734" s="8">
        <v>47.432540893554688</v>
      </c>
      <c r="G734" s="8">
        <v>305.73114013671875</v>
      </c>
      <c r="H734" s="18">
        <v>46.657176971435547</v>
      </c>
      <c r="I734" s="6">
        <v>1</v>
      </c>
      <c r="J734" s="6">
        <v>33960.7890625</v>
      </c>
      <c r="K734" s="6">
        <v>38176.9375</v>
      </c>
    </row>
    <row r="735" spans="1:11" x14ac:dyDescent="0.3">
      <c r="A735" s="6">
        <v>728</v>
      </c>
      <c r="B735" s="7">
        <v>30102</v>
      </c>
      <c r="C735" s="8">
        <v>4481.19091796875</v>
      </c>
      <c r="D735" s="6">
        <v>3472.723876953125</v>
      </c>
      <c r="E735" s="8">
        <v>0</v>
      </c>
      <c r="F735" s="8">
        <v>674.9888916015625</v>
      </c>
      <c r="G735" s="8">
        <v>2221.702392578125</v>
      </c>
      <c r="H735" s="18">
        <v>53.570789337158203</v>
      </c>
      <c r="I735" s="6">
        <v>1</v>
      </c>
      <c r="J735" s="6">
        <v>5230.9189453125</v>
      </c>
      <c r="K735" s="6">
        <v>4858.08984375</v>
      </c>
    </row>
    <row r="736" spans="1:11" x14ac:dyDescent="0.3">
      <c r="A736" s="6">
        <v>729</v>
      </c>
      <c r="B736" s="7">
        <v>30132</v>
      </c>
      <c r="C736" s="8">
        <v>4397.3564453125</v>
      </c>
      <c r="D736" s="6">
        <v>6372.11962890625</v>
      </c>
      <c r="E736" s="8">
        <v>0</v>
      </c>
      <c r="F736" s="8">
        <v>1084.0577392578125</v>
      </c>
      <c r="G736" s="8">
        <v>2094.6748046875</v>
      </c>
      <c r="H736" s="18">
        <v>52.376934051513672</v>
      </c>
      <c r="I736" s="6">
        <v>1</v>
      </c>
      <c r="J736" s="6">
        <v>7002.9755859375</v>
      </c>
      <c r="K736" s="6">
        <v>5678.99462890625</v>
      </c>
    </row>
    <row r="737" spans="1:11" x14ac:dyDescent="0.3">
      <c r="A737" s="6">
        <v>730</v>
      </c>
      <c r="B737" s="7">
        <v>30163</v>
      </c>
      <c r="C737" s="8">
        <v>4071.590576171875</v>
      </c>
      <c r="D737" s="6">
        <v>10502.37890625</v>
      </c>
      <c r="E737" s="8">
        <v>162.81570434570313</v>
      </c>
      <c r="F737" s="8">
        <v>1375.2449951171875</v>
      </c>
      <c r="G737" s="8">
        <v>2616.67822265625</v>
      </c>
      <c r="H737" s="18">
        <v>52.655227661132813</v>
      </c>
      <c r="I737" s="6">
        <v>0</v>
      </c>
      <c r="J737" s="6">
        <v>9687.7333984375</v>
      </c>
      <c r="K737" s="6">
        <v>7360.04736328125</v>
      </c>
    </row>
    <row r="738" spans="1:11" x14ac:dyDescent="0.3">
      <c r="A738" s="6">
        <v>731</v>
      </c>
      <c r="B738" s="7">
        <v>30194</v>
      </c>
      <c r="C738" s="8">
        <v>3700</v>
      </c>
      <c r="D738" s="6">
        <v>9227.9443359375</v>
      </c>
      <c r="E738" s="8">
        <v>0</v>
      </c>
      <c r="F738" s="8">
        <v>1101.0927734375</v>
      </c>
      <c r="G738" s="8">
        <v>2240.93798828125</v>
      </c>
      <c r="H738" s="18">
        <v>52.814964294433594</v>
      </c>
      <c r="I738" s="6">
        <v>1</v>
      </c>
      <c r="J738" s="6">
        <v>8456.8251953125</v>
      </c>
      <c r="K738" s="6">
        <v>6331.8349609375</v>
      </c>
    </row>
    <row r="739" spans="1:11" x14ac:dyDescent="0.3">
      <c r="A739" s="6">
        <v>732</v>
      </c>
      <c r="B739" s="7">
        <v>30224</v>
      </c>
      <c r="C739" s="8">
        <v>3400</v>
      </c>
      <c r="D739" s="6">
        <v>9378.16015625</v>
      </c>
      <c r="E739" s="8">
        <v>0</v>
      </c>
      <c r="F739" s="8">
        <v>91.466484069824219</v>
      </c>
      <c r="G739" s="8">
        <v>534.8671875</v>
      </c>
      <c r="H739" s="18">
        <v>51.988128662109375</v>
      </c>
      <c r="I739" s="6">
        <v>0</v>
      </c>
      <c r="J739" s="6">
        <v>10108.951171875</v>
      </c>
      <c r="K739" s="6">
        <v>9812.658203125</v>
      </c>
    </row>
    <row r="740" spans="1:11" x14ac:dyDescent="0.3">
      <c r="A740" s="6">
        <v>733</v>
      </c>
      <c r="B740" s="7">
        <v>30255</v>
      </c>
      <c r="C740" s="8">
        <v>3250</v>
      </c>
      <c r="D740" s="6">
        <v>7890.8798828125</v>
      </c>
      <c r="E740" s="8">
        <v>0</v>
      </c>
      <c r="F740" s="8">
        <v>54.211467742919922</v>
      </c>
      <c r="G740" s="8">
        <v>722.0968017578125</v>
      </c>
      <c r="H740" s="18">
        <v>54.029277801513672</v>
      </c>
      <c r="I740" s="6">
        <v>1</v>
      </c>
      <c r="J740" s="6">
        <v>9379.1171875</v>
      </c>
      <c r="K740" s="6">
        <v>9250.896484375</v>
      </c>
    </row>
    <row r="741" spans="1:11" x14ac:dyDescent="0.3">
      <c r="A741" s="6">
        <v>734</v>
      </c>
      <c r="B741" s="7">
        <v>30285</v>
      </c>
      <c r="C741" s="8">
        <v>3252</v>
      </c>
      <c r="D741" s="6">
        <v>6974.8037109375</v>
      </c>
      <c r="E741" s="8">
        <v>0</v>
      </c>
      <c r="F741" s="8">
        <v>0</v>
      </c>
      <c r="G741" s="8">
        <v>349.55557250976563</v>
      </c>
      <c r="H741" s="18">
        <v>53.449588775634766</v>
      </c>
      <c r="I741" s="6">
        <v>1</v>
      </c>
      <c r="J741" s="6">
        <v>10859.849609375</v>
      </c>
      <c r="K741" s="6">
        <v>11814.228515625</v>
      </c>
    </row>
    <row r="742" spans="1:11" x14ac:dyDescent="0.3">
      <c r="A742" s="6">
        <v>735</v>
      </c>
      <c r="B742" s="7">
        <v>30316</v>
      </c>
      <c r="C742" s="8">
        <v>3328</v>
      </c>
      <c r="D742" s="6">
        <v>15232.611328125</v>
      </c>
      <c r="E742" s="8">
        <v>0</v>
      </c>
      <c r="F742" s="8">
        <v>0</v>
      </c>
      <c r="G742" s="8">
        <v>222.80914306640625</v>
      </c>
      <c r="H742" s="18">
        <v>50.328582763671875</v>
      </c>
      <c r="I742" s="6">
        <v>1</v>
      </c>
      <c r="J742" s="6">
        <v>24055.546875</v>
      </c>
      <c r="K742" s="6">
        <v>26627.5703125</v>
      </c>
    </row>
    <row r="743" spans="1:11" x14ac:dyDescent="0.3">
      <c r="A743" s="6">
        <v>736</v>
      </c>
      <c r="B743" s="7">
        <v>30347</v>
      </c>
      <c r="C743" s="8">
        <v>3371</v>
      </c>
      <c r="D743" s="6">
        <v>20025.9375</v>
      </c>
      <c r="E743" s="8">
        <v>0</v>
      </c>
      <c r="F743" s="8">
        <v>0</v>
      </c>
      <c r="G743" s="8">
        <v>74.81182861328125</v>
      </c>
      <c r="H743" s="18">
        <v>46.675914764404297</v>
      </c>
      <c r="I743" s="6">
        <v>1</v>
      </c>
      <c r="J743" s="6">
        <v>31956.3984375</v>
      </c>
      <c r="K743" s="6">
        <v>35858.015625</v>
      </c>
    </row>
    <row r="744" spans="1:11" x14ac:dyDescent="0.3">
      <c r="A744" s="6">
        <v>737</v>
      </c>
      <c r="B744" s="7">
        <v>30375</v>
      </c>
      <c r="C744" s="8">
        <v>3252</v>
      </c>
      <c r="D744" s="6">
        <v>41919.91015625</v>
      </c>
      <c r="E744" s="8">
        <v>143.83804321289063</v>
      </c>
      <c r="F744" s="8">
        <v>0</v>
      </c>
      <c r="G744" s="8">
        <v>68.422615051269531</v>
      </c>
      <c r="H744" s="18">
        <v>45.463081359863281</v>
      </c>
      <c r="I744" s="6">
        <v>1</v>
      </c>
      <c r="J744" s="6">
        <v>63838.91796875</v>
      </c>
      <c r="K744" s="6">
        <v>69325.4921875</v>
      </c>
    </row>
    <row r="745" spans="1:11" x14ac:dyDescent="0.3">
      <c r="A745" s="6">
        <v>738</v>
      </c>
      <c r="B745" s="7">
        <v>30406</v>
      </c>
      <c r="C745" s="8">
        <v>4112.18359375</v>
      </c>
      <c r="D745" s="6">
        <v>38809.28515625</v>
      </c>
      <c r="E745" s="8">
        <v>149.49076843261719</v>
      </c>
      <c r="F745" s="8">
        <v>0</v>
      </c>
      <c r="G745" s="8">
        <v>19.516128540039063</v>
      </c>
      <c r="H745" s="18">
        <v>46.180015563964844</v>
      </c>
      <c r="I745" s="6">
        <v>1</v>
      </c>
      <c r="J745" s="6">
        <v>69124.7265625</v>
      </c>
      <c r="K745" s="6">
        <v>76786.5546875</v>
      </c>
    </row>
    <row r="746" spans="1:11" x14ac:dyDescent="0.3">
      <c r="A746" s="6">
        <v>739</v>
      </c>
      <c r="B746" s="7">
        <v>30436</v>
      </c>
      <c r="C746" s="8">
        <v>4074</v>
      </c>
      <c r="D746" s="6">
        <v>21283.287109375</v>
      </c>
      <c r="E746" s="8">
        <v>0</v>
      </c>
      <c r="F746" s="8">
        <v>21.902835845947266</v>
      </c>
      <c r="G746" s="8">
        <v>283.12924194335938</v>
      </c>
      <c r="H746" s="18">
        <v>47.246109008789063</v>
      </c>
      <c r="I746" s="6">
        <v>1</v>
      </c>
      <c r="J746" s="6">
        <v>29782.822265625</v>
      </c>
      <c r="K746" s="6">
        <v>32730.14453125</v>
      </c>
    </row>
    <row r="747" spans="1:11" x14ac:dyDescent="0.3">
      <c r="A747" s="6">
        <v>740</v>
      </c>
      <c r="B747" s="7">
        <v>30467</v>
      </c>
      <c r="C747" s="8">
        <v>4552</v>
      </c>
      <c r="D747" s="6">
        <v>9426.208984375</v>
      </c>
      <c r="E747" s="8">
        <v>0</v>
      </c>
      <c r="F747" s="8">
        <v>574.8585205078125</v>
      </c>
      <c r="G747" s="8">
        <v>2133.038330078125</v>
      </c>
      <c r="H747" s="18">
        <v>51.257026672363281</v>
      </c>
      <c r="I747" s="6">
        <v>1</v>
      </c>
      <c r="J747" s="6">
        <v>14233.271484375</v>
      </c>
      <c r="K747" s="6">
        <v>15792.443359375</v>
      </c>
    </row>
    <row r="748" spans="1:11" x14ac:dyDescent="0.3">
      <c r="A748" s="6">
        <v>741</v>
      </c>
      <c r="B748" s="7">
        <v>30497</v>
      </c>
      <c r="C748" s="8">
        <v>4500</v>
      </c>
      <c r="D748" s="6">
        <v>12851.6533203125</v>
      </c>
      <c r="E748" s="8">
        <v>9.6966276168823242</v>
      </c>
      <c r="F748" s="8">
        <v>1170.465087890625</v>
      </c>
      <c r="G748" s="8">
        <v>2257.964111328125</v>
      </c>
      <c r="H748" s="18">
        <v>52.077590942382813</v>
      </c>
      <c r="I748" s="6">
        <v>1</v>
      </c>
      <c r="J748" s="6">
        <v>14180.486328125</v>
      </c>
      <c r="K748" s="6">
        <v>14029.9072265625</v>
      </c>
    </row>
    <row r="749" spans="1:11" x14ac:dyDescent="0.3">
      <c r="A749" s="6">
        <v>742</v>
      </c>
      <c r="B749" s="7">
        <v>30528</v>
      </c>
      <c r="C749" s="8">
        <v>4150</v>
      </c>
      <c r="D749" s="6">
        <v>13464.8525390625</v>
      </c>
      <c r="E749" s="8">
        <v>0</v>
      </c>
      <c r="F749" s="8">
        <v>1382.7108154296875</v>
      </c>
      <c r="G749" s="8">
        <v>2616.67822265625</v>
      </c>
      <c r="H749" s="18">
        <v>52.801334381103516</v>
      </c>
      <c r="I749" s="6">
        <v>1</v>
      </c>
      <c r="J749" s="6">
        <v>13129.0146484375</v>
      </c>
      <c r="K749" s="6">
        <v>11277.3623046875</v>
      </c>
    </row>
    <row r="750" spans="1:11" x14ac:dyDescent="0.3">
      <c r="A750" s="6">
        <v>743</v>
      </c>
      <c r="B750" s="7">
        <v>30559</v>
      </c>
      <c r="C750" s="8">
        <v>3700</v>
      </c>
      <c r="D750" s="6">
        <v>13370.2333984375</v>
      </c>
      <c r="E750" s="8">
        <v>0</v>
      </c>
      <c r="F750" s="8">
        <v>1062.1202392578125</v>
      </c>
      <c r="G750" s="8">
        <v>2191.260986328125</v>
      </c>
      <c r="H750" s="18">
        <v>53.465900421142578</v>
      </c>
      <c r="I750" s="6">
        <v>1</v>
      </c>
      <c r="J750" s="6">
        <v>13101.517578125</v>
      </c>
      <c r="K750" s="6">
        <v>11262.759765625</v>
      </c>
    </row>
    <row r="751" spans="1:11" x14ac:dyDescent="0.3">
      <c r="A751" s="6">
        <v>744</v>
      </c>
      <c r="B751" s="7">
        <v>30589</v>
      </c>
      <c r="C751" s="8">
        <v>3400</v>
      </c>
      <c r="D751" s="6">
        <v>12194.896484375</v>
      </c>
      <c r="E751" s="8">
        <v>0</v>
      </c>
      <c r="F751" s="8">
        <v>214.48724365234375</v>
      </c>
      <c r="G751" s="8">
        <v>595.0416259765625</v>
      </c>
      <c r="H751" s="18">
        <v>52.510791778564453</v>
      </c>
      <c r="I751" s="6">
        <v>1</v>
      </c>
      <c r="J751" s="6">
        <v>12869.7255859375</v>
      </c>
      <c r="K751" s="6">
        <v>12599.66015625</v>
      </c>
    </row>
    <row r="752" spans="1:11" x14ac:dyDescent="0.3">
      <c r="A752" s="6">
        <v>745</v>
      </c>
      <c r="B752" s="7">
        <v>30620</v>
      </c>
      <c r="C752" s="8">
        <v>3250</v>
      </c>
      <c r="D752" s="6">
        <v>9041.5498046875</v>
      </c>
      <c r="E752" s="8">
        <v>322.68313598632813</v>
      </c>
      <c r="F752" s="8">
        <v>186.52772521972656</v>
      </c>
      <c r="G752" s="8">
        <v>825.4339599609375</v>
      </c>
      <c r="H752" s="18">
        <v>54.845527648925781</v>
      </c>
      <c r="I752" s="6">
        <v>1</v>
      </c>
      <c r="J752" s="6">
        <v>9945.986328125</v>
      </c>
      <c r="K752" s="6">
        <v>9534.45703125</v>
      </c>
    </row>
    <row r="753" spans="1:11" x14ac:dyDescent="0.3">
      <c r="A753" s="6">
        <v>746</v>
      </c>
      <c r="B753" s="7">
        <v>30650</v>
      </c>
      <c r="C753" s="8">
        <v>3252</v>
      </c>
      <c r="D753" s="6">
        <v>13821.765625</v>
      </c>
      <c r="E753" s="8">
        <v>0</v>
      </c>
      <c r="F753" s="8">
        <v>0</v>
      </c>
      <c r="G753" s="8">
        <v>297.45834350585938</v>
      </c>
      <c r="H753" s="18">
        <v>54.758060455322266</v>
      </c>
      <c r="I753" s="6">
        <v>1</v>
      </c>
      <c r="J753" s="6">
        <v>20702.5234375</v>
      </c>
      <c r="K753" s="6">
        <v>23284.515625</v>
      </c>
    </row>
    <row r="754" spans="1:11" x14ac:dyDescent="0.3">
      <c r="A754" s="6">
        <v>747</v>
      </c>
      <c r="B754" s="7">
        <v>30681</v>
      </c>
      <c r="C754" s="8">
        <v>3285</v>
      </c>
      <c r="D754" s="6">
        <v>33200.62890625</v>
      </c>
      <c r="E754" s="8">
        <v>0</v>
      </c>
      <c r="F754" s="8">
        <v>0</v>
      </c>
      <c r="G754" s="8">
        <v>157.75537109375</v>
      </c>
      <c r="H754" s="18">
        <v>50.825752258300781</v>
      </c>
      <c r="I754" s="6">
        <v>1</v>
      </c>
      <c r="J754" s="6">
        <v>53475.78125</v>
      </c>
      <c r="K754" s="6">
        <v>59576.1953125</v>
      </c>
    </row>
    <row r="755" spans="1:11" x14ac:dyDescent="0.3">
      <c r="A755" s="6">
        <v>748</v>
      </c>
      <c r="B755" s="7">
        <v>30712</v>
      </c>
      <c r="C755" s="8">
        <v>3650</v>
      </c>
      <c r="D755" s="6">
        <v>9872.693359375</v>
      </c>
      <c r="E755" s="8">
        <v>80.96923828125</v>
      </c>
      <c r="F755" s="8">
        <v>0</v>
      </c>
      <c r="G755" s="8">
        <v>139.86558532714844</v>
      </c>
      <c r="H755" s="18">
        <v>46.202854156494141</v>
      </c>
      <c r="I755" s="6">
        <v>1</v>
      </c>
      <c r="J755" s="6">
        <v>14935.1025390625</v>
      </c>
      <c r="K755" s="6">
        <v>16866.916015625</v>
      </c>
    </row>
    <row r="756" spans="1:11" x14ac:dyDescent="0.3">
      <c r="A756" s="6">
        <v>749</v>
      </c>
      <c r="B756" s="7">
        <v>30741</v>
      </c>
      <c r="C756" s="8">
        <v>4005</v>
      </c>
      <c r="D756" s="6">
        <v>4289.37744140625</v>
      </c>
      <c r="E756" s="8">
        <v>88.980667114257813</v>
      </c>
      <c r="F756" s="8">
        <v>0</v>
      </c>
      <c r="G756" s="8">
        <v>66.063217163085938</v>
      </c>
      <c r="H756" s="18">
        <v>46.4461669921875</v>
      </c>
      <c r="I756" s="6">
        <v>1</v>
      </c>
      <c r="J756" s="6">
        <v>8412.9013671875</v>
      </c>
      <c r="K756" s="6">
        <v>9885.5498046875</v>
      </c>
    </row>
    <row r="757" spans="1:11" x14ac:dyDescent="0.3">
      <c r="A757" s="6">
        <v>750</v>
      </c>
      <c r="B757" s="7">
        <v>30772</v>
      </c>
      <c r="C757" s="8">
        <v>4246</v>
      </c>
      <c r="D757" s="6">
        <v>9135.8291015625</v>
      </c>
      <c r="E757" s="8">
        <v>84.527862548828125</v>
      </c>
      <c r="F757" s="8">
        <v>31.235466003417969</v>
      </c>
      <c r="G757" s="8">
        <v>61.317344665527344</v>
      </c>
      <c r="H757" s="18">
        <v>47.102275848388672</v>
      </c>
      <c r="I757" s="6">
        <v>1</v>
      </c>
      <c r="J757" s="6">
        <v>13056.271484375</v>
      </c>
      <c r="K757" s="6">
        <v>14884.3232421875</v>
      </c>
    </row>
    <row r="758" spans="1:11" x14ac:dyDescent="0.3">
      <c r="A758" s="6">
        <v>751</v>
      </c>
      <c r="B758" s="7">
        <v>30802</v>
      </c>
      <c r="C758" s="8">
        <v>4552</v>
      </c>
      <c r="D758" s="6">
        <v>3741.849609375</v>
      </c>
      <c r="E758" s="8">
        <v>0</v>
      </c>
      <c r="F758" s="8">
        <v>325.60305786132813</v>
      </c>
      <c r="G758" s="8">
        <v>551.338623046875</v>
      </c>
      <c r="H758" s="18">
        <v>49.945255279541016</v>
      </c>
      <c r="I758" s="6">
        <v>1</v>
      </c>
      <c r="J758" s="6">
        <v>5364.4365234375</v>
      </c>
      <c r="K758" s="6">
        <v>6023.18603515625</v>
      </c>
    </row>
    <row r="759" spans="1:11" x14ac:dyDescent="0.3">
      <c r="A759" s="6">
        <v>752</v>
      </c>
      <c r="B759" s="7">
        <v>30833</v>
      </c>
      <c r="C759" s="8">
        <v>4539.20361328125</v>
      </c>
      <c r="D759" s="6">
        <v>7339.09130859375</v>
      </c>
      <c r="E759" s="8">
        <v>0</v>
      </c>
      <c r="F759" s="8">
        <v>787.246337890625</v>
      </c>
      <c r="G759" s="8">
        <v>2330.58056640625</v>
      </c>
      <c r="H759" s="18">
        <v>50.413700103759766</v>
      </c>
      <c r="I759" s="6">
        <v>1</v>
      </c>
      <c r="J759" s="6">
        <v>7900.82177734375</v>
      </c>
      <c r="K759" s="6">
        <v>6570.1318359375</v>
      </c>
    </row>
    <row r="760" spans="1:11" x14ac:dyDescent="0.3">
      <c r="A760" s="6">
        <v>753</v>
      </c>
      <c r="B760" s="7">
        <v>30863</v>
      </c>
      <c r="C760" s="8">
        <v>4156.24755859375</v>
      </c>
      <c r="D760" s="6">
        <v>11324.5849609375</v>
      </c>
      <c r="E760" s="8">
        <v>0</v>
      </c>
      <c r="F760" s="8">
        <v>904.4803466796875</v>
      </c>
      <c r="G760" s="8">
        <v>2326.57470703125</v>
      </c>
      <c r="H760" s="18">
        <v>50.518535614013672</v>
      </c>
      <c r="I760" s="6">
        <v>0</v>
      </c>
      <c r="J760" s="6">
        <v>11217.6318359375</v>
      </c>
      <c r="K760" s="6">
        <v>9446.1396484375</v>
      </c>
    </row>
    <row r="761" spans="1:11" x14ac:dyDescent="0.3">
      <c r="A761" s="6">
        <v>754</v>
      </c>
      <c r="B761" s="7">
        <v>30894</v>
      </c>
      <c r="C761" s="8">
        <v>3457.78173828125</v>
      </c>
      <c r="D761" s="6">
        <v>16000</v>
      </c>
      <c r="E761" s="8">
        <v>724.99871826171875</v>
      </c>
      <c r="F761" s="8">
        <v>1002.6513061523438</v>
      </c>
      <c r="G761" s="8">
        <v>2616.67822265625</v>
      </c>
      <c r="H761" s="18">
        <v>51.311916351318359</v>
      </c>
      <c r="I761" s="6">
        <v>0</v>
      </c>
      <c r="J761" s="6">
        <v>15445.5009765625</v>
      </c>
      <c r="K761" s="6">
        <v>12997.1376953125</v>
      </c>
    </row>
    <row r="762" spans="1:11" x14ac:dyDescent="0.3">
      <c r="A762" s="6">
        <v>755</v>
      </c>
      <c r="B762" s="7">
        <v>30925</v>
      </c>
      <c r="C762" s="8">
        <v>3228.18017578125</v>
      </c>
      <c r="D762" s="6">
        <v>8607.6494140625</v>
      </c>
      <c r="E762" s="8">
        <v>0</v>
      </c>
      <c r="F762" s="8">
        <v>746.1651611328125</v>
      </c>
      <c r="G762" s="8">
        <v>2026.0625</v>
      </c>
      <c r="H762" s="18">
        <v>53.602554321289063</v>
      </c>
      <c r="I762" s="6">
        <v>0</v>
      </c>
      <c r="J762" s="6">
        <v>8047.501953125</v>
      </c>
      <c r="K762" s="6">
        <v>6151.08642578125</v>
      </c>
    </row>
    <row r="763" spans="1:11" x14ac:dyDescent="0.3">
      <c r="A763" s="6">
        <v>756</v>
      </c>
      <c r="B763" s="7">
        <v>30955</v>
      </c>
      <c r="C763" s="8">
        <v>2599.457763671875</v>
      </c>
      <c r="D763" s="6">
        <v>16000</v>
      </c>
      <c r="E763" s="8">
        <v>489.46258544921875</v>
      </c>
      <c r="F763" s="8">
        <v>165.63746643066406</v>
      </c>
      <c r="G763" s="8">
        <v>630.3028564453125</v>
      </c>
      <c r="H763" s="18">
        <v>51.932994842529297</v>
      </c>
      <c r="I763" s="6">
        <v>0</v>
      </c>
      <c r="J763" s="6">
        <v>16291.64453125</v>
      </c>
      <c r="K763" s="6">
        <v>15826.8984375</v>
      </c>
    </row>
    <row r="764" spans="1:11" x14ac:dyDescent="0.3">
      <c r="A764" s="6">
        <v>757</v>
      </c>
      <c r="B764" s="7">
        <v>30986</v>
      </c>
      <c r="C764" s="8">
        <v>2481.96630859375</v>
      </c>
      <c r="D764" s="6">
        <v>7460.978515625</v>
      </c>
      <c r="E764" s="8">
        <v>692.67999267578125</v>
      </c>
      <c r="F764" s="8">
        <v>92.63836669921875</v>
      </c>
      <c r="G764" s="8">
        <v>785.22821044921875</v>
      </c>
      <c r="H764" s="18">
        <v>55.116943359375</v>
      </c>
      <c r="I764" s="6">
        <v>1</v>
      </c>
      <c r="J764" s="6">
        <v>8859.6806640625</v>
      </c>
      <c r="K764" s="6">
        <v>8438.626953125</v>
      </c>
    </row>
    <row r="765" spans="1:11" x14ac:dyDescent="0.3">
      <c r="A765" s="6">
        <v>758</v>
      </c>
      <c r="B765" s="7">
        <v>31016</v>
      </c>
      <c r="C765" s="8">
        <v>2973.23828125</v>
      </c>
      <c r="D765" s="6">
        <v>3250</v>
      </c>
      <c r="E765" s="8">
        <v>0</v>
      </c>
      <c r="F765" s="8">
        <v>0</v>
      </c>
      <c r="G765" s="8">
        <v>299.13888549804688</v>
      </c>
      <c r="H765" s="18">
        <v>54.317790985107422</v>
      </c>
      <c r="I765" s="6">
        <v>1</v>
      </c>
      <c r="J765" s="6">
        <v>10351.46875</v>
      </c>
      <c r="K765" s="6">
        <v>11834.7548828125</v>
      </c>
    </row>
    <row r="766" spans="1:11" x14ac:dyDescent="0.3">
      <c r="A766" s="6">
        <v>759</v>
      </c>
      <c r="B766" s="7">
        <v>31047</v>
      </c>
      <c r="C766" s="8">
        <v>3271.197998046875</v>
      </c>
      <c r="D766" s="6">
        <v>3250</v>
      </c>
      <c r="E766" s="8">
        <v>0</v>
      </c>
      <c r="F766" s="8">
        <v>0</v>
      </c>
      <c r="G766" s="8">
        <v>252.08334350585938</v>
      </c>
      <c r="H766" s="18">
        <v>50.447154998779297</v>
      </c>
      <c r="I766" s="6">
        <v>1</v>
      </c>
      <c r="J766" s="6">
        <v>6670.11865234375</v>
      </c>
      <c r="K766" s="6">
        <v>7416.1875</v>
      </c>
    </row>
    <row r="767" spans="1:11" x14ac:dyDescent="0.3">
      <c r="A767" s="6">
        <v>760</v>
      </c>
      <c r="B767" s="7">
        <v>31078</v>
      </c>
      <c r="C767" s="8">
        <v>3400.5869140625</v>
      </c>
      <c r="D767" s="6">
        <v>3250</v>
      </c>
      <c r="E767" s="8">
        <v>0</v>
      </c>
      <c r="F767" s="8">
        <v>0</v>
      </c>
      <c r="G767" s="8">
        <v>123.60214996337891</v>
      </c>
      <c r="H767" s="18">
        <v>47.622467041015625</v>
      </c>
      <c r="I767" s="6">
        <v>1</v>
      </c>
      <c r="J767" s="6">
        <v>4970.44970703125</v>
      </c>
      <c r="K767" s="6">
        <v>5457.66162109375</v>
      </c>
    </row>
    <row r="768" spans="1:11" x14ac:dyDescent="0.3">
      <c r="A768" s="6">
        <v>761</v>
      </c>
      <c r="B768" s="7">
        <v>31106</v>
      </c>
      <c r="C768" s="8">
        <v>3567.325927734375</v>
      </c>
      <c r="D768" s="6">
        <v>3250</v>
      </c>
      <c r="E768" s="8">
        <v>0</v>
      </c>
      <c r="F768" s="8">
        <v>0</v>
      </c>
      <c r="G768" s="8">
        <v>68.422615051269531</v>
      </c>
      <c r="H768" s="18">
        <v>48.245136260986328</v>
      </c>
      <c r="I768" s="6">
        <v>1</v>
      </c>
      <c r="J768" s="6">
        <v>5910.5302734375</v>
      </c>
      <c r="K768" s="6">
        <v>6811.61767578125</v>
      </c>
    </row>
    <row r="769" spans="1:11" x14ac:dyDescent="0.3">
      <c r="A769" s="6">
        <v>762</v>
      </c>
      <c r="B769" s="7">
        <v>31137</v>
      </c>
      <c r="C769" s="8">
        <v>3750.55517578125</v>
      </c>
      <c r="D769" s="6">
        <v>3250</v>
      </c>
      <c r="E769" s="8">
        <v>0</v>
      </c>
      <c r="F769" s="8">
        <v>0</v>
      </c>
      <c r="G769" s="8">
        <v>19.516128540039063</v>
      </c>
      <c r="H769" s="18">
        <v>49.338191986083984</v>
      </c>
      <c r="I769" s="6">
        <v>1</v>
      </c>
      <c r="J769" s="6">
        <v>5697.8193359375</v>
      </c>
      <c r="K769" s="6">
        <v>6512.3173828125</v>
      </c>
    </row>
    <row r="770" spans="1:11" x14ac:dyDescent="0.3">
      <c r="A770" s="6">
        <v>763</v>
      </c>
      <c r="B770" s="7">
        <v>31167</v>
      </c>
      <c r="C770" s="8">
        <v>3952.674072265625</v>
      </c>
      <c r="D770" s="6">
        <v>3250</v>
      </c>
      <c r="E770" s="8">
        <v>0</v>
      </c>
      <c r="F770" s="8">
        <v>325.05386352539063</v>
      </c>
      <c r="G770" s="8">
        <v>469.97174072265625</v>
      </c>
      <c r="H770" s="18">
        <v>52.461292266845703</v>
      </c>
      <c r="I770" s="6">
        <v>1</v>
      </c>
      <c r="J770" s="6">
        <v>4649.92919921875</v>
      </c>
      <c r="K770" s="6">
        <v>5413.24755859375</v>
      </c>
    </row>
    <row r="771" spans="1:11" x14ac:dyDescent="0.3">
      <c r="A771" s="6">
        <v>764</v>
      </c>
      <c r="B771" s="7">
        <v>31198</v>
      </c>
      <c r="C771" s="8">
        <v>3694.770751953125</v>
      </c>
      <c r="D771" s="6">
        <v>8077.96923828125</v>
      </c>
      <c r="E771" s="8">
        <v>0</v>
      </c>
      <c r="F771" s="8">
        <v>497.94390869140625</v>
      </c>
      <c r="G771" s="8">
        <v>2340.425048828125</v>
      </c>
      <c r="H771" s="18">
        <v>50.861595153808594</v>
      </c>
      <c r="I771" s="6">
        <v>0</v>
      </c>
      <c r="J771" s="6">
        <v>8683.33203125</v>
      </c>
      <c r="K771" s="6">
        <v>6745.17431640625</v>
      </c>
    </row>
    <row r="772" spans="1:11" x14ac:dyDescent="0.3">
      <c r="A772" s="6">
        <v>765</v>
      </c>
      <c r="B772" s="7">
        <v>31228</v>
      </c>
      <c r="C772" s="8">
        <v>3196.5283203125</v>
      </c>
      <c r="D772" s="6">
        <v>12637.884765625</v>
      </c>
      <c r="E772" s="8">
        <v>0</v>
      </c>
      <c r="F772" s="8">
        <v>737.8311767578125</v>
      </c>
      <c r="G772" s="8">
        <v>2708.118408203125</v>
      </c>
      <c r="H772" s="18">
        <v>51.714122772216797</v>
      </c>
      <c r="I772" s="6">
        <v>0</v>
      </c>
      <c r="J772" s="6">
        <v>12372.912109375</v>
      </c>
      <c r="K772" s="6">
        <v>9767.1337890625</v>
      </c>
    </row>
    <row r="773" spans="1:11" x14ac:dyDescent="0.3">
      <c r="A773" s="6">
        <v>766</v>
      </c>
      <c r="B773" s="7">
        <v>31259</v>
      </c>
      <c r="C773" s="8">
        <v>2582.746337890625</v>
      </c>
      <c r="D773" s="6">
        <v>15330.47265625</v>
      </c>
      <c r="E773" s="8">
        <v>476.44970703125</v>
      </c>
      <c r="F773" s="8">
        <v>805.3907470703125</v>
      </c>
      <c r="G773" s="8">
        <v>2442.872314453125</v>
      </c>
      <c r="H773" s="18">
        <v>53.327499389648438</v>
      </c>
      <c r="I773" s="6">
        <v>0</v>
      </c>
      <c r="J773" s="6">
        <v>14687.720703125</v>
      </c>
      <c r="K773" s="6">
        <v>12274.0009765625</v>
      </c>
    </row>
    <row r="774" spans="1:11" x14ac:dyDescent="0.3">
      <c r="A774" s="6">
        <v>767</v>
      </c>
      <c r="B774" s="7">
        <v>31290</v>
      </c>
      <c r="C774" s="8">
        <v>2224.540283203125</v>
      </c>
      <c r="D774" s="6">
        <v>11818.892578125</v>
      </c>
      <c r="E774" s="8">
        <v>2388.483154296875</v>
      </c>
      <c r="F774" s="8">
        <v>635.55810546875</v>
      </c>
      <c r="G774" s="8">
        <v>1904.2752685546875</v>
      </c>
      <c r="H774" s="18">
        <v>54.781517028808594</v>
      </c>
      <c r="I774" s="6">
        <v>0</v>
      </c>
      <c r="J774" s="6">
        <v>11326.4501953125</v>
      </c>
      <c r="K774" s="6">
        <v>9440.7626953125</v>
      </c>
    </row>
    <row r="775" spans="1:11" x14ac:dyDescent="0.3">
      <c r="A775" s="6">
        <v>768</v>
      </c>
      <c r="B775" s="7">
        <v>31320</v>
      </c>
      <c r="C775" s="8">
        <v>2217.799560546875</v>
      </c>
      <c r="D775" s="6">
        <v>5574.392578125</v>
      </c>
      <c r="E775" s="8">
        <v>202.43043518066406</v>
      </c>
      <c r="F775" s="8">
        <v>204.62940979003906</v>
      </c>
      <c r="G775" s="8">
        <v>565.7415771484375</v>
      </c>
      <c r="H775" s="18">
        <v>55.529464721679688</v>
      </c>
      <c r="I775" s="6">
        <v>1</v>
      </c>
      <c r="J775" s="6">
        <v>6453.986328125</v>
      </c>
      <c r="K775" s="6">
        <v>6054.78271484375</v>
      </c>
    </row>
    <row r="776" spans="1:11" x14ac:dyDescent="0.3">
      <c r="A776" s="6">
        <v>769</v>
      </c>
      <c r="B776" s="7">
        <v>31351</v>
      </c>
      <c r="C776" s="8">
        <v>2186.91845703125</v>
      </c>
      <c r="D776" s="6">
        <v>4793.751953125</v>
      </c>
      <c r="E776" s="8">
        <v>1064.7911376953125</v>
      </c>
      <c r="F776" s="8">
        <v>136.95632934570313</v>
      </c>
      <c r="G776" s="8">
        <v>832.63507080078125</v>
      </c>
      <c r="H776" s="18">
        <v>55.876750946044922</v>
      </c>
      <c r="I776" s="6">
        <v>1</v>
      </c>
      <c r="J776" s="6">
        <v>5850.55517578125</v>
      </c>
      <c r="K776" s="6">
        <v>5275.3828125</v>
      </c>
    </row>
    <row r="777" spans="1:11" x14ac:dyDescent="0.3">
      <c r="A777" s="6">
        <v>770</v>
      </c>
      <c r="B777" s="7">
        <v>31381</v>
      </c>
      <c r="C777" s="8">
        <v>2235.688720703125</v>
      </c>
      <c r="D777" s="6">
        <v>3625.61962890625</v>
      </c>
      <c r="E777" s="8">
        <v>110.72906494140625</v>
      </c>
      <c r="F777" s="8">
        <v>0</v>
      </c>
      <c r="G777" s="8">
        <v>373.08334350585938</v>
      </c>
      <c r="H777" s="18">
        <v>55.040767669677734</v>
      </c>
      <c r="I777" s="6">
        <v>1</v>
      </c>
      <c r="J777" s="6">
        <v>5643.5927734375</v>
      </c>
      <c r="K777" s="6">
        <v>5788.5322265625</v>
      </c>
    </row>
    <row r="778" spans="1:11" x14ac:dyDescent="0.3">
      <c r="A778" s="6">
        <v>771</v>
      </c>
      <c r="B778" s="7">
        <v>31412</v>
      </c>
      <c r="C778" s="8">
        <v>2463.00927734375</v>
      </c>
      <c r="D778" s="6">
        <v>3250</v>
      </c>
      <c r="E778" s="8">
        <v>364.45733642578125</v>
      </c>
      <c r="F778" s="8">
        <v>0</v>
      </c>
      <c r="G778" s="8">
        <v>224.43548583984375</v>
      </c>
      <c r="H778" s="18">
        <v>51.504844665527344</v>
      </c>
      <c r="I778" s="6">
        <v>1</v>
      </c>
      <c r="J778" s="6">
        <v>6412.548828125</v>
      </c>
      <c r="K778" s="6">
        <v>6949.9755859375</v>
      </c>
    </row>
    <row r="779" spans="1:11" x14ac:dyDescent="0.3">
      <c r="A779" s="6">
        <v>772</v>
      </c>
      <c r="B779" s="7">
        <v>31443</v>
      </c>
      <c r="C779" s="8">
        <v>3029.93310546875</v>
      </c>
      <c r="D779" s="6">
        <v>3250</v>
      </c>
      <c r="E779" s="8">
        <v>0</v>
      </c>
      <c r="F779" s="8">
        <v>0</v>
      </c>
      <c r="G779" s="8">
        <v>74.81182861328125</v>
      </c>
      <c r="H779" s="18">
        <v>48.78924560546875</v>
      </c>
      <c r="I779" s="6">
        <v>1</v>
      </c>
      <c r="J779" s="6">
        <v>9057.8447265625</v>
      </c>
      <c r="K779" s="6">
        <v>10846.5595703125</v>
      </c>
    </row>
    <row r="780" spans="1:11" x14ac:dyDescent="0.3">
      <c r="A780" s="6">
        <v>773</v>
      </c>
      <c r="B780" s="7">
        <v>31471</v>
      </c>
      <c r="C780" s="8">
        <v>3252</v>
      </c>
      <c r="D780" s="6">
        <v>46871.5859375</v>
      </c>
      <c r="E780" s="8">
        <v>0</v>
      </c>
      <c r="F780" s="8">
        <v>0</v>
      </c>
      <c r="G780" s="8">
        <v>68.422615051269531</v>
      </c>
      <c r="H780" s="18">
        <v>46.163875579833984</v>
      </c>
      <c r="I780" s="6">
        <v>1</v>
      </c>
      <c r="J780" s="6">
        <v>69279.78125</v>
      </c>
      <c r="K780" s="6">
        <v>79759.90625</v>
      </c>
    </row>
    <row r="781" spans="1:11" x14ac:dyDescent="0.3">
      <c r="A781" s="6">
        <v>774</v>
      </c>
      <c r="B781" s="7">
        <v>31502</v>
      </c>
      <c r="C781" s="8">
        <v>3534</v>
      </c>
      <c r="D781" s="6">
        <v>19852.3046875</v>
      </c>
      <c r="E781" s="8">
        <v>0</v>
      </c>
      <c r="F781" s="8">
        <v>0</v>
      </c>
      <c r="G781" s="8">
        <v>19.516128540039063</v>
      </c>
      <c r="H781" s="18">
        <v>46.472129821777344</v>
      </c>
      <c r="I781" s="6">
        <v>1</v>
      </c>
      <c r="J781" s="6">
        <v>33472.31640625</v>
      </c>
      <c r="K781" s="6">
        <v>37693.609375</v>
      </c>
    </row>
    <row r="782" spans="1:11" x14ac:dyDescent="0.3">
      <c r="A782" s="6">
        <v>775</v>
      </c>
      <c r="B782" s="7">
        <v>31532</v>
      </c>
      <c r="C782" s="8">
        <v>4012.635986328125</v>
      </c>
      <c r="D782" s="6">
        <v>3250</v>
      </c>
      <c r="E782" s="8">
        <v>0</v>
      </c>
      <c r="F782" s="8">
        <v>174.09121704101563</v>
      </c>
      <c r="G782" s="8">
        <v>419.7452392578125</v>
      </c>
      <c r="H782" s="18">
        <v>51.891460418701172</v>
      </c>
      <c r="I782" s="6">
        <v>1</v>
      </c>
      <c r="J782" s="6">
        <v>5170.32275390625</v>
      </c>
      <c r="K782" s="6">
        <v>6152.15478515625</v>
      </c>
    </row>
    <row r="783" spans="1:11" x14ac:dyDescent="0.3">
      <c r="A783" s="6">
        <v>776</v>
      </c>
      <c r="B783" s="7">
        <v>31563</v>
      </c>
      <c r="C783" s="8">
        <v>4026.975341796875</v>
      </c>
      <c r="D783" s="6">
        <v>6404.04443359375</v>
      </c>
      <c r="E783" s="8">
        <v>0</v>
      </c>
      <c r="F783" s="8">
        <v>294.54061889648438</v>
      </c>
      <c r="G783" s="8">
        <v>2245.033447265625</v>
      </c>
      <c r="H783" s="18">
        <v>50.922679901123047</v>
      </c>
      <c r="I783" s="6">
        <v>1</v>
      </c>
      <c r="J783" s="6">
        <v>8223.794921875</v>
      </c>
      <c r="K783" s="6">
        <v>6917.22021484375</v>
      </c>
    </row>
    <row r="784" spans="1:11" x14ac:dyDescent="0.3">
      <c r="A784" s="6">
        <v>777</v>
      </c>
      <c r="B784" s="7">
        <v>31593</v>
      </c>
      <c r="C784" s="8">
        <v>3745.956298828125</v>
      </c>
      <c r="D784" s="6">
        <v>8645.5615234375</v>
      </c>
      <c r="E784" s="8">
        <v>209.05508422851563</v>
      </c>
      <c r="F784" s="8">
        <v>616.0546875</v>
      </c>
      <c r="G784" s="8">
        <v>2278.943359375</v>
      </c>
      <c r="H784" s="18">
        <v>51.637722015380859</v>
      </c>
      <c r="I784" s="6">
        <v>0</v>
      </c>
      <c r="J784" s="6">
        <v>8707.6416015625</v>
      </c>
      <c r="K784" s="6">
        <v>6847.927734375</v>
      </c>
    </row>
    <row r="785" spans="1:11" x14ac:dyDescent="0.3">
      <c r="A785" s="6">
        <v>778</v>
      </c>
      <c r="B785" s="7">
        <v>31624</v>
      </c>
      <c r="C785" s="8">
        <v>3301.90478515625</v>
      </c>
      <c r="D785" s="6">
        <v>12633.615234375</v>
      </c>
      <c r="E785" s="8">
        <v>613.3746337890625</v>
      </c>
      <c r="F785" s="8">
        <v>673.447265625</v>
      </c>
      <c r="G785" s="8">
        <v>2521.474853515625</v>
      </c>
      <c r="H785" s="18">
        <v>51.914817810058594</v>
      </c>
      <c r="I785" s="6">
        <v>0</v>
      </c>
      <c r="J785" s="6">
        <v>12301.7841796875</v>
      </c>
      <c r="K785" s="6">
        <v>9887.125</v>
      </c>
    </row>
    <row r="786" spans="1:11" x14ac:dyDescent="0.3">
      <c r="A786" s="6">
        <v>779</v>
      </c>
      <c r="B786" s="7">
        <v>31655</v>
      </c>
      <c r="C786" s="8">
        <v>3050.0322265625</v>
      </c>
      <c r="D786" s="6">
        <v>9229.7568359375</v>
      </c>
      <c r="E786" s="8">
        <v>387.97982788085938</v>
      </c>
      <c r="F786" s="8">
        <v>537.283447265625</v>
      </c>
      <c r="G786" s="8">
        <v>2130.645751953125</v>
      </c>
      <c r="H786" s="18">
        <v>53.638252258300781</v>
      </c>
      <c r="I786" s="6">
        <v>0</v>
      </c>
      <c r="J786" s="6">
        <v>8813.5166015625</v>
      </c>
      <c r="K786" s="6">
        <v>6724.6103515625</v>
      </c>
    </row>
    <row r="787" spans="1:11" x14ac:dyDescent="0.3">
      <c r="A787" s="6">
        <v>780</v>
      </c>
      <c r="B787" s="7">
        <v>31685</v>
      </c>
      <c r="C787" s="8">
        <v>2914.57763671875</v>
      </c>
      <c r="D787" s="6">
        <v>7643.158203125</v>
      </c>
      <c r="E787" s="8">
        <v>343.38613891601563</v>
      </c>
      <c r="F787" s="8">
        <v>11.164445877075195</v>
      </c>
      <c r="G787" s="8">
        <v>587.00537109375</v>
      </c>
      <c r="H787" s="18">
        <v>52.520961761474609</v>
      </c>
      <c r="I787" s="6">
        <v>0</v>
      </c>
      <c r="J787" s="6">
        <v>8596.876953125</v>
      </c>
      <c r="K787" s="6">
        <v>8295.9248046875</v>
      </c>
    </row>
    <row r="788" spans="1:11" x14ac:dyDescent="0.3">
      <c r="A788" s="6">
        <v>781</v>
      </c>
      <c r="B788" s="7">
        <v>31716</v>
      </c>
      <c r="C788" s="8">
        <v>2809.0966796875</v>
      </c>
      <c r="D788" s="6">
        <v>6334.7607421875</v>
      </c>
      <c r="E788" s="8">
        <v>539.67193603515625</v>
      </c>
      <c r="F788" s="8">
        <v>140.99137878417969</v>
      </c>
      <c r="G788" s="8">
        <v>845.350341796875</v>
      </c>
      <c r="H788" s="18">
        <v>54.809238433837891</v>
      </c>
      <c r="I788" s="6">
        <v>1</v>
      </c>
      <c r="J788" s="6">
        <v>7296.00439453125</v>
      </c>
      <c r="K788" s="6">
        <v>6708.6455078125</v>
      </c>
    </row>
    <row r="789" spans="1:11" x14ac:dyDescent="0.3">
      <c r="A789" s="6">
        <v>782</v>
      </c>
      <c r="B789" s="7">
        <v>31746</v>
      </c>
      <c r="C789" s="8">
        <v>2420.765625</v>
      </c>
      <c r="D789" s="6">
        <v>10805.07421875</v>
      </c>
      <c r="E789" s="8">
        <v>3081.6455078125</v>
      </c>
      <c r="F789" s="8">
        <v>5.9454660415649414</v>
      </c>
      <c r="G789" s="8">
        <v>583.84796142578125</v>
      </c>
      <c r="H789" s="18">
        <v>55.358108520507813</v>
      </c>
      <c r="I789" s="6">
        <v>0</v>
      </c>
      <c r="J789" s="6">
        <v>11678.4677734375</v>
      </c>
      <c r="K789" s="6">
        <v>11416.291015625</v>
      </c>
    </row>
    <row r="790" spans="1:11" x14ac:dyDescent="0.3">
      <c r="A790" s="6">
        <v>783</v>
      </c>
      <c r="B790" s="7">
        <v>31777</v>
      </c>
      <c r="C790" s="8">
        <v>2408.979248046875</v>
      </c>
      <c r="D790" s="6">
        <v>4335.484375</v>
      </c>
      <c r="E790" s="8">
        <v>442.69561767578125</v>
      </c>
      <c r="F790" s="8">
        <v>0</v>
      </c>
      <c r="G790" s="8">
        <v>269.97311401367188</v>
      </c>
      <c r="H790" s="18">
        <v>51.905040740966797</v>
      </c>
      <c r="I790" s="6">
        <v>1</v>
      </c>
      <c r="J790" s="6">
        <v>5505.96142578125</v>
      </c>
      <c r="K790" s="6">
        <v>5606.1123046875</v>
      </c>
    </row>
    <row r="791" spans="1:11" x14ac:dyDescent="0.3">
      <c r="A791" s="6">
        <v>784</v>
      </c>
      <c r="B791" s="7">
        <v>31808</v>
      </c>
      <c r="C791" s="8">
        <v>2556.9443359375</v>
      </c>
      <c r="D791" s="6">
        <v>3250</v>
      </c>
      <c r="E791" s="8">
        <v>0</v>
      </c>
      <c r="F791" s="8">
        <v>0</v>
      </c>
      <c r="G791" s="8">
        <v>74.81182861328125</v>
      </c>
      <c r="H791" s="18">
        <v>48.746570587158203</v>
      </c>
      <c r="I791" s="6">
        <v>1</v>
      </c>
      <c r="J791" s="6">
        <v>6323.5712890625</v>
      </c>
      <c r="K791" s="6">
        <v>6878.9208984375</v>
      </c>
    </row>
    <row r="792" spans="1:11" x14ac:dyDescent="0.3">
      <c r="A792" s="6">
        <v>785</v>
      </c>
      <c r="B792" s="7">
        <v>31836</v>
      </c>
      <c r="C792" s="8">
        <v>2885.31396484375</v>
      </c>
      <c r="D792" s="6">
        <v>3250</v>
      </c>
      <c r="E792" s="8">
        <v>0</v>
      </c>
      <c r="F792" s="8">
        <v>0</v>
      </c>
      <c r="G792" s="8">
        <v>68.422615051269531</v>
      </c>
      <c r="H792" s="18">
        <v>48.714885711669922</v>
      </c>
      <c r="I792" s="6">
        <v>1</v>
      </c>
      <c r="J792" s="6">
        <v>7656.2392578125</v>
      </c>
      <c r="K792" s="6">
        <v>8951.1015625</v>
      </c>
    </row>
    <row r="793" spans="1:11" x14ac:dyDescent="0.3">
      <c r="A793" s="6">
        <v>786</v>
      </c>
      <c r="B793" s="7">
        <v>31867</v>
      </c>
      <c r="C793" s="8">
        <v>3604.3125</v>
      </c>
      <c r="D793" s="6">
        <v>3250</v>
      </c>
      <c r="E793" s="8">
        <v>0</v>
      </c>
      <c r="F793" s="8">
        <v>0.37088876962661743</v>
      </c>
      <c r="G793" s="8">
        <v>19.516128540039063</v>
      </c>
      <c r="H793" s="18">
        <v>49.905544281005859</v>
      </c>
      <c r="I793" s="6">
        <v>1</v>
      </c>
      <c r="J793" s="6">
        <v>9766.923828125</v>
      </c>
      <c r="K793" s="6">
        <v>12144.8291015625</v>
      </c>
    </row>
    <row r="794" spans="1:11" x14ac:dyDescent="0.3">
      <c r="A794" s="6">
        <v>787</v>
      </c>
      <c r="B794" s="7">
        <v>31897</v>
      </c>
      <c r="C794" s="8">
        <v>3623.035888671875</v>
      </c>
      <c r="D794" s="6">
        <v>5294.4443359375</v>
      </c>
      <c r="E794" s="8">
        <v>0</v>
      </c>
      <c r="F794" s="8">
        <v>182.17179870605469</v>
      </c>
      <c r="G794" s="8">
        <v>465.95361328125</v>
      </c>
      <c r="H794" s="18">
        <v>50.914810180664063</v>
      </c>
      <c r="I794" s="6">
        <v>1</v>
      </c>
      <c r="J794" s="6">
        <v>6352.39697265625</v>
      </c>
      <c r="K794" s="6">
        <v>6796.75927734375</v>
      </c>
    </row>
    <row r="795" spans="1:11" x14ac:dyDescent="0.3">
      <c r="A795" s="6">
        <v>788</v>
      </c>
      <c r="B795" s="7">
        <v>31928</v>
      </c>
      <c r="C795" s="8">
        <v>3278.966796875</v>
      </c>
      <c r="D795" s="6">
        <v>9427.30078125</v>
      </c>
      <c r="E795" s="8">
        <v>0</v>
      </c>
      <c r="F795" s="8">
        <v>250.50456237792969</v>
      </c>
      <c r="G795" s="8">
        <v>2345.609619140625</v>
      </c>
      <c r="H795" s="18">
        <v>50.738330841064453</v>
      </c>
      <c r="I795" s="6">
        <v>0</v>
      </c>
      <c r="J795" s="6">
        <v>10156.8076171875</v>
      </c>
      <c r="K795" s="6">
        <v>8242.951171875</v>
      </c>
    </row>
    <row r="796" spans="1:11" x14ac:dyDescent="0.3">
      <c r="A796" s="6">
        <v>789</v>
      </c>
      <c r="B796" s="7">
        <v>31958</v>
      </c>
      <c r="C796" s="8">
        <v>2849.214111328125</v>
      </c>
      <c r="D796" s="6">
        <v>12915.80859375</v>
      </c>
      <c r="E796" s="8">
        <v>1129.6309814453125</v>
      </c>
      <c r="F796" s="8">
        <v>294.71493530273438</v>
      </c>
      <c r="G796" s="8">
        <v>2714.961669921875</v>
      </c>
      <c r="H796" s="18">
        <v>52.064525604248047</v>
      </c>
      <c r="I796" s="6">
        <v>0</v>
      </c>
      <c r="J796" s="6">
        <v>13232.0947265625</v>
      </c>
      <c r="K796" s="6">
        <v>10559.400390625</v>
      </c>
    </row>
    <row r="797" spans="1:11" x14ac:dyDescent="0.3">
      <c r="A797" s="6">
        <v>790</v>
      </c>
      <c r="B797" s="7">
        <v>31989</v>
      </c>
      <c r="C797" s="8">
        <v>2473.188232421875</v>
      </c>
      <c r="D797" s="6">
        <v>12279.78515625</v>
      </c>
      <c r="E797" s="8">
        <v>2939.86328125</v>
      </c>
      <c r="F797" s="8">
        <v>320.8253173828125</v>
      </c>
      <c r="G797" s="8">
        <v>2538.07568359375</v>
      </c>
      <c r="H797" s="18">
        <v>53.705059051513672</v>
      </c>
      <c r="I797" s="6">
        <v>0</v>
      </c>
      <c r="J797" s="6">
        <v>12461.65625</v>
      </c>
      <c r="K797" s="6">
        <v>9954.560546875</v>
      </c>
    </row>
    <row r="798" spans="1:11" x14ac:dyDescent="0.3">
      <c r="A798" s="6">
        <v>791</v>
      </c>
      <c r="B798" s="7">
        <v>32020</v>
      </c>
      <c r="C798" s="8">
        <v>2283.30810546875</v>
      </c>
      <c r="D798" s="6">
        <v>7597.9169921875</v>
      </c>
      <c r="E798" s="8">
        <v>2881.91650390625</v>
      </c>
      <c r="F798" s="8">
        <v>255.98414611816406</v>
      </c>
      <c r="G798" s="8">
        <v>1921.841796875</v>
      </c>
      <c r="H798" s="18">
        <v>56.124122619628906</v>
      </c>
      <c r="I798" s="6">
        <v>0</v>
      </c>
      <c r="J798" s="6">
        <v>7875.54248046875</v>
      </c>
      <c r="K798" s="6">
        <v>5973.37939453125</v>
      </c>
    </row>
    <row r="799" spans="1:11" x14ac:dyDescent="0.3">
      <c r="A799" s="6">
        <v>792</v>
      </c>
      <c r="B799" s="7">
        <v>32050</v>
      </c>
      <c r="C799" s="8">
        <v>2192.67578125</v>
      </c>
      <c r="D799" s="6">
        <v>5337.45361328125</v>
      </c>
      <c r="E799" s="8">
        <v>1887.955078125</v>
      </c>
      <c r="F799" s="8">
        <v>117.73804473876953</v>
      </c>
      <c r="G799" s="8">
        <v>632.9815673828125</v>
      </c>
      <c r="H799" s="18">
        <v>55.374061584472656</v>
      </c>
      <c r="I799" s="6">
        <v>1</v>
      </c>
      <c r="J799" s="6">
        <v>5537.2783203125</v>
      </c>
      <c r="K799" s="6">
        <v>4923.40625</v>
      </c>
    </row>
    <row r="800" spans="1:11" x14ac:dyDescent="0.3">
      <c r="A800" s="6">
        <v>793</v>
      </c>
      <c r="B800" s="7">
        <v>32081</v>
      </c>
      <c r="C800" s="8">
        <v>2007.1036376953125</v>
      </c>
      <c r="D800" s="6">
        <v>6513.703125</v>
      </c>
      <c r="E800" s="8">
        <v>1710.297119140625</v>
      </c>
      <c r="F800" s="8">
        <v>79.945182800292969</v>
      </c>
      <c r="G800" s="8">
        <v>810.80462646484375</v>
      </c>
      <c r="H800" s="18">
        <v>56.224662780761719</v>
      </c>
      <c r="I800" s="6">
        <v>1</v>
      </c>
      <c r="J800" s="6">
        <v>6971.60009765625</v>
      </c>
      <c r="K800" s="6">
        <v>6318.1083984375</v>
      </c>
    </row>
    <row r="801" spans="1:11" x14ac:dyDescent="0.3">
      <c r="A801" s="6">
        <v>794</v>
      </c>
      <c r="B801" s="7">
        <v>32111</v>
      </c>
      <c r="C801" s="8">
        <v>1988.934326171875</v>
      </c>
      <c r="D801" s="6">
        <v>4195.90771484375</v>
      </c>
      <c r="E801" s="8">
        <v>1824.783935546875</v>
      </c>
      <c r="F801" s="8">
        <v>0</v>
      </c>
      <c r="G801" s="8">
        <v>436.9444580078125</v>
      </c>
      <c r="H801" s="18">
        <v>55.547218322753906</v>
      </c>
      <c r="I801" s="6">
        <v>1</v>
      </c>
      <c r="J801" s="6">
        <v>5474.27099609375</v>
      </c>
      <c r="K801" s="6">
        <v>5321.94921875</v>
      </c>
    </row>
    <row r="802" spans="1:11" x14ac:dyDescent="0.3">
      <c r="A802" s="6">
        <v>795</v>
      </c>
      <c r="B802" s="7">
        <v>32142</v>
      </c>
      <c r="C802" s="8">
        <v>2652.729736328125</v>
      </c>
      <c r="D802" s="6">
        <v>3250</v>
      </c>
      <c r="E802" s="8">
        <v>906.1927490234375</v>
      </c>
      <c r="F802" s="8">
        <v>0</v>
      </c>
      <c r="G802" s="8">
        <v>157.75537109375</v>
      </c>
      <c r="H802" s="18">
        <v>51.477767944335938</v>
      </c>
      <c r="I802" s="6">
        <v>1</v>
      </c>
      <c r="J802" s="6">
        <v>9206.4736328125</v>
      </c>
      <c r="K802" s="6">
        <v>10867.26171875</v>
      </c>
    </row>
    <row r="803" spans="1:11" x14ac:dyDescent="0.3">
      <c r="A803" s="6">
        <v>796</v>
      </c>
      <c r="B803" s="7">
        <v>32173</v>
      </c>
      <c r="C803" s="8">
        <v>3190.947265625</v>
      </c>
      <c r="D803" s="6">
        <v>3250</v>
      </c>
      <c r="E803" s="8">
        <v>0</v>
      </c>
      <c r="F803" s="8">
        <v>0</v>
      </c>
      <c r="G803" s="8">
        <v>74.81182861328125</v>
      </c>
      <c r="H803" s="18">
        <v>47.504650115966797</v>
      </c>
      <c r="I803" s="6">
        <v>1</v>
      </c>
      <c r="J803" s="6">
        <v>10531.357421875</v>
      </c>
      <c r="K803" s="6">
        <v>12160.67578125</v>
      </c>
    </row>
    <row r="804" spans="1:11" x14ac:dyDescent="0.3">
      <c r="A804" s="6">
        <v>797</v>
      </c>
      <c r="B804" s="7">
        <v>32202</v>
      </c>
      <c r="C804" s="8">
        <v>3219.843505859375</v>
      </c>
      <c r="D804" s="6">
        <v>6040.55712890625</v>
      </c>
      <c r="E804" s="8">
        <v>3706.3203125</v>
      </c>
      <c r="F804" s="8">
        <v>0</v>
      </c>
      <c r="G804" s="8">
        <v>66.063217163085938</v>
      </c>
      <c r="H804" s="18">
        <v>47.506732940673828</v>
      </c>
      <c r="I804" s="6">
        <v>1</v>
      </c>
      <c r="J804" s="6">
        <v>7641.37744140625</v>
      </c>
      <c r="K804" s="6">
        <v>8520.447265625</v>
      </c>
    </row>
    <row r="805" spans="1:11" x14ac:dyDescent="0.3">
      <c r="A805" s="6">
        <v>798</v>
      </c>
      <c r="B805" s="7">
        <v>32233</v>
      </c>
      <c r="C805" s="8">
        <v>3340.982177734375</v>
      </c>
      <c r="D805" s="6">
        <v>3250</v>
      </c>
      <c r="E805" s="8">
        <v>492.96798706054688</v>
      </c>
      <c r="F805" s="8">
        <v>21.361736297607422</v>
      </c>
      <c r="G805" s="8">
        <v>89.833023071289063</v>
      </c>
      <c r="H805" s="18">
        <v>50.085624694824219</v>
      </c>
      <c r="I805" s="6">
        <v>1</v>
      </c>
      <c r="J805" s="6">
        <v>4415.361328125</v>
      </c>
      <c r="K805" s="6">
        <v>5058.96630859375</v>
      </c>
    </row>
    <row r="806" spans="1:11" x14ac:dyDescent="0.3">
      <c r="A806" s="6">
        <v>799</v>
      </c>
      <c r="B806" s="7">
        <v>32263</v>
      </c>
      <c r="C806" s="8">
        <v>3432.6455078125</v>
      </c>
      <c r="D806" s="6">
        <v>3250</v>
      </c>
      <c r="E806" s="8">
        <v>0</v>
      </c>
      <c r="F806" s="8">
        <v>119.56303405761719</v>
      </c>
      <c r="G806" s="8">
        <v>472.98532104492188</v>
      </c>
      <c r="H806" s="18">
        <v>51.376628875732422</v>
      </c>
      <c r="I806" s="6">
        <v>1</v>
      </c>
      <c r="J806" s="6">
        <v>4597.97119140625</v>
      </c>
      <c r="K806" s="6">
        <v>4764.98193359375</v>
      </c>
    </row>
    <row r="807" spans="1:11" x14ac:dyDescent="0.3">
      <c r="A807" s="6">
        <v>800</v>
      </c>
      <c r="B807" s="7">
        <v>32294</v>
      </c>
      <c r="C807" s="8">
        <v>3330.71044921875</v>
      </c>
      <c r="D807" s="6">
        <v>6883.46142578125</v>
      </c>
      <c r="E807" s="8">
        <v>0</v>
      </c>
      <c r="F807" s="8">
        <v>152.79158020019531</v>
      </c>
      <c r="G807" s="8">
        <v>2086.376220703125</v>
      </c>
      <c r="H807" s="18">
        <v>51.008148193359375</v>
      </c>
      <c r="I807" s="6">
        <v>0</v>
      </c>
      <c r="J807" s="6">
        <v>8475.376953125</v>
      </c>
      <c r="K807" s="6">
        <v>6867.0087890625</v>
      </c>
    </row>
    <row r="808" spans="1:11" x14ac:dyDescent="0.3">
      <c r="A808" s="6">
        <v>801</v>
      </c>
      <c r="B808" s="7">
        <v>32324</v>
      </c>
      <c r="C808" s="8">
        <v>2960.935791015625</v>
      </c>
      <c r="D808" s="6">
        <v>10946.3818359375</v>
      </c>
      <c r="E808" s="8">
        <v>0</v>
      </c>
      <c r="F808" s="8">
        <v>203.79988098144531</v>
      </c>
      <c r="G808" s="8">
        <v>2416.343017578125</v>
      </c>
      <c r="H808" s="18">
        <v>51.772979736328125</v>
      </c>
      <c r="I808" s="6">
        <v>0</v>
      </c>
      <c r="J808" s="6">
        <v>11668.0380859375</v>
      </c>
      <c r="K808" s="6">
        <v>9490.0615234375</v>
      </c>
    </row>
    <row r="809" spans="1:11" x14ac:dyDescent="0.3">
      <c r="A809" s="6">
        <v>802</v>
      </c>
      <c r="B809" s="7">
        <v>32355</v>
      </c>
      <c r="C809" s="8">
        <v>2490.652587890625</v>
      </c>
      <c r="D809" s="6">
        <v>11770.708984375</v>
      </c>
      <c r="E809" s="8">
        <v>2447.744140625</v>
      </c>
      <c r="F809" s="8">
        <v>242.14094543457031</v>
      </c>
      <c r="G809" s="8">
        <v>2326.644775390625</v>
      </c>
      <c r="H809" s="18">
        <v>53.894107818603516</v>
      </c>
      <c r="I809" s="6">
        <v>0</v>
      </c>
      <c r="J809" s="6">
        <v>12203.56640625</v>
      </c>
      <c r="K809" s="6">
        <v>9914.3564453125</v>
      </c>
    </row>
    <row r="810" spans="1:11" x14ac:dyDescent="0.3">
      <c r="A810" s="6">
        <v>803</v>
      </c>
      <c r="B810" s="7">
        <v>32386</v>
      </c>
      <c r="C810" s="8">
        <v>2243.262451171875</v>
      </c>
      <c r="D810" s="6">
        <v>7591.1669921875</v>
      </c>
      <c r="E810" s="8">
        <v>2363.936279296875</v>
      </c>
      <c r="F810" s="8">
        <v>193.2552490234375</v>
      </c>
      <c r="G810" s="8">
        <v>1856.208251953125</v>
      </c>
      <c r="H810" s="18">
        <v>56.010417938232422</v>
      </c>
      <c r="I810" s="6">
        <v>0</v>
      </c>
      <c r="J810" s="6">
        <v>7403.44091796875</v>
      </c>
      <c r="K810" s="6">
        <v>5566.84033203125</v>
      </c>
    </row>
    <row r="811" spans="1:11" x14ac:dyDescent="0.3">
      <c r="A811" s="6">
        <v>804</v>
      </c>
      <c r="B811" s="7">
        <v>32416</v>
      </c>
      <c r="C811" s="8">
        <v>2110.7509765625</v>
      </c>
      <c r="D811" s="6">
        <v>5883.048828125</v>
      </c>
      <c r="E811" s="8">
        <v>1955.6697998046875</v>
      </c>
      <c r="F811" s="8">
        <v>88.752769470214844</v>
      </c>
      <c r="G811" s="8">
        <v>632.9815673828125</v>
      </c>
      <c r="H811" s="18">
        <v>55.158432006835938</v>
      </c>
      <c r="I811" s="6">
        <v>1</v>
      </c>
      <c r="J811" s="6">
        <v>5745.3359375</v>
      </c>
      <c r="K811" s="6">
        <v>5123.39599609375</v>
      </c>
    </row>
    <row r="812" spans="1:11" x14ac:dyDescent="0.3">
      <c r="A812" s="6">
        <v>805</v>
      </c>
      <c r="B812" s="7">
        <v>32447</v>
      </c>
      <c r="C812" s="8">
        <v>1975.5552978515625</v>
      </c>
      <c r="D812" s="6">
        <v>5567.61279296875</v>
      </c>
      <c r="E812" s="8">
        <v>1615.891357421875</v>
      </c>
      <c r="F812" s="8">
        <v>85.30535888671875</v>
      </c>
      <c r="G812" s="8">
        <v>852.0899658203125</v>
      </c>
      <c r="H812" s="18">
        <v>56.101322174072266</v>
      </c>
      <c r="I812" s="6">
        <v>1</v>
      </c>
      <c r="J812" s="6">
        <v>5773.2939453125</v>
      </c>
      <c r="K812" s="6">
        <v>5038.5615234375</v>
      </c>
    </row>
    <row r="813" spans="1:11" x14ac:dyDescent="0.3">
      <c r="A813" s="6">
        <v>806</v>
      </c>
      <c r="B813" s="7">
        <v>32477</v>
      </c>
      <c r="C813" s="8">
        <v>2199.9501953125</v>
      </c>
      <c r="D813" s="6">
        <v>3250</v>
      </c>
      <c r="E813" s="8">
        <v>1854.902587890625</v>
      </c>
      <c r="F813" s="8">
        <v>16.975309371948242</v>
      </c>
      <c r="G813" s="8">
        <v>435.26388549804688</v>
      </c>
      <c r="H813" s="18">
        <v>54.880287170410156</v>
      </c>
      <c r="I813" s="6">
        <v>1</v>
      </c>
      <c r="J813" s="6">
        <v>6384.56201171875</v>
      </c>
      <c r="K813" s="6">
        <v>6691.009765625</v>
      </c>
    </row>
    <row r="814" spans="1:11" x14ac:dyDescent="0.3">
      <c r="A814" s="6">
        <v>807</v>
      </c>
      <c r="B814" s="7">
        <v>32508</v>
      </c>
      <c r="C814" s="8">
        <v>2303.75244140625</v>
      </c>
      <c r="D814" s="6">
        <v>3250</v>
      </c>
      <c r="E814" s="8">
        <v>1030.474853515625</v>
      </c>
      <c r="F814" s="8">
        <v>0</v>
      </c>
      <c r="G814" s="8">
        <v>211.42472839355469</v>
      </c>
      <c r="H814" s="18">
        <v>51.392410278320313</v>
      </c>
      <c r="I814" s="6">
        <v>1</v>
      </c>
      <c r="J814" s="6">
        <v>4936.32470703125</v>
      </c>
      <c r="K814" s="6">
        <v>5195.2373046875</v>
      </c>
    </row>
    <row r="815" spans="1:11" x14ac:dyDescent="0.3">
      <c r="A815" s="6">
        <v>808</v>
      </c>
      <c r="B815" s="7">
        <v>32539</v>
      </c>
      <c r="C815" s="8">
        <v>2426.536865234375</v>
      </c>
      <c r="D815" s="6">
        <v>3250</v>
      </c>
      <c r="E815" s="8">
        <v>659.560791015625</v>
      </c>
      <c r="F815" s="8">
        <v>0</v>
      </c>
      <c r="G815" s="8">
        <v>136.61289978027344</v>
      </c>
      <c r="H815" s="18">
        <v>48.586227416992188</v>
      </c>
      <c r="I815" s="6">
        <v>1</v>
      </c>
      <c r="J815" s="6">
        <v>5965.66064453125</v>
      </c>
      <c r="K815" s="6">
        <v>6562.21044921875</v>
      </c>
    </row>
    <row r="816" spans="1:11" x14ac:dyDescent="0.3">
      <c r="A816" s="6">
        <v>809</v>
      </c>
      <c r="B816" s="7">
        <v>32567</v>
      </c>
      <c r="C816" s="8">
        <v>2533.717041015625</v>
      </c>
      <c r="D816" s="6">
        <v>3250</v>
      </c>
      <c r="E816" s="8">
        <v>2147.354736328125</v>
      </c>
      <c r="F816" s="8">
        <v>4.5852818489074707</v>
      </c>
      <c r="G816" s="8">
        <v>86.107383728027344</v>
      </c>
      <c r="H816" s="18">
        <v>48.511856079101563</v>
      </c>
      <c r="I816" s="6">
        <v>1</v>
      </c>
      <c r="J816" s="6">
        <v>4658.1962890625</v>
      </c>
      <c r="K816" s="6">
        <v>5253.23828125</v>
      </c>
    </row>
    <row r="817" spans="1:11" x14ac:dyDescent="0.3">
      <c r="A817" s="6">
        <v>810</v>
      </c>
      <c r="B817" s="7">
        <v>32598</v>
      </c>
      <c r="C817" s="8">
        <v>3841</v>
      </c>
      <c r="D817" s="6">
        <v>3335.217041015625</v>
      </c>
      <c r="E817" s="8">
        <v>0</v>
      </c>
      <c r="F817" s="8">
        <v>0</v>
      </c>
      <c r="G817" s="8">
        <v>19.516128540039063</v>
      </c>
      <c r="H817" s="18">
        <v>50.809852600097656</v>
      </c>
      <c r="I817" s="6">
        <v>1</v>
      </c>
      <c r="J817" s="6">
        <v>14408.78515625</v>
      </c>
      <c r="K817" s="6">
        <v>18495.0390625</v>
      </c>
    </row>
    <row r="818" spans="1:11" x14ac:dyDescent="0.3">
      <c r="A818" s="6">
        <v>811</v>
      </c>
      <c r="B818" s="7">
        <v>32628</v>
      </c>
      <c r="C818" s="8">
        <v>4257.525390625</v>
      </c>
      <c r="D818" s="6">
        <v>3250</v>
      </c>
      <c r="E818" s="8">
        <v>0</v>
      </c>
      <c r="F818" s="8">
        <v>278.56231689453125</v>
      </c>
      <c r="G818" s="8">
        <v>448.37432861328125</v>
      </c>
      <c r="H818" s="18">
        <v>52.776580810546875</v>
      </c>
      <c r="I818" s="6">
        <v>1</v>
      </c>
      <c r="J818" s="6">
        <v>6018.46630859375</v>
      </c>
      <c r="K818" s="6">
        <v>7179.52587890625</v>
      </c>
    </row>
    <row r="819" spans="1:11" x14ac:dyDescent="0.3">
      <c r="A819" s="6">
        <v>812</v>
      </c>
      <c r="B819" s="7">
        <v>32659</v>
      </c>
      <c r="C819" s="8">
        <v>3934.481689453125</v>
      </c>
      <c r="D819" s="6">
        <v>10011.177734375</v>
      </c>
      <c r="E819" s="8">
        <v>0</v>
      </c>
      <c r="F819" s="8">
        <v>317.6539306640625</v>
      </c>
      <c r="G819" s="8">
        <v>2368.940673828125</v>
      </c>
      <c r="H819" s="18">
        <v>50.918426513671875</v>
      </c>
      <c r="I819" s="6">
        <v>0</v>
      </c>
      <c r="J819" s="6">
        <v>10957.333984375</v>
      </c>
      <c r="K819" s="6">
        <v>9133.6796875</v>
      </c>
    </row>
    <row r="820" spans="1:11" x14ac:dyDescent="0.3">
      <c r="A820" s="6">
        <v>813</v>
      </c>
      <c r="B820" s="7">
        <v>32689</v>
      </c>
      <c r="C820" s="8">
        <v>3457.87646484375</v>
      </c>
      <c r="D820" s="6">
        <v>11206.92578125</v>
      </c>
      <c r="E820" s="8">
        <v>0</v>
      </c>
      <c r="F820" s="8">
        <v>517.07537841796875</v>
      </c>
      <c r="G820" s="8">
        <v>2621.433837890625</v>
      </c>
      <c r="H820" s="18">
        <v>51.800579071044922</v>
      </c>
      <c r="I820" s="6">
        <v>0</v>
      </c>
      <c r="J820" s="6">
        <v>11034.669921875</v>
      </c>
      <c r="K820" s="6">
        <v>8673.8427734375</v>
      </c>
    </row>
    <row r="821" spans="1:11" x14ac:dyDescent="0.3">
      <c r="A821" s="6">
        <v>814</v>
      </c>
      <c r="B821" s="7">
        <v>32720</v>
      </c>
      <c r="C821" s="8">
        <v>2918.839599609375</v>
      </c>
      <c r="D821" s="6">
        <v>12592.146484375</v>
      </c>
      <c r="E821" s="8">
        <v>496.276123046875</v>
      </c>
      <c r="F821" s="8">
        <v>602.97808837890625</v>
      </c>
      <c r="G821" s="8">
        <v>2442.872314453125</v>
      </c>
      <c r="H821" s="18">
        <v>53.21966552734375</v>
      </c>
      <c r="I821" s="6">
        <v>0</v>
      </c>
      <c r="J821" s="6">
        <v>12122.37109375</v>
      </c>
      <c r="K821" s="6">
        <v>9715.271484375</v>
      </c>
    </row>
    <row r="822" spans="1:11" x14ac:dyDescent="0.3">
      <c r="A822" s="6">
        <v>815</v>
      </c>
      <c r="B822" s="7">
        <v>32751</v>
      </c>
      <c r="C822" s="8">
        <v>2630.61669921875</v>
      </c>
      <c r="D822" s="6">
        <v>8142.7568359375</v>
      </c>
      <c r="E822" s="8">
        <v>2140.86328125</v>
      </c>
      <c r="F822" s="8">
        <v>477.39138793945313</v>
      </c>
      <c r="G822" s="8">
        <v>1910.86279296875</v>
      </c>
      <c r="H822" s="18">
        <v>54.878261566162109</v>
      </c>
      <c r="I822" s="6">
        <v>0</v>
      </c>
      <c r="J822" s="6">
        <v>7792.5458984375</v>
      </c>
      <c r="K822" s="6">
        <v>5901.22021484375</v>
      </c>
    </row>
    <row r="823" spans="1:11" x14ac:dyDescent="0.3">
      <c r="A823" s="6">
        <v>816</v>
      </c>
      <c r="B823" s="7">
        <v>32781</v>
      </c>
      <c r="C823" s="8">
        <v>2659.4970703125</v>
      </c>
      <c r="D823" s="6">
        <v>3427.680419921875</v>
      </c>
      <c r="E823" s="8">
        <v>447.037109375</v>
      </c>
      <c r="F823" s="8">
        <v>104.52906799316406</v>
      </c>
      <c r="G823" s="8">
        <v>346.10745239257813</v>
      </c>
      <c r="H823" s="18">
        <v>56.039215087890625</v>
      </c>
      <c r="I823" s="6">
        <v>1</v>
      </c>
      <c r="J823" s="6">
        <v>4221.2060546875</v>
      </c>
      <c r="K823" s="6">
        <v>4137.79638671875</v>
      </c>
    </row>
    <row r="824" spans="1:11" x14ac:dyDescent="0.3">
      <c r="A824" s="6">
        <v>817</v>
      </c>
      <c r="B824" s="7">
        <v>32812</v>
      </c>
      <c r="C824" s="8">
        <v>2800.487060546875</v>
      </c>
      <c r="D824" s="6">
        <v>4138.70703125</v>
      </c>
      <c r="E824" s="8">
        <v>977.87164306640625</v>
      </c>
      <c r="F824" s="8">
        <v>68.562957763671875</v>
      </c>
      <c r="G824" s="8">
        <v>777.3419189453125</v>
      </c>
      <c r="H824" s="18">
        <v>55.965023040771484</v>
      </c>
      <c r="I824" s="6">
        <v>1</v>
      </c>
      <c r="J824" s="6">
        <v>5524.29052734375</v>
      </c>
      <c r="K824" s="6">
        <v>5236.48876953125</v>
      </c>
    </row>
    <row r="825" spans="1:11" x14ac:dyDescent="0.3">
      <c r="A825" s="6">
        <v>818</v>
      </c>
      <c r="B825" s="7">
        <v>32842</v>
      </c>
      <c r="C825" s="8">
        <v>2706.17529296875</v>
      </c>
      <c r="D825" s="6">
        <v>5548.109375</v>
      </c>
      <c r="E825" s="8">
        <v>1557.039306640625</v>
      </c>
      <c r="F825" s="8">
        <v>17.838253021240234</v>
      </c>
      <c r="G825" s="8">
        <v>516.48492431640625</v>
      </c>
      <c r="H825" s="18">
        <v>54.86236572265625</v>
      </c>
      <c r="I825" s="6">
        <v>1</v>
      </c>
      <c r="J825" s="6">
        <v>6257.63232421875</v>
      </c>
      <c r="K825" s="6">
        <v>6110.9912109375</v>
      </c>
    </row>
    <row r="826" spans="1:11" x14ac:dyDescent="0.3">
      <c r="A826" s="6">
        <v>819</v>
      </c>
      <c r="B826" s="7">
        <v>32873</v>
      </c>
      <c r="C826" s="8">
        <v>2652.33251953125</v>
      </c>
      <c r="D826" s="6">
        <v>4185.80078125</v>
      </c>
      <c r="E826" s="8">
        <v>2009.1300048828125</v>
      </c>
      <c r="F826" s="8">
        <v>0</v>
      </c>
      <c r="G826" s="8">
        <v>317.1370849609375</v>
      </c>
      <c r="H826" s="18">
        <v>51.630020141601563</v>
      </c>
      <c r="I826" s="6">
        <v>1</v>
      </c>
      <c r="J826" s="6">
        <v>5079.78515625</v>
      </c>
      <c r="K826" s="6">
        <v>5102.17236328125</v>
      </c>
    </row>
    <row r="827" spans="1:11" x14ac:dyDescent="0.3">
      <c r="A827" s="6">
        <v>820</v>
      </c>
      <c r="B827" s="7">
        <v>32904</v>
      </c>
      <c r="C827" s="8">
        <v>2892.175537109375</v>
      </c>
      <c r="D827" s="6">
        <v>3250</v>
      </c>
      <c r="E827" s="8">
        <v>0</v>
      </c>
      <c r="F827" s="8">
        <v>0</v>
      </c>
      <c r="G827" s="8">
        <v>74.81182861328125</v>
      </c>
      <c r="H827" s="18">
        <v>48.988285064697266</v>
      </c>
      <c r="I827" s="6">
        <v>1</v>
      </c>
      <c r="J827" s="6">
        <v>7486.73388671875</v>
      </c>
      <c r="K827" s="6">
        <v>8396.3603515625</v>
      </c>
    </row>
    <row r="828" spans="1:11" x14ac:dyDescent="0.3">
      <c r="A828" s="6">
        <v>821</v>
      </c>
      <c r="B828" s="7">
        <v>32932</v>
      </c>
      <c r="C828" s="8">
        <v>2982.4248046875</v>
      </c>
      <c r="D828" s="6">
        <v>3250</v>
      </c>
      <c r="E828" s="8">
        <v>0</v>
      </c>
      <c r="F828" s="8">
        <v>0</v>
      </c>
      <c r="G828" s="8">
        <v>68.422615051269531</v>
      </c>
      <c r="H828" s="18">
        <v>48.165416717529297</v>
      </c>
      <c r="I828" s="6">
        <v>1</v>
      </c>
      <c r="J828" s="6">
        <v>4966.3330078125</v>
      </c>
      <c r="K828" s="6">
        <v>5566.1181640625</v>
      </c>
    </row>
    <row r="829" spans="1:11" x14ac:dyDescent="0.3">
      <c r="A829" s="6">
        <v>822</v>
      </c>
      <c r="B829" s="7">
        <v>32963</v>
      </c>
      <c r="C829" s="8">
        <v>3224.93408203125</v>
      </c>
      <c r="D829" s="6">
        <v>3250</v>
      </c>
      <c r="E829" s="8">
        <v>0</v>
      </c>
      <c r="F829" s="8">
        <v>23.96290397644043</v>
      </c>
      <c r="G829" s="8">
        <v>66.50201416015625</v>
      </c>
      <c r="H829" s="18">
        <v>50.241264343261719</v>
      </c>
      <c r="I829" s="6">
        <v>1</v>
      </c>
      <c r="J829" s="6">
        <v>5754.53076171875</v>
      </c>
      <c r="K829" s="6">
        <v>6626.826171875</v>
      </c>
    </row>
    <row r="830" spans="1:11" x14ac:dyDescent="0.3">
      <c r="A830" s="6">
        <v>823</v>
      </c>
      <c r="B830" s="7">
        <v>32993</v>
      </c>
      <c r="C830" s="8">
        <v>3255.982421875</v>
      </c>
      <c r="D830" s="6">
        <v>3250</v>
      </c>
      <c r="E830" s="8">
        <v>0</v>
      </c>
      <c r="F830" s="8">
        <v>164.3074951171875</v>
      </c>
      <c r="G830" s="8">
        <v>546.31597900390625</v>
      </c>
      <c r="H830" s="18">
        <v>52.837333679199219</v>
      </c>
      <c r="I830" s="6">
        <v>1</v>
      </c>
      <c r="J830" s="6">
        <v>3665.844482421875</v>
      </c>
      <c r="K830" s="6">
        <v>3520.539306640625</v>
      </c>
    </row>
    <row r="831" spans="1:11" x14ac:dyDescent="0.3">
      <c r="A831" s="6">
        <v>824</v>
      </c>
      <c r="B831" s="7">
        <v>33024</v>
      </c>
      <c r="C831" s="8">
        <v>3362.06884765625</v>
      </c>
      <c r="D831" s="6">
        <v>5630.49853515625</v>
      </c>
      <c r="E831" s="8">
        <v>0</v>
      </c>
      <c r="F831" s="8">
        <v>102.29715728759766</v>
      </c>
      <c r="G831" s="8">
        <v>1666.94287109375</v>
      </c>
      <c r="H831" s="18">
        <v>52.459934234619141</v>
      </c>
      <c r="I831" s="6">
        <v>1</v>
      </c>
      <c r="J831" s="6">
        <v>7801.00537109375</v>
      </c>
      <c r="K831" s="6">
        <v>6678.5859375</v>
      </c>
    </row>
    <row r="832" spans="1:11" x14ac:dyDescent="0.3">
      <c r="A832" s="6">
        <v>825</v>
      </c>
      <c r="B832" s="7">
        <v>33054</v>
      </c>
      <c r="C832" s="8">
        <v>3180.568359375</v>
      </c>
      <c r="D832" s="6">
        <v>8063.263671875</v>
      </c>
      <c r="E832" s="8">
        <v>0</v>
      </c>
      <c r="F832" s="8">
        <v>206.65235900878906</v>
      </c>
      <c r="G832" s="8">
        <v>2506.8408203125</v>
      </c>
      <c r="H832" s="18">
        <v>53.181201934814453</v>
      </c>
      <c r="I832" s="6">
        <v>0</v>
      </c>
      <c r="J832" s="6">
        <v>8798.4189453125</v>
      </c>
      <c r="K832" s="6">
        <v>6587.9287109375</v>
      </c>
    </row>
    <row r="833" spans="1:11" x14ac:dyDescent="0.3">
      <c r="A833" s="6">
        <v>826</v>
      </c>
      <c r="B833" s="7">
        <v>33085</v>
      </c>
      <c r="C833" s="8">
        <v>2634.774169921875</v>
      </c>
      <c r="D833" s="6">
        <v>12447.279296875</v>
      </c>
      <c r="E833" s="8">
        <v>2674.493408203125</v>
      </c>
      <c r="F833" s="8">
        <v>227.43785095214844</v>
      </c>
      <c r="G833" s="8">
        <v>2326.644775390625</v>
      </c>
      <c r="H833" s="18">
        <v>53.944061279296875</v>
      </c>
      <c r="I833" s="6">
        <v>0</v>
      </c>
      <c r="J833" s="6">
        <v>12309.212890625</v>
      </c>
      <c r="K833" s="6">
        <v>10019.0849609375</v>
      </c>
    </row>
    <row r="834" spans="1:11" x14ac:dyDescent="0.3">
      <c r="A834" s="6">
        <v>827</v>
      </c>
      <c r="B834" s="7">
        <v>33116</v>
      </c>
      <c r="C834" s="8">
        <v>2364.551025390625</v>
      </c>
      <c r="D834" s="6">
        <v>8011.14453125</v>
      </c>
      <c r="E834" s="8">
        <v>3233.810302734375</v>
      </c>
      <c r="F834" s="8">
        <v>172.19648742675781</v>
      </c>
      <c r="G834" s="8">
        <v>1782.3692626953125</v>
      </c>
      <c r="H834" s="18">
        <v>56.283443450927734</v>
      </c>
      <c r="I834" s="6">
        <v>0</v>
      </c>
      <c r="J834" s="6">
        <v>7814.70166015625</v>
      </c>
      <c r="K834" s="6">
        <v>6048.4267578125</v>
      </c>
    </row>
    <row r="835" spans="1:11" x14ac:dyDescent="0.3">
      <c r="A835" s="6">
        <v>828</v>
      </c>
      <c r="B835" s="7">
        <v>33146</v>
      </c>
      <c r="C835" s="8">
        <v>2239.517822265625</v>
      </c>
      <c r="D835" s="6">
        <v>5653.68310546875</v>
      </c>
      <c r="E835" s="8">
        <v>1878.513671875</v>
      </c>
      <c r="F835" s="8">
        <v>79.411819458007813</v>
      </c>
      <c r="G835" s="8">
        <v>622.2666015625</v>
      </c>
      <c r="H835" s="18">
        <v>55.727603912353516</v>
      </c>
      <c r="I835" s="6">
        <v>1</v>
      </c>
      <c r="J835" s="6">
        <v>5751.8046875</v>
      </c>
      <c r="K835" s="6">
        <v>5163.58935546875</v>
      </c>
    </row>
    <row r="836" spans="1:11" x14ac:dyDescent="0.3">
      <c r="A836" s="6">
        <v>829</v>
      </c>
      <c r="B836" s="7">
        <v>33177</v>
      </c>
      <c r="C836" s="8">
        <v>2132.191650390625</v>
      </c>
      <c r="D836" s="6">
        <v>5063.830078125</v>
      </c>
      <c r="E836" s="8">
        <v>1555.8990478515625</v>
      </c>
      <c r="F836" s="8">
        <v>82.251899719238281</v>
      </c>
      <c r="G836" s="8">
        <v>855.8033447265625</v>
      </c>
      <c r="H836" s="18">
        <v>56.487674713134766</v>
      </c>
      <c r="I836" s="6">
        <v>0</v>
      </c>
      <c r="J836" s="6">
        <v>5442.7939453125</v>
      </c>
      <c r="K836" s="6">
        <v>4714.1982421875</v>
      </c>
    </row>
    <row r="837" spans="1:11" x14ac:dyDescent="0.3">
      <c r="A837" s="6">
        <v>830</v>
      </c>
      <c r="B837" s="7">
        <v>33207</v>
      </c>
      <c r="C837" s="8">
        <v>2089.30419921875</v>
      </c>
      <c r="D837" s="6">
        <v>4085.612548828125</v>
      </c>
      <c r="E837" s="8">
        <v>1488.062255859375</v>
      </c>
      <c r="F837" s="8">
        <v>18.299880981445313</v>
      </c>
      <c r="G837" s="8">
        <v>550.63671875</v>
      </c>
      <c r="H837" s="18">
        <v>55.819084167480469</v>
      </c>
      <c r="I837" s="6">
        <v>1</v>
      </c>
      <c r="J837" s="6">
        <v>4825.6826171875</v>
      </c>
      <c r="K837" s="6">
        <v>4496.8046875</v>
      </c>
    </row>
    <row r="838" spans="1:11" x14ac:dyDescent="0.3">
      <c r="A838" s="6">
        <v>831</v>
      </c>
      <c r="B838" s="7">
        <v>33238</v>
      </c>
      <c r="C838" s="8">
        <v>2067.0986328125</v>
      </c>
      <c r="D838" s="6">
        <v>3259.86474609375</v>
      </c>
      <c r="E838" s="8">
        <v>3086.0771484375</v>
      </c>
      <c r="F838" s="8">
        <v>0</v>
      </c>
      <c r="G838" s="8">
        <v>278.10482788085938</v>
      </c>
      <c r="H838" s="18">
        <v>53.121292114257813</v>
      </c>
      <c r="I838" s="6">
        <v>1</v>
      </c>
      <c r="J838" s="6">
        <v>3980.35986328125</v>
      </c>
      <c r="K838" s="6">
        <v>3949.130859375</v>
      </c>
    </row>
    <row r="839" spans="1:11" x14ac:dyDescent="0.3">
      <c r="A839" s="6">
        <v>832</v>
      </c>
      <c r="B839" s="7">
        <v>33269</v>
      </c>
      <c r="C839" s="8">
        <v>2043.384521484375</v>
      </c>
      <c r="D839" s="6">
        <v>3527.043212890625</v>
      </c>
      <c r="E839" s="8">
        <v>2041.80224609375</v>
      </c>
      <c r="F839" s="8">
        <v>0</v>
      </c>
      <c r="G839" s="8">
        <v>139.86558532714844</v>
      </c>
      <c r="H839" s="18">
        <v>50.448074340820313</v>
      </c>
      <c r="I839" s="6">
        <v>1</v>
      </c>
      <c r="J839" s="6">
        <v>4230.2099609375</v>
      </c>
      <c r="K839" s="6">
        <v>4380.0576171875</v>
      </c>
    </row>
    <row r="840" spans="1:11" x14ac:dyDescent="0.3">
      <c r="A840" s="6">
        <v>833</v>
      </c>
      <c r="B840" s="7">
        <v>33297</v>
      </c>
      <c r="C840" s="8">
        <v>2054.66552734375</v>
      </c>
      <c r="D840" s="6">
        <v>3250</v>
      </c>
      <c r="E840" s="8">
        <v>123.23133087158203</v>
      </c>
      <c r="F840" s="8">
        <v>2.866877555847168</v>
      </c>
      <c r="G840" s="8">
        <v>77.607597351074219</v>
      </c>
      <c r="H840" s="18">
        <v>50.653751373291016</v>
      </c>
      <c r="I840" s="6">
        <v>1</v>
      </c>
      <c r="J840" s="6">
        <v>4429.63525390625</v>
      </c>
      <c r="K840" s="6">
        <v>4732.58740234375</v>
      </c>
    </row>
    <row r="841" spans="1:11" x14ac:dyDescent="0.3">
      <c r="A841" s="6">
        <v>834</v>
      </c>
      <c r="B841" s="7">
        <v>33328</v>
      </c>
      <c r="C841" s="8">
        <v>2465.64990234375</v>
      </c>
      <c r="D841" s="6">
        <v>3250</v>
      </c>
      <c r="E841" s="8">
        <v>0</v>
      </c>
      <c r="F841" s="8">
        <v>0</v>
      </c>
      <c r="G841" s="8">
        <v>14.719879150390625</v>
      </c>
      <c r="H841" s="18">
        <v>50.056472778320313</v>
      </c>
      <c r="I841" s="6">
        <v>1</v>
      </c>
      <c r="J841" s="6">
        <v>9342.216796875</v>
      </c>
      <c r="K841" s="6">
        <v>11275.4970703125</v>
      </c>
    </row>
    <row r="842" spans="1:11" x14ac:dyDescent="0.3">
      <c r="A842" s="6">
        <v>835</v>
      </c>
      <c r="B842" s="7">
        <v>33358</v>
      </c>
      <c r="C842" s="8">
        <v>2608.74365234375</v>
      </c>
      <c r="D842" s="6">
        <v>3250</v>
      </c>
      <c r="E842" s="8">
        <v>0</v>
      </c>
      <c r="F842" s="8">
        <v>99.786216735839844</v>
      </c>
      <c r="G842" s="8">
        <v>390.43963623046875</v>
      </c>
      <c r="H842" s="18">
        <v>52.174777984619141</v>
      </c>
      <c r="I842" s="6">
        <v>1</v>
      </c>
      <c r="J842" s="6">
        <v>4899.4169921875</v>
      </c>
      <c r="K842" s="6">
        <v>5657.90869140625</v>
      </c>
    </row>
    <row r="843" spans="1:11" x14ac:dyDescent="0.3">
      <c r="A843" s="6">
        <v>836</v>
      </c>
      <c r="B843" s="7">
        <v>33389</v>
      </c>
      <c r="C843" s="8">
        <v>2510.05419921875</v>
      </c>
      <c r="D843" s="6">
        <v>6746.265625</v>
      </c>
      <c r="E843" s="8">
        <v>0</v>
      </c>
      <c r="F843" s="8">
        <v>265.20388793945313</v>
      </c>
      <c r="G843" s="8">
        <v>2166.270751953125</v>
      </c>
      <c r="H843" s="18">
        <v>52.1820068359375</v>
      </c>
      <c r="I843" s="6">
        <v>1</v>
      </c>
      <c r="J843" s="6">
        <v>7500.1572265625</v>
      </c>
      <c r="K843" s="6">
        <v>5924.7080078125</v>
      </c>
    </row>
    <row r="844" spans="1:11" x14ac:dyDescent="0.3">
      <c r="A844" s="6">
        <v>837</v>
      </c>
      <c r="B844" s="7">
        <v>33419</v>
      </c>
      <c r="C844" s="8">
        <v>2234.704833984375</v>
      </c>
      <c r="D844" s="6">
        <v>7646.2861328125</v>
      </c>
      <c r="E844" s="8">
        <v>738.60943603515625</v>
      </c>
      <c r="F844" s="8">
        <v>362.696044921875</v>
      </c>
      <c r="G844" s="8">
        <v>2380.910888671875</v>
      </c>
      <c r="H844" s="18">
        <v>53.892311096191406</v>
      </c>
      <c r="I844" s="6">
        <v>0</v>
      </c>
      <c r="J844" s="6">
        <v>7513.38720703125</v>
      </c>
      <c r="K844" s="6">
        <v>5289.97314453125</v>
      </c>
    </row>
    <row r="845" spans="1:11" x14ac:dyDescent="0.3">
      <c r="A845" s="6">
        <v>838</v>
      </c>
      <c r="B845" s="7">
        <v>33450</v>
      </c>
      <c r="C845" s="8">
        <v>1917.2408447265625</v>
      </c>
      <c r="D845" s="6">
        <v>8667.65625</v>
      </c>
      <c r="E845" s="8">
        <v>3190.369384765625</v>
      </c>
      <c r="F845" s="8">
        <v>424.0916748046875</v>
      </c>
      <c r="G845" s="8">
        <v>2281.4833984375</v>
      </c>
      <c r="H845" s="18">
        <v>56.067035675048828</v>
      </c>
      <c r="I845" s="6">
        <v>0</v>
      </c>
      <c r="J845" s="6">
        <v>8392.50390625</v>
      </c>
      <c r="K845" s="6">
        <v>6148.61328125</v>
      </c>
    </row>
    <row r="846" spans="1:11" x14ac:dyDescent="0.3">
      <c r="A846" s="6">
        <v>839</v>
      </c>
      <c r="B846" s="7">
        <v>33481</v>
      </c>
      <c r="C846" s="8">
        <v>1720.5888671875</v>
      </c>
      <c r="D846" s="6">
        <v>6728.150390625</v>
      </c>
      <c r="E846" s="8">
        <v>3158.24462890625</v>
      </c>
      <c r="F846" s="8">
        <v>339.13897705078125</v>
      </c>
      <c r="G846" s="8">
        <v>1795.085693359375</v>
      </c>
      <c r="H846" s="18">
        <v>56.881847381591797</v>
      </c>
      <c r="I846" s="6">
        <v>0</v>
      </c>
      <c r="J846" s="6">
        <v>6488.4130859375</v>
      </c>
      <c r="K846" s="6">
        <v>4713.005859375</v>
      </c>
    </row>
    <row r="847" spans="1:11" x14ac:dyDescent="0.3">
      <c r="A847" s="6">
        <v>840</v>
      </c>
      <c r="B847" s="7">
        <v>33511</v>
      </c>
      <c r="C847" s="8">
        <v>1656.5145263671875</v>
      </c>
      <c r="D847" s="6">
        <v>4353.27001953125</v>
      </c>
      <c r="E847" s="8">
        <v>2165.95703125</v>
      </c>
      <c r="F847" s="8">
        <v>155.43597412109375</v>
      </c>
      <c r="G847" s="8">
        <v>507.55792236328125</v>
      </c>
      <c r="H847" s="18">
        <v>57.35015869140625</v>
      </c>
      <c r="I847" s="6">
        <v>1</v>
      </c>
      <c r="J847" s="6">
        <v>4467.46533203125</v>
      </c>
      <c r="K847" s="6">
        <v>3963.7041015625</v>
      </c>
    </row>
    <row r="848" spans="1:11" x14ac:dyDescent="0.3">
      <c r="A848" s="6">
        <v>841</v>
      </c>
      <c r="B848" s="7">
        <v>33542</v>
      </c>
      <c r="C848" s="8">
        <v>1527.0118408203125</v>
      </c>
      <c r="D848" s="6">
        <v>5136.8251953125</v>
      </c>
      <c r="E848" s="8">
        <v>1365.7271728515625</v>
      </c>
      <c r="F848" s="8">
        <v>104.97896575927734</v>
      </c>
      <c r="G848" s="8">
        <v>620.21319580078125</v>
      </c>
      <c r="H848" s="18">
        <v>56.999942779541016</v>
      </c>
      <c r="I848" s="6">
        <v>1</v>
      </c>
      <c r="J848" s="6">
        <v>5714.197265625</v>
      </c>
      <c r="K848" s="6">
        <v>5210.63916015625</v>
      </c>
    </row>
    <row r="849" spans="1:11" x14ac:dyDescent="0.3">
      <c r="A849" s="6">
        <v>842</v>
      </c>
      <c r="B849" s="7">
        <v>33572</v>
      </c>
      <c r="C849" s="8">
        <v>1379.8564453125</v>
      </c>
      <c r="D849" s="6">
        <v>5457.00146484375</v>
      </c>
      <c r="E849" s="8">
        <v>1633.0859375</v>
      </c>
      <c r="F849" s="8">
        <v>18.774356842041016</v>
      </c>
      <c r="G849" s="8">
        <v>403.60321044921875</v>
      </c>
      <c r="H849" s="18">
        <v>56.297752380371094</v>
      </c>
      <c r="I849" s="6">
        <v>1</v>
      </c>
      <c r="J849" s="6">
        <v>6415.6484375</v>
      </c>
      <c r="K849" s="6">
        <v>6275.47802734375</v>
      </c>
    </row>
    <row r="850" spans="1:11" x14ac:dyDescent="0.3">
      <c r="A850" s="6">
        <v>843</v>
      </c>
      <c r="B850" s="7">
        <v>33603</v>
      </c>
      <c r="C850" s="8">
        <v>1379.3681640625</v>
      </c>
      <c r="D850" s="6">
        <v>3250</v>
      </c>
      <c r="E850" s="8">
        <v>3048.85693359375</v>
      </c>
      <c r="F850" s="8">
        <v>0</v>
      </c>
      <c r="G850" s="8">
        <v>161.78677368164063</v>
      </c>
      <c r="H850" s="18">
        <v>53.425697326660156</v>
      </c>
      <c r="I850" s="6">
        <v>1</v>
      </c>
      <c r="J850" s="6">
        <v>4716.39892578125</v>
      </c>
      <c r="K850" s="6">
        <v>4896.0634765625</v>
      </c>
    </row>
    <row r="851" spans="1:11" x14ac:dyDescent="0.3">
      <c r="A851" s="6">
        <v>844</v>
      </c>
      <c r="B851" s="7">
        <v>33634</v>
      </c>
      <c r="C851" s="8">
        <v>1417.4263916015625</v>
      </c>
      <c r="D851" s="6">
        <v>3250</v>
      </c>
      <c r="E851" s="8">
        <v>17.239797592163086</v>
      </c>
      <c r="F851" s="8">
        <v>0</v>
      </c>
      <c r="G851" s="8">
        <v>56.44769287109375</v>
      </c>
      <c r="H851" s="18">
        <v>49.607254028320313</v>
      </c>
      <c r="I851" s="6">
        <v>1</v>
      </c>
      <c r="J851" s="6">
        <v>5074.57861328125</v>
      </c>
      <c r="K851" s="6">
        <v>5536.46337890625</v>
      </c>
    </row>
    <row r="852" spans="1:11" x14ac:dyDescent="0.3">
      <c r="A852" s="6">
        <v>845</v>
      </c>
      <c r="B852" s="7">
        <v>33663</v>
      </c>
      <c r="C852" s="8">
        <v>2089.6513671875</v>
      </c>
      <c r="D852" s="6">
        <v>3250</v>
      </c>
      <c r="E852" s="8">
        <v>0</v>
      </c>
      <c r="F852" s="8">
        <v>0</v>
      </c>
      <c r="G852" s="8">
        <v>49.912750244140625</v>
      </c>
      <c r="H852" s="18">
        <v>49.546714782714844</v>
      </c>
      <c r="I852" s="6">
        <v>1</v>
      </c>
      <c r="J852" s="6">
        <v>11161.8505859375</v>
      </c>
      <c r="K852" s="6">
        <v>13390.791015625</v>
      </c>
    </row>
    <row r="853" spans="1:11" x14ac:dyDescent="0.3">
      <c r="A853" s="6">
        <v>846</v>
      </c>
      <c r="B853" s="7">
        <v>33694</v>
      </c>
      <c r="C853" s="8">
        <v>2525.572265625</v>
      </c>
      <c r="D853" s="6">
        <v>3250</v>
      </c>
      <c r="E853" s="8">
        <v>0</v>
      </c>
      <c r="F853" s="8">
        <v>0</v>
      </c>
      <c r="G853" s="8">
        <v>19.516128540039063</v>
      </c>
      <c r="H853" s="18">
        <v>50.765129089355469</v>
      </c>
      <c r="I853" s="6">
        <v>1</v>
      </c>
      <c r="J853" s="6">
        <v>7577.6943359375</v>
      </c>
      <c r="K853" s="6">
        <v>9259.9423828125</v>
      </c>
    </row>
    <row r="854" spans="1:11" x14ac:dyDescent="0.3">
      <c r="A854" s="6">
        <v>847</v>
      </c>
      <c r="B854" s="7">
        <v>33724</v>
      </c>
      <c r="C854" s="8">
        <v>2746.148681640625</v>
      </c>
      <c r="D854" s="6">
        <v>3250</v>
      </c>
      <c r="E854" s="8">
        <v>0</v>
      </c>
      <c r="F854" s="8">
        <v>32.692440032958984</v>
      </c>
      <c r="G854" s="8">
        <v>421.25204467773438</v>
      </c>
      <c r="H854" s="18">
        <v>52.492954254150391</v>
      </c>
      <c r="I854" s="6">
        <v>1</v>
      </c>
      <c r="J854" s="6">
        <v>5317.2646484375</v>
      </c>
      <c r="K854" s="6">
        <v>6137.13134765625</v>
      </c>
    </row>
    <row r="855" spans="1:11" x14ac:dyDescent="0.3">
      <c r="A855" s="6">
        <v>848</v>
      </c>
      <c r="B855" s="7">
        <v>33755</v>
      </c>
      <c r="C855" s="8">
        <v>2460.489501953125</v>
      </c>
      <c r="D855" s="6">
        <v>8644.7744140625</v>
      </c>
      <c r="E855" s="8">
        <v>0</v>
      </c>
      <c r="F855" s="8">
        <v>10.813337326049805</v>
      </c>
      <c r="G855" s="8">
        <v>2317.093994140625</v>
      </c>
      <c r="H855" s="18">
        <v>52.123382568359375</v>
      </c>
      <c r="I855" s="6">
        <v>0</v>
      </c>
      <c r="J855" s="6">
        <v>9196.591796875</v>
      </c>
      <c r="K855" s="6">
        <v>7217.00390625</v>
      </c>
    </row>
    <row r="856" spans="1:11" x14ac:dyDescent="0.3">
      <c r="A856" s="6">
        <v>849</v>
      </c>
      <c r="B856" s="7">
        <v>33785</v>
      </c>
      <c r="C856" s="8">
        <v>2027.753173828125</v>
      </c>
      <c r="D856" s="6">
        <v>10366.1689453125</v>
      </c>
      <c r="E856" s="8">
        <v>989.47601318359375</v>
      </c>
      <c r="F856" s="8">
        <v>98.261642456054688</v>
      </c>
      <c r="G856" s="8">
        <v>2327.949951171875</v>
      </c>
      <c r="H856" s="18">
        <v>53.589008331298828</v>
      </c>
      <c r="I856" s="6">
        <v>0</v>
      </c>
      <c r="J856" s="6">
        <v>10574.6162109375</v>
      </c>
      <c r="K856" s="6">
        <v>8332.9775390625</v>
      </c>
    </row>
    <row r="857" spans="1:11" x14ac:dyDescent="0.3">
      <c r="A857" s="6">
        <v>850</v>
      </c>
      <c r="B857" s="7">
        <v>33816</v>
      </c>
      <c r="C857" s="8">
        <v>1648.2286376953125</v>
      </c>
      <c r="D857" s="6">
        <v>9934.8115234375</v>
      </c>
      <c r="E857" s="8">
        <v>2264.35693359375</v>
      </c>
      <c r="F857" s="8">
        <v>123.65061187744141</v>
      </c>
      <c r="G857" s="8">
        <v>2316.5048828125</v>
      </c>
      <c r="H857" s="18">
        <v>55.741245269775391</v>
      </c>
      <c r="I857" s="6">
        <v>0</v>
      </c>
      <c r="J857" s="6">
        <v>9975.2216796875</v>
      </c>
      <c r="K857" s="6">
        <v>7716.78759765625</v>
      </c>
    </row>
    <row r="858" spans="1:11" x14ac:dyDescent="0.3">
      <c r="A858" s="6">
        <v>851</v>
      </c>
      <c r="B858" s="7">
        <v>33847</v>
      </c>
      <c r="C858" s="8">
        <v>1401.104248046875</v>
      </c>
      <c r="D858" s="6">
        <v>7379.88818359375</v>
      </c>
      <c r="E858" s="8">
        <v>2159.716552734375</v>
      </c>
      <c r="F858" s="8">
        <v>99.294273376464844</v>
      </c>
      <c r="G858" s="8">
        <v>1856.208251953125</v>
      </c>
      <c r="H858" s="18">
        <v>56.497989654541016</v>
      </c>
      <c r="I858" s="6">
        <v>0</v>
      </c>
      <c r="J858" s="6">
        <v>7380.53564453125</v>
      </c>
      <c r="K858" s="6">
        <v>5544.005859375</v>
      </c>
    </row>
    <row r="859" spans="1:11" x14ac:dyDescent="0.3">
      <c r="A859" s="6">
        <v>852</v>
      </c>
      <c r="B859" s="7">
        <v>33877</v>
      </c>
      <c r="C859" s="8">
        <v>1352.76123046875</v>
      </c>
      <c r="D859" s="6">
        <v>4230.65869140625</v>
      </c>
      <c r="E859" s="8">
        <v>1930.2186279296875</v>
      </c>
      <c r="F859" s="8">
        <v>45.55706787109375</v>
      </c>
      <c r="G859" s="8">
        <v>632.9815673828125</v>
      </c>
      <c r="H859" s="18">
        <v>58.595607757568359</v>
      </c>
      <c r="I859" s="6">
        <v>1</v>
      </c>
      <c r="J859" s="6">
        <v>4514.26171875</v>
      </c>
      <c r="K859" s="6">
        <v>3885.22314453125</v>
      </c>
    </row>
    <row r="860" spans="1:11" x14ac:dyDescent="0.3">
      <c r="A860" s="6">
        <v>853</v>
      </c>
      <c r="B860" s="7">
        <v>33908</v>
      </c>
      <c r="C860" s="8">
        <v>1236.1480712890625</v>
      </c>
      <c r="D860" s="6">
        <v>5466.83251953125</v>
      </c>
      <c r="E860" s="8">
        <v>1311.4129638671875</v>
      </c>
      <c r="F860" s="8">
        <v>55.953201293945313</v>
      </c>
      <c r="G860" s="8">
        <v>760.7813720703125</v>
      </c>
      <c r="H860" s="18">
        <v>60.782497406005859</v>
      </c>
      <c r="I860" s="6">
        <v>1</v>
      </c>
      <c r="J860" s="6">
        <v>6169.83837890625</v>
      </c>
      <c r="K860" s="6">
        <v>5593.13916015625</v>
      </c>
    </row>
    <row r="861" spans="1:11" x14ac:dyDescent="0.3">
      <c r="A861" s="6">
        <v>854</v>
      </c>
      <c r="B861" s="7">
        <v>33938</v>
      </c>
      <c r="C861" s="8">
        <v>1143.9864501953125</v>
      </c>
      <c r="D861" s="6">
        <v>4831.181640625</v>
      </c>
      <c r="E861" s="8">
        <v>1543.501953125</v>
      </c>
      <c r="F861" s="8">
        <v>17.506126403808594</v>
      </c>
      <c r="G861" s="8">
        <v>541.799560546875</v>
      </c>
      <c r="H861" s="18">
        <v>57.896858215332031</v>
      </c>
      <c r="I861" s="6">
        <v>1</v>
      </c>
      <c r="J861" s="6">
        <v>5813.9921875</v>
      </c>
      <c r="K861" s="6">
        <v>5546.689453125</v>
      </c>
    </row>
    <row r="862" spans="1:11" x14ac:dyDescent="0.3">
      <c r="A862" s="6">
        <v>855</v>
      </c>
      <c r="B862" s="7">
        <v>33969</v>
      </c>
      <c r="C862" s="8">
        <v>1432.9952392578125</v>
      </c>
      <c r="D862" s="6">
        <v>3250</v>
      </c>
      <c r="E862" s="8">
        <v>1778.0540771484375</v>
      </c>
      <c r="F862" s="8">
        <v>0</v>
      </c>
      <c r="G862" s="8">
        <v>157.75537109375</v>
      </c>
      <c r="H862" s="18">
        <v>52.353279113769531</v>
      </c>
      <c r="I862" s="6">
        <v>1</v>
      </c>
      <c r="J862" s="6">
        <v>7382.11279296875</v>
      </c>
      <c r="K862" s="6">
        <v>8108.15625</v>
      </c>
    </row>
    <row r="863" spans="1:11" x14ac:dyDescent="0.3">
      <c r="A863" s="6">
        <v>856</v>
      </c>
      <c r="B863" s="7">
        <v>34000</v>
      </c>
      <c r="C863" s="8">
        <v>2217.950439453125</v>
      </c>
      <c r="D863" s="6">
        <v>3250</v>
      </c>
      <c r="E863" s="8">
        <v>0</v>
      </c>
      <c r="F863" s="8">
        <v>0</v>
      </c>
      <c r="G863" s="8">
        <v>74.81182861328125</v>
      </c>
      <c r="H863" s="18">
        <v>46.576602935791016</v>
      </c>
      <c r="I863" s="6">
        <v>1</v>
      </c>
      <c r="J863" s="6">
        <v>15551.111328125</v>
      </c>
      <c r="K863" s="6">
        <v>18866.796875</v>
      </c>
    </row>
    <row r="864" spans="1:11" x14ac:dyDescent="0.3">
      <c r="A864" s="6">
        <v>857</v>
      </c>
      <c r="B864" s="7">
        <v>34028</v>
      </c>
      <c r="C864" s="8">
        <v>3031.270263671875</v>
      </c>
      <c r="D864" s="6">
        <v>3250</v>
      </c>
      <c r="E864" s="8">
        <v>0</v>
      </c>
      <c r="F864" s="8">
        <v>0</v>
      </c>
      <c r="G864" s="8">
        <v>68.422615051269531</v>
      </c>
      <c r="H864" s="18">
        <v>46.509517669677734</v>
      </c>
      <c r="I864" s="6">
        <v>1</v>
      </c>
      <c r="J864" s="6">
        <v>12432.056640625</v>
      </c>
      <c r="K864" s="6">
        <v>15437.7646484375</v>
      </c>
    </row>
    <row r="865" spans="1:11" x14ac:dyDescent="0.3">
      <c r="A865" s="6">
        <v>858</v>
      </c>
      <c r="B865" s="7">
        <v>34059</v>
      </c>
      <c r="C865" s="8">
        <v>4000</v>
      </c>
      <c r="D865" s="6">
        <v>9942.3486328125</v>
      </c>
      <c r="E865" s="8">
        <v>0</v>
      </c>
      <c r="F865" s="8">
        <v>0</v>
      </c>
      <c r="G865" s="8">
        <v>19.516128540039063</v>
      </c>
      <c r="H865" s="18">
        <v>46.308135986328125</v>
      </c>
      <c r="I865" s="6">
        <v>1</v>
      </c>
      <c r="J865" s="6">
        <v>18528.068359375</v>
      </c>
      <c r="K865" s="6">
        <v>22303.470703125</v>
      </c>
    </row>
    <row r="866" spans="1:11" x14ac:dyDescent="0.3">
      <c r="A866" s="6">
        <v>859</v>
      </c>
      <c r="B866" s="7">
        <v>34089</v>
      </c>
      <c r="C866" s="8">
        <v>4552</v>
      </c>
      <c r="D866" s="6">
        <v>4509.7060546875</v>
      </c>
      <c r="E866" s="8">
        <v>0</v>
      </c>
      <c r="F866" s="8">
        <v>455.07608032226563</v>
      </c>
      <c r="G866" s="8">
        <v>445.36074829101563</v>
      </c>
      <c r="H866" s="18">
        <v>48.90673828125</v>
      </c>
      <c r="I866" s="6">
        <v>1</v>
      </c>
      <c r="J866" s="6">
        <v>10440.26953125</v>
      </c>
      <c r="K866" s="6">
        <v>12300.8037109375</v>
      </c>
    </row>
    <row r="867" spans="1:11" x14ac:dyDescent="0.3">
      <c r="A867" s="6">
        <v>860</v>
      </c>
      <c r="B867" s="7">
        <v>34120</v>
      </c>
      <c r="C867" s="8">
        <v>4552</v>
      </c>
      <c r="D867" s="6">
        <v>9188.9970703125</v>
      </c>
      <c r="E867" s="8">
        <v>0</v>
      </c>
      <c r="F867" s="8">
        <v>533.46905517578125</v>
      </c>
      <c r="G867" s="8">
        <v>1840.1044921875</v>
      </c>
      <c r="H867" s="18">
        <v>49.416866302490234</v>
      </c>
      <c r="I867" s="6">
        <v>1</v>
      </c>
      <c r="J867" s="6">
        <v>12205.2705078125</v>
      </c>
      <c r="K867" s="6">
        <v>12240.3447265625</v>
      </c>
    </row>
    <row r="868" spans="1:11" x14ac:dyDescent="0.3">
      <c r="A868" s="6">
        <v>861</v>
      </c>
      <c r="B868" s="7">
        <v>34150</v>
      </c>
      <c r="C868" s="8">
        <v>4500</v>
      </c>
      <c r="D868" s="6">
        <v>8366.6103515625</v>
      </c>
      <c r="E868" s="8">
        <v>0</v>
      </c>
      <c r="F868" s="8">
        <v>1014.9423828125</v>
      </c>
      <c r="G868" s="8">
        <v>2171.25048828125</v>
      </c>
      <c r="H868" s="18">
        <v>51.333587646484375</v>
      </c>
      <c r="I868" s="6">
        <v>1</v>
      </c>
      <c r="J868" s="6">
        <v>10485.7958984375</v>
      </c>
      <c r="K868" s="6">
        <v>9631.548828125</v>
      </c>
    </row>
    <row r="869" spans="1:11" x14ac:dyDescent="0.3">
      <c r="A869" s="6">
        <v>862</v>
      </c>
      <c r="B869" s="7">
        <v>34181</v>
      </c>
      <c r="C869" s="8">
        <v>3787.8994140625</v>
      </c>
      <c r="D869" s="6">
        <v>14804.357421875</v>
      </c>
      <c r="E869" s="8">
        <v>430.2193603515625</v>
      </c>
      <c r="F869" s="8">
        <v>1376.93798828125</v>
      </c>
      <c r="G869" s="8">
        <v>2562.892822265625</v>
      </c>
      <c r="H869" s="18">
        <v>51.517642974853516</v>
      </c>
      <c r="I869" s="6">
        <v>0</v>
      </c>
      <c r="J869" s="6">
        <v>13699.3046875</v>
      </c>
      <c r="K869" s="6">
        <v>11386.076171875</v>
      </c>
    </row>
    <row r="870" spans="1:11" x14ac:dyDescent="0.3">
      <c r="A870" s="6">
        <v>863</v>
      </c>
      <c r="B870" s="7">
        <v>34212</v>
      </c>
      <c r="C870" s="8">
        <v>3483.60107421875</v>
      </c>
      <c r="D870" s="6">
        <v>9376.36328125</v>
      </c>
      <c r="E870" s="8">
        <v>168.43087768554688</v>
      </c>
      <c r="F870" s="8">
        <v>1094.68603515625</v>
      </c>
      <c r="G870" s="8">
        <v>2065.3544921875</v>
      </c>
      <c r="H870" s="18">
        <v>53.257774353027344</v>
      </c>
      <c r="I870" s="6">
        <v>0</v>
      </c>
      <c r="J870" s="6">
        <v>8443.4345703125</v>
      </c>
      <c r="K870" s="6">
        <v>6461.72314453125</v>
      </c>
    </row>
    <row r="871" spans="1:11" x14ac:dyDescent="0.3">
      <c r="A871" s="6">
        <v>864</v>
      </c>
      <c r="B871" s="7">
        <v>34242</v>
      </c>
      <c r="C871" s="8">
        <v>3136.02685546875</v>
      </c>
      <c r="D871" s="6">
        <v>10381.1953125</v>
      </c>
      <c r="E871" s="8">
        <v>0</v>
      </c>
      <c r="F871" s="8">
        <v>310.204833984375</v>
      </c>
      <c r="G871" s="8">
        <v>632.9815673828125</v>
      </c>
      <c r="H871" s="18">
        <v>51.849502563476563</v>
      </c>
      <c r="I871" s="6">
        <v>0</v>
      </c>
      <c r="J871" s="6">
        <v>10327.759765625</v>
      </c>
      <c r="K871" s="6">
        <v>9773.9775390625</v>
      </c>
    </row>
    <row r="872" spans="1:11" x14ac:dyDescent="0.3">
      <c r="A872" s="6">
        <v>865</v>
      </c>
      <c r="B872" s="7">
        <v>34273</v>
      </c>
      <c r="C872" s="8">
        <v>3039.28125</v>
      </c>
      <c r="D872" s="6">
        <v>5729.482421875</v>
      </c>
      <c r="E872" s="8">
        <v>766.87762451171875</v>
      </c>
      <c r="F872" s="8">
        <v>158.02935791015625</v>
      </c>
      <c r="G872" s="8">
        <v>820.5338134765625</v>
      </c>
      <c r="H872" s="18">
        <v>55.389381408691406</v>
      </c>
      <c r="I872" s="6">
        <v>1</v>
      </c>
      <c r="J872" s="6">
        <v>6922.0048828125</v>
      </c>
      <c r="K872" s="6">
        <v>6358.39013671875</v>
      </c>
    </row>
    <row r="873" spans="1:11" x14ac:dyDescent="0.3">
      <c r="A873" s="6">
        <v>866</v>
      </c>
      <c r="B873" s="7">
        <v>34303</v>
      </c>
      <c r="C873" s="8">
        <v>2653.863525390625</v>
      </c>
      <c r="D873" s="6">
        <v>10145.0107421875</v>
      </c>
      <c r="E873" s="8">
        <v>1359.887451171875</v>
      </c>
      <c r="F873" s="8">
        <v>16.975309371948242</v>
      </c>
      <c r="G873" s="8">
        <v>450.38888549804688</v>
      </c>
      <c r="H873" s="18">
        <v>55.704128265380859</v>
      </c>
      <c r="I873" s="6">
        <v>0</v>
      </c>
      <c r="J873" s="6">
        <v>11326.984375</v>
      </c>
      <c r="K873" s="6">
        <v>11184.2421875</v>
      </c>
    </row>
    <row r="874" spans="1:11" x14ac:dyDescent="0.3">
      <c r="A874" s="6">
        <v>867</v>
      </c>
      <c r="B874" s="7">
        <v>34334</v>
      </c>
      <c r="C874" s="8">
        <v>2797.33837890625</v>
      </c>
      <c r="D874" s="6">
        <v>3250</v>
      </c>
      <c r="E874" s="8">
        <v>188.46723937988281</v>
      </c>
      <c r="F874" s="8">
        <v>0</v>
      </c>
      <c r="G874" s="8">
        <v>255.33602905273438</v>
      </c>
      <c r="H874" s="18">
        <v>52.290348052978516</v>
      </c>
      <c r="I874" s="6">
        <v>1</v>
      </c>
      <c r="J874" s="6">
        <v>5560.08056640625</v>
      </c>
      <c r="K874" s="6">
        <v>5938.8017578125</v>
      </c>
    </row>
    <row r="875" spans="1:11" x14ac:dyDescent="0.3">
      <c r="A875" s="6">
        <v>868</v>
      </c>
      <c r="B875" s="7">
        <v>34365</v>
      </c>
      <c r="C875" s="8">
        <v>3010.9775390625</v>
      </c>
      <c r="D875" s="6">
        <v>3250</v>
      </c>
      <c r="E875" s="8">
        <v>0</v>
      </c>
      <c r="F875" s="8">
        <v>0</v>
      </c>
      <c r="G875" s="8">
        <v>74.81182861328125</v>
      </c>
      <c r="H875" s="18">
        <v>50.182441711425781</v>
      </c>
      <c r="I875" s="6">
        <v>1</v>
      </c>
      <c r="J875" s="6">
        <v>5472.45947265625</v>
      </c>
      <c r="K875" s="6">
        <v>5983.1796875</v>
      </c>
    </row>
    <row r="876" spans="1:11" x14ac:dyDescent="0.3">
      <c r="A876" s="6">
        <v>869</v>
      </c>
      <c r="B876" s="7">
        <v>34393</v>
      </c>
      <c r="C876" s="8">
        <v>3226.7705078125</v>
      </c>
      <c r="D876" s="6">
        <v>3250</v>
      </c>
      <c r="E876" s="8">
        <v>0</v>
      </c>
      <c r="F876" s="8">
        <v>0</v>
      </c>
      <c r="G876" s="8">
        <v>68.422615051269531</v>
      </c>
      <c r="H876" s="18">
        <v>48.955303192138672</v>
      </c>
      <c r="I876" s="6">
        <v>1</v>
      </c>
      <c r="J876" s="6">
        <v>7791.34326171875</v>
      </c>
      <c r="K876" s="6">
        <v>8692.0625</v>
      </c>
    </row>
    <row r="877" spans="1:11" x14ac:dyDescent="0.3">
      <c r="A877" s="6">
        <v>870</v>
      </c>
      <c r="B877" s="7">
        <v>34424</v>
      </c>
      <c r="C877" s="8">
        <v>3377.31787109375</v>
      </c>
      <c r="D877" s="6">
        <v>3250</v>
      </c>
      <c r="E877" s="8">
        <v>0</v>
      </c>
      <c r="F877" s="8">
        <v>25.568078994750977</v>
      </c>
      <c r="G877" s="8">
        <v>50.619747161865234</v>
      </c>
      <c r="H877" s="18">
        <v>50.968921661376953</v>
      </c>
      <c r="I877" s="6">
        <v>1</v>
      </c>
      <c r="J877" s="6">
        <v>5639.85546875</v>
      </c>
      <c r="K877" s="6">
        <v>6513.09814453125</v>
      </c>
    </row>
    <row r="878" spans="1:11" x14ac:dyDescent="0.3">
      <c r="A878" s="6">
        <v>871</v>
      </c>
      <c r="B878" s="7">
        <v>34454</v>
      </c>
      <c r="C878" s="8">
        <v>3428.306884765625</v>
      </c>
      <c r="D878" s="6">
        <v>3250</v>
      </c>
      <c r="E878" s="8">
        <v>0</v>
      </c>
      <c r="F878" s="8">
        <v>498.4775390625</v>
      </c>
      <c r="G878" s="8">
        <v>517.51263427734375</v>
      </c>
      <c r="H878" s="18">
        <v>52.782566070556641</v>
      </c>
      <c r="I878" s="6">
        <v>1</v>
      </c>
      <c r="J878" s="6">
        <v>4093.645263671875</v>
      </c>
      <c r="K878" s="6">
        <v>4084.6376953125</v>
      </c>
    </row>
    <row r="879" spans="1:11" x14ac:dyDescent="0.3">
      <c r="A879" s="6">
        <v>872</v>
      </c>
      <c r="B879" s="7">
        <v>34485</v>
      </c>
      <c r="C879" s="8">
        <v>3315.498291015625</v>
      </c>
      <c r="D879" s="6">
        <v>5763.49560546875</v>
      </c>
      <c r="E879" s="8">
        <v>0</v>
      </c>
      <c r="F879" s="8">
        <v>494.24356079101563</v>
      </c>
      <c r="G879" s="8">
        <v>1839.63671875</v>
      </c>
      <c r="H879" s="18">
        <v>52.981971740722656</v>
      </c>
      <c r="I879" s="6">
        <v>1</v>
      </c>
      <c r="J879" s="6">
        <v>6607.6474609375</v>
      </c>
      <c r="K879" s="6">
        <v>5248.31787109375</v>
      </c>
    </row>
    <row r="880" spans="1:11" x14ac:dyDescent="0.3">
      <c r="A880" s="6">
        <v>873</v>
      </c>
      <c r="B880" s="7">
        <v>34515</v>
      </c>
      <c r="C880" s="8">
        <v>2912.7509765625</v>
      </c>
      <c r="D880" s="6">
        <v>10365.828125</v>
      </c>
      <c r="E880" s="8">
        <v>0</v>
      </c>
      <c r="F880" s="8">
        <v>825.04803466796875</v>
      </c>
      <c r="G880" s="8">
        <v>2477.72265625</v>
      </c>
      <c r="H880" s="18">
        <v>52.776744842529297</v>
      </c>
      <c r="I880" s="6">
        <v>0</v>
      </c>
      <c r="J880" s="6">
        <v>9897.65234375</v>
      </c>
      <c r="K880" s="6">
        <v>7466.6953125</v>
      </c>
    </row>
    <row r="881" spans="1:11" x14ac:dyDescent="0.3">
      <c r="A881" s="6">
        <v>874</v>
      </c>
      <c r="B881" s="7">
        <v>34546</v>
      </c>
      <c r="C881" s="8">
        <v>2260.914306640625</v>
      </c>
      <c r="D881" s="6">
        <v>14755.16796875</v>
      </c>
      <c r="E881" s="8">
        <v>1621.4366455078125</v>
      </c>
      <c r="F881" s="8">
        <v>905.84417724609375</v>
      </c>
      <c r="G881" s="8">
        <v>2281.4833984375</v>
      </c>
      <c r="H881" s="18">
        <v>54.302021026611328</v>
      </c>
      <c r="I881" s="6">
        <v>0</v>
      </c>
      <c r="J881" s="6">
        <v>13880.744140625</v>
      </c>
      <c r="K881" s="6">
        <v>11630.2412109375</v>
      </c>
    </row>
    <row r="882" spans="1:11" x14ac:dyDescent="0.3">
      <c r="A882" s="6">
        <v>875</v>
      </c>
      <c r="B882" s="7">
        <v>34577</v>
      </c>
      <c r="C882" s="8">
        <v>1951.6473388671875</v>
      </c>
      <c r="D882" s="6">
        <v>8564.0498046875</v>
      </c>
      <c r="E882" s="8">
        <v>3456.213134765625</v>
      </c>
      <c r="F882" s="8">
        <v>723.12774658203125</v>
      </c>
      <c r="G882" s="8">
        <v>1712.28466796875</v>
      </c>
      <c r="H882" s="18">
        <v>55.718994140625</v>
      </c>
      <c r="I882" s="6">
        <v>0</v>
      </c>
      <c r="J882" s="6">
        <v>7764.78466796875</v>
      </c>
      <c r="K882" s="6">
        <v>6072.1787109375</v>
      </c>
    </row>
    <row r="883" spans="1:11" x14ac:dyDescent="0.3">
      <c r="A883" s="6">
        <v>876</v>
      </c>
      <c r="B883" s="7">
        <v>34607</v>
      </c>
      <c r="C883" s="8">
        <v>1881.7786865234375</v>
      </c>
      <c r="D883" s="6">
        <v>4406.8974609375</v>
      </c>
      <c r="E883" s="8">
        <v>676.519775390625</v>
      </c>
      <c r="F883" s="8">
        <v>329.7122802734375</v>
      </c>
      <c r="G883" s="8">
        <v>506.8370361328125</v>
      </c>
      <c r="H883" s="18">
        <v>56.412521362304688</v>
      </c>
      <c r="I883" s="6">
        <v>1</v>
      </c>
      <c r="J883" s="6">
        <v>4451.748046875</v>
      </c>
      <c r="K883" s="6">
        <v>3948.414794921875</v>
      </c>
    </row>
    <row r="884" spans="1:11" x14ac:dyDescent="0.3">
      <c r="A884" s="6">
        <v>877</v>
      </c>
      <c r="B884" s="7">
        <v>34638</v>
      </c>
      <c r="C884" s="8">
        <v>1791.3597412109375</v>
      </c>
      <c r="D884" s="6">
        <v>4537.49609375</v>
      </c>
      <c r="E884" s="8">
        <v>1343.8326416015625</v>
      </c>
      <c r="F884" s="8">
        <v>132.01911926269531</v>
      </c>
      <c r="G884" s="8">
        <v>606.37750244140625</v>
      </c>
      <c r="H884" s="18">
        <v>56.35040283203125</v>
      </c>
      <c r="I884" s="6">
        <v>1</v>
      </c>
      <c r="J884" s="6">
        <v>5109.30859375</v>
      </c>
      <c r="K884" s="6">
        <v>4634.650390625</v>
      </c>
    </row>
    <row r="885" spans="1:11" x14ac:dyDescent="0.3">
      <c r="A885" s="6">
        <v>878</v>
      </c>
      <c r="B885" s="7">
        <v>34668</v>
      </c>
      <c r="C885" s="8">
        <v>1819.5673828125</v>
      </c>
      <c r="D885" s="6">
        <v>3250</v>
      </c>
      <c r="E885" s="8">
        <v>1050.6527099609375</v>
      </c>
      <c r="F885" s="8">
        <v>0</v>
      </c>
      <c r="G885" s="8">
        <v>278.76034545898438</v>
      </c>
      <c r="H885" s="18">
        <v>54.445037841796875</v>
      </c>
      <c r="I885" s="6">
        <v>1</v>
      </c>
      <c r="J885" s="6">
        <v>4674.6455078125</v>
      </c>
      <c r="K885" s="6">
        <v>4701.87548828125</v>
      </c>
    </row>
    <row r="886" spans="1:11" x14ac:dyDescent="0.3">
      <c r="A886" s="6">
        <v>879</v>
      </c>
      <c r="B886" s="7">
        <v>34699</v>
      </c>
      <c r="C886" s="8">
        <v>1895.2113037109375</v>
      </c>
      <c r="D886" s="6">
        <v>3250</v>
      </c>
      <c r="E886" s="8">
        <v>2007.343505859375</v>
      </c>
      <c r="F886" s="8">
        <v>0</v>
      </c>
      <c r="G886" s="8">
        <v>152.02870178222656</v>
      </c>
      <c r="H886" s="18">
        <v>52.493640899658203</v>
      </c>
      <c r="I886" s="6">
        <v>1</v>
      </c>
      <c r="J886" s="6">
        <v>6026.236328125</v>
      </c>
      <c r="K886" s="6">
        <v>6627.8291015625</v>
      </c>
    </row>
    <row r="887" spans="1:11" x14ac:dyDescent="0.3">
      <c r="A887" s="6">
        <v>880</v>
      </c>
      <c r="B887" s="7">
        <v>34730</v>
      </c>
      <c r="C887" s="8">
        <v>3252.10009765625</v>
      </c>
      <c r="D887" s="6">
        <v>21590.94921875</v>
      </c>
      <c r="E887" s="8">
        <v>0</v>
      </c>
      <c r="F887" s="8">
        <v>0</v>
      </c>
      <c r="G887" s="8">
        <v>56.44769287109375</v>
      </c>
      <c r="H887" s="18">
        <v>47.437183380126953</v>
      </c>
      <c r="I887" s="6">
        <v>1</v>
      </c>
      <c r="J887" s="6">
        <v>49036.4296875</v>
      </c>
      <c r="K887" s="6">
        <v>57147.69140625</v>
      </c>
    </row>
    <row r="888" spans="1:11" x14ac:dyDescent="0.3">
      <c r="A888" s="6">
        <v>881</v>
      </c>
      <c r="B888" s="7">
        <v>34758</v>
      </c>
      <c r="C888" s="8">
        <v>3742.5</v>
      </c>
      <c r="D888" s="6">
        <v>7113.1962890625</v>
      </c>
      <c r="E888" s="8">
        <v>0</v>
      </c>
      <c r="F888" s="8">
        <v>0</v>
      </c>
      <c r="G888" s="8">
        <v>51.695350646972656</v>
      </c>
      <c r="H888" s="18">
        <v>46.474395751953125</v>
      </c>
      <c r="I888" s="6">
        <v>1</v>
      </c>
      <c r="J888" s="6">
        <v>17084.4375</v>
      </c>
      <c r="K888" s="6">
        <v>20285.025390625</v>
      </c>
    </row>
    <row r="889" spans="1:11" x14ac:dyDescent="0.3">
      <c r="A889" s="6">
        <v>882</v>
      </c>
      <c r="B889" s="7">
        <v>34789</v>
      </c>
      <c r="C889" s="8">
        <v>3416.5</v>
      </c>
      <c r="D889" s="6">
        <v>47351.1171875</v>
      </c>
      <c r="E889" s="8">
        <v>0</v>
      </c>
      <c r="F889" s="8">
        <v>0</v>
      </c>
      <c r="G889" s="8">
        <v>19.516128540039063</v>
      </c>
      <c r="H889" s="18">
        <v>46.604164123535156</v>
      </c>
      <c r="I889" s="6">
        <v>1</v>
      </c>
      <c r="J889" s="6">
        <v>71512.65625</v>
      </c>
      <c r="K889" s="6">
        <v>78824.75</v>
      </c>
    </row>
    <row r="890" spans="1:11" x14ac:dyDescent="0.3">
      <c r="A890" s="6">
        <v>883</v>
      </c>
      <c r="B890" s="7">
        <v>34819</v>
      </c>
      <c r="C890" s="8">
        <v>4216.7998046875</v>
      </c>
      <c r="D890" s="6">
        <v>7633.5703125</v>
      </c>
      <c r="E890" s="8">
        <v>0</v>
      </c>
      <c r="F890" s="8">
        <v>350.99301147460938</v>
      </c>
      <c r="G890" s="8">
        <v>420.74978637695313</v>
      </c>
      <c r="H890" s="18">
        <v>49.096889495849609</v>
      </c>
      <c r="I890" s="6">
        <v>1</v>
      </c>
      <c r="J890" s="6">
        <v>14022.474609375</v>
      </c>
      <c r="K890" s="6">
        <v>17117.796875</v>
      </c>
    </row>
    <row r="891" spans="1:11" x14ac:dyDescent="0.3">
      <c r="A891" s="6">
        <v>884</v>
      </c>
      <c r="B891" s="7">
        <v>34850</v>
      </c>
      <c r="C891" s="8">
        <v>4552</v>
      </c>
      <c r="D891" s="6">
        <v>10509.75390625</v>
      </c>
      <c r="E891" s="8">
        <v>0</v>
      </c>
      <c r="F891" s="8">
        <v>475.432861328125</v>
      </c>
      <c r="G891" s="8">
        <v>1824.550537109375</v>
      </c>
      <c r="H891" s="18">
        <v>50.252239227294922</v>
      </c>
      <c r="I891" s="6">
        <v>1</v>
      </c>
      <c r="J891" s="6">
        <v>16273.033203125</v>
      </c>
      <c r="K891" s="6">
        <v>17874.65234375</v>
      </c>
    </row>
    <row r="892" spans="1:11" x14ac:dyDescent="0.3">
      <c r="A892" s="6">
        <v>885</v>
      </c>
      <c r="B892" s="7">
        <v>34880</v>
      </c>
      <c r="C892" s="8">
        <v>4500</v>
      </c>
      <c r="D892" s="6">
        <v>8446.6552734375</v>
      </c>
      <c r="E892" s="8">
        <v>0</v>
      </c>
      <c r="F892" s="8">
        <v>1088.7784423828125</v>
      </c>
      <c r="G892" s="8">
        <v>2195.234619140625</v>
      </c>
      <c r="H892" s="18">
        <v>52.693340301513672</v>
      </c>
      <c r="I892" s="6">
        <v>1</v>
      </c>
      <c r="J892" s="6">
        <v>9707.6416015625</v>
      </c>
      <c r="K892" s="6">
        <v>8991.8681640625</v>
      </c>
    </row>
    <row r="893" spans="1:11" x14ac:dyDescent="0.3">
      <c r="A893" s="6">
        <v>886</v>
      </c>
      <c r="B893" s="7">
        <v>34911</v>
      </c>
      <c r="C893" s="8">
        <v>4150</v>
      </c>
      <c r="D893" s="6">
        <v>9700.0400390625</v>
      </c>
      <c r="E893" s="8">
        <v>0</v>
      </c>
      <c r="F893" s="8">
        <v>1360.538818359375</v>
      </c>
      <c r="G893" s="8">
        <v>2616.67822265625</v>
      </c>
      <c r="H893" s="18">
        <v>53.995834350585938</v>
      </c>
      <c r="I893" s="6">
        <v>1</v>
      </c>
      <c r="J893" s="6">
        <v>9218.27734375</v>
      </c>
      <c r="K893" s="6">
        <v>7194.998046875</v>
      </c>
    </row>
    <row r="894" spans="1:11" x14ac:dyDescent="0.3">
      <c r="A894" s="6">
        <v>887</v>
      </c>
      <c r="B894" s="7">
        <v>34942</v>
      </c>
      <c r="C894" s="8">
        <v>3700</v>
      </c>
      <c r="D894" s="6">
        <v>12254.5947265625</v>
      </c>
      <c r="E894" s="8">
        <v>0</v>
      </c>
      <c r="F894" s="8">
        <v>1086.4783935546875</v>
      </c>
      <c r="G894" s="8">
        <v>2240.93798828125</v>
      </c>
      <c r="H894" s="18">
        <v>53.511959075927734</v>
      </c>
      <c r="I894" s="6">
        <v>0</v>
      </c>
      <c r="J894" s="6">
        <v>11438.5791015625</v>
      </c>
      <c r="K894" s="6">
        <v>9418.1484375</v>
      </c>
    </row>
    <row r="895" spans="1:11" x14ac:dyDescent="0.3">
      <c r="A895" s="6">
        <v>888</v>
      </c>
      <c r="B895" s="7">
        <v>34972</v>
      </c>
      <c r="C895" s="8">
        <v>3358.360595703125</v>
      </c>
      <c r="D895" s="6">
        <v>11665.6396484375</v>
      </c>
      <c r="E895" s="8">
        <v>0</v>
      </c>
      <c r="F895" s="8">
        <v>303.60287475585938</v>
      </c>
      <c r="G895" s="8">
        <v>632.9815673828125</v>
      </c>
      <c r="H895" s="18">
        <v>52.730300903320313</v>
      </c>
      <c r="I895" s="6">
        <v>0</v>
      </c>
      <c r="J895" s="6">
        <v>12071.53515625</v>
      </c>
      <c r="K895" s="6">
        <v>11603.693359375</v>
      </c>
    </row>
    <row r="896" spans="1:11" x14ac:dyDescent="0.3">
      <c r="A896" s="6">
        <v>889</v>
      </c>
      <c r="B896" s="7">
        <v>35003</v>
      </c>
      <c r="C896" s="8">
        <v>3250</v>
      </c>
      <c r="D896" s="6">
        <v>7554.1513671875</v>
      </c>
      <c r="E896" s="8">
        <v>122.30811309814453</v>
      </c>
      <c r="F896" s="8">
        <v>243.97860717773438</v>
      </c>
      <c r="G896" s="8">
        <v>856.7022705078125</v>
      </c>
      <c r="H896" s="18">
        <v>54.848712921142578</v>
      </c>
      <c r="I896" s="6">
        <v>0</v>
      </c>
      <c r="J896" s="6">
        <v>7930.7900390625</v>
      </c>
      <c r="K896" s="6">
        <v>7315.71044921875</v>
      </c>
    </row>
    <row r="897" spans="1:11" x14ac:dyDescent="0.3">
      <c r="A897" s="6">
        <v>890</v>
      </c>
      <c r="B897" s="7">
        <v>35033</v>
      </c>
      <c r="C897" s="8">
        <v>2807.0146484375</v>
      </c>
      <c r="D897" s="6">
        <v>11155.1767578125</v>
      </c>
      <c r="E897" s="8">
        <v>1767.1361083984375</v>
      </c>
      <c r="F897" s="8">
        <v>32.843307495117188</v>
      </c>
      <c r="G897" s="8">
        <v>580.77276611328125</v>
      </c>
      <c r="H897" s="18">
        <v>55.752986907958984</v>
      </c>
      <c r="I897" s="6">
        <v>0</v>
      </c>
      <c r="J897" s="6">
        <v>12081.0263671875</v>
      </c>
      <c r="K897" s="6">
        <v>11824.9580078125</v>
      </c>
    </row>
    <row r="898" spans="1:11" x14ac:dyDescent="0.3">
      <c r="A898" s="6">
        <v>891</v>
      </c>
      <c r="B898" s="7">
        <v>35064</v>
      </c>
      <c r="C898" s="8">
        <v>3367.60009765625</v>
      </c>
      <c r="D898" s="6">
        <v>3423.256591796875</v>
      </c>
      <c r="E898" s="8">
        <v>0</v>
      </c>
      <c r="F898" s="8">
        <v>0</v>
      </c>
      <c r="G898" s="8">
        <v>157.75537109375</v>
      </c>
      <c r="H898" s="18">
        <v>52.300373077392578</v>
      </c>
      <c r="I898" s="6">
        <v>1</v>
      </c>
      <c r="J898" s="6">
        <v>8596.728515625</v>
      </c>
      <c r="K898" s="6">
        <v>10032.775390625</v>
      </c>
    </row>
    <row r="899" spans="1:11" x14ac:dyDescent="0.3">
      <c r="A899" s="6">
        <v>892</v>
      </c>
      <c r="B899" s="7">
        <v>35095</v>
      </c>
      <c r="C899" s="8">
        <v>3722.5</v>
      </c>
      <c r="D899" s="6">
        <v>6157.62646484375</v>
      </c>
      <c r="E899" s="8">
        <v>0</v>
      </c>
      <c r="F899" s="8">
        <v>0</v>
      </c>
      <c r="G899" s="8">
        <v>74.81182861328125</v>
      </c>
      <c r="H899" s="18">
        <v>50.010780334472656</v>
      </c>
      <c r="I899" s="6">
        <v>1</v>
      </c>
      <c r="J899" s="6">
        <v>14402.6748046875</v>
      </c>
      <c r="K899" s="6">
        <v>16716.271484375</v>
      </c>
    </row>
    <row r="900" spans="1:11" x14ac:dyDescent="0.3">
      <c r="A900" s="6">
        <v>893</v>
      </c>
      <c r="B900" s="7">
        <v>35124</v>
      </c>
      <c r="C900" s="8">
        <v>3503.10009765625</v>
      </c>
      <c r="D900" s="6">
        <v>37081.42578125</v>
      </c>
      <c r="E900" s="8">
        <v>0</v>
      </c>
      <c r="F900" s="8">
        <v>0</v>
      </c>
      <c r="G900" s="8">
        <v>66.063217163085938</v>
      </c>
      <c r="H900" s="18">
        <v>49.077178955078125</v>
      </c>
      <c r="I900" s="6">
        <v>1</v>
      </c>
      <c r="J900" s="6">
        <v>48341.58203125</v>
      </c>
      <c r="K900" s="6">
        <v>53295.1640625</v>
      </c>
    </row>
    <row r="901" spans="1:11" x14ac:dyDescent="0.3">
      <c r="A901" s="6">
        <v>894</v>
      </c>
      <c r="B901" s="7">
        <v>35155</v>
      </c>
      <c r="C901" s="8">
        <v>4009.89990234375</v>
      </c>
      <c r="D901" s="6">
        <v>12338.771484375</v>
      </c>
      <c r="E901" s="8">
        <v>0</v>
      </c>
      <c r="F901" s="8">
        <v>0</v>
      </c>
      <c r="G901" s="8">
        <v>19.516128540039063</v>
      </c>
      <c r="H901" s="18">
        <v>49.068061828613281</v>
      </c>
      <c r="I901" s="6">
        <v>1</v>
      </c>
      <c r="J901" s="6">
        <v>19595.322265625</v>
      </c>
      <c r="K901" s="6">
        <v>22537.748046875</v>
      </c>
    </row>
    <row r="902" spans="1:11" x14ac:dyDescent="0.3">
      <c r="A902" s="6">
        <v>895</v>
      </c>
      <c r="B902" s="7">
        <v>35185</v>
      </c>
      <c r="C902" s="8">
        <v>4477.14208984375</v>
      </c>
      <c r="D902" s="6">
        <v>3250</v>
      </c>
      <c r="E902" s="8">
        <v>0</v>
      </c>
      <c r="F902" s="8">
        <v>334.49749755859375</v>
      </c>
      <c r="G902" s="8">
        <v>392.12069702148438</v>
      </c>
      <c r="H902" s="18">
        <v>52.729835510253906</v>
      </c>
      <c r="I902" s="6">
        <v>1</v>
      </c>
      <c r="J902" s="6">
        <v>7162.18798828125</v>
      </c>
      <c r="K902" s="6">
        <v>8950.107421875</v>
      </c>
    </row>
    <row r="903" spans="1:11" x14ac:dyDescent="0.3">
      <c r="A903" s="6">
        <v>896</v>
      </c>
      <c r="B903" s="7">
        <v>35216</v>
      </c>
      <c r="C903" s="8">
        <v>4552</v>
      </c>
      <c r="D903" s="6">
        <v>10559.1572265625</v>
      </c>
      <c r="E903" s="8">
        <v>0</v>
      </c>
      <c r="F903" s="8">
        <v>391.34814453125</v>
      </c>
      <c r="G903" s="8">
        <v>1692.3414306640625</v>
      </c>
      <c r="H903" s="18">
        <v>51.389583587646484</v>
      </c>
      <c r="I903" s="6">
        <v>1</v>
      </c>
      <c r="J903" s="6">
        <v>13684.1845703125</v>
      </c>
      <c r="K903" s="6">
        <v>14279.662109375</v>
      </c>
    </row>
    <row r="904" spans="1:11" x14ac:dyDescent="0.3">
      <c r="A904" s="6">
        <v>897</v>
      </c>
      <c r="B904" s="7">
        <v>35246</v>
      </c>
      <c r="C904" s="8">
        <v>4421.00390625</v>
      </c>
      <c r="D904" s="6">
        <v>7585.73583984375</v>
      </c>
      <c r="E904" s="8">
        <v>0</v>
      </c>
      <c r="F904" s="8">
        <v>1206.450439453125</v>
      </c>
      <c r="G904" s="8">
        <v>2328.534912109375</v>
      </c>
      <c r="H904" s="18">
        <v>53.900276184082031</v>
      </c>
      <c r="I904" s="6">
        <v>1</v>
      </c>
      <c r="J904" s="6">
        <v>7269.8330078125</v>
      </c>
      <c r="K904" s="6">
        <v>5615.93115234375</v>
      </c>
    </row>
    <row r="905" spans="1:11" x14ac:dyDescent="0.3">
      <c r="A905" s="6">
        <v>898</v>
      </c>
      <c r="B905" s="7">
        <v>35277</v>
      </c>
      <c r="C905" s="8">
        <v>3708.637451171875</v>
      </c>
      <c r="D905" s="6">
        <v>15098.107421875</v>
      </c>
      <c r="E905" s="8">
        <v>0</v>
      </c>
      <c r="F905" s="8">
        <v>1377.7275390625</v>
      </c>
      <c r="G905" s="8">
        <v>2521.474853515625</v>
      </c>
      <c r="H905" s="18">
        <v>53.102745056152344</v>
      </c>
      <c r="I905" s="6">
        <v>0</v>
      </c>
      <c r="J905" s="6">
        <v>13986.439453125</v>
      </c>
      <c r="K905" s="6">
        <v>11618.919921875</v>
      </c>
    </row>
    <row r="906" spans="1:11" x14ac:dyDescent="0.3">
      <c r="A906" s="6">
        <v>899</v>
      </c>
      <c r="B906" s="7">
        <v>35308</v>
      </c>
      <c r="C906" s="8">
        <v>3439.664306640625</v>
      </c>
      <c r="D906" s="6">
        <v>9356.98046875</v>
      </c>
      <c r="E906" s="8">
        <v>0</v>
      </c>
      <c r="F906" s="8">
        <v>1099.9306640625</v>
      </c>
      <c r="G906" s="8">
        <v>2130.645751953125</v>
      </c>
      <c r="H906" s="18">
        <v>53.808853149414063</v>
      </c>
      <c r="I906" s="6">
        <v>0</v>
      </c>
      <c r="J906" s="6">
        <v>8369.2177734375</v>
      </c>
      <c r="K906" s="6">
        <v>6303.15576171875</v>
      </c>
    </row>
    <row r="907" spans="1:11" x14ac:dyDescent="0.3">
      <c r="A907" s="6">
        <v>900</v>
      </c>
      <c r="B907" s="7">
        <v>35338</v>
      </c>
      <c r="C907" s="8">
        <v>3012.986572265625</v>
      </c>
      <c r="D907" s="6">
        <v>12263.712890625</v>
      </c>
      <c r="E907" s="8">
        <v>0</v>
      </c>
      <c r="F907" s="8">
        <v>288.12451171875</v>
      </c>
      <c r="G907" s="8">
        <v>630.3028564453125</v>
      </c>
      <c r="H907" s="18">
        <v>53.924346923828125</v>
      </c>
      <c r="I907" s="6">
        <v>0</v>
      </c>
      <c r="J907" s="6">
        <v>12393.609375</v>
      </c>
      <c r="K907" s="6">
        <v>11907.654296875</v>
      </c>
    </row>
    <row r="908" spans="1:11" x14ac:dyDescent="0.3">
      <c r="A908" s="6">
        <v>901</v>
      </c>
      <c r="B908" s="7">
        <v>35369</v>
      </c>
      <c r="C908" s="8">
        <v>2706.73388671875</v>
      </c>
      <c r="D908" s="6">
        <v>9741.3876953125</v>
      </c>
      <c r="E908" s="8">
        <v>729.4923095703125</v>
      </c>
      <c r="F908" s="8">
        <v>87.649436950683594</v>
      </c>
      <c r="G908" s="8">
        <v>779.18646240234375</v>
      </c>
      <c r="H908" s="18">
        <v>55.606166839599609</v>
      </c>
      <c r="I908" s="6">
        <v>0</v>
      </c>
      <c r="J908" s="6">
        <v>10903.990234375</v>
      </c>
      <c r="K908" s="6">
        <v>10432.9443359375</v>
      </c>
    </row>
    <row r="909" spans="1:11" x14ac:dyDescent="0.3">
      <c r="A909" s="6">
        <v>902</v>
      </c>
      <c r="B909" s="7">
        <v>35399</v>
      </c>
      <c r="C909" s="8">
        <v>2531.551513671875</v>
      </c>
      <c r="D909" s="6">
        <v>10515.25</v>
      </c>
      <c r="E909" s="8">
        <v>1822.423095703125</v>
      </c>
      <c r="F909" s="8">
        <v>16.975309371948242</v>
      </c>
      <c r="G909" s="8">
        <v>457.11111450195313</v>
      </c>
      <c r="H909" s="18">
        <v>56.581356048583984</v>
      </c>
      <c r="I909" s="6">
        <v>1</v>
      </c>
      <c r="J909" s="6">
        <v>12327.8583984375</v>
      </c>
      <c r="K909" s="6">
        <v>12532.7744140625</v>
      </c>
    </row>
    <row r="910" spans="1:11" x14ac:dyDescent="0.3">
      <c r="A910" s="6">
        <v>903</v>
      </c>
      <c r="B910" s="7">
        <v>35430</v>
      </c>
      <c r="C910" s="8">
        <v>3252.10009765625</v>
      </c>
      <c r="D910" s="6">
        <v>21140.72265625</v>
      </c>
      <c r="E910" s="8">
        <v>0</v>
      </c>
      <c r="F910" s="8">
        <v>0</v>
      </c>
      <c r="G910" s="8">
        <v>157.75537109375</v>
      </c>
      <c r="H910" s="18">
        <v>51.987171173095703</v>
      </c>
      <c r="I910" s="6">
        <v>1</v>
      </c>
      <c r="J910" s="6">
        <v>30328.6328125</v>
      </c>
      <c r="K910" s="6">
        <v>34841.21875</v>
      </c>
    </row>
    <row r="911" spans="1:11" x14ac:dyDescent="0.3">
      <c r="A911" s="6">
        <v>904</v>
      </c>
      <c r="B911" s="7">
        <v>35461</v>
      </c>
      <c r="C911" s="8">
        <v>3252.10009765625</v>
      </c>
      <c r="D911" s="6">
        <v>36775.765625</v>
      </c>
      <c r="E911" s="8">
        <v>0</v>
      </c>
      <c r="F911" s="8">
        <v>0</v>
      </c>
      <c r="G911" s="8">
        <v>74.81182861328125</v>
      </c>
      <c r="H911" s="18">
        <v>46.792072296142578</v>
      </c>
      <c r="I911" s="6">
        <v>1</v>
      </c>
      <c r="J911" s="6">
        <v>54286.734375</v>
      </c>
      <c r="K911" s="6">
        <v>61532.125</v>
      </c>
    </row>
    <row r="912" spans="1:11" x14ac:dyDescent="0.3">
      <c r="A912" s="6">
        <v>905</v>
      </c>
      <c r="B912" s="7">
        <v>35489</v>
      </c>
      <c r="C912" s="8">
        <v>3788.800048828125</v>
      </c>
      <c r="D912" s="6">
        <v>3606.131103515625</v>
      </c>
      <c r="E912" s="8">
        <v>0</v>
      </c>
      <c r="F912" s="8">
        <v>0</v>
      </c>
      <c r="G912" s="8">
        <v>68.422615051269531</v>
      </c>
      <c r="H912" s="18">
        <v>46.915596008300781</v>
      </c>
      <c r="I912" s="6">
        <v>1</v>
      </c>
      <c r="J912" s="6">
        <v>8498.244140625</v>
      </c>
      <c r="K912" s="6">
        <v>10162.4091796875</v>
      </c>
    </row>
    <row r="913" spans="1:11" x14ac:dyDescent="0.3">
      <c r="A913" s="6">
        <v>906</v>
      </c>
      <c r="B913" s="7">
        <v>35520</v>
      </c>
      <c r="C913" s="8">
        <v>4059.833984375</v>
      </c>
      <c r="D913" s="6">
        <v>3250</v>
      </c>
      <c r="E913" s="8">
        <v>0</v>
      </c>
      <c r="F913" s="8">
        <v>42.966850280761719</v>
      </c>
      <c r="G913" s="8">
        <v>69.094345092773438</v>
      </c>
      <c r="H913" s="18">
        <v>49.172260284423828</v>
      </c>
      <c r="I913" s="6">
        <v>1</v>
      </c>
      <c r="J913" s="6">
        <v>6584.55322265625</v>
      </c>
      <c r="K913" s="6">
        <v>7666.93310546875</v>
      </c>
    </row>
    <row r="914" spans="1:11" x14ac:dyDescent="0.3">
      <c r="A914" s="6">
        <v>907</v>
      </c>
      <c r="B914" s="7">
        <v>35550</v>
      </c>
      <c r="C914" s="8">
        <v>4284.2431640625</v>
      </c>
      <c r="D914" s="6">
        <v>3250</v>
      </c>
      <c r="E914" s="8">
        <v>0</v>
      </c>
      <c r="F914" s="8">
        <v>312.31362915039063</v>
      </c>
      <c r="G914" s="8">
        <v>564.39752197265625</v>
      </c>
      <c r="H914" s="18">
        <v>50.800266265869141</v>
      </c>
      <c r="I914" s="6">
        <v>1</v>
      </c>
      <c r="J914" s="6">
        <v>5260.04833984375</v>
      </c>
      <c r="K914" s="6">
        <v>5613.45654296875</v>
      </c>
    </row>
    <row r="915" spans="1:11" x14ac:dyDescent="0.3">
      <c r="A915" s="6">
        <v>908</v>
      </c>
      <c r="B915" s="7">
        <v>35581</v>
      </c>
      <c r="C915" s="8">
        <v>4051.203369140625</v>
      </c>
      <c r="D915" s="6">
        <v>8600.0205078125</v>
      </c>
      <c r="E915" s="8">
        <v>0</v>
      </c>
      <c r="F915" s="8">
        <v>869.624755859375</v>
      </c>
      <c r="G915" s="8">
        <v>2219.110107421875</v>
      </c>
      <c r="H915" s="18">
        <v>50.114212036132813</v>
      </c>
      <c r="I915" s="6">
        <v>1</v>
      </c>
      <c r="J915" s="6">
        <v>9039.4130859375</v>
      </c>
      <c r="K915" s="6">
        <v>7414.84912109375</v>
      </c>
    </row>
    <row r="916" spans="1:11" x14ac:dyDescent="0.3">
      <c r="A916" s="6">
        <v>909</v>
      </c>
      <c r="B916" s="7">
        <v>35611</v>
      </c>
      <c r="C916" s="8">
        <v>3776.169677734375</v>
      </c>
      <c r="D916" s="6">
        <v>8785.2919921875</v>
      </c>
      <c r="E916" s="8">
        <v>0</v>
      </c>
      <c r="F916" s="8">
        <v>771.67578125</v>
      </c>
      <c r="G916" s="8">
        <v>2299.130615234375</v>
      </c>
      <c r="H916" s="18">
        <v>50.868202209472656</v>
      </c>
      <c r="I916" s="6">
        <v>0</v>
      </c>
      <c r="J916" s="6">
        <v>8882.484375</v>
      </c>
      <c r="K916" s="6">
        <v>6896.2529296875</v>
      </c>
    </row>
    <row r="917" spans="1:11" x14ac:dyDescent="0.3">
      <c r="A917" s="6">
        <v>910</v>
      </c>
      <c r="B917" s="7">
        <v>35642</v>
      </c>
      <c r="C917" s="8">
        <v>3132.19189453125</v>
      </c>
      <c r="D917" s="6">
        <v>15565.1083984375</v>
      </c>
      <c r="E917" s="8">
        <v>989.81097412109375</v>
      </c>
      <c r="F917" s="8">
        <v>889.0089111328125</v>
      </c>
      <c r="G917" s="8">
        <v>2607.468505859375</v>
      </c>
      <c r="H917" s="18">
        <v>51.028911590576172</v>
      </c>
      <c r="I917" s="6">
        <v>0</v>
      </c>
      <c r="J917" s="6">
        <v>14854.7236328125</v>
      </c>
      <c r="K917" s="6">
        <v>12292.8076171875</v>
      </c>
    </row>
    <row r="918" spans="1:11" x14ac:dyDescent="0.3">
      <c r="A918" s="6">
        <v>911</v>
      </c>
      <c r="B918" s="7">
        <v>35673</v>
      </c>
      <c r="C918" s="8">
        <v>2950.319580078125</v>
      </c>
      <c r="D918" s="6">
        <v>8244.4189453125</v>
      </c>
      <c r="E918" s="8">
        <v>0</v>
      </c>
      <c r="F918" s="8">
        <v>656.08782958984375</v>
      </c>
      <c r="G918" s="8">
        <v>2005.145751953125</v>
      </c>
      <c r="H918" s="18">
        <v>54.24200439453125</v>
      </c>
      <c r="I918" s="6">
        <v>1</v>
      </c>
      <c r="J918" s="6">
        <v>7775.11328125</v>
      </c>
      <c r="K918" s="6">
        <v>5836.89013671875</v>
      </c>
    </row>
    <row r="919" spans="1:11" x14ac:dyDescent="0.3">
      <c r="A919" s="6">
        <v>912</v>
      </c>
      <c r="B919" s="7">
        <v>35703</v>
      </c>
      <c r="C919" s="8">
        <v>2308.70703125</v>
      </c>
      <c r="D919" s="6">
        <v>15750.0625</v>
      </c>
      <c r="E919" s="8">
        <v>0</v>
      </c>
      <c r="F919" s="8">
        <v>107.75673675537109</v>
      </c>
      <c r="G919" s="8">
        <v>622.2666015625</v>
      </c>
      <c r="H919" s="18">
        <v>51.778167724609375</v>
      </c>
      <c r="I919" s="6">
        <v>0</v>
      </c>
      <c r="J919" s="6">
        <v>15963.544921875</v>
      </c>
      <c r="K919" s="6">
        <v>15477.8232421875</v>
      </c>
    </row>
    <row r="920" spans="1:11" x14ac:dyDescent="0.3">
      <c r="A920" s="6">
        <v>913</v>
      </c>
      <c r="B920" s="7">
        <v>35734</v>
      </c>
      <c r="C920" s="8">
        <v>2028.8564453125</v>
      </c>
      <c r="D920" s="6">
        <v>10840.3994140625</v>
      </c>
      <c r="E920" s="8">
        <v>1005.2962646484375</v>
      </c>
      <c r="F920" s="8">
        <v>140.55418395996094</v>
      </c>
      <c r="G920" s="8">
        <v>831.12127685546875</v>
      </c>
      <c r="H920" s="18">
        <v>55.405685424804688</v>
      </c>
      <c r="I920" s="6">
        <v>0</v>
      </c>
      <c r="J920" s="6">
        <v>11755.484375</v>
      </c>
      <c r="K920" s="6">
        <v>11228.013671875</v>
      </c>
    </row>
    <row r="921" spans="1:11" x14ac:dyDescent="0.3">
      <c r="A921" s="6">
        <v>914</v>
      </c>
      <c r="B921" s="7">
        <v>35764</v>
      </c>
      <c r="C921" s="8">
        <v>1932.397216796875</v>
      </c>
      <c r="D921" s="6">
        <v>10570.0029296875</v>
      </c>
      <c r="E921" s="8">
        <v>1155.107177734375</v>
      </c>
      <c r="F921" s="8">
        <v>0</v>
      </c>
      <c r="G921" s="8">
        <v>332.75</v>
      </c>
      <c r="H921" s="18">
        <v>56.419929504394531</v>
      </c>
      <c r="I921" s="6">
        <v>1</v>
      </c>
      <c r="J921" s="6">
        <v>13861.9365234375</v>
      </c>
      <c r="K921" s="6">
        <v>14371.0693359375</v>
      </c>
    </row>
    <row r="922" spans="1:11" x14ac:dyDescent="0.3">
      <c r="A922" s="6">
        <v>915</v>
      </c>
      <c r="B922" s="7">
        <v>35795</v>
      </c>
      <c r="C922" s="8">
        <v>2205.57421875</v>
      </c>
      <c r="D922" s="6">
        <v>3250</v>
      </c>
      <c r="E922" s="8">
        <v>0</v>
      </c>
      <c r="F922" s="8">
        <v>0</v>
      </c>
      <c r="G922" s="8">
        <v>235.81990051269531</v>
      </c>
      <c r="H922" s="18">
        <v>52.122074127197266</v>
      </c>
      <c r="I922" s="6">
        <v>1</v>
      </c>
      <c r="J922" s="6">
        <v>7032.8798828125</v>
      </c>
      <c r="K922" s="6">
        <v>7830.84521484375</v>
      </c>
    </row>
    <row r="923" spans="1:11" x14ac:dyDescent="0.3">
      <c r="A923" s="6">
        <v>916</v>
      </c>
      <c r="B923" s="7">
        <v>35826</v>
      </c>
      <c r="C923" s="8">
        <v>3338.5</v>
      </c>
      <c r="D923" s="6">
        <v>12428.14453125</v>
      </c>
      <c r="E923" s="8">
        <v>0</v>
      </c>
      <c r="F923" s="8">
        <v>0</v>
      </c>
      <c r="G923" s="8">
        <v>74.81182861328125</v>
      </c>
      <c r="H923" s="18">
        <v>48.047077178955078</v>
      </c>
      <c r="I923" s="6">
        <v>1</v>
      </c>
      <c r="J923" s="6">
        <v>29985.59375</v>
      </c>
      <c r="K923" s="6">
        <v>34245.734375</v>
      </c>
    </row>
    <row r="924" spans="1:11" x14ac:dyDescent="0.3">
      <c r="A924" s="6">
        <v>917</v>
      </c>
      <c r="B924" s="7">
        <v>35854</v>
      </c>
      <c r="C924" s="8">
        <v>3252.10009765625</v>
      </c>
      <c r="D924" s="6">
        <v>51790.1171875</v>
      </c>
      <c r="E924" s="8">
        <v>0</v>
      </c>
      <c r="F924" s="8">
        <v>0</v>
      </c>
      <c r="G924" s="8">
        <v>68.422615051269531</v>
      </c>
      <c r="H924" s="18">
        <v>45.471115112304688</v>
      </c>
      <c r="I924" s="6">
        <v>1</v>
      </c>
      <c r="J924" s="6">
        <v>85759.46875</v>
      </c>
      <c r="K924" s="6">
        <v>93406.4375</v>
      </c>
    </row>
    <row r="925" spans="1:11" x14ac:dyDescent="0.3">
      <c r="A925" s="6">
        <v>918</v>
      </c>
      <c r="B925" s="7">
        <v>35885</v>
      </c>
      <c r="C925" s="8">
        <v>3503.89990234375</v>
      </c>
      <c r="D925" s="6">
        <v>18652.552734375</v>
      </c>
      <c r="E925" s="8">
        <v>0</v>
      </c>
      <c r="F925" s="8">
        <v>0</v>
      </c>
      <c r="G925" s="8">
        <v>19.516128540039063</v>
      </c>
      <c r="H925" s="18">
        <v>45.985790252685547</v>
      </c>
      <c r="I925" s="6">
        <v>1</v>
      </c>
      <c r="J925" s="6">
        <v>29951.005859375</v>
      </c>
      <c r="K925" s="6">
        <v>33681.78515625</v>
      </c>
    </row>
    <row r="926" spans="1:11" x14ac:dyDescent="0.3">
      <c r="A926" s="6">
        <v>919</v>
      </c>
      <c r="B926" s="7">
        <v>35915</v>
      </c>
      <c r="C926" s="8">
        <v>4367.82666015625</v>
      </c>
      <c r="D926" s="6">
        <v>3250</v>
      </c>
      <c r="E926" s="8">
        <v>0</v>
      </c>
      <c r="F926" s="8">
        <v>36.427017211914063</v>
      </c>
      <c r="G926" s="8">
        <v>359.47348022460938</v>
      </c>
      <c r="H926" s="18">
        <v>51.311630249023438</v>
      </c>
      <c r="I926" s="6">
        <v>1</v>
      </c>
      <c r="J926" s="6">
        <v>10850.23046875</v>
      </c>
      <c r="K926" s="6">
        <v>13561.84375</v>
      </c>
    </row>
    <row r="927" spans="1:11" x14ac:dyDescent="0.3">
      <c r="A927" s="6">
        <v>920</v>
      </c>
      <c r="B927" s="7">
        <v>35946</v>
      </c>
      <c r="C927" s="8">
        <v>4552</v>
      </c>
      <c r="D927" s="6">
        <v>14100.6455078125</v>
      </c>
      <c r="E927" s="8">
        <v>0</v>
      </c>
      <c r="F927" s="8">
        <v>95.197517395019531</v>
      </c>
      <c r="G927" s="8">
        <v>1202.3902587890625</v>
      </c>
      <c r="H927" s="18">
        <v>48.434772491455078</v>
      </c>
      <c r="I927" s="6">
        <v>1</v>
      </c>
      <c r="J927" s="6">
        <v>20700.1875</v>
      </c>
      <c r="K927" s="6">
        <v>23299.826171875</v>
      </c>
    </row>
    <row r="928" spans="1:11" x14ac:dyDescent="0.3">
      <c r="A928" s="6">
        <v>921</v>
      </c>
      <c r="B928" s="7">
        <v>35976</v>
      </c>
      <c r="C928" s="8">
        <v>4500</v>
      </c>
      <c r="D928" s="6">
        <v>16775.65625</v>
      </c>
      <c r="E928" s="8">
        <v>0</v>
      </c>
      <c r="F928" s="8">
        <v>1109.75537109375</v>
      </c>
      <c r="G928" s="8">
        <v>2242.28173828125</v>
      </c>
      <c r="H928" s="18">
        <v>50.810955047607422</v>
      </c>
      <c r="I928" s="6">
        <v>1</v>
      </c>
      <c r="J928" s="6">
        <v>20683.326171875</v>
      </c>
      <c r="K928" s="6">
        <v>20896.25</v>
      </c>
    </row>
    <row r="929" spans="1:11" x14ac:dyDescent="0.3">
      <c r="A929" s="6">
        <v>922</v>
      </c>
      <c r="B929" s="7">
        <v>36007</v>
      </c>
      <c r="C929" s="8">
        <v>4150</v>
      </c>
      <c r="D929" s="6">
        <v>14362.4873046875</v>
      </c>
      <c r="E929" s="8">
        <v>0</v>
      </c>
      <c r="F929" s="8">
        <v>1396.974609375</v>
      </c>
      <c r="G929" s="8">
        <v>2616.67822265625</v>
      </c>
      <c r="H929" s="18">
        <v>53.361946105957031</v>
      </c>
      <c r="I929" s="6">
        <v>1</v>
      </c>
      <c r="J929" s="6">
        <v>14304.603515625</v>
      </c>
      <c r="K929" s="6">
        <v>12489.9501953125</v>
      </c>
    </row>
    <row r="930" spans="1:11" x14ac:dyDescent="0.3">
      <c r="A930" s="6">
        <v>923</v>
      </c>
      <c r="B930" s="7">
        <v>36038</v>
      </c>
      <c r="C930" s="8">
        <v>3700</v>
      </c>
      <c r="D930" s="6">
        <v>13530.09375</v>
      </c>
      <c r="E930" s="8">
        <v>0</v>
      </c>
      <c r="F930" s="8">
        <v>1113.9398193359375</v>
      </c>
      <c r="G930" s="8">
        <v>2240.93798828125</v>
      </c>
      <c r="H930" s="18">
        <v>53.233818054199219</v>
      </c>
      <c r="I930" s="6">
        <v>1</v>
      </c>
      <c r="J930" s="6">
        <v>12983.505859375</v>
      </c>
      <c r="K930" s="6">
        <v>11036.87890625</v>
      </c>
    </row>
    <row r="931" spans="1:11" x14ac:dyDescent="0.3">
      <c r="A931" s="6">
        <v>924</v>
      </c>
      <c r="B931" s="7">
        <v>36068</v>
      </c>
      <c r="C931" s="8">
        <v>3400</v>
      </c>
      <c r="D931" s="6">
        <v>11993.27734375</v>
      </c>
      <c r="E931" s="8">
        <v>0</v>
      </c>
      <c r="F931" s="8">
        <v>266.19302368164063</v>
      </c>
      <c r="G931" s="8">
        <v>607.68829345703125</v>
      </c>
      <c r="H931" s="18">
        <v>54.363117218017578</v>
      </c>
      <c r="I931" s="6">
        <v>1</v>
      </c>
      <c r="J931" s="6">
        <v>12645.6376953125</v>
      </c>
      <c r="K931" s="6">
        <v>12279.263671875</v>
      </c>
    </row>
    <row r="932" spans="1:11" x14ac:dyDescent="0.3">
      <c r="A932" s="6">
        <v>925</v>
      </c>
      <c r="B932" s="7">
        <v>36099</v>
      </c>
      <c r="C932" s="8">
        <v>3250</v>
      </c>
      <c r="D932" s="6">
        <v>9258.86328125</v>
      </c>
      <c r="E932" s="8">
        <v>53.249282836914063</v>
      </c>
      <c r="F932" s="8">
        <v>136.14067077636719</v>
      </c>
      <c r="G932" s="8">
        <v>806.62335205078125</v>
      </c>
      <c r="H932" s="18">
        <v>55.975376129150391</v>
      </c>
      <c r="I932" s="6">
        <v>0</v>
      </c>
      <c r="J932" s="6">
        <v>10477.208984375</v>
      </c>
      <c r="K932" s="6">
        <v>10057.3701171875</v>
      </c>
    </row>
    <row r="933" spans="1:11" x14ac:dyDescent="0.3">
      <c r="A933" s="6">
        <v>926</v>
      </c>
      <c r="B933" s="7">
        <v>36129</v>
      </c>
      <c r="C933" s="8">
        <v>3252</v>
      </c>
      <c r="D933" s="6">
        <v>11515.5703125</v>
      </c>
      <c r="E933" s="8">
        <v>0</v>
      </c>
      <c r="F933" s="8">
        <v>16.975309371948242</v>
      </c>
      <c r="G933" s="8">
        <v>428.54165649414063</v>
      </c>
      <c r="H933" s="18">
        <v>55.907558441162109</v>
      </c>
      <c r="I933" s="6">
        <v>1</v>
      </c>
      <c r="J933" s="6">
        <v>15184.2333984375</v>
      </c>
      <c r="K933" s="6">
        <v>15939.3271484375</v>
      </c>
    </row>
    <row r="934" spans="1:11" x14ac:dyDescent="0.3">
      <c r="A934" s="6">
        <v>927</v>
      </c>
      <c r="B934" s="7">
        <v>36160</v>
      </c>
      <c r="C934" s="8">
        <v>3349</v>
      </c>
      <c r="D934" s="6">
        <v>12204.6640625</v>
      </c>
      <c r="E934" s="8">
        <v>0</v>
      </c>
      <c r="F934" s="8">
        <v>0</v>
      </c>
      <c r="G934" s="8">
        <v>282.98385620117188</v>
      </c>
      <c r="H934" s="18">
        <v>51.865497589111328</v>
      </c>
      <c r="I934" s="6">
        <v>1</v>
      </c>
      <c r="J934" s="6">
        <v>15826.08984375</v>
      </c>
      <c r="K934" s="6">
        <v>16743.275390625</v>
      </c>
    </row>
    <row r="935" spans="1:11" x14ac:dyDescent="0.3">
      <c r="A935" s="6">
        <v>928</v>
      </c>
      <c r="B935" s="7">
        <v>36191</v>
      </c>
      <c r="C935" s="8">
        <v>3640.10009765625</v>
      </c>
      <c r="D935" s="6">
        <v>8053.80224609375</v>
      </c>
      <c r="E935" s="8">
        <v>0</v>
      </c>
      <c r="F935" s="8">
        <v>0</v>
      </c>
      <c r="G935" s="8">
        <v>79.69085693359375</v>
      </c>
      <c r="H935" s="18">
        <v>48.654033660888672</v>
      </c>
      <c r="I935" s="6">
        <v>1</v>
      </c>
      <c r="J935" s="6">
        <v>11638.35546875</v>
      </c>
      <c r="K935" s="6">
        <v>12704.470703125</v>
      </c>
    </row>
    <row r="936" spans="1:11" x14ac:dyDescent="0.3">
      <c r="A936" s="6">
        <v>929</v>
      </c>
      <c r="B936" s="7">
        <v>36219</v>
      </c>
      <c r="C936" s="8">
        <v>3569.60009765625</v>
      </c>
      <c r="D936" s="6">
        <v>27797.603515625</v>
      </c>
      <c r="E936" s="8">
        <v>0</v>
      </c>
      <c r="F936" s="8">
        <v>0</v>
      </c>
      <c r="G936" s="8">
        <v>68.422615051269531</v>
      </c>
      <c r="H936" s="18">
        <v>47.136497497558594</v>
      </c>
      <c r="I936" s="6">
        <v>1</v>
      </c>
      <c r="J936" s="6">
        <v>38061.5078125</v>
      </c>
      <c r="K936" s="6">
        <v>41008.26953125</v>
      </c>
    </row>
    <row r="937" spans="1:11" x14ac:dyDescent="0.3">
      <c r="A937" s="6">
        <v>930</v>
      </c>
      <c r="B937" s="7">
        <v>36250</v>
      </c>
      <c r="C937" s="8">
        <v>3980</v>
      </c>
      <c r="D937" s="6">
        <v>13659.7001953125</v>
      </c>
      <c r="E937" s="8">
        <v>0</v>
      </c>
      <c r="F937" s="8">
        <v>0</v>
      </c>
      <c r="G937" s="8">
        <v>19.516128540039063</v>
      </c>
      <c r="H937" s="18">
        <v>47.1121826171875</v>
      </c>
      <c r="I937" s="6">
        <v>1</v>
      </c>
      <c r="J937" s="6">
        <v>20929.10546875</v>
      </c>
      <c r="K937" s="6">
        <v>23492.390625</v>
      </c>
    </row>
    <row r="938" spans="1:11" x14ac:dyDescent="0.3">
      <c r="A938" s="6">
        <v>931</v>
      </c>
      <c r="B938" s="7">
        <v>36280</v>
      </c>
      <c r="C938" s="8">
        <v>4552.10009765625</v>
      </c>
      <c r="D938" s="6">
        <v>3438.072509765625</v>
      </c>
      <c r="E938" s="8">
        <v>0</v>
      </c>
      <c r="F938" s="8">
        <v>141.06893920898438</v>
      </c>
      <c r="G938" s="8">
        <v>412.21127319335938</v>
      </c>
      <c r="H938" s="18">
        <v>51.189750671386719</v>
      </c>
      <c r="I938" s="6">
        <v>1</v>
      </c>
      <c r="J938" s="6">
        <v>7464.6396484375</v>
      </c>
      <c r="K938" s="6">
        <v>9298.126953125</v>
      </c>
    </row>
    <row r="939" spans="1:11" x14ac:dyDescent="0.3">
      <c r="A939" s="6">
        <v>932</v>
      </c>
      <c r="B939" s="7">
        <v>36311</v>
      </c>
      <c r="C939" s="8">
        <v>4552</v>
      </c>
      <c r="D939" s="6">
        <v>8437.2080078125</v>
      </c>
      <c r="E939" s="8">
        <v>0</v>
      </c>
      <c r="F939" s="8">
        <v>838.45135498046875</v>
      </c>
      <c r="G939" s="8">
        <v>2288.578369140625</v>
      </c>
      <c r="H939" s="18">
        <v>50.693416595458984</v>
      </c>
      <c r="I939" s="6">
        <v>1</v>
      </c>
      <c r="J939" s="6">
        <v>9634.3310546875</v>
      </c>
      <c r="K939" s="6">
        <v>8561.2431640625</v>
      </c>
    </row>
    <row r="940" spans="1:11" x14ac:dyDescent="0.3">
      <c r="A940" s="6">
        <v>933</v>
      </c>
      <c r="B940" s="7">
        <v>36341</v>
      </c>
      <c r="C940" s="8">
        <v>4382.97265625</v>
      </c>
      <c r="D940" s="6">
        <v>8144.7666015625</v>
      </c>
      <c r="E940" s="8">
        <v>0</v>
      </c>
      <c r="F940" s="8">
        <v>1060.0843505859375</v>
      </c>
      <c r="G940" s="8">
        <v>2226.599365234375</v>
      </c>
      <c r="H940" s="18">
        <v>51.85150146484375</v>
      </c>
      <c r="I940" s="6">
        <v>1</v>
      </c>
      <c r="J940" s="6">
        <v>8259.3349609375</v>
      </c>
      <c r="K940" s="6">
        <v>6609.9111328125</v>
      </c>
    </row>
    <row r="941" spans="1:11" x14ac:dyDescent="0.3">
      <c r="A941" s="6">
        <v>934</v>
      </c>
      <c r="B941" s="7">
        <v>36372</v>
      </c>
      <c r="C941" s="8">
        <v>3724.72216796875</v>
      </c>
      <c r="D941" s="6">
        <v>16000</v>
      </c>
      <c r="E941" s="8">
        <v>962.78692626953125</v>
      </c>
      <c r="F941" s="8">
        <v>1277.9014892578125</v>
      </c>
      <c r="G941" s="8">
        <v>2616.67822265625</v>
      </c>
      <c r="H941" s="18">
        <v>51.293598175048828</v>
      </c>
      <c r="I941" s="6">
        <v>0</v>
      </c>
      <c r="J941" s="6">
        <v>14888.0791015625</v>
      </c>
      <c r="K941" s="6">
        <v>12407.0615234375</v>
      </c>
    </row>
    <row r="942" spans="1:11" x14ac:dyDescent="0.3">
      <c r="A942" s="6">
        <v>935</v>
      </c>
      <c r="B942" s="7">
        <v>36403</v>
      </c>
      <c r="C942" s="8">
        <v>3442.78466796875</v>
      </c>
      <c r="D942" s="6">
        <v>9713.4931640625</v>
      </c>
      <c r="E942" s="8">
        <v>0</v>
      </c>
      <c r="F942" s="8">
        <v>1011.5167846679688</v>
      </c>
      <c r="G942" s="8">
        <v>2125.41650390625</v>
      </c>
      <c r="H942" s="18">
        <v>52.871421813964844</v>
      </c>
      <c r="I942" s="6">
        <v>1</v>
      </c>
      <c r="J942" s="6">
        <v>9036.4306640625</v>
      </c>
      <c r="K942" s="6">
        <v>7009.10400390625</v>
      </c>
    </row>
    <row r="943" spans="1:11" x14ac:dyDescent="0.3">
      <c r="A943" s="6">
        <v>936</v>
      </c>
      <c r="B943" s="7">
        <v>36433</v>
      </c>
      <c r="C943" s="8">
        <v>2879.5078125</v>
      </c>
      <c r="D943" s="6">
        <v>14935.2490234375</v>
      </c>
      <c r="E943" s="8">
        <v>0</v>
      </c>
      <c r="F943" s="8">
        <v>273.2369384765625</v>
      </c>
      <c r="G943" s="8">
        <v>632.9815673828125</v>
      </c>
      <c r="H943" s="18">
        <v>51.675994873046875</v>
      </c>
      <c r="I943" s="6">
        <v>0</v>
      </c>
      <c r="J943" s="6">
        <v>15426.044921875</v>
      </c>
      <c r="K943" s="6">
        <v>14923.302734375</v>
      </c>
    </row>
    <row r="944" spans="1:11" x14ac:dyDescent="0.3">
      <c r="A944" s="6">
        <v>937</v>
      </c>
      <c r="B944" s="7">
        <v>36464</v>
      </c>
      <c r="C944" s="8">
        <v>2536.01904296875</v>
      </c>
      <c r="D944" s="6">
        <v>11298.9814453125</v>
      </c>
      <c r="E944" s="8">
        <v>1020.4207763671875</v>
      </c>
      <c r="F944" s="8">
        <v>206.92860412597656</v>
      </c>
      <c r="G944" s="8">
        <v>837.2916259765625</v>
      </c>
      <c r="H944" s="18">
        <v>54.80596923828125</v>
      </c>
      <c r="I944" s="6">
        <v>0</v>
      </c>
      <c r="J944" s="6">
        <v>12176.861328125</v>
      </c>
      <c r="K944" s="6">
        <v>11609.0732421875</v>
      </c>
    </row>
    <row r="945" spans="1:11" x14ac:dyDescent="0.3">
      <c r="A945" s="6">
        <v>938</v>
      </c>
      <c r="B945" s="7">
        <v>36494</v>
      </c>
      <c r="C945" s="8">
        <v>2234.741455078125</v>
      </c>
      <c r="D945" s="6">
        <v>13954.02734375</v>
      </c>
      <c r="E945" s="8">
        <v>1214.3294677734375</v>
      </c>
      <c r="F945" s="8">
        <v>16.975309371948242</v>
      </c>
      <c r="G945" s="8">
        <v>457.11111450195313</v>
      </c>
      <c r="H945" s="18">
        <v>55.911361694335938</v>
      </c>
      <c r="I945" s="6">
        <v>0</v>
      </c>
      <c r="J945" s="6">
        <v>15730.001953125</v>
      </c>
      <c r="K945" s="6">
        <v>15840.4775390625</v>
      </c>
    </row>
    <row r="946" spans="1:11" x14ac:dyDescent="0.3">
      <c r="A946" s="6">
        <v>939</v>
      </c>
      <c r="B946" s="7">
        <v>36525</v>
      </c>
      <c r="C946" s="8">
        <v>2408.454345703125</v>
      </c>
      <c r="D946" s="6">
        <v>5406.701171875</v>
      </c>
      <c r="E946" s="8">
        <v>0</v>
      </c>
      <c r="F946" s="8">
        <v>0</v>
      </c>
      <c r="G946" s="8">
        <v>315.5107421875</v>
      </c>
      <c r="H946" s="18">
        <v>53.483196258544922</v>
      </c>
      <c r="I946" s="6">
        <v>1</v>
      </c>
      <c r="J946" s="6">
        <v>6781.455078125</v>
      </c>
      <c r="K946" s="6">
        <v>6922.16650390625</v>
      </c>
    </row>
    <row r="947" spans="1:11" x14ac:dyDescent="0.3">
      <c r="A947" s="6">
        <v>940</v>
      </c>
      <c r="B947" s="7">
        <v>36556</v>
      </c>
      <c r="C947" s="8">
        <v>3105.368408203125</v>
      </c>
      <c r="D947" s="6">
        <v>3250</v>
      </c>
      <c r="E947" s="8">
        <v>0</v>
      </c>
      <c r="F947" s="8">
        <v>0</v>
      </c>
      <c r="G947" s="8">
        <v>74.81182861328125</v>
      </c>
      <c r="H947" s="18">
        <v>50.845230102539063</v>
      </c>
      <c r="I947" s="6">
        <v>1</v>
      </c>
      <c r="J947" s="6">
        <v>8741.849609375</v>
      </c>
      <c r="K947" s="6">
        <v>9924.7998046875</v>
      </c>
    </row>
    <row r="948" spans="1:11" x14ac:dyDescent="0.3">
      <c r="A948" s="6">
        <v>941</v>
      </c>
      <c r="B948" s="7">
        <v>36585</v>
      </c>
      <c r="C948" s="8">
        <v>3281.5</v>
      </c>
      <c r="D948" s="6">
        <v>30710.482421875</v>
      </c>
      <c r="E948" s="8">
        <v>0</v>
      </c>
      <c r="F948" s="8">
        <v>0</v>
      </c>
      <c r="G948" s="8">
        <v>66.063217163085938</v>
      </c>
      <c r="H948" s="18">
        <v>48.109676361083984</v>
      </c>
      <c r="I948" s="6">
        <v>1</v>
      </c>
      <c r="J948" s="6">
        <v>46297.140625</v>
      </c>
      <c r="K948" s="6">
        <v>50362.76171875</v>
      </c>
    </row>
    <row r="949" spans="1:11" x14ac:dyDescent="0.3">
      <c r="A949" s="6">
        <v>942</v>
      </c>
      <c r="B949" s="7">
        <v>36616</v>
      </c>
      <c r="C949" s="8">
        <v>3975.60009765625</v>
      </c>
      <c r="D949" s="6">
        <v>8687.677734375</v>
      </c>
      <c r="E949" s="8">
        <v>0</v>
      </c>
      <c r="F949" s="8">
        <v>0</v>
      </c>
      <c r="G949" s="8">
        <v>19.516128540039063</v>
      </c>
      <c r="H949" s="18">
        <v>48.390304565429688</v>
      </c>
      <c r="I949" s="6">
        <v>1</v>
      </c>
      <c r="J949" s="6">
        <v>18791.205078125</v>
      </c>
      <c r="K949" s="6">
        <v>21259.9453125</v>
      </c>
    </row>
    <row r="950" spans="1:11" x14ac:dyDescent="0.3">
      <c r="A950" s="6">
        <v>943</v>
      </c>
      <c r="B950" s="7">
        <v>36646</v>
      </c>
      <c r="C950" s="8">
        <v>4550.50927734375</v>
      </c>
      <c r="D950" s="6">
        <v>3250</v>
      </c>
      <c r="E950" s="8">
        <v>0</v>
      </c>
      <c r="F950" s="8">
        <v>37.464950561523438</v>
      </c>
      <c r="G950" s="8">
        <v>403.17050170898438</v>
      </c>
      <c r="H950" s="18">
        <v>53.549808502197266</v>
      </c>
      <c r="I950" s="6">
        <v>1</v>
      </c>
      <c r="J950" s="6">
        <v>6011.27392578125</v>
      </c>
      <c r="K950" s="6">
        <v>7816.9921875</v>
      </c>
    </row>
    <row r="951" spans="1:11" x14ac:dyDescent="0.3">
      <c r="A951" s="6">
        <v>944</v>
      </c>
      <c r="B951" s="7">
        <v>36677</v>
      </c>
      <c r="C951" s="8">
        <v>4552</v>
      </c>
      <c r="D951" s="6">
        <v>7298.4775390625</v>
      </c>
      <c r="E951" s="8">
        <v>0</v>
      </c>
      <c r="F951" s="8">
        <v>651.51641845703125</v>
      </c>
      <c r="G951" s="8">
        <v>1855.6585693359375</v>
      </c>
      <c r="H951" s="18">
        <v>51.98187255859375</v>
      </c>
      <c r="I951" s="6">
        <v>1</v>
      </c>
      <c r="J951" s="6">
        <v>8244.4736328125</v>
      </c>
      <c r="K951" s="6">
        <v>7371.3115234375</v>
      </c>
    </row>
    <row r="952" spans="1:11" x14ac:dyDescent="0.3">
      <c r="A952" s="6">
        <v>945</v>
      </c>
      <c r="B952" s="7">
        <v>36707</v>
      </c>
      <c r="C952" s="8">
        <v>4064.68359375</v>
      </c>
      <c r="D952" s="6">
        <v>12915.84765625</v>
      </c>
      <c r="E952" s="8">
        <v>0</v>
      </c>
      <c r="F952" s="8">
        <v>1133.98681640625</v>
      </c>
      <c r="G952" s="8">
        <v>2300.9248046875</v>
      </c>
      <c r="H952" s="18">
        <v>51.933616638183594</v>
      </c>
      <c r="I952" s="6">
        <v>0</v>
      </c>
      <c r="J952" s="6">
        <v>11939.125</v>
      </c>
      <c r="K952" s="6">
        <v>10036.17578125</v>
      </c>
    </row>
    <row r="953" spans="1:11" x14ac:dyDescent="0.3">
      <c r="A953" s="6">
        <v>946</v>
      </c>
      <c r="B953" s="7">
        <v>36738</v>
      </c>
      <c r="C953" s="8">
        <v>3391.262451171875</v>
      </c>
      <c r="D953" s="6">
        <v>16243.5498046875</v>
      </c>
      <c r="E953" s="8">
        <v>893.51031494140625</v>
      </c>
      <c r="F953" s="8">
        <v>1372.8363037109375</v>
      </c>
      <c r="G953" s="8">
        <v>2562.892822265625</v>
      </c>
      <c r="H953" s="18">
        <v>51.968482971191406</v>
      </c>
      <c r="I953" s="6">
        <v>0</v>
      </c>
      <c r="J953" s="6">
        <v>14305.6015625</v>
      </c>
      <c r="K953" s="6">
        <v>11844.4287109375</v>
      </c>
    </row>
    <row r="954" spans="1:11" x14ac:dyDescent="0.3">
      <c r="A954" s="6">
        <v>947</v>
      </c>
      <c r="B954" s="7">
        <v>36769</v>
      </c>
      <c r="C954" s="8">
        <v>3137.130615234375</v>
      </c>
      <c r="D954" s="6">
        <v>10730.3359375</v>
      </c>
      <c r="E954" s="8">
        <v>0</v>
      </c>
      <c r="F954" s="8">
        <v>1103.477294921875</v>
      </c>
      <c r="G954" s="8">
        <v>2065.3544921875</v>
      </c>
      <c r="H954" s="18">
        <v>53.397022247314453</v>
      </c>
      <c r="I954" s="6">
        <v>0</v>
      </c>
      <c r="J954" s="6">
        <v>9266.0322265625</v>
      </c>
      <c r="K954" s="6">
        <v>7229.03955078125</v>
      </c>
    </row>
    <row r="955" spans="1:11" x14ac:dyDescent="0.3">
      <c r="A955" s="6">
        <v>948</v>
      </c>
      <c r="B955" s="7">
        <v>36799</v>
      </c>
      <c r="C955" s="8">
        <v>2897.057861328125</v>
      </c>
      <c r="D955" s="6">
        <v>10241.234375</v>
      </c>
      <c r="E955" s="8">
        <v>0</v>
      </c>
      <c r="F955" s="8">
        <v>263.720703125</v>
      </c>
      <c r="G955" s="8">
        <v>612.2987060546875</v>
      </c>
      <c r="H955" s="18">
        <v>53.667545318603516</v>
      </c>
      <c r="I955" s="6">
        <v>0</v>
      </c>
      <c r="J955" s="6">
        <v>10592.978515625</v>
      </c>
      <c r="K955" s="6">
        <v>10095.8642578125</v>
      </c>
    </row>
    <row r="956" spans="1:11" x14ac:dyDescent="0.3">
      <c r="A956" s="6">
        <v>949</v>
      </c>
      <c r="B956" s="7">
        <v>36830</v>
      </c>
      <c r="C956" s="8">
        <v>2757.458984375</v>
      </c>
      <c r="D956" s="6">
        <v>8207.291015625</v>
      </c>
      <c r="E956" s="8">
        <v>877.78619384765625</v>
      </c>
      <c r="F956" s="8">
        <v>56.174602508544922</v>
      </c>
      <c r="G956" s="8">
        <v>741.57220458984375</v>
      </c>
      <c r="H956" s="18">
        <v>55.030853271484375</v>
      </c>
      <c r="I956" s="6">
        <v>0</v>
      </c>
      <c r="J956" s="6">
        <v>9346.4521484375</v>
      </c>
      <c r="K956" s="6">
        <v>8951.5244140625</v>
      </c>
    </row>
    <row r="957" spans="1:11" x14ac:dyDescent="0.3">
      <c r="A957" s="6">
        <v>950</v>
      </c>
      <c r="B957" s="7">
        <v>36860</v>
      </c>
      <c r="C957" s="8">
        <v>2418.311767578125</v>
      </c>
      <c r="D957" s="6">
        <v>11828.0830078125</v>
      </c>
      <c r="E957" s="8">
        <v>1047.9903564453125</v>
      </c>
      <c r="F957" s="8">
        <v>19.003881454467773</v>
      </c>
      <c r="G957" s="8">
        <v>532.694091796875</v>
      </c>
      <c r="H957" s="18">
        <v>55.906940460205078</v>
      </c>
      <c r="I957" s="6">
        <v>0</v>
      </c>
      <c r="J957" s="6">
        <v>13052.3935546875</v>
      </c>
      <c r="K957" s="6">
        <v>12892.9736328125</v>
      </c>
    </row>
    <row r="958" spans="1:11" x14ac:dyDescent="0.3">
      <c r="A958" s="6">
        <v>951</v>
      </c>
      <c r="B958" s="7">
        <v>36891</v>
      </c>
      <c r="C958" s="8">
        <v>2425.46875</v>
      </c>
      <c r="D958" s="6">
        <v>5187.03759765625</v>
      </c>
      <c r="E958" s="8">
        <v>1045.7059326171875</v>
      </c>
      <c r="F958" s="8">
        <v>0</v>
      </c>
      <c r="G958" s="8">
        <v>305.752685546875</v>
      </c>
      <c r="H958" s="18">
        <v>54.031517028808594</v>
      </c>
      <c r="I958" s="6">
        <v>1</v>
      </c>
      <c r="J958" s="6">
        <v>6794.2578125</v>
      </c>
      <c r="K958" s="6">
        <v>6867.0634765625</v>
      </c>
    </row>
    <row r="959" spans="1:11" x14ac:dyDescent="0.3">
      <c r="A959" s="6">
        <v>952</v>
      </c>
      <c r="B959" s="7">
        <v>36922</v>
      </c>
      <c r="C959" s="8">
        <v>2578.67626953125</v>
      </c>
      <c r="D959" s="6">
        <v>3250</v>
      </c>
      <c r="E959" s="8">
        <v>0</v>
      </c>
      <c r="F959" s="8">
        <v>0</v>
      </c>
      <c r="G959" s="8">
        <v>74.81182861328125</v>
      </c>
      <c r="H959" s="18">
        <v>50.368572235107422</v>
      </c>
      <c r="I959" s="6">
        <v>1</v>
      </c>
      <c r="J959" s="6">
        <v>6654.2646484375</v>
      </c>
      <c r="K959" s="6">
        <v>7249.5869140625</v>
      </c>
    </row>
    <row r="960" spans="1:11" x14ac:dyDescent="0.3">
      <c r="A960" s="6">
        <v>953</v>
      </c>
      <c r="B960" s="7">
        <v>36950</v>
      </c>
      <c r="C960" s="8">
        <v>3071.87841796875</v>
      </c>
      <c r="D960" s="6">
        <v>3250</v>
      </c>
      <c r="E960" s="8">
        <v>0</v>
      </c>
      <c r="F960" s="8">
        <v>0</v>
      </c>
      <c r="G960" s="8">
        <v>68.422615051269531</v>
      </c>
      <c r="H960" s="18">
        <v>48.606330871582031</v>
      </c>
      <c r="I960" s="6">
        <v>1</v>
      </c>
      <c r="J960" s="6">
        <v>9094.3701171875</v>
      </c>
      <c r="K960" s="6">
        <v>10501.4267578125</v>
      </c>
    </row>
    <row r="961" spans="1:11" x14ac:dyDescent="0.3">
      <c r="A961" s="6">
        <v>954</v>
      </c>
      <c r="B961" s="7">
        <v>36981</v>
      </c>
      <c r="C961" s="8">
        <v>3557.0576171875</v>
      </c>
      <c r="D961" s="6">
        <v>3250</v>
      </c>
      <c r="E961" s="8">
        <v>0</v>
      </c>
      <c r="F961" s="8">
        <v>0.99563664197921753</v>
      </c>
      <c r="G961" s="8">
        <v>19.516128540039063</v>
      </c>
      <c r="H961" s="18">
        <v>50.810085296630859</v>
      </c>
      <c r="I961" s="6">
        <v>1</v>
      </c>
      <c r="J961" s="6">
        <v>9138.9443359375</v>
      </c>
      <c r="K961" s="6">
        <v>11304.6865234375</v>
      </c>
    </row>
    <row r="962" spans="1:11" x14ac:dyDescent="0.3">
      <c r="A962" s="6">
        <v>955</v>
      </c>
      <c r="B962" s="7">
        <v>37011</v>
      </c>
      <c r="C962" s="8">
        <v>3754.83837890625</v>
      </c>
      <c r="D962" s="6">
        <v>3250</v>
      </c>
      <c r="E962" s="8">
        <v>0</v>
      </c>
      <c r="F962" s="8">
        <v>153.87185668945313</v>
      </c>
      <c r="G962" s="8">
        <v>425.27017211914063</v>
      </c>
      <c r="H962" s="18">
        <v>51.856029510498047</v>
      </c>
      <c r="I962" s="6">
        <v>1</v>
      </c>
      <c r="J962" s="6">
        <v>4893.775390625</v>
      </c>
      <c r="K962" s="6">
        <v>5418.6572265625</v>
      </c>
    </row>
    <row r="963" spans="1:11" x14ac:dyDescent="0.3">
      <c r="A963" s="6">
        <v>956</v>
      </c>
      <c r="B963" s="7">
        <v>37042</v>
      </c>
      <c r="C963" s="8">
        <v>3513.1181640625</v>
      </c>
      <c r="D963" s="6">
        <v>9349.091796875</v>
      </c>
      <c r="E963" s="8">
        <v>0</v>
      </c>
      <c r="F963" s="8">
        <v>131.51080322265625</v>
      </c>
      <c r="G963" s="8">
        <v>2330.0556640625</v>
      </c>
      <c r="H963" s="18">
        <v>51.669788360595703</v>
      </c>
      <c r="I963" s="6">
        <v>0</v>
      </c>
      <c r="J963" s="6">
        <v>10059.0927734375</v>
      </c>
      <c r="K963" s="6">
        <v>8178.2021484375</v>
      </c>
    </row>
    <row r="964" spans="1:11" x14ac:dyDescent="0.3">
      <c r="A964" s="6">
        <v>957</v>
      </c>
      <c r="B964" s="7">
        <v>37072</v>
      </c>
      <c r="C964" s="8">
        <v>3084.426025390625</v>
      </c>
      <c r="D964" s="6">
        <v>13580.42578125</v>
      </c>
      <c r="E964" s="8">
        <v>553.4715576171875</v>
      </c>
      <c r="F964" s="8">
        <v>341.73458862304688</v>
      </c>
      <c r="G964" s="8">
        <v>2635.120849609375</v>
      </c>
      <c r="H964" s="18">
        <v>52.129489898681641</v>
      </c>
      <c r="I964" s="6">
        <v>0</v>
      </c>
      <c r="J964" s="6">
        <v>13382.869140625</v>
      </c>
      <c r="K964" s="6">
        <v>10826.70703125</v>
      </c>
    </row>
    <row r="965" spans="1:11" x14ac:dyDescent="0.3">
      <c r="A965" s="6">
        <v>958</v>
      </c>
      <c r="B965" s="7">
        <v>37103</v>
      </c>
      <c r="C965" s="8">
        <v>2758.937255859375</v>
      </c>
      <c r="D965" s="6">
        <v>11758.25</v>
      </c>
      <c r="E965" s="8">
        <v>2737.80615234375</v>
      </c>
      <c r="F965" s="8">
        <v>395.15768432617188</v>
      </c>
      <c r="G965" s="8">
        <v>2538.07568359375</v>
      </c>
      <c r="H965" s="18">
        <v>54.356548309326172</v>
      </c>
      <c r="I965" s="6">
        <v>0</v>
      </c>
      <c r="J965" s="6">
        <v>11101.060546875</v>
      </c>
      <c r="K965" s="6">
        <v>8597.2470703125</v>
      </c>
    </row>
    <row r="966" spans="1:11" x14ac:dyDescent="0.3">
      <c r="A966" s="6">
        <v>959</v>
      </c>
      <c r="B966" s="7">
        <v>37134</v>
      </c>
      <c r="C966" s="8">
        <v>2600.28125</v>
      </c>
      <c r="D966" s="6">
        <v>7756.4482421875</v>
      </c>
      <c r="E966" s="8">
        <v>2668.290283203125</v>
      </c>
      <c r="F966" s="8">
        <v>315.29940795898438</v>
      </c>
      <c r="G966" s="8">
        <v>1921.841796875</v>
      </c>
      <c r="H966" s="18">
        <v>56.58685302734375</v>
      </c>
      <c r="I966" s="6">
        <v>0</v>
      </c>
      <c r="J966" s="6">
        <v>7709.53515625</v>
      </c>
      <c r="K966" s="6">
        <v>5807.3720703125</v>
      </c>
    </row>
    <row r="967" spans="1:11" x14ac:dyDescent="0.3">
      <c r="A967" s="6">
        <v>960</v>
      </c>
      <c r="B967" s="7">
        <v>37164</v>
      </c>
      <c r="C967" s="8">
        <v>2536.139892578125</v>
      </c>
      <c r="D967" s="6">
        <v>5341.7802734375</v>
      </c>
      <c r="E967" s="8">
        <v>1212.2628173828125</v>
      </c>
      <c r="F967" s="8">
        <v>123.85877990722656</v>
      </c>
      <c r="G967" s="8">
        <v>602.330810546875</v>
      </c>
      <c r="H967" s="18">
        <v>56.243457794189453</v>
      </c>
      <c r="I967" s="6">
        <v>1</v>
      </c>
      <c r="J967" s="6">
        <v>6129.7685546875</v>
      </c>
      <c r="K967" s="6">
        <v>5584.4736328125</v>
      </c>
    </row>
    <row r="968" spans="1:11" x14ac:dyDescent="0.3">
      <c r="A968" s="6">
        <v>961</v>
      </c>
      <c r="B968" s="7">
        <v>37195</v>
      </c>
      <c r="C968" s="8">
        <v>2215.401611328125</v>
      </c>
      <c r="D968" s="6">
        <v>8935.5556640625</v>
      </c>
      <c r="E968" s="8">
        <v>1937.2271728515625</v>
      </c>
      <c r="F968" s="8">
        <v>82.807243347167969</v>
      </c>
      <c r="G968" s="8">
        <v>808.13983154296875</v>
      </c>
      <c r="H968" s="18">
        <v>55.745529174804688</v>
      </c>
      <c r="I968" s="6">
        <v>0</v>
      </c>
      <c r="J968" s="6">
        <v>9975.9697265625</v>
      </c>
      <c r="K968" s="6">
        <v>9365.2724609375</v>
      </c>
    </row>
    <row r="969" spans="1:11" x14ac:dyDescent="0.3">
      <c r="A969" s="6">
        <v>962</v>
      </c>
      <c r="B969" s="7">
        <v>37225</v>
      </c>
      <c r="C969" s="8">
        <v>2445.7626953125</v>
      </c>
      <c r="D969" s="6">
        <v>3250</v>
      </c>
      <c r="E969" s="8">
        <v>1367.04638671875</v>
      </c>
      <c r="F969" s="8">
        <v>16.975309371948242</v>
      </c>
      <c r="G969" s="8">
        <v>329.38888549804688</v>
      </c>
      <c r="H969" s="18">
        <v>56.092033386230469</v>
      </c>
      <c r="I969" s="6">
        <v>1</v>
      </c>
      <c r="J969" s="6">
        <v>6401.09326171875</v>
      </c>
      <c r="K969" s="6">
        <v>6836.50732421875</v>
      </c>
    </row>
    <row r="970" spans="1:11" x14ac:dyDescent="0.3">
      <c r="A970" s="6">
        <v>963</v>
      </c>
      <c r="B970" s="7">
        <v>37256</v>
      </c>
      <c r="C970" s="8">
        <v>3333.800048828125</v>
      </c>
      <c r="D970" s="6">
        <v>5241.53173828125</v>
      </c>
      <c r="E970" s="8">
        <v>0</v>
      </c>
      <c r="F970" s="8">
        <v>0</v>
      </c>
      <c r="G970" s="8">
        <v>157.75537109375</v>
      </c>
      <c r="H970" s="18">
        <v>50.576744079589844</v>
      </c>
      <c r="I970" s="6">
        <v>1</v>
      </c>
      <c r="J970" s="6">
        <v>16214.2626953125</v>
      </c>
      <c r="K970" s="6">
        <v>18122.724609375</v>
      </c>
    </row>
    <row r="971" spans="1:11" x14ac:dyDescent="0.3">
      <c r="A971" s="6">
        <v>964</v>
      </c>
      <c r="B971" s="7">
        <v>37287</v>
      </c>
      <c r="C971" s="8">
        <v>3678.39990234375</v>
      </c>
      <c r="D971" s="6">
        <v>12198.5478515625</v>
      </c>
      <c r="E971" s="8">
        <v>0</v>
      </c>
      <c r="F971" s="8">
        <v>0</v>
      </c>
      <c r="G971" s="8">
        <v>74.81182861328125</v>
      </c>
      <c r="H971" s="18">
        <v>47.567989349365234</v>
      </c>
      <c r="I971" s="6">
        <v>1</v>
      </c>
      <c r="J971" s="6">
        <v>21708.32421875</v>
      </c>
      <c r="K971" s="6">
        <v>24153.537109375</v>
      </c>
    </row>
    <row r="972" spans="1:11" x14ac:dyDescent="0.3">
      <c r="A972" s="6">
        <v>965</v>
      </c>
      <c r="B972" s="7">
        <v>37315</v>
      </c>
      <c r="C972" s="8">
        <v>4022</v>
      </c>
      <c r="D972" s="6">
        <v>3291.550048828125</v>
      </c>
      <c r="E972" s="8">
        <v>0</v>
      </c>
      <c r="F972" s="8">
        <v>0</v>
      </c>
      <c r="G972" s="8">
        <v>68.422615051269531</v>
      </c>
      <c r="H972" s="18">
        <v>48.007823944091797</v>
      </c>
      <c r="I972" s="6">
        <v>1</v>
      </c>
      <c r="J972" s="6">
        <v>8016.443359375</v>
      </c>
      <c r="K972" s="6">
        <v>8957.6103515625</v>
      </c>
    </row>
    <row r="973" spans="1:11" x14ac:dyDescent="0.3">
      <c r="A973" s="6">
        <v>966</v>
      </c>
      <c r="B973" s="7">
        <v>37346</v>
      </c>
      <c r="C973" s="8">
        <v>4380.70703125</v>
      </c>
      <c r="D973" s="6">
        <v>3250</v>
      </c>
      <c r="E973" s="8">
        <v>0</v>
      </c>
      <c r="F973" s="8">
        <v>34.056632995605469</v>
      </c>
      <c r="G973" s="8">
        <v>71.686683654785156</v>
      </c>
      <c r="H973" s="18">
        <v>49.246475219726563</v>
      </c>
      <c r="I973" s="6">
        <v>1</v>
      </c>
      <c r="J973" s="6">
        <v>6908.134765625</v>
      </c>
      <c r="K973" s="6">
        <v>8031.86962890625</v>
      </c>
    </row>
    <row r="974" spans="1:11" x14ac:dyDescent="0.3">
      <c r="A974" s="6">
        <v>967</v>
      </c>
      <c r="B974" s="7">
        <v>37376</v>
      </c>
      <c r="C974" s="8">
        <v>4552.10009765625</v>
      </c>
      <c r="D974" s="6">
        <v>3790.32568359375</v>
      </c>
      <c r="E974" s="8">
        <v>0</v>
      </c>
      <c r="F974" s="8">
        <v>592.5997314453125</v>
      </c>
      <c r="G974" s="8">
        <v>570.92694091796875</v>
      </c>
      <c r="H974" s="18">
        <v>51.393619537353516</v>
      </c>
      <c r="I974" s="6">
        <v>1</v>
      </c>
      <c r="J974" s="6">
        <v>5529.02294921875</v>
      </c>
      <c r="K974" s="6">
        <v>6125.20654296875</v>
      </c>
    </row>
    <row r="975" spans="1:11" x14ac:dyDescent="0.3">
      <c r="A975" s="6">
        <v>968</v>
      </c>
      <c r="B975" s="7">
        <v>37407</v>
      </c>
      <c r="C975" s="8">
        <v>4345.9794921875</v>
      </c>
      <c r="D975" s="6">
        <v>8129.60498046875</v>
      </c>
      <c r="E975" s="8">
        <v>0</v>
      </c>
      <c r="F975" s="8">
        <v>512.00897216796875</v>
      </c>
      <c r="G975" s="8">
        <v>2032.4620361328125</v>
      </c>
      <c r="H975" s="18">
        <v>50.423126220703125</v>
      </c>
      <c r="I975" s="6">
        <v>1</v>
      </c>
      <c r="J975" s="6">
        <v>9421.33984375</v>
      </c>
      <c r="K975" s="6">
        <v>7958.435546875</v>
      </c>
    </row>
    <row r="976" spans="1:11" x14ac:dyDescent="0.3">
      <c r="A976" s="6">
        <v>969</v>
      </c>
      <c r="B976" s="7">
        <v>37437</v>
      </c>
      <c r="C976" s="8">
        <v>3872.047119140625</v>
      </c>
      <c r="D976" s="6">
        <v>11090.05078125</v>
      </c>
      <c r="E976" s="8">
        <v>0</v>
      </c>
      <c r="F976" s="8">
        <v>765.88287353515625</v>
      </c>
      <c r="G976" s="8">
        <v>2710.3994140625</v>
      </c>
      <c r="H976" s="18">
        <v>51.078281402587891</v>
      </c>
      <c r="I976" s="6">
        <v>0</v>
      </c>
      <c r="J976" s="6">
        <v>11380.3779296875</v>
      </c>
      <c r="K976" s="6">
        <v>8884.6884765625</v>
      </c>
    </row>
    <row r="977" spans="1:11" x14ac:dyDescent="0.3">
      <c r="A977" s="6">
        <v>970</v>
      </c>
      <c r="B977" s="7">
        <v>37468</v>
      </c>
      <c r="C977" s="8">
        <v>3213.63134765625</v>
      </c>
      <c r="D977" s="6">
        <v>14797.642578125</v>
      </c>
      <c r="E977" s="8">
        <v>464.00381469726563</v>
      </c>
      <c r="F977" s="8">
        <v>838.20123291015625</v>
      </c>
      <c r="G977" s="8">
        <v>2538.07568359375</v>
      </c>
      <c r="H977" s="18">
        <v>51.499664306640625</v>
      </c>
      <c r="I977" s="6">
        <v>0</v>
      </c>
      <c r="J977" s="6">
        <v>14353.048828125</v>
      </c>
      <c r="K977" s="6">
        <v>11848.4150390625</v>
      </c>
    </row>
    <row r="978" spans="1:11" x14ac:dyDescent="0.3">
      <c r="A978" s="6">
        <v>971</v>
      </c>
      <c r="B978" s="7">
        <v>37499</v>
      </c>
      <c r="C978" s="8">
        <v>3022.285400390625</v>
      </c>
      <c r="D978" s="6">
        <v>7987.2021484375</v>
      </c>
      <c r="E978" s="8">
        <v>1265.3411865234375</v>
      </c>
      <c r="F978" s="8">
        <v>669.08770751953125</v>
      </c>
      <c r="G978" s="8">
        <v>1811.549560546875</v>
      </c>
      <c r="H978" s="18">
        <v>54.024330139160156</v>
      </c>
      <c r="I978" s="6">
        <v>0</v>
      </c>
      <c r="J978" s="6">
        <v>7773.09912109375</v>
      </c>
      <c r="K978" s="6">
        <v>5981.228515625</v>
      </c>
    </row>
    <row r="979" spans="1:11" x14ac:dyDescent="0.3">
      <c r="A979" s="6">
        <v>972</v>
      </c>
      <c r="B979" s="7">
        <v>37529</v>
      </c>
      <c r="C979" s="8">
        <v>2964.52880859375</v>
      </c>
      <c r="D979" s="6">
        <v>4982.90673828125</v>
      </c>
      <c r="E979" s="8">
        <v>1150.0072021484375</v>
      </c>
      <c r="F979" s="8">
        <v>112.33298492431641</v>
      </c>
      <c r="G979" s="8">
        <v>632.9815673828125</v>
      </c>
      <c r="H979" s="18">
        <v>54.005237579345703</v>
      </c>
      <c r="I979" s="6">
        <v>1</v>
      </c>
      <c r="J979" s="6">
        <v>5772.888671875</v>
      </c>
      <c r="K979" s="6">
        <v>5175.294921875</v>
      </c>
    </row>
    <row r="980" spans="1:11" x14ac:dyDescent="0.3">
      <c r="A980" s="6">
        <v>973</v>
      </c>
      <c r="B980" s="7">
        <v>37560</v>
      </c>
      <c r="C980" s="8">
        <v>2754.041259765625</v>
      </c>
      <c r="D980" s="6">
        <v>7109.7783203125</v>
      </c>
      <c r="E980" s="8">
        <v>1966.750244140625</v>
      </c>
      <c r="F980" s="8">
        <v>171.34896850585938</v>
      </c>
      <c r="G980" s="8">
        <v>851.10028076171875</v>
      </c>
      <c r="H980" s="18">
        <v>54.091041564941406</v>
      </c>
      <c r="I980" s="6">
        <v>0</v>
      </c>
      <c r="J980" s="6">
        <v>8112.4013671875</v>
      </c>
      <c r="K980" s="6">
        <v>7406.50146484375</v>
      </c>
    </row>
    <row r="981" spans="1:11" x14ac:dyDescent="0.3">
      <c r="A981" s="6">
        <v>974</v>
      </c>
      <c r="B981" s="7">
        <v>37590</v>
      </c>
      <c r="C981" s="8">
        <v>2650.197998046875</v>
      </c>
      <c r="D981" s="6">
        <v>6099.6669921875</v>
      </c>
      <c r="E981" s="8">
        <v>797.55865478515625</v>
      </c>
      <c r="F981" s="8">
        <v>16.975309371948242</v>
      </c>
      <c r="G981" s="8">
        <v>438.625</v>
      </c>
      <c r="H981" s="18">
        <v>54.225292205810547</v>
      </c>
      <c r="I981" s="6">
        <v>1</v>
      </c>
      <c r="J981" s="6">
        <v>7817.87841796875</v>
      </c>
      <c r="K981" s="6">
        <v>7780.970703125</v>
      </c>
    </row>
    <row r="982" spans="1:11" x14ac:dyDescent="0.3">
      <c r="A982" s="6">
        <v>975</v>
      </c>
      <c r="B982" s="7">
        <v>37621</v>
      </c>
      <c r="C982" s="8">
        <v>3291.300048828125</v>
      </c>
      <c r="D982" s="6">
        <v>11651.09765625</v>
      </c>
      <c r="E982" s="8">
        <v>0</v>
      </c>
      <c r="F982" s="8">
        <v>0</v>
      </c>
      <c r="G982" s="8">
        <v>157.75537109375</v>
      </c>
      <c r="H982" s="18">
        <v>50.745929718017578</v>
      </c>
      <c r="I982" s="6">
        <v>1</v>
      </c>
      <c r="J982" s="6">
        <v>25112.34375</v>
      </c>
      <c r="K982" s="6">
        <v>28928.408203125</v>
      </c>
    </row>
    <row r="983" spans="1:11" x14ac:dyDescent="0.3">
      <c r="A983" s="6">
        <v>976</v>
      </c>
      <c r="B983" s="7">
        <v>37652</v>
      </c>
      <c r="C983" s="8">
        <v>3515.199951171875</v>
      </c>
      <c r="D983" s="6">
        <v>16751.140625</v>
      </c>
      <c r="E983" s="8">
        <v>0</v>
      </c>
      <c r="F983" s="8">
        <v>0</v>
      </c>
      <c r="G983" s="8">
        <v>74.81182861328125</v>
      </c>
      <c r="H983" s="18">
        <v>47.266674041748047</v>
      </c>
      <c r="I983" s="6">
        <v>1</v>
      </c>
      <c r="J983" s="6">
        <v>29142.099609375</v>
      </c>
      <c r="K983" s="6">
        <v>32213.318359375</v>
      </c>
    </row>
    <row r="984" spans="1:11" x14ac:dyDescent="0.3">
      <c r="A984" s="6">
        <v>977</v>
      </c>
      <c r="B984" s="7">
        <v>37680</v>
      </c>
      <c r="C984" s="8">
        <v>3849.876953125</v>
      </c>
      <c r="D984" s="6">
        <v>3250</v>
      </c>
      <c r="E984" s="8">
        <v>0</v>
      </c>
      <c r="F984" s="8">
        <v>0</v>
      </c>
      <c r="G984" s="8">
        <v>68.422615051269531</v>
      </c>
      <c r="H984" s="18">
        <v>47.775550842285156</v>
      </c>
      <c r="I984" s="6">
        <v>1</v>
      </c>
      <c r="J984" s="6">
        <v>7596.4453125</v>
      </c>
      <c r="K984" s="6">
        <v>8930.6044921875</v>
      </c>
    </row>
    <row r="985" spans="1:11" x14ac:dyDescent="0.3">
      <c r="A985" s="6">
        <v>978</v>
      </c>
      <c r="B985" s="7">
        <v>37711</v>
      </c>
      <c r="C985" s="8">
        <v>4329.38916015625</v>
      </c>
      <c r="D985" s="6">
        <v>3250</v>
      </c>
      <c r="E985" s="8">
        <v>0</v>
      </c>
      <c r="F985" s="8">
        <v>0</v>
      </c>
      <c r="G985" s="8">
        <v>22.432332992553711</v>
      </c>
      <c r="H985" s="18">
        <v>49.755409240722656</v>
      </c>
      <c r="I985" s="6">
        <v>1</v>
      </c>
      <c r="J985" s="6">
        <v>8405.37890625</v>
      </c>
      <c r="K985" s="6">
        <v>10464.408203125</v>
      </c>
    </row>
    <row r="986" spans="1:11" x14ac:dyDescent="0.3">
      <c r="A986" s="6">
        <v>979</v>
      </c>
      <c r="B986" s="7">
        <v>37741</v>
      </c>
      <c r="C986" s="8">
        <v>4552.10009765625</v>
      </c>
      <c r="D986" s="6">
        <v>10403.9990234375</v>
      </c>
      <c r="E986" s="8">
        <v>0</v>
      </c>
      <c r="F986" s="8">
        <v>65.943244934082031</v>
      </c>
      <c r="G986" s="8">
        <v>331.84890747070313</v>
      </c>
      <c r="H986" s="18">
        <v>48.292018890380859</v>
      </c>
      <c r="I986" s="6">
        <v>1</v>
      </c>
      <c r="J986" s="6">
        <v>16007.296875</v>
      </c>
      <c r="K986" s="6">
        <v>18274.189453125</v>
      </c>
    </row>
    <row r="987" spans="1:11" x14ac:dyDescent="0.3">
      <c r="A987" s="6">
        <v>980</v>
      </c>
      <c r="B987" s="7">
        <v>37772</v>
      </c>
      <c r="C987" s="8">
        <v>4552</v>
      </c>
      <c r="D987" s="6">
        <v>12828.83203125</v>
      </c>
      <c r="E987" s="8">
        <v>0</v>
      </c>
      <c r="F987" s="8">
        <v>476.85653686523438</v>
      </c>
      <c r="G987" s="8">
        <v>1925.651611328125</v>
      </c>
      <c r="H987" s="18">
        <v>49.739742279052734</v>
      </c>
      <c r="I987" s="6">
        <v>1</v>
      </c>
      <c r="J987" s="6">
        <v>18430.943359375</v>
      </c>
      <c r="K987" s="6">
        <v>18875.478515625</v>
      </c>
    </row>
    <row r="988" spans="1:11" x14ac:dyDescent="0.3">
      <c r="A988" s="6">
        <v>981</v>
      </c>
      <c r="B988" s="7">
        <v>37802</v>
      </c>
      <c r="C988" s="8">
        <v>4318.12109375</v>
      </c>
      <c r="D988" s="6">
        <v>8321.8974609375</v>
      </c>
      <c r="E988" s="8">
        <v>0</v>
      </c>
      <c r="F988" s="8">
        <v>1230.4521484375</v>
      </c>
      <c r="G988" s="8">
        <v>2335.261962890625</v>
      </c>
      <c r="H988" s="18">
        <v>53.149085998535156</v>
      </c>
      <c r="I988" s="6">
        <v>1</v>
      </c>
      <c r="J988" s="6">
        <v>8521.76171875</v>
      </c>
      <c r="K988" s="6">
        <v>6942.0546875</v>
      </c>
    </row>
    <row r="989" spans="1:11" x14ac:dyDescent="0.3">
      <c r="A989" s="6">
        <v>982</v>
      </c>
      <c r="B989" s="7">
        <v>37833</v>
      </c>
      <c r="C989" s="8">
        <v>3606.210205078125</v>
      </c>
      <c r="D989" s="6">
        <v>16000</v>
      </c>
      <c r="E989" s="8">
        <v>693.6019287109375</v>
      </c>
      <c r="F989" s="8">
        <v>1383.8175048828125</v>
      </c>
      <c r="G989" s="8">
        <v>2460.93505859375</v>
      </c>
      <c r="H989" s="18">
        <v>52.570804595947266</v>
      </c>
      <c r="I989" s="6">
        <v>0</v>
      </c>
      <c r="J989" s="6">
        <v>14966.0390625</v>
      </c>
      <c r="K989" s="6">
        <v>12705.4814453125</v>
      </c>
    </row>
    <row r="990" spans="1:11" x14ac:dyDescent="0.3">
      <c r="A990" s="6">
        <v>983</v>
      </c>
      <c r="B990" s="7">
        <v>37864</v>
      </c>
      <c r="C990" s="8">
        <v>3270.581787109375</v>
      </c>
      <c r="D990" s="6">
        <v>9611.1201171875</v>
      </c>
      <c r="E990" s="8">
        <v>18.402765274047852</v>
      </c>
      <c r="F990" s="8">
        <v>953.50079345703125</v>
      </c>
      <c r="G990" s="8">
        <v>1776.6868896484375</v>
      </c>
      <c r="H990" s="18">
        <v>53.1336669921875</v>
      </c>
      <c r="I990" s="6">
        <v>0</v>
      </c>
      <c r="J990" s="6">
        <v>9290.7314453125</v>
      </c>
      <c r="K990" s="6">
        <v>7632.1669921875</v>
      </c>
    </row>
    <row r="991" spans="1:11" x14ac:dyDescent="0.3">
      <c r="A991" s="6">
        <v>984</v>
      </c>
      <c r="B991" s="7">
        <v>37894</v>
      </c>
      <c r="C991" s="8">
        <v>2928.173095703125</v>
      </c>
      <c r="D991" s="6">
        <v>10841.6015625</v>
      </c>
      <c r="E991" s="8">
        <v>0</v>
      </c>
      <c r="F991" s="8">
        <v>312.490966796875</v>
      </c>
      <c r="G991" s="8">
        <v>632.9815673828125</v>
      </c>
      <c r="H991" s="18">
        <v>53.222362518310547</v>
      </c>
      <c r="I991" s="6">
        <v>0</v>
      </c>
      <c r="J991" s="6">
        <v>11219.15234375</v>
      </c>
      <c r="K991" s="6">
        <v>10693.6669921875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45999-D650-47EA-BA51-241E1C991366}">
  <sheetPr>
    <tabColor rgb="FFFF0000"/>
  </sheetPr>
  <dimension ref="A1:CZ996"/>
  <sheetViews>
    <sheetView workbookViewId="0"/>
  </sheetViews>
  <sheetFormatPr defaultColWidth="10.88671875" defaultRowHeight="13.2" x14ac:dyDescent="0.25"/>
  <cols>
    <col min="1" max="2" width="10.88671875" style="9" customWidth="1"/>
    <col min="3" max="3" width="13.6640625" style="9" customWidth="1"/>
    <col min="4" max="16384" width="10.88671875" style="9"/>
  </cols>
  <sheetData>
    <row r="1" spans="1:104" x14ac:dyDescent="0.25">
      <c r="B1" s="9" t="s">
        <v>0</v>
      </c>
    </row>
    <row r="2" spans="1:104" x14ac:dyDescent="0.25">
      <c r="B2" s="9" t="s">
        <v>0</v>
      </c>
    </row>
    <row r="3" spans="1:104" x14ac:dyDescent="0.25">
      <c r="B3" s="9" t="s">
        <v>0</v>
      </c>
    </row>
    <row r="4" spans="1:104" s="10" customFormat="1" x14ac:dyDescent="0.25">
      <c r="A4" s="9"/>
      <c r="B4" s="9" t="s">
        <v>0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4" x14ac:dyDescent="0.25">
      <c r="B5" s="9" t="s">
        <v>0</v>
      </c>
    </row>
    <row r="6" spans="1:104" x14ac:dyDescent="0.25">
      <c r="B6" s="9" t="s">
        <v>0</v>
      </c>
    </row>
    <row r="7" spans="1:104" x14ac:dyDescent="0.25">
      <c r="B7" s="9" t="s">
        <v>0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</row>
    <row r="8" spans="1:104" x14ac:dyDescent="0.25">
      <c r="B8" s="9" t="s">
        <v>0</v>
      </c>
    </row>
    <row r="9" spans="1:104" x14ac:dyDescent="0.25">
      <c r="B9" s="9" t="s">
        <v>0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</row>
    <row r="11" spans="1:104" x14ac:dyDescent="0.25">
      <c r="B11" s="9" t="s">
        <v>1</v>
      </c>
      <c r="C11" s="9" t="s">
        <v>21</v>
      </c>
      <c r="E11" s="9" t="s">
        <v>22</v>
      </c>
      <c r="F11" s="9" t="s">
        <v>23</v>
      </c>
    </row>
    <row r="12" spans="1:104" x14ac:dyDescent="0.25">
      <c r="B12" s="11">
        <v>7944</v>
      </c>
    </row>
    <row r="13" spans="1:104" x14ac:dyDescent="0.25">
      <c r="A13" s="9" t="s">
        <v>0</v>
      </c>
      <c r="B13" s="11">
        <v>7975</v>
      </c>
      <c r="C13" s="12">
        <f>(B13-B12)*86400/43560/1000</f>
        <v>6.1487603305785121E-2</v>
      </c>
      <c r="E13" s="13">
        <v>0</v>
      </c>
      <c r="F13" s="13">
        <v>0</v>
      </c>
    </row>
    <row r="14" spans="1:104" x14ac:dyDescent="0.25">
      <c r="A14" s="9" t="s">
        <v>0</v>
      </c>
      <c r="B14" s="11">
        <v>8005</v>
      </c>
      <c r="C14" s="12">
        <f t="shared" ref="C14:C77" si="0">(B14-B13)*86400/43560/1000</f>
        <v>5.9504132231404959E-2</v>
      </c>
      <c r="E14" s="13">
        <v>0</v>
      </c>
      <c r="F14" s="13">
        <v>0</v>
      </c>
    </row>
    <row r="15" spans="1:104" x14ac:dyDescent="0.25">
      <c r="A15" s="9" t="s">
        <v>0</v>
      </c>
      <c r="B15" s="11">
        <v>8036</v>
      </c>
      <c r="C15" s="12">
        <f t="shared" si="0"/>
        <v>6.1487603305785121E-2</v>
      </c>
      <c r="E15" s="13">
        <v>0</v>
      </c>
      <c r="F15" s="13">
        <v>0</v>
      </c>
    </row>
    <row r="16" spans="1:104" x14ac:dyDescent="0.25">
      <c r="A16" s="9" t="s">
        <v>0</v>
      </c>
      <c r="B16" s="11">
        <v>8067</v>
      </c>
      <c r="C16" s="12">
        <f t="shared" si="0"/>
        <v>6.1487603305785121E-2</v>
      </c>
      <c r="E16" s="13">
        <v>0</v>
      </c>
      <c r="F16" s="13">
        <v>0</v>
      </c>
    </row>
    <row r="17" spans="1:6" x14ac:dyDescent="0.25">
      <c r="A17" s="9" t="s">
        <v>0</v>
      </c>
      <c r="B17" s="11">
        <v>8095</v>
      </c>
      <c r="C17" s="12">
        <f t="shared" si="0"/>
        <v>5.5537190082644627E-2</v>
      </c>
      <c r="E17" s="13">
        <v>0</v>
      </c>
      <c r="F17" s="13">
        <v>0</v>
      </c>
    </row>
    <row r="18" spans="1:6" x14ac:dyDescent="0.25">
      <c r="A18" s="9" t="s">
        <v>0</v>
      </c>
      <c r="B18" s="11">
        <v>8126</v>
      </c>
      <c r="C18" s="12">
        <f t="shared" si="0"/>
        <v>6.1487603305785121E-2</v>
      </c>
      <c r="E18" s="13">
        <v>0</v>
      </c>
      <c r="F18" s="13">
        <v>0</v>
      </c>
    </row>
    <row r="19" spans="1:6" x14ac:dyDescent="0.25">
      <c r="A19" s="9" t="s">
        <v>0</v>
      </c>
      <c r="B19" s="11">
        <v>8156</v>
      </c>
      <c r="C19" s="12">
        <f t="shared" si="0"/>
        <v>5.9504132231404959E-2</v>
      </c>
      <c r="E19" s="13">
        <v>0</v>
      </c>
      <c r="F19" s="13">
        <v>0</v>
      </c>
    </row>
    <row r="20" spans="1:6" x14ac:dyDescent="0.25">
      <c r="A20" s="9" t="s">
        <v>0</v>
      </c>
      <c r="B20" s="11">
        <v>8187</v>
      </c>
      <c r="C20" s="12">
        <f t="shared" si="0"/>
        <v>6.1487603305785121E-2</v>
      </c>
      <c r="E20" s="13">
        <v>1</v>
      </c>
      <c r="F20" s="13">
        <v>0</v>
      </c>
    </row>
    <row r="21" spans="1:6" x14ac:dyDescent="0.25">
      <c r="A21" s="9" t="s">
        <v>0</v>
      </c>
      <c r="B21" s="11">
        <v>8217</v>
      </c>
      <c r="C21" s="12">
        <f t="shared" si="0"/>
        <v>5.9504132231404959E-2</v>
      </c>
      <c r="E21" s="13">
        <v>0</v>
      </c>
      <c r="F21" s="13">
        <v>0</v>
      </c>
    </row>
    <row r="22" spans="1:6" x14ac:dyDescent="0.25">
      <c r="A22" s="9" t="s">
        <v>0</v>
      </c>
      <c r="B22" s="11">
        <v>8248</v>
      </c>
      <c r="C22" s="12">
        <f t="shared" si="0"/>
        <v>6.1487603305785121E-2</v>
      </c>
      <c r="E22" s="13">
        <v>0</v>
      </c>
      <c r="F22" s="13">
        <v>0</v>
      </c>
    </row>
    <row r="23" spans="1:6" x14ac:dyDescent="0.25">
      <c r="A23" s="9" t="s">
        <v>0</v>
      </c>
      <c r="B23" s="11">
        <v>8279</v>
      </c>
      <c r="C23" s="12">
        <f t="shared" si="0"/>
        <v>6.1487603305785121E-2</v>
      </c>
      <c r="E23" s="13">
        <v>0</v>
      </c>
      <c r="F23" s="13">
        <v>0</v>
      </c>
    </row>
    <row r="24" spans="1:6" x14ac:dyDescent="0.25">
      <c r="A24" s="9" t="s">
        <v>0</v>
      </c>
      <c r="B24" s="11">
        <v>8309</v>
      </c>
      <c r="C24" s="12">
        <f t="shared" si="0"/>
        <v>5.9504132231404959E-2</v>
      </c>
      <c r="E24" s="13">
        <v>0</v>
      </c>
      <c r="F24" s="13">
        <v>1</v>
      </c>
    </row>
    <row r="25" spans="1:6" x14ac:dyDescent="0.25">
      <c r="A25" s="9" t="s">
        <v>0</v>
      </c>
      <c r="B25" s="11">
        <v>8340</v>
      </c>
      <c r="C25" s="12">
        <f t="shared" si="0"/>
        <v>6.1487603305785121E-2</v>
      </c>
      <c r="E25" s="9">
        <f>E13</f>
        <v>0</v>
      </c>
      <c r="F25" s="9">
        <f>F13</f>
        <v>0</v>
      </c>
    </row>
    <row r="26" spans="1:6" x14ac:dyDescent="0.25">
      <c r="A26" s="9" t="s">
        <v>0</v>
      </c>
      <c r="B26" s="11">
        <v>8370</v>
      </c>
      <c r="C26" s="12">
        <f t="shared" si="0"/>
        <v>5.9504132231404959E-2</v>
      </c>
      <c r="E26" s="9">
        <f t="shared" ref="E26:F41" si="1">E14</f>
        <v>0</v>
      </c>
      <c r="F26" s="9">
        <f t="shared" si="1"/>
        <v>0</v>
      </c>
    </row>
    <row r="27" spans="1:6" x14ac:dyDescent="0.25">
      <c r="A27" s="9" t="s">
        <v>0</v>
      </c>
      <c r="B27" s="11">
        <v>8401</v>
      </c>
      <c r="C27" s="12">
        <f t="shared" si="0"/>
        <v>6.1487603305785121E-2</v>
      </c>
      <c r="E27" s="9">
        <f t="shared" si="1"/>
        <v>0</v>
      </c>
      <c r="F27" s="9">
        <f t="shared" si="1"/>
        <v>0</v>
      </c>
    </row>
    <row r="28" spans="1:6" x14ac:dyDescent="0.25">
      <c r="A28" s="9" t="s">
        <v>0</v>
      </c>
      <c r="B28" s="11">
        <v>8432</v>
      </c>
      <c r="C28" s="12">
        <f t="shared" si="0"/>
        <v>6.1487603305785121E-2</v>
      </c>
      <c r="E28" s="9">
        <f t="shared" si="1"/>
        <v>0</v>
      </c>
      <c r="F28" s="9">
        <f t="shared" si="1"/>
        <v>0</v>
      </c>
    </row>
    <row r="29" spans="1:6" x14ac:dyDescent="0.25">
      <c r="A29" s="9" t="s">
        <v>0</v>
      </c>
      <c r="B29" s="11">
        <v>8460</v>
      </c>
      <c r="C29" s="12">
        <f t="shared" si="0"/>
        <v>5.5537190082644627E-2</v>
      </c>
      <c r="E29" s="9">
        <f t="shared" si="1"/>
        <v>0</v>
      </c>
      <c r="F29" s="9">
        <f t="shared" si="1"/>
        <v>0</v>
      </c>
    </row>
    <row r="30" spans="1:6" x14ac:dyDescent="0.25">
      <c r="A30" s="9" t="s">
        <v>0</v>
      </c>
      <c r="B30" s="11">
        <v>8491</v>
      </c>
      <c r="C30" s="12">
        <f t="shared" si="0"/>
        <v>6.1487603305785121E-2</v>
      </c>
      <c r="E30" s="9">
        <f t="shared" si="1"/>
        <v>0</v>
      </c>
      <c r="F30" s="9">
        <f t="shared" si="1"/>
        <v>0</v>
      </c>
    </row>
    <row r="31" spans="1:6" x14ac:dyDescent="0.25">
      <c r="A31" s="9" t="s">
        <v>0</v>
      </c>
      <c r="B31" s="11">
        <v>8521</v>
      </c>
      <c r="C31" s="12">
        <f t="shared" si="0"/>
        <v>5.9504132231404959E-2</v>
      </c>
      <c r="E31" s="9">
        <f t="shared" si="1"/>
        <v>0</v>
      </c>
      <c r="F31" s="9">
        <f t="shared" si="1"/>
        <v>0</v>
      </c>
    </row>
    <row r="32" spans="1:6" x14ac:dyDescent="0.25">
      <c r="A32" s="9" t="s">
        <v>0</v>
      </c>
      <c r="B32" s="11">
        <v>8552</v>
      </c>
      <c r="C32" s="12">
        <f t="shared" si="0"/>
        <v>6.1487603305785121E-2</v>
      </c>
      <c r="E32" s="9">
        <f t="shared" si="1"/>
        <v>1</v>
      </c>
      <c r="F32" s="9">
        <f t="shared" si="1"/>
        <v>0</v>
      </c>
    </row>
    <row r="33" spans="1:6" x14ac:dyDescent="0.25">
      <c r="A33" s="9" t="s">
        <v>0</v>
      </c>
      <c r="B33" s="11">
        <v>8582</v>
      </c>
      <c r="C33" s="12">
        <f t="shared" si="0"/>
        <v>5.9504132231404959E-2</v>
      </c>
      <c r="E33" s="9">
        <f t="shared" si="1"/>
        <v>0</v>
      </c>
      <c r="F33" s="9">
        <f t="shared" si="1"/>
        <v>0</v>
      </c>
    </row>
    <row r="34" spans="1:6" x14ac:dyDescent="0.25">
      <c r="A34" s="9" t="s">
        <v>0</v>
      </c>
      <c r="B34" s="11">
        <v>8613</v>
      </c>
      <c r="C34" s="12">
        <f t="shared" si="0"/>
        <v>6.1487603305785121E-2</v>
      </c>
      <c r="E34" s="9">
        <f t="shared" si="1"/>
        <v>0</v>
      </c>
      <c r="F34" s="9">
        <f t="shared" si="1"/>
        <v>0</v>
      </c>
    </row>
    <row r="35" spans="1:6" x14ac:dyDescent="0.25">
      <c r="A35" s="9" t="s">
        <v>0</v>
      </c>
      <c r="B35" s="11">
        <v>8644</v>
      </c>
      <c r="C35" s="12">
        <f t="shared" si="0"/>
        <v>6.1487603305785121E-2</v>
      </c>
      <c r="E35" s="9">
        <f t="shared" si="1"/>
        <v>0</v>
      </c>
      <c r="F35" s="9">
        <f t="shared" si="1"/>
        <v>0</v>
      </c>
    </row>
    <row r="36" spans="1:6" x14ac:dyDescent="0.25">
      <c r="A36" s="9" t="s">
        <v>0</v>
      </c>
      <c r="B36" s="11">
        <v>8674</v>
      </c>
      <c r="C36" s="12">
        <f t="shared" si="0"/>
        <v>5.9504132231404959E-2</v>
      </c>
      <c r="E36" s="9">
        <f t="shared" si="1"/>
        <v>0</v>
      </c>
      <c r="F36" s="9">
        <f t="shared" si="1"/>
        <v>1</v>
      </c>
    </row>
    <row r="37" spans="1:6" x14ac:dyDescent="0.25">
      <c r="A37" s="9" t="s">
        <v>0</v>
      </c>
      <c r="B37" s="11">
        <v>8705</v>
      </c>
      <c r="C37" s="12">
        <f t="shared" si="0"/>
        <v>6.1487603305785121E-2</v>
      </c>
      <c r="E37" s="9">
        <f t="shared" si="1"/>
        <v>0</v>
      </c>
      <c r="F37" s="9">
        <f t="shared" si="1"/>
        <v>0</v>
      </c>
    </row>
    <row r="38" spans="1:6" x14ac:dyDescent="0.25">
      <c r="A38" s="9" t="s">
        <v>0</v>
      </c>
      <c r="B38" s="11">
        <v>8735</v>
      </c>
      <c r="C38" s="12">
        <f t="shared" si="0"/>
        <v>5.9504132231404959E-2</v>
      </c>
      <c r="E38" s="9">
        <f t="shared" si="1"/>
        <v>0</v>
      </c>
      <c r="F38" s="9">
        <f t="shared" si="1"/>
        <v>0</v>
      </c>
    </row>
    <row r="39" spans="1:6" x14ac:dyDescent="0.25">
      <c r="A39" s="9" t="s">
        <v>0</v>
      </c>
      <c r="B39" s="11">
        <v>8766</v>
      </c>
      <c r="C39" s="12">
        <f t="shared" si="0"/>
        <v>6.1487603305785121E-2</v>
      </c>
      <c r="E39" s="9">
        <f t="shared" si="1"/>
        <v>0</v>
      </c>
      <c r="F39" s="9">
        <f t="shared" si="1"/>
        <v>0</v>
      </c>
    </row>
    <row r="40" spans="1:6" x14ac:dyDescent="0.25">
      <c r="A40" s="9" t="s">
        <v>0</v>
      </c>
      <c r="B40" s="11">
        <v>8797</v>
      </c>
      <c r="C40" s="12">
        <f t="shared" si="0"/>
        <v>6.1487603305785121E-2</v>
      </c>
      <c r="E40" s="9">
        <f t="shared" si="1"/>
        <v>0</v>
      </c>
      <c r="F40" s="9">
        <f t="shared" si="1"/>
        <v>0</v>
      </c>
    </row>
    <row r="41" spans="1:6" x14ac:dyDescent="0.25">
      <c r="A41" s="9" t="s">
        <v>0</v>
      </c>
      <c r="B41" s="11">
        <v>8826</v>
      </c>
      <c r="C41" s="12">
        <f t="shared" si="0"/>
        <v>5.752066115702479E-2</v>
      </c>
      <c r="E41" s="9">
        <f t="shared" si="1"/>
        <v>0</v>
      </c>
      <c r="F41" s="9">
        <f t="shared" si="1"/>
        <v>0</v>
      </c>
    </row>
    <row r="42" spans="1:6" x14ac:dyDescent="0.25">
      <c r="A42" s="9" t="s">
        <v>0</v>
      </c>
      <c r="B42" s="11">
        <v>8857</v>
      </c>
      <c r="C42" s="12">
        <f t="shared" si="0"/>
        <v>6.1487603305785121E-2</v>
      </c>
      <c r="E42" s="9">
        <f t="shared" ref="E42:F57" si="2">E30</f>
        <v>0</v>
      </c>
      <c r="F42" s="9">
        <f t="shared" si="2"/>
        <v>0</v>
      </c>
    </row>
    <row r="43" spans="1:6" x14ac:dyDescent="0.25">
      <c r="A43" s="9" t="s">
        <v>0</v>
      </c>
      <c r="B43" s="11">
        <v>8887</v>
      </c>
      <c r="C43" s="12">
        <f t="shared" si="0"/>
        <v>5.9504132231404959E-2</v>
      </c>
      <c r="E43" s="9">
        <f t="shared" si="2"/>
        <v>0</v>
      </c>
      <c r="F43" s="9">
        <f t="shared" si="2"/>
        <v>0</v>
      </c>
    </row>
    <row r="44" spans="1:6" x14ac:dyDescent="0.25">
      <c r="A44" s="9" t="s">
        <v>0</v>
      </c>
      <c r="B44" s="11">
        <v>8918</v>
      </c>
      <c r="C44" s="12">
        <f t="shared" si="0"/>
        <v>6.1487603305785121E-2</v>
      </c>
      <c r="E44" s="9">
        <f t="shared" si="2"/>
        <v>1</v>
      </c>
      <c r="F44" s="9">
        <f t="shared" si="2"/>
        <v>0</v>
      </c>
    </row>
    <row r="45" spans="1:6" x14ac:dyDescent="0.25">
      <c r="A45" s="9" t="s">
        <v>0</v>
      </c>
      <c r="B45" s="11">
        <v>8948</v>
      </c>
      <c r="C45" s="12">
        <f t="shared" si="0"/>
        <v>5.9504132231404959E-2</v>
      </c>
      <c r="E45" s="9">
        <f t="shared" si="2"/>
        <v>0</v>
      </c>
      <c r="F45" s="9">
        <f t="shared" si="2"/>
        <v>0</v>
      </c>
    </row>
    <row r="46" spans="1:6" x14ac:dyDescent="0.25">
      <c r="A46" s="9" t="s">
        <v>0</v>
      </c>
      <c r="B46" s="11">
        <v>8979</v>
      </c>
      <c r="C46" s="12">
        <f t="shared" si="0"/>
        <v>6.1487603305785121E-2</v>
      </c>
      <c r="E46" s="9">
        <f t="shared" si="2"/>
        <v>0</v>
      </c>
      <c r="F46" s="9">
        <f t="shared" si="2"/>
        <v>0</v>
      </c>
    </row>
    <row r="47" spans="1:6" x14ac:dyDescent="0.25">
      <c r="A47" s="9" t="s">
        <v>0</v>
      </c>
      <c r="B47" s="11">
        <v>9010</v>
      </c>
      <c r="C47" s="12">
        <f t="shared" si="0"/>
        <v>6.1487603305785121E-2</v>
      </c>
      <c r="E47" s="9">
        <f t="shared" si="2"/>
        <v>0</v>
      </c>
      <c r="F47" s="9">
        <f t="shared" si="2"/>
        <v>0</v>
      </c>
    </row>
    <row r="48" spans="1:6" x14ac:dyDescent="0.25">
      <c r="A48" s="9" t="s">
        <v>0</v>
      </c>
      <c r="B48" s="11">
        <v>9040</v>
      </c>
      <c r="C48" s="12">
        <f t="shared" si="0"/>
        <v>5.9504132231404959E-2</v>
      </c>
      <c r="E48" s="9">
        <f t="shared" si="2"/>
        <v>0</v>
      </c>
      <c r="F48" s="9">
        <f t="shared" si="2"/>
        <v>1</v>
      </c>
    </row>
    <row r="49" spans="1:6" x14ac:dyDescent="0.25">
      <c r="A49" s="9" t="s">
        <v>0</v>
      </c>
      <c r="B49" s="11">
        <v>9071</v>
      </c>
      <c r="C49" s="12">
        <f t="shared" si="0"/>
        <v>6.1487603305785121E-2</v>
      </c>
      <c r="E49" s="9">
        <f t="shared" si="2"/>
        <v>0</v>
      </c>
      <c r="F49" s="9">
        <f t="shared" si="2"/>
        <v>0</v>
      </c>
    </row>
    <row r="50" spans="1:6" x14ac:dyDescent="0.25">
      <c r="A50" s="9" t="s">
        <v>0</v>
      </c>
      <c r="B50" s="11">
        <v>9101</v>
      </c>
      <c r="C50" s="12">
        <f t="shared" si="0"/>
        <v>5.9504132231404959E-2</v>
      </c>
      <c r="E50" s="9">
        <f t="shared" si="2"/>
        <v>0</v>
      </c>
      <c r="F50" s="9">
        <f t="shared" si="2"/>
        <v>0</v>
      </c>
    </row>
    <row r="51" spans="1:6" x14ac:dyDescent="0.25">
      <c r="A51" s="9" t="s">
        <v>0</v>
      </c>
      <c r="B51" s="11">
        <v>9132</v>
      </c>
      <c r="C51" s="12">
        <f t="shared" si="0"/>
        <v>6.1487603305785121E-2</v>
      </c>
      <c r="E51" s="9">
        <f t="shared" si="2"/>
        <v>0</v>
      </c>
      <c r="F51" s="9">
        <f t="shared" si="2"/>
        <v>0</v>
      </c>
    </row>
    <row r="52" spans="1:6" x14ac:dyDescent="0.25">
      <c r="A52" s="9" t="s">
        <v>0</v>
      </c>
      <c r="B52" s="11">
        <v>9163</v>
      </c>
      <c r="C52" s="12">
        <f t="shared" si="0"/>
        <v>6.1487603305785121E-2</v>
      </c>
      <c r="E52" s="9">
        <f t="shared" si="2"/>
        <v>0</v>
      </c>
      <c r="F52" s="9">
        <f t="shared" si="2"/>
        <v>0</v>
      </c>
    </row>
    <row r="53" spans="1:6" x14ac:dyDescent="0.25">
      <c r="A53" s="9" t="s">
        <v>0</v>
      </c>
      <c r="B53" s="11">
        <v>9191</v>
      </c>
      <c r="C53" s="12">
        <f t="shared" si="0"/>
        <v>5.5537190082644627E-2</v>
      </c>
      <c r="E53" s="9">
        <f t="shared" si="2"/>
        <v>0</v>
      </c>
      <c r="F53" s="9">
        <f t="shared" si="2"/>
        <v>0</v>
      </c>
    </row>
    <row r="54" spans="1:6" x14ac:dyDescent="0.25">
      <c r="A54" s="9" t="s">
        <v>0</v>
      </c>
      <c r="B54" s="11">
        <v>9222</v>
      </c>
      <c r="C54" s="12">
        <f t="shared" si="0"/>
        <v>6.1487603305785121E-2</v>
      </c>
      <c r="E54" s="9">
        <f t="shared" si="2"/>
        <v>0</v>
      </c>
      <c r="F54" s="9">
        <f t="shared" si="2"/>
        <v>0</v>
      </c>
    </row>
    <row r="55" spans="1:6" x14ac:dyDescent="0.25">
      <c r="A55" s="9" t="s">
        <v>0</v>
      </c>
      <c r="B55" s="11">
        <v>9252</v>
      </c>
      <c r="C55" s="12">
        <f t="shared" si="0"/>
        <v>5.9504132231404959E-2</v>
      </c>
      <c r="E55" s="9">
        <f t="shared" si="2"/>
        <v>0</v>
      </c>
      <c r="F55" s="9">
        <f t="shared" si="2"/>
        <v>0</v>
      </c>
    </row>
    <row r="56" spans="1:6" x14ac:dyDescent="0.25">
      <c r="A56" s="9" t="s">
        <v>0</v>
      </c>
      <c r="B56" s="11">
        <v>9283</v>
      </c>
      <c r="C56" s="12">
        <f t="shared" si="0"/>
        <v>6.1487603305785121E-2</v>
      </c>
      <c r="E56" s="9">
        <f t="shared" si="2"/>
        <v>1</v>
      </c>
      <c r="F56" s="9">
        <f t="shared" si="2"/>
        <v>0</v>
      </c>
    </row>
    <row r="57" spans="1:6" x14ac:dyDescent="0.25">
      <c r="A57" s="9" t="s">
        <v>0</v>
      </c>
      <c r="B57" s="11">
        <v>9313</v>
      </c>
      <c r="C57" s="12">
        <f t="shared" si="0"/>
        <v>5.9504132231404959E-2</v>
      </c>
      <c r="E57" s="9">
        <f t="shared" si="2"/>
        <v>0</v>
      </c>
      <c r="F57" s="9">
        <f t="shared" si="2"/>
        <v>0</v>
      </c>
    </row>
    <row r="58" spans="1:6" x14ac:dyDescent="0.25">
      <c r="A58" s="9" t="s">
        <v>0</v>
      </c>
      <c r="B58" s="11">
        <v>9344</v>
      </c>
      <c r="C58" s="12">
        <f t="shared" si="0"/>
        <v>6.1487603305785121E-2</v>
      </c>
      <c r="E58" s="9">
        <f t="shared" ref="E58:F73" si="3">E46</f>
        <v>0</v>
      </c>
      <c r="F58" s="9">
        <f t="shared" si="3"/>
        <v>0</v>
      </c>
    </row>
    <row r="59" spans="1:6" x14ac:dyDescent="0.25">
      <c r="A59" s="9" t="s">
        <v>0</v>
      </c>
      <c r="B59" s="11">
        <v>9375</v>
      </c>
      <c r="C59" s="12">
        <f t="shared" si="0"/>
        <v>6.1487603305785121E-2</v>
      </c>
      <c r="E59" s="9">
        <f t="shared" si="3"/>
        <v>0</v>
      </c>
      <c r="F59" s="9">
        <f t="shared" si="3"/>
        <v>0</v>
      </c>
    </row>
    <row r="60" spans="1:6" x14ac:dyDescent="0.25">
      <c r="A60" s="9" t="s">
        <v>0</v>
      </c>
      <c r="B60" s="11">
        <v>9405</v>
      </c>
      <c r="C60" s="12">
        <f t="shared" si="0"/>
        <v>5.9504132231404959E-2</v>
      </c>
      <c r="E60" s="9">
        <f t="shared" si="3"/>
        <v>0</v>
      </c>
      <c r="F60" s="9">
        <f t="shared" si="3"/>
        <v>1</v>
      </c>
    </row>
    <row r="61" spans="1:6" x14ac:dyDescent="0.25">
      <c r="A61" s="9" t="s">
        <v>0</v>
      </c>
      <c r="B61" s="11">
        <v>9436</v>
      </c>
      <c r="C61" s="12">
        <f t="shared" si="0"/>
        <v>6.1487603305785121E-2</v>
      </c>
      <c r="E61" s="9">
        <f t="shared" si="3"/>
        <v>0</v>
      </c>
      <c r="F61" s="9">
        <f t="shared" si="3"/>
        <v>0</v>
      </c>
    </row>
    <row r="62" spans="1:6" x14ac:dyDescent="0.25">
      <c r="A62" s="9" t="s">
        <v>0</v>
      </c>
      <c r="B62" s="11">
        <v>9466</v>
      </c>
      <c r="C62" s="12">
        <f t="shared" si="0"/>
        <v>5.9504132231404959E-2</v>
      </c>
      <c r="E62" s="9">
        <f t="shared" si="3"/>
        <v>0</v>
      </c>
      <c r="F62" s="9">
        <f t="shared" si="3"/>
        <v>0</v>
      </c>
    </row>
    <row r="63" spans="1:6" x14ac:dyDescent="0.25">
      <c r="A63" s="9" t="s">
        <v>0</v>
      </c>
      <c r="B63" s="11">
        <v>9497</v>
      </c>
      <c r="C63" s="12">
        <f t="shared" si="0"/>
        <v>6.1487603305785121E-2</v>
      </c>
      <c r="E63" s="9">
        <f t="shared" si="3"/>
        <v>0</v>
      </c>
      <c r="F63" s="9">
        <f t="shared" si="3"/>
        <v>0</v>
      </c>
    </row>
    <row r="64" spans="1:6" x14ac:dyDescent="0.25">
      <c r="A64" s="9" t="s">
        <v>0</v>
      </c>
      <c r="B64" s="11">
        <v>9528</v>
      </c>
      <c r="C64" s="12">
        <f t="shared" si="0"/>
        <v>6.1487603305785121E-2</v>
      </c>
      <c r="E64" s="9">
        <f t="shared" si="3"/>
        <v>0</v>
      </c>
      <c r="F64" s="9">
        <f t="shared" si="3"/>
        <v>0</v>
      </c>
    </row>
    <row r="65" spans="1:6" x14ac:dyDescent="0.25">
      <c r="A65" s="9" t="s">
        <v>0</v>
      </c>
      <c r="B65" s="11">
        <v>9556</v>
      </c>
      <c r="C65" s="12">
        <f t="shared" si="0"/>
        <v>5.5537190082644627E-2</v>
      </c>
      <c r="E65" s="9">
        <f t="shared" si="3"/>
        <v>0</v>
      </c>
      <c r="F65" s="9">
        <f t="shared" si="3"/>
        <v>0</v>
      </c>
    </row>
    <row r="66" spans="1:6" x14ac:dyDescent="0.25">
      <c r="A66" s="9" t="s">
        <v>0</v>
      </c>
      <c r="B66" s="11">
        <v>9587</v>
      </c>
      <c r="C66" s="12">
        <f t="shared" si="0"/>
        <v>6.1487603305785121E-2</v>
      </c>
      <c r="E66" s="9">
        <f t="shared" si="3"/>
        <v>0</v>
      </c>
      <c r="F66" s="9">
        <f t="shared" si="3"/>
        <v>0</v>
      </c>
    </row>
    <row r="67" spans="1:6" x14ac:dyDescent="0.25">
      <c r="A67" s="9" t="s">
        <v>0</v>
      </c>
      <c r="B67" s="11">
        <v>9617</v>
      </c>
      <c r="C67" s="12">
        <f t="shared" si="0"/>
        <v>5.9504132231404959E-2</v>
      </c>
      <c r="E67" s="9">
        <f t="shared" si="3"/>
        <v>0</v>
      </c>
      <c r="F67" s="9">
        <f t="shared" si="3"/>
        <v>0</v>
      </c>
    </row>
    <row r="68" spans="1:6" x14ac:dyDescent="0.25">
      <c r="A68" s="9" t="s">
        <v>0</v>
      </c>
      <c r="B68" s="11">
        <v>9648</v>
      </c>
      <c r="C68" s="12">
        <f t="shared" si="0"/>
        <v>6.1487603305785121E-2</v>
      </c>
      <c r="E68" s="9">
        <f t="shared" si="3"/>
        <v>1</v>
      </c>
      <c r="F68" s="9">
        <f t="shared" si="3"/>
        <v>0</v>
      </c>
    </row>
    <row r="69" spans="1:6" x14ac:dyDescent="0.25">
      <c r="A69" s="9" t="s">
        <v>0</v>
      </c>
      <c r="B69" s="11">
        <v>9678</v>
      </c>
      <c r="C69" s="12">
        <f t="shared" si="0"/>
        <v>5.9504132231404959E-2</v>
      </c>
      <c r="E69" s="9">
        <f t="shared" si="3"/>
        <v>0</v>
      </c>
      <c r="F69" s="9">
        <f t="shared" si="3"/>
        <v>0</v>
      </c>
    </row>
    <row r="70" spans="1:6" x14ac:dyDescent="0.25">
      <c r="A70" s="9" t="s">
        <v>0</v>
      </c>
      <c r="B70" s="11">
        <v>9709</v>
      </c>
      <c r="C70" s="12">
        <f t="shared" si="0"/>
        <v>6.1487603305785121E-2</v>
      </c>
      <c r="E70" s="9">
        <f t="shared" si="3"/>
        <v>0</v>
      </c>
      <c r="F70" s="9">
        <f t="shared" si="3"/>
        <v>0</v>
      </c>
    </row>
    <row r="71" spans="1:6" x14ac:dyDescent="0.25">
      <c r="A71" s="9" t="s">
        <v>0</v>
      </c>
      <c r="B71" s="11">
        <v>9740</v>
      </c>
      <c r="C71" s="12">
        <f t="shared" si="0"/>
        <v>6.1487603305785121E-2</v>
      </c>
      <c r="E71" s="9">
        <f t="shared" si="3"/>
        <v>0</v>
      </c>
      <c r="F71" s="9">
        <f t="shared" si="3"/>
        <v>0</v>
      </c>
    </row>
    <row r="72" spans="1:6" x14ac:dyDescent="0.25">
      <c r="A72" s="9" t="s">
        <v>0</v>
      </c>
      <c r="B72" s="11">
        <v>9770</v>
      </c>
      <c r="C72" s="12">
        <f t="shared" si="0"/>
        <v>5.9504132231404959E-2</v>
      </c>
      <c r="E72" s="9">
        <f t="shared" si="3"/>
        <v>0</v>
      </c>
      <c r="F72" s="9">
        <f t="shared" si="3"/>
        <v>1</v>
      </c>
    </row>
    <row r="73" spans="1:6" x14ac:dyDescent="0.25">
      <c r="A73" s="9" t="s">
        <v>0</v>
      </c>
      <c r="B73" s="11">
        <v>9801</v>
      </c>
      <c r="C73" s="12">
        <f t="shared" si="0"/>
        <v>6.1487603305785121E-2</v>
      </c>
      <c r="E73" s="9">
        <f t="shared" si="3"/>
        <v>0</v>
      </c>
      <c r="F73" s="9">
        <f t="shared" si="3"/>
        <v>0</v>
      </c>
    </row>
    <row r="74" spans="1:6" x14ac:dyDescent="0.25">
      <c r="A74" s="9" t="s">
        <v>0</v>
      </c>
      <c r="B74" s="11">
        <v>9831</v>
      </c>
      <c r="C74" s="12">
        <f t="shared" si="0"/>
        <v>5.9504132231404959E-2</v>
      </c>
      <c r="E74" s="9">
        <f t="shared" ref="E74:F89" si="4">E62</f>
        <v>0</v>
      </c>
      <c r="F74" s="9">
        <f t="shared" si="4"/>
        <v>0</v>
      </c>
    </row>
    <row r="75" spans="1:6" x14ac:dyDescent="0.25">
      <c r="A75" s="9" t="s">
        <v>0</v>
      </c>
      <c r="B75" s="11">
        <v>9862</v>
      </c>
      <c r="C75" s="12">
        <f t="shared" si="0"/>
        <v>6.1487603305785121E-2</v>
      </c>
      <c r="E75" s="9">
        <f t="shared" si="4"/>
        <v>0</v>
      </c>
      <c r="F75" s="9">
        <f t="shared" si="4"/>
        <v>0</v>
      </c>
    </row>
    <row r="76" spans="1:6" x14ac:dyDescent="0.25">
      <c r="A76" s="9" t="s">
        <v>0</v>
      </c>
      <c r="B76" s="11">
        <v>9893</v>
      </c>
      <c r="C76" s="12">
        <f t="shared" si="0"/>
        <v>6.1487603305785121E-2</v>
      </c>
      <c r="E76" s="9">
        <f t="shared" si="4"/>
        <v>0</v>
      </c>
      <c r="F76" s="9">
        <f t="shared" si="4"/>
        <v>0</v>
      </c>
    </row>
    <row r="77" spans="1:6" x14ac:dyDescent="0.25">
      <c r="A77" s="9" t="s">
        <v>0</v>
      </c>
      <c r="B77" s="11">
        <v>9921</v>
      </c>
      <c r="C77" s="12">
        <f t="shared" si="0"/>
        <v>5.5537190082644627E-2</v>
      </c>
      <c r="E77" s="9">
        <f t="shared" si="4"/>
        <v>0</v>
      </c>
      <c r="F77" s="9">
        <f t="shared" si="4"/>
        <v>0</v>
      </c>
    </row>
    <row r="78" spans="1:6" x14ac:dyDescent="0.25">
      <c r="A78" s="9" t="s">
        <v>0</v>
      </c>
      <c r="B78" s="11">
        <v>9952</v>
      </c>
      <c r="C78" s="12">
        <f t="shared" ref="C78:C141" si="5">(B78-B77)*86400/43560/1000</f>
        <v>6.1487603305785121E-2</v>
      </c>
      <c r="E78" s="9">
        <f t="shared" si="4"/>
        <v>0</v>
      </c>
      <c r="F78" s="9">
        <f t="shared" si="4"/>
        <v>0</v>
      </c>
    </row>
    <row r="79" spans="1:6" x14ac:dyDescent="0.25">
      <c r="A79" s="9" t="s">
        <v>0</v>
      </c>
      <c r="B79" s="11">
        <v>9982</v>
      </c>
      <c r="C79" s="12">
        <f t="shared" si="5"/>
        <v>5.9504132231404959E-2</v>
      </c>
      <c r="E79" s="9">
        <f t="shared" si="4"/>
        <v>0</v>
      </c>
      <c r="F79" s="9">
        <f t="shared" si="4"/>
        <v>0</v>
      </c>
    </row>
    <row r="80" spans="1:6" x14ac:dyDescent="0.25">
      <c r="A80" s="9" t="s">
        <v>0</v>
      </c>
      <c r="B80" s="11">
        <v>10013</v>
      </c>
      <c r="C80" s="12">
        <f t="shared" si="5"/>
        <v>6.1487603305785121E-2</v>
      </c>
      <c r="E80" s="9">
        <f t="shared" si="4"/>
        <v>1</v>
      </c>
      <c r="F80" s="9">
        <f t="shared" si="4"/>
        <v>0</v>
      </c>
    </row>
    <row r="81" spans="1:6" x14ac:dyDescent="0.25">
      <c r="A81" s="9" t="s">
        <v>0</v>
      </c>
      <c r="B81" s="11">
        <v>10043</v>
      </c>
      <c r="C81" s="12">
        <f t="shared" si="5"/>
        <v>5.9504132231404959E-2</v>
      </c>
      <c r="E81" s="9">
        <f t="shared" si="4"/>
        <v>0</v>
      </c>
      <c r="F81" s="9">
        <f t="shared" si="4"/>
        <v>0</v>
      </c>
    </row>
    <row r="82" spans="1:6" x14ac:dyDescent="0.25">
      <c r="A82" s="9" t="s">
        <v>0</v>
      </c>
      <c r="B82" s="11">
        <v>10074</v>
      </c>
      <c r="C82" s="12">
        <f t="shared" si="5"/>
        <v>6.1487603305785121E-2</v>
      </c>
      <c r="E82" s="9">
        <f t="shared" si="4"/>
        <v>0</v>
      </c>
      <c r="F82" s="9">
        <f t="shared" si="4"/>
        <v>0</v>
      </c>
    </row>
    <row r="83" spans="1:6" x14ac:dyDescent="0.25">
      <c r="A83" s="9" t="s">
        <v>0</v>
      </c>
      <c r="B83" s="11">
        <v>10105</v>
      </c>
      <c r="C83" s="12">
        <f t="shared" si="5"/>
        <v>6.1487603305785121E-2</v>
      </c>
      <c r="E83" s="9">
        <f t="shared" si="4"/>
        <v>0</v>
      </c>
      <c r="F83" s="9">
        <f t="shared" si="4"/>
        <v>0</v>
      </c>
    </row>
    <row r="84" spans="1:6" x14ac:dyDescent="0.25">
      <c r="A84" s="9" t="s">
        <v>0</v>
      </c>
      <c r="B84" s="11">
        <v>10135</v>
      </c>
      <c r="C84" s="12">
        <f t="shared" si="5"/>
        <v>5.9504132231404959E-2</v>
      </c>
      <c r="E84" s="9">
        <f t="shared" si="4"/>
        <v>0</v>
      </c>
      <c r="F84" s="9">
        <f t="shared" si="4"/>
        <v>1</v>
      </c>
    </row>
    <row r="85" spans="1:6" x14ac:dyDescent="0.25">
      <c r="A85" s="9" t="s">
        <v>0</v>
      </c>
      <c r="B85" s="11">
        <v>10166</v>
      </c>
      <c r="C85" s="12">
        <f t="shared" si="5"/>
        <v>6.1487603305785121E-2</v>
      </c>
      <c r="E85" s="9">
        <f t="shared" si="4"/>
        <v>0</v>
      </c>
      <c r="F85" s="9">
        <f t="shared" si="4"/>
        <v>0</v>
      </c>
    </row>
    <row r="86" spans="1:6" x14ac:dyDescent="0.25">
      <c r="A86" s="9" t="s">
        <v>0</v>
      </c>
      <c r="B86" s="11">
        <v>10196</v>
      </c>
      <c r="C86" s="12">
        <f t="shared" si="5"/>
        <v>5.9504132231404959E-2</v>
      </c>
      <c r="E86" s="9">
        <f t="shared" si="4"/>
        <v>0</v>
      </c>
      <c r="F86" s="9">
        <f t="shared" si="4"/>
        <v>0</v>
      </c>
    </row>
    <row r="87" spans="1:6" x14ac:dyDescent="0.25">
      <c r="A87" s="9" t="s">
        <v>0</v>
      </c>
      <c r="B87" s="11">
        <v>10227</v>
      </c>
      <c r="C87" s="12">
        <f t="shared" si="5"/>
        <v>6.1487603305785121E-2</v>
      </c>
      <c r="E87" s="9">
        <f t="shared" si="4"/>
        <v>0</v>
      </c>
      <c r="F87" s="9">
        <f t="shared" si="4"/>
        <v>0</v>
      </c>
    </row>
    <row r="88" spans="1:6" x14ac:dyDescent="0.25">
      <c r="A88" s="9" t="s">
        <v>0</v>
      </c>
      <c r="B88" s="11">
        <v>10258</v>
      </c>
      <c r="C88" s="12">
        <f t="shared" si="5"/>
        <v>6.1487603305785121E-2</v>
      </c>
      <c r="E88" s="9">
        <f t="shared" si="4"/>
        <v>0</v>
      </c>
      <c r="F88" s="9">
        <f t="shared" si="4"/>
        <v>0</v>
      </c>
    </row>
    <row r="89" spans="1:6" x14ac:dyDescent="0.25">
      <c r="A89" s="9" t="s">
        <v>0</v>
      </c>
      <c r="B89" s="11">
        <v>10287</v>
      </c>
      <c r="C89" s="12">
        <f t="shared" si="5"/>
        <v>5.752066115702479E-2</v>
      </c>
      <c r="E89" s="9">
        <f t="shared" si="4"/>
        <v>0</v>
      </c>
      <c r="F89" s="9">
        <f t="shared" si="4"/>
        <v>0</v>
      </c>
    </row>
    <row r="90" spans="1:6" x14ac:dyDescent="0.25">
      <c r="A90" s="9" t="s">
        <v>0</v>
      </c>
      <c r="B90" s="11">
        <v>10318</v>
      </c>
      <c r="C90" s="12">
        <f t="shared" si="5"/>
        <v>6.1487603305785121E-2</v>
      </c>
      <c r="E90" s="9">
        <f t="shared" ref="E90:F105" si="6">E78</f>
        <v>0</v>
      </c>
      <c r="F90" s="9">
        <f t="shared" si="6"/>
        <v>0</v>
      </c>
    </row>
    <row r="91" spans="1:6" x14ac:dyDescent="0.25">
      <c r="A91" s="9" t="s">
        <v>0</v>
      </c>
      <c r="B91" s="11">
        <v>10348</v>
      </c>
      <c r="C91" s="12">
        <f t="shared" si="5"/>
        <v>5.9504132231404959E-2</v>
      </c>
      <c r="E91" s="9">
        <f t="shared" si="6"/>
        <v>0</v>
      </c>
      <c r="F91" s="9">
        <f t="shared" si="6"/>
        <v>0</v>
      </c>
    </row>
    <row r="92" spans="1:6" x14ac:dyDescent="0.25">
      <c r="A92" s="9" t="s">
        <v>0</v>
      </c>
      <c r="B92" s="11">
        <v>10379</v>
      </c>
      <c r="C92" s="12">
        <f t="shared" si="5"/>
        <v>6.1487603305785121E-2</v>
      </c>
      <c r="E92" s="9">
        <f t="shared" si="6"/>
        <v>1</v>
      </c>
      <c r="F92" s="9">
        <f t="shared" si="6"/>
        <v>0</v>
      </c>
    </row>
    <row r="93" spans="1:6" x14ac:dyDescent="0.25">
      <c r="A93" s="9" t="s">
        <v>0</v>
      </c>
      <c r="B93" s="11">
        <v>10409</v>
      </c>
      <c r="C93" s="12">
        <f t="shared" si="5"/>
        <v>5.9504132231404959E-2</v>
      </c>
      <c r="E93" s="9">
        <f t="shared" si="6"/>
        <v>0</v>
      </c>
      <c r="F93" s="9">
        <f t="shared" si="6"/>
        <v>0</v>
      </c>
    </row>
    <row r="94" spans="1:6" x14ac:dyDescent="0.25">
      <c r="A94" s="9" t="s">
        <v>0</v>
      </c>
      <c r="B94" s="11">
        <v>10440</v>
      </c>
      <c r="C94" s="12">
        <f t="shared" si="5"/>
        <v>6.1487603305785121E-2</v>
      </c>
      <c r="E94" s="9">
        <f t="shared" si="6"/>
        <v>0</v>
      </c>
      <c r="F94" s="9">
        <f t="shared" si="6"/>
        <v>0</v>
      </c>
    </row>
    <row r="95" spans="1:6" x14ac:dyDescent="0.25">
      <c r="A95" s="9" t="s">
        <v>0</v>
      </c>
      <c r="B95" s="11">
        <v>10471</v>
      </c>
      <c r="C95" s="12">
        <f t="shared" si="5"/>
        <v>6.1487603305785121E-2</v>
      </c>
      <c r="E95" s="9">
        <f t="shared" si="6"/>
        <v>0</v>
      </c>
      <c r="F95" s="9">
        <f t="shared" si="6"/>
        <v>0</v>
      </c>
    </row>
    <row r="96" spans="1:6" x14ac:dyDescent="0.25">
      <c r="A96" s="9" t="s">
        <v>0</v>
      </c>
      <c r="B96" s="11">
        <v>10501</v>
      </c>
      <c r="C96" s="12">
        <f t="shared" si="5"/>
        <v>5.9504132231404959E-2</v>
      </c>
      <c r="E96" s="9">
        <f t="shared" si="6"/>
        <v>0</v>
      </c>
      <c r="F96" s="9">
        <f t="shared" si="6"/>
        <v>1</v>
      </c>
    </row>
    <row r="97" spans="1:6" x14ac:dyDescent="0.25">
      <c r="A97" s="9" t="s">
        <v>0</v>
      </c>
      <c r="B97" s="11">
        <v>10532</v>
      </c>
      <c r="C97" s="12">
        <f t="shared" si="5"/>
        <v>6.1487603305785121E-2</v>
      </c>
      <c r="E97" s="9">
        <f t="shared" si="6"/>
        <v>0</v>
      </c>
      <c r="F97" s="9">
        <f t="shared" si="6"/>
        <v>0</v>
      </c>
    </row>
    <row r="98" spans="1:6" x14ac:dyDescent="0.25">
      <c r="A98" s="9" t="s">
        <v>0</v>
      </c>
      <c r="B98" s="11">
        <v>10562</v>
      </c>
      <c r="C98" s="12">
        <f t="shared" si="5"/>
        <v>5.9504132231404959E-2</v>
      </c>
      <c r="E98" s="9">
        <f t="shared" si="6"/>
        <v>0</v>
      </c>
      <c r="F98" s="9">
        <f t="shared" si="6"/>
        <v>0</v>
      </c>
    </row>
    <row r="99" spans="1:6" x14ac:dyDescent="0.25">
      <c r="A99" s="9" t="s">
        <v>0</v>
      </c>
      <c r="B99" s="11">
        <v>10593</v>
      </c>
      <c r="C99" s="12">
        <f t="shared" si="5"/>
        <v>6.1487603305785121E-2</v>
      </c>
      <c r="E99" s="9">
        <f t="shared" si="6"/>
        <v>0</v>
      </c>
      <c r="F99" s="9">
        <f t="shared" si="6"/>
        <v>0</v>
      </c>
    </row>
    <row r="100" spans="1:6" x14ac:dyDescent="0.25">
      <c r="A100" s="9" t="s">
        <v>0</v>
      </c>
      <c r="B100" s="11">
        <v>10624</v>
      </c>
      <c r="C100" s="12">
        <f t="shared" si="5"/>
        <v>6.1487603305785121E-2</v>
      </c>
      <c r="E100" s="9">
        <f t="shared" si="6"/>
        <v>0</v>
      </c>
      <c r="F100" s="9">
        <f t="shared" si="6"/>
        <v>0</v>
      </c>
    </row>
    <row r="101" spans="1:6" x14ac:dyDescent="0.25">
      <c r="A101" s="9" t="s">
        <v>0</v>
      </c>
      <c r="B101" s="11">
        <v>10652</v>
      </c>
      <c r="C101" s="12">
        <f t="shared" si="5"/>
        <v>5.5537190082644627E-2</v>
      </c>
      <c r="E101" s="9">
        <f t="shared" si="6"/>
        <v>0</v>
      </c>
      <c r="F101" s="9">
        <f t="shared" si="6"/>
        <v>0</v>
      </c>
    </row>
    <row r="102" spans="1:6" x14ac:dyDescent="0.25">
      <c r="A102" s="9" t="s">
        <v>0</v>
      </c>
      <c r="B102" s="11">
        <v>10683</v>
      </c>
      <c r="C102" s="12">
        <f t="shared" si="5"/>
        <v>6.1487603305785121E-2</v>
      </c>
      <c r="E102" s="9">
        <f t="shared" si="6"/>
        <v>0</v>
      </c>
      <c r="F102" s="9">
        <f t="shared" si="6"/>
        <v>0</v>
      </c>
    </row>
    <row r="103" spans="1:6" x14ac:dyDescent="0.25">
      <c r="A103" s="9" t="s">
        <v>0</v>
      </c>
      <c r="B103" s="11">
        <v>10713</v>
      </c>
      <c r="C103" s="12">
        <f t="shared" si="5"/>
        <v>5.9504132231404959E-2</v>
      </c>
      <c r="E103" s="9">
        <f t="shared" si="6"/>
        <v>0</v>
      </c>
      <c r="F103" s="9">
        <f t="shared" si="6"/>
        <v>0</v>
      </c>
    </row>
    <row r="104" spans="1:6" x14ac:dyDescent="0.25">
      <c r="A104" s="9" t="s">
        <v>0</v>
      </c>
      <c r="B104" s="11">
        <v>10744</v>
      </c>
      <c r="C104" s="12">
        <f t="shared" si="5"/>
        <v>6.1487603305785121E-2</v>
      </c>
      <c r="E104" s="9">
        <f t="shared" si="6"/>
        <v>1</v>
      </c>
      <c r="F104" s="9">
        <f t="shared" si="6"/>
        <v>0</v>
      </c>
    </row>
    <row r="105" spans="1:6" x14ac:dyDescent="0.25">
      <c r="A105" s="9" t="s">
        <v>0</v>
      </c>
      <c r="B105" s="11">
        <v>10774</v>
      </c>
      <c r="C105" s="12">
        <f t="shared" si="5"/>
        <v>5.9504132231404959E-2</v>
      </c>
      <c r="E105" s="9">
        <f t="shared" si="6"/>
        <v>0</v>
      </c>
      <c r="F105" s="9">
        <f t="shared" si="6"/>
        <v>0</v>
      </c>
    </row>
    <row r="106" spans="1:6" x14ac:dyDescent="0.25">
      <c r="A106" s="9" t="s">
        <v>0</v>
      </c>
      <c r="B106" s="11">
        <v>10805</v>
      </c>
      <c r="C106" s="12">
        <f t="shared" si="5"/>
        <v>6.1487603305785121E-2</v>
      </c>
      <c r="E106" s="9">
        <f t="shared" ref="E106:F121" si="7">E94</f>
        <v>0</v>
      </c>
      <c r="F106" s="9">
        <f t="shared" si="7"/>
        <v>0</v>
      </c>
    </row>
    <row r="107" spans="1:6" x14ac:dyDescent="0.25">
      <c r="A107" s="9" t="s">
        <v>0</v>
      </c>
      <c r="B107" s="11">
        <v>10836</v>
      </c>
      <c r="C107" s="12">
        <f t="shared" si="5"/>
        <v>6.1487603305785121E-2</v>
      </c>
      <c r="E107" s="9">
        <f t="shared" si="7"/>
        <v>0</v>
      </c>
      <c r="F107" s="9">
        <f t="shared" si="7"/>
        <v>0</v>
      </c>
    </row>
    <row r="108" spans="1:6" x14ac:dyDescent="0.25">
      <c r="A108" s="9" t="s">
        <v>0</v>
      </c>
      <c r="B108" s="11">
        <v>10866</v>
      </c>
      <c r="C108" s="12">
        <f t="shared" si="5"/>
        <v>5.9504132231404959E-2</v>
      </c>
      <c r="E108" s="9">
        <f t="shared" si="7"/>
        <v>0</v>
      </c>
      <c r="F108" s="9">
        <f t="shared" si="7"/>
        <v>1</v>
      </c>
    </row>
    <row r="109" spans="1:6" x14ac:dyDescent="0.25">
      <c r="A109" s="9" t="s">
        <v>0</v>
      </c>
      <c r="B109" s="11">
        <v>10897</v>
      </c>
      <c r="C109" s="12">
        <f t="shared" si="5"/>
        <v>6.1487603305785121E-2</v>
      </c>
      <c r="E109" s="9">
        <f t="shared" si="7"/>
        <v>0</v>
      </c>
      <c r="F109" s="9">
        <f t="shared" si="7"/>
        <v>0</v>
      </c>
    </row>
    <row r="110" spans="1:6" x14ac:dyDescent="0.25">
      <c r="A110" s="9" t="s">
        <v>0</v>
      </c>
      <c r="B110" s="11">
        <v>10927</v>
      </c>
      <c r="C110" s="12">
        <f t="shared" si="5"/>
        <v>5.9504132231404959E-2</v>
      </c>
      <c r="E110" s="9">
        <f t="shared" si="7"/>
        <v>0</v>
      </c>
      <c r="F110" s="9">
        <f t="shared" si="7"/>
        <v>0</v>
      </c>
    </row>
    <row r="111" spans="1:6" x14ac:dyDescent="0.25">
      <c r="A111" s="9" t="s">
        <v>0</v>
      </c>
      <c r="B111" s="11">
        <v>10958</v>
      </c>
      <c r="C111" s="12">
        <f t="shared" si="5"/>
        <v>6.1487603305785121E-2</v>
      </c>
      <c r="E111" s="9">
        <f t="shared" si="7"/>
        <v>0</v>
      </c>
      <c r="F111" s="9">
        <f t="shared" si="7"/>
        <v>0</v>
      </c>
    </row>
    <row r="112" spans="1:6" x14ac:dyDescent="0.25">
      <c r="A112" s="9" t="s">
        <v>0</v>
      </c>
      <c r="B112" s="11">
        <v>10989</v>
      </c>
      <c r="C112" s="12">
        <f t="shared" si="5"/>
        <v>6.1487603305785121E-2</v>
      </c>
      <c r="E112" s="9">
        <f t="shared" si="7"/>
        <v>0</v>
      </c>
      <c r="F112" s="9">
        <f t="shared" si="7"/>
        <v>0</v>
      </c>
    </row>
    <row r="113" spans="1:6" x14ac:dyDescent="0.25">
      <c r="A113" s="9" t="s">
        <v>0</v>
      </c>
      <c r="B113" s="11">
        <v>11017</v>
      </c>
      <c r="C113" s="12">
        <f t="shared" si="5"/>
        <v>5.5537190082644627E-2</v>
      </c>
      <c r="E113" s="9">
        <f t="shared" si="7"/>
        <v>0</v>
      </c>
      <c r="F113" s="9">
        <f t="shared" si="7"/>
        <v>0</v>
      </c>
    </row>
    <row r="114" spans="1:6" x14ac:dyDescent="0.25">
      <c r="A114" s="9" t="s">
        <v>0</v>
      </c>
      <c r="B114" s="11">
        <v>11048</v>
      </c>
      <c r="C114" s="12">
        <f t="shared" si="5"/>
        <v>6.1487603305785121E-2</v>
      </c>
      <c r="E114" s="9">
        <f t="shared" si="7"/>
        <v>0</v>
      </c>
      <c r="F114" s="9">
        <f t="shared" si="7"/>
        <v>0</v>
      </c>
    </row>
    <row r="115" spans="1:6" x14ac:dyDescent="0.25">
      <c r="A115" s="9" t="s">
        <v>0</v>
      </c>
      <c r="B115" s="11">
        <v>11078</v>
      </c>
      <c r="C115" s="12">
        <f t="shared" si="5"/>
        <v>5.9504132231404959E-2</v>
      </c>
      <c r="E115" s="9">
        <f t="shared" si="7"/>
        <v>0</v>
      </c>
      <c r="F115" s="9">
        <f t="shared" si="7"/>
        <v>0</v>
      </c>
    </row>
    <row r="116" spans="1:6" x14ac:dyDescent="0.25">
      <c r="A116" s="9" t="s">
        <v>0</v>
      </c>
      <c r="B116" s="11">
        <v>11109</v>
      </c>
      <c r="C116" s="12">
        <f t="shared" si="5"/>
        <v>6.1487603305785121E-2</v>
      </c>
      <c r="E116" s="9">
        <f t="shared" si="7"/>
        <v>1</v>
      </c>
      <c r="F116" s="9">
        <f t="shared" si="7"/>
        <v>0</v>
      </c>
    </row>
    <row r="117" spans="1:6" x14ac:dyDescent="0.25">
      <c r="A117" s="9" t="s">
        <v>0</v>
      </c>
      <c r="B117" s="11">
        <v>11139</v>
      </c>
      <c r="C117" s="12">
        <f t="shared" si="5"/>
        <v>5.9504132231404959E-2</v>
      </c>
      <c r="E117" s="9">
        <f t="shared" si="7"/>
        <v>0</v>
      </c>
      <c r="F117" s="9">
        <f t="shared" si="7"/>
        <v>0</v>
      </c>
    </row>
    <row r="118" spans="1:6" x14ac:dyDescent="0.25">
      <c r="A118" s="9" t="s">
        <v>0</v>
      </c>
      <c r="B118" s="11">
        <v>11170</v>
      </c>
      <c r="C118" s="12">
        <f t="shared" si="5"/>
        <v>6.1487603305785121E-2</v>
      </c>
      <c r="E118" s="9">
        <f t="shared" si="7"/>
        <v>0</v>
      </c>
      <c r="F118" s="9">
        <f t="shared" si="7"/>
        <v>0</v>
      </c>
    </row>
    <row r="119" spans="1:6" x14ac:dyDescent="0.25">
      <c r="A119" s="9" t="s">
        <v>0</v>
      </c>
      <c r="B119" s="11">
        <v>11201</v>
      </c>
      <c r="C119" s="12">
        <f t="shared" si="5"/>
        <v>6.1487603305785121E-2</v>
      </c>
      <c r="E119" s="9">
        <f t="shared" si="7"/>
        <v>0</v>
      </c>
      <c r="F119" s="9">
        <f t="shared" si="7"/>
        <v>0</v>
      </c>
    </row>
    <row r="120" spans="1:6" x14ac:dyDescent="0.25">
      <c r="A120" s="9" t="s">
        <v>0</v>
      </c>
      <c r="B120" s="11">
        <v>11231</v>
      </c>
      <c r="C120" s="12">
        <f t="shared" si="5"/>
        <v>5.9504132231404959E-2</v>
      </c>
      <c r="E120" s="9">
        <f t="shared" si="7"/>
        <v>0</v>
      </c>
      <c r="F120" s="9">
        <f t="shared" si="7"/>
        <v>1</v>
      </c>
    </row>
    <row r="121" spans="1:6" x14ac:dyDescent="0.25">
      <c r="A121" s="9" t="s">
        <v>0</v>
      </c>
      <c r="B121" s="11">
        <v>11262</v>
      </c>
      <c r="C121" s="12">
        <f t="shared" si="5"/>
        <v>6.1487603305785121E-2</v>
      </c>
      <c r="E121" s="9">
        <f t="shared" si="7"/>
        <v>0</v>
      </c>
      <c r="F121" s="9">
        <f t="shared" si="7"/>
        <v>0</v>
      </c>
    </row>
    <row r="122" spans="1:6" x14ac:dyDescent="0.25">
      <c r="A122" s="9" t="s">
        <v>0</v>
      </c>
      <c r="B122" s="11">
        <v>11292</v>
      </c>
      <c r="C122" s="12">
        <f t="shared" si="5"/>
        <v>5.9504132231404959E-2</v>
      </c>
      <c r="E122" s="9">
        <f t="shared" ref="E122:F137" si="8">E110</f>
        <v>0</v>
      </c>
      <c r="F122" s="9">
        <f t="shared" si="8"/>
        <v>0</v>
      </c>
    </row>
    <row r="123" spans="1:6" x14ac:dyDescent="0.25">
      <c r="A123" s="9" t="s">
        <v>0</v>
      </c>
      <c r="B123" s="11">
        <v>11323</v>
      </c>
      <c r="C123" s="12">
        <f t="shared" si="5"/>
        <v>6.1487603305785121E-2</v>
      </c>
      <c r="E123" s="9">
        <f t="shared" si="8"/>
        <v>0</v>
      </c>
      <c r="F123" s="9">
        <f t="shared" si="8"/>
        <v>0</v>
      </c>
    </row>
    <row r="124" spans="1:6" x14ac:dyDescent="0.25">
      <c r="A124" s="9" t="s">
        <v>0</v>
      </c>
      <c r="B124" s="11">
        <v>11354</v>
      </c>
      <c r="C124" s="12">
        <f t="shared" si="5"/>
        <v>6.1487603305785121E-2</v>
      </c>
      <c r="E124" s="9">
        <f t="shared" si="8"/>
        <v>0</v>
      </c>
      <c r="F124" s="9">
        <f t="shared" si="8"/>
        <v>0</v>
      </c>
    </row>
    <row r="125" spans="1:6" x14ac:dyDescent="0.25">
      <c r="A125" s="9" t="s">
        <v>0</v>
      </c>
      <c r="B125" s="11">
        <v>11382</v>
      </c>
      <c r="C125" s="12">
        <f t="shared" si="5"/>
        <v>5.5537190082644627E-2</v>
      </c>
      <c r="E125" s="9">
        <f t="shared" si="8"/>
        <v>0</v>
      </c>
      <c r="F125" s="9">
        <f t="shared" si="8"/>
        <v>0</v>
      </c>
    </row>
    <row r="126" spans="1:6" x14ac:dyDescent="0.25">
      <c r="A126" s="9" t="s">
        <v>0</v>
      </c>
      <c r="B126" s="11">
        <v>11413</v>
      </c>
      <c r="C126" s="12">
        <f t="shared" si="5"/>
        <v>6.1487603305785121E-2</v>
      </c>
      <c r="E126" s="9">
        <f t="shared" si="8"/>
        <v>0</v>
      </c>
      <c r="F126" s="9">
        <f t="shared" si="8"/>
        <v>0</v>
      </c>
    </row>
    <row r="127" spans="1:6" x14ac:dyDescent="0.25">
      <c r="A127" s="9" t="s">
        <v>0</v>
      </c>
      <c r="B127" s="11">
        <v>11443</v>
      </c>
      <c r="C127" s="12">
        <f t="shared" si="5"/>
        <v>5.9504132231404959E-2</v>
      </c>
      <c r="E127" s="9">
        <f t="shared" si="8"/>
        <v>0</v>
      </c>
      <c r="F127" s="9">
        <f t="shared" si="8"/>
        <v>0</v>
      </c>
    </row>
    <row r="128" spans="1:6" x14ac:dyDescent="0.25">
      <c r="A128" s="9" t="s">
        <v>0</v>
      </c>
      <c r="B128" s="11">
        <v>11474</v>
      </c>
      <c r="C128" s="12">
        <f t="shared" si="5"/>
        <v>6.1487603305785121E-2</v>
      </c>
      <c r="E128" s="9">
        <f t="shared" si="8"/>
        <v>1</v>
      </c>
      <c r="F128" s="9">
        <f t="shared" si="8"/>
        <v>0</v>
      </c>
    </row>
    <row r="129" spans="1:6" x14ac:dyDescent="0.25">
      <c r="A129" s="9" t="s">
        <v>0</v>
      </c>
      <c r="B129" s="11">
        <v>11504</v>
      </c>
      <c r="C129" s="12">
        <f t="shared" si="5"/>
        <v>5.9504132231404959E-2</v>
      </c>
      <c r="E129" s="9">
        <f t="shared" si="8"/>
        <v>0</v>
      </c>
      <c r="F129" s="9">
        <f t="shared" si="8"/>
        <v>0</v>
      </c>
    </row>
    <row r="130" spans="1:6" x14ac:dyDescent="0.25">
      <c r="A130" s="9" t="s">
        <v>0</v>
      </c>
      <c r="B130" s="11">
        <v>11535</v>
      </c>
      <c r="C130" s="12">
        <f t="shared" si="5"/>
        <v>6.1487603305785121E-2</v>
      </c>
      <c r="E130" s="9">
        <f t="shared" si="8"/>
        <v>0</v>
      </c>
      <c r="F130" s="9">
        <f t="shared" si="8"/>
        <v>0</v>
      </c>
    </row>
    <row r="131" spans="1:6" x14ac:dyDescent="0.25">
      <c r="A131" s="9" t="s">
        <v>0</v>
      </c>
      <c r="B131" s="11">
        <v>11566</v>
      </c>
      <c r="C131" s="12">
        <f t="shared" si="5"/>
        <v>6.1487603305785121E-2</v>
      </c>
      <c r="E131" s="9">
        <f t="shared" si="8"/>
        <v>0</v>
      </c>
      <c r="F131" s="9">
        <f t="shared" si="8"/>
        <v>0</v>
      </c>
    </row>
    <row r="132" spans="1:6" x14ac:dyDescent="0.25">
      <c r="A132" s="9" t="s">
        <v>0</v>
      </c>
      <c r="B132" s="11">
        <v>11596</v>
      </c>
      <c r="C132" s="12">
        <f t="shared" si="5"/>
        <v>5.9504132231404959E-2</v>
      </c>
      <c r="E132" s="9">
        <f t="shared" si="8"/>
        <v>0</v>
      </c>
      <c r="F132" s="9">
        <f t="shared" si="8"/>
        <v>1</v>
      </c>
    </row>
    <row r="133" spans="1:6" x14ac:dyDescent="0.25">
      <c r="A133" s="9" t="s">
        <v>0</v>
      </c>
      <c r="B133" s="11">
        <v>11627</v>
      </c>
      <c r="C133" s="12">
        <f t="shared" si="5"/>
        <v>6.1487603305785121E-2</v>
      </c>
      <c r="E133" s="9">
        <f t="shared" si="8"/>
        <v>0</v>
      </c>
      <c r="F133" s="9">
        <f t="shared" si="8"/>
        <v>0</v>
      </c>
    </row>
    <row r="134" spans="1:6" x14ac:dyDescent="0.25">
      <c r="A134" s="9" t="s">
        <v>0</v>
      </c>
      <c r="B134" s="11">
        <v>11657</v>
      </c>
      <c r="C134" s="12">
        <f t="shared" si="5"/>
        <v>5.9504132231404959E-2</v>
      </c>
      <c r="E134" s="9">
        <f t="shared" si="8"/>
        <v>0</v>
      </c>
      <c r="F134" s="9">
        <f t="shared" si="8"/>
        <v>0</v>
      </c>
    </row>
    <row r="135" spans="1:6" x14ac:dyDescent="0.25">
      <c r="A135" s="9" t="s">
        <v>0</v>
      </c>
      <c r="B135" s="11">
        <v>11688</v>
      </c>
      <c r="C135" s="12">
        <f t="shared" si="5"/>
        <v>6.1487603305785121E-2</v>
      </c>
      <c r="E135" s="9">
        <f t="shared" si="8"/>
        <v>0</v>
      </c>
      <c r="F135" s="9">
        <f t="shared" si="8"/>
        <v>0</v>
      </c>
    </row>
    <row r="136" spans="1:6" x14ac:dyDescent="0.25">
      <c r="A136" s="9" t="s">
        <v>0</v>
      </c>
      <c r="B136" s="11">
        <v>11719</v>
      </c>
      <c r="C136" s="12">
        <f t="shared" si="5"/>
        <v>6.1487603305785121E-2</v>
      </c>
      <c r="E136" s="9">
        <f t="shared" si="8"/>
        <v>0</v>
      </c>
      <c r="F136" s="9">
        <f t="shared" si="8"/>
        <v>0</v>
      </c>
    </row>
    <row r="137" spans="1:6" x14ac:dyDescent="0.25">
      <c r="A137" s="9" t="s">
        <v>0</v>
      </c>
      <c r="B137" s="11">
        <v>11748</v>
      </c>
      <c r="C137" s="12">
        <f t="shared" si="5"/>
        <v>5.752066115702479E-2</v>
      </c>
      <c r="E137" s="9">
        <f t="shared" si="8"/>
        <v>0</v>
      </c>
      <c r="F137" s="9">
        <f t="shared" si="8"/>
        <v>0</v>
      </c>
    </row>
    <row r="138" spans="1:6" x14ac:dyDescent="0.25">
      <c r="A138" s="9" t="s">
        <v>0</v>
      </c>
      <c r="B138" s="11">
        <v>11779</v>
      </c>
      <c r="C138" s="12">
        <f t="shared" si="5"/>
        <v>6.1487603305785121E-2</v>
      </c>
      <c r="E138" s="9">
        <f t="shared" ref="E138:F153" si="9">E126</f>
        <v>0</v>
      </c>
      <c r="F138" s="9">
        <f t="shared" si="9"/>
        <v>0</v>
      </c>
    </row>
    <row r="139" spans="1:6" x14ac:dyDescent="0.25">
      <c r="A139" s="9" t="s">
        <v>0</v>
      </c>
      <c r="B139" s="11">
        <v>11809</v>
      </c>
      <c r="C139" s="12">
        <f t="shared" si="5"/>
        <v>5.9504132231404959E-2</v>
      </c>
      <c r="E139" s="9">
        <f t="shared" si="9"/>
        <v>0</v>
      </c>
      <c r="F139" s="9">
        <f t="shared" si="9"/>
        <v>0</v>
      </c>
    </row>
    <row r="140" spans="1:6" x14ac:dyDescent="0.25">
      <c r="A140" s="9" t="s">
        <v>0</v>
      </c>
      <c r="B140" s="11">
        <v>11840</v>
      </c>
      <c r="C140" s="12">
        <f t="shared" si="5"/>
        <v>6.1487603305785121E-2</v>
      </c>
      <c r="E140" s="9">
        <f t="shared" si="9"/>
        <v>1</v>
      </c>
      <c r="F140" s="9">
        <f t="shared" si="9"/>
        <v>0</v>
      </c>
    </row>
    <row r="141" spans="1:6" x14ac:dyDescent="0.25">
      <c r="A141" s="9" t="s">
        <v>0</v>
      </c>
      <c r="B141" s="11">
        <v>11870</v>
      </c>
      <c r="C141" s="12">
        <f t="shared" si="5"/>
        <v>5.9504132231404959E-2</v>
      </c>
      <c r="E141" s="9">
        <f t="shared" si="9"/>
        <v>0</v>
      </c>
      <c r="F141" s="9">
        <f t="shared" si="9"/>
        <v>0</v>
      </c>
    </row>
    <row r="142" spans="1:6" x14ac:dyDescent="0.25">
      <c r="A142" s="9" t="s">
        <v>0</v>
      </c>
      <c r="B142" s="11">
        <v>11901</v>
      </c>
      <c r="C142" s="12">
        <f t="shared" ref="C142:C205" si="10">(B142-B141)*86400/43560/1000</f>
        <v>6.1487603305785121E-2</v>
      </c>
      <c r="E142" s="9">
        <f t="shared" si="9"/>
        <v>0</v>
      </c>
      <c r="F142" s="9">
        <f t="shared" si="9"/>
        <v>0</v>
      </c>
    </row>
    <row r="143" spans="1:6" x14ac:dyDescent="0.25">
      <c r="A143" s="9" t="s">
        <v>0</v>
      </c>
      <c r="B143" s="11">
        <v>11932</v>
      </c>
      <c r="C143" s="12">
        <f t="shared" si="10"/>
        <v>6.1487603305785121E-2</v>
      </c>
      <c r="E143" s="9">
        <f t="shared" si="9"/>
        <v>0</v>
      </c>
      <c r="F143" s="9">
        <f t="shared" si="9"/>
        <v>0</v>
      </c>
    </row>
    <row r="144" spans="1:6" x14ac:dyDescent="0.25">
      <c r="A144" s="9" t="s">
        <v>0</v>
      </c>
      <c r="B144" s="11">
        <v>11962</v>
      </c>
      <c r="C144" s="12">
        <f t="shared" si="10"/>
        <v>5.9504132231404959E-2</v>
      </c>
      <c r="E144" s="9">
        <f t="shared" si="9"/>
        <v>0</v>
      </c>
      <c r="F144" s="9">
        <f t="shared" si="9"/>
        <v>1</v>
      </c>
    </row>
    <row r="145" spans="1:6" x14ac:dyDescent="0.25">
      <c r="A145" s="9" t="s">
        <v>0</v>
      </c>
      <c r="B145" s="11">
        <v>11993</v>
      </c>
      <c r="C145" s="12">
        <f t="shared" si="10"/>
        <v>6.1487603305785121E-2</v>
      </c>
      <c r="E145" s="9">
        <f t="shared" si="9"/>
        <v>0</v>
      </c>
      <c r="F145" s="9">
        <f t="shared" si="9"/>
        <v>0</v>
      </c>
    </row>
    <row r="146" spans="1:6" x14ac:dyDescent="0.25">
      <c r="A146" s="9" t="s">
        <v>0</v>
      </c>
      <c r="B146" s="11">
        <v>12023</v>
      </c>
      <c r="C146" s="12">
        <f t="shared" si="10"/>
        <v>5.9504132231404959E-2</v>
      </c>
      <c r="E146" s="9">
        <f t="shared" si="9"/>
        <v>0</v>
      </c>
      <c r="F146" s="9">
        <f t="shared" si="9"/>
        <v>0</v>
      </c>
    </row>
    <row r="147" spans="1:6" x14ac:dyDescent="0.25">
      <c r="A147" s="9" t="s">
        <v>0</v>
      </c>
      <c r="B147" s="11">
        <v>12054</v>
      </c>
      <c r="C147" s="12">
        <f t="shared" si="10"/>
        <v>6.1487603305785121E-2</v>
      </c>
      <c r="E147" s="9">
        <f t="shared" si="9"/>
        <v>0</v>
      </c>
      <c r="F147" s="9">
        <f t="shared" si="9"/>
        <v>0</v>
      </c>
    </row>
    <row r="148" spans="1:6" x14ac:dyDescent="0.25">
      <c r="A148" s="9" t="s">
        <v>0</v>
      </c>
      <c r="B148" s="11">
        <v>12085</v>
      </c>
      <c r="C148" s="12">
        <f t="shared" si="10"/>
        <v>6.1487603305785121E-2</v>
      </c>
      <c r="E148" s="9">
        <f t="shared" si="9"/>
        <v>0</v>
      </c>
      <c r="F148" s="9">
        <f t="shared" si="9"/>
        <v>0</v>
      </c>
    </row>
    <row r="149" spans="1:6" x14ac:dyDescent="0.25">
      <c r="A149" s="9" t="s">
        <v>0</v>
      </c>
      <c r="B149" s="11">
        <v>12113</v>
      </c>
      <c r="C149" s="12">
        <f t="shared" si="10"/>
        <v>5.5537190082644627E-2</v>
      </c>
      <c r="E149" s="9">
        <f t="shared" si="9"/>
        <v>0</v>
      </c>
      <c r="F149" s="9">
        <f t="shared" si="9"/>
        <v>0</v>
      </c>
    </row>
    <row r="150" spans="1:6" x14ac:dyDescent="0.25">
      <c r="A150" s="9" t="s">
        <v>0</v>
      </c>
      <c r="B150" s="11">
        <v>12144</v>
      </c>
      <c r="C150" s="12">
        <f t="shared" si="10"/>
        <v>6.1487603305785121E-2</v>
      </c>
      <c r="E150" s="9">
        <f t="shared" si="9"/>
        <v>0</v>
      </c>
      <c r="F150" s="9">
        <f t="shared" si="9"/>
        <v>0</v>
      </c>
    </row>
    <row r="151" spans="1:6" x14ac:dyDescent="0.25">
      <c r="A151" s="9" t="s">
        <v>0</v>
      </c>
      <c r="B151" s="11">
        <v>12174</v>
      </c>
      <c r="C151" s="12">
        <f t="shared" si="10"/>
        <v>5.9504132231404959E-2</v>
      </c>
      <c r="E151" s="9">
        <f t="shared" si="9"/>
        <v>0</v>
      </c>
      <c r="F151" s="9">
        <f t="shared" si="9"/>
        <v>0</v>
      </c>
    </row>
    <row r="152" spans="1:6" x14ac:dyDescent="0.25">
      <c r="A152" s="9" t="s">
        <v>0</v>
      </c>
      <c r="B152" s="11">
        <v>12205</v>
      </c>
      <c r="C152" s="12">
        <f t="shared" si="10"/>
        <v>6.1487603305785121E-2</v>
      </c>
      <c r="E152" s="9">
        <f t="shared" si="9"/>
        <v>1</v>
      </c>
      <c r="F152" s="9">
        <f t="shared" si="9"/>
        <v>0</v>
      </c>
    </row>
    <row r="153" spans="1:6" x14ac:dyDescent="0.25">
      <c r="A153" s="9" t="s">
        <v>0</v>
      </c>
      <c r="B153" s="11">
        <v>12235</v>
      </c>
      <c r="C153" s="12">
        <f t="shared" si="10"/>
        <v>5.9504132231404959E-2</v>
      </c>
      <c r="E153" s="9">
        <f t="shared" si="9"/>
        <v>0</v>
      </c>
      <c r="F153" s="9">
        <f t="shared" si="9"/>
        <v>0</v>
      </c>
    </row>
    <row r="154" spans="1:6" x14ac:dyDescent="0.25">
      <c r="A154" s="9" t="s">
        <v>0</v>
      </c>
      <c r="B154" s="11">
        <v>12266</v>
      </c>
      <c r="C154" s="12">
        <f t="shared" si="10"/>
        <v>6.1487603305785121E-2</v>
      </c>
      <c r="E154" s="9">
        <f t="shared" ref="E154:F169" si="11">E142</f>
        <v>0</v>
      </c>
      <c r="F154" s="9">
        <f t="shared" si="11"/>
        <v>0</v>
      </c>
    </row>
    <row r="155" spans="1:6" x14ac:dyDescent="0.25">
      <c r="A155" s="9" t="s">
        <v>0</v>
      </c>
      <c r="B155" s="11">
        <v>12297</v>
      </c>
      <c r="C155" s="12">
        <f t="shared" si="10"/>
        <v>6.1487603305785121E-2</v>
      </c>
      <c r="E155" s="9">
        <f t="shared" si="11"/>
        <v>0</v>
      </c>
      <c r="F155" s="9">
        <f t="shared" si="11"/>
        <v>0</v>
      </c>
    </row>
    <row r="156" spans="1:6" x14ac:dyDescent="0.25">
      <c r="A156" s="9" t="s">
        <v>0</v>
      </c>
      <c r="B156" s="11">
        <v>12327</v>
      </c>
      <c r="C156" s="12">
        <f t="shared" si="10"/>
        <v>5.9504132231404959E-2</v>
      </c>
      <c r="E156" s="9">
        <f t="shared" si="11"/>
        <v>0</v>
      </c>
      <c r="F156" s="9">
        <f t="shared" si="11"/>
        <v>1</v>
      </c>
    </row>
    <row r="157" spans="1:6" x14ac:dyDescent="0.25">
      <c r="A157" s="9" t="s">
        <v>0</v>
      </c>
      <c r="B157" s="11">
        <v>12358</v>
      </c>
      <c r="C157" s="12">
        <f t="shared" si="10"/>
        <v>6.1487603305785121E-2</v>
      </c>
      <c r="E157" s="9">
        <f t="shared" si="11"/>
        <v>0</v>
      </c>
      <c r="F157" s="9">
        <f t="shared" si="11"/>
        <v>0</v>
      </c>
    </row>
    <row r="158" spans="1:6" x14ac:dyDescent="0.25">
      <c r="A158" s="9" t="s">
        <v>0</v>
      </c>
      <c r="B158" s="11">
        <v>12388</v>
      </c>
      <c r="C158" s="12">
        <f t="shared" si="10"/>
        <v>5.9504132231404959E-2</v>
      </c>
      <c r="E158" s="9">
        <f t="shared" si="11"/>
        <v>0</v>
      </c>
      <c r="F158" s="9">
        <f t="shared" si="11"/>
        <v>0</v>
      </c>
    </row>
    <row r="159" spans="1:6" x14ac:dyDescent="0.25">
      <c r="A159" s="9" t="s">
        <v>0</v>
      </c>
      <c r="B159" s="11">
        <v>12419</v>
      </c>
      <c r="C159" s="12">
        <f t="shared" si="10"/>
        <v>6.1487603305785121E-2</v>
      </c>
      <c r="E159" s="9">
        <f t="shared" si="11"/>
        <v>0</v>
      </c>
      <c r="F159" s="9">
        <f t="shared" si="11"/>
        <v>0</v>
      </c>
    </row>
    <row r="160" spans="1:6" x14ac:dyDescent="0.25">
      <c r="A160" s="9" t="s">
        <v>0</v>
      </c>
      <c r="B160" s="11">
        <v>12450</v>
      </c>
      <c r="C160" s="12">
        <f t="shared" si="10"/>
        <v>6.1487603305785121E-2</v>
      </c>
      <c r="E160" s="9">
        <f t="shared" si="11"/>
        <v>0</v>
      </c>
      <c r="F160" s="9">
        <f t="shared" si="11"/>
        <v>0</v>
      </c>
    </row>
    <row r="161" spans="1:6" x14ac:dyDescent="0.25">
      <c r="A161" s="9" t="s">
        <v>0</v>
      </c>
      <c r="B161" s="11">
        <v>12478</v>
      </c>
      <c r="C161" s="12">
        <f t="shared" si="10"/>
        <v>5.5537190082644627E-2</v>
      </c>
      <c r="E161" s="9">
        <f t="shared" si="11"/>
        <v>0</v>
      </c>
      <c r="F161" s="9">
        <f t="shared" si="11"/>
        <v>0</v>
      </c>
    </row>
    <row r="162" spans="1:6" x14ac:dyDescent="0.25">
      <c r="A162" s="9" t="s">
        <v>0</v>
      </c>
      <c r="B162" s="11">
        <v>12509</v>
      </c>
      <c r="C162" s="12">
        <f t="shared" si="10"/>
        <v>6.1487603305785121E-2</v>
      </c>
      <c r="E162" s="9">
        <f t="shared" si="11"/>
        <v>0</v>
      </c>
      <c r="F162" s="9">
        <f t="shared" si="11"/>
        <v>0</v>
      </c>
    </row>
    <row r="163" spans="1:6" x14ac:dyDescent="0.25">
      <c r="A163" s="9" t="s">
        <v>0</v>
      </c>
      <c r="B163" s="11">
        <v>12539</v>
      </c>
      <c r="C163" s="12">
        <f t="shared" si="10"/>
        <v>5.9504132231404959E-2</v>
      </c>
      <c r="E163" s="9">
        <f t="shared" si="11"/>
        <v>0</v>
      </c>
      <c r="F163" s="9">
        <f t="shared" si="11"/>
        <v>0</v>
      </c>
    </row>
    <row r="164" spans="1:6" x14ac:dyDescent="0.25">
      <c r="A164" s="9" t="s">
        <v>0</v>
      </c>
      <c r="B164" s="11">
        <v>12570</v>
      </c>
      <c r="C164" s="12">
        <f t="shared" si="10"/>
        <v>6.1487603305785121E-2</v>
      </c>
      <c r="E164" s="9">
        <f t="shared" si="11"/>
        <v>1</v>
      </c>
      <c r="F164" s="9">
        <f t="shared" si="11"/>
        <v>0</v>
      </c>
    </row>
    <row r="165" spans="1:6" x14ac:dyDescent="0.25">
      <c r="A165" s="9" t="s">
        <v>0</v>
      </c>
      <c r="B165" s="11">
        <v>12600</v>
      </c>
      <c r="C165" s="12">
        <f t="shared" si="10"/>
        <v>5.9504132231404959E-2</v>
      </c>
      <c r="E165" s="9">
        <f t="shared" si="11"/>
        <v>0</v>
      </c>
      <c r="F165" s="9">
        <f t="shared" si="11"/>
        <v>0</v>
      </c>
    </row>
    <row r="166" spans="1:6" x14ac:dyDescent="0.25">
      <c r="A166" s="9" t="s">
        <v>0</v>
      </c>
      <c r="B166" s="11">
        <v>12631</v>
      </c>
      <c r="C166" s="12">
        <f t="shared" si="10"/>
        <v>6.1487603305785121E-2</v>
      </c>
      <c r="E166" s="9">
        <f t="shared" si="11"/>
        <v>0</v>
      </c>
      <c r="F166" s="9">
        <f t="shared" si="11"/>
        <v>0</v>
      </c>
    </row>
    <row r="167" spans="1:6" x14ac:dyDescent="0.25">
      <c r="A167" s="9" t="s">
        <v>0</v>
      </c>
      <c r="B167" s="11">
        <v>12662</v>
      </c>
      <c r="C167" s="12">
        <f t="shared" si="10"/>
        <v>6.1487603305785121E-2</v>
      </c>
      <c r="E167" s="9">
        <f t="shared" si="11"/>
        <v>0</v>
      </c>
      <c r="F167" s="9">
        <f t="shared" si="11"/>
        <v>0</v>
      </c>
    </row>
    <row r="168" spans="1:6" x14ac:dyDescent="0.25">
      <c r="A168" s="9" t="s">
        <v>0</v>
      </c>
      <c r="B168" s="11">
        <v>12692</v>
      </c>
      <c r="C168" s="12">
        <f t="shared" si="10"/>
        <v>5.9504132231404959E-2</v>
      </c>
      <c r="E168" s="9">
        <f t="shared" si="11"/>
        <v>0</v>
      </c>
      <c r="F168" s="9">
        <f t="shared" si="11"/>
        <v>1</v>
      </c>
    </row>
    <row r="169" spans="1:6" x14ac:dyDescent="0.25">
      <c r="A169" s="9" t="s">
        <v>0</v>
      </c>
      <c r="B169" s="11">
        <v>12723</v>
      </c>
      <c r="C169" s="12">
        <f t="shared" si="10"/>
        <v>6.1487603305785121E-2</v>
      </c>
      <c r="E169" s="9">
        <f t="shared" si="11"/>
        <v>0</v>
      </c>
      <c r="F169" s="9">
        <f t="shared" si="11"/>
        <v>0</v>
      </c>
    </row>
    <row r="170" spans="1:6" x14ac:dyDescent="0.25">
      <c r="A170" s="9" t="s">
        <v>0</v>
      </c>
      <c r="B170" s="11">
        <v>12753</v>
      </c>
      <c r="C170" s="12">
        <f t="shared" si="10"/>
        <v>5.9504132231404959E-2</v>
      </c>
      <c r="E170" s="9">
        <f t="shared" ref="E170:F185" si="12">E158</f>
        <v>0</v>
      </c>
      <c r="F170" s="9">
        <f t="shared" si="12"/>
        <v>0</v>
      </c>
    </row>
    <row r="171" spans="1:6" x14ac:dyDescent="0.25">
      <c r="A171" s="9" t="s">
        <v>0</v>
      </c>
      <c r="B171" s="11">
        <v>12784</v>
      </c>
      <c r="C171" s="12">
        <f t="shared" si="10"/>
        <v>6.1487603305785121E-2</v>
      </c>
      <c r="E171" s="9">
        <f t="shared" si="12"/>
        <v>0</v>
      </c>
      <c r="F171" s="9">
        <f t="shared" si="12"/>
        <v>0</v>
      </c>
    </row>
    <row r="172" spans="1:6" x14ac:dyDescent="0.25">
      <c r="A172" s="9" t="s">
        <v>0</v>
      </c>
      <c r="B172" s="11">
        <v>12815</v>
      </c>
      <c r="C172" s="12">
        <f t="shared" si="10"/>
        <v>6.1487603305785121E-2</v>
      </c>
      <c r="E172" s="9">
        <f t="shared" si="12"/>
        <v>0</v>
      </c>
      <c r="F172" s="9">
        <f t="shared" si="12"/>
        <v>0</v>
      </c>
    </row>
    <row r="173" spans="1:6" x14ac:dyDescent="0.25">
      <c r="A173" s="9" t="s">
        <v>0</v>
      </c>
      <c r="B173" s="11">
        <v>12843</v>
      </c>
      <c r="C173" s="12">
        <f t="shared" si="10"/>
        <v>5.5537190082644627E-2</v>
      </c>
      <c r="E173" s="9">
        <f t="shared" si="12"/>
        <v>0</v>
      </c>
      <c r="F173" s="9">
        <f t="shared" si="12"/>
        <v>0</v>
      </c>
    </row>
    <row r="174" spans="1:6" x14ac:dyDescent="0.25">
      <c r="A174" s="9" t="s">
        <v>0</v>
      </c>
      <c r="B174" s="11">
        <v>12874</v>
      </c>
      <c r="C174" s="12">
        <f t="shared" si="10"/>
        <v>6.1487603305785121E-2</v>
      </c>
      <c r="E174" s="9">
        <f t="shared" si="12"/>
        <v>0</v>
      </c>
      <c r="F174" s="9">
        <f t="shared" si="12"/>
        <v>0</v>
      </c>
    </row>
    <row r="175" spans="1:6" x14ac:dyDescent="0.25">
      <c r="A175" s="9" t="s">
        <v>0</v>
      </c>
      <c r="B175" s="11">
        <v>12904</v>
      </c>
      <c r="C175" s="12">
        <f t="shared" si="10"/>
        <v>5.9504132231404959E-2</v>
      </c>
      <c r="E175" s="9">
        <f t="shared" si="12"/>
        <v>0</v>
      </c>
      <c r="F175" s="9">
        <f t="shared" si="12"/>
        <v>0</v>
      </c>
    </row>
    <row r="176" spans="1:6" x14ac:dyDescent="0.25">
      <c r="A176" s="9" t="s">
        <v>0</v>
      </c>
      <c r="B176" s="11">
        <v>12935</v>
      </c>
      <c r="C176" s="12">
        <f t="shared" si="10"/>
        <v>6.1487603305785121E-2</v>
      </c>
      <c r="E176" s="9">
        <f t="shared" si="12"/>
        <v>1</v>
      </c>
      <c r="F176" s="9">
        <f t="shared" si="12"/>
        <v>0</v>
      </c>
    </row>
    <row r="177" spans="1:6" x14ac:dyDescent="0.25">
      <c r="A177" s="9" t="s">
        <v>0</v>
      </c>
      <c r="B177" s="11">
        <v>12965</v>
      </c>
      <c r="C177" s="12">
        <f t="shared" si="10"/>
        <v>5.9504132231404959E-2</v>
      </c>
      <c r="E177" s="9">
        <f t="shared" si="12"/>
        <v>0</v>
      </c>
      <c r="F177" s="9">
        <f t="shared" si="12"/>
        <v>0</v>
      </c>
    </row>
    <row r="178" spans="1:6" x14ac:dyDescent="0.25">
      <c r="A178" s="9" t="s">
        <v>0</v>
      </c>
      <c r="B178" s="11">
        <v>12996</v>
      </c>
      <c r="C178" s="12">
        <f t="shared" si="10"/>
        <v>6.1487603305785121E-2</v>
      </c>
      <c r="E178" s="9">
        <f t="shared" si="12"/>
        <v>0</v>
      </c>
      <c r="F178" s="9">
        <f t="shared" si="12"/>
        <v>0</v>
      </c>
    </row>
    <row r="179" spans="1:6" x14ac:dyDescent="0.25">
      <c r="A179" s="9" t="s">
        <v>0</v>
      </c>
      <c r="B179" s="11">
        <v>13027</v>
      </c>
      <c r="C179" s="12">
        <f t="shared" si="10"/>
        <v>6.1487603305785121E-2</v>
      </c>
      <c r="E179" s="9">
        <f t="shared" si="12"/>
        <v>0</v>
      </c>
      <c r="F179" s="9">
        <f t="shared" si="12"/>
        <v>0</v>
      </c>
    </row>
    <row r="180" spans="1:6" x14ac:dyDescent="0.25">
      <c r="A180" s="9" t="s">
        <v>0</v>
      </c>
      <c r="B180" s="11">
        <v>13057</v>
      </c>
      <c r="C180" s="12">
        <f t="shared" si="10"/>
        <v>5.9504132231404959E-2</v>
      </c>
      <c r="E180" s="9">
        <f t="shared" si="12"/>
        <v>0</v>
      </c>
      <c r="F180" s="9">
        <f t="shared" si="12"/>
        <v>1</v>
      </c>
    </row>
    <row r="181" spans="1:6" x14ac:dyDescent="0.25">
      <c r="A181" s="9" t="s">
        <v>0</v>
      </c>
      <c r="B181" s="11">
        <v>13088</v>
      </c>
      <c r="C181" s="12">
        <f t="shared" si="10"/>
        <v>6.1487603305785121E-2</v>
      </c>
      <c r="E181" s="9">
        <f t="shared" si="12"/>
        <v>0</v>
      </c>
      <c r="F181" s="9">
        <f t="shared" si="12"/>
        <v>0</v>
      </c>
    </row>
    <row r="182" spans="1:6" x14ac:dyDescent="0.25">
      <c r="A182" s="9" t="s">
        <v>0</v>
      </c>
      <c r="B182" s="11">
        <v>13118</v>
      </c>
      <c r="C182" s="12">
        <f t="shared" si="10"/>
        <v>5.9504132231404959E-2</v>
      </c>
      <c r="E182" s="9">
        <f t="shared" si="12"/>
        <v>0</v>
      </c>
      <c r="F182" s="9">
        <f t="shared" si="12"/>
        <v>0</v>
      </c>
    </row>
    <row r="183" spans="1:6" x14ac:dyDescent="0.25">
      <c r="A183" s="9" t="s">
        <v>0</v>
      </c>
      <c r="B183" s="11">
        <v>13149</v>
      </c>
      <c r="C183" s="12">
        <f t="shared" si="10"/>
        <v>6.1487603305785121E-2</v>
      </c>
      <c r="E183" s="9">
        <f t="shared" si="12"/>
        <v>0</v>
      </c>
      <c r="F183" s="9">
        <f t="shared" si="12"/>
        <v>0</v>
      </c>
    </row>
    <row r="184" spans="1:6" x14ac:dyDescent="0.25">
      <c r="A184" s="9" t="s">
        <v>0</v>
      </c>
      <c r="B184" s="11">
        <v>13180</v>
      </c>
      <c r="C184" s="12">
        <f t="shared" si="10"/>
        <v>6.1487603305785121E-2</v>
      </c>
      <c r="E184" s="9">
        <f t="shared" si="12"/>
        <v>0</v>
      </c>
      <c r="F184" s="9">
        <f t="shared" si="12"/>
        <v>0</v>
      </c>
    </row>
    <row r="185" spans="1:6" x14ac:dyDescent="0.25">
      <c r="A185" s="9" t="s">
        <v>0</v>
      </c>
      <c r="B185" s="11">
        <v>13209</v>
      </c>
      <c r="C185" s="12">
        <f t="shared" si="10"/>
        <v>5.752066115702479E-2</v>
      </c>
      <c r="E185" s="9">
        <f t="shared" si="12"/>
        <v>0</v>
      </c>
      <c r="F185" s="9">
        <f t="shared" si="12"/>
        <v>0</v>
      </c>
    </row>
    <row r="186" spans="1:6" x14ac:dyDescent="0.25">
      <c r="A186" s="9" t="s">
        <v>0</v>
      </c>
      <c r="B186" s="11">
        <v>13240</v>
      </c>
      <c r="C186" s="12">
        <f t="shared" si="10"/>
        <v>6.1487603305785121E-2</v>
      </c>
      <c r="E186" s="9">
        <f t="shared" ref="E186:F201" si="13">E174</f>
        <v>0</v>
      </c>
      <c r="F186" s="9">
        <f t="shared" si="13"/>
        <v>0</v>
      </c>
    </row>
    <row r="187" spans="1:6" x14ac:dyDescent="0.25">
      <c r="A187" s="9" t="s">
        <v>0</v>
      </c>
      <c r="B187" s="11">
        <v>13270</v>
      </c>
      <c r="C187" s="12">
        <f t="shared" si="10"/>
        <v>5.9504132231404959E-2</v>
      </c>
      <c r="E187" s="9">
        <f t="shared" si="13"/>
        <v>0</v>
      </c>
      <c r="F187" s="9">
        <f t="shared" si="13"/>
        <v>0</v>
      </c>
    </row>
    <row r="188" spans="1:6" x14ac:dyDescent="0.25">
      <c r="A188" s="9" t="s">
        <v>0</v>
      </c>
      <c r="B188" s="11">
        <v>13301</v>
      </c>
      <c r="C188" s="12">
        <f t="shared" si="10"/>
        <v>6.1487603305785121E-2</v>
      </c>
      <c r="E188" s="9">
        <f t="shared" si="13"/>
        <v>1</v>
      </c>
      <c r="F188" s="9">
        <f t="shared" si="13"/>
        <v>0</v>
      </c>
    </row>
    <row r="189" spans="1:6" x14ac:dyDescent="0.25">
      <c r="A189" s="9" t="s">
        <v>0</v>
      </c>
      <c r="B189" s="11">
        <v>13331</v>
      </c>
      <c r="C189" s="12">
        <f t="shared" si="10"/>
        <v>5.9504132231404959E-2</v>
      </c>
      <c r="E189" s="9">
        <f t="shared" si="13"/>
        <v>0</v>
      </c>
      <c r="F189" s="9">
        <f t="shared" si="13"/>
        <v>0</v>
      </c>
    </row>
    <row r="190" spans="1:6" x14ac:dyDescent="0.25">
      <c r="A190" s="9" t="s">
        <v>0</v>
      </c>
      <c r="B190" s="11">
        <v>13362</v>
      </c>
      <c r="C190" s="12">
        <f t="shared" si="10"/>
        <v>6.1487603305785121E-2</v>
      </c>
      <c r="E190" s="9">
        <f t="shared" si="13"/>
        <v>0</v>
      </c>
      <c r="F190" s="9">
        <f t="shared" si="13"/>
        <v>0</v>
      </c>
    </row>
    <row r="191" spans="1:6" x14ac:dyDescent="0.25">
      <c r="A191" s="9" t="s">
        <v>0</v>
      </c>
      <c r="B191" s="11">
        <v>13393</v>
      </c>
      <c r="C191" s="12">
        <f t="shared" si="10"/>
        <v>6.1487603305785121E-2</v>
      </c>
      <c r="E191" s="9">
        <f t="shared" si="13"/>
        <v>0</v>
      </c>
      <c r="F191" s="9">
        <f t="shared" si="13"/>
        <v>0</v>
      </c>
    </row>
    <row r="192" spans="1:6" x14ac:dyDescent="0.25">
      <c r="A192" s="9" t="s">
        <v>0</v>
      </c>
      <c r="B192" s="11">
        <v>13423</v>
      </c>
      <c r="C192" s="12">
        <f t="shared" si="10"/>
        <v>5.9504132231404959E-2</v>
      </c>
      <c r="E192" s="9">
        <f t="shared" si="13"/>
        <v>0</v>
      </c>
      <c r="F192" s="9">
        <f t="shared" si="13"/>
        <v>1</v>
      </c>
    </row>
    <row r="193" spans="1:6" x14ac:dyDescent="0.25">
      <c r="A193" s="9" t="s">
        <v>0</v>
      </c>
      <c r="B193" s="11">
        <v>13454</v>
      </c>
      <c r="C193" s="12">
        <f t="shared" si="10"/>
        <v>6.1487603305785121E-2</v>
      </c>
      <c r="E193" s="9">
        <f t="shared" si="13"/>
        <v>0</v>
      </c>
      <c r="F193" s="9">
        <f t="shared" si="13"/>
        <v>0</v>
      </c>
    </row>
    <row r="194" spans="1:6" x14ac:dyDescent="0.25">
      <c r="A194" s="9" t="s">
        <v>0</v>
      </c>
      <c r="B194" s="11">
        <v>13484</v>
      </c>
      <c r="C194" s="12">
        <f t="shared" si="10"/>
        <v>5.9504132231404959E-2</v>
      </c>
      <c r="E194" s="9">
        <f t="shared" si="13"/>
        <v>0</v>
      </c>
      <c r="F194" s="9">
        <f t="shared" si="13"/>
        <v>0</v>
      </c>
    </row>
    <row r="195" spans="1:6" x14ac:dyDescent="0.25">
      <c r="A195" s="9" t="s">
        <v>0</v>
      </c>
      <c r="B195" s="11">
        <v>13515</v>
      </c>
      <c r="C195" s="12">
        <f t="shared" si="10"/>
        <v>6.1487603305785121E-2</v>
      </c>
      <c r="E195" s="9">
        <f t="shared" si="13"/>
        <v>0</v>
      </c>
      <c r="F195" s="9">
        <f t="shared" si="13"/>
        <v>0</v>
      </c>
    </row>
    <row r="196" spans="1:6" x14ac:dyDescent="0.25">
      <c r="A196" s="9" t="s">
        <v>0</v>
      </c>
      <c r="B196" s="11">
        <v>13546</v>
      </c>
      <c r="C196" s="12">
        <f t="shared" si="10"/>
        <v>6.1487603305785121E-2</v>
      </c>
      <c r="E196" s="9">
        <f t="shared" si="13"/>
        <v>0</v>
      </c>
      <c r="F196" s="9">
        <f t="shared" si="13"/>
        <v>0</v>
      </c>
    </row>
    <row r="197" spans="1:6" x14ac:dyDescent="0.25">
      <c r="A197" s="9" t="s">
        <v>0</v>
      </c>
      <c r="B197" s="11">
        <v>13574</v>
      </c>
      <c r="C197" s="12">
        <f t="shared" si="10"/>
        <v>5.5537190082644627E-2</v>
      </c>
      <c r="E197" s="9">
        <f t="shared" si="13"/>
        <v>0</v>
      </c>
      <c r="F197" s="9">
        <f t="shared" si="13"/>
        <v>0</v>
      </c>
    </row>
    <row r="198" spans="1:6" x14ac:dyDescent="0.25">
      <c r="A198" s="9" t="s">
        <v>0</v>
      </c>
      <c r="B198" s="11">
        <v>13605</v>
      </c>
      <c r="C198" s="12">
        <f t="shared" si="10"/>
        <v>6.1487603305785121E-2</v>
      </c>
      <c r="E198" s="9">
        <f t="shared" si="13"/>
        <v>0</v>
      </c>
      <c r="F198" s="9">
        <f t="shared" si="13"/>
        <v>0</v>
      </c>
    </row>
    <row r="199" spans="1:6" x14ac:dyDescent="0.25">
      <c r="A199" s="9" t="s">
        <v>0</v>
      </c>
      <c r="B199" s="11">
        <v>13635</v>
      </c>
      <c r="C199" s="12">
        <f t="shared" si="10"/>
        <v>5.9504132231404959E-2</v>
      </c>
      <c r="E199" s="9">
        <f t="shared" si="13"/>
        <v>0</v>
      </c>
      <c r="F199" s="9">
        <f t="shared" si="13"/>
        <v>0</v>
      </c>
    </row>
    <row r="200" spans="1:6" x14ac:dyDescent="0.25">
      <c r="A200" s="9" t="s">
        <v>0</v>
      </c>
      <c r="B200" s="11">
        <v>13666</v>
      </c>
      <c r="C200" s="12">
        <f t="shared" si="10"/>
        <v>6.1487603305785121E-2</v>
      </c>
      <c r="E200" s="9">
        <f t="shared" si="13"/>
        <v>1</v>
      </c>
      <c r="F200" s="9">
        <f t="shared" si="13"/>
        <v>0</v>
      </c>
    </row>
    <row r="201" spans="1:6" x14ac:dyDescent="0.25">
      <c r="A201" s="9" t="s">
        <v>0</v>
      </c>
      <c r="B201" s="11">
        <v>13696</v>
      </c>
      <c r="C201" s="12">
        <f t="shared" si="10"/>
        <v>5.9504132231404959E-2</v>
      </c>
      <c r="E201" s="9">
        <f t="shared" si="13"/>
        <v>0</v>
      </c>
      <c r="F201" s="9">
        <f t="shared" si="13"/>
        <v>0</v>
      </c>
    </row>
    <row r="202" spans="1:6" x14ac:dyDescent="0.25">
      <c r="A202" s="9" t="s">
        <v>0</v>
      </c>
      <c r="B202" s="11">
        <v>13727</v>
      </c>
      <c r="C202" s="12">
        <f t="shared" si="10"/>
        <v>6.1487603305785121E-2</v>
      </c>
      <c r="E202" s="9">
        <f t="shared" ref="E202:F217" si="14">E190</f>
        <v>0</v>
      </c>
      <c r="F202" s="9">
        <f t="shared" si="14"/>
        <v>0</v>
      </c>
    </row>
    <row r="203" spans="1:6" x14ac:dyDescent="0.25">
      <c r="A203" s="9" t="s">
        <v>0</v>
      </c>
      <c r="B203" s="11">
        <v>13758</v>
      </c>
      <c r="C203" s="12">
        <f t="shared" si="10"/>
        <v>6.1487603305785121E-2</v>
      </c>
      <c r="E203" s="9">
        <f t="shared" si="14"/>
        <v>0</v>
      </c>
      <c r="F203" s="9">
        <f t="shared" si="14"/>
        <v>0</v>
      </c>
    </row>
    <row r="204" spans="1:6" x14ac:dyDescent="0.25">
      <c r="A204" s="9" t="s">
        <v>0</v>
      </c>
      <c r="B204" s="11">
        <v>13788</v>
      </c>
      <c r="C204" s="12">
        <f t="shared" si="10"/>
        <v>5.9504132231404959E-2</v>
      </c>
      <c r="E204" s="9">
        <f t="shared" si="14"/>
        <v>0</v>
      </c>
      <c r="F204" s="9">
        <f t="shared" si="14"/>
        <v>1</v>
      </c>
    </row>
    <row r="205" spans="1:6" x14ac:dyDescent="0.25">
      <c r="A205" s="9" t="s">
        <v>0</v>
      </c>
      <c r="B205" s="11">
        <v>13819</v>
      </c>
      <c r="C205" s="12">
        <f t="shared" si="10"/>
        <v>6.1487603305785121E-2</v>
      </c>
      <c r="E205" s="9">
        <f t="shared" si="14"/>
        <v>0</v>
      </c>
      <c r="F205" s="9">
        <f t="shared" si="14"/>
        <v>0</v>
      </c>
    </row>
    <row r="206" spans="1:6" x14ac:dyDescent="0.25">
      <c r="A206" s="9" t="s">
        <v>0</v>
      </c>
      <c r="B206" s="11">
        <v>13849</v>
      </c>
      <c r="C206" s="12">
        <f t="shared" ref="C206:C269" si="15">(B206-B205)*86400/43560/1000</f>
        <v>5.9504132231404959E-2</v>
      </c>
      <c r="E206" s="9">
        <f t="shared" si="14"/>
        <v>0</v>
      </c>
      <c r="F206" s="9">
        <f t="shared" si="14"/>
        <v>0</v>
      </c>
    </row>
    <row r="207" spans="1:6" x14ac:dyDescent="0.25">
      <c r="A207" s="9" t="s">
        <v>0</v>
      </c>
      <c r="B207" s="11">
        <v>13880</v>
      </c>
      <c r="C207" s="12">
        <f t="shared" si="15"/>
        <v>6.1487603305785121E-2</v>
      </c>
      <c r="E207" s="9">
        <f t="shared" si="14"/>
        <v>0</v>
      </c>
      <c r="F207" s="9">
        <f t="shared" si="14"/>
        <v>0</v>
      </c>
    </row>
    <row r="208" spans="1:6" x14ac:dyDescent="0.25">
      <c r="A208" s="9" t="s">
        <v>0</v>
      </c>
      <c r="B208" s="11">
        <v>13911</v>
      </c>
      <c r="C208" s="12">
        <f t="shared" si="15"/>
        <v>6.1487603305785121E-2</v>
      </c>
      <c r="E208" s="9">
        <f t="shared" si="14"/>
        <v>0</v>
      </c>
      <c r="F208" s="9">
        <f t="shared" si="14"/>
        <v>0</v>
      </c>
    </row>
    <row r="209" spans="1:6" x14ac:dyDescent="0.25">
      <c r="A209" s="9" t="s">
        <v>0</v>
      </c>
      <c r="B209" s="11">
        <v>13939</v>
      </c>
      <c r="C209" s="12">
        <f t="shared" si="15"/>
        <v>5.5537190082644627E-2</v>
      </c>
      <c r="E209" s="9">
        <f t="shared" si="14"/>
        <v>0</v>
      </c>
      <c r="F209" s="9">
        <f t="shared" si="14"/>
        <v>0</v>
      </c>
    </row>
    <row r="210" spans="1:6" x14ac:dyDescent="0.25">
      <c r="A210" s="9" t="s">
        <v>0</v>
      </c>
      <c r="B210" s="11">
        <v>13970</v>
      </c>
      <c r="C210" s="12">
        <f t="shared" si="15"/>
        <v>6.1487603305785121E-2</v>
      </c>
      <c r="E210" s="9">
        <f t="shared" si="14"/>
        <v>0</v>
      </c>
      <c r="F210" s="9">
        <f t="shared" si="14"/>
        <v>0</v>
      </c>
    </row>
    <row r="211" spans="1:6" x14ac:dyDescent="0.25">
      <c r="A211" s="9" t="s">
        <v>0</v>
      </c>
      <c r="B211" s="11">
        <v>14000</v>
      </c>
      <c r="C211" s="12">
        <f t="shared" si="15"/>
        <v>5.9504132231404959E-2</v>
      </c>
      <c r="E211" s="9">
        <f t="shared" si="14"/>
        <v>0</v>
      </c>
      <c r="F211" s="9">
        <f t="shared" si="14"/>
        <v>0</v>
      </c>
    </row>
    <row r="212" spans="1:6" x14ac:dyDescent="0.25">
      <c r="A212" s="9" t="s">
        <v>0</v>
      </c>
      <c r="B212" s="11">
        <v>14031</v>
      </c>
      <c r="C212" s="12">
        <f t="shared" si="15"/>
        <v>6.1487603305785121E-2</v>
      </c>
      <c r="E212" s="9">
        <f t="shared" si="14"/>
        <v>1</v>
      </c>
      <c r="F212" s="9">
        <f t="shared" si="14"/>
        <v>0</v>
      </c>
    </row>
    <row r="213" spans="1:6" x14ac:dyDescent="0.25">
      <c r="A213" s="9" t="s">
        <v>0</v>
      </c>
      <c r="B213" s="11">
        <v>14061</v>
      </c>
      <c r="C213" s="12">
        <f t="shared" si="15"/>
        <v>5.9504132231404959E-2</v>
      </c>
      <c r="E213" s="9">
        <f t="shared" si="14"/>
        <v>0</v>
      </c>
      <c r="F213" s="9">
        <f t="shared" si="14"/>
        <v>0</v>
      </c>
    </row>
    <row r="214" spans="1:6" x14ac:dyDescent="0.25">
      <c r="A214" s="9" t="s">
        <v>0</v>
      </c>
      <c r="B214" s="11">
        <v>14092</v>
      </c>
      <c r="C214" s="12">
        <f t="shared" si="15"/>
        <v>6.1487603305785121E-2</v>
      </c>
      <c r="E214" s="9">
        <f t="shared" si="14"/>
        <v>0</v>
      </c>
      <c r="F214" s="9">
        <f t="shared" si="14"/>
        <v>0</v>
      </c>
    </row>
    <row r="215" spans="1:6" x14ac:dyDescent="0.25">
      <c r="A215" s="9" t="s">
        <v>0</v>
      </c>
      <c r="B215" s="11">
        <v>14123</v>
      </c>
      <c r="C215" s="12">
        <f t="shared" si="15"/>
        <v>6.1487603305785121E-2</v>
      </c>
      <c r="E215" s="9">
        <f t="shared" si="14"/>
        <v>0</v>
      </c>
      <c r="F215" s="9">
        <f t="shared" si="14"/>
        <v>0</v>
      </c>
    </row>
    <row r="216" spans="1:6" x14ac:dyDescent="0.25">
      <c r="A216" s="9" t="s">
        <v>0</v>
      </c>
      <c r="B216" s="11">
        <v>14153</v>
      </c>
      <c r="C216" s="12">
        <f t="shared" si="15"/>
        <v>5.9504132231404959E-2</v>
      </c>
      <c r="E216" s="9">
        <f t="shared" si="14"/>
        <v>0</v>
      </c>
      <c r="F216" s="9">
        <f t="shared" si="14"/>
        <v>1</v>
      </c>
    </row>
    <row r="217" spans="1:6" x14ac:dyDescent="0.25">
      <c r="A217" s="9" t="s">
        <v>0</v>
      </c>
      <c r="B217" s="11">
        <v>14184</v>
      </c>
      <c r="C217" s="12">
        <f t="shared" si="15"/>
        <v>6.1487603305785121E-2</v>
      </c>
      <c r="E217" s="9">
        <f t="shared" si="14"/>
        <v>0</v>
      </c>
      <c r="F217" s="9">
        <f t="shared" si="14"/>
        <v>0</v>
      </c>
    </row>
    <row r="218" spans="1:6" x14ac:dyDescent="0.25">
      <c r="A218" s="9" t="s">
        <v>0</v>
      </c>
      <c r="B218" s="11">
        <v>14214</v>
      </c>
      <c r="C218" s="12">
        <f t="shared" si="15"/>
        <v>5.9504132231404959E-2</v>
      </c>
      <c r="E218" s="9">
        <f t="shared" ref="E218:F233" si="16">E206</f>
        <v>0</v>
      </c>
      <c r="F218" s="9">
        <f t="shared" si="16"/>
        <v>0</v>
      </c>
    </row>
    <row r="219" spans="1:6" x14ac:dyDescent="0.25">
      <c r="A219" s="9" t="s">
        <v>0</v>
      </c>
      <c r="B219" s="11">
        <v>14245</v>
      </c>
      <c r="C219" s="12">
        <f t="shared" si="15"/>
        <v>6.1487603305785121E-2</v>
      </c>
      <c r="E219" s="9">
        <f t="shared" si="16"/>
        <v>0</v>
      </c>
      <c r="F219" s="9">
        <f t="shared" si="16"/>
        <v>0</v>
      </c>
    </row>
    <row r="220" spans="1:6" x14ac:dyDescent="0.25">
      <c r="A220" s="9" t="s">
        <v>0</v>
      </c>
      <c r="B220" s="11">
        <v>14276</v>
      </c>
      <c r="C220" s="12">
        <f t="shared" si="15"/>
        <v>6.1487603305785121E-2</v>
      </c>
      <c r="E220" s="9">
        <f t="shared" si="16"/>
        <v>0</v>
      </c>
      <c r="F220" s="9">
        <f t="shared" si="16"/>
        <v>0</v>
      </c>
    </row>
    <row r="221" spans="1:6" x14ac:dyDescent="0.25">
      <c r="A221" s="9" t="s">
        <v>0</v>
      </c>
      <c r="B221" s="11">
        <v>14304</v>
      </c>
      <c r="C221" s="12">
        <f t="shared" si="15"/>
        <v>5.5537190082644627E-2</v>
      </c>
      <c r="E221" s="9">
        <f t="shared" si="16"/>
        <v>0</v>
      </c>
      <c r="F221" s="9">
        <f t="shared" si="16"/>
        <v>0</v>
      </c>
    </row>
    <row r="222" spans="1:6" x14ac:dyDescent="0.25">
      <c r="A222" s="9" t="s">
        <v>0</v>
      </c>
      <c r="B222" s="11">
        <v>14335</v>
      </c>
      <c r="C222" s="12">
        <f t="shared" si="15"/>
        <v>6.1487603305785121E-2</v>
      </c>
      <c r="E222" s="9">
        <f t="shared" si="16"/>
        <v>0</v>
      </c>
      <c r="F222" s="9">
        <f t="shared" si="16"/>
        <v>0</v>
      </c>
    </row>
    <row r="223" spans="1:6" x14ac:dyDescent="0.25">
      <c r="A223" s="9" t="s">
        <v>0</v>
      </c>
      <c r="B223" s="11">
        <v>14365</v>
      </c>
      <c r="C223" s="12">
        <f t="shared" si="15"/>
        <v>5.9504132231404959E-2</v>
      </c>
      <c r="E223" s="9">
        <f t="shared" si="16"/>
        <v>0</v>
      </c>
      <c r="F223" s="9">
        <f t="shared" si="16"/>
        <v>0</v>
      </c>
    </row>
    <row r="224" spans="1:6" x14ac:dyDescent="0.25">
      <c r="A224" s="9" t="s">
        <v>0</v>
      </c>
      <c r="B224" s="11">
        <v>14396</v>
      </c>
      <c r="C224" s="12">
        <f t="shared" si="15"/>
        <v>6.1487603305785121E-2</v>
      </c>
      <c r="E224" s="9">
        <f t="shared" si="16"/>
        <v>1</v>
      </c>
      <c r="F224" s="9">
        <f t="shared" si="16"/>
        <v>0</v>
      </c>
    </row>
    <row r="225" spans="1:6" x14ac:dyDescent="0.25">
      <c r="A225" s="9" t="s">
        <v>0</v>
      </c>
      <c r="B225" s="11">
        <v>14426</v>
      </c>
      <c r="C225" s="12">
        <f t="shared" si="15"/>
        <v>5.9504132231404959E-2</v>
      </c>
      <c r="E225" s="9">
        <f t="shared" si="16"/>
        <v>0</v>
      </c>
      <c r="F225" s="9">
        <f t="shared" si="16"/>
        <v>0</v>
      </c>
    </row>
    <row r="226" spans="1:6" x14ac:dyDescent="0.25">
      <c r="A226" s="9" t="s">
        <v>0</v>
      </c>
      <c r="B226" s="11">
        <v>14457</v>
      </c>
      <c r="C226" s="12">
        <f t="shared" si="15"/>
        <v>6.1487603305785121E-2</v>
      </c>
      <c r="E226" s="9">
        <f t="shared" si="16"/>
        <v>0</v>
      </c>
      <c r="F226" s="9">
        <f t="shared" si="16"/>
        <v>0</v>
      </c>
    </row>
    <row r="227" spans="1:6" x14ac:dyDescent="0.25">
      <c r="A227" s="9" t="s">
        <v>0</v>
      </c>
      <c r="B227" s="11">
        <v>14488</v>
      </c>
      <c r="C227" s="12">
        <f t="shared" si="15"/>
        <v>6.1487603305785121E-2</v>
      </c>
      <c r="E227" s="9">
        <f t="shared" si="16"/>
        <v>0</v>
      </c>
      <c r="F227" s="9">
        <f t="shared" si="16"/>
        <v>0</v>
      </c>
    </row>
    <row r="228" spans="1:6" x14ac:dyDescent="0.25">
      <c r="A228" s="9" t="s">
        <v>0</v>
      </c>
      <c r="B228" s="11">
        <v>14518</v>
      </c>
      <c r="C228" s="12">
        <f t="shared" si="15"/>
        <v>5.9504132231404959E-2</v>
      </c>
      <c r="E228" s="9">
        <f t="shared" si="16"/>
        <v>0</v>
      </c>
      <c r="F228" s="9">
        <f t="shared" si="16"/>
        <v>1</v>
      </c>
    </row>
    <row r="229" spans="1:6" x14ac:dyDescent="0.25">
      <c r="A229" s="9" t="s">
        <v>0</v>
      </c>
      <c r="B229" s="11">
        <v>14549</v>
      </c>
      <c r="C229" s="12">
        <f t="shared" si="15"/>
        <v>6.1487603305785121E-2</v>
      </c>
      <c r="E229" s="9">
        <f t="shared" si="16"/>
        <v>0</v>
      </c>
      <c r="F229" s="9">
        <f t="shared" si="16"/>
        <v>0</v>
      </c>
    </row>
    <row r="230" spans="1:6" x14ac:dyDescent="0.25">
      <c r="A230" s="9" t="s">
        <v>0</v>
      </c>
      <c r="B230" s="11">
        <v>14579</v>
      </c>
      <c r="C230" s="12">
        <f t="shared" si="15"/>
        <v>5.9504132231404959E-2</v>
      </c>
      <c r="E230" s="9">
        <f t="shared" si="16"/>
        <v>0</v>
      </c>
      <c r="F230" s="9">
        <f t="shared" si="16"/>
        <v>0</v>
      </c>
    </row>
    <row r="231" spans="1:6" x14ac:dyDescent="0.25">
      <c r="A231" s="9" t="s">
        <v>0</v>
      </c>
      <c r="B231" s="11">
        <v>14610</v>
      </c>
      <c r="C231" s="12">
        <f t="shared" si="15"/>
        <v>6.1487603305785121E-2</v>
      </c>
      <c r="E231" s="9">
        <f t="shared" si="16"/>
        <v>0</v>
      </c>
      <c r="F231" s="9">
        <f t="shared" si="16"/>
        <v>0</v>
      </c>
    </row>
    <row r="232" spans="1:6" x14ac:dyDescent="0.25">
      <c r="A232" s="9" t="s">
        <v>0</v>
      </c>
      <c r="B232" s="11">
        <v>14641</v>
      </c>
      <c r="C232" s="12">
        <f t="shared" si="15"/>
        <v>6.1487603305785121E-2</v>
      </c>
      <c r="E232" s="9">
        <f t="shared" si="16"/>
        <v>0</v>
      </c>
      <c r="F232" s="9">
        <f t="shared" si="16"/>
        <v>0</v>
      </c>
    </row>
    <row r="233" spans="1:6" x14ac:dyDescent="0.25">
      <c r="A233" s="9" t="s">
        <v>0</v>
      </c>
      <c r="B233" s="11">
        <v>14670</v>
      </c>
      <c r="C233" s="12">
        <f t="shared" si="15"/>
        <v>5.752066115702479E-2</v>
      </c>
      <c r="E233" s="9">
        <f t="shared" si="16"/>
        <v>0</v>
      </c>
      <c r="F233" s="9">
        <f t="shared" si="16"/>
        <v>0</v>
      </c>
    </row>
    <row r="234" spans="1:6" x14ac:dyDescent="0.25">
      <c r="A234" s="9" t="s">
        <v>0</v>
      </c>
      <c r="B234" s="11">
        <v>14701</v>
      </c>
      <c r="C234" s="12">
        <f t="shared" si="15"/>
        <v>6.1487603305785121E-2</v>
      </c>
      <c r="E234" s="9">
        <f t="shared" ref="E234:F249" si="17">E222</f>
        <v>0</v>
      </c>
      <c r="F234" s="9">
        <f t="shared" si="17"/>
        <v>0</v>
      </c>
    </row>
    <row r="235" spans="1:6" x14ac:dyDescent="0.25">
      <c r="A235" s="9" t="s">
        <v>0</v>
      </c>
      <c r="B235" s="11">
        <v>14731</v>
      </c>
      <c r="C235" s="12">
        <f t="shared" si="15"/>
        <v>5.9504132231404959E-2</v>
      </c>
      <c r="E235" s="9">
        <f t="shared" si="17"/>
        <v>0</v>
      </c>
      <c r="F235" s="9">
        <f t="shared" si="17"/>
        <v>0</v>
      </c>
    </row>
    <row r="236" spans="1:6" x14ac:dyDescent="0.25">
      <c r="A236" s="9" t="s">
        <v>0</v>
      </c>
      <c r="B236" s="11">
        <v>14762</v>
      </c>
      <c r="C236" s="12">
        <f t="shared" si="15"/>
        <v>6.1487603305785121E-2</v>
      </c>
      <c r="E236" s="9">
        <f t="shared" si="17"/>
        <v>1</v>
      </c>
      <c r="F236" s="9">
        <f t="shared" si="17"/>
        <v>0</v>
      </c>
    </row>
    <row r="237" spans="1:6" x14ac:dyDescent="0.25">
      <c r="A237" s="9" t="s">
        <v>0</v>
      </c>
      <c r="B237" s="11">
        <v>14792</v>
      </c>
      <c r="C237" s="12">
        <f t="shared" si="15"/>
        <v>5.9504132231404959E-2</v>
      </c>
      <c r="E237" s="9">
        <f t="shared" si="17"/>
        <v>0</v>
      </c>
      <c r="F237" s="9">
        <f t="shared" si="17"/>
        <v>0</v>
      </c>
    </row>
    <row r="238" spans="1:6" x14ac:dyDescent="0.25">
      <c r="A238" s="9" t="s">
        <v>0</v>
      </c>
      <c r="B238" s="11">
        <v>14823</v>
      </c>
      <c r="C238" s="12">
        <f t="shared" si="15"/>
        <v>6.1487603305785121E-2</v>
      </c>
      <c r="E238" s="9">
        <f t="shared" si="17"/>
        <v>0</v>
      </c>
      <c r="F238" s="9">
        <f t="shared" si="17"/>
        <v>0</v>
      </c>
    </row>
    <row r="239" spans="1:6" x14ac:dyDescent="0.25">
      <c r="A239" s="9" t="s">
        <v>0</v>
      </c>
      <c r="B239" s="11">
        <v>14854</v>
      </c>
      <c r="C239" s="12">
        <f t="shared" si="15"/>
        <v>6.1487603305785121E-2</v>
      </c>
      <c r="E239" s="9">
        <f t="shared" si="17"/>
        <v>0</v>
      </c>
      <c r="F239" s="9">
        <f t="shared" si="17"/>
        <v>0</v>
      </c>
    </row>
    <row r="240" spans="1:6" x14ac:dyDescent="0.25">
      <c r="A240" s="9" t="s">
        <v>0</v>
      </c>
      <c r="B240" s="11">
        <v>14884</v>
      </c>
      <c r="C240" s="12">
        <f t="shared" si="15"/>
        <v>5.9504132231404959E-2</v>
      </c>
      <c r="E240" s="9">
        <f t="shared" si="17"/>
        <v>0</v>
      </c>
      <c r="F240" s="9">
        <f t="shared" si="17"/>
        <v>1</v>
      </c>
    </row>
    <row r="241" spans="1:6" x14ac:dyDescent="0.25">
      <c r="A241" s="9" t="s">
        <v>0</v>
      </c>
      <c r="B241" s="11">
        <v>14915</v>
      </c>
      <c r="C241" s="12">
        <f t="shared" si="15"/>
        <v>6.1487603305785121E-2</v>
      </c>
      <c r="E241" s="9">
        <f t="shared" si="17"/>
        <v>0</v>
      </c>
      <c r="F241" s="9">
        <f t="shared" si="17"/>
        <v>0</v>
      </c>
    </row>
    <row r="242" spans="1:6" x14ac:dyDescent="0.25">
      <c r="A242" s="9" t="s">
        <v>0</v>
      </c>
      <c r="B242" s="11">
        <v>14945</v>
      </c>
      <c r="C242" s="12">
        <f t="shared" si="15"/>
        <v>5.9504132231404959E-2</v>
      </c>
      <c r="E242" s="9">
        <f t="shared" si="17"/>
        <v>0</v>
      </c>
      <c r="F242" s="9">
        <f t="shared" si="17"/>
        <v>0</v>
      </c>
    </row>
    <row r="243" spans="1:6" x14ac:dyDescent="0.25">
      <c r="A243" s="9" t="s">
        <v>0</v>
      </c>
      <c r="B243" s="11">
        <v>14976</v>
      </c>
      <c r="C243" s="12">
        <f t="shared" si="15"/>
        <v>6.1487603305785121E-2</v>
      </c>
      <c r="E243" s="9">
        <f t="shared" si="17"/>
        <v>0</v>
      </c>
      <c r="F243" s="9">
        <f t="shared" si="17"/>
        <v>0</v>
      </c>
    </row>
    <row r="244" spans="1:6" x14ac:dyDescent="0.25">
      <c r="A244" s="9" t="s">
        <v>0</v>
      </c>
      <c r="B244" s="11">
        <v>15007</v>
      </c>
      <c r="C244" s="12">
        <f t="shared" si="15"/>
        <v>6.1487603305785121E-2</v>
      </c>
      <c r="E244" s="9">
        <f t="shared" si="17"/>
        <v>0</v>
      </c>
      <c r="F244" s="9">
        <f t="shared" si="17"/>
        <v>0</v>
      </c>
    </row>
    <row r="245" spans="1:6" x14ac:dyDescent="0.25">
      <c r="A245" s="9" t="s">
        <v>0</v>
      </c>
      <c r="B245" s="11">
        <v>15035</v>
      </c>
      <c r="C245" s="12">
        <f t="shared" si="15"/>
        <v>5.5537190082644627E-2</v>
      </c>
      <c r="E245" s="9">
        <f t="shared" si="17"/>
        <v>0</v>
      </c>
      <c r="F245" s="9">
        <f t="shared" si="17"/>
        <v>0</v>
      </c>
    </row>
    <row r="246" spans="1:6" x14ac:dyDescent="0.25">
      <c r="A246" s="9" t="s">
        <v>0</v>
      </c>
      <c r="B246" s="11">
        <v>15066</v>
      </c>
      <c r="C246" s="12">
        <f t="shared" si="15"/>
        <v>6.1487603305785121E-2</v>
      </c>
      <c r="E246" s="9">
        <f t="shared" si="17"/>
        <v>0</v>
      </c>
      <c r="F246" s="9">
        <f t="shared" si="17"/>
        <v>0</v>
      </c>
    </row>
    <row r="247" spans="1:6" x14ac:dyDescent="0.25">
      <c r="A247" s="9" t="s">
        <v>0</v>
      </c>
      <c r="B247" s="11">
        <v>15096</v>
      </c>
      <c r="C247" s="12">
        <f t="shared" si="15"/>
        <v>5.9504132231404959E-2</v>
      </c>
      <c r="E247" s="9">
        <f t="shared" si="17"/>
        <v>0</v>
      </c>
      <c r="F247" s="9">
        <f t="shared" si="17"/>
        <v>0</v>
      </c>
    </row>
    <row r="248" spans="1:6" x14ac:dyDescent="0.25">
      <c r="A248" s="9" t="s">
        <v>0</v>
      </c>
      <c r="B248" s="11">
        <v>15127</v>
      </c>
      <c r="C248" s="12">
        <f t="shared" si="15"/>
        <v>6.1487603305785121E-2</v>
      </c>
      <c r="E248" s="9">
        <f t="shared" si="17"/>
        <v>1</v>
      </c>
      <c r="F248" s="9">
        <f t="shared" si="17"/>
        <v>0</v>
      </c>
    </row>
    <row r="249" spans="1:6" x14ac:dyDescent="0.25">
      <c r="A249" s="9" t="s">
        <v>0</v>
      </c>
      <c r="B249" s="11">
        <v>15157</v>
      </c>
      <c r="C249" s="12">
        <f t="shared" si="15"/>
        <v>5.9504132231404959E-2</v>
      </c>
      <c r="E249" s="9">
        <f t="shared" si="17"/>
        <v>0</v>
      </c>
      <c r="F249" s="9">
        <f t="shared" si="17"/>
        <v>0</v>
      </c>
    </row>
    <row r="250" spans="1:6" x14ac:dyDescent="0.25">
      <c r="A250" s="9" t="s">
        <v>0</v>
      </c>
      <c r="B250" s="11">
        <v>15188</v>
      </c>
      <c r="C250" s="12">
        <f t="shared" si="15"/>
        <v>6.1487603305785121E-2</v>
      </c>
      <c r="E250" s="9">
        <f t="shared" ref="E250:F265" si="18">E238</f>
        <v>0</v>
      </c>
      <c r="F250" s="9">
        <f t="shared" si="18"/>
        <v>0</v>
      </c>
    </row>
    <row r="251" spans="1:6" x14ac:dyDescent="0.25">
      <c r="A251" s="9" t="s">
        <v>0</v>
      </c>
      <c r="B251" s="11">
        <v>15219</v>
      </c>
      <c r="C251" s="12">
        <f t="shared" si="15"/>
        <v>6.1487603305785121E-2</v>
      </c>
      <c r="E251" s="9">
        <f t="shared" si="18"/>
        <v>0</v>
      </c>
      <c r="F251" s="9">
        <f t="shared" si="18"/>
        <v>0</v>
      </c>
    </row>
    <row r="252" spans="1:6" x14ac:dyDescent="0.25">
      <c r="A252" s="9" t="s">
        <v>0</v>
      </c>
      <c r="B252" s="11">
        <v>15249</v>
      </c>
      <c r="C252" s="12">
        <f t="shared" si="15"/>
        <v>5.9504132231404959E-2</v>
      </c>
      <c r="E252" s="9">
        <f t="shared" si="18"/>
        <v>0</v>
      </c>
      <c r="F252" s="9">
        <f t="shared" si="18"/>
        <v>1</v>
      </c>
    </row>
    <row r="253" spans="1:6" x14ac:dyDescent="0.25">
      <c r="A253" s="9" t="s">
        <v>0</v>
      </c>
      <c r="B253" s="11">
        <v>15280</v>
      </c>
      <c r="C253" s="12">
        <f t="shared" si="15"/>
        <v>6.1487603305785121E-2</v>
      </c>
      <c r="E253" s="9">
        <f t="shared" si="18"/>
        <v>0</v>
      </c>
      <c r="F253" s="9">
        <f t="shared" si="18"/>
        <v>0</v>
      </c>
    </row>
    <row r="254" spans="1:6" x14ac:dyDescent="0.25">
      <c r="A254" s="9" t="s">
        <v>0</v>
      </c>
      <c r="B254" s="11">
        <v>15310</v>
      </c>
      <c r="C254" s="12">
        <f t="shared" si="15"/>
        <v>5.9504132231404959E-2</v>
      </c>
      <c r="E254" s="9">
        <f t="shared" si="18"/>
        <v>0</v>
      </c>
      <c r="F254" s="9">
        <f t="shared" si="18"/>
        <v>0</v>
      </c>
    </row>
    <row r="255" spans="1:6" x14ac:dyDescent="0.25">
      <c r="A255" s="9" t="s">
        <v>0</v>
      </c>
      <c r="B255" s="11">
        <v>15341</v>
      </c>
      <c r="C255" s="12">
        <f t="shared" si="15"/>
        <v>6.1487603305785121E-2</v>
      </c>
      <c r="E255" s="9">
        <f t="shared" si="18"/>
        <v>0</v>
      </c>
      <c r="F255" s="9">
        <f t="shared" si="18"/>
        <v>0</v>
      </c>
    </row>
    <row r="256" spans="1:6" x14ac:dyDescent="0.25">
      <c r="A256" s="9" t="s">
        <v>0</v>
      </c>
      <c r="B256" s="11">
        <v>15372</v>
      </c>
      <c r="C256" s="12">
        <f t="shared" si="15"/>
        <v>6.1487603305785121E-2</v>
      </c>
      <c r="E256" s="9">
        <f t="shared" si="18"/>
        <v>0</v>
      </c>
      <c r="F256" s="9">
        <f t="shared" si="18"/>
        <v>0</v>
      </c>
    </row>
    <row r="257" spans="1:6" x14ac:dyDescent="0.25">
      <c r="A257" s="9" t="s">
        <v>0</v>
      </c>
      <c r="B257" s="11">
        <v>15400</v>
      </c>
      <c r="C257" s="12">
        <f t="shared" si="15"/>
        <v>5.5537190082644627E-2</v>
      </c>
      <c r="E257" s="9">
        <f t="shared" si="18"/>
        <v>0</v>
      </c>
      <c r="F257" s="9">
        <f t="shared" si="18"/>
        <v>0</v>
      </c>
    </row>
    <row r="258" spans="1:6" x14ac:dyDescent="0.25">
      <c r="A258" s="9" t="s">
        <v>0</v>
      </c>
      <c r="B258" s="11">
        <v>15431</v>
      </c>
      <c r="C258" s="12">
        <f t="shared" si="15"/>
        <v>6.1487603305785121E-2</v>
      </c>
      <c r="E258" s="9">
        <f t="shared" si="18"/>
        <v>0</v>
      </c>
      <c r="F258" s="9">
        <f t="shared" si="18"/>
        <v>0</v>
      </c>
    </row>
    <row r="259" spans="1:6" x14ac:dyDescent="0.25">
      <c r="A259" s="9" t="s">
        <v>0</v>
      </c>
      <c r="B259" s="11">
        <v>15461</v>
      </c>
      <c r="C259" s="12">
        <f t="shared" si="15"/>
        <v>5.9504132231404959E-2</v>
      </c>
      <c r="E259" s="9">
        <f t="shared" si="18"/>
        <v>0</v>
      </c>
      <c r="F259" s="9">
        <f t="shared" si="18"/>
        <v>0</v>
      </c>
    </row>
    <row r="260" spans="1:6" x14ac:dyDescent="0.25">
      <c r="A260" s="9" t="s">
        <v>0</v>
      </c>
      <c r="B260" s="11">
        <v>15492</v>
      </c>
      <c r="C260" s="12">
        <f t="shared" si="15"/>
        <v>6.1487603305785121E-2</v>
      </c>
      <c r="E260" s="9">
        <f t="shared" si="18"/>
        <v>1</v>
      </c>
      <c r="F260" s="9">
        <f t="shared" si="18"/>
        <v>0</v>
      </c>
    </row>
    <row r="261" spans="1:6" x14ac:dyDescent="0.25">
      <c r="A261" s="9" t="s">
        <v>0</v>
      </c>
      <c r="B261" s="11">
        <v>15522</v>
      </c>
      <c r="C261" s="12">
        <f t="shared" si="15"/>
        <v>5.9504132231404959E-2</v>
      </c>
      <c r="E261" s="9">
        <f t="shared" si="18"/>
        <v>0</v>
      </c>
      <c r="F261" s="9">
        <f t="shared" si="18"/>
        <v>0</v>
      </c>
    </row>
    <row r="262" spans="1:6" x14ac:dyDescent="0.25">
      <c r="A262" s="9" t="s">
        <v>0</v>
      </c>
      <c r="B262" s="11">
        <v>15553</v>
      </c>
      <c r="C262" s="12">
        <f t="shared" si="15"/>
        <v>6.1487603305785121E-2</v>
      </c>
      <c r="E262" s="9">
        <f t="shared" si="18"/>
        <v>0</v>
      </c>
      <c r="F262" s="9">
        <f t="shared" si="18"/>
        <v>0</v>
      </c>
    </row>
    <row r="263" spans="1:6" x14ac:dyDescent="0.25">
      <c r="A263" s="9" t="s">
        <v>0</v>
      </c>
      <c r="B263" s="11">
        <v>15584</v>
      </c>
      <c r="C263" s="12">
        <f t="shared" si="15"/>
        <v>6.1487603305785121E-2</v>
      </c>
      <c r="E263" s="9">
        <f t="shared" si="18"/>
        <v>0</v>
      </c>
      <c r="F263" s="9">
        <f t="shared" si="18"/>
        <v>0</v>
      </c>
    </row>
    <row r="264" spans="1:6" x14ac:dyDescent="0.25">
      <c r="A264" s="9" t="s">
        <v>0</v>
      </c>
      <c r="B264" s="11">
        <v>15614</v>
      </c>
      <c r="C264" s="12">
        <f t="shared" si="15"/>
        <v>5.9504132231404959E-2</v>
      </c>
      <c r="E264" s="9">
        <f t="shared" si="18"/>
        <v>0</v>
      </c>
      <c r="F264" s="9">
        <f t="shared" si="18"/>
        <v>1</v>
      </c>
    </row>
    <row r="265" spans="1:6" x14ac:dyDescent="0.25">
      <c r="A265" s="9" t="s">
        <v>0</v>
      </c>
      <c r="B265" s="11">
        <v>15645</v>
      </c>
      <c r="C265" s="12">
        <f t="shared" si="15"/>
        <v>6.1487603305785121E-2</v>
      </c>
      <c r="E265" s="9">
        <f t="shared" si="18"/>
        <v>0</v>
      </c>
      <c r="F265" s="9">
        <f t="shared" si="18"/>
        <v>0</v>
      </c>
    </row>
    <row r="266" spans="1:6" x14ac:dyDescent="0.25">
      <c r="A266" s="9" t="s">
        <v>0</v>
      </c>
      <c r="B266" s="11">
        <v>15675</v>
      </c>
      <c r="C266" s="12">
        <f t="shared" si="15"/>
        <v>5.9504132231404959E-2</v>
      </c>
      <c r="E266" s="9">
        <f t="shared" ref="E266:F281" si="19">E254</f>
        <v>0</v>
      </c>
      <c r="F266" s="9">
        <f t="shared" si="19"/>
        <v>0</v>
      </c>
    </row>
    <row r="267" spans="1:6" x14ac:dyDescent="0.25">
      <c r="A267" s="9" t="s">
        <v>0</v>
      </c>
      <c r="B267" s="11">
        <v>15706</v>
      </c>
      <c r="C267" s="12">
        <f t="shared" si="15"/>
        <v>6.1487603305785121E-2</v>
      </c>
      <c r="E267" s="9">
        <f t="shared" si="19"/>
        <v>0</v>
      </c>
      <c r="F267" s="9">
        <f t="shared" si="19"/>
        <v>0</v>
      </c>
    </row>
    <row r="268" spans="1:6" x14ac:dyDescent="0.25">
      <c r="A268" s="9" t="s">
        <v>0</v>
      </c>
      <c r="B268" s="11">
        <v>15737</v>
      </c>
      <c r="C268" s="12">
        <f t="shared" si="15"/>
        <v>6.1487603305785121E-2</v>
      </c>
      <c r="E268" s="9">
        <f t="shared" si="19"/>
        <v>0</v>
      </c>
      <c r="F268" s="9">
        <f t="shared" si="19"/>
        <v>0</v>
      </c>
    </row>
    <row r="269" spans="1:6" x14ac:dyDescent="0.25">
      <c r="A269" s="9" t="s">
        <v>0</v>
      </c>
      <c r="B269" s="11">
        <v>15765</v>
      </c>
      <c r="C269" s="12">
        <f t="shared" si="15"/>
        <v>5.5537190082644627E-2</v>
      </c>
      <c r="E269" s="9">
        <f t="shared" si="19"/>
        <v>0</v>
      </c>
      <c r="F269" s="9">
        <f t="shared" si="19"/>
        <v>0</v>
      </c>
    </row>
    <row r="270" spans="1:6" x14ac:dyDescent="0.25">
      <c r="A270" s="9" t="s">
        <v>0</v>
      </c>
      <c r="B270" s="11">
        <v>15796</v>
      </c>
      <c r="C270" s="12">
        <f t="shared" ref="C270:C333" si="20">(B270-B269)*86400/43560/1000</f>
        <v>6.1487603305785121E-2</v>
      </c>
      <c r="E270" s="9">
        <f t="shared" si="19"/>
        <v>0</v>
      </c>
      <c r="F270" s="9">
        <f t="shared" si="19"/>
        <v>0</v>
      </c>
    </row>
    <row r="271" spans="1:6" x14ac:dyDescent="0.25">
      <c r="A271" s="9" t="s">
        <v>0</v>
      </c>
      <c r="B271" s="11">
        <v>15826</v>
      </c>
      <c r="C271" s="12">
        <f t="shared" si="20"/>
        <v>5.9504132231404959E-2</v>
      </c>
      <c r="E271" s="9">
        <f t="shared" si="19"/>
        <v>0</v>
      </c>
      <c r="F271" s="9">
        <f t="shared" si="19"/>
        <v>0</v>
      </c>
    </row>
    <row r="272" spans="1:6" x14ac:dyDescent="0.25">
      <c r="A272" s="9" t="s">
        <v>0</v>
      </c>
      <c r="B272" s="11">
        <v>15857</v>
      </c>
      <c r="C272" s="12">
        <f t="shared" si="20"/>
        <v>6.1487603305785121E-2</v>
      </c>
      <c r="E272" s="9">
        <f t="shared" si="19"/>
        <v>1</v>
      </c>
      <c r="F272" s="9">
        <f t="shared" si="19"/>
        <v>0</v>
      </c>
    </row>
    <row r="273" spans="1:6" x14ac:dyDescent="0.25">
      <c r="A273" s="9" t="s">
        <v>0</v>
      </c>
      <c r="B273" s="11">
        <v>15887</v>
      </c>
      <c r="C273" s="12">
        <f t="shared" si="20"/>
        <v>5.9504132231404959E-2</v>
      </c>
      <c r="E273" s="9">
        <f t="shared" si="19"/>
        <v>0</v>
      </c>
      <c r="F273" s="9">
        <f t="shared" si="19"/>
        <v>0</v>
      </c>
    </row>
    <row r="274" spans="1:6" x14ac:dyDescent="0.25">
      <c r="A274" s="9" t="s">
        <v>0</v>
      </c>
      <c r="B274" s="11">
        <v>15918</v>
      </c>
      <c r="C274" s="12">
        <f t="shared" si="20"/>
        <v>6.1487603305785121E-2</v>
      </c>
      <c r="E274" s="9">
        <f t="shared" si="19"/>
        <v>0</v>
      </c>
      <c r="F274" s="9">
        <f t="shared" si="19"/>
        <v>0</v>
      </c>
    </row>
    <row r="275" spans="1:6" x14ac:dyDescent="0.25">
      <c r="A275" s="9" t="s">
        <v>0</v>
      </c>
      <c r="B275" s="11">
        <v>15949</v>
      </c>
      <c r="C275" s="12">
        <f t="shared" si="20"/>
        <v>6.1487603305785121E-2</v>
      </c>
      <c r="E275" s="9">
        <f t="shared" si="19"/>
        <v>0</v>
      </c>
      <c r="F275" s="9">
        <f t="shared" si="19"/>
        <v>0</v>
      </c>
    </row>
    <row r="276" spans="1:6" x14ac:dyDescent="0.25">
      <c r="A276" s="9" t="s">
        <v>0</v>
      </c>
      <c r="B276" s="11">
        <v>15979</v>
      </c>
      <c r="C276" s="12">
        <f t="shared" si="20"/>
        <v>5.9504132231404959E-2</v>
      </c>
      <c r="E276" s="9">
        <f t="shared" si="19"/>
        <v>0</v>
      </c>
      <c r="F276" s="9">
        <f t="shared" si="19"/>
        <v>1</v>
      </c>
    </row>
    <row r="277" spans="1:6" x14ac:dyDescent="0.25">
      <c r="A277" s="9" t="s">
        <v>0</v>
      </c>
      <c r="B277" s="11">
        <v>16010</v>
      </c>
      <c r="C277" s="12">
        <f t="shared" si="20"/>
        <v>6.1487603305785121E-2</v>
      </c>
      <c r="E277" s="9">
        <f t="shared" si="19"/>
        <v>0</v>
      </c>
      <c r="F277" s="9">
        <f t="shared" si="19"/>
        <v>0</v>
      </c>
    </row>
    <row r="278" spans="1:6" x14ac:dyDescent="0.25">
      <c r="A278" s="9" t="s">
        <v>0</v>
      </c>
      <c r="B278" s="11">
        <v>16040</v>
      </c>
      <c r="C278" s="12">
        <f t="shared" si="20"/>
        <v>5.9504132231404959E-2</v>
      </c>
      <c r="E278" s="9">
        <f t="shared" si="19"/>
        <v>0</v>
      </c>
      <c r="F278" s="9">
        <f t="shared" si="19"/>
        <v>0</v>
      </c>
    </row>
    <row r="279" spans="1:6" x14ac:dyDescent="0.25">
      <c r="A279" s="9" t="s">
        <v>0</v>
      </c>
      <c r="B279" s="11">
        <v>16071</v>
      </c>
      <c r="C279" s="12">
        <f t="shared" si="20"/>
        <v>6.1487603305785121E-2</v>
      </c>
      <c r="E279" s="9">
        <f t="shared" si="19"/>
        <v>0</v>
      </c>
      <c r="F279" s="9">
        <f t="shared" si="19"/>
        <v>0</v>
      </c>
    </row>
    <row r="280" spans="1:6" x14ac:dyDescent="0.25">
      <c r="A280" s="9" t="s">
        <v>0</v>
      </c>
      <c r="B280" s="11">
        <v>16102</v>
      </c>
      <c r="C280" s="12">
        <f t="shared" si="20"/>
        <v>6.1487603305785121E-2</v>
      </c>
      <c r="E280" s="9">
        <f t="shared" si="19"/>
        <v>0</v>
      </c>
      <c r="F280" s="9">
        <f t="shared" si="19"/>
        <v>0</v>
      </c>
    </row>
    <row r="281" spans="1:6" x14ac:dyDescent="0.25">
      <c r="A281" s="9" t="s">
        <v>0</v>
      </c>
      <c r="B281" s="11">
        <v>16131</v>
      </c>
      <c r="C281" s="12">
        <f t="shared" si="20"/>
        <v>5.752066115702479E-2</v>
      </c>
      <c r="E281" s="9">
        <f t="shared" si="19"/>
        <v>0</v>
      </c>
      <c r="F281" s="9">
        <f t="shared" si="19"/>
        <v>0</v>
      </c>
    </row>
    <row r="282" spans="1:6" x14ac:dyDescent="0.25">
      <c r="A282" s="9" t="s">
        <v>0</v>
      </c>
      <c r="B282" s="11">
        <v>16162</v>
      </c>
      <c r="C282" s="12">
        <f t="shared" si="20"/>
        <v>6.1487603305785121E-2</v>
      </c>
      <c r="E282" s="9">
        <f t="shared" ref="E282:F297" si="21">E270</f>
        <v>0</v>
      </c>
      <c r="F282" s="9">
        <f t="shared" si="21"/>
        <v>0</v>
      </c>
    </row>
    <row r="283" spans="1:6" x14ac:dyDescent="0.25">
      <c r="A283" s="9" t="s">
        <v>0</v>
      </c>
      <c r="B283" s="11">
        <v>16192</v>
      </c>
      <c r="C283" s="12">
        <f t="shared" si="20"/>
        <v>5.9504132231404959E-2</v>
      </c>
      <c r="E283" s="9">
        <f t="shared" si="21"/>
        <v>0</v>
      </c>
      <c r="F283" s="9">
        <f t="shared" si="21"/>
        <v>0</v>
      </c>
    </row>
    <row r="284" spans="1:6" x14ac:dyDescent="0.25">
      <c r="A284" s="9" t="s">
        <v>0</v>
      </c>
      <c r="B284" s="11">
        <v>16223</v>
      </c>
      <c r="C284" s="12">
        <f t="shared" si="20"/>
        <v>6.1487603305785121E-2</v>
      </c>
      <c r="E284" s="9">
        <f t="shared" si="21"/>
        <v>1</v>
      </c>
      <c r="F284" s="9">
        <f t="shared" si="21"/>
        <v>0</v>
      </c>
    </row>
    <row r="285" spans="1:6" x14ac:dyDescent="0.25">
      <c r="A285" s="9" t="s">
        <v>0</v>
      </c>
      <c r="B285" s="11">
        <v>16253</v>
      </c>
      <c r="C285" s="12">
        <f t="shared" si="20"/>
        <v>5.9504132231404959E-2</v>
      </c>
      <c r="E285" s="9">
        <f t="shared" si="21"/>
        <v>0</v>
      </c>
      <c r="F285" s="9">
        <f t="shared" si="21"/>
        <v>0</v>
      </c>
    </row>
    <row r="286" spans="1:6" x14ac:dyDescent="0.25">
      <c r="A286" s="9" t="s">
        <v>0</v>
      </c>
      <c r="B286" s="11">
        <v>16284</v>
      </c>
      <c r="C286" s="12">
        <f t="shared" si="20"/>
        <v>6.1487603305785121E-2</v>
      </c>
      <c r="E286" s="9">
        <f t="shared" si="21"/>
        <v>0</v>
      </c>
      <c r="F286" s="9">
        <f t="shared" si="21"/>
        <v>0</v>
      </c>
    </row>
    <row r="287" spans="1:6" x14ac:dyDescent="0.25">
      <c r="A287" s="9" t="s">
        <v>0</v>
      </c>
      <c r="B287" s="11">
        <v>16315</v>
      </c>
      <c r="C287" s="12">
        <f t="shared" si="20"/>
        <v>6.1487603305785121E-2</v>
      </c>
      <c r="E287" s="9">
        <f t="shared" si="21"/>
        <v>0</v>
      </c>
      <c r="F287" s="9">
        <f t="shared" si="21"/>
        <v>0</v>
      </c>
    </row>
    <row r="288" spans="1:6" x14ac:dyDescent="0.25">
      <c r="A288" s="9" t="s">
        <v>0</v>
      </c>
      <c r="B288" s="11">
        <v>16345</v>
      </c>
      <c r="C288" s="12">
        <f t="shared" si="20"/>
        <v>5.9504132231404959E-2</v>
      </c>
      <c r="E288" s="9">
        <f t="shared" si="21"/>
        <v>0</v>
      </c>
      <c r="F288" s="9">
        <f t="shared" si="21"/>
        <v>1</v>
      </c>
    </row>
    <row r="289" spans="1:6" x14ac:dyDescent="0.25">
      <c r="A289" s="9" t="s">
        <v>0</v>
      </c>
      <c r="B289" s="11">
        <v>16376</v>
      </c>
      <c r="C289" s="12">
        <f t="shared" si="20"/>
        <v>6.1487603305785121E-2</v>
      </c>
      <c r="E289" s="9">
        <f t="shared" si="21"/>
        <v>0</v>
      </c>
      <c r="F289" s="9">
        <f t="shared" si="21"/>
        <v>0</v>
      </c>
    </row>
    <row r="290" spans="1:6" x14ac:dyDescent="0.25">
      <c r="A290" s="9" t="s">
        <v>0</v>
      </c>
      <c r="B290" s="11">
        <v>16406</v>
      </c>
      <c r="C290" s="12">
        <f t="shared" si="20"/>
        <v>5.9504132231404959E-2</v>
      </c>
      <c r="E290" s="9">
        <f t="shared" si="21"/>
        <v>0</v>
      </c>
      <c r="F290" s="9">
        <f t="shared" si="21"/>
        <v>0</v>
      </c>
    </row>
    <row r="291" spans="1:6" x14ac:dyDescent="0.25">
      <c r="A291" s="9" t="s">
        <v>0</v>
      </c>
      <c r="B291" s="11">
        <v>16437</v>
      </c>
      <c r="C291" s="12">
        <f t="shared" si="20"/>
        <v>6.1487603305785121E-2</v>
      </c>
      <c r="E291" s="9">
        <f t="shared" si="21"/>
        <v>0</v>
      </c>
      <c r="F291" s="9">
        <f t="shared" si="21"/>
        <v>0</v>
      </c>
    </row>
    <row r="292" spans="1:6" x14ac:dyDescent="0.25">
      <c r="A292" s="9" t="s">
        <v>0</v>
      </c>
      <c r="B292" s="11">
        <v>16468</v>
      </c>
      <c r="C292" s="12">
        <f t="shared" si="20"/>
        <v>6.1487603305785121E-2</v>
      </c>
      <c r="E292" s="9">
        <f t="shared" si="21"/>
        <v>0</v>
      </c>
      <c r="F292" s="9">
        <f t="shared" si="21"/>
        <v>0</v>
      </c>
    </row>
    <row r="293" spans="1:6" x14ac:dyDescent="0.25">
      <c r="A293" s="9" t="s">
        <v>0</v>
      </c>
      <c r="B293" s="11">
        <v>16496</v>
      </c>
      <c r="C293" s="12">
        <f t="shared" si="20"/>
        <v>5.5537190082644627E-2</v>
      </c>
      <c r="E293" s="9">
        <f t="shared" si="21"/>
        <v>0</v>
      </c>
      <c r="F293" s="9">
        <f t="shared" si="21"/>
        <v>0</v>
      </c>
    </row>
    <row r="294" spans="1:6" x14ac:dyDescent="0.25">
      <c r="A294" s="9" t="s">
        <v>0</v>
      </c>
      <c r="B294" s="11">
        <v>16527</v>
      </c>
      <c r="C294" s="12">
        <f t="shared" si="20"/>
        <v>6.1487603305785121E-2</v>
      </c>
      <c r="E294" s="9">
        <f t="shared" si="21"/>
        <v>0</v>
      </c>
      <c r="F294" s="9">
        <f t="shared" si="21"/>
        <v>0</v>
      </c>
    </row>
    <row r="295" spans="1:6" x14ac:dyDescent="0.25">
      <c r="A295" s="9" t="s">
        <v>0</v>
      </c>
      <c r="B295" s="11">
        <v>16557</v>
      </c>
      <c r="C295" s="12">
        <f t="shared" si="20"/>
        <v>5.9504132231404959E-2</v>
      </c>
      <c r="E295" s="9">
        <f t="shared" si="21"/>
        <v>0</v>
      </c>
      <c r="F295" s="9">
        <f t="shared" si="21"/>
        <v>0</v>
      </c>
    </row>
    <row r="296" spans="1:6" x14ac:dyDescent="0.25">
      <c r="A296" s="9" t="s">
        <v>0</v>
      </c>
      <c r="B296" s="11">
        <v>16588</v>
      </c>
      <c r="C296" s="12">
        <f t="shared" si="20"/>
        <v>6.1487603305785121E-2</v>
      </c>
      <c r="E296" s="9">
        <f t="shared" si="21"/>
        <v>1</v>
      </c>
      <c r="F296" s="9">
        <f t="shared" si="21"/>
        <v>0</v>
      </c>
    </row>
    <row r="297" spans="1:6" x14ac:dyDescent="0.25">
      <c r="A297" s="9" t="s">
        <v>0</v>
      </c>
      <c r="B297" s="11">
        <v>16618</v>
      </c>
      <c r="C297" s="12">
        <f t="shared" si="20"/>
        <v>5.9504132231404959E-2</v>
      </c>
      <c r="E297" s="9">
        <f t="shared" si="21"/>
        <v>0</v>
      </c>
      <c r="F297" s="9">
        <f t="shared" si="21"/>
        <v>0</v>
      </c>
    </row>
    <row r="298" spans="1:6" x14ac:dyDescent="0.25">
      <c r="A298" s="9" t="s">
        <v>0</v>
      </c>
      <c r="B298" s="11">
        <v>16649</v>
      </c>
      <c r="C298" s="12">
        <f t="shared" si="20"/>
        <v>6.1487603305785121E-2</v>
      </c>
      <c r="E298" s="9">
        <f t="shared" ref="E298:F313" si="22">E286</f>
        <v>0</v>
      </c>
      <c r="F298" s="9">
        <f t="shared" si="22"/>
        <v>0</v>
      </c>
    </row>
    <row r="299" spans="1:6" x14ac:dyDescent="0.25">
      <c r="A299" s="9" t="s">
        <v>0</v>
      </c>
      <c r="B299" s="11">
        <v>16680</v>
      </c>
      <c r="C299" s="12">
        <f t="shared" si="20"/>
        <v>6.1487603305785121E-2</v>
      </c>
      <c r="E299" s="9">
        <f t="shared" si="22"/>
        <v>0</v>
      </c>
      <c r="F299" s="9">
        <f t="shared" si="22"/>
        <v>0</v>
      </c>
    </row>
    <row r="300" spans="1:6" x14ac:dyDescent="0.25">
      <c r="A300" s="9" t="s">
        <v>0</v>
      </c>
      <c r="B300" s="11">
        <v>16710</v>
      </c>
      <c r="C300" s="12">
        <f t="shared" si="20"/>
        <v>5.9504132231404959E-2</v>
      </c>
      <c r="E300" s="9">
        <f t="shared" si="22"/>
        <v>0</v>
      </c>
      <c r="F300" s="9">
        <f t="shared" si="22"/>
        <v>1</v>
      </c>
    </row>
    <row r="301" spans="1:6" x14ac:dyDescent="0.25">
      <c r="A301" s="9" t="s">
        <v>0</v>
      </c>
      <c r="B301" s="11">
        <v>16741</v>
      </c>
      <c r="C301" s="12">
        <f t="shared" si="20"/>
        <v>6.1487603305785121E-2</v>
      </c>
      <c r="E301" s="9">
        <f t="shared" si="22"/>
        <v>0</v>
      </c>
      <c r="F301" s="9">
        <f t="shared" si="22"/>
        <v>0</v>
      </c>
    </row>
    <row r="302" spans="1:6" x14ac:dyDescent="0.25">
      <c r="A302" s="9" t="s">
        <v>0</v>
      </c>
      <c r="B302" s="11">
        <v>16771</v>
      </c>
      <c r="C302" s="12">
        <f t="shared" si="20"/>
        <v>5.9504132231404959E-2</v>
      </c>
      <c r="E302" s="9">
        <f t="shared" si="22"/>
        <v>0</v>
      </c>
      <c r="F302" s="9">
        <f t="shared" si="22"/>
        <v>0</v>
      </c>
    </row>
    <row r="303" spans="1:6" x14ac:dyDescent="0.25">
      <c r="A303" s="9" t="s">
        <v>0</v>
      </c>
      <c r="B303" s="11">
        <v>16802</v>
      </c>
      <c r="C303" s="12">
        <f t="shared" si="20"/>
        <v>6.1487603305785121E-2</v>
      </c>
      <c r="E303" s="9">
        <f t="shared" si="22"/>
        <v>0</v>
      </c>
      <c r="F303" s="9">
        <f t="shared" si="22"/>
        <v>0</v>
      </c>
    </row>
    <row r="304" spans="1:6" x14ac:dyDescent="0.25">
      <c r="A304" s="9" t="s">
        <v>0</v>
      </c>
      <c r="B304" s="11">
        <v>16833</v>
      </c>
      <c r="C304" s="12">
        <f t="shared" si="20"/>
        <v>6.1487603305785121E-2</v>
      </c>
      <c r="E304" s="9">
        <f t="shared" si="22"/>
        <v>0</v>
      </c>
      <c r="F304" s="9">
        <f t="shared" si="22"/>
        <v>0</v>
      </c>
    </row>
    <row r="305" spans="1:6" x14ac:dyDescent="0.25">
      <c r="A305" s="9" t="s">
        <v>0</v>
      </c>
      <c r="B305" s="11">
        <v>16861</v>
      </c>
      <c r="C305" s="12">
        <f t="shared" si="20"/>
        <v>5.5537190082644627E-2</v>
      </c>
      <c r="E305" s="9">
        <f t="shared" si="22"/>
        <v>0</v>
      </c>
      <c r="F305" s="9">
        <f t="shared" si="22"/>
        <v>0</v>
      </c>
    </row>
    <row r="306" spans="1:6" x14ac:dyDescent="0.25">
      <c r="A306" s="9" t="s">
        <v>0</v>
      </c>
      <c r="B306" s="11">
        <v>16892</v>
      </c>
      <c r="C306" s="12">
        <f t="shared" si="20"/>
        <v>6.1487603305785121E-2</v>
      </c>
      <c r="E306" s="9">
        <f t="shared" si="22"/>
        <v>0</v>
      </c>
      <c r="F306" s="9">
        <f t="shared" si="22"/>
        <v>0</v>
      </c>
    </row>
    <row r="307" spans="1:6" x14ac:dyDescent="0.25">
      <c r="A307" s="9" t="s">
        <v>0</v>
      </c>
      <c r="B307" s="11">
        <v>16922</v>
      </c>
      <c r="C307" s="12">
        <f t="shared" si="20"/>
        <v>5.9504132231404959E-2</v>
      </c>
      <c r="E307" s="9">
        <f t="shared" si="22"/>
        <v>0</v>
      </c>
      <c r="F307" s="9">
        <f t="shared" si="22"/>
        <v>0</v>
      </c>
    </row>
    <row r="308" spans="1:6" x14ac:dyDescent="0.25">
      <c r="A308" s="9" t="s">
        <v>0</v>
      </c>
      <c r="B308" s="11">
        <v>16953</v>
      </c>
      <c r="C308" s="12">
        <f t="shared" si="20"/>
        <v>6.1487603305785121E-2</v>
      </c>
      <c r="E308" s="9">
        <f t="shared" si="22"/>
        <v>1</v>
      </c>
      <c r="F308" s="9">
        <f t="shared" si="22"/>
        <v>0</v>
      </c>
    </row>
    <row r="309" spans="1:6" x14ac:dyDescent="0.25">
      <c r="A309" s="9" t="s">
        <v>0</v>
      </c>
      <c r="B309" s="11">
        <v>16983</v>
      </c>
      <c r="C309" s="12">
        <f t="shared" si="20"/>
        <v>5.9504132231404959E-2</v>
      </c>
      <c r="E309" s="9">
        <f t="shared" si="22"/>
        <v>0</v>
      </c>
      <c r="F309" s="9">
        <f t="shared" si="22"/>
        <v>0</v>
      </c>
    </row>
    <row r="310" spans="1:6" x14ac:dyDescent="0.25">
      <c r="A310" s="9" t="s">
        <v>0</v>
      </c>
      <c r="B310" s="11">
        <v>17014</v>
      </c>
      <c r="C310" s="12">
        <f t="shared" si="20"/>
        <v>6.1487603305785121E-2</v>
      </c>
      <c r="E310" s="9">
        <f t="shared" si="22"/>
        <v>0</v>
      </c>
      <c r="F310" s="9">
        <f t="shared" si="22"/>
        <v>0</v>
      </c>
    </row>
    <row r="311" spans="1:6" x14ac:dyDescent="0.25">
      <c r="A311" s="9" t="s">
        <v>0</v>
      </c>
      <c r="B311" s="11">
        <v>17045</v>
      </c>
      <c r="C311" s="12">
        <f t="shared" si="20"/>
        <v>6.1487603305785121E-2</v>
      </c>
      <c r="E311" s="9">
        <f t="shared" si="22"/>
        <v>0</v>
      </c>
      <c r="F311" s="9">
        <f t="shared" si="22"/>
        <v>0</v>
      </c>
    </row>
    <row r="312" spans="1:6" x14ac:dyDescent="0.25">
      <c r="A312" s="9" t="s">
        <v>0</v>
      </c>
      <c r="B312" s="11">
        <v>17075</v>
      </c>
      <c r="C312" s="12">
        <f t="shared" si="20"/>
        <v>5.9504132231404959E-2</v>
      </c>
      <c r="E312" s="9">
        <f t="shared" si="22"/>
        <v>0</v>
      </c>
      <c r="F312" s="9">
        <f t="shared" si="22"/>
        <v>1</v>
      </c>
    </row>
    <row r="313" spans="1:6" x14ac:dyDescent="0.25">
      <c r="A313" s="9" t="s">
        <v>0</v>
      </c>
      <c r="B313" s="11">
        <v>17106</v>
      </c>
      <c r="C313" s="12">
        <f t="shared" si="20"/>
        <v>6.1487603305785121E-2</v>
      </c>
      <c r="E313" s="9">
        <f t="shared" si="22"/>
        <v>0</v>
      </c>
      <c r="F313" s="9">
        <f t="shared" si="22"/>
        <v>0</v>
      </c>
    </row>
    <row r="314" spans="1:6" x14ac:dyDescent="0.25">
      <c r="A314" s="9" t="s">
        <v>0</v>
      </c>
      <c r="B314" s="11">
        <v>17136</v>
      </c>
      <c r="C314" s="12">
        <f t="shared" si="20"/>
        <v>5.9504132231404959E-2</v>
      </c>
      <c r="E314" s="9">
        <f t="shared" ref="E314:F329" si="23">E302</f>
        <v>0</v>
      </c>
      <c r="F314" s="9">
        <f t="shared" si="23"/>
        <v>0</v>
      </c>
    </row>
    <row r="315" spans="1:6" x14ac:dyDescent="0.25">
      <c r="A315" s="9" t="s">
        <v>0</v>
      </c>
      <c r="B315" s="11">
        <v>17167</v>
      </c>
      <c r="C315" s="12">
        <f t="shared" si="20"/>
        <v>6.1487603305785121E-2</v>
      </c>
      <c r="E315" s="9">
        <f t="shared" si="23"/>
        <v>0</v>
      </c>
      <c r="F315" s="9">
        <f t="shared" si="23"/>
        <v>0</v>
      </c>
    </row>
    <row r="316" spans="1:6" x14ac:dyDescent="0.25">
      <c r="A316" s="9" t="s">
        <v>0</v>
      </c>
      <c r="B316" s="11">
        <v>17198</v>
      </c>
      <c r="C316" s="12">
        <f t="shared" si="20"/>
        <v>6.1487603305785121E-2</v>
      </c>
      <c r="E316" s="9">
        <f t="shared" si="23"/>
        <v>0</v>
      </c>
      <c r="F316" s="9">
        <f t="shared" si="23"/>
        <v>0</v>
      </c>
    </row>
    <row r="317" spans="1:6" x14ac:dyDescent="0.25">
      <c r="A317" s="9" t="s">
        <v>0</v>
      </c>
      <c r="B317" s="11">
        <v>17226</v>
      </c>
      <c r="C317" s="12">
        <f t="shared" si="20"/>
        <v>5.5537190082644627E-2</v>
      </c>
      <c r="E317" s="9">
        <f t="shared" si="23"/>
        <v>0</v>
      </c>
      <c r="F317" s="9">
        <f t="shared" si="23"/>
        <v>0</v>
      </c>
    </row>
    <row r="318" spans="1:6" x14ac:dyDescent="0.25">
      <c r="A318" s="9" t="s">
        <v>0</v>
      </c>
      <c r="B318" s="11">
        <v>17257</v>
      </c>
      <c r="C318" s="12">
        <f t="shared" si="20"/>
        <v>6.1487603305785121E-2</v>
      </c>
      <c r="E318" s="9">
        <f t="shared" si="23"/>
        <v>0</v>
      </c>
      <c r="F318" s="9">
        <f t="shared" si="23"/>
        <v>0</v>
      </c>
    </row>
    <row r="319" spans="1:6" x14ac:dyDescent="0.25">
      <c r="A319" s="9" t="s">
        <v>0</v>
      </c>
      <c r="B319" s="11">
        <v>17287</v>
      </c>
      <c r="C319" s="12">
        <f t="shared" si="20"/>
        <v>5.9504132231404959E-2</v>
      </c>
      <c r="E319" s="9">
        <f t="shared" si="23"/>
        <v>0</v>
      </c>
      <c r="F319" s="9">
        <f t="shared" si="23"/>
        <v>0</v>
      </c>
    </row>
    <row r="320" spans="1:6" x14ac:dyDescent="0.25">
      <c r="A320" s="9" t="s">
        <v>0</v>
      </c>
      <c r="B320" s="11">
        <v>17318</v>
      </c>
      <c r="C320" s="12">
        <f t="shared" si="20"/>
        <v>6.1487603305785121E-2</v>
      </c>
      <c r="E320" s="9">
        <f t="shared" si="23"/>
        <v>1</v>
      </c>
      <c r="F320" s="9">
        <f t="shared" si="23"/>
        <v>0</v>
      </c>
    </row>
    <row r="321" spans="1:6" x14ac:dyDescent="0.25">
      <c r="A321" s="9" t="s">
        <v>0</v>
      </c>
      <c r="B321" s="11">
        <v>17348</v>
      </c>
      <c r="C321" s="12">
        <f t="shared" si="20"/>
        <v>5.9504132231404959E-2</v>
      </c>
      <c r="E321" s="9">
        <f t="shared" si="23"/>
        <v>0</v>
      </c>
      <c r="F321" s="9">
        <f t="shared" si="23"/>
        <v>0</v>
      </c>
    </row>
    <row r="322" spans="1:6" x14ac:dyDescent="0.25">
      <c r="A322" s="9" t="s">
        <v>0</v>
      </c>
      <c r="B322" s="11">
        <v>17379</v>
      </c>
      <c r="C322" s="12">
        <f t="shared" si="20"/>
        <v>6.1487603305785121E-2</v>
      </c>
      <c r="E322" s="9">
        <f t="shared" si="23"/>
        <v>0</v>
      </c>
      <c r="F322" s="9">
        <f t="shared" si="23"/>
        <v>0</v>
      </c>
    </row>
    <row r="323" spans="1:6" x14ac:dyDescent="0.25">
      <c r="A323" s="9" t="s">
        <v>0</v>
      </c>
      <c r="B323" s="11">
        <v>17410</v>
      </c>
      <c r="C323" s="12">
        <f t="shared" si="20"/>
        <v>6.1487603305785121E-2</v>
      </c>
      <c r="E323" s="9">
        <f t="shared" si="23"/>
        <v>0</v>
      </c>
      <c r="F323" s="9">
        <f t="shared" si="23"/>
        <v>0</v>
      </c>
    </row>
    <row r="324" spans="1:6" x14ac:dyDescent="0.25">
      <c r="A324" s="9" t="s">
        <v>0</v>
      </c>
      <c r="B324" s="11">
        <v>17440</v>
      </c>
      <c r="C324" s="12">
        <f t="shared" si="20"/>
        <v>5.9504132231404959E-2</v>
      </c>
      <c r="E324" s="9">
        <f t="shared" si="23"/>
        <v>0</v>
      </c>
      <c r="F324" s="9">
        <f t="shared" si="23"/>
        <v>1</v>
      </c>
    </row>
    <row r="325" spans="1:6" x14ac:dyDescent="0.25">
      <c r="A325" s="9" t="s">
        <v>0</v>
      </c>
      <c r="B325" s="11">
        <v>17471</v>
      </c>
      <c r="C325" s="12">
        <f t="shared" si="20"/>
        <v>6.1487603305785121E-2</v>
      </c>
      <c r="E325" s="9">
        <f t="shared" si="23"/>
        <v>0</v>
      </c>
      <c r="F325" s="9">
        <f t="shared" si="23"/>
        <v>0</v>
      </c>
    </row>
    <row r="326" spans="1:6" x14ac:dyDescent="0.25">
      <c r="A326" s="9" t="s">
        <v>0</v>
      </c>
      <c r="B326" s="11">
        <v>17501</v>
      </c>
      <c r="C326" s="12">
        <f t="shared" si="20"/>
        <v>5.9504132231404959E-2</v>
      </c>
      <c r="E326" s="9">
        <f t="shared" si="23"/>
        <v>0</v>
      </c>
      <c r="F326" s="9">
        <f t="shared" si="23"/>
        <v>0</v>
      </c>
    </row>
    <row r="327" spans="1:6" x14ac:dyDescent="0.25">
      <c r="A327" s="9" t="s">
        <v>0</v>
      </c>
      <c r="B327" s="11">
        <v>17532</v>
      </c>
      <c r="C327" s="12">
        <f t="shared" si="20"/>
        <v>6.1487603305785121E-2</v>
      </c>
      <c r="E327" s="9">
        <f t="shared" si="23"/>
        <v>0</v>
      </c>
      <c r="F327" s="9">
        <f t="shared" si="23"/>
        <v>0</v>
      </c>
    </row>
    <row r="328" spans="1:6" x14ac:dyDescent="0.25">
      <c r="A328" s="9" t="s">
        <v>0</v>
      </c>
      <c r="B328" s="11">
        <v>17563</v>
      </c>
      <c r="C328" s="12">
        <f t="shared" si="20"/>
        <v>6.1487603305785121E-2</v>
      </c>
      <c r="E328" s="9">
        <f t="shared" si="23"/>
        <v>0</v>
      </c>
      <c r="F328" s="9">
        <f t="shared" si="23"/>
        <v>0</v>
      </c>
    </row>
    <row r="329" spans="1:6" x14ac:dyDescent="0.25">
      <c r="A329" s="9" t="s">
        <v>0</v>
      </c>
      <c r="B329" s="11">
        <v>17592</v>
      </c>
      <c r="C329" s="12">
        <f t="shared" si="20"/>
        <v>5.752066115702479E-2</v>
      </c>
      <c r="E329" s="9">
        <f t="shared" si="23"/>
        <v>0</v>
      </c>
      <c r="F329" s="9">
        <f t="shared" si="23"/>
        <v>0</v>
      </c>
    </row>
    <row r="330" spans="1:6" x14ac:dyDescent="0.25">
      <c r="A330" s="9" t="s">
        <v>0</v>
      </c>
      <c r="B330" s="11">
        <v>17623</v>
      </c>
      <c r="C330" s="12">
        <f t="shared" si="20"/>
        <v>6.1487603305785121E-2</v>
      </c>
      <c r="E330" s="9">
        <f t="shared" ref="E330:F345" si="24">E318</f>
        <v>0</v>
      </c>
      <c r="F330" s="9">
        <f t="shared" si="24"/>
        <v>0</v>
      </c>
    </row>
    <row r="331" spans="1:6" x14ac:dyDescent="0.25">
      <c r="A331" s="9" t="s">
        <v>0</v>
      </c>
      <c r="B331" s="11">
        <v>17653</v>
      </c>
      <c r="C331" s="12">
        <f t="shared" si="20"/>
        <v>5.9504132231404959E-2</v>
      </c>
      <c r="E331" s="9">
        <f t="shared" si="24"/>
        <v>0</v>
      </c>
      <c r="F331" s="9">
        <f t="shared" si="24"/>
        <v>0</v>
      </c>
    </row>
    <row r="332" spans="1:6" x14ac:dyDescent="0.25">
      <c r="A332" s="9" t="s">
        <v>0</v>
      </c>
      <c r="B332" s="11">
        <v>17684</v>
      </c>
      <c r="C332" s="12">
        <f t="shared" si="20"/>
        <v>6.1487603305785121E-2</v>
      </c>
      <c r="E332" s="9">
        <f t="shared" si="24"/>
        <v>1</v>
      </c>
      <c r="F332" s="9">
        <f t="shared" si="24"/>
        <v>0</v>
      </c>
    </row>
    <row r="333" spans="1:6" x14ac:dyDescent="0.25">
      <c r="A333" s="9" t="s">
        <v>0</v>
      </c>
      <c r="B333" s="11">
        <v>17714</v>
      </c>
      <c r="C333" s="12">
        <f t="shared" si="20"/>
        <v>5.9504132231404959E-2</v>
      </c>
      <c r="E333" s="9">
        <f t="shared" si="24"/>
        <v>0</v>
      </c>
      <c r="F333" s="9">
        <f t="shared" si="24"/>
        <v>0</v>
      </c>
    </row>
    <row r="334" spans="1:6" x14ac:dyDescent="0.25">
      <c r="A334" s="9" t="s">
        <v>0</v>
      </c>
      <c r="B334" s="11">
        <v>17745</v>
      </c>
      <c r="C334" s="12">
        <f t="shared" ref="C334:C397" si="25">(B334-B333)*86400/43560/1000</f>
        <v>6.1487603305785121E-2</v>
      </c>
      <c r="E334" s="9">
        <f t="shared" si="24"/>
        <v>0</v>
      </c>
      <c r="F334" s="9">
        <f t="shared" si="24"/>
        <v>0</v>
      </c>
    </row>
    <row r="335" spans="1:6" x14ac:dyDescent="0.25">
      <c r="A335" s="9" t="s">
        <v>0</v>
      </c>
      <c r="B335" s="11">
        <v>17776</v>
      </c>
      <c r="C335" s="12">
        <f t="shared" si="25"/>
        <v>6.1487603305785121E-2</v>
      </c>
      <c r="E335" s="9">
        <f t="shared" si="24"/>
        <v>0</v>
      </c>
      <c r="F335" s="9">
        <f t="shared" si="24"/>
        <v>0</v>
      </c>
    </row>
    <row r="336" spans="1:6" x14ac:dyDescent="0.25">
      <c r="A336" s="9" t="s">
        <v>0</v>
      </c>
      <c r="B336" s="11">
        <v>17806</v>
      </c>
      <c r="C336" s="12">
        <f t="shared" si="25"/>
        <v>5.9504132231404959E-2</v>
      </c>
      <c r="E336" s="9">
        <f t="shared" si="24"/>
        <v>0</v>
      </c>
      <c r="F336" s="9">
        <f t="shared" si="24"/>
        <v>1</v>
      </c>
    </row>
    <row r="337" spans="1:6" x14ac:dyDescent="0.25">
      <c r="A337" s="9" t="s">
        <v>0</v>
      </c>
      <c r="B337" s="11">
        <v>17837</v>
      </c>
      <c r="C337" s="12">
        <f t="shared" si="25"/>
        <v>6.1487603305785121E-2</v>
      </c>
      <c r="E337" s="9">
        <f t="shared" si="24"/>
        <v>0</v>
      </c>
      <c r="F337" s="9">
        <f t="shared" si="24"/>
        <v>0</v>
      </c>
    </row>
    <row r="338" spans="1:6" x14ac:dyDescent="0.25">
      <c r="A338" s="9" t="s">
        <v>0</v>
      </c>
      <c r="B338" s="11">
        <v>17867</v>
      </c>
      <c r="C338" s="12">
        <f t="shared" si="25"/>
        <v>5.9504132231404959E-2</v>
      </c>
      <c r="E338" s="9">
        <f t="shared" si="24"/>
        <v>0</v>
      </c>
      <c r="F338" s="9">
        <f t="shared" si="24"/>
        <v>0</v>
      </c>
    </row>
    <row r="339" spans="1:6" x14ac:dyDescent="0.25">
      <c r="A339" s="9" t="s">
        <v>0</v>
      </c>
      <c r="B339" s="11">
        <v>17898</v>
      </c>
      <c r="C339" s="12">
        <f t="shared" si="25"/>
        <v>6.1487603305785121E-2</v>
      </c>
      <c r="E339" s="9">
        <f t="shared" si="24"/>
        <v>0</v>
      </c>
      <c r="F339" s="9">
        <f t="shared" si="24"/>
        <v>0</v>
      </c>
    </row>
    <row r="340" spans="1:6" x14ac:dyDescent="0.25">
      <c r="A340" s="9" t="s">
        <v>0</v>
      </c>
      <c r="B340" s="11">
        <v>17929</v>
      </c>
      <c r="C340" s="12">
        <f t="shared" si="25"/>
        <v>6.1487603305785121E-2</v>
      </c>
      <c r="E340" s="9">
        <f t="shared" si="24"/>
        <v>0</v>
      </c>
      <c r="F340" s="9">
        <f t="shared" si="24"/>
        <v>0</v>
      </c>
    </row>
    <row r="341" spans="1:6" x14ac:dyDescent="0.25">
      <c r="A341" s="9" t="s">
        <v>0</v>
      </c>
      <c r="B341" s="11">
        <v>17957</v>
      </c>
      <c r="C341" s="12">
        <f t="shared" si="25"/>
        <v>5.5537190082644627E-2</v>
      </c>
      <c r="E341" s="9">
        <f t="shared" si="24"/>
        <v>0</v>
      </c>
      <c r="F341" s="9">
        <f t="shared" si="24"/>
        <v>0</v>
      </c>
    </row>
    <row r="342" spans="1:6" x14ac:dyDescent="0.25">
      <c r="A342" s="9" t="s">
        <v>0</v>
      </c>
      <c r="B342" s="11">
        <v>17988</v>
      </c>
      <c r="C342" s="12">
        <f t="shared" si="25"/>
        <v>6.1487603305785121E-2</v>
      </c>
      <c r="E342" s="9">
        <f t="shared" si="24"/>
        <v>0</v>
      </c>
      <c r="F342" s="9">
        <f t="shared" si="24"/>
        <v>0</v>
      </c>
    </row>
    <row r="343" spans="1:6" x14ac:dyDescent="0.25">
      <c r="A343" s="9" t="s">
        <v>0</v>
      </c>
      <c r="B343" s="11">
        <v>18018</v>
      </c>
      <c r="C343" s="12">
        <f t="shared" si="25"/>
        <v>5.9504132231404959E-2</v>
      </c>
      <c r="E343" s="9">
        <f t="shared" si="24"/>
        <v>0</v>
      </c>
      <c r="F343" s="9">
        <f t="shared" si="24"/>
        <v>0</v>
      </c>
    </row>
    <row r="344" spans="1:6" x14ac:dyDescent="0.25">
      <c r="A344" s="9" t="s">
        <v>0</v>
      </c>
      <c r="B344" s="11">
        <v>18049</v>
      </c>
      <c r="C344" s="12">
        <f t="shared" si="25"/>
        <v>6.1487603305785121E-2</v>
      </c>
      <c r="E344" s="9">
        <f t="shared" si="24"/>
        <v>1</v>
      </c>
      <c r="F344" s="9">
        <f t="shared" si="24"/>
        <v>0</v>
      </c>
    </row>
    <row r="345" spans="1:6" x14ac:dyDescent="0.25">
      <c r="A345" s="9" t="s">
        <v>0</v>
      </c>
      <c r="B345" s="11">
        <v>18079</v>
      </c>
      <c r="C345" s="12">
        <f t="shared" si="25"/>
        <v>5.9504132231404959E-2</v>
      </c>
      <c r="E345" s="9">
        <f t="shared" si="24"/>
        <v>0</v>
      </c>
      <c r="F345" s="9">
        <f t="shared" si="24"/>
        <v>0</v>
      </c>
    </row>
    <row r="346" spans="1:6" x14ac:dyDescent="0.25">
      <c r="A346" s="9" t="s">
        <v>0</v>
      </c>
      <c r="B346" s="11">
        <v>18110</v>
      </c>
      <c r="C346" s="12">
        <f t="shared" si="25"/>
        <v>6.1487603305785121E-2</v>
      </c>
      <c r="E346" s="9">
        <f t="shared" ref="E346:F361" si="26">E334</f>
        <v>0</v>
      </c>
      <c r="F346" s="9">
        <f t="shared" si="26"/>
        <v>0</v>
      </c>
    </row>
    <row r="347" spans="1:6" x14ac:dyDescent="0.25">
      <c r="A347" s="9" t="s">
        <v>0</v>
      </c>
      <c r="B347" s="11">
        <v>18141</v>
      </c>
      <c r="C347" s="12">
        <f t="shared" si="25"/>
        <v>6.1487603305785121E-2</v>
      </c>
      <c r="E347" s="9">
        <f t="shared" si="26"/>
        <v>0</v>
      </c>
      <c r="F347" s="9">
        <f t="shared" si="26"/>
        <v>0</v>
      </c>
    </row>
    <row r="348" spans="1:6" x14ac:dyDescent="0.25">
      <c r="A348" s="9" t="s">
        <v>0</v>
      </c>
      <c r="B348" s="11">
        <v>18171</v>
      </c>
      <c r="C348" s="12">
        <f t="shared" si="25"/>
        <v>5.9504132231404959E-2</v>
      </c>
      <c r="E348" s="9">
        <f t="shared" si="26"/>
        <v>0</v>
      </c>
      <c r="F348" s="9">
        <f t="shared" si="26"/>
        <v>1</v>
      </c>
    </row>
    <row r="349" spans="1:6" x14ac:dyDescent="0.25">
      <c r="A349" s="9" t="s">
        <v>0</v>
      </c>
      <c r="B349" s="11">
        <v>18202</v>
      </c>
      <c r="C349" s="12">
        <f t="shared" si="25"/>
        <v>6.1487603305785121E-2</v>
      </c>
      <c r="E349" s="9">
        <f t="shared" si="26"/>
        <v>0</v>
      </c>
      <c r="F349" s="9">
        <f t="shared" si="26"/>
        <v>0</v>
      </c>
    </row>
    <row r="350" spans="1:6" x14ac:dyDescent="0.25">
      <c r="A350" s="9" t="s">
        <v>0</v>
      </c>
      <c r="B350" s="11">
        <v>18232</v>
      </c>
      <c r="C350" s="12">
        <f t="shared" si="25"/>
        <v>5.9504132231404959E-2</v>
      </c>
      <c r="E350" s="9">
        <f t="shared" si="26"/>
        <v>0</v>
      </c>
      <c r="F350" s="9">
        <f t="shared" si="26"/>
        <v>0</v>
      </c>
    </row>
    <row r="351" spans="1:6" x14ac:dyDescent="0.25">
      <c r="A351" s="9" t="s">
        <v>0</v>
      </c>
      <c r="B351" s="11">
        <v>18263</v>
      </c>
      <c r="C351" s="12">
        <f t="shared" si="25"/>
        <v>6.1487603305785121E-2</v>
      </c>
      <c r="E351" s="9">
        <f t="shared" si="26"/>
        <v>0</v>
      </c>
      <c r="F351" s="9">
        <f t="shared" si="26"/>
        <v>0</v>
      </c>
    </row>
    <row r="352" spans="1:6" x14ac:dyDescent="0.25">
      <c r="A352" s="9" t="s">
        <v>0</v>
      </c>
      <c r="B352" s="11">
        <v>18294</v>
      </c>
      <c r="C352" s="12">
        <f t="shared" si="25"/>
        <v>6.1487603305785121E-2</v>
      </c>
      <c r="E352" s="9">
        <f t="shared" si="26"/>
        <v>0</v>
      </c>
      <c r="F352" s="9">
        <f t="shared" si="26"/>
        <v>0</v>
      </c>
    </row>
    <row r="353" spans="1:6" x14ac:dyDescent="0.25">
      <c r="A353" s="9" t="s">
        <v>0</v>
      </c>
      <c r="B353" s="11">
        <v>18322</v>
      </c>
      <c r="C353" s="12">
        <f t="shared" si="25"/>
        <v>5.5537190082644627E-2</v>
      </c>
      <c r="E353" s="9">
        <f t="shared" si="26"/>
        <v>0</v>
      </c>
      <c r="F353" s="9">
        <f t="shared" si="26"/>
        <v>0</v>
      </c>
    </row>
    <row r="354" spans="1:6" x14ac:dyDescent="0.25">
      <c r="A354" s="9" t="s">
        <v>0</v>
      </c>
      <c r="B354" s="11">
        <v>18353</v>
      </c>
      <c r="C354" s="12">
        <f t="shared" si="25"/>
        <v>6.1487603305785121E-2</v>
      </c>
      <c r="E354" s="9">
        <f t="shared" si="26"/>
        <v>0</v>
      </c>
      <c r="F354" s="9">
        <f t="shared" si="26"/>
        <v>0</v>
      </c>
    </row>
    <row r="355" spans="1:6" x14ac:dyDescent="0.25">
      <c r="A355" s="9" t="s">
        <v>0</v>
      </c>
      <c r="B355" s="11">
        <v>18383</v>
      </c>
      <c r="C355" s="12">
        <f t="shared" si="25"/>
        <v>5.9504132231404959E-2</v>
      </c>
      <c r="E355" s="9">
        <f t="shared" si="26"/>
        <v>0</v>
      </c>
      <c r="F355" s="9">
        <f t="shared" si="26"/>
        <v>0</v>
      </c>
    </row>
    <row r="356" spans="1:6" x14ac:dyDescent="0.25">
      <c r="A356" s="9" t="s">
        <v>0</v>
      </c>
      <c r="B356" s="11">
        <v>18414</v>
      </c>
      <c r="C356" s="12">
        <f t="shared" si="25"/>
        <v>6.1487603305785121E-2</v>
      </c>
      <c r="E356" s="9">
        <f t="shared" si="26"/>
        <v>1</v>
      </c>
      <c r="F356" s="9">
        <f t="shared" si="26"/>
        <v>0</v>
      </c>
    </row>
    <row r="357" spans="1:6" x14ac:dyDescent="0.25">
      <c r="A357" s="9" t="s">
        <v>0</v>
      </c>
      <c r="B357" s="11">
        <v>18444</v>
      </c>
      <c r="C357" s="12">
        <f t="shared" si="25"/>
        <v>5.9504132231404959E-2</v>
      </c>
      <c r="E357" s="9">
        <f t="shared" si="26"/>
        <v>0</v>
      </c>
      <c r="F357" s="9">
        <f t="shared" si="26"/>
        <v>0</v>
      </c>
    </row>
    <row r="358" spans="1:6" x14ac:dyDescent="0.25">
      <c r="A358" s="9" t="s">
        <v>0</v>
      </c>
      <c r="B358" s="11">
        <v>18475</v>
      </c>
      <c r="C358" s="12">
        <f t="shared" si="25"/>
        <v>6.1487603305785121E-2</v>
      </c>
      <c r="E358" s="9">
        <f t="shared" si="26"/>
        <v>0</v>
      </c>
      <c r="F358" s="9">
        <f t="shared" si="26"/>
        <v>0</v>
      </c>
    </row>
    <row r="359" spans="1:6" x14ac:dyDescent="0.25">
      <c r="A359" s="9" t="s">
        <v>0</v>
      </c>
      <c r="B359" s="11">
        <v>18506</v>
      </c>
      <c r="C359" s="12">
        <f t="shared" si="25"/>
        <v>6.1487603305785121E-2</v>
      </c>
      <c r="E359" s="9">
        <f t="shared" si="26"/>
        <v>0</v>
      </c>
      <c r="F359" s="9">
        <f t="shared" si="26"/>
        <v>0</v>
      </c>
    </row>
    <row r="360" spans="1:6" x14ac:dyDescent="0.25">
      <c r="A360" s="9" t="s">
        <v>0</v>
      </c>
      <c r="B360" s="11">
        <v>18536</v>
      </c>
      <c r="C360" s="12">
        <f t="shared" si="25"/>
        <v>5.9504132231404959E-2</v>
      </c>
      <c r="E360" s="9">
        <f t="shared" si="26"/>
        <v>0</v>
      </c>
      <c r="F360" s="9">
        <f t="shared" si="26"/>
        <v>1</v>
      </c>
    </row>
    <row r="361" spans="1:6" x14ac:dyDescent="0.25">
      <c r="A361" s="9" t="s">
        <v>0</v>
      </c>
      <c r="B361" s="11">
        <v>18567</v>
      </c>
      <c r="C361" s="12">
        <f t="shared" si="25"/>
        <v>6.1487603305785121E-2</v>
      </c>
      <c r="E361" s="9">
        <f t="shared" si="26"/>
        <v>0</v>
      </c>
      <c r="F361" s="9">
        <f t="shared" si="26"/>
        <v>0</v>
      </c>
    </row>
    <row r="362" spans="1:6" x14ac:dyDescent="0.25">
      <c r="A362" s="9" t="s">
        <v>0</v>
      </c>
      <c r="B362" s="11">
        <v>18597</v>
      </c>
      <c r="C362" s="12">
        <f t="shared" si="25"/>
        <v>5.9504132231404959E-2</v>
      </c>
      <c r="E362" s="9">
        <f t="shared" ref="E362:F377" si="27">E350</f>
        <v>0</v>
      </c>
      <c r="F362" s="9">
        <f t="shared" si="27"/>
        <v>0</v>
      </c>
    </row>
    <row r="363" spans="1:6" x14ac:dyDescent="0.25">
      <c r="A363" s="9" t="s">
        <v>0</v>
      </c>
      <c r="B363" s="11">
        <v>18628</v>
      </c>
      <c r="C363" s="12">
        <f t="shared" si="25"/>
        <v>6.1487603305785121E-2</v>
      </c>
      <c r="E363" s="9">
        <f t="shared" si="27"/>
        <v>0</v>
      </c>
      <c r="F363" s="9">
        <f t="shared" si="27"/>
        <v>0</v>
      </c>
    </row>
    <row r="364" spans="1:6" x14ac:dyDescent="0.25">
      <c r="A364" s="9" t="s">
        <v>0</v>
      </c>
      <c r="B364" s="11">
        <v>18659</v>
      </c>
      <c r="C364" s="12">
        <f t="shared" si="25"/>
        <v>6.1487603305785121E-2</v>
      </c>
      <c r="E364" s="9">
        <f t="shared" si="27"/>
        <v>0</v>
      </c>
      <c r="F364" s="9">
        <f t="shared" si="27"/>
        <v>0</v>
      </c>
    </row>
    <row r="365" spans="1:6" x14ac:dyDescent="0.25">
      <c r="A365" s="9" t="s">
        <v>0</v>
      </c>
      <c r="B365" s="11">
        <v>18687</v>
      </c>
      <c r="C365" s="12">
        <f t="shared" si="25"/>
        <v>5.5537190082644627E-2</v>
      </c>
      <c r="E365" s="9">
        <f t="shared" si="27"/>
        <v>0</v>
      </c>
      <c r="F365" s="9">
        <f t="shared" si="27"/>
        <v>0</v>
      </c>
    </row>
    <row r="366" spans="1:6" x14ac:dyDescent="0.25">
      <c r="A366" s="9" t="s">
        <v>0</v>
      </c>
      <c r="B366" s="11">
        <v>18718</v>
      </c>
      <c r="C366" s="12">
        <f t="shared" si="25"/>
        <v>6.1487603305785121E-2</v>
      </c>
      <c r="E366" s="9">
        <f t="shared" si="27"/>
        <v>0</v>
      </c>
      <c r="F366" s="9">
        <f t="shared" si="27"/>
        <v>0</v>
      </c>
    </row>
    <row r="367" spans="1:6" x14ac:dyDescent="0.25">
      <c r="A367" s="9" t="s">
        <v>0</v>
      </c>
      <c r="B367" s="11">
        <v>18748</v>
      </c>
      <c r="C367" s="12">
        <f t="shared" si="25"/>
        <v>5.9504132231404959E-2</v>
      </c>
      <c r="E367" s="9">
        <f t="shared" si="27"/>
        <v>0</v>
      </c>
      <c r="F367" s="9">
        <f t="shared" si="27"/>
        <v>0</v>
      </c>
    </row>
    <row r="368" spans="1:6" x14ac:dyDescent="0.25">
      <c r="A368" s="9" t="s">
        <v>0</v>
      </c>
      <c r="B368" s="11">
        <v>18779</v>
      </c>
      <c r="C368" s="12">
        <f t="shared" si="25"/>
        <v>6.1487603305785121E-2</v>
      </c>
      <c r="E368" s="9">
        <f t="shared" si="27"/>
        <v>1</v>
      </c>
      <c r="F368" s="9">
        <f t="shared" si="27"/>
        <v>0</v>
      </c>
    </row>
    <row r="369" spans="1:6" x14ac:dyDescent="0.25">
      <c r="A369" s="9" t="s">
        <v>0</v>
      </c>
      <c r="B369" s="11">
        <v>18809</v>
      </c>
      <c r="C369" s="12">
        <f t="shared" si="25"/>
        <v>5.9504132231404959E-2</v>
      </c>
      <c r="E369" s="9">
        <f t="shared" si="27"/>
        <v>0</v>
      </c>
      <c r="F369" s="9">
        <f t="shared" si="27"/>
        <v>0</v>
      </c>
    </row>
    <row r="370" spans="1:6" x14ac:dyDescent="0.25">
      <c r="A370" s="9" t="s">
        <v>0</v>
      </c>
      <c r="B370" s="11">
        <v>18840</v>
      </c>
      <c r="C370" s="12">
        <f t="shared" si="25"/>
        <v>6.1487603305785121E-2</v>
      </c>
      <c r="E370" s="9">
        <f t="shared" si="27"/>
        <v>0</v>
      </c>
      <c r="F370" s="9">
        <f t="shared" si="27"/>
        <v>0</v>
      </c>
    </row>
    <row r="371" spans="1:6" x14ac:dyDescent="0.25">
      <c r="A371" s="9" t="s">
        <v>0</v>
      </c>
      <c r="B371" s="11">
        <v>18871</v>
      </c>
      <c r="C371" s="12">
        <f t="shared" si="25"/>
        <v>6.1487603305785121E-2</v>
      </c>
      <c r="E371" s="9">
        <f t="shared" si="27"/>
        <v>0</v>
      </c>
      <c r="F371" s="9">
        <f t="shared" si="27"/>
        <v>0</v>
      </c>
    </row>
    <row r="372" spans="1:6" x14ac:dyDescent="0.25">
      <c r="A372" s="9" t="s">
        <v>0</v>
      </c>
      <c r="B372" s="11">
        <v>18901</v>
      </c>
      <c r="C372" s="12">
        <f t="shared" si="25"/>
        <v>5.9504132231404959E-2</v>
      </c>
      <c r="E372" s="9">
        <f t="shared" si="27"/>
        <v>0</v>
      </c>
      <c r="F372" s="9">
        <f t="shared" si="27"/>
        <v>1</v>
      </c>
    </row>
    <row r="373" spans="1:6" x14ac:dyDescent="0.25">
      <c r="A373" s="9" t="s">
        <v>0</v>
      </c>
      <c r="B373" s="11">
        <v>18932</v>
      </c>
      <c r="C373" s="12">
        <f t="shared" si="25"/>
        <v>6.1487603305785121E-2</v>
      </c>
      <c r="E373" s="9">
        <f t="shared" si="27"/>
        <v>0</v>
      </c>
      <c r="F373" s="9">
        <f t="shared" si="27"/>
        <v>0</v>
      </c>
    </row>
    <row r="374" spans="1:6" x14ac:dyDescent="0.25">
      <c r="A374" s="9" t="s">
        <v>0</v>
      </c>
      <c r="B374" s="11">
        <v>18962</v>
      </c>
      <c r="C374" s="12">
        <f t="shared" si="25"/>
        <v>5.9504132231404959E-2</v>
      </c>
      <c r="E374" s="9">
        <f t="shared" si="27"/>
        <v>0</v>
      </c>
      <c r="F374" s="9">
        <f t="shared" si="27"/>
        <v>0</v>
      </c>
    </row>
    <row r="375" spans="1:6" x14ac:dyDescent="0.25">
      <c r="A375" s="9" t="s">
        <v>0</v>
      </c>
      <c r="B375" s="11">
        <v>18993</v>
      </c>
      <c r="C375" s="12">
        <f t="shared" si="25"/>
        <v>6.1487603305785121E-2</v>
      </c>
      <c r="E375" s="9">
        <f t="shared" si="27"/>
        <v>0</v>
      </c>
      <c r="F375" s="9">
        <f t="shared" si="27"/>
        <v>0</v>
      </c>
    </row>
    <row r="376" spans="1:6" x14ac:dyDescent="0.25">
      <c r="A376" s="9" t="s">
        <v>0</v>
      </c>
      <c r="B376" s="11">
        <v>19024</v>
      </c>
      <c r="C376" s="12">
        <f t="shared" si="25"/>
        <v>6.1487603305785121E-2</v>
      </c>
      <c r="E376" s="9">
        <f t="shared" si="27"/>
        <v>0</v>
      </c>
      <c r="F376" s="9">
        <f t="shared" si="27"/>
        <v>0</v>
      </c>
    </row>
    <row r="377" spans="1:6" x14ac:dyDescent="0.25">
      <c r="A377" s="9" t="s">
        <v>0</v>
      </c>
      <c r="B377" s="11">
        <v>19053</v>
      </c>
      <c r="C377" s="12">
        <f t="shared" si="25"/>
        <v>5.752066115702479E-2</v>
      </c>
      <c r="E377" s="9">
        <f t="shared" si="27"/>
        <v>0</v>
      </c>
      <c r="F377" s="9">
        <f t="shared" si="27"/>
        <v>0</v>
      </c>
    </row>
    <row r="378" spans="1:6" x14ac:dyDescent="0.25">
      <c r="A378" s="9" t="s">
        <v>0</v>
      </c>
      <c r="B378" s="11">
        <v>19084</v>
      </c>
      <c r="C378" s="12">
        <f t="shared" si="25"/>
        <v>6.1487603305785121E-2</v>
      </c>
      <c r="E378" s="9">
        <f t="shared" ref="E378:F393" si="28">E366</f>
        <v>0</v>
      </c>
      <c r="F378" s="9">
        <f t="shared" si="28"/>
        <v>0</v>
      </c>
    </row>
    <row r="379" spans="1:6" x14ac:dyDescent="0.25">
      <c r="A379" s="9" t="s">
        <v>0</v>
      </c>
      <c r="B379" s="11">
        <v>19114</v>
      </c>
      <c r="C379" s="12">
        <f t="shared" si="25"/>
        <v>5.9504132231404959E-2</v>
      </c>
      <c r="E379" s="9">
        <f t="shared" si="28"/>
        <v>0</v>
      </c>
      <c r="F379" s="9">
        <f t="shared" si="28"/>
        <v>0</v>
      </c>
    </row>
    <row r="380" spans="1:6" x14ac:dyDescent="0.25">
      <c r="A380" s="9" t="s">
        <v>0</v>
      </c>
      <c r="B380" s="11">
        <v>19145</v>
      </c>
      <c r="C380" s="12">
        <f t="shared" si="25"/>
        <v>6.1487603305785121E-2</v>
      </c>
      <c r="E380" s="9">
        <f t="shared" si="28"/>
        <v>1</v>
      </c>
      <c r="F380" s="9">
        <f t="shared" si="28"/>
        <v>0</v>
      </c>
    </row>
    <row r="381" spans="1:6" x14ac:dyDescent="0.25">
      <c r="A381" s="9" t="s">
        <v>0</v>
      </c>
      <c r="B381" s="11">
        <v>19175</v>
      </c>
      <c r="C381" s="12">
        <f t="shared" si="25"/>
        <v>5.9504132231404959E-2</v>
      </c>
      <c r="E381" s="9">
        <f t="shared" si="28"/>
        <v>0</v>
      </c>
      <c r="F381" s="9">
        <f t="shared" si="28"/>
        <v>0</v>
      </c>
    </row>
    <row r="382" spans="1:6" x14ac:dyDescent="0.25">
      <c r="A382" s="9" t="s">
        <v>0</v>
      </c>
      <c r="B382" s="11">
        <v>19206</v>
      </c>
      <c r="C382" s="12">
        <f t="shared" si="25"/>
        <v>6.1487603305785121E-2</v>
      </c>
      <c r="E382" s="9">
        <f t="shared" si="28"/>
        <v>0</v>
      </c>
      <c r="F382" s="9">
        <f t="shared" si="28"/>
        <v>0</v>
      </c>
    </row>
    <row r="383" spans="1:6" x14ac:dyDescent="0.25">
      <c r="A383" s="9" t="s">
        <v>0</v>
      </c>
      <c r="B383" s="11">
        <v>19237</v>
      </c>
      <c r="C383" s="12">
        <f t="shared" si="25"/>
        <v>6.1487603305785121E-2</v>
      </c>
      <c r="E383" s="9">
        <f t="shared" si="28"/>
        <v>0</v>
      </c>
      <c r="F383" s="9">
        <f t="shared" si="28"/>
        <v>0</v>
      </c>
    </row>
    <row r="384" spans="1:6" x14ac:dyDescent="0.25">
      <c r="A384" s="9" t="s">
        <v>0</v>
      </c>
      <c r="B384" s="11">
        <v>19267</v>
      </c>
      <c r="C384" s="12">
        <f t="shared" si="25"/>
        <v>5.9504132231404959E-2</v>
      </c>
      <c r="E384" s="9">
        <f t="shared" si="28"/>
        <v>0</v>
      </c>
      <c r="F384" s="9">
        <f t="shared" si="28"/>
        <v>1</v>
      </c>
    </row>
    <row r="385" spans="1:6" x14ac:dyDescent="0.25">
      <c r="A385" s="9" t="s">
        <v>0</v>
      </c>
      <c r="B385" s="11">
        <v>19298</v>
      </c>
      <c r="C385" s="12">
        <f t="shared" si="25"/>
        <v>6.1487603305785121E-2</v>
      </c>
      <c r="E385" s="9">
        <f t="shared" si="28"/>
        <v>0</v>
      </c>
      <c r="F385" s="9">
        <f t="shared" si="28"/>
        <v>0</v>
      </c>
    </row>
    <row r="386" spans="1:6" x14ac:dyDescent="0.25">
      <c r="A386" s="9" t="s">
        <v>0</v>
      </c>
      <c r="B386" s="11">
        <v>19328</v>
      </c>
      <c r="C386" s="12">
        <f t="shared" si="25"/>
        <v>5.9504132231404959E-2</v>
      </c>
      <c r="E386" s="9">
        <f t="shared" si="28"/>
        <v>0</v>
      </c>
      <c r="F386" s="9">
        <f t="shared" si="28"/>
        <v>0</v>
      </c>
    </row>
    <row r="387" spans="1:6" x14ac:dyDescent="0.25">
      <c r="A387" s="9" t="s">
        <v>0</v>
      </c>
      <c r="B387" s="11">
        <v>19359</v>
      </c>
      <c r="C387" s="12">
        <f t="shared" si="25"/>
        <v>6.1487603305785121E-2</v>
      </c>
      <c r="E387" s="9">
        <f t="shared" si="28"/>
        <v>0</v>
      </c>
      <c r="F387" s="9">
        <f t="shared" si="28"/>
        <v>0</v>
      </c>
    </row>
    <row r="388" spans="1:6" x14ac:dyDescent="0.25">
      <c r="A388" s="9" t="s">
        <v>0</v>
      </c>
      <c r="B388" s="11">
        <v>19390</v>
      </c>
      <c r="C388" s="12">
        <f t="shared" si="25"/>
        <v>6.1487603305785121E-2</v>
      </c>
      <c r="E388" s="9">
        <f t="shared" si="28"/>
        <v>0</v>
      </c>
      <c r="F388" s="9">
        <f t="shared" si="28"/>
        <v>0</v>
      </c>
    </row>
    <row r="389" spans="1:6" x14ac:dyDescent="0.25">
      <c r="A389" s="9" t="s">
        <v>0</v>
      </c>
      <c r="B389" s="11">
        <v>19418</v>
      </c>
      <c r="C389" s="12">
        <f t="shared" si="25"/>
        <v>5.5537190082644627E-2</v>
      </c>
      <c r="E389" s="9">
        <f t="shared" si="28"/>
        <v>0</v>
      </c>
      <c r="F389" s="9">
        <f t="shared" si="28"/>
        <v>0</v>
      </c>
    </row>
    <row r="390" spans="1:6" x14ac:dyDescent="0.25">
      <c r="A390" s="9" t="s">
        <v>0</v>
      </c>
      <c r="B390" s="11">
        <v>19449</v>
      </c>
      <c r="C390" s="12">
        <f t="shared" si="25"/>
        <v>6.1487603305785121E-2</v>
      </c>
      <c r="E390" s="9">
        <f t="shared" si="28"/>
        <v>0</v>
      </c>
      <c r="F390" s="9">
        <f t="shared" si="28"/>
        <v>0</v>
      </c>
    </row>
    <row r="391" spans="1:6" x14ac:dyDescent="0.25">
      <c r="A391" s="9" t="s">
        <v>0</v>
      </c>
      <c r="B391" s="11">
        <v>19479</v>
      </c>
      <c r="C391" s="12">
        <f t="shared" si="25"/>
        <v>5.9504132231404959E-2</v>
      </c>
      <c r="E391" s="9">
        <f t="shared" si="28"/>
        <v>0</v>
      </c>
      <c r="F391" s="9">
        <f t="shared" si="28"/>
        <v>0</v>
      </c>
    </row>
    <row r="392" spans="1:6" x14ac:dyDescent="0.25">
      <c r="A392" s="9" t="s">
        <v>0</v>
      </c>
      <c r="B392" s="11">
        <v>19510</v>
      </c>
      <c r="C392" s="12">
        <f t="shared" si="25"/>
        <v>6.1487603305785121E-2</v>
      </c>
      <c r="E392" s="9">
        <f t="shared" si="28"/>
        <v>1</v>
      </c>
      <c r="F392" s="9">
        <f t="shared" si="28"/>
        <v>0</v>
      </c>
    </row>
    <row r="393" spans="1:6" x14ac:dyDescent="0.25">
      <c r="A393" s="9" t="s">
        <v>0</v>
      </c>
      <c r="B393" s="11">
        <v>19540</v>
      </c>
      <c r="C393" s="12">
        <f t="shared" si="25"/>
        <v>5.9504132231404959E-2</v>
      </c>
      <c r="E393" s="9">
        <f t="shared" si="28"/>
        <v>0</v>
      </c>
      <c r="F393" s="9">
        <f t="shared" si="28"/>
        <v>0</v>
      </c>
    </row>
    <row r="394" spans="1:6" x14ac:dyDescent="0.25">
      <c r="A394" s="9" t="s">
        <v>0</v>
      </c>
      <c r="B394" s="11">
        <v>19571</v>
      </c>
      <c r="C394" s="12">
        <f t="shared" si="25"/>
        <v>6.1487603305785121E-2</v>
      </c>
      <c r="E394" s="9">
        <f t="shared" ref="E394:F409" si="29">E382</f>
        <v>0</v>
      </c>
      <c r="F394" s="9">
        <f t="shared" si="29"/>
        <v>0</v>
      </c>
    </row>
    <row r="395" spans="1:6" x14ac:dyDescent="0.25">
      <c r="A395" s="9" t="s">
        <v>0</v>
      </c>
      <c r="B395" s="11">
        <v>19602</v>
      </c>
      <c r="C395" s="12">
        <f t="shared" si="25"/>
        <v>6.1487603305785121E-2</v>
      </c>
      <c r="E395" s="9">
        <f t="shared" si="29"/>
        <v>0</v>
      </c>
      <c r="F395" s="9">
        <f t="shared" si="29"/>
        <v>0</v>
      </c>
    </row>
    <row r="396" spans="1:6" x14ac:dyDescent="0.25">
      <c r="A396" s="9" t="s">
        <v>0</v>
      </c>
      <c r="B396" s="11">
        <v>19632</v>
      </c>
      <c r="C396" s="12">
        <f t="shared" si="25"/>
        <v>5.9504132231404959E-2</v>
      </c>
      <c r="E396" s="9">
        <f t="shared" si="29"/>
        <v>0</v>
      </c>
      <c r="F396" s="9">
        <f t="shared" si="29"/>
        <v>1</v>
      </c>
    </row>
    <row r="397" spans="1:6" x14ac:dyDescent="0.25">
      <c r="A397" s="9" t="s">
        <v>0</v>
      </c>
      <c r="B397" s="11">
        <v>19663</v>
      </c>
      <c r="C397" s="12">
        <f t="shared" si="25"/>
        <v>6.1487603305785121E-2</v>
      </c>
      <c r="E397" s="9">
        <f t="shared" si="29"/>
        <v>0</v>
      </c>
      <c r="F397" s="9">
        <f t="shared" si="29"/>
        <v>0</v>
      </c>
    </row>
    <row r="398" spans="1:6" x14ac:dyDescent="0.25">
      <c r="A398" s="9" t="s">
        <v>0</v>
      </c>
      <c r="B398" s="11">
        <v>19693</v>
      </c>
      <c r="C398" s="12">
        <f t="shared" ref="C398:C461" si="30">(B398-B397)*86400/43560/1000</f>
        <v>5.9504132231404959E-2</v>
      </c>
      <c r="E398" s="9">
        <f t="shared" si="29"/>
        <v>0</v>
      </c>
      <c r="F398" s="9">
        <f t="shared" si="29"/>
        <v>0</v>
      </c>
    </row>
    <row r="399" spans="1:6" x14ac:dyDescent="0.25">
      <c r="A399" s="9" t="s">
        <v>0</v>
      </c>
      <c r="B399" s="11">
        <v>19724</v>
      </c>
      <c r="C399" s="12">
        <f t="shared" si="30"/>
        <v>6.1487603305785121E-2</v>
      </c>
      <c r="E399" s="9">
        <f t="shared" si="29"/>
        <v>0</v>
      </c>
      <c r="F399" s="9">
        <f t="shared" si="29"/>
        <v>0</v>
      </c>
    </row>
    <row r="400" spans="1:6" x14ac:dyDescent="0.25">
      <c r="A400" s="9" t="s">
        <v>0</v>
      </c>
      <c r="B400" s="11">
        <v>19755</v>
      </c>
      <c r="C400" s="12">
        <f t="shared" si="30"/>
        <v>6.1487603305785121E-2</v>
      </c>
      <c r="E400" s="9">
        <f t="shared" si="29"/>
        <v>0</v>
      </c>
      <c r="F400" s="9">
        <f t="shared" si="29"/>
        <v>0</v>
      </c>
    </row>
    <row r="401" spans="1:6" x14ac:dyDescent="0.25">
      <c r="A401" s="9" t="s">
        <v>0</v>
      </c>
      <c r="B401" s="11">
        <v>19783</v>
      </c>
      <c r="C401" s="12">
        <f t="shared" si="30"/>
        <v>5.5537190082644627E-2</v>
      </c>
      <c r="E401" s="9">
        <f t="shared" si="29"/>
        <v>0</v>
      </c>
      <c r="F401" s="9">
        <f t="shared" si="29"/>
        <v>0</v>
      </c>
    </row>
    <row r="402" spans="1:6" x14ac:dyDescent="0.25">
      <c r="A402" s="9" t="s">
        <v>0</v>
      </c>
      <c r="B402" s="11">
        <v>19814</v>
      </c>
      <c r="C402" s="12">
        <f t="shared" si="30"/>
        <v>6.1487603305785121E-2</v>
      </c>
      <c r="E402" s="9">
        <f t="shared" si="29"/>
        <v>0</v>
      </c>
      <c r="F402" s="9">
        <f t="shared" si="29"/>
        <v>0</v>
      </c>
    </row>
    <row r="403" spans="1:6" x14ac:dyDescent="0.25">
      <c r="A403" s="9" t="s">
        <v>0</v>
      </c>
      <c r="B403" s="11">
        <v>19844</v>
      </c>
      <c r="C403" s="12">
        <f t="shared" si="30"/>
        <v>5.9504132231404959E-2</v>
      </c>
      <c r="E403" s="9">
        <f t="shared" si="29"/>
        <v>0</v>
      </c>
      <c r="F403" s="9">
        <f t="shared" si="29"/>
        <v>0</v>
      </c>
    </row>
    <row r="404" spans="1:6" x14ac:dyDescent="0.25">
      <c r="A404" s="9" t="s">
        <v>0</v>
      </c>
      <c r="B404" s="11">
        <v>19875</v>
      </c>
      <c r="C404" s="12">
        <f t="shared" si="30"/>
        <v>6.1487603305785121E-2</v>
      </c>
      <c r="E404" s="9">
        <f t="shared" si="29"/>
        <v>1</v>
      </c>
      <c r="F404" s="9">
        <f t="shared" si="29"/>
        <v>0</v>
      </c>
    </row>
    <row r="405" spans="1:6" x14ac:dyDescent="0.25">
      <c r="A405" s="9" t="s">
        <v>0</v>
      </c>
      <c r="B405" s="11">
        <v>19905</v>
      </c>
      <c r="C405" s="12">
        <f t="shared" si="30"/>
        <v>5.9504132231404959E-2</v>
      </c>
      <c r="E405" s="9">
        <f t="shared" si="29"/>
        <v>0</v>
      </c>
      <c r="F405" s="9">
        <f t="shared" si="29"/>
        <v>0</v>
      </c>
    </row>
    <row r="406" spans="1:6" x14ac:dyDescent="0.25">
      <c r="A406" s="9" t="s">
        <v>0</v>
      </c>
      <c r="B406" s="11">
        <v>19936</v>
      </c>
      <c r="C406" s="12">
        <f t="shared" si="30"/>
        <v>6.1487603305785121E-2</v>
      </c>
      <c r="E406" s="9">
        <f t="shared" si="29"/>
        <v>0</v>
      </c>
      <c r="F406" s="9">
        <f t="shared" si="29"/>
        <v>0</v>
      </c>
    </row>
    <row r="407" spans="1:6" x14ac:dyDescent="0.25">
      <c r="A407" s="9" t="s">
        <v>0</v>
      </c>
      <c r="B407" s="11">
        <v>19967</v>
      </c>
      <c r="C407" s="12">
        <f t="shared" si="30"/>
        <v>6.1487603305785121E-2</v>
      </c>
      <c r="E407" s="9">
        <f t="shared" si="29"/>
        <v>0</v>
      </c>
      <c r="F407" s="9">
        <f t="shared" si="29"/>
        <v>0</v>
      </c>
    </row>
    <row r="408" spans="1:6" x14ac:dyDescent="0.25">
      <c r="A408" s="9" t="s">
        <v>0</v>
      </c>
      <c r="B408" s="11">
        <v>19997</v>
      </c>
      <c r="C408" s="12">
        <f t="shared" si="30"/>
        <v>5.9504132231404959E-2</v>
      </c>
      <c r="E408" s="9">
        <f t="shared" si="29"/>
        <v>0</v>
      </c>
      <c r="F408" s="9">
        <f t="shared" si="29"/>
        <v>1</v>
      </c>
    </row>
    <row r="409" spans="1:6" x14ac:dyDescent="0.25">
      <c r="A409" s="9" t="s">
        <v>0</v>
      </c>
      <c r="B409" s="11">
        <v>20028</v>
      </c>
      <c r="C409" s="12">
        <f t="shared" si="30"/>
        <v>6.1487603305785121E-2</v>
      </c>
      <c r="E409" s="9">
        <f t="shared" si="29"/>
        <v>0</v>
      </c>
      <c r="F409" s="9">
        <f t="shared" si="29"/>
        <v>0</v>
      </c>
    </row>
    <row r="410" spans="1:6" x14ac:dyDescent="0.25">
      <c r="A410" s="9" t="s">
        <v>0</v>
      </c>
      <c r="B410" s="11">
        <v>20058</v>
      </c>
      <c r="C410" s="12">
        <f t="shared" si="30"/>
        <v>5.9504132231404959E-2</v>
      </c>
      <c r="E410" s="9">
        <f t="shared" ref="E410:F425" si="31">E398</f>
        <v>0</v>
      </c>
      <c r="F410" s="9">
        <f t="shared" si="31"/>
        <v>0</v>
      </c>
    </row>
    <row r="411" spans="1:6" x14ac:dyDescent="0.25">
      <c r="A411" s="9" t="s">
        <v>0</v>
      </c>
      <c r="B411" s="11">
        <v>20089</v>
      </c>
      <c r="C411" s="12">
        <f t="shared" si="30"/>
        <v>6.1487603305785121E-2</v>
      </c>
      <c r="E411" s="9">
        <f t="shared" si="31"/>
        <v>0</v>
      </c>
      <c r="F411" s="9">
        <f t="shared" si="31"/>
        <v>0</v>
      </c>
    </row>
    <row r="412" spans="1:6" x14ac:dyDescent="0.25">
      <c r="A412" s="9" t="s">
        <v>0</v>
      </c>
      <c r="B412" s="11">
        <v>20120</v>
      </c>
      <c r="C412" s="12">
        <f t="shared" si="30"/>
        <v>6.1487603305785121E-2</v>
      </c>
      <c r="E412" s="9">
        <f t="shared" si="31"/>
        <v>0</v>
      </c>
      <c r="F412" s="9">
        <f t="shared" si="31"/>
        <v>0</v>
      </c>
    </row>
    <row r="413" spans="1:6" x14ac:dyDescent="0.25">
      <c r="A413" s="9" t="s">
        <v>0</v>
      </c>
      <c r="B413" s="11">
        <v>20148</v>
      </c>
      <c r="C413" s="12">
        <f t="shared" si="30"/>
        <v>5.5537190082644627E-2</v>
      </c>
      <c r="E413" s="9">
        <f t="shared" si="31"/>
        <v>0</v>
      </c>
      <c r="F413" s="9">
        <f t="shared" si="31"/>
        <v>0</v>
      </c>
    </row>
    <row r="414" spans="1:6" x14ac:dyDescent="0.25">
      <c r="A414" s="9" t="s">
        <v>0</v>
      </c>
      <c r="B414" s="11">
        <v>20179</v>
      </c>
      <c r="C414" s="12">
        <f t="shared" si="30"/>
        <v>6.1487603305785121E-2</v>
      </c>
      <c r="E414" s="9">
        <f t="shared" si="31"/>
        <v>0</v>
      </c>
      <c r="F414" s="9">
        <f t="shared" si="31"/>
        <v>0</v>
      </c>
    </row>
    <row r="415" spans="1:6" x14ac:dyDescent="0.25">
      <c r="A415" s="9" t="s">
        <v>0</v>
      </c>
      <c r="B415" s="11">
        <v>20209</v>
      </c>
      <c r="C415" s="12">
        <f t="shared" si="30"/>
        <v>5.9504132231404959E-2</v>
      </c>
      <c r="E415" s="9">
        <f t="shared" si="31"/>
        <v>0</v>
      </c>
      <c r="F415" s="9">
        <f t="shared" si="31"/>
        <v>0</v>
      </c>
    </row>
    <row r="416" spans="1:6" x14ac:dyDescent="0.25">
      <c r="A416" s="9" t="s">
        <v>0</v>
      </c>
      <c r="B416" s="11">
        <v>20240</v>
      </c>
      <c r="C416" s="12">
        <f t="shared" si="30"/>
        <v>6.1487603305785121E-2</v>
      </c>
      <c r="E416" s="9">
        <f t="shared" si="31"/>
        <v>1</v>
      </c>
      <c r="F416" s="9">
        <f t="shared" si="31"/>
        <v>0</v>
      </c>
    </row>
    <row r="417" spans="1:6" x14ac:dyDescent="0.25">
      <c r="A417" s="9" t="s">
        <v>0</v>
      </c>
      <c r="B417" s="11">
        <v>20270</v>
      </c>
      <c r="C417" s="12">
        <f t="shared" si="30"/>
        <v>5.9504132231404959E-2</v>
      </c>
      <c r="E417" s="9">
        <f t="shared" si="31"/>
        <v>0</v>
      </c>
      <c r="F417" s="9">
        <f t="shared" si="31"/>
        <v>0</v>
      </c>
    </row>
    <row r="418" spans="1:6" x14ac:dyDescent="0.25">
      <c r="A418" s="9" t="s">
        <v>0</v>
      </c>
      <c r="B418" s="11">
        <v>20301</v>
      </c>
      <c r="C418" s="12">
        <f t="shared" si="30"/>
        <v>6.1487603305785121E-2</v>
      </c>
      <c r="E418" s="9">
        <f t="shared" si="31"/>
        <v>0</v>
      </c>
      <c r="F418" s="9">
        <f t="shared" si="31"/>
        <v>0</v>
      </c>
    </row>
    <row r="419" spans="1:6" x14ac:dyDescent="0.25">
      <c r="A419" s="9" t="s">
        <v>0</v>
      </c>
      <c r="B419" s="11">
        <v>20332</v>
      </c>
      <c r="C419" s="12">
        <f t="shared" si="30"/>
        <v>6.1487603305785121E-2</v>
      </c>
      <c r="E419" s="9">
        <f t="shared" si="31"/>
        <v>0</v>
      </c>
      <c r="F419" s="9">
        <f t="shared" si="31"/>
        <v>0</v>
      </c>
    </row>
    <row r="420" spans="1:6" x14ac:dyDescent="0.25">
      <c r="A420" s="9" t="s">
        <v>0</v>
      </c>
      <c r="B420" s="11">
        <v>20362</v>
      </c>
      <c r="C420" s="12">
        <f t="shared" si="30"/>
        <v>5.9504132231404959E-2</v>
      </c>
      <c r="E420" s="9">
        <f t="shared" si="31"/>
        <v>0</v>
      </c>
      <c r="F420" s="9">
        <f t="shared" si="31"/>
        <v>1</v>
      </c>
    </row>
    <row r="421" spans="1:6" x14ac:dyDescent="0.25">
      <c r="A421" s="9" t="s">
        <v>0</v>
      </c>
      <c r="B421" s="11">
        <v>20393</v>
      </c>
      <c r="C421" s="12">
        <f t="shared" si="30"/>
        <v>6.1487603305785121E-2</v>
      </c>
      <c r="E421" s="9">
        <f t="shared" si="31"/>
        <v>0</v>
      </c>
      <c r="F421" s="9">
        <f t="shared" si="31"/>
        <v>0</v>
      </c>
    </row>
    <row r="422" spans="1:6" x14ac:dyDescent="0.25">
      <c r="A422" s="9" t="s">
        <v>0</v>
      </c>
      <c r="B422" s="11">
        <v>20423</v>
      </c>
      <c r="C422" s="12">
        <f t="shared" si="30"/>
        <v>5.9504132231404959E-2</v>
      </c>
      <c r="E422" s="9">
        <f t="shared" si="31"/>
        <v>0</v>
      </c>
      <c r="F422" s="9">
        <f t="shared" si="31"/>
        <v>0</v>
      </c>
    </row>
    <row r="423" spans="1:6" x14ac:dyDescent="0.25">
      <c r="A423" s="9" t="s">
        <v>0</v>
      </c>
      <c r="B423" s="11">
        <v>20454</v>
      </c>
      <c r="C423" s="12">
        <f t="shared" si="30"/>
        <v>6.1487603305785121E-2</v>
      </c>
      <c r="E423" s="9">
        <f t="shared" si="31"/>
        <v>0</v>
      </c>
      <c r="F423" s="9">
        <f t="shared" si="31"/>
        <v>0</v>
      </c>
    </row>
    <row r="424" spans="1:6" x14ac:dyDescent="0.25">
      <c r="A424" s="9" t="s">
        <v>0</v>
      </c>
      <c r="B424" s="11">
        <v>20485</v>
      </c>
      <c r="C424" s="12">
        <f t="shared" si="30"/>
        <v>6.1487603305785121E-2</v>
      </c>
      <c r="E424" s="9">
        <f t="shared" si="31"/>
        <v>0</v>
      </c>
      <c r="F424" s="9">
        <f t="shared" si="31"/>
        <v>0</v>
      </c>
    </row>
    <row r="425" spans="1:6" x14ac:dyDescent="0.25">
      <c r="A425" s="9" t="s">
        <v>0</v>
      </c>
      <c r="B425" s="11">
        <v>20514</v>
      </c>
      <c r="C425" s="12">
        <f t="shared" si="30"/>
        <v>5.752066115702479E-2</v>
      </c>
      <c r="E425" s="9">
        <f t="shared" si="31"/>
        <v>0</v>
      </c>
      <c r="F425" s="9">
        <f t="shared" si="31"/>
        <v>0</v>
      </c>
    </row>
    <row r="426" spans="1:6" x14ac:dyDescent="0.25">
      <c r="A426" s="9" t="s">
        <v>0</v>
      </c>
      <c r="B426" s="11">
        <v>20545</v>
      </c>
      <c r="C426" s="12">
        <f t="shared" si="30"/>
        <v>6.1487603305785121E-2</v>
      </c>
      <c r="E426" s="9">
        <f t="shared" ref="E426:F441" si="32">E414</f>
        <v>0</v>
      </c>
      <c r="F426" s="9">
        <f t="shared" si="32"/>
        <v>0</v>
      </c>
    </row>
    <row r="427" spans="1:6" x14ac:dyDescent="0.25">
      <c r="A427" s="9" t="s">
        <v>0</v>
      </c>
      <c r="B427" s="11">
        <v>20575</v>
      </c>
      <c r="C427" s="12">
        <f t="shared" si="30"/>
        <v>5.9504132231404959E-2</v>
      </c>
      <c r="E427" s="9">
        <f t="shared" si="32"/>
        <v>0</v>
      </c>
      <c r="F427" s="9">
        <f t="shared" si="32"/>
        <v>0</v>
      </c>
    </row>
    <row r="428" spans="1:6" x14ac:dyDescent="0.25">
      <c r="A428" s="9" t="s">
        <v>0</v>
      </c>
      <c r="B428" s="11">
        <v>20606</v>
      </c>
      <c r="C428" s="12">
        <f t="shared" si="30"/>
        <v>6.1487603305785121E-2</v>
      </c>
      <c r="E428" s="9">
        <f t="shared" si="32"/>
        <v>1</v>
      </c>
      <c r="F428" s="9">
        <f t="shared" si="32"/>
        <v>0</v>
      </c>
    </row>
    <row r="429" spans="1:6" x14ac:dyDescent="0.25">
      <c r="A429" s="9" t="s">
        <v>0</v>
      </c>
      <c r="B429" s="11">
        <v>20636</v>
      </c>
      <c r="C429" s="12">
        <f t="shared" si="30"/>
        <v>5.9504132231404959E-2</v>
      </c>
      <c r="E429" s="9">
        <f t="shared" si="32"/>
        <v>0</v>
      </c>
      <c r="F429" s="9">
        <f t="shared" si="32"/>
        <v>0</v>
      </c>
    </row>
    <row r="430" spans="1:6" x14ac:dyDescent="0.25">
      <c r="A430" s="9" t="s">
        <v>0</v>
      </c>
      <c r="B430" s="11">
        <v>20667</v>
      </c>
      <c r="C430" s="12">
        <f t="shared" si="30"/>
        <v>6.1487603305785121E-2</v>
      </c>
      <c r="E430" s="9">
        <f t="shared" si="32"/>
        <v>0</v>
      </c>
      <c r="F430" s="9">
        <f t="shared" si="32"/>
        <v>0</v>
      </c>
    </row>
    <row r="431" spans="1:6" x14ac:dyDescent="0.25">
      <c r="A431" s="9" t="s">
        <v>0</v>
      </c>
      <c r="B431" s="11">
        <v>20698</v>
      </c>
      <c r="C431" s="12">
        <f t="shared" si="30"/>
        <v>6.1487603305785121E-2</v>
      </c>
      <c r="E431" s="9">
        <f t="shared" si="32"/>
        <v>0</v>
      </c>
      <c r="F431" s="9">
        <f t="shared" si="32"/>
        <v>0</v>
      </c>
    </row>
    <row r="432" spans="1:6" x14ac:dyDescent="0.25">
      <c r="A432" s="9" t="s">
        <v>0</v>
      </c>
      <c r="B432" s="11">
        <v>20728</v>
      </c>
      <c r="C432" s="12">
        <f t="shared" si="30"/>
        <v>5.9504132231404959E-2</v>
      </c>
      <c r="E432" s="9">
        <f t="shared" si="32"/>
        <v>0</v>
      </c>
      <c r="F432" s="9">
        <f t="shared" si="32"/>
        <v>1</v>
      </c>
    </row>
    <row r="433" spans="1:6" x14ac:dyDescent="0.25">
      <c r="A433" s="9" t="s">
        <v>0</v>
      </c>
      <c r="B433" s="11">
        <v>20759</v>
      </c>
      <c r="C433" s="12">
        <f t="shared" si="30"/>
        <v>6.1487603305785121E-2</v>
      </c>
      <c r="E433" s="9">
        <f t="shared" si="32"/>
        <v>0</v>
      </c>
      <c r="F433" s="9">
        <f t="shared" si="32"/>
        <v>0</v>
      </c>
    </row>
    <row r="434" spans="1:6" x14ac:dyDescent="0.25">
      <c r="A434" s="9" t="s">
        <v>0</v>
      </c>
      <c r="B434" s="11">
        <v>20789</v>
      </c>
      <c r="C434" s="12">
        <f t="shared" si="30"/>
        <v>5.9504132231404959E-2</v>
      </c>
      <c r="E434" s="9">
        <f t="shared" si="32"/>
        <v>0</v>
      </c>
      <c r="F434" s="9">
        <f t="shared" si="32"/>
        <v>0</v>
      </c>
    </row>
    <row r="435" spans="1:6" x14ac:dyDescent="0.25">
      <c r="A435" s="9" t="s">
        <v>0</v>
      </c>
      <c r="B435" s="11">
        <v>20820</v>
      </c>
      <c r="C435" s="12">
        <f t="shared" si="30"/>
        <v>6.1487603305785121E-2</v>
      </c>
      <c r="E435" s="9">
        <f t="shared" si="32"/>
        <v>0</v>
      </c>
      <c r="F435" s="9">
        <f t="shared" si="32"/>
        <v>0</v>
      </c>
    </row>
    <row r="436" spans="1:6" x14ac:dyDescent="0.25">
      <c r="A436" s="9" t="s">
        <v>0</v>
      </c>
      <c r="B436" s="11">
        <v>20851</v>
      </c>
      <c r="C436" s="12">
        <f t="shared" si="30"/>
        <v>6.1487603305785121E-2</v>
      </c>
      <c r="E436" s="9">
        <f t="shared" si="32"/>
        <v>0</v>
      </c>
      <c r="F436" s="9">
        <f t="shared" si="32"/>
        <v>0</v>
      </c>
    </row>
    <row r="437" spans="1:6" x14ac:dyDescent="0.25">
      <c r="A437" s="9" t="s">
        <v>0</v>
      </c>
      <c r="B437" s="11">
        <v>20879</v>
      </c>
      <c r="C437" s="12">
        <f t="shared" si="30"/>
        <v>5.5537190082644627E-2</v>
      </c>
      <c r="E437" s="9">
        <f t="shared" si="32"/>
        <v>0</v>
      </c>
      <c r="F437" s="9">
        <f t="shared" si="32"/>
        <v>0</v>
      </c>
    </row>
    <row r="438" spans="1:6" x14ac:dyDescent="0.25">
      <c r="A438" s="9" t="s">
        <v>0</v>
      </c>
      <c r="B438" s="11">
        <v>20910</v>
      </c>
      <c r="C438" s="12">
        <f t="shared" si="30"/>
        <v>6.1487603305785121E-2</v>
      </c>
      <c r="E438" s="9">
        <f t="shared" si="32"/>
        <v>0</v>
      </c>
      <c r="F438" s="9">
        <f t="shared" si="32"/>
        <v>0</v>
      </c>
    </row>
    <row r="439" spans="1:6" x14ac:dyDescent="0.25">
      <c r="A439" s="9" t="s">
        <v>0</v>
      </c>
      <c r="B439" s="11">
        <v>20940</v>
      </c>
      <c r="C439" s="12">
        <f t="shared" si="30"/>
        <v>5.9504132231404959E-2</v>
      </c>
      <c r="E439" s="9">
        <f t="shared" si="32"/>
        <v>0</v>
      </c>
      <c r="F439" s="9">
        <f t="shared" si="32"/>
        <v>0</v>
      </c>
    </row>
    <row r="440" spans="1:6" x14ac:dyDescent="0.25">
      <c r="A440" s="9" t="s">
        <v>0</v>
      </c>
      <c r="B440" s="11">
        <v>20971</v>
      </c>
      <c r="C440" s="12">
        <f t="shared" si="30"/>
        <v>6.1487603305785121E-2</v>
      </c>
      <c r="E440" s="9">
        <f t="shared" si="32"/>
        <v>1</v>
      </c>
      <c r="F440" s="9">
        <f t="shared" si="32"/>
        <v>0</v>
      </c>
    </row>
    <row r="441" spans="1:6" x14ac:dyDescent="0.25">
      <c r="A441" s="9" t="s">
        <v>0</v>
      </c>
      <c r="B441" s="11">
        <v>21001</v>
      </c>
      <c r="C441" s="12">
        <f t="shared" si="30"/>
        <v>5.9504132231404959E-2</v>
      </c>
      <c r="E441" s="9">
        <f t="shared" si="32"/>
        <v>0</v>
      </c>
      <c r="F441" s="9">
        <f t="shared" si="32"/>
        <v>0</v>
      </c>
    </row>
    <row r="442" spans="1:6" x14ac:dyDescent="0.25">
      <c r="A442" s="9" t="s">
        <v>0</v>
      </c>
      <c r="B442" s="11">
        <v>21032</v>
      </c>
      <c r="C442" s="12">
        <f t="shared" si="30"/>
        <v>6.1487603305785121E-2</v>
      </c>
      <c r="E442" s="9">
        <f t="shared" ref="E442:F457" si="33">E430</f>
        <v>0</v>
      </c>
      <c r="F442" s="9">
        <f t="shared" si="33"/>
        <v>0</v>
      </c>
    </row>
    <row r="443" spans="1:6" x14ac:dyDescent="0.25">
      <c r="A443" s="9" t="s">
        <v>0</v>
      </c>
      <c r="B443" s="11">
        <v>21063</v>
      </c>
      <c r="C443" s="12">
        <f t="shared" si="30"/>
        <v>6.1487603305785121E-2</v>
      </c>
      <c r="E443" s="9">
        <f t="shared" si="33"/>
        <v>0</v>
      </c>
      <c r="F443" s="9">
        <f t="shared" si="33"/>
        <v>0</v>
      </c>
    </row>
    <row r="444" spans="1:6" x14ac:dyDescent="0.25">
      <c r="A444" s="9" t="s">
        <v>0</v>
      </c>
      <c r="B444" s="11">
        <v>21093</v>
      </c>
      <c r="C444" s="12">
        <f t="shared" si="30"/>
        <v>5.9504132231404959E-2</v>
      </c>
      <c r="E444" s="9">
        <f t="shared" si="33"/>
        <v>0</v>
      </c>
      <c r="F444" s="9">
        <f t="shared" si="33"/>
        <v>1</v>
      </c>
    </row>
    <row r="445" spans="1:6" x14ac:dyDescent="0.25">
      <c r="A445" s="9" t="s">
        <v>0</v>
      </c>
      <c r="B445" s="11">
        <v>21124</v>
      </c>
      <c r="C445" s="12">
        <f t="shared" si="30"/>
        <v>6.1487603305785121E-2</v>
      </c>
      <c r="E445" s="9">
        <f t="shared" si="33"/>
        <v>0</v>
      </c>
      <c r="F445" s="9">
        <f t="shared" si="33"/>
        <v>0</v>
      </c>
    </row>
    <row r="446" spans="1:6" x14ac:dyDescent="0.25">
      <c r="A446" s="9" t="s">
        <v>0</v>
      </c>
      <c r="B446" s="11">
        <v>21154</v>
      </c>
      <c r="C446" s="12">
        <f t="shared" si="30"/>
        <v>5.9504132231404959E-2</v>
      </c>
      <c r="E446" s="9">
        <f t="shared" si="33"/>
        <v>0</v>
      </c>
      <c r="F446" s="9">
        <f t="shared" si="33"/>
        <v>0</v>
      </c>
    </row>
    <row r="447" spans="1:6" x14ac:dyDescent="0.25">
      <c r="A447" s="9" t="s">
        <v>0</v>
      </c>
      <c r="B447" s="11">
        <v>21185</v>
      </c>
      <c r="C447" s="12">
        <f t="shared" si="30"/>
        <v>6.1487603305785121E-2</v>
      </c>
      <c r="E447" s="9">
        <f t="shared" si="33"/>
        <v>0</v>
      </c>
      <c r="F447" s="9">
        <f t="shared" si="33"/>
        <v>0</v>
      </c>
    </row>
    <row r="448" spans="1:6" x14ac:dyDescent="0.25">
      <c r="A448" s="9" t="s">
        <v>0</v>
      </c>
      <c r="B448" s="11">
        <v>21216</v>
      </c>
      <c r="C448" s="12">
        <f t="shared" si="30"/>
        <v>6.1487603305785121E-2</v>
      </c>
      <c r="E448" s="9">
        <f t="shared" si="33"/>
        <v>0</v>
      </c>
      <c r="F448" s="9">
        <f t="shared" si="33"/>
        <v>0</v>
      </c>
    </row>
    <row r="449" spans="1:6" x14ac:dyDescent="0.25">
      <c r="A449" s="9" t="s">
        <v>0</v>
      </c>
      <c r="B449" s="11">
        <v>21244</v>
      </c>
      <c r="C449" s="12">
        <f t="shared" si="30"/>
        <v>5.5537190082644627E-2</v>
      </c>
      <c r="E449" s="9">
        <f t="shared" si="33"/>
        <v>0</v>
      </c>
      <c r="F449" s="9">
        <f t="shared" si="33"/>
        <v>0</v>
      </c>
    </row>
    <row r="450" spans="1:6" x14ac:dyDescent="0.25">
      <c r="A450" s="9" t="s">
        <v>0</v>
      </c>
      <c r="B450" s="11">
        <v>21275</v>
      </c>
      <c r="C450" s="12">
        <f t="shared" si="30"/>
        <v>6.1487603305785121E-2</v>
      </c>
      <c r="E450" s="9">
        <f t="shared" si="33"/>
        <v>0</v>
      </c>
      <c r="F450" s="9">
        <f t="shared" si="33"/>
        <v>0</v>
      </c>
    </row>
    <row r="451" spans="1:6" x14ac:dyDescent="0.25">
      <c r="A451" s="9" t="s">
        <v>0</v>
      </c>
      <c r="B451" s="11">
        <v>21305</v>
      </c>
      <c r="C451" s="12">
        <f t="shared" si="30"/>
        <v>5.9504132231404959E-2</v>
      </c>
      <c r="E451" s="9">
        <f t="shared" si="33"/>
        <v>0</v>
      </c>
      <c r="F451" s="9">
        <f t="shared" si="33"/>
        <v>0</v>
      </c>
    </row>
    <row r="452" spans="1:6" x14ac:dyDescent="0.25">
      <c r="A452" s="9" t="s">
        <v>0</v>
      </c>
      <c r="B452" s="11">
        <v>21336</v>
      </c>
      <c r="C452" s="12">
        <f t="shared" si="30"/>
        <v>6.1487603305785121E-2</v>
      </c>
      <c r="E452" s="9">
        <f t="shared" si="33"/>
        <v>1</v>
      </c>
      <c r="F452" s="9">
        <f t="shared" si="33"/>
        <v>0</v>
      </c>
    </row>
    <row r="453" spans="1:6" x14ac:dyDescent="0.25">
      <c r="A453" s="9" t="s">
        <v>0</v>
      </c>
      <c r="B453" s="11">
        <v>21366</v>
      </c>
      <c r="C453" s="12">
        <f t="shared" si="30"/>
        <v>5.9504132231404959E-2</v>
      </c>
      <c r="E453" s="9">
        <f t="shared" si="33"/>
        <v>0</v>
      </c>
      <c r="F453" s="9">
        <f t="shared" si="33"/>
        <v>0</v>
      </c>
    </row>
    <row r="454" spans="1:6" x14ac:dyDescent="0.25">
      <c r="A454" s="9" t="s">
        <v>0</v>
      </c>
      <c r="B454" s="11">
        <v>21397</v>
      </c>
      <c r="C454" s="12">
        <f t="shared" si="30"/>
        <v>6.1487603305785121E-2</v>
      </c>
      <c r="E454" s="9">
        <f t="shared" si="33"/>
        <v>0</v>
      </c>
      <c r="F454" s="9">
        <f t="shared" si="33"/>
        <v>0</v>
      </c>
    </row>
    <row r="455" spans="1:6" x14ac:dyDescent="0.25">
      <c r="A455" s="9" t="s">
        <v>0</v>
      </c>
      <c r="B455" s="11">
        <v>21428</v>
      </c>
      <c r="C455" s="12">
        <f t="shared" si="30"/>
        <v>6.1487603305785121E-2</v>
      </c>
      <c r="E455" s="9">
        <f t="shared" si="33"/>
        <v>0</v>
      </c>
      <c r="F455" s="9">
        <f t="shared" si="33"/>
        <v>0</v>
      </c>
    </row>
    <row r="456" spans="1:6" x14ac:dyDescent="0.25">
      <c r="A456" s="9" t="s">
        <v>0</v>
      </c>
      <c r="B456" s="11">
        <v>21458</v>
      </c>
      <c r="C456" s="12">
        <f t="shared" si="30"/>
        <v>5.9504132231404959E-2</v>
      </c>
      <c r="E456" s="9">
        <f t="shared" si="33"/>
        <v>0</v>
      </c>
      <c r="F456" s="9">
        <f t="shared" si="33"/>
        <v>1</v>
      </c>
    </row>
    <row r="457" spans="1:6" x14ac:dyDescent="0.25">
      <c r="A457" s="9" t="s">
        <v>0</v>
      </c>
      <c r="B457" s="11">
        <v>21489</v>
      </c>
      <c r="C457" s="12">
        <f t="shared" si="30"/>
        <v>6.1487603305785121E-2</v>
      </c>
      <c r="E457" s="9">
        <f t="shared" si="33"/>
        <v>0</v>
      </c>
      <c r="F457" s="9">
        <f t="shared" si="33"/>
        <v>0</v>
      </c>
    </row>
    <row r="458" spans="1:6" x14ac:dyDescent="0.25">
      <c r="A458" s="9" t="s">
        <v>0</v>
      </c>
      <c r="B458" s="11">
        <v>21519</v>
      </c>
      <c r="C458" s="12">
        <f t="shared" si="30"/>
        <v>5.9504132231404959E-2</v>
      </c>
      <c r="E458" s="9">
        <f t="shared" ref="E458:F473" si="34">E446</f>
        <v>0</v>
      </c>
      <c r="F458" s="9">
        <f t="shared" si="34"/>
        <v>0</v>
      </c>
    </row>
    <row r="459" spans="1:6" x14ac:dyDescent="0.25">
      <c r="A459" s="9" t="s">
        <v>0</v>
      </c>
      <c r="B459" s="11">
        <v>21550</v>
      </c>
      <c r="C459" s="12">
        <f t="shared" si="30"/>
        <v>6.1487603305785121E-2</v>
      </c>
      <c r="E459" s="9">
        <f t="shared" si="34"/>
        <v>0</v>
      </c>
      <c r="F459" s="9">
        <f t="shared" si="34"/>
        <v>0</v>
      </c>
    </row>
    <row r="460" spans="1:6" x14ac:dyDescent="0.25">
      <c r="A460" s="9" t="s">
        <v>0</v>
      </c>
      <c r="B460" s="11">
        <v>21581</v>
      </c>
      <c r="C460" s="12">
        <f t="shared" si="30"/>
        <v>6.1487603305785121E-2</v>
      </c>
      <c r="E460" s="9">
        <f t="shared" si="34"/>
        <v>0</v>
      </c>
      <c r="F460" s="9">
        <f t="shared" si="34"/>
        <v>0</v>
      </c>
    </row>
    <row r="461" spans="1:6" x14ac:dyDescent="0.25">
      <c r="A461" s="9" t="s">
        <v>0</v>
      </c>
      <c r="B461" s="11">
        <v>21609</v>
      </c>
      <c r="C461" s="12">
        <f t="shared" si="30"/>
        <v>5.5537190082644627E-2</v>
      </c>
      <c r="E461" s="9">
        <f t="shared" si="34"/>
        <v>0</v>
      </c>
      <c r="F461" s="9">
        <f t="shared" si="34"/>
        <v>0</v>
      </c>
    </row>
    <row r="462" spans="1:6" x14ac:dyDescent="0.25">
      <c r="A462" s="9" t="s">
        <v>0</v>
      </c>
      <c r="B462" s="11">
        <v>21640</v>
      </c>
      <c r="C462" s="12">
        <f t="shared" ref="C462:C525" si="35">(B462-B461)*86400/43560/1000</f>
        <v>6.1487603305785121E-2</v>
      </c>
      <c r="E462" s="9">
        <f t="shared" si="34"/>
        <v>0</v>
      </c>
      <c r="F462" s="9">
        <f t="shared" si="34"/>
        <v>0</v>
      </c>
    </row>
    <row r="463" spans="1:6" x14ac:dyDescent="0.25">
      <c r="A463" s="9" t="s">
        <v>0</v>
      </c>
      <c r="B463" s="11">
        <v>21670</v>
      </c>
      <c r="C463" s="12">
        <f t="shared" si="35"/>
        <v>5.9504132231404959E-2</v>
      </c>
      <c r="E463" s="9">
        <f t="shared" si="34"/>
        <v>0</v>
      </c>
      <c r="F463" s="9">
        <f t="shared" si="34"/>
        <v>0</v>
      </c>
    </row>
    <row r="464" spans="1:6" x14ac:dyDescent="0.25">
      <c r="A464" s="9" t="s">
        <v>0</v>
      </c>
      <c r="B464" s="11">
        <v>21701</v>
      </c>
      <c r="C464" s="12">
        <f t="shared" si="35"/>
        <v>6.1487603305785121E-2</v>
      </c>
      <c r="E464" s="9">
        <f t="shared" si="34"/>
        <v>1</v>
      </c>
      <c r="F464" s="9">
        <f t="shared" si="34"/>
        <v>0</v>
      </c>
    </row>
    <row r="465" spans="1:6" x14ac:dyDescent="0.25">
      <c r="A465" s="9" t="s">
        <v>0</v>
      </c>
      <c r="B465" s="11">
        <v>21731</v>
      </c>
      <c r="C465" s="12">
        <f t="shared" si="35"/>
        <v>5.9504132231404959E-2</v>
      </c>
      <c r="E465" s="9">
        <f t="shared" si="34"/>
        <v>0</v>
      </c>
      <c r="F465" s="9">
        <f t="shared" si="34"/>
        <v>0</v>
      </c>
    </row>
    <row r="466" spans="1:6" x14ac:dyDescent="0.25">
      <c r="A466" s="9" t="s">
        <v>0</v>
      </c>
      <c r="B466" s="11">
        <v>21762</v>
      </c>
      <c r="C466" s="12">
        <f t="shared" si="35"/>
        <v>6.1487603305785121E-2</v>
      </c>
      <c r="E466" s="9">
        <f t="shared" si="34"/>
        <v>0</v>
      </c>
      <c r="F466" s="9">
        <f t="shared" si="34"/>
        <v>0</v>
      </c>
    </row>
    <row r="467" spans="1:6" x14ac:dyDescent="0.25">
      <c r="A467" s="9" t="s">
        <v>0</v>
      </c>
      <c r="B467" s="11">
        <v>21793</v>
      </c>
      <c r="C467" s="12">
        <f t="shared" si="35"/>
        <v>6.1487603305785121E-2</v>
      </c>
      <c r="E467" s="9">
        <f t="shared" si="34"/>
        <v>0</v>
      </c>
      <c r="F467" s="9">
        <f t="shared" si="34"/>
        <v>0</v>
      </c>
    </row>
    <row r="468" spans="1:6" x14ac:dyDescent="0.25">
      <c r="A468" s="9" t="s">
        <v>0</v>
      </c>
      <c r="B468" s="11">
        <v>21823</v>
      </c>
      <c r="C468" s="12">
        <f t="shared" si="35"/>
        <v>5.9504132231404959E-2</v>
      </c>
      <c r="E468" s="9">
        <f t="shared" si="34"/>
        <v>0</v>
      </c>
      <c r="F468" s="9">
        <f t="shared" si="34"/>
        <v>1</v>
      </c>
    </row>
    <row r="469" spans="1:6" x14ac:dyDescent="0.25">
      <c r="A469" s="9" t="s">
        <v>0</v>
      </c>
      <c r="B469" s="11">
        <v>21854</v>
      </c>
      <c r="C469" s="12">
        <f t="shared" si="35"/>
        <v>6.1487603305785121E-2</v>
      </c>
      <c r="E469" s="9">
        <f t="shared" si="34"/>
        <v>0</v>
      </c>
      <c r="F469" s="9">
        <f t="shared" si="34"/>
        <v>0</v>
      </c>
    </row>
    <row r="470" spans="1:6" x14ac:dyDescent="0.25">
      <c r="A470" s="9" t="s">
        <v>0</v>
      </c>
      <c r="B470" s="11">
        <v>21884</v>
      </c>
      <c r="C470" s="12">
        <f t="shared" si="35"/>
        <v>5.9504132231404959E-2</v>
      </c>
      <c r="E470" s="9">
        <f t="shared" si="34"/>
        <v>0</v>
      </c>
      <c r="F470" s="9">
        <f t="shared" si="34"/>
        <v>0</v>
      </c>
    </row>
    <row r="471" spans="1:6" x14ac:dyDescent="0.25">
      <c r="A471" s="9" t="s">
        <v>0</v>
      </c>
      <c r="B471" s="11">
        <v>21915</v>
      </c>
      <c r="C471" s="12">
        <f t="shared" si="35"/>
        <v>6.1487603305785121E-2</v>
      </c>
      <c r="E471" s="9">
        <f t="shared" si="34"/>
        <v>0</v>
      </c>
      <c r="F471" s="9">
        <f t="shared" si="34"/>
        <v>0</v>
      </c>
    </row>
    <row r="472" spans="1:6" x14ac:dyDescent="0.25">
      <c r="A472" s="9" t="s">
        <v>0</v>
      </c>
      <c r="B472" s="11">
        <v>21946</v>
      </c>
      <c r="C472" s="12">
        <f t="shared" si="35"/>
        <v>6.1487603305785121E-2</v>
      </c>
      <c r="E472" s="9">
        <f t="shared" si="34"/>
        <v>0</v>
      </c>
      <c r="F472" s="9">
        <f t="shared" si="34"/>
        <v>0</v>
      </c>
    </row>
    <row r="473" spans="1:6" x14ac:dyDescent="0.25">
      <c r="A473" s="9" t="s">
        <v>0</v>
      </c>
      <c r="B473" s="11">
        <v>21975</v>
      </c>
      <c r="C473" s="12">
        <f t="shared" si="35"/>
        <v>5.752066115702479E-2</v>
      </c>
      <c r="E473" s="9">
        <f t="shared" si="34"/>
        <v>0</v>
      </c>
      <c r="F473" s="9">
        <f t="shared" si="34"/>
        <v>0</v>
      </c>
    </row>
    <row r="474" spans="1:6" x14ac:dyDescent="0.25">
      <c r="A474" s="9" t="s">
        <v>0</v>
      </c>
      <c r="B474" s="11">
        <v>22006</v>
      </c>
      <c r="C474" s="12">
        <f t="shared" si="35"/>
        <v>6.1487603305785121E-2</v>
      </c>
      <c r="E474" s="9">
        <f t="shared" ref="E474:F489" si="36">E462</f>
        <v>0</v>
      </c>
      <c r="F474" s="9">
        <f t="shared" si="36"/>
        <v>0</v>
      </c>
    </row>
    <row r="475" spans="1:6" x14ac:dyDescent="0.25">
      <c r="A475" s="9" t="s">
        <v>0</v>
      </c>
      <c r="B475" s="11">
        <v>22036</v>
      </c>
      <c r="C475" s="12">
        <f t="shared" si="35"/>
        <v>5.9504132231404959E-2</v>
      </c>
      <c r="E475" s="9">
        <f t="shared" si="36"/>
        <v>0</v>
      </c>
      <c r="F475" s="9">
        <f t="shared" si="36"/>
        <v>0</v>
      </c>
    </row>
    <row r="476" spans="1:6" x14ac:dyDescent="0.25">
      <c r="A476" s="9" t="s">
        <v>0</v>
      </c>
      <c r="B476" s="11">
        <v>22067</v>
      </c>
      <c r="C476" s="12">
        <f t="shared" si="35"/>
        <v>6.1487603305785121E-2</v>
      </c>
      <c r="E476" s="9">
        <f t="shared" si="36"/>
        <v>1</v>
      </c>
      <c r="F476" s="9">
        <f t="shared" si="36"/>
        <v>0</v>
      </c>
    </row>
    <row r="477" spans="1:6" x14ac:dyDescent="0.25">
      <c r="A477" s="9" t="s">
        <v>0</v>
      </c>
      <c r="B477" s="11">
        <v>22097</v>
      </c>
      <c r="C477" s="12">
        <f t="shared" si="35"/>
        <v>5.9504132231404959E-2</v>
      </c>
      <c r="E477" s="9">
        <f t="shared" si="36"/>
        <v>0</v>
      </c>
      <c r="F477" s="9">
        <f t="shared" si="36"/>
        <v>0</v>
      </c>
    </row>
    <row r="478" spans="1:6" x14ac:dyDescent="0.25">
      <c r="A478" s="9" t="s">
        <v>0</v>
      </c>
      <c r="B478" s="11">
        <v>22128</v>
      </c>
      <c r="C478" s="12">
        <f t="shared" si="35"/>
        <v>6.1487603305785121E-2</v>
      </c>
      <c r="E478" s="9">
        <f t="shared" si="36"/>
        <v>0</v>
      </c>
      <c r="F478" s="9">
        <f t="shared" si="36"/>
        <v>0</v>
      </c>
    </row>
    <row r="479" spans="1:6" x14ac:dyDescent="0.25">
      <c r="A479" s="9" t="s">
        <v>0</v>
      </c>
      <c r="B479" s="11">
        <v>22159</v>
      </c>
      <c r="C479" s="12">
        <f t="shared" si="35"/>
        <v>6.1487603305785121E-2</v>
      </c>
      <c r="E479" s="9">
        <f t="shared" si="36"/>
        <v>0</v>
      </c>
      <c r="F479" s="9">
        <f t="shared" si="36"/>
        <v>0</v>
      </c>
    </row>
    <row r="480" spans="1:6" x14ac:dyDescent="0.25">
      <c r="A480" s="9" t="s">
        <v>0</v>
      </c>
      <c r="B480" s="11">
        <v>22189</v>
      </c>
      <c r="C480" s="12">
        <f t="shared" si="35"/>
        <v>5.9504132231404959E-2</v>
      </c>
      <c r="E480" s="9">
        <f t="shared" si="36"/>
        <v>0</v>
      </c>
      <c r="F480" s="9">
        <f t="shared" si="36"/>
        <v>1</v>
      </c>
    </row>
    <row r="481" spans="1:6" x14ac:dyDescent="0.25">
      <c r="A481" s="9" t="s">
        <v>0</v>
      </c>
      <c r="B481" s="11">
        <v>22220</v>
      </c>
      <c r="C481" s="12">
        <f t="shared" si="35"/>
        <v>6.1487603305785121E-2</v>
      </c>
      <c r="E481" s="9">
        <f t="shared" si="36"/>
        <v>0</v>
      </c>
      <c r="F481" s="9">
        <f t="shared" si="36"/>
        <v>0</v>
      </c>
    </row>
    <row r="482" spans="1:6" x14ac:dyDescent="0.25">
      <c r="A482" s="9" t="s">
        <v>0</v>
      </c>
      <c r="B482" s="11">
        <v>22250</v>
      </c>
      <c r="C482" s="12">
        <f t="shared" si="35"/>
        <v>5.9504132231404959E-2</v>
      </c>
      <c r="E482" s="9">
        <f t="shared" si="36"/>
        <v>0</v>
      </c>
      <c r="F482" s="9">
        <f t="shared" si="36"/>
        <v>0</v>
      </c>
    </row>
    <row r="483" spans="1:6" x14ac:dyDescent="0.25">
      <c r="A483" s="9" t="s">
        <v>0</v>
      </c>
      <c r="B483" s="11">
        <v>22281</v>
      </c>
      <c r="C483" s="12">
        <f t="shared" si="35"/>
        <v>6.1487603305785121E-2</v>
      </c>
      <c r="E483" s="9">
        <f t="shared" si="36"/>
        <v>0</v>
      </c>
      <c r="F483" s="9">
        <f t="shared" si="36"/>
        <v>0</v>
      </c>
    </row>
    <row r="484" spans="1:6" x14ac:dyDescent="0.25">
      <c r="A484" s="9" t="s">
        <v>0</v>
      </c>
      <c r="B484" s="11">
        <v>22312</v>
      </c>
      <c r="C484" s="12">
        <f t="shared" si="35"/>
        <v>6.1487603305785121E-2</v>
      </c>
      <c r="E484" s="9">
        <f t="shared" si="36"/>
        <v>0</v>
      </c>
      <c r="F484" s="9">
        <f t="shared" si="36"/>
        <v>0</v>
      </c>
    </row>
    <row r="485" spans="1:6" x14ac:dyDescent="0.25">
      <c r="A485" s="9" t="s">
        <v>0</v>
      </c>
      <c r="B485" s="11">
        <v>22340</v>
      </c>
      <c r="C485" s="12">
        <f t="shared" si="35"/>
        <v>5.5537190082644627E-2</v>
      </c>
      <c r="E485" s="9">
        <f t="shared" si="36"/>
        <v>0</v>
      </c>
      <c r="F485" s="9">
        <f t="shared" si="36"/>
        <v>0</v>
      </c>
    </row>
    <row r="486" spans="1:6" x14ac:dyDescent="0.25">
      <c r="A486" s="9" t="s">
        <v>0</v>
      </c>
      <c r="B486" s="11">
        <v>22371</v>
      </c>
      <c r="C486" s="12">
        <f t="shared" si="35"/>
        <v>6.1487603305785121E-2</v>
      </c>
      <c r="E486" s="9">
        <f t="shared" si="36"/>
        <v>0</v>
      </c>
      <c r="F486" s="9">
        <f t="shared" si="36"/>
        <v>0</v>
      </c>
    </row>
    <row r="487" spans="1:6" x14ac:dyDescent="0.25">
      <c r="A487" s="9" t="s">
        <v>0</v>
      </c>
      <c r="B487" s="11">
        <v>22401</v>
      </c>
      <c r="C487" s="12">
        <f t="shared" si="35"/>
        <v>5.9504132231404959E-2</v>
      </c>
      <c r="E487" s="9">
        <f t="shared" si="36"/>
        <v>0</v>
      </c>
      <c r="F487" s="9">
        <f t="shared" si="36"/>
        <v>0</v>
      </c>
    </row>
    <row r="488" spans="1:6" x14ac:dyDescent="0.25">
      <c r="A488" s="9" t="s">
        <v>0</v>
      </c>
      <c r="B488" s="11">
        <v>22432</v>
      </c>
      <c r="C488" s="12">
        <f t="shared" si="35"/>
        <v>6.1487603305785121E-2</v>
      </c>
      <c r="E488" s="9">
        <f t="shared" si="36"/>
        <v>1</v>
      </c>
      <c r="F488" s="9">
        <f t="shared" si="36"/>
        <v>0</v>
      </c>
    </row>
    <row r="489" spans="1:6" x14ac:dyDescent="0.25">
      <c r="A489" s="9" t="s">
        <v>0</v>
      </c>
      <c r="B489" s="11">
        <v>22462</v>
      </c>
      <c r="C489" s="12">
        <f t="shared" si="35"/>
        <v>5.9504132231404959E-2</v>
      </c>
      <c r="E489" s="9">
        <f t="shared" si="36"/>
        <v>0</v>
      </c>
      <c r="F489" s="9">
        <f t="shared" si="36"/>
        <v>0</v>
      </c>
    </row>
    <row r="490" spans="1:6" x14ac:dyDescent="0.25">
      <c r="A490" s="9" t="s">
        <v>0</v>
      </c>
      <c r="B490" s="11">
        <v>22493</v>
      </c>
      <c r="C490" s="12">
        <f t="shared" si="35"/>
        <v>6.1487603305785121E-2</v>
      </c>
      <c r="E490" s="9">
        <f t="shared" ref="E490:F505" si="37">E478</f>
        <v>0</v>
      </c>
      <c r="F490" s="9">
        <f t="shared" si="37"/>
        <v>0</v>
      </c>
    </row>
    <row r="491" spans="1:6" x14ac:dyDescent="0.25">
      <c r="A491" s="9" t="s">
        <v>0</v>
      </c>
      <c r="B491" s="11">
        <v>22524</v>
      </c>
      <c r="C491" s="12">
        <f t="shared" si="35"/>
        <v>6.1487603305785121E-2</v>
      </c>
      <c r="E491" s="9">
        <f t="shared" si="37"/>
        <v>0</v>
      </c>
      <c r="F491" s="9">
        <f t="shared" si="37"/>
        <v>0</v>
      </c>
    </row>
    <row r="492" spans="1:6" x14ac:dyDescent="0.25">
      <c r="A492" s="9" t="s">
        <v>0</v>
      </c>
      <c r="B492" s="11">
        <v>22554</v>
      </c>
      <c r="C492" s="12">
        <f t="shared" si="35"/>
        <v>5.9504132231404959E-2</v>
      </c>
      <c r="E492" s="9">
        <f t="shared" si="37"/>
        <v>0</v>
      </c>
      <c r="F492" s="9">
        <f t="shared" si="37"/>
        <v>1</v>
      </c>
    </row>
    <row r="493" spans="1:6" x14ac:dyDescent="0.25">
      <c r="A493" s="9" t="s">
        <v>0</v>
      </c>
      <c r="B493" s="11">
        <v>22585</v>
      </c>
      <c r="C493" s="12">
        <f t="shared" si="35"/>
        <v>6.1487603305785121E-2</v>
      </c>
      <c r="E493" s="9">
        <f t="shared" si="37"/>
        <v>0</v>
      </c>
      <c r="F493" s="9">
        <f t="shared" si="37"/>
        <v>0</v>
      </c>
    </row>
    <row r="494" spans="1:6" x14ac:dyDescent="0.25">
      <c r="A494" s="9" t="s">
        <v>0</v>
      </c>
      <c r="B494" s="11">
        <v>22615</v>
      </c>
      <c r="C494" s="12">
        <f t="shared" si="35"/>
        <v>5.9504132231404959E-2</v>
      </c>
      <c r="E494" s="9">
        <f t="shared" si="37"/>
        <v>0</v>
      </c>
      <c r="F494" s="9">
        <f t="shared" si="37"/>
        <v>0</v>
      </c>
    </row>
    <row r="495" spans="1:6" x14ac:dyDescent="0.25">
      <c r="A495" s="9" t="s">
        <v>0</v>
      </c>
      <c r="B495" s="11">
        <v>22646</v>
      </c>
      <c r="C495" s="12">
        <f t="shared" si="35"/>
        <v>6.1487603305785121E-2</v>
      </c>
      <c r="E495" s="9">
        <f t="shared" si="37"/>
        <v>0</v>
      </c>
      <c r="F495" s="9">
        <f t="shared" si="37"/>
        <v>0</v>
      </c>
    </row>
    <row r="496" spans="1:6" x14ac:dyDescent="0.25">
      <c r="A496" s="9" t="s">
        <v>0</v>
      </c>
      <c r="B496" s="11">
        <v>22677</v>
      </c>
      <c r="C496" s="12">
        <f t="shared" si="35"/>
        <v>6.1487603305785121E-2</v>
      </c>
      <c r="E496" s="9">
        <f t="shared" si="37"/>
        <v>0</v>
      </c>
      <c r="F496" s="9">
        <f t="shared" si="37"/>
        <v>0</v>
      </c>
    </row>
    <row r="497" spans="1:6" x14ac:dyDescent="0.25">
      <c r="A497" s="9" t="s">
        <v>0</v>
      </c>
      <c r="B497" s="11">
        <v>22705</v>
      </c>
      <c r="C497" s="12">
        <f t="shared" si="35"/>
        <v>5.5537190082644627E-2</v>
      </c>
      <c r="E497" s="9">
        <f t="shared" si="37"/>
        <v>0</v>
      </c>
      <c r="F497" s="9">
        <f t="shared" si="37"/>
        <v>0</v>
      </c>
    </row>
    <row r="498" spans="1:6" x14ac:dyDescent="0.25">
      <c r="A498" s="9" t="s">
        <v>0</v>
      </c>
      <c r="B498" s="11">
        <v>22736</v>
      </c>
      <c r="C498" s="12">
        <f t="shared" si="35"/>
        <v>6.1487603305785121E-2</v>
      </c>
      <c r="E498" s="9">
        <f t="shared" si="37"/>
        <v>0</v>
      </c>
      <c r="F498" s="9">
        <f t="shared" si="37"/>
        <v>0</v>
      </c>
    </row>
    <row r="499" spans="1:6" x14ac:dyDescent="0.25">
      <c r="A499" s="9" t="s">
        <v>0</v>
      </c>
      <c r="B499" s="11">
        <v>22766</v>
      </c>
      <c r="C499" s="12">
        <f t="shared" si="35"/>
        <v>5.9504132231404959E-2</v>
      </c>
      <c r="E499" s="9">
        <f t="shared" si="37"/>
        <v>0</v>
      </c>
      <c r="F499" s="9">
        <f t="shared" si="37"/>
        <v>0</v>
      </c>
    </row>
    <row r="500" spans="1:6" x14ac:dyDescent="0.25">
      <c r="A500" s="9" t="s">
        <v>0</v>
      </c>
      <c r="B500" s="11">
        <v>22797</v>
      </c>
      <c r="C500" s="12">
        <f t="shared" si="35"/>
        <v>6.1487603305785121E-2</v>
      </c>
      <c r="E500" s="9">
        <f t="shared" si="37"/>
        <v>1</v>
      </c>
      <c r="F500" s="9">
        <f t="shared" si="37"/>
        <v>0</v>
      </c>
    </row>
    <row r="501" spans="1:6" x14ac:dyDescent="0.25">
      <c r="A501" s="9" t="s">
        <v>0</v>
      </c>
      <c r="B501" s="11">
        <v>22827</v>
      </c>
      <c r="C501" s="12">
        <f t="shared" si="35"/>
        <v>5.9504132231404959E-2</v>
      </c>
      <c r="E501" s="9">
        <f t="shared" si="37"/>
        <v>0</v>
      </c>
      <c r="F501" s="9">
        <f t="shared" si="37"/>
        <v>0</v>
      </c>
    </row>
    <row r="502" spans="1:6" x14ac:dyDescent="0.25">
      <c r="A502" s="9" t="s">
        <v>0</v>
      </c>
      <c r="B502" s="11">
        <v>22858</v>
      </c>
      <c r="C502" s="12">
        <f t="shared" si="35"/>
        <v>6.1487603305785121E-2</v>
      </c>
      <c r="E502" s="9">
        <f t="shared" si="37"/>
        <v>0</v>
      </c>
      <c r="F502" s="9">
        <f t="shared" si="37"/>
        <v>0</v>
      </c>
    </row>
    <row r="503" spans="1:6" x14ac:dyDescent="0.25">
      <c r="A503" s="9" t="s">
        <v>0</v>
      </c>
      <c r="B503" s="11">
        <v>22889</v>
      </c>
      <c r="C503" s="12">
        <f t="shared" si="35"/>
        <v>6.1487603305785121E-2</v>
      </c>
      <c r="E503" s="9">
        <f t="shared" si="37"/>
        <v>0</v>
      </c>
      <c r="F503" s="9">
        <f t="shared" si="37"/>
        <v>0</v>
      </c>
    </row>
    <row r="504" spans="1:6" x14ac:dyDescent="0.25">
      <c r="A504" s="9" t="s">
        <v>0</v>
      </c>
      <c r="B504" s="11">
        <v>22919</v>
      </c>
      <c r="C504" s="12">
        <f t="shared" si="35"/>
        <v>5.9504132231404959E-2</v>
      </c>
      <c r="E504" s="9">
        <f t="shared" si="37"/>
        <v>0</v>
      </c>
      <c r="F504" s="9">
        <f t="shared" si="37"/>
        <v>1</v>
      </c>
    </row>
    <row r="505" spans="1:6" x14ac:dyDescent="0.25">
      <c r="A505" s="9" t="s">
        <v>0</v>
      </c>
      <c r="B505" s="11">
        <v>22950</v>
      </c>
      <c r="C505" s="12">
        <f t="shared" si="35"/>
        <v>6.1487603305785121E-2</v>
      </c>
      <c r="E505" s="9">
        <f t="shared" si="37"/>
        <v>0</v>
      </c>
      <c r="F505" s="9">
        <f t="shared" si="37"/>
        <v>0</v>
      </c>
    </row>
    <row r="506" spans="1:6" x14ac:dyDescent="0.25">
      <c r="A506" s="9" t="s">
        <v>0</v>
      </c>
      <c r="B506" s="11">
        <v>22980</v>
      </c>
      <c r="C506" s="12">
        <f t="shared" si="35"/>
        <v>5.9504132231404959E-2</v>
      </c>
      <c r="E506" s="9">
        <f t="shared" ref="E506:F521" si="38">E494</f>
        <v>0</v>
      </c>
      <c r="F506" s="9">
        <f t="shared" si="38"/>
        <v>0</v>
      </c>
    </row>
    <row r="507" spans="1:6" x14ac:dyDescent="0.25">
      <c r="A507" s="9" t="s">
        <v>0</v>
      </c>
      <c r="B507" s="11">
        <v>23011</v>
      </c>
      <c r="C507" s="12">
        <f t="shared" si="35"/>
        <v>6.1487603305785121E-2</v>
      </c>
      <c r="E507" s="9">
        <f t="shared" si="38"/>
        <v>0</v>
      </c>
      <c r="F507" s="9">
        <f t="shared" si="38"/>
        <v>0</v>
      </c>
    </row>
    <row r="508" spans="1:6" x14ac:dyDescent="0.25">
      <c r="A508" s="9" t="s">
        <v>0</v>
      </c>
      <c r="B508" s="11">
        <v>23042</v>
      </c>
      <c r="C508" s="12">
        <f t="shared" si="35"/>
        <v>6.1487603305785121E-2</v>
      </c>
      <c r="E508" s="9">
        <f t="shared" si="38"/>
        <v>0</v>
      </c>
      <c r="F508" s="9">
        <f t="shared" si="38"/>
        <v>0</v>
      </c>
    </row>
    <row r="509" spans="1:6" x14ac:dyDescent="0.25">
      <c r="A509" s="9" t="s">
        <v>0</v>
      </c>
      <c r="B509" s="11">
        <v>23070</v>
      </c>
      <c r="C509" s="12">
        <f t="shared" si="35"/>
        <v>5.5537190082644627E-2</v>
      </c>
      <c r="E509" s="9">
        <f t="shared" si="38"/>
        <v>0</v>
      </c>
      <c r="F509" s="9">
        <f t="shared" si="38"/>
        <v>0</v>
      </c>
    </row>
    <row r="510" spans="1:6" x14ac:dyDescent="0.25">
      <c r="A510" s="9" t="s">
        <v>0</v>
      </c>
      <c r="B510" s="11">
        <v>23101</v>
      </c>
      <c r="C510" s="12">
        <f t="shared" si="35"/>
        <v>6.1487603305785121E-2</v>
      </c>
      <c r="E510" s="9">
        <f t="shared" si="38"/>
        <v>0</v>
      </c>
      <c r="F510" s="9">
        <f t="shared" si="38"/>
        <v>0</v>
      </c>
    </row>
    <row r="511" spans="1:6" x14ac:dyDescent="0.25">
      <c r="A511" s="9" t="s">
        <v>0</v>
      </c>
      <c r="B511" s="11">
        <v>23131</v>
      </c>
      <c r="C511" s="12">
        <f t="shared" si="35"/>
        <v>5.9504132231404959E-2</v>
      </c>
      <c r="E511" s="9">
        <f t="shared" si="38"/>
        <v>0</v>
      </c>
      <c r="F511" s="9">
        <f t="shared" si="38"/>
        <v>0</v>
      </c>
    </row>
    <row r="512" spans="1:6" x14ac:dyDescent="0.25">
      <c r="A512" s="9" t="s">
        <v>0</v>
      </c>
      <c r="B512" s="11">
        <v>23162</v>
      </c>
      <c r="C512" s="12">
        <f t="shared" si="35"/>
        <v>6.1487603305785121E-2</v>
      </c>
      <c r="E512" s="9">
        <f t="shared" si="38"/>
        <v>1</v>
      </c>
      <c r="F512" s="9">
        <f t="shared" si="38"/>
        <v>0</v>
      </c>
    </row>
    <row r="513" spans="1:6" x14ac:dyDescent="0.25">
      <c r="A513" s="9" t="s">
        <v>0</v>
      </c>
      <c r="B513" s="11">
        <v>23192</v>
      </c>
      <c r="C513" s="12">
        <f t="shared" si="35"/>
        <v>5.9504132231404959E-2</v>
      </c>
      <c r="E513" s="9">
        <f t="shared" si="38"/>
        <v>0</v>
      </c>
      <c r="F513" s="9">
        <f t="shared" si="38"/>
        <v>0</v>
      </c>
    </row>
    <row r="514" spans="1:6" x14ac:dyDescent="0.25">
      <c r="A514" s="9" t="s">
        <v>0</v>
      </c>
      <c r="B514" s="11">
        <v>23223</v>
      </c>
      <c r="C514" s="12">
        <f t="shared" si="35"/>
        <v>6.1487603305785121E-2</v>
      </c>
      <c r="E514" s="9">
        <f t="shared" si="38"/>
        <v>0</v>
      </c>
      <c r="F514" s="9">
        <f t="shared" si="38"/>
        <v>0</v>
      </c>
    </row>
    <row r="515" spans="1:6" x14ac:dyDescent="0.25">
      <c r="A515" s="9" t="s">
        <v>0</v>
      </c>
      <c r="B515" s="11">
        <v>23254</v>
      </c>
      <c r="C515" s="12">
        <f t="shared" si="35"/>
        <v>6.1487603305785121E-2</v>
      </c>
      <c r="E515" s="9">
        <f t="shared" si="38"/>
        <v>0</v>
      </c>
      <c r="F515" s="9">
        <f t="shared" si="38"/>
        <v>0</v>
      </c>
    </row>
    <row r="516" spans="1:6" x14ac:dyDescent="0.25">
      <c r="A516" s="9" t="s">
        <v>0</v>
      </c>
      <c r="B516" s="11">
        <v>23284</v>
      </c>
      <c r="C516" s="12">
        <f t="shared" si="35"/>
        <v>5.9504132231404959E-2</v>
      </c>
      <c r="E516" s="9">
        <f t="shared" si="38"/>
        <v>0</v>
      </c>
      <c r="F516" s="9">
        <f t="shared" si="38"/>
        <v>1</v>
      </c>
    </row>
    <row r="517" spans="1:6" x14ac:dyDescent="0.25">
      <c r="A517" s="9" t="s">
        <v>0</v>
      </c>
      <c r="B517" s="11">
        <v>23315</v>
      </c>
      <c r="C517" s="12">
        <f t="shared" si="35"/>
        <v>6.1487603305785121E-2</v>
      </c>
      <c r="E517" s="9">
        <f t="shared" si="38"/>
        <v>0</v>
      </c>
      <c r="F517" s="9">
        <f t="shared" si="38"/>
        <v>0</v>
      </c>
    </row>
    <row r="518" spans="1:6" x14ac:dyDescent="0.25">
      <c r="A518" s="9" t="s">
        <v>0</v>
      </c>
      <c r="B518" s="11">
        <v>23345</v>
      </c>
      <c r="C518" s="12">
        <f t="shared" si="35"/>
        <v>5.9504132231404959E-2</v>
      </c>
      <c r="E518" s="9">
        <f t="shared" si="38"/>
        <v>0</v>
      </c>
      <c r="F518" s="9">
        <f t="shared" si="38"/>
        <v>0</v>
      </c>
    </row>
    <row r="519" spans="1:6" x14ac:dyDescent="0.25">
      <c r="A519" s="9" t="s">
        <v>0</v>
      </c>
      <c r="B519" s="11">
        <v>23376</v>
      </c>
      <c r="C519" s="12">
        <f t="shared" si="35"/>
        <v>6.1487603305785121E-2</v>
      </c>
      <c r="E519" s="9">
        <f t="shared" si="38"/>
        <v>0</v>
      </c>
      <c r="F519" s="9">
        <f t="shared" si="38"/>
        <v>0</v>
      </c>
    </row>
    <row r="520" spans="1:6" x14ac:dyDescent="0.25">
      <c r="A520" s="9" t="s">
        <v>0</v>
      </c>
      <c r="B520" s="11">
        <v>23407</v>
      </c>
      <c r="C520" s="12">
        <f t="shared" si="35"/>
        <v>6.1487603305785121E-2</v>
      </c>
      <c r="E520" s="9">
        <f t="shared" si="38"/>
        <v>0</v>
      </c>
      <c r="F520" s="9">
        <f t="shared" si="38"/>
        <v>0</v>
      </c>
    </row>
    <row r="521" spans="1:6" x14ac:dyDescent="0.25">
      <c r="A521" s="9" t="s">
        <v>0</v>
      </c>
      <c r="B521" s="11">
        <v>23436</v>
      </c>
      <c r="C521" s="12">
        <f t="shared" si="35"/>
        <v>5.752066115702479E-2</v>
      </c>
      <c r="E521" s="9">
        <f t="shared" si="38"/>
        <v>0</v>
      </c>
      <c r="F521" s="9">
        <f t="shared" si="38"/>
        <v>0</v>
      </c>
    </row>
    <row r="522" spans="1:6" x14ac:dyDescent="0.25">
      <c r="A522" s="9" t="s">
        <v>0</v>
      </c>
      <c r="B522" s="11">
        <v>23467</v>
      </c>
      <c r="C522" s="12">
        <f t="shared" si="35"/>
        <v>6.1487603305785121E-2</v>
      </c>
      <c r="E522" s="9">
        <f t="shared" ref="E522:F537" si="39">E510</f>
        <v>0</v>
      </c>
      <c r="F522" s="9">
        <f t="shared" si="39"/>
        <v>0</v>
      </c>
    </row>
    <row r="523" spans="1:6" x14ac:dyDescent="0.25">
      <c r="A523" s="9" t="s">
        <v>0</v>
      </c>
      <c r="B523" s="11">
        <v>23497</v>
      </c>
      <c r="C523" s="12">
        <f t="shared" si="35"/>
        <v>5.9504132231404959E-2</v>
      </c>
      <c r="E523" s="9">
        <f t="shared" si="39"/>
        <v>0</v>
      </c>
      <c r="F523" s="9">
        <f t="shared" si="39"/>
        <v>0</v>
      </c>
    </row>
    <row r="524" spans="1:6" x14ac:dyDescent="0.25">
      <c r="A524" s="9" t="s">
        <v>0</v>
      </c>
      <c r="B524" s="11">
        <v>23528</v>
      </c>
      <c r="C524" s="12">
        <f t="shared" si="35"/>
        <v>6.1487603305785121E-2</v>
      </c>
      <c r="E524" s="9">
        <f t="shared" si="39"/>
        <v>1</v>
      </c>
      <c r="F524" s="9">
        <f t="shared" si="39"/>
        <v>0</v>
      </c>
    </row>
    <row r="525" spans="1:6" x14ac:dyDescent="0.25">
      <c r="A525" s="9" t="s">
        <v>0</v>
      </c>
      <c r="B525" s="11">
        <v>23558</v>
      </c>
      <c r="C525" s="12">
        <f t="shared" si="35"/>
        <v>5.9504132231404959E-2</v>
      </c>
      <c r="E525" s="9">
        <f t="shared" si="39"/>
        <v>0</v>
      </c>
      <c r="F525" s="9">
        <f t="shared" si="39"/>
        <v>0</v>
      </c>
    </row>
    <row r="526" spans="1:6" x14ac:dyDescent="0.25">
      <c r="A526" s="9" t="s">
        <v>0</v>
      </c>
      <c r="B526" s="11">
        <v>23589</v>
      </c>
      <c r="C526" s="12">
        <f t="shared" ref="C526:C589" si="40">(B526-B525)*86400/43560/1000</f>
        <v>6.1487603305785121E-2</v>
      </c>
      <c r="E526" s="9">
        <f t="shared" si="39"/>
        <v>0</v>
      </c>
      <c r="F526" s="9">
        <f t="shared" si="39"/>
        <v>0</v>
      </c>
    </row>
    <row r="527" spans="1:6" x14ac:dyDescent="0.25">
      <c r="A527" s="9" t="s">
        <v>0</v>
      </c>
      <c r="B527" s="11">
        <v>23620</v>
      </c>
      <c r="C527" s="12">
        <f t="shared" si="40"/>
        <v>6.1487603305785121E-2</v>
      </c>
      <c r="E527" s="9">
        <f t="shared" si="39"/>
        <v>0</v>
      </c>
      <c r="F527" s="9">
        <f t="shared" si="39"/>
        <v>0</v>
      </c>
    </row>
    <row r="528" spans="1:6" x14ac:dyDescent="0.25">
      <c r="A528" s="9" t="s">
        <v>0</v>
      </c>
      <c r="B528" s="11">
        <v>23650</v>
      </c>
      <c r="C528" s="12">
        <f t="shared" si="40"/>
        <v>5.9504132231404959E-2</v>
      </c>
      <c r="E528" s="9">
        <f t="shared" si="39"/>
        <v>0</v>
      </c>
      <c r="F528" s="9">
        <f t="shared" si="39"/>
        <v>1</v>
      </c>
    </row>
    <row r="529" spans="1:6" x14ac:dyDescent="0.25">
      <c r="A529" s="9" t="s">
        <v>0</v>
      </c>
      <c r="B529" s="11">
        <v>23681</v>
      </c>
      <c r="C529" s="12">
        <f t="shared" si="40"/>
        <v>6.1487603305785121E-2</v>
      </c>
      <c r="E529" s="9">
        <f t="shared" si="39"/>
        <v>0</v>
      </c>
      <c r="F529" s="9">
        <f t="shared" si="39"/>
        <v>0</v>
      </c>
    </row>
    <row r="530" spans="1:6" x14ac:dyDescent="0.25">
      <c r="A530" s="9" t="s">
        <v>0</v>
      </c>
      <c r="B530" s="11">
        <v>23711</v>
      </c>
      <c r="C530" s="12">
        <f t="shared" si="40"/>
        <v>5.9504132231404959E-2</v>
      </c>
      <c r="E530" s="9">
        <f t="shared" si="39"/>
        <v>0</v>
      </c>
      <c r="F530" s="9">
        <f t="shared" si="39"/>
        <v>0</v>
      </c>
    </row>
    <row r="531" spans="1:6" x14ac:dyDescent="0.25">
      <c r="A531" s="9" t="s">
        <v>0</v>
      </c>
      <c r="B531" s="11">
        <v>23742</v>
      </c>
      <c r="C531" s="12">
        <f t="shared" si="40"/>
        <v>6.1487603305785121E-2</v>
      </c>
      <c r="E531" s="9">
        <f t="shared" si="39"/>
        <v>0</v>
      </c>
      <c r="F531" s="9">
        <f t="shared" si="39"/>
        <v>0</v>
      </c>
    </row>
    <row r="532" spans="1:6" x14ac:dyDescent="0.25">
      <c r="A532" s="9" t="s">
        <v>0</v>
      </c>
      <c r="B532" s="11">
        <v>23773</v>
      </c>
      <c r="C532" s="12">
        <f t="shared" si="40"/>
        <v>6.1487603305785121E-2</v>
      </c>
      <c r="E532" s="9">
        <f t="shared" si="39"/>
        <v>0</v>
      </c>
      <c r="F532" s="9">
        <f t="shared" si="39"/>
        <v>0</v>
      </c>
    </row>
    <row r="533" spans="1:6" x14ac:dyDescent="0.25">
      <c r="A533" s="9" t="s">
        <v>0</v>
      </c>
      <c r="B533" s="11">
        <v>23801</v>
      </c>
      <c r="C533" s="12">
        <f t="shared" si="40"/>
        <v>5.5537190082644627E-2</v>
      </c>
      <c r="E533" s="9">
        <f t="shared" si="39"/>
        <v>0</v>
      </c>
      <c r="F533" s="9">
        <f t="shared" si="39"/>
        <v>0</v>
      </c>
    </row>
    <row r="534" spans="1:6" x14ac:dyDescent="0.25">
      <c r="A534" s="9" t="s">
        <v>0</v>
      </c>
      <c r="B534" s="11">
        <v>23832</v>
      </c>
      <c r="C534" s="12">
        <f t="shared" si="40"/>
        <v>6.1487603305785121E-2</v>
      </c>
      <c r="E534" s="9">
        <f t="shared" si="39"/>
        <v>0</v>
      </c>
      <c r="F534" s="9">
        <f t="shared" si="39"/>
        <v>0</v>
      </c>
    </row>
    <row r="535" spans="1:6" x14ac:dyDescent="0.25">
      <c r="A535" s="9" t="s">
        <v>0</v>
      </c>
      <c r="B535" s="11">
        <v>23862</v>
      </c>
      <c r="C535" s="12">
        <f t="shared" si="40"/>
        <v>5.9504132231404959E-2</v>
      </c>
      <c r="E535" s="9">
        <f t="shared" si="39"/>
        <v>0</v>
      </c>
      <c r="F535" s="9">
        <f t="shared" si="39"/>
        <v>0</v>
      </c>
    </row>
    <row r="536" spans="1:6" x14ac:dyDescent="0.25">
      <c r="A536" s="9" t="s">
        <v>0</v>
      </c>
      <c r="B536" s="11">
        <v>23893</v>
      </c>
      <c r="C536" s="12">
        <f t="shared" si="40"/>
        <v>6.1487603305785121E-2</v>
      </c>
      <c r="E536" s="9">
        <f t="shared" si="39"/>
        <v>1</v>
      </c>
      <c r="F536" s="9">
        <f t="shared" si="39"/>
        <v>0</v>
      </c>
    </row>
    <row r="537" spans="1:6" x14ac:dyDescent="0.25">
      <c r="A537" s="9" t="s">
        <v>0</v>
      </c>
      <c r="B537" s="11">
        <v>23923</v>
      </c>
      <c r="C537" s="12">
        <f t="shared" si="40"/>
        <v>5.9504132231404959E-2</v>
      </c>
      <c r="E537" s="9">
        <f t="shared" si="39"/>
        <v>0</v>
      </c>
      <c r="F537" s="9">
        <f t="shared" si="39"/>
        <v>0</v>
      </c>
    </row>
    <row r="538" spans="1:6" x14ac:dyDescent="0.25">
      <c r="A538" s="9" t="s">
        <v>0</v>
      </c>
      <c r="B538" s="11">
        <v>23954</v>
      </c>
      <c r="C538" s="12">
        <f t="shared" si="40"/>
        <v>6.1487603305785121E-2</v>
      </c>
      <c r="E538" s="9">
        <f t="shared" ref="E538:F553" si="41">E526</f>
        <v>0</v>
      </c>
      <c r="F538" s="9">
        <f t="shared" si="41"/>
        <v>0</v>
      </c>
    </row>
    <row r="539" spans="1:6" x14ac:dyDescent="0.25">
      <c r="A539" s="9" t="s">
        <v>0</v>
      </c>
      <c r="B539" s="11">
        <v>23985</v>
      </c>
      <c r="C539" s="12">
        <f t="shared" si="40"/>
        <v>6.1487603305785121E-2</v>
      </c>
      <c r="E539" s="9">
        <f t="shared" si="41"/>
        <v>0</v>
      </c>
      <c r="F539" s="9">
        <f t="shared" si="41"/>
        <v>0</v>
      </c>
    </row>
    <row r="540" spans="1:6" x14ac:dyDescent="0.25">
      <c r="A540" s="9" t="s">
        <v>0</v>
      </c>
      <c r="B540" s="11">
        <v>24015</v>
      </c>
      <c r="C540" s="12">
        <f t="shared" si="40"/>
        <v>5.9504132231404959E-2</v>
      </c>
      <c r="E540" s="9">
        <f t="shared" si="41"/>
        <v>0</v>
      </c>
      <c r="F540" s="9">
        <f t="shared" si="41"/>
        <v>1</v>
      </c>
    </row>
    <row r="541" spans="1:6" x14ac:dyDescent="0.25">
      <c r="A541" s="9" t="s">
        <v>0</v>
      </c>
      <c r="B541" s="11">
        <v>24046</v>
      </c>
      <c r="C541" s="12">
        <f t="shared" si="40"/>
        <v>6.1487603305785121E-2</v>
      </c>
      <c r="E541" s="9">
        <f t="shared" si="41"/>
        <v>0</v>
      </c>
      <c r="F541" s="9">
        <f t="shared" si="41"/>
        <v>0</v>
      </c>
    </row>
    <row r="542" spans="1:6" x14ac:dyDescent="0.25">
      <c r="A542" s="9" t="s">
        <v>0</v>
      </c>
      <c r="B542" s="11">
        <v>24076</v>
      </c>
      <c r="C542" s="12">
        <f t="shared" si="40"/>
        <v>5.9504132231404959E-2</v>
      </c>
      <c r="E542" s="9">
        <f t="shared" si="41"/>
        <v>0</v>
      </c>
      <c r="F542" s="9">
        <f t="shared" si="41"/>
        <v>0</v>
      </c>
    </row>
    <row r="543" spans="1:6" x14ac:dyDescent="0.25">
      <c r="A543" s="9" t="s">
        <v>0</v>
      </c>
      <c r="B543" s="11">
        <v>24107</v>
      </c>
      <c r="C543" s="12">
        <f t="shared" si="40"/>
        <v>6.1487603305785121E-2</v>
      </c>
      <c r="E543" s="9">
        <f t="shared" si="41"/>
        <v>0</v>
      </c>
      <c r="F543" s="9">
        <f t="shared" si="41"/>
        <v>0</v>
      </c>
    </row>
    <row r="544" spans="1:6" x14ac:dyDescent="0.25">
      <c r="A544" s="9" t="s">
        <v>0</v>
      </c>
      <c r="B544" s="11">
        <v>24138</v>
      </c>
      <c r="C544" s="12">
        <f t="shared" si="40"/>
        <v>6.1487603305785121E-2</v>
      </c>
      <c r="E544" s="9">
        <f t="shared" si="41"/>
        <v>0</v>
      </c>
      <c r="F544" s="9">
        <f t="shared" si="41"/>
        <v>0</v>
      </c>
    </row>
    <row r="545" spans="1:6" x14ac:dyDescent="0.25">
      <c r="A545" s="9" t="s">
        <v>0</v>
      </c>
      <c r="B545" s="11">
        <v>24166</v>
      </c>
      <c r="C545" s="12">
        <f t="shared" si="40"/>
        <v>5.5537190082644627E-2</v>
      </c>
      <c r="E545" s="9">
        <f t="shared" si="41"/>
        <v>0</v>
      </c>
      <c r="F545" s="9">
        <f t="shared" si="41"/>
        <v>0</v>
      </c>
    </row>
    <row r="546" spans="1:6" x14ac:dyDescent="0.25">
      <c r="A546" s="9" t="s">
        <v>0</v>
      </c>
      <c r="B546" s="11">
        <v>24197</v>
      </c>
      <c r="C546" s="12">
        <f t="shared" si="40"/>
        <v>6.1487603305785121E-2</v>
      </c>
      <c r="E546" s="9">
        <f t="shared" si="41"/>
        <v>0</v>
      </c>
      <c r="F546" s="9">
        <f t="shared" si="41"/>
        <v>0</v>
      </c>
    </row>
    <row r="547" spans="1:6" x14ac:dyDescent="0.25">
      <c r="A547" s="9" t="s">
        <v>0</v>
      </c>
      <c r="B547" s="11">
        <v>24227</v>
      </c>
      <c r="C547" s="12">
        <f t="shared" si="40"/>
        <v>5.9504132231404959E-2</v>
      </c>
      <c r="E547" s="9">
        <f t="shared" si="41"/>
        <v>0</v>
      </c>
      <c r="F547" s="9">
        <f t="shared" si="41"/>
        <v>0</v>
      </c>
    </row>
    <row r="548" spans="1:6" x14ac:dyDescent="0.25">
      <c r="A548" s="9" t="s">
        <v>0</v>
      </c>
      <c r="B548" s="11">
        <v>24258</v>
      </c>
      <c r="C548" s="12">
        <f t="shared" si="40"/>
        <v>6.1487603305785121E-2</v>
      </c>
      <c r="E548" s="9">
        <f t="shared" si="41"/>
        <v>1</v>
      </c>
      <c r="F548" s="9">
        <f t="shared" si="41"/>
        <v>0</v>
      </c>
    </row>
    <row r="549" spans="1:6" x14ac:dyDescent="0.25">
      <c r="A549" s="9" t="s">
        <v>0</v>
      </c>
      <c r="B549" s="11">
        <v>24288</v>
      </c>
      <c r="C549" s="12">
        <f t="shared" si="40"/>
        <v>5.9504132231404959E-2</v>
      </c>
      <c r="E549" s="9">
        <f t="shared" si="41"/>
        <v>0</v>
      </c>
      <c r="F549" s="9">
        <f t="shared" si="41"/>
        <v>0</v>
      </c>
    </row>
    <row r="550" spans="1:6" x14ac:dyDescent="0.25">
      <c r="A550" s="9" t="s">
        <v>0</v>
      </c>
      <c r="B550" s="11">
        <v>24319</v>
      </c>
      <c r="C550" s="12">
        <f t="shared" si="40"/>
        <v>6.1487603305785121E-2</v>
      </c>
      <c r="E550" s="9">
        <f t="shared" si="41"/>
        <v>0</v>
      </c>
      <c r="F550" s="9">
        <f t="shared" si="41"/>
        <v>0</v>
      </c>
    </row>
    <row r="551" spans="1:6" x14ac:dyDescent="0.25">
      <c r="A551" s="9" t="s">
        <v>0</v>
      </c>
      <c r="B551" s="11">
        <v>24350</v>
      </c>
      <c r="C551" s="12">
        <f t="shared" si="40"/>
        <v>6.1487603305785121E-2</v>
      </c>
      <c r="E551" s="9">
        <f t="shared" si="41"/>
        <v>0</v>
      </c>
      <c r="F551" s="9">
        <f t="shared" si="41"/>
        <v>0</v>
      </c>
    </row>
    <row r="552" spans="1:6" x14ac:dyDescent="0.25">
      <c r="A552" s="9" t="s">
        <v>0</v>
      </c>
      <c r="B552" s="11">
        <v>24380</v>
      </c>
      <c r="C552" s="12">
        <f t="shared" si="40"/>
        <v>5.9504132231404959E-2</v>
      </c>
      <c r="E552" s="9">
        <f t="shared" si="41"/>
        <v>0</v>
      </c>
      <c r="F552" s="9">
        <f t="shared" si="41"/>
        <v>1</v>
      </c>
    </row>
    <row r="553" spans="1:6" x14ac:dyDescent="0.25">
      <c r="A553" s="9" t="s">
        <v>0</v>
      </c>
      <c r="B553" s="11">
        <v>24411</v>
      </c>
      <c r="C553" s="12">
        <f t="shared" si="40"/>
        <v>6.1487603305785121E-2</v>
      </c>
      <c r="E553" s="9">
        <f t="shared" si="41"/>
        <v>0</v>
      </c>
      <c r="F553" s="9">
        <f t="shared" si="41"/>
        <v>0</v>
      </c>
    </row>
    <row r="554" spans="1:6" x14ac:dyDescent="0.25">
      <c r="A554" s="9" t="s">
        <v>0</v>
      </c>
      <c r="B554" s="11">
        <v>24441</v>
      </c>
      <c r="C554" s="12">
        <f t="shared" si="40"/>
        <v>5.9504132231404959E-2</v>
      </c>
      <c r="E554" s="9">
        <f t="shared" ref="E554:F569" si="42">E542</f>
        <v>0</v>
      </c>
      <c r="F554" s="9">
        <f t="shared" si="42"/>
        <v>0</v>
      </c>
    </row>
    <row r="555" spans="1:6" x14ac:dyDescent="0.25">
      <c r="A555" s="9" t="s">
        <v>0</v>
      </c>
      <c r="B555" s="11">
        <v>24472</v>
      </c>
      <c r="C555" s="12">
        <f t="shared" si="40"/>
        <v>6.1487603305785121E-2</v>
      </c>
      <c r="E555" s="9">
        <f t="shared" si="42"/>
        <v>0</v>
      </c>
      <c r="F555" s="9">
        <f t="shared" si="42"/>
        <v>0</v>
      </c>
    </row>
    <row r="556" spans="1:6" x14ac:dyDescent="0.25">
      <c r="A556" s="9" t="s">
        <v>0</v>
      </c>
      <c r="B556" s="11">
        <v>24503</v>
      </c>
      <c r="C556" s="12">
        <f t="shared" si="40"/>
        <v>6.1487603305785121E-2</v>
      </c>
      <c r="E556" s="9">
        <f t="shared" si="42"/>
        <v>0</v>
      </c>
      <c r="F556" s="9">
        <f t="shared" si="42"/>
        <v>0</v>
      </c>
    </row>
    <row r="557" spans="1:6" x14ac:dyDescent="0.25">
      <c r="A557" s="9" t="s">
        <v>0</v>
      </c>
      <c r="B557" s="11">
        <v>24531</v>
      </c>
      <c r="C557" s="12">
        <f t="shared" si="40"/>
        <v>5.5537190082644627E-2</v>
      </c>
      <c r="E557" s="9">
        <f t="shared" si="42"/>
        <v>0</v>
      </c>
      <c r="F557" s="9">
        <f t="shared" si="42"/>
        <v>0</v>
      </c>
    </row>
    <row r="558" spans="1:6" x14ac:dyDescent="0.25">
      <c r="A558" s="9" t="s">
        <v>0</v>
      </c>
      <c r="B558" s="11">
        <v>24562</v>
      </c>
      <c r="C558" s="12">
        <f t="shared" si="40"/>
        <v>6.1487603305785121E-2</v>
      </c>
      <c r="E558" s="9">
        <f t="shared" si="42"/>
        <v>0</v>
      </c>
      <c r="F558" s="9">
        <f t="shared" si="42"/>
        <v>0</v>
      </c>
    </row>
    <row r="559" spans="1:6" x14ac:dyDescent="0.25">
      <c r="A559" s="9" t="s">
        <v>0</v>
      </c>
      <c r="B559" s="11">
        <v>24592</v>
      </c>
      <c r="C559" s="12">
        <f t="shared" si="40"/>
        <v>5.9504132231404959E-2</v>
      </c>
      <c r="E559" s="9">
        <f t="shared" si="42"/>
        <v>0</v>
      </c>
      <c r="F559" s="9">
        <f t="shared" si="42"/>
        <v>0</v>
      </c>
    </row>
    <row r="560" spans="1:6" x14ac:dyDescent="0.25">
      <c r="A560" s="9" t="s">
        <v>0</v>
      </c>
      <c r="B560" s="11">
        <v>24623</v>
      </c>
      <c r="C560" s="12">
        <f t="shared" si="40"/>
        <v>6.1487603305785121E-2</v>
      </c>
      <c r="E560" s="9">
        <f t="shared" si="42"/>
        <v>1</v>
      </c>
      <c r="F560" s="9">
        <f t="shared" si="42"/>
        <v>0</v>
      </c>
    </row>
    <row r="561" spans="1:6" x14ac:dyDescent="0.25">
      <c r="A561" s="9" t="s">
        <v>0</v>
      </c>
      <c r="B561" s="11">
        <v>24653</v>
      </c>
      <c r="C561" s="12">
        <f t="shared" si="40"/>
        <v>5.9504132231404959E-2</v>
      </c>
      <c r="E561" s="9">
        <f t="shared" si="42"/>
        <v>0</v>
      </c>
      <c r="F561" s="9">
        <f t="shared" si="42"/>
        <v>0</v>
      </c>
    </row>
    <row r="562" spans="1:6" x14ac:dyDescent="0.25">
      <c r="A562" s="9" t="s">
        <v>0</v>
      </c>
      <c r="B562" s="11">
        <v>24684</v>
      </c>
      <c r="C562" s="12">
        <f t="shared" si="40"/>
        <v>6.1487603305785121E-2</v>
      </c>
      <c r="E562" s="9">
        <f t="shared" si="42"/>
        <v>0</v>
      </c>
      <c r="F562" s="9">
        <f t="shared" si="42"/>
        <v>0</v>
      </c>
    </row>
    <row r="563" spans="1:6" x14ac:dyDescent="0.25">
      <c r="A563" s="9" t="s">
        <v>0</v>
      </c>
      <c r="B563" s="11">
        <v>24715</v>
      </c>
      <c r="C563" s="12">
        <f t="shared" si="40"/>
        <v>6.1487603305785121E-2</v>
      </c>
      <c r="E563" s="9">
        <f t="shared" si="42"/>
        <v>0</v>
      </c>
      <c r="F563" s="9">
        <f t="shared" si="42"/>
        <v>0</v>
      </c>
    </row>
    <row r="564" spans="1:6" x14ac:dyDescent="0.25">
      <c r="A564" s="9" t="s">
        <v>0</v>
      </c>
      <c r="B564" s="11">
        <v>24745</v>
      </c>
      <c r="C564" s="12">
        <f t="shared" si="40"/>
        <v>5.9504132231404959E-2</v>
      </c>
      <c r="E564" s="9">
        <f t="shared" si="42"/>
        <v>0</v>
      </c>
      <c r="F564" s="9">
        <f t="shared" si="42"/>
        <v>1</v>
      </c>
    </row>
    <row r="565" spans="1:6" x14ac:dyDescent="0.25">
      <c r="A565" s="9" t="s">
        <v>0</v>
      </c>
      <c r="B565" s="11">
        <v>24776</v>
      </c>
      <c r="C565" s="12">
        <f t="shared" si="40"/>
        <v>6.1487603305785121E-2</v>
      </c>
      <c r="E565" s="9">
        <f t="shared" si="42"/>
        <v>0</v>
      </c>
      <c r="F565" s="9">
        <f t="shared" si="42"/>
        <v>0</v>
      </c>
    </row>
    <row r="566" spans="1:6" x14ac:dyDescent="0.25">
      <c r="A566" s="9" t="s">
        <v>0</v>
      </c>
      <c r="B566" s="11">
        <v>24806</v>
      </c>
      <c r="C566" s="12">
        <f t="shared" si="40"/>
        <v>5.9504132231404959E-2</v>
      </c>
      <c r="E566" s="9">
        <f t="shared" si="42"/>
        <v>0</v>
      </c>
      <c r="F566" s="9">
        <f t="shared" si="42"/>
        <v>0</v>
      </c>
    </row>
    <row r="567" spans="1:6" x14ac:dyDescent="0.25">
      <c r="A567" s="9" t="s">
        <v>0</v>
      </c>
      <c r="B567" s="11">
        <v>24837</v>
      </c>
      <c r="C567" s="12">
        <f t="shared" si="40"/>
        <v>6.1487603305785121E-2</v>
      </c>
      <c r="E567" s="9">
        <f t="shared" si="42"/>
        <v>0</v>
      </c>
      <c r="F567" s="9">
        <f t="shared" si="42"/>
        <v>0</v>
      </c>
    </row>
    <row r="568" spans="1:6" x14ac:dyDescent="0.25">
      <c r="A568" s="9" t="s">
        <v>0</v>
      </c>
      <c r="B568" s="11">
        <v>24868</v>
      </c>
      <c r="C568" s="12">
        <f t="shared" si="40"/>
        <v>6.1487603305785121E-2</v>
      </c>
      <c r="E568" s="9">
        <f t="shared" si="42"/>
        <v>0</v>
      </c>
      <c r="F568" s="9">
        <f t="shared" si="42"/>
        <v>0</v>
      </c>
    </row>
    <row r="569" spans="1:6" x14ac:dyDescent="0.25">
      <c r="A569" s="9" t="s">
        <v>0</v>
      </c>
      <c r="B569" s="11">
        <v>24897</v>
      </c>
      <c r="C569" s="12">
        <f t="shared" si="40"/>
        <v>5.752066115702479E-2</v>
      </c>
      <c r="E569" s="9">
        <f t="shared" si="42"/>
        <v>0</v>
      </c>
      <c r="F569" s="9">
        <f t="shared" si="42"/>
        <v>0</v>
      </c>
    </row>
    <row r="570" spans="1:6" x14ac:dyDescent="0.25">
      <c r="A570" s="9" t="s">
        <v>0</v>
      </c>
      <c r="B570" s="11">
        <v>24928</v>
      </c>
      <c r="C570" s="12">
        <f t="shared" si="40"/>
        <v>6.1487603305785121E-2</v>
      </c>
      <c r="E570" s="9">
        <f t="shared" ref="E570:F585" si="43">E558</f>
        <v>0</v>
      </c>
      <c r="F570" s="9">
        <f t="shared" si="43"/>
        <v>0</v>
      </c>
    </row>
    <row r="571" spans="1:6" x14ac:dyDescent="0.25">
      <c r="A571" s="9" t="s">
        <v>0</v>
      </c>
      <c r="B571" s="11">
        <v>24958</v>
      </c>
      <c r="C571" s="12">
        <f t="shared" si="40"/>
        <v>5.9504132231404959E-2</v>
      </c>
      <c r="E571" s="9">
        <f t="shared" si="43"/>
        <v>0</v>
      </c>
      <c r="F571" s="9">
        <f t="shared" si="43"/>
        <v>0</v>
      </c>
    </row>
    <row r="572" spans="1:6" x14ac:dyDescent="0.25">
      <c r="A572" s="9" t="s">
        <v>0</v>
      </c>
      <c r="B572" s="11">
        <v>24989</v>
      </c>
      <c r="C572" s="12">
        <f t="shared" si="40"/>
        <v>6.1487603305785121E-2</v>
      </c>
      <c r="E572" s="9">
        <f t="shared" si="43"/>
        <v>1</v>
      </c>
      <c r="F572" s="9">
        <f t="shared" si="43"/>
        <v>0</v>
      </c>
    </row>
    <row r="573" spans="1:6" x14ac:dyDescent="0.25">
      <c r="A573" s="9" t="s">
        <v>0</v>
      </c>
      <c r="B573" s="11">
        <v>25019</v>
      </c>
      <c r="C573" s="12">
        <f t="shared" si="40"/>
        <v>5.9504132231404959E-2</v>
      </c>
      <c r="E573" s="9">
        <f t="shared" si="43"/>
        <v>0</v>
      </c>
      <c r="F573" s="9">
        <f t="shared" si="43"/>
        <v>0</v>
      </c>
    </row>
    <row r="574" spans="1:6" x14ac:dyDescent="0.25">
      <c r="A574" s="9" t="s">
        <v>0</v>
      </c>
      <c r="B574" s="11">
        <v>25050</v>
      </c>
      <c r="C574" s="12">
        <f t="shared" si="40"/>
        <v>6.1487603305785121E-2</v>
      </c>
      <c r="E574" s="9">
        <f t="shared" si="43"/>
        <v>0</v>
      </c>
      <c r="F574" s="9">
        <f t="shared" si="43"/>
        <v>0</v>
      </c>
    </row>
    <row r="575" spans="1:6" x14ac:dyDescent="0.25">
      <c r="A575" s="9" t="s">
        <v>0</v>
      </c>
      <c r="B575" s="11">
        <v>25081</v>
      </c>
      <c r="C575" s="12">
        <f t="shared" si="40"/>
        <v>6.1487603305785121E-2</v>
      </c>
      <c r="E575" s="9">
        <f t="shared" si="43"/>
        <v>0</v>
      </c>
      <c r="F575" s="9">
        <f t="shared" si="43"/>
        <v>0</v>
      </c>
    </row>
    <row r="576" spans="1:6" x14ac:dyDescent="0.25">
      <c r="A576" s="9" t="s">
        <v>0</v>
      </c>
      <c r="B576" s="11">
        <v>25111</v>
      </c>
      <c r="C576" s="12">
        <f t="shared" si="40"/>
        <v>5.9504132231404959E-2</v>
      </c>
      <c r="E576" s="9">
        <f t="shared" si="43"/>
        <v>0</v>
      </c>
      <c r="F576" s="9">
        <f t="shared" si="43"/>
        <v>1</v>
      </c>
    </row>
    <row r="577" spans="1:6" x14ac:dyDescent="0.25">
      <c r="A577" s="9" t="s">
        <v>0</v>
      </c>
      <c r="B577" s="11">
        <v>25142</v>
      </c>
      <c r="C577" s="12">
        <f t="shared" si="40"/>
        <v>6.1487603305785121E-2</v>
      </c>
      <c r="E577" s="9">
        <f t="shared" si="43"/>
        <v>0</v>
      </c>
      <c r="F577" s="9">
        <f t="shared" si="43"/>
        <v>0</v>
      </c>
    </row>
    <row r="578" spans="1:6" x14ac:dyDescent="0.25">
      <c r="A578" s="9" t="s">
        <v>0</v>
      </c>
      <c r="B578" s="11">
        <v>25172</v>
      </c>
      <c r="C578" s="12">
        <f t="shared" si="40"/>
        <v>5.9504132231404959E-2</v>
      </c>
      <c r="E578" s="9">
        <f t="shared" si="43"/>
        <v>0</v>
      </c>
      <c r="F578" s="9">
        <f t="shared" si="43"/>
        <v>0</v>
      </c>
    </row>
    <row r="579" spans="1:6" x14ac:dyDescent="0.25">
      <c r="A579" s="9" t="s">
        <v>0</v>
      </c>
      <c r="B579" s="11">
        <v>25203</v>
      </c>
      <c r="C579" s="12">
        <f t="shared" si="40"/>
        <v>6.1487603305785121E-2</v>
      </c>
      <c r="E579" s="9">
        <f t="shared" si="43"/>
        <v>0</v>
      </c>
      <c r="F579" s="9">
        <f t="shared" si="43"/>
        <v>0</v>
      </c>
    </row>
    <row r="580" spans="1:6" x14ac:dyDescent="0.25">
      <c r="A580" s="9" t="s">
        <v>0</v>
      </c>
      <c r="B580" s="11">
        <v>25234</v>
      </c>
      <c r="C580" s="12">
        <f t="shared" si="40"/>
        <v>6.1487603305785121E-2</v>
      </c>
      <c r="E580" s="9">
        <f t="shared" si="43"/>
        <v>0</v>
      </c>
      <c r="F580" s="9">
        <f t="shared" si="43"/>
        <v>0</v>
      </c>
    </row>
    <row r="581" spans="1:6" x14ac:dyDescent="0.25">
      <c r="A581" s="9" t="s">
        <v>0</v>
      </c>
      <c r="B581" s="11">
        <v>25262</v>
      </c>
      <c r="C581" s="12">
        <f t="shared" si="40"/>
        <v>5.5537190082644627E-2</v>
      </c>
      <c r="E581" s="9">
        <f t="shared" si="43"/>
        <v>0</v>
      </c>
      <c r="F581" s="9">
        <f t="shared" si="43"/>
        <v>0</v>
      </c>
    </row>
    <row r="582" spans="1:6" x14ac:dyDescent="0.25">
      <c r="A582" s="9" t="s">
        <v>0</v>
      </c>
      <c r="B582" s="11">
        <v>25293</v>
      </c>
      <c r="C582" s="12">
        <f t="shared" si="40"/>
        <v>6.1487603305785121E-2</v>
      </c>
      <c r="E582" s="9">
        <f t="shared" si="43"/>
        <v>0</v>
      </c>
      <c r="F582" s="9">
        <f t="shared" si="43"/>
        <v>0</v>
      </c>
    </row>
    <row r="583" spans="1:6" x14ac:dyDescent="0.25">
      <c r="A583" s="9" t="s">
        <v>0</v>
      </c>
      <c r="B583" s="11">
        <v>25323</v>
      </c>
      <c r="C583" s="12">
        <f t="shared" si="40"/>
        <v>5.9504132231404959E-2</v>
      </c>
      <c r="E583" s="9">
        <f t="shared" si="43"/>
        <v>0</v>
      </c>
      <c r="F583" s="9">
        <f t="shared" si="43"/>
        <v>0</v>
      </c>
    </row>
    <row r="584" spans="1:6" x14ac:dyDescent="0.25">
      <c r="A584" s="9" t="s">
        <v>0</v>
      </c>
      <c r="B584" s="11">
        <v>25354</v>
      </c>
      <c r="C584" s="12">
        <f t="shared" si="40"/>
        <v>6.1487603305785121E-2</v>
      </c>
      <c r="E584" s="9">
        <f t="shared" si="43"/>
        <v>1</v>
      </c>
      <c r="F584" s="9">
        <f t="shared" si="43"/>
        <v>0</v>
      </c>
    </row>
    <row r="585" spans="1:6" x14ac:dyDescent="0.25">
      <c r="A585" s="9" t="s">
        <v>0</v>
      </c>
      <c r="B585" s="11">
        <v>25384</v>
      </c>
      <c r="C585" s="12">
        <f t="shared" si="40"/>
        <v>5.9504132231404959E-2</v>
      </c>
      <c r="E585" s="9">
        <f t="shared" si="43"/>
        <v>0</v>
      </c>
      <c r="F585" s="9">
        <f t="shared" si="43"/>
        <v>0</v>
      </c>
    </row>
    <row r="586" spans="1:6" x14ac:dyDescent="0.25">
      <c r="A586" s="9" t="s">
        <v>0</v>
      </c>
      <c r="B586" s="11">
        <v>25415</v>
      </c>
      <c r="C586" s="12">
        <f t="shared" si="40"/>
        <v>6.1487603305785121E-2</v>
      </c>
      <c r="E586" s="9">
        <f t="shared" ref="E586:F601" si="44">E574</f>
        <v>0</v>
      </c>
      <c r="F586" s="9">
        <f t="shared" si="44"/>
        <v>0</v>
      </c>
    </row>
    <row r="587" spans="1:6" x14ac:dyDescent="0.25">
      <c r="A587" s="9" t="s">
        <v>0</v>
      </c>
      <c r="B587" s="11">
        <v>25446</v>
      </c>
      <c r="C587" s="12">
        <f t="shared" si="40"/>
        <v>6.1487603305785121E-2</v>
      </c>
      <c r="E587" s="9">
        <f t="shared" si="44"/>
        <v>0</v>
      </c>
      <c r="F587" s="9">
        <f t="shared" si="44"/>
        <v>0</v>
      </c>
    </row>
    <row r="588" spans="1:6" x14ac:dyDescent="0.25">
      <c r="A588" s="9" t="s">
        <v>0</v>
      </c>
      <c r="B588" s="11">
        <v>25476</v>
      </c>
      <c r="C588" s="12">
        <f t="shared" si="40"/>
        <v>5.9504132231404959E-2</v>
      </c>
      <c r="E588" s="9">
        <f t="shared" si="44"/>
        <v>0</v>
      </c>
      <c r="F588" s="9">
        <f t="shared" si="44"/>
        <v>1</v>
      </c>
    </row>
    <row r="589" spans="1:6" x14ac:dyDescent="0.25">
      <c r="A589" s="9" t="s">
        <v>0</v>
      </c>
      <c r="B589" s="11">
        <v>25507</v>
      </c>
      <c r="C589" s="12">
        <f t="shared" si="40"/>
        <v>6.1487603305785121E-2</v>
      </c>
      <c r="E589" s="9">
        <f t="shared" si="44"/>
        <v>0</v>
      </c>
      <c r="F589" s="9">
        <f t="shared" si="44"/>
        <v>0</v>
      </c>
    </row>
    <row r="590" spans="1:6" x14ac:dyDescent="0.25">
      <c r="A590" s="9" t="s">
        <v>0</v>
      </c>
      <c r="B590" s="11">
        <v>25537</v>
      </c>
      <c r="C590" s="12">
        <f t="shared" ref="C590:C653" si="45">(B590-B589)*86400/43560/1000</f>
        <v>5.9504132231404959E-2</v>
      </c>
      <c r="E590" s="9">
        <f t="shared" si="44"/>
        <v>0</v>
      </c>
      <c r="F590" s="9">
        <f t="shared" si="44"/>
        <v>0</v>
      </c>
    </row>
    <row r="591" spans="1:6" x14ac:dyDescent="0.25">
      <c r="A591" s="9" t="s">
        <v>0</v>
      </c>
      <c r="B591" s="11">
        <v>25568</v>
      </c>
      <c r="C591" s="12">
        <f t="shared" si="45"/>
        <v>6.1487603305785121E-2</v>
      </c>
      <c r="E591" s="9">
        <f t="shared" si="44"/>
        <v>0</v>
      </c>
      <c r="F591" s="9">
        <f t="shared" si="44"/>
        <v>0</v>
      </c>
    </row>
    <row r="592" spans="1:6" x14ac:dyDescent="0.25">
      <c r="A592" s="9" t="s">
        <v>0</v>
      </c>
      <c r="B592" s="11">
        <v>25599</v>
      </c>
      <c r="C592" s="12">
        <f t="shared" si="45"/>
        <v>6.1487603305785121E-2</v>
      </c>
      <c r="E592" s="9">
        <f t="shared" si="44"/>
        <v>0</v>
      </c>
      <c r="F592" s="9">
        <f t="shared" si="44"/>
        <v>0</v>
      </c>
    </row>
    <row r="593" spans="1:6" x14ac:dyDescent="0.25">
      <c r="A593" s="9" t="s">
        <v>0</v>
      </c>
      <c r="B593" s="11">
        <v>25627</v>
      </c>
      <c r="C593" s="12">
        <f t="shared" si="45"/>
        <v>5.5537190082644627E-2</v>
      </c>
      <c r="E593" s="9">
        <f t="shared" si="44"/>
        <v>0</v>
      </c>
      <c r="F593" s="9">
        <f t="shared" si="44"/>
        <v>0</v>
      </c>
    </row>
    <row r="594" spans="1:6" x14ac:dyDescent="0.25">
      <c r="A594" s="9" t="s">
        <v>0</v>
      </c>
      <c r="B594" s="11">
        <v>25658</v>
      </c>
      <c r="C594" s="12">
        <f t="shared" si="45"/>
        <v>6.1487603305785121E-2</v>
      </c>
      <c r="E594" s="9">
        <f t="shared" si="44"/>
        <v>0</v>
      </c>
      <c r="F594" s="9">
        <f t="shared" si="44"/>
        <v>0</v>
      </c>
    </row>
    <row r="595" spans="1:6" x14ac:dyDescent="0.25">
      <c r="A595" s="9" t="s">
        <v>0</v>
      </c>
      <c r="B595" s="11">
        <v>25688</v>
      </c>
      <c r="C595" s="12">
        <f t="shared" si="45"/>
        <v>5.9504132231404959E-2</v>
      </c>
      <c r="E595" s="9">
        <f t="shared" si="44"/>
        <v>0</v>
      </c>
      <c r="F595" s="9">
        <f t="shared" si="44"/>
        <v>0</v>
      </c>
    </row>
    <row r="596" spans="1:6" x14ac:dyDescent="0.25">
      <c r="A596" s="9" t="s">
        <v>0</v>
      </c>
      <c r="B596" s="11">
        <v>25719</v>
      </c>
      <c r="C596" s="12">
        <f t="shared" si="45"/>
        <v>6.1487603305785121E-2</v>
      </c>
      <c r="E596" s="9">
        <f t="shared" si="44"/>
        <v>1</v>
      </c>
      <c r="F596" s="9">
        <f t="shared" si="44"/>
        <v>0</v>
      </c>
    </row>
    <row r="597" spans="1:6" x14ac:dyDescent="0.25">
      <c r="A597" s="9" t="s">
        <v>0</v>
      </c>
      <c r="B597" s="11">
        <v>25749</v>
      </c>
      <c r="C597" s="12">
        <f t="shared" si="45"/>
        <v>5.9504132231404959E-2</v>
      </c>
      <c r="E597" s="9">
        <f t="shared" si="44"/>
        <v>0</v>
      </c>
      <c r="F597" s="9">
        <f t="shared" si="44"/>
        <v>0</v>
      </c>
    </row>
    <row r="598" spans="1:6" x14ac:dyDescent="0.25">
      <c r="A598" s="9" t="s">
        <v>0</v>
      </c>
      <c r="B598" s="11">
        <v>25780</v>
      </c>
      <c r="C598" s="12">
        <f t="shared" si="45"/>
        <v>6.1487603305785121E-2</v>
      </c>
      <c r="E598" s="9">
        <f t="shared" si="44"/>
        <v>0</v>
      </c>
      <c r="F598" s="9">
        <f t="shared" si="44"/>
        <v>0</v>
      </c>
    </row>
    <row r="599" spans="1:6" x14ac:dyDescent="0.25">
      <c r="A599" s="9" t="s">
        <v>0</v>
      </c>
      <c r="B599" s="11">
        <v>25811</v>
      </c>
      <c r="C599" s="12">
        <f t="shared" si="45"/>
        <v>6.1487603305785121E-2</v>
      </c>
      <c r="E599" s="9">
        <f t="shared" si="44"/>
        <v>0</v>
      </c>
      <c r="F599" s="9">
        <f t="shared" si="44"/>
        <v>0</v>
      </c>
    </row>
    <row r="600" spans="1:6" x14ac:dyDescent="0.25">
      <c r="A600" s="9" t="s">
        <v>0</v>
      </c>
      <c r="B600" s="11">
        <v>25841</v>
      </c>
      <c r="C600" s="12">
        <f t="shared" si="45"/>
        <v>5.9504132231404959E-2</v>
      </c>
      <c r="E600" s="9">
        <f t="shared" si="44"/>
        <v>0</v>
      </c>
      <c r="F600" s="9">
        <f t="shared" si="44"/>
        <v>1</v>
      </c>
    </row>
    <row r="601" spans="1:6" x14ac:dyDescent="0.25">
      <c r="A601" s="9" t="s">
        <v>0</v>
      </c>
      <c r="B601" s="11">
        <v>25872</v>
      </c>
      <c r="C601" s="12">
        <f t="shared" si="45"/>
        <v>6.1487603305785121E-2</v>
      </c>
      <c r="E601" s="9">
        <f t="shared" si="44"/>
        <v>0</v>
      </c>
      <c r="F601" s="9">
        <f t="shared" si="44"/>
        <v>0</v>
      </c>
    </row>
    <row r="602" spans="1:6" x14ac:dyDescent="0.25">
      <c r="A602" s="9" t="s">
        <v>0</v>
      </c>
      <c r="B602" s="11">
        <v>25902</v>
      </c>
      <c r="C602" s="12">
        <f t="shared" si="45"/>
        <v>5.9504132231404959E-2</v>
      </c>
      <c r="E602" s="9">
        <f t="shared" ref="E602:F617" si="46">E590</f>
        <v>0</v>
      </c>
      <c r="F602" s="9">
        <f t="shared" si="46"/>
        <v>0</v>
      </c>
    </row>
    <row r="603" spans="1:6" x14ac:dyDescent="0.25">
      <c r="A603" s="9" t="s">
        <v>0</v>
      </c>
      <c r="B603" s="11">
        <v>25933</v>
      </c>
      <c r="C603" s="12">
        <f t="shared" si="45"/>
        <v>6.1487603305785121E-2</v>
      </c>
      <c r="E603" s="9">
        <f t="shared" si="46"/>
        <v>0</v>
      </c>
      <c r="F603" s="9">
        <f t="shared" si="46"/>
        <v>0</v>
      </c>
    </row>
    <row r="604" spans="1:6" x14ac:dyDescent="0.25">
      <c r="A604" s="9" t="s">
        <v>0</v>
      </c>
      <c r="B604" s="11">
        <v>25964</v>
      </c>
      <c r="C604" s="12">
        <f t="shared" si="45"/>
        <v>6.1487603305785121E-2</v>
      </c>
      <c r="E604" s="9">
        <f t="shared" si="46"/>
        <v>0</v>
      </c>
      <c r="F604" s="9">
        <f t="shared" si="46"/>
        <v>0</v>
      </c>
    </row>
    <row r="605" spans="1:6" x14ac:dyDescent="0.25">
      <c r="A605" s="9" t="s">
        <v>0</v>
      </c>
      <c r="B605" s="11">
        <v>25992</v>
      </c>
      <c r="C605" s="12">
        <f t="shared" si="45"/>
        <v>5.5537190082644627E-2</v>
      </c>
      <c r="E605" s="9">
        <f t="shared" si="46"/>
        <v>0</v>
      </c>
      <c r="F605" s="9">
        <f t="shared" si="46"/>
        <v>0</v>
      </c>
    </row>
    <row r="606" spans="1:6" x14ac:dyDescent="0.25">
      <c r="A606" s="9" t="s">
        <v>0</v>
      </c>
      <c r="B606" s="11">
        <v>26023</v>
      </c>
      <c r="C606" s="12">
        <f t="shared" si="45"/>
        <v>6.1487603305785121E-2</v>
      </c>
      <c r="E606" s="9">
        <f t="shared" si="46"/>
        <v>0</v>
      </c>
      <c r="F606" s="9">
        <f t="shared" si="46"/>
        <v>0</v>
      </c>
    </row>
    <row r="607" spans="1:6" x14ac:dyDescent="0.25">
      <c r="A607" s="9" t="s">
        <v>0</v>
      </c>
      <c r="B607" s="11">
        <v>26053</v>
      </c>
      <c r="C607" s="12">
        <f t="shared" si="45"/>
        <v>5.9504132231404959E-2</v>
      </c>
      <c r="E607" s="9">
        <f t="shared" si="46"/>
        <v>0</v>
      </c>
      <c r="F607" s="9">
        <f t="shared" si="46"/>
        <v>0</v>
      </c>
    </row>
    <row r="608" spans="1:6" x14ac:dyDescent="0.25">
      <c r="A608" s="9" t="s">
        <v>0</v>
      </c>
      <c r="B608" s="11">
        <v>26084</v>
      </c>
      <c r="C608" s="12">
        <f t="shared" si="45"/>
        <v>6.1487603305785121E-2</v>
      </c>
      <c r="E608" s="9">
        <f t="shared" si="46"/>
        <v>1</v>
      </c>
      <c r="F608" s="9">
        <f t="shared" si="46"/>
        <v>0</v>
      </c>
    </row>
    <row r="609" spans="1:6" x14ac:dyDescent="0.25">
      <c r="A609" s="9" t="s">
        <v>0</v>
      </c>
      <c r="B609" s="11">
        <v>26114</v>
      </c>
      <c r="C609" s="12">
        <f t="shared" si="45"/>
        <v>5.9504132231404959E-2</v>
      </c>
      <c r="E609" s="9">
        <f t="shared" si="46"/>
        <v>0</v>
      </c>
      <c r="F609" s="9">
        <f t="shared" si="46"/>
        <v>0</v>
      </c>
    </row>
    <row r="610" spans="1:6" x14ac:dyDescent="0.25">
      <c r="A610" s="9" t="s">
        <v>0</v>
      </c>
      <c r="B610" s="11">
        <v>26145</v>
      </c>
      <c r="C610" s="12">
        <f t="shared" si="45"/>
        <v>6.1487603305785121E-2</v>
      </c>
      <c r="E610" s="9">
        <f t="shared" si="46"/>
        <v>0</v>
      </c>
      <c r="F610" s="9">
        <f t="shared" si="46"/>
        <v>0</v>
      </c>
    </row>
    <row r="611" spans="1:6" x14ac:dyDescent="0.25">
      <c r="A611" s="9" t="s">
        <v>0</v>
      </c>
      <c r="B611" s="11">
        <v>26176</v>
      </c>
      <c r="C611" s="12">
        <f t="shared" si="45"/>
        <v>6.1487603305785121E-2</v>
      </c>
      <c r="E611" s="9">
        <f t="shared" si="46"/>
        <v>0</v>
      </c>
      <c r="F611" s="9">
        <f t="shared" si="46"/>
        <v>0</v>
      </c>
    </row>
    <row r="612" spans="1:6" x14ac:dyDescent="0.25">
      <c r="A612" s="9" t="s">
        <v>0</v>
      </c>
      <c r="B612" s="11">
        <v>26206</v>
      </c>
      <c r="C612" s="12">
        <f t="shared" si="45"/>
        <v>5.9504132231404959E-2</v>
      </c>
      <c r="E612" s="9">
        <f t="shared" si="46"/>
        <v>0</v>
      </c>
      <c r="F612" s="9">
        <f t="shared" si="46"/>
        <v>1</v>
      </c>
    </row>
    <row r="613" spans="1:6" x14ac:dyDescent="0.25">
      <c r="A613" s="9" t="s">
        <v>0</v>
      </c>
      <c r="B613" s="11">
        <v>26237</v>
      </c>
      <c r="C613" s="12">
        <f t="shared" si="45"/>
        <v>6.1487603305785121E-2</v>
      </c>
      <c r="E613" s="9">
        <f t="shared" si="46"/>
        <v>0</v>
      </c>
      <c r="F613" s="9">
        <f t="shared" si="46"/>
        <v>0</v>
      </c>
    </row>
    <row r="614" spans="1:6" x14ac:dyDescent="0.25">
      <c r="A614" s="9" t="s">
        <v>0</v>
      </c>
      <c r="B614" s="11">
        <v>26267</v>
      </c>
      <c r="C614" s="12">
        <f t="shared" si="45"/>
        <v>5.9504132231404959E-2</v>
      </c>
      <c r="E614" s="9">
        <f t="shared" si="46"/>
        <v>0</v>
      </c>
      <c r="F614" s="9">
        <f t="shared" si="46"/>
        <v>0</v>
      </c>
    </row>
    <row r="615" spans="1:6" x14ac:dyDescent="0.25">
      <c r="A615" s="9" t="s">
        <v>0</v>
      </c>
      <c r="B615" s="11">
        <v>26298</v>
      </c>
      <c r="C615" s="12">
        <f t="shared" si="45"/>
        <v>6.1487603305785121E-2</v>
      </c>
      <c r="E615" s="9">
        <f t="shared" si="46"/>
        <v>0</v>
      </c>
      <c r="F615" s="9">
        <f t="shared" si="46"/>
        <v>0</v>
      </c>
    </row>
    <row r="616" spans="1:6" x14ac:dyDescent="0.25">
      <c r="A616" s="9" t="s">
        <v>0</v>
      </c>
      <c r="B616" s="11">
        <v>26329</v>
      </c>
      <c r="C616" s="12">
        <f t="shared" si="45"/>
        <v>6.1487603305785121E-2</v>
      </c>
      <c r="E616" s="9">
        <f t="shared" si="46"/>
        <v>0</v>
      </c>
      <c r="F616" s="9">
        <f t="shared" si="46"/>
        <v>0</v>
      </c>
    </row>
    <row r="617" spans="1:6" x14ac:dyDescent="0.25">
      <c r="A617" s="9" t="s">
        <v>0</v>
      </c>
      <c r="B617" s="11">
        <v>26358</v>
      </c>
      <c r="C617" s="12">
        <f t="shared" si="45"/>
        <v>5.752066115702479E-2</v>
      </c>
      <c r="E617" s="9">
        <f t="shared" si="46"/>
        <v>0</v>
      </c>
      <c r="F617" s="9">
        <f t="shared" si="46"/>
        <v>0</v>
      </c>
    </row>
    <row r="618" spans="1:6" x14ac:dyDescent="0.25">
      <c r="A618" s="9" t="s">
        <v>0</v>
      </c>
      <c r="B618" s="11">
        <v>26389</v>
      </c>
      <c r="C618" s="12">
        <f t="shared" si="45"/>
        <v>6.1487603305785121E-2</v>
      </c>
      <c r="E618" s="9">
        <f t="shared" ref="E618:F633" si="47">E606</f>
        <v>0</v>
      </c>
      <c r="F618" s="9">
        <f t="shared" si="47"/>
        <v>0</v>
      </c>
    </row>
    <row r="619" spans="1:6" x14ac:dyDescent="0.25">
      <c r="A619" s="9" t="s">
        <v>0</v>
      </c>
      <c r="B619" s="11">
        <v>26419</v>
      </c>
      <c r="C619" s="12">
        <f t="shared" si="45"/>
        <v>5.9504132231404959E-2</v>
      </c>
      <c r="E619" s="9">
        <f t="shared" si="47"/>
        <v>0</v>
      </c>
      <c r="F619" s="9">
        <f t="shared" si="47"/>
        <v>0</v>
      </c>
    </row>
    <row r="620" spans="1:6" x14ac:dyDescent="0.25">
      <c r="A620" s="9" t="s">
        <v>0</v>
      </c>
      <c r="B620" s="11">
        <v>26450</v>
      </c>
      <c r="C620" s="12">
        <f t="shared" si="45"/>
        <v>6.1487603305785121E-2</v>
      </c>
      <c r="E620" s="9">
        <f t="shared" si="47"/>
        <v>1</v>
      </c>
      <c r="F620" s="9">
        <f t="shared" si="47"/>
        <v>0</v>
      </c>
    </row>
    <row r="621" spans="1:6" x14ac:dyDescent="0.25">
      <c r="A621" s="9" t="s">
        <v>0</v>
      </c>
      <c r="B621" s="11">
        <v>26480</v>
      </c>
      <c r="C621" s="12">
        <f t="shared" si="45"/>
        <v>5.9504132231404959E-2</v>
      </c>
      <c r="E621" s="9">
        <f t="shared" si="47"/>
        <v>0</v>
      </c>
      <c r="F621" s="9">
        <f t="shared" si="47"/>
        <v>0</v>
      </c>
    </row>
    <row r="622" spans="1:6" x14ac:dyDescent="0.25">
      <c r="A622" s="9" t="s">
        <v>0</v>
      </c>
      <c r="B622" s="11">
        <v>26511</v>
      </c>
      <c r="C622" s="12">
        <f t="shared" si="45"/>
        <v>6.1487603305785121E-2</v>
      </c>
      <c r="E622" s="9">
        <f t="shared" si="47"/>
        <v>0</v>
      </c>
      <c r="F622" s="9">
        <f t="shared" si="47"/>
        <v>0</v>
      </c>
    </row>
    <row r="623" spans="1:6" x14ac:dyDescent="0.25">
      <c r="A623" s="9" t="s">
        <v>0</v>
      </c>
      <c r="B623" s="11">
        <v>26542</v>
      </c>
      <c r="C623" s="12">
        <f t="shared" si="45"/>
        <v>6.1487603305785121E-2</v>
      </c>
      <c r="E623" s="9">
        <f t="shared" si="47"/>
        <v>0</v>
      </c>
      <c r="F623" s="9">
        <f t="shared" si="47"/>
        <v>0</v>
      </c>
    </row>
    <row r="624" spans="1:6" x14ac:dyDescent="0.25">
      <c r="A624" s="9" t="s">
        <v>0</v>
      </c>
      <c r="B624" s="11">
        <v>26572</v>
      </c>
      <c r="C624" s="12">
        <f t="shared" si="45"/>
        <v>5.9504132231404959E-2</v>
      </c>
      <c r="E624" s="9">
        <f t="shared" si="47"/>
        <v>0</v>
      </c>
      <c r="F624" s="9">
        <f t="shared" si="47"/>
        <v>1</v>
      </c>
    </row>
    <row r="625" spans="1:6" x14ac:dyDescent="0.25">
      <c r="A625" s="9" t="s">
        <v>0</v>
      </c>
      <c r="B625" s="11">
        <v>26603</v>
      </c>
      <c r="C625" s="12">
        <f t="shared" si="45"/>
        <v>6.1487603305785121E-2</v>
      </c>
      <c r="E625" s="9">
        <f t="shared" si="47"/>
        <v>0</v>
      </c>
      <c r="F625" s="9">
        <f t="shared" si="47"/>
        <v>0</v>
      </c>
    </row>
    <row r="626" spans="1:6" x14ac:dyDescent="0.25">
      <c r="A626" s="9" t="s">
        <v>0</v>
      </c>
      <c r="B626" s="11">
        <v>26633</v>
      </c>
      <c r="C626" s="12">
        <f t="shared" si="45"/>
        <v>5.9504132231404959E-2</v>
      </c>
      <c r="E626" s="9">
        <f t="shared" si="47"/>
        <v>0</v>
      </c>
      <c r="F626" s="9">
        <f t="shared" si="47"/>
        <v>0</v>
      </c>
    </row>
    <row r="627" spans="1:6" x14ac:dyDescent="0.25">
      <c r="A627" s="9" t="s">
        <v>0</v>
      </c>
      <c r="B627" s="11">
        <v>26664</v>
      </c>
      <c r="C627" s="12">
        <f t="shared" si="45"/>
        <v>6.1487603305785121E-2</v>
      </c>
      <c r="E627" s="9">
        <f t="shared" si="47"/>
        <v>0</v>
      </c>
      <c r="F627" s="9">
        <f t="shared" si="47"/>
        <v>0</v>
      </c>
    </row>
    <row r="628" spans="1:6" x14ac:dyDescent="0.25">
      <c r="A628" s="9" t="s">
        <v>0</v>
      </c>
      <c r="B628" s="11">
        <v>26695</v>
      </c>
      <c r="C628" s="12">
        <f t="shared" si="45"/>
        <v>6.1487603305785121E-2</v>
      </c>
      <c r="E628" s="9">
        <f t="shared" si="47"/>
        <v>0</v>
      </c>
      <c r="F628" s="9">
        <f t="shared" si="47"/>
        <v>0</v>
      </c>
    </row>
    <row r="629" spans="1:6" x14ac:dyDescent="0.25">
      <c r="A629" s="9" t="s">
        <v>0</v>
      </c>
      <c r="B629" s="11">
        <v>26723</v>
      </c>
      <c r="C629" s="12">
        <f t="shared" si="45"/>
        <v>5.5537190082644627E-2</v>
      </c>
      <c r="E629" s="9">
        <f t="shared" si="47"/>
        <v>0</v>
      </c>
      <c r="F629" s="9">
        <f t="shared" si="47"/>
        <v>0</v>
      </c>
    </row>
    <row r="630" spans="1:6" x14ac:dyDescent="0.25">
      <c r="A630" s="9" t="s">
        <v>0</v>
      </c>
      <c r="B630" s="11">
        <v>26754</v>
      </c>
      <c r="C630" s="12">
        <f t="shared" si="45"/>
        <v>6.1487603305785121E-2</v>
      </c>
      <c r="E630" s="9">
        <f t="shared" si="47"/>
        <v>0</v>
      </c>
      <c r="F630" s="9">
        <f t="shared" si="47"/>
        <v>0</v>
      </c>
    </row>
    <row r="631" spans="1:6" x14ac:dyDescent="0.25">
      <c r="A631" s="9" t="s">
        <v>0</v>
      </c>
      <c r="B631" s="11">
        <v>26784</v>
      </c>
      <c r="C631" s="12">
        <f t="shared" si="45"/>
        <v>5.9504132231404959E-2</v>
      </c>
      <c r="E631" s="9">
        <f t="shared" si="47"/>
        <v>0</v>
      </c>
      <c r="F631" s="9">
        <f t="shared" si="47"/>
        <v>0</v>
      </c>
    </row>
    <row r="632" spans="1:6" x14ac:dyDescent="0.25">
      <c r="A632" s="9" t="s">
        <v>0</v>
      </c>
      <c r="B632" s="11">
        <v>26815</v>
      </c>
      <c r="C632" s="12">
        <f t="shared" si="45"/>
        <v>6.1487603305785121E-2</v>
      </c>
      <c r="E632" s="9">
        <f t="shared" si="47"/>
        <v>1</v>
      </c>
      <c r="F632" s="9">
        <f t="shared" si="47"/>
        <v>0</v>
      </c>
    </row>
    <row r="633" spans="1:6" x14ac:dyDescent="0.25">
      <c r="A633" s="9" t="s">
        <v>0</v>
      </c>
      <c r="B633" s="11">
        <v>26845</v>
      </c>
      <c r="C633" s="12">
        <f t="shared" si="45"/>
        <v>5.9504132231404959E-2</v>
      </c>
      <c r="E633" s="9">
        <f t="shared" si="47"/>
        <v>0</v>
      </c>
      <c r="F633" s="9">
        <f t="shared" si="47"/>
        <v>0</v>
      </c>
    </row>
    <row r="634" spans="1:6" x14ac:dyDescent="0.25">
      <c r="A634" s="9" t="s">
        <v>0</v>
      </c>
      <c r="B634" s="11">
        <v>26876</v>
      </c>
      <c r="C634" s="12">
        <f t="shared" si="45"/>
        <v>6.1487603305785121E-2</v>
      </c>
      <c r="E634" s="9">
        <f t="shared" ref="E634:F649" si="48">E622</f>
        <v>0</v>
      </c>
      <c r="F634" s="9">
        <f t="shared" si="48"/>
        <v>0</v>
      </c>
    </row>
    <row r="635" spans="1:6" x14ac:dyDescent="0.25">
      <c r="A635" s="9" t="s">
        <v>0</v>
      </c>
      <c r="B635" s="11">
        <v>26907</v>
      </c>
      <c r="C635" s="12">
        <f t="shared" si="45"/>
        <v>6.1487603305785121E-2</v>
      </c>
      <c r="E635" s="9">
        <f t="shared" si="48"/>
        <v>0</v>
      </c>
      <c r="F635" s="9">
        <f t="shared" si="48"/>
        <v>0</v>
      </c>
    </row>
    <row r="636" spans="1:6" x14ac:dyDescent="0.25">
      <c r="A636" s="9" t="s">
        <v>0</v>
      </c>
      <c r="B636" s="11">
        <v>26937</v>
      </c>
      <c r="C636" s="12">
        <f t="shared" si="45"/>
        <v>5.9504132231404959E-2</v>
      </c>
      <c r="E636" s="9">
        <f t="shared" si="48"/>
        <v>0</v>
      </c>
      <c r="F636" s="9">
        <f t="shared" si="48"/>
        <v>1</v>
      </c>
    </row>
    <row r="637" spans="1:6" x14ac:dyDescent="0.25">
      <c r="A637" s="9" t="s">
        <v>0</v>
      </c>
      <c r="B637" s="11">
        <v>26968</v>
      </c>
      <c r="C637" s="12">
        <f t="shared" si="45"/>
        <v>6.1487603305785121E-2</v>
      </c>
      <c r="E637" s="9">
        <f t="shared" si="48"/>
        <v>0</v>
      </c>
      <c r="F637" s="9">
        <f t="shared" si="48"/>
        <v>0</v>
      </c>
    </row>
    <row r="638" spans="1:6" x14ac:dyDescent="0.25">
      <c r="A638" s="9" t="s">
        <v>0</v>
      </c>
      <c r="B638" s="11">
        <v>26998</v>
      </c>
      <c r="C638" s="12">
        <f t="shared" si="45"/>
        <v>5.9504132231404959E-2</v>
      </c>
      <c r="E638" s="9">
        <f t="shared" si="48"/>
        <v>0</v>
      </c>
      <c r="F638" s="9">
        <f t="shared" si="48"/>
        <v>0</v>
      </c>
    </row>
    <row r="639" spans="1:6" x14ac:dyDescent="0.25">
      <c r="A639" s="9" t="s">
        <v>0</v>
      </c>
      <c r="B639" s="11">
        <v>27029</v>
      </c>
      <c r="C639" s="12">
        <f t="shared" si="45"/>
        <v>6.1487603305785121E-2</v>
      </c>
      <c r="E639" s="9">
        <f t="shared" si="48"/>
        <v>0</v>
      </c>
      <c r="F639" s="9">
        <f t="shared" si="48"/>
        <v>0</v>
      </c>
    </row>
    <row r="640" spans="1:6" x14ac:dyDescent="0.25">
      <c r="A640" s="9" t="s">
        <v>0</v>
      </c>
      <c r="B640" s="11">
        <v>27060</v>
      </c>
      <c r="C640" s="12">
        <f t="shared" si="45"/>
        <v>6.1487603305785121E-2</v>
      </c>
      <c r="E640" s="9">
        <f t="shared" si="48"/>
        <v>0</v>
      </c>
      <c r="F640" s="9">
        <f t="shared" si="48"/>
        <v>0</v>
      </c>
    </row>
    <row r="641" spans="1:6" x14ac:dyDescent="0.25">
      <c r="A641" s="9" t="s">
        <v>0</v>
      </c>
      <c r="B641" s="11">
        <v>27088</v>
      </c>
      <c r="C641" s="12">
        <f t="shared" si="45"/>
        <v>5.5537190082644627E-2</v>
      </c>
      <c r="E641" s="9">
        <f t="shared" si="48"/>
        <v>0</v>
      </c>
      <c r="F641" s="9">
        <f t="shared" si="48"/>
        <v>0</v>
      </c>
    </row>
    <row r="642" spans="1:6" x14ac:dyDescent="0.25">
      <c r="A642" s="9" t="s">
        <v>0</v>
      </c>
      <c r="B642" s="11">
        <v>27119</v>
      </c>
      <c r="C642" s="12">
        <f t="shared" si="45"/>
        <v>6.1487603305785121E-2</v>
      </c>
      <c r="E642" s="9">
        <f t="shared" si="48"/>
        <v>0</v>
      </c>
      <c r="F642" s="9">
        <f t="shared" si="48"/>
        <v>0</v>
      </c>
    </row>
    <row r="643" spans="1:6" x14ac:dyDescent="0.25">
      <c r="A643" s="9" t="s">
        <v>0</v>
      </c>
      <c r="B643" s="11">
        <v>27149</v>
      </c>
      <c r="C643" s="12">
        <f t="shared" si="45"/>
        <v>5.9504132231404959E-2</v>
      </c>
      <c r="E643" s="9">
        <f t="shared" si="48"/>
        <v>0</v>
      </c>
      <c r="F643" s="9">
        <f t="shared" si="48"/>
        <v>0</v>
      </c>
    </row>
    <row r="644" spans="1:6" x14ac:dyDescent="0.25">
      <c r="A644" s="9" t="s">
        <v>0</v>
      </c>
      <c r="B644" s="11">
        <v>27180</v>
      </c>
      <c r="C644" s="12">
        <f t="shared" si="45"/>
        <v>6.1487603305785121E-2</v>
      </c>
      <c r="E644" s="9">
        <f t="shared" si="48"/>
        <v>1</v>
      </c>
      <c r="F644" s="9">
        <f t="shared" si="48"/>
        <v>0</v>
      </c>
    </row>
    <row r="645" spans="1:6" x14ac:dyDescent="0.25">
      <c r="A645" s="9" t="s">
        <v>0</v>
      </c>
      <c r="B645" s="11">
        <v>27210</v>
      </c>
      <c r="C645" s="12">
        <f t="shared" si="45"/>
        <v>5.9504132231404959E-2</v>
      </c>
      <c r="E645" s="9">
        <f t="shared" si="48"/>
        <v>0</v>
      </c>
      <c r="F645" s="9">
        <f t="shared" si="48"/>
        <v>0</v>
      </c>
    </row>
    <row r="646" spans="1:6" x14ac:dyDescent="0.25">
      <c r="A646" s="9" t="s">
        <v>0</v>
      </c>
      <c r="B646" s="11">
        <v>27241</v>
      </c>
      <c r="C646" s="12">
        <f t="shared" si="45"/>
        <v>6.1487603305785121E-2</v>
      </c>
      <c r="E646" s="9">
        <f t="shared" si="48"/>
        <v>0</v>
      </c>
      <c r="F646" s="9">
        <f t="shared" si="48"/>
        <v>0</v>
      </c>
    </row>
    <row r="647" spans="1:6" x14ac:dyDescent="0.25">
      <c r="A647" s="9" t="s">
        <v>0</v>
      </c>
      <c r="B647" s="11">
        <v>27272</v>
      </c>
      <c r="C647" s="12">
        <f t="shared" si="45"/>
        <v>6.1487603305785121E-2</v>
      </c>
      <c r="E647" s="9">
        <f t="shared" si="48"/>
        <v>0</v>
      </c>
      <c r="F647" s="9">
        <f t="shared" si="48"/>
        <v>0</v>
      </c>
    </row>
    <row r="648" spans="1:6" x14ac:dyDescent="0.25">
      <c r="A648" s="9" t="s">
        <v>0</v>
      </c>
      <c r="B648" s="11">
        <v>27302</v>
      </c>
      <c r="C648" s="12">
        <f t="shared" si="45"/>
        <v>5.9504132231404959E-2</v>
      </c>
      <c r="E648" s="9">
        <f t="shared" si="48"/>
        <v>0</v>
      </c>
      <c r="F648" s="9">
        <f t="shared" si="48"/>
        <v>1</v>
      </c>
    </row>
    <row r="649" spans="1:6" x14ac:dyDescent="0.25">
      <c r="A649" s="9" t="s">
        <v>0</v>
      </c>
      <c r="B649" s="11">
        <v>27333</v>
      </c>
      <c r="C649" s="12">
        <f t="shared" si="45"/>
        <v>6.1487603305785121E-2</v>
      </c>
      <c r="E649" s="9">
        <f t="shared" si="48"/>
        <v>0</v>
      </c>
      <c r="F649" s="9">
        <f t="shared" si="48"/>
        <v>0</v>
      </c>
    </row>
    <row r="650" spans="1:6" x14ac:dyDescent="0.25">
      <c r="A650" s="9" t="s">
        <v>0</v>
      </c>
      <c r="B650" s="11">
        <v>27363</v>
      </c>
      <c r="C650" s="12">
        <f t="shared" si="45"/>
        <v>5.9504132231404959E-2</v>
      </c>
      <c r="E650" s="9">
        <f t="shared" ref="E650:F665" si="49">E638</f>
        <v>0</v>
      </c>
      <c r="F650" s="9">
        <f t="shared" si="49"/>
        <v>0</v>
      </c>
    </row>
    <row r="651" spans="1:6" x14ac:dyDescent="0.25">
      <c r="A651" s="9" t="s">
        <v>0</v>
      </c>
      <c r="B651" s="11">
        <v>27394</v>
      </c>
      <c r="C651" s="12">
        <f t="shared" si="45"/>
        <v>6.1487603305785121E-2</v>
      </c>
      <c r="E651" s="9">
        <f t="shared" si="49"/>
        <v>0</v>
      </c>
      <c r="F651" s="9">
        <f t="shared" si="49"/>
        <v>0</v>
      </c>
    </row>
    <row r="652" spans="1:6" x14ac:dyDescent="0.25">
      <c r="A652" s="9" t="s">
        <v>0</v>
      </c>
      <c r="B652" s="11">
        <v>27425</v>
      </c>
      <c r="C652" s="12">
        <f t="shared" si="45"/>
        <v>6.1487603305785121E-2</v>
      </c>
      <c r="E652" s="9">
        <f t="shared" si="49"/>
        <v>0</v>
      </c>
      <c r="F652" s="9">
        <f t="shared" si="49"/>
        <v>0</v>
      </c>
    </row>
    <row r="653" spans="1:6" x14ac:dyDescent="0.25">
      <c r="A653" s="9" t="s">
        <v>0</v>
      </c>
      <c r="B653" s="11">
        <v>27453</v>
      </c>
      <c r="C653" s="12">
        <f t="shared" si="45"/>
        <v>5.5537190082644627E-2</v>
      </c>
      <c r="E653" s="9">
        <f t="shared" si="49"/>
        <v>0</v>
      </c>
      <c r="F653" s="9">
        <f t="shared" si="49"/>
        <v>0</v>
      </c>
    </row>
    <row r="654" spans="1:6" x14ac:dyDescent="0.25">
      <c r="A654" s="9" t="s">
        <v>0</v>
      </c>
      <c r="B654" s="11">
        <v>27484</v>
      </c>
      <c r="C654" s="12">
        <f t="shared" ref="C654:C717" si="50">(B654-B653)*86400/43560/1000</f>
        <v>6.1487603305785121E-2</v>
      </c>
      <c r="E654" s="9">
        <f t="shared" si="49"/>
        <v>0</v>
      </c>
      <c r="F654" s="9">
        <f t="shared" si="49"/>
        <v>0</v>
      </c>
    </row>
    <row r="655" spans="1:6" x14ac:dyDescent="0.25">
      <c r="A655" s="9" t="s">
        <v>0</v>
      </c>
      <c r="B655" s="11">
        <v>27514</v>
      </c>
      <c r="C655" s="12">
        <f t="shared" si="50"/>
        <v>5.9504132231404959E-2</v>
      </c>
      <c r="E655" s="9">
        <f t="shared" si="49"/>
        <v>0</v>
      </c>
      <c r="F655" s="9">
        <f t="shared" si="49"/>
        <v>0</v>
      </c>
    </row>
    <row r="656" spans="1:6" x14ac:dyDescent="0.25">
      <c r="A656" s="9" t="s">
        <v>0</v>
      </c>
      <c r="B656" s="11">
        <v>27545</v>
      </c>
      <c r="C656" s="12">
        <f t="shared" si="50"/>
        <v>6.1487603305785121E-2</v>
      </c>
      <c r="E656" s="9">
        <f t="shared" si="49"/>
        <v>1</v>
      </c>
      <c r="F656" s="9">
        <f t="shared" si="49"/>
        <v>0</v>
      </c>
    </row>
    <row r="657" spans="1:6" x14ac:dyDescent="0.25">
      <c r="A657" s="9" t="s">
        <v>0</v>
      </c>
      <c r="B657" s="11">
        <v>27575</v>
      </c>
      <c r="C657" s="12">
        <f t="shared" si="50"/>
        <v>5.9504132231404959E-2</v>
      </c>
      <c r="E657" s="9">
        <f t="shared" si="49"/>
        <v>0</v>
      </c>
      <c r="F657" s="9">
        <f t="shared" si="49"/>
        <v>0</v>
      </c>
    </row>
    <row r="658" spans="1:6" x14ac:dyDescent="0.25">
      <c r="A658" s="9" t="s">
        <v>0</v>
      </c>
      <c r="B658" s="11">
        <v>27606</v>
      </c>
      <c r="C658" s="12">
        <f t="shared" si="50"/>
        <v>6.1487603305785121E-2</v>
      </c>
      <c r="E658" s="9">
        <f t="shared" si="49"/>
        <v>0</v>
      </c>
      <c r="F658" s="9">
        <f t="shared" si="49"/>
        <v>0</v>
      </c>
    </row>
    <row r="659" spans="1:6" x14ac:dyDescent="0.25">
      <c r="A659" s="9" t="s">
        <v>0</v>
      </c>
      <c r="B659" s="11">
        <v>27637</v>
      </c>
      <c r="C659" s="12">
        <f t="shared" si="50"/>
        <v>6.1487603305785121E-2</v>
      </c>
      <c r="E659" s="9">
        <f t="shared" si="49"/>
        <v>0</v>
      </c>
      <c r="F659" s="9">
        <f t="shared" si="49"/>
        <v>0</v>
      </c>
    </row>
    <row r="660" spans="1:6" x14ac:dyDescent="0.25">
      <c r="A660" s="9" t="s">
        <v>0</v>
      </c>
      <c r="B660" s="11">
        <v>27667</v>
      </c>
      <c r="C660" s="12">
        <f t="shared" si="50"/>
        <v>5.9504132231404959E-2</v>
      </c>
      <c r="E660" s="9">
        <f t="shared" si="49"/>
        <v>0</v>
      </c>
      <c r="F660" s="9">
        <f t="shared" si="49"/>
        <v>1</v>
      </c>
    </row>
    <row r="661" spans="1:6" x14ac:dyDescent="0.25">
      <c r="A661" s="9" t="s">
        <v>0</v>
      </c>
      <c r="B661" s="11">
        <v>27698</v>
      </c>
      <c r="C661" s="12">
        <f t="shared" si="50"/>
        <v>6.1487603305785121E-2</v>
      </c>
      <c r="E661" s="9">
        <f t="shared" si="49"/>
        <v>0</v>
      </c>
      <c r="F661" s="9">
        <f t="shared" si="49"/>
        <v>0</v>
      </c>
    </row>
    <row r="662" spans="1:6" x14ac:dyDescent="0.25">
      <c r="A662" s="9" t="s">
        <v>0</v>
      </c>
      <c r="B662" s="11">
        <v>27728</v>
      </c>
      <c r="C662" s="12">
        <f t="shared" si="50"/>
        <v>5.9504132231404959E-2</v>
      </c>
      <c r="E662" s="9">
        <f t="shared" si="49"/>
        <v>0</v>
      </c>
      <c r="F662" s="9">
        <f t="shared" si="49"/>
        <v>0</v>
      </c>
    </row>
    <row r="663" spans="1:6" x14ac:dyDescent="0.25">
      <c r="A663" s="9" t="s">
        <v>0</v>
      </c>
      <c r="B663" s="11">
        <v>27759</v>
      </c>
      <c r="C663" s="12">
        <f t="shared" si="50"/>
        <v>6.1487603305785121E-2</v>
      </c>
      <c r="E663" s="9">
        <f t="shared" si="49"/>
        <v>0</v>
      </c>
      <c r="F663" s="9">
        <f t="shared" si="49"/>
        <v>0</v>
      </c>
    </row>
    <row r="664" spans="1:6" x14ac:dyDescent="0.25">
      <c r="A664" s="9" t="s">
        <v>0</v>
      </c>
      <c r="B664" s="11">
        <v>27790</v>
      </c>
      <c r="C664" s="12">
        <f t="shared" si="50"/>
        <v>6.1487603305785121E-2</v>
      </c>
      <c r="E664" s="9">
        <f t="shared" si="49"/>
        <v>0</v>
      </c>
      <c r="F664" s="9">
        <f t="shared" si="49"/>
        <v>0</v>
      </c>
    </row>
    <row r="665" spans="1:6" x14ac:dyDescent="0.25">
      <c r="A665" s="9" t="s">
        <v>0</v>
      </c>
      <c r="B665" s="11">
        <v>27819</v>
      </c>
      <c r="C665" s="12">
        <f t="shared" si="50"/>
        <v>5.752066115702479E-2</v>
      </c>
      <c r="E665" s="9">
        <f t="shared" si="49"/>
        <v>0</v>
      </c>
      <c r="F665" s="9">
        <f t="shared" si="49"/>
        <v>0</v>
      </c>
    </row>
    <row r="666" spans="1:6" x14ac:dyDescent="0.25">
      <c r="A666" s="9" t="s">
        <v>0</v>
      </c>
      <c r="B666" s="11">
        <v>27850</v>
      </c>
      <c r="C666" s="12">
        <f t="shared" si="50"/>
        <v>6.1487603305785121E-2</v>
      </c>
      <c r="E666" s="9">
        <f t="shared" ref="E666:F681" si="51">E654</f>
        <v>0</v>
      </c>
      <c r="F666" s="9">
        <f t="shared" si="51"/>
        <v>0</v>
      </c>
    </row>
    <row r="667" spans="1:6" x14ac:dyDescent="0.25">
      <c r="A667" s="9" t="s">
        <v>0</v>
      </c>
      <c r="B667" s="11">
        <v>27880</v>
      </c>
      <c r="C667" s="12">
        <f t="shared" si="50"/>
        <v>5.9504132231404959E-2</v>
      </c>
      <c r="E667" s="9">
        <f t="shared" si="51"/>
        <v>0</v>
      </c>
      <c r="F667" s="9">
        <f t="shared" si="51"/>
        <v>0</v>
      </c>
    </row>
    <row r="668" spans="1:6" x14ac:dyDescent="0.25">
      <c r="A668" s="9" t="s">
        <v>0</v>
      </c>
      <c r="B668" s="11">
        <v>27911</v>
      </c>
      <c r="C668" s="12">
        <f t="shared" si="50"/>
        <v>6.1487603305785121E-2</v>
      </c>
      <c r="E668" s="9">
        <f t="shared" si="51"/>
        <v>1</v>
      </c>
      <c r="F668" s="9">
        <f t="shared" si="51"/>
        <v>0</v>
      </c>
    </row>
    <row r="669" spans="1:6" x14ac:dyDescent="0.25">
      <c r="A669" s="9" t="s">
        <v>0</v>
      </c>
      <c r="B669" s="11">
        <v>27941</v>
      </c>
      <c r="C669" s="12">
        <f t="shared" si="50"/>
        <v>5.9504132231404959E-2</v>
      </c>
      <c r="E669" s="9">
        <f t="shared" si="51"/>
        <v>0</v>
      </c>
      <c r="F669" s="9">
        <f t="shared" si="51"/>
        <v>0</v>
      </c>
    </row>
    <row r="670" spans="1:6" x14ac:dyDescent="0.25">
      <c r="A670" s="9" t="s">
        <v>0</v>
      </c>
      <c r="B670" s="11">
        <v>27972</v>
      </c>
      <c r="C670" s="12">
        <f t="shared" si="50"/>
        <v>6.1487603305785121E-2</v>
      </c>
      <c r="E670" s="9">
        <f t="shared" si="51"/>
        <v>0</v>
      </c>
      <c r="F670" s="9">
        <f t="shared" si="51"/>
        <v>0</v>
      </c>
    </row>
    <row r="671" spans="1:6" x14ac:dyDescent="0.25">
      <c r="A671" s="9" t="s">
        <v>0</v>
      </c>
      <c r="B671" s="11">
        <v>28003</v>
      </c>
      <c r="C671" s="12">
        <f t="shared" si="50"/>
        <v>6.1487603305785121E-2</v>
      </c>
      <c r="E671" s="9">
        <f t="shared" si="51"/>
        <v>0</v>
      </c>
      <c r="F671" s="9">
        <f t="shared" si="51"/>
        <v>0</v>
      </c>
    </row>
    <row r="672" spans="1:6" x14ac:dyDescent="0.25">
      <c r="A672" s="9" t="s">
        <v>0</v>
      </c>
      <c r="B672" s="11">
        <v>28033</v>
      </c>
      <c r="C672" s="12">
        <f t="shared" si="50"/>
        <v>5.9504132231404959E-2</v>
      </c>
      <c r="E672" s="9">
        <f t="shared" si="51"/>
        <v>0</v>
      </c>
      <c r="F672" s="9">
        <f t="shared" si="51"/>
        <v>1</v>
      </c>
    </row>
    <row r="673" spans="1:6" x14ac:dyDescent="0.25">
      <c r="A673" s="9" t="s">
        <v>0</v>
      </c>
      <c r="B673" s="11">
        <v>28064</v>
      </c>
      <c r="C673" s="12">
        <f t="shared" si="50"/>
        <v>6.1487603305785121E-2</v>
      </c>
      <c r="E673" s="9">
        <f t="shared" si="51"/>
        <v>0</v>
      </c>
      <c r="F673" s="9">
        <f t="shared" si="51"/>
        <v>0</v>
      </c>
    </row>
    <row r="674" spans="1:6" x14ac:dyDescent="0.25">
      <c r="A674" s="9" t="s">
        <v>0</v>
      </c>
      <c r="B674" s="11">
        <v>28094</v>
      </c>
      <c r="C674" s="12">
        <f t="shared" si="50"/>
        <v>5.9504132231404959E-2</v>
      </c>
      <c r="E674" s="9">
        <f t="shared" si="51"/>
        <v>0</v>
      </c>
      <c r="F674" s="9">
        <f t="shared" si="51"/>
        <v>0</v>
      </c>
    </row>
    <row r="675" spans="1:6" x14ac:dyDescent="0.25">
      <c r="A675" s="9" t="s">
        <v>0</v>
      </c>
      <c r="B675" s="11">
        <v>28125</v>
      </c>
      <c r="C675" s="12">
        <f t="shared" si="50"/>
        <v>6.1487603305785121E-2</v>
      </c>
      <c r="E675" s="9">
        <f t="shared" si="51"/>
        <v>0</v>
      </c>
      <c r="F675" s="9">
        <f t="shared" si="51"/>
        <v>0</v>
      </c>
    </row>
    <row r="676" spans="1:6" x14ac:dyDescent="0.25">
      <c r="A676" s="9" t="s">
        <v>0</v>
      </c>
      <c r="B676" s="11">
        <v>28156</v>
      </c>
      <c r="C676" s="12">
        <f t="shared" si="50"/>
        <v>6.1487603305785121E-2</v>
      </c>
      <c r="E676" s="9">
        <f t="shared" si="51"/>
        <v>0</v>
      </c>
      <c r="F676" s="9">
        <f t="shared" si="51"/>
        <v>0</v>
      </c>
    </row>
    <row r="677" spans="1:6" x14ac:dyDescent="0.25">
      <c r="A677" s="9" t="s">
        <v>0</v>
      </c>
      <c r="B677" s="11">
        <v>28184</v>
      </c>
      <c r="C677" s="12">
        <f t="shared" si="50"/>
        <v>5.5537190082644627E-2</v>
      </c>
      <c r="E677" s="9">
        <f t="shared" si="51"/>
        <v>0</v>
      </c>
      <c r="F677" s="9">
        <f t="shared" si="51"/>
        <v>0</v>
      </c>
    </row>
    <row r="678" spans="1:6" x14ac:dyDescent="0.25">
      <c r="A678" s="9" t="s">
        <v>0</v>
      </c>
      <c r="B678" s="11">
        <v>28215</v>
      </c>
      <c r="C678" s="12">
        <f t="shared" si="50"/>
        <v>6.1487603305785121E-2</v>
      </c>
      <c r="E678" s="9">
        <f t="shared" si="51"/>
        <v>0</v>
      </c>
      <c r="F678" s="9">
        <f t="shared" si="51"/>
        <v>0</v>
      </c>
    </row>
    <row r="679" spans="1:6" x14ac:dyDescent="0.25">
      <c r="A679" s="9" t="s">
        <v>0</v>
      </c>
      <c r="B679" s="11">
        <v>28245</v>
      </c>
      <c r="C679" s="12">
        <f t="shared" si="50"/>
        <v>5.9504132231404959E-2</v>
      </c>
      <c r="E679" s="9">
        <f t="shared" si="51"/>
        <v>0</v>
      </c>
      <c r="F679" s="9">
        <f t="shared" si="51"/>
        <v>0</v>
      </c>
    </row>
    <row r="680" spans="1:6" x14ac:dyDescent="0.25">
      <c r="A680" s="9" t="s">
        <v>0</v>
      </c>
      <c r="B680" s="11">
        <v>28276</v>
      </c>
      <c r="C680" s="12">
        <f t="shared" si="50"/>
        <v>6.1487603305785121E-2</v>
      </c>
      <c r="E680" s="9">
        <f t="shared" si="51"/>
        <v>1</v>
      </c>
      <c r="F680" s="9">
        <f t="shared" si="51"/>
        <v>0</v>
      </c>
    </row>
    <row r="681" spans="1:6" x14ac:dyDescent="0.25">
      <c r="A681" s="9" t="s">
        <v>0</v>
      </c>
      <c r="B681" s="11">
        <v>28306</v>
      </c>
      <c r="C681" s="12">
        <f t="shared" si="50"/>
        <v>5.9504132231404959E-2</v>
      </c>
      <c r="E681" s="9">
        <f t="shared" si="51"/>
        <v>0</v>
      </c>
      <c r="F681" s="9">
        <f t="shared" si="51"/>
        <v>0</v>
      </c>
    </row>
    <row r="682" spans="1:6" x14ac:dyDescent="0.25">
      <c r="A682" s="9" t="s">
        <v>0</v>
      </c>
      <c r="B682" s="11">
        <v>28337</v>
      </c>
      <c r="C682" s="12">
        <f t="shared" si="50"/>
        <v>6.1487603305785121E-2</v>
      </c>
      <c r="E682" s="9">
        <f t="shared" ref="E682:F697" si="52">E670</f>
        <v>0</v>
      </c>
      <c r="F682" s="9">
        <f t="shared" si="52"/>
        <v>0</v>
      </c>
    </row>
    <row r="683" spans="1:6" x14ac:dyDescent="0.25">
      <c r="A683" s="9" t="s">
        <v>0</v>
      </c>
      <c r="B683" s="11">
        <v>28368</v>
      </c>
      <c r="C683" s="12">
        <f t="shared" si="50"/>
        <v>6.1487603305785121E-2</v>
      </c>
      <c r="E683" s="9">
        <f t="shared" si="52"/>
        <v>0</v>
      </c>
      <c r="F683" s="9">
        <f t="shared" si="52"/>
        <v>0</v>
      </c>
    </row>
    <row r="684" spans="1:6" x14ac:dyDescent="0.25">
      <c r="A684" s="9" t="s">
        <v>0</v>
      </c>
      <c r="B684" s="11">
        <v>28398</v>
      </c>
      <c r="C684" s="12">
        <f t="shared" si="50"/>
        <v>5.9504132231404959E-2</v>
      </c>
      <c r="E684" s="9">
        <f t="shared" si="52"/>
        <v>0</v>
      </c>
      <c r="F684" s="9">
        <f t="shared" si="52"/>
        <v>1</v>
      </c>
    </row>
    <row r="685" spans="1:6" x14ac:dyDescent="0.25">
      <c r="A685" s="9" t="s">
        <v>0</v>
      </c>
      <c r="B685" s="11">
        <v>28429</v>
      </c>
      <c r="C685" s="12">
        <f t="shared" si="50"/>
        <v>6.1487603305785121E-2</v>
      </c>
      <c r="E685" s="9">
        <f t="shared" si="52"/>
        <v>0</v>
      </c>
      <c r="F685" s="9">
        <f t="shared" si="52"/>
        <v>0</v>
      </c>
    </row>
    <row r="686" spans="1:6" x14ac:dyDescent="0.25">
      <c r="A686" s="9" t="s">
        <v>0</v>
      </c>
      <c r="B686" s="11">
        <v>28459</v>
      </c>
      <c r="C686" s="12">
        <f t="shared" si="50"/>
        <v>5.9504132231404959E-2</v>
      </c>
      <c r="E686" s="9">
        <f t="shared" si="52"/>
        <v>0</v>
      </c>
      <c r="F686" s="9">
        <f t="shared" si="52"/>
        <v>0</v>
      </c>
    </row>
    <row r="687" spans="1:6" x14ac:dyDescent="0.25">
      <c r="A687" s="9" t="s">
        <v>0</v>
      </c>
      <c r="B687" s="11">
        <v>28490</v>
      </c>
      <c r="C687" s="12">
        <f t="shared" si="50"/>
        <v>6.1487603305785121E-2</v>
      </c>
      <c r="E687" s="9">
        <f t="shared" si="52"/>
        <v>0</v>
      </c>
      <c r="F687" s="9">
        <f t="shared" si="52"/>
        <v>0</v>
      </c>
    </row>
    <row r="688" spans="1:6" x14ac:dyDescent="0.25">
      <c r="A688" s="9" t="s">
        <v>0</v>
      </c>
      <c r="B688" s="11">
        <v>28521</v>
      </c>
      <c r="C688" s="12">
        <f t="shared" si="50"/>
        <v>6.1487603305785121E-2</v>
      </c>
      <c r="E688" s="9">
        <f t="shared" si="52"/>
        <v>0</v>
      </c>
      <c r="F688" s="9">
        <f t="shared" si="52"/>
        <v>0</v>
      </c>
    </row>
    <row r="689" spans="1:6" x14ac:dyDescent="0.25">
      <c r="A689" s="9" t="s">
        <v>0</v>
      </c>
      <c r="B689" s="11">
        <v>28549</v>
      </c>
      <c r="C689" s="12">
        <f t="shared" si="50"/>
        <v>5.5537190082644627E-2</v>
      </c>
      <c r="E689" s="9">
        <f t="shared" si="52"/>
        <v>0</v>
      </c>
      <c r="F689" s="9">
        <f t="shared" si="52"/>
        <v>0</v>
      </c>
    </row>
    <row r="690" spans="1:6" x14ac:dyDescent="0.25">
      <c r="A690" s="9" t="s">
        <v>0</v>
      </c>
      <c r="B690" s="11">
        <v>28580</v>
      </c>
      <c r="C690" s="12">
        <f t="shared" si="50"/>
        <v>6.1487603305785121E-2</v>
      </c>
      <c r="E690" s="9">
        <f t="shared" si="52"/>
        <v>0</v>
      </c>
      <c r="F690" s="9">
        <f t="shared" si="52"/>
        <v>0</v>
      </c>
    </row>
    <row r="691" spans="1:6" x14ac:dyDescent="0.25">
      <c r="A691" s="9" t="s">
        <v>0</v>
      </c>
      <c r="B691" s="11">
        <v>28610</v>
      </c>
      <c r="C691" s="12">
        <f t="shared" si="50"/>
        <v>5.9504132231404959E-2</v>
      </c>
      <c r="E691" s="9">
        <f t="shared" si="52"/>
        <v>0</v>
      </c>
      <c r="F691" s="9">
        <f t="shared" si="52"/>
        <v>0</v>
      </c>
    </row>
    <row r="692" spans="1:6" x14ac:dyDescent="0.25">
      <c r="A692" s="9" t="s">
        <v>0</v>
      </c>
      <c r="B692" s="11">
        <v>28641</v>
      </c>
      <c r="C692" s="12">
        <f t="shared" si="50"/>
        <v>6.1487603305785121E-2</v>
      </c>
      <c r="E692" s="9">
        <f t="shared" si="52"/>
        <v>1</v>
      </c>
      <c r="F692" s="9">
        <f t="shared" si="52"/>
        <v>0</v>
      </c>
    </row>
    <row r="693" spans="1:6" x14ac:dyDescent="0.25">
      <c r="A693" s="9" t="s">
        <v>0</v>
      </c>
      <c r="B693" s="11">
        <v>28671</v>
      </c>
      <c r="C693" s="12">
        <f t="shared" si="50"/>
        <v>5.9504132231404959E-2</v>
      </c>
      <c r="E693" s="9">
        <f t="shared" si="52"/>
        <v>0</v>
      </c>
      <c r="F693" s="9">
        <f t="shared" si="52"/>
        <v>0</v>
      </c>
    </row>
    <row r="694" spans="1:6" x14ac:dyDescent="0.25">
      <c r="A694" s="9" t="s">
        <v>0</v>
      </c>
      <c r="B694" s="11">
        <v>28702</v>
      </c>
      <c r="C694" s="12">
        <f t="shared" si="50"/>
        <v>6.1487603305785121E-2</v>
      </c>
      <c r="E694" s="9">
        <f t="shared" si="52"/>
        <v>0</v>
      </c>
      <c r="F694" s="9">
        <f t="shared" si="52"/>
        <v>0</v>
      </c>
    </row>
    <row r="695" spans="1:6" x14ac:dyDescent="0.25">
      <c r="A695" s="9" t="s">
        <v>0</v>
      </c>
      <c r="B695" s="11">
        <v>28733</v>
      </c>
      <c r="C695" s="12">
        <f t="shared" si="50"/>
        <v>6.1487603305785121E-2</v>
      </c>
      <c r="E695" s="9">
        <f t="shared" si="52"/>
        <v>0</v>
      </c>
      <c r="F695" s="9">
        <f t="shared" si="52"/>
        <v>0</v>
      </c>
    </row>
    <row r="696" spans="1:6" x14ac:dyDescent="0.25">
      <c r="A696" s="9" t="s">
        <v>0</v>
      </c>
      <c r="B696" s="11">
        <v>28763</v>
      </c>
      <c r="C696" s="12">
        <f t="shared" si="50"/>
        <v>5.9504132231404959E-2</v>
      </c>
      <c r="E696" s="9">
        <f t="shared" si="52"/>
        <v>0</v>
      </c>
      <c r="F696" s="9">
        <f t="shared" si="52"/>
        <v>1</v>
      </c>
    </row>
    <row r="697" spans="1:6" x14ac:dyDescent="0.25">
      <c r="A697" s="9" t="s">
        <v>0</v>
      </c>
      <c r="B697" s="11">
        <v>28794</v>
      </c>
      <c r="C697" s="12">
        <f t="shared" si="50"/>
        <v>6.1487603305785121E-2</v>
      </c>
      <c r="E697" s="9">
        <f t="shared" si="52"/>
        <v>0</v>
      </c>
      <c r="F697" s="9">
        <f t="shared" si="52"/>
        <v>0</v>
      </c>
    </row>
    <row r="698" spans="1:6" x14ac:dyDescent="0.25">
      <c r="A698" s="9" t="s">
        <v>0</v>
      </c>
      <c r="B698" s="11">
        <v>28824</v>
      </c>
      <c r="C698" s="12">
        <f t="shared" si="50"/>
        <v>5.9504132231404959E-2</v>
      </c>
      <c r="E698" s="9">
        <f t="shared" ref="E698:F713" si="53">E686</f>
        <v>0</v>
      </c>
      <c r="F698" s="9">
        <f t="shared" si="53"/>
        <v>0</v>
      </c>
    </row>
    <row r="699" spans="1:6" x14ac:dyDescent="0.25">
      <c r="A699" s="9" t="s">
        <v>0</v>
      </c>
      <c r="B699" s="11">
        <v>28855</v>
      </c>
      <c r="C699" s="12">
        <f t="shared" si="50"/>
        <v>6.1487603305785121E-2</v>
      </c>
      <c r="E699" s="9">
        <f t="shared" si="53"/>
        <v>0</v>
      </c>
      <c r="F699" s="9">
        <f t="shared" si="53"/>
        <v>0</v>
      </c>
    </row>
    <row r="700" spans="1:6" x14ac:dyDescent="0.25">
      <c r="A700" s="9" t="s">
        <v>0</v>
      </c>
      <c r="B700" s="11">
        <v>28886</v>
      </c>
      <c r="C700" s="12">
        <f t="shared" si="50"/>
        <v>6.1487603305785121E-2</v>
      </c>
      <c r="E700" s="9">
        <f t="shared" si="53"/>
        <v>0</v>
      </c>
      <c r="F700" s="9">
        <f t="shared" si="53"/>
        <v>0</v>
      </c>
    </row>
    <row r="701" spans="1:6" x14ac:dyDescent="0.25">
      <c r="A701" s="9" t="s">
        <v>0</v>
      </c>
      <c r="B701" s="11">
        <v>28914</v>
      </c>
      <c r="C701" s="12">
        <f t="shared" si="50"/>
        <v>5.5537190082644627E-2</v>
      </c>
      <c r="E701" s="9">
        <f t="shared" si="53"/>
        <v>0</v>
      </c>
      <c r="F701" s="9">
        <f t="shared" si="53"/>
        <v>0</v>
      </c>
    </row>
    <row r="702" spans="1:6" x14ac:dyDescent="0.25">
      <c r="A702" s="9" t="s">
        <v>0</v>
      </c>
      <c r="B702" s="11">
        <v>28945</v>
      </c>
      <c r="C702" s="12">
        <f t="shared" si="50"/>
        <v>6.1487603305785121E-2</v>
      </c>
      <c r="E702" s="9">
        <f t="shared" si="53"/>
        <v>0</v>
      </c>
      <c r="F702" s="9">
        <f t="shared" si="53"/>
        <v>0</v>
      </c>
    </row>
    <row r="703" spans="1:6" x14ac:dyDescent="0.25">
      <c r="A703" s="9" t="s">
        <v>0</v>
      </c>
      <c r="B703" s="11">
        <v>28975</v>
      </c>
      <c r="C703" s="12">
        <f t="shared" si="50"/>
        <v>5.9504132231404959E-2</v>
      </c>
      <c r="E703" s="9">
        <f t="shared" si="53"/>
        <v>0</v>
      </c>
      <c r="F703" s="9">
        <f t="shared" si="53"/>
        <v>0</v>
      </c>
    </row>
    <row r="704" spans="1:6" x14ac:dyDescent="0.25">
      <c r="A704" s="9" t="s">
        <v>0</v>
      </c>
      <c r="B704" s="11">
        <v>29006</v>
      </c>
      <c r="C704" s="12">
        <f t="shared" si="50"/>
        <v>6.1487603305785121E-2</v>
      </c>
      <c r="E704" s="9">
        <f t="shared" si="53"/>
        <v>1</v>
      </c>
      <c r="F704" s="9">
        <f t="shared" si="53"/>
        <v>0</v>
      </c>
    </row>
    <row r="705" spans="1:6" x14ac:dyDescent="0.25">
      <c r="A705" s="9" t="s">
        <v>0</v>
      </c>
      <c r="B705" s="11">
        <v>29036</v>
      </c>
      <c r="C705" s="12">
        <f t="shared" si="50"/>
        <v>5.9504132231404959E-2</v>
      </c>
      <c r="E705" s="9">
        <f t="shared" si="53"/>
        <v>0</v>
      </c>
      <c r="F705" s="9">
        <f t="shared" si="53"/>
        <v>0</v>
      </c>
    </row>
    <row r="706" spans="1:6" x14ac:dyDescent="0.25">
      <c r="A706" s="9" t="s">
        <v>0</v>
      </c>
      <c r="B706" s="11">
        <v>29067</v>
      </c>
      <c r="C706" s="12">
        <f t="shared" si="50"/>
        <v>6.1487603305785121E-2</v>
      </c>
      <c r="E706" s="9">
        <f t="shared" si="53"/>
        <v>0</v>
      </c>
      <c r="F706" s="9">
        <f t="shared" si="53"/>
        <v>0</v>
      </c>
    </row>
    <row r="707" spans="1:6" x14ac:dyDescent="0.25">
      <c r="A707" s="9" t="s">
        <v>0</v>
      </c>
      <c r="B707" s="11">
        <v>29098</v>
      </c>
      <c r="C707" s="12">
        <f t="shared" si="50"/>
        <v>6.1487603305785121E-2</v>
      </c>
      <c r="E707" s="9">
        <f t="shared" si="53"/>
        <v>0</v>
      </c>
      <c r="F707" s="9">
        <f t="shared" si="53"/>
        <v>0</v>
      </c>
    </row>
    <row r="708" spans="1:6" x14ac:dyDescent="0.25">
      <c r="A708" s="9" t="s">
        <v>0</v>
      </c>
      <c r="B708" s="11">
        <v>29128</v>
      </c>
      <c r="C708" s="12">
        <f t="shared" si="50"/>
        <v>5.9504132231404959E-2</v>
      </c>
      <c r="E708" s="9">
        <f t="shared" si="53"/>
        <v>0</v>
      </c>
      <c r="F708" s="9">
        <f t="shared" si="53"/>
        <v>1</v>
      </c>
    </row>
    <row r="709" spans="1:6" x14ac:dyDescent="0.25">
      <c r="A709" s="9" t="s">
        <v>0</v>
      </c>
      <c r="B709" s="11">
        <v>29159</v>
      </c>
      <c r="C709" s="12">
        <f t="shared" si="50"/>
        <v>6.1487603305785121E-2</v>
      </c>
      <c r="E709" s="9">
        <f t="shared" si="53"/>
        <v>0</v>
      </c>
      <c r="F709" s="9">
        <f t="shared" si="53"/>
        <v>0</v>
      </c>
    </row>
    <row r="710" spans="1:6" x14ac:dyDescent="0.25">
      <c r="A710" s="9" t="s">
        <v>0</v>
      </c>
      <c r="B710" s="11">
        <v>29189</v>
      </c>
      <c r="C710" s="12">
        <f t="shared" si="50"/>
        <v>5.9504132231404959E-2</v>
      </c>
      <c r="E710" s="9">
        <f t="shared" si="53"/>
        <v>0</v>
      </c>
      <c r="F710" s="9">
        <f t="shared" si="53"/>
        <v>0</v>
      </c>
    </row>
    <row r="711" spans="1:6" x14ac:dyDescent="0.25">
      <c r="A711" s="9" t="s">
        <v>0</v>
      </c>
      <c r="B711" s="11">
        <v>29220</v>
      </c>
      <c r="C711" s="12">
        <f t="shared" si="50"/>
        <v>6.1487603305785121E-2</v>
      </c>
      <c r="E711" s="9">
        <f t="shared" si="53"/>
        <v>0</v>
      </c>
      <c r="F711" s="9">
        <f t="shared" si="53"/>
        <v>0</v>
      </c>
    </row>
    <row r="712" spans="1:6" x14ac:dyDescent="0.25">
      <c r="A712" s="9" t="s">
        <v>0</v>
      </c>
      <c r="B712" s="11">
        <v>29251</v>
      </c>
      <c r="C712" s="12">
        <f t="shared" si="50"/>
        <v>6.1487603305785121E-2</v>
      </c>
      <c r="E712" s="9">
        <f t="shared" si="53"/>
        <v>0</v>
      </c>
      <c r="F712" s="9">
        <f t="shared" si="53"/>
        <v>0</v>
      </c>
    </row>
    <row r="713" spans="1:6" x14ac:dyDescent="0.25">
      <c r="A713" s="9" t="s">
        <v>0</v>
      </c>
      <c r="B713" s="11">
        <v>29280</v>
      </c>
      <c r="C713" s="12">
        <f t="shared" si="50"/>
        <v>5.752066115702479E-2</v>
      </c>
      <c r="E713" s="9">
        <f t="shared" si="53"/>
        <v>0</v>
      </c>
      <c r="F713" s="9">
        <f t="shared" si="53"/>
        <v>0</v>
      </c>
    </row>
    <row r="714" spans="1:6" x14ac:dyDescent="0.25">
      <c r="A714" s="9" t="s">
        <v>0</v>
      </c>
      <c r="B714" s="11">
        <v>29311</v>
      </c>
      <c r="C714" s="12">
        <f t="shared" si="50"/>
        <v>6.1487603305785121E-2</v>
      </c>
      <c r="E714" s="9">
        <f t="shared" ref="E714:F729" si="54">E702</f>
        <v>0</v>
      </c>
      <c r="F714" s="9">
        <f t="shared" si="54"/>
        <v>0</v>
      </c>
    </row>
    <row r="715" spans="1:6" x14ac:dyDescent="0.25">
      <c r="A715" s="9" t="s">
        <v>0</v>
      </c>
      <c r="B715" s="11">
        <v>29341</v>
      </c>
      <c r="C715" s="12">
        <f t="shared" si="50"/>
        <v>5.9504132231404959E-2</v>
      </c>
      <c r="E715" s="9">
        <f t="shared" si="54"/>
        <v>0</v>
      </c>
      <c r="F715" s="9">
        <f t="shared" si="54"/>
        <v>0</v>
      </c>
    </row>
    <row r="716" spans="1:6" x14ac:dyDescent="0.25">
      <c r="A716" s="9" t="s">
        <v>0</v>
      </c>
      <c r="B716" s="11">
        <v>29372</v>
      </c>
      <c r="C716" s="12">
        <f t="shared" si="50"/>
        <v>6.1487603305785121E-2</v>
      </c>
      <c r="E716" s="9">
        <f t="shared" si="54"/>
        <v>1</v>
      </c>
      <c r="F716" s="9">
        <f t="shared" si="54"/>
        <v>0</v>
      </c>
    </row>
    <row r="717" spans="1:6" x14ac:dyDescent="0.25">
      <c r="A717" s="9" t="s">
        <v>0</v>
      </c>
      <c r="B717" s="11">
        <v>29402</v>
      </c>
      <c r="C717" s="12">
        <f t="shared" si="50"/>
        <v>5.9504132231404959E-2</v>
      </c>
      <c r="E717" s="9">
        <f t="shared" si="54"/>
        <v>0</v>
      </c>
      <c r="F717" s="9">
        <f t="shared" si="54"/>
        <v>0</v>
      </c>
    </row>
    <row r="718" spans="1:6" x14ac:dyDescent="0.25">
      <c r="A718" s="9" t="s">
        <v>0</v>
      </c>
      <c r="B718" s="11">
        <v>29433</v>
      </c>
      <c r="C718" s="12">
        <f t="shared" ref="C718:C781" si="55">(B718-B717)*86400/43560/1000</f>
        <v>6.1487603305785121E-2</v>
      </c>
      <c r="E718" s="9">
        <f t="shared" si="54"/>
        <v>0</v>
      </c>
      <c r="F718" s="9">
        <f t="shared" si="54"/>
        <v>0</v>
      </c>
    </row>
    <row r="719" spans="1:6" x14ac:dyDescent="0.25">
      <c r="A719" s="9" t="s">
        <v>0</v>
      </c>
      <c r="B719" s="11">
        <v>29464</v>
      </c>
      <c r="C719" s="12">
        <f t="shared" si="55"/>
        <v>6.1487603305785121E-2</v>
      </c>
      <c r="E719" s="9">
        <f t="shared" si="54"/>
        <v>0</v>
      </c>
      <c r="F719" s="9">
        <f t="shared" si="54"/>
        <v>0</v>
      </c>
    </row>
    <row r="720" spans="1:6" x14ac:dyDescent="0.25">
      <c r="A720" s="9" t="s">
        <v>0</v>
      </c>
      <c r="B720" s="11">
        <v>29494</v>
      </c>
      <c r="C720" s="12">
        <f t="shared" si="55"/>
        <v>5.9504132231404959E-2</v>
      </c>
      <c r="E720" s="9">
        <f t="shared" si="54"/>
        <v>0</v>
      </c>
      <c r="F720" s="9">
        <f t="shared" si="54"/>
        <v>1</v>
      </c>
    </row>
    <row r="721" spans="1:6" x14ac:dyDescent="0.25">
      <c r="A721" s="9" t="s">
        <v>0</v>
      </c>
      <c r="B721" s="11">
        <v>29525</v>
      </c>
      <c r="C721" s="12">
        <f t="shared" si="55"/>
        <v>6.1487603305785121E-2</v>
      </c>
      <c r="E721" s="9">
        <f t="shared" si="54"/>
        <v>0</v>
      </c>
      <c r="F721" s="9">
        <f t="shared" si="54"/>
        <v>0</v>
      </c>
    </row>
    <row r="722" spans="1:6" x14ac:dyDescent="0.25">
      <c r="A722" s="9" t="s">
        <v>0</v>
      </c>
      <c r="B722" s="11">
        <v>29555</v>
      </c>
      <c r="C722" s="12">
        <f t="shared" si="55"/>
        <v>5.9504132231404959E-2</v>
      </c>
      <c r="E722" s="9">
        <f t="shared" si="54"/>
        <v>0</v>
      </c>
      <c r="F722" s="9">
        <f t="shared" si="54"/>
        <v>0</v>
      </c>
    </row>
    <row r="723" spans="1:6" x14ac:dyDescent="0.25">
      <c r="A723" s="9" t="s">
        <v>0</v>
      </c>
      <c r="B723" s="11">
        <v>29586</v>
      </c>
      <c r="C723" s="12">
        <f t="shared" si="55"/>
        <v>6.1487603305785121E-2</v>
      </c>
      <c r="E723" s="9">
        <f t="shared" si="54"/>
        <v>0</v>
      </c>
      <c r="F723" s="9">
        <f t="shared" si="54"/>
        <v>0</v>
      </c>
    </row>
    <row r="724" spans="1:6" x14ac:dyDescent="0.25">
      <c r="A724" s="9" t="s">
        <v>0</v>
      </c>
      <c r="B724" s="11">
        <v>29617</v>
      </c>
      <c r="C724" s="12">
        <f t="shared" si="55"/>
        <v>6.1487603305785121E-2</v>
      </c>
      <c r="E724" s="9">
        <f t="shared" si="54"/>
        <v>0</v>
      </c>
      <c r="F724" s="9">
        <f t="shared" si="54"/>
        <v>0</v>
      </c>
    </row>
    <row r="725" spans="1:6" x14ac:dyDescent="0.25">
      <c r="A725" s="9" t="s">
        <v>0</v>
      </c>
      <c r="B725" s="11">
        <v>29645</v>
      </c>
      <c r="C725" s="12">
        <f t="shared" si="55"/>
        <v>5.5537190082644627E-2</v>
      </c>
      <c r="E725" s="9">
        <f t="shared" si="54"/>
        <v>0</v>
      </c>
      <c r="F725" s="9">
        <f t="shared" si="54"/>
        <v>0</v>
      </c>
    </row>
    <row r="726" spans="1:6" x14ac:dyDescent="0.25">
      <c r="A726" s="9" t="s">
        <v>0</v>
      </c>
      <c r="B726" s="11">
        <v>29676</v>
      </c>
      <c r="C726" s="12">
        <f t="shared" si="55"/>
        <v>6.1487603305785121E-2</v>
      </c>
      <c r="E726" s="9">
        <f t="shared" si="54"/>
        <v>0</v>
      </c>
      <c r="F726" s="9">
        <f t="shared" si="54"/>
        <v>0</v>
      </c>
    </row>
    <row r="727" spans="1:6" x14ac:dyDescent="0.25">
      <c r="A727" s="9" t="s">
        <v>0</v>
      </c>
      <c r="B727" s="11">
        <v>29706</v>
      </c>
      <c r="C727" s="12">
        <f t="shared" si="55"/>
        <v>5.9504132231404959E-2</v>
      </c>
      <c r="E727" s="9">
        <f t="shared" si="54"/>
        <v>0</v>
      </c>
      <c r="F727" s="9">
        <f t="shared" si="54"/>
        <v>0</v>
      </c>
    </row>
    <row r="728" spans="1:6" x14ac:dyDescent="0.25">
      <c r="A728" s="9" t="s">
        <v>0</v>
      </c>
      <c r="B728" s="11">
        <v>29737</v>
      </c>
      <c r="C728" s="12">
        <f t="shared" si="55"/>
        <v>6.1487603305785121E-2</v>
      </c>
      <c r="E728" s="9">
        <f t="shared" si="54"/>
        <v>1</v>
      </c>
      <c r="F728" s="9">
        <f t="shared" si="54"/>
        <v>0</v>
      </c>
    </row>
    <row r="729" spans="1:6" x14ac:dyDescent="0.25">
      <c r="A729" s="9" t="s">
        <v>0</v>
      </c>
      <c r="B729" s="11">
        <v>29767</v>
      </c>
      <c r="C729" s="12">
        <f t="shared" si="55"/>
        <v>5.9504132231404959E-2</v>
      </c>
      <c r="E729" s="9">
        <f t="shared" si="54"/>
        <v>0</v>
      </c>
      <c r="F729" s="9">
        <f t="shared" si="54"/>
        <v>0</v>
      </c>
    </row>
    <row r="730" spans="1:6" x14ac:dyDescent="0.25">
      <c r="A730" s="9" t="s">
        <v>0</v>
      </c>
      <c r="B730" s="11">
        <v>29798</v>
      </c>
      <c r="C730" s="12">
        <f t="shared" si="55"/>
        <v>6.1487603305785121E-2</v>
      </c>
      <c r="E730" s="9">
        <f t="shared" ref="E730:F745" si="56">E718</f>
        <v>0</v>
      </c>
      <c r="F730" s="9">
        <f t="shared" si="56"/>
        <v>0</v>
      </c>
    </row>
    <row r="731" spans="1:6" x14ac:dyDescent="0.25">
      <c r="A731" s="9" t="s">
        <v>0</v>
      </c>
      <c r="B731" s="11">
        <v>29829</v>
      </c>
      <c r="C731" s="12">
        <f t="shared" si="55"/>
        <v>6.1487603305785121E-2</v>
      </c>
      <c r="E731" s="9">
        <f t="shared" si="56"/>
        <v>0</v>
      </c>
      <c r="F731" s="9">
        <f t="shared" si="56"/>
        <v>0</v>
      </c>
    </row>
    <row r="732" spans="1:6" x14ac:dyDescent="0.25">
      <c r="A732" s="9" t="s">
        <v>0</v>
      </c>
      <c r="B732" s="11">
        <v>29859</v>
      </c>
      <c r="C732" s="12">
        <f t="shared" si="55"/>
        <v>5.9504132231404959E-2</v>
      </c>
      <c r="E732" s="9">
        <f t="shared" si="56"/>
        <v>0</v>
      </c>
      <c r="F732" s="9">
        <f t="shared" si="56"/>
        <v>1</v>
      </c>
    </row>
    <row r="733" spans="1:6" x14ac:dyDescent="0.25">
      <c r="A733" s="9" t="s">
        <v>0</v>
      </c>
      <c r="B733" s="11">
        <v>29890</v>
      </c>
      <c r="C733" s="12">
        <f t="shared" si="55"/>
        <v>6.1487603305785121E-2</v>
      </c>
      <c r="E733" s="9">
        <f t="shared" si="56"/>
        <v>0</v>
      </c>
      <c r="F733" s="9">
        <f t="shared" si="56"/>
        <v>0</v>
      </c>
    </row>
    <row r="734" spans="1:6" x14ac:dyDescent="0.25">
      <c r="A734" s="9" t="s">
        <v>0</v>
      </c>
      <c r="B734" s="11">
        <v>29920</v>
      </c>
      <c r="C734" s="12">
        <f t="shared" si="55"/>
        <v>5.9504132231404959E-2</v>
      </c>
      <c r="E734" s="9">
        <f t="shared" si="56"/>
        <v>0</v>
      </c>
      <c r="F734" s="9">
        <f t="shared" si="56"/>
        <v>0</v>
      </c>
    </row>
    <row r="735" spans="1:6" x14ac:dyDescent="0.25">
      <c r="A735" s="9" t="s">
        <v>0</v>
      </c>
      <c r="B735" s="11">
        <v>29951</v>
      </c>
      <c r="C735" s="12">
        <f t="shared" si="55"/>
        <v>6.1487603305785121E-2</v>
      </c>
      <c r="E735" s="9">
        <f t="shared" si="56"/>
        <v>0</v>
      </c>
      <c r="F735" s="9">
        <f t="shared" si="56"/>
        <v>0</v>
      </c>
    </row>
    <row r="736" spans="1:6" x14ac:dyDescent="0.25">
      <c r="A736" s="9" t="s">
        <v>0</v>
      </c>
      <c r="B736" s="11">
        <v>29982</v>
      </c>
      <c r="C736" s="12">
        <f t="shared" si="55"/>
        <v>6.1487603305785121E-2</v>
      </c>
      <c r="E736" s="9">
        <f t="shared" si="56"/>
        <v>0</v>
      </c>
      <c r="F736" s="9">
        <f t="shared" si="56"/>
        <v>0</v>
      </c>
    </row>
    <row r="737" spans="1:6" x14ac:dyDescent="0.25">
      <c r="A737" s="9" t="s">
        <v>0</v>
      </c>
      <c r="B737" s="11">
        <v>30010</v>
      </c>
      <c r="C737" s="12">
        <f t="shared" si="55"/>
        <v>5.5537190082644627E-2</v>
      </c>
      <c r="E737" s="9">
        <f t="shared" si="56"/>
        <v>0</v>
      </c>
      <c r="F737" s="9">
        <f t="shared" si="56"/>
        <v>0</v>
      </c>
    </row>
    <row r="738" spans="1:6" x14ac:dyDescent="0.25">
      <c r="A738" s="9" t="s">
        <v>0</v>
      </c>
      <c r="B738" s="11">
        <v>30041</v>
      </c>
      <c r="C738" s="12">
        <f t="shared" si="55"/>
        <v>6.1487603305785121E-2</v>
      </c>
      <c r="E738" s="9">
        <f t="shared" si="56"/>
        <v>0</v>
      </c>
      <c r="F738" s="9">
        <f t="shared" si="56"/>
        <v>0</v>
      </c>
    </row>
    <row r="739" spans="1:6" x14ac:dyDescent="0.25">
      <c r="A739" s="9" t="s">
        <v>0</v>
      </c>
      <c r="B739" s="11">
        <v>30071</v>
      </c>
      <c r="C739" s="12">
        <f t="shared" si="55"/>
        <v>5.9504132231404959E-2</v>
      </c>
      <c r="E739" s="9">
        <f t="shared" si="56"/>
        <v>0</v>
      </c>
      <c r="F739" s="9">
        <f t="shared" si="56"/>
        <v>0</v>
      </c>
    </row>
    <row r="740" spans="1:6" x14ac:dyDescent="0.25">
      <c r="A740" s="9" t="s">
        <v>0</v>
      </c>
      <c r="B740" s="11">
        <v>30102</v>
      </c>
      <c r="C740" s="12">
        <f t="shared" si="55"/>
        <v>6.1487603305785121E-2</v>
      </c>
      <c r="E740" s="9">
        <f t="shared" si="56"/>
        <v>1</v>
      </c>
      <c r="F740" s="9">
        <f t="shared" si="56"/>
        <v>0</v>
      </c>
    </row>
    <row r="741" spans="1:6" x14ac:dyDescent="0.25">
      <c r="A741" s="9" t="s">
        <v>0</v>
      </c>
      <c r="B741" s="11">
        <v>30132</v>
      </c>
      <c r="C741" s="12">
        <f t="shared" si="55"/>
        <v>5.9504132231404959E-2</v>
      </c>
      <c r="E741" s="9">
        <f t="shared" si="56"/>
        <v>0</v>
      </c>
      <c r="F741" s="9">
        <f t="shared" si="56"/>
        <v>0</v>
      </c>
    </row>
    <row r="742" spans="1:6" x14ac:dyDescent="0.25">
      <c r="A742" s="9" t="s">
        <v>0</v>
      </c>
      <c r="B742" s="11">
        <v>30163</v>
      </c>
      <c r="C742" s="12">
        <f t="shared" si="55"/>
        <v>6.1487603305785121E-2</v>
      </c>
      <c r="E742" s="9">
        <f t="shared" si="56"/>
        <v>0</v>
      </c>
      <c r="F742" s="9">
        <f t="shared" si="56"/>
        <v>0</v>
      </c>
    </row>
    <row r="743" spans="1:6" x14ac:dyDescent="0.25">
      <c r="A743" s="9" t="s">
        <v>0</v>
      </c>
      <c r="B743" s="11">
        <v>30194</v>
      </c>
      <c r="C743" s="12">
        <f t="shared" si="55"/>
        <v>6.1487603305785121E-2</v>
      </c>
      <c r="E743" s="9">
        <f t="shared" si="56"/>
        <v>0</v>
      </c>
      <c r="F743" s="9">
        <f t="shared" si="56"/>
        <v>0</v>
      </c>
    </row>
    <row r="744" spans="1:6" x14ac:dyDescent="0.25">
      <c r="A744" s="9" t="s">
        <v>0</v>
      </c>
      <c r="B744" s="11">
        <v>30224</v>
      </c>
      <c r="C744" s="12">
        <f t="shared" si="55"/>
        <v>5.9504132231404959E-2</v>
      </c>
      <c r="E744" s="9">
        <f t="shared" si="56"/>
        <v>0</v>
      </c>
      <c r="F744" s="9">
        <f t="shared" si="56"/>
        <v>1</v>
      </c>
    </row>
    <row r="745" spans="1:6" x14ac:dyDescent="0.25">
      <c r="A745" s="9" t="s">
        <v>0</v>
      </c>
      <c r="B745" s="11">
        <v>30255</v>
      </c>
      <c r="C745" s="12">
        <f t="shared" si="55"/>
        <v>6.1487603305785121E-2</v>
      </c>
      <c r="E745" s="9">
        <f t="shared" si="56"/>
        <v>0</v>
      </c>
      <c r="F745" s="9">
        <f t="shared" si="56"/>
        <v>0</v>
      </c>
    </row>
    <row r="746" spans="1:6" x14ac:dyDescent="0.25">
      <c r="A746" s="9" t="s">
        <v>0</v>
      </c>
      <c r="B746" s="11">
        <v>30285</v>
      </c>
      <c r="C746" s="12">
        <f t="shared" si="55"/>
        <v>5.9504132231404959E-2</v>
      </c>
      <c r="E746" s="9">
        <f t="shared" ref="E746:F761" si="57">E734</f>
        <v>0</v>
      </c>
      <c r="F746" s="9">
        <f t="shared" si="57"/>
        <v>0</v>
      </c>
    </row>
    <row r="747" spans="1:6" x14ac:dyDescent="0.25">
      <c r="A747" s="9" t="s">
        <v>0</v>
      </c>
      <c r="B747" s="11">
        <v>30316</v>
      </c>
      <c r="C747" s="12">
        <f t="shared" si="55"/>
        <v>6.1487603305785121E-2</v>
      </c>
      <c r="E747" s="9">
        <f t="shared" si="57"/>
        <v>0</v>
      </c>
      <c r="F747" s="9">
        <f t="shared" si="57"/>
        <v>0</v>
      </c>
    </row>
    <row r="748" spans="1:6" x14ac:dyDescent="0.25">
      <c r="A748" s="9" t="s">
        <v>0</v>
      </c>
      <c r="B748" s="11">
        <v>30347</v>
      </c>
      <c r="C748" s="12">
        <f t="shared" si="55"/>
        <v>6.1487603305785121E-2</v>
      </c>
      <c r="E748" s="9">
        <f t="shared" si="57"/>
        <v>0</v>
      </c>
      <c r="F748" s="9">
        <f t="shared" si="57"/>
        <v>0</v>
      </c>
    </row>
    <row r="749" spans="1:6" x14ac:dyDescent="0.25">
      <c r="A749" s="9" t="s">
        <v>0</v>
      </c>
      <c r="B749" s="11">
        <v>30375</v>
      </c>
      <c r="C749" s="12">
        <f t="shared" si="55"/>
        <v>5.5537190082644627E-2</v>
      </c>
      <c r="E749" s="9">
        <f t="shared" si="57"/>
        <v>0</v>
      </c>
      <c r="F749" s="9">
        <f t="shared" si="57"/>
        <v>0</v>
      </c>
    </row>
    <row r="750" spans="1:6" x14ac:dyDescent="0.25">
      <c r="A750" s="9" t="s">
        <v>0</v>
      </c>
      <c r="B750" s="11">
        <v>30406</v>
      </c>
      <c r="C750" s="12">
        <f t="shared" si="55"/>
        <v>6.1487603305785121E-2</v>
      </c>
      <c r="E750" s="9">
        <f t="shared" si="57"/>
        <v>0</v>
      </c>
      <c r="F750" s="9">
        <f t="shared" si="57"/>
        <v>0</v>
      </c>
    </row>
    <row r="751" spans="1:6" x14ac:dyDescent="0.25">
      <c r="A751" s="9" t="s">
        <v>0</v>
      </c>
      <c r="B751" s="11">
        <v>30436</v>
      </c>
      <c r="C751" s="12">
        <f t="shared" si="55"/>
        <v>5.9504132231404959E-2</v>
      </c>
      <c r="E751" s="9">
        <f t="shared" si="57"/>
        <v>0</v>
      </c>
      <c r="F751" s="9">
        <f t="shared" si="57"/>
        <v>0</v>
      </c>
    </row>
    <row r="752" spans="1:6" x14ac:dyDescent="0.25">
      <c r="A752" s="9" t="s">
        <v>0</v>
      </c>
      <c r="B752" s="11">
        <v>30467</v>
      </c>
      <c r="C752" s="12">
        <f t="shared" si="55"/>
        <v>6.1487603305785121E-2</v>
      </c>
      <c r="E752" s="9">
        <f t="shared" si="57"/>
        <v>1</v>
      </c>
      <c r="F752" s="9">
        <f t="shared" si="57"/>
        <v>0</v>
      </c>
    </row>
    <row r="753" spans="1:6" x14ac:dyDescent="0.25">
      <c r="A753" s="9" t="s">
        <v>0</v>
      </c>
      <c r="B753" s="11">
        <v>30497</v>
      </c>
      <c r="C753" s="12">
        <f t="shared" si="55"/>
        <v>5.9504132231404959E-2</v>
      </c>
      <c r="E753" s="9">
        <f t="shared" si="57"/>
        <v>0</v>
      </c>
      <c r="F753" s="9">
        <f t="shared" si="57"/>
        <v>0</v>
      </c>
    </row>
    <row r="754" spans="1:6" x14ac:dyDescent="0.25">
      <c r="A754" s="9" t="s">
        <v>0</v>
      </c>
      <c r="B754" s="11">
        <v>30528</v>
      </c>
      <c r="C754" s="12">
        <f t="shared" si="55"/>
        <v>6.1487603305785121E-2</v>
      </c>
      <c r="E754" s="9">
        <f t="shared" si="57"/>
        <v>0</v>
      </c>
      <c r="F754" s="9">
        <f t="shared" si="57"/>
        <v>0</v>
      </c>
    </row>
    <row r="755" spans="1:6" x14ac:dyDescent="0.25">
      <c r="A755" s="9" t="s">
        <v>0</v>
      </c>
      <c r="B755" s="11">
        <v>30559</v>
      </c>
      <c r="C755" s="12">
        <f t="shared" si="55"/>
        <v>6.1487603305785121E-2</v>
      </c>
      <c r="E755" s="9">
        <f t="shared" si="57"/>
        <v>0</v>
      </c>
      <c r="F755" s="9">
        <f t="shared" si="57"/>
        <v>0</v>
      </c>
    </row>
    <row r="756" spans="1:6" x14ac:dyDescent="0.25">
      <c r="A756" s="9" t="s">
        <v>0</v>
      </c>
      <c r="B756" s="11">
        <v>30589</v>
      </c>
      <c r="C756" s="12">
        <f t="shared" si="55"/>
        <v>5.9504132231404959E-2</v>
      </c>
      <c r="E756" s="9">
        <f t="shared" si="57"/>
        <v>0</v>
      </c>
      <c r="F756" s="9">
        <f t="shared" si="57"/>
        <v>1</v>
      </c>
    </row>
    <row r="757" spans="1:6" x14ac:dyDescent="0.25">
      <c r="A757" s="9" t="s">
        <v>0</v>
      </c>
      <c r="B757" s="11">
        <v>30620</v>
      </c>
      <c r="C757" s="12">
        <f t="shared" si="55"/>
        <v>6.1487603305785121E-2</v>
      </c>
      <c r="E757" s="9">
        <f t="shared" si="57"/>
        <v>0</v>
      </c>
      <c r="F757" s="9">
        <f t="shared" si="57"/>
        <v>0</v>
      </c>
    </row>
    <row r="758" spans="1:6" x14ac:dyDescent="0.25">
      <c r="A758" s="9" t="s">
        <v>0</v>
      </c>
      <c r="B758" s="11">
        <v>30650</v>
      </c>
      <c r="C758" s="12">
        <f t="shared" si="55"/>
        <v>5.9504132231404959E-2</v>
      </c>
      <c r="E758" s="9">
        <f t="shared" si="57"/>
        <v>0</v>
      </c>
      <c r="F758" s="9">
        <f t="shared" si="57"/>
        <v>0</v>
      </c>
    </row>
    <row r="759" spans="1:6" x14ac:dyDescent="0.25">
      <c r="A759" s="9" t="s">
        <v>0</v>
      </c>
      <c r="B759" s="11">
        <v>30681</v>
      </c>
      <c r="C759" s="12">
        <f t="shared" si="55"/>
        <v>6.1487603305785121E-2</v>
      </c>
      <c r="E759" s="9">
        <f t="shared" si="57"/>
        <v>0</v>
      </c>
      <c r="F759" s="9">
        <f t="shared" si="57"/>
        <v>0</v>
      </c>
    </row>
    <row r="760" spans="1:6" x14ac:dyDescent="0.25">
      <c r="A760" s="9" t="s">
        <v>0</v>
      </c>
      <c r="B760" s="11">
        <v>30712</v>
      </c>
      <c r="C760" s="12">
        <f t="shared" si="55"/>
        <v>6.1487603305785121E-2</v>
      </c>
      <c r="E760" s="9">
        <f t="shared" si="57"/>
        <v>0</v>
      </c>
      <c r="F760" s="9">
        <f t="shared" si="57"/>
        <v>0</v>
      </c>
    </row>
    <row r="761" spans="1:6" x14ac:dyDescent="0.25">
      <c r="A761" s="9" t="s">
        <v>0</v>
      </c>
      <c r="B761" s="11">
        <v>30741</v>
      </c>
      <c r="C761" s="12">
        <f t="shared" si="55"/>
        <v>5.752066115702479E-2</v>
      </c>
      <c r="E761" s="9">
        <f t="shared" si="57"/>
        <v>0</v>
      </c>
      <c r="F761" s="9">
        <f t="shared" si="57"/>
        <v>0</v>
      </c>
    </row>
    <row r="762" spans="1:6" x14ac:dyDescent="0.25">
      <c r="A762" s="9" t="s">
        <v>0</v>
      </c>
      <c r="B762" s="11">
        <v>30772</v>
      </c>
      <c r="C762" s="12">
        <f t="shared" si="55"/>
        <v>6.1487603305785121E-2</v>
      </c>
      <c r="E762" s="9">
        <f t="shared" ref="E762:F777" si="58">E750</f>
        <v>0</v>
      </c>
      <c r="F762" s="9">
        <f t="shared" si="58"/>
        <v>0</v>
      </c>
    </row>
    <row r="763" spans="1:6" x14ac:dyDescent="0.25">
      <c r="A763" s="9" t="s">
        <v>0</v>
      </c>
      <c r="B763" s="11">
        <v>30802</v>
      </c>
      <c r="C763" s="12">
        <f t="shared" si="55"/>
        <v>5.9504132231404959E-2</v>
      </c>
      <c r="E763" s="9">
        <f t="shared" si="58"/>
        <v>0</v>
      </c>
      <c r="F763" s="9">
        <f t="shared" si="58"/>
        <v>0</v>
      </c>
    </row>
    <row r="764" spans="1:6" x14ac:dyDescent="0.25">
      <c r="A764" s="9" t="s">
        <v>0</v>
      </c>
      <c r="B764" s="11">
        <v>30833</v>
      </c>
      <c r="C764" s="12">
        <f t="shared" si="55"/>
        <v>6.1487603305785121E-2</v>
      </c>
      <c r="E764" s="9">
        <f t="shared" si="58"/>
        <v>1</v>
      </c>
      <c r="F764" s="9">
        <f t="shared" si="58"/>
        <v>0</v>
      </c>
    </row>
    <row r="765" spans="1:6" x14ac:dyDescent="0.25">
      <c r="A765" s="9" t="s">
        <v>0</v>
      </c>
      <c r="B765" s="11">
        <v>30863</v>
      </c>
      <c r="C765" s="12">
        <f t="shared" si="55"/>
        <v>5.9504132231404959E-2</v>
      </c>
      <c r="E765" s="9">
        <f t="shared" si="58"/>
        <v>0</v>
      </c>
      <c r="F765" s="9">
        <f t="shared" si="58"/>
        <v>0</v>
      </c>
    </row>
    <row r="766" spans="1:6" x14ac:dyDescent="0.25">
      <c r="A766" s="9" t="s">
        <v>0</v>
      </c>
      <c r="B766" s="11">
        <v>30894</v>
      </c>
      <c r="C766" s="12">
        <f t="shared" si="55"/>
        <v>6.1487603305785121E-2</v>
      </c>
      <c r="E766" s="9">
        <f t="shared" si="58"/>
        <v>0</v>
      </c>
      <c r="F766" s="9">
        <f t="shared" si="58"/>
        <v>0</v>
      </c>
    </row>
    <row r="767" spans="1:6" x14ac:dyDescent="0.25">
      <c r="A767" s="9" t="s">
        <v>0</v>
      </c>
      <c r="B767" s="11">
        <v>30925</v>
      </c>
      <c r="C767" s="12">
        <f t="shared" si="55"/>
        <v>6.1487603305785121E-2</v>
      </c>
      <c r="E767" s="9">
        <f t="shared" si="58"/>
        <v>0</v>
      </c>
      <c r="F767" s="9">
        <f t="shared" si="58"/>
        <v>0</v>
      </c>
    </row>
    <row r="768" spans="1:6" x14ac:dyDescent="0.25">
      <c r="A768" s="9" t="s">
        <v>0</v>
      </c>
      <c r="B768" s="11">
        <v>30955</v>
      </c>
      <c r="C768" s="12">
        <f t="shared" si="55"/>
        <v>5.9504132231404959E-2</v>
      </c>
      <c r="E768" s="9">
        <f t="shared" si="58"/>
        <v>0</v>
      </c>
      <c r="F768" s="9">
        <f t="shared" si="58"/>
        <v>1</v>
      </c>
    </row>
    <row r="769" spans="1:6" x14ac:dyDescent="0.25">
      <c r="A769" s="9" t="s">
        <v>0</v>
      </c>
      <c r="B769" s="11">
        <v>30986</v>
      </c>
      <c r="C769" s="12">
        <f t="shared" si="55"/>
        <v>6.1487603305785121E-2</v>
      </c>
      <c r="E769" s="9">
        <f t="shared" si="58"/>
        <v>0</v>
      </c>
      <c r="F769" s="9">
        <f t="shared" si="58"/>
        <v>0</v>
      </c>
    </row>
    <row r="770" spans="1:6" x14ac:dyDescent="0.25">
      <c r="A770" s="9" t="s">
        <v>0</v>
      </c>
      <c r="B770" s="11">
        <v>31016</v>
      </c>
      <c r="C770" s="12">
        <f t="shared" si="55"/>
        <v>5.9504132231404959E-2</v>
      </c>
      <c r="E770" s="9">
        <f t="shared" si="58"/>
        <v>0</v>
      </c>
      <c r="F770" s="9">
        <f t="shared" si="58"/>
        <v>0</v>
      </c>
    </row>
    <row r="771" spans="1:6" x14ac:dyDescent="0.25">
      <c r="A771" s="9" t="s">
        <v>0</v>
      </c>
      <c r="B771" s="11">
        <v>31047</v>
      </c>
      <c r="C771" s="12">
        <f t="shared" si="55"/>
        <v>6.1487603305785121E-2</v>
      </c>
      <c r="E771" s="9">
        <f t="shared" si="58"/>
        <v>0</v>
      </c>
      <c r="F771" s="9">
        <f t="shared" si="58"/>
        <v>0</v>
      </c>
    </row>
    <row r="772" spans="1:6" x14ac:dyDescent="0.25">
      <c r="A772" s="9" t="s">
        <v>0</v>
      </c>
      <c r="B772" s="11">
        <v>31078</v>
      </c>
      <c r="C772" s="12">
        <f t="shared" si="55"/>
        <v>6.1487603305785121E-2</v>
      </c>
      <c r="E772" s="9">
        <f t="shared" si="58"/>
        <v>0</v>
      </c>
      <c r="F772" s="9">
        <f t="shared" si="58"/>
        <v>0</v>
      </c>
    </row>
    <row r="773" spans="1:6" x14ac:dyDescent="0.25">
      <c r="A773" s="9" t="s">
        <v>0</v>
      </c>
      <c r="B773" s="11">
        <v>31106</v>
      </c>
      <c r="C773" s="12">
        <f t="shared" si="55"/>
        <v>5.5537190082644627E-2</v>
      </c>
      <c r="E773" s="9">
        <f t="shared" si="58"/>
        <v>0</v>
      </c>
      <c r="F773" s="9">
        <f t="shared" si="58"/>
        <v>0</v>
      </c>
    </row>
    <row r="774" spans="1:6" x14ac:dyDescent="0.25">
      <c r="A774" s="9" t="s">
        <v>0</v>
      </c>
      <c r="B774" s="11">
        <v>31137</v>
      </c>
      <c r="C774" s="12">
        <f t="shared" si="55"/>
        <v>6.1487603305785121E-2</v>
      </c>
      <c r="E774" s="9">
        <f t="shared" si="58"/>
        <v>0</v>
      </c>
      <c r="F774" s="9">
        <f t="shared" si="58"/>
        <v>0</v>
      </c>
    </row>
    <row r="775" spans="1:6" x14ac:dyDescent="0.25">
      <c r="A775" s="9" t="s">
        <v>0</v>
      </c>
      <c r="B775" s="11">
        <v>31167</v>
      </c>
      <c r="C775" s="12">
        <f t="shared" si="55"/>
        <v>5.9504132231404959E-2</v>
      </c>
      <c r="E775" s="9">
        <f t="shared" si="58"/>
        <v>0</v>
      </c>
      <c r="F775" s="9">
        <f t="shared" si="58"/>
        <v>0</v>
      </c>
    </row>
    <row r="776" spans="1:6" x14ac:dyDescent="0.25">
      <c r="A776" s="9" t="s">
        <v>0</v>
      </c>
      <c r="B776" s="11">
        <v>31198</v>
      </c>
      <c r="C776" s="12">
        <f t="shared" si="55"/>
        <v>6.1487603305785121E-2</v>
      </c>
      <c r="E776" s="9">
        <f t="shared" si="58"/>
        <v>1</v>
      </c>
      <c r="F776" s="9">
        <f t="shared" si="58"/>
        <v>0</v>
      </c>
    </row>
    <row r="777" spans="1:6" x14ac:dyDescent="0.25">
      <c r="A777" s="9" t="s">
        <v>0</v>
      </c>
      <c r="B777" s="11">
        <v>31228</v>
      </c>
      <c r="C777" s="12">
        <f t="shared" si="55"/>
        <v>5.9504132231404959E-2</v>
      </c>
      <c r="E777" s="9">
        <f t="shared" si="58"/>
        <v>0</v>
      </c>
      <c r="F777" s="9">
        <f t="shared" si="58"/>
        <v>0</v>
      </c>
    </row>
    <row r="778" spans="1:6" x14ac:dyDescent="0.25">
      <c r="A778" s="9" t="s">
        <v>0</v>
      </c>
      <c r="B778" s="11">
        <v>31259</v>
      </c>
      <c r="C778" s="12">
        <f t="shared" si="55"/>
        <v>6.1487603305785121E-2</v>
      </c>
      <c r="E778" s="9">
        <f t="shared" ref="E778:F793" si="59">E766</f>
        <v>0</v>
      </c>
      <c r="F778" s="9">
        <f t="shared" si="59"/>
        <v>0</v>
      </c>
    </row>
    <row r="779" spans="1:6" x14ac:dyDescent="0.25">
      <c r="A779" s="9" t="s">
        <v>0</v>
      </c>
      <c r="B779" s="11">
        <v>31290</v>
      </c>
      <c r="C779" s="12">
        <f t="shared" si="55"/>
        <v>6.1487603305785121E-2</v>
      </c>
      <c r="E779" s="9">
        <f t="shared" si="59"/>
        <v>0</v>
      </c>
      <c r="F779" s="9">
        <f t="shared" si="59"/>
        <v>0</v>
      </c>
    </row>
    <row r="780" spans="1:6" x14ac:dyDescent="0.25">
      <c r="A780" s="9" t="s">
        <v>0</v>
      </c>
      <c r="B780" s="11">
        <v>31320</v>
      </c>
      <c r="C780" s="12">
        <f t="shared" si="55"/>
        <v>5.9504132231404959E-2</v>
      </c>
      <c r="E780" s="9">
        <f t="shared" si="59"/>
        <v>0</v>
      </c>
      <c r="F780" s="9">
        <f t="shared" si="59"/>
        <v>1</v>
      </c>
    </row>
    <row r="781" spans="1:6" x14ac:dyDescent="0.25">
      <c r="A781" s="9" t="s">
        <v>0</v>
      </c>
      <c r="B781" s="11">
        <v>31351</v>
      </c>
      <c r="C781" s="12">
        <f t="shared" si="55"/>
        <v>6.1487603305785121E-2</v>
      </c>
      <c r="E781" s="9">
        <f t="shared" si="59"/>
        <v>0</v>
      </c>
      <c r="F781" s="9">
        <f t="shared" si="59"/>
        <v>0</v>
      </c>
    </row>
    <row r="782" spans="1:6" x14ac:dyDescent="0.25">
      <c r="A782" s="9" t="s">
        <v>0</v>
      </c>
      <c r="B782" s="11">
        <v>31381</v>
      </c>
      <c r="C782" s="12">
        <f t="shared" ref="C782:C845" si="60">(B782-B781)*86400/43560/1000</f>
        <v>5.9504132231404959E-2</v>
      </c>
      <c r="E782" s="9">
        <f t="shared" si="59"/>
        <v>0</v>
      </c>
      <c r="F782" s="9">
        <f t="shared" si="59"/>
        <v>0</v>
      </c>
    </row>
    <row r="783" spans="1:6" x14ac:dyDescent="0.25">
      <c r="A783" s="9" t="s">
        <v>0</v>
      </c>
      <c r="B783" s="11">
        <v>31412</v>
      </c>
      <c r="C783" s="12">
        <f t="shared" si="60"/>
        <v>6.1487603305785121E-2</v>
      </c>
      <c r="E783" s="9">
        <f t="shared" si="59"/>
        <v>0</v>
      </c>
      <c r="F783" s="9">
        <f t="shared" si="59"/>
        <v>0</v>
      </c>
    </row>
    <row r="784" spans="1:6" x14ac:dyDescent="0.25">
      <c r="A784" s="9" t="s">
        <v>0</v>
      </c>
      <c r="B784" s="11">
        <v>31443</v>
      </c>
      <c r="C784" s="12">
        <f t="shared" si="60"/>
        <v>6.1487603305785121E-2</v>
      </c>
      <c r="E784" s="9">
        <f t="shared" si="59"/>
        <v>0</v>
      </c>
      <c r="F784" s="9">
        <f t="shared" si="59"/>
        <v>0</v>
      </c>
    </row>
    <row r="785" spans="1:6" x14ac:dyDescent="0.25">
      <c r="A785" s="9" t="s">
        <v>0</v>
      </c>
      <c r="B785" s="11">
        <v>31471</v>
      </c>
      <c r="C785" s="12">
        <f t="shared" si="60"/>
        <v>5.5537190082644627E-2</v>
      </c>
      <c r="E785" s="9">
        <f t="shared" si="59"/>
        <v>0</v>
      </c>
      <c r="F785" s="9">
        <f t="shared" si="59"/>
        <v>0</v>
      </c>
    </row>
    <row r="786" spans="1:6" x14ac:dyDescent="0.25">
      <c r="A786" s="9" t="s">
        <v>0</v>
      </c>
      <c r="B786" s="11">
        <v>31502</v>
      </c>
      <c r="C786" s="12">
        <f t="shared" si="60"/>
        <v>6.1487603305785121E-2</v>
      </c>
      <c r="E786" s="9">
        <f t="shared" si="59"/>
        <v>0</v>
      </c>
      <c r="F786" s="9">
        <f t="shared" si="59"/>
        <v>0</v>
      </c>
    </row>
    <row r="787" spans="1:6" x14ac:dyDescent="0.25">
      <c r="A787" s="9" t="s">
        <v>0</v>
      </c>
      <c r="B787" s="11">
        <v>31532</v>
      </c>
      <c r="C787" s="12">
        <f t="shared" si="60"/>
        <v>5.9504132231404959E-2</v>
      </c>
      <c r="E787" s="9">
        <f t="shared" si="59"/>
        <v>0</v>
      </c>
      <c r="F787" s="9">
        <f t="shared" si="59"/>
        <v>0</v>
      </c>
    </row>
    <row r="788" spans="1:6" x14ac:dyDescent="0.25">
      <c r="A788" s="9" t="s">
        <v>0</v>
      </c>
      <c r="B788" s="11">
        <v>31563</v>
      </c>
      <c r="C788" s="12">
        <f t="shared" si="60"/>
        <v>6.1487603305785121E-2</v>
      </c>
      <c r="E788" s="9">
        <f t="shared" si="59"/>
        <v>1</v>
      </c>
      <c r="F788" s="9">
        <f t="shared" si="59"/>
        <v>0</v>
      </c>
    </row>
    <row r="789" spans="1:6" x14ac:dyDescent="0.25">
      <c r="A789" s="9" t="s">
        <v>0</v>
      </c>
      <c r="B789" s="11">
        <v>31593</v>
      </c>
      <c r="C789" s="12">
        <f t="shared" si="60"/>
        <v>5.9504132231404959E-2</v>
      </c>
      <c r="E789" s="9">
        <f t="shared" si="59"/>
        <v>0</v>
      </c>
      <c r="F789" s="9">
        <f t="shared" si="59"/>
        <v>0</v>
      </c>
    </row>
    <row r="790" spans="1:6" x14ac:dyDescent="0.25">
      <c r="A790" s="9" t="s">
        <v>0</v>
      </c>
      <c r="B790" s="11">
        <v>31624</v>
      </c>
      <c r="C790" s="12">
        <f t="shared" si="60"/>
        <v>6.1487603305785121E-2</v>
      </c>
      <c r="E790" s="9">
        <f t="shared" si="59"/>
        <v>0</v>
      </c>
      <c r="F790" s="9">
        <f t="shared" si="59"/>
        <v>0</v>
      </c>
    </row>
    <row r="791" spans="1:6" x14ac:dyDescent="0.25">
      <c r="A791" s="9" t="s">
        <v>0</v>
      </c>
      <c r="B791" s="11">
        <v>31655</v>
      </c>
      <c r="C791" s="12">
        <f t="shared" si="60"/>
        <v>6.1487603305785121E-2</v>
      </c>
      <c r="E791" s="9">
        <f t="shared" si="59"/>
        <v>0</v>
      </c>
      <c r="F791" s="9">
        <f t="shared" si="59"/>
        <v>0</v>
      </c>
    </row>
    <row r="792" spans="1:6" x14ac:dyDescent="0.25">
      <c r="A792" s="9" t="s">
        <v>0</v>
      </c>
      <c r="B792" s="11">
        <v>31685</v>
      </c>
      <c r="C792" s="12">
        <f t="shared" si="60"/>
        <v>5.9504132231404959E-2</v>
      </c>
      <c r="E792" s="9">
        <f t="shared" si="59"/>
        <v>0</v>
      </c>
      <c r="F792" s="9">
        <f t="shared" si="59"/>
        <v>1</v>
      </c>
    </row>
    <row r="793" spans="1:6" x14ac:dyDescent="0.25">
      <c r="A793" s="9" t="s">
        <v>0</v>
      </c>
      <c r="B793" s="11">
        <v>31716</v>
      </c>
      <c r="C793" s="12">
        <f t="shared" si="60"/>
        <v>6.1487603305785121E-2</v>
      </c>
      <c r="E793" s="9">
        <f t="shared" si="59"/>
        <v>0</v>
      </c>
      <c r="F793" s="9">
        <f t="shared" si="59"/>
        <v>0</v>
      </c>
    </row>
    <row r="794" spans="1:6" x14ac:dyDescent="0.25">
      <c r="A794" s="9" t="s">
        <v>0</v>
      </c>
      <c r="B794" s="11">
        <v>31746</v>
      </c>
      <c r="C794" s="12">
        <f t="shared" si="60"/>
        <v>5.9504132231404959E-2</v>
      </c>
      <c r="E794" s="9">
        <f t="shared" ref="E794:F809" si="61">E782</f>
        <v>0</v>
      </c>
      <c r="F794" s="9">
        <f t="shared" si="61"/>
        <v>0</v>
      </c>
    </row>
    <row r="795" spans="1:6" x14ac:dyDescent="0.25">
      <c r="A795" s="9" t="s">
        <v>0</v>
      </c>
      <c r="B795" s="11">
        <v>31777</v>
      </c>
      <c r="C795" s="12">
        <f t="shared" si="60"/>
        <v>6.1487603305785121E-2</v>
      </c>
      <c r="E795" s="9">
        <f t="shared" si="61"/>
        <v>0</v>
      </c>
      <c r="F795" s="9">
        <f t="shared" si="61"/>
        <v>0</v>
      </c>
    </row>
    <row r="796" spans="1:6" x14ac:dyDescent="0.25">
      <c r="A796" s="9" t="s">
        <v>0</v>
      </c>
      <c r="B796" s="11">
        <v>31808</v>
      </c>
      <c r="C796" s="12">
        <f t="shared" si="60"/>
        <v>6.1487603305785121E-2</v>
      </c>
      <c r="E796" s="9">
        <f t="shared" si="61"/>
        <v>0</v>
      </c>
      <c r="F796" s="9">
        <f t="shared" si="61"/>
        <v>0</v>
      </c>
    </row>
    <row r="797" spans="1:6" x14ac:dyDescent="0.25">
      <c r="A797" s="9" t="s">
        <v>0</v>
      </c>
      <c r="B797" s="11">
        <v>31836</v>
      </c>
      <c r="C797" s="12">
        <f t="shared" si="60"/>
        <v>5.5537190082644627E-2</v>
      </c>
      <c r="E797" s="9">
        <f t="shared" si="61"/>
        <v>0</v>
      </c>
      <c r="F797" s="9">
        <f t="shared" si="61"/>
        <v>0</v>
      </c>
    </row>
    <row r="798" spans="1:6" x14ac:dyDescent="0.25">
      <c r="A798" s="9" t="s">
        <v>0</v>
      </c>
      <c r="B798" s="11">
        <v>31867</v>
      </c>
      <c r="C798" s="12">
        <f t="shared" si="60"/>
        <v>6.1487603305785121E-2</v>
      </c>
      <c r="E798" s="9">
        <f t="shared" si="61"/>
        <v>0</v>
      </c>
      <c r="F798" s="9">
        <f t="shared" si="61"/>
        <v>0</v>
      </c>
    </row>
    <row r="799" spans="1:6" x14ac:dyDescent="0.25">
      <c r="A799" s="9" t="s">
        <v>0</v>
      </c>
      <c r="B799" s="11">
        <v>31897</v>
      </c>
      <c r="C799" s="12">
        <f t="shared" si="60"/>
        <v>5.9504132231404959E-2</v>
      </c>
      <c r="E799" s="9">
        <f t="shared" si="61"/>
        <v>0</v>
      </c>
      <c r="F799" s="9">
        <f t="shared" si="61"/>
        <v>0</v>
      </c>
    </row>
    <row r="800" spans="1:6" x14ac:dyDescent="0.25">
      <c r="A800" s="9" t="s">
        <v>0</v>
      </c>
      <c r="B800" s="11">
        <v>31928</v>
      </c>
      <c r="C800" s="12">
        <f t="shared" si="60"/>
        <v>6.1487603305785121E-2</v>
      </c>
      <c r="E800" s="9">
        <f t="shared" si="61"/>
        <v>1</v>
      </c>
      <c r="F800" s="9">
        <f t="shared" si="61"/>
        <v>0</v>
      </c>
    </row>
    <row r="801" spans="1:6" x14ac:dyDescent="0.25">
      <c r="A801" s="9" t="s">
        <v>0</v>
      </c>
      <c r="B801" s="11">
        <v>31958</v>
      </c>
      <c r="C801" s="12">
        <f t="shared" si="60"/>
        <v>5.9504132231404959E-2</v>
      </c>
      <c r="E801" s="9">
        <f t="shared" si="61"/>
        <v>0</v>
      </c>
      <c r="F801" s="9">
        <f t="shared" si="61"/>
        <v>0</v>
      </c>
    </row>
    <row r="802" spans="1:6" x14ac:dyDescent="0.25">
      <c r="A802" s="9" t="s">
        <v>0</v>
      </c>
      <c r="B802" s="11">
        <v>31989</v>
      </c>
      <c r="C802" s="12">
        <f t="shared" si="60"/>
        <v>6.1487603305785121E-2</v>
      </c>
      <c r="E802" s="9">
        <f t="shared" si="61"/>
        <v>0</v>
      </c>
      <c r="F802" s="9">
        <f t="shared" si="61"/>
        <v>0</v>
      </c>
    </row>
    <row r="803" spans="1:6" x14ac:dyDescent="0.25">
      <c r="A803" s="9" t="s">
        <v>0</v>
      </c>
      <c r="B803" s="11">
        <v>32020</v>
      </c>
      <c r="C803" s="12">
        <f t="shared" si="60"/>
        <v>6.1487603305785121E-2</v>
      </c>
      <c r="E803" s="9">
        <f t="shared" si="61"/>
        <v>0</v>
      </c>
      <c r="F803" s="9">
        <f t="shared" si="61"/>
        <v>0</v>
      </c>
    </row>
    <row r="804" spans="1:6" x14ac:dyDescent="0.25">
      <c r="A804" s="9" t="s">
        <v>0</v>
      </c>
      <c r="B804" s="11">
        <v>32050</v>
      </c>
      <c r="C804" s="12">
        <f t="shared" si="60"/>
        <v>5.9504132231404959E-2</v>
      </c>
      <c r="E804" s="9">
        <f t="shared" si="61"/>
        <v>0</v>
      </c>
      <c r="F804" s="9">
        <f t="shared" si="61"/>
        <v>1</v>
      </c>
    </row>
    <row r="805" spans="1:6" x14ac:dyDescent="0.25">
      <c r="A805" s="9" t="s">
        <v>0</v>
      </c>
      <c r="B805" s="11">
        <v>32081</v>
      </c>
      <c r="C805" s="12">
        <f t="shared" si="60"/>
        <v>6.1487603305785121E-2</v>
      </c>
      <c r="E805" s="9">
        <f t="shared" si="61"/>
        <v>0</v>
      </c>
      <c r="F805" s="9">
        <f t="shared" si="61"/>
        <v>0</v>
      </c>
    </row>
    <row r="806" spans="1:6" x14ac:dyDescent="0.25">
      <c r="A806" s="9" t="s">
        <v>0</v>
      </c>
      <c r="B806" s="11">
        <v>32111</v>
      </c>
      <c r="C806" s="12">
        <f t="shared" si="60"/>
        <v>5.9504132231404959E-2</v>
      </c>
      <c r="E806" s="9">
        <f t="shared" si="61"/>
        <v>0</v>
      </c>
      <c r="F806" s="9">
        <f t="shared" si="61"/>
        <v>0</v>
      </c>
    </row>
    <row r="807" spans="1:6" x14ac:dyDescent="0.25">
      <c r="A807" s="9" t="s">
        <v>0</v>
      </c>
      <c r="B807" s="11">
        <v>32142</v>
      </c>
      <c r="C807" s="12">
        <f t="shared" si="60"/>
        <v>6.1487603305785121E-2</v>
      </c>
      <c r="E807" s="9">
        <f t="shared" si="61"/>
        <v>0</v>
      </c>
      <c r="F807" s="9">
        <f t="shared" si="61"/>
        <v>0</v>
      </c>
    </row>
    <row r="808" spans="1:6" x14ac:dyDescent="0.25">
      <c r="A808" s="9" t="s">
        <v>0</v>
      </c>
      <c r="B808" s="11">
        <v>32173</v>
      </c>
      <c r="C808" s="12">
        <f t="shared" si="60"/>
        <v>6.1487603305785121E-2</v>
      </c>
      <c r="E808" s="9">
        <f t="shared" si="61"/>
        <v>0</v>
      </c>
      <c r="F808" s="9">
        <f t="shared" si="61"/>
        <v>0</v>
      </c>
    </row>
    <row r="809" spans="1:6" x14ac:dyDescent="0.25">
      <c r="A809" s="9" t="s">
        <v>0</v>
      </c>
      <c r="B809" s="11">
        <v>32202</v>
      </c>
      <c r="C809" s="12">
        <f t="shared" si="60"/>
        <v>5.752066115702479E-2</v>
      </c>
      <c r="E809" s="9">
        <f t="shared" si="61"/>
        <v>0</v>
      </c>
      <c r="F809" s="9">
        <f t="shared" si="61"/>
        <v>0</v>
      </c>
    </row>
    <row r="810" spans="1:6" x14ac:dyDescent="0.25">
      <c r="A810" s="9" t="s">
        <v>0</v>
      </c>
      <c r="B810" s="11">
        <v>32233</v>
      </c>
      <c r="C810" s="12">
        <f t="shared" si="60"/>
        <v>6.1487603305785121E-2</v>
      </c>
      <c r="E810" s="9">
        <f t="shared" ref="E810:F825" si="62">E798</f>
        <v>0</v>
      </c>
      <c r="F810" s="9">
        <f t="shared" si="62"/>
        <v>0</v>
      </c>
    </row>
    <row r="811" spans="1:6" x14ac:dyDescent="0.25">
      <c r="A811" s="9" t="s">
        <v>0</v>
      </c>
      <c r="B811" s="11">
        <v>32263</v>
      </c>
      <c r="C811" s="12">
        <f t="shared" si="60"/>
        <v>5.9504132231404959E-2</v>
      </c>
      <c r="E811" s="9">
        <f t="shared" si="62"/>
        <v>0</v>
      </c>
      <c r="F811" s="9">
        <f t="shared" si="62"/>
        <v>0</v>
      </c>
    </row>
    <row r="812" spans="1:6" x14ac:dyDescent="0.25">
      <c r="A812" s="9" t="s">
        <v>0</v>
      </c>
      <c r="B812" s="11">
        <v>32294</v>
      </c>
      <c r="C812" s="12">
        <f t="shared" si="60"/>
        <v>6.1487603305785121E-2</v>
      </c>
      <c r="E812" s="9">
        <f t="shared" si="62"/>
        <v>1</v>
      </c>
      <c r="F812" s="9">
        <f t="shared" si="62"/>
        <v>0</v>
      </c>
    </row>
    <row r="813" spans="1:6" x14ac:dyDescent="0.25">
      <c r="A813" s="9" t="s">
        <v>0</v>
      </c>
      <c r="B813" s="11">
        <v>32324</v>
      </c>
      <c r="C813" s="12">
        <f t="shared" si="60"/>
        <v>5.9504132231404959E-2</v>
      </c>
      <c r="E813" s="9">
        <f t="shared" si="62"/>
        <v>0</v>
      </c>
      <c r="F813" s="9">
        <f t="shared" si="62"/>
        <v>0</v>
      </c>
    </row>
    <row r="814" spans="1:6" x14ac:dyDescent="0.25">
      <c r="A814" s="9" t="s">
        <v>0</v>
      </c>
      <c r="B814" s="11">
        <v>32355</v>
      </c>
      <c r="C814" s="12">
        <f t="shared" si="60"/>
        <v>6.1487603305785121E-2</v>
      </c>
      <c r="E814" s="9">
        <f t="shared" si="62"/>
        <v>0</v>
      </c>
      <c r="F814" s="9">
        <f t="shared" si="62"/>
        <v>0</v>
      </c>
    </row>
    <row r="815" spans="1:6" x14ac:dyDescent="0.25">
      <c r="A815" s="9" t="s">
        <v>0</v>
      </c>
      <c r="B815" s="11">
        <v>32386</v>
      </c>
      <c r="C815" s="12">
        <f t="shared" si="60"/>
        <v>6.1487603305785121E-2</v>
      </c>
      <c r="E815" s="9">
        <f t="shared" si="62"/>
        <v>0</v>
      </c>
      <c r="F815" s="9">
        <f t="shared" si="62"/>
        <v>0</v>
      </c>
    </row>
    <row r="816" spans="1:6" x14ac:dyDescent="0.25">
      <c r="A816" s="9" t="s">
        <v>0</v>
      </c>
      <c r="B816" s="11">
        <v>32416</v>
      </c>
      <c r="C816" s="12">
        <f t="shared" si="60"/>
        <v>5.9504132231404959E-2</v>
      </c>
      <c r="E816" s="9">
        <f t="shared" si="62"/>
        <v>0</v>
      </c>
      <c r="F816" s="9">
        <f t="shared" si="62"/>
        <v>1</v>
      </c>
    </row>
    <row r="817" spans="1:6" x14ac:dyDescent="0.25">
      <c r="A817" s="9" t="s">
        <v>0</v>
      </c>
      <c r="B817" s="11">
        <v>32447</v>
      </c>
      <c r="C817" s="12">
        <f t="shared" si="60"/>
        <v>6.1487603305785121E-2</v>
      </c>
      <c r="E817" s="9">
        <f t="shared" si="62"/>
        <v>0</v>
      </c>
      <c r="F817" s="9">
        <f t="shared" si="62"/>
        <v>0</v>
      </c>
    </row>
    <row r="818" spans="1:6" x14ac:dyDescent="0.25">
      <c r="A818" s="9" t="s">
        <v>0</v>
      </c>
      <c r="B818" s="11">
        <v>32477</v>
      </c>
      <c r="C818" s="12">
        <f t="shared" si="60"/>
        <v>5.9504132231404959E-2</v>
      </c>
      <c r="E818" s="9">
        <f t="shared" si="62"/>
        <v>0</v>
      </c>
      <c r="F818" s="9">
        <f t="shared" si="62"/>
        <v>0</v>
      </c>
    </row>
    <row r="819" spans="1:6" x14ac:dyDescent="0.25">
      <c r="A819" s="9" t="s">
        <v>0</v>
      </c>
      <c r="B819" s="11">
        <v>32508</v>
      </c>
      <c r="C819" s="12">
        <f t="shared" si="60"/>
        <v>6.1487603305785121E-2</v>
      </c>
      <c r="E819" s="9">
        <f t="shared" si="62"/>
        <v>0</v>
      </c>
      <c r="F819" s="9">
        <f t="shared" si="62"/>
        <v>0</v>
      </c>
    </row>
    <row r="820" spans="1:6" x14ac:dyDescent="0.25">
      <c r="A820" s="9" t="s">
        <v>0</v>
      </c>
      <c r="B820" s="11">
        <v>32539</v>
      </c>
      <c r="C820" s="12">
        <f t="shared" si="60"/>
        <v>6.1487603305785121E-2</v>
      </c>
      <c r="E820" s="9">
        <f t="shared" si="62"/>
        <v>0</v>
      </c>
      <c r="F820" s="9">
        <f t="shared" si="62"/>
        <v>0</v>
      </c>
    </row>
    <row r="821" spans="1:6" x14ac:dyDescent="0.25">
      <c r="A821" s="9" t="s">
        <v>0</v>
      </c>
      <c r="B821" s="11">
        <v>32567</v>
      </c>
      <c r="C821" s="12">
        <f t="shared" si="60"/>
        <v>5.5537190082644627E-2</v>
      </c>
      <c r="E821" s="9">
        <f t="shared" si="62"/>
        <v>0</v>
      </c>
      <c r="F821" s="9">
        <f t="shared" si="62"/>
        <v>0</v>
      </c>
    </row>
    <row r="822" spans="1:6" x14ac:dyDescent="0.25">
      <c r="A822" s="9" t="s">
        <v>0</v>
      </c>
      <c r="B822" s="11">
        <v>32598</v>
      </c>
      <c r="C822" s="12">
        <f t="shared" si="60"/>
        <v>6.1487603305785121E-2</v>
      </c>
      <c r="E822" s="9">
        <f t="shared" si="62"/>
        <v>0</v>
      </c>
      <c r="F822" s="9">
        <f t="shared" si="62"/>
        <v>0</v>
      </c>
    </row>
    <row r="823" spans="1:6" x14ac:dyDescent="0.25">
      <c r="A823" s="9" t="s">
        <v>0</v>
      </c>
      <c r="B823" s="11">
        <v>32628</v>
      </c>
      <c r="C823" s="12">
        <f t="shared" si="60"/>
        <v>5.9504132231404959E-2</v>
      </c>
      <c r="E823" s="9">
        <f t="shared" si="62"/>
        <v>0</v>
      </c>
      <c r="F823" s="9">
        <f t="shared" si="62"/>
        <v>0</v>
      </c>
    </row>
    <row r="824" spans="1:6" x14ac:dyDescent="0.25">
      <c r="A824" s="9" t="s">
        <v>0</v>
      </c>
      <c r="B824" s="11">
        <v>32659</v>
      </c>
      <c r="C824" s="12">
        <f t="shared" si="60"/>
        <v>6.1487603305785121E-2</v>
      </c>
      <c r="E824" s="9">
        <f t="shared" si="62"/>
        <v>1</v>
      </c>
      <c r="F824" s="9">
        <f t="shared" si="62"/>
        <v>0</v>
      </c>
    </row>
    <row r="825" spans="1:6" x14ac:dyDescent="0.25">
      <c r="A825" s="9" t="s">
        <v>0</v>
      </c>
      <c r="B825" s="11">
        <v>32689</v>
      </c>
      <c r="C825" s="12">
        <f t="shared" si="60"/>
        <v>5.9504132231404959E-2</v>
      </c>
      <c r="E825" s="9">
        <f t="shared" si="62"/>
        <v>0</v>
      </c>
      <c r="F825" s="9">
        <f t="shared" si="62"/>
        <v>0</v>
      </c>
    </row>
    <row r="826" spans="1:6" x14ac:dyDescent="0.25">
      <c r="A826" s="9" t="s">
        <v>0</v>
      </c>
      <c r="B826" s="11">
        <v>32720</v>
      </c>
      <c r="C826" s="12">
        <f t="shared" si="60"/>
        <v>6.1487603305785121E-2</v>
      </c>
      <c r="E826" s="9">
        <f t="shared" ref="E826:F841" si="63">E814</f>
        <v>0</v>
      </c>
      <c r="F826" s="9">
        <f t="shared" si="63"/>
        <v>0</v>
      </c>
    </row>
    <row r="827" spans="1:6" x14ac:dyDescent="0.25">
      <c r="A827" s="9" t="s">
        <v>0</v>
      </c>
      <c r="B827" s="11">
        <v>32751</v>
      </c>
      <c r="C827" s="12">
        <f t="shared" si="60"/>
        <v>6.1487603305785121E-2</v>
      </c>
      <c r="E827" s="9">
        <f t="shared" si="63"/>
        <v>0</v>
      </c>
      <c r="F827" s="9">
        <f t="shared" si="63"/>
        <v>0</v>
      </c>
    </row>
    <row r="828" spans="1:6" x14ac:dyDescent="0.25">
      <c r="A828" s="9" t="s">
        <v>0</v>
      </c>
      <c r="B828" s="11">
        <v>32781</v>
      </c>
      <c r="C828" s="12">
        <f t="shared" si="60"/>
        <v>5.9504132231404959E-2</v>
      </c>
      <c r="E828" s="9">
        <f t="shared" si="63"/>
        <v>0</v>
      </c>
      <c r="F828" s="9">
        <f t="shared" si="63"/>
        <v>1</v>
      </c>
    </row>
    <row r="829" spans="1:6" x14ac:dyDescent="0.25">
      <c r="A829" s="9" t="s">
        <v>0</v>
      </c>
      <c r="B829" s="11">
        <v>32812</v>
      </c>
      <c r="C829" s="12">
        <f t="shared" si="60"/>
        <v>6.1487603305785121E-2</v>
      </c>
      <c r="E829" s="9">
        <f t="shared" si="63"/>
        <v>0</v>
      </c>
      <c r="F829" s="9">
        <f t="shared" si="63"/>
        <v>0</v>
      </c>
    </row>
    <row r="830" spans="1:6" x14ac:dyDescent="0.25">
      <c r="A830" s="9" t="s">
        <v>0</v>
      </c>
      <c r="B830" s="11">
        <v>32842</v>
      </c>
      <c r="C830" s="12">
        <f t="shared" si="60"/>
        <v>5.9504132231404959E-2</v>
      </c>
      <c r="E830" s="9">
        <f t="shared" si="63"/>
        <v>0</v>
      </c>
      <c r="F830" s="9">
        <f t="shared" si="63"/>
        <v>0</v>
      </c>
    </row>
    <row r="831" spans="1:6" x14ac:dyDescent="0.25">
      <c r="A831" s="9" t="s">
        <v>0</v>
      </c>
      <c r="B831" s="11">
        <v>32873</v>
      </c>
      <c r="C831" s="12">
        <f t="shared" si="60"/>
        <v>6.1487603305785121E-2</v>
      </c>
      <c r="E831" s="9">
        <f t="shared" si="63"/>
        <v>0</v>
      </c>
      <c r="F831" s="9">
        <f t="shared" si="63"/>
        <v>0</v>
      </c>
    </row>
    <row r="832" spans="1:6" x14ac:dyDescent="0.25">
      <c r="A832" s="9" t="s">
        <v>0</v>
      </c>
      <c r="B832" s="11">
        <v>32904</v>
      </c>
      <c r="C832" s="12">
        <f t="shared" si="60"/>
        <v>6.1487603305785121E-2</v>
      </c>
      <c r="E832" s="9">
        <f t="shared" si="63"/>
        <v>0</v>
      </c>
      <c r="F832" s="9">
        <f t="shared" si="63"/>
        <v>0</v>
      </c>
    </row>
    <row r="833" spans="1:6" x14ac:dyDescent="0.25">
      <c r="A833" s="9" t="s">
        <v>0</v>
      </c>
      <c r="B833" s="11">
        <v>32932</v>
      </c>
      <c r="C833" s="12">
        <f t="shared" si="60"/>
        <v>5.5537190082644627E-2</v>
      </c>
      <c r="E833" s="9">
        <f t="shared" si="63"/>
        <v>0</v>
      </c>
      <c r="F833" s="9">
        <f t="shared" si="63"/>
        <v>0</v>
      </c>
    </row>
    <row r="834" spans="1:6" x14ac:dyDescent="0.25">
      <c r="A834" s="9" t="s">
        <v>0</v>
      </c>
      <c r="B834" s="11">
        <v>32963</v>
      </c>
      <c r="C834" s="12">
        <f t="shared" si="60"/>
        <v>6.1487603305785121E-2</v>
      </c>
      <c r="E834" s="9">
        <f t="shared" si="63"/>
        <v>0</v>
      </c>
      <c r="F834" s="9">
        <f t="shared" si="63"/>
        <v>0</v>
      </c>
    </row>
    <row r="835" spans="1:6" x14ac:dyDescent="0.25">
      <c r="A835" s="9" t="s">
        <v>0</v>
      </c>
      <c r="B835" s="11">
        <v>32993</v>
      </c>
      <c r="C835" s="12">
        <f t="shared" si="60"/>
        <v>5.9504132231404959E-2</v>
      </c>
      <c r="E835" s="9">
        <f t="shared" si="63"/>
        <v>0</v>
      </c>
      <c r="F835" s="9">
        <f t="shared" si="63"/>
        <v>0</v>
      </c>
    </row>
    <row r="836" spans="1:6" x14ac:dyDescent="0.25">
      <c r="A836" s="9" t="s">
        <v>0</v>
      </c>
      <c r="B836" s="11">
        <v>33024</v>
      </c>
      <c r="C836" s="12">
        <f t="shared" si="60"/>
        <v>6.1487603305785121E-2</v>
      </c>
      <c r="E836" s="9">
        <f t="shared" si="63"/>
        <v>1</v>
      </c>
      <c r="F836" s="9">
        <f t="shared" si="63"/>
        <v>0</v>
      </c>
    </row>
    <row r="837" spans="1:6" x14ac:dyDescent="0.25">
      <c r="A837" s="9" t="s">
        <v>0</v>
      </c>
      <c r="B837" s="11">
        <v>33054</v>
      </c>
      <c r="C837" s="12">
        <f t="shared" si="60"/>
        <v>5.9504132231404959E-2</v>
      </c>
      <c r="E837" s="9">
        <f t="shared" si="63"/>
        <v>0</v>
      </c>
      <c r="F837" s="9">
        <f t="shared" si="63"/>
        <v>0</v>
      </c>
    </row>
    <row r="838" spans="1:6" x14ac:dyDescent="0.25">
      <c r="A838" s="9" t="s">
        <v>0</v>
      </c>
      <c r="B838" s="11">
        <v>33085</v>
      </c>
      <c r="C838" s="12">
        <f t="shared" si="60"/>
        <v>6.1487603305785121E-2</v>
      </c>
      <c r="E838" s="9">
        <f t="shared" si="63"/>
        <v>0</v>
      </c>
      <c r="F838" s="9">
        <f t="shared" si="63"/>
        <v>0</v>
      </c>
    </row>
    <row r="839" spans="1:6" x14ac:dyDescent="0.25">
      <c r="A839" s="9" t="s">
        <v>0</v>
      </c>
      <c r="B839" s="11">
        <v>33116</v>
      </c>
      <c r="C839" s="12">
        <f t="shared" si="60"/>
        <v>6.1487603305785121E-2</v>
      </c>
      <c r="E839" s="9">
        <f t="shared" si="63"/>
        <v>0</v>
      </c>
      <c r="F839" s="9">
        <f t="shared" si="63"/>
        <v>0</v>
      </c>
    </row>
    <row r="840" spans="1:6" x14ac:dyDescent="0.25">
      <c r="A840" s="9" t="s">
        <v>0</v>
      </c>
      <c r="B840" s="11">
        <v>33146</v>
      </c>
      <c r="C840" s="12">
        <f t="shared" si="60"/>
        <v>5.9504132231404959E-2</v>
      </c>
      <c r="E840" s="9">
        <f t="shared" si="63"/>
        <v>0</v>
      </c>
      <c r="F840" s="9">
        <f t="shared" si="63"/>
        <v>1</v>
      </c>
    </row>
    <row r="841" spans="1:6" x14ac:dyDescent="0.25">
      <c r="A841" s="9" t="s">
        <v>0</v>
      </c>
      <c r="B841" s="11">
        <v>33177</v>
      </c>
      <c r="C841" s="12">
        <f t="shared" si="60"/>
        <v>6.1487603305785121E-2</v>
      </c>
      <c r="E841" s="9">
        <f t="shared" si="63"/>
        <v>0</v>
      </c>
      <c r="F841" s="9">
        <f t="shared" si="63"/>
        <v>0</v>
      </c>
    </row>
    <row r="842" spans="1:6" x14ac:dyDescent="0.25">
      <c r="A842" s="9" t="s">
        <v>0</v>
      </c>
      <c r="B842" s="11">
        <v>33207</v>
      </c>
      <c r="C842" s="12">
        <f t="shared" si="60"/>
        <v>5.9504132231404959E-2</v>
      </c>
      <c r="E842" s="9">
        <f t="shared" ref="E842:F857" si="64">E830</f>
        <v>0</v>
      </c>
      <c r="F842" s="9">
        <f t="shared" si="64"/>
        <v>0</v>
      </c>
    </row>
    <row r="843" spans="1:6" x14ac:dyDescent="0.25">
      <c r="A843" s="9" t="s">
        <v>0</v>
      </c>
      <c r="B843" s="11">
        <v>33238</v>
      </c>
      <c r="C843" s="12">
        <f t="shared" si="60"/>
        <v>6.1487603305785121E-2</v>
      </c>
      <c r="E843" s="9">
        <f t="shared" si="64"/>
        <v>0</v>
      </c>
      <c r="F843" s="9">
        <f t="shared" si="64"/>
        <v>0</v>
      </c>
    </row>
    <row r="844" spans="1:6" x14ac:dyDescent="0.25">
      <c r="A844" s="9" t="s">
        <v>0</v>
      </c>
      <c r="B844" s="11">
        <v>33269</v>
      </c>
      <c r="C844" s="12">
        <f t="shared" si="60"/>
        <v>6.1487603305785121E-2</v>
      </c>
      <c r="E844" s="9">
        <f t="shared" si="64"/>
        <v>0</v>
      </c>
      <c r="F844" s="9">
        <f t="shared" si="64"/>
        <v>0</v>
      </c>
    </row>
    <row r="845" spans="1:6" x14ac:dyDescent="0.25">
      <c r="A845" s="9" t="s">
        <v>0</v>
      </c>
      <c r="B845" s="11">
        <v>33297</v>
      </c>
      <c r="C845" s="12">
        <f t="shared" si="60"/>
        <v>5.5537190082644627E-2</v>
      </c>
      <c r="E845" s="9">
        <f t="shared" si="64"/>
        <v>0</v>
      </c>
      <c r="F845" s="9">
        <f t="shared" si="64"/>
        <v>0</v>
      </c>
    </row>
    <row r="846" spans="1:6" x14ac:dyDescent="0.25">
      <c r="A846" s="9" t="s">
        <v>0</v>
      </c>
      <c r="B846" s="11">
        <v>33328</v>
      </c>
      <c r="C846" s="12">
        <f t="shared" ref="C846:C909" si="65">(B846-B845)*86400/43560/1000</f>
        <v>6.1487603305785121E-2</v>
      </c>
      <c r="E846" s="9">
        <f t="shared" si="64"/>
        <v>0</v>
      </c>
      <c r="F846" s="9">
        <f t="shared" si="64"/>
        <v>0</v>
      </c>
    </row>
    <row r="847" spans="1:6" x14ac:dyDescent="0.25">
      <c r="A847" s="9" t="s">
        <v>0</v>
      </c>
      <c r="B847" s="11">
        <v>33358</v>
      </c>
      <c r="C847" s="12">
        <f t="shared" si="65"/>
        <v>5.9504132231404959E-2</v>
      </c>
      <c r="E847" s="9">
        <f t="shared" si="64"/>
        <v>0</v>
      </c>
      <c r="F847" s="9">
        <f t="shared" si="64"/>
        <v>0</v>
      </c>
    </row>
    <row r="848" spans="1:6" x14ac:dyDescent="0.25">
      <c r="A848" s="9" t="s">
        <v>0</v>
      </c>
      <c r="B848" s="11">
        <v>33389</v>
      </c>
      <c r="C848" s="12">
        <f t="shared" si="65"/>
        <v>6.1487603305785121E-2</v>
      </c>
      <c r="E848" s="9">
        <f t="shared" si="64"/>
        <v>1</v>
      </c>
      <c r="F848" s="9">
        <f t="shared" si="64"/>
        <v>0</v>
      </c>
    </row>
    <row r="849" spans="1:6" x14ac:dyDescent="0.25">
      <c r="A849" s="9" t="s">
        <v>0</v>
      </c>
      <c r="B849" s="11">
        <v>33419</v>
      </c>
      <c r="C849" s="12">
        <f t="shared" si="65"/>
        <v>5.9504132231404959E-2</v>
      </c>
      <c r="E849" s="9">
        <f t="shared" si="64"/>
        <v>0</v>
      </c>
      <c r="F849" s="9">
        <f t="shared" si="64"/>
        <v>0</v>
      </c>
    </row>
    <row r="850" spans="1:6" x14ac:dyDescent="0.25">
      <c r="A850" s="9" t="s">
        <v>0</v>
      </c>
      <c r="B850" s="11">
        <v>33450</v>
      </c>
      <c r="C850" s="12">
        <f t="shared" si="65"/>
        <v>6.1487603305785121E-2</v>
      </c>
      <c r="E850" s="9">
        <f t="shared" si="64"/>
        <v>0</v>
      </c>
      <c r="F850" s="9">
        <f t="shared" si="64"/>
        <v>0</v>
      </c>
    </row>
    <row r="851" spans="1:6" x14ac:dyDescent="0.25">
      <c r="A851" s="9" t="s">
        <v>0</v>
      </c>
      <c r="B851" s="11">
        <v>33481</v>
      </c>
      <c r="C851" s="12">
        <f t="shared" si="65"/>
        <v>6.1487603305785121E-2</v>
      </c>
      <c r="E851" s="9">
        <f t="shared" si="64"/>
        <v>0</v>
      </c>
      <c r="F851" s="9">
        <f t="shared" si="64"/>
        <v>0</v>
      </c>
    </row>
    <row r="852" spans="1:6" x14ac:dyDescent="0.25">
      <c r="A852" s="9" t="s">
        <v>0</v>
      </c>
      <c r="B852" s="11">
        <v>33511</v>
      </c>
      <c r="C852" s="12">
        <f t="shared" si="65"/>
        <v>5.9504132231404959E-2</v>
      </c>
      <c r="E852" s="9">
        <f t="shared" si="64"/>
        <v>0</v>
      </c>
      <c r="F852" s="9">
        <f t="shared" si="64"/>
        <v>1</v>
      </c>
    </row>
    <row r="853" spans="1:6" x14ac:dyDescent="0.25">
      <c r="A853" s="9" t="s">
        <v>0</v>
      </c>
      <c r="B853" s="11">
        <v>33542</v>
      </c>
      <c r="C853" s="12">
        <f t="shared" si="65"/>
        <v>6.1487603305785121E-2</v>
      </c>
      <c r="E853" s="9">
        <f t="shared" si="64"/>
        <v>0</v>
      </c>
      <c r="F853" s="9">
        <f t="shared" si="64"/>
        <v>0</v>
      </c>
    </row>
    <row r="854" spans="1:6" x14ac:dyDescent="0.25">
      <c r="A854" s="9" t="s">
        <v>0</v>
      </c>
      <c r="B854" s="11">
        <v>33572</v>
      </c>
      <c r="C854" s="12">
        <f t="shared" si="65"/>
        <v>5.9504132231404959E-2</v>
      </c>
      <c r="E854" s="9">
        <f t="shared" si="64"/>
        <v>0</v>
      </c>
      <c r="F854" s="9">
        <f t="shared" si="64"/>
        <v>0</v>
      </c>
    </row>
    <row r="855" spans="1:6" x14ac:dyDescent="0.25">
      <c r="A855" s="9" t="s">
        <v>0</v>
      </c>
      <c r="B855" s="11">
        <v>33603</v>
      </c>
      <c r="C855" s="12">
        <f t="shared" si="65"/>
        <v>6.1487603305785121E-2</v>
      </c>
      <c r="E855" s="9">
        <f t="shared" si="64"/>
        <v>0</v>
      </c>
      <c r="F855" s="9">
        <f t="shared" si="64"/>
        <v>0</v>
      </c>
    </row>
    <row r="856" spans="1:6" x14ac:dyDescent="0.25">
      <c r="A856" s="9" t="s">
        <v>0</v>
      </c>
      <c r="B856" s="11">
        <v>33634</v>
      </c>
      <c r="C856" s="12">
        <f t="shared" si="65"/>
        <v>6.1487603305785121E-2</v>
      </c>
      <c r="E856" s="9">
        <f t="shared" si="64"/>
        <v>0</v>
      </c>
      <c r="F856" s="9">
        <f t="shared" si="64"/>
        <v>0</v>
      </c>
    </row>
    <row r="857" spans="1:6" x14ac:dyDescent="0.25">
      <c r="A857" s="9" t="s">
        <v>0</v>
      </c>
      <c r="B857" s="11">
        <v>33663</v>
      </c>
      <c r="C857" s="12">
        <f t="shared" si="65"/>
        <v>5.752066115702479E-2</v>
      </c>
      <c r="E857" s="9">
        <f t="shared" si="64"/>
        <v>0</v>
      </c>
      <c r="F857" s="9">
        <f t="shared" si="64"/>
        <v>0</v>
      </c>
    </row>
    <row r="858" spans="1:6" x14ac:dyDescent="0.25">
      <c r="A858" s="9" t="s">
        <v>0</v>
      </c>
      <c r="B858" s="11">
        <v>33694</v>
      </c>
      <c r="C858" s="12">
        <f t="shared" si="65"/>
        <v>6.1487603305785121E-2</v>
      </c>
      <c r="E858" s="9">
        <f t="shared" ref="E858:F873" si="66">E846</f>
        <v>0</v>
      </c>
      <c r="F858" s="9">
        <f t="shared" si="66"/>
        <v>0</v>
      </c>
    </row>
    <row r="859" spans="1:6" x14ac:dyDescent="0.25">
      <c r="A859" s="9" t="s">
        <v>0</v>
      </c>
      <c r="B859" s="11">
        <v>33724</v>
      </c>
      <c r="C859" s="12">
        <f t="shared" si="65"/>
        <v>5.9504132231404959E-2</v>
      </c>
      <c r="E859" s="9">
        <f t="shared" si="66"/>
        <v>0</v>
      </c>
      <c r="F859" s="9">
        <f t="shared" si="66"/>
        <v>0</v>
      </c>
    </row>
    <row r="860" spans="1:6" x14ac:dyDescent="0.25">
      <c r="A860" s="9" t="s">
        <v>0</v>
      </c>
      <c r="B860" s="11">
        <v>33755</v>
      </c>
      <c r="C860" s="12">
        <f t="shared" si="65"/>
        <v>6.1487603305785121E-2</v>
      </c>
      <c r="E860" s="9">
        <f t="shared" si="66"/>
        <v>1</v>
      </c>
      <c r="F860" s="9">
        <f t="shared" si="66"/>
        <v>0</v>
      </c>
    </row>
    <row r="861" spans="1:6" x14ac:dyDescent="0.25">
      <c r="A861" s="9" t="s">
        <v>0</v>
      </c>
      <c r="B861" s="11">
        <v>33785</v>
      </c>
      <c r="C861" s="12">
        <f t="shared" si="65"/>
        <v>5.9504132231404959E-2</v>
      </c>
      <c r="E861" s="9">
        <f t="shared" si="66"/>
        <v>0</v>
      </c>
      <c r="F861" s="9">
        <f t="shared" si="66"/>
        <v>0</v>
      </c>
    </row>
    <row r="862" spans="1:6" x14ac:dyDescent="0.25">
      <c r="A862" s="9" t="s">
        <v>0</v>
      </c>
      <c r="B862" s="11">
        <v>33816</v>
      </c>
      <c r="C862" s="12">
        <f t="shared" si="65"/>
        <v>6.1487603305785121E-2</v>
      </c>
      <c r="E862" s="9">
        <f t="shared" si="66"/>
        <v>0</v>
      </c>
      <c r="F862" s="9">
        <f t="shared" si="66"/>
        <v>0</v>
      </c>
    </row>
    <row r="863" spans="1:6" x14ac:dyDescent="0.25">
      <c r="A863" s="9" t="s">
        <v>0</v>
      </c>
      <c r="B863" s="11">
        <v>33847</v>
      </c>
      <c r="C863" s="12">
        <f t="shared" si="65"/>
        <v>6.1487603305785121E-2</v>
      </c>
      <c r="E863" s="9">
        <f t="shared" si="66"/>
        <v>0</v>
      </c>
      <c r="F863" s="9">
        <f t="shared" si="66"/>
        <v>0</v>
      </c>
    </row>
    <row r="864" spans="1:6" x14ac:dyDescent="0.25">
      <c r="A864" s="9" t="s">
        <v>0</v>
      </c>
      <c r="B864" s="11">
        <v>33877</v>
      </c>
      <c r="C864" s="12">
        <f t="shared" si="65"/>
        <v>5.9504132231404959E-2</v>
      </c>
      <c r="E864" s="9">
        <f t="shared" si="66"/>
        <v>0</v>
      </c>
      <c r="F864" s="9">
        <f t="shared" si="66"/>
        <v>1</v>
      </c>
    </row>
    <row r="865" spans="1:6" x14ac:dyDescent="0.25">
      <c r="A865" s="9" t="s">
        <v>0</v>
      </c>
      <c r="B865" s="11">
        <v>33908</v>
      </c>
      <c r="C865" s="12">
        <f t="shared" si="65"/>
        <v>6.1487603305785121E-2</v>
      </c>
      <c r="E865" s="9">
        <f t="shared" si="66"/>
        <v>0</v>
      </c>
      <c r="F865" s="9">
        <f t="shared" si="66"/>
        <v>0</v>
      </c>
    </row>
    <row r="866" spans="1:6" x14ac:dyDescent="0.25">
      <c r="A866" s="9" t="s">
        <v>0</v>
      </c>
      <c r="B866" s="11">
        <v>33938</v>
      </c>
      <c r="C866" s="12">
        <f t="shared" si="65"/>
        <v>5.9504132231404959E-2</v>
      </c>
      <c r="E866" s="9">
        <f t="shared" si="66"/>
        <v>0</v>
      </c>
      <c r="F866" s="9">
        <f t="shared" si="66"/>
        <v>0</v>
      </c>
    </row>
    <row r="867" spans="1:6" x14ac:dyDescent="0.25">
      <c r="A867" s="9" t="s">
        <v>0</v>
      </c>
      <c r="B867" s="11">
        <v>33969</v>
      </c>
      <c r="C867" s="12">
        <f t="shared" si="65"/>
        <v>6.1487603305785121E-2</v>
      </c>
      <c r="E867" s="9">
        <f t="shared" si="66"/>
        <v>0</v>
      </c>
      <c r="F867" s="9">
        <f t="shared" si="66"/>
        <v>0</v>
      </c>
    </row>
    <row r="868" spans="1:6" x14ac:dyDescent="0.25">
      <c r="A868" s="9" t="s">
        <v>0</v>
      </c>
      <c r="B868" s="11">
        <v>34000</v>
      </c>
      <c r="C868" s="12">
        <f t="shared" si="65"/>
        <v>6.1487603305785121E-2</v>
      </c>
      <c r="E868" s="9">
        <f t="shared" si="66"/>
        <v>0</v>
      </c>
      <c r="F868" s="9">
        <f t="shared" si="66"/>
        <v>0</v>
      </c>
    </row>
    <row r="869" spans="1:6" x14ac:dyDescent="0.25">
      <c r="A869" s="9" t="s">
        <v>0</v>
      </c>
      <c r="B869" s="11">
        <v>34028</v>
      </c>
      <c r="C869" s="12">
        <f t="shared" si="65"/>
        <v>5.5537190082644627E-2</v>
      </c>
      <c r="E869" s="9">
        <f t="shared" si="66"/>
        <v>0</v>
      </c>
      <c r="F869" s="9">
        <f t="shared" si="66"/>
        <v>0</v>
      </c>
    </row>
    <row r="870" spans="1:6" x14ac:dyDescent="0.25">
      <c r="A870" s="9" t="s">
        <v>0</v>
      </c>
      <c r="B870" s="11">
        <v>34059</v>
      </c>
      <c r="C870" s="12">
        <f t="shared" si="65"/>
        <v>6.1487603305785121E-2</v>
      </c>
      <c r="E870" s="9">
        <f t="shared" si="66"/>
        <v>0</v>
      </c>
      <c r="F870" s="9">
        <f t="shared" si="66"/>
        <v>0</v>
      </c>
    </row>
    <row r="871" spans="1:6" x14ac:dyDescent="0.25">
      <c r="A871" s="9" t="s">
        <v>0</v>
      </c>
      <c r="B871" s="11">
        <v>34089</v>
      </c>
      <c r="C871" s="12">
        <f t="shared" si="65"/>
        <v>5.9504132231404959E-2</v>
      </c>
      <c r="E871" s="9">
        <f t="shared" si="66"/>
        <v>0</v>
      </c>
      <c r="F871" s="9">
        <f t="shared" si="66"/>
        <v>0</v>
      </c>
    </row>
    <row r="872" spans="1:6" x14ac:dyDescent="0.25">
      <c r="A872" s="9" t="s">
        <v>0</v>
      </c>
      <c r="B872" s="11">
        <v>34120</v>
      </c>
      <c r="C872" s="12">
        <f t="shared" si="65"/>
        <v>6.1487603305785121E-2</v>
      </c>
      <c r="E872" s="9">
        <f t="shared" si="66"/>
        <v>1</v>
      </c>
      <c r="F872" s="9">
        <f t="shared" si="66"/>
        <v>0</v>
      </c>
    </row>
    <row r="873" spans="1:6" x14ac:dyDescent="0.25">
      <c r="A873" s="9" t="s">
        <v>0</v>
      </c>
      <c r="B873" s="11">
        <v>34150</v>
      </c>
      <c r="C873" s="12">
        <f t="shared" si="65"/>
        <v>5.9504132231404959E-2</v>
      </c>
      <c r="E873" s="9">
        <f t="shared" si="66"/>
        <v>0</v>
      </c>
      <c r="F873" s="9">
        <f t="shared" si="66"/>
        <v>0</v>
      </c>
    </row>
    <row r="874" spans="1:6" x14ac:dyDescent="0.25">
      <c r="A874" s="9" t="s">
        <v>0</v>
      </c>
      <c r="B874" s="11">
        <v>34181</v>
      </c>
      <c r="C874" s="12">
        <f t="shared" si="65"/>
        <v>6.1487603305785121E-2</v>
      </c>
      <c r="E874" s="9">
        <f t="shared" ref="E874:F889" si="67">E862</f>
        <v>0</v>
      </c>
      <c r="F874" s="9">
        <f t="shared" si="67"/>
        <v>0</v>
      </c>
    </row>
    <row r="875" spans="1:6" x14ac:dyDescent="0.25">
      <c r="A875" s="9" t="s">
        <v>0</v>
      </c>
      <c r="B875" s="11">
        <v>34212</v>
      </c>
      <c r="C875" s="12">
        <f t="shared" si="65"/>
        <v>6.1487603305785121E-2</v>
      </c>
      <c r="E875" s="9">
        <f t="shared" si="67"/>
        <v>0</v>
      </c>
      <c r="F875" s="9">
        <f t="shared" si="67"/>
        <v>0</v>
      </c>
    </row>
    <row r="876" spans="1:6" x14ac:dyDescent="0.25">
      <c r="A876" s="9" t="s">
        <v>0</v>
      </c>
      <c r="B876" s="11">
        <v>34242</v>
      </c>
      <c r="C876" s="12">
        <f t="shared" si="65"/>
        <v>5.9504132231404959E-2</v>
      </c>
      <c r="E876" s="9">
        <f t="shared" si="67"/>
        <v>0</v>
      </c>
      <c r="F876" s="9">
        <f t="shared" si="67"/>
        <v>1</v>
      </c>
    </row>
    <row r="877" spans="1:6" x14ac:dyDescent="0.25">
      <c r="A877" s="9" t="s">
        <v>0</v>
      </c>
      <c r="B877" s="11">
        <v>34273</v>
      </c>
      <c r="C877" s="12">
        <f t="shared" si="65"/>
        <v>6.1487603305785121E-2</v>
      </c>
      <c r="E877" s="9">
        <f t="shared" si="67"/>
        <v>0</v>
      </c>
      <c r="F877" s="9">
        <f t="shared" si="67"/>
        <v>0</v>
      </c>
    </row>
    <row r="878" spans="1:6" x14ac:dyDescent="0.25">
      <c r="A878" s="9" t="s">
        <v>0</v>
      </c>
      <c r="B878" s="11">
        <v>34303</v>
      </c>
      <c r="C878" s="12">
        <f t="shared" si="65"/>
        <v>5.9504132231404959E-2</v>
      </c>
      <c r="E878" s="9">
        <f t="shared" si="67"/>
        <v>0</v>
      </c>
      <c r="F878" s="9">
        <f t="shared" si="67"/>
        <v>0</v>
      </c>
    </row>
    <row r="879" spans="1:6" x14ac:dyDescent="0.25">
      <c r="A879" s="9" t="s">
        <v>0</v>
      </c>
      <c r="B879" s="11">
        <v>34334</v>
      </c>
      <c r="C879" s="12">
        <f t="shared" si="65"/>
        <v>6.1487603305785121E-2</v>
      </c>
      <c r="E879" s="9">
        <f t="shared" si="67"/>
        <v>0</v>
      </c>
      <c r="F879" s="9">
        <f t="shared" si="67"/>
        <v>0</v>
      </c>
    </row>
    <row r="880" spans="1:6" x14ac:dyDescent="0.25">
      <c r="A880" s="9" t="s">
        <v>0</v>
      </c>
      <c r="B880" s="11">
        <v>34365</v>
      </c>
      <c r="C880" s="12">
        <f t="shared" si="65"/>
        <v>6.1487603305785121E-2</v>
      </c>
      <c r="E880" s="9">
        <f t="shared" si="67"/>
        <v>0</v>
      </c>
      <c r="F880" s="9">
        <f t="shared" si="67"/>
        <v>0</v>
      </c>
    </row>
    <row r="881" spans="1:8" x14ac:dyDescent="0.25">
      <c r="A881" s="9" t="s">
        <v>0</v>
      </c>
      <c r="B881" s="11">
        <v>34393</v>
      </c>
      <c r="C881" s="12">
        <f t="shared" si="65"/>
        <v>5.5537190082644627E-2</v>
      </c>
      <c r="E881" s="9">
        <f t="shared" si="67"/>
        <v>0</v>
      </c>
      <c r="F881" s="9">
        <f t="shared" si="67"/>
        <v>0</v>
      </c>
    </row>
    <row r="882" spans="1:8" x14ac:dyDescent="0.25">
      <c r="A882" s="9" t="s">
        <v>0</v>
      </c>
      <c r="B882" s="11">
        <v>34424</v>
      </c>
      <c r="C882" s="12">
        <f t="shared" si="65"/>
        <v>6.1487603305785121E-2</v>
      </c>
      <c r="E882" s="9">
        <f t="shared" si="67"/>
        <v>0</v>
      </c>
      <c r="F882" s="9">
        <f t="shared" si="67"/>
        <v>0</v>
      </c>
    </row>
    <row r="883" spans="1:8" x14ac:dyDescent="0.25">
      <c r="A883" s="9" t="s">
        <v>0</v>
      </c>
      <c r="B883" s="11">
        <v>34454</v>
      </c>
      <c r="C883" s="12">
        <f t="shared" si="65"/>
        <v>5.9504132231404959E-2</v>
      </c>
      <c r="E883" s="9">
        <f t="shared" si="67"/>
        <v>0</v>
      </c>
      <c r="F883" s="9">
        <f t="shared" si="67"/>
        <v>0</v>
      </c>
    </row>
    <row r="884" spans="1:8" x14ac:dyDescent="0.25">
      <c r="A884" s="9" t="s">
        <v>0</v>
      </c>
      <c r="B884" s="11">
        <v>34485</v>
      </c>
      <c r="C884" s="12">
        <f t="shared" si="65"/>
        <v>6.1487603305785121E-2</v>
      </c>
      <c r="E884" s="9">
        <f t="shared" si="67"/>
        <v>1</v>
      </c>
      <c r="F884" s="9">
        <f t="shared" si="67"/>
        <v>0</v>
      </c>
    </row>
    <row r="885" spans="1:8" x14ac:dyDescent="0.25">
      <c r="A885" s="9" t="s">
        <v>0</v>
      </c>
      <c r="B885" s="11">
        <v>34515</v>
      </c>
      <c r="C885" s="12">
        <f t="shared" si="65"/>
        <v>5.9504132231404959E-2</v>
      </c>
      <c r="E885" s="9">
        <f t="shared" si="67"/>
        <v>0</v>
      </c>
      <c r="F885" s="9">
        <f t="shared" si="67"/>
        <v>0</v>
      </c>
    </row>
    <row r="886" spans="1:8" x14ac:dyDescent="0.25">
      <c r="A886" s="9" t="s">
        <v>0</v>
      </c>
      <c r="B886" s="11">
        <v>34546</v>
      </c>
      <c r="C886" s="12">
        <f t="shared" si="65"/>
        <v>6.1487603305785121E-2</v>
      </c>
      <c r="E886" s="9">
        <f t="shared" si="67"/>
        <v>0</v>
      </c>
      <c r="F886" s="9">
        <f t="shared" si="67"/>
        <v>0</v>
      </c>
    </row>
    <row r="887" spans="1:8" x14ac:dyDescent="0.25">
      <c r="A887" s="9" t="s">
        <v>0</v>
      </c>
      <c r="B887" s="11">
        <v>34577</v>
      </c>
      <c r="C887" s="12">
        <f t="shared" si="65"/>
        <v>6.1487603305785121E-2</v>
      </c>
      <c r="E887" s="9">
        <f t="shared" si="67"/>
        <v>0</v>
      </c>
      <c r="F887" s="9">
        <f t="shared" si="67"/>
        <v>0</v>
      </c>
    </row>
    <row r="888" spans="1:8" x14ac:dyDescent="0.25">
      <c r="A888" s="9" t="s">
        <v>0</v>
      </c>
      <c r="B888" s="11">
        <v>34607</v>
      </c>
      <c r="C888" s="12">
        <f t="shared" si="65"/>
        <v>5.9504132231404959E-2</v>
      </c>
      <c r="E888" s="9">
        <f t="shared" si="67"/>
        <v>0</v>
      </c>
      <c r="F888" s="9">
        <f t="shared" si="67"/>
        <v>1</v>
      </c>
    </row>
    <row r="889" spans="1:8" x14ac:dyDescent="0.25">
      <c r="A889" s="11"/>
      <c r="B889" s="11">
        <v>34638</v>
      </c>
      <c r="C889" s="12">
        <f t="shared" si="65"/>
        <v>6.1487603305785121E-2</v>
      </c>
      <c r="E889" s="9">
        <f t="shared" si="67"/>
        <v>0</v>
      </c>
      <c r="F889" s="9">
        <f t="shared" si="67"/>
        <v>0</v>
      </c>
    </row>
    <row r="890" spans="1:8" x14ac:dyDescent="0.25">
      <c r="B890" s="11">
        <v>34668</v>
      </c>
      <c r="C890" s="12">
        <f t="shared" si="65"/>
        <v>5.9504132231404959E-2</v>
      </c>
      <c r="D890" s="14"/>
      <c r="E890" s="9">
        <f t="shared" ref="E890:F905" si="68">E878</f>
        <v>0</v>
      </c>
      <c r="F890" s="9">
        <f t="shared" si="68"/>
        <v>0</v>
      </c>
      <c r="G890" s="14"/>
      <c r="H890" s="14"/>
    </row>
    <row r="891" spans="1:8" x14ac:dyDescent="0.25">
      <c r="B891" s="11">
        <v>34699</v>
      </c>
      <c r="C891" s="12">
        <f t="shared" si="65"/>
        <v>6.1487603305785121E-2</v>
      </c>
      <c r="D891" s="14"/>
      <c r="E891" s="9">
        <f t="shared" si="68"/>
        <v>0</v>
      </c>
      <c r="F891" s="9">
        <f t="shared" si="68"/>
        <v>0</v>
      </c>
      <c r="G891" s="14"/>
      <c r="H891" s="14"/>
    </row>
    <row r="892" spans="1:8" x14ac:dyDescent="0.25">
      <c r="B892" s="11">
        <v>34730</v>
      </c>
      <c r="C892" s="12">
        <f t="shared" si="65"/>
        <v>6.1487603305785121E-2</v>
      </c>
      <c r="D892" s="14"/>
      <c r="E892" s="9">
        <f t="shared" si="68"/>
        <v>0</v>
      </c>
      <c r="F892" s="9">
        <f t="shared" si="68"/>
        <v>0</v>
      </c>
      <c r="G892" s="14"/>
      <c r="H892" s="14"/>
    </row>
    <row r="893" spans="1:8" x14ac:dyDescent="0.25">
      <c r="B893" s="11">
        <v>34758</v>
      </c>
      <c r="C893" s="12">
        <f t="shared" si="65"/>
        <v>5.5537190082644627E-2</v>
      </c>
      <c r="D893" s="14"/>
      <c r="E893" s="9">
        <f t="shared" si="68"/>
        <v>0</v>
      </c>
      <c r="F893" s="9">
        <f t="shared" si="68"/>
        <v>0</v>
      </c>
      <c r="G893" s="14"/>
      <c r="H893" s="14"/>
    </row>
    <row r="894" spans="1:8" x14ac:dyDescent="0.25">
      <c r="B894" s="11">
        <v>34789</v>
      </c>
      <c r="C894" s="12">
        <f t="shared" si="65"/>
        <v>6.1487603305785121E-2</v>
      </c>
      <c r="D894" s="14"/>
      <c r="E894" s="9">
        <f t="shared" si="68"/>
        <v>0</v>
      </c>
      <c r="F894" s="9">
        <f t="shared" si="68"/>
        <v>0</v>
      </c>
      <c r="G894" s="14"/>
      <c r="H894" s="14"/>
    </row>
    <row r="895" spans="1:8" x14ac:dyDescent="0.25">
      <c r="B895" s="11">
        <v>34819</v>
      </c>
      <c r="C895" s="12">
        <f t="shared" si="65"/>
        <v>5.9504132231404959E-2</v>
      </c>
      <c r="D895" s="14"/>
      <c r="E895" s="9">
        <f t="shared" si="68"/>
        <v>0</v>
      </c>
      <c r="F895" s="9">
        <f t="shared" si="68"/>
        <v>0</v>
      </c>
      <c r="G895" s="14"/>
      <c r="H895" s="14"/>
    </row>
    <row r="896" spans="1:8" x14ac:dyDescent="0.25">
      <c r="B896" s="11">
        <v>34850</v>
      </c>
      <c r="C896" s="12">
        <f t="shared" si="65"/>
        <v>6.1487603305785121E-2</v>
      </c>
      <c r="D896" s="14"/>
      <c r="E896" s="9">
        <f t="shared" si="68"/>
        <v>1</v>
      </c>
      <c r="F896" s="9">
        <f t="shared" si="68"/>
        <v>0</v>
      </c>
      <c r="G896" s="14"/>
      <c r="H896" s="14"/>
    </row>
    <row r="897" spans="2:8" x14ac:dyDescent="0.25">
      <c r="B897" s="11">
        <v>34880</v>
      </c>
      <c r="C897" s="12">
        <f t="shared" si="65"/>
        <v>5.9504132231404959E-2</v>
      </c>
      <c r="D897" s="14"/>
      <c r="E897" s="9">
        <f t="shared" si="68"/>
        <v>0</v>
      </c>
      <c r="F897" s="9">
        <f t="shared" si="68"/>
        <v>0</v>
      </c>
      <c r="G897" s="14"/>
      <c r="H897" s="14"/>
    </row>
    <row r="898" spans="2:8" x14ac:dyDescent="0.25">
      <c r="B898" s="11">
        <v>34911</v>
      </c>
      <c r="C898" s="12">
        <f t="shared" si="65"/>
        <v>6.1487603305785121E-2</v>
      </c>
      <c r="D898" s="14"/>
      <c r="E898" s="9">
        <f t="shared" si="68"/>
        <v>0</v>
      </c>
      <c r="F898" s="9">
        <f t="shared" si="68"/>
        <v>0</v>
      </c>
      <c r="G898" s="14"/>
      <c r="H898" s="14"/>
    </row>
    <row r="899" spans="2:8" x14ac:dyDescent="0.25">
      <c r="B899" s="11">
        <v>34942</v>
      </c>
      <c r="C899" s="12">
        <f t="shared" si="65"/>
        <v>6.1487603305785121E-2</v>
      </c>
      <c r="D899" s="14"/>
      <c r="E899" s="9">
        <f t="shared" si="68"/>
        <v>0</v>
      </c>
      <c r="F899" s="9">
        <f t="shared" si="68"/>
        <v>0</v>
      </c>
      <c r="G899" s="14"/>
      <c r="H899" s="14"/>
    </row>
    <row r="900" spans="2:8" x14ac:dyDescent="0.25">
      <c r="B900" s="11">
        <v>34972</v>
      </c>
      <c r="C900" s="12">
        <f t="shared" si="65"/>
        <v>5.9504132231404959E-2</v>
      </c>
      <c r="D900" s="14"/>
      <c r="E900" s="9">
        <f t="shared" si="68"/>
        <v>0</v>
      </c>
      <c r="F900" s="9">
        <f t="shared" si="68"/>
        <v>1</v>
      </c>
      <c r="G900" s="14"/>
      <c r="H900" s="14"/>
    </row>
    <row r="901" spans="2:8" x14ac:dyDescent="0.25">
      <c r="B901" s="11">
        <v>35003</v>
      </c>
      <c r="C901" s="12">
        <f t="shared" si="65"/>
        <v>6.1487603305785121E-2</v>
      </c>
      <c r="D901" s="14"/>
      <c r="E901" s="9">
        <f t="shared" si="68"/>
        <v>0</v>
      </c>
      <c r="F901" s="9">
        <f t="shared" si="68"/>
        <v>0</v>
      </c>
      <c r="G901" s="14"/>
      <c r="H901" s="14"/>
    </row>
    <row r="902" spans="2:8" x14ac:dyDescent="0.25">
      <c r="B902" s="11">
        <v>35033</v>
      </c>
      <c r="C902" s="12">
        <f t="shared" si="65"/>
        <v>5.9504132231404959E-2</v>
      </c>
      <c r="D902" s="14"/>
      <c r="E902" s="9">
        <f t="shared" si="68"/>
        <v>0</v>
      </c>
      <c r="F902" s="9">
        <f t="shared" si="68"/>
        <v>0</v>
      </c>
      <c r="G902" s="14"/>
      <c r="H902" s="14"/>
    </row>
    <row r="903" spans="2:8" x14ac:dyDescent="0.25">
      <c r="B903" s="11">
        <v>35064</v>
      </c>
      <c r="C903" s="12">
        <f t="shared" si="65"/>
        <v>6.1487603305785121E-2</v>
      </c>
      <c r="D903" s="14"/>
      <c r="E903" s="9">
        <f t="shared" si="68"/>
        <v>0</v>
      </c>
      <c r="F903" s="9">
        <f t="shared" si="68"/>
        <v>0</v>
      </c>
      <c r="G903" s="14"/>
      <c r="H903" s="14"/>
    </row>
    <row r="904" spans="2:8" x14ac:dyDescent="0.25">
      <c r="B904" s="11">
        <v>35095</v>
      </c>
      <c r="C904" s="12">
        <f t="shared" si="65"/>
        <v>6.1487603305785121E-2</v>
      </c>
      <c r="D904" s="14"/>
      <c r="E904" s="9">
        <f t="shared" si="68"/>
        <v>0</v>
      </c>
      <c r="F904" s="9">
        <f t="shared" si="68"/>
        <v>0</v>
      </c>
      <c r="G904" s="14"/>
      <c r="H904" s="14"/>
    </row>
    <row r="905" spans="2:8" x14ac:dyDescent="0.25">
      <c r="B905" s="11">
        <v>35124</v>
      </c>
      <c r="C905" s="12">
        <f t="shared" si="65"/>
        <v>5.752066115702479E-2</v>
      </c>
      <c r="D905" s="14"/>
      <c r="E905" s="9">
        <f t="shared" si="68"/>
        <v>0</v>
      </c>
      <c r="F905" s="9">
        <f t="shared" si="68"/>
        <v>0</v>
      </c>
      <c r="G905" s="14"/>
      <c r="H905" s="14"/>
    </row>
    <row r="906" spans="2:8" x14ac:dyDescent="0.25">
      <c r="B906" s="11">
        <v>35155</v>
      </c>
      <c r="C906" s="12">
        <f t="shared" si="65"/>
        <v>6.1487603305785121E-2</v>
      </c>
      <c r="D906" s="14"/>
      <c r="E906" s="9">
        <f t="shared" ref="E906:F921" si="69">E894</f>
        <v>0</v>
      </c>
      <c r="F906" s="9">
        <f t="shared" si="69"/>
        <v>0</v>
      </c>
      <c r="G906" s="14"/>
      <c r="H906" s="14"/>
    </row>
    <row r="907" spans="2:8" x14ac:dyDescent="0.25">
      <c r="B907" s="11">
        <v>35185</v>
      </c>
      <c r="C907" s="12">
        <f t="shared" si="65"/>
        <v>5.9504132231404959E-2</v>
      </c>
      <c r="D907" s="14"/>
      <c r="E907" s="9">
        <f t="shared" si="69"/>
        <v>0</v>
      </c>
      <c r="F907" s="9">
        <f t="shared" si="69"/>
        <v>0</v>
      </c>
      <c r="G907" s="14"/>
      <c r="H907" s="14"/>
    </row>
    <row r="908" spans="2:8" x14ac:dyDescent="0.25">
      <c r="B908" s="11">
        <v>35216</v>
      </c>
      <c r="C908" s="12">
        <f t="shared" si="65"/>
        <v>6.1487603305785121E-2</v>
      </c>
      <c r="D908" s="14"/>
      <c r="E908" s="9">
        <f t="shared" si="69"/>
        <v>1</v>
      </c>
      <c r="F908" s="9">
        <f t="shared" si="69"/>
        <v>0</v>
      </c>
      <c r="G908" s="14"/>
      <c r="H908" s="14"/>
    </row>
    <row r="909" spans="2:8" x14ac:dyDescent="0.25">
      <c r="B909" s="11">
        <v>35246</v>
      </c>
      <c r="C909" s="12">
        <f t="shared" si="65"/>
        <v>5.9504132231404959E-2</v>
      </c>
      <c r="D909" s="14"/>
      <c r="E909" s="9">
        <f t="shared" si="69"/>
        <v>0</v>
      </c>
      <c r="F909" s="9">
        <f t="shared" si="69"/>
        <v>0</v>
      </c>
      <c r="G909" s="14"/>
      <c r="H909" s="14"/>
    </row>
    <row r="910" spans="2:8" x14ac:dyDescent="0.25">
      <c r="B910" s="11">
        <v>35277</v>
      </c>
      <c r="C910" s="12">
        <f t="shared" ref="C910:C973" si="70">(B910-B909)*86400/43560/1000</f>
        <v>6.1487603305785121E-2</v>
      </c>
      <c r="D910" s="14"/>
      <c r="E910" s="9">
        <f t="shared" si="69"/>
        <v>0</v>
      </c>
      <c r="F910" s="9">
        <f t="shared" si="69"/>
        <v>0</v>
      </c>
      <c r="G910" s="14"/>
      <c r="H910" s="14"/>
    </row>
    <row r="911" spans="2:8" x14ac:dyDescent="0.25">
      <c r="B911" s="11">
        <v>35308</v>
      </c>
      <c r="C911" s="12">
        <f t="shared" si="70"/>
        <v>6.1487603305785121E-2</v>
      </c>
      <c r="D911" s="14"/>
      <c r="E911" s="9">
        <f t="shared" si="69"/>
        <v>0</v>
      </c>
      <c r="F911" s="9">
        <f t="shared" si="69"/>
        <v>0</v>
      </c>
      <c r="G911" s="14"/>
      <c r="H911" s="14"/>
    </row>
    <row r="912" spans="2:8" x14ac:dyDescent="0.25">
      <c r="B912" s="11">
        <v>35338</v>
      </c>
      <c r="C912" s="12">
        <f t="shared" si="70"/>
        <v>5.9504132231404959E-2</v>
      </c>
      <c r="D912" s="14"/>
      <c r="E912" s="9">
        <f t="shared" si="69"/>
        <v>0</v>
      </c>
      <c r="F912" s="9">
        <f t="shared" si="69"/>
        <v>1</v>
      </c>
      <c r="G912" s="14"/>
      <c r="H912" s="14"/>
    </row>
    <row r="913" spans="2:8" x14ac:dyDescent="0.25">
      <c r="B913" s="11">
        <v>35369</v>
      </c>
      <c r="C913" s="12">
        <f t="shared" si="70"/>
        <v>6.1487603305785121E-2</v>
      </c>
      <c r="D913" s="14"/>
      <c r="E913" s="9">
        <f t="shared" si="69"/>
        <v>0</v>
      </c>
      <c r="F913" s="9">
        <f t="shared" si="69"/>
        <v>0</v>
      </c>
      <c r="G913" s="14"/>
      <c r="H913" s="14"/>
    </row>
    <row r="914" spans="2:8" x14ac:dyDescent="0.25">
      <c r="B914" s="11">
        <v>35399</v>
      </c>
      <c r="C914" s="12">
        <f t="shared" si="70"/>
        <v>5.9504132231404959E-2</v>
      </c>
      <c r="D914" s="14"/>
      <c r="E914" s="9">
        <f t="shared" si="69"/>
        <v>0</v>
      </c>
      <c r="F914" s="9">
        <f t="shared" si="69"/>
        <v>0</v>
      </c>
      <c r="G914" s="14"/>
      <c r="H914" s="14"/>
    </row>
    <row r="915" spans="2:8" x14ac:dyDescent="0.25">
      <c r="B915" s="11">
        <v>35430</v>
      </c>
      <c r="C915" s="12">
        <f t="shared" si="70"/>
        <v>6.1487603305785121E-2</v>
      </c>
      <c r="D915" s="14"/>
      <c r="E915" s="9">
        <f t="shared" si="69"/>
        <v>0</v>
      </c>
      <c r="F915" s="9">
        <f t="shared" si="69"/>
        <v>0</v>
      </c>
      <c r="G915" s="14"/>
      <c r="H915" s="14"/>
    </row>
    <row r="916" spans="2:8" x14ac:dyDescent="0.25">
      <c r="B916" s="11">
        <v>35461</v>
      </c>
      <c r="C916" s="12">
        <f t="shared" si="70"/>
        <v>6.1487603305785121E-2</v>
      </c>
      <c r="D916" s="14"/>
      <c r="E916" s="9">
        <f t="shared" si="69"/>
        <v>0</v>
      </c>
      <c r="F916" s="9">
        <f t="shared" si="69"/>
        <v>0</v>
      </c>
      <c r="G916" s="14"/>
      <c r="H916" s="14"/>
    </row>
    <row r="917" spans="2:8" x14ac:dyDescent="0.25">
      <c r="B917" s="11">
        <v>35489</v>
      </c>
      <c r="C917" s="12">
        <f t="shared" si="70"/>
        <v>5.5537190082644627E-2</v>
      </c>
      <c r="D917" s="14"/>
      <c r="E917" s="9">
        <f t="shared" si="69"/>
        <v>0</v>
      </c>
      <c r="F917" s="9">
        <f t="shared" si="69"/>
        <v>0</v>
      </c>
      <c r="G917" s="14"/>
      <c r="H917" s="14"/>
    </row>
    <row r="918" spans="2:8" x14ac:dyDescent="0.25">
      <c r="B918" s="11">
        <v>35520</v>
      </c>
      <c r="C918" s="12">
        <f t="shared" si="70"/>
        <v>6.1487603305785121E-2</v>
      </c>
      <c r="D918" s="14"/>
      <c r="E918" s="9">
        <f t="shared" si="69"/>
        <v>0</v>
      </c>
      <c r="F918" s="9">
        <f t="shared" si="69"/>
        <v>0</v>
      </c>
      <c r="G918" s="14"/>
      <c r="H918" s="14"/>
    </row>
    <row r="919" spans="2:8" x14ac:dyDescent="0.25">
      <c r="B919" s="11">
        <v>35550</v>
      </c>
      <c r="C919" s="12">
        <f t="shared" si="70"/>
        <v>5.9504132231404959E-2</v>
      </c>
      <c r="D919" s="14"/>
      <c r="E919" s="9">
        <f t="shared" si="69"/>
        <v>0</v>
      </c>
      <c r="F919" s="9">
        <f t="shared" si="69"/>
        <v>0</v>
      </c>
      <c r="G919" s="14"/>
      <c r="H919" s="14"/>
    </row>
    <row r="920" spans="2:8" x14ac:dyDescent="0.25">
      <c r="B920" s="11">
        <v>35581</v>
      </c>
      <c r="C920" s="12">
        <f t="shared" si="70"/>
        <v>6.1487603305785121E-2</v>
      </c>
      <c r="D920" s="14"/>
      <c r="E920" s="9">
        <f t="shared" si="69"/>
        <v>1</v>
      </c>
      <c r="F920" s="9">
        <f t="shared" si="69"/>
        <v>0</v>
      </c>
      <c r="G920" s="14"/>
      <c r="H920" s="14"/>
    </row>
    <row r="921" spans="2:8" x14ac:dyDescent="0.25">
      <c r="B921" s="11">
        <v>35611</v>
      </c>
      <c r="C921" s="12">
        <f t="shared" si="70"/>
        <v>5.9504132231404959E-2</v>
      </c>
      <c r="D921" s="14"/>
      <c r="E921" s="9">
        <f t="shared" si="69"/>
        <v>0</v>
      </c>
      <c r="F921" s="9">
        <f t="shared" si="69"/>
        <v>0</v>
      </c>
      <c r="G921" s="14"/>
      <c r="H921" s="14"/>
    </row>
    <row r="922" spans="2:8" x14ac:dyDescent="0.25">
      <c r="B922" s="11">
        <v>35642</v>
      </c>
      <c r="C922" s="12">
        <f t="shared" si="70"/>
        <v>6.1487603305785121E-2</v>
      </c>
      <c r="D922" s="14"/>
      <c r="E922" s="9">
        <f t="shared" ref="E922:F937" si="71">E910</f>
        <v>0</v>
      </c>
      <c r="F922" s="9">
        <f t="shared" si="71"/>
        <v>0</v>
      </c>
      <c r="G922" s="14"/>
      <c r="H922" s="14"/>
    </row>
    <row r="923" spans="2:8" x14ac:dyDescent="0.25">
      <c r="B923" s="11">
        <v>35673</v>
      </c>
      <c r="C923" s="12">
        <f t="shared" si="70"/>
        <v>6.1487603305785121E-2</v>
      </c>
      <c r="D923" s="14"/>
      <c r="E923" s="9">
        <f t="shared" si="71"/>
        <v>0</v>
      </c>
      <c r="F923" s="9">
        <f t="shared" si="71"/>
        <v>0</v>
      </c>
      <c r="G923" s="14"/>
      <c r="H923" s="14"/>
    </row>
    <row r="924" spans="2:8" x14ac:dyDescent="0.25">
      <c r="B924" s="11">
        <v>35703</v>
      </c>
      <c r="C924" s="12">
        <f t="shared" si="70"/>
        <v>5.9504132231404959E-2</v>
      </c>
      <c r="D924" s="14"/>
      <c r="E924" s="9">
        <f t="shared" si="71"/>
        <v>0</v>
      </c>
      <c r="F924" s="9">
        <f t="shared" si="71"/>
        <v>1</v>
      </c>
      <c r="G924" s="14"/>
      <c r="H924" s="14"/>
    </row>
    <row r="925" spans="2:8" x14ac:dyDescent="0.25">
      <c r="B925" s="11">
        <v>35734</v>
      </c>
      <c r="C925" s="12">
        <f t="shared" si="70"/>
        <v>6.1487603305785121E-2</v>
      </c>
      <c r="D925" s="14"/>
      <c r="E925" s="9">
        <f t="shared" si="71"/>
        <v>0</v>
      </c>
      <c r="F925" s="9">
        <f t="shared" si="71"/>
        <v>0</v>
      </c>
      <c r="G925" s="14"/>
      <c r="H925" s="14"/>
    </row>
    <row r="926" spans="2:8" x14ac:dyDescent="0.25">
      <c r="B926" s="11">
        <v>35764</v>
      </c>
      <c r="C926" s="12">
        <f t="shared" si="70"/>
        <v>5.9504132231404959E-2</v>
      </c>
      <c r="D926" s="14"/>
      <c r="E926" s="9">
        <f t="shared" si="71"/>
        <v>0</v>
      </c>
      <c r="F926" s="9">
        <f t="shared" si="71"/>
        <v>0</v>
      </c>
      <c r="G926" s="14"/>
      <c r="H926" s="14"/>
    </row>
    <row r="927" spans="2:8" x14ac:dyDescent="0.25">
      <c r="B927" s="11">
        <v>35795</v>
      </c>
      <c r="C927" s="12">
        <f t="shared" si="70"/>
        <v>6.1487603305785121E-2</v>
      </c>
      <c r="D927" s="14"/>
      <c r="E927" s="9">
        <f t="shared" si="71"/>
        <v>0</v>
      </c>
      <c r="F927" s="9">
        <f t="shared" si="71"/>
        <v>0</v>
      </c>
      <c r="G927" s="14"/>
      <c r="H927" s="14"/>
    </row>
    <row r="928" spans="2:8" x14ac:dyDescent="0.25">
      <c r="B928" s="11">
        <v>35826</v>
      </c>
      <c r="C928" s="12">
        <f t="shared" si="70"/>
        <v>6.1487603305785121E-2</v>
      </c>
      <c r="D928" s="14"/>
      <c r="E928" s="9">
        <f t="shared" si="71"/>
        <v>0</v>
      </c>
      <c r="F928" s="9">
        <f t="shared" si="71"/>
        <v>0</v>
      </c>
      <c r="G928" s="14"/>
      <c r="H928" s="14"/>
    </row>
    <row r="929" spans="2:8" x14ac:dyDescent="0.25">
      <c r="B929" s="11">
        <v>35854</v>
      </c>
      <c r="C929" s="12">
        <f t="shared" si="70"/>
        <v>5.5537190082644627E-2</v>
      </c>
      <c r="D929" s="14"/>
      <c r="E929" s="9">
        <f t="shared" si="71"/>
        <v>0</v>
      </c>
      <c r="F929" s="9">
        <f t="shared" si="71"/>
        <v>0</v>
      </c>
      <c r="G929" s="14"/>
      <c r="H929" s="14"/>
    </row>
    <row r="930" spans="2:8" x14ac:dyDescent="0.25">
      <c r="B930" s="11">
        <v>35885</v>
      </c>
      <c r="C930" s="12">
        <f t="shared" si="70"/>
        <v>6.1487603305785121E-2</v>
      </c>
      <c r="D930" s="14"/>
      <c r="E930" s="9">
        <f t="shared" si="71"/>
        <v>0</v>
      </c>
      <c r="F930" s="9">
        <f t="shared" si="71"/>
        <v>0</v>
      </c>
      <c r="G930" s="14"/>
      <c r="H930" s="14"/>
    </row>
    <row r="931" spans="2:8" x14ac:dyDescent="0.25">
      <c r="B931" s="11">
        <v>35915</v>
      </c>
      <c r="C931" s="12">
        <f t="shared" si="70"/>
        <v>5.9504132231404959E-2</v>
      </c>
      <c r="D931" s="14"/>
      <c r="E931" s="9">
        <f t="shared" si="71"/>
        <v>0</v>
      </c>
      <c r="F931" s="9">
        <f t="shared" si="71"/>
        <v>0</v>
      </c>
      <c r="G931" s="14"/>
      <c r="H931" s="14"/>
    </row>
    <row r="932" spans="2:8" x14ac:dyDescent="0.25">
      <c r="B932" s="11">
        <v>35946</v>
      </c>
      <c r="C932" s="12">
        <f t="shared" si="70"/>
        <v>6.1487603305785121E-2</v>
      </c>
      <c r="D932" s="14"/>
      <c r="E932" s="9">
        <f t="shared" si="71"/>
        <v>1</v>
      </c>
      <c r="F932" s="9">
        <f t="shared" si="71"/>
        <v>0</v>
      </c>
      <c r="G932" s="14"/>
      <c r="H932" s="14"/>
    </row>
    <row r="933" spans="2:8" x14ac:dyDescent="0.25">
      <c r="B933" s="11">
        <v>35976</v>
      </c>
      <c r="C933" s="12">
        <f t="shared" si="70"/>
        <v>5.9504132231404959E-2</v>
      </c>
      <c r="D933" s="14"/>
      <c r="E933" s="9">
        <f t="shared" si="71"/>
        <v>0</v>
      </c>
      <c r="F933" s="9">
        <f t="shared" si="71"/>
        <v>0</v>
      </c>
      <c r="G933" s="14"/>
      <c r="H933" s="14"/>
    </row>
    <row r="934" spans="2:8" x14ac:dyDescent="0.25">
      <c r="B934" s="11">
        <v>36007</v>
      </c>
      <c r="C934" s="12">
        <f t="shared" si="70"/>
        <v>6.1487603305785121E-2</v>
      </c>
      <c r="D934" s="14"/>
      <c r="E934" s="9">
        <f t="shared" si="71"/>
        <v>0</v>
      </c>
      <c r="F934" s="9">
        <f t="shared" si="71"/>
        <v>0</v>
      </c>
      <c r="G934" s="14"/>
      <c r="H934" s="14"/>
    </row>
    <row r="935" spans="2:8" x14ac:dyDescent="0.25">
      <c r="B935" s="11">
        <v>36038</v>
      </c>
      <c r="C935" s="12">
        <f t="shared" si="70"/>
        <v>6.1487603305785121E-2</v>
      </c>
      <c r="D935" s="14"/>
      <c r="E935" s="9">
        <f t="shared" si="71"/>
        <v>0</v>
      </c>
      <c r="F935" s="9">
        <f t="shared" si="71"/>
        <v>0</v>
      </c>
      <c r="G935" s="14"/>
      <c r="H935" s="14"/>
    </row>
    <row r="936" spans="2:8" x14ac:dyDescent="0.25">
      <c r="B936" s="11">
        <v>36068</v>
      </c>
      <c r="C936" s="12">
        <f t="shared" si="70"/>
        <v>5.9504132231404959E-2</v>
      </c>
      <c r="D936" s="14"/>
      <c r="E936" s="9">
        <f t="shared" si="71"/>
        <v>0</v>
      </c>
      <c r="F936" s="9">
        <f t="shared" si="71"/>
        <v>1</v>
      </c>
      <c r="G936" s="14"/>
      <c r="H936" s="14"/>
    </row>
    <row r="937" spans="2:8" x14ac:dyDescent="0.25">
      <c r="B937" s="11">
        <v>36099</v>
      </c>
      <c r="C937" s="12">
        <f t="shared" si="70"/>
        <v>6.1487603305785121E-2</v>
      </c>
      <c r="E937" s="9">
        <f t="shared" si="71"/>
        <v>0</v>
      </c>
      <c r="F937" s="9">
        <f t="shared" si="71"/>
        <v>0</v>
      </c>
    </row>
    <row r="938" spans="2:8" x14ac:dyDescent="0.25">
      <c r="B938" s="11">
        <v>36129</v>
      </c>
      <c r="C938" s="12">
        <f t="shared" si="70"/>
        <v>5.9504132231404959E-2</v>
      </c>
      <c r="E938" s="9">
        <f t="shared" ref="E938:F953" si="72">E926</f>
        <v>0</v>
      </c>
      <c r="F938" s="9">
        <f t="shared" si="72"/>
        <v>0</v>
      </c>
    </row>
    <row r="939" spans="2:8" x14ac:dyDescent="0.25">
      <c r="B939" s="11">
        <v>36160</v>
      </c>
      <c r="C939" s="12">
        <f t="shared" si="70"/>
        <v>6.1487603305785121E-2</v>
      </c>
      <c r="E939" s="9">
        <f t="shared" si="72"/>
        <v>0</v>
      </c>
      <c r="F939" s="9">
        <f t="shared" si="72"/>
        <v>0</v>
      </c>
    </row>
    <row r="940" spans="2:8" x14ac:dyDescent="0.25">
      <c r="B940" s="11">
        <v>36191</v>
      </c>
      <c r="C940" s="12">
        <f t="shared" si="70"/>
        <v>6.1487603305785121E-2</v>
      </c>
      <c r="E940" s="9">
        <f t="shared" si="72"/>
        <v>0</v>
      </c>
      <c r="F940" s="9">
        <f t="shared" si="72"/>
        <v>0</v>
      </c>
    </row>
    <row r="941" spans="2:8" x14ac:dyDescent="0.25">
      <c r="B941" s="11">
        <v>36219</v>
      </c>
      <c r="C941" s="12">
        <f t="shared" si="70"/>
        <v>5.5537190082644627E-2</v>
      </c>
      <c r="E941" s="9">
        <f t="shared" si="72"/>
        <v>0</v>
      </c>
      <c r="F941" s="9">
        <f t="shared" si="72"/>
        <v>0</v>
      </c>
    </row>
    <row r="942" spans="2:8" x14ac:dyDescent="0.25">
      <c r="B942" s="11">
        <v>36250</v>
      </c>
      <c r="C942" s="12">
        <f t="shared" si="70"/>
        <v>6.1487603305785121E-2</v>
      </c>
      <c r="E942" s="9">
        <f t="shared" si="72"/>
        <v>0</v>
      </c>
      <c r="F942" s="9">
        <f t="shared" si="72"/>
        <v>0</v>
      </c>
    </row>
    <row r="943" spans="2:8" x14ac:dyDescent="0.25">
      <c r="B943" s="11">
        <v>36280</v>
      </c>
      <c r="C943" s="12">
        <f t="shared" si="70"/>
        <v>5.9504132231404959E-2</v>
      </c>
      <c r="E943" s="9">
        <f t="shared" si="72"/>
        <v>0</v>
      </c>
      <c r="F943" s="9">
        <f t="shared" si="72"/>
        <v>0</v>
      </c>
    </row>
    <row r="944" spans="2:8" x14ac:dyDescent="0.25">
      <c r="B944" s="11">
        <v>36311</v>
      </c>
      <c r="C944" s="12">
        <f t="shared" si="70"/>
        <v>6.1487603305785121E-2</v>
      </c>
      <c r="E944" s="9">
        <f t="shared" si="72"/>
        <v>1</v>
      </c>
      <c r="F944" s="9">
        <f t="shared" si="72"/>
        <v>0</v>
      </c>
    </row>
    <row r="945" spans="2:6" x14ac:dyDescent="0.25">
      <c r="B945" s="11">
        <v>36341</v>
      </c>
      <c r="C945" s="12">
        <f t="shared" si="70"/>
        <v>5.9504132231404959E-2</v>
      </c>
      <c r="E945" s="9">
        <f t="shared" si="72"/>
        <v>0</v>
      </c>
      <c r="F945" s="9">
        <f t="shared" si="72"/>
        <v>0</v>
      </c>
    </row>
    <row r="946" spans="2:6" x14ac:dyDescent="0.25">
      <c r="B946" s="11">
        <v>36372</v>
      </c>
      <c r="C946" s="12">
        <f t="shared" si="70"/>
        <v>6.1487603305785121E-2</v>
      </c>
      <c r="E946" s="9">
        <f t="shared" si="72"/>
        <v>0</v>
      </c>
      <c r="F946" s="9">
        <f t="shared" si="72"/>
        <v>0</v>
      </c>
    </row>
    <row r="947" spans="2:6" x14ac:dyDescent="0.25">
      <c r="B947" s="11">
        <v>36403</v>
      </c>
      <c r="C947" s="12">
        <f t="shared" si="70"/>
        <v>6.1487603305785121E-2</v>
      </c>
      <c r="E947" s="9">
        <f t="shared" si="72"/>
        <v>0</v>
      </c>
      <c r="F947" s="9">
        <f t="shared" si="72"/>
        <v>0</v>
      </c>
    </row>
    <row r="948" spans="2:6" x14ac:dyDescent="0.25">
      <c r="B948" s="11">
        <v>36433</v>
      </c>
      <c r="C948" s="12">
        <f t="shared" si="70"/>
        <v>5.9504132231404959E-2</v>
      </c>
      <c r="E948" s="9">
        <f t="shared" si="72"/>
        <v>0</v>
      </c>
      <c r="F948" s="9">
        <f t="shared" si="72"/>
        <v>1</v>
      </c>
    </row>
    <row r="949" spans="2:6" x14ac:dyDescent="0.25">
      <c r="B949" s="11">
        <v>36464</v>
      </c>
      <c r="C949" s="12">
        <f t="shared" si="70"/>
        <v>6.1487603305785121E-2</v>
      </c>
      <c r="E949" s="9">
        <f t="shared" si="72"/>
        <v>0</v>
      </c>
      <c r="F949" s="9">
        <f t="shared" si="72"/>
        <v>0</v>
      </c>
    </row>
    <row r="950" spans="2:6" x14ac:dyDescent="0.25">
      <c r="B950" s="11">
        <v>36494</v>
      </c>
      <c r="C950" s="12">
        <f t="shared" si="70"/>
        <v>5.9504132231404959E-2</v>
      </c>
      <c r="E950" s="9">
        <f t="shared" si="72"/>
        <v>0</v>
      </c>
      <c r="F950" s="9">
        <f t="shared" si="72"/>
        <v>0</v>
      </c>
    </row>
    <row r="951" spans="2:6" x14ac:dyDescent="0.25">
      <c r="B951" s="11">
        <v>36525</v>
      </c>
      <c r="C951" s="12">
        <f t="shared" si="70"/>
        <v>6.1487603305785121E-2</v>
      </c>
      <c r="E951" s="9">
        <f t="shared" si="72"/>
        <v>0</v>
      </c>
      <c r="F951" s="9">
        <f t="shared" si="72"/>
        <v>0</v>
      </c>
    </row>
    <row r="952" spans="2:6" x14ac:dyDescent="0.25">
      <c r="B952" s="11">
        <v>36556</v>
      </c>
      <c r="C952" s="12">
        <f t="shared" si="70"/>
        <v>6.1487603305785121E-2</v>
      </c>
      <c r="E952" s="9">
        <f t="shared" si="72"/>
        <v>0</v>
      </c>
      <c r="F952" s="9">
        <f t="shared" si="72"/>
        <v>0</v>
      </c>
    </row>
    <row r="953" spans="2:6" x14ac:dyDescent="0.25">
      <c r="B953" s="11">
        <v>36585</v>
      </c>
      <c r="C953" s="12">
        <f t="shared" si="70"/>
        <v>5.752066115702479E-2</v>
      </c>
      <c r="E953" s="9">
        <f t="shared" si="72"/>
        <v>0</v>
      </c>
      <c r="F953" s="9">
        <f t="shared" si="72"/>
        <v>0</v>
      </c>
    </row>
    <row r="954" spans="2:6" x14ac:dyDescent="0.25">
      <c r="B954" s="11">
        <v>36616</v>
      </c>
      <c r="C954" s="12">
        <f t="shared" si="70"/>
        <v>6.1487603305785121E-2</v>
      </c>
      <c r="E954" s="9">
        <f t="shared" ref="E954:F969" si="73">E942</f>
        <v>0</v>
      </c>
      <c r="F954" s="9">
        <f t="shared" si="73"/>
        <v>0</v>
      </c>
    </row>
    <row r="955" spans="2:6" x14ac:dyDescent="0.25">
      <c r="B955" s="11">
        <v>36646</v>
      </c>
      <c r="C955" s="12">
        <f t="shared" si="70"/>
        <v>5.9504132231404959E-2</v>
      </c>
      <c r="E955" s="9">
        <f t="shared" si="73"/>
        <v>0</v>
      </c>
      <c r="F955" s="9">
        <f t="shared" si="73"/>
        <v>0</v>
      </c>
    </row>
    <row r="956" spans="2:6" x14ac:dyDescent="0.25">
      <c r="B956" s="11">
        <v>36677</v>
      </c>
      <c r="C956" s="12">
        <f t="shared" si="70"/>
        <v>6.1487603305785121E-2</v>
      </c>
      <c r="E956" s="9">
        <f t="shared" si="73"/>
        <v>1</v>
      </c>
      <c r="F956" s="9">
        <f t="shared" si="73"/>
        <v>0</v>
      </c>
    </row>
    <row r="957" spans="2:6" x14ac:dyDescent="0.25">
      <c r="B957" s="11">
        <v>36707</v>
      </c>
      <c r="C957" s="12">
        <f t="shared" si="70"/>
        <v>5.9504132231404959E-2</v>
      </c>
      <c r="E957" s="9">
        <f t="shared" si="73"/>
        <v>0</v>
      </c>
      <c r="F957" s="9">
        <f t="shared" si="73"/>
        <v>0</v>
      </c>
    </row>
    <row r="958" spans="2:6" x14ac:dyDescent="0.25">
      <c r="B958" s="11">
        <v>36738</v>
      </c>
      <c r="C958" s="12">
        <f t="shared" si="70"/>
        <v>6.1487603305785121E-2</v>
      </c>
      <c r="E958" s="9">
        <f t="shared" si="73"/>
        <v>0</v>
      </c>
      <c r="F958" s="9">
        <f t="shared" si="73"/>
        <v>0</v>
      </c>
    </row>
    <row r="959" spans="2:6" x14ac:dyDescent="0.25">
      <c r="B959" s="11">
        <v>36769</v>
      </c>
      <c r="C959" s="12">
        <f t="shared" si="70"/>
        <v>6.1487603305785121E-2</v>
      </c>
      <c r="E959" s="9">
        <f t="shared" si="73"/>
        <v>0</v>
      </c>
      <c r="F959" s="9">
        <f t="shared" si="73"/>
        <v>0</v>
      </c>
    </row>
    <row r="960" spans="2:6" x14ac:dyDescent="0.25">
      <c r="B960" s="11">
        <v>36799</v>
      </c>
      <c r="C960" s="12">
        <f t="shared" si="70"/>
        <v>5.9504132231404959E-2</v>
      </c>
      <c r="E960" s="9">
        <f t="shared" si="73"/>
        <v>0</v>
      </c>
      <c r="F960" s="9">
        <f t="shared" si="73"/>
        <v>1</v>
      </c>
    </row>
    <row r="961" spans="2:6" x14ac:dyDescent="0.25">
      <c r="B961" s="11">
        <v>36830</v>
      </c>
      <c r="C961" s="12">
        <f t="shared" si="70"/>
        <v>6.1487603305785121E-2</v>
      </c>
      <c r="E961" s="9">
        <f t="shared" si="73"/>
        <v>0</v>
      </c>
      <c r="F961" s="9">
        <f t="shared" si="73"/>
        <v>0</v>
      </c>
    </row>
    <row r="962" spans="2:6" x14ac:dyDescent="0.25">
      <c r="B962" s="11">
        <v>36860</v>
      </c>
      <c r="C962" s="12">
        <f t="shared" si="70"/>
        <v>5.9504132231404959E-2</v>
      </c>
      <c r="E962" s="9">
        <f t="shared" si="73"/>
        <v>0</v>
      </c>
      <c r="F962" s="9">
        <f t="shared" si="73"/>
        <v>0</v>
      </c>
    </row>
    <row r="963" spans="2:6" x14ac:dyDescent="0.25">
      <c r="B963" s="11">
        <v>36891</v>
      </c>
      <c r="C963" s="12">
        <f t="shared" si="70"/>
        <v>6.1487603305785121E-2</v>
      </c>
      <c r="E963" s="9">
        <f t="shared" si="73"/>
        <v>0</v>
      </c>
      <c r="F963" s="9">
        <f t="shared" si="73"/>
        <v>0</v>
      </c>
    </row>
    <row r="964" spans="2:6" x14ac:dyDescent="0.25">
      <c r="B964" s="11">
        <v>36922</v>
      </c>
      <c r="C964" s="12">
        <f t="shared" si="70"/>
        <v>6.1487603305785121E-2</v>
      </c>
      <c r="E964" s="9">
        <f t="shared" si="73"/>
        <v>0</v>
      </c>
      <c r="F964" s="9">
        <f t="shared" si="73"/>
        <v>0</v>
      </c>
    </row>
    <row r="965" spans="2:6" x14ac:dyDescent="0.25">
      <c r="B965" s="11">
        <v>36950</v>
      </c>
      <c r="C965" s="12">
        <f t="shared" si="70"/>
        <v>5.5537190082644627E-2</v>
      </c>
      <c r="E965" s="9">
        <f t="shared" si="73"/>
        <v>0</v>
      </c>
      <c r="F965" s="9">
        <f t="shared" si="73"/>
        <v>0</v>
      </c>
    </row>
    <row r="966" spans="2:6" x14ac:dyDescent="0.25">
      <c r="B966" s="11">
        <v>36981</v>
      </c>
      <c r="C966" s="12">
        <f t="shared" si="70"/>
        <v>6.1487603305785121E-2</v>
      </c>
      <c r="E966" s="9">
        <f t="shared" si="73"/>
        <v>0</v>
      </c>
      <c r="F966" s="9">
        <f t="shared" si="73"/>
        <v>0</v>
      </c>
    </row>
    <row r="967" spans="2:6" x14ac:dyDescent="0.25">
      <c r="B967" s="11">
        <v>37011</v>
      </c>
      <c r="C967" s="12">
        <f t="shared" si="70"/>
        <v>5.9504132231404959E-2</v>
      </c>
      <c r="E967" s="9">
        <f t="shared" si="73"/>
        <v>0</v>
      </c>
      <c r="F967" s="9">
        <f t="shared" si="73"/>
        <v>0</v>
      </c>
    </row>
    <row r="968" spans="2:6" x14ac:dyDescent="0.25">
      <c r="B968" s="11">
        <v>37042</v>
      </c>
      <c r="C968" s="12">
        <f t="shared" si="70"/>
        <v>6.1487603305785121E-2</v>
      </c>
      <c r="E968" s="9">
        <f t="shared" si="73"/>
        <v>1</v>
      </c>
      <c r="F968" s="9">
        <f t="shared" si="73"/>
        <v>0</v>
      </c>
    </row>
    <row r="969" spans="2:6" x14ac:dyDescent="0.25">
      <c r="B969" s="11">
        <v>37072</v>
      </c>
      <c r="C969" s="12">
        <f t="shared" si="70"/>
        <v>5.9504132231404959E-2</v>
      </c>
      <c r="E969" s="9">
        <f t="shared" si="73"/>
        <v>0</v>
      </c>
      <c r="F969" s="9">
        <f t="shared" si="73"/>
        <v>0</v>
      </c>
    </row>
    <row r="970" spans="2:6" x14ac:dyDescent="0.25">
      <c r="B970" s="11">
        <v>37103</v>
      </c>
      <c r="C970" s="12">
        <f t="shared" si="70"/>
        <v>6.1487603305785121E-2</v>
      </c>
      <c r="E970" s="9">
        <f t="shared" ref="E970:F985" si="74">E958</f>
        <v>0</v>
      </c>
      <c r="F970" s="9">
        <f t="shared" si="74"/>
        <v>0</v>
      </c>
    </row>
    <row r="971" spans="2:6" x14ac:dyDescent="0.25">
      <c r="B971" s="11">
        <v>37134</v>
      </c>
      <c r="C971" s="12">
        <f t="shared" si="70"/>
        <v>6.1487603305785121E-2</v>
      </c>
      <c r="E971" s="9">
        <f t="shared" si="74"/>
        <v>0</v>
      </c>
      <c r="F971" s="9">
        <f t="shared" si="74"/>
        <v>0</v>
      </c>
    </row>
    <row r="972" spans="2:6" x14ac:dyDescent="0.25">
      <c r="B972" s="11">
        <v>37164</v>
      </c>
      <c r="C972" s="12">
        <f t="shared" si="70"/>
        <v>5.9504132231404959E-2</v>
      </c>
      <c r="E972" s="9">
        <f t="shared" si="74"/>
        <v>0</v>
      </c>
      <c r="F972" s="9">
        <f t="shared" si="74"/>
        <v>1</v>
      </c>
    </row>
    <row r="973" spans="2:6" x14ac:dyDescent="0.25">
      <c r="B973" s="11">
        <v>37195</v>
      </c>
      <c r="C973" s="12">
        <f t="shared" si="70"/>
        <v>6.1487603305785121E-2</v>
      </c>
      <c r="E973" s="9">
        <f t="shared" si="74"/>
        <v>0</v>
      </c>
      <c r="F973" s="9">
        <f t="shared" si="74"/>
        <v>0</v>
      </c>
    </row>
    <row r="974" spans="2:6" x14ac:dyDescent="0.25">
      <c r="B974" s="11">
        <v>37225</v>
      </c>
      <c r="C974" s="12">
        <f t="shared" ref="C974:C996" si="75">(B974-B973)*86400/43560/1000</f>
        <v>5.9504132231404959E-2</v>
      </c>
      <c r="E974" s="9">
        <f t="shared" si="74"/>
        <v>0</v>
      </c>
      <c r="F974" s="9">
        <f t="shared" si="74"/>
        <v>0</v>
      </c>
    </row>
    <row r="975" spans="2:6" x14ac:dyDescent="0.25">
      <c r="B975" s="11">
        <v>37256</v>
      </c>
      <c r="C975" s="12">
        <f t="shared" si="75"/>
        <v>6.1487603305785121E-2</v>
      </c>
      <c r="E975" s="9">
        <f t="shared" si="74"/>
        <v>0</v>
      </c>
      <c r="F975" s="9">
        <f t="shared" si="74"/>
        <v>0</v>
      </c>
    </row>
    <row r="976" spans="2:6" x14ac:dyDescent="0.25">
      <c r="B976" s="11">
        <v>37287</v>
      </c>
      <c r="C976" s="12">
        <f t="shared" si="75"/>
        <v>6.1487603305785121E-2</v>
      </c>
      <c r="E976" s="9">
        <f t="shared" si="74"/>
        <v>0</v>
      </c>
      <c r="F976" s="9">
        <f t="shared" si="74"/>
        <v>0</v>
      </c>
    </row>
    <row r="977" spans="2:6" x14ac:dyDescent="0.25">
      <c r="B977" s="11">
        <v>37315</v>
      </c>
      <c r="C977" s="12">
        <f t="shared" si="75"/>
        <v>5.5537190082644627E-2</v>
      </c>
      <c r="E977" s="9">
        <f t="shared" si="74"/>
        <v>0</v>
      </c>
      <c r="F977" s="9">
        <f t="shared" si="74"/>
        <v>0</v>
      </c>
    </row>
    <row r="978" spans="2:6" x14ac:dyDescent="0.25">
      <c r="B978" s="11">
        <v>37346</v>
      </c>
      <c r="C978" s="12">
        <f t="shared" si="75"/>
        <v>6.1487603305785121E-2</v>
      </c>
      <c r="E978" s="9">
        <f t="shared" si="74"/>
        <v>0</v>
      </c>
      <c r="F978" s="9">
        <f t="shared" si="74"/>
        <v>0</v>
      </c>
    </row>
    <row r="979" spans="2:6" x14ac:dyDescent="0.25">
      <c r="B979" s="11">
        <v>37376</v>
      </c>
      <c r="C979" s="12">
        <f t="shared" si="75"/>
        <v>5.9504132231404959E-2</v>
      </c>
      <c r="E979" s="9">
        <f t="shared" si="74"/>
        <v>0</v>
      </c>
      <c r="F979" s="9">
        <f t="shared" si="74"/>
        <v>0</v>
      </c>
    </row>
    <row r="980" spans="2:6" x14ac:dyDescent="0.25">
      <c r="B980" s="11">
        <v>37407</v>
      </c>
      <c r="C980" s="12">
        <f t="shared" si="75"/>
        <v>6.1487603305785121E-2</v>
      </c>
      <c r="E980" s="9">
        <f t="shared" si="74"/>
        <v>1</v>
      </c>
      <c r="F980" s="9">
        <f t="shared" si="74"/>
        <v>0</v>
      </c>
    </row>
    <row r="981" spans="2:6" x14ac:dyDescent="0.25">
      <c r="B981" s="11">
        <v>37437</v>
      </c>
      <c r="C981" s="12">
        <f t="shared" si="75"/>
        <v>5.9504132231404959E-2</v>
      </c>
      <c r="E981" s="9">
        <f t="shared" si="74"/>
        <v>0</v>
      </c>
      <c r="F981" s="9">
        <f t="shared" si="74"/>
        <v>0</v>
      </c>
    </row>
    <row r="982" spans="2:6" x14ac:dyDescent="0.25">
      <c r="B982" s="11">
        <v>37468</v>
      </c>
      <c r="C982" s="12">
        <f t="shared" si="75"/>
        <v>6.1487603305785121E-2</v>
      </c>
      <c r="E982" s="9">
        <f t="shared" si="74"/>
        <v>0</v>
      </c>
      <c r="F982" s="9">
        <f t="shared" si="74"/>
        <v>0</v>
      </c>
    </row>
    <row r="983" spans="2:6" x14ac:dyDescent="0.25">
      <c r="B983" s="11">
        <v>37499</v>
      </c>
      <c r="C983" s="12">
        <f t="shared" si="75"/>
        <v>6.1487603305785121E-2</v>
      </c>
      <c r="E983" s="9">
        <f t="shared" si="74"/>
        <v>0</v>
      </c>
      <c r="F983" s="9">
        <f t="shared" si="74"/>
        <v>0</v>
      </c>
    </row>
    <row r="984" spans="2:6" x14ac:dyDescent="0.25">
      <c r="B984" s="11">
        <v>37529</v>
      </c>
      <c r="C984" s="12">
        <f t="shared" si="75"/>
        <v>5.9504132231404959E-2</v>
      </c>
      <c r="E984" s="9">
        <f t="shared" si="74"/>
        <v>0</v>
      </c>
      <c r="F984" s="9">
        <f t="shared" si="74"/>
        <v>1</v>
      </c>
    </row>
    <row r="985" spans="2:6" x14ac:dyDescent="0.25">
      <c r="B985" s="11">
        <v>37560</v>
      </c>
      <c r="C985" s="12">
        <f t="shared" si="75"/>
        <v>6.1487603305785121E-2</v>
      </c>
      <c r="E985" s="9">
        <f t="shared" si="74"/>
        <v>0</v>
      </c>
      <c r="F985" s="9">
        <f t="shared" si="74"/>
        <v>0</v>
      </c>
    </row>
    <row r="986" spans="2:6" x14ac:dyDescent="0.25">
      <c r="B986" s="11">
        <v>37590</v>
      </c>
      <c r="C986" s="12">
        <f t="shared" si="75"/>
        <v>5.9504132231404959E-2</v>
      </c>
      <c r="E986" s="9">
        <f t="shared" ref="E986:F996" si="76">E974</f>
        <v>0</v>
      </c>
      <c r="F986" s="9">
        <f t="shared" si="76"/>
        <v>0</v>
      </c>
    </row>
    <row r="987" spans="2:6" x14ac:dyDescent="0.25">
      <c r="B987" s="11">
        <v>37621</v>
      </c>
      <c r="C987" s="12">
        <f t="shared" si="75"/>
        <v>6.1487603305785121E-2</v>
      </c>
      <c r="E987" s="9">
        <f t="shared" si="76"/>
        <v>0</v>
      </c>
      <c r="F987" s="9">
        <f t="shared" si="76"/>
        <v>0</v>
      </c>
    </row>
    <row r="988" spans="2:6" x14ac:dyDescent="0.25">
      <c r="B988" s="11">
        <v>37652</v>
      </c>
      <c r="C988" s="12">
        <f t="shared" si="75"/>
        <v>6.1487603305785121E-2</v>
      </c>
      <c r="E988" s="9">
        <f t="shared" si="76"/>
        <v>0</v>
      </c>
      <c r="F988" s="9">
        <f t="shared" si="76"/>
        <v>0</v>
      </c>
    </row>
    <row r="989" spans="2:6" x14ac:dyDescent="0.25">
      <c r="B989" s="11">
        <v>37680</v>
      </c>
      <c r="C989" s="12">
        <f t="shared" si="75"/>
        <v>5.5537190082644627E-2</v>
      </c>
      <c r="E989" s="9">
        <f t="shared" si="76"/>
        <v>0</v>
      </c>
      <c r="F989" s="9">
        <f t="shared" si="76"/>
        <v>0</v>
      </c>
    </row>
    <row r="990" spans="2:6" x14ac:dyDescent="0.25">
      <c r="B990" s="11">
        <v>37711</v>
      </c>
      <c r="C990" s="12">
        <f t="shared" si="75"/>
        <v>6.1487603305785121E-2</v>
      </c>
      <c r="E990" s="9">
        <f t="shared" si="76"/>
        <v>0</v>
      </c>
      <c r="F990" s="9">
        <f t="shared" si="76"/>
        <v>0</v>
      </c>
    </row>
    <row r="991" spans="2:6" x14ac:dyDescent="0.25">
      <c r="B991" s="11">
        <v>37741</v>
      </c>
      <c r="C991" s="12">
        <f t="shared" si="75"/>
        <v>5.9504132231404959E-2</v>
      </c>
      <c r="E991" s="9">
        <f t="shared" si="76"/>
        <v>0</v>
      </c>
      <c r="F991" s="9">
        <f t="shared" si="76"/>
        <v>0</v>
      </c>
    </row>
    <row r="992" spans="2:6" x14ac:dyDescent="0.25">
      <c r="B992" s="11">
        <v>37772</v>
      </c>
      <c r="C992" s="12">
        <f t="shared" si="75"/>
        <v>6.1487603305785121E-2</v>
      </c>
      <c r="E992" s="9">
        <f t="shared" si="76"/>
        <v>1</v>
      </c>
      <c r="F992" s="9">
        <f t="shared" si="76"/>
        <v>0</v>
      </c>
    </row>
    <row r="993" spans="2:6" x14ac:dyDescent="0.25">
      <c r="B993" s="11">
        <v>37802</v>
      </c>
      <c r="C993" s="12">
        <f t="shared" si="75"/>
        <v>5.9504132231404959E-2</v>
      </c>
      <c r="E993" s="9">
        <f t="shared" si="76"/>
        <v>0</v>
      </c>
      <c r="F993" s="9">
        <f t="shared" si="76"/>
        <v>0</v>
      </c>
    </row>
    <row r="994" spans="2:6" x14ac:dyDescent="0.25">
      <c r="B994" s="11">
        <v>37833</v>
      </c>
      <c r="C994" s="12">
        <f t="shared" si="75"/>
        <v>6.1487603305785121E-2</v>
      </c>
      <c r="E994" s="9">
        <f t="shared" si="76"/>
        <v>0</v>
      </c>
      <c r="F994" s="9">
        <f t="shared" si="76"/>
        <v>0</v>
      </c>
    </row>
    <row r="995" spans="2:6" x14ac:dyDescent="0.25">
      <c r="B995" s="11">
        <v>37864</v>
      </c>
      <c r="C995" s="12">
        <f t="shared" si="75"/>
        <v>6.1487603305785121E-2</v>
      </c>
      <c r="E995" s="9">
        <f t="shared" si="76"/>
        <v>0</v>
      </c>
      <c r="F995" s="9">
        <f t="shared" si="76"/>
        <v>0</v>
      </c>
    </row>
    <row r="996" spans="2:6" x14ac:dyDescent="0.25">
      <c r="B996" s="11">
        <v>37894</v>
      </c>
      <c r="C996" s="12">
        <f t="shared" si="75"/>
        <v>5.9504132231404959E-2</v>
      </c>
      <c r="E996" s="9">
        <f t="shared" si="76"/>
        <v>0</v>
      </c>
      <c r="F996" s="9">
        <f t="shared" si="76"/>
        <v>1</v>
      </c>
    </row>
  </sheetData>
  <conditionalFormatting sqref="B13:B996">
    <cfRule type="cellIs" dxfId="1" priority="1" stopIfTrue="1" operator="equal">
      <formula>-901</formula>
    </cfRule>
    <cfRule type="cellIs" dxfId="0" priority="2" stopIfTrue="1" operator="equal">
      <formula>-902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4CC9F-8962-4C63-83B1-3A49AEA71368}">
  <sheetPr>
    <tabColor rgb="FFFF0000"/>
  </sheetPr>
  <dimension ref="A1:CW936"/>
  <sheetViews>
    <sheetView tabSelected="1" workbookViewId="0">
      <selection activeCell="K15" sqref="A1:XFD1048576"/>
    </sheetView>
  </sheetViews>
  <sheetFormatPr defaultColWidth="10.88671875" defaultRowHeight="10.8" x14ac:dyDescent="0.25"/>
  <cols>
    <col min="1" max="16384" width="10.88671875" style="2"/>
  </cols>
  <sheetData>
    <row r="1" spans="1:101" x14ac:dyDescent="0.25">
      <c r="A1" s="2" t="s">
        <v>172</v>
      </c>
    </row>
    <row r="4" spans="1:101" s="15" customForma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</row>
    <row r="7" spans="1:101" x14ac:dyDescent="0.25">
      <c r="A7" s="3"/>
      <c r="B7" s="3"/>
      <c r="C7" s="3"/>
      <c r="D7" s="3"/>
      <c r="E7" s="3"/>
      <c r="F7" s="3"/>
      <c r="G7" s="3"/>
      <c r="H7" s="4">
        <f>SUM(I7:M7)</f>
        <v>82</v>
      </c>
      <c r="I7" s="4">
        <f>SUM(I14:I95)</f>
        <v>26</v>
      </c>
      <c r="J7" s="4">
        <f>SUM(J14:J95)</f>
        <v>13</v>
      </c>
      <c r="K7" s="4">
        <f>SUM(K14:K95)</f>
        <v>11</v>
      </c>
      <c r="L7" s="4">
        <f>SUM(L14:L95)</f>
        <v>20</v>
      </c>
      <c r="M7" s="4">
        <f>SUM(M14:M95)</f>
        <v>12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25">
      <c r="I8" s="16">
        <f>I7/$H$7</f>
        <v>0.31707317073170732</v>
      </c>
      <c r="J8" s="16">
        <f t="shared" ref="J8:M8" si="0">J7/$H$7</f>
        <v>0.15853658536585366</v>
      </c>
      <c r="K8" s="16">
        <f t="shared" si="0"/>
        <v>0.13414634146341464</v>
      </c>
      <c r="L8" s="16">
        <f t="shared" si="0"/>
        <v>0.24390243902439024</v>
      </c>
      <c r="M8" s="16">
        <f t="shared" si="0"/>
        <v>0.14634146341463414</v>
      </c>
    </row>
    <row r="9" spans="1:10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x14ac:dyDescent="0.25">
      <c r="F10" s="2" t="s">
        <v>24</v>
      </c>
      <c r="H10" s="2" t="s">
        <v>25</v>
      </c>
    </row>
    <row r="11" spans="1:101" x14ac:dyDescent="0.25">
      <c r="A11" s="2" t="s">
        <v>26</v>
      </c>
      <c r="B11" s="2" t="s">
        <v>27</v>
      </c>
      <c r="C11" s="2" t="s">
        <v>28</v>
      </c>
      <c r="D11" s="2" t="s">
        <v>29</v>
      </c>
      <c r="F11" s="2" t="s">
        <v>26</v>
      </c>
      <c r="H11" s="2" t="s">
        <v>26</v>
      </c>
      <c r="I11" s="2" t="s">
        <v>30</v>
      </c>
      <c r="J11" s="2" t="s">
        <v>31</v>
      </c>
      <c r="K11" s="2" t="s">
        <v>32</v>
      </c>
      <c r="L11" s="2" t="s">
        <v>33</v>
      </c>
      <c r="M11" s="2" t="s">
        <v>10</v>
      </c>
    </row>
    <row r="12" spans="1:101" ht="14.4" x14ac:dyDescent="0.3">
      <c r="A12" s="2">
        <v>1920</v>
      </c>
      <c r="B12">
        <v>2</v>
      </c>
      <c r="C12">
        <v>2</v>
      </c>
      <c r="D12">
        <v>1</v>
      </c>
      <c r="F12" s="2">
        <v>1920</v>
      </c>
      <c r="G12" s="2">
        <v>0</v>
      </c>
      <c r="H12" s="2">
        <v>1920</v>
      </c>
      <c r="I12" s="2">
        <f t="shared" ref="I12:I75" si="1">IF($B12=1,1,0)</f>
        <v>0</v>
      </c>
      <c r="J12" s="2">
        <f>IF($B12=2,1,0)</f>
        <v>1</v>
      </c>
      <c r="K12" s="2">
        <f>IF($B12=3,1,0)</f>
        <v>0</v>
      </c>
      <c r="L12" s="2">
        <f>IF($B12=4,1,0)</f>
        <v>0</v>
      </c>
      <c r="M12" s="2">
        <f>IF($B12=5,1,0)</f>
        <v>0</v>
      </c>
    </row>
    <row r="13" spans="1:101" ht="14.4" x14ac:dyDescent="0.3">
      <c r="A13" s="2">
        <v>1921</v>
      </c>
      <c r="B13">
        <v>2</v>
      </c>
      <c r="C13">
        <v>2</v>
      </c>
      <c r="D13">
        <v>1</v>
      </c>
      <c r="F13" s="2">
        <v>1921</v>
      </c>
      <c r="G13" s="2">
        <v>0</v>
      </c>
      <c r="H13" s="2">
        <v>1921</v>
      </c>
      <c r="I13" s="2">
        <f t="shared" si="1"/>
        <v>0</v>
      </c>
      <c r="J13" s="2">
        <f t="shared" ref="J13:J76" si="2">IF($B13=2,1,0)</f>
        <v>1</v>
      </c>
      <c r="K13" s="2">
        <f t="shared" ref="K13:K76" si="3">IF($B13=3,1,0)</f>
        <v>0</v>
      </c>
      <c r="L13" s="2">
        <f t="shared" ref="L13:L76" si="4">IF($B13=4,1,0)</f>
        <v>0</v>
      </c>
      <c r="M13" s="2">
        <f t="shared" ref="M13:M76" si="5">IF($B13=5,1,0)</f>
        <v>0</v>
      </c>
    </row>
    <row r="14" spans="1:101" ht="14.4" x14ac:dyDescent="0.3">
      <c r="A14" s="2">
        <v>1922</v>
      </c>
      <c r="B14">
        <v>1</v>
      </c>
      <c r="C14">
        <v>1</v>
      </c>
      <c r="D14">
        <v>1</v>
      </c>
      <c r="F14" s="2">
        <v>1922</v>
      </c>
      <c r="G14" s="2">
        <v>0</v>
      </c>
      <c r="H14" s="2">
        <v>1922</v>
      </c>
      <c r="I14" s="2">
        <f t="shared" si="1"/>
        <v>1</v>
      </c>
      <c r="J14" s="2">
        <f t="shared" si="2"/>
        <v>0</v>
      </c>
      <c r="K14" s="2">
        <f t="shared" si="3"/>
        <v>0</v>
      </c>
      <c r="L14" s="2">
        <f t="shared" si="4"/>
        <v>0</v>
      </c>
      <c r="M14" s="2">
        <f t="shared" si="5"/>
        <v>0</v>
      </c>
    </row>
    <row r="15" spans="1:101" ht="14.4" x14ac:dyDescent="0.3">
      <c r="A15" s="2">
        <v>1923</v>
      </c>
      <c r="B15">
        <v>3</v>
      </c>
      <c r="C15">
        <v>2</v>
      </c>
      <c r="D15">
        <v>3</v>
      </c>
      <c r="F15" s="2">
        <v>1923</v>
      </c>
      <c r="G15" s="2">
        <v>0</v>
      </c>
      <c r="H15" s="2">
        <v>1923</v>
      </c>
      <c r="I15" s="2">
        <f t="shared" si="1"/>
        <v>0</v>
      </c>
      <c r="J15" s="2">
        <f t="shared" si="2"/>
        <v>0</v>
      </c>
      <c r="K15" s="2">
        <f t="shared" si="3"/>
        <v>1</v>
      </c>
      <c r="L15" s="2">
        <f t="shared" si="4"/>
        <v>0</v>
      </c>
      <c r="M15" s="2">
        <f t="shared" si="5"/>
        <v>0</v>
      </c>
    </row>
    <row r="16" spans="1:101" ht="14.4" x14ac:dyDescent="0.3">
      <c r="A16" s="2">
        <v>1924</v>
      </c>
      <c r="B16">
        <v>5</v>
      </c>
      <c r="C16">
        <v>5</v>
      </c>
      <c r="D16">
        <v>4</v>
      </c>
      <c r="F16" s="2">
        <v>1924</v>
      </c>
      <c r="G16" s="2">
        <v>0</v>
      </c>
      <c r="H16" s="2">
        <v>1924</v>
      </c>
      <c r="I16" s="2">
        <f t="shared" si="1"/>
        <v>0</v>
      </c>
      <c r="J16" s="2">
        <f t="shared" si="2"/>
        <v>0</v>
      </c>
      <c r="K16" s="2">
        <f t="shared" si="3"/>
        <v>0</v>
      </c>
      <c r="L16" s="2">
        <f t="shared" si="4"/>
        <v>0</v>
      </c>
      <c r="M16" s="2">
        <f t="shared" si="5"/>
        <v>1</v>
      </c>
    </row>
    <row r="17" spans="1:13" ht="14.4" x14ac:dyDescent="0.3">
      <c r="A17" s="2">
        <v>1925</v>
      </c>
      <c r="B17">
        <v>4</v>
      </c>
      <c r="C17">
        <v>3</v>
      </c>
      <c r="D17">
        <v>1</v>
      </c>
      <c r="F17" s="2">
        <v>1925</v>
      </c>
      <c r="G17" s="2">
        <v>0</v>
      </c>
      <c r="H17" s="2">
        <v>1925</v>
      </c>
      <c r="I17" s="2">
        <f t="shared" si="1"/>
        <v>0</v>
      </c>
      <c r="J17" s="2">
        <f t="shared" si="2"/>
        <v>0</v>
      </c>
      <c r="K17" s="2">
        <f t="shared" si="3"/>
        <v>0</v>
      </c>
      <c r="L17" s="2">
        <f t="shared" si="4"/>
        <v>1</v>
      </c>
      <c r="M17" s="2">
        <f t="shared" si="5"/>
        <v>0</v>
      </c>
    </row>
    <row r="18" spans="1:13" ht="14.4" x14ac:dyDescent="0.3">
      <c r="A18" s="2">
        <v>1926</v>
      </c>
      <c r="B18">
        <v>4</v>
      </c>
      <c r="C18">
        <v>5</v>
      </c>
      <c r="D18">
        <v>3</v>
      </c>
      <c r="F18" s="2">
        <v>1926</v>
      </c>
      <c r="G18" s="2">
        <v>0</v>
      </c>
      <c r="H18" s="2">
        <v>1926</v>
      </c>
      <c r="I18" s="2">
        <f t="shared" si="1"/>
        <v>0</v>
      </c>
      <c r="J18" s="2">
        <f t="shared" si="2"/>
        <v>0</v>
      </c>
      <c r="K18" s="2">
        <f t="shared" si="3"/>
        <v>0</v>
      </c>
      <c r="L18" s="2">
        <f t="shared" si="4"/>
        <v>1</v>
      </c>
      <c r="M18" s="2">
        <f t="shared" si="5"/>
        <v>0</v>
      </c>
    </row>
    <row r="19" spans="1:13" ht="14.4" x14ac:dyDescent="0.3">
      <c r="A19" s="2">
        <v>1927</v>
      </c>
      <c r="B19">
        <v>2</v>
      </c>
      <c r="C19">
        <v>2</v>
      </c>
      <c r="D19">
        <v>1</v>
      </c>
      <c r="F19" s="2">
        <v>1927</v>
      </c>
      <c r="G19" s="2">
        <v>0</v>
      </c>
      <c r="H19" s="2">
        <v>1927</v>
      </c>
      <c r="I19" s="2">
        <f t="shared" si="1"/>
        <v>0</v>
      </c>
      <c r="J19" s="2">
        <f t="shared" si="2"/>
        <v>1</v>
      </c>
      <c r="K19" s="2">
        <f t="shared" si="3"/>
        <v>0</v>
      </c>
      <c r="L19" s="2">
        <f t="shared" si="4"/>
        <v>0</v>
      </c>
      <c r="M19" s="2">
        <f t="shared" si="5"/>
        <v>0</v>
      </c>
    </row>
    <row r="20" spans="1:13" ht="14.4" x14ac:dyDescent="0.3">
      <c r="A20" s="2">
        <v>1928</v>
      </c>
      <c r="B20">
        <v>2</v>
      </c>
      <c r="C20">
        <v>4</v>
      </c>
      <c r="D20">
        <v>1</v>
      </c>
      <c r="F20" s="2">
        <v>1928</v>
      </c>
      <c r="G20" s="2">
        <v>0</v>
      </c>
      <c r="H20" s="2">
        <v>1928</v>
      </c>
      <c r="I20" s="2">
        <f t="shared" si="1"/>
        <v>0</v>
      </c>
      <c r="J20" s="2">
        <f t="shared" si="2"/>
        <v>1</v>
      </c>
      <c r="K20" s="2">
        <f t="shared" si="3"/>
        <v>0</v>
      </c>
      <c r="L20" s="2">
        <f t="shared" si="4"/>
        <v>0</v>
      </c>
      <c r="M20" s="2">
        <f t="shared" si="5"/>
        <v>0</v>
      </c>
    </row>
    <row r="21" spans="1:13" ht="14.4" x14ac:dyDescent="0.3">
      <c r="A21" s="2">
        <v>1929</v>
      </c>
      <c r="B21">
        <v>5</v>
      </c>
      <c r="C21">
        <v>5</v>
      </c>
      <c r="D21">
        <v>4</v>
      </c>
      <c r="F21" s="2">
        <v>1929</v>
      </c>
      <c r="G21" s="2">
        <v>1</v>
      </c>
      <c r="H21" s="2">
        <v>1929</v>
      </c>
      <c r="I21" s="2">
        <f t="shared" si="1"/>
        <v>0</v>
      </c>
      <c r="J21" s="2">
        <f t="shared" si="2"/>
        <v>0</v>
      </c>
      <c r="K21" s="2">
        <f t="shared" si="3"/>
        <v>0</v>
      </c>
      <c r="L21" s="2">
        <f t="shared" si="4"/>
        <v>0</v>
      </c>
      <c r="M21" s="2">
        <f t="shared" si="5"/>
        <v>1</v>
      </c>
    </row>
    <row r="22" spans="1:13" ht="14.4" x14ac:dyDescent="0.3">
      <c r="A22" s="2">
        <v>1930</v>
      </c>
      <c r="B22">
        <v>4</v>
      </c>
      <c r="C22">
        <v>5</v>
      </c>
      <c r="D22">
        <v>3</v>
      </c>
      <c r="F22" s="2">
        <v>1930</v>
      </c>
      <c r="G22" s="2">
        <v>1</v>
      </c>
      <c r="H22" s="2">
        <v>1930</v>
      </c>
      <c r="I22" s="2">
        <f t="shared" si="1"/>
        <v>0</v>
      </c>
      <c r="J22" s="2">
        <f t="shared" si="2"/>
        <v>0</v>
      </c>
      <c r="K22" s="2">
        <f t="shared" si="3"/>
        <v>0</v>
      </c>
      <c r="L22" s="2">
        <f t="shared" si="4"/>
        <v>1</v>
      </c>
      <c r="M22" s="2">
        <f t="shared" si="5"/>
        <v>0</v>
      </c>
    </row>
    <row r="23" spans="1:13" ht="14.4" x14ac:dyDescent="0.3">
      <c r="A23" s="2">
        <v>1931</v>
      </c>
      <c r="B23">
        <v>5</v>
      </c>
      <c r="C23">
        <v>5</v>
      </c>
      <c r="D23">
        <v>4</v>
      </c>
      <c r="F23" s="2">
        <v>1931</v>
      </c>
      <c r="G23" s="2">
        <v>1</v>
      </c>
      <c r="H23" s="2">
        <v>1931</v>
      </c>
      <c r="I23" s="2">
        <f t="shared" si="1"/>
        <v>0</v>
      </c>
      <c r="J23" s="2">
        <f t="shared" si="2"/>
        <v>0</v>
      </c>
      <c r="K23" s="2">
        <f t="shared" si="3"/>
        <v>0</v>
      </c>
      <c r="L23" s="2">
        <f t="shared" si="4"/>
        <v>0</v>
      </c>
      <c r="M23" s="2">
        <f t="shared" si="5"/>
        <v>1</v>
      </c>
    </row>
    <row r="24" spans="1:13" ht="14.4" x14ac:dyDescent="0.3">
      <c r="A24" s="2">
        <v>1932</v>
      </c>
      <c r="B24">
        <v>5</v>
      </c>
      <c r="C24">
        <v>2</v>
      </c>
      <c r="D24">
        <v>3</v>
      </c>
      <c r="F24" s="2">
        <v>1932</v>
      </c>
      <c r="G24" s="2">
        <v>1</v>
      </c>
      <c r="H24" s="2">
        <v>1932</v>
      </c>
      <c r="I24" s="2">
        <f t="shared" si="1"/>
        <v>0</v>
      </c>
      <c r="J24" s="2">
        <f t="shared" si="2"/>
        <v>0</v>
      </c>
      <c r="K24" s="2">
        <f t="shared" si="3"/>
        <v>0</v>
      </c>
      <c r="L24" s="2">
        <f t="shared" si="4"/>
        <v>0</v>
      </c>
      <c r="M24" s="2">
        <f t="shared" si="5"/>
        <v>1</v>
      </c>
    </row>
    <row r="25" spans="1:13" ht="14.4" x14ac:dyDescent="0.3">
      <c r="A25" s="2">
        <v>1933</v>
      </c>
      <c r="B25">
        <v>5</v>
      </c>
      <c r="C25">
        <v>5</v>
      </c>
      <c r="D25">
        <v>4</v>
      </c>
      <c r="F25" s="2">
        <v>1933</v>
      </c>
      <c r="G25" s="2">
        <v>1</v>
      </c>
      <c r="H25" s="2">
        <v>1933</v>
      </c>
      <c r="I25" s="2">
        <f t="shared" si="1"/>
        <v>0</v>
      </c>
      <c r="J25" s="2">
        <f t="shared" si="2"/>
        <v>0</v>
      </c>
      <c r="K25" s="2">
        <f t="shared" si="3"/>
        <v>0</v>
      </c>
      <c r="L25" s="2">
        <f t="shared" si="4"/>
        <v>0</v>
      </c>
      <c r="M25" s="2">
        <f t="shared" si="5"/>
        <v>1</v>
      </c>
    </row>
    <row r="26" spans="1:13" ht="14.4" x14ac:dyDescent="0.3">
      <c r="A26" s="2">
        <v>1934</v>
      </c>
      <c r="B26">
        <v>5</v>
      </c>
      <c r="C26">
        <v>5</v>
      </c>
      <c r="D26">
        <v>4</v>
      </c>
      <c r="F26" s="2">
        <v>1934</v>
      </c>
      <c r="G26" s="2">
        <v>1</v>
      </c>
      <c r="H26" s="2">
        <v>1934</v>
      </c>
      <c r="I26" s="2">
        <f t="shared" si="1"/>
        <v>0</v>
      </c>
      <c r="J26" s="2">
        <f t="shared" si="2"/>
        <v>0</v>
      </c>
      <c r="K26" s="2">
        <f t="shared" si="3"/>
        <v>0</v>
      </c>
      <c r="L26" s="2">
        <f t="shared" si="4"/>
        <v>0</v>
      </c>
      <c r="M26" s="2">
        <f t="shared" si="5"/>
        <v>1</v>
      </c>
    </row>
    <row r="27" spans="1:13" ht="14.4" x14ac:dyDescent="0.3">
      <c r="A27" s="2">
        <v>1935</v>
      </c>
      <c r="B27">
        <v>4</v>
      </c>
      <c r="C27">
        <v>2</v>
      </c>
      <c r="D27">
        <v>1</v>
      </c>
      <c r="F27" s="2">
        <v>1935</v>
      </c>
      <c r="G27" s="2">
        <v>0</v>
      </c>
      <c r="H27" s="2">
        <v>1935</v>
      </c>
      <c r="I27" s="2">
        <f t="shared" si="1"/>
        <v>0</v>
      </c>
      <c r="J27" s="2">
        <f t="shared" si="2"/>
        <v>0</v>
      </c>
      <c r="K27" s="2">
        <f t="shared" si="3"/>
        <v>0</v>
      </c>
      <c r="L27" s="2">
        <f t="shared" si="4"/>
        <v>1</v>
      </c>
      <c r="M27" s="2">
        <f t="shared" si="5"/>
        <v>0</v>
      </c>
    </row>
    <row r="28" spans="1:13" ht="14.4" x14ac:dyDescent="0.3">
      <c r="A28" s="2">
        <v>1936</v>
      </c>
      <c r="B28">
        <v>3</v>
      </c>
      <c r="C28">
        <v>2</v>
      </c>
      <c r="D28">
        <v>1</v>
      </c>
      <c r="F28" s="2">
        <v>1936</v>
      </c>
      <c r="G28" s="2">
        <v>0</v>
      </c>
      <c r="H28" s="2">
        <v>1936</v>
      </c>
      <c r="I28" s="2">
        <f t="shared" si="1"/>
        <v>0</v>
      </c>
      <c r="J28" s="2">
        <f t="shared" si="2"/>
        <v>0</v>
      </c>
      <c r="K28" s="2">
        <f t="shared" si="3"/>
        <v>1</v>
      </c>
      <c r="L28" s="2">
        <f t="shared" si="4"/>
        <v>0</v>
      </c>
      <c r="M28" s="2">
        <f t="shared" si="5"/>
        <v>0</v>
      </c>
    </row>
    <row r="29" spans="1:13" ht="14.4" x14ac:dyDescent="0.3">
      <c r="A29" s="2">
        <v>1937</v>
      </c>
      <c r="B29">
        <v>4</v>
      </c>
      <c r="C29">
        <v>2</v>
      </c>
      <c r="D29">
        <v>2</v>
      </c>
      <c r="F29" s="2">
        <v>1937</v>
      </c>
      <c r="G29" s="2">
        <v>0</v>
      </c>
      <c r="H29" s="2">
        <v>1937</v>
      </c>
      <c r="I29" s="2">
        <f t="shared" si="1"/>
        <v>0</v>
      </c>
      <c r="J29" s="2">
        <f t="shared" si="2"/>
        <v>0</v>
      </c>
      <c r="K29" s="2">
        <f t="shared" si="3"/>
        <v>0</v>
      </c>
      <c r="L29" s="2">
        <f t="shared" si="4"/>
        <v>1</v>
      </c>
      <c r="M29" s="2">
        <f t="shared" si="5"/>
        <v>0</v>
      </c>
    </row>
    <row r="30" spans="1:13" ht="14.4" x14ac:dyDescent="0.3">
      <c r="A30" s="2">
        <v>1938</v>
      </c>
      <c r="B30">
        <v>1</v>
      </c>
      <c r="C30">
        <v>1</v>
      </c>
      <c r="D30">
        <v>1</v>
      </c>
      <c r="F30" s="2">
        <v>1938</v>
      </c>
      <c r="G30" s="2">
        <v>0</v>
      </c>
      <c r="H30" s="2">
        <v>1938</v>
      </c>
      <c r="I30" s="2">
        <f t="shared" si="1"/>
        <v>1</v>
      </c>
      <c r="J30" s="2">
        <f t="shared" si="2"/>
        <v>0</v>
      </c>
      <c r="K30" s="2">
        <f t="shared" si="3"/>
        <v>0</v>
      </c>
      <c r="L30" s="2">
        <f t="shared" si="4"/>
        <v>0</v>
      </c>
      <c r="M30" s="2">
        <f t="shared" si="5"/>
        <v>0</v>
      </c>
    </row>
    <row r="31" spans="1:13" ht="14.4" x14ac:dyDescent="0.3">
      <c r="A31" s="2">
        <v>1939</v>
      </c>
      <c r="B31">
        <v>3</v>
      </c>
      <c r="C31">
        <v>4</v>
      </c>
      <c r="D31">
        <v>4</v>
      </c>
      <c r="F31" s="2">
        <v>1939</v>
      </c>
      <c r="G31" s="2">
        <v>0</v>
      </c>
      <c r="H31" s="2">
        <v>1939</v>
      </c>
      <c r="I31" s="2">
        <f t="shared" si="1"/>
        <v>0</v>
      </c>
      <c r="J31" s="2">
        <f t="shared" si="2"/>
        <v>0</v>
      </c>
      <c r="K31" s="2">
        <f t="shared" si="3"/>
        <v>1</v>
      </c>
      <c r="L31" s="2">
        <f t="shared" si="4"/>
        <v>0</v>
      </c>
      <c r="M31" s="2">
        <f t="shared" si="5"/>
        <v>0</v>
      </c>
    </row>
    <row r="32" spans="1:13" ht="14.4" x14ac:dyDescent="0.3">
      <c r="A32" s="2">
        <v>1940</v>
      </c>
      <c r="B32">
        <v>2</v>
      </c>
      <c r="C32">
        <v>2</v>
      </c>
      <c r="D32">
        <v>1</v>
      </c>
      <c r="F32" s="2">
        <v>1940</v>
      </c>
      <c r="G32" s="2">
        <v>0</v>
      </c>
      <c r="H32" s="2">
        <v>1940</v>
      </c>
      <c r="I32" s="2">
        <f t="shared" si="1"/>
        <v>0</v>
      </c>
      <c r="J32" s="2">
        <f t="shared" si="2"/>
        <v>1</v>
      </c>
      <c r="K32" s="2">
        <f t="shared" si="3"/>
        <v>0</v>
      </c>
      <c r="L32" s="2">
        <f t="shared" si="4"/>
        <v>0</v>
      </c>
      <c r="M32" s="2">
        <f t="shared" si="5"/>
        <v>0</v>
      </c>
    </row>
    <row r="33" spans="1:13" ht="14.4" x14ac:dyDescent="0.3">
      <c r="A33" s="2">
        <v>1941</v>
      </c>
      <c r="B33">
        <v>1</v>
      </c>
      <c r="C33">
        <v>1</v>
      </c>
      <c r="D33">
        <v>1</v>
      </c>
      <c r="F33" s="2">
        <v>1941</v>
      </c>
      <c r="G33" s="2">
        <v>0</v>
      </c>
      <c r="H33" s="2">
        <v>1941</v>
      </c>
      <c r="I33" s="2">
        <f t="shared" si="1"/>
        <v>1</v>
      </c>
      <c r="J33" s="2">
        <f t="shared" si="2"/>
        <v>0</v>
      </c>
      <c r="K33" s="2">
        <f t="shared" si="3"/>
        <v>0</v>
      </c>
      <c r="L33" s="2">
        <f t="shared" si="4"/>
        <v>0</v>
      </c>
      <c r="M33" s="2">
        <f t="shared" si="5"/>
        <v>0</v>
      </c>
    </row>
    <row r="34" spans="1:13" ht="14.4" x14ac:dyDescent="0.3">
      <c r="A34" s="2">
        <v>1942</v>
      </c>
      <c r="B34">
        <v>1</v>
      </c>
      <c r="C34">
        <v>1</v>
      </c>
      <c r="D34">
        <v>1</v>
      </c>
      <c r="F34" s="2">
        <v>1942</v>
      </c>
      <c r="G34" s="2">
        <v>0</v>
      </c>
      <c r="H34" s="2">
        <v>1942</v>
      </c>
      <c r="I34" s="2">
        <f t="shared" si="1"/>
        <v>1</v>
      </c>
      <c r="J34" s="2">
        <f t="shared" si="2"/>
        <v>0</v>
      </c>
      <c r="K34" s="2">
        <f t="shared" si="3"/>
        <v>0</v>
      </c>
      <c r="L34" s="2">
        <f t="shared" si="4"/>
        <v>0</v>
      </c>
      <c r="M34" s="2">
        <f t="shared" si="5"/>
        <v>0</v>
      </c>
    </row>
    <row r="35" spans="1:13" ht="14.4" x14ac:dyDescent="0.3">
      <c r="A35" s="2">
        <v>1943</v>
      </c>
      <c r="B35">
        <v>1</v>
      </c>
      <c r="C35">
        <v>2</v>
      </c>
      <c r="D35">
        <v>1</v>
      </c>
      <c r="F35" s="2">
        <v>1943</v>
      </c>
      <c r="G35" s="2">
        <v>0</v>
      </c>
      <c r="H35" s="2">
        <v>1943</v>
      </c>
      <c r="I35" s="2">
        <f t="shared" si="1"/>
        <v>1</v>
      </c>
      <c r="J35" s="2">
        <f t="shared" si="2"/>
        <v>0</v>
      </c>
      <c r="K35" s="2">
        <f t="shared" si="3"/>
        <v>0</v>
      </c>
      <c r="L35" s="2">
        <f t="shared" si="4"/>
        <v>0</v>
      </c>
      <c r="M35" s="2">
        <f t="shared" si="5"/>
        <v>0</v>
      </c>
    </row>
    <row r="36" spans="1:13" ht="14.4" x14ac:dyDescent="0.3">
      <c r="A36" s="2">
        <v>1944</v>
      </c>
      <c r="B36">
        <v>4</v>
      </c>
      <c r="C36">
        <v>3</v>
      </c>
      <c r="D36">
        <v>3</v>
      </c>
      <c r="F36" s="2">
        <v>1944</v>
      </c>
      <c r="G36" s="2">
        <v>0</v>
      </c>
      <c r="H36" s="2">
        <v>1944</v>
      </c>
      <c r="I36" s="2">
        <f t="shared" si="1"/>
        <v>0</v>
      </c>
      <c r="J36" s="2">
        <f t="shared" si="2"/>
        <v>0</v>
      </c>
      <c r="K36" s="2">
        <f t="shared" si="3"/>
        <v>0</v>
      </c>
      <c r="L36" s="2">
        <f t="shared" si="4"/>
        <v>1</v>
      </c>
      <c r="M36" s="2">
        <f t="shared" si="5"/>
        <v>0</v>
      </c>
    </row>
    <row r="37" spans="1:13" ht="14.4" x14ac:dyDescent="0.3">
      <c r="A37" s="2">
        <v>1945</v>
      </c>
      <c r="B37">
        <v>3</v>
      </c>
      <c r="C37">
        <v>2</v>
      </c>
      <c r="D37">
        <v>1</v>
      </c>
      <c r="F37" s="2">
        <v>1945</v>
      </c>
      <c r="G37" s="2">
        <v>0</v>
      </c>
      <c r="H37" s="2">
        <v>1945</v>
      </c>
      <c r="I37" s="2">
        <f t="shared" si="1"/>
        <v>0</v>
      </c>
      <c r="J37" s="2">
        <f t="shared" si="2"/>
        <v>0</v>
      </c>
      <c r="K37" s="2">
        <f t="shared" si="3"/>
        <v>1</v>
      </c>
      <c r="L37" s="2">
        <f t="shared" si="4"/>
        <v>0</v>
      </c>
      <c r="M37" s="2">
        <f t="shared" si="5"/>
        <v>0</v>
      </c>
    </row>
    <row r="38" spans="1:13" ht="14.4" x14ac:dyDescent="0.3">
      <c r="A38" s="2">
        <v>1946</v>
      </c>
      <c r="B38">
        <v>2</v>
      </c>
      <c r="C38">
        <v>2</v>
      </c>
      <c r="D38">
        <v>1</v>
      </c>
      <c r="F38" s="2">
        <v>1946</v>
      </c>
      <c r="G38" s="2">
        <v>0</v>
      </c>
      <c r="H38" s="2">
        <v>1946</v>
      </c>
      <c r="I38" s="2">
        <f t="shared" si="1"/>
        <v>0</v>
      </c>
      <c r="J38" s="2">
        <f t="shared" si="2"/>
        <v>1</v>
      </c>
      <c r="K38" s="2">
        <f t="shared" si="3"/>
        <v>0</v>
      </c>
      <c r="L38" s="2">
        <f t="shared" si="4"/>
        <v>0</v>
      </c>
      <c r="M38" s="2">
        <f t="shared" si="5"/>
        <v>0</v>
      </c>
    </row>
    <row r="39" spans="1:13" ht="14.4" x14ac:dyDescent="0.3">
      <c r="A39" s="2">
        <v>1947</v>
      </c>
      <c r="B39">
        <v>4</v>
      </c>
      <c r="C39">
        <v>5</v>
      </c>
      <c r="D39">
        <v>3</v>
      </c>
      <c r="F39" s="2">
        <v>1947</v>
      </c>
      <c r="G39" s="2">
        <v>0</v>
      </c>
      <c r="H39" s="2">
        <v>1947</v>
      </c>
      <c r="I39" s="2">
        <f t="shared" si="1"/>
        <v>0</v>
      </c>
      <c r="J39" s="2">
        <f t="shared" si="2"/>
        <v>0</v>
      </c>
      <c r="K39" s="2">
        <f t="shared" si="3"/>
        <v>0</v>
      </c>
      <c r="L39" s="2">
        <f t="shared" si="4"/>
        <v>1</v>
      </c>
      <c r="M39" s="2">
        <f t="shared" si="5"/>
        <v>0</v>
      </c>
    </row>
    <row r="40" spans="1:13" ht="14.4" x14ac:dyDescent="0.3">
      <c r="A40" s="2">
        <v>1948</v>
      </c>
      <c r="B40">
        <v>3</v>
      </c>
      <c r="C40">
        <v>4</v>
      </c>
      <c r="D40">
        <v>1</v>
      </c>
      <c r="F40" s="2">
        <v>1948</v>
      </c>
      <c r="G40" s="2">
        <v>0</v>
      </c>
      <c r="H40" s="2">
        <v>1948</v>
      </c>
      <c r="I40" s="2">
        <f t="shared" si="1"/>
        <v>0</v>
      </c>
      <c r="J40" s="2">
        <f t="shared" si="2"/>
        <v>0</v>
      </c>
      <c r="K40" s="2">
        <f t="shared" si="3"/>
        <v>1</v>
      </c>
      <c r="L40" s="2">
        <f t="shared" si="4"/>
        <v>0</v>
      </c>
      <c r="M40" s="2">
        <f t="shared" si="5"/>
        <v>0</v>
      </c>
    </row>
    <row r="41" spans="1:13" ht="14.4" x14ac:dyDescent="0.3">
      <c r="A41" s="2">
        <v>1949</v>
      </c>
      <c r="B41">
        <v>4</v>
      </c>
      <c r="C41">
        <v>4</v>
      </c>
      <c r="D41">
        <v>2</v>
      </c>
      <c r="F41" s="2">
        <v>1949</v>
      </c>
      <c r="G41" s="2">
        <v>0</v>
      </c>
      <c r="H41" s="2">
        <v>1949</v>
      </c>
      <c r="I41" s="2">
        <f t="shared" si="1"/>
        <v>0</v>
      </c>
      <c r="J41" s="2">
        <f t="shared" si="2"/>
        <v>0</v>
      </c>
      <c r="K41" s="2">
        <f t="shared" si="3"/>
        <v>0</v>
      </c>
      <c r="L41" s="2">
        <f t="shared" si="4"/>
        <v>1</v>
      </c>
      <c r="M41" s="2">
        <f t="shared" si="5"/>
        <v>0</v>
      </c>
    </row>
    <row r="42" spans="1:13" ht="14.4" x14ac:dyDescent="0.3">
      <c r="A42" s="2">
        <v>1950</v>
      </c>
      <c r="B42">
        <v>4</v>
      </c>
      <c r="C42">
        <v>4</v>
      </c>
      <c r="D42">
        <v>2</v>
      </c>
      <c r="F42" s="2">
        <v>1950</v>
      </c>
      <c r="G42" s="2">
        <v>0</v>
      </c>
      <c r="H42" s="2">
        <v>1950</v>
      </c>
      <c r="I42" s="2">
        <f t="shared" si="1"/>
        <v>0</v>
      </c>
      <c r="J42" s="2">
        <f t="shared" si="2"/>
        <v>0</v>
      </c>
      <c r="K42" s="2">
        <f t="shared" si="3"/>
        <v>0</v>
      </c>
      <c r="L42" s="2">
        <f t="shared" si="4"/>
        <v>1</v>
      </c>
      <c r="M42" s="2">
        <f t="shared" si="5"/>
        <v>0</v>
      </c>
    </row>
    <row r="43" spans="1:13" ht="14.4" x14ac:dyDescent="0.3">
      <c r="A43" s="2">
        <v>1951</v>
      </c>
      <c r="B43">
        <v>2</v>
      </c>
      <c r="C43">
        <v>3</v>
      </c>
      <c r="D43">
        <v>1</v>
      </c>
      <c r="F43" s="2">
        <v>1951</v>
      </c>
      <c r="G43" s="2">
        <v>0</v>
      </c>
      <c r="H43" s="2">
        <v>1951</v>
      </c>
      <c r="I43" s="2">
        <f t="shared" si="1"/>
        <v>0</v>
      </c>
      <c r="J43" s="2">
        <f t="shared" si="2"/>
        <v>1</v>
      </c>
      <c r="K43" s="2">
        <f t="shared" si="3"/>
        <v>0</v>
      </c>
      <c r="L43" s="2">
        <f t="shared" si="4"/>
        <v>0</v>
      </c>
      <c r="M43" s="2">
        <f t="shared" si="5"/>
        <v>0</v>
      </c>
    </row>
    <row r="44" spans="1:13" ht="14.4" x14ac:dyDescent="0.3">
      <c r="A44" s="2">
        <v>1952</v>
      </c>
      <c r="B44">
        <v>1</v>
      </c>
      <c r="C44">
        <v>1</v>
      </c>
      <c r="D44">
        <v>1</v>
      </c>
      <c r="F44" s="2">
        <v>1952</v>
      </c>
      <c r="G44" s="2">
        <v>0</v>
      </c>
      <c r="H44" s="2">
        <v>1952</v>
      </c>
      <c r="I44" s="2">
        <f t="shared" si="1"/>
        <v>1</v>
      </c>
      <c r="J44" s="2">
        <f t="shared" si="2"/>
        <v>0</v>
      </c>
      <c r="K44" s="2">
        <f t="shared" si="3"/>
        <v>0</v>
      </c>
      <c r="L44" s="2">
        <f t="shared" si="4"/>
        <v>0</v>
      </c>
      <c r="M44" s="2">
        <f t="shared" si="5"/>
        <v>0</v>
      </c>
    </row>
    <row r="45" spans="1:13" ht="14.4" x14ac:dyDescent="0.3">
      <c r="A45" s="2">
        <v>1953</v>
      </c>
      <c r="B45">
        <v>1</v>
      </c>
      <c r="C45">
        <v>3</v>
      </c>
      <c r="D45">
        <v>1</v>
      </c>
      <c r="F45" s="2">
        <v>1953</v>
      </c>
      <c r="G45" s="2">
        <v>0</v>
      </c>
      <c r="H45" s="2">
        <v>1953</v>
      </c>
      <c r="I45" s="2">
        <f t="shared" si="1"/>
        <v>1</v>
      </c>
      <c r="J45" s="2">
        <f t="shared" si="2"/>
        <v>0</v>
      </c>
      <c r="K45" s="2">
        <f t="shared" si="3"/>
        <v>0</v>
      </c>
      <c r="L45" s="2">
        <f t="shared" si="4"/>
        <v>0</v>
      </c>
      <c r="M45" s="2">
        <f t="shared" si="5"/>
        <v>0</v>
      </c>
    </row>
    <row r="46" spans="1:13" ht="14.4" x14ac:dyDescent="0.3">
      <c r="A46" s="2">
        <v>1954</v>
      </c>
      <c r="B46">
        <v>2</v>
      </c>
      <c r="C46">
        <v>3</v>
      </c>
      <c r="D46">
        <v>1</v>
      </c>
      <c r="F46" s="2">
        <v>1954</v>
      </c>
      <c r="G46" s="2">
        <v>0</v>
      </c>
      <c r="H46" s="2">
        <v>1954</v>
      </c>
      <c r="I46" s="2">
        <f t="shared" si="1"/>
        <v>0</v>
      </c>
      <c r="J46" s="2">
        <f t="shared" si="2"/>
        <v>1</v>
      </c>
      <c r="K46" s="2">
        <f t="shared" si="3"/>
        <v>0</v>
      </c>
      <c r="L46" s="2">
        <f t="shared" si="4"/>
        <v>0</v>
      </c>
      <c r="M46" s="2">
        <f t="shared" si="5"/>
        <v>0</v>
      </c>
    </row>
    <row r="47" spans="1:13" ht="14.4" x14ac:dyDescent="0.3">
      <c r="A47" s="2">
        <v>1955</v>
      </c>
      <c r="B47">
        <v>4</v>
      </c>
      <c r="C47">
        <v>5</v>
      </c>
      <c r="D47">
        <v>2</v>
      </c>
      <c r="F47" s="2">
        <v>1955</v>
      </c>
      <c r="G47" s="2">
        <v>0</v>
      </c>
      <c r="H47" s="2">
        <v>1955</v>
      </c>
      <c r="I47" s="2">
        <f t="shared" si="1"/>
        <v>0</v>
      </c>
      <c r="J47" s="2">
        <f t="shared" si="2"/>
        <v>0</v>
      </c>
      <c r="K47" s="2">
        <f t="shared" si="3"/>
        <v>0</v>
      </c>
      <c r="L47" s="2">
        <f t="shared" si="4"/>
        <v>1</v>
      </c>
      <c r="M47" s="2">
        <f t="shared" si="5"/>
        <v>0</v>
      </c>
    </row>
    <row r="48" spans="1:13" ht="14.4" x14ac:dyDescent="0.3">
      <c r="A48" s="2">
        <v>1956</v>
      </c>
      <c r="B48">
        <v>1</v>
      </c>
      <c r="C48">
        <v>1</v>
      </c>
      <c r="D48">
        <v>1</v>
      </c>
      <c r="F48" s="2">
        <v>1956</v>
      </c>
      <c r="G48" s="2">
        <v>0</v>
      </c>
      <c r="H48" s="2">
        <v>1956</v>
      </c>
      <c r="I48" s="2">
        <f t="shared" si="1"/>
        <v>1</v>
      </c>
      <c r="J48" s="2">
        <f t="shared" si="2"/>
        <v>0</v>
      </c>
      <c r="K48" s="2">
        <f t="shared" si="3"/>
        <v>0</v>
      </c>
      <c r="L48" s="2">
        <f t="shared" si="4"/>
        <v>0</v>
      </c>
      <c r="M48" s="2">
        <f t="shared" si="5"/>
        <v>0</v>
      </c>
    </row>
    <row r="49" spans="1:13" ht="14.4" x14ac:dyDescent="0.3">
      <c r="A49" s="2">
        <v>1957</v>
      </c>
      <c r="B49">
        <v>2</v>
      </c>
      <c r="C49">
        <v>3</v>
      </c>
      <c r="D49">
        <v>1</v>
      </c>
      <c r="F49" s="2">
        <v>1957</v>
      </c>
      <c r="G49" s="2">
        <v>0</v>
      </c>
      <c r="H49" s="2">
        <v>1957</v>
      </c>
      <c r="I49" s="2">
        <f t="shared" si="1"/>
        <v>0</v>
      </c>
      <c r="J49" s="2">
        <f t="shared" si="2"/>
        <v>1</v>
      </c>
      <c r="K49" s="2">
        <f t="shared" si="3"/>
        <v>0</v>
      </c>
      <c r="L49" s="2">
        <f t="shared" si="4"/>
        <v>0</v>
      </c>
      <c r="M49" s="2">
        <f t="shared" si="5"/>
        <v>0</v>
      </c>
    </row>
    <row r="50" spans="1:13" ht="14.4" x14ac:dyDescent="0.3">
      <c r="A50" s="2">
        <v>1958</v>
      </c>
      <c r="B50">
        <v>1</v>
      </c>
      <c r="C50">
        <v>1</v>
      </c>
      <c r="D50">
        <v>1</v>
      </c>
      <c r="F50" s="2">
        <v>1958</v>
      </c>
      <c r="G50" s="2">
        <v>0</v>
      </c>
      <c r="H50" s="2">
        <v>1958</v>
      </c>
      <c r="I50" s="2">
        <f t="shared" si="1"/>
        <v>1</v>
      </c>
      <c r="J50" s="2">
        <f t="shared" si="2"/>
        <v>0</v>
      </c>
      <c r="K50" s="2">
        <f t="shared" si="3"/>
        <v>0</v>
      </c>
      <c r="L50" s="2">
        <f t="shared" si="4"/>
        <v>0</v>
      </c>
      <c r="M50" s="2">
        <f t="shared" si="5"/>
        <v>0</v>
      </c>
    </row>
    <row r="51" spans="1:13" ht="14.4" x14ac:dyDescent="0.3">
      <c r="A51" s="2">
        <v>1959</v>
      </c>
      <c r="B51">
        <v>3</v>
      </c>
      <c r="C51">
        <v>4</v>
      </c>
      <c r="D51">
        <v>1</v>
      </c>
      <c r="F51" s="2">
        <v>1959</v>
      </c>
      <c r="G51" s="2">
        <v>0</v>
      </c>
      <c r="H51" s="2">
        <v>1959</v>
      </c>
      <c r="I51" s="2">
        <f t="shared" si="1"/>
        <v>0</v>
      </c>
      <c r="J51" s="2">
        <f t="shared" si="2"/>
        <v>0</v>
      </c>
      <c r="K51" s="2">
        <f t="shared" si="3"/>
        <v>1</v>
      </c>
      <c r="L51" s="2">
        <f t="shared" si="4"/>
        <v>0</v>
      </c>
      <c r="M51" s="2">
        <f t="shared" si="5"/>
        <v>0</v>
      </c>
    </row>
    <row r="52" spans="1:13" ht="14.4" x14ac:dyDescent="0.3">
      <c r="A52" s="2">
        <v>1960</v>
      </c>
      <c r="B52">
        <v>4</v>
      </c>
      <c r="C52">
        <v>5</v>
      </c>
      <c r="D52">
        <v>1</v>
      </c>
      <c r="F52" s="2">
        <v>1960</v>
      </c>
      <c r="G52" s="2">
        <v>0</v>
      </c>
      <c r="H52" s="2">
        <v>1960</v>
      </c>
      <c r="I52" s="2">
        <f t="shared" si="1"/>
        <v>0</v>
      </c>
      <c r="J52" s="2">
        <f t="shared" si="2"/>
        <v>0</v>
      </c>
      <c r="K52" s="2">
        <f t="shared" si="3"/>
        <v>0</v>
      </c>
      <c r="L52" s="2">
        <f t="shared" si="4"/>
        <v>1</v>
      </c>
      <c r="M52" s="2">
        <f t="shared" si="5"/>
        <v>0</v>
      </c>
    </row>
    <row r="53" spans="1:13" ht="14.4" x14ac:dyDescent="0.3">
      <c r="A53" s="2">
        <v>1961</v>
      </c>
      <c r="B53">
        <v>4</v>
      </c>
      <c r="C53">
        <v>5</v>
      </c>
      <c r="D53">
        <v>1</v>
      </c>
      <c r="F53" s="2">
        <v>1961</v>
      </c>
      <c r="G53" s="2">
        <v>0</v>
      </c>
      <c r="H53" s="2">
        <v>1961</v>
      </c>
      <c r="I53" s="2">
        <f t="shared" si="1"/>
        <v>0</v>
      </c>
      <c r="J53" s="2">
        <f t="shared" si="2"/>
        <v>0</v>
      </c>
      <c r="K53" s="2">
        <f t="shared" si="3"/>
        <v>0</v>
      </c>
      <c r="L53" s="2">
        <f t="shared" si="4"/>
        <v>1</v>
      </c>
      <c r="M53" s="2">
        <f t="shared" si="5"/>
        <v>0</v>
      </c>
    </row>
    <row r="54" spans="1:13" ht="14.4" x14ac:dyDescent="0.3">
      <c r="A54" s="2">
        <v>1962</v>
      </c>
      <c r="B54">
        <v>3</v>
      </c>
      <c r="C54">
        <v>3</v>
      </c>
      <c r="D54">
        <v>1</v>
      </c>
      <c r="F54" s="2">
        <v>1962</v>
      </c>
      <c r="G54" s="2">
        <v>0</v>
      </c>
      <c r="H54" s="2">
        <v>1962</v>
      </c>
      <c r="I54" s="2">
        <f t="shared" si="1"/>
        <v>0</v>
      </c>
      <c r="J54" s="2">
        <f t="shared" si="2"/>
        <v>0</v>
      </c>
      <c r="K54" s="2">
        <f t="shared" si="3"/>
        <v>1</v>
      </c>
      <c r="L54" s="2">
        <f t="shared" si="4"/>
        <v>0</v>
      </c>
      <c r="M54" s="2">
        <f t="shared" si="5"/>
        <v>0</v>
      </c>
    </row>
    <row r="55" spans="1:13" ht="14.4" x14ac:dyDescent="0.3">
      <c r="A55" s="2">
        <v>1963</v>
      </c>
      <c r="B55">
        <v>1</v>
      </c>
      <c r="C55">
        <v>2</v>
      </c>
      <c r="D55">
        <v>1</v>
      </c>
      <c r="F55" s="2">
        <v>1963</v>
      </c>
      <c r="G55" s="2">
        <v>0</v>
      </c>
      <c r="H55" s="2">
        <v>1963</v>
      </c>
      <c r="I55" s="2">
        <f t="shared" si="1"/>
        <v>1</v>
      </c>
      <c r="J55" s="2">
        <f t="shared" si="2"/>
        <v>0</v>
      </c>
      <c r="K55" s="2">
        <f t="shared" si="3"/>
        <v>0</v>
      </c>
      <c r="L55" s="2">
        <f t="shared" si="4"/>
        <v>0</v>
      </c>
      <c r="M55" s="2">
        <f t="shared" si="5"/>
        <v>0</v>
      </c>
    </row>
    <row r="56" spans="1:13" ht="14.4" x14ac:dyDescent="0.3">
      <c r="A56" s="2">
        <v>1964</v>
      </c>
      <c r="B56">
        <v>4</v>
      </c>
      <c r="C56">
        <v>5</v>
      </c>
      <c r="D56">
        <v>3</v>
      </c>
      <c r="F56" s="2">
        <v>1964</v>
      </c>
      <c r="G56" s="2">
        <v>0</v>
      </c>
      <c r="H56" s="2">
        <v>1964</v>
      </c>
      <c r="I56" s="2">
        <f t="shared" si="1"/>
        <v>0</v>
      </c>
      <c r="J56" s="2">
        <f t="shared" si="2"/>
        <v>0</v>
      </c>
      <c r="K56" s="2">
        <f t="shared" si="3"/>
        <v>0</v>
      </c>
      <c r="L56" s="2">
        <f t="shared" si="4"/>
        <v>1</v>
      </c>
      <c r="M56" s="2">
        <f t="shared" si="5"/>
        <v>0</v>
      </c>
    </row>
    <row r="57" spans="1:13" ht="14.4" x14ac:dyDescent="0.3">
      <c r="A57" s="2">
        <v>1965</v>
      </c>
      <c r="B57">
        <v>1</v>
      </c>
      <c r="C57">
        <v>2</v>
      </c>
      <c r="D57">
        <v>1</v>
      </c>
      <c r="F57" s="2">
        <v>1965</v>
      </c>
      <c r="G57" s="2">
        <v>0</v>
      </c>
      <c r="H57" s="2">
        <v>1965</v>
      </c>
      <c r="I57" s="2">
        <f t="shared" si="1"/>
        <v>1</v>
      </c>
      <c r="J57" s="2">
        <f t="shared" si="2"/>
        <v>0</v>
      </c>
      <c r="K57" s="2">
        <f t="shared" si="3"/>
        <v>0</v>
      </c>
      <c r="L57" s="2">
        <f t="shared" si="4"/>
        <v>0</v>
      </c>
      <c r="M57" s="2">
        <f t="shared" si="5"/>
        <v>0</v>
      </c>
    </row>
    <row r="58" spans="1:13" ht="14.4" x14ac:dyDescent="0.3">
      <c r="A58" s="2">
        <v>1966</v>
      </c>
      <c r="B58">
        <v>3</v>
      </c>
      <c r="C58">
        <v>4</v>
      </c>
      <c r="D58">
        <v>1</v>
      </c>
      <c r="F58" s="2">
        <v>1966</v>
      </c>
      <c r="G58" s="2">
        <v>0</v>
      </c>
      <c r="H58" s="2">
        <v>1966</v>
      </c>
      <c r="I58" s="2">
        <f t="shared" si="1"/>
        <v>0</v>
      </c>
      <c r="J58" s="2">
        <f t="shared" si="2"/>
        <v>0</v>
      </c>
      <c r="K58" s="2">
        <f t="shared" si="3"/>
        <v>1</v>
      </c>
      <c r="L58" s="2">
        <f t="shared" si="4"/>
        <v>0</v>
      </c>
      <c r="M58" s="2">
        <f t="shared" si="5"/>
        <v>0</v>
      </c>
    </row>
    <row r="59" spans="1:13" ht="14.4" x14ac:dyDescent="0.3">
      <c r="A59" s="2">
        <v>1967</v>
      </c>
      <c r="B59">
        <v>1</v>
      </c>
      <c r="C59">
        <v>1</v>
      </c>
      <c r="D59">
        <v>1</v>
      </c>
      <c r="F59" s="2">
        <v>1967</v>
      </c>
      <c r="G59" s="2">
        <v>0</v>
      </c>
      <c r="H59" s="2">
        <v>1967</v>
      </c>
      <c r="I59" s="2">
        <f t="shared" si="1"/>
        <v>1</v>
      </c>
      <c r="J59" s="2">
        <f t="shared" si="2"/>
        <v>0</v>
      </c>
      <c r="K59" s="2">
        <f t="shared" si="3"/>
        <v>0</v>
      </c>
      <c r="L59" s="2">
        <f t="shared" si="4"/>
        <v>0</v>
      </c>
      <c r="M59" s="2">
        <f t="shared" si="5"/>
        <v>0</v>
      </c>
    </row>
    <row r="60" spans="1:13" ht="14.4" x14ac:dyDescent="0.3">
      <c r="A60" s="2">
        <v>1968</v>
      </c>
      <c r="B60">
        <v>3</v>
      </c>
      <c r="C60">
        <v>4</v>
      </c>
      <c r="D60">
        <v>1</v>
      </c>
      <c r="F60" s="2">
        <v>1968</v>
      </c>
      <c r="G60" s="2">
        <v>0</v>
      </c>
      <c r="H60" s="2">
        <v>1968</v>
      </c>
      <c r="I60" s="2">
        <f t="shared" si="1"/>
        <v>0</v>
      </c>
      <c r="J60" s="2">
        <f t="shared" si="2"/>
        <v>0</v>
      </c>
      <c r="K60" s="2">
        <f t="shared" si="3"/>
        <v>1</v>
      </c>
      <c r="L60" s="2">
        <f t="shared" si="4"/>
        <v>0</v>
      </c>
      <c r="M60" s="2">
        <f t="shared" si="5"/>
        <v>0</v>
      </c>
    </row>
    <row r="61" spans="1:13" ht="14.4" x14ac:dyDescent="0.3">
      <c r="A61" s="2">
        <v>1969</v>
      </c>
      <c r="B61">
        <v>1</v>
      </c>
      <c r="C61">
        <v>1</v>
      </c>
      <c r="D61">
        <v>1</v>
      </c>
      <c r="F61" s="2">
        <v>1969</v>
      </c>
      <c r="G61" s="2">
        <v>0</v>
      </c>
      <c r="H61" s="2">
        <v>1969</v>
      </c>
      <c r="I61" s="2">
        <f t="shared" si="1"/>
        <v>1</v>
      </c>
      <c r="J61" s="2">
        <f t="shared" si="2"/>
        <v>0</v>
      </c>
      <c r="K61" s="2">
        <f t="shared" si="3"/>
        <v>0</v>
      </c>
      <c r="L61" s="2">
        <f t="shared" si="4"/>
        <v>0</v>
      </c>
      <c r="M61" s="2">
        <f t="shared" si="5"/>
        <v>0</v>
      </c>
    </row>
    <row r="62" spans="1:13" ht="14.4" x14ac:dyDescent="0.3">
      <c r="A62" s="2">
        <v>1970</v>
      </c>
      <c r="B62">
        <v>1</v>
      </c>
      <c r="C62">
        <v>2</v>
      </c>
      <c r="D62">
        <v>1</v>
      </c>
      <c r="F62" s="2">
        <v>1970</v>
      </c>
      <c r="G62" s="2">
        <v>0</v>
      </c>
      <c r="H62" s="2">
        <v>1970</v>
      </c>
      <c r="I62" s="2">
        <f t="shared" si="1"/>
        <v>1</v>
      </c>
      <c r="J62" s="2">
        <f t="shared" si="2"/>
        <v>0</v>
      </c>
      <c r="K62" s="2">
        <f t="shared" si="3"/>
        <v>0</v>
      </c>
      <c r="L62" s="2">
        <f t="shared" si="4"/>
        <v>0</v>
      </c>
      <c r="M62" s="2">
        <f t="shared" si="5"/>
        <v>0</v>
      </c>
    </row>
    <row r="63" spans="1:13" ht="14.4" x14ac:dyDescent="0.3">
      <c r="A63" s="2">
        <v>1971</v>
      </c>
      <c r="B63">
        <v>1</v>
      </c>
      <c r="C63">
        <v>3</v>
      </c>
      <c r="D63">
        <v>1</v>
      </c>
      <c r="F63" s="2">
        <v>1971</v>
      </c>
      <c r="G63" s="2">
        <v>0</v>
      </c>
      <c r="H63" s="2">
        <v>1971</v>
      </c>
      <c r="I63" s="2">
        <f t="shared" si="1"/>
        <v>1</v>
      </c>
      <c r="J63" s="2">
        <f t="shared" si="2"/>
        <v>0</v>
      </c>
      <c r="K63" s="2">
        <f t="shared" si="3"/>
        <v>0</v>
      </c>
      <c r="L63" s="2">
        <f t="shared" si="4"/>
        <v>0</v>
      </c>
      <c r="M63" s="2">
        <f t="shared" si="5"/>
        <v>0</v>
      </c>
    </row>
    <row r="64" spans="1:13" ht="14.4" x14ac:dyDescent="0.3">
      <c r="A64" s="2">
        <v>1972</v>
      </c>
      <c r="B64">
        <v>3</v>
      </c>
      <c r="C64">
        <v>5</v>
      </c>
      <c r="D64">
        <v>1</v>
      </c>
      <c r="F64" s="2">
        <v>1972</v>
      </c>
      <c r="G64" s="2">
        <v>0</v>
      </c>
      <c r="H64" s="2">
        <v>1972</v>
      </c>
      <c r="I64" s="2">
        <f t="shared" si="1"/>
        <v>0</v>
      </c>
      <c r="J64" s="2">
        <f t="shared" si="2"/>
        <v>0</v>
      </c>
      <c r="K64" s="2">
        <f t="shared" si="3"/>
        <v>1</v>
      </c>
      <c r="L64" s="2">
        <f t="shared" si="4"/>
        <v>0</v>
      </c>
      <c r="M64" s="2">
        <f t="shared" si="5"/>
        <v>0</v>
      </c>
    </row>
    <row r="65" spans="1:13" ht="14.4" x14ac:dyDescent="0.3">
      <c r="A65" s="2">
        <v>1973</v>
      </c>
      <c r="B65">
        <v>2</v>
      </c>
      <c r="C65">
        <v>2</v>
      </c>
      <c r="D65">
        <v>1</v>
      </c>
      <c r="F65" s="2">
        <v>1973</v>
      </c>
      <c r="G65" s="2">
        <v>0</v>
      </c>
      <c r="H65" s="2">
        <v>1973</v>
      </c>
      <c r="I65" s="2">
        <f t="shared" si="1"/>
        <v>0</v>
      </c>
      <c r="J65" s="2">
        <f t="shared" si="2"/>
        <v>1</v>
      </c>
      <c r="K65" s="2">
        <f t="shared" si="3"/>
        <v>0</v>
      </c>
      <c r="L65" s="2">
        <f t="shared" si="4"/>
        <v>0</v>
      </c>
      <c r="M65" s="2">
        <f t="shared" si="5"/>
        <v>0</v>
      </c>
    </row>
    <row r="66" spans="1:13" ht="14.4" x14ac:dyDescent="0.3">
      <c r="A66" s="2">
        <v>1974</v>
      </c>
      <c r="B66">
        <v>1</v>
      </c>
      <c r="C66">
        <v>2</v>
      </c>
      <c r="D66">
        <v>1</v>
      </c>
      <c r="F66" s="2">
        <v>1974</v>
      </c>
      <c r="G66" s="2">
        <v>0</v>
      </c>
      <c r="H66" s="2">
        <v>1974</v>
      </c>
      <c r="I66" s="2">
        <f t="shared" si="1"/>
        <v>1</v>
      </c>
      <c r="J66" s="2">
        <f t="shared" si="2"/>
        <v>0</v>
      </c>
      <c r="K66" s="2">
        <f t="shared" si="3"/>
        <v>0</v>
      </c>
      <c r="L66" s="2">
        <f t="shared" si="4"/>
        <v>0</v>
      </c>
      <c r="M66" s="2">
        <f t="shared" si="5"/>
        <v>0</v>
      </c>
    </row>
    <row r="67" spans="1:13" ht="14.4" x14ac:dyDescent="0.3">
      <c r="A67" s="2">
        <v>1975</v>
      </c>
      <c r="B67">
        <v>1</v>
      </c>
      <c r="C67">
        <v>2</v>
      </c>
      <c r="D67">
        <v>1</v>
      </c>
      <c r="F67" s="2">
        <v>1975</v>
      </c>
      <c r="G67" s="2">
        <v>0</v>
      </c>
      <c r="H67" s="2">
        <v>1975</v>
      </c>
      <c r="I67" s="2">
        <f t="shared" si="1"/>
        <v>1</v>
      </c>
      <c r="J67" s="2">
        <f t="shared" si="2"/>
        <v>0</v>
      </c>
      <c r="K67" s="2">
        <f t="shared" si="3"/>
        <v>0</v>
      </c>
      <c r="L67" s="2">
        <f t="shared" si="4"/>
        <v>0</v>
      </c>
      <c r="M67" s="2">
        <f t="shared" si="5"/>
        <v>0</v>
      </c>
    </row>
    <row r="68" spans="1:13" ht="14.4" x14ac:dyDescent="0.3">
      <c r="A68" s="2">
        <v>1976</v>
      </c>
      <c r="B68">
        <v>4</v>
      </c>
      <c r="C68">
        <v>5</v>
      </c>
      <c r="D68">
        <v>3</v>
      </c>
      <c r="F68" s="2">
        <v>1976</v>
      </c>
      <c r="G68" s="2">
        <v>1</v>
      </c>
      <c r="H68" s="2">
        <v>1976</v>
      </c>
      <c r="I68" s="2">
        <f t="shared" si="1"/>
        <v>0</v>
      </c>
      <c r="J68" s="2">
        <f t="shared" si="2"/>
        <v>0</v>
      </c>
      <c r="K68" s="2">
        <f t="shared" si="3"/>
        <v>0</v>
      </c>
      <c r="L68" s="2">
        <f t="shared" si="4"/>
        <v>1</v>
      </c>
      <c r="M68" s="2">
        <f t="shared" si="5"/>
        <v>0</v>
      </c>
    </row>
    <row r="69" spans="1:13" ht="14.4" x14ac:dyDescent="0.3">
      <c r="A69" s="2">
        <v>1977</v>
      </c>
      <c r="B69">
        <v>5</v>
      </c>
      <c r="C69">
        <v>5</v>
      </c>
      <c r="D69">
        <v>4</v>
      </c>
      <c r="F69" s="2">
        <v>1977</v>
      </c>
      <c r="G69" s="2">
        <v>1</v>
      </c>
      <c r="H69" s="2">
        <v>1977</v>
      </c>
      <c r="I69" s="2">
        <f t="shared" si="1"/>
        <v>0</v>
      </c>
      <c r="J69" s="2">
        <f t="shared" si="2"/>
        <v>0</v>
      </c>
      <c r="K69" s="2">
        <f t="shared" si="3"/>
        <v>0</v>
      </c>
      <c r="L69" s="2">
        <f t="shared" si="4"/>
        <v>0</v>
      </c>
      <c r="M69" s="2">
        <f t="shared" si="5"/>
        <v>1</v>
      </c>
    </row>
    <row r="70" spans="1:13" ht="14.4" x14ac:dyDescent="0.3">
      <c r="A70" s="2">
        <v>1978</v>
      </c>
      <c r="B70">
        <v>2</v>
      </c>
      <c r="C70">
        <v>1</v>
      </c>
      <c r="D70">
        <v>1</v>
      </c>
      <c r="F70" s="2">
        <v>1978</v>
      </c>
      <c r="G70" s="2">
        <v>0</v>
      </c>
      <c r="H70" s="2">
        <v>1978</v>
      </c>
      <c r="I70" s="2">
        <f t="shared" si="1"/>
        <v>0</v>
      </c>
      <c r="J70" s="2">
        <f t="shared" si="2"/>
        <v>1</v>
      </c>
      <c r="K70" s="2">
        <f t="shared" si="3"/>
        <v>0</v>
      </c>
      <c r="L70" s="2">
        <f t="shared" si="4"/>
        <v>0</v>
      </c>
      <c r="M70" s="2">
        <f t="shared" si="5"/>
        <v>0</v>
      </c>
    </row>
    <row r="71" spans="1:13" ht="14.4" x14ac:dyDescent="0.3">
      <c r="A71" s="2">
        <v>1979</v>
      </c>
      <c r="B71">
        <v>4</v>
      </c>
      <c r="C71">
        <v>2</v>
      </c>
      <c r="D71">
        <v>3</v>
      </c>
      <c r="F71" s="2">
        <v>1979</v>
      </c>
      <c r="G71" s="2">
        <v>0</v>
      </c>
      <c r="H71" s="2">
        <v>1979</v>
      </c>
      <c r="I71" s="2">
        <f t="shared" si="1"/>
        <v>0</v>
      </c>
      <c r="J71" s="2">
        <f t="shared" si="2"/>
        <v>0</v>
      </c>
      <c r="K71" s="2">
        <f t="shared" si="3"/>
        <v>0</v>
      </c>
      <c r="L71" s="2">
        <f t="shared" si="4"/>
        <v>1</v>
      </c>
      <c r="M71" s="2">
        <f t="shared" si="5"/>
        <v>0</v>
      </c>
    </row>
    <row r="72" spans="1:13" ht="14.4" x14ac:dyDescent="0.3">
      <c r="A72" s="2">
        <v>1980</v>
      </c>
      <c r="B72">
        <v>2</v>
      </c>
      <c r="C72">
        <v>1</v>
      </c>
      <c r="D72">
        <v>1</v>
      </c>
      <c r="F72" s="2">
        <v>1980</v>
      </c>
      <c r="G72" s="2">
        <v>0</v>
      </c>
      <c r="H72" s="2">
        <v>1980</v>
      </c>
      <c r="I72" s="2">
        <f t="shared" si="1"/>
        <v>0</v>
      </c>
      <c r="J72" s="2">
        <f t="shared" si="2"/>
        <v>1</v>
      </c>
      <c r="K72" s="2">
        <f t="shared" si="3"/>
        <v>0</v>
      </c>
      <c r="L72" s="2">
        <f t="shared" si="4"/>
        <v>0</v>
      </c>
      <c r="M72" s="2">
        <f t="shared" si="5"/>
        <v>0</v>
      </c>
    </row>
    <row r="73" spans="1:13" ht="14.4" x14ac:dyDescent="0.3">
      <c r="A73" s="2">
        <v>1981</v>
      </c>
      <c r="B73">
        <v>4</v>
      </c>
      <c r="C73">
        <v>4</v>
      </c>
      <c r="D73">
        <v>3</v>
      </c>
      <c r="F73" s="2">
        <v>1981</v>
      </c>
      <c r="G73" s="2">
        <v>0</v>
      </c>
      <c r="H73" s="2">
        <v>1981</v>
      </c>
      <c r="I73" s="2">
        <f t="shared" si="1"/>
        <v>0</v>
      </c>
      <c r="J73" s="2">
        <f t="shared" si="2"/>
        <v>0</v>
      </c>
      <c r="K73" s="2">
        <f t="shared" si="3"/>
        <v>0</v>
      </c>
      <c r="L73" s="2">
        <f t="shared" si="4"/>
        <v>1</v>
      </c>
      <c r="M73" s="2">
        <f t="shared" si="5"/>
        <v>0</v>
      </c>
    </row>
    <row r="74" spans="1:13" ht="14.4" x14ac:dyDescent="0.3">
      <c r="A74" s="2">
        <v>1982</v>
      </c>
      <c r="B74">
        <v>1</v>
      </c>
      <c r="C74">
        <v>1</v>
      </c>
      <c r="D74">
        <v>1</v>
      </c>
      <c r="F74" s="2">
        <v>1982</v>
      </c>
      <c r="G74" s="2">
        <v>0</v>
      </c>
      <c r="H74" s="2">
        <v>1982</v>
      </c>
      <c r="I74" s="2">
        <f t="shared" si="1"/>
        <v>1</v>
      </c>
      <c r="J74" s="2">
        <f t="shared" si="2"/>
        <v>0</v>
      </c>
      <c r="K74" s="2">
        <f t="shared" si="3"/>
        <v>0</v>
      </c>
      <c r="L74" s="2">
        <f t="shared" si="4"/>
        <v>0</v>
      </c>
      <c r="M74" s="2">
        <f t="shared" si="5"/>
        <v>0</v>
      </c>
    </row>
    <row r="75" spans="1:13" ht="14.4" x14ac:dyDescent="0.3">
      <c r="A75" s="2">
        <v>1983</v>
      </c>
      <c r="B75">
        <v>1</v>
      </c>
      <c r="C75">
        <v>1</v>
      </c>
      <c r="D75">
        <v>1</v>
      </c>
      <c r="F75" s="2">
        <v>1983</v>
      </c>
      <c r="G75" s="2">
        <v>0</v>
      </c>
      <c r="H75" s="2">
        <v>1983</v>
      </c>
      <c r="I75" s="2">
        <f t="shared" si="1"/>
        <v>1</v>
      </c>
      <c r="J75" s="2">
        <f t="shared" si="2"/>
        <v>0</v>
      </c>
      <c r="K75" s="2">
        <f t="shared" si="3"/>
        <v>0</v>
      </c>
      <c r="L75" s="2">
        <f t="shared" si="4"/>
        <v>0</v>
      </c>
      <c r="M75" s="2">
        <f t="shared" si="5"/>
        <v>0</v>
      </c>
    </row>
    <row r="76" spans="1:13" ht="14.4" x14ac:dyDescent="0.3">
      <c r="A76" s="2">
        <v>1984</v>
      </c>
      <c r="B76">
        <v>1</v>
      </c>
      <c r="C76">
        <v>1</v>
      </c>
      <c r="D76">
        <v>1</v>
      </c>
      <c r="F76" s="2">
        <v>1984</v>
      </c>
      <c r="G76" s="2">
        <v>0</v>
      </c>
      <c r="H76" s="2">
        <v>1984</v>
      </c>
      <c r="I76" s="2">
        <f t="shared" ref="I76:I95" si="6">IF($B76=1,1,0)</f>
        <v>1</v>
      </c>
      <c r="J76" s="2">
        <f t="shared" si="2"/>
        <v>0</v>
      </c>
      <c r="K76" s="2">
        <f t="shared" si="3"/>
        <v>0</v>
      </c>
      <c r="L76" s="2">
        <f t="shared" si="4"/>
        <v>0</v>
      </c>
      <c r="M76" s="2">
        <f t="shared" si="5"/>
        <v>0</v>
      </c>
    </row>
    <row r="77" spans="1:13" ht="14.4" x14ac:dyDescent="0.3">
      <c r="A77" s="2">
        <v>1985</v>
      </c>
      <c r="B77">
        <v>3</v>
      </c>
      <c r="C77">
        <v>4</v>
      </c>
      <c r="D77">
        <v>3</v>
      </c>
      <c r="F77" s="2">
        <v>1985</v>
      </c>
      <c r="G77" s="2">
        <v>0</v>
      </c>
      <c r="H77" s="2">
        <v>1985</v>
      </c>
      <c r="I77" s="2">
        <f t="shared" si="6"/>
        <v>0</v>
      </c>
      <c r="J77" s="2">
        <f t="shared" ref="J77:J95" si="7">IF($B77=2,1,0)</f>
        <v>0</v>
      </c>
      <c r="K77" s="2">
        <f t="shared" ref="K77:K95" si="8">IF($B77=3,1,0)</f>
        <v>1</v>
      </c>
      <c r="L77" s="2">
        <f t="shared" ref="L77:L95" si="9">IF($B77=4,1,0)</f>
        <v>0</v>
      </c>
      <c r="M77" s="2">
        <f t="shared" ref="M77:M95" si="10">IF($B77=5,1,0)</f>
        <v>0</v>
      </c>
    </row>
    <row r="78" spans="1:13" ht="14.4" x14ac:dyDescent="0.3">
      <c r="A78" s="2">
        <v>1986</v>
      </c>
      <c r="B78">
        <v>1</v>
      </c>
      <c r="C78">
        <v>1</v>
      </c>
      <c r="D78">
        <v>1</v>
      </c>
      <c r="F78" s="2">
        <v>1986</v>
      </c>
      <c r="G78" s="2">
        <v>0</v>
      </c>
      <c r="H78" s="2">
        <v>1986</v>
      </c>
      <c r="I78" s="2">
        <f t="shared" si="6"/>
        <v>1</v>
      </c>
      <c r="J78" s="2">
        <f t="shared" si="7"/>
        <v>0</v>
      </c>
      <c r="K78" s="2">
        <f t="shared" si="8"/>
        <v>0</v>
      </c>
      <c r="L78" s="2">
        <f t="shared" si="9"/>
        <v>0</v>
      </c>
      <c r="M78" s="2">
        <f t="shared" si="10"/>
        <v>0</v>
      </c>
    </row>
    <row r="79" spans="1:13" ht="14.4" x14ac:dyDescent="0.3">
      <c r="A79" s="2">
        <v>1987</v>
      </c>
      <c r="B79">
        <v>4</v>
      </c>
      <c r="C79">
        <v>5</v>
      </c>
      <c r="D79">
        <v>3</v>
      </c>
      <c r="F79" s="2">
        <v>1987</v>
      </c>
      <c r="G79" s="2">
        <v>1</v>
      </c>
      <c r="H79" s="2">
        <v>1987</v>
      </c>
      <c r="I79" s="2">
        <f t="shared" si="6"/>
        <v>0</v>
      </c>
      <c r="J79" s="2">
        <f t="shared" si="7"/>
        <v>0</v>
      </c>
      <c r="K79" s="2">
        <f t="shared" si="8"/>
        <v>0</v>
      </c>
      <c r="L79" s="2">
        <f t="shared" si="9"/>
        <v>1</v>
      </c>
      <c r="M79" s="2">
        <f t="shared" si="10"/>
        <v>0</v>
      </c>
    </row>
    <row r="80" spans="1:13" ht="14.4" x14ac:dyDescent="0.3">
      <c r="A80" s="2">
        <v>1988</v>
      </c>
      <c r="B80">
        <v>5</v>
      </c>
      <c r="C80">
        <v>5</v>
      </c>
      <c r="D80">
        <v>2</v>
      </c>
      <c r="F80" s="2">
        <v>1988</v>
      </c>
      <c r="G80" s="2">
        <v>1</v>
      </c>
      <c r="H80" s="2">
        <v>1988</v>
      </c>
      <c r="I80" s="2">
        <f t="shared" si="6"/>
        <v>0</v>
      </c>
      <c r="J80" s="2">
        <f t="shared" si="7"/>
        <v>0</v>
      </c>
      <c r="K80" s="2">
        <f t="shared" si="8"/>
        <v>0</v>
      </c>
      <c r="L80" s="2">
        <f t="shared" si="9"/>
        <v>0</v>
      </c>
      <c r="M80" s="2">
        <f t="shared" si="10"/>
        <v>1</v>
      </c>
    </row>
    <row r="81" spans="1:13" ht="14.4" x14ac:dyDescent="0.3">
      <c r="A81" s="2">
        <v>1989</v>
      </c>
      <c r="B81">
        <v>4</v>
      </c>
      <c r="C81">
        <v>5</v>
      </c>
      <c r="D81">
        <v>1</v>
      </c>
      <c r="F81" s="2">
        <v>1989</v>
      </c>
      <c r="G81" s="2">
        <v>1</v>
      </c>
      <c r="H81" s="2">
        <v>1989</v>
      </c>
      <c r="I81" s="2">
        <f t="shared" si="6"/>
        <v>0</v>
      </c>
      <c r="J81" s="2">
        <f t="shared" si="7"/>
        <v>0</v>
      </c>
      <c r="K81" s="2">
        <f t="shared" si="8"/>
        <v>0</v>
      </c>
      <c r="L81" s="2">
        <f t="shared" si="9"/>
        <v>1</v>
      </c>
      <c r="M81" s="2">
        <f t="shared" si="10"/>
        <v>0</v>
      </c>
    </row>
    <row r="82" spans="1:13" ht="14.4" x14ac:dyDescent="0.3">
      <c r="A82" s="2">
        <v>1990</v>
      </c>
      <c r="B82">
        <v>5</v>
      </c>
      <c r="C82">
        <v>5</v>
      </c>
      <c r="D82">
        <v>3</v>
      </c>
      <c r="F82" s="2">
        <v>1990</v>
      </c>
      <c r="G82" s="2">
        <v>1</v>
      </c>
      <c r="H82" s="2">
        <v>1990</v>
      </c>
      <c r="I82" s="2">
        <f t="shared" si="6"/>
        <v>0</v>
      </c>
      <c r="J82" s="2">
        <f t="shared" si="7"/>
        <v>0</v>
      </c>
      <c r="K82" s="2">
        <f t="shared" si="8"/>
        <v>0</v>
      </c>
      <c r="L82" s="2">
        <f t="shared" si="9"/>
        <v>0</v>
      </c>
      <c r="M82" s="2">
        <f t="shared" si="10"/>
        <v>1</v>
      </c>
    </row>
    <row r="83" spans="1:13" ht="14.4" x14ac:dyDescent="0.3">
      <c r="A83" s="2">
        <v>1991</v>
      </c>
      <c r="B83">
        <v>5</v>
      </c>
      <c r="C83">
        <v>5</v>
      </c>
      <c r="D83">
        <v>4</v>
      </c>
      <c r="F83" s="2">
        <v>1991</v>
      </c>
      <c r="G83" s="2">
        <v>1</v>
      </c>
      <c r="H83" s="2">
        <v>1991</v>
      </c>
      <c r="I83" s="2">
        <f t="shared" si="6"/>
        <v>0</v>
      </c>
      <c r="J83" s="2">
        <f t="shared" si="7"/>
        <v>0</v>
      </c>
      <c r="K83" s="2">
        <f t="shared" si="8"/>
        <v>0</v>
      </c>
      <c r="L83" s="2">
        <f t="shared" si="9"/>
        <v>0</v>
      </c>
      <c r="M83" s="2">
        <f t="shared" si="10"/>
        <v>1</v>
      </c>
    </row>
    <row r="84" spans="1:13" ht="14.4" x14ac:dyDescent="0.3">
      <c r="A84" s="2">
        <v>1992</v>
      </c>
      <c r="B84">
        <v>5</v>
      </c>
      <c r="C84">
        <v>5</v>
      </c>
      <c r="D84">
        <v>3</v>
      </c>
      <c r="F84" s="2">
        <v>1992</v>
      </c>
      <c r="G84" s="2">
        <v>1</v>
      </c>
      <c r="H84" s="2">
        <v>1992</v>
      </c>
      <c r="I84" s="2">
        <f t="shared" si="6"/>
        <v>0</v>
      </c>
      <c r="J84" s="2">
        <f t="shared" si="7"/>
        <v>0</v>
      </c>
      <c r="K84" s="2">
        <f t="shared" si="8"/>
        <v>0</v>
      </c>
      <c r="L84" s="2">
        <f t="shared" si="9"/>
        <v>0</v>
      </c>
      <c r="M84" s="2">
        <f t="shared" si="10"/>
        <v>1</v>
      </c>
    </row>
    <row r="85" spans="1:13" ht="14.4" x14ac:dyDescent="0.3">
      <c r="A85" s="2">
        <v>1993</v>
      </c>
      <c r="B85">
        <v>2</v>
      </c>
      <c r="C85">
        <v>2</v>
      </c>
      <c r="D85">
        <v>1</v>
      </c>
      <c r="F85" s="2">
        <v>1993</v>
      </c>
      <c r="G85" s="2">
        <v>0</v>
      </c>
      <c r="H85" s="2">
        <v>1993</v>
      </c>
      <c r="I85" s="2">
        <f t="shared" si="6"/>
        <v>0</v>
      </c>
      <c r="J85" s="2">
        <f t="shared" si="7"/>
        <v>1</v>
      </c>
      <c r="K85" s="2">
        <f t="shared" si="8"/>
        <v>0</v>
      </c>
      <c r="L85" s="2">
        <f t="shared" si="9"/>
        <v>0</v>
      </c>
      <c r="M85" s="2">
        <f t="shared" si="10"/>
        <v>0</v>
      </c>
    </row>
    <row r="86" spans="1:13" ht="14.4" x14ac:dyDescent="0.3">
      <c r="A86" s="2">
        <v>1994</v>
      </c>
      <c r="B86">
        <v>5</v>
      </c>
      <c r="C86">
        <v>5</v>
      </c>
      <c r="D86">
        <v>4</v>
      </c>
      <c r="F86" s="2">
        <v>1994</v>
      </c>
      <c r="G86" s="2">
        <v>0</v>
      </c>
      <c r="H86" s="2">
        <v>1994</v>
      </c>
      <c r="I86" s="2">
        <f t="shared" si="6"/>
        <v>0</v>
      </c>
      <c r="J86" s="2">
        <f t="shared" si="7"/>
        <v>0</v>
      </c>
      <c r="K86" s="2">
        <f t="shared" si="8"/>
        <v>0</v>
      </c>
      <c r="L86" s="2">
        <f t="shared" si="9"/>
        <v>0</v>
      </c>
      <c r="M86" s="2">
        <f t="shared" si="10"/>
        <v>1</v>
      </c>
    </row>
    <row r="87" spans="1:13" ht="14.4" x14ac:dyDescent="0.3">
      <c r="A87" s="2">
        <v>1995</v>
      </c>
      <c r="B87">
        <v>1</v>
      </c>
      <c r="C87">
        <v>1</v>
      </c>
      <c r="D87">
        <v>1</v>
      </c>
      <c r="F87" s="2">
        <v>1995</v>
      </c>
      <c r="G87" s="2">
        <v>0</v>
      </c>
      <c r="H87" s="2">
        <v>1995</v>
      </c>
      <c r="I87" s="2">
        <f t="shared" si="6"/>
        <v>1</v>
      </c>
      <c r="J87" s="2">
        <f t="shared" si="7"/>
        <v>0</v>
      </c>
      <c r="K87" s="2">
        <f t="shared" si="8"/>
        <v>0</v>
      </c>
      <c r="L87" s="2">
        <f t="shared" si="9"/>
        <v>0</v>
      </c>
      <c r="M87" s="2">
        <f t="shared" si="10"/>
        <v>0</v>
      </c>
    </row>
    <row r="88" spans="1:13" ht="14.4" x14ac:dyDescent="0.3">
      <c r="A88" s="2">
        <v>1996</v>
      </c>
      <c r="B88">
        <v>1</v>
      </c>
      <c r="C88">
        <v>1</v>
      </c>
      <c r="D88">
        <v>1</v>
      </c>
      <c r="F88" s="2">
        <v>1996</v>
      </c>
      <c r="G88" s="2">
        <v>0</v>
      </c>
      <c r="H88" s="2">
        <v>1996</v>
      </c>
      <c r="I88" s="2">
        <f t="shared" si="6"/>
        <v>1</v>
      </c>
      <c r="J88" s="2">
        <f t="shared" si="7"/>
        <v>0</v>
      </c>
      <c r="K88" s="2">
        <f t="shared" si="8"/>
        <v>0</v>
      </c>
      <c r="L88" s="2">
        <f t="shared" si="9"/>
        <v>0</v>
      </c>
      <c r="M88" s="2">
        <f t="shared" si="10"/>
        <v>0</v>
      </c>
    </row>
    <row r="89" spans="1:13" ht="14.4" x14ac:dyDescent="0.3">
      <c r="A89" s="2">
        <v>1997</v>
      </c>
      <c r="B89">
        <v>1</v>
      </c>
      <c r="C89">
        <v>1</v>
      </c>
      <c r="D89">
        <v>1</v>
      </c>
      <c r="F89" s="2">
        <v>1997</v>
      </c>
      <c r="G89" s="2">
        <v>0</v>
      </c>
      <c r="H89" s="2">
        <v>1997</v>
      </c>
      <c r="I89" s="2">
        <f t="shared" si="6"/>
        <v>1</v>
      </c>
      <c r="J89" s="2">
        <f t="shared" si="7"/>
        <v>0</v>
      </c>
      <c r="K89" s="2">
        <f t="shared" si="8"/>
        <v>0</v>
      </c>
      <c r="L89" s="2">
        <f t="shared" si="9"/>
        <v>0</v>
      </c>
      <c r="M89" s="2">
        <f t="shared" si="10"/>
        <v>0</v>
      </c>
    </row>
    <row r="90" spans="1:13" ht="14.4" x14ac:dyDescent="0.3">
      <c r="A90" s="2">
        <v>1998</v>
      </c>
      <c r="B90">
        <v>1</v>
      </c>
      <c r="C90">
        <v>1</v>
      </c>
      <c r="D90">
        <v>1</v>
      </c>
      <c r="F90" s="2">
        <v>1998</v>
      </c>
      <c r="G90" s="2">
        <v>0</v>
      </c>
      <c r="H90" s="2">
        <v>1998</v>
      </c>
      <c r="I90" s="2">
        <f t="shared" si="6"/>
        <v>1</v>
      </c>
      <c r="J90" s="2">
        <f t="shared" si="7"/>
        <v>0</v>
      </c>
      <c r="K90" s="2">
        <f t="shared" si="8"/>
        <v>0</v>
      </c>
      <c r="L90" s="2">
        <f t="shared" si="9"/>
        <v>0</v>
      </c>
      <c r="M90" s="2">
        <f t="shared" si="10"/>
        <v>0</v>
      </c>
    </row>
    <row r="91" spans="1:13" ht="14.4" x14ac:dyDescent="0.3">
      <c r="A91" s="2">
        <v>1999</v>
      </c>
      <c r="B91">
        <v>1</v>
      </c>
      <c r="C91">
        <v>2</v>
      </c>
      <c r="D91">
        <v>1</v>
      </c>
      <c r="F91" s="2">
        <v>1999</v>
      </c>
      <c r="G91" s="2">
        <v>0</v>
      </c>
      <c r="H91" s="2">
        <v>1999</v>
      </c>
      <c r="I91" s="2">
        <f t="shared" si="6"/>
        <v>1</v>
      </c>
      <c r="J91" s="2">
        <f t="shared" si="7"/>
        <v>0</v>
      </c>
      <c r="K91" s="2">
        <f t="shared" si="8"/>
        <v>0</v>
      </c>
      <c r="L91" s="2">
        <f t="shared" si="9"/>
        <v>0</v>
      </c>
      <c r="M91" s="2">
        <f t="shared" si="10"/>
        <v>0</v>
      </c>
    </row>
    <row r="92" spans="1:13" ht="14.4" x14ac:dyDescent="0.3">
      <c r="A92" s="2">
        <v>2000</v>
      </c>
      <c r="B92">
        <v>2</v>
      </c>
      <c r="C92">
        <v>2</v>
      </c>
      <c r="D92">
        <v>1</v>
      </c>
      <c r="F92" s="2">
        <v>2000</v>
      </c>
      <c r="G92" s="2">
        <v>0</v>
      </c>
      <c r="H92" s="2">
        <v>2000</v>
      </c>
      <c r="I92" s="2">
        <f t="shared" si="6"/>
        <v>0</v>
      </c>
      <c r="J92" s="2">
        <f t="shared" si="7"/>
        <v>1</v>
      </c>
      <c r="K92" s="2">
        <f t="shared" si="8"/>
        <v>0</v>
      </c>
      <c r="L92" s="2">
        <f t="shared" si="9"/>
        <v>0</v>
      </c>
      <c r="M92" s="2">
        <f t="shared" si="10"/>
        <v>0</v>
      </c>
    </row>
    <row r="93" spans="1:13" ht="14.4" x14ac:dyDescent="0.3">
      <c r="A93" s="2">
        <v>2001</v>
      </c>
      <c r="B93">
        <v>4</v>
      </c>
      <c r="C93">
        <v>5</v>
      </c>
      <c r="D93">
        <v>2</v>
      </c>
      <c r="F93" s="2">
        <v>2001</v>
      </c>
      <c r="G93" s="2">
        <v>0</v>
      </c>
      <c r="H93" s="2">
        <v>2001</v>
      </c>
      <c r="I93" s="2">
        <f t="shared" si="6"/>
        <v>0</v>
      </c>
      <c r="J93" s="2">
        <f t="shared" si="7"/>
        <v>0</v>
      </c>
      <c r="K93" s="2">
        <f t="shared" si="8"/>
        <v>0</v>
      </c>
      <c r="L93" s="2">
        <f t="shared" si="9"/>
        <v>1</v>
      </c>
      <c r="M93" s="2">
        <f t="shared" si="10"/>
        <v>0</v>
      </c>
    </row>
    <row r="94" spans="1:13" ht="14.4" x14ac:dyDescent="0.3">
      <c r="A94" s="2">
        <v>2002</v>
      </c>
      <c r="B94">
        <v>4</v>
      </c>
      <c r="C94">
        <v>5</v>
      </c>
      <c r="D94">
        <v>1</v>
      </c>
      <c r="F94" s="2">
        <v>2002</v>
      </c>
      <c r="G94" s="2">
        <v>0</v>
      </c>
      <c r="H94" s="2">
        <v>2002</v>
      </c>
      <c r="I94" s="2">
        <f t="shared" si="6"/>
        <v>0</v>
      </c>
      <c r="J94" s="2">
        <f t="shared" si="7"/>
        <v>0</v>
      </c>
      <c r="K94" s="2">
        <f t="shared" si="8"/>
        <v>0</v>
      </c>
      <c r="L94" s="2">
        <f t="shared" si="9"/>
        <v>1</v>
      </c>
      <c r="M94" s="2">
        <f t="shared" si="10"/>
        <v>0</v>
      </c>
    </row>
    <row r="95" spans="1:13" ht="14.4" x14ac:dyDescent="0.3">
      <c r="A95" s="2">
        <v>2003</v>
      </c>
      <c r="B95">
        <v>2</v>
      </c>
      <c r="C95">
        <v>3</v>
      </c>
      <c r="D95">
        <v>1</v>
      </c>
      <c r="F95" s="2">
        <v>2003</v>
      </c>
      <c r="G95" s="2">
        <v>0</v>
      </c>
      <c r="H95" s="2">
        <v>2003</v>
      </c>
      <c r="I95" s="2">
        <f t="shared" si="6"/>
        <v>0</v>
      </c>
      <c r="J95" s="2">
        <f t="shared" si="7"/>
        <v>1</v>
      </c>
      <c r="K95" s="2">
        <f t="shared" si="8"/>
        <v>0</v>
      </c>
      <c r="L95" s="2">
        <f t="shared" si="9"/>
        <v>0</v>
      </c>
      <c r="M95" s="2">
        <f t="shared" si="10"/>
        <v>0</v>
      </c>
    </row>
    <row r="96" spans="1:13" ht="14.4" x14ac:dyDescent="0.3">
      <c r="B96">
        <v>3</v>
      </c>
      <c r="C96">
        <v>4</v>
      </c>
      <c r="D96">
        <v>1</v>
      </c>
    </row>
    <row r="890" spans="1:3" x14ac:dyDescent="0.25">
      <c r="A890" s="17"/>
      <c r="B890" s="17"/>
      <c r="C890" s="17"/>
    </row>
    <row r="891" spans="1:3" x14ac:dyDescent="0.25">
      <c r="A891" s="17"/>
      <c r="B891" s="17"/>
      <c r="C891" s="17"/>
    </row>
    <row r="892" spans="1:3" x14ac:dyDescent="0.25">
      <c r="A892" s="17"/>
      <c r="B892" s="17"/>
      <c r="C892" s="17"/>
    </row>
    <row r="893" spans="1:3" x14ac:dyDescent="0.25">
      <c r="A893" s="17"/>
      <c r="B893" s="17"/>
      <c r="C893" s="17"/>
    </row>
    <row r="894" spans="1:3" x14ac:dyDescent="0.25">
      <c r="A894" s="17"/>
      <c r="B894" s="17"/>
      <c r="C894" s="17"/>
    </row>
    <row r="895" spans="1:3" x14ac:dyDescent="0.25">
      <c r="A895" s="17"/>
      <c r="B895" s="17"/>
      <c r="C895" s="17"/>
    </row>
    <row r="896" spans="1:3" x14ac:dyDescent="0.25">
      <c r="A896" s="17"/>
      <c r="B896" s="17"/>
      <c r="C896" s="17"/>
    </row>
    <row r="897" spans="1:3" x14ac:dyDescent="0.25">
      <c r="A897" s="17"/>
      <c r="B897" s="17"/>
      <c r="C897" s="17"/>
    </row>
    <row r="898" spans="1:3" x14ac:dyDescent="0.25">
      <c r="A898" s="17"/>
      <c r="B898" s="17"/>
      <c r="C898" s="17"/>
    </row>
    <row r="899" spans="1:3" x14ac:dyDescent="0.25">
      <c r="A899" s="17"/>
      <c r="B899" s="17"/>
      <c r="C899" s="17"/>
    </row>
    <row r="900" spans="1:3" x14ac:dyDescent="0.25">
      <c r="A900" s="17"/>
      <c r="B900" s="17"/>
      <c r="C900" s="17"/>
    </row>
    <row r="901" spans="1:3" x14ac:dyDescent="0.25">
      <c r="A901" s="17"/>
      <c r="B901" s="17"/>
      <c r="C901" s="17"/>
    </row>
    <row r="902" spans="1:3" x14ac:dyDescent="0.25">
      <c r="A902" s="17"/>
      <c r="B902" s="17"/>
      <c r="C902" s="17"/>
    </row>
    <row r="903" spans="1:3" x14ac:dyDescent="0.25">
      <c r="A903" s="17"/>
      <c r="B903" s="17"/>
      <c r="C903" s="17"/>
    </row>
    <row r="904" spans="1:3" x14ac:dyDescent="0.25">
      <c r="A904" s="17"/>
      <c r="B904" s="17"/>
      <c r="C904" s="17"/>
    </row>
    <row r="905" spans="1:3" x14ac:dyDescent="0.25">
      <c r="A905" s="17"/>
      <c r="B905" s="17"/>
      <c r="C905" s="17"/>
    </row>
    <row r="906" spans="1:3" x14ac:dyDescent="0.25">
      <c r="A906" s="17"/>
      <c r="B906" s="17"/>
      <c r="C906" s="17"/>
    </row>
    <row r="907" spans="1:3" x14ac:dyDescent="0.25">
      <c r="A907" s="17"/>
      <c r="B907" s="17"/>
      <c r="C907" s="17"/>
    </row>
    <row r="908" spans="1:3" x14ac:dyDescent="0.25">
      <c r="A908" s="17"/>
      <c r="B908" s="17"/>
      <c r="C908" s="17"/>
    </row>
    <row r="909" spans="1:3" x14ac:dyDescent="0.25">
      <c r="A909" s="17"/>
      <c r="B909" s="17"/>
      <c r="C909" s="17"/>
    </row>
    <row r="910" spans="1:3" x14ac:dyDescent="0.25">
      <c r="A910" s="17"/>
      <c r="B910" s="17"/>
      <c r="C910" s="17"/>
    </row>
    <row r="911" spans="1:3" x14ac:dyDescent="0.25">
      <c r="A911" s="17"/>
      <c r="B911" s="17"/>
      <c r="C911" s="17"/>
    </row>
    <row r="912" spans="1:3" x14ac:dyDescent="0.25">
      <c r="A912" s="17"/>
      <c r="B912" s="17"/>
      <c r="C912" s="17"/>
    </row>
    <row r="913" spans="1:3" x14ac:dyDescent="0.25">
      <c r="A913" s="17"/>
      <c r="B913" s="17"/>
      <c r="C913" s="17"/>
    </row>
    <row r="914" spans="1:3" x14ac:dyDescent="0.25">
      <c r="A914" s="17"/>
      <c r="B914" s="17"/>
      <c r="C914" s="17"/>
    </row>
    <row r="915" spans="1:3" x14ac:dyDescent="0.25">
      <c r="A915" s="17"/>
      <c r="B915" s="17"/>
      <c r="C915" s="17"/>
    </row>
    <row r="916" spans="1:3" x14ac:dyDescent="0.25">
      <c r="A916" s="17"/>
      <c r="B916" s="17"/>
      <c r="C916" s="17"/>
    </row>
    <row r="917" spans="1:3" x14ac:dyDescent="0.25">
      <c r="A917" s="17"/>
      <c r="B917" s="17"/>
      <c r="C917" s="17"/>
    </row>
    <row r="918" spans="1:3" x14ac:dyDescent="0.25">
      <c r="A918" s="17"/>
      <c r="B918" s="17"/>
      <c r="C918" s="17"/>
    </row>
    <row r="919" spans="1:3" x14ac:dyDescent="0.25">
      <c r="A919" s="17"/>
      <c r="B919" s="17"/>
      <c r="C919" s="17"/>
    </row>
    <row r="920" spans="1:3" x14ac:dyDescent="0.25">
      <c r="A920" s="17"/>
      <c r="B920" s="17"/>
      <c r="C920" s="17"/>
    </row>
    <row r="921" spans="1:3" x14ac:dyDescent="0.25">
      <c r="A921" s="17"/>
      <c r="B921" s="17"/>
      <c r="C921" s="17"/>
    </row>
    <row r="922" spans="1:3" x14ac:dyDescent="0.25">
      <c r="A922" s="17"/>
      <c r="B922" s="17"/>
      <c r="C922" s="17"/>
    </row>
    <row r="923" spans="1:3" x14ac:dyDescent="0.25">
      <c r="A923" s="17"/>
      <c r="B923" s="17"/>
      <c r="C923" s="17"/>
    </row>
    <row r="924" spans="1:3" x14ac:dyDescent="0.25">
      <c r="A924" s="17"/>
      <c r="B924" s="17"/>
      <c r="C924" s="17"/>
    </row>
    <row r="925" spans="1:3" x14ac:dyDescent="0.25">
      <c r="A925" s="17"/>
      <c r="B925" s="17"/>
      <c r="C925" s="17"/>
    </row>
    <row r="926" spans="1:3" x14ac:dyDescent="0.25">
      <c r="A926" s="17"/>
      <c r="B926" s="17"/>
      <c r="C926" s="17"/>
    </row>
    <row r="927" spans="1:3" x14ac:dyDescent="0.25">
      <c r="A927" s="17"/>
      <c r="B927" s="17"/>
      <c r="C927" s="17"/>
    </row>
    <row r="928" spans="1:3" x14ac:dyDescent="0.25">
      <c r="A928" s="17"/>
      <c r="B928" s="17"/>
      <c r="C928" s="17"/>
    </row>
    <row r="929" spans="1:3" x14ac:dyDescent="0.25">
      <c r="A929" s="17"/>
      <c r="B929" s="17"/>
      <c r="C929" s="17"/>
    </row>
    <row r="930" spans="1:3" x14ac:dyDescent="0.25">
      <c r="A930" s="17"/>
      <c r="B930" s="17"/>
      <c r="C930" s="17"/>
    </row>
    <row r="931" spans="1:3" x14ac:dyDescent="0.25">
      <c r="A931" s="17"/>
      <c r="B931" s="17"/>
      <c r="C931" s="17"/>
    </row>
    <row r="932" spans="1:3" x14ac:dyDescent="0.25">
      <c r="A932" s="17"/>
      <c r="B932" s="17"/>
      <c r="C932" s="17"/>
    </row>
    <row r="933" spans="1:3" x14ac:dyDescent="0.25">
      <c r="A933" s="17"/>
      <c r="B933" s="17"/>
      <c r="C933" s="17"/>
    </row>
    <row r="934" spans="1:3" x14ac:dyDescent="0.25">
      <c r="A934" s="17"/>
      <c r="B934" s="17"/>
      <c r="C934" s="17"/>
    </row>
    <row r="935" spans="1:3" x14ac:dyDescent="0.25">
      <c r="A935" s="17"/>
      <c r="B935" s="17"/>
      <c r="C935" s="17"/>
    </row>
    <row r="936" spans="1:3" x14ac:dyDescent="0.25">
      <c r="A936" s="17"/>
      <c r="B936" s="17"/>
      <c r="C936" s="17"/>
    </row>
  </sheetData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4FF10-7717-4050-A7D5-339A85C744D9}">
  <sheetPr>
    <tabColor theme="5"/>
  </sheetPr>
  <dimension ref="A1:AE54"/>
  <sheetViews>
    <sheetView topLeftCell="A16" zoomScaleNormal="100" workbookViewId="0">
      <selection activeCell="K14" sqref="K14"/>
    </sheetView>
  </sheetViews>
  <sheetFormatPr defaultRowHeight="13.8" x14ac:dyDescent="0.3"/>
  <cols>
    <col min="1" max="1" width="20.77734375" style="59" bestFit="1" customWidth="1"/>
    <col min="2" max="2" width="12.33203125" style="59" customWidth="1"/>
    <col min="3" max="3" width="13.5546875" style="59" bestFit="1" customWidth="1"/>
    <col min="4" max="4" width="15.77734375" style="59" customWidth="1"/>
    <col min="5" max="5" width="12.33203125" style="59" customWidth="1"/>
    <col min="6" max="6" width="13.5546875" style="59" bestFit="1" customWidth="1"/>
    <col min="7" max="7" width="15.77734375" style="59" customWidth="1"/>
    <col min="8" max="8" width="12.33203125" style="59" customWidth="1"/>
    <col min="9" max="9" width="13.5546875" style="59" bestFit="1" customWidth="1"/>
    <col min="10" max="10" width="15.77734375" style="59" customWidth="1"/>
    <col min="11" max="11" width="12.33203125" style="59" customWidth="1"/>
    <col min="12" max="12" width="13.5546875" style="59" bestFit="1" customWidth="1"/>
    <col min="13" max="13" width="15.77734375" style="59" customWidth="1"/>
    <col min="14" max="14" width="12.33203125" style="59" customWidth="1"/>
    <col min="15" max="15" width="13.5546875" style="59" bestFit="1" customWidth="1"/>
    <col min="16" max="16" width="15.77734375" style="59" customWidth="1"/>
    <col min="17" max="17" width="12.33203125" style="59" customWidth="1"/>
    <col min="18" max="18" width="13.5546875" style="59" customWidth="1"/>
    <col min="19" max="19" width="15.77734375" style="59" customWidth="1"/>
    <col min="20" max="20" width="12.33203125" style="59" customWidth="1"/>
    <col min="21" max="21" width="13.5546875" style="59" customWidth="1"/>
    <col min="22" max="22" width="15.77734375" style="59" customWidth="1"/>
    <col min="23" max="23" width="12.33203125" style="59" customWidth="1"/>
    <col min="24" max="24" width="13.5546875" style="59" customWidth="1"/>
    <col min="25" max="25" width="15.77734375" style="59" customWidth="1"/>
    <col min="26" max="16384" width="8.88671875" style="59"/>
  </cols>
  <sheetData>
    <row r="1" spans="1:31" ht="13.8" customHeight="1" x14ac:dyDescent="0.3">
      <c r="B1" s="112" t="s">
        <v>108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4" t="s">
        <v>118</v>
      </c>
      <c r="U1" s="114"/>
      <c r="V1" s="114"/>
      <c r="W1" s="114"/>
      <c r="X1" s="114"/>
      <c r="Y1" s="114"/>
      <c r="Z1" s="75"/>
      <c r="AA1" s="75"/>
      <c r="AB1" s="75"/>
      <c r="AC1" s="75"/>
      <c r="AD1" s="75"/>
      <c r="AE1" s="75"/>
    </row>
    <row r="2" spans="1:31" ht="27.6" customHeight="1" x14ac:dyDescent="0.3">
      <c r="B2" s="99" t="str">
        <f>ChartData!C1</f>
        <v>Initial Concept - no Delevan Pipeline</v>
      </c>
      <c r="C2" s="99"/>
      <c r="D2" s="99"/>
      <c r="E2" s="99" t="str">
        <f>ChartData!D1</f>
        <v>Initial Concept - 1 pipe Delevan Pipeline</v>
      </c>
      <c r="F2" s="99"/>
      <c r="G2" s="99"/>
      <c r="H2" s="99" t="str">
        <f>ChartData!E1</f>
        <v>Initial Concept - 2 pipe Delevan Pipeline</v>
      </c>
      <c r="I2" s="99"/>
      <c r="J2" s="99"/>
      <c r="K2" s="99" t="str">
        <f>ChartData!F1</f>
        <v>[Sensitivity] Exchanges allowed in Below Normal years</v>
      </c>
      <c r="L2" s="99"/>
      <c r="M2" s="99"/>
      <c r="N2" s="99" t="str">
        <f>ChartData!G1</f>
        <v>[Sensitivity] Exchanges assumed to occur under UWFE conditions as well</v>
      </c>
      <c r="O2" s="99"/>
      <c r="P2" s="99"/>
      <c r="Q2" s="99" t="str">
        <f>ChartData!H1</f>
        <v>[Sensitivity] Releases allowed through December</v>
      </c>
      <c r="R2" s="99"/>
      <c r="S2" s="99"/>
      <c r="T2" s="99" t="str">
        <f>ChartData!I1</f>
        <v>[Sensitivity] Releases required to have habitat benefit, allowed through December</v>
      </c>
      <c r="U2" s="99"/>
      <c r="V2" s="99"/>
      <c r="W2" s="113" t="str">
        <f>ChartData!J1</f>
        <v>[Sensitivity] Releases required to have habitat benefit, allowed through December, Storage RPA control</v>
      </c>
      <c r="X2" s="113"/>
      <c r="Y2" s="113"/>
    </row>
    <row r="3" spans="1:31" ht="13.8" customHeight="1" x14ac:dyDescent="0.3">
      <c r="A3" s="60"/>
      <c r="B3" s="99" t="s">
        <v>105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 t="s">
        <v>105</v>
      </c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31" ht="14.4" customHeight="1" x14ac:dyDescent="0.3">
      <c r="B4" s="99" t="s">
        <v>119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 t="s">
        <v>119</v>
      </c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</row>
    <row r="5" spans="1:31" ht="14.4" customHeight="1" x14ac:dyDescent="0.3">
      <c r="B5" s="99" t="s">
        <v>120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 t="s">
        <v>120</v>
      </c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1" ht="13.8" customHeight="1" x14ac:dyDescent="0.3">
      <c r="B6" s="99" t="s">
        <v>106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 t="s">
        <v>106</v>
      </c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</row>
    <row r="7" spans="1:31" ht="14.4" customHeight="1" x14ac:dyDescent="0.3">
      <c r="B7" s="99" t="s">
        <v>147</v>
      </c>
      <c r="C7" s="99"/>
      <c r="D7" s="99"/>
      <c r="E7" s="99" t="s">
        <v>148</v>
      </c>
      <c r="F7" s="99"/>
      <c r="G7" s="99"/>
      <c r="H7" s="99" t="s">
        <v>149</v>
      </c>
      <c r="I7" s="99"/>
      <c r="J7" s="99"/>
      <c r="K7" s="99" t="s">
        <v>149</v>
      </c>
      <c r="L7" s="99"/>
      <c r="M7" s="99"/>
      <c r="N7" s="110" t="s">
        <v>149</v>
      </c>
      <c r="O7" s="111"/>
      <c r="P7" s="111"/>
      <c r="Q7" s="110" t="s">
        <v>149</v>
      </c>
      <c r="R7" s="111"/>
      <c r="S7" s="111"/>
      <c r="T7" s="110" t="s">
        <v>149</v>
      </c>
      <c r="U7" s="111"/>
      <c r="V7" s="111"/>
      <c r="W7" s="99" t="s">
        <v>149</v>
      </c>
      <c r="X7" s="99"/>
      <c r="Y7" s="99"/>
    </row>
    <row r="8" spans="1:31" ht="13.8" customHeight="1" x14ac:dyDescent="0.3">
      <c r="B8" s="108" t="s">
        <v>110</v>
      </c>
      <c r="C8" s="108"/>
      <c r="D8" s="108"/>
      <c r="E8" s="108" t="s">
        <v>110</v>
      </c>
      <c r="F8" s="108"/>
      <c r="G8" s="108"/>
      <c r="H8" s="108" t="s">
        <v>110</v>
      </c>
      <c r="I8" s="108"/>
      <c r="J8" s="108"/>
      <c r="K8" s="108" t="s">
        <v>110</v>
      </c>
      <c r="L8" s="108"/>
      <c r="M8" s="108"/>
      <c r="N8" s="105" t="s">
        <v>110</v>
      </c>
      <c r="O8" s="106"/>
      <c r="P8" s="107"/>
      <c r="Q8" s="105" t="s">
        <v>110</v>
      </c>
      <c r="R8" s="106"/>
      <c r="S8" s="107"/>
      <c r="T8" s="105" t="s">
        <v>109</v>
      </c>
      <c r="U8" s="106"/>
      <c r="V8" s="107"/>
      <c r="W8" s="105" t="s">
        <v>109</v>
      </c>
      <c r="X8" s="106"/>
      <c r="Y8" s="107"/>
    </row>
    <row r="9" spans="1:31" ht="13.8" customHeight="1" x14ac:dyDescent="0.3">
      <c r="B9" s="108" t="s">
        <v>107</v>
      </c>
      <c r="C9" s="108"/>
      <c r="D9" s="108"/>
      <c r="E9" s="108" t="s">
        <v>107</v>
      </c>
      <c r="F9" s="108"/>
      <c r="G9" s="108"/>
      <c r="H9" s="108" t="s">
        <v>107</v>
      </c>
      <c r="I9" s="108"/>
      <c r="J9" s="108"/>
      <c r="K9" s="109" t="s">
        <v>150</v>
      </c>
      <c r="L9" s="109"/>
      <c r="M9" s="109"/>
      <c r="N9" s="105" t="s">
        <v>107</v>
      </c>
      <c r="O9" s="106"/>
      <c r="P9" s="107"/>
      <c r="Q9" s="105" t="s">
        <v>107</v>
      </c>
      <c r="R9" s="106"/>
      <c r="S9" s="107"/>
      <c r="T9" s="105" t="s">
        <v>107</v>
      </c>
      <c r="U9" s="106"/>
      <c r="V9" s="107"/>
      <c r="W9" s="105" t="s">
        <v>107</v>
      </c>
      <c r="X9" s="106"/>
      <c r="Y9" s="107"/>
    </row>
    <row r="10" spans="1:31" ht="7.95" customHeight="1" x14ac:dyDescent="0.3"/>
    <row r="11" spans="1:31" x14ac:dyDescent="0.3">
      <c r="A11" s="59" t="s">
        <v>91</v>
      </c>
      <c r="B11" s="101" t="s">
        <v>111</v>
      </c>
      <c r="C11" s="102"/>
      <c r="E11" s="101" t="s">
        <v>111</v>
      </c>
      <c r="F11" s="102"/>
      <c r="H11" s="101" t="s">
        <v>111</v>
      </c>
      <c r="I11" s="102"/>
      <c r="K11" s="101" t="s">
        <v>111</v>
      </c>
      <c r="L11" s="102"/>
      <c r="N11" s="101" t="s">
        <v>111</v>
      </c>
      <c r="O11" s="102"/>
      <c r="Q11" s="101" t="s">
        <v>111</v>
      </c>
      <c r="R11" s="102"/>
      <c r="T11" s="101" t="s">
        <v>111</v>
      </c>
      <c r="U11" s="102"/>
      <c r="W11" s="101" t="s">
        <v>111</v>
      </c>
      <c r="X11" s="102"/>
    </row>
    <row r="12" spans="1:31" x14ac:dyDescent="0.3">
      <c r="A12" s="61" t="s">
        <v>92</v>
      </c>
      <c r="B12" s="62" t="s">
        <v>46</v>
      </c>
      <c r="C12" s="91">
        <f>IF('Calc-Upper2+NoPipe'!$C3=99999,"No Rule",'Calc-Upper2+NoPipe'!$C3)</f>
        <v>6000</v>
      </c>
      <c r="E12" s="62" t="s">
        <v>46</v>
      </c>
      <c r="F12" s="91">
        <f>IF('Calc-Upper2+1pipe'!$C3=99999,"No Rule",'Calc-Upper2+1pipe'!$C3)</f>
        <v>6000</v>
      </c>
      <c r="H12" s="62" t="s">
        <v>46</v>
      </c>
      <c r="I12" s="91">
        <f>IF('Calc-Upper2+'!$C3=99999,"No Rule",'Calc-Upper2+'!$C3)</f>
        <v>6000</v>
      </c>
      <c r="K12" s="62" t="s">
        <v>46</v>
      </c>
      <c r="L12" s="91">
        <f>IF('Calc-Upper2+BN'!$C3=99999,"No Rule",'Calc-Upper2+BN'!$C3)</f>
        <v>6000</v>
      </c>
      <c r="N12" s="62" t="s">
        <v>46</v>
      </c>
      <c r="O12" s="91">
        <f>IF('Calc-Upper2+UWFE'!$C3=99999,"No Rule",'Calc-Upper2+UWFE'!$C3)</f>
        <v>6000</v>
      </c>
      <c r="Q12" s="62" t="s">
        <v>46</v>
      </c>
      <c r="R12" s="91">
        <f>IF('Calc-Upper2+Dec'!$C3=99999,"No Rule",'Calc-Upper2+Dec'!$C3)</f>
        <v>6000</v>
      </c>
      <c r="T12" s="62" t="s">
        <v>46</v>
      </c>
      <c r="U12" s="91">
        <f>IF('Calc-Upper1+'!$C3=99999,"No Rule",'Calc-Upper1+'!$C3)</f>
        <v>6000</v>
      </c>
      <c r="W12" s="62" t="s">
        <v>46</v>
      </c>
      <c r="X12" s="91">
        <f>IF('Calc-Upper1+SHA'!$C3=99999,"No Rule",'Calc-Upper1+SHA'!$C3)</f>
        <v>6000</v>
      </c>
    </row>
    <row r="13" spans="1:31" x14ac:dyDescent="0.3">
      <c r="A13" s="59" t="s">
        <v>96</v>
      </c>
      <c r="B13" s="64" t="s">
        <v>37</v>
      </c>
      <c r="C13" s="91">
        <f>IF('Calc-Upper2+NoPipe'!$C4=99999,"No Rule",'Calc-Upper2+NoPipe'!$C4)</f>
        <v>6000</v>
      </c>
      <c r="E13" s="64" t="s">
        <v>37</v>
      </c>
      <c r="F13" s="91">
        <f>IF('Calc-Upper2+1pipe'!$C4=99999,"No Rule",'Calc-Upper2+1pipe'!$C4)</f>
        <v>6000</v>
      </c>
      <c r="H13" s="64" t="s">
        <v>37</v>
      </c>
      <c r="I13" s="91">
        <f>IF('Calc-Upper2+'!$C4=99999,"No Rule",'Calc-Upper2+'!$C4)</f>
        <v>6000</v>
      </c>
      <c r="K13" s="64" t="s">
        <v>37</v>
      </c>
      <c r="L13" s="91">
        <f>IF('Calc-Upper2+BN'!$C4=99999,"No Rule",'Calc-Upper2+BN'!$C4)</f>
        <v>6000</v>
      </c>
      <c r="N13" s="64" t="s">
        <v>37</v>
      </c>
      <c r="O13" s="91">
        <f>IF('Calc-Upper2+UWFE'!$C4=99999,"No Rule",'Calc-Upper2+UWFE'!$C4)</f>
        <v>6000</v>
      </c>
      <c r="Q13" s="64" t="s">
        <v>37</v>
      </c>
      <c r="R13" s="91">
        <f>IF('Calc-Upper2+Dec'!$C4=99999,"No Rule",'Calc-Upper2+Dec'!$C4)</f>
        <v>6000</v>
      </c>
      <c r="T13" s="64" t="s">
        <v>37</v>
      </c>
      <c r="U13" s="91">
        <f>IF('Calc-Upper1+'!$C4=99999,"No Rule",'Calc-Upper1+'!$C4)</f>
        <v>6000</v>
      </c>
      <c r="W13" s="64" t="s">
        <v>37</v>
      </c>
      <c r="X13" s="91">
        <f>IF('Calc-Upper1+SHA'!$C4=99999,"No Rule",'Calc-Upper1+SHA'!$C4)</f>
        <v>6000</v>
      </c>
    </row>
    <row r="14" spans="1:31" x14ac:dyDescent="0.3">
      <c r="A14" s="61" t="s">
        <v>93</v>
      </c>
      <c r="B14" s="64" t="s">
        <v>38</v>
      </c>
      <c r="C14" s="91">
        <f>IF('Calc-Upper2+NoPipe'!$C5=99999,"No Rule",'Calc-Upper2+NoPipe'!$C5)</f>
        <v>10000</v>
      </c>
      <c r="E14" s="64" t="s">
        <v>38</v>
      </c>
      <c r="F14" s="91">
        <f>IF('Calc-Upper2+1pipe'!$C5=99999,"No Rule",'Calc-Upper2+1pipe'!$C5)</f>
        <v>10000</v>
      </c>
      <c r="H14" s="64" t="s">
        <v>38</v>
      </c>
      <c r="I14" s="91">
        <f>IF('Calc-Upper2+'!$C5=99999,"No Rule",'Calc-Upper2+'!$C5)</f>
        <v>10000</v>
      </c>
      <c r="K14" s="64" t="s">
        <v>38</v>
      </c>
      <c r="L14" s="91">
        <f>IF('Calc-Upper2+BN'!$C5=99999,"No Rule",'Calc-Upper2+BN'!$C5)</f>
        <v>10000</v>
      </c>
      <c r="N14" s="64" t="s">
        <v>38</v>
      </c>
      <c r="O14" s="91">
        <f>IF('Calc-Upper2+UWFE'!$C5=99999,"No Rule",'Calc-Upper2+UWFE'!$C5)</f>
        <v>10000</v>
      </c>
      <c r="Q14" s="64" t="s">
        <v>38</v>
      </c>
      <c r="R14" s="91">
        <f>IF('Calc-Upper2+Dec'!$C5=99999,"No Rule",'Calc-Upper2+Dec'!$C5)</f>
        <v>10000</v>
      </c>
      <c r="T14" s="64" t="s">
        <v>38</v>
      </c>
      <c r="U14" s="91">
        <f>IF('Calc-Upper1+'!$C5=99999,"No Rule",'Calc-Upper1+'!$C5)</f>
        <v>10000</v>
      </c>
      <c r="W14" s="64" t="s">
        <v>38</v>
      </c>
      <c r="X14" s="91">
        <f>IF('Calc-Upper1+SHA'!$C5=99999,"No Rule",'Calc-Upper1+SHA'!$C5)</f>
        <v>10000</v>
      </c>
    </row>
    <row r="15" spans="1:31" x14ac:dyDescent="0.3">
      <c r="B15" s="64" t="s">
        <v>39</v>
      </c>
      <c r="C15" s="91">
        <f>IF('Calc-Upper2+NoPipe'!$C6=99999,"No Rule",'Calc-Upper2+NoPipe'!$C6)</f>
        <v>12000</v>
      </c>
      <c r="E15" s="64" t="s">
        <v>39</v>
      </c>
      <c r="F15" s="91">
        <f>IF('Calc-Upper2+1pipe'!$C6=99999,"No Rule",'Calc-Upper2+1pipe'!$C6)</f>
        <v>12000</v>
      </c>
      <c r="H15" s="64" t="s">
        <v>39</v>
      </c>
      <c r="I15" s="91">
        <f>IF('Calc-Upper2+'!$C6=99999,"No Rule",'Calc-Upper2+'!$C6)</f>
        <v>12000</v>
      </c>
      <c r="K15" s="64" t="s">
        <v>39</v>
      </c>
      <c r="L15" s="91">
        <f>IF('Calc-Upper2+BN'!$C6=99999,"No Rule",'Calc-Upper2+BN'!$C6)</f>
        <v>12000</v>
      </c>
      <c r="N15" s="64" t="s">
        <v>39</v>
      </c>
      <c r="O15" s="91">
        <f>IF('Calc-Upper2+UWFE'!$C6=99999,"No Rule",'Calc-Upper2+UWFE'!$C6)</f>
        <v>12000</v>
      </c>
      <c r="Q15" s="64" t="s">
        <v>39</v>
      </c>
      <c r="R15" s="91">
        <f>IF('Calc-Upper2+Dec'!$C6=99999,"No Rule",'Calc-Upper2+Dec'!$C6)</f>
        <v>12000</v>
      </c>
      <c r="T15" s="64" t="s">
        <v>39</v>
      </c>
      <c r="U15" s="91">
        <f>IF('Calc-Upper1+'!$C6=99999,"No Rule",'Calc-Upper1+'!$C6)</f>
        <v>12000</v>
      </c>
      <c r="W15" s="64" t="s">
        <v>39</v>
      </c>
      <c r="X15" s="91">
        <f>IF('Calc-Upper1+SHA'!$C6=99999,"No Rule",'Calc-Upper1+SHA'!$C6)</f>
        <v>12000</v>
      </c>
    </row>
    <row r="16" spans="1:31" ht="7.95" customHeight="1" x14ac:dyDescent="0.3"/>
    <row r="17" spans="1:24" x14ac:dyDescent="0.3">
      <c r="A17" s="59" t="s">
        <v>91</v>
      </c>
      <c r="B17" s="101" t="s">
        <v>112</v>
      </c>
      <c r="C17" s="102"/>
      <c r="E17" s="101" t="s">
        <v>112</v>
      </c>
      <c r="F17" s="102"/>
      <c r="H17" s="101" t="s">
        <v>112</v>
      </c>
      <c r="I17" s="102"/>
      <c r="K17" s="101" t="s">
        <v>112</v>
      </c>
      <c r="L17" s="102"/>
      <c r="N17" s="101" t="s">
        <v>112</v>
      </c>
      <c r="O17" s="102"/>
      <c r="Q17" s="101" t="s">
        <v>112</v>
      </c>
      <c r="R17" s="102"/>
      <c r="T17" s="101" t="s">
        <v>112</v>
      </c>
      <c r="U17" s="102"/>
      <c r="W17" s="101" t="s">
        <v>112</v>
      </c>
      <c r="X17" s="102"/>
    </row>
    <row r="18" spans="1:24" x14ac:dyDescent="0.3">
      <c r="A18" s="61" t="s">
        <v>94</v>
      </c>
      <c r="B18" s="65" t="s">
        <v>46</v>
      </c>
      <c r="C18" s="63" t="str">
        <f>IF('Calc-Upper2+NoPipe'!$F3=99999,"No Rule",'Calc-Upper2+NoPipe'!$F3)</f>
        <v>No Rule</v>
      </c>
      <c r="E18" s="65" t="s">
        <v>46</v>
      </c>
      <c r="F18" s="63" t="str">
        <f>IF('Calc-Upper2+1pipe'!$F3=99999,"No Rule",'Calc-Upper2+1pipe'!$F3)</f>
        <v>No Rule</v>
      </c>
      <c r="H18" s="65" t="s">
        <v>46</v>
      </c>
      <c r="I18" s="63" t="str">
        <f>IF('Calc-Upper2+'!$F3=99999,"No Rule",'Calc-Upper2+'!$F3)</f>
        <v>No Rule</v>
      </c>
      <c r="K18" s="65" t="s">
        <v>46</v>
      </c>
      <c r="L18" s="63" t="str">
        <f>IF('Calc-Upper2+BN'!$F3=99999,"No Rule",'Calc-Upper2+BN'!$F3)</f>
        <v>No Rule</v>
      </c>
      <c r="N18" s="65" t="s">
        <v>46</v>
      </c>
      <c r="O18" s="63" t="str">
        <f>IF('Calc-Upper2+UWFE'!$F3=99999,"No Rule",'Calc-Upper2+UWFE'!$F3)</f>
        <v>No Rule</v>
      </c>
      <c r="Q18" s="65" t="s">
        <v>46</v>
      </c>
      <c r="R18" s="63" t="str">
        <f>IF('Calc-Upper2+Dec'!$F3=99999,"No Rule",'Calc-Upper2+Dec'!$F3)</f>
        <v>No Rule</v>
      </c>
      <c r="T18" s="65" t="s">
        <v>46</v>
      </c>
      <c r="U18" s="63" t="str">
        <f>IF('Calc-Upper1+'!$F3=99999,"No Rule",'Calc-Upper1+'!$F3)</f>
        <v>No Rule</v>
      </c>
      <c r="W18" s="65" t="s">
        <v>46</v>
      </c>
      <c r="X18" s="63" t="str">
        <f>IF('Calc-Upper1+SHA'!$F3=99999,"No Rule",'Calc-Upper1+SHA'!$F3)</f>
        <v>No Rule</v>
      </c>
    </row>
    <row r="19" spans="1:24" x14ac:dyDescent="0.3">
      <c r="A19" s="59" t="s">
        <v>96</v>
      </c>
      <c r="B19" s="66" t="s">
        <v>37</v>
      </c>
      <c r="C19" s="63">
        <f>IF('Calc-Upper2+NoPipe'!$F4=99999,"No Rule",'Calc-Upper2+NoPipe'!$F4)</f>
        <v>56</v>
      </c>
      <c r="E19" s="66" t="s">
        <v>37</v>
      </c>
      <c r="F19" s="63">
        <f>IF('Calc-Upper2+1pipe'!$F4=99999,"No Rule",'Calc-Upper2+1pipe'!$F4)</f>
        <v>56</v>
      </c>
      <c r="H19" s="66" t="s">
        <v>37</v>
      </c>
      <c r="I19" s="63">
        <f>IF('Calc-Upper2+'!$F4=99999,"No Rule",'Calc-Upper2+'!$F4)</f>
        <v>56</v>
      </c>
      <c r="K19" s="66" t="s">
        <v>37</v>
      </c>
      <c r="L19" s="63">
        <f>IF('Calc-Upper2+BN'!$F4=99999,"No Rule",'Calc-Upper2+BN'!$F4)</f>
        <v>56</v>
      </c>
      <c r="N19" s="66" t="s">
        <v>37</v>
      </c>
      <c r="O19" s="63">
        <f>IF('Calc-Upper2+UWFE'!$F4=99999,"No Rule",'Calc-Upper2+UWFE'!$F4)</f>
        <v>56</v>
      </c>
      <c r="Q19" s="66" t="s">
        <v>37</v>
      </c>
      <c r="R19" s="63">
        <f>IF('Calc-Upper2+Dec'!$F4=99999,"No Rule",'Calc-Upper2+Dec'!$F4)</f>
        <v>56</v>
      </c>
      <c r="T19" s="66" t="s">
        <v>37</v>
      </c>
      <c r="U19" s="63">
        <f>IF('Calc-Upper1+'!$F4=99999,"No Rule",'Calc-Upper1+'!$F4)</f>
        <v>56</v>
      </c>
      <c r="W19" s="66" t="s">
        <v>37</v>
      </c>
      <c r="X19" s="63">
        <f>IF('Calc-Upper1+SHA'!$F4=99999,"No Rule",'Calc-Upper1+SHA'!$F4)</f>
        <v>56</v>
      </c>
    </row>
    <row r="20" spans="1:24" x14ac:dyDescent="0.3">
      <c r="A20" s="61" t="s">
        <v>93</v>
      </c>
      <c r="B20" s="66" t="s">
        <v>38</v>
      </c>
      <c r="C20" s="63">
        <f>IF('Calc-Upper2+NoPipe'!$F5=99999,"No Rule",'Calc-Upper2+NoPipe'!$F5)</f>
        <v>56</v>
      </c>
      <c r="E20" s="66" t="s">
        <v>38</v>
      </c>
      <c r="F20" s="63">
        <f>IF('Calc-Upper2+1pipe'!$F5=99999,"No Rule",'Calc-Upper2+1pipe'!$F5)</f>
        <v>56</v>
      </c>
      <c r="H20" s="66" t="s">
        <v>38</v>
      </c>
      <c r="I20" s="63">
        <f>IF('Calc-Upper2+'!$F5=99999,"No Rule",'Calc-Upper2+'!$F5)</f>
        <v>56</v>
      </c>
      <c r="K20" s="66" t="s">
        <v>38</v>
      </c>
      <c r="L20" s="63">
        <f>IF('Calc-Upper2+BN'!$F5=99999,"No Rule",'Calc-Upper2+BN'!$F5)</f>
        <v>56</v>
      </c>
      <c r="N20" s="66" t="s">
        <v>38</v>
      </c>
      <c r="O20" s="63">
        <f>IF('Calc-Upper2+UWFE'!$F5=99999,"No Rule",'Calc-Upper2+UWFE'!$F5)</f>
        <v>56</v>
      </c>
      <c r="Q20" s="66" t="s">
        <v>38</v>
      </c>
      <c r="R20" s="63">
        <f>IF('Calc-Upper2+Dec'!$F5=99999,"No Rule",'Calc-Upper2+Dec'!$F5)</f>
        <v>56</v>
      </c>
      <c r="T20" s="66" t="s">
        <v>38</v>
      </c>
      <c r="U20" s="63">
        <f>IF('Calc-Upper1+'!$F5=99999,"No Rule",'Calc-Upper1+'!$F5)</f>
        <v>56</v>
      </c>
      <c r="W20" s="66" t="s">
        <v>38</v>
      </c>
      <c r="X20" s="63">
        <f>IF('Calc-Upper1+SHA'!$F5=99999,"No Rule",'Calc-Upper1+SHA'!$F5)</f>
        <v>56</v>
      </c>
    </row>
    <row r="21" spans="1:24" x14ac:dyDescent="0.3">
      <c r="B21" s="66" t="s">
        <v>39</v>
      </c>
      <c r="C21" s="63">
        <f>IF('Calc-Upper2+NoPipe'!$F6=99999,"No Rule",'Calc-Upper2+NoPipe'!$F6)</f>
        <v>53.5</v>
      </c>
      <c r="E21" s="66" t="s">
        <v>39</v>
      </c>
      <c r="F21" s="63">
        <f>IF('Calc-Upper2+1pipe'!$F6=99999,"No Rule",'Calc-Upper2+1pipe'!$F6)</f>
        <v>53.5</v>
      </c>
      <c r="H21" s="66" t="s">
        <v>39</v>
      </c>
      <c r="I21" s="63">
        <f>IF('Calc-Upper2+'!$F6=99999,"No Rule",'Calc-Upper2+'!$F6)</f>
        <v>53.5</v>
      </c>
      <c r="K21" s="66" t="s">
        <v>39</v>
      </c>
      <c r="L21" s="63">
        <f>IF('Calc-Upper2+BN'!$F6=99999,"No Rule",'Calc-Upper2+BN'!$F6)</f>
        <v>53.5</v>
      </c>
      <c r="N21" s="66" t="s">
        <v>39</v>
      </c>
      <c r="O21" s="63">
        <f>IF('Calc-Upper2+UWFE'!$F6=99999,"No Rule",'Calc-Upper2+UWFE'!$F6)</f>
        <v>53.5</v>
      </c>
      <c r="Q21" s="66" t="s">
        <v>39</v>
      </c>
      <c r="R21" s="63">
        <f>IF('Calc-Upper2+Dec'!$F6=99999,"No Rule",'Calc-Upper2+Dec'!$F6)</f>
        <v>53.5</v>
      </c>
      <c r="T21" s="66" t="s">
        <v>39</v>
      </c>
      <c r="U21" s="63">
        <f>IF('Calc-Upper1+'!$F6=99999,"No Rule",'Calc-Upper1+'!$F6)</f>
        <v>53.5</v>
      </c>
      <c r="W21" s="66" t="s">
        <v>39</v>
      </c>
      <c r="X21" s="63">
        <f>IF('Calc-Upper1+SHA'!$F6=99999,"No Rule",'Calc-Upper1+SHA'!$F6)</f>
        <v>53.5</v>
      </c>
    </row>
    <row r="22" spans="1:24" ht="7.95" customHeight="1" x14ac:dyDescent="0.3"/>
    <row r="23" spans="1:24" x14ac:dyDescent="0.3">
      <c r="A23" s="59" t="s">
        <v>95</v>
      </c>
      <c r="B23" s="101" t="s">
        <v>113</v>
      </c>
      <c r="C23" s="102"/>
      <c r="E23" s="101" t="s">
        <v>113</v>
      </c>
      <c r="F23" s="102"/>
      <c r="H23" s="101" t="s">
        <v>113</v>
      </c>
      <c r="I23" s="102"/>
      <c r="K23" s="101" t="s">
        <v>113</v>
      </c>
      <c r="L23" s="102"/>
      <c r="N23" s="101" t="s">
        <v>113</v>
      </c>
      <c r="O23" s="102"/>
      <c r="Q23" s="101" t="s">
        <v>113</v>
      </c>
      <c r="R23" s="102"/>
      <c r="T23" s="101" t="s">
        <v>113</v>
      </c>
      <c r="U23" s="102"/>
      <c r="W23" s="101" t="s">
        <v>113</v>
      </c>
      <c r="X23" s="102"/>
    </row>
    <row r="24" spans="1:24" x14ac:dyDescent="0.3">
      <c r="A24" s="59" t="s">
        <v>97</v>
      </c>
      <c r="B24" s="62" t="s">
        <v>46</v>
      </c>
      <c r="C24" s="63" t="str">
        <f>IF(OR('Calc-Upper2+NoPipe'!$I3=99999,'Calc-Upper2+NoPipe'!$I3=0),"No Rule",'Calc-Upper2+NoPipe'!$I3)</f>
        <v>No Rule</v>
      </c>
      <c r="E24" s="62" t="s">
        <v>46</v>
      </c>
      <c r="F24" s="63" t="str">
        <f>IF(OR('Calc-Upper2+1pipe'!$I3=99999,'Calc-Upper2+1pipe'!$I3=0),"No Rule",'Calc-Upper2+1pipe'!$I3)</f>
        <v>No Rule</v>
      </c>
      <c r="H24" s="62" t="s">
        <v>46</v>
      </c>
      <c r="I24" s="63" t="str">
        <f>IF(OR('Calc-Upper2+'!$I3=99999,'Calc-Upper2+'!$I3=0),"No Rule",'Calc-Upper2+'!$I3)</f>
        <v>No Rule</v>
      </c>
      <c r="K24" s="62" t="s">
        <v>46</v>
      </c>
      <c r="L24" s="63" t="str">
        <f>IF(OR('Calc-Upper2+BN'!$I3=99999,'Calc-Upper2+BN'!$I3=0),"No Rule",'Calc-Upper2+BN'!$I3)</f>
        <v>No Rule</v>
      </c>
      <c r="N24" s="62" t="s">
        <v>46</v>
      </c>
      <c r="O24" s="63" t="str">
        <f>IF(OR('Calc-Upper2+UWFE'!$I3=99999,'Calc-Upper2+UWFE'!$I3=0),"No Rule",'Calc-Upper2+UWFE'!$I3)</f>
        <v>No Rule</v>
      </c>
      <c r="Q24" s="62" t="s">
        <v>46</v>
      </c>
      <c r="R24" s="63" t="str">
        <f>IF(OR('Calc-Upper2+Dec'!$I3=99999,'Calc-Upper2+Dec'!$I3=0),"No Rule",'Calc-Upper2+Dec'!$I3)</f>
        <v>No Rule</v>
      </c>
      <c r="T24" s="62" t="s">
        <v>46</v>
      </c>
      <c r="U24" s="63" t="str">
        <f>IF(OR('Calc-Upper1+'!$I3=99999,'Calc-Upper1+'!$I3=0),"No Rule",'Calc-Upper1+'!$I3)</f>
        <v>No Rule</v>
      </c>
      <c r="W24" s="62" t="s">
        <v>46</v>
      </c>
      <c r="X24" s="63" t="str">
        <f>IF(OR('Calc-Upper1+SHA'!$I3=99999,'Calc-Upper1+SHA'!$I3=0),"No Rule",'Calc-Upper1+SHA'!$I3)</f>
        <v>No Rule</v>
      </c>
    </row>
    <row r="25" spans="1:24" x14ac:dyDescent="0.3">
      <c r="A25" s="61" t="s">
        <v>98</v>
      </c>
      <c r="B25" s="64" t="s">
        <v>37</v>
      </c>
      <c r="C25" s="63" t="str">
        <f>IF(OR('Calc-Upper2+NoPipe'!$I4=99999,'Calc-Upper2+NoPipe'!$I4=0),"No Rule",'Calc-Upper2+NoPipe'!$I4)</f>
        <v>No Rule</v>
      </c>
      <c r="E25" s="64" t="s">
        <v>37</v>
      </c>
      <c r="F25" s="63" t="str">
        <f>IF(OR('Calc-Upper2+1pipe'!$I4=99999,'Calc-Upper2+1pipe'!$I4=0),"No Rule",'Calc-Upper2+1pipe'!$I4)</f>
        <v>No Rule</v>
      </c>
      <c r="H25" s="64" t="s">
        <v>37</v>
      </c>
      <c r="I25" s="63" t="str">
        <f>IF(OR('Calc-Upper2+'!$I4=99999,'Calc-Upper2+'!$I4=0),"No Rule",'Calc-Upper2+'!$I4)</f>
        <v>No Rule</v>
      </c>
      <c r="K25" s="64" t="s">
        <v>37</v>
      </c>
      <c r="L25" s="63" t="str">
        <f>IF(OR('Calc-Upper2+BN'!$I4=99999,'Calc-Upper2+BN'!$I4=0),"No Rule",'Calc-Upper2+BN'!$I4)</f>
        <v>No Rule</v>
      </c>
      <c r="N25" s="64" t="s">
        <v>37</v>
      </c>
      <c r="O25" s="63" t="str">
        <f>IF(OR('Calc-Upper2+UWFE'!$I4=99999,'Calc-Upper2+UWFE'!$I4=0),"No Rule",'Calc-Upper2+UWFE'!$I4)</f>
        <v>No Rule</v>
      </c>
      <c r="Q25" s="64" t="s">
        <v>37</v>
      </c>
      <c r="R25" s="63" t="str">
        <f>IF(OR('Calc-Upper2+Dec'!$I4=99999,'Calc-Upper2+Dec'!$I4=0),"No Rule",'Calc-Upper2+Dec'!$I4)</f>
        <v>No Rule</v>
      </c>
      <c r="T25" s="64" t="s">
        <v>37</v>
      </c>
      <c r="U25" s="63" t="str">
        <f>IF(OR('Calc-Upper1+'!$I4=99999,'Calc-Upper1+'!$I4=0),"No Rule",'Calc-Upper1+'!$I4)</f>
        <v>No Rule</v>
      </c>
      <c r="W25" s="64" t="s">
        <v>37</v>
      </c>
      <c r="X25" s="63" t="str">
        <f>IF(OR('Calc-Upper1+SHA'!$I4=99999,'Calc-Upper1+SHA'!$I4=0),"No Rule",'Calc-Upper1+SHA'!$I4)</f>
        <v>No Rule</v>
      </c>
    </row>
    <row r="26" spans="1:24" x14ac:dyDescent="0.3">
      <c r="B26" s="64" t="s">
        <v>38</v>
      </c>
      <c r="C26" s="63" t="str">
        <f>IF(OR('Calc-Upper2+NoPipe'!$I5=99999,'Calc-Upper2+NoPipe'!$I5=0),"No Rule",'Calc-Upper2+NoPipe'!$I5)</f>
        <v>No Rule</v>
      </c>
      <c r="E26" s="64" t="s">
        <v>38</v>
      </c>
      <c r="F26" s="63" t="str">
        <f>IF(OR('Calc-Upper2+1pipe'!$I5=99999,'Calc-Upper2+1pipe'!$I5=0),"No Rule",'Calc-Upper2+1pipe'!$I5)</f>
        <v>No Rule</v>
      </c>
      <c r="H26" s="64" t="s">
        <v>38</v>
      </c>
      <c r="I26" s="63" t="str">
        <f>IF(OR('Calc-Upper2+'!$I5=99999,'Calc-Upper2+'!$I5=0),"No Rule",'Calc-Upper2+'!$I5)</f>
        <v>No Rule</v>
      </c>
      <c r="K26" s="64" t="s">
        <v>38</v>
      </c>
      <c r="L26" s="63" t="str">
        <f>IF(OR('Calc-Upper2+BN'!$I5=99999,'Calc-Upper2+BN'!$I5=0),"No Rule",'Calc-Upper2+BN'!$I5)</f>
        <v>No Rule</v>
      </c>
      <c r="N26" s="64" t="s">
        <v>38</v>
      </c>
      <c r="O26" s="63" t="str">
        <f>IF(OR('Calc-Upper2+UWFE'!$I5=99999,'Calc-Upper2+UWFE'!$I5=0),"No Rule",'Calc-Upper2+UWFE'!$I5)</f>
        <v>No Rule</v>
      </c>
      <c r="Q26" s="64" t="s">
        <v>38</v>
      </c>
      <c r="R26" s="63" t="str">
        <f>IF(OR('Calc-Upper2+Dec'!$I5=99999,'Calc-Upper2+Dec'!$I5=0),"No Rule",'Calc-Upper2+Dec'!$I5)</f>
        <v>No Rule</v>
      </c>
      <c r="T26" s="64" t="s">
        <v>38</v>
      </c>
      <c r="U26" s="63" t="str">
        <f>IF(OR('Calc-Upper1+'!$I5=99999,'Calc-Upper1+'!$I5=0),"No Rule",'Calc-Upper1+'!$I5)</f>
        <v>No Rule</v>
      </c>
      <c r="W26" s="64" t="s">
        <v>38</v>
      </c>
      <c r="X26" s="63" t="str">
        <f>IF(OR('Calc-Upper1+SHA'!$I5=99999,'Calc-Upper1+SHA'!$I5=0),"No Rule",'Calc-Upper1+SHA'!$I5)</f>
        <v>No Rule</v>
      </c>
    </row>
    <row r="27" spans="1:24" x14ac:dyDescent="0.3">
      <c r="B27" s="64" t="s">
        <v>39</v>
      </c>
      <c r="C27" s="63" t="str">
        <f>IF(OR('Calc-Upper2+NoPipe'!$I6=99999,'Calc-Upper2+NoPipe'!$I6=0),"No Rule",'Calc-Upper2+NoPipe'!$I6)</f>
        <v>No Rule</v>
      </c>
      <c r="E27" s="64" t="s">
        <v>39</v>
      </c>
      <c r="F27" s="63" t="str">
        <f>IF(OR('Calc-Upper2+1pipe'!$I6=99999,'Calc-Upper2+1pipe'!$I6=0),"No Rule",'Calc-Upper2+1pipe'!$I6)</f>
        <v>No Rule</v>
      </c>
      <c r="H27" s="64" t="s">
        <v>39</v>
      </c>
      <c r="I27" s="63" t="str">
        <f>IF(OR('Calc-Upper2+'!$I6=99999,'Calc-Upper2+'!$I6=0),"No Rule",'Calc-Upper2+'!$I6)</f>
        <v>No Rule</v>
      </c>
      <c r="K27" s="64" t="s">
        <v>39</v>
      </c>
      <c r="L27" s="63" t="str">
        <f>IF(OR('Calc-Upper2+BN'!$I6=99999,'Calc-Upper2+BN'!$I6=0),"No Rule",'Calc-Upper2+BN'!$I6)</f>
        <v>No Rule</v>
      </c>
      <c r="N27" s="64" t="s">
        <v>39</v>
      </c>
      <c r="O27" s="63" t="str">
        <f>IF(OR('Calc-Upper2+UWFE'!$I6=99999,'Calc-Upper2+UWFE'!$I6=0),"No Rule",'Calc-Upper2+UWFE'!$I6)</f>
        <v>No Rule</v>
      </c>
      <c r="Q27" s="64" t="s">
        <v>39</v>
      </c>
      <c r="R27" s="63" t="str">
        <f>IF(OR('Calc-Upper2+Dec'!$I6=99999,'Calc-Upper2+Dec'!$I6=0),"No Rule",'Calc-Upper2+Dec'!$I6)</f>
        <v>No Rule</v>
      </c>
      <c r="T27" s="64" t="s">
        <v>39</v>
      </c>
      <c r="U27" s="63" t="str">
        <f>IF(OR('Calc-Upper1+'!$I6=99999,'Calc-Upper1+'!$I6=0),"No Rule",'Calc-Upper1+'!$I6)</f>
        <v>No Rule</v>
      </c>
      <c r="W27" s="64" t="s">
        <v>39</v>
      </c>
      <c r="X27" s="63" t="str">
        <f>IF(OR('Calc-Upper1+SHA'!$I6=99999,'Calc-Upper1+SHA'!$I6=0),"No Rule",'Calc-Upper1+SHA'!$I6)</f>
        <v>No Rule</v>
      </c>
    </row>
    <row r="28" spans="1:24" x14ac:dyDescent="0.3">
      <c r="B28" s="64" t="s">
        <v>136</v>
      </c>
      <c r="C28" s="63" t="str">
        <f>IF(OR('Calc-Upper2+NoPipe'!$I7=99999,'Calc-Upper2+NoPipe'!$I7=0),"No Rule",'Calc-Upper2+NoPipe'!$I7)</f>
        <v>No Rule</v>
      </c>
      <c r="E28" s="64" t="s">
        <v>136</v>
      </c>
      <c r="F28" s="63" t="str">
        <f>IF(OR('Calc-Upper2+1pipe'!$I7=99999,'Calc-Upper2+1pipe'!$I7=0),"No Rule",'Calc-Upper2+1pipe'!$I7)</f>
        <v>No Rule</v>
      </c>
      <c r="H28" s="64" t="s">
        <v>136</v>
      </c>
      <c r="I28" s="63" t="str">
        <f>IF(OR('Calc-Upper2+'!$I7=99999,'Calc-Upper2+'!$I7=0),"No Rule",'Calc-Upper2+'!$I7)</f>
        <v>No Rule</v>
      </c>
      <c r="K28" s="64" t="s">
        <v>136</v>
      </c>
      <c r="L28" s="63" t="str">
        <f>IF(OR('Calc-Upper2+BN'!$I7=99999,'Calc-Upper2+BN'!$I7=0),"No Rule",'Calc-Upper2+BN'!$I7)</f>
        <v>No Rule</v>
      </c>
      <c r="N28" s="64" t="s">
        <v>136</v>
      </c>
      <c r="O28" s="63" t="str">
        <f>IF(OR('Calc-Upper2+UWFE'!$I7=99999,'Calc-Upper2+UWFE'!$I7=0),"No Rule",'Calc-Upper2+UWFE'!$I7)</f>
        <v>No Rule</v>
      </c>
      <c r="Q28" s="64" t="s">
        <v>136</v>
      </c>
      <c r="R28" s="63" t="str">
        <f>IF(OR('Calc-Upper2+Dec'!$I7=99999,'Calc-Upper2+Dec'!$I7=0),"No Rule",'Calc-Upper2+Dec'!$I7)</f>
        <v>No Rule</v>
      </c>
      <c r="T28" s="64" t="s">
        <v>136</v>
      </c>
      <c r="U28" s="63" t="str">
        <f>IF(OR('Calc-Upper1+'!$I7=99999,'Calc-Upper1+'!$I7=0),"No Rule",'Calc-Upper1+'!$I7)</f>
        <v>No Rule</v>
      </c>
      <c r="W28" s="64" t="s">
        <v>136</v>
      </c>
      <c r="X28" s="63">
        <f>IF(OR('Calc-Upper1+SHA'!$I7=99999,'Calc-Upper1+SHA'!$I7=0),"No Rule",'Calc-Upper1+SHA'!$I7)</f>
        <v>1900</v>
      </c>
    </row>
    <row r="29" spans="1:24" x14ac:dyDescent="0.3">
      <c r="B29" s="64" t="s">
        <v>137</v>
      </c>
      <c r="C29" s="63" t="str">
        <f>IF(OR('Calc-Upper2+NoPipe'!$I8=99999,'Calc-Upper2+NoPipe'!$I8=0),"No Rule",'Calc-Upper2+NoPipe'!$I8)</f>
        <v>No Rule</v>
      </c>
      <c r="E29" s="64" t="s">
        <v>137</v>
      </c>
      <c r="F29" s="63" t="str">
        <f>IF(OR('Calc-Upper2+1pipe'!$I8=99999,'Calc-Upper2+1pipe'!$I8=0),"No Rule",'Calc-Upper2+1pipe'!$I8)</f>
        <v>No Rule</v>
      </c>
      <c r="H29" s="64" t="s">
        <v>137</v>
      </c>
      <c r="I29" s="63" t="str">
        <f>IF(OR('Calc-Upper2+'!$I8=99999,'Calc-Upper2+'!$I8=0),"No Rule",'Calc-Upper2+'!$I8)</f>
        <v>No Rule</v>
      </c>
      <c r="K29" s="64" t="s">
        <v>137</v>
      </c>
      <c r="L29" s="63" t="str">
        <f>IF(OR('Calc-Upper2+BN'!$I8=99999,'Calc-Upper2+BN'!$I8=0),"No Rule",'Calc-Upper2+BN'!$I8)</f>
        <v>No Rule</v>
      </c>
      <c r="N29" s="64" t="s">
        <v>137</v>
      </c>
      <c r="O29" s="63" t="str">
        <f>IF(OR('Calc-Upper2+UWFE'!$I8=99999,'Calc-Upper2+UWFE'!$I8=0),"No Rule",'Calc-Upper2+UWFE'!$I8)</f>
        <v>No Rule</v>
      </c>
      <c r="Q29" s="64" t="s">
        <v>137</v>
      </c>
      <c r="R29" s="63" t="str">
        <f>IF(OR('Calc-Upper2+Dec'!$I8=99999,'Calc-Upper2+Dec'!$I8=0),"No Rule",'Calc-Upper2+Dec'!$I8)</f>
        <v>No Rule</v>
      </c>
      <c r="T29" s="64" t="s">
        <v>137</v>
      </c>
      <c r="U29" s="63" t="str">
        <f>IF(OR('Calc-Upper1+'!$I8=99999,'Calc-Upper1+'!$I8=0),"No Rule",'Calc-Upper1+'!$I8)</f>
        <v>No Rule</v>
      </c>
      <c r="W29" s="64" t="s">
        <v>137</v>
      </c>
      <c r="X29" s="63" t="str">
        <f>IF(OR('Calc-Upper1+SHA'!$I8=99999,'Calc-Upper1+SHA'!$I8=0),"No Rule",'Calc-Upper1+SHA'!$I8)</f>
        <v>No Rule</v>
      </c>
    </row>
    <row r="30" spans="1:24" ht="7.95" customHeight="1" x14ac:dyDescent="0.3"/>
    <row r="31" spans="1:24" x14ac:dyDescent="0.3">
      <c r="A31" s="59" t="s">
        <v>99</v>
      </c>
      <c r="B31" s="103" t="s">
        <v>117</v>
      </c>
      <c r="C31" s="104"/>
      <c r="E31" s="103" t="s">
        <v>117</v>
      </c>
      <c r="F31" s="104"/>
      <c r="H31" s="103" t="s">
        <v>117</v>
      </c>
      <c r="I31" s="104"/>
      <c r="K31" s="103" t="s">
        <v>117</v>
      </c>
      <c r="L31" s="104"/>
      <c r="N31" s="103" t="s">
        <v>117</v>
      </c>
      <c r="O31" s="104"/>
      <c r="Q31" s="103" t="s">
        <v>117</v>
      </c>
      <c r="R31" s="104"/>
      <c r="T31" s="103" t="s">
        <v>117</v>
      </c>
      <c r="U31" s="104"/>
      <c r="W31" s="103" t="s">
        <v>117</v>
      </c>
      <c r="X31" s="104"/>
    </row>
    <row r="32" spans="1:24" x14ac:dyDescent="0.3">
      <c r="A32" s="61" t="s">
        <v>98</v>
      </c>
      <c r="B32" s="67" t="s">
        <v>62</v>
      </c>
      <c r="C32" s="76">
        <f>IF('Calc-Upper2+NoPipe'!$C5=99999,"No Rule",'Calc-Upper2+NoPipe'!$C5)</f>
        <v>10000</v>
      </c>
      <c r="E32" s="67" t="s">
        <v>62</v>
      </c>
      <c r="F32" s="76">
        <f>IF('Calc-Upper2+1pipe'!$C5=99999,"No Rule",'Calc-Upper2+1pipe'!$C5)</f>
        <v>10000</v>
      </c>
      <c r="H32" s="67" t="s">
        <v>62</v>
      </c>
      <c r="I32" s="76">
        <f>IF('Calc-Upper2+'!$C5=99999,"No Rule",'Calc-Upper2+'!$C5)</f>
        <v>10000</v>
      </c>
      <c r="K32" s="67" t="s">
        <v>62</v>
      </c>
      <c r="L32" s="76">
        <f>IF('Calc-Upper2+BN'!$C5=99999,"No Rule",'Calc-Upper2+BN'!$C5)</f>
        <v>10000</v>
      </c>
      <c r="N32" s="67" t="s">
        <v>62</v>
      </c>
      <c r="O32" s="76">
        <f>IF('Calc-Upper2+UWFE'!$C5=99999,"No Rule",'Calc-Upper2+UWFE'!$C5)</f>
        <v>10000</v>
      </c>
      <c r="Q32" s="67" t="s">
        <v>62</v>
      </c>
      <c r="R32" s="76">
        <f>IF('Calc-Upper2+Dec'!$C5=99999,"No Rule",'Calc-Upper2+Dec'!$C5)</f>
        <v>10000</v>
      </c>
      <c r="T32" s="67" t="s">
        <v>62</v>
      </c>
      <c r="U32" s="76">
        <f>IF('Calc-Upper1+'!$C5=99999,"No Rule",'Calc-Upper1+'!$C5)</f>
        <v>10000</v>
      </c>
      <c r="W32" s="67" t="s">
        <v>62</v>
      </c>
      <c r="X32" s="76">
        <f>IF('Calc-Upper1+SHA'!$C5=99999,"No Rule",'Calc-Upper1+SHA'!$C5)</f>
        <v>10000</v>
      </c>
    </row>
    <row r="33" spans="1:24" x14ac:dyDescent="0.3">
      <c r="A33" s="59" t="s">
        <v>100</v>
      </c>
      <c r="B33" s="67" t="s">
        <v>63</v>
      </c>
      <c r="C33" s="76">
        <f>IF('Calc-Upper2+NoPipe'!$C6=99999,"No Rule",'Calc-Upper2+NoPipe'!$C6)</f>
        <v>12000</v>
      </c>
      <c r="E33" s="67" t="s">
        <v>63</v>
      </c>
      <c r="F33" s="76">
        <f>IF('Calc-Upper2+1pipe'!$C6=99999,"No Rule",'Calc-Upper2+1pipe'!$C6)</f>
        <v>12000</v>
      </c>
      <c r="H33" s="67" t="s">
        <v>63</v>
      </c>
      <c r="I33" s="76">
        <f>IF('Calc-Upper2+'!$C6=99999,"No Rule",'Calc-Upper2+'!$C6)</f>
        <v>12000</v>
      </c>
      <c r="K33" s="67" t="s">
        <v>63</v>
      </c>
      <c r="L33" s="76">
        <f>IF('Calc-Upper2+BN'!$C6=99999,"No Rule",'Calc-Upper2+BN'!$C6)</f>
        <v>12000</v>
      </c>
      <c r="N33" s="67" t="s">
        <v>63</v>
      </c>
      <c r="O33" s="76">
        <f>IF('Calc-Upper2+UWFE'!$C6=99999,"No Rule",'Calc-Upper2+UWFE'!$C6)</f>
        <v>12000</v>
      </c>
      <c r="Q33" s="67" t="s">
        <v>63</v>
      </c>
      <c r="R33" s="76">
        <f>IF('Calc-Upper2+Dec'!$C6=99999,"No Rule",'Calc-Upper2+Dec'!$C6)</f>
        <v>12000</v>
      </c>
      <c r="T33" s="67" t="s">
        <v>63</v>
      </c>
      <c r="U33" s="76">
        <f>IF('Calc-Upper1+'!$C6=99999,"No Rule",'Calc-Upper1+'!$C6)</f>
        <v>12000</v>
      </c>
      <c r="W33" s="67" t="s">
        <v>63</v>
      </c>
      <c r="X33" s="76">
        <f>IF('Calc-Upper1+SHA'!$C6=99999,"No Rule",'Calc-Upper1+SHA'!$C6)</f>
        <v>12000</v>
      </c>
    </row>
    <row r="34" spans="1:24" x14ac:dyDescent="0.3">
      <c r="A34" s="61" t="s">
        <v>101</v>
      </c>
      <c r="B34" s="67" t="s">
        <v>64</v>
      </c>
      <c r="C34" s="76" t="str">
        <f>IF('Calc-Upper2+NoPipe'!$C7=99999,"No Rule",'Calc-Upper2+NoPipe'!$C7)</f>
        <v>No Rule</v>
      </c>
      <c r="E34" s="67" t="s">
        <v>64</v>
      </c>
      <c r="F34" s="76" t="str">
        <f>IF('Calc-Upper2+1pipe'!$C7=99999,"No Rule",'Calc-Upper2+1pipe'!$C7)</f>
        <v>No Rule</v>
      </c>
      <c r="H34" s="67" t="s">
        <v>64</v>
      </c>
      <c r="I34" s="76" t="str">
        <f>IF('Calc-Upper2+'!$C7=99999,"No Rule",'Calc-Upper2+'!$C7)</f>
        <v>No Rule</v>
      </c>
      <c r="K34" s="67" t="s">
        <v>64</v>
      </c>
      <c r="L34" s="76" t="str">
        <f>IF('Calc-Upper2+BN'!$C7=99999,"No Rule",'Calc-Upper2+BN'!$C7)</f>
        <v>No Rule</v>
      </c>
      <c r="N34" s="67" t="s">
        <v>64</v>
      </c>
      <c r="O34" s="76" t="str">
        <f>IF('Calc-Upper2+UWFE'!$C7=99999,"No Rule",'Calc-Upper2+UWFE'!$C7)</f>
        <v>No Rule</v>
      </c>
      <c r="Q34" s="67" t="s">
        <v>64</v>
      </c>
      <c r="R34" s="76" t="str">
        <f>IF('Calc-Upper2+Dec'!$C7=99999,"No Rule",'Calc-Upper2+Dec'!$C7)</f>
        <v>No Rule</v>
      </c>
      <c r="T34" s="67" t="s">
        <v>64</v>
      </c>
      <c r="U34" s="76">
        <f>IF('Calc-Upper1+'!$C7=99999,"No Rule",'Calc-Upper1+'!$C7)</f>
        <v>12000</v>
      </c>
      <c r="W34" s="67" t="s">
        <v>64</v>
      </c>
      <c r="X34" s="76">
        <f>IF('Calc-Upper1+SHA'!$C7=99999,"No Rule",'Calc-Upper1+SHA'!$C7)</f>
        <v>12000</v>
      </c>
    </row>
    <row r="35" spans="1:24" x14ac:dyDescent="0.3">
      <c r="A35" s="59" t="s">
        <v>102</v>
      </c>
      <c r="B35" s="67" t="s">
        <v>65</v>
      </c>
      <c r="C35" s="76" t="str">
        <f>IF('Calc-Upper2+NoPipe'!$C8=99999,"No Rule",'Calc-Upper2+NoPipe'!$C8)</f>
        <v>No Rule</v>
      </c>
      <c r="E35" s="67" t="s">
        <v>65</v>
      </c>
      <c r="F35" s="76" t="str">
        <f>IF('Calc-Upper2+1pipe'!$C8=99999,"No Rule",'Calc-Upper2+1pipe'!$C8)</f>
        <v>No Rule</v>
      </c>
      <c r="H35" s="67" t="s">
        <v>65</v>
      </c>
      <c r="I35" s="76" t="str">
        <f>IF('Calc-Upper2+'!$C8=99999,"No Rule",'Calc-Upper2+'!$C8)</f>
        <v>No Rule</v>
      </c>
      <c r="K35" s="67" t="s">
        <v>65</v>
      </c>
      <c r="L35" s="76" t="str">
        <f>IF('Calc-Upper2+BN'!$C8=99999,"No Rule",'Calc-Upper2+BN'!$C8)</f>
        <v>No Rule</v>
      </c>
      <c r="N35" s="67" t="s">
        <v>65</v>
      </c>
      <c r="O35" s="76" t="str">
        <f>IF('Calc-Upper2+UWFE'!$C8=99999,"No Rule",'Calc-Upper2+UWFE'!$C8)</f>
        <v>No Rule</v>
      </c>
      <c r="Q35" s="67" t="s">
        <v>65</v>
      </c>
      <c r="R35" s="76" t="str">
        <f>IF('Calc-Upper2+Dec'!$C8=99999,"No Rule",'Calc-Upper2+Dec'!$C8)</f>
        <v>No Rule</v>
      </c>
      <c r="T35" s="67" t="s">
        <v>65</v>
      </c>
      <c r="U35" s="76">
        <f>IF('Calc-Upper1+'!$C8=99999,"No Rule",'Calc-Upper1+'!$C8)</f>
        <v>6000</v>
      </c>
      <c r="W35" s="67" t="s">
        <v>65</v>
      </c>
      <c r="X35" s="76">
        <f>IF('Calc-Upper1+SHA'!$C8=99999,"No Rule",'Calc-Upper1+SHA'!$C8)</f>
        <v>6000</v>
      </c>
    </row>
    <row r="36" spans="1:24" x14ac:dyDescent="0.3">
      <c r="B36" s="67" t="s">
        <v>66</v>
      </c>
      <c r="C36" s="76" t="str">
        <f>IF('Calc-Upper2+NoPipe'!$C9=99999,"No Rule",'Calc-Upper2+NoPipe'!$C9)</f>
        <v>No Rule</v>
      </c>
      <c r="E36" s="67" t="s">
        <v>66</v>
      </c>
      <c r="F36" s="76" t="str">
        <f>IF('Calc-Upper2+1pipe'!$C9=99999,"No Rule",'Calc-Upper2+1pipe'!$C9)</f>
        <v>No Rule</v>
      </c>
      <c r="H36" s="67" t="s">
        <v>66</v>
      </c>
      <c r="I36" s="76" t="str">
        <f>IF('Calc-Upper2+'!$C9=99999,"No Rule",'Calc-Upper2+'!$C9)</f>
        <v>No Rule</v>
      </c>
      <c r="K36" s="67" t="s">
        <v>66</v>
      </c>
      <c r="L36" s="76" t="str">
        <f>IF('Calc-Upper2+BN'!$C9=99999,"No Rule",'Calc-Upper2+BN'!$C9)</f>
        <v>No Rule</v>
      </c>
      <c r="N36" s="67" t="s">
        <v>66</v>
      </c>
      <c r="O36" s="76" t="str">
        <f>IF('Calc-Upper2+UWFE'!$C9=99999,"No Rule",'Calc-Upper2+UWFE'!$C9)</f>
        <v>No Rule</v>
      </c>
      <c r="Q36" s="67" t="s">
        <v>66</v>
      </c>
      <c r="R36" s="76" t="str">
        <f>IF('Calc-Upper2+Dec'!$C9=99999,"No Rule",'Calc-Upper2+Dec'!$C9)</f>
        <v>No Rule</v>
      </c>
      <c r="T36" s="67" t="s">
        <v>66</v>
      </c>
      <c r="U36" s="76">
        <f>IF('Calc-Upper1+'!$C9=99999,"No Rule",'Calc-Upper1+'!$C9)</f>
        <v>5000</v>
      </c>
      <c r="W36" s="67" t="s">
        <v>66</v>
      </c>
      <c r="X36" s="76">
        <f>IF('Calc-Upper1+SHA'!$C9=99999,"No Rule",'Calc-Upper1+SHA'!$C9)</f>
        <v>5000</v>
      </c>
    </row>
    <row r="37" spans="1:24" ht="7.95" customHeight="1" x14ac:dyDescent="0.3"/>
    <row r="38" spans="1:24" x14ac:dyDescent="0.3">
      <c r="A38" s="59" t="s">
        <v>99</v>
      </c>
      <c r="B38" s="101" t="s">
        <v>89</v>
      </c>
      <c r="C38" s="102"/>
      <c r="E38" s="101" t="s">
        <v>89</v>
      </c>
      <c r="F38" s="102"/>
      <c r="H38" s="101" t="s">
        <v>89</v>
      </c>
      <c r="I38" s="102"/>
      <c r="K38" s="101" t="s">
        <v>89</v>
      </c>
      <c r="L38" s="102"/>
      <c r="N38" s="101" t="s">
        <v>89</v>
      </c>
      <c r="O38" s="102"/>
      <c r="Q38" s="101" t="s">
        <v>89</v>
      </c>
      <c r="R38" s="102"/>
      <c r="T38" s="101" t="s">
        <v>89</v>
      </c>
      <c r="U38" s="102"/>
      <c r="W38" s="101" t="s">
        <v>89</v>
      </c>
      <c r="X38" s="102"/>
    </row>
    <row r="39" spans="1:24" x14ac:dyDescent="0.3">
      <c r="A39" s="61" t="s">
        <v>103</v>
      </c>
      <c r="B39" s="65" t="s">
        <v>62</v>
      </c>
      <c r="C39" s="64" t="s">
        <v>114</v>
      </c>
      <c r="E39" s="65" t="s">
        <v>62</v>
      </c>
      <c r="F39" s="64" t="s">
        <v>114</v>
      </c>
      <c r="H39" s="65" t="s">
        <v>62</v>
      </c>
      <c r="I39" s="64" t="s">
        <v>114</v>
      </c>
      <c r="K39" s="65" t="s">
        <v>62</v>
      </c>
      <c r="L39" s="64" t="s">
        <v>114</v>
      </c>
      <c r="N39" s="65" t="s">
        <v>62</v>
      </c>
      <c r="O39" s="64" t="s">
        <v>114</v>
      </c>
      <c r="Q39" s="65" t="s">
        <v>62</v>
      </c>
      <c r="R39" s="64" t="s">
        <v>114</v>
      </c>
      <c r="T39" s="65" t="s">
        <v>62</v>
      </c>
      <c r="U39" s="64" t="s">
        <v>114</v>
      </c>
      <c r="W39" s="65" t="s">
        <v>62</v>
      </c>
      <c r="X39" s="64" t="s">
        <v>114</v>
      </c>
    </row>
    <row r="40" spans="1:24" x14ac:dyDescent="0.3">
      <c r="B40" s="65" t="s">
        <v>63</v>
      </c>
      <c r="C40" s="64" t="s">
        <v>114</v>
      </c>
      <c r="E40" s="65" t="s">
        <v>63</v>
      </c>
      <c r="F40" s="64" t="s">
        <v>114</v>
      </c>
      <c r="H40" s="65" t="s">
        <v>63</v>
      </c>
      <c r="I40" s="64" t="s">
        <v>114</v>
      </c>
      <c r="K40" s="65" t="s">
        <v>63</v>
      </c>
      <c r="L40" s="64" t="s">
        <v>114</v>
      </c>
      <c r="N40" s="65" t="s">
        <v>63</v>
      </c>
      <c r="O40" s="64" t="s">
        <v>114</v>
      </c>
      <c r="Q40" s="65" t="s">
        <v>63</v>
      </c>
      <c r="R40" s="64" t="s">
        <v>114</v>
      </c>
      <c r="T40" s="65" t="s">
        <v>63</v>
      </c>
      <c r="U40" s="64" t="s">
        <v>114</v>
      </c>
      <c r="W40" s="65" t="s">
        <v>63</v>
      </c>
      <c r="X40" s="64" t="s">
        <v>114</v>
      </c>
    </row>
    <row r="41" spans="1:24" x14ac:dyDescent="0.3">
      <c r="A41" s="61"/>
      <c r="B41" s="65" t="s">
        <v>64</v>
      </c>
      <c r="C41" s="64" t="s">
        <v>114</v>
      </c>
      <c r="E41" s="65" t="s">
        <v>64</v>
      </c>
      <c r="F41" s="64" t="s">
        <v>114</v>
      </c>
      <c r="H41" s="65" t="s">
        <v>64</v>
      </c>
      <c r="I41" s="64" t="s">
        <v>114</v>
      </c>
      <c r="K41" s="65" t="s">
        <v>64</v>
      </c>
      <c r="L41" s="64" t="s">
        <v>114</v>
      </c>
      <c r="N41" s="65" t="s">
        <v>64</v>
      </c>
      <c r="O41" s="64" t="s">
        <v>114</v>
      </c>
      <c r="Q41" s="65" t="s">
        <v>64</v>
      </c>
      <c r="R41" s="64" t="s">
        <v>114</v>
      </c>
      <c r="T41" s="65" t="s">
        <v>64</v>
      </c>
      <c r="U41" s="64" t="s">
        <v>114</v>
      </c>
      <c r="W41" s="65" t="s">
        <v>64</v>
      </c>
      <c r="X41" s="64" t="s">
        <v>114</v>
      </c>
    </row>
    <row r="42" spans="1:24" x14ac:dyDescent="0.3">
      <c r="B42" s="65" t="s">
        <v>65</v>
      </c>
      <c r="C42" s="73" t="s">
        <v>115</v>
      </c>
      <c r="E42" s="65" t="s">
        <v>65</v>
      </c>
      <c r="F42" s="73" t="s">
        <v>115</v>
      </c>
      <c r="H42" s="65" t="s">
        <v>65</v>
      </c>
      <c r="I42" s="73" t="s">
        <v>115</v>
      </c>
      <c r="K42" s="65" t="s">
        <v>65</v>
      </c>
      <c r="L42" s="73" t="s">
        <v>115</v>
      </c>
      <c r="N42" s="65" t="s">
        <v>65</v>
      </c>
      <c r="O42" s="73" t="s">
        <v>115</v>
      </c>
      <c r="Q42" s="65" t="s">
        <v>65</v>
      </c>
      <c r="R42" s="64" t="s">
        <v>114</v>
      </c>
      <c r="T42" s="65" t="s">
        <v>65</v>
      </c>
      <c r="U42" s="64" t="s">
        <v>114</v>
      </c>
      <c r="W42" s="65" t="s">
        <v>65</v>
      </c>
      <c r="X42" s="64" t="s">
        <v>114</v>
      </c>
    </row>
    <row r="43" spans="1:24" x14ac:dyDescent="0.3">
      <c r="B43" s="65" t="s">
        <v>66</v>
      </c>
      <c r="C43" s="64" t="s">
        <v>116</v>
      </c>
      <c r="E43" s="65" t="s">
        <v>66</v>
      </c>
      <c r="F43" s="64" t="s">
        <v>116</v>
      </c>
      <c r="H43" s="65" t="s">
        <v>66</v>
      </c>
      <c r="I43" s="64" t="s">
        <v>116</v>
      </c>
      <c r="K43" s="65" t="s">
        <v>66</v>
      </c>
      <c r="L43" s="64" t="s">
        <v>116</v>
      </c>
      <c r="N43" s="65" t="s">
        <v>66</v>
      </c>
      <c r="O43" s="64" t="s">
        <v>116</v>
      </c>
      <c r="Q43" s="65" t="s">
        <v>66</v>
      </c>
      <c r="R43" s="64" t="s">
        <v>114</v>
      </c>
      <c r="T43" s="65" t="s">
        <v>66</v>
      </c>
      <c r="U43" s="64" t="s">
        <v>114</v>
      </c>
      <c r="W43" s="65" t="s">
        <v>66</v>
      </c>
      <c r="X43" s="64" t="s">
        <v>114</v>
      </c>
    </row>
    <row r="44" spans="1:24" ht="7.95" customHeight="1" x14ac:dyDescent="0.3"/>
    <row r="45" spans="1:24" x14ac:dyDescent="0.3">
      <c r="A45" s="59" t="s">
        <v>104</v>
      </c>
      <c r="B45" s="101" t="s">
        <v>88</v>
      </c>
      <c r="C45" s="102"/>
      <c r="E45" s="101" t="s">
        <v>88</v>
      </c>
      <c r="F45" s="102"/>
      <c r="H45" s="101" t="s">
        <v>88</v>
      </c>
      <c r="I45" s="102"/>
      <c r="K45" s="101" t="s">
        <v>88</v>
      </c>
      <c r="L45" s="102"/>
      <c r="N45" s="101" t="s">
        <v>88</v>
      </c>
      <c r="O45" s="102"/>
      <c r="Q45" s="101" t="s">
        <v>88</v>
      </c>
      <c r="R45" s="102"/>
      <c r="T45" s="101" t="s">
        <v>88</v>
      </c>
      <c r="U45" s="102"/>
      <c r="W45" s="101" t="s">
        <v>88</v>
      </c>
      <c r="X45" s="102"/>
    </row>
    <row r="46" spans="1:24" x14ac:dyDescent="0.3">
      <c r="A46" s="59" t="s">
        <v>103</v>
      </c>
      <c r="B46" s="64" t="s">
        <v>30</v>
      </c>
      <c r="C46" s="64">
        <f>'Calc-Upper2+NoPipe'!$M3</f>
        <v>0</v>
      </c>
      <c r="E46" s="64" t="s">
        <v>30</v>
      </c>
      <c r="F46" s="64">
        <f>'Calc-Upper2+1pipe'!$M3</f>
        <v>0</v>
      </c>
      <c r="H46" s="64" t="s">
        <v>30</v>
      </c>
      <c r="I46" s="64">
        <f>'Calc-Upper2+'!$M3</f>
        <v>0</v>
      </c>
      <c r="K46" s="64" t="s">
        <v>30</v>
      </c>
      <c r="L46" s="64">
        <f>'Calc-Upper2+BN'!$M3</f>
        <v>0</v>
      </c>
      <c r="N46" s="64" t="s">
        <v>30</v>
      </c>
      <c r="O46" s="64">
        <f>'Calc-Upper2+UWFE'!$M3</f>
        <v>0</v>
      </c>
      <c r="Q46" s="64" t="s">
        <v>30</v>
      </c>
      <c r="R46" s="64">
        <f>'Calc-Upper2+Dec'!$M3</f>
        <v>0</v>
      </c>
      <c r="T46" s="64" t="s">
        <v>30</v>
      </c>
      <c r="U46" s="64">
        <f>'Calc-Upper1+'!$M3</f>
        <v>0</v>
      </c>
      <c r="W46" s="64" t="s">
        <v>30</v>
      </c>
      <c r="X46" s="64">
        <f>'Calc-Upper1+SHA'!$M3</f>
        <v>0</v>
      </c>
    </row>
    <row r="47" spans="1:24" x14ac:dyDescent="0.3">
      <c r="B47" s="64" t="s">
        <v>42</v>
      </c>
      <c r="C47" s="64">
        <f>'Calc-Upper2+NoPipe'!$M4</f>
        <v>0</v>
      </c>
      <c r="E47" s="64" t="s">
        <v>42</v>
      </c>
      <c r="F47" s="64">
        <f>'Calc-Upper2+1pipe'!$M4</f>
        <v>0</v>
      </c>
      <c r="H47" s="64" t="s">
        <v>42</v>
      </c>
      <c r="I47" s="64">
        <f>'Calc-Upper2+'!$M4</f>
        <v>0</v>
      </c>
      <c r="K47" s="64" t="s">
        <v>42</v>
      </c>
      <c r="L47" s="64">
        <f>'Calc-Upper2+BN'!$M4</f>
        <v>0</v>
      </c>
      <c r="N47" s="64" t="s">
        <v>42</v>
      </c>
      <c r="O47" s="64">
        <f>'Calc-Upper2+UWFE'!$M4</f>
        <v>0</v>
      </c>
      <c r="Q47" s="64" t="s">
        <v>42</v>
      </c>
      <c r="R47" s="64">
        <f>'Calc-Upper2+Dec'!$M4</f>
        <v>0</v>
      </c>
      <c r="T47" s="64" t="s">
        <v>42</v>
      </c>
      <c r="U47" s="64">
        <f>'Calc-Upper1+'!$M4</f>
        <v>0</v>
      </c>
      <c r="W47" s="64" t="s">
        <v>42</v>
      </c>
      <c r="X47" s="64">
        <f>'Calc-Upper1+SHA'!$M4</f>
        <v>0</v>
      </c>
    </row>
    <row r="48" spans="1:24" x14ac:dyDescent="0.3">
      <c r="B48" s="64" t="s">
        <v>32</v>
      </c>
      <c r="C48" s="64">
        <f>'Calc-Upper2+NoPipe'!$M5</f>
        <v>0</v>
      </c>
      <c r="E48" s="64" t="s">
        <v>32</v>
      </c>
      <c r="F48" s="64">
        <f>'Calc-Upper2+1pipe'!$M5</f>
        <v>0</v>
      </c>
      <c r="H48" s="64" t="s">
        <v>32</v>
      </c>
      <c r="I48" s="64">
        <f>'Calc-Upper2+'!$M5</f>
        <v>0</v>
      </c>
      <c r="K48" s="64" t="s">
        <v>32</v>
      </c>
      <c r="L48" s="64">
        <f>'Calc-Upper2+BN'!$M5</f>
        <v>1</v>
      </c>
      <c r="N48" s="64" t="s">
        <v>32</v>
      </c>
      <c r="O48" s="64">
        <f>'Calc-Upper2+UWFE'!$M5</f>
        <v>0</v>
      </c>
      <c r="Q48" s="64" t="s">
        <v>32</v>
      </c>
      <c r="R48" s="64">
        <f>'Calc-Upper2+Dec'!$M5</f>
        <v>0</v>
      </c>
      <c r="T48" s="64" t="s">
        <v>32</v>
      </c>
      <c r="U48" s="64">
        <f>'Calc-Upper1+'!$M5</f>
        <v>0</v>
      </c>
      <c r="W48" s="64" t="s">
        <v>32</v>
      </c>
      <c r="X48" s="64">
        <f>'Calc-Upper1+SHA'!$M5</f>
        <v>0</v>
      </c>
    </row>
    <row r="49" spans="2:24" x14ac:dyDescent="0.3">
      <c r="B49" s="64" t="s">
        <v>33</v>
      </c>
      <c r="C49" s="64">
        <f>'Calc-Upper2+NoPipe'!$M6</f>
        <v>1</v>
      </c>
      <c r="E49" s="64" t="s">
        <v>33</v>
      </c>
      <c r="F49" s="64">
        <f>'Calc-Upper2+1pipe'!$M6</f>
        <v>1</v>
      </c>
      <c r="H49" s="64" t="s">
        <v>33</v>
      </c>
      <c r="I49" s="64">
        <f>'Calc-Upper2+'!$M6</f>
        <v>1</v>
      </c>
      <c r="K49" s="64" t="s">
        <v>33</v>
      </c>
      <c r="L49" s="64">
        <f>'Calc-Upper2+BN'!$M6</f>
        <v>1</v>
      </c>
      <c r="N49" s="64" t="s">
        <v>33</v>
      </c>
      <c r="O49" s="64">
        <f>'Calc-Upper2+UWFE'!$M6</f>
        <v>1</v>
      </c>
      <c r="Q49" s="64" t="s">
        <v>33</v>
      </c>
      <c r="R49" s="64">
        <f>'Calc-Upper2+Dec'!$M6</f>
        <v>1</v>
      </c>
      <c r="T49" s="64" t="s">
        <v>33</v>
      </c>
      <c r="U49" s="64">
        <f>'Calc-Upper1+'!$M6</f>
        <v>1</v>
      </c>
      <c r="W49" s="64" t="s">
        <v>33</v>
      </c>
      <c r="X49" s="64">
        <f>'Calc-Upper1+SHA'!$M6</f>
        <v>1</v>
      </c>
    </row>
    <row r="50" spans="2:24" x14ac:dyDescent="0.3">
      <c r="B50" s="64" t="s">
        <v>10</v>
      </c>
      <c r="C50" s="64">
        <f>'Calc-Upper2+NoPipe'!$M7</f>
        <v>1</v>
      </c>
      <c r="E50" s="64" t="s">
        <v>10</v>
      </c>
      <c r="F50" s="64">
        <f>'Calc-Upper2+1pipe'!$M7</f>
        <v>1</v>
      </c>
      <c r="H50" s="64" t="s">
        <v>10</v>
      </c>
      <c r="I50" s="64">
        <f>'Calc-Upper2+'!$M7</f>
        <v>1</v>
      </c>
      <c r="K50" s="64" t="s">
        <v>10</v>
      </c>
      <c r="L50" s="64">
        <f>'Calc-Upper2+BN'!$M7</f>
        <v>1</v>
      </c>
      <c r="N50" s="64" t="s">
        <v>10</v>
      </c>
      <c r="O50" s="64">
        <f>'Calc-Upper2+UWFE'!$M7</f>
        <v>1</v>
      </c>
      <c r="Q50" s="64" t="s">
        <v>10</v>
      </c>
      <c r="R50" s="64">
        <f>'Calc-Upper2+Dec'!$M7</f>
        <v>1</v>
      </c>
      <c r="T50" s="64" t="s">
        <v>10</v>
      </c>
      <c r="U50" s="64">
        <f>'Calc-Upper1+'!$M7</f>
        <v>1</v>
      </c>
      <c r="W50" s="64" t="s">
        <v>10</v>
      </c>
      <c r="X50" s="64">
        <f>'Calc-Upper1+SHA'!$M7</f>
        <v>1</v>
      </c>
    </row>
    <row r="51" spans="2:24" ht="7.95" customHeight="1" x14ac:dyDescent="0.3"/>
    <row r="52" spans="2:24" x14ac:dyDescent="0.3">
      <c r="B52" s="100" t="s">
        <v>143</v>
      </c>
      <c r="C52" s="100"/>
      <c r="E52" s="100" t="s">
        <v>143</v>
      </c>
      <c r="F52" s="100"/>
      <c r="H52" s="100" t="s">
        <v>143</v>
      </c>
      <c r="I52" s="100"/>
      <c r="K52" s="100" t="s">
        <v>143</v>
      </c>
      <c r="L52" s="100"/>
      <c r="N52" s="100" t="s">
        <v>143</v>
      </c>
      <c r="O52" s="100"/>
      <c r="Q52" s="100" t="s">
        <v>143</v>
      </c>
      <c r="R52" s="100"/>
      <c r="T52" s="100" t="s">
        <v>143</v>
      </c>
      <c r="U52" s="100"/>
      <c r="W52" s="100" t="s">
        <v>143</v>
      </c>
      <c r="X52" s="100"/>
    </row>
    <row r="53" spans="2:24" x14ac:dyDescent="0.3">
      <c r="B53" s="92" t="s">
        <v>144</v>
      </c>
      <c r="C53" s="92" t="s">
        <v>146</v>
      </c>
      <c r="E53" s="92" t="s">
        <v>144</v>
      </c>
      <c r="F53" s="92" t="s">
        <v>146</v>
      </c>
      <c r="H53" s="92" t="s">
        <v>144</v>
      </c>
      <c r="I53" s="92" t="s">
        <v>146</v>
      </c>
      <c r="K53" s="92" t="s">
        <v>144</v>
      </c>
      <c r="L53" s="92" t="s">
        <v>146</v>
      </c>
      <c r="N53" s="92" t="s">
        <v>144</v>
      </c>
      <c r="O53" s="92" t="s">
        <v>146</v>
      </c>
      <c r="Q53" s="92" t="s">
        <v>144</v>
      </c>
      <c r="R53" s="92" t="s">
        <v>146</v>
      </c>
      <c r="T53" s="92" t="s">
        <v>144</v>
      </c>
      <c r="U53" s="92" t="s">
        <v>146</v>
      </c>
      <c r="W53" s="92" t="s">
        <v>144</v>
      </c>
      <c r="X53" s="92" t="s">
        <v>146</v>
      </c>
    </row>
    <row r="54" spans="2:24" x14ac:dyDescent="0.3">
      <c r="B54" s="64" t="s">
        <v>145</v>
      </c>
      <c r="C54" s="64" t="str">
        <f>IF('Calc-Upper2+NoPipe'!$AA$3=1,"Yes","No")</f>
        <v>No</v>
      </c>
      <c r="E54" s="64" t="s">
        <v>145</v>
      </c>
      <c r="F54" s="64" t="str">
        <f>IF('Calc-Upper2+1pipe'!$AA$3=1,"Yes","No")</f>
        <v>No</v>
      </c>
      <c r="H54" s="64" t="s">
        <v>145</v>
      </c>
      <c r="I54" s="64" t="str">
        <f>IF('Calc-Upper2+'!$AA$3=1,"Yes","No")</f>
        <v>No</v>
      </c>
      <c r="K54" s="64" t="s">
        <v>145</v>
      </c>
      <c r="L54" s="64" t="str">
        <f>IF('Calc-Upper2+BN'!$AA$3=1,"Yes","No")</f>
        <v>No</v>
      </c>
      <c r="N54" s="64" t="s">
        <v>145</v>
      </c>
      <c r="O54" s="64" t="str">
        <f>IF('Calc-Upper2+UWFE'!$AA$3=1,"Yes","No")</f>
        <v>Yes</v>
      </c>
      <c r="Q54" s="64" t="s">
        <v>145</v>
      </c>
      <c r="R54" s="64" t="str">
        <f>IF('Calc-Upper2+Dec'!$AA$3=1,"Yes","No")</f>
        <v>No</v>
      </c>
      <c r="T54" s="64" t="s">
        <v>145</v>
      </c>
      <c r="U54" s="64" t="str">
        <f>IF('Calc-Upper1+'!$AA$3=1,"Yes","No")</f>
        <v>No</v>
      </c>
      <c r="W54" s="64" t="s">
        <v>145</v>
      </c>
      <c r="X54" s="64" t="str">
        <f>IF('Calc-Upper1+SHA'!$AA$3=1,"Yes","No")</f>
        <v>No</v>
      </c>
    </row>
  </sheetData>
  <mergeCells count="98">
    <mergeCell ref="K7:M7"/>
    <mergeCell ref="N7:P7"/>
    <mergeCell ref="B1:S1"/>
    <mergeCell ref="W2:Y2"/>
    <mergeCell ref="B2:D2"/>
    <mergeCell ref="N2:P2"/>
    <mergeCell ref="Q2:S2"/>
    <mergeCell ref="E2:G2"/>
    <mergeCell ref="H2:J2"/>
    <mergeCell ref="K2:M2"/>
    <mergeCell ref="T2:V2"/>
    <mergeCell ref="T1:Y1"/>
    <mergeCell ref="Q7:S7"/>
    <mergeCell ref="T7:V7"/>
    <mergeCell ref="W7:Y7"/>
    <mergeCell ref="N3:Y3"/>
    <mergeCell ref="W8:Y8"/>
    <mergeCell ref="B8:D8"/>
    <mergeCell ref="N8:P8"/>
    <mergeCell ref="Q8:S8"/>
    <mergeCell ref="W9:Y9"/>
    <mergeCell ref="B9:D9"/>
    <mergeCell ref="N9:P9"/>
    <mergeCell ref="Q9:S9"/>
    <mergeCell ref="E8:G8"/>
    <mergeCell ref="E9:G9"/>
    <mergeCell ref="H8:J8"/>
    <mergeCell ref="H9:J9"/>
    <mergeCell ref="K8:M8"/>
    <mergeCell ref="K9:M9"/>
    <mergeCell ref="T8:V8"/>
    <mergeCell ref="T9:V9"/>
    <mergeCell ref="B11:C11"/>
    <mergeCell ref="N11:O11"/>
    <mergeCell ref="Q11:R11"/>
    <mergeCell ref="W17:X17"/>
    <mergeCell ref="B17:C17"/>
    <mergeCell ref="N17:O17"/>
    <mergeCell ref="Q17:R17"/>
    <mergeCell ref="E11:F11"/>
    <mergeCell ref="E17:F17"/>
    <mergeCell ref="H11:I11"/>
    <mergeCell ref="H17:I17"/>
    <mergeCell ref="K11:L11"/>
    <mergeCell ref="K17:L17"/>
    <mergeCell ref="T11:U11"/>
    <mergeCell ref="T17:U17"/>
    <mergeCell ref="W11:X11"/>
    <mergeCell ref="B23:C23"/>
    <mergeCell ref="N23:O23"/>
    <mergeCell ref="Q23:R23"/>
    <mergeCell ref="W31:X31"/>
    <mergeCell ref="B31:C31"/>
    <mergeCell ref="N31:O31"/>
    <mergeCell ref="Q31:R31"/>
    <mergeCell ref="E23:F23"/>
    <mergeCell ref="E31:F31"/>
    <mergeCell ref="H23:I23"/>
    <mergeCell ref="H31:I31"/>
    <mergeCell ref="K23:L23"/>
    <mergeCell ref="K31:L31"/>
    <mergeCell ref="T23:U23"/>
    <mergeCell ref="T31:U31"/>
    <mergeCell ref="W23:X23"/>
    <mergeCell ref="B52:C52"/>
    <mergeCell ref="B7:D7"/>
    <mergeCell ref="E7:G7"/>
    <mergeCell ref="H7:J7"/>
    <mergeCell ref="W38:X38"/>
    <mergeCell ref="B38:C38"/>
    <mergeCell ref="N38:O38"/>
    <mergeCell ref="Q38:R38"/>
    <mergeCell ref="W45:X45"/>
    <mergeCell ref="B45:C45"/>
    <mergeCell ref="N45:O45"/>
    <mergeCell ref="Q45:R45"/>
    <mergeCell ref="E38:F38"/>
    <mergeCell ref="E45:F45"/>
    <mergeCell ref="H38:I38"/>
    <mergeCell ref="H45:I45"/>
    <mergeCell ref="E52:F52"/>
    <mergeCell ref="H52:I52"/>
    <mergeCell ref="K52:L52"/>
    <mergeCell ref="N52:O52"/>
    <mergeCell ref="Q52:R52"/>
    <mergeCell ref="T52:U52"/>
    <mergeCell ref="W52:X52"/>
    <mergeCell ref="K38:L38"/>
    <mergeCell ref="K45:L45"/>
    <mergeCell ref="T38:U38"/>
    <mergeCell ref="T45:U45"/>
    <mergeCell ref="N4:Y4"/>
    <mergeCell ref="N5:Y5"/>
    <mergeCell ref="N6:Y6"/>
    <mergeCell ref="B6:M6"/>
    <mergeCell ref="B3:M3"/>
    <mergeCell ref="B4:M4"/>
    <mergeCell ref="B5:M5"/>
  </mergeCells>
  <printOptions horizontalCentered="1" verticalCentered="1"/>
  <pageMargins left="0.25" right="0.25" top="0.4" bottom="0.4" header="0.3" footer="0.3"/>
  <pageSetup paperSize="17" orientation="landscape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EC3E5-EC48-42D2-ABF2-85625A113E57}">
  <sheetPr>
    <tabColor theme="5"/>
  </sheetPr>
  <dimension ref="A1:I9"/>
  <sheetViews>
    <sheetView workbookViewId="0">
      <selection activeCell="E14" sqref="E14"/>
    </sheetView>
  </sheetViews>
  <sheetFormatPr defaultRowHeight="14.4" x14ac:dyDescent="0.3"/>
  <cols>
    <col min="1" max="1" width="17.77734375" bestFit="1" customWidth="1"/>
    <col min="2" max="9" width="20.77734375" customWidth="1"/>
  </cols>
  <sheetData>
    <row r="1" spans="1:9" ht="23.4" x14ac:dyDescent="0.45">
      <c r="A1" s="115" t="s">
        <v>154</v>
      </c>
      <c r="B1" s="115"/>
      <c r="C1" s="115"/>
      <c r="D1" s="115"/>
      <c r="E1" s="115"/>
      <c r="F1" s="115"/>
      <c r="G1" s="115"/>
      <c r="H1" s="115"/>
      <c r="I1" s="115"/>
    </row>
    <row r="2" spans="1:9" ht="72" x14ac:dyDescent="0.3">
      <c r="B2" s="68" t="str">
        <f>ChartData!O1</f>
        <v>Initial Concept - no Delevan Pipeline</v>
      </c>
      <c r="C2" s="68" t="str">
        <f>ChartData!P1</f>
        <v>Initial Concept - 1 pipe Delevan Pipeline</v>
      </c>
      <c r="D2" s="68" t="str">
        <f>ChartData!Q1</f>
        <v>Initial Concept - 2 pipe Delevan Pipeline</v>
      </c>
      <c r="E2" s="68" t="str">
        <f>ChartData!R1</f>
        <v>[Sensitivity] Exchanges allowed in Below Normal years</v>
      </c>
      <c r="F2" s="68" t="str">
        <f>ChartData!T1</f>
        <v>[Sensitivity] Exchanges assumed to occur under UWFE conditions as well</v>
      </c>
      <c r="G2" s="68" t="str">
        <f>ChartData!U1</f>
        <v>[Sensitivity] Releases allowed through December</v>
      </c>
      <c r="H2" s="68" t="str">
        <f>ChartData!V1</f>
        <v>[Sensitivity] Releases required to have habitat benefit, allowed through December</v>
      </c>
      <c r="I2" s="68" t="str">
        <f>ChartData!W1</f>
        <v>[Sensitivity] Releases required to have habitat benefit, allowed through December, Storage RPA control</v>
      </c>
    </row>
    <row r="3" spans="1:9" x14ac:dyDescent="0.3">
      <c r="A3" s="1" t="s">
        <v>155</v>
      </c>
      <c r="B3" s="57">
        <f>'Calc-Upper2+NoPipe'!$AO15</f>
        <v>32.198400901722039</v>
      </c>
      <c r="C3" s="57">
        <f>'Calc-Upper2+1pipe'!$AO15</f>
        <v>44.838846146741488</v>
      </c>
      <c r="D3" s="57">
        <f>'Calc-Upper2+'!$AO15</f>
        <v>51.400570382782902</v>
      </c>
      <c r="E3" s="57">
        <f>'Calc-Upper2+BN'!$AO15</f>
        <v>68.338067593511767</v>
      </c>
      <c r="F3" s="57">
        <f>'Calc-Upper2+UWFE'!$AO15</f>
        <v>55.740125428086799</v>
      </c>
      <c r="G3" s="57">
        <f>'Calc-Upper2+Dec'!$AO15</f>
        <v>52.273545369690332</v>
      </c>
      <c r="H3" s="57">
        <f>'Calc-Upper1+'!$AO15</f>
        <v>48.054827981930757</v>
      </c>
      <c r="I3" s="57">
        <f>'Calc-Upper1+SHA'!$AO15</f>
        <v>36.61105064894177</v>
      </c>
    </row>
    <row r="4" spans="1:9" x14ac:dyDescent="0.3">
      <c r="A4" s="1" t="s">
        <v>156</v>
      </c>
      <c r="B4" s="57">
        <f>'Calc-Upper2+NoPipe'!$AO16</f>
        <v>69.879008450874053</v>
      </c>
      <c r="C4" s="57">
        <f>'Calc-Upper2+1pipe'!$AO16</f>
        <v>100.93705878981734</v>
      </c>
      <c r="D4" s="57">
        <f>'Calc-Upper2+'!$AO16</f>
        <v>116.92296578687647</v>
      </c>
      <c r="E4" s="57">
        <f>'Calc-Upper2+BN'!$AO16</f>
        <v>116.92296578687647</v>
      </c>
      <c r="F4" s="57">
        <f>'Calc-Upper2+UWFE'!$AO16</f>
        <v>122.40234074075782</v>
      </c>
      <c r="G4" s="57">
        <f>'Calc-Upper2+Dec'!$AO16</f>
        <v>118.23475496582607</v>
      </c>
      <c r="H4" s="57">
        <f>'Calc-Upper1+'!$AO16</f>
        <v>114.86683827549959</v>
      </c>
      <c r="I4" s="57">
        <f>'Calc-Upper1+SHA'!$AO16</f>
        <v>61.721562393710919</v>
      </c>
    </row>
    <row r="5" spans="1:9" x14ac:dyDescent="0.3">
      <c r="A5" s="1" t="s">
        <v>157</v>
      </c>
      <c r="B5" s="58">
        <f>'Calc-Upper2+NoPipe'!$AO17</f>
        <v>0</v>
      </c>
      <c r="C5" s="58">
        <f>'Calc-Upper2+1pipe'!$AO17</f>
        <v>0</v>
      </c>
      <c r="D5" s="58">
        <f>'Calc-Upper2+'!$AO17</f>
        <v>0</v>
      </c>
      <c r="E5" s="58">
        <f>'Calc-Upper2+BN'!$AO17</f>
        <v>0</v>
      </c>
      <c r="F5" s="58">
        <f>'Calc-Upper2+UWFE'!$AO17</f>
        <v>0</v>
      </c>
      <c r="G5" s="58">
        <f>'Calc-Upper2+Dec'!$AO17</f>
        <v>0</v>
      </c>
      <c r="H5" s="58">
        <f>'Calc-Upper1+'!$AO17</f>
        <v>0</v>
      </c>
      <c r="I5" s="58">
        <f>'Calc-Upper1+SHA'!$AO17</f>
        <v>0</v>
      </c>
    </row>
    <row r="6" spans="1:9" x14ac:dyDescent="0.3">
      <c r="A6" s="1" t="s">
        <v>158</v>
      </c>
      <c r="B6" s="58">
        <f>'Calc-Upper2+NoPipe'!$AO18</f>
        <v>0</v>
      </c>
      <c r="C6" s="58">
        <f>'Calc-Upper2+1pipe'!$AO18</f>
        <v>0</v>
      </c>
      <c r="D6" s="58">
        <f>'Calc-Upper2+'!$AO18</f>
        <v>0</v>
      </c>
      <c r="E6" s="58">
        <f>'Calc-Upper2+BN'!$AO18</f>
        <v>0</v>
      </c>
      <c r="F6" s="58">
        <f>'Calc-Upper2+UWFE'!$AO18</f>
        <v>0</v>
      </c>
      <c r="G6" s="58">
        <f>'Calc-Upper2+Dec'!$AO18</f>
        <v>0</v>
      </c>
      <c r="H6" s="58">
        <f>'Calc-Upper1+'!$AO18</f>
        <v>0</v>
      </c>
      <c r="I6" s="58">
        <f>'Calc-Upper1+SHA'!$AO18</f>
        <v>0</v>
      </c>
    </row>
    <row r="7" spans="1:9" x14ac:dyDescent="0.3">
      <c r="A7" s="1" t="s">
        <v>159</v>
      </c>
      <c r="B7" s="58">
        <f>'Calc-Upper2+NoPipe'!$AO19</f>
        <v>0</v>
      </c>
      <c r="C7" s="58">
        <f>'Calc-Upper2+1pipe'!$AO19</f>
        <v>0</v>
      </c>
      <c r="D7" s="58">
        <f>'Calc-Upper2+'!$AO19</f>
        <v>0</v>
      </c>
      <c r="E7" s="57">
        <f>'Calc-Upper2+BN'!$AO19</f>
        <v>124.72157036991248</v>
      </c>
      <c r="F7" s="58">
        <f>'Calc-Upper2+UWFE'!$AO19</f>
        <v>0</v>
      </c>
      <c r="G7" s="58">
        <f>'Calc-Upper2+Dec'!$AO19</f>
        <v>0</v>
      </c>
      <c r="H7" s="58">
        <f>'Calc-Upper1+'!$AO19</f>
        <v>0</v>
      </c>
      <c r="I7" s="58">
        <f>'Calc-Upper1+SHA'!$AO19</f>
        <v>0</v>
      </c>
    </row>
    <row r="8" spans="1:9" x14ac:dyDescent="0.3">
      <c r="A8" s="1" t="s">
        <v>160</v>
      </c>
      <c r="B8" s="57">
        <f>'Calc-Upper2+NoPipe'!$AO20</f>
        <v>98.486651252935729</v>
      </c>
      <c r="C8" s="57">
        <f>'Calc-Upper2+1pipe'!$AO20</f>
        <v>134.78279446461573</v>
      </c>
      <c r="D8" s="57">
        <f>'Calc-Upper2+'!$AO20</f>
        <v>156.29323407209409</v>
      </c>
      <c r="E8" s="57">
        <f>'Calc-Upper2+BN'!$AO20</f>
        <v>156.29323407209409</v>
      </c>
      <c r="F8" s="57">
        <f>'Calc-Upper2+UWFE'!$AO20</f>
        <v>170.03286953785795</v>
      </c>
      <c r="G8" s="57">
        <f>'Calc-Upper2+Dec'!$AO20</f>
        <v>159.82878276906919</v>
      </c>
      <c r="H8" s="57">
        <f>'Calc-Upper1+'!$AO20</f>
        <v>142.74297734864291</v>
      </c>
      <c r="I8" s="57">
        <f>'Calc-Upper1+SHA'!$AO20</f>
        <v>142.74297734864291</v>
      </c>
    </row>
    <row r="9" spans="1:9" x14ac:dyDescent="0.3">
      <c r="A9" s="1" t="s">
        <v>161</v>
      </c>
      <c r="B9" s="57">
        <f>'Calc-Upper2+NoPipe'!$AO21</f>
        <v>53.194787331730872</v>
      </c>
      <c r="C9" s="57">
        <f>'Calc-Upper2+1pipe'!$AO21</f>
        <v>78.024220716145422</v>
      </c>
      <c r="D9" s="57">
        <f>'Calc-Upper2+'!$AO21</f>
        <v>86.465126630294421</v>
      </c>
      <c r="E9" s="57">
        <f>'Calc-Upper2+BN'!$AO21</f>
        <v>86.465126630294421</v>
      </c>
      <c r="F9" s="57">
        <f>'Calc-Upper2+UWFE'!$AO21</f>
        <v>92.857730743155983</v>
      </c>
      <c r="G9" s="57">
        <f>'Calc-Upper2+Dec'!$AO21</f>
        <v>86.465126630294421</v>
      </c>
      <c r="H9" s="57">
        <f>'Calc-Upper1+'!$AO21</f>
        <v>86.465126630294421</v>
      </c>
      <c r="I9" s="57">
        <f>'Calc-Upper1+SHA'!$AO21</f>
        <v>9.2196296326188012</v>
      </c>
    </row>
  </sheetData>
  <mergeCells count="1">
    <mergeCell ref="A1:I1"/>
  </mergeCells>
  <pageMargins left="0.7" right="0.7" top="0.75" bottom="0.75" header="0.3" footer="0.3"/>
  <pageSetup paperSize="1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05791-F044-4327-A038-DAA5E8CD7F11}">
  <dimension ref="A1:W165"/>
  <sheetViews>
    <sheetView zoomScaleNormal="100" zoomScaleSheetLayoutView="100" workbookViewId="0">
      <selection activeCell="O16" sqref="O16"/>
    </sheetView>
  </sheetViews>
  <sheetFormatPr defaultRowHeight="14.4" x14ac:dyDescent="0.3"/>
  <cols>
    <col min="2" max="2" width="10.21875" bestFit="1" customWidth="1"/>
    <col min="3" max="10" width="15.77734375" customWidth="1"/>
    <col min="19" max="19" width="0" hidden="1" customWidth="1"/>
  </cols>
  <sheetData>
    <row r="1" spans="2:23" ht="74.400000000000006" customHeight="1" x14ac:dyDescent="0.3">
      <c r="B1" s="55" t="s">
        <v>90</v>
      </c>
      <c r="C1" s="55" t="s">
        <v>140</v>
      </c>
      <c r="D1" s="55" t="s">
        <v>141</v>
      </c>
      <c r="E1" s="55" t="s">
        <v>142</v>
      </c>
      <c r="F1" s="55" t="s">
        <v>134</v>
      </c>
      <c r="G1" s="55" t="s">
        <v>135</v>
      </c>
      <c r="H1" s="55" t="s">
        <v>133</v>
      </c>
      <c r="I1" s="55" t="s">
        <v>138</v>
      </c>
      <c r="J1" s="55" t="s">
        <v>139</v>
      </c>
      <c r="O1" s="68" t="str">
        <f>C1</f>
        <v>Initial Concept - no Delevan Pipeline</v>
      </c>
      <c r="P1" s="68" t="str">
        <f>D1</f>
        <v>Initial Concept - 1 pipe Delevan Pipeline</v>
      </c>
      <c r="Q1" s="56" t="str">
        <f>E1</f>
        <v>Initial Concept - 2 pipe Delevan Pipeline</v>
      </c>
      <c r="R1" s="56" t="str">
        <f>F1</f>
        <v>[Sensitivity] Exchanges allowed in Below Normal years</v>
      </c>
      <c r="S1" s="56" t="e">
        <f>#REF!</f>
        <v>#REF!</v>
      </c>
      <c r="T1" s="56" t="str">
        <f t="shared" ref="T1:W1" si="0">G1</f>
        <v>[Sensitivity] Exchanges assumed to occur under UWFE conditions as well</v>
      </c>
      <c r="U1" s="56" t="str">
        <f t="shared" si="0"/>
        <v>[Sensitivity] Releases allowed through December</v>
      </c>
      <c r="V1" s="56" t="str">
        <f t="shared" si="0"/>
        <v>[Sensitivity] Releases required to have habitat benefit, allowed through December</v>
      </c>
      <c r="W1" s="56" t="str">
        <f t="shared" si="0"/>
        <v>[Sensitivity] Releases required to have habitat benefit, allowed through December, Storage RPA control</v>
      </c>
    </row>
    <row r="2" spans="2:23" x14ac:dyDescent="0.3">
      <c r="B2" s="43">
        <v>1922</v>
      </c>
      <c r="C2" s="43">
        <f>'Calc-Upper2+NoPipe'!$AL14</f>
        <v>0</v>
      </c>
      <c r="D2" s="43">
        <f>'Calc-Upper2+1pipe'!$AL14</f>
        <v>0</v>
      </c>
      <c r="E2" s="43">
        <f>'Calc-Upper2+'!$AL14</f>
        <v>0</v>
      </c>
      <c r="F2" s="43">
        <f>'Calc-Upper2+BN'!$AL14</f>
        <v>0</v>
      </c>
      <c r="G2" s="43">
        <f>'Calc-Upper2+UWFE'!$AL14</f>
        <v>0</v>
      </c>
      <c r="H2" s="43">
        <f>'Calc-Upper2+Dec'!$AL14</f>
        <v>0</v>
      </c>
      <c r="I2" s="43">
        <f>'Calc-Upper1+'!$AL14</f>
        <v>0</v>
      </c>
      <c r="J2" s="43">
        <f>'Calc-Upper1+SHA'!$AL14</f>
        <v>0</v>
      </c>
      <c r="N2" s="1" t="s">
        <v>41</v>
      </c>
      <c r="O2" s="57">
        <f>'Calc-Upper2+NoPipe'!$AO15</f>
        <v>32.198400901722039</v>
      </c>
      <c r="P2" s="57">
        <f>'Calc-Upper2+1pipe'!$AO15</f>
        <v>44.838846146741488</v>
      </c>
      <c r="Q2" s="57">
        <f>'Calc-Upper2+'!$AO15</f>
        <v>51.400570382782902</v>
      </c>
      <c r="R2" s="57">
        <f>'Calc-Upper2+BN'!$AO15</f>
        <v>68.338067593511767</v>
      </c>
      <c r="S2" s="57" t="e">
        <f>#REF!</f>
        <v>#REF!</v>
      </c>
      <c r="T2" s="57">
        <f>'Calc-Upper2+UWFE'!$AO15</f>
        <v>55.740125428086799</v>
      </c>
      <c r="U2" s="57">
        <f>'Calc-Upper2+Dec'!$AO15</f>
        <v>52.273545369690332</v>
      </c>
      <c r="V2" s="57">
        <f>'Calc-Upper1+'!$AO15</f>
        <v>48.054827981930757</v>
      </c>
      <c r="W2" s="57">
        <f>'Calc-Upper1+SHA'!$AO15</f>
        <v>36.61105064894177</v>
      </c>
    </row>
    <row r="3" spans="2:23" x14ac:dyDescent="0.3">
      <c r="B3" s="43">
        <v>1923</v>
      </c>
      <c r="C3" s="43">
        <f>'Calc-Upper2+NoPipe'!$AL15</f>
        <v>0</v>
      </c>
      <c r="D3" s="43">
        <f>'Calc-Upper2+1pipe'!$AL15</f>
        <v>0</v>
      </c>
      <c r="E3" s="43">
        <f>'Calc-Upper2+'!$AL15</f>
        <v>0</v>
      </c>
      <c r="F3" s="43">
        <f>'Calc-Upper2+BN'!$AL15</f>
        <v>0</v>
      </c>
      <c r="G3" s="43">
        <f>'Calc-Upper2+UWFE'!$AL15</f>
        <v>0</v>
      </c>
      <c r="H3" s="43">
        <f>'Calc-Upper2+Dec'!$AL15</f>
        <v>0</v>
      </c>
      <c r="I3" s="43">
        <f>'Calc-Upper1+'!$AL15</f>
        <v>0</v>
      </c>
      <c r="J3" s="43">
        <f>'Calc-Upper1+SHA'!$AL15</f>
        <v>0</v>
      </c>
      <c r="N3" s="1" t="s">
        <v>43</v>
      </c>
      <c r="O3" s="57">
        <f>'Calc-Upper2+NoPipe'!$AO16</f>
        <v>69.879008450874053</v>
      </c>
      <c r="P3" s="57">
        <f>'Calc-Upper2+1pipe'!$AO16</f>
        <v>100.93705878981734</v>
      </c>
      <c r="Q3" s="57">
        <f>'Calc-Upper2+'!$AO16</f>
        <v>116.92296578687647</v>
      </c>
      <c r="R3" s="57">
        <f>'Calc-Upper2+BN'!$AO16</f>
        <v>116.92296578687647</v>
      </c>
      <c r="S3" s="57" t="e">
        <f>#REF!</f>
        <v>#REF!</v>
      </c>
      <c r="T3" s="57">
        <f>'Calc-Upper2+UWFE'!$AO16</f>
        <v>122.40234074075782</v>
      </c>
      <c r="U3" s="57">
        <f>'Calc-Upper2+Dec'!$AO16</f>
        <v>118.23475496582607</v>
      </c>
      <c r="V3" s="57">
        <f>'Calc-Upper1+'!$AO16</f>
        <v>114.86683827549959</v>
      </c>
      <c r="W3" s="57">
        <f>'Calc-Upper1+SHA'!$AO16</f>
        <v>61.721562393710919</v>
      </c>
    </row>
    <row r="4" spans="2:23" x14ac:dyDescent="0.3">
      <c r="B4" s="43">
        <v>1924</v>
      </c>
      <c r="C4" s="43">
        <f>'Calc-Upper2+NoPipe'!$AL16</f>
        <v>78.227418475190461</v>
      </c>
      <c r="D4" s="43">
        <f>'Calc-Upper2+1pipe'!$AL16</f>
        <v>124.3431209545293</v>
      </c>
      <c r="E4" s="43">
        <f>'Calc-Upper2+'!$AL16</f>
        <v>161.14381650309917</v>
      </c>
      <c r="F4" s="43">
        <f>'Calc-Upper2+BN'!$AL16</f>
        <v>161.14381650309917</v>
      </c>
      <c r="G4" s="43">
        <f>'Calc-Upper2+UWFE'!$AL16</f>
        <v>161.14381650309917</v>
      </c>
      <c r="H4" s="43">
        <f>'Calc-Upper2+Dec'!$AL16</f>
        <v>161.14381650309917</v>
      </c>
      <c r="I4" s="43">
        <f>'Calc-Upper1+'!$AL16</f>
        <v>161.14381650309917</v>
      </c>
      <c r="J4" s="43">
        <f>'Calc-Upper1+SHA'!$AL16</f>
        <v>0</v>
      </c>
      <c r="N4" s="1" t="s">
        <v>30</v>
      </c>
      <c r="O4" s="58">
        <f>'Calc-Upper2+NoPipe'!$AO17</f>
        <v>0</v>
      </c>
      <c r="P4" s="58">
        <f>'Calc-Upper2+1pipe'!$AO17</f>
        <v>0</v>
      </c>
      <c r="Q4" s="58">
        <f>'Calc-Upper2+'!$AO17</f>
        <v>0</v>
      </c>
      <c r="R4" s="58">
        <f>'Calc-Upper2+BN'!$AO17</f>
        <v>0</v>
      </c>
      <c r="S4" s="58" t="e">
        <f>#REF!</f>
        <v>#REF!</v>
      </c>
      <c r="T4" s="58">
        <f>'Calc-Upper2+UWFE'!$AO17</f>
        <v>0</v>
      </c>
      <c r="U4" s="58">
        <f>'Calc-Upper2+Dec'!$AO17</f>
        <v>0</v>
      </c>
      <c r="V4" s="58">
        <f>'Calc-Upper1+'!$AO17</f>
        <v>0</v>
      </c>
      <c r="W4" s="58">
        <f>'Calc-Upper1+SHA'!$AO17</f>
        <v>0</v>
      </c>
    </row>
    <row r="5" spans="2:23" x14ac:dyDescent="0.3">
      <c r="B5" s="43">
        <v>1925</v>
      </c>
      <c r="C5" s="43">
        <f>'Calc-Upper2+NoPipe'!$AL17</f>
        <v>42.764748192148765</v>
      </c>
      <c r="D5" s="43">
        <f>'Calc-Upper2+1pipe'!$AL17</f>
        <v>42.764748192148765</v>
      </c>
      <c r="E5" s="43">
        <f>'Calc-Upper2+'!$AL17</f>
        <v>42.764748192148765</v>
      </c>
      <c r="F5" s="43">
        <f>'Calc-Upper2+BN'!$AL17</f>
        <v>42.764748192148765</v>
      </c>
      <c r="G5" s="43">
        <f>'Calc-Upper2+UWFE'!$AL17</f>
        <v>43.79148308367769</v>
      </c>
      <c r="H5" s="43">
        <f>'Calc-Upper2+Dec'!$AL17</f>
        <v>42.764748192148765</v>
      </c>
      <c r="I5" s="43">
        <f>'Calc-Upper1+'!$AL17</f>
        <v>42.764748192148765</v>
      </c>
      <c r="J5" s="43">
        <f>'Calc-Upper1+SHA'!$AL17</f>
        <v>42.764748192148765</v>
      </c>
      <c r="N5" s="1" t="s">
        <v>42</v>
      </c>
      <c r="O5" s="58">
        <f>'Calc-Upper2+NoPipe'!$AO18</f>
        <v>0</v>
      </c>
      <c r="P5" s="58">
        <f>'Calc-Upper2+1pipe'!$AO18</f>
        <v>0</v>
      </c>
      <c r="Q5" s="58">
        <f>'Calc-Upper2+'!$AO18</f>
        <v>0</v>
      </c>
      <c r="R5" s="58">
        <f>'Calc-Upper2+BN'!$AO18</f>
        <v>0</v>
      </c>
      <c r="S5" s="58" t="e">
        <f>#REF!</f>
        <v>#REF!</v>
      </c>
      <c r="T5" s="58">
        <f>'Calc-Upper2+UWFE'!$AO18</f>
        <v>0</v>
      </c>
      <c r="U5" s="58">
        <f>'Calc-Upper2+Dec'!$AO18</f>
        <v>0</v>
      </c>
      <c r="V5" s="58">
        <f>'Calc-Upper1+'!$AO18</f>
        <v>0</v>
      </c>
      <c r="W5" s="58">
        <f>'Calc-Upper1+SHA'!$AO18</f>
        <v>0</v>
      </c>
    </row>
    <row r="6" spans="2:23" x14ac:dyDescent="0.3">
      <c r="B6" s="43">
        <v>1926</v>
      </c>
      <c r="C6" s="43">
        <f>'Calc-Upper2+NoPipe'!$AL18</f>
        <v>81.131935828342904</v>
      </c>
      <c r="D6" s="43">
        <f>'Calc-Upper2+1pipe'!$AL18</f>
        <v>127.24763830768177</v>
      </c>
      <c r="E6" s="43">
        <f>'Calc-Upper2+'!$AL18</f>
        <v>173.3633407870206</v>
      </c>
      <c r="F6" s="43">
        <f>'Calc-Upper2+BN'!$AL18</f>
        <v>173.3633407870206</v>
      </c>
      <c r="G6" s="43">
        <f>'Calc-Upper2+UWFE'!$AL18</f>
        <v>173.3633407870206</v>
      </c>
      <c r="H6" s="43">
        <f>'Calc-Upper2+Dec'!$AL18</f>
        <v>173.3633407870206</v>
      </c>
      <c r="I6" s="43">
        <f>'Calc-Upper1+'!$AL18</f>
        <v>151.4505739927686</v>
      </c>
      <c r="J6" s="43">
        <f>'Calc-Upper1+SHA'!$AL18</f>
        <v>151.4505739927686</v>
      </c>
      <c r="N6" s="1" t="s">
        <v>32</v>
      </c>
      <c r="O6" s="58">
        <f>'Calc-Upper2+NoPipe'!$AO19</f>
        <v>0</v>
      </c>
      <c r="P6" s="58">
        <f>'Calc-Upper2+1pipe'!$AO19</f>
        <v>0</v>
      </c>
      <c r="Q6" s="58">
        <f>'Calc-Upper2+'!$AO19</f>
        <v>0</v>
      </c>
      <c r="R6" s="57">
        <f>'Calc-Upper2+BN'!$AO19</f>
        <v>124.72157036991248</v>
      </c>
      <c r="S6" s="57" t="e">
        <f>#REF!</f>
        <v>#REF!</v>
      </c>
      <c r="T6" s="58">
        <f>'Calc-Upper2+UWFE'!$AO19</f>
        <v>0</v>
      </c>
      <c r="U6" s="58">
        <f>'Calc-Upper2+Dec'!$AO19</f>
        <v>0</v>
      </c>
      <c r="V6" s="58">
        <f>'Calc-Upper1+'!$AO19</f>
        <v>0</v>
      </c>
      <c r="W6" s="58">
        <f>'Calc-Upper1+SHA'!$AO19</f>
        <v>0</v>
      </c>
    </row>
    <row r="7" spans="2:23" x14ac:dyDescent="0.3">
      <c r="B7" s="43">
        <v>1927</v>
      </c>
      <c r="C7" s="43">
        <f>'Calc-Upper2+NoPipe'!$AL19</f>
        <v>0</v>
      </c>
      <c r="D7" s="43">
        <f>'Calc-Upper2+1pipe'!$AL19</f>
        <v>0</v>
      </c>
      <c r="E7" s="43">
        <f>'Calc-Upper2+'!$AL19</f>
        <v>0</v>
      </c>
      <c r="F7" s="43">
        <f>'Calc-Upper2+BN'!$AL19</f>
        <v>0</v>
      </c>
      <c r="G7" s="43">
        <f>'Calc-Upper2+UWFE'!$AL19</f>
        <v>0</v>
      </c>
      <c r="H7" s="43">
        <f>'Calc-Upper2+Dec'!$AL19</f>
        <v>0</v>
      </c>
      <c r="I7" s="43">
        <f>'Calc-Upper1+'!$AL19</f>
        <v>0</v>
      </c>
      <c r="J7" s="43">
        <f>'Calc-Upper1+SHA'!$AL19</f>
        <v>0</v>
      </c>
      <c r="N7" s="1" t="s">
        <v>33</v>
      </c>
      <c r="O7" s="57">
        <f>'Calc-Upper2+NoPipe'!$AO20</f>
        <v>98.486651252935729</v>
      </c>
      <c r="P7" s="57">
        <f>'Calc-Upper2+1pipe'!$AO20</f>
        <v>134.78279446461573</v>
      </c>
      <c r="Q7" s="57">
        <f>'Calc-Upper2+'!$AO20</f>
        <v>156.29323407209409</v>
      </c>
      <c r="R7" s="57">
        <f>'Calc-Upper2+BN'!$AO20</f>
        <v>156.29323407209409</v>
      </c>
      <c r="S7" s="57" t="e">
        <f>#REF!</f>
        <v>#REF!</v>
      </c>
      <c r="T7" s="57">
        <f>'Calc-Upper2+UWFE'!$AO20</f>
        <v>170.03286953785795</v>
      </c>
      <c r="U7" s="57">
        <f>'Calc-Upper2+Dec'!$AO20</f>
        <v>159.82878276906919</v>
      </c>
      <c r="V7" s="57">
        <f>'Calc-Upper1+'!$AO20</f>
        <v>142.74297734864291</v>
      </c>
      <c r="W7" s="57">
        <f>'Calc-Upper1+SHA'!$AO20</f>
        <v>142.74297734864291</v>
      </c>
    </row>
    <row r="8" spans="2:23" x14ac:dyDescent="0.3">
      <c r="B8" s="44">
        <v>1928</v>
      </c>
      <c r="C8" s="44">
        <f>'Calc-Upper2+NoPipe'!$AL20</f>
        <v>0</v>
      </c>
      <c r="D8" s="44">
        <f>'Calc-Upper2+1pipe'!$AL20</f>
        <v>0</v>
      </c>
      <c r="E8" s="44">
        <f>'Calc-Upper2+'!$AL20</f>
        <v>0</v>
      </c>
      <c r="F8" s="44">
        <f>'Calc-Upper2+BN'!$AL20</f>
        <v>0</v>
      </c>
      <c r="G8" s="44">
        <f>'Calc-Upper2+UWFE'!$AL20</f>
        <v>0</v>
      </c>
      <c r="H8" s="44">
        <f>'Calc-Upper2+Dec'!$AL20</f>
        <v>0</v>
      </c>
      <c r="I8" s="44">
        <f>'Calc-Upper1+'!$AL20</f>
        <v>0</v>
      </c>
      <c r="J8" s="44">
        <f>'Calc-Upper1+SHA'!$AL20</f>
        <v>0</v>
      </c>
      <c r="N8" s="1" t="s">
        <v>10</v>
      </c>
      <c r="O8" s="57">
        <f>'Calc-Upper2+NoPipe'!$AO21</f>
        <v>53.194787331730872</v>
      </c>
      <c r="P8" s="57">
        <f>'Calc-Upper2+1pipe'!$AO21</f>
        <v>78.024220716145422</v>
      </c>
      <c r="Q8" s="57">
        <f>'Calc-Upper2+'!$AO21</f>
        <v>86.465126630294421</v>
      </c>
      <c r="R8" s="57">
        <f>'Calc-Upper2+BN'!$AO21</f>
        <v>86.465126630294421</v>
      </c>
      <c r="S8" s="57" t="e">
        <f>#REF!</f>
        <v>#REF!</v>
      </c>
      <c r="T8" s="57">
        <f>'Calc-Upper2+UWFE'!$AO21</f>
        <v>92.857730743155983</v>
      </c>
      <c r="U8" s="57">
        <f>'Calc-Upper2+Dec'!$AO21</f>
        <v>86.465126630294421</v>
      </c>
      <c r="V8" s="57">
        <f>'Calc-Upper1+'!$AO21</f>
        <v>86.465126630294421</v>
      </c>
      <c r="W8" s="57">
        <f>'Calc-Upper1+SHA'!$AO21</f>
        <v>9.2196296326188012</v>
      </c>
    </row>
    <row r="9" spans="2:23" x14ac:dyDescent="0.3">
      <c r="B9" s="44">
        <v>1929</v>
      </c>
      <c r="C9" s="44">
        <f>'Calc-Upper2+NoPipe'!$AL21</f>
        <v>82.320104506311338</v>
      </c>
      <c r="D9" s="44">
        <f>'Calc-Upper2+1pipe'!$AL21</f>
        <v>127.9222265625</v>
      </c>
      <c r="E9" s="44">
        <f>'Calc-Upper2+'!$AL21</f>
        <v>127.9222265625</v>
      </c>
      <c r="F9" s="44">
        <f>'Calc-Upper2+BN'!$AL21</f>
        <v>127.9222265625</v>
      </c>
      <c r="G9" s="44">
        <f>'Calc-Upper2+UWFE'!$AL21</f>
        <v>127.9222265625</v>
      </c>
      <c r="H9" s="44">
        <f>'Calc-Upper2+Dec'!$AL21</f>
        <v>127.9222265625</v>
      </c>
      <c r="I9" s="44">
        <f>'Calc-Upper1+'!$AL21</f>
        <v>127.9222265625</v>
      </c>
      <c r="J9" s="44">
        <f>'Calc-Upper1+SHA'!$AL21</f>
        <v>0</v>
      </c>
    </row>
    <row r="10" spans="2:23" x14ac:dyDescent="0.3">
      <c r="B10" s="44">
        <v>1930</v>
      </c>
      <c r="C10" s="44">
        <f>'Calc-Upper2+NoPipe'!$AL22</f>
        <v>0</v>
      </c>
      <c r="D10" s="44">
        <f>'Calc-Upper2+1pipe'!$AL22</f>
        <v>0</v>
      </c>
      <c r="E10" s="44">
        <f>'Calc-Upper2+'!$AL22</f>
        <v>0</v>
      </c>
      <c r="F10" s="44">
        <f>'Calc-Upper2+BN'!$AL22</f>
        <v>0</v>
      </c>
      <c r="G10" s="44">
        <f>'Calc-Upper2+UWFE'!$AL22</f>
        <v>0</v>
      </c>
      <c r="H10" s="44">
        <f>'Calc-Upper2+Dec'!$AL22</f>
        <v>0</v>
      </c>
      <c r="I10" s="44">
        <f>'Calc-Upper1+'!$AL22</f>
        <v>0</v>
      </c>
      <c r="J10" s="44">
        <f>'Calc-Upper1+SHA'!$AL22</f>
        <v>0</v>
      </c>
    </row>
    <row r="11" spans="2:23" x14ac:dyDescent="0.3">
      <c r="B11" s="44">
        <v>1931</v>
      </c>
      <c r="C11" s="44">
        <f>'Calc-Upper2+NoPipe'!$AL23</f>
        <v>87.457805528877202</v>
      </c>
      <c r="D11" s="44">
        <f>'Calc-Upper2+1pipe'!$AL23</f>
        <v>162.48389609092524</v>
      </c>
      <c r="E11" s="44">
        <f>'Calc-Upper2+'!$AL23</f>
        <v>174.23468879132233</v>
      </c>
      <c r="F11" s="77">
        <f>'Calc-Upper2+BN'!$AL23</f>
        <v>174.23468879132233</v>
      </c>
      <c r="G11" s="44">
        <f>'Calc-Upper2+UWFE'!$AL23</f>
        <v>174.23468879132233</v>
      </c>
      <c r="H11" s="44">
        <f>'Calc-Upper2+Dec'!$AL23</f>
        <v>174.23468879132233</v>
      </c>
      <c r="I11" s="77">
        <f>'Calc-Upper1+'!$AL23</f>
        <v>174.23468879132233</v>
      </c>
      <c r="J11" s="77">
        <f>'Calc-Upper1+SHA'!$AL23</f>
        <v>0</v>
      </c>
      <c r="L11" s="78"/>
    </row>
    <row r="12" spans="2:23" x14ac:dyDescent="0.3">
      <c r="B12" s="44">
        <v>1932</v>
      </c>
      <c r="C12" s="44">
        <f>'Calc-Upper2+NoPipe'!$AL24</f>
        <v>0</v>
      </c>
      <c r="D12" s="44">
        <f>'Calc-Upper2+1pipe'!$AL24</f>
        <v>0</v>
      </c>
      <c r="E12" s="44">
        <f>'Calc-Upper2+'!$AL24</f>
        <v>0</v>
      </c>
      <c r="F12" s="77">
        <f>'Calc-Upper2+BN'!$AL24</f>
        <v>0</v>
      </c>
      <c r="G12" s="44">
        <f>'Calc-Upper2+UWFE'!$AL24</f>
        <v>0</v>
      </c>
      <c r="H12" s="44">
        <f>'Calc-Upper2+Dec'!$AL24</f>
        <v>0</v>
      </c>
      <c r="I12" s="77">
        <f>'Calc-Upper1+'!$AL24</f>
        <v>0</v>
      </c>
      <c r="J12" s="77">
        <f>'Calc-Upper1+SHA'!$AL24</f>
        <v>0</v>
      </c>
      <c r="L12" s="78"/>
    </row>
    <row r="13" spans="2:23" x14ac:dyDescent="0.3">
      <c r="B13" s="44">
        <v>1933</v>
      </c>
      <c r="C13" s="44">
        <f>'Calc-Upper2+NoPipe'!$AL25</f>
        <v>0</v>
      </c>
      <c r="D13" s="44">
        <f>'Calc-Upper2+1pipe'!$AL25</f>
        <v>0</v>
      </c>
      <c r="E13" s="44">
        <f>'Calc-Upper2+'!$AL25</f>
        <v>0</v>
      </c>
      <c r="F13" s="77">
        <f>'Calc-Upper2+BN'!$AL25</f>
        <v>0</v>
      </c>
      <c r="G13" s="44">
        <f>'Calc-Upper2+UWFE'!$AL25</f>
        <v>30.825164643595041</v>
      </c>
      <c r="H13" s="44">
        <f>'Calc-Upper2+Dec'!$AL25</f>
        <v>0</v>
      </c>
      <c r="I13" s="77">
        <f>'Calc-Upper1+'!$AL25</f>
        <v>0</v>
      </c>
      <c r="J13" s="77">
        <f>'Calc-Upper1+SHA'!$AL25</f>
        <v>0</v>
      </c>
      <c r="L13" s="78"/>
    </row>
    <row r="14" spans="2:23" x14ac:dyDescent="0.3">
      <c r="B14" s="44">
        <v>1934</v>
      </c>
      <c r="C14" s="44">
        <f>'Calc-Upper2+NoPipe'!$AL26</f>
        <v>61.140804816632233</v>
      </c>
      <c r="D14" s="44">
        <f>'Calc-Upper2+1pipe'!$AL26</f>
        <v>61.140804816632233</v>
      </c>
      <c r="E14" s="44">
        <f>'Calc-Upper2+'!$AL26</f>
        <v>61.140804816632233</v>
      </c>
      <c r="F14" s="77">
        <f>'Calc-Upper2+BN'!$AL26</f>
        <v>61.140804816632233</v>
      </c>
      <c r="G14" s="44">
        <f>'Calc-Upper2+UWFE'!$AL26</f>
        <v>61.140804816632233</v>
      </c>
      <c r="H14" s="44">
        <f>'Calc-Upper2+Dec'!$AL26</f>
        <v>61.140804816632233</v>
      </c>
      <c r="I14" s="77">
        <f>'Calc-Upper1+'!$AL26</f>
        <v>61.140804816632233</v>
      </c>
      <c r="J14" s="77">
        <f>'Calc-Upper1+SHA'!$AL26</f>
        <v>0</v>
      </c>
      <c r="L14" s="78"/>
    </row>
    <row r="15" spans="2:23" x14ac:dyDescent="0.3">
      <c r="B15" s="43">
        <v>1935</v>
      </c>
      <c r="C15" s="43">
        <f>'Calc-Upper2+NoPipe'!$AL27</f>
        <v>0</v>
      </c>
      <c r="D15" s="43">
        <f>'Calc-Upper2+1pipe'!$AL27</f>
        <v>0</v>
      </c>
      <c r="E15" s="43">
        <f>'Calc-Upper2+'!$AL27</f>
        <v>0</v>
      </c>
      <c r="F15" s="43">
        <f>'Calc-Upper2+BN'!$AL27</f>
        <v>0</v>
      </c>
      <c r="G15" s="43">
        <f>'Calc-Upper2+UWFE'!$AL27</f>
        <v>0</v>
      </c>
      <c r="H15" s="43">
        <f>'Calc-Upper2+Dec'!$AL27</f>
        <v>0</v>
      </c>
      <c r="I15" s="43">
        <f>'Calc-Upper1+'!$AL27</f>
        <v>0</v>
      </c>
      <c r="J15" s="43">
        <f>'Calc-Upper1+SHA'!$AL27</f>
        <v>0</v>
      </c>
    </row>
    <row r="16" spans="2:23" x14ac:dyDescent="0.3">
      <c r="B16" s="43">
        <v>1936</v>
      </c>
      <c r="C16" s="43">
        <f>'Calc-Upper2+NoPipe'!$AL28</f>
        <v>0</v>
      </c>
      <c r="D16" s="43">
        <f>'Calc-Upper2+1pipe'!$AL28</f>
        <v>0</v>
      </c>
      <c r="E16" s="43">
        <f>'Calc-Upper2+'!$AL28</f>
        <v>0</v>
      </c>
      <c r="F16" s="43">
        <f>'Calc-Upper2+BN'!$AL28</f>
        <v>0</v>
      </c>
      <c r="G16" s="43">
        <f>'Calc-Upper2+UWFE'!$AL28</f>
        <v>0</v>
      </c>
      <c r="H16" s="43">
        <f>'Calc-Upper2+Dec'!$AL28</f>
        <v>0</v>
      </c>
      <c r="I16" s="43">
        <f>'Calc-Upper1+'!$AL28</f>
        <v>0</v>
      </c>
      <c r="J16" s="43">
        <f>'Calc-Upper1+SHA'!$AL28</f>
        <v>0</v>
      </c>
    </row>
    <row r="17" spans="2:10" x14ac:dyDescent="0.3">
      <c r="B17" s="43">
        <v>1937</v>
      </c>
      <c r="C17" s="43">
        <f>'Calc-Upper2+NoPipe'!$AL29</f>
        <v>0</v>
      </c>
      <c r="D17" s="43">
        <f>'Calc-Upper2+1pipe'!$AL29</f>
        <v>0</v>
      </c>
      <c r="E17" s="43">
        <f>'Calc-Upper2+'!$AL29</f>
        <v>0</v>
      </c>
      <c r="F17" s="43">
        <f>'Calc-Upper2+BN'!$AL29</f>
        <v>0</v>
      </c>
      <c r="G17" s="43">
        <f>'Calc-Upper2+UWFE'!$AL29</f>
        <v>0</v>
      </c>
      <c r="H17" s="43">
        <f>'Calc-Upper2+Dec'!$AL29</f>
        <v>0</v>
      </c>
      <c r="I17" s="43">
        <f>'Calc-Upper1+'!$AL29</f>
        <v>0</v>
      </c>
      <c r="J17" s="43">
        <f>'Calc-Upper1+SHA'!$AL29</f>
        <v>0</v>
      </c>
    </row>
    <row r="18" spans="2:10" x14ac:dyDescent="0.3">
      <c r="B18" s="43">
        <v>1938</v>
      </c>
      <c r="C18" s="43">
        <f>'Calc-Upper2+NoPipe'!$AL30</f>
        <v>0</v>
      </c>
      <c r="D18" s="43">
        <f>'Calc-Upper2+1pipe'!$AL30</f>
        <v>0</v>
      </c>
      <c r="E18" s="43">
        <f>'Calc-Upper2+'!$AL30</f>
        <v>0</v>
      </c>
      <c r="F18" s="43">
        <f>'Calc-Upper2+BN'!$AL30</f>
        <v>0</v>
      </c>
      <c r="G18" s="43">
        <f>'Calc-Upper2+UWFE'!$AL30</f>
        <v>0</v>
      </c>
      <c r="H18" s="43">
        <f>'Calc-Upper2+Dec'!$AL30</f>
        <v>0</v>
      </c>
      <c r="I18" s="43">
        <f>'Calc-Upper1+'!$AL30</f>
        <v>0</v>
      </c>
      <c r="J18" s="43">
        <f>'Calc-Upper1+SHA'!$AL30</f>
        <v>0</v>
      </c>
    </row>
    <row r="19" spans="2:10" x14ac:dyDescent="0.3">
      <c r="B19" s="43">
        <v>1939</v>
      </c>
      <c r="C19" s="43">
        <f>'Calc-Upper2+NoPipe'!$AL31</f>
        <v>0</v>
      </c>
      <c r="D19" s="43">
        <f>'Calc-Upper2+1pipe'!$AL31</f>
        <v>0</v>
      </c>
      <c r="E19" s="43">
        <f>'Calc-Upper2+'!$AL31</f>
        <v>0</v>
      </c>
      <c r="F19" s="43">
        <f>'Calc-Upper2+BN'!$AL31</f>
        <v>315.06763107930328</v>
      </c>
      <c r="G19" s="43">
        <f>'Calc-Upper2+UWFE'!$AL31</f>
        <v>0</v>
      </c>
      <c r="H19" s="43">
        <f>'Calc-Upper2+Dec'!$AL31</f>
        <v>0</v>
      </c>
      <c r="I19" s="43">
        <f>'Calc-Upper1+'!$AL31</f>
        <v>0</v>
      </c>
      <c r="J19" s="43">
        <f>'Calc-Upper1+SHA'!$AL31</f>
        <v>0</v>
      </c>
    </row>
    <row r="20" spans="2:10" x14ac:dyDescent="0.3">
      <c r="B20" s="43">
        <v>1940</v>
      </c>
      <c r="C20" s="43">
        <f>'Calc-Upper2+NoPipe'!$AL32</f>
        <v>0</v>
      </c>
      <c r="D20" s="43">
        <f>'Calc-Upper2+1pipe'!$AL32</f>
        <v>0</v>
      </c>
      <c r="E20" s="43">
        <f>'Calc-Upper2+'!$AL32</f>
        <v>0</v>
      </c>
      <c r="F20" s="43">
        <f>'Calc-Upper2+BN'!$AL32</f>
        <v>0</v>
      </c>
      <c r="G20" s="43">
        <f>'Calc-Upper2+UWFE'!$AL32</f>
        <v>0</v>
      </c>
      <c r="H20" s="43">
        <f>'Calc-Upper2+Dec'!$AL32</f>
        <v>0</v>
      </c>
      <c r="I20" s="43">
        <f>'Calc-Upper1+'!$AL32</f>
        <v>0</v>
      </c>
      <c r="J20" s="43">
        <f>'Calc-Upper1+SHA'!$AL32</f>
        <v>0</v>
      </c>
    </row>
    <row r="21" spans="2:10" x14ac:dyDescent="0.3">
      <c r="B21" s="43">
        <v>1941</v>
      </c>
      <c r="C21" s="43">
        <f>'Calc-Upper2+NoPipe'!$AL33</f>
        <v>0</v>
      </c>
      <c r="D21" s="43">
        <f>'Calc-Upper2+1pipe'!$AL33</f>
        <v>0</v>
      </c>
      <c r="E21" s="43">
        <f>'Calc-Upper2+'!$AL33</f>
        <v>0</v>
      </c>
      <c r="F21" s="43">
        <f>'Calc-Upper2+BN'!$AL33</f>
        <v>0</v>
      </c>
      <c r="G21" s="43">
        <f>'Calc-Upper2+UWFE'!$AL33</f>
        <v>0</v>
      </c>
      <c r="H21" s="43">
        <f>'Calc-Upper2+Dec'!$AL33</f>
        <v>0</v>
      </c>
      <c r="I21" s="43">
        <f>'Calc-Upper1+'!$AL33</f>
        <v>0</v>
      </c>
      <c r="J21" s="43">
        <f>'Calc-Upper1+SHA'!$AL33</f>
        <v>0</v>
      </c>
    </row>
    <row r="22" spans="2:10" x14ac:dyDescent="0.3">
      <c r="B22" s="43">
        <v>1942</v>
      </c>
      <c r="C22" s="43">
        <f>'Calc-Upper2+NoPipe'!$AL34</f>
        <v>0</v>
      </c>
      <c r="D22" s="43">
        <f>'Calc-Upper2+1pipe'!$AL34</f>
        <v>0</v>
      </c>
      <c r="E22" s="43">
        <f>'Calc-Upper2+'!$AL34</f>
        <v>0</v>
      </c>
      <c r="F22" s="43">
        <f>'Calc-Upper2+BN'!$AL34</f>
        <v>0</v>
      </c>
      <c r="G22" s="43">
        <f>'Calc-Upper2+UWFE'!$AL34</f>
        <v>0</v>
      </c>
      <c r="H22" s="43">
        <f>'Calc-Upper2+Dec'!$AL34</f>
        <v>0</v>
      </c>
      <c r="I22" s="43">
        <f>'Calc-Upper1+'!$AL34</f>
        <v>0</v>
      </c>
      <c r="J22" s="43">
        <f>'Calc-Upper1+SHA'!$AL34</f>
        <v>0</v>
      </c>
    </row>
    <row r="23" spans="2:10" x14ac:dyDescent="0.3">
      <c r="B23" s="43">
        <v>1943</v>
      </c>
      <c r="C23" s="43">
        <f>'Calc-Upper2+NoPipe'!$AL35</f>
        <v>0</v>
      </c>
      <c r="D23" s="43">
        <f>'Calc-Upper2+1pipe'!$AL35</f>
        <v>0</v>
      </c>
      <c r="E23" s="43">
        <f>'Calc-Upper2+'!$AL35</f>
        <v>0</v>
      </c>
      <c r="F23" s="43">
        <f>'Calc-Upper2+BN'!$AL35</f>
        <v>0</v>
      </c>
      <c r="G23" s="43">
        <f>'Calc-Upper2+UWFE'!$AL35</f>
        <v>0</v>
      </c>
      <c r="H23" s="43">
        <f>'Calc-Upper2+Dec'!$AL35</f>
        <v>0</v>
      </c>
      <c r="I23" s="43">
        <f>'Calc-Upper1+'!$AL35</f>
        <v>0</v>
      </c>
      <c r="J23" s="43">
        <f>'Calc-Upper1+SHA'!$AL35</f>
        <v>0</v>
      </c>
    </row>
    <row r="24" spans="2:10" x14ac:dyDescent="0.3">
      <c r="B24" s="43">
        <v>1944</v>
      </c>
      <c r="C24" s="43">
        <f>'Calc-Upper2+NoPipe'!$AL36</f>
        <v>0</v>
      </c>
      <c r="D24" s="43">
        <f>'Calc-Upper2+1pipe'!$AL36</f>
        <v>0</v>
      </c>
      <c r="E24" s="43">
        <f>'Calc-Upper2+'!$AL36</f>
        <v>0</v>
      </c>
      <c r="F24" s="43">
        <f>'Calc-Upper2+BN'!$AL36</f>
        <v>0</v>
      </c>
      <c r="G24" s="43">
        <f>'Calc-Upper2+UWFE'!$AL36</f>
        <v>0</v>
      </c>
      <c r="H24" s="43">
        <f>'Calc-Upper2+Dec'!$AL36</f>
        <v>0</v>
      </c>
      <c r="I24" s="43">
        <f>'Calc-Upper1+'!$AL36</f>
        <v>0</v>
      </c>
      <c r="J24" s="43">
        <f>'Calc-Upper1+SHA'!$AL36</f>
        <v>0</v>
      </c>
    </row>
    <row r="25" spans="2:10" x14ac:dyDescent="0.3">
      <c r="B25" s="43">
        <v>1945</v>
      </c>
      <c r="C25" s="43">
        <f>'Calc-Upper2+NoPipe'!$AL37</f>
        <v>0</v>
      </c>
      <c r="D25" s="43">
        <f>'Calc-Upper2+1pipe'!$AL37</f>
        <v>0</v>
      </c>
      <c r="E25" s="43">
        <f>'Calc-Upper2+'!$AL37</f>
        <v>0</v>
      </c>
      <c r="F25" s="43">
        <f>'Calc-Upper2+BN'!$AL37</f>
        <v>101.6310337035124</v>
      </c>
      <c r="G25" s="43">
        <f>'Calc-Upper2+UWFE'!$AL37</f>
        <v>0</v>
      </c>
      <c r="H25" s="43">
        <f>'Calc-Upper2+Dec'!$AL37</f>
        <v>0</v>
      </c>
      <c r="I25" s="43">
        <f>'Calc-Upper1+'!$AL37</f>
        <v>0</v>
      </c>
      <c r="J25" s="43">
        <f>'Calc-Upper1+SHA'!$AL37</f>
        <v>0</v>
      </c>
    </row>
    <row r="26" spans="2:10" x14ac:dyDescent="0.3">
      <c r="B26" s="43">
        <v>1946</v>
      </c>
      <c r="C26" s="43">
        <f>'Calc-Upper2+NoPipe'!$AL38</f>
        <v>0</v>
      </c>
      <c r="D26" s="43">
        <f>'Calc-Upper2+1pipe'!$AL38</f>
        <v>0</v>
      </c>
      <c r="E26" s="43">
        <f>'Calc-Upper2+'!$AL38</f>
        <v>0</v>
      </c>
      <c r="F26" s="43">
        <f>'Calc-Upper2+BN'!$AL38</f>
        <v>0</v>
      </c>
      <c r="G26" s="43">
        <f>'Calc-Upper2+UWFE'!$AL38</f>
        <v>0</v>
      </c>
      <c r="H26" s="43">
        <f>'Calc-Upper2+Dec'!$AL38</f>
        <v>0</v>
      </c>
      <c r="I26" s="43">
        <f>'Calc-Upper1+'!$AL38</f>
        <v>0</v>
      </c>
      <c r="J26" s="43">
        <f>'Calc-Upper1+SHA'!$AL38</f>
        <v>0</v>
      </c>
    </row>
    <row r="27" spans="2:10" x14ac:dyDescent="0.3">
      <c r="B27" s="43">
        <v>1947</v>
      </c>
      <c r="C27" s="43">
        <f>'Calc-Upper2+NoPipe'!$AL39</f>
        <v>174.18674200389012</v>
      </c>
      <c r="D27" s="43">
        <f>'Calc-Upper2+1pipe'!$AL39</f>
        <v>237.51639891569278</v>
      </c>
      <c r="E27" s="43">
        <f>'Calc-Upper2+'!$AL39</f>
        <v>267.69855565599175</v>
      </c>
      <c r="F27" s="43">
        <f>'Calc-Upper2+BN'!$AL39</f>
        <v>267.69855565599175</v>
      </c>
      <c r="G27" s="43">
        <f>'Calc-Upper2+UWFE'!$AL39</f>
        <v>267.69855565599175</v>
      </c>
      <c r="H27" s="43">
        <f>'Calc-Upper2+Dec'!$AL39</f>
        <v>277.55906249999998</v>
      </c>
      <c r="I27" s="79">
        <f>'Calc-Upper1+'!$AL39</f>
        <v>277.55906249999998</v>
      </c>
      <c r="J27" s="79">
        <f>'Calc-Upper1+SHA'!$AL39</f>
        <v>277.55906249999998</v>
      </c>
    </row>
    <row r="28" spans="2:10" x14ac:dyDescent="0.3">
      <c r="B28" s="43">
        <v>1948</v>
      </c>
      <c r="C28" s="43">
        <f>'Calc-Upper2+NoPipe'!$AL40</f>
        <v>0</v>
      </c>
      <c r="D28" s="43">
        <f>'Calc-Upper2+1pipe'!$AL40</f>
        <v>0</v>
      </c>
      <c r="E28" s="43">
        <f>'Calc-Upper2+'!$AL40</f>
        <v>0</v>
      </c>
      <c r="F28" s="43">
        <f>'Calc-Upper2+BN'!$AL40</f>
        <v>12.524736570247935</v>
      </c>
      <c r="G28" s="43">
        <f>'Calc-Upper2+UWFE'!$AL40</f>
        <v>0</v>
      </c>
      <c r="H28" s="43">
        <f>'Calc-Upper2+Dec'!$AL40</f>
        <v>0</v>
      </c>
      <c r="I28" s="43">
        <f>'Calc-Upper1+'!$AL40</f>
        <v>0</v>
      </c>
      <c r="J28" s="43">
        <f>'Calc-Upper1+SHA'!$AL40</f>
        <v>0</v>
      </c>
    </row>
    <row r="29" spans="2:10" x14ac:dyDescent="0.3">
      <c r="B29" s="43">
        <v>1949</v>
      </c>
      <c r="C29" s="43">
        <f>'Calc-Upper2+NoPipe'!$AL41</f>
        <v>101.453290107664</v>
      </c>
      <c r="D29" s="43">
        <f>'Calc-Upper2+1pipe'!$AL41</f>
        <v>147.56899258700284</v>
      </c>
      <c r="E29" s="43">
        <f>'Calc-Upper2+'!$AL41</f>
        <v>156.38789449896694</v>
      </c>
      <c r="F29" s="43">
        <f>'Calc-Upper2+BN'!$AL41</f>
        <v>156.38789449896694</v>
      </c>
      <c r="G29" s="43">
        <f>'Calc-Upper2+UWFE'!$AL41</f>
        <v>193.31074993543388</v>
      </c>
      <c r="H29" s="43">
        <f>'Calc-Upper2+Dec'!$AL41</f>
        <v>156.38789449896694</v>
      </c>
      <c r="I29" s="43">
        <f>'Calc-Upper1+'!$AL41</f>
        <v>156.38789449896694</v>
      </c>
      <c r="J29" s="43">
        <f>'Calc-Upper1+SHA'!$AL41</f>
        <v>156.38789449896694</v>
      </c>
    </row>
    <row r="30" spans="2:10" x14ac:dyDescent="0.3">
      <c r="B30" s="43">
        <v>1950</v>
      </c>
      <c r="C30" s="43">
        <f>'Calc-Upper2+NoPipe'!$AL42</f>
        <v>0</v>
      </c>
      <c r="D30" s="43">
        <f>'Calc-Upper2+1pipe'!$AL42</f>
        <v>0</v>
      </c>
      <c r="E30" s="43">
        <f>'Calc-Upper2+'!$AL42</f>
        <v>0</v>
      </c>
      <c r="F30" s="43">
        <f>'Calc-Upper2+BN'!$AL42</f>
        <v>0</v>
      </c>
      <c r="G30" s="43">
        <f>'Calc-Upper2+UWFE'!$AL42</f>
        <v>24.391813985020661</v>
      </c>
      <c r="H30" s="43">
        <f>'Calc-Upper2+Dec'!$AL42</f>
        <v>0</v>
      </c>
      <c r="I30" s="79">
        <f>'Calc-Upper1+'!$AL42</f>
        <v>0</v>
      </c>
      <c r="J30" s="79">
        <f>'Calc-Upper1+SHA'!$AL42</f>
        <v>0</v>
      </c>
    </row>
    <row r="31" spans="2:10" x14ac:dyDescent="0.3">
      <c r="B31" s="43">
        <v>1951</v>
      </c>
      <c r="C31" s="43">
        <f>'Calc-Upper2+NoPipe'!$AL43</f>
        <v>0</v>
      </c>
      <c r="D31" s="43">
        <f>'Calc-Upper2+1pipe'!$AL43</f>
        <v>0</v>
      </c>
      <c r="E31" s="43">
        <f>'Calc-Upper2+'!$AL43</f>
        <v>0</v>
      </c>
      <c r="F31" s="43">
        <f>'Calc-Upper2+BN'!$AL43</f>
        <v>0</v>
      </c>
      <c r="G31" s="43">
        <f>'Calc-Upper2+UWFE'!$AL43</f>
        <v>0</v>
      </c>
      <c r="H31" s="43">
        <f>'Calc-Upper2+Dec'!$AL43</f>
        <v>0</v>
      </c>
      <c r="I31" s="79">
        <f>'Calc-Upper1+'!$AL43</f>
        <v>0</v>
      </c>
      <c r="J31" s="79">
        <f>'Calc-Upper1+SHA'!$AL43</f>
        <v>0</v>
      </c>
    </row>
    <row r="32" spans="2:10" x14ac:dyDescent="0.3">
      <c r="B32" s="43">
        <v>1952</v>
      </c>
      <c r="C32" s="43">
        <f>'Calc-Upper2+NoPipe'!$AL44</f>
        <v>0</v>
      </c>
      <c r="D32" s="43">
        <f>'Calc-Upper2+1pipe'!$AL44</f>
        <v>0</v>
      </c>
      <c r="E32" s="43">
        <f>'Calc-Upper2+'!$AL44</f>
        <v>0</v>
      </c>
      <c r="F32" s="43">
        <f>'Calc-Upper2+BN'!$AL44</f>
        <v>0</v>
      </c>
      <c r="G32" s="43">
        <f>'Calc-Upper2+UWFE'!$AL44</f>
        <v>0</v>
      </c>
      <c r="H32" s="43">
        <f>'Calc-Upper2+Dec'!$AL44</f>
        <v>0</v>
      </c>
      <c r="I32" s="79">
        <f>'Calc-Upper1+'!$AL44</f>
        <v>0</v>
      </c>
      <c r="J32" s="79">
        <f>'Calc-Upper1+SHA'!$AL44</f>
        <v>0</v>
      </c>
    </row>
    <row r="33" spans="2:10" x14ac:dyDescent="0.3">
      <c r="B33" s="43">
        <v>1953</v>
      </c>
      <c r="C33" s="43">
        <f>'Calc-Upper2+NoPipe'!$AL45</f>
        <v>0</v>
      </c>
      <c r="D33" s="43">
        <f>'Calc-Upper2+1pipe'!$AL45</f>
        <v>0</v>
      </c>
      <c r="E33" s="43">
        <f>'Calc-Upper2+'!$AL45</f>
        <v>0</v>
      </c>
      <c r="F33" s="43">
        <f>'Calc-Upper2+BN'!$AL45</f>
        <v>0</v>
      </c>
      <c r="G33" s="43">
        <f>'Calc-Upper2+UWFE'!$AL45</f>
        <v>0</v>
      </c>
      <c r="H33" s="43">
        <f>'Calc-Upper2+Dec'!$AL45</f>
        <v>0</v>
      </c>
      <c r="I33" s="79">
        <f>'Calc-Upper1+'!$AL45</f>
        <v>0</v>
      </c>
      <c r="J33" s="79">
        <f>'Calc-Upper1+SHA'!$AL45</f>
        <v>0</v>
      </c>
    </row>
    <row r="34" spans="2:10" x14ac:dyDescent="0.3">
      <c r="B34" s="43">
        <v>1954</v>
      </c>
      <c r="C34" s="43">
        <f>'Calc-Upper2+NoPipe'!$AL46</f>
        <v>0</v>
      </c>
      <c r="D34" s="43">
        <f>'Calc-Upper2+1pipe'!$AL46</f>
        <v>0</v>
      </c>
      <c r="E34" s="43">
        <f>'Calc-Upper2+'!$AL46</f>
        <v>0</v>
      </c>
      <c r="F34" s="43">
        <f>'Calc-Upper2+BN'!$AL46</f>
        <v>0</v>
      </c>
      <c r="G34" s="43">
        <f>'Calc-Upper2+UWFE'!$AL46</f>
        <v>0</v>
      </c>
      <c r="H34" s="43">
        <f>'Calc-Upper2+Dec'!$AL46</f>
        <v>0</v>
      </c>
      <c r="I34" s="79">
        <f>'Calc-Upper1+'!$AL46</f>
        <v>0</v>
      </c>
      <c r="J34" s="79">
        <f>'Calc-Upper1+SHA'!$AL46</f>
        <v>0</v>
      </c>
    </row>
    <row r="35" spans="2:10" x14ac:dyDescent="0.3">
      <c r="B35" s="43">
        <v>1955</v>
      </c>
      <c r="C35" s="43">
        <f>'Calc-Upper2+NoPipe'!$AL47</f>
        <v>93.016015524115446</v>
      </c>
      <c r="D35" s="43">
        <f>'Calc-Upper2+1pipe'!$AL47</f>
        <v>139.1317180034543</v>
      </c>
      <c r="E35" s="43">
        <f>'Calc-Upper2+'!$AL47</f>
        <v>146.39928137913225</v>
      </c>
      <c r="F35" s="43">
        <f>'Calc-Upper2+BN'!$AL47</f>
        <v>146.39928137913225</v>
      </c>
      <c r="G35" s="43">
        <f>'Calc-Upper2+UWFE'!$AL47</f>
        <v>146.39928137913225</v>
      </c>
      <c r="H35" s="43">
        <f>'Calc-Upper2+Dec'!$AL47</f>
        <v>146.39928137913225</v>
      </c>
      <c r="I35" s="43">
        <f>'Calc-Upper1+'!$AL47</f>
        <v>146.39928137913225</v>
      </c>
      <c r="J35" s="43">
        <f>'Calc-Upper1+SHA'!$AL47</f>
        <v>146.39928137913225</v>
      </c>
    </row>
    <row r="36" spans="2:10" x14ac:dyDescent="0.3">
      <c r="B36" s="43">
        <v>1956</v>
      </c>
      <c r="C36" s="43">
        <f>'Calc-Upper2+NoPipe'!$AL48</f>
        <v>0</v>
      </c>
      <c r="D36" s="43">
        <f>'Calc-Upper2+1pipe'!$AL48</f>
        <v>0</v>
      </c>
      <c r="E36" s="43">
        <f>'Calc-Upper2+'!$AL48</f>
        <v>0</v>
      </c>
      <c r="F36" s="43">
        <f>'Calc-Upper2+BN'!$AL48</f>
        <v>0</v>
      </c>
      <c r="G36" s="43">
        <f>'Calc-Upper2+UWFE'!$AL48</f>
        <v>0</v>
      </c>
      <c r="H36" s="43">
        <f>'Calc-Upper2+Dec'!$AL48</f>
        <v>0</v>
      </c>
      <c r="I36" s="43">
        <f>'Calc-Upper1+'!$AL48</f>
        <v>0</v>
      </c>
      <c r="J36" s="43">
        <f>'Calc-Upper1+SHA'!$AL48</f>
        <v>0</v>
      </c>
    </row>
    <row r="37" spans="2:10" x14ac:dyDescent="0.3">
      <c r="B37" s="43">
        <v>1957</v>
      </c>
      <c r="C37" s="43">
        <f>'Calc-Upper2+NoPipe'!$AL49</f>
        <v>0</v>
      </c>
      <c r="D37" s="43">
        <f>'Calc-Upper2+1pipe'!$AL49</f>
        <v>0</v>
      </c>
      <c r="E37" s="43">
        <f>'Calc-Upper2+'!$AL49</f>
        <v>0</v>
      </c>
      <c r="F37" s="43">
        <f>'Calc-Upper2+BN'!$AL49</f>
        <v>0</v>
      </c>
      <c r="G37" s="43">
        <f>'Calc-Upper2+UWFE'!$AL49</f>
        <v>0</v>
      </c>
      <c r="H37" s="43">
        <f>'Calc-Upper2+Dec'!$AL49</f>
        <v>0</v>
      </c>
      <c r="I37" s="43">
        <f>'Calc-Upper1+'!$AL49</f>
        <v>0</v>
      </c>
      <c r="J37" s="43">
        <f>'Calc-Upper1+SHA'!$AL49</f>
        <v>0</v>
      </c>
    </row>
    <row r="38" spans="2:10" x14ac:dyDescent="0.3">
      <c r="B38" s="43">
        <v>1958</v>
      </c>
      <c r="C38" s="43">
        <f>'Calc-Upper2+NoPipe'!$AL50</f>
        <v>0</v>
      </c>
      <c r="D38" s="43">
        <f>'Calc-Upper2+1pipe'!$AL50</f>
        <v>0</v>
      </c>
      <c r="E38" s="43">
        <f>'Calc-Upper2+'!$AL50</f>
        <v>0</v>
      </c>
      <c r="F38" s="43">
        <f>'Calc-Upper2+BN'!$AL50</f>
        <v>0</v>
      </c>
      <c r="G38" s="43">
        <f>'Calc-Upper2+UWFE'!$AL50</f>
        <v>0</v>
      </c>
      <c r="H38" s="43">
        <f>'Calc-Upper2+Dec'!$AL50</f>
        <v>0</v>
      </c>
      <c r="I38" s="43">
        <f>'Calc-Upper1+'!$AL50</f>
        <v>0</v>
      </c>
      <c r="J38" s="43">
        <f>'Calc-Upper1+SHA'!$AL50</f>
        <v>0</v>
      </c>
    </row>
    <row r="39" spans="2:10" x14ac:dyDescent="0.3">
      <c r="B39" s="43">
        <v>1959</v>
      </c>
      <c r="C39" s="43">
        <f>'Calc-Upper2+NoPipe'!$AL51</f>
        <v>0</v>
      </c>
      <c r="D39" s="43">
        <f>'Calc-Upper2+1pipe'!$AL51</f>
        <v>0</v>
      </c>
      <c r="E39" s="43">
        <f>'Calc-Upper2+'!$AL51</f>
        <v>0</v>
      </c>
      <c r="F39" s="43">
        <f>'Calc-Upper2+BN'!$AL51</f>
        <v>180.16086248224431</v>
      </c>
      <c r="G39" s="43">
        <f>'Calc-Upper2+UWFE'!$AL51</f>
        <v>0</v>
      </c>
      <c r="H39" s="43">
        <f>'Calc-Upper2+Dec'!$AL51</f>
        <v>0</v>
      </c>
      <c r="I39" s="43">
        <f>'Calc-Upper1+'!$AL51</f>
        <v>0</v>
      </c>
      <c r="J39" s="43">
        <f>'Calc-Upper1+SHA'!$AL51</f>
        <v>0</v>
      </c>
    </row>
    <row r="40" spans="2:10" x14ac:dyDescent="0.3">
      <c r="B40" s="43">
        <v>1960</v>
      </c>
      <c r="C40" s="43">
        <f>'Calc-Upper2+NoPipe'!$AL52</f>
        <v>184.72581111182853</v>
      </c>
      <c r="D40" s="43">
        <f>'Calc-Upper2+1pipe'!$AL52</f>
        <v>261.65510391109245</v>
      </c>
      <c r="E40" s="43">
        <f>'Calc-Upper2+'!$AL52</f>
        <v>263.79778449444728</v>
      </c>
      <c r="F40" s="43">
        <f>'Calc-Upper2+BN'!$AL52</f>
        <v>263.79778449444728</v>
      </c>
      <c r="G40" s="43">
        <f>'Calc-Upper2+UWFE'!$AL52</f>
        <v>263.79778449444728</v>
      </c>
      <c r="H40" s="43">
        <f>'Calc-Upper2+Dec'!$AL52</f>
        <v>306.28320308464617</v>
      </c>
      <c r="I40" s="43">
        <f>'Calc-Upper1+'!$AL52</f>
        <v>210.90438702543906</v>
      </c>
      <c r="J40" s="43">
        <f>'Calc-Upper1+SHA'!$AL52</f>
        <v>210.90438702543906</v>
      </c>
    </row>
    <row r="41" spans="2:10" x14ac:dyDescent="0.3">
      <c r="B41" s="43">
        <v>1961</v>
      </c>
      <c r="C41" s="43">
        <f>'Calc-Upper2+NoPipe'!$AL53</f>
        <v>100.54246273324509</v>
      </c>
      <c r="D41" s="43">
        <f>'Calc-Upper2+1pipe'!$AL53</f>
        <v>146.65816521258392</v>
      </c>
      <c r="E41" s="43">
        <f>'Calc-Upper2+'!$AL53</f>
        <v>192.77386769192276</v>
      </c>
      <c r="F41" s="43">
        <f>'Calc-Upper2+BN'!$AL53</f>
        <v>192.77386769192276</v>
      </c>
      <c r="G41" s="43">
        <f>'Calc-Upper2+UWFE'!$AL53</f>
        <v>302.66380377146822</v>
      </c>
      <c r="H41" s="43">
        <f>'Calc-Upper2+Dec'!$AL53</f>
        <v>192.77386769192276</v>
      </c>
      <c r="I41" s="43">
        <f>'Calc-Upper1+'!$AL53</f>
        <v>192.77386769192276</v>
      </c>
      <c r="J41" s="43">
        <f>'Calc-Upper1+SHA'!$AL53</f>
        <v>192.77386769192276</v>
      </c>
    </row>
    <row r="42" spans="2:10" x14ac:dyDescent="0.3">
      <c r="B42" s="43">
        <v>1962</v>
      </c>
      <c r="C42" s="43">
        <f>'Calc-Upper2+NoPipe'!$AL54</f>
        <v>0</v>
      </c>
      <c r="D42" s="43">
        <f>'Calc-Upper2+1pipe'!$AL54</f>
        <v>0</v>
      </c>
      <c r="E42" s="43">
        <f>'Calc-Upper2+'!$AL54</f>
        <v>0</v>
      </c>
      <c r="F42" s="43">
        <f>'Calc-Upper2+BN'!$AL54</f>
        <v>20.045821845945248</v>
      </c>
      <c r="G42" s="43">
        <f>'Calc-Upper2+UWFE'!$AL54</f>
        <v>0</v>
      </c>
      <c r="H42" s="43">
        <f>'Calc-Upper2+Dec'!$AL54</f>
        <v>0</v>
      </c>
      <c r="I42" s="43">
        <f>'Calc-Upper1+'!$AL54</f>
        <v>0</v>
      </c>
      <c r="J42" s="43">
        <f>'Calc-Upper1+SHA'!$AL54</f>
        <v>0</v>
      </c>
    </row>
    <row r="43" spans="2:10" x14ac:dyDescent="0.3">
      <c r="B43" s="43">
        <v>1963</v>
      </c>
      <c r="C43" s="43">
        <f>'Calc-Upper2+NoPipe'!$AL55</f>
        <v>0</v>
      </c>
      <c r="D43" s="43">
        <f>'Calc-Upper2+1pipe'!$AL55</f>
        <v>0</v>
      </c>
      <c r="E43" s="43">
        <f>'Calc-Upper2+'!$AL55</f>
        <v>0</v>
      </c>
      <c r="F43" s="43">
        <f>'Calc-Upper2+BN'!$AL55</f>
        <v>0</v>
      </c>
      <c r="G43" s="43">
        <f>'Calc-Upper2+UWFE'!$AL55</f>
        <v>0</v>
      </c>
      <c r="H43" s="43">
        <f>'Calc-Upper2+Dec'!$AL55</f>
        <v>0</v>
      </c>
      <c r="I43" s="43">
        <f>'Calc-Upper1+'!$AL55</f>
        <v>0</v>
      </c>
      <c r="J43" s="43">
        <f>'Calc-Upper1+SHA'!$AL55</f>
        <v>0</v>
      </c>
    </row>
    <row r="44" spans="2:10" x14ac:dyDescent="0.3">
      <c r="B44" s="43">
        <v>1964</v>
      </c>
      <c r="C44" s="43">
        <f>'Calc-Upper2+NoPipe'!$AL56</f>
        <v>90.881380716118926</v>
      </c>
      <c r="D44" s="43">
        <f>'Calc-Upper2+1pipe'!$AL56</f>
        <v>136.99708319545778</v>
      </c>
      <c r="E44" s="43">
        <f>'Calc-Upper2+'!$AL56</f>
        <v>154.401796875</v>
      </c>
      <c r="F44" s="43">
        <f>'Calc-Upper2+BN'!$AL56</f>
        <v>154.401796875</v>
      </c>
      <c r="G44" s="43">
        <f>'Calc-Upper2+UWFE'!$AL56</f>
        <v>202.95327447055786</v>
      </c>
      <c r="H44" s="43">
        <f>'Calc-Upper2+Dec'!$AL56</f>
        <v>154.401796875</v>
      </c>
      <c r="I44" s="43">
        <f>'Calc-Upper1+'!$AL56</f>
        <v>154.401796875</v>
      </c>
      <c r="J44" s="43">
        <f>'Calc-Upper1+SHA'!$AL56</f>
        <v>154.401796875</v>
      </c>
    </row>
    <row r="45" spans="2:10" x14ac:dyDescent="0.3">
      <c r="B45" s="43">
        <v>1965</v>
      </c>
      <c r="C45" s="43">
        <f>'Calc-Upper2+NoPipe'!$AL57</f>
        <v>0</v>
      </c>
      <c r="D45" s="43">
        <f>'Calc-Upper2+1pipe'!$AL57</f>
        <v>0</v>
      </c>
      <c r="E45" s="43">
        <f>'Calc-Upper2+'!$AL57</f>
        <v>0</v>
      </c>
      <c r="F45" s="43">
        <f>'Calc-Upper2+BN'!$AL57</f>
        <v>0</v>
      </c>
      <c r="G45" s="43">
        <f>'Calc-Upper2+UWFE'!$AL57</f>
        <v>0</v>
      </c>
      <c r="H45" s="43">
        <f>'Calc-Upper2+Dec'!$AL57</f>
        <v>0</v>
      </c>
      <c r="I45" s="43">
        <f>'Calc-Upper1+'!$AL57</f>
        <v>0</v>
      </c>
      <c r="J45" s="43">
        <f>'Calc-Upper1+SHA'!$AL57</f>
        <v>0</v>
      </c>
    </row>
    <row r="46" spans="2:10" x14ac:dyDescent="0.3">
      <c r="B46" s="43">
        <v>1966</v>
      </c>
      <c r="C46" s="43">
        <f>'Calc-Upper2+NoPipe'!$AL58</f>
        <v>0</v>
      </c>
      <c r="D46" s="43">
        <f>'Calc-Upper2+1pipe'!$AL58</f>
        <v>0</v>
      </c>
      <c r="E46" s="43">
        <f>'Calc-Upper2+'!$AL58</f>
        <v>0</v>
      </c>
      <c r="F46" s="43">
        <f>'Calc-Upper2+BN'!$AL58</f>
        <v>167.80600934998063</v>
      </c>
      <c r="G46" s="43">
        <f>'Calc-Upper2+UWFE'!$AL58</f>
        <v>0</v>
      </c>
      <c r="H46" s="43">
        <f>'Calc-Upper2+Dec'!$AL58</f>
        <v>0</v>
      </c>
      <c r="I46" s="43">
        <f>'Calc-Upper1+'!$AL58</f>
        <v>0</v>
      </c>
      <c r="J46" s="43">
        <f>'Calc-Upper1+SHA'!$AL58</f>
        <v>0</v>
      </c>
    </row>
    <row r="47" spans="2:10" x14ac:dyDescent="0.3">
      <c r="B47" s="43">
        <v>1967</v>
      </c>
      <c r="C47" s="43">
        <f>'Calc-Upper2+NoPipe'!$AL59</f>
        <v>0</v>
      </c>
      <c r="D47" s="43">
        <f>'Calc-Upper2+1pipe'!$AL59</f>
        <v>0</v>
      </c>
      <c r="E47" s="43">
        <f>'Calc-Upper2+'!$AL59</f>
        <v>0</v>
      </c>
      <c r="F47" s="43">
        <f>'Calc-Upper2+BN'!$AL59</f>
        <v>0</v>
      </c>
      <c r="G47" s="43">
        <f>'Calc-Upper2+UWFE'!$AL59</f>
        <v>0</v>
      </c>
      <c r="H47" s="43">
        <f>'Calc-Upper2+Dec'!$AL59</f>
        <v>0</v>
      </c>
      <c r="I47" s="43">
        <f>'Calc-Upper1+'!$AL59</f>
        <v>0</v>
      </c>
      <c r="J47" s="43">
        <f>'Calc-Upper1+SHA'!$AL59</f>
        <v>0</v>
      </c>
    </row>
    <row r="48" spans="2:10" x14ac:dyDescent="0.3">
      <c r="B48" s="43">
        <v>1968</v>
      </c>
      <c r="C48" s="43">
        <f>'Calc-Upper2+NoPipe'!$AL60</f>
        <v>0</v>
      </c>
      <c r="D48" s="43">
        <f>'Calc-Upper2+1pipe'!$AL60</f>
        <v>0</v>
      </c>
      <c r="E48" s="43">
        <f>'Calc-Upper2+'!$AL60</f>
        <v>0</v>
      </c>
      <c r="F48" s="43">
        <f>'Calc-Upper2+BN'!$AL60</f>
        <v>117.78686721171229</v>
      </c>
      <c r="G48" s="43">
        <f>'Calc-Upper2+UWFE'!$AL60</f>
        <v>0</v>
      </c>
      <c r="H48" s="43">
        <f>'Calc-Upper2+Dec'!$AL60</f>
        <v>0</v>
      </c>
      <c r="I48" s="43">
        <f>'Calc-Upper1+'!$AL60</f>
        <v>0</v>
      </c>
      <c r="J48" s="43">
        <f>'Calc-Upper1+SHA'!$AL60</f>
        <v>0</v>
      </c>
    </row>
    <row r="49" spans="2:10" x14ac:dyDescent="0.3">
      <c r="B49" s="43">
        <v>1969</v>
      </c>
      <c r="C49" s="43">
        <f>'Calc-Upper2+NoPipe'!$AL61</f>
        <v>0</v>
      </c>
      <c r="D49" s="43">
        <f>'Calc-Upper2+1pipe'!$AL61</f>
        <v>0</v>
      </c>
      <c r="E49" s="43">
        <f>'Calc-Upper2+'!$AL61</f>
        <v>0</v>
      </c>
      <c r="F49" s="43">
        <f>'Calc-Upper2+BN'!$AL61</f>
        <v>0</v>
      </c>
      <c r="G49" s="43">
        <f>'Calc-Upper2+UWFE'!$AL61</f>
        <v>0</v>
      </c>
      <c r="H49" s="43">
        <f>'Calc-Upper2+Dec'!$AL61</f>
        <v>0</v>
      </c>
      <c r="I49" s="43">
        <f>'Calc-Upper1+'!$AL61</f>
        <v>0</v>
      </c>
      <c r="J49" s="43">
        <f>'Calc-Upper1+SHA'!$AL61</f>
        <v>0</v>
      </c>
    </row>
    <row r="50" spans="2:10" x14ac:dyDescent="0.3">
      <c r="B50" s="43">
        <v>1970</v>
      </c>
      <c r="C50" s="43">
        <f>'Calc-Upper2+NoPipe'!$AL62</f>
        <v>0</v>
      </c>
      <c r="D50" s="43">
        <f>'Calc-Upper2+1pipe'!$AL62</f>
        <v>0</v>
      </c>
      <c r="E50" s="43">
        <f>'Calc-Upper2+'!$AL62</f>
        <v>0</v>
      </c>
      <c r="F50" s="43">
        <f>'Calc-Upper2+BN'!$AL62</f>
        <v>0</v>
      </c>
      <c r="G50" s="43">
        <f>'Calc-Upper2+UWFE'!$AL62</f>
        <v>0</v>
      </c>
      <c r="H50" s="43">
        <f>'Calc-Upper2+Dec'!$AL62</f>
        <v>0</v>
      </c>
      <c r="I50" s="43">
        <f>'Calc-Upper1+'!$AL62</f>
        <v>0</v>
      </c>
      <c r="J50" s="43">
        <f>'Calc-Upper1+SHA'!$AL62</f>
        <v>0</v>
      </c>
    </row>
    <row r="51" spans="2:10" x14ac:dyDescent="0.3">
      <c r="B51" s="43">
        <v>1971</v>
      </c>
      <c r="C51" s="43">
        <f>'Calc-Upper2+NoPipe'!$AL63</f>
        <v>0</v>
      </c>
      <c r="D51" s="43">
        <f>'Calc-Upper2+1pipe'!$AL63</f>
        <v>0</v>
      </c>
      <c r="E51" s="43">
        <f>'Calc-Upper2+'!$AL63</f>
        <v>0</v>
      </c>
      <c r="F51" s="43">
        <f>'Calc-Upper2+BN'!$AL63</f>
        <v>0</v>
      </c>
      <c r="G51" s="43">
        <f>'Calc-Upper2+UWFE'!$AL63</f>
        <v>0</v>
      </c>
      <c r="H51" s="43">
        <f>'Calc-Upper2+Dec'!$AL63</f>
        <v>0</v>
      </c>
      <c r="I51" s="43">
        <f>'Calc-Upper1+'!$AL63</f>
        <v>0</v>
      </c>
      <c r="J51" s="43">
        <f>'Calc-Upper1+SHA'!$AL63</f>
        <v>0</v>
      </c>
    </row>
    <row r="52" spans="2:10" x14ac:dyDescent="0.3">
      <c r="B52" s="43">
        <v>1972</v>
      </c>
      <c r="C52" s="43">
        <f>'Calc-Upper2+NoPipe'!$AL64</f>
        <v>0</v>
      </c>
      <c r="D52" s="43">
        <f>'Calc-Upper2+1pipe'!$AL64</f>
        <v>0</v>
      </c>
      <c r="E52" s="43">
        <f>'Calc-Upper2+'!$AL64</f>
        <v>0</v>
      </c>
      <c r="F52" s="43">
        <f>'Calc-Upper2+BN'!$AL64</f>
        <v>229.24088621029185</v>
      </c>
      <c r="G52" s="43">
        <f>'Calc-Upper2+UWFE'!$AL64</f>
        <v>0</v>
      </c>
      <c r="H52" s="43">
        <f>'Calc-Upper2+Dec'!$AL64</f>
        <v>0</v>
      </c>
      <c r="I52" s="43">
        <f>'Calc-Upper1+'!$AL64</f>
        <v>0</v>
      </c>
      <c r="J52" s="43">
        <f>'Calc-Upper1+SHA'!$AL64</f>
        <v>0</v>
      </c>
    </row>
    <row r="53" spans="2:10" x14ac:dyDescent="0.3">
      <c r="B53" s="43">
        <v>1973</v>
      </c>
      <c r="C53" s="43">
        <f>'Calc-Upper2+NoPipe'!$AL65</f>
        <v>0</v>
      </c>
      <c r="D53" s="43">
        <f>'Calc-Upper2+1pipe'!$AL65</f>
        <v>0</v>
      </c>
      <c r="E53" s="43">
        <f>'Calc-Upper2+'!$AL65</f>
        <v>0</v>
      </c>
      <c r="F53" s="43">
        <f>'Calc-Upper2+BN'!$AL65</f>
        <v>0</v>
      </c>
      <c r="G53" s="43">
        <f>'Calc-Upper2+UWFE'!$AL65</f>
        <v>0</v>
      </c>
      <c r="H53" s="43">
        <f>'Calc-Upper2+Dec'!$AL65</f>
        <v>0</v>
      </c>
      <c r="I53" s="43">
        <f>'Calc-Upper1+'!$AL65</f>
        <v>0</v>
      </c>
      <c r="J53" s="43">
        <f>'Calc-Upper1+SHA'!$AL65</f>
        <v>0</v>
      </c>
    </row>
    <row r="54" spans="2:10" x14ac:dyDescent="0.3">
      <c r="B54" s="43">
        <v>1974</v>
      </c>
      <c r="C54" s="43">
        <f>'Calc-Upper2+NoPipe'!$AL66</f>
        <v>0</v>
      </c>
      <c r="D54" s="43">
        <f>'Calc-Upper2+1pipe'!$AL66</f>
        <v>0</v>
      </c>
      <c r="E54" s="43">
        <f>'Calc-Upper2+'!$AL66</f>
        <v>0</v>
      </c>
      <c r="F54" s="43">
        <f>'Calc-Upper2+BN'!$AL66</f>
        <v>0</v>
      </c>
      <c r="G54" s="43">
        <f>'Calc-Upper2+UWFE'!$AL66</f>
        <v>0</v>
      </c>
      <c r="H54" s="43">
        <f>'Calc-Upper2+Dec'!$AL66</f>
        <v>0</v>
      </c>
      <c r="I54" s="43">
        <f>'Calc-Upper1+'!$AL66</f>
        <v>0</v>
      </c>
      <c r="J54" s="43">
        <f>'Calc-Upper1+SHA'!$AL66</f>
        <v>0</v>
      </c>
    </row>
    <row r="55" spans="2:10" x14ac:dyDescent="0.3">
      <c r="B55" s="43">
        <v>1975</v>
      </c>
      <c r="C55" s="43">
        <f>'Calc-Upper2+NoPipe'!$AL67</f>
        <v>0</v>
      </c>
      <c r="D55" s="43">
        <f>'Calc-Upper2+1pipe'!$AL67</f>
        <v>0</v>
      </c>
      <c r="E55" s="43">
        <f>'Calc-Upper2+'!$AL67</f>
        <v>0</v>
      </c>
      <c r="F55" s="43">
        <f>'Calc-Upper2+BN'!$AL67</f>
        <v>0</v>
      </c>
      <c r="G55" s="43">
        <f>'Calc-Upper2+UWFE'!$AL67</f>
        <v>0</v>
      </c>
      <c r="H55" s="43">
        <f>'Calc-Upper2+Dec'!$AL67</f>
        <v>0</v>
      </c>
      <c r="I55" s="43">
        <f>'Calc-Upper1+'!$AL67</f>
        <v>0</v>
      </c>
      <c r="J55" s="43">
        <f>'Calc-Upper1+SHA'!$AL67</f>
        <v>0</v>
      </c>
    </row>
    <row r="56" spans="2:10" x14ac:dyDescent="0.3">
      <c r="B56" s="44">
        <v>1976</v>
      </c>
      <c r="C56" s="44">
        <f>'Calc-Upper2+NoPipe'!$AL68</f>
        <v>79.782986066833999</v>
      </c>
      <c r="D56" s="44">
        <f>'Calc-Upper2+1pipe'!$AL68</f>
        <v>125.89868854617285</v>
      </c>
      <c r="E56" s="44">
        <f>'Calc-Upper2+'!$AL68</f>
        <v>172.01439102551169</v>
      </c>
      <c r="F56" s="44">
        <f>'Calc-Upper2+BN'!$AL68</f>
        <v>172.01439102551169</v>
      </c>
      <c r="G56" s="44">
        <f>'Calc-Upper2+UWFE'!$AL68</f>
        <v>172.01439102551169</v>
      </c>
      <c r="H56" s="44">
        <f>'Calc-Upper2+Dec'!$AL68</f>
        <v>172.01439102551169</v>
      </c>
      <c r="I56" s="44">
        <f>'Calc-Upper1+'!$AL68</f>
        <v>172.01439102551169</v>
      </c>
      <c r="J56" s="44">
        <f>'Calc-Upper1+SHA'!$AL68</f>
        <v>172.01439102551169</v>
      </c>
    </row>
    <row r="57" spans="2:10" x14ac:dyDescent="0.3">
      <c r="B57" s="44">
        <v>1977</v>
      </c>
      <c r="C57" s="44">
        <f>'Calc-Upper2+NoPipe'!$AL69</f>
        <v>103.43018733253164</v>
      </c>
      <c r="D57" s="44">
        <f>'Calc-Upper2+1pipe'!$AL69</f>
        <v>188.52377036859181</v>
      </c>
      <c r="E57" s="44">
        <f>'Calc-Upper2+'!$AL69</f>
        <v>196.3267368285124</v>
      </c>
      <c r="F57" s="44">
        <f>'Calc-Upper2+BN'!$AL69</f>
        <v>196.3267368285124</v>
      </c>
      <c r="G57" s="44">
        <f>'Calc-Upper2+UWFE'!$AL69</f>
        <v>196.3267368285124</v>
      </c>
      <c r="H57" s="44">
        <f>'Calc-Upper2+Dec'!$AL69</f>
        <v>196.3267368285124</v>
      </c>
      <c r="I57" s="44">
        <f>'Calc-Upper1+'!$AL69</f>
        <v>196.3267368285124</v>
      </c>
      <c r="J57" s="44">
        <f>'Calc-Upper1+SHA'!$AL69</f>
        <v>0</v>
      </c>
    </row>
    <row r="58" spans="2:10" x14ac:dyDescent="0.3">
      <c r="B58" s="43">
        <v>1978</v>
      </c>
      <c r="C58" s="43">
        <f>'Calc-Upper2+NoPipe'!$AL70</f>
        <v>0</v>
      </c>
      <c r="D58" s="43">
        <f>'Calc-Upper2+1pipe'!$AL70</f>
        <v>0</v>
      </c>
      <c r="E58" s="43">
        <f>'Calc-Upper2+'!$AL70</f>
        <v>0</v>
      </c>
      <c r="F58" s="43">
        <f>'Calc-Upper2+BN'!$AL70</f>
        <v>0</v>
      </c>
      <c r="G58" s="43">
        <f>'Calc-Upper2+UWFE'!$AL70</f>
        <v>0</v>
      </c>
      <c r="H58" s="43">
        <f>'Calc-Upper2+Dec'!$AL70</f>
        <v>0</v>
      </c>
      <c r="I58" s="43">
        <f>'Calc-Upper1+'!$AL70</f>
        <v>0</v>
      </c>
      <c r="J58" s="43">
        <f>'Calc-Upper1+SHA'!$AL70</f>
        <v>0</v>
      </c>
    </row>
    <row r="59" spans="2:10" x14ac:dyDescent="0.3">
      <c r="B59" s="43">
        <v>1979</v>
      </c>
      <c r="C59" s="43">
        <f>'Calc-Upper2+NoPipe'!$AL71</f>
        <v>34.877614927685947</v>
      </c>
      <c r="D59" s="43">
        <f>'Calc-Upper2+1pipe'!$AL71</f>
        <v>34.877614927685947</v>
      </c>
      <c r="E59" s="43">
        <f>'Calc-Upper2+'!$AL71</f>
        <v>34.877614927685947</v>
      </c>
      <c r="F59" s="43">
        <f>'Calc-Upper2+BN'!$AL71</f>
        <v>34.877614927685947</v>
      </c>
      <c r="G59" s="43">
        <f>'Calc-Upper2+UWFE'!$AL71</f>
        <v>34.877614927685947</v>
      </c>
      <c r="H59" s="43">
        <f>'Calc-Upper2+Dec'!$AL71</f>
        <v>34.877614927685947</v>
      </c>
      <c r="I59" s="43">
        <f>'Calc-Upper1+'!$AL71</f>
        <v>34.877614927685947</v>
      </c>
      <c r="J59" s="43">
        <f>'Calc-Upper1+SHA'!$AL71</f>
        <v>34.877614927685947</v>
      </c>
    </row>
    <row r="60" spans="2:10" x14ac:dyDescent="0.3">
      <c r="B60" s="43">
        <v>1980</v>
      </c>
      <c r="C60" s="43">
        <f>'Calc-Upper2+NoPipe'!$AL72</f>
        <v>0</v>
      </c>
      <c r="D60" s="43">
        <f>'Calc-Upper2+1pipe'!$AL72</f>
        <v>0</v>
      </c>
      <c r="E60" s="43">
        <f>'Calc-Upper2+'!$AL72</f>
        <v>0</v>
      </c>
      <c r="F60" s="43">
        <f>'Calc-Upper2+BN'!$AL72</f>
        <v>0</v>
      </c>
      <c r="G60" s="43">
        <f>'Calc-Upper2+UWFE'!$AL72</f>
        <v>0</v>
      </c>
      <c r="H60" s="43">
        <f>'Calc-Upper2+Dec'!$AL72</f>
        <v>0</v>
      </c>
      <c r="I60" s="43">
        <f>'Calc-Upper1+'!$AL72</f>
        <v>0</v>
      </c>
      <c r="J60" s="43">
        <f>'Calc-Upper1+SHA'!$AL72</f>
        <v>0</v>
      </c>
    </row>
    <row r="61" spans="2:10" x14ac:dyDescent="0.3">
      <c r="B61" s="43">
        <v>1981</v>
      </c>
      <c r="C61" s="43">
        <f>'Calc-Upper2+NoPipe'!$AL73</f>
        <v>293.28102526956354</v>
      </c>
      <c r="D61" s="43">
        <f>'Calc-Upper2+1pipe'!$AL73</f>
        <v>328.53171665160124</v>
      </c>
      <c r="E61" s="43">
        <f>'Calc-Upper2+'!$AL73</f>
        <v>328.53171665160124</v>
      </c>
      <c r="F61" s="43">
        <f>'Calc-Upper2+BN'!$AL73</f>
        <v>328.53171665160124</v>
      </c>
      <c r="G61" s="43">
        <f>'Calc-Upper2+UWFE'!$AL73</f>
        <v>328.53171665160124</v>
      </c>
      <c r="H61" s="43">
        <f>'Calc-Upper2+Dec'!$AL73</f>
        <v>328.53171665160124</v>
      </c>
      <c r="I61" s="43">
        <f>'Calc-Upper1+'!$AL73</f>
        <v>310.97147606211257</v>
      </c>
      <c r="J61" s="43">
        <f>'Calc-Upper1+SHA'!$AL73</f>
        <v>310.97147606211257</v>
      </c>
    </row>
    <row r="62" spans="2:10" x14ac:dyDescent="0.3">
      <c r="B62" s="43">
        <v>1982</v>
      </c>
      <c r="C62" s="43">
        <f>'Calc-Upper2+NoPipe'!$AL74</f>
        <v>0</v>
      </c>
      <c r="D62" s="43">
        <f>'Calc-Upper2+1pipe'!$AL74</f>
        <v>0</v>
      </c>
      <c r="E62" s="43">
        <f>'Calc-Upper2+'!$AL74</f>
        <v>0</v>
      </c>
      <c r="F62" s="43">
        <f>'Calc-Upper2+BN'!$AL74</f>
        <v>0</v>
      </c>
      <c r="G62" s="43">
        <f>'Calc-Upper2+UWFE'!$AL74</f>
        <v>0</v>
      </c>
      <c r="H62" s="43">
        <f>'Calc-Upper2+Dec'!$AL74</f>
        <v>0</v>
      </c>
      <c r="I62" s="43">
        <f>'Calc-Upper1+'!$AL74</f>
        <v>0</v>
      </c>
      <c r="J62" s="43">
        <f>'Calc-Upper1+SHA'!$AL74</f>
        <v>0</v>
      </c>
    </row>
    <row r="63" spans="2:10" x14ac:dyDescent="0.3">
      <c r="B63" s="43">
        <v>1983</v>
      </c>
      <c r="C63" s="43">
        <f>'Calc-Upper2+NoPipe'!$AL75</f>
        <v>0</v>
      </c>
      <c r="D63" s="43">
        <f>'Calc-Upper2+1pipe'!$AL75</f>
        <v>0</v>
      </c>
      <c r="E63" s="43">
        <f>'Calc-Upper2+'!$AL75</f>
        <v>0</v>
      </c>
      <c r="F63" s="43">
        <f>'Calc-Upper2+BN'!$AL75</f>
        <v>0</v>
      </c>
      <c r="G63" s="43">
        <f>'Calc-Upper2+UWFE'!$AL75</f>
        <v>0</v>
      </c>
      <c r="H63" s="43">
        <f>'Calc-Upper2+Dec'!$AL75</f>
        <v>0</v>
      </c>
      <c r="I63" s="43">
        <f>'Calc-Upper1+'!$AL75</f>
        <v>0</v>
      </c>
      <c r="J63" s="43">
        <f>'Calc-Upper1+SHA'!$AL75</f>
        <v>0</v>
      </c>
    </row>
    <row r="64" spans="2:10" x14ac:dyDescent="0.3">
      <c r="B64" s="43">
        <v>1984</v>
      </c>
      <c r="C64" s="43">
        <f>'Calc-Upper2+NoPipe'!$AL76</f>
        <v>0</v>
      </c>
      <c r="D64" s="43">
        <f>'Calc-Upper2+1pipe'!$AL76</f>
        <v>0</v>
      </c>
      <c r="E64" s="43">
        <f>'Calc-Upper2+'!$AL76</f>
        <v>0</v>
      </c>
      <c r="F64" s="43">
        <f>'Calc-Upper2+BN'!$AL76</f>
        <v>0</v>
      </c>
      <c r="G64" s="43">
        <f>'Calc-Upper2+UWFE'!$AL76</f>
        <v>0</v>
      </c>
      <c r="H64" s="43">
        <f>'Calc-Upper2+Dec'!$AL76</f>
        <v>0</v>
      </c>
      <c r="I64" s="43">
        <f>'Calc-Upper1+'!$AL76</f>
        <v>0</v>
      </c>
      <c r="J64" s="43">
        <f>'Calc-Upper1+SHA'!$AL76</f>
        <v>0</v>
      </c>
    </row>
    <row r="65" spans="2:10" x14ac:dyDescent="0.3">
      <c r="B65" s="43">
        <v>1985</v>
      </c>
      <c r="C65" s="43">
        <f>'Calc-Upper2+NoPipe'!$AL77</f>
        <v>0</v>
      </c>
      <c r="D65" s="43">
        <f>'Calc-Upper2+1pipe'!$AL77</f>
        <v>0</v>
      </c>
      <c r="E65" s="43">
        <f>'Calc-Upper2+'!$AL77</f>
        <v>0</v>
      </c>
      <c r="F65" s="43">
        <f>'Calc-Upper2+BN'!$AL77</f>
        <v>227.67342561579932</v>
      </c>
      <c r="G65" s="43">
        <f>'Calc-Upper2+UWFE'!$AL77</f>
        <v>0</v>
      </c>
      <c r="H65" s="43">
        <f>'Calc-Upper2+Dec'!$AL77</f>
        <v>0</v>
      </c>
      <c r="I65" s="43">
        <f>'Calc-Upper1+'!$AL77</f>
        <v>0</v>
      </c>
      <c r="J65" s="43">
        <f>'Calc-Upper1+SHA'!$AL77</f>
        <v>0</v>
      </c>
    </row>
    <row r="66" spans="2:10" x14ac:dyDescent="0.3">
      <c r="B66" s="44">
        <v>1986</v>
      </c>
      <c r="C66" s="44">
        <f>'Calc-Upper2+NoPipe'!$AL78</f>
        <v>0</v>
      </c>
      <c r="D66" s="44">
        <f>'Calc-Upper2+1pipe'!$AL78</f>
        <v>0</v>
      </c>
      <c r="E66" s="44">
        <f>'Calc-Upper2+'!$AL78</f>
        <v>0</v>
      </c>
      <c r="F66" s="44">
        <f>'Calc-Upper2+BN'!$AL78</f>
        <v>0</v>
      </c>
      <c r="G66" s="44">
        <f>'Calc-Upper2+UWFE'!$AL78</f>
        <v>0</v>
      </c>
      <c r="H66" s="44">
        <f>'Calc-Upper2+Dec'!$AL78</f>
        <v>0</v>
      </c>
      <c r="I66" s="44">
        <f>'Calc-Upper1+'!$AL78</f>
        <v>0</v>
      </c>
      <c r="J66" s="44">
        <f>'Calc-Upper1+SHA'!$AL78</f>
        <v>0</v>
      </c>
    </row>
    <row r="67" spans="2:10" x14ac:dyDescent="0.3">
      <c r="B67" s="44">
        <v>1987</v>
      </c>
      <c r="C67" s="44">
        <f>'Calc-Upper2+NoPipe'!$AL79</f>
        <v>169.35851681039352</v>
      </c>
      <c r="D67" s="44">
        <f>'Calc-Upper2+1pipe'!$AL79</f>
        <v>260.10231846328611</v>
      </c>
      <c r="E67" s="44">
        <f>'Calc-Upper2+'!$AL79</f>
        <v>345.5484845475126</v>
      </c>
      <c r="F67" s="44">
        <f>'Calc-Upper2+BN'!$AL79</f>
        <v>345.5484845475126</v>
      </c>
      <c r="G67" s="44">
        <f>'Calc-Upper2+UWFE'!$AL79</f>
        <v>345.5484845475126</v>
      </c>
      <c r="H67" s="44">
        <f>'Calc-Upper2+Dec'!$AL79</f>
        <v>345.5484845475126</v>
      </c>
      <c r="I67" s="44">
        <f>'Calc-Upper1+'!$AL79</f>
        <v>320.19282049005682</v>
      </c>
      <c r="J67" s="44">
        <f>'Calc-Upper1+SHA'!$AL79</f>
        <v>320.19282049005682</v>
      </c>
    </row>
    <row r="68" spans="2:10" x14ac:dyDescent="0.3">
      <c r="B68" s="44">
        <v>1988</v>
      </c>
      <c r="C68" s="44">
        <f>'Calc-Upper2+NoPipe'!$AL80</f>
        <v>110.63555559142561</v>
      </c>
      <c r="D68" s="44">
        <f>'Calc-Upper2+1pipe'!$AL80</f>
        <v>110.63555559142561</v>
      </c>
      <c r="E68" s="44">
        <f>'Calc-Upper2+'!$AL80</f>
        <v>110.63555559142561</v>
      </c>
      <c r="F68" s="44">
        <f>'Calc-Upper2+BN'!$AL80</f>
        <v>110.63555559142561</v>
      </c>
      <c r="G68" s="44">
        <f>'Calc-Upper2+UWFE'!$AL80</f>
        <v>110.63555559142561</v>
      </c>
      <c r="H68" s="44">
        <f>'Calc-Upper2+Dec'!$AL80</f>
        <v>110.63555559142561</v>
      </c>
      <c r="I68" s="44">
        <f>'Calc-Upper1+'!$AL80</f>
        <v>110.63555559142561</v>
      </c>
      <c r="J68" s="44">
        <f>'Calc-Upper1+SHA'!$AL80</f>
        <v>110.63555559142561</v>
      </c>
    </row>
    <row r="69" spans="2:10" x14ac:dyDescent="0.3">
      <c r="B69" s="44">
        <v>1989</v>
      </c>
      <c r="C69" s="44">
        <f>'Calc-Upper2+NoPipe'!$AL81</f>
        <v>190.82287105339617</v>
      </c>
      <c r="D69" s="44">
        <f>'Calc-Upper2+1pipe'!$AL81</f>
        <v>236.93857353273501</v>
      </c>
      <c r="E69" s="44">
        <f>'Calc-Upper2+'!$AL81</f>
        <v>264.68922750677945</v>
      </c>
      <c r="F69" s="44">
        <f>'Calc-Upper2+BN'!$AL81</f>
        <v>264.68922750677945</v>
      </c>
      <c r="G69" s="44">
        <f>'Calc-Upper2+UWFE'!$AL81</f>
        <v>264.68922750677945</v>
      </c>
      <c r="H69" s="44">
        <f>'Calc-Upper2+Dec'!$AL81</f>
        <v>283.05427601207384</v>
      </c>
      <c r="I69" s="44">
        <f>'Calc-Upper1+'!$AL81</f>
        <v>261.25910640495869</v>
      </c>
      <c r="J69" s="44">
        <f>'Calc-Upper1+SHA'!$AL81</f>
        <v>261.25910640495869</v>
      </c>
    </row>
    <row r="70" spans="2:10" x14ac:dyDescent="0.3">
      <c r="B70" s="44">
        <v>1990</v>
      </c>
      <c r="C70" s="44">
        <f>'Calc-Upper2+NoPipe'!$AL82</f>
        <v>0</v>
      </c>
      <c r="D70" s="44">
        <f>'Calc-Upper2+1pipe'!$AL82</f>
        <v>0</v>
      </c>
      <c r="E70" s="44">
        <f>'Calc-Upper2+'!$AL82</f>
        <v>0</v>
      </c>
      <c r="F70" s="44">
        <f>'Calc-Upper2+BN'!$AL82</f>
        <v>0</v>
      </c>
      <c r="G70" s="44">
        <f>'Calc-Upper2+UWFE'!$AL82</f>
        <v>0</v>
      </c>
      <c r="H70" s="44">
        <f>'Calc-Upper2+Dec'!$AL82</f>
        <v>0</v>
      </c>
      <c r="I70" s="44">
        <f>'Calc-Upper1+'!$AL82</f>
        <v>0</v>
      </c>
      <c r="J70" s="44">
        <f>'Calc-Upper1+SHA'!$AL82</f>
        <v>0</v>
      </c>
    </row>
    <row r="71" spans="2:10" x14ac:dyDescent="0.3">
      <c r="B71" s="44">
        <v>1991</v>
      </c>
      <c r="C71" s="44">
        <f>'Calc-Upper2+NoPipe'!$AL83</f>
        <v>0</v>
      </c>
      <c r="D71" s="44">
        <f>'Calc-Upper2+1pipe'!$AL83</f>
        <v>0</v>
      </c>
      <c r="E71" s="44">
        <f>'Calc-Upper2+'!$AL83</f>
        <v>0</v>
      </c>
      <c r="F71" s="44">
        <f>'Calc-Upper2+BN'!$AL83</f>
        <v>0</v>
      </c>
      <c r="G71" s="44">
        <f>'Calc-Upper2+UWFE'!$AL83</f>
        <v>45.886084710743802</v>
      </c>
      <c r="H71" s="44">
        <f>'Calc-Upper2+Dec'!$AL83</f>
        <v>0</v>
      </c>
      <c r="I71" s="44">
        <f>'Calc-Upper1+'!$AL83</f>
        <v>0</v>
      </c>
      <c r="J71" s="44">
        <f>'Calc-Upper1+SHA'!$AL83</f>
        <v>0</v>
      </c>
    </row>
    <row r="72" spans="2:10" x14ac:dyDescent="0.3">
      <c r="B72" s="43">
        <v>1992</v>
      </c>
      <c r="C72" s="43">
        <f>'Calc-Upper2+NoPipe'!$AL84</f>
        <v>93.357286605834943</v>
      </c>
      <c r="D72" s="43">
        <f>'Calc-Upper2+1pipe'!$AL84</f>
        <v>139.47298908517379</v>
      </c>
      <c r="E72" s="43">
        <f>'Calc-Upper2+'!$AL84</f>
        <v>184.40940534607438</v>
      </c>
      <c r="F72" s="43">
        <f>'Calc-Upper2+BN'!$AL84</f>
        <v>184.40940534607438</v>
      </c>
      <c r="G72" s="43">
        <f>'Calc-Upper2+UWFE'!$AL84</f>
        <v>184.40940534607438</v>
      </c>
      <c r="H72" s="43">
        <f>'Calc-Upper2+Dec'!$AL84</f>
        <v>184.40940534607438</v>
      </c>
      <c r="I72" s="43">
        <f>'Calc-Upper1+'!$AL84</f>
        <v>184.40940534607438</v>
      </c>
      <c r="J72" s="43">
        <f>'Calc-Upper1+SHA'!$AL84</f>
        <v>0</v>
      </c>
    </row>
    <row r="73" spans="2:10" x14ac:dyDescent="0.3">
      <c r="B73" s="43">
        <v>1993</v>
      </c>
      <c r="C73" s="43">
        <f>'Calc-Upper2+NoPipe'!$AL85</f>
        <v>0</v>
      </c>
      <c r="D73" s="43">
        <f>'Calc-Upper2+1pipe'!$AL85</f>
        <v>0</v>
      </c>
      <c r="E73" s="43">
        <f>'Calc-Upper2+'!$AL85</f>
        <v>0</v>
      </c>
      <c r="F73" s="43">
        <f>'Calc-Upper2+BN'!$AL85</f>
        <v>0</v>
      </c>
      <c r="G73" s="43">
        <f>'Calc-Upper2+UWFE'!$AL85</f>
        <v>0</v>
      </c>
      <c r="H73" s="43">
        <f>'Calc-Upper2+Dec'!$AL85</f>
        <v>0</v>
      </c>
      <c r="I73" s="43">
        <f>'Calc-Upper1+'!$AL85</f>
        <v>0</v>
      </c>
      <c r="J73" s="43">
        <f>'Calc-Upper1+SHA'!$AL85</f>
        <v>0</v>
      </c>
    </row>
    <row r="74" spans="2:10" x14ac:dyDescent="0.3">
      <c r="B74" s="43">
        <v>1994</v>
      </c>
      <c r="C74" s="43">
        <f>'Calc-Upper2+NoPipe'!$AL86</f>
        <v>21.768285123966944</v>
      </c>
      <c r="D74" s="43">
        <f>'Calc-Upper2+1pipe'!$AL86</f>
        <v>21.768285123966944</v>
      </c>
      <c r="E74" s="43">
        <f>'Calc-Upper2+'!$AL86</f>
        <v>21.768285123966944</v>
      </c>
      <c r="F74" s="43">
        <f>'Calc-Upper2+BN'!$AL86</f>
        <v>21.768285123966944</v>
      </c>
      <c r="G74" s="43">
        <f>'Calc-Upper2+UWFE'!$AL86</f>
        <v>21.768285123966944</v>
      </c>
      <c r="H74" s="43">
        <f>'Calc-Upper2+Dec'!$AL86</f>
        <v>21.768285123966944</v>
      </c>
      <c r="I74" s="43">
        <f>'Calc-Upper1+'!$AL86</f>
        <v>21.768285123966944</v>
      </c>
      <c r="J74" s="43">
        <f>'Calc-Upper1+SHA'!$AL86</f>
        <v>0</v>
      </c>
    </row>
    <row r="75" spans="2:10" x14ac:dyDescent="0.3">
      <c r="B75" s="43">
        <v>1995</v>
      </c>
      <c r="C75" s="43">
        <f>'Calc-Upper2+NoPipe'!$AL87</f>
        <v>0</v>
      </c>
      <c r="D75" s="43">
        <f>'Calc-Upper2+1pipe'!$AL87</f>
        <v>0</v>
      </c>
      <c r="E75" s="43">
        <f>'Calc-Upper2+'!$AL87</f>
        <v>0</v>
      </c>
      <c r="F75" s="43">
        <f>'Calc-Upper2+BN'!$AL87</f>
        <v>0</v>
      </c>
      <c r="G75" s="43">
        <f>'Calc-Upper2+UWFE'!$AL87</f>
        <v>0</v>
      </c>
      <c r="H75" s="43">
        <f>'Calc-Upper2+Dec'!$AL87</f>
        <v>0</v>
      </c>
      <c r="I75" s="43">
        <f>'Calc-Upper1+'!$AL87</f>
        <v>0</v>
      </c>
      <c r="J75" s="43">
        <f>'Calc-Upper1+SHA'!$AL87</f>
        <v>0</v>
      </c>
    </row>
    <row r="76" spans="2:10" x14ac:dyDescent="0.3">
      <c r="B76" s="43">
        <v>1996</v>
      </c>
      <c r="C76" s="43">
        <f>'Calc-Upper2+NoPipe'!$AL88</f>
        <v>0</v>
      </c>
      <c r="D76" s="43">
        <f>'Calc-Upper2+1pipe'!$AL88</f>
        <v>0</v>
      </c>
      <c r="E76" s="43">
        <f>'Calc-Upper2+'!$AL88</f>
        <v>0</v>
      </c>
      <c r="F76" s="43">
        <f>'Calc-Upper2+BN'!$AL88</f>
        <v>0</v>
      </c>
      <c r="G76" s="43">
        <f>'Calc-Upper2+UWFE'!$AL88</f>
        <v>0</v>
      </c>
      <c r="H76" s="43">
        <f>'Calc-Upper2+Dec'!$AL88</f>
        <v>0</v>
      </c>
      <c r="I76" s="43">
        <f>'Calc-Upper1+'!$AL88</f>
        <v>0</v>
      </c>
      <c r="J76" s="43">
        <f>'Calc-Upper1+SHA'!$AL88</f>
        <v>0</v>
      </c>
    </row>
    <row r="77" spans="2:10" x14ac:dyDescent="0.3">
      <c r="B77" s="43">
        <v>1997</v>
      </c>
      <c r="C77" s="43">
        <f>'Calc-Upper2+NoPipe'!$AL89</f>
        <v>0</v>
      </c>
      <c r="D77" s="43">
        <f>'Calc-Upper2+1pipe'!$AL89</f>
        <v>0</v>
      </c>
      <c r="E77" s="43">
        <f>'Calc-Upper2+'!$AL89</f>
        <v>0</v>
      </c>
      <c r="F77" s="43">
        <f>'Calc-Upper2+BN'!$AL89</f>
        <v>0</v>
      </c>
      <c r="G77" s="43">
        <f>'Calc-Upper2+UWFE'!$AL89</f>
        <v>0</v>
      </c>
      <c r="H77" s="43">
        <f>'Calc-Upper2+Dec'!$AL89</f>
        <v>0</v>
      </c>
      <c r="I77" s="43">
        <f>'Calc-Upper1+'!$AL89</f>
        <v>0</v>
      </c>
      <c r="J77" s="43">
        <f>'Calc-Upper1+SHA'!$AL89</f>
        <v>0</v>
      </c>
    </row>
    <row r="78" spans="2:10" x14ac:dyDescent="0.3">
      <c r="B78" s="43">
        <v>1998</v>
      </c>
      <c r="C78" s="43">
        <f>'Calc-Upper2+NoPipe'!$AL90</f>
        <v>0</v>
      </c>
      <c r="D78" s="43">
        <f>'Calc-Upper2+1pipe'!$AL90</f>
        <v>0</v>
      </c>
      <c r="E78" s="43">
        <f>'Calc-Upper2+'!$AL90</f>
        <v>0</v>
      </c>
      <c r="F78" s="43">
        <f>'Calc-Upper2+BN'!$AL90</f>
        <v>0</v>
      </c>
      <c r="G78" s="43">
        <f>'Calc-Upper2+UWFE'!$AL90</f>
        <v>0</v>
      </c>
      <c r="H78" s="43">
        <f>'Calc-Upper2+Dec'!$AL90</f>
        <v>0</v>
      </c>
      <c r="I78" s="43">
        <f>'Calc-Upper1+'!$AL90</f>
        <v>0</v>
      </c>
      <c r="J78" s="43">
        <f>'Calc-Upper1+SHA'!$AL90</f>
        <v>0</v>
      </c>
    </row>
    <row r="79" spans="2:10" x14ac:dyDescent="0.3">
      <c r="B79" s="43">
        <v>1999</v>
      </c>
      <c r="C79" s="43">
        <f>'Calc-Upper2+NoPipe'!$AL91</f>
        <v>0</v>
      </c>
      <c r="D79" s="43">
        <f>'Calc-Upper2+1pipe'!$AL91</f>
        <v>0</v>
      </c>
      <c r="E79" s="43">
        <f>'Calc-Upper2+'!$AL91</f>
        <v>0</v>
      </c>
      <c r="F79" s="43">
        <f>'Calc-Upper2+BN'!$AL91</f>
        <v>0</v>
      </c>
      <c r="G79" s="43">
        <f>'Calc-Upper2+UWFE'!$AL91</f>
        <v>0</v>
      </c>
      <c r="H79" s="43">
        <f>'Calc-Upper2+Dec'!$AL91</f>
        <v>0</v>
      </c>
      <c r="I79" s="43">
        <f>'Calc-Upper1+'!$AL91</f>
        <v>0</v>
      </c>
      <c r="J79" s="43">
        <f>'Calc-Upper1+SHA'!$AL91</f>
        <v>0</v>
      </c>
    </row>
    <row r="80" spans="2:10" x14ac:dyDescent="0.3">
      <c r="B80" s="43">
        <v>2000</v>
      </c>
      <c r="C80" s="43">
        <f>'Calc-Upper2+NoPipe'!$AL92</f>
        <v>0</v>
      </c>
      <c r="D80" s="43">
        <f>'Calc-Upper2+1pipe'!$AL92</f>
        <v>0</v>
      </c>
      <c r="E80" s="43">
        <f>'Calc-Upper2+'!$AL92</f>
        <v>0</v>
      </c>
      <c r="F80" s="43">
        <f>'Calc-Upper2+BN'!$AL92</f>
        <v>0</v>
      </c>
      <c r="G80" s="43">
        <f>'Calc-Upper2+UWFE'!$AL92</f>
        <v>0</v>
      </c>
      <c r="H80" s="43">
        <f>'Calc-Upper2+Dec'!$AL92</f>
        <v>0</v>
      </c>
      <c r="I80" s="43">
        <f>'Calc-Upper1+'!$AL92</f>
        <v>0</v>
      </c>
      <c r="J80" s="43">
        <f>'Calc-Upper1+SHA'!$AL92</f>
        <v>0</v>
      </c>
    </row>
    <row r="81" spans="1:10" x14ac:dyDescent="0.3">
      <c r="B81" s="43">
        <v>2001</v>
      </c>
      <c r="C81" s="43">
        <f>'Calc-Upper2+NoPipe'!$AL93</f>
        <v>164.24551104080581</v>
      </c>
      <c r="D81" s="43">
        <f>'Calc-Upper2+1pipe'!$AL93</f>
        <v>254.98931269369837</v>
      </c>
      <c r="E81" s="43">
        <f>'Calc-Upper2+'!$AL93</f>
        <v>345.73311434659092</v>
      </c>
      <c r="F81" s="43">
        <f>'Calc-Upper2+BN'!$AL93</f>
        <v>345.73311434659092</v>
      </c>
      <c r="G81" s="43">
        <f>'Calc-Upper2+UWFE'!$AL93</f>
        <v>345.73311434659092</v>
      </c>
      <c r="H81" s="43">
        <f>'Calc-Upper2+Dec'!$AL93</f>
        <v>345.73311434659092</v>
      </c>
      <c r="I81" s="43">
        <f>'Calc-Upper1+'!$AL93</f>
        <v>284.57847704674589</v>
      </c>
      <c r="J81" s="43">
        <f>'Calc-Upper1+SHA'!$AL93</f>
        <v>284.57847704674589</v>
      </c>
    </row>
    <row r="82" spans="1:10" x14ac:dyDescent="0.3">
      <c r="B82" s="43">
        <v>2002</v>
      </c>
      <c r="C82" s="43">
        <f>'Calc-Upper2+NoPipe'!$AL94</f>
        <v>168.6621136726821</v>
      </c>
      <c r="D82" s="43">
        <f>'Calc-Upper2+1pipe'!$AL94</f>
        <v>214.77781615202093</v>
      </c>
      <c r="E82" s="43">
        <f>'Calc-Upper2+'!$AL94</f>
        <v>236.88286286157023</v>
      </c>
      <c r="F82" s="43">
        <f>'Calc-Upper2+BN'!$AL94</f>
        <v>236.88286286157023</v>
      </c>
      <c r="G82" s="43">
        <f>'Calc-Upper2+UWFE'!$AL94</f>
        <v>290.89275418872677</v>
      </c>
      <c r="H82" s="43">
        <f>'Calc-Upper2+Dec'!$AL94</f>
        <v>236.88286286157023</v>
      </c>
      <c r="I82" s="43">
        <f>'Calc-Upper1+'!$AL94</f>
        <v>138.32404886040806</v>
      </c>
      <c r="J82" s="43">
        <f>'Calc-Upper1+SHA'!$AL94</f>
        <v>138.32404886040806</v>
      </c>
    </row>
    <row r="84" spans="1:10" x14ac:dyDescent="0.3">
      <c r="C84" t="str">
        <f>C1</f>
        <v>Initial Concept - no Delevan Pipeline</v>
      </c>
      <c r="D84" t="str">
        <f>D1</f>
        <v>Initial Concept - 1 pipe Delevan Pipeline</v>
      </c>
      <c r="E84" t="str">
        <f>E1</f>
        <v>Initial Concept - 2 pipe Delevan Pipeline</v>
      </c>
      <c r="F84" t="str">
        <f>F1</f>
        <v>[Sensitivity] Exchanges allowed in Below Normal years</v>
      </c>
      <c r="G84" t="str">
        <f t="shared" ref="G84" si="1">G1</f>
        <v>[Sensitivity] Exchanges assumed to occur under UWFE conditions as well</v>
      </c>
      <c r="H84" t="str">
        <f>H1</f>
        <v>[Sensitivity] Releases allowed through December</v>
      </c>
      <c r="I84" t="str">
        <f t="shared" ref="I84:J84" si="2">I1</f>
        <v>[Sensitivity] Releases required to have habitat benefit, allowed through December</v>
      </c>
      <c r="J84" t="str">
        <f t="shared" si="2"/>
        <v>[Sensitivity] Releases required to have habitat benefit, allowed through December, Storage RPA control</v>
      </c>
    </row>
    <row r="85" spans="1:10" x14ac:dyDescent="0.3">
      <c r="A85" s="53">
        <v>1</v>
      </c>
      <c r="B85" s="54">
        <f>(A85-1)/(COUNT($A$85:$A$165)-1)</f>
        <v>0</v>
      </c>
      <c r="C85" s="6">
        <f t="shared" ref="C85:H94" si="3">LARGE(C$2:C$82,$A85)</f>
        <v>293.28102526956354</v>
      </c>
      <c r="D85" s="6">
        <f t="shared" si="3"/>
        <v>328.53171665160124</v>
      </c>
      <c r="E85" s="6">
        <f t="shared" si="3"/>
        <v>345.73311434659092</v>
      </c>
      <c r="F85" s="6">
        <f t="shared" si="3"/>
        <v>345.73311434659092</v>
      </c>
      <c r="G85" s="6">
        <f t="shared" si="3"/>
        <v>345.73311434659092</v>
      </c>
      <c r="H85" s="6">
        <f t="shared" si="3"/>
        <v>345.73311434659092</v>
      </c>
      <c r="I85" s="6">
        <f t="shared" ref="I85:J100" si="4">LARGE(I$2:I$82,$A85)</f>
        <v>320.19282049005682</v>
      </c>
      <c r="J85" s="6">
        <f t="shared" si="4"/>
        <v>320.19282049005682</v>
      </c>
    </row>
    <row r="86" spans="1:10" x14ac:dyDescent="0.3">
      <c r="A86" s="53">
        <v>2</v>
      </c>
      <c r="B86" s="54">
        <f t="shared" ref="B86:B149" si="5">(A86-1)/(COUNT($A$85:$A$165)-1)</f>
        <v>1.2500000000000001E-2</v>
      </c>
      <c r="C86" s="6">
        <f t="shared" si="3"/>
        <v>190.82287105339617</v>
      </c>
      <c r="D86" s="6">
        <f t="shared" si="3"/>
        <v>261.65510391109245</v>
      </c>
      <c r="E86" s="6">
        <f t="shared" si="3"/>
        <v>345.5484845475126</v>
      </c>
      <c r="F86" s="6">
        <f t="shared" si="3"/>
        <v>345.5484845475126</v>
      </c>
      <c r="G86" s="6">
        <f t="shared" si="3"/>
        <v>345.5484845475126</v>
      </c>
      <c r="H86" s="6">
        <f t="shared" si="3"/>
        <v>345.5484845475126</v>
      </c>
      <c r="I86" s="6">
        <f t="shared" si="4"/>
        <v>310.97147606211257</v>
      </c>
      <c r="J86" s="6">
        <f t="shared" si="4"/>
        <v>310.97147606211257</v>
      </c>
    </row>
    <row r="87" spans="1:10" x14ac:dyDescent="0.3">
      <c r="A87" s="53">
        <v>3</v>
      </c>
      <c r="B87" s="54">
        <f t="shared" si="5"/>
        <v>2.5000000000000001E-2</v>
      </c>
      <c r="C87" s="6">
        <f t="shared" si="3"/>
        <v>184.72581111182853</v>
      </c>
      <c r="D87" s="6">
        <f t="shared" si="3"/>
        <v>260.10231846328611</v>
      </c>
      <c r="E87" s="6">
        <f t="shared" si="3"/>
        <v>328.53171665160124</v>
      </c>
      <c r="F87" s="6">
        <f t="shared" si="3"/>
        <v>328.53171665160124</v>
      </c>
      <c r="G87" s="6">
        <f t="shared" si="3"/>
        <v>328.53171665160124</v>
      </c>
      <c r="H87" s="6">
        <f t="shared" si="3"/>
        <v>328.53171665160124</v>
      </c>
      <c r="I87" s="6">
        <f t="shared" si="4"/>
        <v>284.57847704674589</v>
      </c>
      <c r="J87" s="6">
        <f t="shared" si="4"/>
        <v>284.57847704674589</v>
      </c>
    </row>
    <row r="88" spans="1:10" x14ac:dyDescent="0.3">
      <c r="A88" s="53">
        <v>4</v>
      </c>
      <c r="B88" s="54">
        <f t="shared" si="5"/>
        <v>3.7499999999999999E-2</v>
      </c>
      <c r="C88" s="6">
        <f t="shared" si="3"/>
        <v>174.18674200389012</v>
      </c>
      <c r="D88" s="6">
        <f t="shared" si="3"/>
        <v>254.98931269369837</v>
      </c>
      <c r="E88" s="6">
        <f t="shared" si="3"/>
        <v>267.69855565599175</v>
      </c>
      <c r="F88" s="6">
        <f t="shared" si="3"/>
        <v>315.06763107930328</v>
      </c>
      <c r="G88" s="6">
        <f t="shared" si="3"/>
        <v>302.66380377146822</v>
      </c>
      <c r="H88" s="6">
        <f t="shared" si="3"/>
        <v>306.28320308464617</v>
      </c>
      <c r="I88" s="6">
        <f t="shared" si="4"/>
        <v>277.55906249999998</v>
      </c>
      <c r="J88" s="6">
        <f t="shared" si="4"/>
        <v>277.55906249999998</v>
      </c>
    </row>
    <row r="89" spans="1:10" x14ac:dyDescent="0.3">
      <c r="A89" s="53">
        <v>5</v>
      </c>
      <c r="B89" s="54">
        <f t="shared" si="5"/>
        <v>0.05</v>
      </c>
      <c r="C89" s="6">
        <f t="shared" si="3"/>
        <v>169.35851681039352</v>
      </c>
      <c r="D89" s="6">
        <f t="shared" si="3"/>
        <v>237.51639891569278</v>
      </c>
      <c r="E89" s="6">
        <f t="shared" si="3"/>
        <v>264.68922750677945</v>
      </c>
      <c r="F89" s="6">
        <f t="shared" si="3"/>
        <v>267.69855565599175</v>
      </c>
      <c r="G89" s="6">
        <f t="shared" si="3"/>
        <v>290.89275418872677</v>
      </c>
      <c r="H89" s="6">
        <f t="shared" si="3"/>
        <v>283.05427601207384</v>
      </c>
      <c r="I89" s="6">
        <f t="shared" si="4"/>
        <v>261.25910640495869</v>
      </c>
      <c r="J89" s="6">
        <f t="shared" si="4"/>
        <v>261.25910640495869</v>
      </c>
    </row>
    <row r="90" spans="1:10" x14ac:dyDescent="0.3">
      <c r="A90" s="53">
        <v>6</v>
      </c>
      <c r="B90" s="54">
        <f t="shared" si="5"/>
        <v>6.25E-2</v>
      </c>
      <c r="C90" s="6">
        <f t="shared" si="3"/>
        <v>168.6621136726821</v>
      </c>
      <c r="D90" s="6">
        <f t="shared" si="3"/>
        <v>236.93857353273501</v>
      </c>
      <c r="E90" s="6">
        <f t="shared" si="3"/>
        <v>263.79778449444728</v>
      </c>
      <c r="F90" s="6">
        <f t="shared" si="3"/>
        <v>264.68922750677945</v>
      </c>
      <c r="G90" s="6">
        <f t="shared" si="3"/>
        <v>267.69855565599175</v>
      </c>
      <c r="H90" s="6">
        <f t="shared" si="3"/>
        <v>277.55906249999998</v>
      </c>
      <c r="I90" s="6">
        <f t="shared" si="4"/>
        <v>210.90438702543906</v>
      </c>
      <c r="J90" s="6">
        <f t="shared" si="4"/>
        <v>210.90438702543906</v>
      </c>
    </row>
    <row r="91" spans="1:10" x14ac:dyDescent="0.3">
      <c r="A91" s="53">
        <v>7</v>
      </c>
      <c r="B91" s="54">
        <f t="shared" si="5"/>
        <v>7.4999999999999997E-2</v>
      </c>
      <c r="C91" s="6">
        <f t="shared" si="3"/>
        <v>164.24551104080581</v>
      </c>
      <c r="D91" s="6">
        <f t="shared" si="3"/>
        <v>214.77781615202093</v>
      </c>
      <c r="E91" s="6">
        <f t="shared" si="3"/>
        <v>236.88286286157023</v>
      </c>
      <c r="F91" s="6">
        <f t="shared" si="3"/>
        <v>263.79778449444728</v>
      </c>
      <c r="G91" s="6">
        <f t="shared" si="3"/>
        <v>264.68922750677945</v>
      </c>
      <c r="H91" s="6">
        <f t="shared" si="3"/>
        <v>236.88286286157023</v>
      </c>
      <c r="I91" s="6">
        <f t="shared" si="4"/>
        <v>196.3267368285124</v>
      </c>
      <c r="J91" s="6">
        <f t="shared" si="4"/>
        <v>192.77386769192276</v>
      </c>
    </row>
    <row r="92" spans="1:10" x14ac:dyDescent="0.3">
      <c r="A92" s="53">
        <v>8</v>
      </c>
      <c r="B92" s="54">
        <f t="shared" si="5"/>
        <v>8.7499999999999994E-2</v>
      </c>
      <c r="C92" s="6">
        <f t="shared" si="3"/>
        <v>110.63555559142561</v>
      </c>
      <c r="D92" s="6">
        <f t="shared" si="3"/>
        <v>188.52377036859181</v>
      </c>
      <c r="E92" s="6">
        <f t="shared" si="3"/>
        <v>196.3267368285124</v>
      </c>
      <c r="F92" s="6">
        <f t="shared" si="3"/>
        <v>236.88286286157023</v>
      </c>
      <c r="G92" s="6">
        <f t="shared" si="3"/>
        <v>263.79778449444728</v>
      </c>
      <c r="H92" s="6">
        <f t="shared" si="3"/>
        <v>196.3267368285124</v>
      </c>
      <c r="I92" s="6">
        <f t="shared" si="4"/>
        <v>192.77386769192276</v>
      </c>
      <c r="J92" s="6">
        <f t="shared" si="4"/>
        <v>172.01439102551169</v>
      </c>
    </row>
    <row r="93" spans="1:10" x14ac:dyDescent="0.3">
      <c r="A93" s="53">
        <v>9</v>
      </c>
      <c r="B93" s="54">
        <f t="shared" si="5"/>
        <v>0.1</v>
      </c>
      <c r="C93" s="6">
        <f t="shared" si="3"/>
        <v>103.43018733253164</v>
      </c>
      <c r="D93" s="6">
        <f t="shared" si="3"/>
        <v>162.48389609092524</v>
      </c>
      <c r="E93" s="6">
        <f t="shared" si="3"/>
        <v>192.77386769192276</v>
      </c>
      <c r="F93" s="6">
        <f t="shared" si="3"/>
        <v>229.24088621029185</v>
      </c>
      <c r="G93" s="6">
        <f t="shared" si="3"/>
        <v>202.95327447055786</v>
      </c>
      <c r="H93" s="6">
        <f t="shared" si="3"/>
        <v>192.77386769192276</v>
      </c>
      <c r="I93" s="6">
        <f t="shared" si="4"/>
        <v>184.40940534607438</v>
      </c>
      <c r="J93" s="6">
        <f t="shared" si="4"/>
        <v>156.38789449896694</v>
      </c>
    </row>
    <row r="94" spans="1:10" x14ac:dyDescent="0.3">
      <c r="A94" s="53">
        <v>10</v>
      </c>
      <c r="B94" s="54">
        <f t="shared" si="5"/>
        <v>0.1125</v>
      </c>
      <c r="C94" s="6">
        <f t="shared" si="3"/>
        <v>101.453290107664</v>
      </c>
      <c r="D94" s="6">
        <f t="shared" si="3"/>
        <v>147.56899258700284</v>
      </c>
      <c r="E94" s="6">
        <f t="shared" si="3"/>
        <v>184.40940534607438</v>
      </c>
      <c r="F94" s="6">
        <f t="shared" si="3"/>
        <v>227.67342561579932</v>
      </c>
      <c r="G94" s="6">
        <f t="shared" si="3"/>
        <v>196.3267368285124</v>
      </c>
      <c r="H94" s="6">
        <f t="shared" si="3"/>
        <v>184.40940534607438</v>
      </c>
      <c r="I94" s="6">
        <f t="shared" si="4"/>
        <v>174.23468879132233</v>
      </c>
      <c r="J94" s="6">
        <f t="shared" si="4"/>
        <v>154.401796875</v>
      </c>
    </row>
    <row r="95" spans="1:10" x14ac:dyDescent="0.3">
      <c r="A95" s="53">
        <v>11</v>
      </c>
      <c r="B95" s="54">
        <f t="shared" si="5"/>
        <v>0.125</v>
      </c>
      <c r="C95" s="6">
        <f t="shared" ref="C95:H104" si="6">LARGE(C$2:C$82,$A95)</f>
        <v>100.54246273324509</v>
      </c>
      <c r="D95" s="6">
        <f t="shared" si="6"/>
        <v>146.65816521258392</v>
      </c>
      <c r="E95" s="6">
        <f t="shared" si="6"/>
        <v>174.23468879132233</v>
      </c>
      <c r="F95" s="6">
        <f t="shared" si="6"/>
        <v>196.3267368285124</v>
      </c>
      <c r="G95" s="6">
        <f t="shared" si="6"/>
        <v>193.31074993543388</v>
      </c>
      <c r="H95" s="6">
        <f t="shared" si="6"/>
        <v>174.23468879132233</v>
      </c>
      <c r="I95" s="6">
        <f t="shared" si="4"/>
        <v>172.01439102551169</v>
      </c>
      <c r="J95" s="6">
        <f t="shared" si="4"/>
        <v>151.4505739927686</v>
      </c>
    </row>
    <row r="96" spans="1:10" x14ac:dyDescent="0.3">
      <c r="A96" s="53">
        <v>12</v>
      </c>
      <c r="B96" s="54">
        <f t="shared" si="5"/>
        <v>0.13750000000000001</v>
      </c>
      <c r="C96" s="6">
        <f t="shared" si="6"/>
        <v>93.357286605834943</v>
      </c>
      <c r="D96" s="6">
        <f t="shared" si="6"/>
        <v>139.47298908517379</v>
      </c>
      <c r="E96" s="6">
        <f t="shared" si="6"/>
        <v>173.3633407870206</v>
      </c>
      <c r="F96" s="6">
        <f t="shared" si="6"/>
        <v>192.77386769192276</v>
      </c>
      <c r="G96" s="6">
        <f t="shared" si="6"/>
        <v>184.40940534607438</v>
      </c>
      <c r="H96" s="6">
        <f t="shared" si="6"/>
        <v>173.3633407870206</v>
      </c>
      <c r="I96" s="6">
        <f t="shared" si="4"/>
        <v>161.14381650309917</v>
      </c>
      <c r="J96" s="6">
        <f t="shared" si="4"/>
        <v>146.39928137913225</v>
      </c>
    </row>
    <row r="97" spans="1:10" x14ac:dyDescent="0.3">
      <c r="A97" s="53">
        <v>13</v>
      </c>
      <c r="B97" s="54">
        <f t="shared" si="5"/>
        <v>0.15</v>
      </c>
      <c r="C97" s="6">
        <f t="shared" si="6"/>
        <v>93.016015524115446</v>
      </c>
      <c r="D97" s="6">
        <f t="shared" si="6"/>
        <v>139.1317180034543</v>
      </c>
      <c r="E97" s="6">
        <f t="shared" si="6"/>
        <v>172.01439102551169</v>
      </c>
      <c r="F97" s="6">
        <f t="shared" si="6"/>
        <v>184.40940534607438</v>
      </c>
      <c r="G97" s="6">
        <f t="shared" si="6"/>
        <v>174.23468879132233</v>
      </c>
      <c r="H97" s="6">
        <f t="shared" si="6"/>
        <v>172.01439102551169</v>
      </c>
      <c r="I97" s="6">
        <f t="shared" si="4"/>
        <v>156.38789449896694</v>
      </c>
      <c r="J97" s="6">
        <f t="shared" si="4"/>
        <v>138.32404886040806</v>
      </c>
    </row>
    <row r="98" spans="1:10" x14ac:dyDescent="0.3">
      <c r="A98" s="53">
        <v>14</v>
      </c>
      <c r="B98" s="54">
        <f t="shared" si="5"/>
        <v>0.16250000000000001</v>
      </c>
      <c r="C98" s="6">
        <f t="shared" si="6"/>
        <v>90.881380716118926</v>
      </c>
      <c r="D98" s="6">
        <f t="shared" si="6"/>
        <v>136.99708319545778</v>
      </c>
      <c r="E98" s="6">
        <f t="shared" si="6"/>
        <v>161.14381650309917</v>
      </c>
      <c r="F98" s="6">
        <f t="shared" si="6"/>
        <v>180.16086248224431</v>
      </c>
      <c r="G98" s="6">
        <f t="shared" si="6"/>
        <v>173.3633407870206</v>
      </c>
      <c r="H98" s="6">
        <f t="shared" si="6"/>
        <v>161.14381650309917</v>
      </c>
      <c r="I98" s="6">
        <f t="shared" si="4"/>
        <v>154.401796875</v>
      </c>
      <c r="J98" s="6">
        <f t="shared" si="4"/>
        <v>110.63555559142561</v>
      </c>
    </row>
    <row r="99" spans="1:10" x14ac:dyDescent="0.3">
      <c r="A99" s="53">
        <v>15</v>
      </c>
      <c r="B99" s="54">
        <f t="shared" si="5"/>
        <v>0.17499999999999999</v>
      </c>
      <c r="C99" s="6">
        <f t="shared" si="6"/>
        <v>87.457805528877202</v>
      </c>
      <c r="D99" s="6">
        <f t="shared" si="6"/>
        <v>127.9222265625</v>
      </c>
      <c r="E99" s="6">
        <f t="shared" si="6"/>
        <v>156.38789449896694</v>
      </c>
      <c r="F99" s="6">
        <f t="shared" si="6"/>
        <v>174.23468879132233</v>
      </c>
      <c r="G99" s="6">
        <f t="shared" si="6"/>
        <v>172.01439102551169</v>
      </c>
      <c r="H99" s="6">
        <f t="shared" si="6"/>
        <v>156.38789449896694</v>
      </c>
      <c r="I99" s="6">
        <f t="shared" si="4"/>
        <v>151.4505739927686</v>
      </c>
      <c r="J99" s="6">
        <f t="shared" si="4"/>
        <v>42.764748192148765</v>
      </c>
    </row>
    <row r="100" spans="1:10" x14ac:dyDescent="0.3">
      <c r="A100" s="53">
        <v>16</v>
      </c>
      <c r="B100" s="54">
        <f t="shared" si="5"/>
        <v>0.1875</v>
      </c>
      <c r="C100" s="6">
        <f t="shared" si="6"/>
        <v>82.320104506311338</v>
      </c>
      <c r="D100" s="6">
        <f t="shared" si="6"/>
        <v>127.24763830768177</v>
      </c>
      <c r="E100" s="6">
        <f t="shared" si="6"/>
        <v>154.401796875</v>
      </c>
      <c r="F100" s="6">
        <f t="shared" si="6"/>
        <v>173.3633407870206</v>
      </c>
      <c r="G100" s="6">
        <f t="shared" si="6"/>
        <v>161.14381650309917</v>
      </c>
      <c r="H100" s="6">
        <f t="shared" si="6"/>
        <v>154.401796875</v>
      </c>
      <c r="I100" s="6">
        <f t="shared" si="4"/>
        <v>146.39928137913225</v>
      </c>
      <c r="J100" s="6">
        <f t="shared" si="4"/>
        <v>34.877614927685947</v>
      </c>
    </row>
    <row r="101" spans="1:10" x14ac:dyDescent="0.3">
      <c r="A101" s="53">
        <v>17</v>
      </c>
      <c r="B101" s="54">
        <f t="shared" si="5"/>
        <v>0.2</v>
      </c>
      <c r="C101" s="6">
        <f t="shared" si="6"/>
        <v>81.131935828342904</v>
      </c>
      <c r="D101" s="6">
        <f t="shared" si="6"/>
        <v>125.89868854617285</v>
      </c>
      <c r="E101" s="6">
        <f t="shared" si="6"/>
        <v>146.39928137913225</v>
      </c>
      <c r="F101" s="6">
        <f t="shared" si="6"/>
        <v>172.01439102551169</v>
      </c>
      <c r="G101" s="6">
        <f t="shared" si="6"/>
        <v>146.39928137913225</v>
      </c>
      <c r="H101" s="6">
        <f t="shared" si="6"/>
        <v>146.39928137913225</v>
      </c>
      <c r="I101" s="6">
        <f t="shared" ref="I101:J116" si="7">LARGE(I$2:I$82,$A101)</f>
        <v>138.32404886040806</v>
      </c>
      <c r="J101" s="6">
        <f t="shared" si="7"/>
        <v>0</v>
      </c>
    </row>
    <row r="102" spans="1:10" x14ac:dyDescent="0.3">
      <c r="A102" s="53">
        <v>18</v>
      </c>
      <c r="B102" s="54">
        <f t="shared" si="5"/>
        <v>0.21249999999999999</v>
      </c>
      <c r="C102" s="6">
        <f t="shared" si="6"/>
        <v>79.782986066833999</v>
      </c>
      <c r="D102" s="6">
        <f t="shared" si="6"/>
        <v>124.3431209545293</v>
      </c>
      <c r="E102" s="6">
        <f t="shared" si="6"/>
        <v>127.9222265625</v>
      </c>
      <c r="F102" s="6">
        <f t="shared" si="6"/>
        <v>167.80600934998063</v>
      </c>
      <c r="G102" s="6">
        <f t="shared" si="6"/>
        <v>127.9222265625</v>
      </c>
      <c r="H102" s="6">
        <f t="shared" si="6"/>
        <v>127.9222265625</v>
      </c>
      <c r="I102" s="6">
        <f t="shared" si="7"/>
        <v>127.9222265625</v>
      </c>
      <c r="J102" s="6">
        <f t="shared" si="7"/>
        <v>0</v>
      </c>
    </row>
    <row r="103" spans="1:10" x14ac:dyDescent="0.3">
      <c r="A103" s="53">
        <v>19</v>
      </c>
      <c r="B103" s="54">
        <f t="shared" si="5"/>
        <v>0.22500000000000001</v>
      </c>
      <c r="C103" s="6">
        <f t="shared" si="6"/>
        <v>78.227418475190461</v>
      </c>
      <c r="D103" s="6">
        <f t="shared" si="6"/>
        <v>110.63555559142561</v>
      </c>
      <c r="E103" s="6">
        <f t="shared" si="6"/>
        <v>110.63555559142561</v>
      </c>
      <c r="F103" s="6">
        <f t="shared" si="6"/>
        <v>161.14381650309917</v>
      </c>
      <c r="G103" s="6">
        <f t="shared" si="6"/>
        <v>110.63555559142561</v>
      </c>
      <c r="H103" s="6">
        <f t="shared" si="6"/>
        <v>110.63555559142561</v>
      </c>
      <c r="I103" s="6">
        <f t="shared" si="7"/>
        <v>110.63555559142561</v>
      </c>
      <c r="J103" s="6">
        <f t="shared" si="7"/>
        <v>0</v>
      </c>
    </row>
    <row r="104" spans="1:10" x14ac:dyDescent="0.3">
      <c r="A104" s="53">
        <v>20</v>
      </c>
      <c r="B104" s="54">
        <f t="shared" si="5"/>
        <v>0.23749999999999999</v>
      </c>
      <c r="C104" s="6">
        <f t="shared" si="6"/>
        <v>61.140804816632233</v>
      </c>
      <c r="D104" s="6">
        <f t="shared" si="6"/>
        <v>61.140804816632233</v>
      </c>
      <c r="E104" s="6">
        <f t="shared" si="6"/>
        <v>61.140804816632233</v>
      </c>
      <c r="F104" s="6">
        <f t="shared" si="6"/>
        <v>156.38789449896694</v>
      </c>
      <c r="G104" s="6">
        <f t="shared" si="6"/>
        <v>61.140804816632233</v>
      </c>
      <c r="H104" s="6">
        <f t="shared" si="6"/>
        <v>61.140804816632233</v>
      </c>
      <c r="I104" s="6">
        <f t="shared" si="7"/>
        <v>61.140804816632233</v>
      </c>
      <c r="J104" s="6">
        <f t="shared" si="7"/>
        <v>0</v>
      </c>
    </row>
    <row r="105" spans="1:10" x14ac:dyDescent="0.3">
      <c r="A105" s="53">
        <v>21</v>
      </c>
      <c r="B105" s="54">
        <f t="shared" si="5"/>
        <v>0.25</v>
      </c>
      <c r="C105" s="6">
        <f t="shared" ref="C105:H114" si="8">LARGE(C$2:C$82,$A105)</f>
        <v>42.764748192148765</v>
      </c>
      <c r="D105" s="6">
        <f t="shared" si="8"/>
        <v>42.764748192148765</v>
      </c>
      <c r="E105" s="6">
        <f t="shared" si="8"/>
        <v>42.764748192148765</v>
      </c>
      <c r="F105" s="6">
        <f t="shared" si="8"/>
        <v>154.401796875</v>
      </c>
      <c r="G105" s="6">
        <f t="shared" si="8"/>
        <v>45.886084710743802</v>
      </c>
      <c r="H105" s="6">
        <f t="shared" si="8"/>
        <v>42.764748192148765</v>
      </c>
      <c r="I105" s="6">
        <f t="shared" si="7"/>
        <v>42.764748192148765</v>
      </c>
      <c r="J105" s="6">
        <f t="shared" si="7"/>
        <v>0</v>
      </c>
    </row>
    <row r="106" spans="1:10" x14ac:dyDescent="0.3">
      <c r="A106" s="53">
        <v>22</v>
      </c>
      <c r="B106" s="54">
        <f t="shared" si="5"/>
        <v>0.26250000000000001</v>
      </c>
      <c r="C106" s="6">
        <f t="shared" si="8"/>
        <v>34.877614927685947</v>
      </c>
      <c r="D106" s="6">
        <f t="shared" si="8"/>
        <v>34.877614927685947</v>
      </c>
      <c r="E106" s="6">
        <f t="shared" si="8"/>
        <v>34.877614927685947</v>
      </c>
      <c r="F106" s="6">
        <f t="shared" si="8"/>
        <v>146.39928137913225</v>
      </c>
      <c r="G106" s="6">
        <f t="shared" si="8"/>
        <v>43.79148308367769</v>
      </c>
      <c r="H106" s="6">
        <f t="shared" si="8"/>
        <v>34.877614927685947</v>
      </c>
      <c r="I106" s="6">
        <f t="shared" si="7"/>
        <v>34.877614927685947</v>
      </c>
      <c r="J106" s="6">
        <f t="shared" si="7"/>
        <v>0</v>
      </c>
    </row>
    <row r="107" spans="1:10" x14ac:dyDescent="0.3">
      <c r="A107" s="53">
        <v>23</v>
      </c>
      <c r="B107" s="54">
        <f t="shared" si="5"/>
        <v>0.27500000000000002</v>
      </c>
      <c r="C107" s="6">
        <f t="shared" si="8"/>
        <v>21.768285123966944</v>
      </c>
      <c r="D107" s="6">
        <f t="shared" si="8"/>
        <v>21.768285123966944</v>
      </c>
      <c r="E107" s="6">
        <f t="shared" si="8"/>
        <v>21.768285123966944</v>
      </c>
      <c r="F107" s="6">
        <f t="shared" si="8"/>
        <v>127.9222265625</v>
      </c>
      <c r="G107" s="6">
        <f t="shared" si="8"/>
        <v>34.877614927685947</v>
      </c>
      <c r="H107" s="6">
        <f t="shared" si="8"/>
        <v>21.768285123966944</v>
      </c>
      <c r="I107" s="6">
        <f t="shared" si="7"/>
        <v>21.768285123966944</v>
      </c>
      <c r="J107" s="6">
        <f t="shared" si="7"/>
        <v>0</v>
      </c>
    </row>
    <row r="108" spans="1:10" x14ac:dyDescent="0.3">
      <c r="A108" s="53">
        <v>24</v>
      </c>
      <c r="B108" s="54">
        <f t="shared" si="5"/>
        <v>0.28749999999999998</v>
      </c>
      <c r="C108" s="6">
        <f t="shared" si="8"/>
        <v>0</v>
      </c>
      <c r="D108" s="6">
        <f t="shared" si="8"/>
        <v>0</v>
      </c>
      <c r="E108" s="6">
        <f t="shared" si="8"/>
        <v>0</v>
      </c>
      <c r="F108" s="6">
        <f t="shared" si="8"/>
        <v>117.78686721171229</v>
      </c>
      <c r="G108" s="6">
        <f t="shared" si="8"/>
        <v>30.825164643595041</v>
      </c>
      <c r="H108" s="6">
        <f t="shared" si="8"/>
        <v>0</v>
      </c>
      <c r="I108" s="6">
        <f t="shared" si="7"/>
        <v>0</v>
      </c>
      <c r="J108" s="6">
        <f t="shared" si="7"/>
        <v>0</v>
      </c>
    </row>
    <row r="109" spans="1:10" x14ac:dyDescent="0.3">
      <c r="A109" s="53">
        <v>25</v>
      </c>
      <c r="B109" s="54">
        <f t="shared" si="5"/>
        <v>0.3</v>
      </c>
      <c r="C109" s="6">
        <f t="shared" si="8"/>
        <v>0</v>
      </c>
      <c r="D109" s="6">
        <f t="shared" si="8"/>
        <v>0</v>
      </c>
      <c r="E109" s="6">
        <f t="shared" si="8"/>
        <v>0</v>
      </c>
      <c r="F109" s="6">
        <f t="shared" si="8"/>
        <v>110.63555559142561</v>
      </c>
      <c r="G109" s="6">
        <f t="shared" si="8"/>
        <v>24.391813985020661</v>
      </c>
      <c r="H109" s="6">
        <f t="shared" si="8"/>
        <v>0</v>
      </c>
      <c r="I109" s="6">
        <f t="shared" si="7"/>
        <v>0</v>
      </c>
      <c r="J109" s="6">
        <f t="shared" si="7"/>
        <v>0</v>
      </c>
    </row>
    <row r="110" spans="1:10" x14ac:dyDescent="0.3">
      <c r="A110" s="53">
        <v>26</v>
      </c>
      <c r="B110" s="54">
        <f t="shared" si="5"/>
        <v>0.3125</v>
      </c>
      <c r="C110" s="6">
        <f t="shared" si="8"/>
        <v>0</v>
      </c>
      <c r="D110" s="6">
        <f t="shared" si="8"/>
        <v>0</v>
      </c>
      <c r="E110" s="6">
        <f t="shared" si="8"/>
        <v>0</v>
      </c>
      <c r="F110" s="6">
        <f t="shared" si="8"/>
        <v>101.6310337035124</v>
      </c>
      <c r="G110" s="6">
        <f t="shared" si="8"/>
        <v>21.768285123966944</v>
      </c>
      <c r="H110" s="6">
        <f t="shared" si="8"/>
        <v>0</v>
      </c>
      <c r="I110" s="6">
        <f t="shared" si="7"/>
        <v>0</v>
      </c>
      <c r="J110" s="6">
        <f t="shared" si="7"/>
        <v>0</v>
      </c>
    </row>
    <row r="111" spans="1:10" x14ac:dyDescent="0.3">
      <c r="A111" s="53">
        <v>27</v>
      </c>
      <c r="B111" s="54">
        <f t="shared" si="5"/>
        <v>0.32500000000000001</v>
      </c>
      <c r="C111" s="6">
        <f t="shared" si="8"/>
        <v>0</v>
      </c>
      <c r="D111" s="6">
        <f t="shared" si="8"/>
        <v>0</v>
      </c>
      <c r="E111" s="6">
        <f t="shared" si="8"/>
        <v>0</v>
      </c>
      <c r="F111" s="6">
        <f t="shared" si="8"/>
        <v>61.140804816632233</v>
      </c>
      <c r="G111" s="6">
        <f t="shared" si="8"/>
        <v>0</v>
      </c>
      <c r="H111" s="6">
        <f t="shared" si="8"/>
        <v>0</v>
      </c>
      <c r="I111" s="6">
        <f t="shared" si="7"/>
        <v>0</v>
      </c>
      <c r="J111" s="6">
        <f t="shared" si="7"/>
        <v>0</v>
      </c>
    </row>
    <row r="112" spans="1:10" x14ac:dyDescent="0.3">
      <c r="A112" s="53">
        <v>28</v>
      </c>
      <c r="B112" s="54">
        <f t="shared" si="5"/>
        <v>0.33750000000000002</v>
      </c>
      <c r="C112" s="6">
        <f t="shared" si="8"/>
        <v>0</v>
      </c>
      <c r="D112" s="6">
        <f t="shared" si="8"/>
        <v>0</v>
      </c>
      <c r="E112" s="6">
        <f t="shared" si="8"/>
        <v>0</v>
      </c>
      <c r="F112" s="6">
        <f t="shared" si="8"/>
        <v>42.764748192148765</v>
      </c>
      <c r="G112" s="6">
        <f t="shared" si="8"/>
        <v>0</v>
      </c>
      <c r="H112" s="6">
        <f t="shared" si="8"/>
        <v>0</v>
      </c>
      <c r="I112" s="6">
        <f t="shared" si="7"/>
        <v>0</v>
      </c>
      <c r="J112" s="6">
        <f t="shared" si="7"/>
        <v>0</v>
      </c>
    </row>
    <row r="113" spans="1:10" x14ac:dyDescent="0.3">
      <c r="A113" s="53">
        <v>29</v>
      </c>
      <c r="B113" s="54">
        <f t="shared" si="5"/>
        <v>0.35</v>
      </c>
      <c r="C113" s="6">
        <f t="shared" si="8"/>
        <v>0</v>
      </c>
      <c r="D113" s="6">
        <f t="shared" si="8"/>
        <v>0</v>
      </c>
      <c r="E113" s="6">
        <f t="shared" si="8"/>
        <v>0</v>
      </c>
      <c r="F113" s="6">
        <f t="shared" si="8"/>
        <v>34.877614927685947</v>
      </c>
      <c r="G113" s="6">
        <f t="shared" si="8"/>
        <v>0</v>
      </c>
      <c r="H113" s="6">
        <f t="shared" si="8"/>
        <v>0</v>
      </c>
      <c r="I113" s="6">
        <f t="shared" si="7"/>
        <v>0</v>
      </c>
      <c r="J113" s="6">
        <f t="shared" si="7"/>
        <v>0</v>
      </c>
    </row>
    <row r="114" spans="1:10" x14ac:dyDescent="0.3">
      <c r="A114" s="53">
        <v>30</v>
      </c>
      <c r="B114" s="54">
        <f t="shared" si="5"/>
        <v>0.36249999999999999</v>
      </c>
      <c r="C114" s="6">
        <f t="shared" si="8"/>
        <v>0</v>
      </c>
      <c r="D114" s="6">
        <f t="shared" si="8"/>
        <v>0</v>
      </c>
      <c r="E114" s="6">
        <f t="shared" si="8"/>
        <v>0</v>
      </c>
      <c r="F114" s="6">
        <f t="shared" si="8"/>
        <v>21.768285123966944</v>
      </c>
      <c r="G114" s="6">
        <f t="shared" si="8"/>
        <v>0</v>
      </c>
      <c r="H114" s="6">
        <f t="shared" si="8"/>
        <v>0</v>
      </c>
      <c r="I114" s="6">
        <f t="shared" si="7"/>
        <v>0</v>
      </c>
      <c r="J114" s="6">
        <f t="shared" si="7"/>
        <v>0</v>
      </c>
    </row>
    <row r="115" spans="1:10" x14ac:dyDescent="0.3">
      <c r="A115" s="53">
        <v>31</v>
      </c>
      <c r="B115" s="54">
        <f t="shared" si="5"/>
        <v>0.375</v>
      </c>
      <c r="C115" s="6">
        <f t="shared" ref="C115:H124" si="9">LARGE(C$2:C$82,$A115)</f>
        <v>0</v>
      </c>
      <c r="D115" s="6">
        <f t="shared" si="9"/>
        <v>0</v>
      </c>
      <c r="E115" s="6">
        <f t="shared" si="9"/>
        <v>0</v>
      </c>
      <c r="F115" s="6">
        <f t="shared" si="9"/>
        <v>20.045821845945248</v>
      </c>
      <c r="G115" s="6">
        <f t="shared" si="9"/>
        <v>0</v>
      </c>
      <c r="H115" s="6">
        <f t="shared" si="9"/>
        <v>0</v>
      </c>
      <c r="I115" s="6">
        <f t="shared" si="7"/>
        <v>0</v>
      </c>
      <c r="J115" s="6">
        <f t="shared" si="7"/>
        <v>0</v>
      </c>
    </row>
    <row r="116" spans="1:10" x14ac:dyDescent="0.3">
      <c r="A116" s="53">
        <v>32</v>
      </c>
      <c r="B116" s="54">
        <f t="shared" si="5"/>
        <v>0.38750000000000001</v>
      </c>
      <c r="C116" s="6">
        <f t="shared" si="9"/>
        <v>0</v>
      </c>
      <c r="D116" s="6">
        <f t="shared" si="9"/>
        <v>0</v>
      </c>
      <c r="E116" s="6">
        <f t="shared" si="9"/>
        <v>0</v>
      </c>
      <c r="F116" s="6">
        <f t="shared" si="9"/>
        <v>12.524736570247935</v>
      </c>
      <c r="G116" s="6">
        <f t="shared" si="9"/>
        <v>0</v>
      </c>
      <c r="H116" s="6">
        <f t="shared" si="9"/>
        <v>0</v>
      </c>
      <c r="I116" s="6">
        <f t="shared" si="7"/>
        <v>0</v>
      </c>
      <c r="J116" s="6">
        <f t="shared" si="7"/>
        <v>0</v>
      </c>
    </row>
    <row r="117" spans="1:10" x14ac:dyDescent="0.3">
      <c r="A117" s="53">
        <v>33</v>
      </c>
      <c r="B117" s="54">
        <f t="shared" si="5"/>
        <v>0.4</v>
      </c>
      <c r="C117" s="6">
        <f t="shared" si="9"/>
        <v>0</v>
      </c>
      <c r="D117" s="6">
        <f t="shared" si="9"/>
        <v>0</v>
      </c>
      <c r="E117" s="6">
        <f t="shared" si="9"/>
        <v>0</v>
      </c>
      <c r="F117" s="6">
        <f t="shared" si="9"/>
        <v>0</v>
      </c>
      <c r="G117" s="6">
        <f t="shared" si="9"/>
        <v>0</v>
      </c>
      <c r="H117" s="6">
        <f t="shared" si="9"/>
        <v>0</v>
      </c>
      <c r="I117" s="6">
        <f t="shared" ref="I117:J132" si="10">LARGE(I$2:I$82,$A117)</f>
        <v>0</v>
      </c>
      <c r="J117" s="6">
        <f t="shared" si="10"/>
        <v>0</v>
      </c>
    </row>
    <row r="118" spans="1:10" x14ac:dyDescent="0.3">
      <c r="A118" s="53">
        <v>34</v>
      </c>
      <c r="B118" s="54">
        <f t="shared" si="5"/>
        <v>0.41249999999999998</v>
      </c>
      <c r="C118" s="6">
        <f t="shared" si="9"/>
        <v>0</v>
      </c>
      <c r="D118" s="6">
        <f t="shared" si="9"/>
        <v>0</v>
      </c>
      <c r="E118" s="6">
        <f t="shared" si="9"/>
        <v>0</v>
      </c>
      <c r="F118" s="6">
        <f t="shared" si="9"/>
        <v>0</v>
      </c>
      <c r="G118" s="6">
        <f t="shared" si="9"/>
        <v>0</v>
      </c>
      <c r="H118" s="6">
        <f t="shared" si="9"/>
        <v>0</v>
      </c>
      <c r="I118" s="6">
        <f t="shared" si="10"/>
        <v>0</v>
      </c>
      <c r="J118" s="6">
        <f t="shared" si="10"/>
        <v>0</v>
      </c>
    </row>
    <row r="119" spans="1:10" x14ac:dyDescent="0.3">
      <c r="A119" s="53">
        <v>35</v>
      </c>
      <c r="B119" s="54">
        <f t="shared" si="5"/>
        <v>0.42499999999999999</v>
      </c>
      <c r="C119" s="6">
        <f t="shared" si="9"/>
        <v>0</v>
      </c>
      <c r="D119" s="6">
        <f t="shared" si="9"/>
        <v>0</v>
      </c>
      <c r="E119" s="6">
        <f t="shared" si="9"/>
        <v>0</v>
      </c>
      <c r="F119" s="6">
        <f t="shared" si="9"/>
        <v>0</v>
      </c>
      <c r="G119" s="6">
        <f t="shared" si="9"/>
        <v>0</v>
      </c>
      <c r="H119" s="6">
        <f t="shared" si="9"/>
        <v>0</v>
      </c>
      <c r="I119" s="6">
        <f t="shared" si="10"/>
        <v>0</v>
      </c>
      <c r="J119" s="6">
        <f t="shared" si="10"/>
        <v>0</v>
      </c>
    </row>
    <row r="120" spans="1:10" x14ac:dyDescent="0.3">
      <c r="A120" s="53">
        <v>36</v>
      </c>
      <c r="B120" s="54">
        <f t="shared" si="5"/>
        <v>0.4375</v>
      </c>
      <c r="C120" s="6">
        <f t="shared" si="9"/>
        <v>0</v>
      </c>
      <c r="D120" s="6">
        <f t="shared" si="9"/>
        <v>0</v>
      </c>
      <c r="E120" s="6">
        <f t="shared" si="9"/>
        <v>0</v>
      </c>
      <c r="F120" s="6">
        <f t="shared" si="9"/>
        <v>0</v>
      </c>
      <c r="G120" s="6">
        <f t="shared" si="9"/>
        <v>0</v>
      </c>
      <c r="H120" s="6">
        <f t="shared" si="9"/>
        <v>0</v>
      </c>
      <c r="I120" s="6">
        <f t="shared" si="10"/>
        <v>0</v>
      </c>
      <c r="J120" s="6">
        <f t="shared" si="10"/>
        <v>0</v>
      </c>
    </row>
    <row r="121" spans="1:10" x14ac:dyDescent="0.3">
      <c r="A121" s="53">
        <v>37</v>
      </c>
      <c r="B121" s="54">
        <f t="shared" si="5"/>
        <v>0.45</v>
      </c>
      <c r="C121" s="6">
        <f t="shared" si="9"/>
        <v>0</v>
      </c>
      <c r="D121" s="6">
        <f t="shared" si="9"/>
        <v>0</v>
      </c>
      <c r="E121" s="6">
        <f t="shared" si="9"/>
        <v>0</v>
      </c>
      <c r="F121" s="6">
        <f t="shared" si="9"/>
        <v>0</v>
      </c>
      <c r="G121" s="6">
        <f t="shared" si="9"/>
        <v>0</v>
      </c>
      <c r="H121" s="6">
        <f t="shared" si="9"/>
        <v>0</v>
      </c>
      <c r="I121" s="6">
        <f t="shared" si="10"/>
        <v>0</v>
      </c>
      <c r="J121" s="6">
        <f t="shared" si="10"/>
        <v>0</v>
      </c>
    </row>
    <row r="122" spans="1:10" x14ac:dyDescent="0.3">
      <c r="A122" s="53">
        <v>38</v>
      </c>
      <c r="B122" s="54">
        <f t="shared" si="5"/>
        <v>0.46250000000000002</v>
      </c>
      <c r="C122" s="6">
        <f t="shared" si="9"/>
        <v>0</v>
      </c>
      <c r="D122" s="6">
        <f t="shared" si="9"/>
        <v>0</v>
      </c>
      <c r="E122" s="6">
        <f t="shared" si="9"/>
        <v>0</v>
      </c>
      <c r="F122" s="6">
        <f t="shared" si="9"/>
        <v>0</v>
      </c>
      <c r="G122" s="6">
        <f t="shared" si="9"/>
        <v>0</v>
      </c>
      <c r="H122" s="6">
        <f t="shared" si="9"/>
        <v>0</v>
      </c>
      <c r="I122" s="6">
        <f t="shared" si="10"/>
        <v>0</v>
      </c>
      <c r="J122" s="6">
        <f t="shared" si="10"/>
        <v>0</v>
      </c>
    </row>
    <row r="123" spans="1:10" x14ac:dyDescent="0.3">
      <c r="A123" s="53">
        <v>39</v>
      </c>
      <c r="B123" s="54">
        <f t="shared" si="5"/>
        <v>0.47499999999999998</v>
      </c>
      <c r="C123" s="6">
        <f t="shared" si="9"/>
        <v>0</v>
      </c>
      <c r="D123" s="6">
        <f t="shared" si="9"/>
        <v>0</v>
      </c>
      <c r="E123" s="6">
        <f t="shared" si="9"/>
        <v>0</v>
      </c>
      <c r="F123" s="6">
        <f t="shared" si="9"/>
        <v>0</v>
      </c>
      <c r="G123" s="6">
        <f t="shared" si="9"/>
        <v>0</v>
      </c>
      <c r="H123" s="6">
        <f t="shared" si="9"/>
        <v>0</v>
      </c>
      <c r="I123" s="6">
        <f t="shared" si="10"/>
        <v>0</v>
      </c>
      <c r="J123" s="6">
        <f t="shared" si="10"/>
        <v>0</v>
      </c>
    </row>
    <row r="124" spans="1:10" x14ac:dyDescent="0.3">
      <c r="A124" s="53">
        <v>40</v>
      </c>
      <c r="B124" s="54">
        <f t="shared" si="5"/>
        <v>0.48749999999999999</v>
      </c>
      <c r="C124" s="6">
        <f t="shared" si="9"/>
        <v>0</v>
      </c>
      <c r="D124" s="6">
        <f t="shared" si="9"/>
        <v>0</v>
      </c>
      <c r="E124" s="6">
        <f t="shared" si="9"/>
        <v>0</v>
      </c>
      <c r="F124" s="6">
        <f t="shared" si="9"/>
        <v>0</v>
      </c>
      <c r="G124" s="6">
        <f t="shared" si="9"/>
        <v>0</v>
      </c>
      <c r="H124" s="6">
        <f t="shared" si="9"/>
        <v>0</v>
      </c>
      <c r="I124" s="6">
        <f t="shared" si="10"/>
        <v>0</v>
      </c>
      <c r="J124" s="6">
        <f t="shared" si="10"/>
        <v>0</v>
      </c>
    </row>
    <row r="125" spans="1:10" x14ac:dyDescent="0.3">
      <c r="A125" s="53">
        <v>41</v>
      </c>
      <c r="B125" s="54">
        <f t="shared" si="5"/>
        <v>0.5</v>
      </c>
      <c r="C125" s="6">
        <f t="shared" ref="C125:H134" si="11">LARGE(C$2:C$82,$A125)</f>
        <v>0</v>
      </c>
      <c r="D125" s="6">
        <f t="shared" si="11"/>
        <v>0</v>
      </c>
      <c r="E125" s="6">
        <f t="shared" si="11"/>
        <v>0</v>
      </c>
      <c r="F125" s="6">
        <f t="shared" si="11"/>
        <v>0</v>
      </c>
      <c r="G125" s="6">
        <f t="shared" si="11"/>
        <v>0</v>
      </c>
      <c r="H125" s="6">
        <f t="shared" si="11"/>
        <v>0</v>
      </c>
      <c r="I125" s="6">
        <f t="shared" si="10"/>
        <v>0</v>
      </c>
      <c r="J125" s="6">
        <f t="shared" si="10"/>
        <v>0</v>
      </c>
    </row>
    <row r="126" spans="1:10" x14ac:dyDescent="0.3">
      <c r="A126" s="53">
        <v>42</v>
      </c>
      <c r="B126" s="54">
        <f t="shared" si="5"/>
        <v>0.51249999999999996</v>
      </c>
      <c r="C126" s="6">
        <f t="shared" si="11"/>
        <v>0</v>
      </c>
      <c r="D126" s="6">
        <f t="shared" si="11"/>
        <v>0</v>
      </c>
      <c r="E126" s="6">
        <f t="shared" si="11"/>
        <v>0</v>
      </c>
      <c r="F126" s="6">
        <f t="shared" si="11"/>
        <v>0</v>
      </c>
      <c r="G126" s="6">
        <f t="shared" si="11"/>
        <v>0</v>
      </c>
      <c r="H126" s="6">
        <f t="shared" si="11"/>
        <v>0</v>
      </c>
      <c r="I126" s="6">
        <f t="shared" si="10"/>
        <v>0</v>
      </c>
      <c r="J126" s="6">
        <f t="shared" si="10"/>
        <v>0</v>
      </c>
    </row>
    <row r="127" spans="1:10" x14ac:dyDescent="0.3">
      <c r="A127" s="53">
        <v>43</v>
      </c>
      <c r="B127" s="54">
        <f t="shared" si="5"/>
        <v>0.52500000000000002</v>
      </c>
      <c r="C127" s="6">
        <f t="shared" si="11"/>
        <v>0</v>
      </c>
      <c r="D127" s="6">
        <f t="shared" si="11"/>
        <v>0</v>
      </c>
      <c r="E127" s="6">
        <f t="shared" si="11"/>
        <v>0</v>
      </c>
      <c r="F127" s="6">
        <f t="shared" si="11"/>
        <v>0</v>
      </c>
      <c r="G127" s="6">
        <f t="shared" si="11"/>
        <v>0</v>
      </c>
      <c r="H127" s="6">
        <f t="shared" si="11"/>
        <v>0</v>
      </c>
      <c r="I127" s="6">
        <f t="shared" si="10"/>
        <v>0</v>
      </c>
      <c r="J127" s="6">
        <f t="shared" si="10"/>
        <v>0</v>
      </c>
    </row>
    <row r="128" spans="1:10" x14ac:dyDescent="0.3">
      <c r="A128" s="53">
        <v>44</v>
      </c>
      <c r="B128" s="54">
        <f t="shared" si="5"/>
        <v>0.53749999999999998</v>
      </c>
      <c r="C128" s="6">
        <f t="shared" si="11"/>
        <v>0</v>
      </c>
      <c r="D128" s="6">
        <f t="shared" si="11"/>
        <v>0</v>
      </c>
      <c r="E128" s="6">
        <f t="shared" si="11"/>
        <v>0</v>
      </c>
      <c r="F128" s="6">
        <f t="shared" si="11"/>
        <v>0</v>
      </c>
      <c r="G128" s="6">
        <f t="shared" si="11"/>
        <v>0</v>
      </c>
      <c r="H128" s="6">
        <f t="shared" si="11"/>
        <v>0</v>
      </c>
      <c r="I128" s="6">
        <f t="shared" si="10"/>
        <v>0</v>
      </c>
      <c r="J128" s="6">
        <f t="shared" si="10"/>
        <v>0</v>
      </c>
    </row>
    <row r="129" spans="1:10" x14ac:dyDescent="0.3">
      <c r="A129" s="53">
        <v>45</v>
      </c>
      <c r="B129" s="54">
        <f t="shared" si="5"/>
        <v>0.55000000000000004</v>
      </c>
      <c r="C129" s="6">
        <f t="shared" si="11"/>
        <v>0</v>
      </c>
      <c r="D129" s="6">
        <f t="shared" si="11"/>
        <v>0</v>
      </c>
      <c r="E129" s="6">
        <f t="shared" si="11"/>
        <v>0</v>
      </c>
      <c r="F129" s="6">
        <f t="shared" si="11"/>
        <v>0</v>
      </c>
      <c r="G129" s="6">
        <f t="shared" si="11"/>
        <v>0</v>
      </c>
      <c r="H129" s="6">
        <f t="shared" si="11"/>
        <v>0</v>
      </c>
      <c r="I129" s="6">
        <f t="shared" si="10"/>
        <v>0</v>
      </c>
      <c r="J129" s="6">
        <f t="shared" si="10"/>
        <v>0</v>
      </c>
    </row>
    <row r="130" spans="1:10" x14ac:dyDescent="0.3">
      <c r="A130" s="53">
        <v>46</v>
      </c>
      <c r="B130" s="54">
        <f t="shared" si="5"/>
        <v>0.5625</v>
      </c>
      <c r="C130" s="6">
        <f t="shared" si="11"/>
        <v>0</v>
      </c>
      <c r="D130" s="6">
        <f t="shared" si="11"/>
        <v>0</v>
      </c>
      <c r="E130" s="6">
        <f t="shared" si="11"/>
        <v>0</v>
      </c>
      <c r="F130" s="6">
        <f t="shared" si="11"/>
        <v>0</v>
      </c>
      <c r="G130" s="6">
        <f t="shared" si="11"/>
        <v>0</v>
      </c>
      <c r="H130" s="6">
        <f t="shared" si="11"/>
        <v>0</v>
      </c>
      <c r="I130" s="6">
        <f t="shared" si="10"/>
        <v>0</v>
      </c>
      <c r="J130" s="6">
        <f t="shared" si="10"/>
        <v>0</v>
      </c>
    </row>
    <row r="131" spans="1:10" x14ac:dyDescent="0.3">
      <c r="A131" s="53">
        <v>47</v>
      </c>
      <c r="B131" s="54">
        <f t="shared" si="5"/>
        <v>0.57499999999999996</v>
      </c>
      <c r="C131" s="6">
        <f t="shared" si="11"/>
        <v>0</v>
      </c>
      <c r="D131" s="6">
        <f t="shared" si="11"/>
        <v>0</v>
      </c>
      <c r="E131" s="6">
        <f t="shared" si="11"/>
        <v>0</v>
      </c>
      <c r="F131" s="6">
        <f t="shared" si="11"/>
        <v>0</v>
      </c>
      <c r="G131" s="6">
        <f t="shared" si="11"/>
        <v>0</v>
      </c>
      <c r="H131" s="6">
        <f t="shared" si="11"/>
        <v>0</v>
      </c>
      <c r="I131" s="6">
        <f t="shared" si="10"/>
        <v>0</v>
      </c>
      <c r="J131" s="6">
        <f t="shared" si="10"/>
        <v>0</v>
      </c>
    </row>
    <row r="132" spans="1:10" x14ac:dyDescent="0.3">
      <c r="A132" s="53">
        <v>48</v>
      </c>
      <c r="B132" s="54">
        <f t="shared" si="5"/>
        <v>0.58750000000000002</v>
      </c>
      <c r="C132" s="6">
        <f t="shared" si="11"/>
        <v>0</v>
      </c>
      <c r="D132" s="6">
        <f t="shared" si="11"/>
        <v>0</v>
      </c>
      <c r="E132" s="6">
        <f t="shared" si="11"/>
        <v>0</v>
      </c>
      <c r="F132" s="6">
        <f t="shared" si="11"/>
        <v>0</v>
      </c>
      <c r="G132" s="6">
        <f t="shared" si="11"/>
        <v>0</v>
      </c>
      <c r="H132" s="6">
        <f t="shared" si="11"/>
        <v>0</v>
      </c>
      <c r="I132" s="6">
        <f t="shared" si="10"/>
        <v>0</v>
      </c>
      <c r="J132" s="6">
        <f t="shared" si="10"/>
        <v>0</v>
      </c>
    </row>
    <row r="133" spans="1:10" x14ac:dyDescent="0.3">
      <c r="A133" s="53">
        <v>49</v>
      </c>
      <c r="B133" s="54">
        <f t="shared" si="5"/>
        <v>0.6</v>
      </c>
      <c r="C133" s="6">
        <f t="shared" si="11"/>
        <v>0</v>
      </c>
      <c r="D133" s="6">
        <f t="shared" si="11"/>
        <v>0</v>
      </c>
      <c r="E133" s="6">
        <f t="shared" si="11"/>
        <v>0</v>
      </c>
      <c r="F133" s="6">
        <f t="shared" si="11"/>
        <v>0</v>
      </c>
      <c r="G133" s="6">
        <f t="shared" si="11"/>
        <v>0</v>
      </c>
      <c r="H133" s="6">
        <f t="shared" si="11"/>
        <v>0</v>
      </c>
      <c r="I133" s="6">
        <f t="shared" ref="I133:J148" si="12">LARGE(I$2:I$82,$A133)</f>
        <v>0</v>
      </c>
      <c r="J133" s="6">
        <f t="shared" si="12"/>
        <v>0</v>
      </c>
    </row>
    <row r="134" spans="1:10" x14ac:dyDescent="0.3">
      <c r="A134" s="53">
        <v>50</v>
      </c>
      <c r="B134" s="54">
        <f t="shared" si="5"/>
        <v>0.61250000000000004</v>
      </c>
      <c r="C134" s="6">
        <f t="shared" si="11"/>
        <v>0</v>
      </c>
      <c r="D134" s="6">
        <f t="shared" si="11"/>
        <v>0</v>
      </c>
      <c r="E134" s="6">
        <f t="shared" si="11"/>
        <v>0</v>
      </c>
      <c r="F134" s="6">
        <f t="shared" si="11"/>
        <v>0</v>
      </c>
      <c r="G134" s="6">
        <f t="shared" si="11"/>
        <v>0</v>
      </c>
      <c r="H134" s="6">
        <f t="shared" si="11"/>
        <v>0</v>
      </c>
      <c r="I134" s="6">
        <f t="shared" si="12"/>
        <v>0</v>
      </c>
      <c r="J134" s="6">
        <f t="shared" si="12"/>
        <v>0</v>
      </c>
    </row>
    <row r="135" spans="1:10" x14ac:dyDescent="0.3">
      <c r="A135" s="53">
        <v>51</v>
      </c>
      <c r="B135" s="54">
        <f t="shared" si="5"/>
        <v>0.625</v>
      </c>
      <c r="C135" s="6">
        <f t="shared" ref="C135:H144" si="13">LARGE(C$2:C$82,$A135)</f>
        <v>0</v>
      </c>
      <c r="D135" s="6">
        <f t="shared" si="13"/>
        <v>0</v>
      </c>
      <c r="E135" s="6">
        <f t="shared" si="13"/>
        <v>0</v>
      </c>
      <c r="F135" s="6">
        <f t="shared" si="13"/>
        <v>0</v>
      </c>
      <c r="G135" s="6">
        <f t="shared" si="13"/>
        <v>0</v>
      </c>
      <c r="H135" s="6">
        <f t="shared" si="13"/>
        <v>0</v>
      </c>
      <c r="I135" s="6">
        <f t="shared" si="12"/>
        <v>0</v>
      </c>
      <c r="J135" s="6">
        <f t="shared" si="12"/>
        <v>0</v>
      </c>
    </row>
    <row r="136" spans="1:10" x14ac:dyDescent="0.3">
      <c r="A136" s="53">
        <v>52</v>
      </c>
      <c r="B136" s="54">
        <f t="shared" si="5"/>
        <v>0.63749999999999996</v>
      </c>
      <c r="C136" s="6">
        <f t="shared" si="13"/>
        <v>0</v>
      </c>
      <c r="D136" s="6">
        <f t="shared" si="13"/>
        <v>0</v>
      </c>
      <c r="E136" s="6">
        <f t="shared" si="13"/>
        <v>0</v>
      </c>
      <c r="F136" s="6">
        <f t="shared" si="13"/>
        <v>0</v>
      </c>
      <c r="G136" s="6">
        <f t="shared" si="13"/>
        <v>0</v>
      </c>
      <c r="H136" s="6">
        <f t="shared" si="13"/>
        <v>0</v>
      </c>
      <c r="I136" s="6">
        <f t="shared" si="12"/>
        <v>0</v>
      </c>
      <c r="J136" s="6">
        <f t="shared" si="12"/>
        <v>0</v>
      </c>
    </row>
    <row r="137" spans="1:10" x14ac:dyDescent="0.3">
      <c r="A137" s="53">
        <v>53</v>
      </c>
      <c r="B137" s="54">
        <f t="shared" si="5"/>
        <v>0.65</v>
      </c>
      <c r="C137" s="6">
        <f t="shared" si="13"/>
        <v>0</v>
      </c>
      <c r="D137" s="6">
        <f t="shared" si="13"/>
        <v>0</v>
      </c>
      <c r="E137" s="6">
        <f t="shared" si="13"/>
        <v>0</v>
      </c>
      <c r="F137" s="6">
        <f t="shared" si="13"/>
        <v>0</v>
      </c>
      <c r="G137" s="6">
        <f t="shared" si="13"/>
        <v>0</v>
      </c>
      <c r="H137" s="6">
        <f t="shared" si="13"/>
        <v>0</v>
      </c>
      <c r="I137" s="6">
        <f t="shared" si="12"/>
        <v>0</v>
      </c>
      <c r="J137" s="6">
        <f t="shared" si="12"/>
        <v>0</v>
      </c>
    </row>
    <row r="138" spans="1:10" x14ac:dyDescent="0.3">
      <c r="A138" s="53">
        <v>54</v>
      </c>
      <c r="B138" s="54">
        <f t="shared" si="5"/>
        <v>0.66249999999999998</v>
      </c>
      <c r="C138" s="6">
        <f t="shared" si="13"/>
        <v>0</v>
      </c>
      <c r="D138" s="6">
        <f t="shared" si="13"/>
        <v>0</v>
      </c>
      <c r="E138" s="6">
        <f t="shared" si="13"/>
        <v>0</v>
      </c>
      <c r="F138" s="6">
        <f t="shared" si="13"/>
        <v>0</v>
      </c>
      <c r="G138" s="6">
        <f t="shared" si="13"/>
        <v>0</v>
      </c>
      <c r="H138" s="6">
        <f t="shared" si="13"/>
        <v>0</v>
      </c>
      <c r="I138" s="6">
        <f t="shared" si="12"/>
        <v>0</v>
      </c>
      <c r="J138" s="6">
        <f t="shared" si="12"/>
        <v>0</v>
      </c>
    </row>
    <row r="139" spans="1:10" x14ac:dyDescent="0.3">
      <c r="A139" s="53">
        <v>55</v>
      </c>
      <c r="B139" s="54">
        <f t="shared" si="5"/>
        <v>0.67500000000000004</v>
      </c>
      <c r="C139" s="6">
        <f t="shared" si="13"/>
        <v>0</v>
      </c>
      <c r="D139" s="6">
        <f t="shared" si="13"/>
        <v>0</v>
      </c>
      <c r="E139" s="6">
        <f t="shared" si="13"/>
        <v>0</v>
      </c>
      <c r="F139" s="6">
        <f t="shared" si="13"/>
        <v>0</v>
      </c>
      <c r="G139" s="6">
        <f t="shared" si="13"/>
        <v>0</v>
      </c>
      <c r="H139" s="6">
        <f t="shared" si="13"/>
        <v>0</v>
      </c>
      <c r="I139" s="6">
        <f t="shared" si="12"/>
        <v>0</v>
      </c>
      <c r="J139" s="6">
        <f t="shared" si="12"/>
        <v>0</v>
      </c>
    </row>
    <row r="140" spans="1:10" x14ac:dyDescent="0.3">
      <c r="A140" s="53">
        <v>56</v>
      </c>
      <c r="B140" s="54">
        <f t="shared" si="5"/>
        <v>0.6875</v>
      </c>
      <c r="C140" s="6">
        <f t="shared" si="13"/>
        <v>0</v>
      </c>
      <c r="D140" s="6">
        <f t="shared" si="13"/>
        <v>0</v>
      </c>
      <c r="E140" s="6">
        <f t="shared" si="13"/>
        <v>0</v>
      </c>
      <c r="F140" s="6">
        <f t="shared" si="13"/>
        <v>0</v>
      </c>
      <c r="G140" s="6">
        <f t="shared" si="13"/>
        <v>0</v>
      </c>
      <c r="H140" s="6">
        <f t="shared" si="13"/>
        <v>0</v>
      </c>
      <c r="I140" s="6">
        <f t="shared" si="12"/>
        <v>0</v>
      </c>
      <c r="J140" s="6">
        <f t="shared" si="12"/>
        <v>0</v>
      </c>
    </row>
    <row r="141" spans="1:10" x14ac:dyDescent="0.3">
      <c r="A141" s="53">
        <v>57</v>
      </c>
      <c r="B141" s="54">
        <f t="shared" si="5"/>
        <v>0.7</v>
      </c>
      <c r="C141" s="6">
        <f t="shared" si="13"/>
        <v>0</v>
      </c>
      <c r="D141" s="6">
        <f t="shared" si="13"/>
        <v>0</v>
      </c>
      <c r="E141" s="6">
        <f t="shared" si="13"/>
        <v>0</v>
      </c>
      <c r="F141" s="6">
        <f t="shared" si="13"/>
        <v>0</v>
      </c>
      <c r="G141" s="6">
        <f t="shared" si="13"/>
        <v>0</v>
      </c>
      <c r="H141" s="6">
        <f t="shared" si="13"/>
        <v>0</v>
      </c>
      <c r="I141" s="6">
        <f t="shared" si="12"/>
        <v>0</v>
      </c>
      <c r="J141" s="6">
        <f t="shared" si="12"/>
        <v>0</v>
      </c>
    </row>
    <row r="142" spans="1:10" x14ac:dyDescent="0.3">
      <c r="A142" s="53">
        <v>58</v>
      </c>
      <c r="B142" s="54">
        <f t="shared" si="5"/>
        <v>0.71250000000000002</v>
      </c>
      <c r="C142" s="6">
        <f t="shared" si="13"/>
        <v>0</v>
      </c>
      <c r="D142" s="6">
        <f t="shared" si="13"/>
        <v>0</v>
      </c>
      <c r="E142" s="6">
        <f t="shared" si="13"/>
        <v>0</v>
      </c>
      <c r="F142" s="6">
        <f t="shared" si="13"/>
        <v>0</v>
      </c>
      <c r="G142" s="6">
        <f t="shared" si="13"/>
        <v>0</v>
      </c>
      <c r="H142" s="6">
        <f t="shared" si="13"/>
        <v>0</v>
      </c>
      <c r="I142" s="6">
        <f t="shared" si="12"/>
        <v>0</v>
      </c>
      <c r="J142" s="6">
        <f t="shared" si="12"/>
        <v>0</v>
      </c>
    </row>
    <row r="143" spans="1:10" x14ac:dyDescent="0.3">
      <c r="A143" s="53">
        <v>59</v>
      </c>
      <c r="B143" s="54">
        <f t="shared" si="5"/>
        <v>0.72499999999999998</v>
      </c>
      <c r="C143" s="6">
        <f t="shared" si="13"/>
        <v>0</v>
      </c>
      <c r="D143" s="6">
        <f t="shared" si="13"/>
        <v>0</v>
      </c>
      <c r="E143" s="6">
        <f t="shared" si="13"/>
        <v>0</v>
      </c>
      <c r="F143" s="6">
        <f t="shared" si="13"/>
        <v>0</v>
      </c>
      <c r="G143" s="6">
        <f t="shared" si="13"/>
        <v>0</v>
      </c>
      <c r="H143" s="6">
        <f t="shared" si="13"/>
        <v>0</v>
      </c>
      <c r="I143" s="6">
        <f t="shared" si="12"/>
        <v>0</v>
      </c>
      <c r="J143" s="6">
        <f t="shared" si="12"/>
        <v>0</v>
      </c>
    </row>
    <row r="144" spans="1:10" x14ac:dyDescent="0.3">
      <c r="A144" s="53">
        <v>60</v>
      </c>
      <c r="B144" s="54">
        <f t="shared" si="5"/>
        <v>0.73750000000000004</v>
      </c>
      <c r="C144" s="6">
        <f t="shared" si="13"/>
        <v>0</v>
      </c>
      <c r="D144" s="6">
        <f t="shared" si="13"/>
        <v>0</v>
      </c>
      <c r="E144" s="6">
        <f t="shared" si="13"/>
        <v>0</v>
      </c>
      <c r="F144" s="6">
        <f t="shared" si="13"/>
        <v>0</v>
      </c>
      <c r="G144" s="6">
        <f t="shared" si="13"/>
        <v>0</v>
      </c>
      <c r="H144" s="6">
        <f t="shared" si="13"/>
        <v>0</v>
      </c>
      <c r="I144" s="6">
        <f t="shared" si="12"/>
        <v>0</v>
      </c>
      <c r="J144" s="6">
        <f t="shared" si="12"/>
        <v>0</v>
      </c>
    </row>
    <row r="145" spans="1:10" x14ac:dyDescent="0.3">
      <c r="A145" s="53">
        <v>61</v>
      </c>
      <c r="B145" s="54">
        <f t="shared" si="5"/>
        <v>0.75</v>
      </c>
      <c r="C145" s="6">
        <f t="shared" ref="C145:H154" si="14">LARGE(C$2:C$82,$A145)</f>
        <v>0</v>
      </c>
      <c r="D145" s="6">
        <f t="shared" si="14"/>
        <v>0</v>
      </c>
      <c r="E145" s="6">
        <f t="shared" si="14"/>
        <v>0</v>
      </c>
      <c r="F145" s="6">
        <f t="shared" si="14"/>
        <v>0</v>
      </c>
      <c r="G145" s="6">
        <f t="shared" si="14"/>
        <v>0</v>
      </c>
      <c r="H145" s="6">
        <f t="shared" si="14"/>
        <v>0</v>
      </c>
      <c r="I145" s="6">
        <f t="shared" si="12"/>
        <v>0</v>
      </c>
      <c r="J145" s="6">
        <f t="shared" si="12"/>
        <v>0</v>
      </c>
    </row>
    <row r="146" spans="1:10" x14ac:dyDescent="0.3">
      <c r="A146" s="53">
        <v>62</v>
      </c>
      <c r="B146" s="54">
        <f t="shared" si="5"/>
        <v>0.76249999999999996</v>
      </c>
      <c r="C146" s="6">
        <f t="shared" si="14"/>
        <v>0</v>
      </c>
      <c r="D146" s="6">
        <f t="shared" si="14"/>
        <v>0</v>
      </c>
      <c r="E146" s="6">
        <f t="shared" si="14"/>
        <v>0</v>
      </c>
      <c r="F146" s="6">
        <f t="shared" si="14"/>
        <v>0</v>
      </c>
      <c r="G146" s="6">
        <f t="shared" si="14"/>
        <v>0</v>
      </c>
      <c r="H146" s="6">
        <f t="shared" si="14"/>
        <v>0</v>
      </c>
      <c r="I146" s="6">
        <f t="shared" si="12"/>
        <v>0</v>
      </c>
      <c r="J146" s="6">
        <f t="shared" si="12"/>
        <v>0</v>
      </c>
    </row>
    <row r="147" spans="1:10" x14ac:dyDescent="0.3">
      <c r="A147" s="53">
        <v>63</v>
      </c>
      <c r="B147" s="54">
        <f t="shared" si="5"/>
        <v>0.77500000000000002</v>
      </c>
      <c r="C147" s="6">
        <f t="shared" si="14"/>
        <v>0</v>
      </c>
      <c r="D147" s="6">
        <f t="shared" si="14"/>
        <v>0</v>
      </c>
      <c r="E147" s="6">
        <f t="shared" si="14"/>
        <v>0</v>
      </c>
      <c r="F147" s="6">
        <f t="shared" si="14"/>
        <v>0</v>
      </c>
      <c r="G147" s="6">
        <f t="shared" si="14"/>
        <v>0</v>
      </c>
      <c r="H147" s="6">
        <f t="shared" si="14"/>
        <v>0</v>
      </c>
      <c r="I147" s="6">
        <f t="shared" si="12"/>
        <v>0</v>
      </c>
      <c r="J147" s="6">
        <f t="shared" si="12"/>
        <v>0</v>
      </c>
    </row>
    <row r="148" spans="1:10" x14ac:dyDescent="0.3">
      <c r="A148" s="53">
        <v>64</v>
      </c>
      <c r="B148" s="54">
        <f t="shared" si="5"/>
        <v>0.78749999999999998</v>
      </c>
      <c r="C148" s="6">
        <f t="shared" si="14"/>
        <v>0</v>
      </c>
      <c r="D148" s="6">
        <f t="shared" si="14"/>
        <v>0</v>
      </c>
      <c r="E148" s="6">
        <f t="shared" si="14"/>
        <v>0</v>
      </c>
      <c r="F148" s="6">
        <f t="shared" si="14"/>
        <v>0</v>
      </c>
      <c r="G148" s="6">
        <f t="shared" si="14"/>
        <v>0</v>
      </c>
      <c r="H148" s="6">
        <f t="shared" si="14"/>
        <v>0</v>
      </c>
      <c r="I148" s="6">
        <f t="shared" si="12"/>
        <v>0</v>
      </c>
      <c r="J148" s="6">
        <f t="shared" si="12"/>
        <v>0</v>
      </c>
    </row>
    <row r="149" spans="1:10" x14ac:dyDescent="0.3">
      <c r="A149" s="53">
        <v>65</v>
      </c>
      <c r="B149" s="54">
        <f t="shared" si="5"/>
        <v>0.8</v>
      </c>
      <c r="C149" s="6">
        <f t="shared" si="14"/>
        <v>0</v>
      </c>
      <c r="D149" s="6">
        <f t="shared" si="14"/>
        <v>0</v>
      </c>
      <c r="E149" s="6">
        <f t="shared" si="14"/>
        <v>0</v>
      </c>
      <c r="F149" s="6">
        <f t="shared" si="14"/>
        <v>0</v>
      </c>
      <c r="G149" s="6">
        <f t="shared" si="14"/>
        <v>0</v>
      </c>
      <c r="H149" s="6">
        <f t="shared" si="14"/>
        <v>0</v>
      </c>
      <c r="I149" s="6">
        <f t="shared" ref="I149:J164" si="15">LARGE(I$2:I$82,$A149)</f>
        <v>0</v>
      </c>
      <c r="J149" s="6">
        <f t="shared" si="15"/>
        <v>0</v>
      </c>
    </row>
    <row r="150" spans="1:10" x14ac:dyDescent="0.3">
      <c r="A150" s="53">
        <v>66</v>
      </c>
      <c r="B150" s="54">
        <f t="shared" ref="B150:B165" si="16">(A150-1)/(COUNT($A$85:$A$165)-1)</f>
        <v>0.8125</v>
      </c>
      <c r="C150" s="6">
        <f t="shared" si="14"/>
        <v>0</v>
      </c>
      <c r="D150" s="6">
        <f t="shared" si="14"/>
        <v>0</v>
      </c>
      <c r="E150" s="6">
        <f t="shared" si="14"/>
        <v>0</v>
      </c>
      <c r="F150" s="6">
        <f t="shared" si="14"/>
        <v>0</v>
      </c>
      <c r="G150" s="6">
        <f t="shared" si="14"/>
        <v>0</v>
      </c>
      <c r="H150" s="6">
        <f t="shared" si="14"/>
        <v>0</v>
      </c>
      <c r="I150" s="6">
        <f t="shared" si="15"/>
        <v>0</v>
      </c>
      <c r="J150" s="6">
        <f t="shared" si="15"/>
        <v>0</v>
      </c>
    </row>
    <row r="151" spans="1:10" x14ac:dyDescent="0.3">
      <c r="A151" s="53">
        <v>67</v>
      </c>
      <c r="B151" s="54">
        <f t="shared" si="16"/>
        <v>0.82499999999999996</v>
      </c>
      <c r="C151" s="6">
        <f t="shared" si="14"/>
        <v>0</v>
      </c>
      <c r="D151" s="6">
        <f t="shared" si="14"/>
        <v>0</v>
      </c>
      <c r="E151" s="6">
        <f t="shared" si="14"/>
        <v>0</v>
      </c>
      <c r="F151" s="6">
        <f t="shared" si="14"/>
        <v>0</v>
      </c>
      <c r="G151" s="6">
        <f t="shared" si="14"/>
        <v>0</v>
      </c>
      <c r="H151" s="6">
        <f t="shared" si="14"/>
        <v>0</v>
      </c>
      <c r="I151" s="6">
        <f t="shared" si="15"/>
        <v>0</v>
      </c>
      <c r="J151" s="6">
        <f t="shared" si="15"/>
        <v>0</v>
      </c>
    </row>
    <row r="152" spans="1:10" x14ac:dyDescent="0.3">
      <c r="A152" s="53">
        <v>68</v>
      </c>
      <c r="B152" s="54">
        <f t="shared" si="16"/>
        <v>0.83750000000000002</v>
      </c>
      <c r="C152" s="6">
        <f t="shared" si="14"/>
        <v>0</v>
      </c>
      <c r="D152" s="6">
        <f t="shared" si="14"/>
        <v>0</v>
      </c>
      <c r="E152" s="6">
        <f t="shared" si="14"/>
        <v>0</v>
      </c>
      <c r="F152" s="6">
        <f t="shared" si="14"/>
        <v>0</v>
      </c>
      <c r="G152" s="6">
        <f t="shared" si="14"/>
        <v>0</v>
      </c>
      <c r="H152" s="6">
        <f t="shared" si="14"/>
        <v>0</v>
      </c>
      <c r="I152" s="6">
        <f t="shared" si="15"/>
        <v>0</v>
      </c>
      <c r="J152" s="6">
        <f t="shared" si="15"/>
        <v>0</v>
      </c>
    </row>
    <row r="153" spans="1:10" x14ac:dyDescent="0.3">
      <c r="A153" s="53">
        <v>69</v>
      </c>
      <c r="B153" s="54">
        <f t="shared" si="16"/>
        <v>0.85</v>
      </c>
      <c r="C153" s="6">
        <f t="shared" si="14"/>
        <v>0</v>
      </c>
      <c r="D153" s="6">
        <f t="shared" si="14"/>
        <v>0</v>
      </c>
      <c r="E153" s="6">
        <f t="shared" si="14"/>
        <v>0</v>
      </c>
      <c r="F153" s="6">
        <f t="shared" si="14"/>
        <v>0</v>
      </c>
      <c r="G153" s="6">
        <f t="shared" si="14"/>
        <v>0</v>
      </c>
      <c r="H153" s="6">
        <f t="shared" si="14"/>
        <v>0</v>
      </c>
      <c r="I153" s="6">
        <f t="shared" si="15"/>
        <v>0</v>
      </c>
      <c r="J153" s="6">
        <f t="shared" si="15"/>
        <v>0</v>
      </c>
    </row>
    <row r="154" spans="1:10" x14ac:dyDescent="0.3">
      <c r="A154" s="53">
        <v>70</v>
      </c>
      <c r="B154" s="54">
        <f t="shared" si="16"/>
        <v>0.86250000000000004</v>
      </c>
      <c r="C154" s="6">
        <f t="shared" si="14"/>
        <v>0</v>
      </c>
      <c r="D154" s="6">
        <f t="shared" si="14"/>
        <v>0</v>
      </c>
      <c r="E154" s="6">
        <f t="shared" si="14"/>
        <v>0</v>
      </c>
      <c r="F154" s="6">
        <f t="shared" si="14"/>
        <v>0</v>
      </c>
      <c r="G154" s="6">
        <f t="shared" si="14"/>
        <v>0</v>
      </c>
      <c r="H154" s="6">
        <f t="shared" si="14"/>
        <v>0</v>
      </c>
      <c r="I154" s="6">
        <f t="shared" si="15"/>
        <v>0</v>
      </c>
      <c r="J154" s="6">
        <f t="shared" si="15"/>
        <v>0</v>
      </c>
    </row>
    <row r="155" spans="1:10" x14ac:dyDescent="0.3">
      <c r="A155" s="53">
        <v>71</v>
      </c>
      <c r="B155" s="54">
        <f t="shared" si="16"/>
        <v>0.875</v>
      </c>
      <c r="C155" s="6">
        <f t="shared" ref="C155:H165" si="17">LARGE(C$2:C$82,$A155)</f>
        <v>0</v>
      </c>
      <c r="D155" s="6">
        <f t="shared" si="17"/>
        <v>0</v>
      </c>
      <c r="E155" s="6">
        <f t="shared" si="17"/>
        <v>0</v>
      </c>
      <c r="F155" s="6">
        <f t="shared" si="17"/>
        <v>0</v>
      </c>
      <c r="G155" s="6">
        <f t="shared" si="17"/>
        <v>0</v>
      </c>
      <c r="H155" s="6">
        <f t="shared" si="17"/>
        <v>0</v>
      </c>
      <c r="I155" s="6">
        <f t="shared" si="15"/>
        <v>0</v>
      </c>
      <c r="J155" s="6">
        <f t="shared" si="15"/>
        <v>0</v>
      </c>
    </row>
    <row r="156" spans="1:10" x14ac:dyDescent="0.3">
      <c r="A156" s="53">
        <v>72</v>
      </c>
      <c r="B156" s="54">
        <f t="shared" si="16"/>
        <v>0.88749999999999996</v>
      </c>
      <c r="C156" s="6">
        <f t="shared" si="17"/>
        <v>0</v>
      </c>
      <c r="D156" s="6">
        <f t="shared" si="17"/>
        <v>0</v>
      </c>
      <c r="E156" s="6">
        <f t="shared" si="17"/>
        <v>0</v>
      </c>
      <c r="F156" s="6">
        <f t="shared" si="17"/>
        <v>0</v>
      </c>
      <c r="G156" s="6">
        <f t="shared" si="17"/>
        <v>0</v>
      </c>
      <c r="H156" s="6">
        <f t="shared" si="17"/>
        <v>0</v>
      </c>
      <c r="I156" s="6">
        <f t="shared" si="15"/>
        <v>0</v>
      </c>
      <c r="J156" s="6">
        <f t="shared" si="15"/>
        <v>0</v>
      </c>
    </row>
    <row r="157" spans="1:10" x14ac:dyDescent="0.3">
      <c r="A157" s="53">
        <v>73</v>
      </c>
      <c r="B157" s="54">
        <f t="shared" si="16"/>
        <v>0.9</v>
      </c>
      <c r="C157" s="6">
        <f t="shared" si="17"/>
        <v>0</v>
      </c>
      <c r="D157" s="6">
        <f t="shared" si="17"/>
        <v>0</v>
      </c>
      <c r="E157" s="6">
        <f t="shared" si="17"/>
        <v>0</v>
      </c>
      <c r="F157" s="6">
        <f t="shared" si="17"/>
        <v>0</v>
      </c>
      <c r="G157" s="6">
        <f t="shared" si="17"/>
        <v>0</v>
      </c>
      <c r="H157" s="6">
        <f t="shared" si="17"/>
        <v>0</v>
      </c>
      <c r="I157" s="6">
        <f t="shared" si="15"/>
        <v>0</v>
      </c>
      <c r="J157" s="6">
        <f t="shared" si="15"/>
        <v>0</v>
      </c>
    </row>
    <row r="158" spans="1:10" x14ac:dyDescent="0.3">
      <c r="A158" s="53">
        <v>74</v>
      </c>
      <c r="B158" s="54">
        <f t="shared" si="16"/>
        <v>0.91249999999999998</v>
      </c>
      <c r="C158" s="6">
        <f t="shared" si="17"/>
        <v>0</v>
      </c>
      <c r="D158" s="6">
        <f t="shared" si="17"/>
        <v>0</v>
      </c>
      <c r="E158" s="6">
        <f t="shared" si="17"/>
        <v>0</v>
      </c>
      <c r="F158" s="6">
        <f t="shared" si="17"/>
        <v>0</v>
      </c>
      <c r="G158" s="6">
        <f t="shared" si="17"/>
        <v>0</v>
      </c>
      <c r="H158" s="6">
        <f t="shared" si="17"/>
        <v>0</v>
      </c>
      <c r="I158" s="6">
        <f t="shared" si="15"/>
        <v>0</v>
      </c>
      <c r="J158" s="6">
        <f t="shared" si="15"/>
        <v>0</v>
      </c>
    </row>
    <row r="159" spans="1:10" x14ac:dyDescent="0.3">
      <c r="A159" s="53">
        <v>75</v>
      </c>
      <c r="B159" s="54">
        <f t="shared" si="16"/>
        <v>0.92500000000000004</v>
      </c>
      <c r="C159" s="6">
        <f t="shared" si="17"/>
        <v>0</v>
      </c>
      <c r="D159" s="6">
        <f t="shared" si="17"/>
        <v>0</v>
      </c>
      <c r="E159" s="6">
        <f t="shared" si="17"/>
        <v>0</v>
      </c>
      <c r="F159" s="6">
        <f t="shared" si="17"/>
        <v>0</v>
      </c>
      <c r="G159" s="6">
        <f t="shared" si="17"/>
        <v>0</v>
      </c>
      <c r="H159" s="6">
        <f t="shared" si="17"/>
        <v>0</v>
      </c>
      <c r="I159" s="6">
        <f t="shared" si="15"/>
        <v>0</v>
      </c>
      <c r="J159" s="6">
        <f t="shared" si="15"/>
        <v>0</v>
      </c>
    </row>
    <row r="160" spans="1:10" x14ac:dyDescent="0.3">
      <c r="A160" s="53">
        <v>76</v>
      </c>
      <c r="B160" s="54">
        <f t="shared" si="16"/>
        <v>0.9375</v>
      </c>
      <c r="C160" s="6">
        <f t="shared" si="17"/>
        <v>0</v>
      </c>
      <c r="D160" s="6">
        <f t="shared" si="17"/>
        <v>0</v>
      </c>
      <c r="E160" s="6">
        <f t="shared" si="17"/>
        <v>0</v>
      </c>
      <c r="F160" s="6">
        <f t="shared" si="17"/>
        <v>0</v>
      </c>
      <c r="G160" s="6">
        <f t="shared" si="17"/>
        <v>0</v>
      </c>
      <c r="H160" s="6">
        <f t="shared" si="17"/>
        <v>0</v>
      </c>
      <c r="I160" s="6">
        <f t="shared" si="15"/>
        <v>0</v>
      </c>
      <c r="J160" s="6">
        <f t="shared" si="15"/>
        <v>0</v>
      </c>
    </row>
    <row r="161" spans="1:10" x14ac:dyDescent="0.3">
      <c r="A161" s="53">
        <v>77</v>
      </c>
      <c r="B161" s="54">
        <f t="shared" si="16"/>
        <v>0.95</v>
      </c>
      <c r="C161" s="6">
        <f t="shared" si="17"/>
        <v>0</v>
      </c>
      <c r="D161" s="6">
        <f t="shared" si="17"/>
        <v>0</v>
      </c>
      <c r="E161" s="6">
        <f t="shared" si="17"/>
        <v>0</v>
      </c>
      <c r="F161" s="6">
        <f t="shared" si="17"/>
        <v>0</v>
      </c>
      <c r="G161" s="6">
        <f t="shared" si="17"/>
        <v>0</v>
      </c>
      <c r="H161" s="6">
        <f t="shared" si="17"/>
        <v>0</v>
      </c>
      <c r="I161" s="6">
        <f t="shared" si="15"/>
        <v>0</v>
      </c>
      <c r="J161" s="6">
        <f t="shared" si="15"/>
        <v>0</v>
      </c>
    </row>
    <row r="162" spans="1:10" x14ac:dyDescent="0.3">
      <c r="A162" s="53">
        <v>78</v>
      </c>
      <c r="B162" s="54">
        <f t="shared" si="16"/>
        <v>0.96250000000000002</v>
      </c>
      <c r="C162" s="6">
        <f t="shared" si="17"/>
        <v>0</v>
      </c>
      <c r="D162" s="6">
        <f t="shared" si="17"/>
        <v>0</v>
      </c>
      <c r="E162" s="6">
        <f t="shared" si="17"/>
        <v>0</v>
      </c>
      <c r="F162" s="6">
        <f t="shared" si="17"/>
        <v>0</v>
      </c>
      <c r="G162" s="6">
        <f t="shared" si="17"/>
        <v>0</v>
      </c>
      <c r="H162" s="6">
        <f t="shared" si="17"/>
        <v>0</v>
      </c>
      <c r="I162" s="6">
        <f t="shared" si="15"/>
        <v>0</v>
      </c>
      <c r="J162" s="6">
        <f t="shared" si="15"/>
        <v>0</v>
      </c>
    </row>
    <row r="163" spans="1:10" x14ac:dyDescent="0.3">
      <c r="A163" s="53">
        <v>79</v>
      </c>
      <c r="B163" s="54">
        <f t="shared" si="16"/>
        <v>0.97499999999999998</v>
      </c>
      <c r="C163" s="6">
        <f t="shared" si="17"/>
        <v>0</v>
      </c>
      <c r="D163" s="6">
        <f t="shared" si="17"/>
        <v>0</v>
      </c>
      <c r="E163" s="6">
        <f t="shared" si="17"/>
        <v>0</v>
      </c>
      <c r="F163" s="6">
        <f t="shared" si="17"/>
        <v>0</v>
      </c>
      <c r="G163" s="6">
        <f t="shared" si="17"/>
        <v>0</v>
      </c>
      <c r="H163" s="6">
        <f t="shared" si="17"/>
        <v>0</v>
      </c>
      <c r="I163" s="6">
        <f t="shared" si="15"/>
        <v>0</v>
      </c>
      <c r="J163" s="6">
        <f t="shared" si="15"/>
        <v>0</v>
      </c>
    </row>
    <row r="164" spans="1:10" x14ac:dyDescent="0.3">
      <c r="A164" s="53">
        <v>80</v>
      </c>
      <c r="B164" s="54">
        <f t="shared" si="16"/>
        <v>0.98750000000000004</v>
      </c>
      <c r="C164" s="6">
        <f t="shared" si="17"/>
        <v>0</v>
      </c>
      <c r="D164" s="6">
        <f t="shared" si="17"/>
        <v>0</v>
      </c>
      <c r="E164" s="6">
        <f t="shared" si="17"/>
        <v>0</v>
      </c>
      <c r="F164" s="6">
        <f t="shared" si="17"/>
        <v>0</v>
      </c>
      <c r="G164" s="6">
        <f t="shared" si="17"/>
        <v>0</v>
      </c>
      <c r="H164" s="6">
        <f t="shared" si="17"/>
        <v>0</v>
      </c>
      <c r="I164" s="6">
        <f t="shared" si="15"/>
        <v>0</v>
      </c>
      <c r="J164" s="6">
        <f t="shared" si="15"/>
        <v>0</v>
      </c>
    </row>
    <row r="165" spans="1:10" x14ac:dyDescent="0.3">
      <c r="A165" s="53">
        <v>81</v>
      </c>
      <c r="B165" s="54">
        <f t="shared" si="16"/>
        <v>1</v>
      </c>
      <c r="C165" s="6">
        <f t="shared" si="17"/>
        <v>0</v>
      </c>
      <c r="D165" s="6">
        <f t="shared" si="17"/>
        <v>0</v>
      </c>
      <c r="E165" s="6">
        <f t="shared" si="17"/>
        <v>0</v>
      </c>
      <c r="F165" s="6">
        <f t="shared" si="17"/>
        <v>0</v>
      </c>
      <c r="G165" s="6">
        <f t="shared" si="17"/>
        <v>0</v>
      </c>
      <c r="H165" s="6">
        <f t="shared" si="17"/>
        <v>0</v>
      </c>
      <c r="I165" s="6">
        <f t="shared" ref="I165:J165" si="18">LARGE(I$2:I$82,$A165)</f>
        <v>0</v>
      </c>
      <c r="J165" s="6">
        <f t="shared" si="18"/>
        <v>0</v>
      </c>
    </row>
  </sheetData>
  <pageMargins left="0.7" right="0.7" top="0.75" bottom="0.75" header="0.3" footer="0.3"/>
  <pageSetup paperSize="17"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EA1AC-9C2F-454C-80FD-6A026448AD28}">
  <dimension ref="A1:AP742"/>
  <sheetViews>
    <sheetView workbookViewId="0">
      <selection activeCell="N17" sqref="N17"/>
    </sheetView>
  </sheetViews>
  <sheetFormatPr defaultRowHeight="14.4" x14ac:dyDescent="0.3"/>
  <cols>
    <col min="1" max="1" width="9.109375" bestFit="1" customWidth="1"/>
    <col min="3" max="3" width="10.5546875" bestFit="1" customWidth="1"/>
    <col min="4" max="4" width="11.77734375" style="6" bestFit="1" customWidth="1"/>
    <col min="5" max="5" width="8" customWidth="1"/>
    <col min="6" max="6" width="8.5546875" bestFit="1" customWidth="1"/>
    <col min="7" max="8" width="8.5546875" customWidth="1"/>
    <col min="9" max="9" width="8.5546875" style="6" customWidth="1"/>
    <col min="10" max="10" width="10.33203125" customWidth="1"/>
    <col min="11" max="11" width="8.5546875" bestFit="1" customWidth="1"/>
    <col min="12" max="13" width="8.5546875" customWidth="1"/>
    <col min="14" max="14" width="11" customWidth="1"/>
    <col min="15" max="15" width="12.6640625" customWidth="1"/>
    <col min="16" max="16" width="10.33203125" customWidth="1"/>
    <col min="17" max="17" width="13.109375" bestFit="1" customWidth="1"/>
    <col min="18" max="21" width="13.109375" customWidth="1"/>
    <col min="22" max="26" width="12.109375" customWidth="1"/>
    <col min="27" max="28" width="13.109375" customWidth="1"/>
    <col min="33" max="33" width="11.44140625" bestFit="1" customWidth="1"/>
    <col min="34" max="34" width="12.109375" bestFit="1" customWidth="1"/>
    <col min="35" max="36" width="12.109375" customWidth="1"/>
    <col min="41" max="41" width="12.109375" bestFit="1" customWidth="1"/>
  </cols>
  <sheetData>
    <row r="1" spans="1:41" x14ac:dyDescent="0.3">
      <c r="D1"/>
      <c r="F1" s="6"/>
      <c r="I1"/>
    </row>
    <row r="2" spans="1:41" ht="14.4" customHeight="1" x14ac:dyDescent="0.3">
      <c r="A2" s="124" t="s">
        <v>45</v>
      </c>
      <c r="B2" s="126" t="s">
        <v>58</v>
      </c>
      <c r="C2" s="127"/>
      <c r="D2"/>
      <c r="E2" s="126" t="s">
        <v>49</v>
      </c>
      <c r="F2" s="127"/>
      <c r="H2" s="126" t="s">
        <v>36</v>
      </c>
      <c r="I2" s="127"/>
      <c r="K2" s="126" t="s">
        <v>88</v>
      </c>
      <c r="L2" s="128"/>
      <c r="M2" s="127"/>
      <c r="N2" s="51"/>
      <c r="O2" s="126" t="s">
        <v>89</v>
      </c>
      <c r="P2" s="127"/>
      <c r="R2" s="122" t="s">
        <v>121</v>
      </c>
      <c r="S2" s="122"/>
      <c r="U2" s="122" t="s">
        <v>129</v>
      </c>
      <c r="V2" s="122"/>
      <c r="X2" s="122" t="s">
        <v>130</v>
      </c>
      <c r="Y2" s="122"/>
      <c r="AA2" s="20" t="s">
        <v>132</v>
      </c>
    </row>
    <row r="3" spans="1:41" x14ac:dyDescent="0.3">
      <c r="A3" s="124"/>
      <c r="B3" s="21" t="s">
        <v>46</v>
      </c>
      <c r="C3" s="22">
        <v>6000</v>
      </c>
      <c r="D3" t="s">
        <v>71</v>
      </c>
      <c r="E3" s="48" t="s">
        <v>46</v>
      </c>
      <c r="F3" s="20">
        <v>99999</v>
      </c>
      <c r="G3" t="s">
        <v>67</v>
      </c>
      <c r="H3" s="21" t="s">
        <v>46</v>
      </c>
      <c r="I3" s="20">
        <v>99999</v>
      </c>
      <c r="J3" t="s">
        <v>67</v>
      </c>
      <c r="K3" s="20" t="s">
        <v>30</v>
      </c>
      <c r="L3" s="20">
        <v>1</v>
      </c>
      <c r="M3" s="20">
        <v>0</v>
      </c>
      <c r="N3" s="52"/>
      <c r="O3" s="48" t="s">
        <v>62</v>
      </c>
      <c r="P3" s="20">
        <v>1</v>
      </c>
      <c r="R3" s="21" t="s">
        <v>46</v>
      </c>
      <c r="S3" s="20">
        <v>0</v>
      </c>
      <c r="U3" s="21" t="s">
        <v>46</v>
      </c>
      <c r="V3" s="20">
        <v>3250</v>
      </c>
      <c r="X3" s="21" t="s">
        <v>46</v>
      </c>
      <c r="Y3" s="20">
        <v>4000</v>
      </c>
      <c r="AA3" s="90">
        <v>2</v>
      </c>
    </row>
    <row r="4" spans="1:41" ht="14.4" customHeight="1" x14ac:dyDescent="0.3">
      <c r="A4" s="124"/>
      <c r="B4" s="20" t="s">
        <v>37</v>
      </c>
      <c r="C4" s="20">
        <v>6000</v>
      </c>
      <c r="D4" t="s">
        <v>71</v>
      </c>
      <c r="E4" s="49" t="s">
        <v>37</v>
      </c>
      <c r="F4" s="20">
        <v>56</v>
      </c>
      <c r="G4" t="s">
        <v>70</v>
      </c>
      <c r="H4" s="20" t="s">
        <v>37</v>
      </c>
      <c r="I4" s="20">
        <v>99999</v>
      </c>
      <c r="J4" t="s">
        <v>67</v>
      </c>
      <c r="K4" s="20" t="s">
        <v>42</v>
      </c>
      <c r="L4" s="20">
        <v>2</v>
      </c>
      <c r="M4" s="20">
        <v>0</v>
      </c>
      <c r="N4" s="52"/>
      <c r="O4" s="48" t="s">
        <v>63</v>
      </c>
      <c r="P4" s="20">
        <v>1</v>
      </c>
      <c r="R4" s="20" t="s">
        <v>37</v>
      </c>
      <c r="S4" s="20">
        <v>0</v>
      </c>
      <c r="U4" s="20" t="s">
        <v>37</v>
      </c>
      <c r="V4" s="20">
        <v>3250</v>
      </c>
      <c r="X4" s="20" t="s">
        <v>37</v>
      </c>
      <c r="Y4" s="20">
        <v>4000</v>
      </c>
      <c r="AA4" s="20"/>
    </row>
    <row r="5" spans="1:41" x14ac:dyDescent="0.3">
      <c r="A5" s="124"/>
      <c r="B5" s="20" t="s">
        <v>38</v>
      </c>
      <c r="C5" s="20">
        <v>10000</v>
      </c>
      <c r="D5" t="s">
        <v>71</v>
      </c>
      <c r="E5" s="49" t="s">
        <v>38</v>
      </c>
      <c r="F5" s="20">
        <v>56</v>
      </c>
      <c r="G5" t="s">
        <v>70</v>
      </c>
      <c r="H5" s="20" t="s">
        <v>38</v>
      </c>
      <c r="I5" s="20">
        <v>99999</v>
      </c>
      <c r="J5" t="s">
        <v>67</v>
      </c>
      <c r="K5" s="20" t="s">
        <v>32</v>
      </c>
      <c r="L5" s="20">
        <v>3</v>
      </c>
      <c r="M5" s="20">
        <v>0</v>
      </c>
      <c r="N5" s="52"/>
      <c r="O5" s="48" t="s">
        <v>64</v>
      </c>
      <c r="P5" s="20">
        <v>1</v>
      </c>
      <c r="R5" s="20" t="s">
        <v>38</v>
      </c>
      <c r="S5" s="20">
        <v>0</v>
      </c>
      <c r="U5" s="20" t="s">
        <v>38</v>
      </c>
      <c r="V5" s="20">
        <v>3250</v>
      </c>
      <c r="X5" s="20" t="s">
        <v>38</v>
      </c>
      <c r="Y5" s="20">
        <v>4000</v>
      </c>
    </row>
    <row r="6" spans="1:41" x14ac:dyDescent="0.3">
      <c r="A6" s="124"/>
      <c r="B6" s="20" t="s">
        <v>39</v>
      </c>
      <c r="C6" s="20">
        <v>12000</v>
      </c>
      <c r="D6" t="s">
        <v>71</v>
      </c>
      <c r="E6" s="49" t="s">
        <v>39</v>
      </c>
      <c r="F6" s="20">
        <v>53.5</v>
      </c>
      <c r="G6" t="s">
        <v>69</v>
      </c>
      <c r="H6" s="20" t="s">
        <v>39</v>
      </c>
      <c r="I6" s="20">
        <v>99999</v>
      </c>
      <c r="J6" t="s">
        <v>67</v>
      </c>
      <c r="K6" s="20" t="s">
        <v>33</v>
      </c>
      <c r="L6" s="20">
        <v>4</v>
      </c>
      <c r="M6" s="20">
        <v>1</v>
      </c>
      <c r="N6" s="52"/>
      <c r="O6" s="48" t="s">
        <v>65</v>
      </c>
      <c r="P6" s="20">
        <v>0.5</v>
      </c>
      <c r="R6" s="20" t="s">
        <v>39</v>
      </c>
      <c r="S6" s="20">
        <v>0</v>
      </c>
      <c r="U6" s="20" t="s">
        <v>39</v>
      </c>
      <c r="V6" s="20">
        <v>3250</v>
      </c>
      <c r="X6" s="20" t="s">
        <v>39</v>
      </c>
      <c r="Y6" s="20">
        <v>4000</v>
      </c>
    </row>
    <row r="7" spans="1:41" x14ac:dyDescent="0.3">
      <c r="A7" s="124"/>
      <c r="B7" s="47" t="s">
        <v>62</v>
      </c>
      <c r="C7" s="47">
        <v>99999</v>
      </c>
      <c r="D7" t="s">
        <v>86</v>
      </c>
      <c r="E7" s="6"/>
      <c r="H7" s="20" t="s">
        <v>136</v>
      </c>
      <c r="I7" s="20">
        <v>0</v>
      </c>
      <c r="J7" t="s">
        <v>67</v>
      </c>
      <c r="K7" s="20" t="s">
        <v>10</v>
      </c>
      <c r="L7" s="20">
        <v>5</v>
      </c>
      <c r="M7" s="20">
        <v>1</v>
      </c>
      <c r="N7" s="52"/>
      <c r="O7" s="48" t="s">
        <v>66</v>
      </c>
      <c r="P7" s="20">
        <v>0</v>
      </c>
    </row>
    <row r="8" spans="1:41" x14ac:dyDescent="0.3">
      <c r="A8" s="124"/>
      <c r="B8" s="47" t="s">
        <v>63</v>
      </c>
      <c r="C8" s="47">
        <v>99999</v>
      </c>
      <c r="D8" t="s">
        <v>86</v>
      </c>
      <c r="E8" s="6"/>
      <c r="H8" s="20" t="s">
        <v>137</v>
      </c>
      <c r="I8" s="20">
        <v>99999</v>
      </c>
    </row>
    <row r="9" spans="1:41" x14ac:dyDescent="0.3">
      <c r="A9" s="124"/>
      <c r="B9" s="47" t="s">
        <v>64</v>
      </c>
      <c r="C9" s="47">
        <v>99999</v>
      </c>
      <c r="D9" t="s">
        <v>86</v>
      </c>
      <c r="E9" s="6"/>
      <c r="H9" s="46"/>
      <c r="I9" s="46"/>
    </row>
    <row r="10" spans="1:41" x14ac:dyDescent="0.3">
      <c r="A10" s="124"/>
      <c r="B10" s="47" t="s">
        <v>65</v>
      </c>
      <c r="C10" s="47">
        <v>99999</v>
      </c>
      <c r="D10" t="s">
        <v>86</v>
      </c>
      <c r="E10" s="6"/>
      <c r="H10" s="46"/>
      <c r="I10" s="46"/>
    </row>
    <row r="11" spans="1:41" x14ac:dyDescent="0.3">
      <c r="A11" s="125"/>
      <c r="B11" s="47" t="s">
        <v>66</v>
      </c>
      <c r="C11" s="47">
        <v>0</v>
      </c>
      <c r="D11" t="s">
        <v>87</v>
      </c>
      <c r="E11" s="6"/>
      <c r="I11"/>
      <c r="AF11" t="s">
        <v>83</v>
      </c>
      <c r="AG11" t="s">
        <v>83</v>
      </c>
      <c r="AH11" t="s">
        <v>83</v>
      </c>
      <c r="AI11" t="s">
        <v>84</v>
      </c>
      <c r="AJ11" t="s">
        <v>84</v>
      </c>
      <c r="AK11" t="s">
        <v>84</v>
      </c>
      <c r="AL11" t="s">
        <v>85</v>
      </c>
    </row>
    <row r="12" spans="1:41" s="23" customFormat="1" ht="28.8" x14ac:dyDescent="0.3">
      <c r="A12" s="80"/>
      <c r="B12" s="81"/>
      <c r="C12" s="81"/>
      <c r="D12" s="129" t="s">
        <v>34</v>
      </c>
      <c r="E12" s="129"/>
      <c r="F12" s="123" t="s">
        <v>49</v>
      </c>
      <c r="G12" s="123"/>
      <c r="H12" s="123" t="s">
        <v>76</v>
      </c>
      <c r="I12" s="123"/>
      <c r="J12" s="123"/>
      <c r="K12" s="123" t="s">
        <v>36</v>
      </c>
      <c r="L12" s="123"/>
      <c r="M12" s="83" t="s">
        <v>88</v>
      </c>
      <c r="N12" s="130" t="s">
        <v>47</v>
      </c>
      <c r="O12" s="130"/>
      <c r="P12" s="123" t="s">
        <v>48</v>
      </c>
      <c r="Q12" s="123"/>
      <c r="R12" s="123" t="s">
        <v>131</v>
      </c>
      <c r="S12" s="123"/>
      <c r="T12" s="83" t="s">
        <v>122</v>
      </c>
      <c r="U12" s="83" t="s">
        <v>126</v>
      </c>
      <c r="V12" s="83" t="s">
        <v>61</v>
      </c>
      <c r="W12" s="116" t="s">
        <v>74</v>
      </c>
      <c r="X12" s="117"/>
      <c r="Y12" s="118" t="s">
        <v>35</v>
      </c>
      <c r="Z12" s="119"/>
      <c r="AA12" s="120" t="s">
        <v>75</v>
      </c>
      <c r="AB12" s="118"/>
      <c r="AC12" s="19"/>
      <c r="AF12" s="23">
        <v>1</v>
      </c>
      <c r="AG12" s="23">
        <v>2</v>
      </c>
      <c r="AH12" s="23" t="s">
        <v>80</v>
      </c>
      <c r="AI12" s="23">
        <v>3</v>
      </c>
      <c r="AJ12" s="23">
        <v>4</v>
      </c>
      <c r="AK12" s="23" t="s">
        <v>81</v>
      </c>
      <c r="AL12" s="50" t="s">
        <v>82</v>
      </c>
    </row>
    <row r="13" spans="1:41" s="84" customFormat="1" ht="28.8" x14ac:dyDescent="0.3">
      <c r="A13" s="39" t="s">
        <v>44</v>
      </c>
      <c r="B13" s="40"/>
      <c r="C13" s="40"/>
      <c r="D13" s="41" t="s">
        <v>18</v>
      </c>
      <c r="E13" s="40" t="s">
        <v>59</v>
      </c>
      <c r="F13" s="40" t="s">
        <v>15</v>
      </c>
      <c r="G13" s="40" t="s">
        <v>59</v>
      </c>
      <c r="H13" s="40" t="s">
        <v>18</v>
      </c>
      <c r="I13" s="41" t="s">
        <v>2</v>
      </c>
      <c r="J13" s="41" t="s">
        <v>59</v>
      </c>
      <c r="K13" s="40" t="s">
        <v>2</v>
      </c>
      <c r="L13" s="40" t="s">
        <v>59</v>
      </c>
      <c r="M13" s="40" t="s">
        <v>59</v>
      </c>
      <c r="N13" s="40" t="s">
        <v>18</v>
      </c>
      <c r="O13" s="40" t="s">
        <v>2</v>
      </c>
      <c r="P13" s="40" t="s">
        <v>18</v>
      </c>
      <c r="Q13" s="40" t="s">
        <v>2</v>
      </c>
      <c r="R13" s="40" t="s">
        <v>18</v>
      </c>
      <c r="S13" s="40" t="s">
        <v>2</v>
      </c>
      <c r="T13" s="40" t="s">
        <v>2</v>
      </c>
      <c r="U13" s="40"/>
      <c r="V13" s="40" t="s">
        <v>2</v>
      </c>
      <c r="W13" s="40" t="s">
        <v>18</v>
      </c>
      <c r="X13" s="40" t="s">
        <v>2</v>
      </c>
      <c r="Y13" s="40" t="s">
        <v>18</v>
      </c>
      <c r="Z13" s="40" t="s">
        <v>2</v>
      </c>
      <c r="AA13" s="40" t="s">
        <v>18</v>
      </c>
      <c r="AB13" s="42" t="s">
        <v>2</v>
      </c>
      <c r="AD13" s="82"/>
      <c r="AE13" s="82" t="s">
        <v>40</v>
      </c>
      <c r="AF13" s="82" t="s">
        <v>77</v>
      </c>
      <c r="AG13" s="82" t="s">
        <v>79</v>
      </c>
      <c r="AH13" s="82" t="s">
        <v>61</v>
      </c>
      <c r="AI13" s="82" t="s">
        <v>78</v>
      </c>
      <c r="AJ13" s="82" t="s">
        <v>35</v>
      </c>
      <c r="AK13" s="82" t="s">
        <v>75</v>
      </c>
      <c r="AL13" s="82" t="s">
        <v>60</v>
      </c>
    </row>
    <row r="14" spans="1:41" x14ac:dyDescent="0.3">
      <c r="A14" s="27">
        <f>VLOOKUP(YEAR(C14),Flags!$A$13:$B$95,2,FALSE)</f>
        <v>1</v>
      </c>
      <c r="B14" s="28">
        <f>YEAR(C14)</f>
        <v>1922</v>
      </c>
      <c r="C14" s="29">
        <v>8156</v>
      </c>
      <c r="D14" s="30">
        <f>VLOOKUP($C14,COS!$B$8:$H$991,3,FALSE)</f>
        <v>4490.92138671875</v>
      </c>
      <c r="E14" s="28">
        <f>IF(D14&gt;=IF(MONTH($C14)=4,$C$3,IF(MONTH($C14)=5,$C$4,IF(MONTH($C14)=6,$C$5,IF(MONTH($C14)=7,$C$6,"ERROR")))),1,0)</f>
        <v>0</v>
      </c>
      <c r="F14" s="30">
        <f>VLOOKUP($C14,COS!$B$8:$H$991,7,FALSE)</f>
        <v>53.804779052734375</v>
      </c>
      <c r="G14" s="28">
        <f>IF(F14&lt;=IF(MONTH($C14)=4,$F$3,IF(MONTH($C14)=5,$F$4,IF(MONTH($C14)=6,$F$5,IF(MONTH($C14)=7,$F$6,"ERROR")))),1,0)</f>
        <v>1</v>
      </c>
      <c r="H14" s="30">
        <f>IF(J14=1,D14-$C$3,0)</f>
        <v>0</v>
      </c>
      <c r="I14" s="30">
        <f t="shared" ref="I14:I17" si="0">H14*DAY($C14)*86400/43560/1000</f>
        <v>0</v>
      </c>
      <c r="J14" s="28">
        <f>IF(AND(E14=1,G14=1),1,0)</f>
        <v>0</v>
      </c>
      <c r="K14" s="30">
        <f>VLOOKUP($C14,COS!$B$8:$H$991,2,FALSE)</f>
        <v>4552</v>
      </c>
      <c r="L14" s="28">
        <f>IF(K14&lt;=IF(MONTH($C14)=4,$I$3,IF(MONTH($C14)=5,$I$4,IF(MONTH($C14)=6,$I$5,IF(MONTH($C14)=7,$I$6,"ERROR")))),1,0)</f>
        <v>1</v>
      </c>
      <c r="M14" s="28">
        <f>VLOOKUP($A14,$L$3:$M$7,2,FALSE)</f>
        <v>0</v>
      </c>
      <c r="N14" s="30">
        <f>VLOOKUP($C14,COS!$B$8:$H$991,5,FALSE)</f>
        <v>373.61062622070313</v>
      </c>
      <c r="O14" s="30">
        <f>N14*DAY($C14)*86400/43560/1000</f>
        <v>22.231376105694729</v>
      </c>
      <c r="P14" s="30">
        <f>VLOOKUP($C14,COS!$B$8:$H$991,6,FALSE)</f>
        <v>533.257080078125</v>
      </c>
      <c r="Q14" s="30">
        <f>P14*DAY($C14)*86400/43560/1000</f>
        <v>31.730999806301654</v>
      </c>
      <c r="R14" s="30">
        <f>MIN(IF(MONTH($C14)=4,$S$3,IF(MONTH($C14)=5,$S$4,IF(MONTH($C14)=6,$S$5,IF(MONTH($C14)=7,$S$6,"ERROR")))),MAX(VLOOKUP($C14,COS!$B$8:$K$991,10,FALSE)-IF(MONTH($C14)=4,$Y$3,IF(MONTH($C14)=5,$Y$4,IF(MONTH($C14)=6,$Y$5,IF(MONTH($C14)=7,$Y$6,"ERROR")))),0),MAX(VLOOKUP($C14,COS!$B$8:$K$991,9,FALSE)-IF(MONTH($C14)=4,$V$3,IF(MONTH($C14)=5,$V$4,IF(MONTH($C14)=6,$V$5,IF(MONTH($C14)=7,$V$6,"ERROR"))))-VLOOKUP($C14,COS!$B$8:$K$991,6,FALSE)/2,0))</f>
        <v>0</v>
      </c>
      <c r="S14" s="30">
        <f>R14*DAY($C14)*86400/43560/1000</f>
        <v>0</v>
      </c>
      <c r="T14" s="30">
        <f>(O14+Q14)/2+S14</f>
        <v>26.981187955998191</v>
      </c>
      <c r="U14" s="30" t="str">
        <f>IF(VLOOKUP($C14,COS!$B$8:$I$991,8,FALSE)=1,"UWFE","IBU")</f>
        <v>UWFE</v>
      </c>
      <c r="V14" s="30">
        <f>MIN(IF(IF($AA$3=2,AND(E14=1,G14=1,L14=1,L19=1,M14=1,U14="IBU"),AND(E14=1,G14=1,L14=1,L19=1,M14=1)),T14,0),I14)</f>
        <v>0</v>
      </c>
      <c r="W14" s="30"/>
      <c r="X14" s="30"/>
      <c r="Y14" s="30"/>
      <c r="Z14" s="30"/>
      <c r="AA14" s="30"/>
      <c r="AB14" s="31"/>
      <c r="AC14" s="6"/>
      <c r="AD14" s="43">
        <v>1922</v>
      </c>
      <c r="AE14" s="1">
        <f>VLOOKUP(AD14,Flags!$A$13:$B$95,2,FALSE)</f>
        <v>1</v>
      </c>
      <c r="AF14" s="43">
        <f>SUMIF($B$14:$B$742,$AD14,$I$14:$I$742)</f>
        <v>375.87902827995867</v>
      </c>
      <c r="AG14" s="43">
        <f>SUMIF($B$14:$B$742,$AD14,$T$14:$T$742)</f>
        <v>341.39459194214874</v>
      </c>
      <c r="AH14" s="43">
        <f>SUMIF($B$14:$B$742,$AD14,$V$14:$V$742)</f>
        <v>0</v>
      </c>
      <c r="AI14" s="43">
        <f>SUMIF($B$14:$B$742,$AD14,$X$14:$X$742)</f>
        <v>21762.281993801651</v>
      </c>
      <c r="AJ14" s="43">
        <f>SUMIF($B$14:$B$742,$AD14,$Z$14:$Z$742)</f>
        <v>131.72308775342202</v>
      </c>
      <c r="AK14" s="43">
        <f t="shared" ref="AK14:AK77" si="1">SUMIF($B$14:$B$742,$AD14,$AB$14:$AB$742)</f>
        <v>98.847432407347625</v>
      </c>
      <c r="AL14" s="43">
        <f>MIN(AH14,AK14)</f>
        <v>0</v>
      </c>
      <c r="AN14" s="121" t="s">
        <v>60</v>
      </c>
      <c r="AO14" s="121"/>
    </row>
    <row r="15" spans="1:41" x14ac:dyDescent="0.3">
      <c r="A15" s="32">
        <f>VLOOKUP(YEAR(C15),Flags!$A$13:$B$95,2,FALSE)</f>
        <v>1</v>
      </c>
      <c r="B15" s="24">
        <f t="shared" ref="B15:B78" si="2">YEAR(C15)</f>
        <v>1922</v>
      </c>
      <c r="C15" s="25">
        <v>8187</v>
      </c>
      <c r="D15" s="26">
        <f>VLOOKUP($C15,COS!$B$8:$H$991,3,FALSE)</f>
        <v>11232.6396484375</v>
      </c>
      <c r="E15" s="24">
        <f>IF(D15&gt;=IF(MONTH($C15)=4,$C$3,IF(MONTH($C15)=5,$C$4,IF(MONTH($C15)=6,$C$5,IF(MONTH($C15)=7,$C$6,"ERROR")))),1,0)</f>
        <v>1</v>
      </c>
      <c r="F15" s="26">
        <f>VLOOKUP($C15,COS!$B$8:$H$991,7,FALSE)</f>
        <v>55.40838623046875</v>
      </c>
      <c r="G15" s="24">
        <f>IF(F15&lt;=IF(MONTH($C15)=4,$F$3,IF(MONTH($C15)=5,$F$4,IF(MONTH($C15)=6,$F$5,IF(MONTH($C15)=7,$F$6,"ERROR")))),1,0)</f>
        <v>1</v>
      </c>
      <c r="H15" s="26">
        <f>IF(J15=1,D15-$C$4,0)</f>
        <v>5232.6396484375</v>
      </c>
      <c r="I15" s="26">
        <f t="shared" si="0"/>
        <v>321.74247094524793</v>
      </c>
      <c r="J15" s="24">
        <f t="shared" ref="J15:J17" si="3">IF(AND(E15=1,G15=1),1,0)</f>
        <v>1</v>
      </c>
      <c r="K15" s="26">
        <f>VLOOKUP($C15,COS!$B$8:$H$991,2,FALSE)</f>
        <v>4552</v>
      </c>
      <c r="L15" s="24">
        <f t="shared" ref="L15:L17" si="4">IF(K15&lt;=IF(MONTH($C15)=4,$I$3,IF(MONTH($C15)=5,$I$4,IF(MONTH($C15)=6,$I$5,IF(MONTH($C15)=7,$I$6,"ERROR")))),1,0)</f>
        <v>1</v>
      </c>
      <c r="M15" s="24">
        <f t="shared" ref="M15:M17" si="5">VLOOKUP($A15,$L$3:$M$7,2,FALSE)</f>
        <v>0</v>
      </c>
      <c r="N15" s="26">
        <f>VLOOKUP($C15,COS!$B$8:$H$991,5,FALSE)</f>
        <v>868.27056884765625</v>
      </c>
      <c r="O15" s="26">
        <f>N15*DAY($C15)*86400/43560/1000</f>
        <v>53.387876299393078</v>
      </c>
      <c r="P15" s="26">
        <f>VLOOKUP($C15,COS!$B$8:$H$991,6,FALSE)</f>
        <v>2241.916259765625</v>
      </c>
      <c r="Q15" s="26">
        <f>P15*DAY($C15)*86400/43560/1000</f>
        <v>137.85005762525824</v>
      </c>
      <c r="R15" s="26">
        <f>MIN(IF(MONTH($C15)=4,$S$3,IF(MONTH($C15)=5,$S$4,IF(MONTH($C15)=6,$S$5,IF(MONTH($C15)=7,$S$6,"ERROR")))),MAX(VLOOKUP($C15,COS!$B$8:$K$991,10,FALSE)-IF(MONTH($C15)=4,$Y$3,IF(MONTH($C15)=5,$Y$4,IF(MONTH($C15)=6,$Y$5,IF(MONTH($C15)=7,$Y$6,"ERROR")))),0),MAX(VLOOKUP($C15,COS!$B$8:$K$991,9,FALSE)-IF(MONTH($C15)=4,$V$3,IF(MONTH($C15)=5,$V$4,IF(MONTH($C15)=6,$V$5,IF(MONTH($C15)=7,$V$6,"ERROR"))))-VLOOKUP($C15,COS!$B$8:$K$991,6,FALSE)/2,0))</f>
        <v>0</v>
      </c>
      <c r="S15" s="26">
        <f>R15*DAY($C15)*86400/43560/1000</f>
        <v>0</v>
      </c>
      <c r="T15" s="26">
        <f>(O15+Q15)/2+S15</f>
        <v>95.618966962325658</v>
      </c>
      <c r="U15" s="26" t="str">
        <f>IF(VLOOKUP($C15,COS!$B$8:$I$991,8,FALSE)=1,"UWFE","IBU")</f>
        <v>UWFE</v>
      </c>
      <c r="V15" s="26">
        <f>MIN(IF(IF($AA$3=2,AND(E15=1,G15=1,L15=1,L19=1,M15=1,U15="IBU"),AND(E15=1,G15=1,L15=1,L19=1,M15=1)),T15,0),I15)</f>
        <v>0</v>
      </c>
      <c r="W15" s="26"/>
      <c r="X15" s="26"/>
      <c r="Y15" s="26"/>
      <c r="Z15" s="26"/>
      <c r="AA15" s="26"/>
      <c r="AB15" s="33"/>
      <c r="AC15" s="6"/>
      <c r="AD15" s="43">
        <v>1923</v>
      </c>
      <c r="AE15" s="1">
        <f>VLOOKUP(AD15,Flags!$A$13:$B$95,2,FALSE)</f>
        <v>3</v>
      </c>
      <c r="AF15" s="43">
        <f t="shared" ref="AF15:AF78" si="6">SUMIF($B$14:$B$742,$AD15,$I$14:$I$742)</f>
        <v>198.67443246384298</v>
      </c>
      <c r="AG15" s="43">
        <f t="shared" ref="AG15:AG78" si="7">SUMIF($B$14:$B$742,$AD15,$T$14:$T$742)</f>
        <v>289.55927084678456</v>
      </c>
      <c r="AH15" s="43">
        <f t="shared" ref="AH15:AH78" si="8">SUMIF($B$14:$B$742,$AD15,$V$14:$V$742)</f>
        <v>0</v>
      </c>
      <c r="AI15" s="43">
        <f t="shared" ref="AI15:AI78" si="9">SUMIF($B$14:$B$742,$AD15,$X$14:$X$742)</f>
        <v>22757.685081353306</v>
      </c>
      <c r="AJ15" s="43">
        <f t="shared" ref="AJ15:AJ78" si="10">SUMIF($B$14:$B$742,$AD15,$Z$14:$Z$742)</f>
        <v>218.30497927831226</v>
      </c>
      <c r="AK15" s="43">
        <f t="shared" si="1"/>
        <v>104.62114994269757</v>
      </c>
      <c r="AL15" s="43">
        <f t="shared" ref="AL15:AL78" si="11">MIN(AH15,AK15)</f>
        <v>0</v>
      </c>
      <c r="AN15" s="1" t="s">
        <v>41</v>
      </c>
      <c r="AO15" s="43">
        <f>AVERAGE($AL$14:$AL$94)</f>
        <v>32.198400901722039</v>
      </c>
    </row>
    <row r="16" spans="1:41" x14ac:dyDescent="0.3">
      <c r="A16" s="32">
        <f>VLOOKUP(YEAR(C16),Flags!$A$13:$B$95,2,FALSE)</f>
        <v>1</v>
      </c>
      <c r="B16" s="24">
        <f t="shared" si="2"/>
        <v>1922</v>
      </c>
      <c r="C16" s="25">
        <v>8217</v>
      </c>
      <c r="D16" s="26">
        <f>VLOOKUP($C16,COS!$B$8:$H$991,3,FALSE)</f>
        <v>10909.794921875</v>
      </c>
      <c r="E16" s="24">
        <f>IF(D16&gt;=IF(MONTH($C16)=4,$C$3,IF(MONTH($C16)=5,$C$4,IF(MONTH($C16)=6,$C$5,IF(MONTH($C16)=7,$C$6,"ERROR")))),1,0)</f>
        <v>1</v>
      </c>
      <c r="F16" s="26">
        <f>VLOOKUP($C16,COS!$B$8:$H$991,7,FALSE)</f>
        <v>53.329750061035156</v>
      </c>
      <c r="G16" s="24">
        <f>IF(F16&lt;=IF(MONTH($C16)=4,$F$3,IF(MONTH($C16)=5,$F$4,IF(MONTH($C16)=6,$F$5,IF(MONTH($C16)=7,$F$6,"ERROR")))),1,0)</f>
        <v>1</v>
      </c>
      <c r="H16" s="26">
        <f>IF(J16=1,D16-$C$5,0)</f>
        <v>909.794921875</v>
      </c>
      <c r="I16" s="26">
        <f t="shared" si="0"/>
        <v>54.136557334710744</v>
      </c>
      <c r="J16" s="24">
        <f t="shared" si="3"/>
        <v>1</v>
      </c>
      <c r="K16" s="26">
        <f>VLOOKUP($C16,COS!$B$8:$H$991,2,FALSE)</f>
        <v>4241.47265625</v>
      </c>
      <c r="L16" s="24">
        <f t="shared" si="4"/>
        <v>1</v>
      </c>
      <c r="M16" s="24">
        <f t="shared" si="5"/>
        <v>0</v>
      </c>
      <c r="N16" s="26">
        <f>VLOOKUP($C16,COS!$B$8:$H$991,5,FALSE)</f>
        <v>1108.1929931640625</v>
      </c>
      <c r="O16" s="26">
        <f>N16*DAY($C16)*86400/43560/1000</f>
        <v>65.942062403150814</v>
      </c>
      <c r="P16" s="26">
        <f>VLOOKUP($C16,COS!$B$8:$H$991,6,FALSE)</f>
        <v>2347.418701171875</v>
      </c>
      <c r="Q16" s="26">
        <f>P16*DAY($C16)*86400/43560/1000</f>
        <v>139.68111279700415</v>
      </c>
      <c r="R16" s="26">
        <f>MIN(IF(MONTH($C16)=4,$S$3,IF(MONTH($C16)=5,$S$4,IF(MONTH($C16)=6,$S$5,IF(MONTH($C16)=7,$S$6,"ERROR")))),MAX(VLOOKUP($C16,COS!$B$8:$K$991,10,FALSE)-IF(MONTH($C16)=4,$Y$3,IF(MONTH($C16)=5,$Y$4,IF(MONTH($C16)=6,$Y$5,IF(MONTH($C16)=7,$Y$6,"ERROR")))),0),MAX(VLOOKUP($C16,COS!$B$8:$K$991,9,FALSE)-IF(MONTH($C16)=4,$V$3,IF(MONTH($C16)=5,$V$4,IF(MONTH($C16)=6,$V$5,IF(MONTH($C16)=7,$V$6,"ERROR"))))-VLOOKUP($C16,COS!$B$8:$K$991,6,FALSE)/2,0))</f>
        <v>0</v>
      </c>
      <c r="S16" s="26">
        <f>R16*DAY($C16)*86400/43560/1000</f>
        <v>0</v>
      </c>
      <c r="T16" s="26">
        <f t="shared" ref="T16:T17" si="12">(O16+Q16)/2+S16</f>
        <v>102.81158760007747</v>
      </c>
      <c r="U16" s="26" t="str">
        <f>IF(VLOOKUP($C16,COS!$B$8:$I$991,8,FALSE)=1,"UWFE","IBU")</f>
        <v>UWFE</v>
      </c>
      <c r="V16" s="26">
        <f>MIN(IF(IF($AA$3=2,AND(E16=1,G16=1,L16=1,L19=1,M16=1,U16="IBU"),AND(E16=1,G16=1,L16=1,L19=1,M16=1)),T16,0),I16)</f>
        <v>0</v>
      </c>
      <c r="W16" s="26"/>
      <c r="X16" s="26"/>
      <c r="Y16" s="26"/>
      <c r="Z16" s="26"/>
      <c r="AA16" s="26"/>
      <c r="AB16" s="33"/>
      <c r="AC16" s="6"/>
      <c r="AD16" s="43">
        <v>1924</v>
      </c>
      <c r="AE16" s="1">
        <f>VLOOKUP(AD16,Flags!$A$13:$B$95,2,FALSE)</f>
        <v>5</v>
      </c>
      <c r="AF16" s="43">
        <f t="shared" si="6"/>
        <v>161.14381650309917</v>
      </c>
      <c r="AG16" s="43">
        <f t="shared" si="7"/>
        <v>260.18207232010263</v>
      </c>
      <c r="AH16" s="43">
        <f t="shared" si="8"/>
        <v>78.227418475190461</v>
      </c>
      <c r="AI16" s="43">
        <f t="shared" si="9"/>
        <v>22888.106491154442</v>
      </c>
      <c r="AJ16" s="43">
        <f t="shared" si="10"/>
        <v>598.65797722430273</v>
      </c>
      <c r="AK16" s="43">
        <f t="shared" si="1"/>
        <v>365.60456700348664</v>
      </c>
      <c r="AL16" s="43">
        <f t="shared" si="11"/>
        <v>78.227418475190461</v>
      </c>
      <c r="AN16" s="1" t="s">
        <v>43</v>
      </c>
      <c r="AO16" s="43">
        <f>AVERAGEIF(Flags!$G$14:$G$94,1,$AL$14:$AL$94)</f>
        <v>69.879008450874053</v>
      </c>
    </row>
    <row r="17" spans="1:42" x14ac:dyDescent="0.3">
      <c r="A17" s="32">
        <f>VLOOKUP(YEAR(C17),Flags!$A$13:$B$95,2,FALSE)</f>
        <v>1</v>
      </c>
      <c r="B17" s="24">
        <f t="shared" si="2"/>
        <v>1922</v>
      </c>
      <c r="C17" s="25">
        <v>8248</v>
      </c>
      <c r="D17" s="26">
        <f>VLOOKUP($C17,COS!$B$8:$H$991,3,FALSE)</f>
        <v>12170.349609375</v>
      </c>
      <c r="E17" s="24">
        <f>IF(D17&gt;=IF(MONTH($C17)=4,$C$3,IF(MONTH($C17)=5,$C$4,IF(MONTH($C17)=6,$C$5,IF(MONTH($C17)=7,$C$6,"ERROR")))),1,0)</f>
        <v>1</v>
      </c>
      <c r="F17" s="26">
        <f>VLOOKUP($C17,COS!$B$8:$H$991,7,FALSE)</f>
        <v>54.132045745849609</v>
      </c>
      <c r="G17" s="24">
        <f>IF(F17&lt;=IF(MONTH($C17)=4,$F$3,IF(MONTH($C17)=5,$F$4,IF(MONTH($C17)=6,$F$5,IF(MONTH($C17)=7,$F$6,"ERROR")))),1,0)</f>
        <v>0</v>
      </c>
      <c r="H17" s="26">
        <f>IF(J17=1,D17-$C$6,0)</f>
        <v>0</v>
      </c>
      <c r="I17" s="26">
        <f t="shared" si="0"/>
        <v>0</v>
      </c>
      <c r="J17" s="24">
        <f t="shared" si="3"/>
        <v>0</v>
      </c>
      <c r="K17" s="26">
        <f>VLOOKUP($C17,COS!$B$8:$H$991,2,FALSE)</f>
        <v>3788.69091796875</v>
      </c>
      <c r="L17" s="24">
        <f t="shared" si="4"/>
        <v>1</v>
      </c>
      <c r="M17" s="24">
        <f t="shared" si="5"/>
        <v>0</v>
      </c>
      <c r="N17" s="26">
        <f>VLOOKUP($C17,COS!$B$8:$H$991,5,FALSE)</f>
        <v>1209.6676025390625</v>
      </c>
      <c r="O17" s="26">
        <f>N17*DAY($C17)*86400/43560/1000</f>
        <v>74.379561676782032</v>
      </c>
      <c r="P17" s="26">
        <f>VLOOKUP($C17,COS!$B$8:$H$991,6,FALSE)</f>
        <v>2562.892822265625</v>
      </c>
      <c r="Q17" s="26">
        <f>P17*DAY($C17)*86400/43560/1000</f>
        <v>157.58613717071282</v>
      </c>
      <c r="R17" s="26">
        <f>MIN(IF(MONTH($C17)=4,$S$3,IF(MONTH($C17)=5,$S$4,IF(MONTH($C17)=6,$S$5,IF(MONTH($C17)=7,$S$6,"ERROR")))),MAX(VLOOKUP($C17,COS!$B$8:$K$991,10,FALSE)-IF(MONTH($C17)=4,$Y$3,IF(MONTH($C17)=5,$Y$4,IF(MONTH($C17)=6,$Y$5,IF(MONTH($C17)=7,$Y$6,"ERROR")))),0),MAX(VLOOKUP($C17,COS!$B$8:$K$991,9,FALSE)-IF(MONTH($C17)=4,$V$3,IF(MONTH($C17)=5,$V$4,IF(MONTH($C17)=6,$V$5,IF(MONTH($C17)=7,$V$6,"ERROR"))))-VLOOKUP($C17,COS!$B$8:$K$991,6,FALSE)/2,0))</f>
        <v>0</v>
      </c>
      <c r="S17" s="26">
        <f>R17*DAY($C17)*86400/43560/1000</f>
        <v>0</v>
      </c>
      <c r="T17" s="26">
        <f t="shared" si="12"/>
        <v>115.98284942374742</v>
      </c>
      <c r="U17" s="26" t="str">
        <f>IF(VLOOKUP($C17,COS!$B$8:$I$991,8,FALSE)=1,"UWFE","IBU")</f>
        <v>IBU</v>
      </c>
      <c r="V17" s="26">
        <f>MIN(IF(IF($AA$3=2,AND(E17=1,G17=1,L17=1,L19=1,M17=1,U17="IBU"),AND(E17=1,G17=1,L17=1,L19=1,M17=1)),T17,0),I17)</f>
        <v>0</v>
      </c>
      <c r="W17" s="26"/>
      <c r="X17" s="26"/>
      <c r="Y17" s="26"/>
      <c r="Z17" s="26"/>
      <c r="AA17" s="26"/>
      <c r="AB17" s="33"/>
      <c r="AC17" s="6"/>
      <c r="AD17" s="43">
        <v>1925</v>
      </c>
      <c r="AE17" s="1">
        <f>VLOOKUP(AD17,Flags!$A$13:$B$95,2,FALSE)</f>
        <v>4</v>
      </c>
      <c r="AF17" s="43">
        <f t="shared" si="6"/>
        <v>43.79148308367769</v>
      </c>
      <c r="AG17" s="43">
        <f t="shared" si="7"/>
        <v>291.51175430171742</v>
      </c>
      <c r="AH17" s="43">
        <f t="shared" si="8"/>
        <v>42.764748192148765</v>
      </c>
      <c r="AI17" s="43">
        <f t="shared" si="9"/>
        <v>22582.151480501034</v>
      </c>
      <c r="AJ17" s="43">
        <f t="shared" si="10"/>
        <v>376.96743043001032</v>
      </c>
      <c r="AK17" s="43">
        <f t="shared" si="1"/>
        <v>267.38984334646182</v>
      </c>
      <c r="AL17" s="43">
        <f>MIN(AH17,AK17)</f>
        <v>42.764748192148765</v>
      </c>
      <c r="AN17" s="1" t="s">
        <v>30</v>
      </c>
      <c r="AO17" s="43">
        <f>AVERAGEIF($AE$14:$AE$94,1,$AL$14:$AL$94)</f>
        <v>0</v>
      </c>
    </row>
    <row r="18" spans="1:42" x14ac:dyDescent="0.3">
      <c r="A18" s="32">
        <f>VLOOKUP(YEAR(C18),Flags!$A$13:$B$95,2,FALSE)</f>
        <v>1</v>
      </c>
      <c r="B18" s="24">
        <f t="shared" si="2"/>
        <v>1922</v>
      </c>
      <c r="C18" s="25">
        <v>8279</v>
      </c>
      <c r="D18" s="26"/>
      <c r="E18" s="24"/>
      <c r="F18" s="26"/>
      <c r="G18" s="24"/>
      <c r="H18" s="24"/>
      <c r="I18" s="26"/>
      <c r="J18" s="24"/>
      <c r="K18" s="26"/>
      <c r="L18" s="24"/>
      <c r="M18" s="24"/>
      <c r="N18" s="26"/>
      <c r="O18" s="26"/>
      <c r="P18" s="26"/>
      <c r="Q18" s="26"/>
      <c r="R18" s="26"/>
      <c r="S18" s="26"/>
      <c r="T18" s="26"/>
      <c r="U18" s="26"/>
      <c r="V18" s="26"/>
      <c r="W18" s="26">
        <f>MAX($C$7-VLOOKUP($C18,COS!$B$8:$H$991,3,FALSE),0)</f>
        <v>89237.1474609375</v>
      </c>
      <c r="X18" s="26">
        <f t="shared" ref="X18:X22" si="13">W18*DAY($C18)*86400/43560/1000</f>
        <v>5486.9783232179752</v>
      </c>
      <c r="Y18" s="26">
        <f>VLOOKUP($C18,COS!$B$8:$H$991,4,FALSE)</f>
        <v>0</v>
      </c>
      <c r="Z18" s="26">
        <f t="shared" ref="Z18:Z22" si="14">Y18*DAY($C18)*86400/43560/1000</f>
        <v>0</v>
      </c>
      <c r="AA18" s="26">
        <f>MIN(W18,Y18)</f>
        <v>0</v>
      </c>
      <c r="AB18" s="33">
        <f>AA18*DAY($C18)*86400/43560/1000*IF(MONTH($C18)=8,$P$3,IF(MONTH($C18)=9,$P$4,IF(MONTH($C18)=10,$P$5,IF(MONTH($C18)=11,$P$6,IF(MONTH($C18)=12,$P$7,NA())))))</f>
        <v>0</v>
      </c>
      <c r="AC18" s="6"/>
      <c r="AD18" s="43">
        <v>1926</v>
      </c>
      <c r="AE18" s="1">
        <f>VLOOKUP(AD18,Flags!$A$13:$B$95,2,FALSE)</f>
        <v>4</v>
      </c>
      <c r="AF18" s="43">
        <f t="shared" si="6"/>
        <v>194.10762009297522</v>
      </c>
      <c r="AG18" s="43">
        <f t="shared" si="7"/>
        <v>265.77412732589346</v>
      </c>
      <c r="AH18" s="43">
        <f t="shared" si="8"/>
        <v>81.131935828342904</v>
      </c>
      <c r="AI18" s="43">
        <f t="shared" si="9"/>
        <v>22920.123877840906</v>
      </c>
      <c r="AJ18" s="43">
        <f t="shared" si="10"/>
        <v>222.87584847946798</v>
      </c>
      <c r="AK18" s="43">
        <f t="shared" si="1"/>
        <v>222.87584847946798</v>
      </c>
      <c r="AL18" s="43">
        <f t="shared" si="11"/>
        <v>81.131935828342904</v>
      </c>
      <c r="AN18" s="1" t="s">
        <v>42</v>
      </c>
      <c r="AO18" s="43">
        <f>AVERAGEIF($AE$14:$AE$94,2,$AL$14:$AL$94)</f>
        <v>0</v>
      </c>
    </row>
    <row r="19" spans="1:42" x14ac:dyDescent="0.3">
      <c r="A19" s="32">
        <f>VLOOKUP(YEAR(C19),Flags!$A$13:$B$95,2,FALSE)</f>
        <v>1</v>
      </c>
      <c r="B19" s="24">
        <f t="shared" si="2"/>
        <v>1922</v>
      </c>
      <c r="C19" s="25">
        <v>8309</v>
      </c>
      <c r="D19" s="26"/>
      <c r="E19" s="24"/>
      <c r="F19" s="26"/>
      <c r="G19" s="24"/>
      <c r="H19" s="24"/>
      <c r="I19" s="26"/>
      <c r="J19" s="24"/>
      <c r="K19" s="26">
        <f>VLOOKUP($C19,COS!$B$8:$H$991,2,FALSE)</f>
        <v>2693.51513671875</v>
      </c>
      <c r="L19" s="24">
        <f>IF(AND(K19&gt;$I$7,K19&lt;$I$8),1,0)</f>
        <v>1</v>
      </c>
      <c r="M19" s="24"/>
      <c r="N19" s="26"/>
      <c r="O19" s="26"/>
      <c r="P19" s="26"/>
      <c r="Q19" s="26"/>
      <c r="R19" s="26"/>
      <c r="S19" s="26"/>
      <c r="T19" s="26"/>
      <c r="U19" s="26"/>
      <c r="V19" s="26"/>
      <c r="W19" s="26">
        <f>MAX($C$8-VLOOKUP($C19,COS!$B$8:$H$991,3,FALSE),0)</f>
        <v>82918.25390625</v>
      </c>
      <c r="X19" s="26">
        <f t="shared" si="13"/>
        <v>4933.9787448347106</v>
      </c>
      <c r="Y19" s="26">
        <f>VLOOKUP($C19,COS!$B$8:$H$991,4,FALSE)</f>
        <v>136.41513061523438</v>
      </c>
      <c r="Z19" s="26">
        <f t="shared" si="14"/>
        <v>8.1172639704932852</v>
      </c>
      <c r="AA19" s="26">
        <f t="shared" ref="AA19:AA22" si="15">MIN(W19,Y19)</f>
        <v>136.41513061523438</v>
      </c>
      <c r="AB19" s="33">
        <f t="shared" ref="AB19:AB22" si="16">AA19*DAY($C19)*86400/43560/1000*IF(MONTH($C19)=8,$P$3,IF(MONTH($C19)=9,$P$4,IF(MONTH($C19)=10,$P$5,IF(MONTH($C19)=11,$P$6,IF(MONTH($C19)=12,$P$7,NA())))))</f>
        <v>8.1172639704932852</v>
      </c>
      <c r="AC19" s="6"/>
      <c r="AD19" s="43">
        <v>1927</v>
      </c>
      <c r="AE19" s="1">
        <f>VLOOKUP(AD19,Flags!$A$13:$B$95,2,FALSE)</f>
        <v>2</v>
      </c>
      <c r="AF19" s="43">
        <f t="shared" si="6"/>
        <v>577.17067019628098</v>
      </c>
      <c r="AG19" s="43">
        <f t="shared" si="7"/>
        <v>339.42710491590265</v>
      </c>
      <c r="AH19" s="43">
        <f t="shared" si="8"/>
        <v>0</v>
      </c>
      <c r="AI19" s="43">
        <f t="shared" si="9"/>
        <v>22032.42545841942</v>
      </c>
      <c r="AJ19" s="43">
        <f t="shared" si="10"/>
        <v>102.32853633659931</v>
      </c>
      <c r="AK19" s="43">
        <f t="shared" si="1"/>
        <v>84.665892878760985</v>
      </c>
      <c r="AL19" s="43">
        <f t="shared" si="11"/>
        <v>0</v>
      </c>
      <c r="AN19" s="1" t="s">
        <v>32</v>
      </c>
      <c r="AO19" s="43">
        <f>AVERAGEIF($AE$14:$AE$94,3,$AL$14:$AL$94)</f>
        <v>0</v>
      </c>
    </row>
    <row r="20" spans="1:42" x14ac:dyDescent="0.3">
      <c r="A20" s="32">
        <f>VLOOKUP(YEAR(C20),Flags!$A$13:$B$95,2,FALSE)</f>
        <v>1</v>
      </c>
      <c r="B20" s="24">
        <f t="shared" si="2"/>
        <v>1922</v>
      </c>
      <c r="C20" s="25">
        <v>8340</v>
      </c>
      <c r="D20" s="26"/>
      <c r="E20" s="24"/>
      <c r="F20" s="26"/>
      <c r="G20" s="26"/>
      <c r="H20" s="26"/>
      <c r="I20" s="26"/>
      <c r="J20" s="26"/>
      <c r="K20" s="26"/>
      <c r="L20" s="24"/>
      <c r="M20" s="24"/>
      <c r="N20" s="26"/>
      <c r="O20" s="26"/>
      <c r="P20" s="26"/>
      <c r="Q20" s="26"/>
      <c r="R20" s="26"/>
      <c r="S20" s="26"/>
      <c r="T20" s="26"/>
      <c r="U20" s="26"/>
      <c r="V20" s="26"/>
      <c r="W20" s="26">
        <f>MAX($C$9-VLOOKUP($C20,COS!$B$8:$H$991,3,FALSE),0)</f>
        <v>95405.1708984375</v>
      </c>
      <c r="X20" s="26">
        <f t="shared" si="13"/>
        <v>5866.2353015237595</v>
      </c>
      <c r="Y20" s="26">
        <f>VLOOKUP($C20,COS!$B$8:$H$991,4,FALSE)</f>
        <v>940.9134521484375</v>
      </c>
      <c r="Z20" s="26">
        <f t="shared" si="14"/>
        <v>57.85451309077996</v>
      </c>
      <c r="AA20" s="26">
        <f t="shared" si="15"/>
        <v>940.9134521484375</v>
      </c>
      <c r="AB20" s="33">
        <f t="shared" si="16"/>
        <v>57.85451309077996</v>
      </c>
      <c r="AC20" s="6"/>
      <c r="AD20" s="44">
        <v>1928</v>
      </c>
      <c r="AE20" s="45">
        <f>VLOOKUP(AD20,Flags!$A$13:$B$95,2,FALSE)</f>
        <v>2</v>
      </c>
      <c r="AF20" s="44">
        <f t="shared" si="6"/>
        <v>530.64339456353309</v>
      </c>
      <c r="AG20" s="44">
        <f t="shared" si="7"/>
        <v>290.29704530321862</v>
      </c>
      <c r="AH20" s="44">
        <f t="shared" si="8"/>
        <v>0</v>
      </c>
      <c r="AI20" s="44">
        <f t="shared" si="9"/>
        <v>21821.997559400828</v>
      </c>
      <c r="AJ20" s="44">
        <f t="shared" si="10"/>
        <v>112.69071519394552</v>
      </c>
      <c r="AK20" s="44">
        <f t="shared" si="1"/>
        <v>81.927064302933118</v>
      </c>
      <c r="AL20" s="44">
        <f t="shared" si="11"/>
        <v>0</v>
      </c>
      <c r="AN20" s="1" t="s">
        <v>33</v>
      </c>
      <c r="AO20" s="43">
        <f>AVERAGEIF($AE$14:$AE$94,4,$AL$14:$AL$94)</f>
        <v>98.486651252935729</v>
      </c>
    </row>
    <row r="21" spans="1:42" x14ac:dyDescent="0.3">
      <c r="A21" s="32">
        <f>VLOOKUP(YEAR(C21),Flags!$A$13:$B$95,2,FALSE)</f>
        <v>1</v>
      </c>
      <c r="B21" s="24">
        <f t="shared" si="2"/>
        <v>1922</v>
      </c>
      <c r="C21" s="25">
        <v>8370</v>
      </c>
      <c r="D21" s="26"/>
      <c r="E21" s="24"/>
      <c r="F21" s="26"/>
      <c r="G21" s="26"/>
      <c r="H21" s="26"/>
      <c r="I21" s="26"/>
      <c r="J21" s="26"/>
      <c r="K21" s="26"/>
      <c r="L21" s="24"/>
      <c r="M21" s="24"/>
      <c r="N21" s="26"/>
      <c r="O21" s="26"/>
      <c r="P21" s="26"/>
      <c r="Q21" s="26"/>
      <c r="R21" s="26"/>
      <c r="S21" s="26"/>
      <c r="T21" s="26"/>
      <c r="U21" s="26"/>
      <c r="V21" s="26"/>
      <c r="W21" s="26">
        <f>MAX($C$10-VLOOKUP($C21,COS!$B$8:$H$991,3,FALSE),0)</f>
        <v>92011.9228515625</v>
      </c>
      <c r="X21" s="26">
        <f t="shared" si="13"/>
        <v>5475.0896242252065</v>
      </c>
      <c r="Y21" s="26">
        <f>VLOOKUP($C21,COS!$B$8:$H$991,4,FALSE)</f>
        <v>1104.9873046875</v>
      </c>
      <c r="Z21" s="26">
        <f t="shared" si="14"/>
        <v>65.751310692148763</v>
      </c>
      <c r="AA21" s="26">
        <f t="shared" si="15"/>
        <v>1104.9873046875</v>
      </c>
      <c r="AB21" s="33">
        <f t="shared" si="16"/>
        <v>32.875655346074382</v>
      </c>
      <c r="AC21" s="6"/>
      <c r="AD21" s="44">
        <v>1929</v>
      </c>
      <c r="AE21" s="45">
        <f>VLOOKUP(AD21,Flags!$A$13:$B$95,2,FALSE)</f>
        <v>5</v>
      </c>
      <c r="AF21" s="44">
        <f t="shared" si="6"/>
        <v>127.9222265625</v>
      </c>
      <c r="AG21" s="44">
        <f t="shared" si="7"/>
        <v>259.69043583136943</v>
      </c>
      <c r="AH21" s="44">
        <f t="shared" si="8"/>
        <v>82.320104506311338</v>
      </c>
      <c r="AI21" s="44">
        <f t="shared" si="9"/>
        <v>22823.152223979851</v>
      </c>
      <c r="AJ21" s="44">
        <f t="shared" si="10"/>
        <v>547.35015011621897</v>
      </c>
      <c r="AK21" s="44">
        <f t="shared" si="1"/>
        <v>406.43818238313537</v>
      </c>
      <c r="AL21" s="44">
        <f t="shared" si="11"/>
        <v>82.320104506311338</v>
      </c>
      <c r="AN21" s="1" t="s">
        <v>10</v>
      </c>
      <c r="AO21" s="43">
        <f>AVERAGEIF($AE$14:$AE$94,5,$AL$14:$AL$94)</f>
        <v>53.194787331730872</v>
      </c>
    </row>
    <row r="22" spans="1:42" x14ac:dyDescent="0.3">
      <c r="A22" s="34">
        <f>VLOOKUP(YEAR(C22),Flags!$A$13:$B$95,2,FALSE)</f>
        <v>1</v>
      </c>
      <c r="B22" s="35">
        <f t="shared" si="2"/>
        <v>1922</v>
      </c>
      <c r="C22" s="36">
        <v>8401</v>
      </c>
      <c r="D22" s="37"/>
      <c r="E22" s="35"/>
      <c r="F22" s="37"/>
      <c r="G22" s="37"/>
      <c r="H22" s="37"/>
      <c r="I22" s="37"/>
      <c r="J22" s="37"/>
      <c r="K22" s="37"/>
      <c r="L22" s="35"/>
      <c r="M22" s="35"/>
      <c r="N22" s="37"/>
      <c r="O22" s="37"/>
      <c r="P22" s="37"/>
      <c r="Q22" s="37"/>
      <c r="R22" s="37"/>
      <c r="S22" s="37"/>
      <c r="T22" s="37"/>
      <c r="U22" s="37"/>
      <c r="V22" s="37"/>
      <c r="W22" s="37">
        <f>MAX($C$11-VLOOKUP($C22,COS!$B$8:$H$991,3,FALSE),0)</f>
        <v>0</v>
      </c>
      <c r="X22" s="37">
        <f t="shared" si="13"/>
        <v>0</v>
      </c>
      <c r="Y22" s="37">
        <f>VLOOKUP($C22,COS!$B$8:$H$991,4,FALSE)</f>
        <v>0</v>
      </c>
      <c r="Z22" s="37">
        <f t="shared" si="14"/>
        <v>0</v>
      </c>
      <c r="AA22" s="37">
        <f t="shared" si="15"/>
        <v>0</v>
      </c>
      <c r="AB22" s="38">
        <f t="shared" si="16"/>
        <v>0</v>
      </c>
      <c r="AC22" s="6"/>
      <c r="AD22" s="44">
        <v>1930</v>
      </c>
      <c r="AE22" s="45">
        <f>VLOOKUP(AD22,Flags!$A$13:$B$95,2,FALSE)</f>
        <v>4</v>
      </c>
      <c r="AF22" s="44">
        <f t="shared" si="6"/>
        <v>0</v>
      </c>
      <c r="AG22" s="44">
        <f t="shared" si="7"/>
        <v>250.90781125533681</v>
      </c>
      <c r="AH22" s="44">
        <f t="shared" si="8"/>
        <v>0</v>
      </c>
      <c r="AI22" s="44">
        <f t="shared" si="9"/>
        <v>22966.413810046488</v>
      </c>
      <c r="AJ22" s="44">
        <f t="shared" si="10"/>
        <v>529.99753042678208</v>
      </c>
      <c r="AK22" s="44">
        <f t="shared" si="1"/>
        <v>359.26877881262914</v>
      </c>
      <c r="AL22" s="44">
        <f t="shared" si="11"/>
        <v>0</v>
      </c>
    </row>
    <row r="23" spans="1:42" x14ac:dyDescent="0.3">
      <c r="A23" s="27">
        <f>VLOOKUP(YEAR(C23),Flags!$A$13:$B$95,2,FALSE)</f>
        <v>3</v>
      </c>
      <c r="B23" s="28">
        <f t="shared" si="2"/>
        <v>1923</v>
      </c>
      <c r="C23" s="29">
        <v>8521</v>
      </c>
      <c r="D23" s="30">
        <f>VLOOKUP($C23,COS!$B$8:$H$991,3,FALSE)</f>
        <v>3250</v>
      </c>
      <c r="E23" s="28">
        <f>IF(D23&gt;=IF(MONTH($C23)=4,$C$3,IF(MONTH($C23)=5,$C$4,IF(MONTH($C23)=6,$C$5,IF(MONTH($C23)=7,$C$6,"ERROR")))),1,0)</f>
        <v>0</v>
      </c>
      <c r="F23" s="30">
        <f>VLOOKUP($C23,COS!$B$8:$H$991,7,FALSE)</f>
        <v>52.349773406982422</v>
      </c>
      <c r="G23" s="28">
        <f>IF(F23&lt;=IF(MONTH($C23)=4,$F$3,IF(MONTH($C23)=5,$F$4,IF(MONTH($C23)=6,$F$5,IF(MONTH($C23)=7,$F$6,"ERROR")))),1,0)</f>
        <v>1</v>
      </c>
      <c r="H23" s="30">
        <f>IF(J23=1,D23-$C$3,0)</f>
        <v>0</v>
      </c>
      <c r="I23" s="30">
        <f t="shared" ref="I23:I86" si="17">H23*DAY($C23)*86400/43560/1000</f>
        <v>0</v>
      </c>
      <c r="J23" s="28">
        <f t="shared" ref="J23:J26" si="18">IF(AND(E23=1,G23=1),1,0)</f>
        <v>0</v>
      </c>
      <c r="K23" s="30">
        <f>VLOOKUP($C23,COS!$B$8:$H$991,2,FALSE)</f>
        <v>3743.0517578125</v>
      </c>
      <c r="L23" s="28">
        <f t="shared" ref="L23:L80" si="19">IF(K23&lt;=IF(MONTH($C23)=4,$I$3,IF(MONTH($C23)=5,$I$4,IF(MONTH($C23)=6,$I$5,IF(MONTH($C23)=7,$I$6,"ERROR")))),1,0)</f>
        <v>1</v>
      </c>
      <c r="M23" s="28">
        <f t="shared" ref="M23:M80" si="20">VLOOKUP($A23,$L$3:$M$7,2,FALSE)</f>
        <v>0</v>
      </c>
      <c r="N23" s="30">
        <f>VLOOKUP($C23,COS!$B$8:$H$991,5,FALSE)</f>
        <v>244.48347473144531</v>
      </c>
      <c r="O23" s="30">
        <f t="shared" ref="O23:O26" si="21">N23*DAY($C23)*86400/43560/1000</f>
        <v>14.547777008813275</v>
      </c>
      <c r="P23" s="30">
        <f>VLOOKUP($C23,COS!$B$8:$H$991,6,FALSE)</f>
        <v>427.781494140625</v>
      </c>
      <c r="Q23" s="30">
        <f t="shared" ref="Q23:Q26" si="22">P23*DAY($C23)*86400/43560/1000</f>
        <v>25.454766593491733</v>
      </c>
      <c r="R23" s="30">
        <f>MIN(IF(MONTH($C23)=4,$S$3,IF(MONTH($C23)=5,$S$4,IF(MONTH($C23)=6,$S$5,IF(MONTH($C23)=7,$S$6,"ERROR")))),MAX(VLOOKUP($C23,COS!$B$8:$K$991,10,FALSE)-IF(MONTH($C23)=4,$Y$3,IF(MONTH($C23)=5,$Y$4,IF(MONTH($C23)=6,$Y$5,IF(MONTH($C23)=7,$Y$6,"ERROR")))),0),MAX(VLOOKUP($C23,COS!$B$8:$K$991,9,FALSE)-IF(MONTH($C23)=4,$V$3,IF(MONTH($C23)=5,$V$4,IF(MONTH($C23)=6,$V$5,IF(MONTH($C23)=7,$V$6,"ERROR"))))-VLOOKUP($C23,COS!$B$8:$K$991,6,FALSE)/2,0))</f>
        <v>0</v>
      </c>
      <c r="S23" s="30">
        <f t="shared" ref="S23:S26" si="23">R23*DAY($C23)*86400/43560/1000</f>
        <v>0</v>
      </c>
      <c r="T23" s="30">
        <f t="shared" ref="T23:T26" si="24">(O23+Q23)/2+S23</f>
        <v>20.001271801152505</v>
      </c>
      <c r="U23" s="30" t="str">
        <f>IF(VLOOKUP($C23,COS!$B$8:$I$991,8,FALSE)=1,"UWFE","IBU")</f>
        <v>UWFE</v>
      </c>
      <c r="V23" s="30">
        <f t="shared" ref="V23" si="25">MIN(IF(IF($AA$3=2,AND(E23=1,G23=1,L23=1,L28=1,M23=1,U23="IBU"),AND(E23=1,G23=1,L23=1,L28=1,M23=1)),T23,0),I23)</f>
        <v>0</v>
      </c>
      <c r="W23" s="30"/>
      <c r="X23" s="30"/>
      <c r="Y23" s="30"/>
      <c r="Z23" s="30"/>
      <c r="AA23" s="30"/>
      <c r="AB23" s="31"/>
      <c r="AC23" s="6"/>
      <c r="AD23" s="44">
        <v>1931</v>
      </c>
      <c r="AE23" s="45">
        <f>VLOOKUP(AD23,Flags!$A$13:$B$95,2,FALSE)</f>
        <v>5</v>
      </c>
      <c r="AF23" s="44">
        <f t="shared" si="6"/>
        <v>174.23468879132233</v>
      </c>
      <c r="AG23" s="44">
        <f t="shared" si="7"/>
        <v>237.08630226828836</v>
      </c>
      <c r="AH23" s="44">
        <f t="shared" si="8"/>
        <v>87.457805528877202</v>
      </c>
      <c r="AI23" s="44">
        <f t="shared" si="9"/>
        <v>22998.790061660642</v>
      </c>
      <c r="AJ23" s="44">
        <f t="shared" si="10"/>
        <v>417.20645168840394</v>
      </c>
      <c r="AK23" s="44">
        <f t="shared" si="1"/>
        <v>377.63865161738124</v>
      </c>
      <c r="AL23" s="44">
        <f t="shared" si="11"/>
        <v>87.457805528877202</v>
      </c>
      <c r="AN23" s="6">
        <f>AO15</f>
        <v>32.198400901722039</v>
      </c>
      <c r="AO23">
        <f t="shared" ref="AO23:AO33" si="26">COUNTIF($AL$14:$AL$94,"&gt;"&amp;AN23)</f>
        <v>22</v>
      </c>
      <c r="AP23">
        <f>AVERAGEIF($AL$14:$AL$94,"&gt;"&amp;AN23)</f>
        <v>117.55919035979628</v>
      </c>
    </row>
    <row r="24" spans="1:42" x14ac:dyDescent="0.3">
      <c r="A24" s="32">
        <f>VLOOKUP(YEAR(C24),Flags!$A$13:$B$95,2,FALSE)</f>
        <v>3</v>
      </c>
      <c r="B24" s="24">
        <f t="shared" si="2"/>
        <v>1923</v>
      </c>
      <c r="C24" s="25">
        <v>8552</v>
      </c>
      <c r="D24" s="26">
        <f>VLOOKUP($C24,COS!$B$8:$H$991,3,FALSE)</f>
        <v>9231.1298828125</v>
      </c>
      <c r="E24" s="24">
        <f>IF(D24&gt;=IF(MONTH($C24)=4,$C$3,IF(MONTH($C24)=5,$C$4,IF(MONTH($C24)=6,$C$5,IF(MONTH($C24)=7,$C$6,"ERROR")))),1,0)</f>
        <v>1</v>
      </c>
      <c r="F24" s="26">
        <f>VLOOKUP($C24,COS!$B$8:$H$991,7,FALSE)</f>
        <v>55.448532104492188</v>
      </c>
      <c r="G24" s="24">
        <f>IF(F24&lt;=IF(MONTH($C24)=4,$F$3,IF(MONTH($C24)=5,$F$4,IF(MONTH($C24)=6,$F$5,IF(MONTH($C24)=7,$F$6,"ERROR")))),1,0)</f>
        <v>1</v>
      </c>
      <c r="H24" s="26">
        <f>IF(J24=1,D24-$C$4,0)</f>
        <v>3231.1298828125</v>
      </c>
      <c r="I24" s="26">
        <f t="shared" si="17"/>
        <v>198.67443246384298</v>
      </c>
      <c r="J24" s="24">
        <f t="shared" si="18"/>
        <v>1</v>
      </c>
      <c r="K24" s="26">
        <f>VLOOKUP($C24,COS!$B$8:$H$991,2,FALSE)</f>
        <v>3524.205322265625</v>
      </c>
      <c r="L24" s="24">
        <f t="shared" si="19"/>
        <v>1</v>
      </c>
      <c r="M24" s="24">
        <f t="shared" si="20"/>
        <v>0</v>
      </c>
      <c r="N24" s="26">
        <f>VLOOKUP($C24,COS!$B$8:$H$991,5,FALSE)</f>
        <v>301.41696166992188</v>
      </c>
      <c r="O24" s="26">
        <f t="shared" si="21"/>
        <v>18.533406568795193</v>
      </c>
      <c r="P24" s="26">
        <f>VLOOKUP($C24,COS!$B$8:$H$991,6,FALSE)</f>
        <v>2265.772216796875</v>
      </c>
      <c r="Q24" s="26">
        <f t="shared" si="22"/>
        <v>139.31690324767561</v>
      </c>
      <c r="R24" s="26">
        <f>MIN(IF(MONTH($C24)=4,$S$3,IF(MONTH($C24)=5,$S$4,IF(MONTH($C24)=6,$S$5,IF(MONTH($C24)=7,$S$6,"ERROR")))),MAX(VLOOKUP($C24,COS!$B$8:$K$991,10,FALSE)-IF(MONTH($C24)=4,$Y$3,IF(MONTH($C24)=5,$Y$4,IF(MONTH($C24)=6,$Y$5,IF(MONTH($C24)=7,$Y$6,"ERROR")))),0),MAX(VLOOKUP($C24,COS!$B$8:$K$991,9,FALSE)-IF(MONTH($C24)=4,$V$3,IF(MONTH($C24)=5,$V$4,IF(MONTH($C24)=6,$V$5,IF(MONTH($C24)=7,$V$6,"ERROR"))))-VLOOKUP($C24,COS!$B$8:$K$991,6,FALSE)/2,0))</f>
        <v>0</v>
      </c>
      <c r="S24" s="26">
        <f t="shared" si="23"/>
        <v>0</v>
      </c>
      <c r="T24" s="26">
        <f t="shared" si="24"/>
        <v>78.925154908235399</v>
      </c>
      <c r="U24" s="26" t="str">
        <f>IF(VLOOKUP($C24,COS!$B$8:$I$991,8,FALSE)=1,"UWFE","IBU")</f>
        <v>UWFE</v>
      </c>
      <c r="V24" s="26">
        <f t="shared" ref="V24" si="27">MIN(IF(IF($AA$3=2,AND(E24=1,G24=1,L24=1,L28=1,M24=1,U24="IBU"),AND(E24=1,G24=1,L24=1,L28=1,M24=1)),T24,0),I24)</f>
        <v>0</v>
      </c>
      <c r="W24" s="26"/>
      <c r="X24" s="26"/>
      <c r="Y24" s="26"/>
      <c r="Z24" s="26"/>
      <c r="AA24" s="26"/>
      <c r="AB24" s="33"/>
      <c r="AC24" s="6"/>
      <c r="AD24" s="44">
        <v>1932</v>
      </c>
      <c r="AE24" s="45">
        <f>VLOOKUP(AD24,Flags!$A$13:$B$95,2,FALSE)</f>
        <v>5</v>
      </c>
      <c r="AF24" s="44">
        <f t="shared" si="6"/>
        <v>0</v>
      </c>
      <c r="AG24" s="44">
        <f t="shared" si="7"/>
        <v>232.1206868220558</v>
      </c>
      <c r="AH24" s="44">
        <f t="shared" si="8"/>
        <v>0</v>
      </c>
      <c r="AI24" s="44">
        <f t="shared" si="9"/>
        <v>22993.963981146695</v>
      </c>
      <c r="AJ24" s="44">
        <f t="shared" si="10"/>
        <v>468.21170793517558</v>
      </c>
      <c r="AK24" s="44">
        <f t="shared" si="1"/>
        <v>269.78905911027891</v>
      </c>
      <c r="AL24" s="44">
        <f t="shared" si="11"/>
        <v>0</v>
      </c>
      <c r="AN24" s="6">
        <v>15</v>
      </c>
      <c r="AO24">
        <f t="shared" si="26"/>
        <v>23</v>
      </c>
      <c r="AP24">
        <f>AVERAGEIF($AL$14:$AL$94,"&gt;"&amp;AN24)</f>
        <v>113.39436839302108</v>
      </c>
    </row>
    <row r="25" spans="1:42" x14ac:dyDescent="0.3">
      <c r="A25" s="32">
        <f>VLOOKUP(YEAR(C25),Flags!$A$13:$B$95,2,FALSE)</f>
        <v>3</v>
      </c>
      <c r="B25" s="24">
        <f t="shared" si="2"/>
        <v>1923</v>
      </c>
      <c r="C25" s="25">
        <v>8582</v>
      </c>
      <c r="D25" s="26">
        <f>VLOOKUP($C25,COS!$B$8:$H$991,3,FALSE)</f>
        <v>9187.771484375</v>
      </c>
      <c r="E25" s="24">
        <f>IF(D25&gt;=IF(MONTH($C25)=4,$C$3,IF(MONTH($C25)=5,$C$4,IF(MONTH($C25)=6,$C$5,IF(MONTH($C25)=7,$C$6,"ERROR")))),1,0)</f>
        <v>0</v>
      </c>
      <c r="F25" s="26">
        <f>VLOOKUP($C25,COS!$B$8:$H$991,7,FALSE)</f>
        <v>53.151496887207031</v>
      </c>
      <c r="G25" s="24">
        <f>IF(F25&lt;=IF(MONTH($C25)=4,$F$3,IF(MONTH($C25)=5,$F$4,IF(MONTH($C25)=6,$F$5,IF(MONTH($C25)=7,$F$6,"ERROR")))),1,0)</f>
        <v>1</v>
      </c>
      <c r="H25" s="26">
        <f>IF(J25=1,D25-$C$5,0)</f>
        <v>0</v>
      </c>
      <c r="I25" s="26">
        <f t="shared" si="17"/>
        <v>0</v>
      </c>
      <c r="J25" s="24">
        <f t="shared" si="18"/>
        <v>0</v>
      </c>
      <c r="K25" s="26">
        <f>VLOOKUP($C25,COS!$B$8:$H$991,2,FALSE)</f>
        <v>3273.186279296875</v>
      </c>
      <c r="L25" s="24">
        <f t="shared" si="19"/>
        <v>1</v>
      </c>
      <c r="M25" s="24">
        <f t="shared" si="20"/>
        <v>0</v>
      </c>
      <c r="N25" s="26">
        <f>VLOOKUP($C25,COS!$B$8:$H$991,5,FALSE)</f>
        <v>530.37872314453125</v>
      </c>
      <c r="O25" s="26">
        <f t="shared" si="21"/>
        <v>31.559725674715907</v>
      </c>
      <c r="P25" s="26">
        <f>VLOOKUP($C25,COS!$B$8:$H$991,6,FALSE)</f>
        <v>2621.187744140625</v>
      </c>
      <c r="Q25" s="26">
        <f t="shared" si="22"/>
        <v>155.97150213068181</v>
      </c>
      <c r="R25" s="26">
        <f>MIN(IF(MONTH($C25)=4,$S$3,IF(MONTH($C25)=5,$S$4,IF(MONTH($C25)=6,$S$5,IF(MONTH($C25)=7,$S$6,"ERROR")))),MAX(VLOOKUP($C25,COS!$B$8:$K$991,10,FALSE)-IF(MONTH($C25)=4,$Y$3,IF(MONTH($C25)=5,$Y$4,IF(MONTH($C25)=6,$Y$5,IF(MONTH($C25)=7,$Y$6,"ERROR")))),0),MAX(VLOOKUP($C25,COS!$B$8:$K$991,9,FALSE)-IF(MONTH($C25)=4,$V$3,IF(MONTH($C25)=5,$V$4,IF(MONTH($C25)=6,$V$5,IF(MONTH($C25)=7,$V$6,"ERROR"))))-VLOOKUP($C25,COS!$B$8:$K$991,6,FALSE)/2,0))</f>
        <v>0</v>
      </c>
      <c r="S25" s="26">
        <f t="shared" si="23"/>
        <v>0</v>
      </c>
      <c r="T25" s="26">
        <f t="shared" si="24"/>
        <v>93.76561390269886</v>
      </c>
      <c r="U25" s="26" t="str">
        <f>IF(VLOOKUP($C25,COS!$B$8:$I$991,8,FALSE)=1,"UWFE","IBU")</f>
        <v>IBU</v>
      </c>
      <c r="V25" s="26">
        <f t="shared" ref="V25" si="28">MIN(IF(IF($AA$3=2,AND(E25=1,G25=1,L25=1,L28=1,M25=1,U25="IBU"),AND(E25=1,G25=1,L25=1,L28=1,M25=1)),T25,0),I25)</f>
        <v>0</v>
      </c>
      <c r="W25" s="26"/>
      <c r="X25" s="26"/>
      <c r="Y25" s="26"/>
      <c r="Z25" s="26"/>
      <c r="AA25" s="26"/>
      <c r="AB25" s="33"/>
      <c r="AC25" s="6"/>
      <c r="AD25" s="44">
        <v>1933</v>
      </c>
      <c r="AE25" s="45">
        <f>VLOOKUP(AD25,Flags!$A$13:$B$95,2,FALSE)</f>
        <v>5</v>
      </c>
      <c r="AF25" s="44">
        <f t="shared" si="6"/>
        <v>30.825164643595041</v>
      </c>
      <c r="AG25" s="44">
        <f t="shared" si="7"/>
        <v>252.37819543255262</v>
      </c>
      <c r="AH25" s="44">
        <f t="shared" si="8"/>
        <v>0</v>
      </c>
      <c r="AI25" s="44">
        <f t="shared" si="9"/>
        <v>22995.803822959708</v>
      </c>
      <c r="AJ25" s="44">
        <f t="shared" si="10"/>
        <v>364.82492195570762</v>
      </c>
      <c r="AK25" s="44">
        <f t="shared" si="1"/>
        <v>284.78267457063532</v>
      </c>
      <c r="AL25" s="44">
        <f t="shared" si="11"/>
        <v>0</v>
      </c>
      <c r="AN25" s="6">
        <v>30</v>
      </c>
      <c r="AO25">
        <f t="shared" si="26"/>
        <v>22</v>
      </c>
      <c r="AP25">
        <f t="shared" ref="AP25:AP33" si="29">AVERAGEIF($AL$14:$AL$94,"&gt;"&amp;AN25)</f>
        <v>117.55919035979628</v>
      </c>
    </row>
    <row r="26" spans="1:42" x14ac:dyDescent="0.3">
      <c r="A26" s="32">
        <f>VLOOKUP(YEAR(C26),Flags!$A$13:$B$95,2,FALSE)</f>
        <v>3</v>
      </c>
      <c r="B26" s="24">
        <f t="shared" si="2"/>
        <v>1923</v>
      </c>
      <c r="C26" s="25">
        <v>8613</v>
      </c>
      <c r="D26" s="26">
        <f>VLOOKUP($C26,COS!$B$8:$H$991,3,FALSE)</f>
        <v>11611.94921875</v>
      </c>
      <c r="E26" s="24">
        <f>IF(D26&gt;=IF(MONTH($C26)=4,$C$3,IF(MONTH($C26)=5,$C$4,IF(MONTH($C26)=6,$C$5,IF(MONTH($C26)=7,$C$6,"ERROR")))),1,0)</f>
        <v>0</v>
      </c>
      <c r="F26" s="26">
        <f>VLOOKUP($C26,COS!$B$8:$H$991,7,FALSE)</f>
        <v>55.377204895019531</v>
      </c>
      <c r="G26" s="24">
        <f>IF(F26&lt;=IF(MONTH($C26)=4,$F$3,IF(MONTH($C26)=5,$F$4,IF(MONTH($C26)=6,$F$5,IF(MONTH($C26)=7,$F$6,"ERROR")))),1,0)</f>
        <v>0</v>
      </c>
      <c r="H26" s="26">
        <f>IF(J26=1,D26-$C$6,0)</f>
        <v>0</v>
      </c>
      <c r="I26" s="26">
        <f t="shared" si="17"/>
        <v>0</v>
      </c>
      <c r="J26" s="24">
        <f t="shared" si="18"/>
        <v>0</v>
      </c>
      <c r="K26" s="26">
        <f>VLOOKUP($C26,COS!$B$8:$H$991,2,FALSE)</f>
        <v>2867.132080078125</v>
      </c>
      <c r="L26" s="24">
        <f t="shared" si="19"/>
        <v>1</v>
      </c>
      <c r="M26" s="24">
        <f t="shared" si="20"/>
        <v>0</v>
      </c>
      <c r="N26" s="26">
        <f>VLOOKUP($C26,COS!$B$8:$H$991,5,FALSE)</f>
        <v>613.4034423828125</v>
      </c>
      <c r="O26" s="26">
        <f t="shared" si="21"/>
        <v>37.716707531637397</v>
      </c>
      <c r="P26" s="26">
        <f>VLOOKUP($C26,COS!$B$8:$H$991,6,FALSE)</f>
        <v>2537.385498046875</v>
      </c>
      <c r="Q26" s="26">
        <f t="shared" si="22"/>
        <v>156.01775293775825</v>
      </c>
      <c r="R26" s="26">
        <f>MIN(IF(MONTH($C26)=4,$S$3,IF(MONTH($C26)=5,$S$4,IF(MONTH($C26)=6,$S$5,IF(MONTH($C26)=7,$S$6,"ERROR")))),MAX(VLOOKUP($C26,COS!$B$8:$K$991,10,FALSE)-IF(MONTH($C26)=4,$Y$3,IF(MONTH($C26)=5,$Y$4,IF(MONTH($C26)=6,$Y$5,IF(MONTH($C26)=7,$Y$6,"ERROR")))),0),MAX(VLOOKUP($C26,COS!$B$8:$K$991,9,FALSE)-IF(MONTH($C26)=4,$V$3,IF(MONTH($C26)=5,$V$4,IF(MONTH($C26)=6,$V$5,IF(MONTH($C26)=7,$V$6,"ERROR"))))-VLOOKUP($C26,COS!$B$8:$K$991,6,FALSE)/2,0))</f>
        <v>0</v>
      </c>
      <c r="S26" s="26">
        <f t="shared" si="23"/>
        <v>0</v>
      </c>
      <c r="T26" s="26">
        <f t="shared" si="24"/>
        <v>96.867230234697814</v>
      </c>
      <c r="U26" s="26" t="str">
        <f>IF(VLOOKUP($C26,COS!$B$8:$I$991,8,FALSE)=1,"UWFE","IBU")</f>
        <v>IBU</v>
      </c>
      <c r="V26" s="26">
        <f t="shared" ref="V26" si="30">MIN(IF(IF($AA$3=2,AND(E26=1,G26=1,L26=1,L28=1,M26=1,U26="IBU"),AND(E26=1,G26=1,L26=1,L28=1,M26=1)),T26,0),I26)</f>
        <v>0</v>
      </c>
      <c r="W26" s="26"/>
      <c r="X26" s="26"/>
      <c r="Y26" s="26"/>
      <c r="Z26" s="26"/>
      <c r="AA26" s="26"/>
      <c r="AB26" s="33"/>
      <c r="AC26" s="6"/>
      <c r="AD26" s="44">
        <v>1934</v>
      </c>
      <c r="AE26" s="45">
        <f>VLOOKUP(AD26,Flags!$A$13:$B$95,2,FALSE)</f>
        <v>5</v>
      </c>
      <c r="AF26" s="44">
        <f t="shared" si="6"/>
        <v>61.140804816632233</v>
      </c>
      <c r="AG26" s="44">
        <f t="shared" si="7"/>
        <v>255.65796056826252</v>
      </c>
      <c r="AH26" s="44">
        <f t="shared" si="8"/>
        <v>61.140804816632233</v>
      </c>
      <c r="AI26" s="44">
        <f t="shared" si="9"/>
        <v>23163.341852886104</v>
      </c>
      <c r="AJ26" s="44">
        <f t="shared" si="10"/>
        <v>541.70656306495357</v>
      </c>
      <c r="AK26" s="44">
        <f t="shared" si="1"/>
        <v>464.95812314372415</v>
      </c>
      <c r="AL26" s="44">
        <f t="shared" si="11"/>
        <v>61.140804816632233</v>
      </c>
      <c r="AN26" s="6">
        <v>60</v>
      </c>
      <c r="AO26">
        <f t="shared" si="26"/>
        <v>20</v>
      </c>
      <c r="AP26">
        <f t="shared" si="29"/>
        <v>125.43299123978417</v>
      </c>
    </row>
    <row r="27" spans="1:42" x14ac:dyDescent="0.3">
      <c r="A27" s="32">
        <f>VLOOKUP(YEAR(C27),Flags!$A$13:$B$95,2,FALSE)</f>
        <v>3</v>
      </c>
      <c r="B27" s="24">
        <f t="shared" si="2"/>
        <v>1923</v>
      </c>
      <c r="C27" s="25">
        <v>8644</v>
      </c>
      <c r="D27" s="26"/>
      <c r="E27" s="24"/>
      <c r="F27" s="26"/>
      <c r="G27" s="24"/>
      <c r="H27" s="24"/>
      <c r="I27" s="26"/>
      <c r="J27" s="24"/>
      <c r="K27" s="26"/>
      <c r="L27" s="24"/>
      <c r="M27" s="24"/>
      <c r="N27" s="26"/>
      <c r="O27" s="26"/>
      <c r="P27" s="26"/>
      <c r="Q27" s="26"/>
      <c r="R27" s="26"/>
      <c r="S27" s="26"/>
      <c r="T27" s="26"/>
      <c r="U27" s="26"/>
      <c r="V27" s="26"/>
      <c r="W27" s="26">
        <f>MAX($C$7-VLOOKUP($C27,COS!$B$8:$H$991,3,FALSE),0)</f>
        <v>90980.109375</v>
      </c>
      <c r="X27" s="26">
        <f t="shared" ref="X27:X90" si="31">W27*DAY($C27)*86400/43560/1000</f>
        <v>5594.1488739669421</v>
      </c>
      <c r="Y27" s="26">
        <f>VLOOKUP($C27,COS!$B$8:$H$991,4,FALSE)</f>
        <v>223.26168823242188</v>
      </c>
      <c r="Z27" s="26">
        <f t="shared" ref="Z27:Z90" si="32">Y27*DAY($C27)*86400/43560/1000</f>
        <v>13.727826119415031</v>
      </c>
      <c r="AA27" s="26">
        <f t="shared" ref="AA27:AA31" si="33">MIN(W27,Y27)</f>
        <v>223.26168823242188</v>
      </c>
      <c r="AB27" s="33">
        <f t="shared" ref="AB27:AB85" si="34">AA27*DAY($C27)*86400/43560/1000*IF(MONTH($C27)=8,$P$3,IF(MONTH($C27)=9,$P$4,IF(MONTH($C27)=10,$P$5,IF(MONTH($C27)=11,$P$6,IF(MONTH($C27)=12,$P$7,NA())))))</f>
        <v>13.727826119415031</v>
      </c>
      <c r="AC27" s="6"/>
      <c r="AD27" s="43">
        <v>1935</v>
      </c>
      <c r="AE27" s="1">
        <f>VLOOKUP(AD27,Flags!$A$13:$B$95,2,FALSE)</f>
        <v>4</v>
      </c>
      <c r="AF27" s="43">
        <f t="shared" si="6"/>
        <v>0</v>
      </c>
      <c r="AG27" s="43">
        <f t="shared" si="7"/>
        <v>258.92879118801147</v>
      </c>
      <c r="AH27" s="43">
        <f t="shared" si="8"/>
        <v>0</v>
      </c>
      <c r="AI27" s="43">
        <f t="shared" si="9"/>
        <v>23012.192735989156</v>
      </c>
      <c r="AJ27" s="43">
        <f t="shared" si="10"/>
        <v>121.23425982388584</v>
      </c>
      <c r="AK27" s="43">
        <f t="shared" si="1"/>
        <v>106.91905838391013</v>
      </c>
      <c r="AL27" s="43">
        <f t="shared" si="11"/>
        <v>0</v>
      </c>
      <c r="AN27" s="6">
        <v>90</v>
      </c>
      <c r="AO27">
        <f t="shared" si="26"/>
        <v>14</v>
      </c>
      <c r="AP27">
        <f t="shared" si="29"/>
        <v>145.61419782667824</v>
      </c>
    </row>
    <row r="28" spans="1:42" x14ac:dyDescent="0.3">
      <c r="A28" s="32">
        <f>VLOOKUP(YEAR(C28),Flags!$A$13:$B$95,2,FALSE)</f>
        <v>3</v>
      </c>
      <c r="B28" s="24">
        <f t="shared" si="2"/>
        <v>1923</v>
      </c>
      <c r="C28" s="25">
        <v>8674</v>
      </c>
      <c r="D28" s="26"/>
      <c r="E28" s="24"/>
      <c r="F28" s="26"/>
      <c r="G28" s="24"/>
      <c r="H28" s="24"/>
      <c r="I28" s="26"/>
      <c r="J28" s="24"/>
      <c r="K28" s="26">
        <f>VLOOKUP($C28,COS!$B$8:$H$991,2,FALSE)</f>
        <v>2596.2392578125</v>
      </c>
      <c r="L28" s="24">
        <f t="shared" ref="L28" si="35">IF(AND(K28&gt;$I$7,K28&lt;$I$8),1,0)</f>
        <v>1</v>
      </c>
      <c r="M28" s="24"/>
      <c r="N28" s="26"/>
      <c r="O28" s="26"/>
      <c r="P28" s="26"/>
      <c r="Q28" s="26"/>
      <c r="R28" s="26"/>
      <c r="S28" s="26"/>
      <c r="T28" s="26"/>
      <c r="U28" s="26"/>
      <c r="V28" s="26"/>
      <c r="W28" s="26">
        <f>MAX($C$8-VLOOKUP($C28,COS!$B$8:$H$991,3,FALSE),0)</f>
        <v>95583.35595703125</v>
      </c>
      <c r="X28" s="26">
        <f t="shared" si="31"/>
        <v>5687.6046519886368</v>
      </c>
      <c r="Y28" s="26">
        <f>VLOOKUP($C28,COS!$B$8:$H$991,4,FALSE)</f>
        <v>0</v>
      </c>
      <c r="Z28" s="26">
        <f t="shared" si="32"/>
        <v>0</v>
      </c>
      <c r="AA28" s="26">
        <f t="shared" si="33"/>
        <v>0</v>
      </c>
      <c r="AB28" s="33">
        <f t="shared" si="34"/>
        <v>0</v>
      </c>
      <c r="AC28" s="6"/>
      <c r="AD28" s="43">
        <v>1936</v>
      </c>
      <c r="AE28" s="1">
        <f>VLOOKUP(AD28,Flags!$A$13:$B$95,2,FALSE)</f>
        <v>3</v>
      </c>
      <c r="AF28" s="43">
        <f t="shared" si="6"/>
        <v>0</v>
      </c>
      <c r="AG28" s="43">
        <f t="shared" si="7"/>
        <v>277.09061130996577</v>
      </c>
      <c r="AH28" s="43">
        <f t="shared" si="8"/>
        <v>0</v>
      </c>
      <c r="AI28" s="43">
        <f t="shared" si="9"/>
        <v>22674.993048811983</v>
      </c>
      <c r="AJ28" s="43">
        <f t="shared" si="10"/>
        <v>178.08673882602659</v>
      </c>
      <c r="AK28" s="43">
        <f t="shared" si="1"/>
        <v>107.09379299699768</v>
      </c>
      <c r="AL28" s="43">
        <f t="shared" si="11"/>
        <v>0</v>
      </c>
      <c r="AN28" s="6">
        <v>100</v>
      </c>
      <c r="AO28">
        <f t="shared" si="26"/>
        <v>11</v>
      </c>
      <c r="AP28">
        <f t="shared" si="29"/>
        <v>160.1221897024933</v>
      </c>
    </row>
    <row r="29" spans="1:42" x14ac:dyDescent="0.3">
      <c r="A29" s="32">
        <f>VLOOKUP(YEAR(C29),Flags!$A$13:$B$95,2,FALSE)</f>
        <v>3</v>
      </c>
      <c r="B29" s="24">
        <f t="shared" si="2"/>
        <v>1923</v>
      </c>
      <c r="C29" s="25">
        <v>8705</v>
      </c>
      <c r="D29" s="26"/>
      <c r="E29" s="24"/>
      <c r="F29" s="26"/>
      <c r="G29" s="26"/>
      <c r="H29" s="26"/>
      <c r="I29" s="26"/>
      <c r="J29" s="26"/>
      <c r="K29" s="26"/>
      <c r="L29" s="24"/>
      <c r="M29" s="24"/>
      <c r="N29" s="26"/>
      <c r="O29" s="26"/>
      <c r="P29" s="26"/>
      <c r="Q29" s="26"/>
      <c r="R29" s="26"/>
      <c r="S29" s="26"/>
      <c r="T29" s="26"/>
      <c r="U29" s="26"/>
      <c r="V29" s="26"/>
      <c r="W29" s="26">
        <f>MAX($C$9-VLOOKUP($C29,COS!$B$8:$H$991,3,FALSE),0)</f>
        <v>95392.662109375</v>
      </c>
      <c r="X29" s="26">
        <f t="shared" si="31"/>
        <v>5865.4661660640504</v>
      </c>
      <c r="Y29" s="26">
        <f>VLOOKUP($C29,COS!$B$8:$H$991,4,FALSE)</f>
        <v>906.51263427734375</v>
      </c>
      <c r="Z29" s="26">
        <f t="shared" si="32"/>
        <v>55.739289248127584</v>
      </c>
      <c r="AA29" s="26">
        <f t="shared" si="33"/>
        <v>906.51263427734375</v>
      </c>
      <c r="AB29" s="33">
        <f t="shared" si="34"/>
        <v>55.739289248127584</v>
      </c>
      <c r="AC29" s="6"/>
      <c r="AD29" s="43">
        <v>1937</v>
      </c>
      <c r="AE29" s="1">
        <f>VLOOKUP(AD29,Flags!$A$13:$B$95,2,FALSE)</f>
        <v>4</v>
      </c>
      <c r="AF29" s="43">
        <f t="shared" si="6"/>
        <v>0</v>
      </c>
      <c r="AG29" s="43">
        <f t="shared" si="7"/>
        <v>281.8801218218843</v>
      </c>
      <c r="AH29" s="43">
        <f t="shared" si="8"/>
        <v>0</v>
      </c>
      <c r="AI29" s="43">
        <f t="shared" si="9"/>
        <v>22514.116536996382</v>
      </c>
      <c r="AJ29" s="43">
        <f t="shared" si="10"/>
        <v>104.74674873288998</v>
      </c>
      <c r="AK29" s="43">
        <f t="shared" si="1"/>
        <v>104.74674873288998</v>
      </c>
      <c r="AL29" s="43">
        <f t="shared" si="11"/>
        <v>0</v>
      </c>
      <c r="AN29" s="6">
        <v>120</v>
      </c>
      <c r="AO29">
        <f t="shared" si="26"/>
        <v>7</v>
      </c>
      <c r="AP29">
        <f t="shared" si="29"/>
        <v>192.18322728036568</v>
      </c>
    </row>
    <row r="30" spans="1:42" x14ac:dyDescent="0.3">
      <c r="A30" s="32">
        <f>VLOOKUP(YEAR(C30),Flags!$A$13:$B$95,2,FALSE)</f>
        <v>3</v>
      </c>
      <c r="B30" s="24">
        <f t="shared" si="2"/>
        <v>1923</v>
      </c>
      <c r="C30" s="25">
        <v>8735</v>
      </c>
      <c r="D30" s="26"/>
      <c r="E30" s="24"/>
      <c r="F30" s="26"/>
      <c r="G30" s="26"/>
      <c r="H30" s="26"/>
      <c r="I30" s="26"/>
      <c r="J30" s="26"/>
      <c r="K30" s="26"/>
      <c r="L30" s="24"/>
      <c r="M30" s="24"/>
      <c r="N30" s="26"/>
      <c r="O30" s="26"/>
      <c r="P30" s="26"/>
      <c r="Q30" s="26"/>
      <c r="R30" s="26"/>
      <c r="S30" s="26"/>
      <c r="T30" s="26"/>
      <c r="U30" s="26"/>
      <c r="V30" s="26"/>
      <c r="W30" s="26">
        <f>MAX($C$10-VLOOKUP($C30,COS!$B$8:$H$991,3,FALSE),0)</f>
        <v>94286.98779296875</v>
      </c>
      <c r="X30" s="26">
        <f t="shared" si="31"/>
        <v>5610.4653893336772</v>
      </c>
      <c r="Y30" s="26">
        <f>VLOOKUP($C30,COS!$B$8:$H$991,4,FALSE)</f>
        <v>1181.566162109375</v>
      </c>
      <c r="Z30" s="26">
        <f t="shared" si="32"/>
        <v>70.308069150309919</v>
      </c>
      <c r="AA30" s="26">
        <f t="shared" si="33"/>
        <v>1181.566162109375</v>
      </c>
      <c r="AB30" s="33">
        <f>AA30*DAY($C30)*86400/43560/1000*IF(MONTH($C30)=8,$P$3,IF(MONTH($C30)=9,$P$4,IF(MONTH($C30)=10,$P$5,IF(MONTH($C30)=11,$P$6,IF(MONTH($C30)=12,$P$7,NA())))))</f>
        <v>35.154034575154959</v>
      </c>
      <c r="AC30" s="6"/>
      <c r="AD30" s="43">
        <v>1938</v>
      </c>
      <c r="AE30" s="1">
        <f>VLOOKUP(AD30,Flags!$A$13:$B$95,2,FALSE)</f>
        <v>1</v>
      </c>
      <c r="AF30" s="43">
        <f t="shared" si="6"/>
        <v>467.85146435950412</v>
      </c>
      <c r="AG30" s="43">
        <f t="shared" si="7"/>
        <v>322.32338306269367</v>
      </c>
      <c r="AH30" s="43">
        <f t="shared" si="8"/>
        <v>0</v>
      </c>
      <c r="AI30" s="43">
        <f t="shared" si="9"/>
        <v>21785.538172778928</v>
      </c>
      <c r="AJ30" s="43">
        <f t="shared" si="10"/>
        <v>2.9732576581466295</v>
      </c>
      <c r="AK30" s="43">
        <f t="shared" si="1"/>
        <v>2.9732576581466295</v>
      </c>
      <c r="AL30" s="43">
        <f t="shared" si="11"/>
        <v>0</v>
      </c>
      <c r="AN30" s="6">
        <v>150</v>
      </c>
      <c r="AO30">
        <f t="shared" si="26"/>
        <v>7</v>
      </c>
      <c r="AP30">
        <f t="shared" si="29"/>
        <v>192.18322728036568</v>
      </c>
    </row>
    <row r="31" spans="1:42" x14ac:dyDescent="0.3">
      <c r="A31" s="34">
        <f>VLOOKUP(YEAR(C31),Flags!$A$13:$B$95,2,FALSE)</f>
        <v>3</v>
      </c>
      <c r="B31" s="35">
        <f t="shared" si="2"/>
        <v>1923</v>
      </c>
      <c r="C31" s="36">
        <v>8766</v>
      </c>
      <c r="D31" s="37"/>
      <c r="E31" s="35"/>
      <c r="F31" s="37"/>
      <c r="G31" s="37"/>
      <c r="H31" s="37"/>
      <c r="I31" s="37"/>
      <c r="J31" s="37"/>
      <c r="K31" s="37"/>
      <c r="L31" s="35"/>
      <c r="M31" s="35"/>
      <c r="N31" s="37"/>
      <c r="O31" s="37"/>
      <c r="P31" s="37"/>
      <c r="Q31" s="37"/>
      <c r="R31" s="37"/>
      <c r="S31" s="37"/>
      <c r="T31" s="37"/>
      <c r="U31" s="37"/>
      <c r="V31" s="37"/>
      <c r="W31" s="37">
        <f>MAX($C$11-VLOOKUP($C31,COS!$B$8:$H$991,3,FALSE),0)</f>
        <v>0</v>
      </c>
      <c r="X31" s="37">
        <f t="shared" si="31"/>
        <v>0</v>
      </c>
      <c r="Y31" s="37">
        <f>VLOOKUP($C31,COS!$B$8:$H$991,4,FALSE)</f>
        <v>1277.1646728515625</v>
      </c>
      <c r="Z31" s="37">
        <f t="shared" si="32"/>
        <v>78.529794760459708</v>
      </c>
      <c r="AA31" s="37">
        <f t="shared" si="33"/>
        <v>0</v>
      </c>
      <c r="AB31" s="38">
        <f t="shared" si="34"/>
        <v>0</v>
      </c>
      <c r="AC31" s="6"/>
      <c r="AD31" s="43">
        <v>1939</v>
      </c>
      <c r="AE31" s="1">
        <f>VLOOKUP(AD31,Flags!$A$13:$B$95,2,FALSE)</f>
        <v>3</v>
      </c>
      <c r="AF31" s="43">
        <f t="shared" si="6"/>
        <v>397.28989733987601</v>
      </c>
      <c r="AG31" s="43">
        <f t="shared" si="7"/>
        <v>313.83408313089166</v>
      </c>
      <c r="AH31" s="43">
        <f t="shared" si="8"/>
        <v>0</v>
      </c>
      <c r="AI31" s="43">
        <f t="shared" si="9"/>
        <v>22291.087903861051</v>
      </c>
      <c r="AJ31" s="43">
        <f t="shared" si="10"/>
        <v>623.40796705513947</v>
      </c>
      <c r="AK31" s="43">
        <f t="shared" si="1"/>
        <v>458.50778029764984</v>
      </c>
      <c r="AL31" s="43">
        <f t="shared" si="11"/>
        <v>0</v>
      </c>
      <c r="AN31" s="6">
        <v>180</v>
      </c>
      <c r="AO31">
        <f t="shared" si="26"/>
        <v>3</v>
      </c>
      <c r="AP31">
        <f t="shared" si="29"/>
        <v>222.94323581159608</v>
      </c>
    </row>
    <row r="32" spans="1:42" x14ac:dyDescent="0.3">
      <c r="A32" s="27">
        <f>VLOOKUP(YEAR(C32),Flags!$A$13:$B$95,2,FALSE)</f>
        <v>5</v>
      </c>
      <c r="B32" s="28">
        <f t="shared" si="2"/>
        <v>1924</v>
      </c>
      <c r="C32" s="29">
        <v>8887</v>
      </c>
      <c r="D32" s="30">
        <f>VLOOKUP($C32,COS!$B$8:$H$991,3,FALSE)</f>
        <v>5624.3779296875</v>
      </c>
      <c r="E32" s="28">
        <f>IF(D32&gt;=IF(MONTH($C32)=4,$C$3,IF(MONTH($C32)=5,$C$4,IF(MONTH($C32)=6,$C$5,IF(MONTH($C32)=7,$C$6,"ERROR")))),1,0)</f>
        <v>0</v>
      </c>
      <c r="F32" s="30">
        <f>VLOOKUP($C32,COS!$B$8:$H$991,7,FALSE)</f>
        <v>51.900558471679688</v>
      </c>
      <c r="G32" s="28">
        <f>IF(F32&lt;=IF(MONTH($C32)=4,$F$3,IF(MONTH($C32)=5,$F$4,IF(MONTH($C32)=6,$F$5,IF(MONTH($C32)=7,$F$6,"ERROR")))),1,0)</f>
        <v>1</v>
      </c>
      <c r="H32" s="30">
        <f>IF(J32=1,D32-$C$3,0)</f>
        <v>0</v>
      </c>
      <c r="I32" s="30">
        <f t="shared" si="17"/>
        <v>0</v>
      </c>
      <c r="J32" s="28">
        <f t="shared" ref="J32:J35" si="36">IF(AND(E32=1,G32=1),1,0)</f>
        <v>0</v>
      </c>
      <c r="K32" s="30">
        <f>VLOOKUP($C32,COS!$B$8:$H$991,2,FALSE)</f>
        <v>2500</v>
      </c>
      <c r="L32" s="28">
        <f t="shared" ref="L32" si="37">IF(K32&lt;=IF(MONTH($C32)=4,$I$3,IF(MONTH($C32)=5,$I$4,IF(MONTH($C32)=6,$I$5,IF(MONTH($C32)=7,$I$6,"ERROR")))),1,0)</f>
        <v>1</v>
      </c>
      <c r="M32" s="28">
        <f t="shared" ref="M32" si="38">VLOOKUP($A32,$L$3:$M$7,2,FALSE)</f>
        <v>1</v>
      </c>
      <c r="N32" s="30">
        <f>VLOOKUP($C32,COS!$B$8:$H$991,5,FALSE)</f>
        <v>202.00408935546875</v>
      </c>
      <c r="O32" s="30">
        <f t="shared" ref="O32:O35" si="39">N32*DAY($C32)*86400/43560/1000</f>
        <v>12.020078044292354</v>
      </c>
      <c r="P32" s="30">
        <f>VLOOKUP($C32,COS!$B$8:$H$991,6,FALSE)</f>
        <v>537.10101318359375</v>
      </c>
      <c r="Q32" s="30">
        <f t="shared" ref="Q32:Q35" si="40">P32*DAY($C32)*86400/43560/1000</f>
        <v>31.959729710098141</v>
      </c>
      <c r="R32" s="30">
        <f>MIN(IF(MONTH($C32)=4,$S$3,IF(MONTH($C32)=5,$S$4,IF(MONTH($C32)=6,$S$5,IF(MONTH($C32)=7,$S$6,"ERROR")))),MAX(VLOOKUP($C32,COS!$B$8:$K$991,10,FALSE)-IF(MONTH($C32)=4,$Y$3,IF(MONTH($C32)=5,$Y$4,IF(MONTH($C32)=6,$Y$5,IF(MONTH($C32)=7,$Y$6,"ERROR")))),0),MAX(VLOOKUP($C32,COS!$B$8:$K$991,9,FALSE)-IF(MONTH($C32)=4,$V$3,IF(MONTH($C32)=5,$V$4,IF(MONTH($C32)=6,$V$5,IF(MONTH($C32)=7,$V$6,"ERROR"))))-VLOOKUP($C32,COS!$B$8:$K$991,6,FALSE)/2,0))</f>
        <v>0</v>
      </c>
      <c r="S32" s="30">
        <f t="shared" ref="S32:S35" si="41">R32*DAY($C32)*86400/43560/1000</f>
        <v>0</v>
      </c>
      <c r="T32" s="30">
        <f t="shared" ref="T32:T35" si="42">(O32+Q32)/2+S32</f>
        <v>21.989903877195246</v>
      </c>
      <c r="U32" s="30" t="str">
        <f>IF(VLOOKUP($C32,COS!$B$8:$I$991,8,FALSE)=1,"UWFE","IBU")</f>
        <v>IBU</v>
      </c>
      <c r="V32" s="30">
        <f t="shared" ref="V32" si="43">MIN(IF(IF($AA$3=2,AND(E32=1,G32=1,L32=1,L37=1,M32=1,U32="IBU"),AND(E32=1,G32=1,L32=1,L37=1,M32=1)),T32,0),I32)</f>
        <v>0</v>
      </c>
      <c r="W32" s="30"/>
      <c r="X32" s="30"/>
      <c r="Y32" s="30"/>
      <c r="Z32" s="30"/>
      <c r="AA32" s="30"/>
      <c r="AB32" s="31"/>
      <c r="AC32" s="6"/>
      <c r="AD32" s="43">
        <v>1940</v>
      </c>
      <c r="AE32" s="1">
        <f>VLOOKUP(AD32,Flags!$A$13:$B$95,2,FALSE)</f>
        <v>2</v>
      </c>
      <c r="AF32" s="43">
        <f t="shared" si="6"/>
        <v>229.39817858987604</v>
      </c>
      <c r="AG32" s="43">
        <f t="shared" si="7"/>
        <v>300.7991858818117</v>
      </c>
      <c r="AH32" s="43">
        <f t="shared" si="8"/>
        <v>0</v>
      </c>
      <c r="AI32" s="43">
        <f t="shared" si="9"/>
        <v>22070.347577479341</v>
      </c>
      <c r="AJ32" s="43">
        <f t="shared" si="10"/>
        <v>129.20468558319345</v>
      </c>
      <c r="AK32" s="43">
        <f t="shared" si="1"/>
        <v>96.313467785543651</v>
      </c>
      <c r="AL32" s="43">
        <f t="shared" si="11"/>
        <v>0</v>
      </c>
      <c r="AN32" s="6">
        <v>210</v>
      </c>
      <c r="AO32">
        <f t="shared" si="26"/>
        <v>1</v>
      </c>
      <c r="AP32">
        <f t="shared" si="29"/>
        <v>293.28102526956354</v>
      </c>
    </row>
    <row r="33" spans="1:42" x14ac:dyDescent="0.3">
      <c r="A33" s="32">
        <f>VLOOKUP(YEAR(C33),Flags!$A$13:$B$95,2,FALSE)</f>
        <v>5</v>
      </c>
      <c r="B33" s="24">
        <f t="shared" si="2"/>
        <v>1924</v>
      </c>
      <c r="C33" s="25">
        <v>8918</v>
      </c>
      <c r="D33" s="26">
        <f>VLOOKUP($C33,COS!$B$8:$H$991,3,FALSE)</f>
        <v>8620.7529296875</v>
      </c>
      <c r="E33" s="24">
        <f>IF(D33&gt;=IF(MONTH($C33)=4,$C$3,IF(MONTH($C33)=5,$C$4,IF(MONTH($C33)=6,$C$5,IF(MONTH($C33)=7,$C$6,"ERROR")))),1,0)</f>
        <v>1</v>
      </c>
      <c r="F33" s="26">
        <f>VLOOKUP($C33,COS!$B$8:$H$991,7,FALSE)</f>
        <v>55.089752197265625</v>
      </c>
      <c r="G33" s="24">
        <f>IF(F33&lt;=IF(MONTH($C33)=4,$F$3,IF(MONTH($C33)=5,$F$4,IF(MONTH($C33)=6,$F$5,IF(MONTH($C33)=7,$F$6,"ERROR")))),1,0)</f>
        <v>1</v>
      </c>
      <c r="H33" s="26">
        <f>IF(J33=1,D33-$C$4,0)</f>
        <v>2620.7529296875</v>
      </c>
      <c r="I33" s="26">
        <f t="shared" si="17"/>
        <v>161.14381650309917</v>
      </c>
      <c r="J33" s="24">
        <f t="shared" si="36"/>
        <v>1</v>
      </c>
      <c r="K33" s="26">
        <f>VLOOKUP($C33,COS!$B$8:$H$991,2,FALSE)</f>
        <v>2135.375732421875</v>
      </c>
      <c r="L33" s="24">
        <f t="shared" si="19"/>
        <v>1</v>
      </c>
      <c r="M33" s="24">
        <f t="shared" si="20"/>
        <v>1</v>
      </c>
      <c r="N33" s="26">
        <f>VLOOKUP($C33,COS!$B$8:$H$991,5,FALSE)</f>
        <v>220.09066772460938</v>
      </c>
      <c r="O33" s="26">
        <f t="shared" si="39"/>
        <v>13.532847668356148</v>
      </c>
      <c r="P33" s="26">
        <f>VLOOKUP($C33,COS!$B$8:$H$991,6,FALSE)</f>
        <v>2324.4033203125</v>
      </c>
      <c r="Q33" s="26">
        <f t="shared" si="40"/>
        <v>142.92198928202478</v>
      </c>
      <c r="R33" s="26">
        <f>MIN(IF(MONTH($C33)=4,$S$3,IF(MONTH($C33)=5,$S$4,IF(MONTH($C33)=6,$S$5,IF(MONTH($C33)=7,$S$6,"ERROR")))),MAX(VLOOKUP($C33,COS!$B$8:$K$991,10,FALSE)-IF(MONTH($C33)=4,$Y$3,IF(MONTH($C33)=5,$Y$4,IF(MONTH($C33)=6,$Y$5,IF(MONTH($C33)=7,$Y$6,"ERROR")))),0),MAX(VLOOKUP($C33,COS!$B$8:$K$991,9,FALSE)-IF(MONTH($C33)=4,$V$3,IF(MONTH($C33)=5,$V$4,IF(MONTH($C33)=6,$V$5,IF(MONTH($C33)=7,$V$6,"ERROR"))))-VLOOKUP($C33,COS!$B$8:$K$991,6,FALSE)/2,0))</f>
        <v>0</v>
      </c>
      <c r="S33" s="26">
        <f t="shared" si="41"/>
        <v>0</v>
      </c>
      <c r="T33" s="26">
        <f t="shared" si="42"/>
        <v>78.227418475190461</v>
      </c>
      <c r="U33" s="26" t="str">
        <f>IF(VLOOKUP($C33,COS!$B$8:$I$991,8,FALSE)=1,"UWFE","IBU")</f>
        <v>IBU</v>
      </c>
      <c r="V33" s="26">
        <f t="shared" ref="V33" si="44">MIN(IF(IF($AA$3=2,AND(E33=1,G33=1,L33=1,L37=1,M33=1,U33="IBU"),AND(E33=1,G33=1,L33=1,L37=1,M33=1)),T33,0),I33)</f>
        <v>78.227418475190461</v>
      </c>
      <c r="W33" s="26"/>
      <c r="X33" s="26"/>
      <c r="Y33" s="26"/>
      <c r="Z33" s="26"/>
      <c r="AA33" s="26"/>
      <c r="AB33" s="33"/>
      <c r="AC33" s="6"/>
      <c r="AD33" s="43">
        <v>1941</v>
      </c>
      <c r="AE33" s="1">
        <f>VLOOKUP(AD33,Flags!$A$13:$B$95,2,FALSE)</f>
        <v>1</v>
      </c>
      <c r="AF33" s="43">
        <f t="shared" si="6"/>
        <v>840.21232050619835</v>
      </c>
      <c r="AG33" s="43">
        <f t="shared" si="7"/>
        <v>304.14465988663602</v>
      </c>
      <c r="AH33" s="43">
        <f t="shared" si="8"/>
        <v>0</v>
      </c>
      <c r="AI33" s="43">
        <f t="shared" si="9"/>
        <v>21450.978354855375</v>
      </c>
      <c r="AJ33" s="43">
        <f t="shared" si="10"/>
        <v>62.00514242377163</v>
      </c>
      <c r="AK33" s="43">
        <f t="shared" si="1"/>
        <v>48.449239264874421</v>
      </c>
      <c r="AL33" s="43">
        <f t="shared" si="11"/>
        <v>0</v>
      </c>
      <c r="AN33" s="6">
        <v>240</v>
      </c>
      <c r="AO33">
        <f t="shared" si="26"/>
        <v>1</v>
      </c>
      <c r="AP33">
        <f t="shared" si="29"/>
        <v>293.28102526956354</v>
      </c>
    </row>
    <row r="34" spans="1:42" x14ac:dyDescent="0.3">
      <c r="A34" s="32">
        <f>VLOOKUP(YEAR(C34),Flags!$A$13:$B$95,2,FALSE)</f>
        <v>5</v>
      </c>
      <c r="B34" s="24">
        <f t="shared" si="2"/>
        <v>1924</v>
      </c>
      <c r="C34" s="25">
        <v>8948</v>
      </c>
      <c r="D34" s="26">
        <f>VLOOKUP($C34,COS!$B$8:$H$991,3,FALSE)</f>
        <v>8906.197265625</v>
      </c>
      <c r="E34" s="24">
        <f>IF(D34&gt;=IF(MONTH($C34)=4,$C$3,IF(MONTH($C34)=5,$C$4,IF(MONTH($C34)=6,$C$5,IF(MONTH($C34)=7,$C$6,"ERROR")))),1,0)</f>
        <v>0</v>
      </c>
      <c r="F34" s="26">
        <f>VLOOKUP($C34,COS!$B$8:$H$991,7,FALSE)</f>
        <v>56.186325073242188</v>
      </c>
      <c r="G34" s="24">
        <f>IF(F34&lt;=IF(MONTH($C34)=4,$F$3,IF(MONTH($C34)=5,$F$4,IF(MONTH($C34)=6,$F$5,IF(MONTH($C34)=7,$F$6,"ERROR")))),1,0)</f>
        <v>0</v>
      </c>
      <c r="H34" s="26">
        <f>IF(J34=1,D34-$C$5,0)</f>
        <v>0</v>
      </c>
      <c r="I34" s="26">
        <f t="shared" si="17"/>
        <v>0</v>
      </c>
      <c r="J34" s="24">
        <f t="shared" si="36"/>
        <v>0</v>
      </c>
      <c r="K34" s="26">
        <f>VLOOKUP($C34,COS!$B$8:$H$991,2,FALSE)</f>
        <v>1764.862060546875</v>
      </c>
      <c r="L34" s="24">
        <f t="shared" si="19"/>
        <v>1</v>
      </c>
      <c r="M34" s="24">
        <f t="shared" si="20"/>
        <v>1</v>
      </c>
      <c r="N34" s="26">
        <f>VLOOKUP($C34,COS!$B$8:$H$991,5,FALSE)</f>
        <v>251.78248596191406</v>
      </c>
      <c r="O34" s="26">
        <f t="shared" si="39"/>
        <v>14.982098338229596</v>
      </c>
      <c r="P34" s="26">
        <f>VLOOKUP($C34,COS!$B$8:$H$991,6,FALSE)</f>
        <v>2484.036376953125</v>
      </c>
      <c r="Q34" s="26">
        <f t="shared" si="40"/>
        <v>147.81042904183886</v>
      </c>
      <c r="R34" s="26">
        <f>MIN(IF(MONTH($C34)=4,$S$3,IF(MONTH($C34)=5,$S$4,IF(MONTH($C34)=6,$S$5,IF(MONTH($C34)=7,$S$6,"ERROR")))),MAX(VLOOKUP($C34,COS!$B$8:$K$991,10,FALSE)-IF(MONTH($C34)=4,$Y$3,IF(MONTH($C34)=5,$Y$4,IF(MONTH($C34)=6,$Y$5,IF(MONTH($C34)=7,$Y$6,"ERROR")))),0),MAX(VLOOKUP($C34,COS!$B$8:$K$991,9,FALSE)-IF(MONTH($C34)=4,$V$3,IF(MONTH($C34)=5,$V$4,IF(MONTH($C34)=6,$V$5,IF(MONTH($C34)=7,$V$6,"ERROR"))))-VLOOKUP($C34,COS!$B$8:$K$991,6,FALSE)/2,0))</f>
        <v>0</v>
      </c>
      <c r="S34" s="26">
        <f t="shared" si="41"/>
        <v>0</v>
      </c>
      <c r="T34" s="26">
        <f t="shared" si="42"/>
        <v>81.396263690034232</v>
      </c>
      <c r="U34" s="26" t="str">
        <f>IF(VLOOKUP($C34,COS!$B$8:$I$991,8,FALSE)=1,"UWFE","IBU")</f>
        <v>IBU</v>
      </c>
      <c r="V34" s="26">
        <f t="shared" ref="V34" si="45">MIN(IF(IF($AA$3=2,AND(E34=1,G34=1,L34=1,L37=1,M34=1,U34="IBU"),AND(E34=1,G34=1,L34=1,L37=1,M34=1)),T34,0),I34)</f>
        <v>0</v>
      </c>
      <c r="W34" s="26"/>
      <c r="X34" s="26"/>
      <c r="Y34" s="26"/>
      <c r="Z34" s="26"/>
      <c r="AA34" s="26"/>
      <c r="AB34" s="33"/>
      <c r="AC34" s="6"/>
      <c r="AD34" s="43">
        <v>1942</v>
      </c>
      <c r="AE34" s="1">
        <f>VLOOKUP(AD34,Flags!$A$13:$B$95,2,FALSE)</f>
        <v>1</v>
      </c>
      <c r="AF34" s="43">
        <f t="shared" si="6"/>
        <v>277.68167936466938</v>
      </c>
      <c r="AG34" s="43">
        <f t="shared" si="7"/>
        <v>318.48813672278538</v>
      </c>
      <c r="AH34" s="43">
        <f t="shared" si="8"/>
        <v>0</v>
      </c>
      <c r="AI34" s="43">
        <f t="shared" si="9"/>
        <v>21514.893252195248</v>
      </c>
      <c r="AJ34" s="43">
        <f t="shared" si="10"/>
        <v>142.97065114927688</v>
      </c>
      <c r="AK34" s="43">
        <f t="shared" si="1"/>
        <v>106.14138857502583</v>
      </c>
      <c r="AL34" s="43">
        <f t="shared" si="11"/>
        <v>0</v>
      </c>
      <c r="AN34" s="6"/>
    </row>
    <row r="35" spans="1:42" x14ac:dyDescent="0.3">
      <c r="A35" s="32">
        <f>VLOOKUP(YEAR(C35),Flags!$A$13:$B$95,2,FALSE)</f>
        <v>5</v>
      </c>
      <c r="B35" s="24">
        <f t="shared" si="2"/>
        <v>1924</v>
      </c>
      <c r="C35" s="25">
        <v>8979</v>
      </c>
      <c r="D35" s="26">
        <f>VLOOKUP($C35,COS!$B$8:$H$991,3,FALSE)</f>
        <v>9371.8037109375</v>
      </c>
      <c r="E35" s="24">
        <f>IF(D35&gt;=IF(MONTH($C35)=4,$C$3,IF(MONTH($C35)=5,$C$4,IF(MONTH($C35)=6,$C$5,IF(MONTH($C35)=7,$C$6,"ERROR")))),1,0)</f>
        <v>0</v>
      </c>
      <c r="F35" s="26">
        <f>VLOOKUP($C35,COS!$B$8:$H$991,7,FALSE)</f>
        <v>55.104015350341797</v>
      </c>
      <c r="G35" s="24">
        <f>IF(F35&lt;=IF(MONTH($C35)=4,$F$3,IF(MONTH($C35)=5,$F$4,IF(MONTH($C35)=6,$F$5,IF(MONTH($C35)=7,$F$6,"ERROR")))),1,0)</f>
        <v>0</v>
      </c>
      <c r="H35" s="26">
        <f>IF(J35=1,D35-$C$6,0)</f>
        <v>0</v>
      </c>
      <c r="I35" s="26">
        <f t="shared" si="17"/>
        <v>0</v>
      </c>
      <c r="J35" s="24">
        <f t="shared" si="36"/>
        <v>0</v>
      </c>
      <c r="K35" s="26">
        <f>VLOOKUP($C35,COS!$B$8:$H$991,2,FALSE)</f>
        <v>1413.5540771484375</v>
      </c>
      <c r="L35" s="24">
        <f t="shared" si="19"/>
        <v>1</v>
      </c>
      <c r="M35" s="24">
        <f t="shared" si="20"/>
        <v>1</v>
      </c>
      <c r="N35" s="26">
        <f>VLOOKUP($C35,COS!$B$8:$H$991,5,FALSE)</f>
        <v>274.10446166992188</v>
      </c>
      <c r="O35" s="26">
        <f t="shared" si="39"/>
        <v>16.854026403505941</v>
      </c>
      <c r="P35" s="26">
        <f>VLOOKUP($C35,COS!$B$8:$H$991,6,FALSE)</f>
        <v>2281.4833984375</v>
      </c>
      <c r="Q35" s="26">
        <f t="shared" si="40"/>
        <v>140.28294615185951</v>
      </c>
      <c r="R35" s="26">
        <f>MIN(IF(MONTH($C35)=4,$S$3,IF(MONTH($C35)=5,$S$4,IF(MONTH($C35)=6,$S$5,IF(MONTH($C35)=7,$S$6,"ERROR")))),MAX(VLOOKUP($C35,COS!$B$8:$K$991,10,FALSE)-IF(MONTH($C35)=4,$Y$3,IF(MONTH($C35)=5,$Y$4,IF(MONTH($C35)=6,$Y$5,IF(MONTH($C35)=7,$Y$6,"ERROR")))),0),MAX(VLOOKUP($C35,COS!$B$8:$K$991,9,FALSE)-IF(MONTH($C35)=4,$V$3,IF(MONTH($C35)=5,$V$4,IF(MONTH($C35)=6,$V$5,IF(MONTH($C35)=7,$V$6,"ERROR"))))-VLOOKUP($C35,COS!$B$8:$K$991,6,FALSE)/2,0))</f>
        <v>0</v>
      </c>
      <c r="S35" s="26">
        <f t="shared" si="41"/>
        <v>0</v>
      </c>
      <c r="T35" s="26">
        <f t="shared" si="42"/>
        <v>78.568486277682723</v>
      </c>
      <c r="U35" s="26" t="str">
        <f>IF(VLOOKUP($C35,COS!$B$8:$I$991,8,FALSE)=1,"UWFE","IBU")</f>
        <v>IBU</v>
      </c>
      <c r="V35" s="26">
        <f t="shared" ref="V35" si="46">MIN(IF(IF($AA$3=2,AND(E35=1,G35=1,L35=1,L37=1,M35=1,U35="IBU"),AND(E35=1,G35=1,L35=1,L37=1,M35=1)),T35,0),I35)</f>
        <v>0</v>
      </c>
      <c r="W35" s="26"/>
      <c r="X35" s="26"/>
      <c r="Y35" s="26"/>
      <c r="Z35" s="26"/>
      <c r="AA35" s="26"/>
      <c r="AB35" s="33"/>
      <c r="AC35" s="6"/>
      <c r="AD35" s="43">
        <v>1943</v>
      </c>
      <c r="AE35" s="1">
        <f>VLOOKUP(AD35,Flags!$A$13:$B$95,2,FALSE)</f>
        <v>1</v>
      </c>
      <c r="AF35" s="43">
        <f t="shared" si="6"/>
        <v>317.65369544163224</v>
      </c>
      <c r="AG35" s="43">
        <f t="shared" si="7"/>
        <v>314.96005964294937</v>
      </c>
      <c r="AH35" s="43">
        <f t="shared" si="8"/>
        <v>0</v>
      </c>
      <c r="AI35" s="43">
        <f t="shared" si="9"/>
        <v>21355.303961776859</v>
      </c>
      <c r="AJ35" s="43">
        <f t="shared" si="10"/>
        <v>283.83824287855919</v>
      </c>
      <c r="AK35" s="43">
        <f t="shared" si="1"/>
        <v>197.60666820683753</v>
      </c>
      <c r="AL35" s="43">
        <f t="shared" si="11"/>
        <v>0</v>
      </c>
    </row>
    <row r="36" spans="1:42" x14ac:dyDescent="0.3">
      <c r="A36" s="32">
        <f>VLOOKUP(YEAR(C36),Flags!$A$13:$B$95,2,FALSE)</f>
        <v>5</v>
      </c>
      <c r="B36" s="24">
        <f t="shared" si="2"/>
        <v>1924</v>
      </c>
      <c r="C36" s="25">
        <v>9010</v>
      </c>
      <c r="D36" s="26"/>
      <c r="E36" s="24"/>
      <c r="F36" s="26"/>
      <c r="G36" s="24"/>
      <c r="H36" s="24"/>
      <c r="I36" s="26"/>
      <c r="J36" s="24"/>
      <c r="K36" s="26"/>
      <c r="L36" s="24"/>
      <c r="M36" s="24"/>
      <c r="N36" s="26"/>
      <c r="O36" s="26"/>
      <c r="P36" s="26"/>
      <c r="Q36" s="26"/>
      <c r="R36" s="26"/>
      <c r="S36" s="26"/>
      <c r="T36" s="26"/>
      <c r="U36" s="26"/>
      <c r="V36" s="26"/>
      <c r="W36" s="26">
        <f>MAX($C$7-VLOOKUP($C36,COS!$B$8:$H$991,3,FALSE),0)</f>
        <v>91864.53125</v>
      </c>
      <c r="X36" s="26">
        <f t="shared" si="31"/>
        <v>5648.5298553719012</v>
      </c>
      <c r="Y36" s="26">
        <f>VLOOKUP($C36,COS!$B$8:$H$991,4,FALSE)</f>
        <v>3013.011474609375</v>
      </c>
      <c r="Z36" s="26">
        <f t="shared" si="32"/>
        <v>185.26285430655992</v>
      </c>
      <c r="AA36" s="26">
        <f t="shared" ref="AA36:AA40" si="47">MIN(W36,Y36)</f>
        <v>3013.011474609375</v>
      </c>
      <c r="AB36" s="33">
        <f t="shared" ref="AB36" si="48">AA36*DAY($C36)*86400/43560/1000*IF(MONTH($C36)=8,$P$3,IF(MONTH($C36)=9,$P$4,IF(MONTH($C36)=10,$P$5,IF(MONTH($C36)=11,$P$6,IF(MONTH($C36)=12,$P$7,NA())))))</f>
        <v>185.26285430655992</v>
      </c>
      <c r="AC36" s="6"/>
      <c r="AD36" s="43">
        <v>1944</v>
      </c>
      <c r="AE36" s="1">
        <f>VLOOKUP(AD36,Flags!$A$13:$B$95,2,FALSE)</f>
        <v>4</v>
      </c>
      <c r="AF36" s="43">
        <f t="shared" si="6"/>
        <v>0</v>
      </c>
      <c r="AG36" s="43">
        <f t="shared" si="7"/>
        <v>252.00070450585736</v>
      </c>
      <c r="AH36" s="43">
        <f t="shared" si="8"/>
        <v>0</v>
      </c>
      <c r="AI36" s="43">
        <f t="shared" si="9"/>
        <v>22830.62372707903</v>
      </c>
      <c r="AJ36" s="43">
        <f t="shared" si="10"/>
        <v>425.35607502582639</v>
      </c>
      <c r="AK36" s="43">
        <f t="shared" si="1"/>
        <v>270.94423537577478</v>
      </c>
      <c r="AL36" s="43">
        <f t="shared" si="11"/>
        <v>0</v>
      </c>
    </row>
    <row r="37" spans="1:42" x14ac:dyDescent="0.3">
      <c r="A37" s="32">
        <f>VLOOKUP(YEAR(C37),Flags!$A$13:$B$95,2,FALSE)</f>
        <v>5</v>
      </c>
      <c r="B37" s="24">
        <f t="shared" si="2"/>
        <v>1924</v>
      </c>
      <c r="C37" s="25">
        <v>9040</v>
      </c>
      <c r="D37" s="26"/>
      <c r="E37" s="24"/>
      <c r="F37" s="26"/>
      <c r="G37" s="24"/>
      <c r="H37" s="24"/>
      <c r="I37" s="26"/>
      <c r="J37" s="24"/>
      <c r="K37" s="26">
        <f>VLOOKUP($C37,COS!$B$8:$H$991,2,FALSE)</f>
        <v>953.81658935546875</v>
      </c>
      <c r="L37" s="24">
        <f t="shared" ref="L37" si="49">IF(AND(K37&gt;$I$7,K37&lt;$I$8),1,0)</f>
        <v>1</v>
      </c>
      <c r="M37" s="24"/>
      <c r="N37" s="26"/>
      <c r="O37" s="26"/>
      <c r="P37" s="26"/>
      <c r="Q37" s="26"/>
      <c r="R37" s="26"/>
      <c r="S37" s="26"/>
      <c r="T37" s="26"/>
      <c r="U37" s="26"/>
      <c r="V37" s="26"/>
      <c r="W37" s="26">
        <f>MAX($C$8-VLOOKUP($C37,COS!$B$8:$H$991,3,FALSE),0)</f>
        <v>93796.91650390625</v>
      </c>
      <c r="X37" s="26">
        <f t="shared" si="31"/>
        <v>5581.3041225464876</v>
      </c>
      <c r="Y37" s="26">
        <f>VLOOKUP($C37,COS!$B$8:$H$991,4,FALSE)</f>
        <v>1832.2586669921875</v>
      </c>
      <c r="Z37" s="26">
        <f t="shared" si="32"/>
        <v>109.02696200284092</v>
      </c>
      <c r="AA37" s="26">
        <f t="shared" si="47"/>
        <v>1832.2586669921875</v>
      </c>
      <c r="AB37" s="33">
        <f t="shared" si="34"/>
        <v>109.02696200284092</v>
      </c>
      <c r="AC37" s="6"/>
      <c r="AD37" s="43">
        <v>1945</v>
      </c>
      <c r="AE37" s="1">
        <f>VLOOKUP(AD37,Flags!$A$13:$B$95,2,FALSE)</f>
        <v>3</v>
      </c>
      <c r="AF37" s="43">
        <f t="shared" si="6"/>
        <v>114.73130423553718</v>
      </c>
      <c r="AG37" s="43">
        <f t="shared" si="7"/>
        <v>290.01450503010392</v>
      </c>
      <c r="AH37" s="43">
        <f t="shared" si="8"/>
        <v>0</v>
      </c>
      <c r="AI37" s="43">
        <f t="shared" si="9"/>
        <v>22557.930937500001</v>
      </c>
      <c r="AJ37" s="43">
        <f t="shared" si="10"/>
        <v>122.39421326188017</v>
      </c>
      <c r="AK37" s="43">
        <f t="shared" si="1"/>
        <v>101.6310337035124</v>
      </c>
      <c r="AL37" s="43">
        <f t="shared" si="11"/>
        <v>0</v>
      </c>
    </row>
    <row r="38" spans="1:42" x14ac:dyDescent="0.3">
      <c r="A38" s="32">
        <f>VLOOKUP(YEAR(C38),Flags!$A$13:$B$95,2,FALSE)</f>
        <v>5</v>
      </c>
      <c r="B38" s="24">
        <f t="shared" si="2"/>
        <v>1924</v>
      </c>
      <c r="C38" s="25">
        <v>9071</v>
      </c>
      <c r="D38" s="26"/>
      <c r="E38" s="24"/>
      <c r="F38" s="26"/>
      <c r="G38" s="26"/>
      <c r="H38" s="26"/>
      <c r="I38" s="26"/>
      <c r="J38" s="26"/>
      <c r="K38" s="26"/>
      <c r="L38" s="24"/>
      <c r="M38" s="24"/>
      <c r="N38" s="26"/>
      <c r="O38" s="26"/>
      <c r="P38" s="26"/>
      <c r="Q38" s="26"/>
      <c r="R38" s="26"/>
      <c r="S38" s="26"/>
      <c r="T38" s="26"/>
      <c r="U38" s="26"/>
      <c r="V38" s="26"/>
      <c r="W38" s="26">
        <f>MAX($C$9-VLOOKUP($C38,COS!$B$8:$H$991,3,FALSE),0)</f>
        <v>95975.56103515625</v>
      </c>
      <c r="X38" s="26">
        <f t="shared" si="31"/>
        <v>5901.3072239798548</v>
      </c>
      <c r="Y38" s="26">
        <f>VLOOKUP($C38,COS!$B$8:$H$991,4,FALSE)</f>
        <v>661.1058349609375</v>
      </c>
      <c r="Z38" s="26">
        <f t="shared" si="32"/>
        <v>40.649813323217977</v>
      </c>
      <c r="AA38" s="26">
        <f t="shared" si="47"/>
        <v>661.1058349609375</v>
      </c>
      <c r="AB38" s="33">
        <f t="shared" si="34"/>
        <v>40.649813323217977</v>
      </c>
      <c r="AC38" s="6"/>
      <c r="AD38" s="43">
        <v>1946</v>
      </c>
      <c r="AE38" s="1">
        <f>VLOOKUP(AD38,Flags!$A$13:$B$95,2,FALSE)</f>
        <v>2</v>
      </c>
      <c r="AF38" s="43">
        <f t="shared" si="6"/>
        <v>407.88433400051656</v>
      </c>
      <c r="AG38" s="43">
        <f t="shared" si="7"/>
        <v>340.67329731082128</v>
      </c>
      <c r="AH38" s="43">
        <f t="shared" si="8"/>
        <v>0</v>
      </c>
      <c r="AI38" s="43">
        <f t="shared" si="9"/>
        <v>21810.774801136362</v>
      </c>
      <c r="AJ38" s="43">
        <f t="shared" si="10"/>
        <v>168.4989415192407</v>
      </c>
      <c r="AK38" s="43">
        <f t="shared" si="1"/>
        <v>119.56327923230889</v>
      </c>
      <c r="AL38" s="43">
        <f t="shared" si="11"/>
        <v>0</v>
      </c>
    </row>
    <row r="39" spans="1:42" x14ac:dyDescent="0.3">
      <c r="A39" s="32">
        <f>VLOOKUP(YEAR(C39),Flags!$A$13:$B$95,2,FALSE)</f>
        <v>5</v>
      </c>
      <c r="B39" s="24">
        <f t="shared" si="2"/>
        <v>1924</v>
      </c>
      <c r="C39" s="25">
        <v>9101</v>
      </c>
      <c r="D39" s="26"/>
      <c r="E39" s="24"/>
      <c r="F39" s="26"/>
      <c r="G39" s="26"/>
      <c r="H39" s="26"/>
      <c r="I39" s="26"/>
      <c r="J39" s="26"/>
      <c r="K39" s="26"/>
      <c r="L39" s="24"/>
      <c r="M39" s="24"/>
      <c r="N39" s="26"/>
      <c r="O39" s="26"/>
      <c r="P39" s="26"/>
      <c r="Q39" s="26"/>
      <c r="R39" s="26"/>
      <c r="S39" s="26"/>
      <c r="T39" s="26"/>
      <c r="U39" s="26"/>
      <c r="V39" s="26"/>
      <c r="W39" s="26">
        <f>MAX($C$10-VLOOKUP($C39,COS!$B$8:$H$991,3,FALSE),0)</f>
        <v>96749</v>
      </c>
      <c r="X39" s="26">
        <f t="shared" si="31"/>
        <v>5756.965289256198</v>
      </c>
      <c r="Y39" s="26">
        <f>VLOOKUP($C39,COS!$B$8:$H$991,4,FALSE)</f>
        <v>1030.6826171875</v>
      </c>
      <c r="Z39" s="26">
        <f t="shared" si="32"/>
        <v>61.329874741735537</v>
      </c>
      <c r="AA39" s="26">
        <f t="shared" si="47"/>
        <v>1030.6826171875</v>
      </c>
      <c r="AB39" s="33">
        <f t="shared" si="34"/>
        <v>30.664937370867769</v>
      </c>
      <c r="AC39" s="6"/>
      <c r="AD39" s="43">
        <v>1947</v>
      </c>
      <c r="AE39" s="1">
        <f>VLOOKUP(AD39,Flags!$A$13:$B$95,2,FALSE)</f>
        <v>4</v>
      </c>
      <c r="AF39" s="43">
        <f t="shared" si="6"/>
        <v>277.55906249999998</v>
      </c>
      <c r="AG39" s="43">
        <f t="shared" si="7"/>
        <v>274.8669828556786</v>
      </c>
      <c r="AH39" s="43">
        <f t="shared" si="8"/>
        <v>174.18674200389012</v>
      </c>
      <c r="AI39" s="43">
        <f t="shared" si="9"/>
        <v>22894.272137138429</v>
      </c>
      <c r="AJ39" s="43">
        <f t="shared" si="10"/>
        <v>397.17103701252586</v>
      </c>
      <c r="AK39" s="43">
        <f t="shared" si="1"/>
        <v>267.69855565599175</v>
      </c>
      <c r="AL39" s="43">
        <f t="shared" si="11"/>
        <v>174.18674200389012</v>
      </c>
    </row>
    <row r="40" spans="1:42" x14ac:dyDescent="0.3">
      <c r="A40" s="34">
        <f>VLOOKUP(YEAR(C40),Flags!$A$13:$B$95,2,FALSE)</f>
        <v>5</v>
      </c>
      <c r="B40" s="35">
        <f t="shared" si="2"/>
        <v>1924</v>
      </c>
      <c r="C40" s="36">
        <v>9132</v>
      </c>
      <c r="D40" s="37"/>
      <c r="E40" s="35"/>
      <c r="F40" s="37"/>
      <c r="G40" s="37"/>
      <c r="H40" s="37"/>
      <c r="I40" s="37"/>
      <c r="J40" s="37"/>
      <c r="K40" s="37"/>
      <c r="L40" s="35"/>
      <c r="M40" s="35"/>
      <c r="N40" s="37"/>
      <c r="O40" s="37"/>
      <c r="P40" s="37"/>
      <c r="Q40" s="37"/>
      <c r="R40" s="37"/>
      <c r="S40" s="37"/>
      <c r="T40" s="37"/>
      <c r="U40" s="37"/>
      <c r="V40" s="37"/>
      <c r="W40" s="37">
        <f>MAX($C$11-VLOOKUP($C40,COS!$B$8:$H$991,3,FALSE),0)</f>
        <v>0</v>
      </c>
      <c r="X40" s="37">
        <f t="shared" si="31"/>
        <v>0</v>
      </c>
      <c r="Y40" s="37">
        <f>VLOOKUP($C40,COS!$B$8:$H$991,4,FALSE)</f>
        <v>3291.532958984375</v>
      </c>
      <c r="Z40" s="37">
        <f t="shared" si="32"/>
        <v>202.38847284994836</v>
      </c>
      <c r="AA40" s="37">
        <f t="shared" si="47"/>
        <v>0</v>
      </c>
      <c r="AB40" s="38">
        <f t="shared" si="34"/>
        <v>0</v>
      </c>
      <c r="AC40" s="6"/>
      <c r="AD40" s="43">
        <v>1948</v>
      </c>
      <c r="AE40" s="1">
        <f>VLOOKUP(AD40,Flags!$A$13:$B$95,2,FALSE)</f>
        <v>3</v>
      </c>
      <c r="AF40" s="43">
        <f t="shared" si="6"/>
        <v>208.57675878099175</v>
      </c>
      <c r="AG40" s="43">
        <f t="shared" si="7"/>
        <v>273.62137047381441</v>
      </c>
      <c r="AH40" s="43">
        <f t="shared" si="8"/>
        <v>0</v>
      </c>
      <c r="AI40" s="43">
        <f t="shared" si="9"/>
        <v>22611.16150277634</v>
      </c>
      <c r="AJ40" s="43">
        <f t="shared" si="10"/>
        <v>206.49819967474818</v>
      </c>
      <c r="AK40" s="43">
        <f t="shared" si="1"/>
        <v>88.672343043808098</v>
      </c>
      <c r="AL40" s="43">
        <f t="shared" si="11"/>
        <v>0</v>
      </c>
    </row>
    <row r="41" spans="1:42" x14ac:dyDescent="0.3">
      <c r="A41" s="27">
        <f>VLOOKUP(YEAR(C41),Flags!$A$13:$B$95,2,FALSE)</f>
        <v>4</v>
      </c>
      <c r="B41" s="28">
        <f t="shared" si="2"/>
        <v>1925</v>
      </c>
      <c r="C41" s="29">
        <v>9252</v>
      </c>
      <c r="D41" s="30">
        <f>VLOOKUP($C41,COS!$B$8:$H$991,3,FALSE)</f>
        <v>3250</v>
      </c>
      <c r="E41" s="28">
        <f>IF(D41&gt;=IF(MONTH($C41)=4,$C$3,IF(MONTH($C41)=5,$C$4,IF(MONTH($C41)=6,$C$5,IF(MONTH($C41)=7,$C$6,"ERROR")))),1,0)</f>
        <v>0</v>
      </c>
      <c r="F41" s="30">
        <f>VLOOKUP($C41,COS!$B$8:$H$991,7,FALSE)</f>
        <v>49.611015319824219</v>
      </c>
      <c r="G41" s="28">
        <f>IF(F41&lt;=IF(MONTH($C41)=4,$F$3,IF(MONTH($C41)=5,$F$4,IF(MONTH($C41)=6,$F$5,IF(MONTH($C41)=7,$F$6,"ERROR")))),1,0)</f>
        <v>1</v>
      </c>
      <c r="H41" s="30">
        <f>IF(J41=1,D41-$C$3,0)</f>
        <v>0</v>
      </c>
      <c r="I41" s="30">
        <f t="shared" si="17"/>
        <v>0</v>
      </c>
      <c r="J41" s="28">
        <f t="shared" ref="J41:J44" si="50">IF(AND(E41=1,G41=1),1,0)</f>
        <v>0</v>
      </c>
      <c r="K41" s="30">
        <f>VLOOKUP($C41,COS!$B$8:$H$991,2,FALSE)</f>
        <v>4202.82470703125</v>
      </c>
      <c r="L41" s="28">
        <f t="shared" ref="L41" si="51">IF(K41&lt;=IF(MONTH($C41)=4,$I$3,IF(MONTH($C41)=5,$I$4,IF(MONTH($C41)=6,$I$5,IF(MONTH($C41)=7,$I$6,"ERROR")))),1,0)</f>
        <v>1</v>
      </c>
      <c r="M41" s="28">
        <f t="shared" ref="M41" si="52">VLOOKUP($A41,$L$3:$M$7,2,FALSE)</f>
        <v>1</v>
      </c>
      <c r="N41" s="30">
        <f>VLOOKUP($C41,COS!$B$8:$H$991,5,FALSE)</f>
        <v>154.96903991699219</v>
      </c>
      <c r="O41" s="30">
        <f t="shared" ref="O41:O44" si="53">N41*DAY($C41)*86400/43560/1000</f>
        <v>9.2212982429945765</v>
      </c>
      <c r="P41" s="30">
        <f>VLOOKUP($C41,COS!$B$8:$H$991,6,FALSE)</f>
        <v>375.54595947265625</v>
      </c>
      <c r="Q41" s="30">
        <f t="shared" ref="Q41:Q44" si="54">P41*DAY($C41)*86400/43560/1000</f>
        <v>22.346536431430785</v>
      </c>
      <c r="R41" s="30">
        <f>MIN(IF(MONTH($C41)=4,$S$3,IF(MONTH($C41)=5,$S$4,IF(MONTH($C41)=6,$S$5,IF(MONTH($C41)=7,$S$6,"ERROR")))),MAX(VLOOKUP($C41,COS!$B$8:$K$991,10,FALSE)-IF(MONTH($C41)=4,$Y$3,IF(MONTH($C41)=5,$Y$4,IF(MONTH($C41)=6,$Y$5,IF(MONTH($C41)=7,$Y$6,"ERROR")))),0),MAX(VLOOKUP($C41,COS!$B$8:$K$991,9,FALSE)-IF(MONTH($C41)=4,$V$3,IF(MONTH($C41)=5,$V$4,IF(MONTH($C41)=6,$V$5,IF(MONTH($C41)=7,$V$6,"ERROR"))))-VLOOKUP($C41,COS!$B$8:$K$991,6,FALSE)/2,0))</f>
        <v>0</v>
      </c>
      <c r="S41" s="30">
        <f t="shared" ref="S41:S44" si="55">R41*DAY($C41)*86400/43560/1000</f>
        <v>0</v>
      </c>
      <c r="T41" s="30">
        <f t="shared" ref="T41:T44" si="56">(O41+Q41)/2+S41</f>
        <v>15.783917337212682</v>
      </c>
      <c r="U41" s="30" t="str">
        <f>IF(VLOOKUP($C41,COS!$B$8:$I$991,8,FALSE)=1,"UWFE","IBU")</f>
        <v>UWFE</v>
      </c>
      <c r="V41" s="30">
        <f t="shared" ref="V41" si="57">MIN(IF(IF($AA$3=2,AND(E41=1,G41=1,L41=1,L46=1,M41=1,U41="IBU"),AND(E41=1,G41=1,L41=1,L46=1,M41=1)),T41,0),I41)</f>
        <v>0</v>
      </c>
      <c r="W41" s="30"/>
      <c r="X41" s="30"/>
      <c r="Y41" s="30"/>
      <c r="Z41" s="30"/>
      <c r="AA41" s="30"/>
      <c r="AB41" s="31"/>
      <c r="AC41" s="6"/>
      <c r="AD41" s="43">
        <v>1949</v>
      </c>
      <c r="AE41" s="1">
        <f>VLOOKUP(AD41,Flags!$A$13:$B$95,2,FALSE)</f>
        <v>4</v>
      </c>
      <c r="AF41" s="43">
        <f t="shared" si="6"/>
        <v>193.31074993543388</v>
      </c>
      <c r="AG41" s="43">
        <f t="shared" si="7"/>
        <v>305.11353993817795</v>
      </c>
      <c r="AH41" s="43">
        <f t="shared" si="8"/>
        <v>101.453290107664</v>
      </c>
      <c r="AI41" s="43">
        <f t="shared" si="9"/>
        <v>22604.710092652374</v>
      </c>
      <c r="AJ41" s="43">
        <f t="shared" si="10"/>
        <v>433.91744003422002</v>
      </c>
      <c r="AK41" s="43">
        <f t="shared" si="1"/>
        <v>315.70640600787704</v>
      </c>
      <c r="AL41" s="43">
        <f t="shared" si="11"/>
        <v>101.453290107664</v>
      </c>
    </row>
    <row r="42" spans="1:42" x14ac:dyDescent="0.3">
      <c r="A42" s="32">
        <f>VLOOKUP(YEAR(C42),Flags!$A$13:$B$95,2,FALSE)</f>
        <v>4</v>
      </c>
      <c r="B42" s="24">
        <f t="shared" si="2"/>
        <v>1925</v>
      </c>
      <c r="C42" s="25">
        <v>9283</v>
      </c>
      <c r="D42" s="26">
        <f>VLOOKUP($C42,COS!$B$8:$H$991,3,FALSE)</f>
        <v>6016.6982421875</v>
      </c>
      <c r="E42" s="24">
        <f>IF(D42&gt;=IF(MONTH($C42)=4,$C$3,IF(MONTH($C42)=5,$C$4,IF(MONTH($C42)=6,$C$5,IF(MONTH($C42)=7,$C$6,"ERROR")))),1,0)</f>
        <v>1</v>
      </c>
      <c r="F42" s="26">
        <f>VLOOKUP($C42,COS!$B$8:$H$991,7,FALSE)</f>
        <v>50.364429473876953</v>
      </c>
      <c r="G42" s="24">
        <f>IF(F42&lt;=IF(MONTH($C42)=4,$F$3,IF(MONTH($C42)=5,$F$4,IF(MONTH($C42)=6,$F$5,IF(MONTH($C42)=7,$F$6,"ERROR")))),1,0)</f>
        <v>1</v>
      </c>
      <c r="H42" s="26">
        <f>IF(J42=1,D42-$C$4,0)</f>
        <v>16.6982421875</v>
      </c>
      <c r="I42" s="26">
        <f t="shared" si="17"/>
        <v>1.0267348915289256</v>
      </c>
      <c r="J42" s="24">
        <f t="shared" si="50"/>
        <v>1</v>
      </c>
      <c r="K42" s="26">
        <f>VLOOKUP($C42,COS!$B$8:$H$991,2,FALSE)</f>
        <v>4282.16650390625</v>
      </c>
      <c r="L42" s="24">
        <f t="shared" si="19"/>
        <v>1</v>
      </c>
      <c r="M42" s="24">
        <f t="shared" si="20"/>
        <v>1</v>
      </c>
      <c r="N42" s="26">
        <f>VLOOKUP($C42,COS!$B$8:$H$991,5,FALSE)</f>
        <v>377.79129028320313</v>
      </c>
      <c r="O42" s="26">
        <f t="shared" si="53"/>
        <v>23.229480989314307</v>
      </c>
      <c r="P42" s="26">
        <f>VLOOKUP($C42,COS!$B$8:$H$991,6,FALSE)</f>
        <v>1796.5595703125</v>
      </c>
      <c r="Q42" s="26">
        <f t="shared" si="54"/>
        <v>110.46614217458676</v>
      </c>
      <c r="R42" s="26">
        <f>MIN(IF(MONTH($C42)=4,$S$3,IF(MONTH($C42)=5,$S$4,IF(MONTH($C42)=6,$S$5,IF(MONTH($C42)=7,$S$6,"ERROR")))),MAX(VLOOKUP($C42,COS!$B$8:$K$991,10,FALSE)-IF(MONTH($C42)=4,$Y$3,IF(MONTH($C42)=5,$Y$4,IF(MONTH($C42)=6,$Y$5,IF(MONTH($C42)=7,$Y$6,"ERROR")))),0),MAX(VLOOKUP($C42,COS!$B$8:$K$991,9,FALSE)-IF(MONTH($C42)=4,$V$3,IF(MONTH($C42)=5,$V$4,IF(MONTH($C42)=6,$V$5,IF(MONTH($C42)=7,$V$6,"ERROR"))))-VLOOKUP($C42,COS!$B$8:$K$991,6,FALSE)/2,0))</f>
        <v>0</v>
      </c>
      <c r="S42" s="26">
        <f t="shared" si="55"/>
        <v>0</v>
      </c>
      <c r="T42" s="26">
        <f t="shared" si="56"/>
        <v>66.847811581950538</v>
      </c>
      <c r="U42" s="26" t="str">
        <f>IF(VLOOKUP($C42,COS!$B$8:$I$991,8,FALSE)=1,"UWFE","IBU")</f>
        <v>UWFE</v>
      </c>
      <c r="V42" s="26">
        <f t="shared" ref="V42" si="58">MIN(IF(IF($AA$3=2,AND(E42=1,G42=1,L42=1,L46=1,M42=1,U42="IBU"),AND(E42=1,G42=1,L42=1,L46=1,M42=1)),T42,0),I42)</f>
        <v>0</v>
      </c>
      <c r="W42" s="26"/>
      <c r="X42" s="26"/>
      <c r="Y42" s="26"/>
      <c r="Z42" s="26"/>
      <c r="AA42" s="26"/>
      <c r="AB42" s="33"/>
      <c r="AC42" s="6"/>
      <c r="AD42" s="43">
        <v>1950</v>
      </c>
      <c r="AE42" s="1">
        <f>VLOOKUP(AD42,Flags!$A$13:$B$95,2,FALSE)</f>
        <v>4</v>
      </c>
      <c r="AF42" s="43">
        <f t="shared" si="6"/>
        <v>24.391813985020661</v>
      </c>
      <c r="AG42" s="43">
        <f t="shared" si="7"/>
        <v>285.73351419748354</v>
      </c>
      <c r="AH42" s="43">
        <f t="shared" si="8"/>
        <v>0</v>
      </c>
      <c r="AI42" s="43">
        <f t="shared" si="9"/>
        <v>22157.016136363636</v>
      </c>
      <c r="AJ42" s="43">
        <f t="shared" si="10"/>
        <v>112.07308938775182</v>
      </c>
      <c r="AK42" s="43">
        <f t="shared" si="1"/>
        <v>112.07308938775182</v>
      </c>
      <c r="AL42" s="43">
        <f t="shared" si="11"/>
        <v>0</v>
      </c>
    </row>
    <row r="43" spans="1:42" x14ac:dyDescent="0.3">
      <c r="A43" s="32">
        <f>VLOOKUP(YEAR(C43),Flags!$A$13:$B$95,2,FALSE)</f>
        <v>4</v>
      </c>
      <c r="B43" s="24">
        <f t="shared" si="2"/>
        <v>1925</v>
      </c>
      <c r="C43" s="25">
        <v>9313</v>
      </c>
      <c r="D43" s="26">
        <f>VLOOKUP($C43,COS!$B$8:$H$991,3,FALSE)</f>
        <v>9612.4140625</v>
      </c>
      <c r="E43" s="24">
        <f>IF(D43&gt;=IF(MONTH($C43)=4,$C$3,IF(MONTH($C43)=5,$C$4,IF(MONTH($C43)=6,$C$5,IF(MONTH($C43)=7,$C$6,"ERROR")))),1,0)</f>
        <v>0</v>
      </c>
      <c r="F43" s="26">
        <f>VLOOKUP($C43,COS!$B$8:$H$991,7,FALSE)</f>
        <v>50.799709320068359</v>
      </c>
      <c r="G43" s="24">
        <f>IF(F43&lt;=IF(MONTH($C43)=4,$F$3,IF(MONTH($C43)=5,$F$4,IF(MONTH($C43)=6,$F$5,IF(MONTH($C43)=7,$F$6,"ERROR")))),1,0)</f>
        <v>1</v>
      </c>
      <c r="H43" s="26">
        <f>IF(J43=1,D43-$C$5,0)</f>
        <v>0</v>
      </c>
      <c r="I43" s="26">
        <f t="shared" si="17"/>
        <v>0</v>
      </c>
      <c r="J43" s="24">
        <f t="shared" si="50"/>
        <v>0</v>
      </c>
      <c r="K43" s="26">
        <f>VLOOKUP($C43,COS!$B$8:$H$991,2,FALSE)</f>
        <v>3989.940673828125</v>
      </c>
      <c r="L43" s="24">
        <f t="shared" si="19"/>
        <v>1</v>
      </c>
      <c r="M43" s="24">
        <f t="shared" si="20"/>
        <v>1</v>
      </c>
      <c r="N43" s="26">
        <f>VLOOKUP($C43,COS!$B$8:$H$991,5,FALSE)</f>
        <v>794.0576171875</v>
      </c>
      <c r="O43" s="26">
        <f t="shared" si="53"/>
        <v>47.249709452479337</v>
      </c>
      <c r="P43" s="26">
        <f>VLOOKUP($C43,COS!$B$8:$H$991,6,FALSE)</f>
        <v>2591.778564453125</v>
      </c>
      <c r="Q43" s="26">
        <f t="shared" si="54"/>
        <v>154.22153441373965</v>
      </c>
      <c r="R43" s="26">
        <f>MIN(IF(MONTH($C43)=4,$S$3,IF(MONTH($C43)=5,$S$4,IF(MONTH($C43)=6,$S$5,IF(MONTH($C43)=7,$S$6,"ERROR")))),MAX(VLOOKUP($C43,COS!$B$8:$K$991,10,FALSE)-IF(MONTH($C43)=4,$Y$3,IF(MONTH($C43)=5,$Y$4,IF(MONTH($C43)=6,$Y$5,IF(MONTH($C43)=7,$Y$6,"ERROR")))),0),MAX(VLOOKUP($C43,COS!$B$8:$K$991,9,FALSE)-IF(MONTH($C43)=4,$V$3,IF(MONTH($C43)=5,$V$4,IF(MONTH($C43)=6,$V$5,IF(MONTH($C43)=7,$V$6,"ERROR"))))-VLOOKUP($C43,COS!$B$8:$K$991,6,FALSE)/2,0))</f>
        <v>0</v>
      </c>
      <c r="S43" s="26">
        <f t="shared" si="55"/>
        <v>0</v>
      </c>
      <c r="T43" s="26">
        <f t="shared" si="56"/>
        <v>100.73562193310948</v>
      </c>
      <c r="U43" s="26" t="str">
        <f>IF(VLOOKUP($C43,COS!$B$8:$I$991,8,FALSE)=1,"UWFE","IBU")</f>
        <v>IBU</v>
      </c>
      <c r="V43" s="26">
        <f t="shared" ref="V43" si="59">MIN(IF(IF($AA$3=2,AND(E43=1,G43=1,L43=1,L46=1,M43=1,U43="IBU"),AND(E43=1,G43=1,L43=1,L46=1,M43=1)),T43,0),I43)</f>
        <v>0</v>
      </c>
      <c r="W43" s="26"/>
      <c r="X43" s="26"/>
      <c r="Y43" s="26"/>
      <c r="Z43" s="26"/>
      <c r="AA43" s="26"/>
      <c r="AB43" s="33"/>
      <c r="AC43" s="6"/>
      <c r="AD43" s="43">
        <v>1951</v>
      </c>
      <c r="AE43" s="1">
        <f>VLOOKUP(AD43,Flags!$A$13:$B$95,2,FALSE)</f>
        <v>2</v>
      </c>
      <c r="AF43" s="43">
        <f t="shared" si="6"/>
        <v>318.2121345557851</v>
      </c>
      <c r="AG43" s="43">
        <f t="shared" si="7"/>
        <v>319.69728128228303</v>
      </c>
      <c r="AH43" s="43">
        <f t="shared" si="8"/>
        <v>0</v>
      </c>
      <c r="AI43" s="43">
        <f t="shared" si="9"/>
        <v>21976.45691470816</v>
      </c>
      <c r="AJ43" s="43">
        <f t="shared" si="10"/>
        <v>123.98751945054235</v>
      </c>
      <c r="AK43" s="43">
        <f t="shared" si="1"/>
        <v>91.261757570377057</v>
      </c>
      <c r="AL43" s="43">
        <f t="shared" si="11"/>
        <v>0</v>
      </c>
    </row>
    <row r="44" spans="1:42" x14ac:dyDescent="0.3">
      <c r="A44" s="32">
        <f>VLOOKUP(YEAR(C44),Flags!$A$13:$B$95,2,FALSE)</f>
        <v>4</v>
      </c>
      <c r="B44" s="24">
        <f t="shared" si="2"/>
        <v>1925</v>
      </c>
      <c r="C44" s="25">
        <v>9344</v>
      </c>
      <c r="D44" s="26">
        <f>VLOOKUP($C44,COS!$B$8:$H$991,3,FALSE)</f>
        <v>12695.501953125</v>
      </c>
      <c r="E44" s="24">
        <f>IF(D44&gt;=IF(MONTH($C44)=4,$C$3,IF(MONTH($C44)=5,$C$4,IF(MONTH($C44)=6,$C$5,IF(MONTH($C44)=7,$C$6,"ERROR")))),1,0)</f>
        <v>1</v>
      </c>
      <c r="F44" s="26">
        <f>VLOOKUP($C44,COS!$B$8:$H$991,7,FALSE)</f>
        <v>51.456871032714844</v>
      </c>
      <c r="G44" s="24">
        <f>IF(F44&lt;=IF(MONTH($C44)=4,$F$3,IF(MONTH($C44)=5,$F$4,IF(MONTH($C44)=6,$F$5,IF(MONTH($C44)=7,$F$6,"ERROR")))),1,0)</f>
        <v>1</v>
      </c>
      <c r="H44" s="26">
        <f>IF(J44=1,D44-$C$6,0)</f>
        <v>695.501953125</v>
      </c>
      <c r="I44" s="26">
        <f t="shared" si="17"/>
        <v>42.764748192148765</v>
      </c>
      <c r="J44" s="24">
        <f t="shared" si="50"/>
        <v>1</v>
      </c>
      <c r="K44" s="26">
        <f>VLOOKUP($C44,COS!$B$8:$H$991,2,FALSE)</f>
        <v>3437.54150390625</v>
      </c>
      <c r="L44" s="24">
        <f t="shared" si="19"/>
        <v>1</v>
      </c>
      <c r="M44" s="24">
        <f t="shared" si="20"/>
        <v>1</v>
      </c>
      <c r="N44" s="26">
        <f>VLOOKUP($C44,COS!$B$8:$H$991,5,FALSE)</f>
        <v>979.5245361328125</v>
      </c>
      <c r="O44" s="26">
        <f t="shared" si="53"/>
        <v>60.228616106017569</v>
      </c>
      <c r="P44" s="26">
        <f>VLOOKUP($C44,COS!$B$8:$H$991,6,FALSE)</f>
        <v>2538.07568359375</v>
      </c>
      <c r="Q44" s="26">
        <f t="shared" si="54"/>
        <v>156.06019079287191</v>
      </c>
      <c r="R44" s="26">
        <f>MIN(IF(MONTH($C44)=4,$S$3,IF(MONTH($C44)=5,$S$4,IF(MONTH($C44)=6,$S$5,IF(MONTH($C44)=7,$S$6,"ERROR")))),MAX(VLOOKUP($C44,COS!$B$8:$K$991,10,FALSE)-IF(MONTH($C44)=4,$Y$3,IF(MONTH($C44)=5,$Y$4,IF(MONTH($C44)=6,$Y$5,IF(MONTH($C44)=7,$Y$6,"ERROR")))),0),MAX(VLOOKUP($C44,COS!$B$8:$K$991,9,FALSE)-IF(MONTH($C44)=4,$V$3,IF(MONTH($C44)=5,$V$4,IF(MONTH($C44)=6,$V$5,IF(MONTH($C44)=7,$V$6,"ERROR"))))-VLOOKUP($C44,COS!$B$8:$K$991,6,FALSE)/2,0))</f>
        <v>0</v>
      </c>
      <c r="S44" s="26">
        <f t="shared" si="55"/>
        <v>0</v>
      </c>
      <c r="T44" s="26">
        <f t="shared" si="56"/>
        <v>108.14440344944474</v>
      </c>
      <c r="U44" s="26" t="str">
        <f>IF(VLOOKUP($C44,COS!$B$8:$I$991,8,FALSE)=1,"UWFE","IBU")</f>
        <v>IBU</v>
      </c>
      <c r="V44" s="26">
        <f t="shared" ref="V44" si="60">MIN(IF(IF($AA$3=2,AND(E44=1,G44=1,L44=1,L46=1,M44=1,U44="IBU"),AND(E44=1,G44=1,L44=1,L46=1,M44=1)),T44,0),I44)</f>
        <v>42.764748192148765</v>
      </c>
      <c r="W44" s="26"/>
      <c r="X44" s="26"/>
      <c r="Y44" s="26"/>
      <c r="Z44" s="26"/>
      <c r="AA44" s="26"/>
      <c r="AB44" s="33"/>
      <c r="AC44" s="6"/>
      <c r="AD44" s="43">
        <v>1952</v>
      </c>
      <c r="AE44" s="1">
        <f>VLOOKUP(AD44,Flags!$A$13:$B$95,2,FALSE)</f>
        <v>1</v>
      </c>
      <c r="AF44" s="43">
        <f t="shared" si="6"/>
        <v>697.78984633264463</v>
      </c>
      <c r="AG44" s="43">
        <f t="shared" si="7"/>
        <v>322.75382116396565</v>
      </c>
      <c r="AH44" s="43">
        <f t="shared" si="8"/>
        <v>0</v>
      </c>
      <c r="AI44" s="43">
        <f t="shared" si="9"/>
        <v>21660.340667936467</v>
      </c>
      <c r="AJ44" s="43">
        <f t="shared" si="10"/>
        <v>58.610078891722623</v>
      </c>
      <c r="AK44" s="43">
        <f t="shared" si="1"/>
        <v>36.686122038029438</v>
      </c>
      <c r="AL44" s="43">
        <f t="shared" si="11"/>
        <v>0</v>
      </c>
    </row>
    <row r="45" spans="1:42" x14ac:dyDescent="0.3">
      <c r="A45" s="32">
        <f>VLOOKUP(YEAR(C45),Flags!$A$13:$B$95,2,FALSE)</f>
        <v>4</v>
      </c>
      <c r="B45" s="24">
        <f t="shared" si="2"/>
        <v>1925</v>
      </c>
      <c r="C45" s="25">
        <v>9375</v>
      </c>
      <c r="D45" s="26"/>
      <c r="E45" s="24"/>
      <c r="F45" s="26"/>
      <c r="G45" s="24"/>
      <c r="H45" s="24"/>
      <c r="I45" s="26"/>
      <c r="J45" s="24"/>
      <c r="K45" s="26"/>
      <c r="L45" s="24"/>
      <c r="M45" s="24"/>
      <c r="N45" s="26"/>
      <c r="O45" s="26"/>
      <c r="P45" s="26"/>
      <c r="Q45" s="26"/>
      <c r="R45" s="26"/>
      <c r="S45" s="26"/>
      <c r="T45" s="26"/>
      <c r="U45" s="26"/>
      <c r="V45" s="26"/>
      <c r="W45" s="26">
        <f>MAX($C$7-VLOOKUP($C45,COS!$B$8:$H$991,3,FALSE),0)</f>
        <v>90169.4140625</v>
      </c>
      <c r="X45" s="26">
        <f t="shared" si="31"/>
        <v>5544.3011621900823</v>
      </c>
      <c r="Y45" s="26">
        <f>VLOOKUP($C45,COS!$B$8:$H$991,4,FALSE)</f>
        <v>1755.4483642578125</v>
      </c>
      <c r="Z45" s="26">
        <f t="shared" si="32"/>
        <v>107.93831264527377</v>
      </c>
      <c r="AA45" s="26">
        <f t="shared" ref="AA45:AA49" si="61">MIN(W45,Y45)</f>
        <v>1755.4483642578125</v>
      </c>
      <c r="AB45" s="33">
        <f t="shared" ref="AB45" si="62">AA45*DAY($C45)*86400/43560/1000*IF(MONTH($C45)=8,$P$3,IF(MONTH($C45)=9,$P$4,IF(MONTH($C45)=10,$P$5,IF(MONTH($C45)=11,$P$6,IF(MONTH($C45)=12,$P$7,NA())))))</f>
        <v>107.93831264527377</v>
      </c>
      <c r="AC45" s="6"/>
      <c r="AD45" s="43">
        <v>1953</v>
      </c>
      <c r="AE45" s="1">
        <f>VLOOKUP(AD45,Flags!$A$13:$B$95,2,FALSE)</f>
        <v>1</v>
      </c>
      <c r="AF45" s="43">
        <f t="shared" si="6"/>
        <v>393.94290805785124</v>
      </c>
      <c r="AG45" s="43">
        <f t="shared" si="7"/>
        <v>336.82820903683495</v>
      </c>
      <c r="AH45" s="43">
        <f t="shared" si="8"/>
        <v>0</v>
      </c>
      <c r="AI45" s="43">
        <f t="shared" si="9"/>
        <v>21378.207919679749</v>
      </c>
      <c r="AJ45" s="43">
        <f t="shared" si="10"/>
        <v>184.16609680806309</v>
      </c>
      <c r="AK45" s="43">
        <f t="shared" si="1"/>
        <v>127.2990606752506</v>
      </c>
      <c r="AL45" s="43">
        <f t="shared" si="11"/>
        <v>0</v>
      </c>
    </row>
    <row r="46" spans="1:42" x14ac:dyDescent="0.3">
      <c r="A46" s="32">
        <f>VLOOKUP(YEAR(C46),Flags!$A$13:$B$95,2,FALSE)</f>
        <v>4</v>
      </c>
      <c r="B46" s="24">
        <f t="shared" si="2"/>
        <v>1925</v>
      </c>
      <c r="C46" s="25">
        <v>9405</v>
      </c>
      <c r="D46" s="26"/>
      <c r="E46" s="24"/>
      <c r="F46" s="26"/>
      <c r="G46" s="24"/>
      <c r="H46" s="24"/>
      <c r="I46" s="26"/>
      <c r="J46" s="24"/>
      <c r="K46" s="26">
        <f>VLOOKUP($C46,COS!$B$8:$H$991,2,FALSE)</f>
        <v>2972.557373046875</v>
      </c>
      <c r="L46" s="24">
        <f t="shared" ref="L46" si="63">IF(AND(K46&gt;$I$7,K46&lt;$I$8),1,0)</f>
        <v>1</v>
      </c>
      <c r="M46" s="24"/>
      <c r="N46" s="26"/>
      <c r="O46" s="26"/>
      <c r="P46" s="26"/>
      <c r="Q46" s="26"/>
      <c r="R46" s="26"/>
      <c r="S46" s="26"/>
      <c r="T46" s="26"/>
      <c r="U46" s="26"/>
      <c r="V46" s="26"/>
      <c r="W46" s="26">
        <f>MAX($C$8-VLOOKUP($C46,COS!$B$8:$H$991,3,FALSE),0)</f>
        <v>94122.39599609375</v>
      </c>
      <c r="X46" s="26">
        <f t="shared" si="31"/>
        <v>5600.6714972882237</v>
      </c>
      <c r="Y46" s="26">
        <f>VLOOKUP($C46,COS!$B$8:$H$991,4,FALSE)</f>
        <v>601.609375</v>
      </c>
      <c r="Z46" s="26">
        <f t="shared" si="32"/>
        <v>35.798243801652887</v>
      </c>
      <c r="AA46" s="26">
        <f t="shared" si="61"/>
        <v>601.609375</v>
      </c>
      <c r="AB46" s="33">
        <f t="shared" si="34"/>
        <v>35.798243801652887</v>
      </c>
      <c r="AC46" s="6"/>
      <c r="AD46" s="43">
        <v>1954</v>
      </c>
      <c r="AE46" s="1">
        <f>VLOOKUP(AD46,Flags!$A$13:$B$95,2,FALSE)</f>
        <v>2</v>
      </c>
      <c r="AF46" s="43">
        <f t="shared" si="6"/>
        <v>628.75953060433881</v>
      </c>
      <c r="AG46" s="43">
        <f t="shared" si="7"/>
        <v>320.02369774180011</v>
      </c>
      <c r="AH46" s="43">
        <f t="shared" si="8"/>
        <v>0</v>
      </c>
      <c r="AI46" s="43">
        <f t="shared" si="9"/>
        <v>22009.53607728564</v>
      </c>
      <c r="AJ46" s="43">
        <f t="shared" si="10"/>
        <v>98.616977740831601</v>
      </c>
      <c r="AK46" s="43">
        <f t="shared" si="1"/>
        <v>73.855744447314038</v>
      </c>
      <c r="AL46" s="43">
        <f t="shared" si="11"/>
        <v>0</v>
      </c>
    </row>
    <row r="47" spans="1:42" x14ac:dyDescent="0.3">
      <c r="A47" s="32">
        <f>VLOOKUP(YEAR(C47),Flags!$A$13:$B$95,2,FALSE)</f>
        <v>4</v>
      </c>
      <c r="B47" s="24">
        <f t="shared" si="2"/>
        <v>1925</v>
      </c>
      <c r="C47" s="25">
        <v>9436</v>
      </c>
      <c r="D47" s="26"/>
      <c r="E47" s="24"/>
      <c r="F47" s="26"/>
      <c r="G47" s="26"/>
      <c r="H47" s="26"/>
      <c r="I47" s="26"/>
      <c r="J47" s="26"/>
      <c r="K47" s="26"/>
      <c r="L47" s="24"/>
      <c r="M47" s="24"/>
      <c r="N47" s="26"/>
      <c r="O47" s="26"/>
      <c r="P47" s="26"/>
      <c r="Q47" s="26"/>
      <c r="R47" s="26"/>
      <c r="S47" s="26"/>
      <c r="T47" s="26"/>
      <c r="U47" s="26"/>
      <c r="V47" s="26"/>
      <c r="W47" s="26">
        <f>MAX($C$9-VLOOKUP($C47,COS!$B$8:$H$991,3,FALSE),0)</f>
        <v>94097.9453125</v>
      </c>
      <c r="X47" s="26">
        <f t="shared" si="31"/>
        <v>5785.8571332644624</v>
      </c>
      <c r="Y47" s="26">
        <f>VLOOKUP($C47,COS!$B$8:$H$991,4,FALSE)</f>
        <v>1509.1988525390625</v>
      </c>
      <c r="Z47" s="26">
        <f t="shared" si="32"/>
        <v>92.797020354467975</v>
      </c>
      <c r="AA47" s="26">
        <f t="shared" si="61"/>
        <v>1509.1988525390625</v>
      </c>
      <c r="AB47" s="33">
        <f t="shared" si="34"/>
        <v>92.797020354467975</v>
      </c>
      <c r="AC47" s="6"/>
      <c r="AD47" s="43">
        <v>1955</v>
      </c>
      <c r="AE47" s="1">
        <f>VLOOKUP(AD47,Flags!$A$13:$B$95,2,FALSE)</f>
        <v>4</v>
      </c>
      <c r="AF47" s="43">
        <f t="shared" si="6"/>
        <v>146.39928137913225</v>
      </c>
      <c r="AG47" s="43">
        <f t="shared" si="7"/>
        <v>288.36022814033447</v>
      </c>
      <c r="AH47" s="43">
        <f t="shared" si="8"/>
        <v>93.016015524115446</v>
      </c>
      <c r="AI47" s="43">
        <f t="shared" si="9"/>
        <v>22858.056631262913</v>
      </c>
      <c r="AJ47" s="43">
        <f t="shared" si="10"/>
        <v>316.76745553008783</v>
      </c>
      <c r="AK47" s="43">
        <f t="shared" si="1"/>
        <v>274.17800482631719</v>
      </c>
      <c r="AL47" s="43">
        <f t="shared" si="11"/>
        <v>93.016015524115446</v>
      </c>
    </row>
    <row r="48" spans="1:42" x14ac:dyDescent="0.3">
      <c r="A48" s="32">
        <f>VLOOKUP(YEAR(C48),Flags!$A$13:$B$95,2,FALSE)</f>
        <v>4</v>
      </c>
      <c r="B48" s="24">
        <f t="shared" si="2"/>
        <v>1925</v>
      </c>
      <c r="C48" s="25">
        <v>9466</v>
      </c>
      <c r="D48" s="26"/>
      <c r="E48" s="24"/>
      <c r="F48" s="26"/>
      <c r="G48" s="26"/>
      <c r="H48" s="26"/>
      <c r="I48" s="26"/>
      <c r="J48" s="26"/>
      <c r="K48" s="26"/>
      <c r="L48" s="24"/>
      <c r="M48" s="24"/>
      <c r="N48" s="26"/>
      <c r="O48" s="26"/>
      <c r="P48" s="26"/>
      <c r="Q48" s="26"/>
      <c r="R48" s="26"/>
      <c r="S48" s="26"/>
      <c r="T48" s="26"/>
      <c r="U48" s="26"/>
      <c r="V48" s="26"/>
      <c r="W48" s="26">
        <f>MAX($C$10-VLOOKUP($C48,COS!$B$8:$H$991,3,FALSE),0)</f>
        <v>94973.6005859375</v>
      </c>
      <c r="X48" s="26">
        <f t="shared" si="31"/>
        <v>5651.3216877582645</v>
      </c>
      <c r="Y48" s="26">
        <f>VLOOKUP($C48,COS!$B$8:$H$991,4,FALSE)</f>
        <v>1037.1134033203125</v>
      </c>
      <c r="Z48" s="26">
        <f t="shared" si="32"/>
        <v>61.712533090134293</v>
      </c>
      <c r="AA48" s="26">
        <f t="shared" si="61"/>
        <v>1037.1134033203125</v>
      </c>
      <c r="AB48" s="33">
        <f t="shared" si="34"/>
        <v>30.856266545067147</v>
      </c>
      <c r="AC48" s="6"/>
      <c r="AD48" s="43">
        <v>1956</v>
      </c>
      <c r="AE48" s="1">
        <f>VLOOKUP(AD48,Flags!$A$13:$B$95,2,FALSE)</f>
        <v>1</v>
      </c>
      <c r="AF48" s="43">
        <f t="shared" si="6"/>
        <v>238.41283768078512</v>
      </c>
      <c r="AG48" s="43">
        <f t="shared" si="7"/>
        <v>325.15962436644497</v>
      </c>
      <c r="AH48" s="43">
        <f t="shared" si="8"/>
        <v>0</v>
      </c>
      <c r="AI48" s="43">
        <f t="shared" si="9"/>
        <v>21520.017618478825</v>
      </c>
      <c r="AJ48" s="43">
        <f t="shared" si="10"/>
        <v>69.803219589359514</v>
      </c>
      <c r="AK48" s="43">
        <f t="shared" si="1"/>
        <v>51.04191426426911</v>
      </c>
      <c r="AL48" s="43">
        <f t="shared" si="11"/>
        <v>0</v>
      </c>
    </row>
    <row r="49" spans="1:38" x14ac:dyDescent="0.3">
      <c r="A49" s="34">
        <f>VLOOKUP(YEAR(C49),Flags!$A$13:$B$95,2,FALSE)</f>
        <v>4</v>
      </c>
      <c r="B49" s="35">
        <f t="shared" si="2"/>
        <v>1925</v>
      </c>
      <c r="C49" s="36">
        <v>9497</v>
      </c>
      <c r="D49" s="37"/>
      <c r="E49" s="35"/>
      <c r="F49" s="37"/>
      <c r="G49" s="37"/>
      <c r="H49" s="37"/>
      <c r="I49" s="37"/>
      <c r="J49" s="37"/>
      <c r="K49" s="37"/>
      <c r="L49" s="35"/>
      <c r="M49" s="35"/>
      <c r="N49" s="37"/>
      <c r="O49" s="37"/>
      <c r="P49" s="37"/>
      <c r="Q49" s="37"/>
      <c r="R49" s="37"/>
      <c r="S49" s="37"/>
      <c r="T49" s="37"/>
      <c r="U49" s="37"/>
      <c r="V49" s="37"/>
      <c r="W49" s="37">
        <f>MAX($C$11-VLOOKUP($C49,COS!$B$8:$H$991,3,FALSE),0)</f>
        <v>0</v>
      </c>
      <c r="X49" s="37">
        <f t="shared" si="31"/>
        <v>0</v>
      </c>
      <c r="Y49" s="37">
        <f>VLOOKUP($C49,COS!$B$8:$H$991,4,FALSE)</f>
        <v>1280.279541015625</v>
      </c>
      <c r="Z49" s="37">
        <f t="shared" si="32"/>
        <v>78.721320538481407</v>
      </c>
      <c r="AA49" s="37">
        <f t="shared" si="61"/>
        <v>0</v>
      </c>
      <c r="AB49" s="38">
        <f t="shared" si="34"/>
        <v>0</v>
      </c>
      <c r="AC49" s="6"/>
      <c r="AD49" s="43">
        <v>1957</v>
      </c>
      <c r="AE49" s="1">
        <f>VLOOKUP(AD49,Flags!$A$13:$B$95,2,FALSE)</f>
        <v>2</v>
      </c>
      <c r="AF49" s="43">
        <f t="shared" si="6"/>
        <v>515.49969653925621</v>
      </c>
      <c r="AG49" s="43">
        <f t="shared" si="7"/>
        <v>315.55929647146178</v>
      </c>
      <c r="AH49" s="43">
        <f t="shared" si="8"/>
        <v>0</v>
      </c>
      <c r="AI49" s="43">
        <f t="shared" si="9"/>
        <v>22125.812749548037</v>
      </c>
      <c r="AJ49" s="43">
        <f t="shared" si="10"/>
        <v>311.10799308335481</v>
      </c>
      <c r="AK49" s="43">
        <f t="shared" si="1"/>
        <v>242.92148740153667</v>
      </c>
      <c r="AL49" s="43">
        <f t="shared" si="11"/>
        <v>0</v>
      </c>
    </row>
    <row r="50" spans="1:38" x14ac:dyDescent="0.3">
      <c r="A50" s="27">
        <f>VLOOKUP(YEAR(C50),Flags!$A$13:$B$95,2,FALSE)</f>
        <v>4</v>
      </c>
      <c r="B50" s="28">
        <f t="shared" si="2"/>
        <v>1926</v>
      </c>
      <c r="C50" s="29">
        <v>9617</v>
      </c>
      <c r="D50" s="30">
        <f>VLOOKUP($C50,COS!$B$8:$H$991,3,FALSE)</f>
        <v>3250</v>
      </c>
      <c r="E50" s="28">
        <f>IF(D50&gt;=IF(MONTH($C50)=4,$C$3,IF(MONTH($C50)=5,$C$4,IF(MONTH($C50)=6,$C$5,IF(MONTH($C50)=7,$C$6,"ERROR")))),1,0)</f>
        <v>0</v>
      </c>
      <c r="F50" s="30">
        <f>VLOOKUP($C50,COS!$B$8:$H$991,7,FALSE)</f>
        <v>51.212348937988281</v>
      </c>
      <c r="G50" s="28">
        <f>IF(F50&lt;=IF(MONTH($C50)=4,$F$3,IF(MONTH($C50)=5,$F$4,IF(MONTH($C50)=6,$F$5,IF(MONTH($C50)=7,$F$6,"ERROR")))),1,0)</f>
        <v>1</v>
      </c>
      <c r="H50" s="30">
        <f>IF(J50=1,D50-$C$3,0)</f>
        <v>0</v>
      </c>
      <c r="I50" s="30">
        <f t="shared" si="17"/>
        <v>0</v>
      </c>
      <c r="J50" s="28">
        <f t="shared" ref="J50:J53" si="64">IF(AND(E50=1,G50=1),1,0)</f>
        <v>0</v>
      </c>
      <c r="K50" s="30">
        <f>VLOOKUP($C50,COS!$B$8:$H$991,2,FALSE)</f>
        <v>3896.73193359375</v>
      </c>
      <c r="L50" s="28">
        <f t="shared" ref="L50" si="65">IF(K50&lt;=IF(MONTH($C50)=4,$I$3,IF(MONTH($C50)=5,$I$4,IF(MONTH($C50)=6,$I$5,IF(MONTH($C50)=7,$I$6,"ERROR")))),1,0)</f>
        <v>1</v>
      </c>
      <c r="M50" s="28">
        <f t="shared" ref="M50" si="66">VLOOKUP($A50,$L$3:$M$7,2,FALSE)</f>
        <v>1</v>
      </c>
      <c r="N50" s="30">
        <f>VLOOKUP($C50,COS!$B$8:$H$991,5,FALSE)</f>
        <v>52.222553253173828</v>
      </c>
      <c r="O50" s="30">
        <f t="shared" ref="O50:O53" si="67">N50*DAY($C50)*86400/43560/1000</f>
        <v>3.1074577142384427</v>
      </c>
      <c r="P50" s="30">
        <f>VLOOKUP($C50,COS!$B$8:$H$991,6,FALSE)</f>
        <v>311.75833129882813</v>
      </c>
      <c r="Q50" s="30">
        <f t="shared" ref="Q50:Q53" si="68">P50*DAY($C50)*86400/43560/1000</f>
        <v>18.550908969847622</v>
      </c>
      <c r="R50" s="30">
        <f>MIN(IF(MONTH($C50)=4,$S$3,IF(MONTH($C50)=5,$S$4,IF(MONTH($C50)=6,$S$5,IF(MONTH($C50)=7,$S$6,"ERROR")))),MAX(VLOOKUP($C50,COS!$B$8:$K$991,10,FALSE)-IF(MONTH($C50)=4,$Y$3,IF(MONTH($C50)=5,$Y$4,IF(MONTH($C50)=6,$Y$5,IF(MONTH($C50)=7,$Y$6,"ERROR")))),0),MAX(VLOOKUP($C50,COS!$B$8:$K$991,9,FALSE)-IF(MONTH($C50)=4,$V$3,IF(MONTH($C50)=5,$V$4,IF(MONTH($C50)=6,$V$5,IF(MONTH($C50)=7,$V$6,"ERROR"))))-VLOOKUP($C50,COS!$B$8:$K$991,6,FALSE)/2,0))</f>
        <v>0</v>
      </c>
      <c r="S50" s="30">
        <f t="shared" ref="S50:S53" si="69">R50*DAY($C50)*86400/43560/1000</f>
        <v>0</v>
      </c>
      <c r="T50" s="30">
        <f t="shared" ref="T50:T53" si="70">(O50+Q50)/2+S50</f>
        <v>10.829183342043033</v>
      </c>
      <c r="U50" s="30" t="str">
        <f>IF(VLOOKUP($C50,COS!$B$8:$I$991,8,FALSE)=1,"UWFE","IBU")</f>
        <v>UWFE</v>
      </c>
      <c r="V50" s="30">
        <f t="shared" ref="V50" si="71">MIN(IF(IF($AA$3=2,AND(E50=1,G50=1,L50=1,L55=1,M50=1,U50="IBU"),AND(E50=1,G50=1,L50=1,L55=1,M50=1)),T50,0),I50)</f>
        <v>0</v>
      </c>
      <c r="W50" s="30"/>
      <c r="X50" s="30"/>
      <c r="Y50" s="30"/>
      <c r="Z50" s="30"/>
      <c r="AA50" s="30"/>
      <c r="AB50" s="31"/>
      <c r="AC50" s="6"/>
      <c r="AD50" s="43">
        <v>1958</v>
      </c>
      <c r="AE50" s="1">
        <f>VLOOKUP(AD50,Flags!$A$13:$B$95,2,FALSE)</f>
        <v>1</v>
      </c>
      <c r="AF50" s="43">
        <f t="shared" si="6"/>
        <v>412.32285705061986</v>
      </c>
      <c r="AG50" s="43">
        <f t="shared" si="7"/>
        <v>304.3080741516618</v>
      </c>
      <c r="AH50" s="43">
        <f t="shared" si="8"/>
        <v>0</v>
      </c>
      <c r="AI50" s="43">
        <f t="shared" si="9"/>
        <v>21442.499119641012</v>
      </c>
      <c r="AJ50" s="43">
        <f t="shared" si="10"/>
        <v>93.370713062128743</v>
      </c>
      <c r="AK50" s="43">
        <f t="shared" si="1"/>
        <v>48.244034343120475</v>
      </c>
      <c r="AL50" s="43">
        <f t="shared" si="11"/>
        <v>0</v>
      </c>
    </row>
    <row r="51" spans="1:38" x14ac:dyDescent="0.3">
      <c r="A51" s="32">
        <f>VLOOKUP(YEAR(C51),Flags!$A$13:$B$95,2,FALSE)</f>
        <v>4</v>
      </c>
      <c r="B51" s="24">
        <f t="shared" si="2"/>
        <v>1926</v>
      </c>
      <c r="C51" s="25">
        <v>9648</v>
      </c>
      <c r="D51" s="26">
        <f>VLOOKUP($C51,COS!$B$8:$H$991,3,FALSE)</f>
        <v>8995.443359375</v>
      </c>
      <c r="E51" s="24">
        <f>IF(D51&gt;=IF(MONTH($C51)=4,$C$3,IF(MONTH($C51)=5,$C$4,IF(MONTH($C51)=6,$C$5,IF(MONTH($C51)=7,$C$6,"ERROR")))),1,0)</f>
        <v>1</v>
      </c>
      <c r="F51" s="26">
        <f>VLOOKUP($C51,COS!$B$8:$H$991,7,FALSE)</f>
        <v>50.193782806396484</v>
      </c>
      <c r="G51" s="24">
        <f>IF(F51&lt;=IF(MONTH($C51)=4,$F$3,IF(MONTH($C51)=5,$F$4,IF(MONTH($C51)=6,$F$5,IF(MONTH($C51)=7,$F$6,"ERROR")))),1,0)</f>
        <v>1</v>
      </c>
      <c r="H51" s="26">
        <f>IF(J51=1,D51-$C$4,0)</f>
        <v>2995.443359375</v>
      </c>
      <c r="I51" s="26">
        <f t="shared" si="17"/>
        <v>184.18263300619836</v>
      </c>
      <c r="J51" s="24">
        <f t="shared" si="64"/>
        <v>1</v>
      </c>
      <c r="K51" s="26">
        <f>VLOOKUP($C51,COS!$B$8:$H$991,2,FALSE)</f>
        <v>3570.763671875</v>
      </c>
      <c r="L51" s="24">
        <f t="shared" si="19"/>
        <v>1</v>
      </c>
      <c r="M51" s="24">
        <f t="shared" si="20"/>
        <v>1</v>
      </c>
      <c r="N51" s="26">
        <f>VLOOKUP($C51,COS!$B$8:$H$991,5,FALSE)</f>
        <v>105.33164978027344</v>
      </c>
      <c r="O51" s="26">
        <f t="shared" si="67"/>
        <v>6.476590697233342</v>
      </c>
      <c r="P51" s="26">
        <f>VLOOKUP($C51,COS!$B$8:$H$991,6,FALSE)</f>
        <v>2210.808349609375</v>
      </c>
      <c r="Q51" s="26">
        <f t="shared" si="68"/>
        <v>135.93730678589876</v>
      </c>
      <c r="R51" s="26">
        <f>MIN(IF(MONTH($C51)=4,$S$3,IF(MONTH($C51)=5,$S$4,IF(MONTH($C51)=6,$S$5,IF(MONTH($C51)=7,$S$6,"ERROR")))),MAX(VLOOKUP($C51,COS!$B$8:$K$991,10,FALSE)-IF(MONTH($C51)=4,$Y$3,IF(MONTH($C51)=5,$Y$4,IF(MONTH($C51)=6,$Y$5,IF(MONTH($C51)=7,$Y$6,"ERROR")))),0),MAX(VLOOKUP($C51,COS!$B$8:$K$991,9,FALSE)-IF(MONTH($C51)=4,$V$3,IF(MONTH($C51)=5,$V$4,IF(MONTH($C51)=6,$V$5,IF(MONTH($C51)=7,$V$6,"ERROR"))))-VLOOKUP($C51,COS!$B$8:$K$991,6,FALSE)/2,0))</f>
        <v>0</v>
      </c>
      <c r="S51" s="26">
        <f t="shared" si="69"/>
        <v>0</v>
      </c>
      <c r="T51" s="26">
        <f t="shared" si="70"/>
        <v>71.206948741566052</v>
      </c>
      <c r="U51" s="26" t="str">
        <f>IF(VLOOKUP($C51,COS!$B$8:$I$991,8,FALSE)=1,"UWFE","IBU")</f>
        <v>IBU</v>
      </c>
      <c r="V51" s="26">
        <f t="shared" ref="V51" si="72">MIN(IF(IF($AA$3=2,AND(E51=1,G51=1,L51=1,L55=1,M51=1,U51="IBU"),AND(E51=1,G51=1,L51=1,L55=1,M51=1)),T51,0),I51)</f>
        <v>71.206948741566052</v>
      </c>
      <c r="W51" s="26"/>
      <c r="X51" s="26"/>
      <c r="Y51" s="26"/>
      <c r="Z51" s="26"/>
      <c r="AA51" s="26"/>
      <c r="AB51" s="33"/>
      <c r="AC51" s="6"/>
      <c r="AD51" s="43">
        <v>1959</v>
      </c>
      <c r="AE51" s="1">
        <f>VLOOKUP(AD51,Flags!$A$13:$B$95,2,FALSE)</f>
        <v>3</v>
      </c>
      <c r="AF51" s="43">
        <f t="shared" si="6"/>
        <v>504.12418001033052</v>
      </c>
      <c r="AG51" s="43">
        <f t="shared" si="7"/>
        <v>319.98626571781381</v>
      </c>
      <c r="AH51" s="43">
        <f t="shared" si="8"/>
        <v>0</v>
      </c>
      <c r="AI51" s="43">
        <f t="shared" si="9"/>
        <v>22296.30887913223</v>
      </c>
      <c r="AJ51" s="43">
        <f t="shared" si="10"/>
        <v>344.76315813048814</v>
      </c>
      <c r="AK51" s="43">
        <f t="shared" si="1"/>
        <v>180.16086248224431</v>
      </c>
      <c r="AL51" s="43">
        <f t="shared" si="11"/>
        <v>0</v>
      </c>
    </row>
    <row r="52" spans="1:38" x14ac:dyDescent="0.3">
      <c r="A52" s="32">
        <f>VLOOKUP(YEAR(C52),Flags!$A$13:$B$95,2,FALSE)</f>
        <v>4</v>
      </c>
      <c r="B52" s="24">
        <f t="shared" si="2"/>
        <v>1926</v>
      </c>
      <c r="C52" s="25">
        <v>9678</v>
      </c>
      <c r="D52" s="26">
        <f>VLOOKUP($C52,COS!$B$8:$H$991,3,FALSE)</f>
        <v>10166.794921875</v>
      </c>
      <c r="E52" s="24">
        <f>IF(D52&gt;=IF(MONTH($C52)=4,$C$3,IF(MONTH($C52)=5,$C$4,IF(MONTH($C52)=6,$C$5,IF(MONTH($C52)=7,$C$6,"ERROR")))),1,0)</f>
        <v>1</v>
      </c>
      <c r="F52" s="26">
        <f>VLOOKUP($C52,COS!$B$8:$H$991,7,FALSE)</f>
        <v>51.801841735839844</v>
      </c>
      <c r="G52" s="24">
        <f>IF(F52&lt;=IF(MONTH($C52)=4,$F$3,IF(MONTH($C52)=5,$F$4,IF(MONTH($C52)=6,$F$5,IF(MONTH($C52)=7,$F$6,"ERROR")))),1,0)</f>
        <v>1</v>
      </c>
      <c r="H52" s="26">
        <f>IF(J52=1,D52-$C$5,0)</f>
        <v>166.794921875</v>
      </c>
      <c r="I52" s="26">
        <f t="shared" si="17"/>
        <v>9.9249870867768593</v>
      </c>
      <c r="J52" s="24">
        <f t="shared" si="64"/>
        <v>1</v>
      </c>
      <c r="K52" s="26">
        <f>VLOOKUP($C52,COS!$B$8:$H$991,2,FALSE)</f>
        <v>3144.499267578125</v>
      </c>
      <c r="L52" s="24">
        <f t="shared" si="19"/>
        <v>1</v>
      </c>
      <c r="M52" s="24">
        <f t="shared" si="20"/>
        <v>1</v>
      </c>
      <c r="N52" s="26">
        <f>VLOOKUP($C52,COS!$B$8:$H$991,5,FALSE)</f>
        <v>393.1129150390625</v>
      </c>
      <c r="O52" s="26">
        <f t="shared" si="67"/>
        <v>23.391842878357437</v>
      </c>
      <c r="P52" s="26">
        <f>VLOOKUP($C52,COS!$B$8:$H$991,6,FALSE)</f>
        <v>2714.961669921875</v>
      </c>
      <c r="Q52" s="26">
        <f t="shared" si="68"/>
        <v>161.55143821022727</v>
      </c>
      <c r="R52" s="26">
        <f>MIN(IF(MONTH($C52)=4,$S$3,IF(MONTH($C52)=5,$S$4,IF(MONTH($C52)=6,$S$5,IF(MONTH($C52)=7,$S$6,"ERROR")))),MAX(VLOOKUP($C52,COS!$B$8:$K$991,10,FALSE)-IF(MONTH($C52)=4,$Y$3,IF(MONTH($C52)=5,$Y$4,IF(MONTH($C52)=6,$Y$5,IF(MONTH($C52)=7,$Y$6,"ERROR")))),0),MAX(VLOOKUP($C52,COS!$B$8:$K$991,9,FALSE)-IF(MONTH($C52)=4,$V$3,IF(MONTH($C52)=5,$V$4,IF(MONTH($C52)=6,$V$5,IF(MONTH($C52)=7,$V$6,"ERROR"))))-VLOOKUP($C52,COS!$B$8:$K$991,6,FALSE)/2,0))</f>
        <v>0</v>
      </c>
      <c r="S52" s="26">
        <f t="shared" si="69"/>
        <v>0</v>
      </c>
      <c r="T52" s="26">
        <f t="shared" si="70"/>
        <v>92.471640544292356</v>
      </c>
      <c r="U52" s="26" t="str">
        <f>IF(VLOOKUP($C52,COS!$B$8:$I$991,8,FALSE)=1,"UWFE","IBU")</f>
        <v>IBU</v>
      </c>
      <c r="V52" s="26">
        <f t="shared" ref="V52" si="73">MIN(IF(IF($AA$3=2,AND(E52=1,G52=1,L52=1,L55=1,M52=1,U52="IBU"),AND(E52=1,G52=1,L52=1,L55=1,M52=1)),T52,0),I52)</f>
        <v>9.9249870867768593</v>
      </c>
      <c r="W52" s="26"/>
      <c r="X52" s="26"/>
      <c r="Y52" s="26"/>
      <c r="Z52" s="26"/>
      <c r="AA52" s="26"/>
      <c r="AB52" s="33"/>
      <c r="AC52" s="6"/>
      <c r="AD52" s="43">
        <v>1960</v>
      </c>
      <c r="AE52" s="1">
        <f>VLOOKUP(AD52,Flags!$A$13:$B$95,2,FALSE)</f>
        <v>4</v>
      </c>
      <c r="AF52" s="43">
        <f t="shared" si="6"/>
        <v>382.20118737086773</v>
      </c>
      <c r="AG52" s="43">
        <f t="shared" si="7"/>
        <v>273.49238293103934</v>
      </c>
      <c r="AH52" s="43">
        <f t="shared" si="8"/>
        <v>184.72581111182853</v>
      </c>
      <c r="AI52" s="43">
        <f t="shared" si="9"/>
        <v>22673.423001678719</v>
      </c>
      <c r="AJ52" s="43">
        <f t="shared" si="10"/>
        <v>422.76635379003096</v>
      </c>
      <c r="AK52" s="43">
        <f t="shared" si="1"/>
        <v>263.79778449444728</v>
      </c>
      <c r="AL52" s="43">
        <f t="shared" si="11"/>
        <v>184.72581111182853</v>
      </c>
    </row>
    <row r="53" spans="1:38" x14ac:dyDescent="0.3">
      <c r="A53" s="32">
        <f>VLOOKUP(YEAR(C53),Flags!$A$13:$B$95,2,FALSE)</f>
        <v>4</v>
      </c>
      <c r="B53" s="24">
        <f t="shared" si="2"/>
        <v>1926</v>
      </c>
      <c r="C53" s="25">
        <v>9709</v>
      </c>
      <c r="D53" s="26">
        <f>VLOOKUP($C53,COS!$B$8:$H$991,3,FALSE)</f>
        <v>11392.6767578125</v>
      </c>
      <c r="E53" s="24">
        <f>IF(D53&gt;=IF(MONTH($C53)=4,$C$3,IF(MONTH($C53)=5,$C$4,IF(MONTH($C53)=6,$C$5,IF(MONTH($C53)=7,$C$6,"ERROR")))),1,0)</f>
        <v>0</v>
      </c>
      <c r="F53" s="26">
        <f>VLOOKUP($C53,COS!$B$8:$H$991,7,FALSE)</f>
        <v>53.78912353515625</v>
      </c>
      <c r="G53" s="24">
        <f>IF(F53&lt;=IF(MONTH($C53)=4,$F$3,IF(MONTH($C53)=5,$F$4,IF(MONTH($C53)=6,$F$5,IF(MONTH($C53)=7,$F$6,"ERROR")))),1,0)</f>
        <v>0</v>
      </c>
      <c r="H53" s="26">
        <f>IF(J53=1,D53-$C$6,0)</f>
        <v>0</v>
      </c>
      <c r="I53" s="26">
        <f t="shared" si="17"/>
        <v>0</v>
      </c>
      <c r="J53" s="24">
        <f t="shared" si="64"/>
        <v>0</v>
      </c>
      <c r="K53" s="26">
        <f>VLOOKUP($C53,COS!$B$8:$H$991,2,FALSE)</f>
        <v>2700.429443359375</v>
      </c>
      <c r="L53" s="24">
        <f t="shared" si="19"/>
        <v>1</v>
      </c>
      <c r="M53" s="24">
        <f t="shared" si="20"/>
        <v>1</v>
      </c>
      <c r="N53" s="26">
        <f>VLOOKUP($C53,COS!$B$8:$H$991,5,FALSE)</f>
        <v>430.53424072265625</v>
      </c>
      <c r="O53" s="26">
        <f t="shared" si="67"/>
        <v>26.472518603112086</v>
      </c>
      <c r="P53" s="26">
        <f>VLOOKUP($C53,COS!$B$8:$H$991,6,FALSE)</f>
        <v>2538.07568359375</v>
      </c>
      <c r="Q53" s="26">
        <f t="shared" si="68"/>
        <v>156.06019079287191</v>
      </c>
      <c r="R53" s="26">
        <f>MIN(IF(MONTH($C53)=4,$S$3,IF(MONTH($C53)=5,$S$4,IF(MONTH($C53)=6,$S$5,IF(MONTH($C53)=7,$S$6,"ERROR")))),MAX(VLOOKUP($C53,COS!$B$8:$K$991,10,FALSE)-IF(MONTH($C53)=4,$Y$3,IF(MONTH($C53)=5,$Y$4,IF(MONTH($C53)=6,$Y$5,IF(MONTH($C53)=7,$Y$6,"ERROR")))),0),MAX(VLOOKUP($C53,COS!$B$8:$K$991,9,FALSE)-IF(MONTH($C53)=4,$V$3,IF(MONTH($C53)=5,$V$4,IF(MONTH($C53)=6,$V$5,IF(MONTH($C53)=7,$V$6,"ERROR"))))-VLOOKUP($C53,COS!$B$8:$K$991,6,FALSE)/2,0))</f>
        <v>0</v>
      </c>
      <c r="S53" s="26">
        <f t="shared" si="69"/>
        <v>0</v>
      </c>
      <c r="T53" s="26">
        <f t="shared" si="70"/>
        <v>91.266354697992</v>
      </c>
      <c r="U53" s="26" t="str">
        <f>IF(VLOOKUP($C53,COS!$B$8:$I$991,8,FALSE)=1,"UWFE","IBU")</f>
        <v>IBU</v>
      </c>
      <c r="V53" s="26">
        <f t="shared" ref="V53" si="74">MIN(IF(IF($AA$3=2,AND(E53=1,G53=1,L53=1,L55=1,M53=1,U53="IBU"),AND(E53=1,G53=1,L53=1,L55=1,M53=1)),T53,0),I53)</f>
        <v>0</v>
      </c>
      <c r="W53" s="26"/>
      <c r="X53" s="26"/>
      <c r="Y53" s="26"/>
      <c r="Z53" s="26"/>
      <c r="AA53" s="26"/>
      <c r="AB53" s="33"/>
      <c r="AC53" s="6"/>
      <c r="AD53" s="43">
        <v>1961</v>
      </c>
      <c r="AE53" s="1">
        <f>VLOOKUP(AD53,Flags!$A$13:$B$95,2,FALSE)</f>
        <v>4</v>
      </c>
      <c r="AF53" s="43">
        <f t="shared" si="6"/>
        <v>359.59358406508261</v>
      </c>
      <c r="AG53" s="43">
        <f t="shared" si="7"/>
        <v>287.43482393627323</v>
      </c>
      <c r="AH53" s="43">
        <f t="shared" si="8"/>
        <v>100.54246273324509</v>
      </c>
      <c r="AI53" s="43">
        <f t="shared" si="9"/>
        <v>22564.776231275828</v>
      </c>
      <c r="AJ53" s="43">
        <f t="shared" si="10"/>
        <v>593.48291451446278</v>
      </c>
      <c r="AK53" s="43">
        <f t="shared" si="1"/>
        <v>456.66467248837802</v>
      </c>
      <c r="AL53" s="43">
        <f t="shared" si="11"/>
        <v>100.54246273324509</v>
      </c>
    </row>
    <row r="54" spans="1:38" x14ac:dyDescent="0.3">
      <c r="A54" s="32">
        <f>VLOOKUP(YEAR(C54),Flags!$A$13:$B$95,2,FALSE)</f>
        <v>4</v>
      </c>
      <c r="B54" s="24">
        <f t="shared" si="2"/>
        <v>1926</v>
      </c>
      <c r="C54" s="25">
        <v>9740</v>
      </c>
      <c r="D54" s="26"/>
      <c r="E54" s="24"/>
      <c r="F54" s="26"/>
      <c r="G54" s="24"/>
      <c r="H54" s="24"/>
      <c r="I54" s="26"/>
      <c r="J54" s="24"/>
      <c r="K54" s="26"/>
      <c r="L54" s="24"/>
      <c r="M54" s="24"/>
      <c r="N54" s="26"/>
      <c r="O54" s="26"/>
      <c r="P54" s="26"/>
      <c r="Q54" s="26"/>
      <c r="R54" s="26"/>
      <c r="S54" s="26"/>
      <c r="T54" s="26"/>
      <c r="U54" s="26"/>
      <c r="V54" s="26"/>
      <c r="W54" s="26">
        <f>MAX($C$7-VLOOKUP($C54,COS!$B$8:$H$991,3,FALSE),0)</f>
        <v>91690.6279296875</v>
      </c>
      <c r="X54" s="26">
        <f t="shared" si="31"/>
        <v>5637.8369569989663</v>
      </c>
      <c r="Y54" s="26">
        <f>VLOOKUP($C54,COS!$B$8:$H$991,4,FALSE)</f>
        <v>1075.45947265625</v>
      </c>
      <c r="Z54" s="26">
        <f t="shared" si="32"/>
        <v>66.127425426136369</v>
      </c>
      <c r="AA54" s="26">
        <f t="shared" ref="AA54:AA58" si="75">MIN(W54,Y54)</f>
        <v>1075.45947265625</v>
      </c>
      <c r="AB54" s="33">
        <f t="shared" ref="AB54" si="76">AA54*DAY($C54)*86400/43560/1000*IF(MONTH($C54)=8,$P$3,IF(MONTH($C54)=9,$P$4,IF(MONTH($C54)=10,$P$5,IF(MONTH($C54)=11,$P$6,IF(MONTH($C54)=12,$P$7,NA())))))</f>
        <v>66.127425426136369</v>
      </c>
      <c r="AC54" s="6"/>
      <c r="AD54" s="43">
        <v>1962</v>
      </c>
      <c r="AE54" s="1">
        <f>VLOOKUP(AD54,Flags!$A$13:$B$95,2,FALSE)</f>
        <v>3</v>
      </c>
      <c r="AF54" s="43">
        <f t="shared" si="6"/>
        <v>350.84847462551647</v>
      </c>
      <c r="AG54" s="43">
        <f t="shared" si="7"/>
        <v>323.2714352038675</v>
      </c>
      <c r="AH54" s="43">
        <f t="shared" si="8"/>
        <v>0</v>
      </c>
      <c r="AI54" s="43">
        <f t="shared" si="9"/>
        <v>22412.439996771696</v>
      </c>
      <c r="AJ54" s="43">
        <f t="shared" si="10"/>
        <v>20.045821845945248</v>
      </c>
      <c r="AK54" s="43">
        <f t="shared" si="1"/>
        <v>20.045821845945248</v>
      </c>
      <c r="AL54" s="43">
        <f t="shared" si="11"/>
        <v>0</v>
      </c>
    </row>
    <row r="55" spans="1:38" x14ac:dyDescent="0.3">
      <c r="A55" s="32">
        <f>VLOOKUP(YEAR(C55),Flags!$A$13:$B$95,2,FALSE)</f>
        <v>4</v>
      </c>
      <c r="B55" s="24">
        <f t="shared" si="2"/>
        <v>1926</v>
      </c>
      <c r="C55" s="25">
        <v>9770</v>
      </c>
      <c r="D55" s="26"/>
      <c r="E55" s="24"/>
      <c r="F55" s="26"/>
      <c r="G55" s="24"/>
      <c r="H55" s="24"/>
      <c r="I55" s="26"/>
      <c r="J55" s="24"/>
      <c r="K55" s="26">
        <f>VLOOKUP($C55,COS!$B$8:$H$991,2,FALSE)</f>
        <v>2281.95703125</v>
      </c>
      <c r="L55" s="24">
        <f t="shared" ref="L55" si="77">IF(AND(K55&gt;$I$7,K55&lt;$I$8),1,0)</f>
        <v>1</v>
      </c>
      <c r="M55" s="24"/>
      <c r="N55" s="26"/>
      <c r="O55" s="26"/>
      <c r="P55" s="26"/>
      <c r="Q55" s="26"/>
      <c r="R55" s="26"/>
      <c r="S55" s="26"/>
      <c r="T55" s="26"/>
      <c r="U55" s="26"/>
      <c r="V55" s="26"/>
      <c r="W55" s="26">
        <f>MAX($C$8-VLOOKUP($C55,COS!$B$8:$H$991,3,FALSE),0)</f>
        <v>95112.1767578125</v>
      </c>
      <c r="X55" s="26">
        <f t="shared" si="31"/>
        <v>5659.5675426136368</v>
      </c>
      <c r="Y55" s="26">
        <f>VLOOKUP($C55,COS!$B$8:$H$991,4,FALSE)</f>
        <v>1022.280029296875</v>
      </c>
      <c r="Z55" s="26">
        <f t="shared" si="32"/>
        <v>60.829886040805789</v>
      </c>
      <c r="AA55" s="26">
        <f t="shared" si="75"/>
        <v>1022.280029296875</v>
      </c>
      <c r="AB55" s="33">
        <f t="shared" si="34"/>
        <v>60.829886040805789</v>
      </c>
      <c r="AD55" s="43">
        <v>1963</v>
      </c>
      <c r="AE55" s="1">
        <f>VLOOKUP(AD55,Flags!$A$13:$B$95,2,FALSE)</f>
        <v>1</v>
      </c>
      <c r="AF55" s="43">
        <f t="shared" si="6"/>
        <v>1727.2135072314047</v>
      </c>
      <c r="AG55" s="43">
        <f t="shared" si="7"/>
        <v>314.15014513882721</v>
      </c>
      <c r="AH55" s="43">
        <f t="shared" si="8"/>
        <v>0</v>
      </c>
      <c r="AI55" s="43">
        <f t="shared" si="9"/>
        <v>21820.52690760589</v>
      </c>
      <c r="AJ55" s="43">
        <f t="shared" si="10"/>
        <v>160.53308410140107</v>
      </c>
      <c r="AK55" s="43">
        <f t="shared" si="1"/>
        <v>106.14043001033058</v>
      </c>
      <c r="AL55" s="43">
        <f t="shared" si="11"/>
        <v>0</v>
      </c>
    </row>
    <row r="56" spans="1:38" x14ac:dyDescent="0.3">
      <c r="A56" s="32">
        <f>VLOOKUP(YEAR(C56),Flags!$A$13:$B$95,2,FALSE)</f>
        <v>4</v>
      </c>
      <c r="B56" s="24">
        <f t="shared" si="2"/>
        <v>1926</v>
      </c>
      <c r="C56" s="25">
        <v>9801</v>
      </c>
      <c r="D56" s="26"/>
      <c r="E56" s="24"/>
      <c r="F56" s="26"/>
      <c r="G56" s="26"/>
      <c r="H56" s="26"/>
      <c r="I56" s="26"/>
      <c r="J56" s="26"/>
      <c r="K56" s="26"/>
      <c r="L56" s="24"/>
      <c r="M56" s="24"/>
      <c r="N56" s="26"/>
      <c r="O56" s="26"/>
      <c r="P56" s="26"/>
      <c r="Q56" s="26"/>
      <c r="R56" s="26"/>
      <c r="S56" s="26"/>
      <c r="T56" s="26"/>
      <c r="U56" s="26"/>
      <c r="V56" s="26"/>
      <c r="W56" s="26">
        <f>MAX($C$9-VLOOKUP($C56,COS!$B$8:$H$991,3,FALSE),0)</f>
        <v>95397.3447265625</v>
      </c>
      <c r="X56" s="26">
        <f t="shared" si="31"/>
        <v>5865.7540889721076</v>
      </c>
      <c r="Y56" s="26">
        <f>VLOOKUP($C56,COS!$B$8:$H$991,4,FALSE)</f>
        <v>1559.9654541015625</v>
      </c>
      <c r="Z56" s="26">
        <f t="shared" si="32"/>
        <v>95.918537012525817</v>
      </c>
      <c r="AA56" s="26">
        <f t="shared" si="75"/>
        <v>1559.9654541015625</v>
      </c>
      <c r="AB56" s="33">
        <f t="shared" si="34"/>
        <v>95.918537012525817</v>
      </c>
      <c r="AD56" s="43">
        <v>1964</v>
      </c>
      <c r="AE56" s="1">
        <f>VLOOKUP(AD56,Flags!$A$13:$B$95,2,FALSE)</f>
        <v>4</v>
      </c>
      <c r="AF56" s="43">
        <f t="shared" si="6"/>
        <v>202.95327447055786</v>
      </c>
      <c r="AG56" s="43">
        <f t="shared" si="7"/>
        <v>286.62671836663867</v>
      </c>
      <c r="AH56" s="43">
        <f t="shared" si="8"/>
        <v>90.881380716118926</v>
      </c>
      <c r="AI56" s="43">
        <f t="shared" si="9"/>
        <v>22854.937322766011</v>
      </c>
      <c r="AJ56" s="43">
        <f t="shared" si="10"/>
        <v>318.52011081159606</v>
      </c>
      <c r="AK56" s="43">
        <f t="shared" si="1"/>
        <v>259.26403715779958</v>
      </c>
      <c r="AL56" s="43">
        <f t="shared" si="11"/>
        <v>90.881380716118926</v>
      </c>
    </row>
    <row r="57" spans="1:38" x14ac:dyDescent="0.3">
      <c r="A57" s="32">
        <f>VLOOKUP(YEAR(C57),Flags!$A$13:$B$95,2,FALSE)</f>
        <v>4</v>
      </c>
      <c r="B57" s="24">
        <f t="shared" si="2"/>
        <v>1926</v>
      </c>
      <c r="C57" s="25">
        <v>9831</v>
      </c>
      <c r="D57" s="26"/>
      <c r="E57" s="24"/>
      <c r="F57" s="26"/>
      <c r="G57" s="26"/>
      <c r="H57" s="26"/>
      <c r="I57" s="26"/>
      <c r="J57" s="26"/>
      <c r="K57" s="26"/>
      <c r="L57" s="24"/>
      <c r="M57" s="24"/>
      <c r="N57" s="26"/>
      <c r="O57" s="26"/>
      <c r="P57" s="26"/>
      <c r="Q57" s="26"/>
      <c r="R57" s="26"/>
      <c r="S57" s="26"/>
      <c r="T57" s="26"/>
      <c r="U57" s="26"/>
      <c r="V57" s="26"/>
      <c r="W57" s="26">
        <f>MAX($C$10-VLOOKUP($C57,COS!$B$8:$H$991,3,FALSE),0)</f>
        <v>96749</v>
      </c>
      <c r="X57" s="26">
        <f t="shared" si="31"/>
        <v>5756.965289256198</v>
      </c>
      <c r="Y57" s="26">
        <f>VLOOKUP($C57,COS!$B$8:$H$991,4,FALSE)</f>
        <v>0</v>
      </c>
      <c r="Z57" s="26">
        <f t="shared" si="32"/>
        <v>0</v>
      </c>
      <c r="AA57" s="26">
        <f t="shared" si="75"/>
        <v>0</v>
      </c>
      <c r="AB57" s="33">
        <f t="shared" si="34"/>
        <v>0</v>
      </c>
      <c r="AD57" s="43">
        <v>1965</v>
      </c>
      <c r="AE57" s="1">
        <f>VLOOKUP(AD57,Flags!$A$13:$B$95,2,FALSE)</f>
        <v>1</v>
      </c>
      <c r="AF57" s="43">
        <f t="shared" si="6"/>
        <v>332.63346364927685</v>
      </c>
      <c r="AG57" s="43">
        <f t="shared" si="7"/>
        <v>304.62474640586157</v>
      </c>
      <c r="AH57" s="43">
        <f t="shared" si="8"/>
        <v>0</v>
      </c>
      <c r="AI57" s="43">
        <f t="shared" si="9"/>
        <v>21882.578600206609</v>
      </c>
      <c r="AJ57" s="43">
        <f t="shared" si="10"/>
        <v>84.214305308948866</v>
      </c>
      <c r="AK57" s="43">
        <f t="shared" si="1"/>
        <v>71.566032654313005</v>
      </c>
      <c r="AL57" s="43">
        <f t="shared" si="11"/>
        <v>0</v>
      </c>
    </row>
    <row r="58" spans="1:38" x14ac:dyDescent="0.3">
      <c r="A58" s="34">
        <f>VLOOKUP(YEAR(C58),Flags!$A$13:$B$95,2,FALSE)</f>
        <v>4</v>
      </c>
      <c r="B58" s="35">
        <f t="shared" si="2"/>
        <v>1926</v>
      </c>
      <c r="C58" s="36">
        <v>9862</v>
      </c>
      <c r="D58" s="37"/>
      <c r="E58" s="35"/>
      <c r="F58" s="37"/>
      <c r="G58" s="37"/>
      <c r="H58" s="37"/>
      <c r="I58" s="37"/>
      <c r="J58" s="37"/>
      <c r="K58" s="37"/>
      <c r="L58" s="35"/>
      <c r="M58" s="35"/>
      <c r="N58" s="37"/>
      <c r="O58" s="37"/>
      <c r="P58" s="37"/>
      <c r="Q58" s="37"/>
      <c r="R58" s="37"/>
      <c r="S58" s="37"/>
      <c r="T58" s="37"/>
      <c r="U58" s="37"/>
      <c r="V58" s="37"/>
      <c r="W58" s="37">
        <f>MAX($C$11-VLOOKUP($C58,COS!$B$8:$H$991,3,FALSE),0)</f>
        <v>0</v>
      </c>
      <c r="X58" s="37">
        <f t="shared" si="31"/>
        <v>0</v>
      </c>
      <c r="Y58" s="37">
        <f>VLOOKUP($C58,COS!$B$8:$H$991,4,FALSE)</f>
        <v>0</v>
      </c>
      <c r="Z58" s="37">
        <f t="shared" si="32"/>
        <v>0</v>
      </c>
      <c r="AA58" s="37">
        <f t="shared" si="75"/>
        <v>0</v>
      </c>
      <c r="AB58" s="38">
        <f t="shared" si="34"/>
        <v>0</v>
      </c>
      <c r="AD58" s="43">
        <v>1966</v>
      </c>
      <c r="AE58" s="1">
        <f>VLOOKUP(AD58,Flags!$A$13:$B$95,2,FALSE)</f>
        <v>3</v>
      </c>
      <c r="AF58" s="43">
        <f t="shared" si="6"/>
        <v>622.64396629648752</v>
      </c>
      <c r="AG58" s="43">
        <f t="shared" si="7"/>
        <v>329.26802926055655</v>
      </c>
      <c r="AH58" s="43">
        <f t="shared" si="8"/>
        <v>0</v>
      </c>
      <c r="AI58" s="43">
        <f t="shared" si="9"/>
        <v>22397.089360149792</v>
      </c>
      <c r="AJ58" s="43">
        <f t="shared" si="10"/>
        <v>202.35919891609635</v>
      </c>
      <c r="AK58" s="43">
        <f t="shared" si="1"/>
        <v>167.80600934998063</v>
      </c>
      <c r="AL58" s="43">
        <f t="shared" si="11"/>
        <v>0</v>
      </c>
    </row>
    <row r="59" spans="1:38" x14ac:dyDescent="0.3">
      <c r="A59" s="27">
        <f>VLOOKUP(YEAR(C59),Flags!$A$13:$B$95,2,FALSE)</f>
        <v>2</v>
      </c>
      <c r="B59" s="28">
        <f t="shared" si="2"/>
        <v>1927</v>
      </c>
      <c r="C59" s="29">
        <v>9982</v>
      </c>
      <c r="D59" s="30">
        <f>VLOOKUP($C59,COS!$B$8:$H$991,3,FALSE)</f>
        <v>9794.8115234375</v>
      </c>
      <c r="E59" s="28">
        <f>IF(D59&gt;=IF(MONTH($C59)=4,$C$3,IF(MONTH($C59)=5,$C$4,IF(MONTH($C59)=6,$C$5,IF(MONTH($C59)=7,$C$6,"ERROR")))),1,0)</f>
        <v>1</v>
      </c>
      <c r="F59" s="30">
        <f>VLOOKUP($C59,COS!$B$8:$H$991,7,FALSE)</f>
        <v>47.578723907470703</v>
      </c>
      <c r="G59" s="28">
        <f>IF(F59&lt;=IF(MONTH($C59)=4,$F$3,IF(MONTH($C59)=5,$F$4,IF(MONTH($C59)=6,$F$5,IF(MONTH($C59)=7,$F$6,"ERROR")))),1,0)</f>
        <v>1</v>
      </c>
      <c r="H59" s="30">
        <f>IF(J59=1,D59-$C$3,0)</f>
        <v>3794.8115234375</v>
      </c>
      <c r="I59" s="30">
        <f t="shared" si="17"/>
        <v>225.8069666838843</v>
      </c>
      <c r="J59" s="28">
        <f t="shared" ref="J59:J62" si="78">IF(AND(E59=1,G59=1),1,0)</f>
        <v>1</v>
      </c>
      <c r="K59" s="30">
        <f>VLOOKUP($C59,COS!$B$8:$H$991,2,FALSE)</f>
        <v>4552</v>
      </c>
      <c r="L59" s="28">
        <f t="shared" ref="L59" si="79">IF(K59&lt;=IF(MONTH($C59)=4,$I$3,IF(MONTH($C59)=5,$I$4,IF(MONTH($C59)=6,$I$5,IF(MONTH($C59)=7,$I$6,"ERROR")))),1,0)</f>
        <v>1</v>
      </c>
      <c r="M59" s="28">
        <f t="shared" ref="M59" si="80">VLOOKUP($A59,$L$3:$M$7,2,FALSE)</f>
        <v>0</v>
      </c>
      <c r="N59" s="30">
        <f>VLOOKUP($C59,COS!$B$8:$H$991,5,FALSE)</f>
        <v>550.79229736328125</v>
      </c>
      <c r="O59" s="30">
        <f t="shared" ref="O59:O62" si="81">N59*DAY($C59)*86400/43560/1000</f>
        <v>32.77441769434401</v>
      </c>
      <c r="P59" s="30">
        <f>VLOOKUP($C59,COS!$B$8:$H$991,6,FALSE)</f>
        <v>486.04421997070313</v>
      </c>
      <c r="Q59" s="30">
        <f t="shared" ref="Q59:Q62" si="82">P59*DAY($C59)*86400/43560/1000</f>
        <v>28.921639535446797</v>
      </c>
      <c r="R59" s="30">
        <f>MIN(IF(MONTH($C59)=4,$S$3,IF(MONTH($C59)=5,$S$4,IF(MONTH($C59)=6,$S$5,IF(MONTH($C59)=7,$S$6,"ERROR")))),MAX(VLOOKUP($C59,COS!$B$8:$K$991,10,FALSE)-IF(MONTH($C59)=4,$Y$3,IF(MONTH($C59)=5,$Y$4,IF(MONTH($C59)=6,$Y$5,IF(MONTH($C59)=7,$Y$6,"ERROR")))),0),MAX(VLOOKUP($C59,COS!$B$8:$K$991,9,FALSE)-IF(MONTH($C59)=4,$V$3,IF(MONTH($C59)=5,$V$4,IF(MONTH($C59)=6,$V$5,IF(MONTH($C59)=7,$V$6,"ERROR"))))-VLOOKUP($C59,COS!$B$8:$K$991,6,FALSE)/2,0))</f>
        <v>0</v>
      </c>
      <c r="S59" s="30">
        <f t="shared" ref="S59:S62" si="83">R59*DAY($C59)*86400/43560/1000</f>
        <v>0</v>
      </c>
      <c r="T59" s="30">
        <f t="shared" ref="T59:T62" si="84">(O59+Q59)/2+S59</f>
        <v>30.848028614895405</v>
      </c>
      <c r="U59" s="30" t="str">
        <f>IF(VLOOKUP($C59,COS!$B$8:$I$991,8,FALSE)=1,"UWFE","IBU")</f>
        <v>UWFE</v>
      </c>
      <c r="V59" s="30">
        <f t="shared" ref="V59" si="85">MIN(IF(IF($AA$3=2,AND(E59=1,G59=1,L59=1,L64=1,M59=1,U59="IBU"),AND(E59=1,G59=1,L59=1,L64=1,M59=1)),T59,0),I59)</f>
        <v>0</v>
      </c>
      <c r="W59" s="30"/>
      <c r="X59" s="30"/>
      <c r="Y59" s="30"/>
      <c r="Z59" s="30"/>
      <c r="AA59" s="30"/>
      <c r="AB59" s="31"/>
      <c r="AD59" s="43">
        <v>1967</v>
      </c>
      <c r="AE59" s="1">
        <f>VLOOKUP(AD59,Flags!$A$13:$B$95,2,FALSE)</f>
        <v>1</v>
      </c>
      <c r="AF59" s="43">
        <f t="shared" si="6"/>
        <v>650.62075025826448</v>
      </c>
      <c r="AG59" s="43">
        <f t="shared" si="7"/>
        <v>303.8523531574848</v>
      </c>
      <c r="AH59" s="43">
        <f t="shared" si="8"/>
        <v>0</v>
      </c>
      <c r="AI59" s="43">
        <f t="shared" si="9"/>
        <v>21797.730382554237</v>
      </c>
      <c r="AJ59" s="43">
        <f t="shared" si="10"/>
        <v>121.2366370133329</v>
      </c>
      <c r="AK59" s="43">
        <f t="shared" si="1"/>
        <v>69.908479326736824</v>
      </c>
      <c r="AL59" s="43">
        <f t="shared" si="11"/>
        <v>0</v>
      </c>
    </row>
    <row r="60" spans="1:38" x14ac:dyDescent="0.3">
      <c r="A60" s="32">
        <f>VLOOKUP(YEAR(C60),Flags!$A$13:$B$95,2,FALSE)</f>
        <v>2</v>
      </c>
      <c r="B60" s="24">
        <f t="shared" si="2"/>
        <v>1927</v>
      </c>
      <c r="C60" s="25">
        <v>10013</v>
      </c>
      <c r="D60" s="26">
        <f>VLOOKUP($C60,COS!$B$8:$H$991,3,FALSE)</f>
        <v>7714.3828125</v>
      </c>
      <c r="E60" s="24">
        <f>IF(D60&gt;=IF(MONTH($C60)=4,$C$3,IF(MONTH($C60)=5,$C$4,IF(MONTH($C60)=6,$C$5,IF(MONTH($C60)=7,$C$6,"ERROR")))),1,0)</f>
        <v>1</v>
      </c>
      <c r="F60" s="26">
        <f>VLOOKUP($C60,COS!$B$8:$H$991,7,FALSE)</f>
        <v>50.201419830322266</v>
      </c>
      <c r="G60" s="24">
        <f>IF(F60&lt;=IF(MONTH($C60)=4,$F$3,IF(MONTH($C60)=5,$F$4,IF(MONTH($C60)=6,$F$5,IF(MONTH($C60)=7,$F$6,"ERROR")))),1,0)</f>
        <v>1</v>
      </c>
      <c r="H60" s="26">
        <f>IF(J60=1,D60-$C$4,0)</f>
        <v>1714.3828125</v>
      </c>
      <c r="I60" s="26">
        <f t="shared" si="17"/>
        <v>105.4132902892562</v>
      </c>
      <c r="J60" s="24">
        <f t="shared" si="78"/>
        <v>1</v>
      </c>
      <c r="K60" s="26">
        <f>VLOOKUP($C60,COS!$B$8:$H$991,2,FALSE)</f>
        <v>4552</v>
      </c>
      <c r="L60" s="24">
        <f t="shared" si="19"/>
        <v>1</v>
      </c>
      <c r="M60" s="24">
        <f t="shared" si="20"/>
        <v>0</v>
      </c>
      <c r="N60" s="26">
        <f>VLOOKUP($C60,COS!$B$8:$H$991,5,FALSE)</f>
        <v>894.1383056640625</v>
      </c>
      <c r="O60" s="26">
        <f t="shared" si="81"/>
        <v>54.978421439178717</v>
      </c>
      <c r="P60" s="26">
        <f>VLOOKUP($C60,COS!$B$8:$H$991,6,FALSE)</f>
        <v>2249.693359375</v>
      </c>
      <c r="Q60" s="26">
        <f t="shared" si="82"/>
        <v>138.3282528409091</v>
      </c>
      <c r="R60" s="26">
        <f>MIN(IF(MONTH($C60)=4,$S$3,IF(MONTH($C60)=5,$S$4,IF(MONTH($C60)=6,$S$5,IF(MONTH($C60)=7,$S$6,"ERROR")))),MAX(VLOOKUP($C60,COS!$B$8:$K$991,10,FALSE)-IF(MONTH($C60)=4,$Y$3,IF(MONTH($C60)=5,$Y$4,IF(MONTH($C60)=6,$Y$5,IF(MONTH($C60)=7,$Y$6,"ERROR")))),0),MAX(VLOOKUP($C60,COS!$B$8:$K$991,9,FALSE)-IF(MONTH($C60)=4,$V$3,IF(MONTH($C60)=5,$V$4,IF(MONTH($C60)=6,$V$5,IF(MONTH($C60)=7,$V$6,"ERROR"))))-VLOOKUP($C60,COS!$B$8:$K$991,6,FALSE)/2,0))</f>
        <v>0</v>
      </c>
      <c r="S60" s="26">
        <f t="shared" si="83"/>
        <v>0</v>
      </c>
      <c r="T60" s="26">
        <f t="shared" si="84"/>
        <v>96.653337140043902</v>
      </c>
      <c r="U60" s="26" t="str">
        <f>IF(VLOOKUP($C60,COS!$B$8:$I$991,8,FALSE)=1,"UWFE","IBU")</f>
        <v>UWFE</v>
      </c>
      <c r="V60" s="26">
        <f t="shared" ref="V60" si="86">MIN(IF(IF($AA$3=2,AND(E60=1,G60=1,L60=1,L64=1,M60=1,U60="IBU"),AND(E60=1,G60=1,L60=1,L64=1,M60=1)),T60,0),I60)</f>
        <v>0</v>
      </c>
      <c r="W60" s="26"/>
      <c r="X60" s="26"/>
      <c r="Y60" s="26"/>
      <c r="Z60" s="26"/>
      <c r="AA60" s="26"/>
      <c r="AB60" s="33"/>
      <c r="AD60" s="43">
        <v>1968</v>
      </c>
      <c r="AE60" s="1">
        <f>VLOOKUP(AD60,Flags!$A$13:$B$95,2,FALSE)</f>
        <v>3</v>
      </c>
      <c r="AF60" s="43">
        <f t="shared" si="6"/>
        <v>497.01562403150825</v>
      </c>
      <c r="AG60" s="43">
        <f t="shared" si="7"/>
        <v>310.8716013809078</v>
      </c>
      <c r="AH60" s="43">
        <f t="shared" si="8"/>
        <v>0</v>
      </c>
      <c r="AI60" s="43">
        <f t="shared" si="9"/>
        <v>22802.487009297522</v>
      </c>
      <c r="AJ60" s="43">
        <f t="shared" si="10"/>
        <v>131.14432005827092</v>
      </c>
      <c r="AK60" s="43">
        <f t="shared" si="1"/>
        <v>117.78686721171229</v>
      </c>
      <c r="AL60" s="43">
        <f t="shared" si="11"/>
        <v>0</v>
      </c>
    </row>
    <row r="61" spans="1:38" x14ac:dyDescent="0.3">
      <c r="A61" s="32">
        <f>VLOOKUP(YEAR(C61),Flags!$A$13:$B$95,2,FALSE)</f>
        <v>2</v>
      </c>
      <c r="B61" s="24">
        <f t="shared" si="2"/>
        <v>1927</v>
      </c>
      <c r="C61" s="25">
        <v>10043</v>
      </c>
      <c r="D61" s="26">
        <f>VLOOKUP($C61,COS!$B$8:$H$991,3,FALSE)</f>
        <v>8988.9208984375</v>
      </c>
      <c r="E61" s="24">
        <f>IF(D61&gt;=IF(MONTH($C61)=4,$C$3,IF(MONTH($C61)=5,$C$4,IF(MONTH($C61)=6,$C$5,IF(MONTH($C61)=7,$C$6,"ERROR")))),1,0)</f>
        <v>0</v>
      </c>
      <c r="F61" s="26">
        <f>VLOOKUP($C61,COS!$B$8:$H$991,7,FALSE)</f>
        <v>51.129753112792969</v>
      </c>
      <c r="G61" s="24">
        <f>IF(F61&lt;=IF(MONTH($C61)=4,$F$3,IF(MONTH($C61)=5,$F$4,IF(MONTH($C61)=6,$F$5,IF(MONTH($C61)=7,$F$6,"ERROR")))),1,0)</f>
        <v>1</v>
      </c>
      <c r="H61" s="26">
        <f>IF(J61=1,D61-$C$5,0)</f>
        <v>0</v>
      </c>
      <c r="I61" s="26">
        <f t="shared" si="17"/>
        <v>0</v>
      </c>
      <c r="J61" s="24">
        <f t="shared" si="78"/>
        <v>0</v>
      </c>
      <c r="K61" s="26">
        <f>VLOOKUP($C61,COS!$B$8:$H$991,2,FALSE)</f>
        <v>4290.38525390625</v>
      </c>
      <c r="L61" s="24">
        <f t="shared" si="19"/>
        <v>1</v>
      </c>
      <c r="M61" s="24">
        <f t="shared" si="20"/>
        <v>0</v>
      </c>
      <c r="N61" s="26">
        <f>VLOOKUP($C61,COS!$B$8:$H$991,5,FALSE)</f>
        <v>1054.7291259765625</v>
      </c>
      <c r="O61" s="26">
        <f t="shared" si="81"/>
        <v>62.760741380423553</v>
      </c>
      <c r="P61" s="26">
        <f>VLOOKUP($C61,COS!$B$8:$H$991,6,FALSE)</f>
        <v>2141.721923828125</v>
      </c>
      <c r="Q61" s="26">
        <f t="shared" si="82"/>
        <v>127.44130455836778</v>
      </c>
      <c r="R61" s="26">
        <f>MIN(IF(MONTH($C61)=4,$S$3,IF(MONTH($C61)=5,$S$4,IF(MONTH($C61)=6,$S$5,IF(MONTH($C61)=7,$S$6,"ERROR")))),MAX(VLOOKUP($C61,COS!$B$8:$K$991,10,FALSE)-IF(MONTH($C61)=4,$Y$3,IF(MONTH($C61)=5,$Y$4,IF(MONTH($C61)=6,$Y$5,IF(MONTH($C61)=7,$Y$6,"ERROR")))),0),MAX(VLOOKUP($C61,COS!$B$8:$K$991,9,FALSE)-IF(MONTH($C61)=4,$V$3,IF(MONTH($C61)=5,$V$4,IF(MONTH($C61)=6,$V$5,IF(MONTH($C61)=7,$V$6,"ERROR"))))-VLOOKUP($C61,COS!$B$8:$K$991,6,FALSE)/2,0))</f>
        <v>0</v>
      </c>
      <c r="S61" s="26">
        <f t="shared" si="83"/>
        <v>0</v>
      </c>
      <c r="T61" s="26">
        <f t="shared" si="84"/>
        <v>95.101022969395672</v>
      </c>
      <c r="U61" s="26" t="str">
        <f>IF(VLOOKUP($C61,COS!$B$8:$I$991,8,FALSE)=1,"UWFE","IBU")</f>
        <v>UWFE</v>
      </c>
      <c r="V61" s="26">
        <f t="shared" ref="V61" si="87">MIN(IF(IF($AA$3=2,AND(E61=1,G61=1,L61=1,L64=1,M61=1,U61="IBU"),AND(E61=1,G61=1,L61=1,L64=1,M61=1)),T61,0),I61)</f>
        <v>0</v>
      </c>
      <c r="W61" s="26"/>
      <c r="X61" s="26"/>
      <c r="Y61" s="26"/>
      <c r="Z61" s="26"/>
      <c r="AA61" s="26"/>
      <c r="AB61" s="33"/>
      <c r="AD61" s="43">
        <v>1969</v>
      </c>
      <c r="AE61" s="1">
        <f>VLOOKUP(AD61,Flags!$A$13:$B$95,2,FALSE)</f>
        <v>1</v>
      </c>
      <c r="AF61" s="43">
        <f t="shared" si="6"/>
        <v>438.45833871384298</v>
      </c>
      <c r="AG61" s="43">
        <f t="shared" si="7"/>
        <v>329.8113138397469</v>
      </c>
      <c r="AH61" s="43">
        <f t="shared" si="8"/>
        <v>0</v>
      </c>
      <c r="AI61" s="43">
        <f t="shared" si="9"/>
        <v>22009.915055849688</v>
      </c>
      <c r="AJ61" s="43">
        <f t="shared" si="10"/>
        <v>17.674964503769047</v>
      </c>
      <c r="AK61" s="43">
        <f t="shared" si="1"/>
        <v>17.674964503769047</v>
      </c>
      <c r="AL61" s="43">
        <f t="shared" si="11"/>
        <v>0</v>
      </c>
    </row>
    <row r="62" spans="1:38" x14ac:dyDescent="0.3">
      <c r="A62" s="32">
        <f>VLOOKUP(YEAR(C62),Flags!$A$13:$B$95,2,FALSE)</f>
        <v>2</v>
      </c>
      <c r="B62" s="24">
        <f t="shared" si="2"/>
        <v>1927</v>
      </c>
      <c r="C62" s="25">
        <v>10074</v>
      </c>
      <c r="D62" s="26">
        <f>VLOOKUP($C62,COS!$B$8:$H$991,3,FALSE)</f>
        <v>16000</v>
      </c>
      <c r="E62" s="24">
        <f>IF(D62&gt;=IF(MONTH($C62)=4,$C$3,IF(MONTH($C62)=5,$C$4,IF(MONTH($C62)=6,$C$5,IF(MONTH($C62)=7,$C$6,"ERROR")))),1,0)</f>
        <v>1</v>
      </c>
      <c r="F62" s="26">
        <f>VLOOKUP($C62,COS!$B$8:$H$991,7,FALSE)</f>
        <v>51.332504272460938</v>
      </c>
      <c r="G62" s="24">
        <f>IF(F62&lt;=IF(MONTH($C62)=4,$F$3,IF(MONTH($C62)=5,$F$4,IF(MONTH($C62)=6,$F$5,IF(MONTH($C62)=7,$F$6,"ERROR")))),1,0)</f>
        <v>1</v>
      </c>
      <c r="H62" s="26">
        <f>IF(J62=1,D62-$C$6,0)</f>
        <v>4000</v>
      </c>
      <c r="I62" s="26">
        <f t="shared" si="17"/>
        <v>245.95041322314049</v>
      </c>
      <c r="J62" s="24">
        <f t="shared" si="78"/>
        <v>1</v>
      </c>
      <c r="K62" s="26">
        <f>VLOOKUP($C62,COS!$B$8:$H$991,2,FALSE)</f>
        <v>3557.699462890625</v>
      </c>
      <c r="L62" s="24">
        <f t="shared" si="19"/>
        <v>1</v>
      </c>
      <c r="M62" s="24">
        <f t="shared" si="20"/>
        <v>0</v>
      </c>
      <c r="N62" s="26">
        <f>VLOOKUP($C62,COS!$B$8:$H$991,5,FALSE)</f>
        <v>1278.4688720703125</v>
      </c>
      <c r="O62" s="26">
        <f t="shared" si="81"/>
        <v>78.609986844653918</v>
      </c>
      <c r="P62" s="26">
        <f>VLOOKUP($C62,COS!$B$8:$H$991,6,FALSE)</f>
        <v>2521.474853515625</v>
      </c>
      <c r="Q62" s="26">
        <f t="shared" si="82"/>
        <v>155.0394455384814</v>
      </c>
      <c r="R62" s="26">
        <f>MIN(IF(MONTH($C62)=4,$S$3,IF(MONTH($C62)=5,$S$4,IF(MONTH($C62)=6,$S$5,IF(MONTH($C62)=7,$S$6,"ERROR")))),MAX(VLOOKUP($C62,COS!$B$8:$K$991,10,FALSE)-IF(MONTH($C62)=4,$Y$3,IF(MONTH($C62)=5,$Y$4,IF(MONTH($C62)=6,$Y$5,IF(MONTH($C62)=7,$Y$6,"ERROR")))),0),MAX(VLOOKUP($C62,COS!$B$8:$K$991,9,FALSE)-IF(MONTH($C62)=4,$V$3,IF(MONTH($C62)=5,$V$4,IF(MONTH($C62)=6,$V$5,IF(MONTH($C62)=7,$V$6,"ERROR"))))-VLOOKUP($C62,COS!$B$8:$K$991,6,FALSE)/2,0))</f>
        <v>0</v>
      </c>
      <c r="S62" s="26">
        <f t="shared" si="83"/>
        <v>0</v>
      </c>
      <c r="T62" s="26">
        <f t="shared" si="84"/>
        <v>116.82471619156766</v>
      </c>
      <c r="U62" s="26" t="str">
        <f>IF(VLOOKUP($C62,COS!$B$8:$I$991,8,FALSE)=1,"UWFE","IBU")</f>
        <v>IBU</v>
      </c>
      <c r="V62" s="26">
        <f t="shared" ref="V62" si="88">MIN(IF(IF($AA$3=2,AND(E62=1,G62=1,L62=1,L64=1,M62=1,U62="IBU"),AND(E62=1,G62=1,L62=1,L64=1,M62=1)),T62,0),I62)</f>
        <v>0</v>
      </c>
      <c r="W62" s="26"/>
      <c r="X62" s="26"/>
      <c r="Y62" s="26"/>
      <c r="Z62" s="26"/>
      <c r="AA62" s="26"/>
      <c r="AB62" s="33"/>
      <c r="AD62" s="43">
        <v>1970</v>
      </c>
      <c r="AE62" s="1">
        <f>VLOOKUP(AD62,Flags!$A$13:$B$95,2,FALSE)</f>
        <v>1</v>
      </c>
      <c r="AF62" s="43">
        <f t="shared" si="6"/>
        <v>344.98198799070246</v>
      </c>
      <c r="AG62" s="43">
        <f t="shared" si="7"/>
        <v>297.32375837341812</v>
      </c>
      <c r="AH62" s="43">
        <f t="shared" si="8"/>
        <v>0</v>
      </c>
      <c r="AI62" s="43">
        <f t="shared" si="9"/>
        <v>21656.512585227272</v>
      </c>
      <c r="AJ62" s="43">
        <f t="shared" si="10"/>
        <v>170.52140419195507</v>
      </c>
      <c r="AK62" s="43">
        <f t="shared" si="1"/>
        <v>137.42072342297263</v>
      </c>
      <c r="AL62" s="43">
        <f t="shared" si="11"/>
        <v>0</v>
      </c>
    </row>
    <row r="63" spans="1:38" x14ac:dyDescent="0.3">
      <c r="A63" s="32">
        <f>VLOOKUP(YEAR(C63),Flags!$A$13:$B$95,2,FALSE)</f>
        <v>2</v>
      </c>
      <c r="B63" s="24">
        <f t="shared" si="2"/>
        <v>1927</v>
      </c>
      <c r="C63" s="25">
        <v>10105</v>
      </c>
      <c r="D63" s="26"/>
      <c r="E63" s="24"/>
      <c r="F63" s="26"/>
      <c r="G63" s="24"/>
      <c r="H63" s="24"/>
      <c r="I63" s="26"/>
      <c r="J63" s="24"/>
      <c r="K63" s="26"/>
      <c r="L63" s="24"/>
      <c r="M63" s="24"/>
      <c r="N63" s="26"/>
      <c r="O63" s="26"/>
      <c r="P63" s="26"/>
      <c r="Q63" s="26"/>
      <c r="R63" s="26"/>
      <c r="S63" s="26"/>
      <c r="T63" s="26"/>
      <c r="U63" s="26"/>
      <c r="V63" s="26"/>
      <c r="W63" s="26">
        <f>MAX($C$7-VLOOKUP($C63,COS!$B$8:$H$991,3,FALSE),0)</f>
        <v>88882.072265625</v>
      </c>
      <c r="X63" s="26">
        <f t="shared" si="31"/>
        <v>5465.1456004648762</v>
      </c>
      <c r="Y63" s="26">
        <f>VLOOKUP($C63,COS!$B$8:$H$991,4,FALSE)</f>
        <v>131.21571350097656</v>
      </c>
      <c r="Z63" s="26">
        <f t="shared" si="32"/>
        <v>8.0681397392336009</v>
      </c>
      <c r="AA63" s="26">
        <f t="shared" ref="AA63:AA67" si="89">MIN(W63,Y63)</f>
        <v>131.21571350097656</v>
      </c>
      <c r="AB63" s="33">
        <f t="shared" ref="AB63" si="90">AA63*DAY($C63)*86400/43560/1000*IF(MONTH($C63)=8,$P$3,IF(MONTH($C63)=9,$P$4,IF(MONTH($C63)=10,$P$5,IF(MONTH($C63)=11,$P$6,IF(MONTH($C63)=12,$P$7,NA())))))</f>
        <v>8.0681397392336009</v>
      </c>
      <c r="AD63" s="43">
        <v>1971</v>
      </c>
      <c r="AE63" s="1">
        <f>VLOOKUP(AD63,Flags!$A$13:$B$95,2,FALSE)</f>
        <v>1</v>
      </c>
      <c r="AF63" s="43">
        <f t="shared" si="6"/>
        <v>413.69826252582646</v>
      </c>
      <c r="AG63" s="43">
        <f t="shared" si="7"/>
        <v>322.48364023760331</v>
      </c>
      <c r="AH63" s="43">
        <f t="shared" si="8"/>
        <v>0</v>
      </c>
      <c r="AI63" s="43">
        <f t="shared" si="9"/>
        <v>21546.728224431819</v>
      </c>
      <c r="AJ63" s="43">
        <f t="shared" si="10"/>
        <v>198.7760154434078</v>
      </c>
      <c r="AK63" s="43">
        <f t="shared" si="1"/>
        <v>148.09176917210098</v>
      </c>
      <c r="AL63" s="43">
        <f t="shared" si="11"/>
        <v>0</v>
      </c>
    </row>
    <row r="64" spans="1:38" x14ac:dyDescent="0.3">
      <c r="A64" s="32">
        <f>VLOOKUP(YEAR(C64),Flags!$A$13:$B$95,2,FALSE)</f>
        <v>2</v>
      </c>
      <c r="B64" s="24">
        <f t="shared" si="2"/>
        <v>1927</v>
      </c>
      <c r="C64" s="25">
        <v>10135</v>
      </c>
      <c r="D64" s="26"/>
      <c r="E64" s="24"/>
      <c r="F64" s="26"/>
      <c r="G64" s="24"/>
      <c r="H64" s="24"/>
      <c r="I64" s="26"/>
      <c r="J64" s="24"/>
      <c r="K64" s="26">
        <f>VLOOKUP($C64,COS!$B$8:$H$991,2,FALSE)</f>
        <v>2812.22802734375</v>
      </c>
      <c r="L64" s="24">
        <f t="shared" ref="L64" si="91">IF(AND(K64&gt;$I$7,K64&lt;$I$8),1,0)</f>
        <v>1</v>
      </c>
      <c r="M64" s="24"/>
      <c r="N64" s="26"/>
      <c r="O64" s="26"/>
      <c r="P64" s="26"/>
      <c r="Q64" s="26"/>
      <c r="R64" s="26"/>
      <c r="S64" s="26"/>
      <c r="T64" s="26"/>
      <c r="U64" s="26"/>
      <c r="V64" s="26"/>
      <c r="W64" s="26">
        <f>MAX($C$8-VLOOKUP($C64,COS!$B$8:$H$991,3,FALSE),0)</f>
        <v>89196.4267578125</v>
      </c>
      <c r="X64" s="26">
        <f t="shared" si="31"/>
        <v>5307.5559723657025</v>
      </c>
      <c r="Y64" s="26">
        <f>VLOOKUP($C64,COS!$B$8:$H$991,4,FALSE)</f>
        <v>0</v>
      </c>
      <c r="Z64" s="26">
        <f t="shared" si="32"/>
        <v>0</v>
      </c>
      <c r="AA64" s="26">
        <f t="shared" si="89"/>
        <v>0</v>
      </c>
      <c r="AB64" s="33">
        <f t="shared" si="34"/>
        <v>0</v>
      </c>
      <c r="AD64" s="43">
        <v>1972</v>
      </c>
      <c r="AE64" s="1">
        <f>VLOOKUP(AD64,Flags!$A$13:$B$95,2,FALSE)</f>
        <v>3</v>
      </c>
      <c r="AF64" s="43">
        <f t="shared" si="6"/>
        <v>529.18486247417354</v>
      </c>
      <c r="AG64" s="43">
        <f t="shared" si="7"/>
        <v>284.51975893635398</v>
      </c>
      <c r="AH64" s="43">
        <f t="shared" si="8"/>
        <v>0</v>
      </c>
      <c r="AI64" s="43">
        <f t="shared" si="9"/>
        <v>22769.86642271436</v>
      </c>
      <c r="AJ64" s="43">
        <f t="shared" si="10"/>
        <v>297.71753264624226</v>
      </c>
      <c r="AK64" s="43">
        <f t="shared" si="1"/>
        <v>229.24088621029185</v>
      </c>
      <c r="AL64" s="43">
        <f t="shared" si="11"/>
        <v>0</v>
      </c>
    </row>
    <row r="65" spans="1:38" x14ac:dyDescent="0.3">
      <c r="A65" s="32">
        <f>VLOOKUP(YEAR(C65),Flags!$A$13:$B$95,2,FALSE)</f>
        <v>2</v>
      </c>
      <c r="B65" s="24">
        <f t="shared" si="2"/>
        <v>1927</v>
      </c>
      <c r="C65" s="25">
        <v>10166</v>
      </c>
      <c r="D65" s="26"/>
      <c r="E65" s="24"/>
      <c r="F65" s="26"/>
      <c r="G65" s="26"/>
      <c r="H65" s="26"/>
      <c r="I65" s="26"/>
      <c r="J65" s="26"/>
      <c r="K65" s="26"/>
      <c r="L65" s="24"/>
      <c r="M65" s="24"/>
      <c r="N65" s="26"/>
      <c r="O65" s="26"/>
      <c r="P65" s="26"/>
      <c r="Q65" s="26"/>
      <c r="R65" s="26"/>
      <c r="S65" s="26"/>
      <c r="T65" s="26"/>
      <c r="U65" s="26"/>
      <c r="V65" s="26"/>
      <c r="W65" s="26">
        <f>MAX($C$9-VLOOKUP($C65,COS!$B$8:$H$991,3,FALSE),0)</f>
        <v>92950.994140625</v>
      </c>
      <c r="X65" s="26">
        <f t="shared" si="31"/>
        <v>5715.3338545971073</v>
      </c>
      <c r="Y65" s="26">
        <f>VLOOKUP($C65,COS!$B$8:$H$991,4,FALSE)</f>
        <v>958.4876708984375</v>
      </c>
      <c r="Z65" s="26">
        <f t="shared" si="32"/>
        <v>58.935109681689049</v>
      </c>
      <c r="AA65" s="26">
        <f t="shared" si="89"/>
        <v>958.4876708984375</v>
      </c>
      <c r="AB65" s="33">
        <f t="shared" si="34"/>
        <v>58.935109681689049</v>
      </c>
      <c r="AD65" s="43">
        <v>1973</v>
      </c>
      <c r="AE65" s="1">
        <f>VLOOKUP(AD65,Flags!$A$13:$B$95,2,FALSE)</f>
        <v>2</v>
      </c>
      <c r="AF65" s="43">
        <f t="shared" si="6"/>
        <v>456.36225174328513</v>
      </c>
      <c r="AG65" s="43">
        <f t="shared" si="7"/>
        <v>334.37506002631073</v>
      </c>
      <c r="AH65" s="43">
        <f t="shared" si="8"/>
        <v>0</v>
      </c>
      <c r="AI65" s="43">
        <f t="shared" si="9"/>
        <v>21090.299418904957</v>
      </c>
      <c r="AJ65" s="43">
        <f t="shared" si="10"/>
        <v>104.91092460695377</v>
      </c>
      <c r="AK65" s="43">
        <f t="shared" si="1"/>
        <v>104.91092460695377</v>
      </c>
      <c r="AL65" s="43">
        <f t="shared" si="11"/>
        <v>0</v>
      </c>
    </row>
    <row r="66" spans="1:38" x14ac:dyDescent="0.3">
      <c r="A66" s="32">
        <f>VLOOKUP(YEAR(C66),Flags!$A$13:$B$95,2,FALSE)</f>
        <v>2</v>
      </c>
      <c r="B66" s="24">
        <f t="shared" si="2"/>
        <v>1927</v>
      </c>
      <c r="C66" s="25">
        <v>10196</v>
      </c>
      <c r="D66" s="26"/>
      <c r="E66" s="24"/>
      <c r="F66" s="26"/>
      <c r="G66" s="26"/>
      <c r="H66" s="26"/>
      <c r="I66" s="26"/>
      <c r="J66" s="26"/>
      <c r="K66" s="26"/>
      <c r="L66" s="24"/>
      <c r="M66" s="24"/>
      <c r="N66" s="26"/>
      <c r="O66" s="26"/>
      <c r="P66" s="26"/>
      <c r="Q66" s="26"/>
      <c r="R66" s="26"/>
      <c r="S66" s="26"/>
      <c r="T66" s="26"/>
      <c r="U66" s="26"/>
      <c r="V66" s="26"/>
      <c r="W66" s="26">
        <f>MAX($C$10-VLOOKUP($C66,COS!$B$8:$H$991,3,FALSE),0)</f>
        <v>93176.5546875</v>
      </c>
      <c r="X66" s="26">
        <f t="shared" si="31"/>
        <v>5544.3900309917362</v>
      </c>
      <c r="Y66" s="26">
        <f>VLOOKUP($C66,COS!$B$8:$H$991,4,FALSE)</f>
        <v>593.66107177734375</v>
      </c>
      <c r="Z66" s="26">
        <f t="shared" si="32"/>
        <v>35.325286915676656</v>
      </c>
      <c r="AA66" s="26">
        <f t="shared" si="89"/>
        <v>593.66107177734375</v>
      </c>
      <c r="AB66" s="33">
        <f t="shared" si="34"/>
        <v>17.662643457838328</v>
      </c>
      <c r="AD66" s="43">
        <v>1974</v>
      </c>
      <c r="AE66" s="1">
        <f>VLOOKUP(AD66,Flags!$A$13:$B$95,2,FALSE)</f>
        <v>1</v>
      </c>
      <c r="AF66" s="43">
        <f t="shared" si="6"/>
        <v>37.038895273760332</v>
      </c>
      <c r="AG66" s="43">
        <f t="shared" si="7"/>
        <v>316.98684110026716</v>
      </c>
      <c r="AH66" s="43">
        <f t="shared" si="8"/>
        <v>0</v>
      </c>
      <c r="AI66" s="43">
        <f t="shared" si="9"/>
        <v>21548.975072959711</v>
      </c>
      <c r="AJ66" s="43">
        <f t="shared" si="10"/>
        <v>158.65327051588326</v>
      </c>
      <c r="AK66" s="43">
        <f t="shared" si="1"/>
        <v>117.24351901472107</v>
      </c>
      <c r="AL66" s="43">
        <f t="shared" si="11"/>
        <v>0</v>
      </c>
    </row>
    <row r="67" spans="1:38" x14ac:dyDescent="0.3">
      <c r="A67" s="34">
        <f>VLOOKUP(YEAR(C67),Flags!$A$13:$B$95,2,FALSE)</f>
        <v>2</v>
      </c>
      <c r="B67" s="35">
        <f t="shared" si="2"/>
        <v>1927</v>
      </c>
      <c r="C67" s="36">
        <v>10227</v>
      </c>
      <c r="D67" s="37"/>
      <c r="E67" s="35"/>
      <c r="F67" s="37"/>
      <c r="G67" s="37"/>
      <c r="H67" s="37"/>
      <c r="I67" s="37"/>
      <c r="J67" s="37"/>
      <c r="K67" s="37"/>
      <c r="L67" s="35"/>
      <c r="M67" s="35"/>
      <c r="N67" s="37"/>
      <c r="O67" s="37"/>
      <c r="P67" s="37"/>
      <c r="Q67" s="37"/>
      <c r="R67" s="37"/>
      <c r="S67" s="37"/>
      <c r="T67" s="37"/>
      <c r="U67" s="37"/>
      <c r="V67" s="37"/>
      <c r="W67" s="37">
        <f>MAX($C$11-VLOOKUP($C67,COS!$B$8:$H$991,3,FALSE),0)</f>
        <v>0</v>
      </c>
      <c r="X67" s="37">
        <f t="shared" si="31"/>
        <v>0</v>
      </c>
      <c r="Y67" s="37">
        <f>VLOOKUP($C67,COS!$B$8:$H$991,4,FALSE)</f>
        <v>0</v>
      </c>
      <c r="Z67" s="37">
        <f t="shared" si="32"/>
        <v>0</v>
      </c>
      <c r="AA67" s="37">
        <f t="shared" si="89"/>
        <v>0</v>
      </c>
      <c r="AB67" s="38">
        <f t="shared" si="34"/>
        <v>0</v>
      </c>
      <c r="AD67" s="43">
        <v>1975</v>
      </c>
      <c r="AE67" s="1">
        <f>VLOOKUP(AD67,Flags!$A$13:$B$95,2,FALSE)</f>
        <v>1</v>
      </c>
      <c r="AF67" s="43">
        <f t="shared" si="6"/>
        <v>358.21987151342972</v>
      </c>
      <c r="AG67" s="43">
        <f t="shared" si="7"/>
        <v>342.01054263784863</v>
      </c>
      <c r="AH67" s="43">
        <f t="shared" si="8"/>
        <v>0</v>
      </c>
      <c r="AI67" s="43">
        <f t="shared" si="9"/>
        <v>21731.605349302685</v>
      </c>
      <c r="AJ67" s="43">
        <f t="shared" si="10"/>
        <v>123.33492744382747</v>
      </c>
      <c r="AK67" s="43">
        <f t="shared" si="1"/>
        <v>90.435229290418391</v>
      </c>
      <c r="AL67" s="43">
        <f t="shared" si="11"/>
        <v>0</v>
      </c>
    </row>
    <row r="68" spans="1:38" x14ac:dyDescent="0.3">
      <c r="A68" s="27">
        <f>VLOOKUP(YEAR(C68),Flags!$A$13:$B$95,2,FALSE)</f>
        <v>2</v>
      </c>
      <c r="B68" s="28">
        <f t="shared" si="2"/>
        <v>1928</v>
      </c>
      <c r="C68" s="29">
        <v>10348</v>
      </c>
      <c r="D68" s="30">
        <f>VLOOKUP($C68,COS!$B$8:$H$991,3,FALSE)</f>
        <v>3250</v>
      </c>
      <c r="E68" s="28">
        <f>IF(D68&gt;=IF(MONTH($C68)=4,$C$3,IF(MONTH($C68)=5,$C$4,IF(MONTH($C68)=6,$C$5,IF(MONTH($C68)=7,$C$6,"ERROR")))),1,0)</f>
        <v>0</v>
      </c>
      <c r="F68" s="30">
        <f>VLOOKUP($C68,COS!$B$8:$H$991,7,FALSE)</f>
        <v>51.280696868896484</v>
      </c>
      <c r="G68" s="28">
        <f>IF(F68&lt;=IF(MONTH($C68)=4,$F$3,IF(MONTH($C68)=5,$F$4,IF(MONTH($C68)=6,$F$5,IF(MONTH($C68)=7,$F$6,"ERROR")))),1,0)</f>
        <v>1</v>
      </c>
      <c r="H68" s="30">
        <f>IF(J68=1,D68-$C$3,0)</f>
        <v>0</v>
      </c>
      <c r="I68" s="30">
        <f t="shared" si="17"/>
        <v>0</v>
      </c>
      <c r="J68" s="28">
        <f t="shared" ref="J68:J71" si="92">IF(AND(E68=1,G68=1),1,0)</f>
        <v>0</v>
      </c>
      <c r="K68" s="30">
        <f>VLOOKUP($C68,COS!$B$8:$H$991,2,FALSE)</f>
        <v>4536.6591796875</v>
      </c>
      <c r="L68" s="28">
        <f t="shared" ref="L68" si="93">IF(K68&lt;=IF(MONTH($C68)=4,$I$3,IF(MONTH($C68)=5,$I$4,IF(MONTH($C68)=6,$I$5,IF(MONTH($C68)=7,$I$6,"ERROR")))),1,0)</f>
        <v>1</v>
      </c>
      <c r="M68" s="28">
        <f t="shared" ref="M68" si="94">VLOOKUP($A68,$L$3:$M$7,2,FALSE)</f>
        <v>0</v>
      </c>
      <c r="N68" s="30">
        <f>VLOOKUP($C68,COS!$B$8:$H$991,5,FALSE)</f>
        <v>195.05795288085938</v>
      </c>
      <c r="O68" s="30">
        <f t="shared" ref="O68:O71" si="95">N68*DAY($C68)*86400/43560/1000</f>
        <v>11.606754221009815</v>
      </c>
      <c r="P68" s="30">
        <f>VLOOKUP($C68,COS!$B$8:$H$991,6,FALSE)</f>
        <v>419.7452392578125</v>
      </c>
      <c r="Q68" s="30">
        <f t="shared" ref="Q68:Q71" si="96">P68*DAY($C68)*86400/43560/1000</f>
        <v>24.976576220299588</v>
      </c>
      <c r="R68" s="30">
        <f>MIN(IF(MONTH($C68)=4,$S$3,IF(MONTH($C68)=5,$S$4,IF(MONTH($C68)=6,$S$5,IF(MONTH($C68)=7,$S$6,"ERROR")))),MAX(VLOOKUP($C68,COS!$B$8:$K$991,10,FALSE)-IF(MONTH($C68)=4,$Y$3,IF(MONTH($C68)=5,$Y$4,IF(MONTH($C68)=6,$Y$5,IF(MONTH($C68)=7,$Y$6,"ERROR")))),0),MAX(VLOOKUP($C68,COS!$B$8:$K$991,9,FALSE)-IF(MONTH($C68)=4,$V$3,IF(MONTH($C68)=5,$V$4,IF(MONTH($C68)=6,$V$5,IF(MONTH($C68)=7,$V$6,"ERROR"))))-VLOOKUP($C68,COS!$B$8:$K$991,6,FALSE)/2,0))</f>
        <v>0</v>
      </c>
      <c r="S68" s="30">
        <f t="shared" ref="S68:S71" si="97">R68*DAY($C68)*86400/43560/1000</f>
        <v>0</v>
      </c>
      <c r="T68" s="30">
        <f t="shared" ref="T68:T71" si="98">(O68+Q68)/2+S68</f>
        <v>18.2916652206547</v>
      </c>
      <c r="U68" s="30" t="str">
        <f>IF(VLOOKUP($C68,COS!$B$8:$I$991,8,FALSE)=1,"UWFE","IBU")</f>
        <v>UWFE</v>
      </c>
      <c r="V68" s="30">
        <f t="shared" ref="V68" si="99">MIN(IF(IF($AA$3=2,AND(E68=1,G68=1,L68=1,L73=1,M68=1,U68="IBU"),AND(E68=1,G68=1,L68=1,L73=1,M68=1)),T68,0),I68)</f>
        <v>0</v>
      </c>
      <c r="W68" s="30"/>
      <c r="X68" s="30"/>
      <c r="Y68" s="30"/>
      <c r="Z68" s="30"/>
      <c r="AA68" s="30"/>
      <c r="AB68" s="31"/>
      <c r="AD68" s="44">
        <v>1976</v>
      </c>
      <c r="AE68" s="45">
        <f>VLOOKUP(AD68,Flags!$A$13:$B$95,2,FALSE)</f>
        <v>4</v>
      </c>
      <c r="AF68" s="44">
        <f t="shared" si="6"/>
        <v>250.9674774018595</v>
      </c>
      <c r="AG68" s="44">
        <f t="shared" si="7"/>
        <v>260.09170725924912</v>
      </c>
      <c r="AH68" s="44">
        <f t="shared" si="8"/>
        <v>79.782986066833999</v>
      </c>
      <c r="AI68" s="44">
        <f t="shared" si="9"/>
        <v>22584.217981340393</v>
      </c>
      <c r="AJ68" s="44">
        <f t="shared" si="10"/>
        <v>561.13268578899783</v>
      </c>
      <c r="AK68" s="44">
        <f t="shared" si="1"/>
        <v>367.72266545067146</v>
      </c>
      <c r="AL68" s="44">
        <f t="shared" si="11"/>
        <v>79.782986066833999</v>
      </c>
    </row>
    <row r="69" spans="1:38" x14ac:dyDescent="0.3">
      <c r="A69" s="32">
        <f>VLOOKUP(YEAR(C69),Flags!$A$13:$B$95,2,FALSE)</f>
        <v>2</v>
      </c>
      <c r="B69" s="24">
        <f t="shared" si="2"/>
        <v>1928</v>
      </c>
      <c r="C69" s="25">
        <v>10379</v>
      </c>
      <c r="D69" s="26">
        <f>VLOOKUP($C69,COS!$B$8:$H$991,3,FALSE)</f>
        <v>7197.19873046875</v>
      </c>
      <c r="E69" s="24">
        <f>IF(D69&gt;=IF(MONTH($C69)=4,$C$3,IF(MONTH($C69)=5,$C$4,IF(MONTH($C69)=6,$C$5,IF(MONTH($C69)=7,$C$6,"ERROR")))),1,0)</f>
        <v>1</v>
      </c>
      <c r="F69" s="26">
        <f>VLOOKUP($C69,COS!$B$8:$H$991,7,FALSE)</f>
        <v>51.672935485839844</v>
      </c>
      <c r="G69" s="24">
        <f>IF(F69&lt;=IF(MONTH($C69)=4,$F$3,IF(MONTH($C69)=5,$F$4,IF(MONTH($C69)=6,$F$5,IF(MONTH($C69)=7,$F$6,"ERROR")))),1,0)</f>
        <v>1</v>
      </c>
      <c r="H69" s="26">
        <f>IF(J69=1,D69-$C$4,0)</f>
        <v>1197.19873046875</v>
      </c>
      <c r="I69" s="26">
        <f t="shared" si="17"/>
        <v>73.612880617252074</v>
      </c>
      <c r="J69" s="24">
        <f t="shared" si="92"/>
        <v>1</v>
      </c>
      <c r="K69" s="26">
        <f>VLOOKUP($C69,COS!$B$8:$H$991,2,FALSE)</f>
        <v>4435.58349609375</v>
      </c>
      <c r="L69" s="24">
        <f t="shared" si="19"/>
        <v>1</v>
      </c>
      <c r="M69" s="24">
        <f t="shared" si="20"/>
        <v>0</v>
      </c>
      <c r="N69" s="26">
        <f>VLOOKUP($C69,COS!$B$8:$H$991,5,FALSE)</f>
        <v>357.50259399414063</v>
      </c>
      <c r="O69" s="26">
        <f t="shared" si="95"/>
        <v>21.981977680300879</v>
      </c>
      <c r="P69" s="26">
        <f>VLOOKUP($C69,COS!$B$8:$H$991,6,FALSE)</f>
        <v>2314.501708984375</v>
      </c>
      <c r="Q69" s="26">
        <f t="shared" si="96"/>
        <v>142.31316293259297</v>
      </c>
      <c r="R69" s="26">
        <f>MIN(IF(MONTH($C69)=4,$S$3,IF(MONTH($C69)=5,$S$4,IF(MONTH($C69)=6,$S$5,IF(MONTH($C69)=7,$S$6,"ERROR")))),MAX(VLOOKUP($C69,COS!$B$8:$K$991,10,FALSE)-IF(MONTH($C69)=4,$Y$3,IF(MONTH($C69)=5,$Y$4,IF(MONTH($C69)=6,$Y$5,IF(MONTH($C69)=7,$Y$6,"ERROR")))),0),MAX(VLOOKUP($C69,COS!$B$8:$K$991,9,FALSE)-IF(MONTH($C69)=4,$V$3,IF(MONTH($C69)=5,$V$4,IF(MONTH($C69)=6,$V$5,IF(MONTH($C69)=7,$V$6,"ERROR"))))-VLOOKUP($C69,COS!$B$8:$K$991,6,FALSE)/2,0))</f>
        <v>0</v>
      </c>
      <c r="S69" s="26">
        <f t="shared" si="97"/>
        <v>0</v>
      </c>
      <c r="T69" s="26">
        <f t="shared" si="98"/>
        <v>82.147570306446923</v>
      </c>
      <c r="U69" s="26" t="str">
        <f>IF(VLOOKUP($C69,COS!$B$8:$I$991,8,FALSE)=1,"UWFE","IBU")</f>
        <v>UWFE</v>
      </c>
      <c r="V69" s="26">
        <f t="shared" ref="V69" si="100">MIN(IF(IF($AA$3=2,AND(E69=1,G69=1,L69=1,L73=1,M69=1,U69="IBU"),AND(E69=1,G69=1,L69=1,L73=1,M69=1)),T69,0),I69)</f>
        <v>0</v>
      </c>
      <c r="W69" s="26"/>
      <c r="X69" s="26"/>
      <c r="Y69" s="26"/>
      <c r="Z69" s="26"/>
      <c r="AA69" s="26"/>
      <c r="AB69" s="33"/>
      <c r="AD69" s="44">
        <v>1977</v>
      </c>
      <c r="AE69" s="45">
        <f>VLOOKUP(AD69,Flags!$A$13:$B$95,2,FALSE)</f>
        <v>5</v>
      </c>
      <c r="AF69" s="44">
        <f t="shared" si="6"/>
        <v>196.3267368285124</v>
      </c>
      <c r="AG69" s="44">
        <f t="shared" si="7"/>
        <v>238.94721327095976</v>
      </c>
      <c r="AH69" s="44">
        <f t="shared" si="8"/>
        <v>103.43018733253164</v>
      </c>
      <c r="AI69" s="44">
        <f t="shared" si="9"/>
        <v>22792.24397727273</v>
      </c>
      <c r="AJ69" s="44">
        <f t="shared" si="10"/>
        <v>635.35222042871908</v>
      </c>
      <c r="AK69" s="44">
        <f t="shared" si="1"/>
        <v>469.61289998708685</v>
      </c>
      <c r="AL69" s="44">
        <f t="shared" si="11"/>
        <v>103.43018733253164</v>
      </c>
    </row>
    <row r="70" spans="1:38" x14ac:dyDescent="0.3">
      <c r="A70" s="32">
        <f>VLOOKUP(YEAR(C70),Flags!$A$13:$B$95,2,FALSE)</f>
        <v>2</v>
      </c>
      <c r="B70" s="24">
        <f t="shared" si="2"/>
        <v>1928</v>
      </c>
      <c r="C70" s="25">
        <v>10409</v>
      </c>
      <c r="D70" s="26">
        <f>VLOOKUP($C70,COS!$B$8:$H$991,3,FALSE)</f>
        <v>13547.318359375</v>
      </c>
      <c r="E70" s="24">
        <f>IF(D70&gt;=IF(MONTH($C70)=4,$C$3,IF(MONTH($C70)=5,$C$4,IF(MONTH($C70)=6,$C$5,IF(MONTH($C70)=7,$C$6,"ERROR")))),1,0)</f>
        <v>1</v>
      </c>
      <c r="F70" s="26">
        <f>VLOOKUP($C70,COS!$B$8:$H$991,7,FALSE)</f>
        <v>51.193431854248047</v>
      </c>
      <c r="G70" s="24">
        <f>IF(F70&lt;=IF(MONTH($C70)=4,$F$3,IF(MONTH($C70)=5,$F$4,IF(MONTH($C70)=6,$F$5,IF(MONTH($C70)=7,$F$6,"ERROR")))),1,0)</f>
        <v>1</v>
      </c>
      <c r="H70" s="26">
        <f>IF(J70=1,D70-$C$5,0)</f>
        <v>3547.318359375</v>
      </c>
      <c r="I70" s="26">
        <f t="shared" si="17"/>
        <v>211.0801007231405</v>
      </c>
      <c r="J70" s="24">
        <f t="shared" si="92"/>
        <v>1</v>
      </c>
      <c r="K70" s="26">
        <f>VLOOKUP($C70,COS!$B$8:$H$991,2,FALSE)</f>
        <v>3819.055419921875</v>
      </c>
      <c r="L70" s="24">
        <f t="shared" si="19"/>
        <v>1</v>
      </c>
      <c r="M70" s="24">
        <f t="shared" si="20"/>
        <v>0</v>
      </c>
      <c r="N70" s="26">
        <f>VLOOKUP($C70,COS!$B$8:$H$991,5,FALSE)</f>
        <v>655.33172607421875</v>
      </c>
      <c r="O70" s="26">
        <f t="shared" si="95"/>
        <v>38.994945683755162</v>
      </c>
      <c r="P70" s="26">
        <f>VLOOKUP($C70,COS!$B$8:$H$991,6,FALSE)</f>
        <v>2329.183349609375</v>
      </c>
      <c r="Q70" s="26">
        <f t="shared" si="96"/>
        <v>138.59603402634298</v>
      </c>
      <c r="R70" s="26">
        <f>MIN(IF(MONTH($C70)=4,$S$3,IF(MONTH($C70)=5,$S$4,IF(MONTH($C70)=6,$S$5,IF(MONTH($C70)=7,$S$6,"ERROR")))),MAX(VLOOKUP($C70,COS!$B$8:$K$991,10,FALSE)-IF(MONTH($C70)=4,$Y$3,IF(MONTH($C70)=5,$Y$4,IF(MONTH($C70)=6,$Y$5,IF(MONTH($C70)=7,$Y$6,"ERROR")))),0),MAX(VLOOKUP($C70,COS!$B$8:$K$991,9,FALSE)-IF(MONTH($C70)=4,$V$3,IF(MONTH($C70)=5,$V$4,IF(MONTH($C70)=6,$V$5,IF(MONTH($C70)=7,$V$6,"ERROR"))))-VLOOKUP($C70,COS!$B$8:$K$991,6,FALSE)/2,0))</f>
        <v>0</v>
      </c>
      <c r="S70" s="26">
        <f t="shared" si="97"/>
        <v>0</v>
      </c>
      <c r="T70" s="26">
        <f t="shared" si="98"/>
        <v>88.79548985504907</v>
      </c>
      <c r="U70" s="26" t="str">
        <f>IF(VLOOKUP($C70,COS!$B$8:$I$991,8,FALSE)=1,"UWFE","IBU")</f>
        <v>IBU</v>
      </c>
      <c r="V70" s="26">
        <f t="shared" ref="V70" si="101">MIN(IF(IF($AA$3=2,AND(E70=1,G70=1,L70=1,L73=1,M70=1,U70="IBU"),AND(E70=1,G70=1,L70=1,L73=1,M70=1)),T70,0),I70)</f>
        <v>0</v>
      </c>
      <c r="W70" s="26"/>
      <c r="X70" s="26"/>
      <c r="Y70" s="26"/>
      <c r="Z70" s="26"/>
      <c r="AA70" s="26"/>
      <c r="AB70" s="33"/>
      <c r="AD70" s="43">
        <v>1978</v>
      </c>
      <c r="AE70" s="1">
        <f>VLOOKUP(AD70,Flags!$A$13:$B$95,2,FALSE)</f>
        <v>2</v>
      </c>
      <c r="AF70" s="43">
        <f t="shared" si="6"/>
        <v>217.96352595557852</v>
      </c>
      <c r="AG70" s="43">
        <f t="shared" si="7"/>
        <v>332.28000647868009</v>
      </c>
      <c r="AH70" s="43">
        <f t="shared" si="8"/>
        <v>0</v>
      </c>
      <c r="AI70" s="43">
        <f t="shared" si="9"/>
        <v>22304.191515689567</v>
      </c>
      <c r="AJ70" s="43">
        <f t="shared" si="10"/>
        <v>86.702932471913741</v>
      </c>
      <c r="AK70" s="43">
        <f t="shared" si="1"/>
        <v>43.28008670018724</v>
      </c>
      <c r="AL70" s="43">
        <f t="shared" si="11"/>
        <v>0</v>
      </c>
    </row>
    <row r="71" spans="1:38" x14ac:dyDescent="0.3">
      <c r="A71" s="32">
        <f>VLOOKUP(YEAR(C71),Flags!$A$13:$B$95,2,FALSE)</f>
        <v>2</v>
      </c>
      <c r="B71" s="24">
        <f t="shared" si="2"/>
        <v>1928</v>
      </c>
      <c r="C71" s="25">
        <v>10440</v>
      </c>
      <c r="D71" s="26">
        <f>VLOOKUP($C71,COS!$B$8:$H$991,3,FALSE)</f>
        <v>16000</v>
      </c>
      <c r="E71" s="24">
        <f>IF(D71&gt;=IF(MONTH($C71)=4,$C$3,IF(MONTH($C71)=5,$C$4,IF(MONTH($C71)=6,$C$5,IF(MONTH($C71)=7,$C$6,"ERROR")))),1,0)</f>
        <v>1</v>
      </c>
      <c r="F71" s="26">
        <f>VLOOKUP($C71,COS!$B$8:$H$991,7,FALSE)</f>
        <v>52.268638610839844</v>
      </c>
      <c r="G71" s="24">
        <f>IF(F71&lt;=IF(MONTH($C71)=4,$F$3,IF(MONTH($C71)=5,$F$4,IF(MONTH($C71)=6,$F$5,IF(MONTH($C71)=7,$F$6,"ERROR")))),1,0)</f>
        <v>1</v>
      </c>
      <c r="H71" s="26">
        <f>IF(J71=1,D71-$C$6,0)</f>
        <v>4000</v>
      </c>
      <c r="I71" s="26">
        <f t="shared" si="17"/>
        <v>245.95041322314049</v>
      </c>
      <c r="J71" s="24">
        <f t="shared" si="92"/>
        <v>1</v>
      </c>
      <c r="K71" s="26">
        <f>VLOOKUP($C71,COS!$B$8:$H$991,2,FALSE)</f>
        <v>3098.602294921875</v>
      </c>
      <c r="L71" s="24">
        <f t="shared" si="19"/>
        <v>1</v>
      </c>
      <c r="M71" s="24">
        <f t="shared" si="20"/>
        <v>0</v>
      </c>
      <c r="N71" s="26">
        <f>VLOOKUP($C71,COS!$B$8:$H$991,5,FALSE)</f>
        <v>724.34930419921875</v>
      </c>
      <c r="O71" s="26">
        <f t="shared" si="95"/>
        <v>44.538502671423039</v>
      </c>
      <c r="P71" s="26">
        <f>VLOOKUP($C71,COS!$B$8:$H$991,6,FALSE)</f>
        <v>2562.892822265625</v>
      </c>
      <c r="Q71" s="26">
        <f t="shared" si="96"/>
        <v>157.58613717071282</v>
      </c>
      <c r="R71" s="26">
        <f>MIN(IF(MONTH($C71)=4,$S$3,IF(MONTH($C71)=5,$S$4,IF(MONTH($C71)=6,$S$5,IF(MONTH($C71)=7,$S$6,"ERROR")))),MAX(VLOOKUP($C71,COS!$B$8:$K$991,10,FALSE)-IF(MONTH($C71)=4,$Y$3,IF(MONTH($C71)=5,$Y$4,IF(MONTH($C71)=6,$Y$5,IF(MONTH($C71)=7,$Y$6,"ERROR")))),0),MAX(VLOOKUP($C71,COS!$B$8:$K$991,9,FALSE)-IF(MONTH($C71)=4,$V$3,IF(MONTH($C71)=5,$V$4,IF(MONTH($C71)=6,$V$5,IF(MONTH($C71)=7,$V$6,"ERROR"))))-VLOOKUP($C71,COS!$B$8:$K$991,6,FALSE)/2,0))</f>
        <v>0</v>
      </c>
      <c r="S71" s="26">
        <f t="shared" si="97"/>
        <v>0</v>
      </c>
      <c r="T71" s="26">
        <f t="shared" si="98"/>
        <v>101.06231992106792</v>
      </c>
      <c r="U71" s="26" t="str">
        <f>IF(VLOOKUP($C71,COS!$B$8:$I$991,8,FALSE)=1,"UWFE","IBU")</f>
        <v>IBU</v>
      </c>
      <c r="V71" s="26">
        <f t="shared" ref="V71" si="102">MIN(IF(IF($AA$3=2,AND(E71=1,G71=1,L71=1,L73=1,M71=1,U71="IBU"),AND(E71=1,G71=1,L71=1,L73=1,M71=1)),T71,0),I71)</f>
        <v>0</v>
      </c>
      <c r="W71" s="26"/>
      <c r="X71" s="26"/>
      <c r="Y71" s="26"/>
      <c r="Z71" s="26"/>
      <c r="AA71" s="26"/>
      <c r="AB71" s="33"/>
      <c r="AD71" s="43">
        <v>1979</v>
      </c>
      <c r="AE71" s="1">
        <f>VLOOKUP(AD71,Flags!$A$13:$B$95,2,FALSE)</f>
        <v>4</v>
      </c>
      <c r="AF71" s="43">
        <f t="shared" si="6"/>
        <v>34.877614927685947</v>
      </c>
      <c r="AG71" s="43">
        <f t="shared" si="7"/>
        <v>298.52135548489156</v>
      </c>
      <c r="AH71" s="43">
        <f t="shared" si="8"/>
        <v>34.877614927685947</v>
      </c>
      <c r="AI71" s="43">
        <f t="shared" si="9"/>
        <v>22800.976620286674</v>
      </c>
      <c r="AJ71" s="43">
        <f t="shared" si="10"/>
        <v>125.50075800619835</v>
      </c>
      <c r="AK71" s="43">
        <f t="shared" si="1"/>
        <v>89.011875484245877</v>
      </c>
      <c r="AL71" s="43">
        <f t="shared" si="11"/>
        <v>34.877614927685947</v>
      </c>
    </row>
    <row r="72" spans="1:38" x14ac:dyDescent="0.3">
      <c r="A72" s="32">
        <f>VLOOKUP(YEAR(C72),Flags!$A$13:$B$95,2,FALSE)</f>
        <v>2</v>
      </c>
      <c r="B72" s="24">
        <f t="shared" si="2"/>
        <v>1928</v>
      </c>
      <c r="C72" s="25">
        <v>10471</v>
      </c>
      <c r="D72" s="26"/>
      <c r="E72" s="24"/>
      <c r="F72" s="26"/>
      <c r="G72" s="24"/>
      <c r="H72" s="24"/>
      <c r="I72" s="26"/>
      <c r="J72" s="24"/>
      <c r="K72" s="26"/>
      <c r="L72" s="24"/>
      <c r="M72" s="24"/>
      <c r="N72" s="26"/>
      <c r="O72" s="26"/>
      <c r="P72" s="26"/>
      <c r="Q72" s="26"/>
      <c r="R72" s="26"/>
      <c r="S72" s="26"/>
      <c r="T72" s="26"/>
      <c r="U72" s="26"/>
      <c r="V72" s="26"/>
      <c r="W72" s="26">
        <f>MAX($C$7-VLOOKUP($C72,COS!$B$8:$H$991,3,FALSE),0)</f>
        <v>87836.8740234375</v>
      </c>
      <c r="X72" s="26">
        <f t="shared" si="31"/>
        <v>5400.8788655733479</v>
      </c>
      <c r="Y72" s="26">
        <f>VLOOKUP($C72,COS!$B$8:$H$991,4,FALSE)</f>
        <v>4.0736780166625977</v>
      </c>
      <c r="Z72" s="26">
        <f t="shared" si="32"/>
        <v>0.25048069788404731</v>
      </c>
      <c r="AA72" s="26">
        <f t="shared" ref="AA72:AA76" si="103">MIN(W72,Y72)</f>
        <v>4.0736780166625977</v>
      </c>
      <c r="AB72" s="33">
        <f t="shared" ref="AB72" si="104">AA72*DAY($C72)*86400/43560/1000*IF(MONTH($C72)=8,$P$3,IF(MONTH($C72)=9,$P$4,IF(MONTH($C72)=10,$P$5,IF(MONTH($C72)=11,$P$6,IF(MONTH($C72)=12,$P$7,NA())))))</f>
        <v>0.25048069788404731</v>
      </c>
      <c r="AD72" s="43">
        <v>1980</v>
      </c>
      <c r="AE72" s="1">
        <f>VLOOKUP(AD72,Flags!$A$13:$B$95,2,FALSE)</f>
        <v>2</v>
      </c>
      <c r="AF72" s="43">
        <f t="shared" si="6"/>
        <v>40.083372288223138</v>
      </c>
      <c r="AG72" s="43">
        <f t="shared" si="7"/>
        <v>315.42840384491222</v>
      </c>
      <c r="AH72" s="43">
        <f t="shared" si="8"/>
        <v>0</v>
      </c>
      <c r="AI72" s="43">
        <f t="shared" si="9"/>
        <v>22086.019861828514</v>
      </c>
      <c r="AJ72" s="43">
        <f t="shared" si="10"/>
        <v>39.282558795519115</v>
      </c>
      <c r="AK72" s="43">
        <f t="shared" si="1"/>
        <v>31.817970333887526</v>
      </c>
      <c r="AL72" s="43">
        <f t="shared" si="11"/>
        <v>0</v>
      </c>
    </row>
    <row r="73" spans="1:38" x14ac:dyDescent="0.3">
      <c r="A73" s="32">
        <f>VLOOKUP(YEAR(C73),Flags!$A$13:$B$95,2,FALSE)</f>
        <v>2</v>
      </c>
      <c r="B73" s="24">
        <f t="shared" si="2"/>
        <v>1928</v>
      </c>
      <c r="C73" s="25">
        <v>10501</v>
      </c>
      <c r="D73" s="26"/>
      <c r="E73" s="24"/>
      <c r="F73" s="26"/>
      <c r="G73" s="24"/>
      <c r="H73" s="24"/>
      <c r="I73" s="26"/>
      <c r="J73" s="24"/>
      <c r="K73" s="26">
        <f>VLOOKUP($C73,COS!$B$8:$H$991,2,FALSE)</f>
        <v>2247.118896484375</v>
      </c>
      <c r="L73" s="24">
        <f t="shared" ref="L73" si="105">IF(AND(K73&gt;$I$7,K73&lt;$I$8),1,0)</f>
        <v>1</v>
      </c>
      <c r="M73" s="24"/>
      <c r="N73" s="26"/>
      <c r="O73" s="26"/>
      <c r="P73" s="26"/>
      <c r="Q73" s="26"/>
      <c r="R73" s="26"/>
      <c r="S73" s="26"/>
      <c r="T73" s="26"/>
      <c r="U73" s="26"/>
      <c r="V73" s="26"/>
      <c r="W73" s="26">
        <f>MAX($C$8-VLOOKUP($C73,COS!$B$8:$H$991,3,FALSE),0)</f>
        <v>87919.5517578125</v>
      </c>
      <c r="X73" s="26">
        <f t="shared" si="31"/>
        <v>5231.5766335227272</v>
      </c>
      <c r="Y73" s="26">
        <f>VLOOKUP($C73,COS!$B$8:$H$991,4,FALSE)</f>
        <v>0</v>
      </c>
      <c r="Z73" s="26">
        <f t="shared" si="32"/>
        <v>0</v>
      </c>
      <c r="AA73" s="26">
        <f t="shared" si="103"/>
        <v>0</v>
      </c>
      <c r="AB73" s="33">
        <f t="shared" si="34"/>
        <v>0</v>
      </c>
      <c r="AD73" s="43">
        <v>1981</v>
      </c>
      <c r="AE73" s="1">
        <f>VLOOKUP(AD73,Flags!$A$13:$B$95,2,FALSE)</f>
        <v>4</v>
      </c>
      <c r="AF73" s="43">
        <f t="shared" si="6"/>
        <v>591.60021791064048</v>
      </c>
      <c r="AG73" s="43">
        <f t="shared" si="7"/>
        <v>311.79000732421878</v>
      </c>
      <c r="AH73" s="43">
        <f t="shared" si="8"/>
        <v>293.28102526956354</v>
      </c>
      <c r="AI73" s="43">
        <f t="shared" si="9"/>
        <v>22629.243027989411</v>
      </c>
      <c r="AJ73" s="43">
        <f t="shared" si="10"/>
        <v>328.53171665160124</v>
      </c>
      <c r="AK73" s="43">
        <f t="shared" si="1"/>
        <v>328.53171665160124</v>
      </c>
      <c r="AL73" s="43">
        <f t="shared" si="11"/>
        <v>293.28102526956354</v>
      </c>
    </row>
    <row r="74" spans="1:38" x14ac:dyDescent="0.3">
      <c r="A74" s="32">
        <f>VLOOKUP(YEAR(C74),Flags!$A$13:$B$95,2,FALSE)</f>
        <v>2</v>
      </c>
      <c r="B74" s="24">
        <f t="shared" si="2"/>
        <v>1928</v>
      </c>
      <c r="C74" s="25">
        <v>10532</v>
      </c>
      <c r="D74" s="26"/>
      <c r="E74" s="24"/>
      <c r="F74" s="26"/>
      <c r="G74" s="26"/>
      <c r="H74" s="26"/>
      <c r="I74" s="26"/>
      <c r="J74" s="26"/>
      <c r="K74" s="26"/>
      <c r="L74" s="24"/>
      <c r="M74" s="24"/>
      <c r="N74" s="26"/>
      <c r="O74" s="26"/>
      <c r="P74" s="26"/>
      <c r="Q74" s="26"/>
      <c r="R74" s="26"/>
      <c r="S74" s="26"/>
      <c r="T74" s="26"/>
      <c r="U74" s="26"/>
      <c r="V74" s="26"/>
      <c r="W74" s="26">
        <f>MAX($C$9-VLOOKUP($C74,COS!$B$8:$H$991,3,FALSE),0)</f>
        <v>91149.44921875</v>
      </c>
      <c r="X74" s="26">
        <f t="shared" si="31"/>
        <v>5604.5611751033057</v>
      </c>
      <c r="Y74" s="26">
        <f>VLOOKUP($C74,COS!$B$8:$H$991,4,FALSE)</f>
        <v>828.01947021484375</v>
      </c>
      <c r="Z74" s="26">
        <f t="shared" si="32"/>
        <v>50.912932714036671</v>
      </c>
      <c r="AA74" s="26">
        <f t="shared" si="103"/>
        <v>828.01947021484375</v>
      </c>
      <c r="AB74" s="33">
        <f t="shared" si="34"/>
        <v>50.912932714036671</v>
      </c>
      <c r="AD74" s="43">
        <v>1982</v>
      </c>
      <c r="AE74" s="1">
        <f>VLOOKUP(AD74,Flags!$A$13:$B$95,2,FALSE)</f>
        <v>1</v>
      </c>
      <c r="AF74" s="43">
        <f t="shared" si="6"/>
        <v>1125.442561983471</v>
      </c>
      <c r="AG74" s="43">
        <f t="shared" si="7"/>
        <v>316.86340791055977</v>
      </c>
      <c r="AH74" s="43">
        <f t="shared" si="8"/>
        <v>0</v>
      </c>
      <c r="AI74" s="43">
        <f t="shared" si="9"/>
        <v>22172.440727014462</v>
      </c>
      <c r="AJ74" s="43">
        <f t="shared" si="10"/>
        <v>0</v>
      </c>
      <c r="AK74" s="43">
        <f t="shared" si="1"/>
        <v>0</v>
      </c>
      <c r="AL74" s="43">
        <f t="shared" si="11"/>
        <v>0</v>
      </c>
    </row>
    <row r="75" spans="1:38" x14ac:dyDescent="0.3">
      <c r="A75" s="32">
        <f>VLOOKUP(YEAR(C75),Flags!$A$13:$B$95,2,FALSE)</f>
        <v>2</v>
      </c>
      <c r="B75" s="24">
        <f t="shared" si="2"/>
        <v>1928</v>
      </c>
      <c r="C75" s="25">
        <v>10562</v>
      </c>
      <c r="D75" s="26"/>
      <c r="E75" s="24"/>
      <c r="F75" s="26"/>
      <c r="G75" s="26"/>
      <c r="H75" s="26"/>
      <c r="I75" s="26"/>
      <c r="J75" s="26"/>
      <c r="K75" s="26"/>
      <c r="L75" s="24"/>
      <c r="M75" s="24"/>
      <c r="N75" s="26"/>
      <c r="O75" s="26"/>
      <c r="P75" s="26"/>
      <c r="Q75" s="26"/>
      <c r="R75" s="26"/>
      <c r="S75" s="26"/>
      <c r="T75" s="26"/>
      <c r="U75" s="26"/>
      <c r="V75" s="26"/>
      <c r="W75" s="26">
        <f>MAX($C$10-VLOOKUP($C75,COS!$B$8:$H$991,3,FALSE),0)</f>
        <v>93858.70654296875</v>
      </c>
      <c r="X75" s="26">
        <f t="shared" si="31"/>
        <v>5584.9808852014467</v>
      </c>
      <c r="Y75" s="26">
        <f>VLOOKUP($C75,COS!$B$8:$H$991,4,FALSE)</f>
        <v>1034.00048828125</v>
      </c>
      <c r="Z75" s="26">
        <f t="shared" si="32"/>
        <v>61.527301782024793</v>
      </c>
      <c r="AA75" s="26">
        <f t="shared" si="103"/>
        <v>1034.00048828125</v>
      </c>
      <c r="AB75" s="33">
        <f t="shared" si="34"/>
        <v>30.763650891012396</v>
      </c>
      <c r="AD75" s="43">
        <v>1983</v>
      </c>
      <c r="AE75" s="1">
        <f>VLOOKUP(AD75,Flags!$A$13:$B$95,2,FALSE)</f>
        <v>1</v>
      </c>
      <c r="AF75" s="43">
        <f t="shared" si="6"/>
        <v>1379.8435440340911</v>
      </c>
      <c r="AG75" s="43">
        <f t="shared" si="7"/>
        <v>317.28565374453206</v>
      </c>
      <c r="AH75" s="43">
        <f t="shared" si="8"/>
        <v>0</v>
      </c>
      <c r="AI75" s="43">
        <f t="shared" si="9"/>
        <v>21271.9593866219</v>
      </c>
      <c r="AJ75" s="43">
        <f t="shared" si="10"/>
        <v>19.84101265899406</v>
      </c>
      <c r="AK75" s="43">
        <f t="shared" si="1"/>
        <v>19.84101265899406</v>
      </c>
      <c r="AL75" s="43">
        <f t="shared" si="11"/>
        <v>0</v>
      </c>
    </row>
    <row r="76" spans="1:38" x14ac:dyDescent="0.3">
      <c r="A76" s="34">
        <f>VLOOKUP(YEAR(C76),Flags!$A$13:$B$95,2,FALSE)</f>
        <v>2</v>
      </c>
      <c r="B76" s="35">
        <f t="shared" si="2"/>
        <v>1928</v>
      </c>
      <c r="C76" s="36">
        <v>10593</v>
      </c>
      <c r="D76" s="37"/>
      <c r="E76" s="35"/>
      <c r="F76" s="37"/>
      <c r="G76" s="37"/>
      <c r="H76" s="37"/>
      <c r="I76" s="37"/>
      <c r="J76" s="37"/>
      <c r="K76" s="37"/>
      <c r="L76" s="35"/>
      <c r="M76" s="35"/>
      <c r="N76" s="37"/>
      <c r="O76" s="37"/>
      <c r="P76" s="37"/>
      <c r="Q76" s="37"/>
      <c r="R76" s="37"/>
      <c r="S76" s="37"/>
      <c r="T76" s="37"/>
      <c r="U76" s="37"/>
      <c r="V76" s="37"/>
      <c r="W76" s="37">
        <f>MAX($C$11-VLOOKUP($C76,COS!$B$8:$H$991,3,FALSE),0)</f>
        <v>0</v>
      </c>
      <c r="X76" s="37">
        <f t="shared" si="31"/>
        <v>0</v>
      </c>
      <c r="Y76" s="37">
        <f>VLOOKUP($C76,COS!$B$8:$H$991,4,FALSE)</f>
        <v>0</v>
      </c>
      <c r="Z76" s="37">
        <f t="shared" si="32"/>
        <v>0</v>
      </c>
      <c r="AA76" s="37">
        <f t="shared" si="103"/>
        <v>0</v>
      </c>
      <c r="AB76" s="38">
        <f t="shared" si="34"/>
        <v>0</v>
      </c>
      <c r="AD76" s="43">
        <v>1984</v>
      </c>
      <c r="AE76" s="1">
        <f>VLOOKUP(AD76,Flags!$A$13:$B$95,2,FALSE)</f>
        <v>1</v>
      </c>
      <c r="AF76" s="43">
        <f t="shared" si="6"/>
        <v>407.10620706353302</v>
      </c>
      <c r="AG76" s="43">
        <f t="shared" si="7"/>
        <v>329.34719153538219</v>
      </c>
      <c r="AH76" s="43">
        <f t="shared" si="8"/>
        <v>0</v>
      </c>
      <c r="AI76" s="43">
        <f t="shared" si="9"/>
        <v>22064.629158703512</v>
      </c>
      <c r="AJ76" s="43">
        <f t="shared" si="10"/>
        <v>71.716279014398239</v>
      </c>
      <c r="AK76" s="43">
        <f t="shared" si="1"/>
        <v>71.716279014398239</v>
      </c>
      <c r="AL76" s="43">
        <f t="shared" si="11"/>
        <v>0</v>
      </c>
    </row>
    <row r="77" spans="1:38" x14ac:dyDescent="0.3">
      <c r="A77" s="27">
        <f>VLOOKUP(YEAR(C77),Flags!$A$13:$B$95,2,FALSE)</f>
        <v>5</v>
      </c>
      <c r="B77" s="28">
        <f t="shared" si="2"/>
        <v>1929</v>
      </c>
      <c r="C77" s="29">
        <v>10713</v>
      </c>
      <c r="D77" s="30">
        <f>VLOOKUP($C77,COS!$B$8:$H$991,3,FALSE)</f>
        <v>3250</v>
      </c>
      <c r="E77" s="28">
        <f>IF(D77&gt;=IF(MONTH($C77)=4,$C$3,IF(MONTH($C77)=5,$C$4,IF(MONTH($C77)=6,$C$5,IF(MONTH($C77)=7,$C$6,"ERROR")))),1,0)</f>
        <v>0</v>
      </c>
      <c r="F77" s="30">
        <f>VLOOKUP($C77,COS!$B$8:$H$991,7,FALSE)</f>
        <v>51.192344665527344</v>
      </c>
      <c r="G77" s="28">
        <f>IF(F77&lt;=IF(MONTH($C77)=4,$F$3,IF(MONTH($C77)=5,$F$4,IF(MONTH($C77)=6,$F$5,IF(MONTH($C77)=7,$F$6,"ERROR")))),1,0)</f>
        <v>1</v>
      </c>
      <c r="H77" s="30">
        <f>IF(J77=1,D77-$C$3,0)</f>
        <v>0</v>
      </c>
      <c r="I77" s="30">
        <f t="shared" si="17"/>
        <v>0</v>
      </c>
      <c r="J77" s="28">
        <f t="shared" ref="J77:J80" si="106">IF(AND(E77=1,G77=1),1,0)</f>
        <v>0</v>
      </c>
      <c r="K77" s="30">
        <f>VLOOKUP($C77,COS!$B$8:$H$991,2,FALSE)</f>
        <v>2771.09326171875</v>
      </c>
      <c r="L77" s="28">
        <f t="shared" ref="L77" si="107">IF(K77&lt;=IF(MONTH($C77)=4,$I$3,IF(MONTH($C77)=5,$I$4,IF(MONTH($C77)=6,$I$5,IF(MONTH($C77)=7,$I$6,"ERROR")))),1,0)</f>
        <v>1</v>
      </c>
      <c r="M77" s="28">
        <f t="shared" ref="M77" si="108">VLOOKUP($A77,$L$3:$M$7,2,FALSE)</f>
        <v>1</v>
      </c>
      <c r="N77" s="30">
        <f>VLOOKUP($C77,COS!$B$8:$H$991,5,FALSE)</f>
        <v>223.38325500488281</v>
      </c>
      <c r="O77" s="30">
        <f t="shared" ref="O77:O80" si="109">N77*DAY($C77)*86400/43560/1000</f>
        <v>13.292226744092201</v>
      </c>
      <c r="P77" s="30">
        <f>VLOOKUP($C77,COS!$B$8:$H$991,6,FALSE)</f>
        <v>516.50811767578125</v>
      </c>
      <c r="Q77" s="30">
        <f t="shared" ref="Q77:Q80" si="110">P77*DAY($C77)*86400/43560/1000</f>
        <v>30.734367332773761</v>
      </c>
      <c r="R77" s="30">
        <f>MIN(IF(MONTH($C77)=4,$S$3,IF(MONTH($C77)=5,$S$4,IF(MONTH($C77)=6,$S$5,IF(MONTH($C77)=7,$S$6,"ERROR")))),MAX(VLOOKUP($C77,COS!$B$8:$K$991,10,FALSE)-IF(MONTH($C77)=4,$Y$3,IF(MONTH($C77)=5,$Y$4,IF(MONTH($C77)=6,$Y$5,IF(MONTH($C77)=7,$Y$6,"ERROR")))),0),MAX(VLOOKUP($C77,COS!$B$8:$K$991,9,FALSE)-IF(MONTH($C77)=4,$V$3,IF(MONTH($C77)=5,$V$4,IF(MONTH($C77)=6,$V$5,IF(MONTH($C77)=7,$V$6,"ERROR"))))-VLOOKUP($C77,COS!$B$8:$K$991,6,FALSE)/2,0))</f>
        <v>0</v>
      </c>
      <c r="S77" s="30">
        <f t="shared" ref="S77:S80" si="111">R77*DAY($C77)*86400/43560/1000</f>
        <v>0</v>
      </c>
      <c r="T77" s="30">
        <f t="shared" ref="T77:T80" si="112">(O77+Q77)/2+S77</f>
        <v>22.013297038432981</v>
      </c>
      <c r="U77" s="30" t="str">
        <f>IF(VLOOKUP($C77,COS!$B$8:$I$991,8,FALSE)=1,"UWFE","IBU")</f>
        <v>UWFE</v>
      </c>
      <c r="V77" s="30">
        <f t="shared" ref="V77" si="113">MIN(IF(IF($AA$3=2,AND(E77=1,G77=1,L77=1,L82=1,M77=1,U77="IBU"),AND(E77=1,G77=1,L77=1,L82=1,M77=1)),T77,0),I77)</f>
        <v>0</v>
      </c>
      <c r="W77" s="30"/>
      <c r="X77" s="30"/>
      <c r="Y77" s="30"/>
      <c r="Z77" s="30"/>
      <c r="AA77" s="30"/>
      <c r="AB77" s="31"/>
      <c r="AD77" s="43">
        <v>1985</v>
      </c>
      <c r="AE77" s="1">
        <f>VLOOKUP(AD77,Flags!$A$13:$B$95,2,FALSE)</f>
        <v>3</v>
      </c>
      <c r="AF77" s="43">
        <f t="shared" si="6"/>
        <v>489.51717361828509</v>
      </c>
      <c r="AG77" s="43">
        <f t="shared" si="7"/>
        <v>313.3039817520015</v>
      </c>
      <c r="AH77" s="43">
        <f t="shared" si="8"/>
        <v>0</v>
      </c>
      <c r="AI77" s="43">
        <f t="shared" si="9"/>
        <v>22629.194684271693</v>
      </c>
      <c r="AJ77" s="43">
        <f t="shared" si="10"/>
        <v>253.37745220089744</v>
      </c>
      <c r="AK77" s="43">
        <f t="shared" si="1"/>
        <v>227.67342561579932</v>
      </c>
      <c r="AL77" s="43">
        <f t="shared" si="11"/>
        <v>0</v>
      </c>
    </row>
    <row r="78" spans="1:38" x14ac:dyDescent="0.3">
      <c r="A78" s="32">
        <f>VLOOKUP(YEAR(C78),Flags!$A$13:$B$95,2,FALSE)</f>
        <v>5</v>
      </c>
      <c r="B78" s="24">
        <f t="shared" si="2"/>
        <v>1929</v>
      </c>
      <c r="C78" s="25">
        <v>10744</v>
      </c>
      <c r="D78" s="26">
        <f>VLOOKUP($C78,COS!$B$8:$H$991,3,FALSE)</f>
        <v>8080.45556640625</v>
      </c>
      <c r="E78" s="24">
        <f>IF(D78&gt;=IF(MONTH($C78)=4,$C$3,IF(MONTH($C78)=5,$C$4,IF(MONTH($C78)=6,$C$5,IF(MONTH($C78)=7,$C$6,"ERROR")))),1,0)</f>
        <v>1</v>
      </c>
      <c r="F78" s="26">
        <f>VLOOKUP($C78,COS!$B$8:$H$991,7,FALSE)</f>
        <v>51.678050994873047</v>
      </c>
      <c r="G78" s="24">
        <f>IF(F78&lt;=IF(MONTH($C78)=4,$F$3,IF(MONTH($C78)=5,$F$4,IF(MONTH($C78)=6,$F$5,IF(MONTH($C78)=7,$F$6,"ERROR")))),1,0)</f>
        <v>1</v>
      </c>
      <c r="H78" s="26">
        <f>IF(J78=1,D78-$C$4,0)</f>
        <v>2080.45556640625</v>
      </c>
      <c r="I78" s="26">
        <f t="shared" si="17"/>
        <v>127.9222265625</v>
      </c>
      <c r="J78" s="24">
        <f t="shared" si="106"/>
        <v>1</v>
      </c>
      <c r="K78" s="26">
        <f>VLOOKUP($C78,COS!$B$8:$H$991,2,FALSE)</f>
        <v>2547.78955078125</v>
      </c>
      <c r="L78" s="24">
        <f t="shared" si="19"/>
        <v>1</v>
      </c>
      <c r="M78" s="24">
        <f t="shared" si="20"/>
        <v>1</v>
      </c>
      <c r="N78" s="26">
        <f>VLOOKUP($C78,COS!$B$8:$H$991,5,FALSE)</f>
        <v>306.94467163085938</v>
      </c>
      <c r="O78" s="26">
        <f t="shared" si="109"/>
        <v>18.873292206062757</v>
      </c>
      <c r="P78" s="26">
        <f>VLOOKUP($C78,COS!$B$8:$H$991,6,FALSE)</f>
        <v>2370.671630859375</v>
      </c>
      <c r="Q78" s="26">
        <f t="shared" si="110"/>
        <v>145.76691680655992</v>
      </c>
      <c r="R78" s="26">
        <f>MIN(IF(MONTH($C78)=4,$S$3,IF(MONTH($C78)=5,$S$4,IF(MONTH($C78)=6,$S$5,IF(MONTH($C78)=7,$S$6,"ERROR")))),MAX(VLOOKUP($C78,COS!$B$8:$K$991,10,FALSE)-IF(MONTH($C78)=4,$Y$3,IF(MONTH($C78)=5,$Y$4,IF(MONTH($C78)=6,$Y$5,IF(MONTH($C78)=7,$Y$6,"ERROR")))),0),MAX(VLOOKUP($C78,COS!$B$8:$K$991,9,FALSE)-IF(MONTH($C78)=4,$V$3,IF(MONTH($C78)=5,$V$4,IF(MONTH($C78)=6,$V$5,IF(MONTH($C78)=7,$V$6,"ERROR"))))-VLOOKUP($C78,COS!$B$8:$K$991,6,FALSE)/2,0))</f>
        <v>0</v>
      </c>
      <c r="S78" s="26">
        <f t="shared" si="111"/>
        <v>0</v>
      </c>
      <c r="T78" s="26">
        <f t="shared" si="112"/>
        <v>82.320104506311338</v>
      </c>
      <c r="U78" s="26" t="str">
        <f>IF(VLOOKUP($C78,COS!$B$8:$I$991,8,FALSE)=1,"UWFE","IBU")</f>
        <v>IBU</v>
      </c>
      <c r="V78" s="26">
        <f t="shared" ref="V78" si="114">MIN(IF(IF($AA$3=2,AND(E78=1,G78=1,L78=1,L82=1,M78=1,U78="IBU"),AND(E78=1,G78=1,L78=1,L82=1,M78=1)),T78,0),I78)</f>
        <v>82.320104506311338</v>
      </c>
      <c r="W78" s="26"/>
      <c r="X78" s="26"/>
      <c r="Y78" s="26"/>
      <c r="Z78" s="26"/>
      <c r="AA78" s="26"/>
      <c r="AB78" s="33"/>
      <c r="AD78" s="44">
        <v>1986</v>
      </c>
      <c r="AE78" s="45">
        <f>VLOOKUP(AD78,Flags!$A$13:$B$95,2,FALSE)</f>
        <v>1</v>
      </c>
      <c r="AF78" s="44">
        <f t="shared" si="6"/>
        <v>63.803206030475209</v>
      </c>
      <c r="AG78" s="44">
        <f t="shared" si="7"/>
        <v>280.100248105388</v>
      </c>
      <c r="AH78" s="44">
        <f t="shared" si="8"/>
        <v>0</v>
      </c>
      <c r="AI78" s="44">
        <f t="shared" si="9"/>
        <v>22143.33418001033</v>
      </c>
      <c r="AJ78" s="44">
        <f t="shared" si="10"/>
        <v>288.06291219411798</v>
      </c>
      <c r="AK78" s="44">
        <f t="shared" ref="AK78:AK94" si="115">SUMIF($B$14:$B$742,$AD78,$AB$14:$AB$742)</f>
        <v>169.15729877566503</v>
      </c>
      <c r="AL78" s="44">
        <f t="shared" si="11"/>
        <v>0</v>
      </c>
    </row>
    <row r="79" spans="1:38" x14ac:dyDescent="0.3">
      <c r="A79" s="32">
        <f>VLOOKUP(YEAR(C79),Flags!$A$13:$B$95,2,FALSE)</f>
        <v>5</v>
      </c>
      <c r="B79" s="24">
        <f t="shared" ref="B79:B142" si="116">YEAR(C79)</f>
        <v>1929</v>
      </c>
      <c r="C79" s="25">
        <v>10774</v>
      </c>
      <c r="D79" s="26">
        <f>VLOOKUP($C79,COS!$B$8:$H$991,3,FALSE)</f>
        <v>8416.89453125</v>
      </c>
      <c r="E79" s="24">
        <f>IF(D79&gt;=IF(MONTH($C79)=4,$C$3,IF(MONTH($C79)=5,$C$4,IF(MONTH($C79)=6,$C$5,IF(MONTH($C79)=7,$C$6,"ERROR")))),1,0)</f>
        <v>0</v>
      </c>
      <c r="F79" s="26">
        <f>VLOOKUP($C79,COS!$B$8:$H$991,7,FALSE)</f>
        <v>54.286209106445313</v>
      </c>
      <c r="G79" s="24">
        <f>IF(F79&lt;=IF(MONTH($C79)=4,$F$3,IF(MONTH($C79)=5,$F$4,IF(MONTH($C79)=6,$F$5,IF(MONTH($C79)=7,$F$6,"ERROR")))),1,0)</f>
        <v>1</v>
      </c>
      <c r="H79" s="26">
        <f>IF(J79=1,D79-$C$5,0)</f>
        <v>0</v>
      </c>
      <c r="I79" s="26">
        <f t="shared" si="17"/>
        <v>0</v>
      </c>
      <c r="J79" s="24">
        <f t="shared" si="106"/>
        <v>0</v>
      </c>
      <c r="K79" s="26">
        <f>VLOOKUP($C79,COS!$B$8:$H$991,2,FALSE)</f>
        <v>2247.309814453125</v>
      </c>
      <c r="L79" s="24">
        <f t="shared" si="19"/>
        <v>1</v>
      </c>
      <c r="M79" s="24">
        <f t="shared" si="20"/>
        <v>1</v>
      </c>
      <c r="N79" s="26">
        <f>VLOOKUP($C79,COS!$B$8:$H$991,5,FALSE)</f>
        <v>280.00125122070313</v>
      </c>
      <c r="O79" s="26">
        <f t="shared" si="109"/>
        <v>16.661231477595557</v>
      </c>
      <c r="P79" s="26">
        <f>VLOOKUP($C79,COS!$B$8:$H$991,6,FALSE)</f>
        <v>2189.392578125</v>
      </c>
      <c r="Q79" s="26">
        <f t="shared" si="110"/>
        <v>130.27790547520661</v>
      </c>
      <c r="R79" s="26">
        <f>MIN(IF(MONTH($C79)=4,$S$3,IF(MONTH($C79)=5,$S$4,IF(MONTH($C79)=6,$S$5,IF(MONTH($C79)=7,$S$6,"ERROR")))),MAX(VLOOKUP($C79,COS!$B$8:$K$991,10,FALSE)-IF(MONTH($C79)=4,$Y$3,IF(MONTH($C79)=5,$Y$4,IF(MONTH($C79)=6,$Y$5,IF(MONTH($C79)=7,$Y$6,"ERROR")))),0),MAX(VLOOKUP($C79,COS!$B$8:$K$991,9,FALSE)-IF(MONTH($C79)=4,$V$3,IF(MONTH($C79)=5,$V$4,IF(MONTH($C79)=6,$V$5,IF(MONTH($C79)=7,$V$6,"ERROR"))))-VLOOKUP($C79,COS!$B$8:$K$991,6,FALSE)/2,0))</f>
        <v>0</v>
      </c>
      <c r="S79" s="26">
        <f t="shared" si="111"/>
        <v>0</v>
      </c>
      <c r="T79" s="26">
        <f t="shared" si="112"/>
        <v>73.469568476401079</v>
      </c>
      <c r="U79" s="26" t="str">
        <f>IF(VLOOKUP($C79,COS!$B$8:$I$991,8,FALSE)=1,"UWFE","IBU")</f>
        <v>IBU</v>
      </c>
      <c r="V79" s="26">
        <f t="shared" ref="V79" si="117">MIN(IF(IF($AA$3=2,AND(E79=1,G79=1,L79=1,L82=1,M79=1,U79="IBU"),AND(E79=1,G79=1,L79=1,L82=1,M79=1)),T79,0),I79)</f>
        <v>0</v>
      </c>
      <c r="W79" s="26"/>
      <c r="X79" s="26"/>
      <c r="Y79" s="26"/>
      <c r="Z79" s="26"/>
      <c r="AA79" s="26"/>
      <c r="AB79" s="33"/>
      <c r="AD79" s="44">
        <v>1987</v>
      </c>
      <c r="AE79" s="45">
        <f>VLOOKUP(AD79,Flags!$A$13:$B$95,2,FALSE)</f>
        <v>4</v>
      </c>
      <c r="AF79" s="44">
        <f t="shared" ref="AF79:AF94" si="118">SUMIF($B$14:$B$742,$AD79,$I$14:$I$742)</f>
        <v>384.23917097107437</v>
      </c>
      <c r="AG79" s="44">
        <f t="shared" ref="AG79:AG94" si="119">SUMIF($B$14:$B$742,$AD79,$T$14:$T$742)</f>
        <v>276.53507223838619</v>
      </c>
      <c r="AH79" s="44">
        <f t="shared" ref="AH79:AH94" si="120">SUMIF($B$14:$B$742,$AD79,$V$14:$V$742)</f>
        <v>169.35851681039352</v>
      </c>
      <c r="AI79" s="44">
        <f t="shared" ref="AI79:AI94" si="121">SUMIF($B$14:$B$742,$AD79,$X$14:$X$742)</f>
        <v>22763.141031120867</v>
      </c>
      <c r="AJ79" s="44">
        <f t="shared" ref="AJ79:AJ94" si="122">SUMIF($B$14:$B$742,$AD79,$Z$14:$Z$742)</f>
        <v>559.00714303008783</v>
      </c>
      <c r="AK79" s="44">
        <f t="shared" si="115"/>
        <v>448.99643046229335</v>
      </c>
      <c r="AL79" s="44">
        <f t="shared" ref="AL79:AL94" si="123">MIN(AH79,AK79)</f>
        <v>169.35851681039352</v>
      </c>
    </row>
    <row r="80" spans="1:38" x14ac:dyDescent="0.3">
      <c r="A80" s="32">
        <f>VLOOKUP(YEAR(C80),Flags!$A$13:$B$95,2,FALSE)</f>
        <v>5</v>
      </c>
      <c r="B80" s="24">
        <f t="shared" si="116"/>
        <v>1929</v>
      </c>
      <c r="C80" s="25">
        <v>10805</v>
      </c>
      <c r="D80" s="26">
        <f>VLOOKUP($C80,COS!$B$8:$H$991,3,FALSE)</f>
        <v>12141.1708984375</v>
      </c>
      <c r="E80" s="24">
        <f>IF(D80&gt;=IF(MONTH($C80)=4,$C$3,IF(MONTH($C80)=5,$C$4,IF(MONTH($C80)=6,$C$5,IF(MONTH($C80)=7,$C$6,"ERROR")))),1,0)</f>
        <v>1</v>
      </c>
      <c r="F80" s="26">
        <f>VLOOKUP($C80,COS!$B$8:$H$991,7,FALSE)</f>
        <v>55.623313903808594</v>
      </c>
      <c r="G80" s="24">
        <f>IF(F80&lt;=IF(MONTH($C80)=4,$F$3,IF(MONTH($C80)=5,$F$4,IF(MONTH($C80)=6,$F$5,IF(MONTH($C80)=7,$F$6,"ERROR")))),1,0)</f>
        <v>0</v>
      </c>
      <c r="H80" s="26">
        <f>IF(J80=1,D80-$C$6,0)</f>
        <v>0</v>
      </c>
      <c r="I80" s="26">
        <f t="shared" si="17"/>
        <v>0</v>
      </c>
      <c r="J80" s="24">
        <f t="shared" si="106"/>
        <v>0</v>
      </c>
      <c r="K80" s="26">
        <f>VLOOKUP($C80,COS!$B$8:$H$991,2,FALSE)</f>
        <v>1718.207763671875</v>
      </c>
      <c r="L80" s="24">
        <f t="shared" si="19"/>
        <v>1</v>
      </c>
      <c r="M80" s="24">
        <f t="shared" si="20"/>
        <v>1</v>
      </c>
      <c r="N80" s="26">
        <f>VLOOKUP($C80,COS!$B$8:$H$991,5,FALSE)</f>
        <v>382.06051635742188</v>
      </c>
      <c r="O80" s="26">
        <f t="shared" si="109"/>
        <v>23.491985468588584</v>
      </c>
      <c r="P80" s="26">
        <f>VLOOKUP($C80,COS!$B$8:$H$991,6,FALSE)</f>
        <v>2281.4833984375</v>
      </c>
      <c r="Q80" s="26">
        <f t="shared" si="110"/>
        <v>140.28294615185951</v>
      </c>
      <c r="R80" s="26">
        <f>MIN(IF(MONTH($C80)=4,$S$3,IF(MONTH($C80)=5,$S$4,IF(MONTH($C80)=6,$S$5,IF(MONTH($C80)=7,$S$6,"ERROR")))),MAX(VLOOKUP($C80,COS!$B$8:$K$991,10,FALSE)-IF(MONTH($C80)=4,$Y$3,IF(MONTH($C80)=5,$Y$4,IF(MONTH($C80)=6,$Y$5,IF(MONTH($C80)=7,$Y$6,"ERROR")))),0),MAX(VLOOKUP($C80,COS!$B$8:$K$991,9,FALSE)-IF(MONTH($C80)=4,$V$3,IF(MONTH($C80)=5,$V$4,IF(MONTH($C80)=6,$V$5,IF(MONTH($C80)=7,$V$6,"ERROR"))))-VLOOKUP($C80,COS!$B$8:$K$991,6,FALSE)/2,0))</f>
        <v>0</v>
      </c>
      <c r="S80" s="26">
        <f t="shared" si="111"/>
        <v>0</v>
      </c>
      <c r="T80" s="26">
        <f t="shared" si="112"/>
        <v>81.887465810224043</v>
      </c>
      <c r="U80" s="26" t="str">
        <f>IF(VLOOKUP($C80,COS!$B$8:$I$991,8,FALSE)=1,"UWFE","IBU")</f>
        <v>IBU</v>
      </c>
      <c r="V80" s="26">
        <f t="shared" ref="V80" si="124">MIN(IF(IF($AA$3=2,AND(E80=1,G80=1,L80=1,L82=1,M80=1,U80="IBU"),AND(E80=1,G80=1,L80=1,L82=1,M80=1)),T80,0),I80)</f>
        <v>0</v>
      </c>
      <c r="W80" s="26"/>
      <c r="X80" s="26"/>
      <c r="Y80" s="26"/>
      <c r="Z80" s="26"/>
      <c r="AA80" s="26"/>
      <c r="AB80" s="33"/>
      <c r="AD80" s="44">
        <v>1988</v>
      </c>
      <c r="AE80" s="45">
        <f>VLOOKUP(AD80,Flags!$A$13:$B$95,2,FALSE)</f>
        <v>5</v>
      </c>
      <c r="AF80" s="44">
        <f t="shared" si="118"/>
        <v>110.63555559142561</v>
      </c>
      <c r="AG80" s="44">
        <f t="shared" si="119"/>
        <v>243.39897201664192</v>
      </c>
      <c r="AH80" s="44">
        <f t="shared" si="120"/>
        <v>110.63555559142561</v>
      </c>
      <c r="AI80" s="44">
        <f t="shared" si="121"/>
        <v>22845.549147404439</v>
      </c>
      <c r="AJ80" s="44">
        <f t="shared" si="122"/>
        <v>534.81629519628098</v>
      </c>
      <c r="AK80" s="44">
        <f t="shared" si="115"/>
        <v>416.2676817536157</v>
      </c>
      <c r="AL80" s="44">
        <f t="shared" si="123"/>
        <v>110.63555559142561</v>
      </c>
    </row>
    <row r="81" spans="1:38" x14ac:dyDescent="0.3">
      <c r="A81" s="32">
        <f>VLOOKUP(YEAR(C81),Flags!$A$13:$B$95,2,FALSE)</f>
        <v>5</v>
      </c>
      <c r="B81" s="24">
        <f t="shared" si="116"/>
        <v>1929</v>
      </c>
      <c r="C81" s="25">
        <v>10836</v>
      </c>
      <c r="D81" s="26"/>
      <c r="E81" s="24"/>
      <c r="F81" s="26"/>
      <c r="G81" s="24"/>
      <c r="H81" s="24"/>
      <c r="I81" s="26"/>
      <c r="J81" s="24"/>
      <c r="K81" s="26"/>
      <c r="L81" s="24"/>
      <c r="M81" s="24"/>
      <c r="N81" s="26"/>
      <c r="O81" s="26"/>
      <c r="P81" s="26"/>
      <c r="Q81" s="26"/>
      <c r="R81" s="26"/>
      <c r="S81" s="26"/>
      <c r="T81" s="26"/>
      <c r="U81" s="26"/>
      <c r="V81" s="26"/>
      <c r="W81" s="26">
        <f>MAX($C$7-VLOOKUP($C81,COS!$B$8:$H$991,3,FALSE),0)</f>
        <v>92112.06689453125</v>
      </c>
      <c r="X81" s="26">
        <f t="shared" si="31"/>
        <v>5663.75022888688</v>
      </c>
      <c r="Y81" s="26">
        <f>VLOOKUP($C81,COS!$B$8:$H$991,4,FALSE)</f>
        <v>2623.390625</v>
      </c>
      <c r="Z81" s="26">
        <f t="shared" si="32"/>
        <v>161.3060020661157</v>
      </c>
      <c r="AA81" s="26">
        <f t="shared" ref="AA81:AA85" si="125">MIN(W81,Y81)</f>
        <v>2623.390625</v>
      </c>
      <c r="AB81" s="33">
        <f t="shared" ref="AB81" si="126">AA81*DAY($C81)*86400/43560/1000*IF(MONTH($C81)=8,$P$3,IF(MONTH($C81)=9,$P$4,IF(MONTH($C81)=10,$P$5,IF(MONTH($C81)=11,$P$6,IF(MONTH($C81)=12,$P$7,NA())))))</f>
        <v>161.3060020661157</v>
      </c>
      <c r="AD81" s="44">
        <v>1989</v>
      </c>
      <c r="AE81" s="45">
        <f>VLOOKUP(AD81,Flags!$A$13:$B$95,2,FALSE)</f>
        <v>4</v>
      </c>
      <c r="AF81" s="44">
        <f t="shared" si="118"/>
        <v>354.86444473140494</v>
      </c>
      <c r="AG81" s="44">
        <f t="shared" si="119"/>
        <v>291.24215313872025</v>
      </c>
      <c r="AH81" s="44">
        <f t="shared" si="120"/>
        <v>190.82287105339617</v>
      </c>
      <c r="AI81" s="44">
        <f t="shared" si="121"/>
        <v>22908.850762848659</v>
      </c>
      <c r="AJ81" s="44">
        <f t="shared" si="122"/>
        <v>434.55095263268333</v>
      </c>
      <c r="AK81" s="44">
        <f t="shared" si="115"/>
        <v>264.68922750677945</v>
      </c>
      <c r="AL81" s="44">
        <f t="shared" si="123"/>
        <v>190.82287105339617</v>
      </c>
    </row>
    <row r="82" spans="1:38" x14ac:dyDescent="0.3">
      <c r="A82" s="32">
        <f>VLOOKUP(YEAR(C82),Flags!$A$13:$B$95,2,FALSE)</f>
        <v>5</v>
      </c>
      <c r="B82" s="24">
        <f t="shared" si="116"/>
        <v>1929</v>
      </c>
      <c r="C82" s="25">
        <v>10866</v>
      </c>
      <c r="D82" s="26"/>
      <c r="E82" s="24"/>
      <c r="F82" s="26"/>
      <c r="G82" s="24"/>
      <c r="H82" s="24"/>
      <c r="I82" s="26"/>
      <c r="J82" s="24"/>
      <c r="K82" s="26">
        <f>VLOOKUP($C82,COS!$B$8:$H$991,2,FALSE)</f>
        <v>1326.92724609375</v>
      </c>
      <c r="L82" s="24">
        <f t="shared" ref="L82" si="127">IF(AND(K82&gt;$I$7,K82&lt;$I$8),1,0)</f>
        <v>1</v>
      </c>
      <c r="M82" s="24"/>
      <c r="N82" s="26"/>
      <c r="O82" s="26"/>
      <c r="P82" s="26"/>
      <c r="Q82" s="26"/>
      <c r="R82" s="26"/>
      <c r="S82" s="26"/>
      <c r="T82" s="26"/>
      <c r="U82" s="26"/>
      <c r="V82" s="26"/>
      <c r="W82" s="26">
        <f>MAX($C$8-VLOOKUP($C82,COS!$B$8:$H$991,3,FALSE),0)</f>
        <v>94693.32568359375</v>
      </c>
      <c r="X82" s="26">
        <f t="shared" si="31"/>
        <v>5634.644172908057</v>
      </c>
      <c r="Y82" s="26">
        <f>VLOOKUP($C82,COS!$B$8:$H$991,4,FALSE)</f>
        <v>1966.5052490234375</v>
      </c>
      <c r="Z82" s="26">
        <f t="shared" si="32"/>
        <v>117.01518837164257</v>
      </c>
      <c r="AA82" s="26">
        <f t="shared" si="125"/>
        <v>1966.5052490234375</v>
      </c>
      <c r="AB82" s="33">
        <f t="shared" si="34"/>
        <v>117.01518837164257</v>
      </c>
      <c r="AD82" s="44">
        <v>1990</v>
      </c>
      <c r="AE82" s="45">
        <f>VLOOKUP(AD82,Flags!$A$13:$B$95,2,FALSE)</f>
        <v>5</v>
      </c>
      <c r="AF82" s="44">
        <f t="shared" si="118"/>
        <v>0</v>
      </c>
      <c r="AG82" s="44">
        <f t="shared" si="119"/>
        <v>234.789919239391</v>
      </c>
      <c r="AH82" s="44">
        <f t="shared" si="120"/>
        <v>0</v>
      </c>
      <c r="AI82" s="44">
        <f t="shared" si="121"/>
        <v>22814.627935498447</v>
      </c>
      <c r="AJ82" s="44">
        <f t="shared" si="122"/>
        <v>684.5884151439825</v>
      </c>
      <c r="AK82" s="44">
        <f t="shared" si="115"/>
        <v>450.5600010491994</v>
      </c>
      <c r="AL82" s="44">
        <f t="shared" si="123"/>
        <v>0</v>
      </c>
    </row>
    <row r="83" spans="1:38" x14ac:dyDescent="0.3">
      <c r="A83" s="32">
        <f>VLOOKUP(YEAR(C83),Flags!$A$13:$B$95,2,FALSE)</f>
        <v>5</v>
      </c>
      <c r="B83" s="24">
        <f t="shared" si="116"/>
        <v>1929</v>
      </c>
      <c r="C83" s="25">
        <v>10897</v>
      </c>
      <c r="D83" s="26"/>
      <c r="E83" s="24"/>
      <c r="F83" s="26"/>
      <c r="G83" s="26"/>
      <c r="H83" s="26"/>
      <c r="I83" s="26"/>
      <c r="J83" s="26"/>
      <c r="K83" s="26"/>
      <c r="L83" s="24"/>
      <c r="M83" s="24"/>
      <c r="N83" s="26"/>
      <c r="O83" s="26"/>
      <c r="P83" s="26"/>
      <c r="Q83" s="26"/>
      <c r="R83" s="26"/>
      <c r="S83" s="26"/>
      <c r="T83" s="26"/>
      <c r="U83" s="26"/>
      <c r="V83" s="26"/>
      <c r="W83" s="26">
        <f>MAX($C$9-VLOOKUP($C83,COS!$B$8:$H$991,3,FALSE),0)</f>
        <v>94798.603515625</v>
      </c>
      <c r="X83" s="26">
        <f t="shared" si="31"/>
        <v>5828.9389269111571</v>
      </c>
      <c r="Y83" s="26">
        <f>VLOOKUP($C83,COS!$B$8:$H$991,4,FALSE)</f>
        <v>1369.061767578125</v>
      </c>
      <c r="Z83" s="26">
        <f t="shared" si="32"/>
        <v>84.180326865960737</v>
      </c>
      <c r="AA83" s="26">
        <f t="shared" si="125"/>
        <v>1369.061767578125</v>
      </c>
      <c r="AB83" s="33">
        <f t="shared" si="34"/>
        <v>84.180326865960737</v>
      </c>
      <c r="AD83" s="44">
        <v>1991</v>
      </c>
      <c r="AE83" s="45">
        <f>VLOOKUP(AD83,Flags!$A$13:$B$95,2,FALSE)</f>
        <v>5</v>
      </c>
      <c r="AF83" s="44">
        <f t="shared" si="118"/>
        <v>45.886084710743802</v>
      </c>
      <c r="AG83" s="44">
        <f t="shared" si="119"/>
        <v>254.14564433452512</v>
      </c>
      <c r="AH83" s="44">
        <f t="shared" si="120"/>
        <v>0</v>
      </c>
      <c r="AI83" s="44">
        <f t="shared" si="121"/>
        <v>22884.804520273759</v>
      </c>
      <c r="AJ83" s="44">
        <f t="shared" si="122"/>
        <v>691.69384434723656</v>
      </c>
      <c r="AK83" s="44">
        <f t="shared" si="115"/>
        <v>455.63925789320768</v>
      </c>
      <c r="AL83" s="44">
        <f t="shared" si="123"/>
        <v>0</v>
      </c>
    </row>
    <row r="84" spans="1:38" x14ac:dyDescent="0.3">
      <c r="A84" s="32">
        <f>VLOOKUP(YEAR(C84),Flags!$A$13:$B$95,2,FALSE)</f>
        <v>5</v>
      </c>
      <c r="B84" s="24">
        <f t="shared" si="116"/>
        <v>1929</v>
      </c>
      <c r="C84" s="25">
        <v>10927</v>
      </c>
      <c r="D84" s="26"/>
      <c r="E84" s="24"/>
      <c r="F84" s="26"/>
      <c r="G84" s="26"/>
      <c r="H84" s="26"/>
      <c r="I84" s="26"/>
      <c r="J84" s="26"/>
      <c r="K84" s="26"/>
      <c r="L84" s="24"/>
      <c r="M84" s="24"/>
      <c r="N84" s="26"/>
      <c r="O84" s="26"/>
      <c r="P84" s="26"/>
      <c r="Q84" s="26"/>
      <c r="R84" s="26"/>
      <c r="S84" s="26"/>
      <c r="T84" s="26"/>
      <c r="U84" s="26"/>
      <c r="V84" s="26"/>
      <c r="W84" s="26">
        <f>MAX($C$10-VLOOKUP($C84,COS!$B$8:$H$991,3,FALSE),0)</f>
        <v>95721.40087890625</v>
      </c>
      <c r="X84" s="26">
        <f t="shared" si="31"/>
        <v>5695.8188952737601</v>
      </c>
      <c r="Y84" s="26">
        <f>VLOOKUP($C84,COS!$B$8:$H$991,4,FALSE)</f>
        <v>1476.7601318359375</v>
      </c>
      <c r="Z84" s="26">
        <f t="shared" si="32"/>
        <v>87.873330158832644</v>
      </c>
      <c r="AA84" s="26">
        <f t="shared" si="125"/>
        <v>1476.7601318359375</v>
      </c>
      <c r="AB84" s="33">
        <f t="shared" si="34"/>
        <v>43.936665079416322</v>
      </c>
      <c r="AD84" s="43">
        <v>1992</v>
      </c>
      <c r="AE84" s="1">
        <f>VLOOKUP(AD84,Flags!$A$13:$B$95,2,FALSE)</f>
        <v>5</v>
      </c>
      <c r="AF84" s="43">
        <f t="shared" si="118"/>
        <v>184.40940534607438</v>
      </c>
      <c r="AG84" s="43">
        <f t="shared" si="119"/>
        <v>232.27897186216239</v>
      </c>
      <c r="AH84" s="43">
        <f t="shared" si="120"/>
        <v>93.357286605834943</v>
      </c>
      <c r="AI84" s="43">
        <f t="shared" si="121"/>
        <v>22868.97411221591</v>
      </c>
      <c r="AJ84" s="43">
        <f t="shared" si="122"/>
        <v>529.46044728176651</v>
      </c>
      <c r="AK84" s="43">
        <f t="shared" si="115"/>
        <v>374.20979137073863</v>
      </c>
      <c r="AL84" s="43">
        <f t="shared" si="123"/>
        <v>93.357286605834943</v>
      </c>
    </row>
    <row r="85" spans="1:38" x14ac:dyDescent="0.3">
      <c r="A85" s="34">
        <f>VLOOKUP(YEAR(C85),Flags!$A$13:$B$95,2,FALSE)</f>
        <v>5</v>
      </c>
      <c r="B85" s="35">
        <f t="shared" si="116"/>
        <v>1929</v>
      </c>
      <c r="C85" s="36">
        <v>10958</v>
      </c>
      <c r="D85" s="37"/>
      <c r="E85" s="35"/>
      <c r="F85" s="37"/>
      <c r="G85" s="37"/>
      <c r="H85" s="37"/>
      <c r="I85" s="37"/>
      <c r="J85" s="37"/>
      <c r="K85" s="37"/>
      <c r="L85" s="35"/>
      <c r="M85" s="35"/>
      <c r="N85" s="37"/>
      <c r="O85" s="37"/>
      <c r="P85" s="37"/>
      <c r="Q85" s="37"/>
      <c r="R85" s="37"/>
      <c r="S85" s="37"/>
      <c r="T85" s="37"/>
      <c r="U85" s="37"/>
      <c r="V85" s="37"/>
      <c r="W85" s="37">
        <f>MAX($C$11-VLOOKUP($C85,COS!$B$8:$H$991,3,FALSE),0)</f>
        <v>0</v>
      </c>
      <c r="X85" s="37">
        <f t="shared" si="31"/>
        <v>0</v>
      </c>
      <c r="Y85" s="37">
        <f>VLOOKUP($C85,COS!$B$8:$H$991,4,FALSE)</f>
        <v>1577.152099609375</v>
      </c>
      <c r="Z85" s="37">
        <f t="shared" si="32"/>
        <v>96.975302653667356</v>
      </c>
      <c r="AA85" s="37">
        <f t="shared" si="125"/>
        <v>0</v>
      </c>
      <c r="AB85" s="38">
        <f t="shared" si="34"/>
        <v>0</v>
      </c>
      <c r="AD85" s="43">
        <v>1993</v>
      </c>
      <c r="AE85" s="1">
        <f>VLOOKUP(AD85,Flags!$A$13:$B$95,2,FALSE)</f>
        <v>2</v>
      </c>
      <c r="AF85" s="43">
        <f t="shared" si="118"/>
        <v>368.51700348657027</v>
      </c>
      <c r="AG85" s="43">
        <f t="shared" si="119"/>
        <v>315.68372835017431</v>
      </c>
      <c r="AH85" s="43">
        <f t="shared" si="120"/>
        <v>0</v>
      </c>
      <c r="AI85" s="43">
        <f t="shared" si="121"/>
        <v>22047.888796487605</v>
      </c>
      <c r="AJ85" s="43">
        <f t="shared" si="122"/>
        <v>150.01719971711969</v>
      </c>
      <c r="AK85" s="43">
        <f t="shared" si="115"/>
        <v>97.969339508813277</v>
      </c>
      <c r="AL85" s="43">
        <f t="shared" si="123"/>
        <v>0</v>
      </c>
    </row>
    <row r="86" spans="1:38" x14ac:dyDescent="0.3">
      <c r="A86" s="27">
        <f>VLOOKUP(YEAR(C86),Flags!$A$13:$B$95,2,FALSE)</f>
        <v>4</v>
      </c>
      <c r="B86" s="28">
        <f t="shared" si="116"/>
        <v>1930</v>
      </c>
      <c r="C86" s="29">
        <v>11078</v>
      </c>
      <c r="D86" s="30">
        <f>VLOOKUP($C86,COS!$B$8:$H$991,3,FALSE)</f>
        <v>3250</v>
      </c>
      <c r="E86" s="28">
        <f>IF(D86&gt;=IF(MONTH($C86)=4,$C$3,IF(MONTH($C86)=5,$C$4,IF(MONTH($C86)=6,$C$5,IF(MONTH($C86)=7,$C$6,"ERROR")))),1,0)</f>
        <v>0</v>
      </c>
      <c r="F86" s="30">
        <f>VLOOKUP($C86,COS!$B$8:$H$991,7,FALSE)</f>
        <v>51.239517211914063</v>
      </c>
      <c r="G86" s="28">
        <f>IF(F86&lt;=IF(MONTH($C86)=4,$F$3,IF(MONTH($C86)=5,$F$4,IF(MONTH($C86)=6,$F$5,IF(MONTH($C86)=7,$F$6,"ERROR")))),1,0)</f>
        <v>1</v>
      </c>
      <c r="H86" s="30">
        <f>IF(J86=1,D86-$C$3,0)</f>
        <v>0</v>
      </c>
      <c r="I86" s="30">
        <f t="shared" si="17"/>
        <v>0</v>
      </c>
      <c r="J86" s="28">
        <f t="shared" ref="J86:J89" si="128">IF(AND(E86=1,G86=1),1,0)</f>
        <v>0</v>
      </c>
      <c r="K86" s="30">
        <f>VLOOKUP($C86,COS!$B$8:$H$991,2,FALSE)</f>
        <v>2916.82275390625</v>
      </c>
      <c r="L86" s="28">
        <f t="shared" ref="L86:L143" si="129">IF(K86&lt;=IF(MONTH($C86)=4,$I$3,IF(MONTH($C86)=5,$I$4,IF(MONTH($C86)=6,$I$5,IF(MONTH($C86)=7,$I$6,"ERROR")))),1,0)</f>
        <v>1</v>
      </c>
      <c r="M86" s="28">
        <f t="shared" ref="M86:M143" si="130">VLOOKUP($A86,$L$3:$M$7,2,FALSE)</f>
        <v>1</v>
      </c>
      <c r="N86" s="30">
        <f>VLOOKUP($C86,COS!$B$8:$H$991,5,FALSE)</f>
        <v>44.508659362792969</v>
      </c>
      <c r="O86" s="30">
        <f t="shared" ref="O86:O89" si="131">N86*DAY($C86)*86400/43560/1000</f>
        <v>2.6484491521661928</v>
      </c>
      <c r="P86" s="30">
        <f>VLOOKUP($C86,COS!$B$8:$H$991,6,FALSE)</f>
        <v>392.62295532226563</v>
      </c>
      <c r="Q86" s="30">
        <f t="shared" ref="Q86:Q89" si="132">P86*DAY($C86)*86400/43560/1000</f>
        <v>23.362688250581094</v>
      </c>
      <c r="R86" s="30">
        <f>MIN(IF(MONTH($C86)=4,$S$3,IF(MONTH($C86)=5,$S$4,IF(MONTH($C86)=6,$S$5,IF(MONTH($C86)=7,$S$6,"ERROR")))),MAX(VLOOKUP($C86,COS!$B$8:$K$991,10,FALSE)-IF(MONTH($C86)=4,$Y$3,IF(MONTH($C86)=5,$Y$4,IF(MONTH($C86)=6,$Y$5,IF(MONTH($C86)=7,$Y$6,"ERROR")))),0),MAX(VLOOKUP($C86,COS!$B$8:$K$991,9,FALSE)-IF(MONTH($C86)=4,$V$3,IF(MONTH($C86)=5,$V$4,IF(MONTH($C86)=6,$V$5,IF(MONTH($C86)=7,$V$6,"ERROR"))))-VLOOKUP($C86,COS!$B$8:$K$991,6,FALSE)/2,0))</f>
        <v>0</v>
      </c>
      <c r="S86" s="30">
        <f t="shared" ref="S86:S89" si="133">R86*DAY($C86)*86400/43560/1000</f>
        <v>0</v>
      </c>
      <c r="T86" s="30">
        <f t="shared" ref="T86:T89" si="134">(O86+Q86)/2+S86</f>
        <v>13.005568701373644</v>
      </c>
      <c r="U86" s="30" t="str">
        <f>IF(VLOOKUP($C86,COS!$B$8:$I$991,8,FALSE)=1,"UWFE","IBU")</f>
        <v>UWFE</v>
      </c>
      <c r="V86" s="30">
        <f t="shared" ref="V86" si="135">MIN(IF(IF($AA$3=2,AND(E86=1,G86=1,L86=1,L91=1,M86=1,U86="IBU"),AND(E86=1,G86=1,L86=1,L91=1,M86=1)),T86,0),I86)</f>
        <v>0</v>
      </c>
      <c r="W86" s="30"/>
      <c r="X86" s="30"/>
      <c r="Y86" s="30"/>
      <c r="Z86" s="30"/>
      <c r="AA86" s="30"/>
      <c r="AB86" s="31"/>
      <c r="AD86" s="43">
        <v>1994</v>
      </c>
      <c r="AE86" s="1">
        <f>VLOOKUP(AD86,Flags!$A$13:$B$95,2,FALSE)</f>
        <v>5</v>
      </c>
      <c r="AF86" s="43">
        <f t="shared" si="118"/>
        <v>21.768285123966944</v>
      </c>
      <c r="AG86" s="43">
        <f t="shared" si="119"/>
        <v>298.23497795672455</v>
      </c>
      <c r="AH86" s="43">
        <f t="shared" si="120"/>
        <v>21.768285123966944</v>
      </c>
      <c r="AI86" s="43">
        <f t="shared" si="121"/>
        <v>22936.905428073344</v>
      </c>
      <c r="AJ86" s="43">
        <f t="shared" si="122"/>
        <v>521.34395168840388</v>
      </c>
      <c r="AK86" s="43">
        <f t="shared" si="115"/>
        <v>366.65812161027895</v>
      </c>
      <c r="AL86" s="43">
        <f t="shared" si="123"/>
        <v>21.768285123966944</v>
      </c>
    </row>
    <row r="87" spans="1:38" x14ac:dyDescent="0.3">
      <c r="A87" s="32">
        <f>VLOOKUP(YEAR(C87),Flags!$A$13:$B$95,2,FALSE)</f>
        <v>4</v>
      </c>
      <c r="B87" s="24">
        <f t="shared" si="116"/>
        <v>1930</v>
      </c>
      <c r="C87" s="25">
        <v>11109</v>
      </c>
      <c r="D87" s="26">
        <f>VLOOKUP($C87,COS!$B$8:$H$991,3,FALSE)</f>
        <v>5412.98681640625</v>
      </c>
      <c r="E87" s="24">
        <f>IF(D87&gt;=IF(MONTH($C87)=4,$C$3,IF(MONTH($C87)=5,$C$4,IF(MONTH($C87)=6,$C$5,IF(MONTH($C87)=7,$C$6,"ERROR")))),1,0)</f>
        <v>0</v>
      </c>
      <c r="F87" s="26">
        <f>VLOOKUP($C87,COS!$B$8:$H$991,7,FALSE)</f>
        <v>51.472103118896484</v>
      </c>
      <c r="G87" s="24">
        <f>IF(F87&lt;=IF(MONTH($C87)=4,$F$3,IF(MONTH($C87)=5,$F$4,IF(MONTH($C87)=6,$F$5,IF(MONTH($C87)=7,$F$6,"ERROR")))),1,0)</f>
        <v>1</v>
      </c>
      <c r="H87" s="26">
        <f>IF(J87=1,D87-$C$4,0)</f>
        <v>0</v>
      </c>
      <c r="I87" s="26">
        <f t="shared" ref="I87:I150" si="136">H87*DAY($C87)*86400/43560/1000</f>
        <v>0</v>
      </c>
      <c r="J87" s="24">
        <f t="shared" si="128"/>
        <v>0</v>
      </c>
      <c r="K87" s="26">
        <f>VLOOKUP($C87,COS!$B$8:$H$991,2,FALSE)</f>
        <v>2856.510986328125</v>
      </c>
      <c r="L87" s="24">
        <f t="shared" si="129"/>
        <v>1</v>
      </c>
      <c r="M87" s="24">
        <f t="shared" si="130"/>
        <v>1</v>
      </c>
      <c r="N87" s="26">
        <f>VLOOKUP($C87,COS!$B$8:$H$991,5,FALSE)</f>
        <v>14.996692657470703</v>
      </c>
      <c r="O87" s="26">
        <f t="shared" si="131"/>
        <v>0.92211068902133908</v>
      </c>
      <c r="P87" s="26">
        <f>VLOOKUP($C87,COS!$B$8:$H$991,6,FALSE)</f>
        <v>2146.524658203125</v>
      </c>
      <c r="Q87" s="26">
        <f t="shared" si="132"/>
        <v>131.98465666967974</v>
      </c>
      <c r="R87" s="26">
        <f>MIN(IF(MONTH($C87)=4,$S$3,IF(MONTH($C87)=5,$S$4,IF(MONTH($C87)=6,$S$5,IF(MONTH($C87)=7,$S$6,"ERROR")))),MAX(VLOOKUP($C87,COS!$B$8:$K$991,10,FALSE)-IF(MONTH($C87)=4,$Y$3,IF(MONTH($C87)=5,$Y$4,IF(MONTH($C87)=6,$Y$5,IF(MONTH($C87)=7,$Y$6,"ERROR")))),0),MAX(VLOOKUP($C87,COS!$B$8:$K$991,9,FALSE)-IF(MONTH($C87)=4,$V$3,IF(MONTH($C87)=5,$V$4,IF(MONTH($C87)=6,$V$5,IF(MONTH($C87)=7,$V$6,"ERROR"))))-VLOOKUP($C87,COS!$B$8:$K$991,6,FALSE)/2,0))</f>
        <v>0</v>
      </c>
      <c r="S87" s="26">
        <f t="shared" si="133"/>
        <v>0</v>
      </c>
      <c r="T87" s="26">
        <f t="shared" si="134"/>
        <v>66.453383679350537</v>
      </c>
      <c r="U87" s="26" t="str">
        <f>IF(VLOOKUP($C87,COS!$B$8:$I$991,8,FALSE)=1,"UWFE","IBU")</f>
        <v>UWFE</v>
      </c>
      <c r="V87" s="26">
        <f t="shared" ref="V87" si="137">MIN(IF(IF($AA$3=2,AND(E87=1,G87=1,L87=1,L91=1,M87=1,U87="IBU"),AND(E87=1,G87=1,L87=1,L91=1,M87=1)),T87,0),I87)</f>
        <v>0</v>
      </c>
      <c r="W87" s="26"/>
      <c r="X87" s="26"/>
      <c r="Y87" s="26"/>
      <c r="Z87" s="26"/>
      <c r="AA87" s="26"/>
      <c r="AB87" s="33"/>
      <c r="AD87" s="43">
        <v>1995</v>
      </c>
      <c r="AE87" s="1">
        <f>VLOOKUP(AD87,Flags!$A$13:$B$95,2,FALSE)</f>
        <v>1</v>
      </c>
      <c r="AF87" s="43">
        <f t="shared" si="118"/>
        <v>374.49814307851238</v>
      </c>
      <c r="AG87" s="43">
        <f t="shared" si="119"/>
        <v>313.6521217232696</v>
      </c>
      <c r="AH87" s="43">
        <f t="shared" si="120"/>
        <v>0</v>
      </c>
      <c r="AI87" s="43">
        <f t="shared" si="121"/>
        <v>21622.179925103308</v>
      </c>
      <c r="AJ87" s="43">
        <f t="shared" si="122"/>
        <v>112.67233340428881</v>
      </c>
      <c r="AK87" s="43">
        <f t="shared" si="115"/>
        <v>60.09638307177331</v>
      </c>
      <c r="AL87" s="43">
        <f t="shared" si="123"/>
        <v>0</v>
      </c>
    </row>
    <row r="88" spans="1:38" x14ac:dyDescent="0.3">
      <c r="A88" s="32">
        <f>VLOOKUP(YEAR(C88),Flags!$A$13:$B$95,2,FALSE)</f>
        <v>4</v>
      </c>
      <c r="B88" s="24">
        <f t="shared" si="116"/>
        <v>1930</v>
      </c>
      <c r="C88" s="25">
        <v>11139</v>
      </c>
      <c r="D88" s="26">
        <f>VLOOKUP($C88,COS!$B$8:$H$991,3,FALSE)</f>
        <v>8881.8974609375</v>
      </c>
      <c r="E88" s="24">
        <f>IF(D88&gt;=IF(MONTH($C88)=4,$C$3,IF(MONTH($C88)=5,$C$4,IF(MONTH($C88)=6,$C$5,IF(MONTH($C88)=7,$C$6,"ERROR")))),1,0)</f>
        <v>0</v>
      </c>
      <c r="F88" s="26">
        <f>VLOOKUP($C88,COS!$B$8:$H$991,7,FALSE)</f>
        <v>52.899250030517578</v>
      </c>
      <c r="G88" s="24">
        <f>IF(F88&lt;=IF(MONTH($C88)=4,$F$3,IF(MONTH($C88)=5,$F$4,IF(MONTH($C88)=6,$F$5,IF(MONTH($C88)=7,$F$6,"ERROR")))),1,0)</f>
        <v>1</v>
      </c>
      <c r="H88" s="26">
        <f>IF(J88=1,D88-$C$5,0)</f>
        <v>0</v>
      </c>
      <c r="I88" s="26">
        <f t="shared" si="136"/>
        <v>0</v>
      </c>
      <c r="J88" s="24">
        <f t="shared" si="128"/>
        <v>0</v>
      </c>
      <c r="K88" s="26">
        <f>VLOOKUP($C88,COS!$B$8:$H$991,2,FALSE)</f>
        <v>2536.044189453125</v>
      </c>
      <c r="L88" s="24">
        <f t="shared" si="129"/>
        <v>1</v>
      </c>
      <c r="M88" s="24">
        <f t="shared" si="130"/>
        <v>1</v>
      </c>
      <c r="N88" s="26">
        <f>VLOOKUP($C88,COS!$B$8:$H$991,5,FALSE)</f>
        <v>199.59013366699219</v>
      </c>
      <c r="O88" s="26">
        <f t="shared" si="131"/>
        <v>11.876437705804493</v>
      </c>
      <c r="P88" s="26">
        <f>VLOOKUP($C88,COS!$B$8:$H$991,6,FALSE)</f>
        <v>2714.961669921875</v>
      </c>
      <c r="Q88" s="26">
        <f t="shared" si="132"/>
        <v>161.55143821022727</v>
      </c>
      <c r="R88" s="26">
        <f>MIN(IF(MONTH($C88)=4,$S$3,IF(MONTH($C88)=5,$S$4,IF(MONTH($C88)=6,$S$5,IF(MONTH($C88)=7,$S$6,"ERROR")))),MAX(VLOOKUP($C88,COS!$B$8:$K$991,10,FALSE)-IF(MONTH($C88)=4,$Y$3,IF(MONTH($C88)=5,$Y$4,IF(MONTH($C88)=6,$Y$5,IF(MONTH($C88)=7,$Y$6,"ERROR")))),0),MAX(VLOOKUP($C88,COS!$B$8:$K$991,9,FALSE)-IF(MONTH($C88)=4,$V$3,IF(MONTH($C88)=5,$V$4,IF(MONTH($C88)=6,$V$5,IF(MONTH($C88)=7,$V$6,"ERROR"))))-VLOOKUP($C88,COS!$B$8:$K$991,6,FALSE)/2,0))</f>
        <v>0</v>
      </c>
      <c r="S88" s="26">
        <f t="shared" si="133"/>
        <v>0</v>
      </c>
      <c r="T88" s="26">
        <f t="shared" si="134"/>
        <v>86.71393795801589</v>
      </c>
      <c r="U88" s="26" t="str">
        <f>IF(VLOOKUP($C88,COS!$B$8:$I$991,8,FALSE)=1,"UWFE","IBU")</f>
        <v>IBU</v>
      </c>
      <c r="V88" s="26">
        <f t="shared" ref="V88" si="138">MIN(IF(IF($AA$3=2,AND(E88=1,G88=1,L88=1,L91=1,M88=1,U88="IBU"),AND(E88=1,G88=1,L88=1,L91=1,M88=1)),T88,0),I88)</f>
        <v>0</v>
      </c>
      <c r="W88" s="26"/>
      <c r="X88" s="26"/>
      <c r="Y88" s="26"/>
      <c r="Z88" s="26"/>
      <c r="AA88" s="26"/>
      <c r="AB88" s="33"/>
      <c r="AD88" s="43">
        <v>1996</v>
      </c>
      <c r="AE88" s="1">
        <f>VLOOKUP(AD88,Flags!$A$13:$B$95,2,FALSE)</f>
        <v>1</v>
      </c>
      <c r="AF88" s="43">
        <f t="shared" si="118"/>
        <v>470.82685111053718</v>
      </c>
      <c r="AG88" s="43">
        <f t="shared" si="119"/>
        <v>310.72835443165678</v>
      </c>
      <c r="AH88" s="43">
        <f t="shared" si="120"/>
        <v>0</v>
      </c>
      <c r="AI88" s="43">
        <f t="shared" si="121"/>
        <v>21668.349818569215</v>
      </c>
      <c r="AJ88" s="43">
        <f t="shared" si="122"/>
        <v>153.2964386137655</v>
      </c>
      <c r="AK88" s="43">
        <f t="shared" si="115"/>
        <v>99.075586179622945</v>
      </c>
      <c r="AL88" s="43">
        <f t="shared" si="123"/>
        <v>0</v>
      </c>
    </row>
    <row r="89" spans="1:38" x14ac:dyDescent="0.3">
      <c r="A89" s="32">
        <f>VLOOKUP(YEAR(C89),Flags!$A$13:$B$95,2,FALSE)</f>
        <v>4</v>
      </c>
      <c r="B89" s="24">
        <f t="shared" si="116"/>
        <v>1930</v>
      </c>
      <c r="C89" s="25">
        <v>11170</v>
      </c>
      <c r="D89" s="26">
        <f>VLOOKUP($C89,COS!$B$8:$H$991,3,FALSE)</f>
        <v>9171.2353515625</v>
      </c>
      <c r="E89" s="24">
        <f>IF(D89&gt;=IF(MONTH($C89)=4,$C$3,IF(MONTH($C89)=5,$C$4,IF(MONTH($C89)=6,$C$5,IF(MONTH($C89)=7,$C$6,"ERROR")))),1,0)</f>
        <v>0</v>
      </c>
      <c r="F89" s="26">
        <f>VLOOKUP($C89,COS!$B$8:$H$991,7,FALSE)</f>
        <v>55.481464385986328</v>
      </c>
      <c r="G89" s="24">
        <f>IF(F89&lt;=IF(MONTH($C89)=4,$F$3,IF(MONTH($C89)=5,$F$4,IF(MONTH($C89)=6,$F$5,IF(MONTH($C89)=7,$F$6,"ERROR")))),1,0)</f>
        <v>0</v>
      </c>
      <c r="H89" s="26">
        <f>IF(J89=1,D89-$C$6,0)</f>
        <v>0</v>
      </c>
      <c r="I89" s="26">
        <f t="shared" si="136"/>
        <v>0</v>
      </c>
      <c r="J89" s="24">
        <f t="shared" si="128"/>
        <v>0</v>
      </c>
      <c r="K89" s="26">
        <f>VLOOKUP($C89,COS!$B$8:$H$991,2,FALSE)</f>
        <v>2214.108642578125</v>
      </c>
      <c r="L89" s="24">
        <f t="shared" si="129"/>
        <v>1</v>
      </c>
      <c r="M89" s="24">
        <f t="shared" si="130"/>
        <v>1</v>
      </c>
      <c r="N89" s="26">
        <f>VLOOKUP($C89,COS!$B$8:$H$991,5,FALSE)</f>
        <v>218.08706665039063</v>
      </c>
      <c r="O89" s="26">
        <f t="shared" si="131"/>
        <v>13.40965104032154</v>
      </c>
      <c r="P89" s="26">
        <f>VLOOKUP($C89,COS!$B$8:$H$991,6,FALSE)</f>
        <v>2538.07568359375</v>
      </c>
      <c r="Q89" s="26">
        <f t="shared" si="132"/>
        <v>156.06019079287191</v>
      </c>
      <c r="R89" s="26">
        <f>MIN(IF(MONTH($C89)=4,$S$3,IF(MONTH($C89)=5,$S$4,IF(MONTH($C89)=6,$S$5,IF(MONTH($C89)=7,$S$6,"ERROR")))),MAX(VLOOKUP($C89,COS!$B$8:$K$991,10,FALSE)-IF(MONTH($C89)=4,$Y$3,IF(MONTH($C89)=5,$Y$4,IF(MONTH($C89)=6,$Y$5,IF(MONTH($C89)=7,$Y$6,"ERROR")))),0),MAX(VLOOKUP($C89,COS!$B$8:$K$991,9,FALSE)-IF(MONTH($C89)=4,$V$3,IF(MONTH($C89)=5,$V$4,IF(MONTH($C89)=6,$V$5,IF(MONTH($C89)=7,$V$6,"ERROR"))))-VLOOKUP($C89,COS!$B$8:$K$991,6,FALSE)/2,0))</f>
        <v>0</v>
      </c>
      <c r="S89" s="26">
        <f t="shared" si="133"/>
        <v>0</v>
      </c>
      <c r="T89" s="26">
        <f t="shared" si="134"/>
        <v>84.734920916596721</v>
      </c>
      <c r="U89" s="26" t="str">
        <f>IF(VLOOKUP($C89,COS!$B$8:$I$991,8,FALSE)=1,"UWFE","IBU")</f>
        <v>IBU</v>
      </c>
      <c r="V89" s="26">
        <f t="shared" ref="V89" si="139">MIN(IF(IF($AA$3=2,AND(E89=1,G89=1,L89=1,L91=1,M89=1,U89="IBU"),AND(E89=1,G89=1,L89=1,L91=1,M89=1)),T89,0),I89)</f>
        <v>0</v>
      </c>
      <c r="W89" s="26"/>
      <c r="X89" s="26"/>
      <c r="Y89" s="26"/>
      <c r="Z89" s="26"/>
      <c r="AA89" s="26"/>
      <c r="AB89" s="33"/>
      <c r="AD89" s="43">
        <v>1997</v>
      </c>
      <c r="AE89" s="1">
        <f>VLOOKUP(AD89,Flags!$A$13:$B$95,2,FALSE)</f>
        <v>1</v>
      </c>
      <c r="AF89" s="43">
        <f t="shared" si="118"/>
        <v>379.07900051652894</v>
      </c>
      <c r="AG89" s="43">
        <f t="shared" si="119"/>
        <v>319.90126325623066</v>
      </c>
      <c r="AH89" s="43">
        <f t="shared" si="120"/>
        <v>0</v>
      </c>
      <c r="AI89" s="43">
        <f t="shared" si="121"/>
        <v>21458.47272985537</v>
      </c>
      <c r="AJ89" s="43">
        <f t="shared" si="122"/>
        <v>130.54690817084196</v>
      </c>
      <c r="AK89" s="43">
        <f t="shared" si="115"/>
        <v>96.180083048166324</v>
      </c>
      <c r="AL89" s="43">
        <f t="shared" si="123"/>
        <v>0</v>
      </c>
    </row>
    <row r="90" spans="1:38" x14ac:dyDescent="0.3">
      <c r="A90" s="32">
        <f>VLOOKUP(YEAR(C90),Flags!$A$13:$B$95,2,FALSE)</f>
        <v>4</v>
      </c>
      <c r="B90" s="24">
        <f t="shared" si="116"/>
        <v>1930</v>
      </c>
      <c r="C90" s="25">
        <v>11201</v>
      </c>
      <c r="D90" s="26"/>
      <c r="E90" s="24"/>
      <c r="F90" s="26"/>
      <c r="G90" s="24"/>
      <c r="H90" s="24"/>
      <c r="I90" s="26"/>
      <c r="J90" s="24"/>
      <c r="K90" s="26"/>
      <c r="L90" s="24"/>
      <c r="M90" s="24"/>
      <c r="N90" s="26"/>
      <c r="O90" s="26"/>
      <c r="P90" s="26"/>
      <c r="Q90" s="26"/>
      <c r="R90" s="26"/>
      <c r="S90" s="26"/>
      <c r="T90" s="26"/>
      <c r="U90" s="26"/>
      <c r="V90" s="26"/>
      <c r="W90" s="26">
        <f>MAX($C$7-VLOOKUP($C90,COS!$B$8:$H$991,3,FALSE),0)</f>
        <v>92245.44091796875</v>
      </c>
      <c r="X90" s="26">
        <f t="shared" si="31"/>
        <v>5671.9510779313014</v>
      </c>
      <c r="Y90" s="26">
        <f>VLOOKUP($C90,COS!$B$8:$H$991,4,FALSE)</f>
        <v>2140.212646484375</v>
      </c>
      <c r="Z90" s="26">
        <f t="shared" si="32"/>
        <v>131.59654619705577</v>
      </c>
      <c r="AA90" s="26">
        <f t="shared" ref="AA90:AA94" si="140">MIN(W90,Y90)</f>
        <v>2140.212646484375</v>
      </c>
      <c r="AB90" s="33">
        <f t="shared" ref="AB90:AB148" si="141">AA90*DAY($C90)*86400/43560/1000*IF(MONTH($C90)=8,$P$3,IF(MONTH($C90)=9,$P$4,IF(MONTH($C90)=10,$P$5,IF(MONTH($C90)=11,$P$6,IF(MONTH($C90)=12,$P$7,NA())))))</f>
        <v>131.59654619705577</v>
      </c>
      <c r="AD90" s="43">
        <v>1998</v>
      </c>
      <c r="AE90" s="1">
        <f>VLOOKUP(AD90,Flags!$A$13:$B$95,2,FALSE)</f>
        <v>1</v>
      </c>
      <c r="AF90" s="43">
        <f t="shared" si="118"/>
        <v>1046.5325051652894</v>
      </c>
      <c r="AG90" s="43">
        <f t="shared" si="119"/>
        <v>274.79661526514474</v>
      </c>
      <c r="AH90" s="43">
        <f t="shared" si="120"/>
        <v>0</v>
      </c>
      <c r="AI90" s="43">
        <f t="shared" si="121"/>
        <v>21397.993194731403</v>
      </c>
      <c r="AJ90" s="43">
        <f t="shared" si="122"/>
        <v>3.2741707793937245</v>
      </c>
      <c r="AK90" s="43">
        <f t="shared" si="115"/>
        <v>3.2741707793937245</v>
      </c>
      <c r="AL90" s="43">
        <f t="shared" si="123"/>
        <v>0</v>
      </c>
    </row>
    <row r="91" spans="1:38" x14ac:dyDescent="0.3">
      <c r="A91" s="32">
        <f>VLOOKUP(YEAR(C91),Flags!$A$13:$B$95,2,FALSE)</f>
        <v>4</v>
      </c>
      <c r="B91" s="24">
        <f t="shared" si="116"/>
        <v>1930</v>
      </c>
      <c r="C91" s="25">
        <v>11231</v>
      </c>
      <c r="D91" s="26"/>
      <c r="E91" s="24"/>
      <c r="F91" s="26"/>
      <c r="G91" s="24"/>
      <c r="H91" s="24"/>
      <c r="I91" s="26"/>
      <c r="J91" s="24"/>
      <c r="K91" s="26">
        <f>VLOOKUP($C91,COS!$B$8:$H$991,2,FALSE)</f>
        <v>1915.04248046875</v>
      </c>
      <c r="L91" s="24">
        <f t="shared" ref="L91" si="142">IF(AND(K91&gt;$I$7,K91&lt;$I$8),1,0)</f>
        <v>1</v>
      </c>
      <c r="M91" s="24"/>
      <c r="N91" s="26"/>
      <c r="O91" s="26"/>
      <c r="P91" s="26"/>
      <c r="Q91" s="26"/>
      <c r="R91" s="26"/>
      <c r="S91" s="26"/>
      <c r="T91" s="26"/>
      <c r="U91" s="26"/>
      <c r="V91" s="26"/>
      <c r="W91" s="26">
        <f>MAX($C$8-VLOOKUP($C91,COS!$B$8:$H$991,3,FALSE),0)</f>
        <v>95941.968505859375</v>
      </c>
      <c r="X91" s="26">
        <f t="shared" ref="X91:X154" si="143">W91*DAY($C91)*86400/43560/1000</f>
        <v>5708.9435805139465</v>
      </c>
      <c r="Y91" s="26">
        <f>VLOOKUP($C91,COS!$B$8:$H$991,4,FALSE)</f>
        <v>1280.4638671875</v>
      </c>
      <c r="Z91" s="26">
        <f t="shared" ref="Z91:Z154" si="144">Y91*DAY($C91)*86400/43560/1000</f>
        <v>76.192891270661164</v>
      </c>
      <c r="AA91" s="26">
        <f t="shared" si="140"/>
        <v>1280.4638671875</v>
      </c>
      <c r="AB91" s="33">
        <f t="shared" si="141"/>
        <v>76.192891270661164</v>
      </c>
      <c r="AD91" s="43">
        <v>1999</v>
      </c>
      <c r="AE91" s="1">
        <f>VLOOKUP(AD91,Flags!$A$13:$B$95,2,FALSE)</f>
        <v>1</v>
      </c>
      <c r="AF91" s="43">
        <f t="shared" si="118"/>
        <v>395.80849238119833</v>
      </c>
      <c r="AG91" s="43">
        <f t="shared" si="119"/>
        <v>330.11782845993673</v>
      </c>
      <c r="AH91" s="43">
        <f t="shared" si="120"/>
        <v>0</v>
      </c>
      <c r="AI91" s="43">
        <f t="shared" si="121"/>
        <v>21187.067099690081</v>
      </c>
      <c r="AJ91" s="43">
        <f t="shared" si="122"/>
        <v>135.00084912512912</v>
      </c>
      <c r="AK91" s="43">
        <f t="shared" si="115"/>
        <v>98.872038513688011</v>
      </c>
      <c r="AL91" s="43">
        <f t="shared" si="123"/>
        <v>0</v>
      </c>
    </row>
    <row r="92" spans="1:38" x14ac:dyDescent="0.3">
      <c r="A92" s="32">
        <f>VLOOKUP(YEAR(C92),Flags!$A$13:$B$95,2,FALSE)</f>
        <v>4</v>
      </c>
      <c r="B92" s="24">
        <f t="shared" si="116"/>
        <v>1930</v>
      </c>
      <c r="C92" s="25">
        <v>11262</v>
      </c>
      <c r="D92" s="26"/>
      <c r="E92" s="24"/>
      <c r="F92" s="26"/>
      <c r="G92" s="26"/>
      <c r="H92" s="26"/>
      <c r="I92" s="26"/>
      <c r="J92" s="26"/>
      <c r="K92" s="26"/>
      <c r="L92" s="24"/>
      <c r="M92" s="24"/>
      <c r="N92" s="26"/>
      <c r="O92" s="26"/>
      <c r="P92" s="26"/>
      <c r="Q92" s="26"/>
      <c r="R92" s="26"/>
      <c r="S92" s="26"/>
      <c r="T92" s="26"/>
      <c r="U92" s="26"/>
      <c r="V92" s="26"/>
      <c r="W92" s="26">
        <f>MAX($C$9-VLOOKUP($C92,COS!$B$8:$H$991,3,FALSE),0)</f>
        <v>95080.65087890625</v>
      </c>
      <c r="X92" s="26">
        <f t="shared" si="143"/>
        <v>5846.2813432980374</v>
      </c>
      <c r="Y92" s="26">
        <f>VLOOKUP($C92,COS!$B$8:$H$991,4,FALSE)</f>
        <v>1605.8980712890625</v>
      </c>
      <c r="Z92" s="26">
        <f t="shared" si="144"/>
        <v>98.742823556947315</v>
      </c>
      <c r="AA92" s="26">
        <f t="shared" si="140"/>
        <v>1605.8980712890625</v>
      </c>
      <c r="AB92" s="33">
        <f t="shared" si="141"/>
        <v>98.742823556947315</v>
      </c>
      <c r="AD92" s="43">
        <v>2000</v>
      </c>
      <c r="AE92" s="1">
        <f>VLOOKUP(AD92,Flags!$A$13:$B$95,2,FALSE)</f>
        <v>2</v>
      </c>
      <c r="AF92" s="43">
        <f t="shared" si="118"/>
        <v>514.27096332644635</v>
      </c>
      <c r="AG92" s="43">
        <f t="shared" si="119"/>
        <v>313.38489890358665</v>
      </c>
      <c r="AH92" s="43">
        <f t="shared" si="120"/>
        <v>0</v>
      </c>
      <c r="AI92" s="43">
        <f t="shared" si="121"/>
        <v>21720.460250516528</v>
      </c>
      <c r="AJ92" s="43">
        <f t="shared" si="122"/>
        <v>180.63067758103045</v>
      </c>
      <c r="AK92" s="43">
        <f t="shared" si="115"/>
        <v>85.152847648179232</v>
      </c>
      <c r="AL92" s="43">
        <f t="shared" si="123"/>
        <v>0</v>
      </c>
    </row>
    <row r="93" spans="1:38" x14ac:dyDescent="0.3">
      <c r="A93" s="32">
        <f>VLOOKUP(YEAR(C93),Flags!$A$13:$B$95,2,FALSE)</f>
        <v>4</v>
      </c>
      <c r="B93" s="24">
        <f t="shared" si="116"/>
        <v>1930</v>
      </c>
      <c r="C93" s="25">
        <v>11292</v>
      </c>
      <c r="D93" s="26"/>
      <c r="E93" s="24"/>
      <c r="F93" s="26"/>
      <c r="G93" s="26"/>
      <c r="H93" s="26"/>
      <c r="I93" s="26"/>
      <c r="J93" s="26"/>
      <c r="K93" s="26"/>
      <c r="L93" s="24"/>
      <c r="M93" s="24"/>
      <c r="N93" s="26"/>
      <c r="O93" s="26"/>
      <c r="P93" s="26"/>
      <c r="Q93" s="26"/>
      <c r="R93" s="26"/>
      <c r="S93" s="26"/>
      <c r="T93" s="26"/>
      <c r="U93" s="26"/>
      <c r="V93" s="26"/>
      <c r="W93" s="26">
        <f>MAX($C$10-VLOOKUP($C93,COS!$B$8:$H$991,3,FALSE),0)</f>
        <v>96451.079833984375</v>
      </c>
      <c r="X93" s="26">
        <f t="shared" si="143"/>
        <v>5739.2378083032027</v>
      </c>
      <c r="Y93" s="26">
        <f>VLOOKUP($C93,COS!$B$8:$H$991,4,FALSE)</f>
        <v>1772.532958984375</v>
      </c>
      <c r="Z93" s="26">
        <f t="shared" si="144"/>
        <v>105.47303557592976</v>
      </c>
      <c r="AA93" s="26">
        <f t="shared" si="140"/>
        <v>1772.532958984375</v>
      </c>
      <c r="AB93" s="33">
        <f t="shared" si="141"/>
        <v>52.736517787964878</v>
      </c>
      <c r="AD93" s="43">
        <v>2001</v>
      </c>
      <c r="AE93" s="1">
        <f>VLOOKUP(AD93,Flags!$A$13:$B$95,2,FALSE)</f>
        <v>4</v>
      </c>
      <c r="AF93" s="43">
        <f t="shared" si="118"/>
        <v>418.97775697314046</v>
      </c>
      <c r="AG93" s="43">
        <f t="shared" si="119"/>
        <v>271.65492783727728</v>
      </c>
      <c r="AH93" s="43">
        <f t="shared" si="120"/>
        <v>164.24551104080581</v>
      </c>
      <c r="AI93" s="43">
        <f t="shared" si="121"/>
        <v>22660.507379907023</v>
      </c>
      <c r="AJ93" s="43">
        <f t="shared" si="122"/>
        <v>436.66178630229854</v>
      </c>
      <c r="AK93" s="43">
        <f t="shared" si="115"/>
        <v>395.98933182141013</v>
      </c>
      <c r="AL93" s="43">
        <f t="shared" si="123"/>
        <v>164.24551104080581</v>
      </c>
    </row>
    <row r="94" spans="1:38" x14ac:dyDescent="0.3">
      <c r="A94" s="34">
        <f>VLOOKUP(YEAR(C94),Flags!$A$13:$B$95,2,FALSE)</f>
        <v>4</v>
      </c>
      <c r="B94" s="35">
        <f t="shared" si="116"/>
        <v>1930</v>
      </c>
      <c r="C94" s="36">
        <v>11323</v>
      </c>
      <c r="D94" s="37"/>
      <c r="E94" s="35"/>
      <c r="F94" s="37"/>
      <c r="G94" s="37"/>
      <c r="H94" s="37"/>
      <c r="I94" s="37"/>
      <c r="J94" s="37"/>
      <c r="K94" s="37"/>
      <c r="L94" s="35"/>
      <c r="M94" s="35"/>
      <c r="N94" s="37"/>
      <c r="O94" s="37"/>
      <c r="P94" s="37"/>
      <c r="Q94" s="37"/>
      <c r="R94" s="37"/>
      <c r="S94" s="37"/>
      <c r="T94" s="37"/>
      <c r="U94" s="37"/>
      <c r="V94" s="37"/>
      <c r="W94" s="37">
        <f>MAX($C$11-VLOOKUP($C94,COS!$B$8:$H$991,3,FALSE),0)</f>
        <v>0</v>
      </c>
      <c r="X94" s="37">
        <f t="shared" si="143"/>
        <v>0</v>
      </c>
      <c r="Y94" s="37">
        <f>VLOOKUP($C94,COS!$B$8:$H$991,4,FALSE)</f>
        <v>1918.959716796875</v>
      </c>
      <c r="Z94" s="37">
        <f t="shared" si="144"/>
        <v>117.99223382618803</v>
      </c>
      <c r="AA94" s="37">
        <f t="shared" si="140"/>
        <v>0</v>
      </c>
      <c r="AB94" s="38">
        <f t="shared" si="141"/>
        <v>0</v>
      </c>
      <c r="AD94" s="43">
        <v>2002</v>
      </c>
      <c r="AE94" s="1">
        <f>VLOOKUP(AD94,Flags!$A$13:$B$95,2,FALSE)</f>
        <v>4</v>
      </c>
      <c r="AF94" s="43">
        <f t="shared" si="118"/>
        <v>367.82716909865701</v>
      </c>
      <c r="AG94" s="43">
        <f t="shared" si="119"/>
        <v>320.07020277795709</v>
      </c>
      <c r="AH94" s="43">
        <f t="shared" si="120"/>
        <v>168.6621136726821</v>
      </c>
      <c r="AI94" s="43">
        <f t="shared" si="121"/>
        <v>22610.369045067149</v>
      </c>
      <c r="AJ94" s="43">
        <f t="shared" si="122"/>
        <v>314.62177201704543</v>
      </c>
      <c r="AK94" s="43">
        <f t="shared" si="115"/>
        <v>290.89275418872677</v>
      </c>
      <c r="AL94" s="43">
        <f t="shared" si="123"/>
        <v>168.6621136726821</v>
      </c>
    </row>
    <row r="95" spans="1:38" x14ac:dyDescent="0.3">
      <c r="A95" s="27">
        <f>VLOOKUP(YEAR(C95),Flags!$A$13:$B$95,2,FALSE)</f>
        <v>5</v>
      </c>
      <c r="B95" s="28">
        <f t="shared" si="116"/>
        <v>1931</v>
      </c>
      <c r="C95" s="29">
        <v>11443</v>
      </c>
      <c r="D95" s="30">
        <f>VLOOKUP($C95,COS!$B$8:$H$991,3,FALSE)</f>
        <v>6839.51904296875</v>
      </c>
      <c r="E95" s="28">
        <f>IF(D95&gt;=IF(MONTH($C95)=4,$C$3,IF(MONTH($C95)=5,$C$4,IF(MONTH($C95)=6,$C$5,IF(MONTH($C95)=7,$C$6,"ERROR")))),1,0)</f>
        <v>1</v>
      </c>
      <c r="F95" s="30">
        <f>VLOOKUP($C95,COS!$B$8:$H$991,7,FALSE)</f>
        <v>50.956645965576172</v>
      </c>
      <c r="G95" s="28">
        <f>IF(F95&lt;=IF(MONTH($C95)=4,$F$3,IF(MONTH($C95)=5,$F$4,IF(MONTH($C95)=6,$F$5,IF(MONTH($C95)=7,$F$6,"ERROR")))),1,0)</f>
        <v>1</v>
      </c>
      <c r="H95" s="30">
        <f>IF(J95=1,D95-$C$3,0)</f>
        <v>839.51904296875</v>
      </c>
      <c r="I95" s="30">
        <f t="shared" si="136"/>
        <v>49.954852143595041</v>
      </c>
      <c r="J95" s="28">
        <f t="shared" ref="J95:J98" si="145">IF(AND(E95=1,G95=1),1,0)</f>
        <v>1</v>
      </c>
      <c r="K95" s="30">
        <f>VLOOKUP($C95,COS!$B$8:$H$991,2,FALSE)</f>
        <v>1860.261474609375</v>
      </c>
      <c r="L95" s="28">
        <f t="shared" ref="L95" si="146">IF(K95&lt;=IF(MONTH($C95)=4,$I$3,IF(MONTH($C95)=5,$I$4,IF(MONTH($C95)=6,$I$5,IF(MONTH($C95)=7,$I$6,"ERROR")))),1,0)</f>
        <v>1</v>
      </c>
      <c r="M95" s="28">
        <f t="shared" ref="M95" si="147">VLOOKUP($A95,$L$3:$M$7,2,FALSE)</f>
        <v>1</v>
      </c>
      <c r="N95" s="30">
        <f>VLOOKUP($C95,COS!$B$8:$H$991,5,FALSE)</f>
        <v>166.208740234375</v>
      </c>
      <c r="O95" s="30">
        <f t="shared" ref="O95:O98" si="148">N95*DAY($C95)*86400/43560/1000</f>
        <v>9.8901068569214878</v>
      </c>
      <c r="P95" s="30">
        <f>VLOOKUP($C95,COS!$B$8:$H$991,6,FALSE)</f>
        <v>541.11907958984375</v>
      </c>
      <c r="Q95" s="30">
        <f t="shared" ref="Q95:Q98" si="149">P95*DAY($C95)*86400/43560/1000</f>
        <v>32.198821264850203</v>
      </c>
      <c r="R95" s="30">
        <f>MIN(IF(MONTH($C95)=4,$S$3,IF(MONTH($C95)=5,$S$4,IF(MONTH($C95)=6,$S$5,IF(MONTH($C95)=7,$S$6,"ERROR")))),MAX(VLOOKUP($C95,COS!$B$8:$K$991,10,FALSE)-IF(MONTH($C95)=4,$Y$3,IF(MONTH($C95)=5,$Y$4,IF(MONTH($C95)=6,$Y$5,IF(MONTH($C95)=7,$Y$6,"ERROR")))),0),MAX(VLOOKUP($C95,COS!$B$8:$K$991,9,FALSE)-IF(MONTH($C95)=4,$V$3,IF(MONTH($C95)=5,$V$4,IF(MONTH($C95)=6,$V$5,IF(MONTH($C95)=7,$V$6,"ERROR"))))-VLOOKUP($C95,COS!$B$8:$K$991,6,FALSE)/2,0))</f>
        <v>0</v>
      </c>
      <c r="S95" s="30">
        <f t="shared" ref="S95:S98" si="150">R95*DAY($C95)*86400/43560/1000</f>
        <v>0</v>
      </c>
      <c r="T95" s="30">
        <f t="shared" ref="T95:T98" si="151">(O95+Q95)/2+S95</f>
        <v>21.044464060885844</v>
      </c>
      <c r="U95" s="30" t="str">
        <f>IF(VLOOKUP($C95,COS!$B$8:$I$991,8,FALSE)=1,"UWFE","IBU")</f>
        <v>IBU</v>
      </c>
      <c r="V95" s="30">
        <f t="shared" ref="V95" si="152">MIN(IF(IF($AA$3=2,AND(E95=1,G95=1,L95=1,L100=1,M95=1,U95="IBU"),AND(E95=1,G95=1,L95=1,L100=1,M95=1)),T95,0),I95)</f>
        <v>21.044464060885844</v>
      </c>
      <c r="W95" s="30"/>
      <c r="X95" s="30"/>
      <c r="Y95" s="30"/>
      <c r="Z95" s="30"/>
      <c r="AA95" s="30"/>
      <c r="AB95" s="31"/>
      <c r="AD95" s="6"/>
      <c r="AE95" s="6"/>
      <c r="AF95" s="6"/>
      <c r="AG95" s="6"/>
    </row>
    <row r="96" spans="1:38" x14ac:dyDescent="0.3">
      <c r="A96" s="32">
        <f>VLOOKUP(YEAR(C96),Flags!$A$13:$B$95,2,FALSE)</f>
        <v>5</v>
      </c>
      <c r="B96" s="24">
        <f t="shared" si="116"/>
        <v>1931</v>
      </c>
      <c r="C96" s="25">
        <v>11474</v>
      </c>
      <c r="D96" s="26">
        <f>VLOOKUP($C96,COS!$B$8:$H$991,3,FALSE)</f>
        <v>8021.2177734375</v>
      </c>
      <c r="E96" s="24">
        <f>IF(D96&gt;=IF(MONTH($C96)=4,$C$3,IF(MONTH($C96)=5,$C$4,IF(MONTH($C96)=6,$C$5,IF(MONTH($C96)=7,$C$6,"ERROR")))),1,0)</f>
        <v>1</v>
      </c>
      <c r="F96" s="26">
        <f>VLOOKUP($C96,COS!$B$8:$H$991,7,FALSE)</f>
        <v>54.440109252929688</v>
      </c>
      <c r="G96" s="24">
        <f>IF(F96&lt;=IF(MONTH($C96)=4,$F$3,IF(MONTH($C96)=5,$F$4,IF(MONTH($C96)=6,$F$5,IF(MONTH($C96)=7,$F$6,"ERROR")))),1,0)</f>
        <v>1</v>
      </c>
      <c r="H96" s="26">
        <f>IF(J96=1,D96-$C$4,0)</f>
        <v>2021.2177734375</v>
      </c>
      <c r="I96" s="26">
        <f t="shared" si="136"/>
        <v>124.27983664772728</v>
      </c>
      <c r="J96" s="24">
        <f t="shared" si="145"/>
        <v>1</v>
      </c>
      <c r="K96" s="26">
        <f>VLOOKUP($C96,COS!$B$8:$H$991,2,FALSE)</f>
        <v>1533.49609375</v>
      </c>
      <c r="L96" s="24">
        <f t="shared" si="129"/>
        <v>1</v>
      </c>
      <c r="M96" s="24">
        <f t="shared" si="130"/>
        <v>1</v>
      </c>
      <c r="N96" s="26">
        <f>VLOOKUP($C96,COS!$B$8:$H$991,5,FALSE)</f>
        <v>149.48806762695313</v>
      </c>
      <c r="O96" s="26">
        <f t="shared" si="148"/>
        <v>9.1916630011944722</v>
      </c>
      <c r="P96" s="26">
        <f>VLOOKUP($C96,COS!$B$8:$H$991,6,FALSE)</f>
        <v>2010.7308349609375</v>
      </c>
      <c r="Q96" s="26">
        <f t="shared" si="149"/>
        <v>123.63501993478823</v>
      </c>
      <c r="R96" s="26">
        <f>MIN(IF(MONTH($C96)=4,$S$3,IF(MONTH($C96)=5,$S$4,IF(MONTH($C96)=6,$S$5,IF(MONTH($C96)=7,$S$6,"ERROR")))),MAX(VLOOKUP($C96,COS!$B$8:$K$991,10,FALSE)-IF(MONTH($C96)=4,$Y$3,IF(MONTH($C96)=5,$Y$4,IF(MONTH($C96)=6,$Y$5,IF(MONTH($C96)=7,$Y$6,"ERROR")))),0),MAX(VLOOKUP($C96,COS!$B$8:$K$991,9,FALSE)-IF(MONTH($C96)=4,$V$3,IF(MONTH($C96)=5,$V$4,IF(MONTH($C96)=6,$V$5,IF(MONTH($C96)=7,$V$6,"ERROR"))))-VLOOKUP($C96,COS!$B$8:$K$991,6,FALSE)/2,0))</f>
        <v>0</v>
      </c>
      <c r="S96" s="26">
        <f t="shared" si="150"/>
        <v>0</v>
      </c>
      <c r="T96" s="26">
        <f t="shared" si="151"/>
        <v>66.413341467991359</v>
      </c>
      <c r="U96" s="26" t="str">
        <f>IF(VLOOKUP($C96,COS!$B$8:$I$991,8,FALSE)=1,"UWFE","IBU")</f>
        <v>IBU</v>
      </c>
      <c r="V96" s="26">
        <f t="shared" ref="V96" si="153">MIN(IF(IF($AA$3=2,AND(E96=1,G96=1,L96=1,L100=1,M96=1,U96="IBU"),AND(E96=1,G96=1,L96=1,L100=1,M96=1)),T96,0),I96)</f>
        <v>66.413341467991359</v>
      </c>
      <c r="W96" s="26"/>
      <c r="X96" s="26"/>
      <c r="Y96" s="26"/>
      <c r="Z96" s="26"/>
      <c r="AA96" s="26"/>
      <c r="AB96" s="33"/>
    </row>
    <row r="97" spans="1:28" x14ac:dyDescent="0.3">
      <c r="A97" s="32">
        <f>VLOOKUP(YEAR(C97),Flags!$A$13:$B$95,2,FALSE)</f>
        <v>5</v>
      </c>
      <c r="B97" s="24">
        <f t="shared" si="116"/>
        <v>1931</v>
      </c>
      <c r="C97" s="25">
        <v>11504</v>
      </c>
      <c r="D97" s="26">
        <f>VLOOKUP($C97,COS!$B$8:$H$991,3,FALSE)</f>
        <v>8236.236328125</v>
      </c>
      <c r="E97" s="24">
        <f>IF(D97&gt;=IF(MONTH($C97)=4,$C$3,IF(MONTH($C97)=5,$C$4,IF(MONTH($C97)=6,$C$5,IF(MONTH($C97)=7,$C$6,"ERROR")))),1,0)</f>
        <v>0</v>
      </c>
      <c r="F97" s="26">
        <f>VLOOKUP($C97,COS!$B$8:$H$991,7,FALSE)</f>
        <v>53.915287017822266</v>
      </c>
      <c r="G97" s="24">
        <f>IF(F97&lt;=IF(MONTH($C97)=4,$F$3,IF(MONTH($C97)=5,$F$4,IF(MONTH($C97)=6,$F$5,IF(MONTH($C97)=7,$F$6,"ERROR")))),1,0)</f>
        <v>1</v>
      </c>
      <c r="H97" s="26">
        <f>IF(J97=1,D97-$C$5,0)</f>
        <v>0</v>
      </c>
      <c r="I97" s="26">
        <f t="shared" si="136"/>
        <v>0</v>
      </c>
      <c r="J97" s="24">
        <f t="shared" si="145"/>
        <v>0</v>
      </c>
      <c r="K97" s="26">
        <f>VLOOKUP($C97,COS!$B$8:$H$991,2,FALSE)</f>
        <v>1203.680419921875</v>
      </c>
      <c r="L97" s="24">
        <f t="shared" si="129"/>
        <v>1</v>
      </c>
      <c r="M97" s="24">
        <f t="shared" si="130"/>
        <v>1</v>
      </c>
      <c r="N97" s="26">
        <f>VLOOKUP($C97,COS!$B$8:$H$991,5,FALSE)</f>
        <v>183.68203735351563</v>
      </c>
      <c r="O97" s="26">
        <f t="shared" si="148"/>
        <v>10.929840239217459</v>
      </c>
      <c r="P97" s="26">
        <f>VLOOKUP($C97,COS!$B$8:$H$991,6,FALSE)</f>
        <v>2250.943115234375</v>
      </c>
      <c r="Q97" s="26">
        <f t="shared" si="149"/>
        <v>133.94041677427685</v>
      </c>
      <c r="R97" s="26">
        <f>MIN(IF(MONTH($C97)=4,$S$3,IF(MONTH($C97)=5,$S$4,IF(MONTH($C97)=6,$S$5,IF(MONTH($C97)=7,$S$6,"ERROR")))),MAX(VLOOKUP($C97,COS!$B$8:$K$991,10,FALSE)-IF(MONTH($C97)=4,$Y$3,IF(MONTH($C97)=5,$Y$4,IF(MONTH($C97)=6,$Y$5,IF(MONTH($C97)=7,$Y$6,"ERROR")))),0),MAX(VLOOKUP($C97,COS!$B$8:$K$991,9,FALSE)-IF(MONTH($C97)=4,$V$3,IF(MONTH($C97)=5,$V$4,IF(MONTH($C97)=6,$V$5,IF(MONTH($C97)=7,$V$6,"ERROR"))))-VLOOKUP($C97,COS!$B$8:$K$991,6,FALSE)/2,0))</f>
        <v>0</v>
      </c>
      <c r="S97" s="26">
        <f t="shared" si="150"/>
        <v>0</v>
      </c>
      <c r="T97" s="26">
        <f t="shared" si="151"/>
        <v>72.435128506747162</v>
      </c>
      <c r="U97" s="26" t="str">
        <f>IF(VLOOKUP($C97,COS!$B$8:$I$991,8,FALSE)=1,"UWFE","IBU")</f>
        <v>IBU</v>
      </c>
      <c r="V97" s="26">
        <f t="shared" ref="V97" si="154">MIN(IF(IF($AA$3=2,AND(E97=1,G97=1,L97=1,L100=1,M97=1,U97="IBU"),AND(E97=1,G97=1,L97=1,L100=1,M97=1)),T97,0),I97)</f>
        <v>0</v>
      </c>
      <c r="W97" s="26"/>
      <c r="X97" s="26"/>
      <c r="Y97" s="26"/>
      <c r="Z97" s="26"/>
      <c r="AA97" s="26"/>
      <c r="AB97" s="33"/>
    </row>
    <row r="98" spans="1:28" x14ac:dyDescent="0.3">
      <c r="A98" s="32">
        <f>VLOOKUP(YEAR(C98),Flags!$A$13:$B$95,2,FALSE)</f>
        <v>5</v>
      </c>
      <c r="B98" s="24">
        <f t="shared" si="116"/>
        <v>1931</v>
      </c>
      <c r="C98" s="25">
        <v>11535</v>
      </c>
      <c r="D98" s="26">
        <f>VLOOKUP($C98,COS!$B$8:$H$991,3,FALSE)</f>
        <v>9719.40234375</v>
      </c>
      <c r="E98" s="24">
        <f>IF(D98&gt;=IF(MONTH($C98)=4,$C$3,IF(MONTH($C98)=5,$C$4,IF(MONTH($C98)=6,$C$5,IF(MONTH($C98)=7,$C$6,"ERROR")))),1,0)</f>
        <v>0</v>
      </c>
      <c r="F98" s="26">
        <f>VLOOKUP($C98,COS!$B$8:$H$991,7,FALSE)</f>
        <v>56.554588317871094</v>
      </c>
      <c r="G98" s="24">
        <f>IF(F98&lt;=IF(MONTH($C98)=4,$F$3,IF(MONTH($C98)=5,$F$4,IF(MONTH($C98)=6,$F$5,IF(MONTH($C98)=7,$F$6,"ERROR")))),1,0)</f>
        <v>0</v>
      </c>
      <c r="H98" s="26">
        <f>IF(J98=1,D98-$C$6,0)</f>
        <v>0</v>
      </c>
      <c r="I98" s="26">
        <f t="shared" si="136"/>
        <v>0</v>
      </c>
      <c r="J98" s="24">
        <f t="shared" si="145"/>
        <v>0</v>
      </c>
      <c r="K98" s="26">
        <f>VLOOKUP($C98,COS!$B$8:$H$991,2,FALSE)</f>
        <v>751.55364990234375</v>
      </c>
      <c r="L98" s="24">
        <f t="shared" si="129"/>
        <v>1</v>
      </c>
      <c r="M98" s="24">
        <f t="shared" si="130"/>
        <v>1</v>
      </c>
      <c r="N98" s="26">
        <f>VLOOKUP($C98,COS!$B$8:$H$991,5,FALSE)</f>
        <v>229.37615966796875</v>
      </c>
      <c r="O98" s="26">
        <f t="shared" si="148"/>
        <v>14.10379031346849</v>
      </c>
      <c r="P98" s="26">
        <f>VLOOKUP($C98,COS!$B$8:$H$991,6,FALSE)</f>
        <v>2281.4833984375</v>
      </c>
      <c r="Q98" s="26">
        <f t="shared" si="149"/>
        <v>140.28294615185951</v>
      </c>
      <c r="R98" s="26">
        <f>MIN(IF(MONTH($C98)=4,$S$3,IF(MONTH($C98)=5,$S$4,IF(MONTH($C98)=6,$S$5,IF(MONTH($C98)=7,$S$6,"ERROR")))),MAX(VLOOKUP($C98,COS!$B$8:$K$991,10,FALSE)-IF(MONTH($C98)=4,$Y$3,IF(MONTH($C98)=5,$Y$4,IF(MONTH($C98)=6,$Y$5,IF(MONTH($C98)=7,$Y$6,"ERROR")))),0),MAX(VLOOKUP($C98,COS!$B$8:$K$991,9,FALSE)-IF(MONTH($C98)=4,$V$3,IF(MONTH($C98)=5,$V$4,IF(MONTH($C98)=6,$V$5,IF(MONTH($C98)=7,$V$6,"ERROR"))))-VLOOKUP($C98,COS!$B$8:$K$991,6,FALSE)/2,0))</f>
        <v>0</v>
      </c>
      <c r="S98" s="26">
        <f t="shared" si="150"/>
        <v>0</v>
      </c>
      <c r="T98" s="26">
        <f t="shared" si="151"/>
        <v>77.193368232664</v>
      </c>
      <c r="U98" s="26" t="str">
        <f>IF(VLOOKUP($C98,COS!$B$8:$I$991,8,FALSE)=1,"UWFE","IBU")</f>
        <v>IBU</v>
      </c>
      <c r="V98" s="26">
        <f t="shared" ref="V98" si="155">MIN(IF(IF($AA$3=2,AND(E98=1,G98=1,L98=1,L100=1,M98=1,U98="IBU"),AND(E98=1,G98=1,L98=1,L100=1,M98=1)),T98,0),I98)</f>
        <v>0</v>
      </c>
      <c r="W98" s="26"/>
      <c r="X98" s="26"/>
      <c r="Y98" s="26"/>
      <c r="Z98" s="26"/>
      <c r="AA98" s="26"/>
      <c r="AB98" s="33"/>
    </row>
    <row r="99" spans="1:28" x14ac:dyDescent="0.3">
      <c r="A99" s="32">
        <f>VLOOKUP(YEAR(C99),Flags!$A$13:$B$95,2,FALSE)</f>
        <v>5</v>
      </c>
      <c r="B99" s="24">
        <f t="shared" si="116"/>
        <v>1931</v>
      </c>
      <c r="C99" s="25">
        <v>11566</v>
      </c>
      <c r="D99" s="26"/>
      <c r="E99" s="24"/>
      <c r="F99" s="26"/>
      <c r="G99" s="24"/>
      <c r="H99" s="24"/>
      <c r="I99" s="26"/>
      <c r="J99" s="24"/>
      <c r="K99" s="26"/>
      <c r="L99" s="24"/>
      <c r="M99" s="24"/>
      <c r="N99" s="26"/>
      <c r="O99" s="26"/>
      <c r="P99" s="26"/>
      <c r="Q99" s="26"/>
      <c r="R99" s="26"/>
      <c r="S99" s="26"/>
      <c r="T99" s="26"/>
      <c r="U99" s="26"/>
      <c r="V99" s="26"/>
      <c r="W99" s="26">
        <f>MAX($C$7-VLOOKUP($C99,COS!$B$8:$H$991,3,FALSE),0)</f>
        <v>92453.15478515625</v>
      </c>
      <c r="X99" s="26">
        <f t="shared" si="143"/>
        <v>5684.7229057980376</v>
      </c>
      <c r="Y99" s="26">
        <f>VLOOKUP($C99,COS!$B$8:$H$991,4,FALSE)</f>
        <v>1954.847412109375</v>
      </c>
      <c r="Z99" s="26">
        <f t="shared" si="144"/>
        <v>120.1988821991219</v>
      </c>
      <c r="AA99" s="26">
        <f t="shared" ref="AA99:AA103" si="156">MIN(W99,Y99)</f>
        <v>1954.847412109375</v>
      </c>
      <c r="AB99" s="33">
        <f t="shared" ref="AB99" si="157">AA99*DAY($C99)*86400/43560/1000*IF(MONTH($C99)=8,$P$3,IF(MONTH($C99)=9,$P$4,IF(MONTH($C99)=10,$P$5,IF(MONTH($C99)=11,$P$6,IF(MONTH($C99)=12,$P$7,NA())))))</f>
        <v>120.1988821991219</v>
      </c>
    </row>
    <row r="100" spans="1:28" x14ac:dyDescent="0.3">
      <c r="A100" s="32">
        <f>VLOOKUP(YEAR(C100),Flags!$A$13:$B$95,2,FALSE)</f>
        <v>5</v>
      </c>
      <c r="B100" s="24">
        <f t="shared" si="116"/>
        <v>1931</v>
      </c>
      <c r="C100" s="25">
        <v>11596</v>
      </c>
      <c r="D100" s="26"/>
      <c r="E100" s="24"/>
      <c r="F100" s="26"/>
      <c r="G100" s="24"/>
      <c r="H100" s="24"/>
      <c r="I100" s="26"/>
      <c r="J100" s="24"/>
      <c r="K100" s="26">
        <f>VLOOKUP($C100,COS!$B$8:$H$991,2,FALSE)</f>
        <v>558.61627197265625</v>
      </c>
      <c r="L100" s="24">
        <f t="shared" ref="L100" si="158">IF(AND(K100&gt;$I$7,K100&lt;$I$8),1,0)</f>
        <v>1</v>
      </c>
      <c r="M100" s="24"/>
      <c r="N100" s="26"/>
      <c r="O100" s="26"/>
      <c r="P100" s="26"/>
      <c r="Q100" s="26"/>
      <c r="R100" s="26"/>
      <c r="S100" s="26"/>
      <c r="T100" s="26"/>
      <c r="U100" s="26"/>
      <c r="V100" s="26"/>
      <c r="W100" s="26">
        <f>MAX($C$8-VLOOKUP($C100,COS!$B$8:$H$991,3,FALSE),0)</f>
        <v>95634.48095703125</v>
      </c>
      <c r="X100" s="26">
        <f t="shared" si="143"/>
        <v>5690.6468007489666</v>
      </c>
      <c r="Y100" s="26">
        <f>VLOOKUP($C100,COS!$B$8:$H$991,4,FALSE)</f>
        <v>2060.603515625</v>
      </c>
      <c r="Z100" s="26">
        <f t="shared" si="144"/>
        <v>122.61442407024794</v>
      </c>
      <c r="AA100" s="26">
        <f t="shared" si="156"/>
        <v>2060.603515625</v>
      </c>
      <c r="AB100" s="33">
        <f t="shared" si="141"/>
        <v>122.61442407024794</v>
      </c>
    </row>
    <row r="101" spans="1:28" x14ac:dyDescent="0.3">
      <c r="A101" s="32">
        <f>VLOOKUP(YEAR(C101),Flags!$A$13:$B$95,2,FALSE)</f>
        <v>5</v>
      </c>
      <c r="B101" s="24">
        <f t="shared" si="116"/>
        <v>1931</v>
      </c>
      <c r="C101" s="25">
        <v>11627</v>
      </c>
      <c r="D101" s="26"/>
      <c r="E101" s="24"/>
      <c r="F101" s="26"/>
      <c r="G101" s="26"/>
      <c r="H101" s="26"/>
      <c r="I101" s="26"/>
      <c r="J101" s="26"/>
      <c r="K101" s="26"/>
      <c r="L101" s="24"/>
      <c r="M101" s="24"/>
      <c r="N101" s="26"/>
      <c r="O101" s="26"/>
      <c r="P101" s="26"/>
      <c r="Q101" s="26"/>
      <c r="R101" s="26"/>
      <c r="S101" s="26"/>
      <c r="T101" s="26"/>
      <c r="U101" s="26"/>
      <c r="V101" s="26"/>
      <c r="W101" s="26">
        <f>MAX($C$9-VLOOKUP($C101,COS!$B$8:$H$991,3,FALSE),0)</f>
        <v>95356.61572265625</v>
      </c>
      <c r="X101" s="26">
        <f t="shared" si="143"/>
        <v>5863.2497601368796</v>
      </c>
      <c r="Y101" s="26">
        <f>VLOOKUP($C101,COS!$B$8:$H$991,4,FALSE)</f>
        <v>1549.2154541015625</v>
      </c>
      <c r="Z101" s="26">
        <f t="shared" si="144"/>
        <v>95.257545276988637</v>
      </c>
      <c r="AA101" s="26">
        <f t="shared" si="156"/>
        <v>1549.2154541015625</v>
      </c>
      <c r="AB101" s="33">
        <f t="shared" si="141"/>
        <v>95.257545276988637</v>
      </c>
    </row>
    <row r="102" spans="1:28" x14ac:dyDescent="0.3">
      <c r="A102" s="32">
        <f>VLOOKUP(YEAR(C102),Flags!$A$13:$B$95,2,FALSE)</f>
        <v>5</v>
      </c>
      <c r="B102" s="24">
        <f t="shared" si="116"/>
        <v>1931</v>
      </c>
      <c r="C102" s="25">
        <v>11657</v>
      </c>
      <c r="D102" s="26"/>
      <c r="E102" s="24"/>
      <c r="F102" s="26"/>
      <c r="G102" s="26"/>
      <c r="H102" s="26"/>
      <c r="I102" s="26"/>
      <c r="J102" s="26"/>
      <c r="K102" s="26"/>
      <c r="L102" s="24"/>
      <c r="M102" s="24"/>
      <c r="N102" s="26"/>
      <c r="O102" s="26"/>
      <c r="P102" s="26"/>
      <c r="Q102" s="26"/>
      <c r="R102" s="26"/>
      <c r="S102" s="26"/>
      <c r="T102" s="26"/>
      <c r="U102" s="26"/>
      <c r="V102" s="26"/>
      <c r="W102" s="26">
        <f>MAX($C$10-VLOOKUP($C102,COS!$B$8:$H$991,3,FALSE),0)</f>
        <v>96802.866943359375</v>
      </c>
      <c r="X102" s="26">
        <f t="shared" si="143"/>
        <v>5760.1705949767556</v>
      </c>
      <c r="Y102" s="26">
        <f>VLOOKUP($C102,COS!$B$8:$H$991,4,FALSE)</f>
        <v>1329.917724609375</v>
      </c>
      <c r="Z102" s="26">
        <f t="shared" si="144"/>
        <v>79.135600142045462</v>
      </c>
      <c r="AA102" s="26">
        <f t="shared" si="156"/>
        <v>1329.917724609375</v>
      </c>
      <c r="AB102" s="33">
        <f t="shared" si="141"/>
        <v>39.567800071022731</v>
      </c>
    </row>
    <row r="103" spans="1:28" x14ac:dyDescent="0.3">
      <c r="A103" s="34">
        <f>VLOOKUP(YEAR(C103),Flags!$A$13:$B$95,2,FALSE)</f>
        <v>5</v>
      </c>
      <c r="B103" s="35">
        <f t="shared" si="116"/>
        <v>1931</v>
      </c>
      <c r="C103" s="36">
        <v>11688</v>
      </c>
      <c r="D103" s="37"/>
      <c r="E103" s="35"/>
      <c r="F103" s="37"/>
      <c r="G103" s="37"/>
      <c r="H103" s="37"/>
      <c r="I103" s="37"/>
      <c r="J103" s="37"/>
      <c r="K103" s="37"/>
      <c r="L103" s="35"/>
      <c r="M103" s="35"/>
      <c r="N103" s="37"/>
      <c r="O103" s="37"/>
      <c r="P103" s="37"/>
      <c r="Q103" s="37"/>
      <c r="R103" s="37"/>
      <c r="S103" s="37"/>
      <c r="T103" s="37"/>
      <c r="U103" s="37"/>
      <c r="V103" s="37"/>
      <c r="W103" s="37">
        <f>MAX($C$11-VLOOKUP($C103,COS!$B$8:$H$991,3,FALSE),0)</f>
        <v>0</v>
      </c>
      <c r="X103" s="37">
        <f t="shared" si="143"/>
        <v>0</v>
      </c>
      <c r="Y103" s="37">
        <f>VLOOKUP($C103,COS!$B$8:$H$991,4,FALSE)</f>
        <v>0</v>
      </c>
      <c r="Z103" s="37">
        <f t="shared" si="144"/>
        <v>0</v>
      </c>
      <c r="AA103" s="37">
        <f t="shared" si="156"/>
        <v>0</v>
      </c>
      <c r="AB103" s="38">
        <f t="shared" si="141"/>
        <v>0</v>
      </c>
    </row>
    <row r="104" spans="1:28" x14ac:dyDescent="0.3">
      <c r="A104" s="27">
        <f>VLOOKUP(YEAR(C104),Flags!$A$13:$B$95,2,FALSE)</f>
        <v>5</v>
      </c>
      <c r="B104" s="28">
        <f t="shared" si="116"/>
        <v>1932</v>
      </c>
      <c r="C104" s="29">
        <v>11809</v>
      </c>
      <c r="D104" s="30">
        <f>VLOOKUP($C104,COS!$B$8:$H$991,3,FALSE)</f>
        <v>3250</v>
      </c>
      <c r="E104" s="28">
        <f>IF(D104&gt;=IF(MONTH($C104)=4,$C$3,IF(MONTH($C104)=5,$C$4,IF(MONTH($C104)=6,$C$5,IF(MONTH($C104)=7,$C$6,"ERROR")))),1,0)</f>
        <v>0</v>
      </c>
      <c r="F104" s="30">
        <f>VLOOKUP($C104,COS!$B$8:$H$991,7,FALSE)</f>
        <v>49.347862243652344</v>
      </c>
      <c r="G104" s="28">
        <f>IF(F104&lt;=IF(MONTH($C104)=4,$F$3,IF(MONTH($C104)=5,$F$4,IF(MONTH($C104)=6,$F$5,IF(MONTH($C104)=7,$F$6,"ERROR")))),1,0)</f>
        <v>1</v>
      </c>
      <c r="H104" s="30">
        <f>IF(J104=1,D104-$C$3,0)</f>
        <v>0</v>
      </c>
      <c r="I104" s="30">
        <f t="shared" si="136"/>
        <v>0</v>
      </c>
      <c r="J104" s="28">
        <f t="shared" ref="J104:J107" si="159">IF(AND(E104=1,G104=1),1,0)</f>
        <v>0</v>
      </c>
      <c r="K104" s="30">
        <f>VLOOKUP($C104,COS!$B$8:$H$991,2,FALSE)</f>
        <v>1787.3011474609375</v>
      </c>
      <c r="L104" s="28">
        <f t="shared" ref="L104" si="160">IF(K104&lt;=IF(MONTH($C104)=4,$I$3,IF(MONTH($C104)=5,$I$4,IF(MONTH($C104)=6,$I$5,IF(MONTH($C104)=7,$I$6,"ERROR")))),1,0)</f>
        <v>1</v>
      </c>
      <c r="M104" s="28">
        <f t="shared" ref="M104" si="161">VLOOKUP($A104,$L$3:$M$7,2,FALSE)</f>
        <v>1</v>
      </c>
      <c r="N104" s="30">
        <f>VLOOKUP($C104,COS!$B$8:$H$991,5,FALSE)</f>
        <v>0</v>
      </c>
      <c r="O104" s="30">
        <f t="shared" ref="O104:O107" si="162">N104*DAY($C104)*86400/43560/1000</f>
        <v>0</v>
      </c>
      <c r="P104" s="30">
        <f>VLOOKUP($C104,COS!$B$8:$H$991,6,FALSE)</f>
        <v>527.22991943359375</v>
      </c>
      <c r="Q104" s="30">
        <f t="shared" ref="Q104:Q107" si="163">P104*DAY($C104)*86400/43560/1000</f>
        <v>31.372358842329543</v>
      </c>
      <c r="R104" s="30">
        <f>MIN(IF(MONTH($C104)=4,$S$3,IF(MONTH($C104)=5,$S$4,IF(MONTH($C104)=6,$S$5,IF(MONTH($C104)=7,$S$6,"ERROR")))),MAX(VLOOKUP($C104,COS!$B$8:$K$991,10,FALSE)-IF(MONTH($C104)=4,$Y$3,IF(MONTH($C104)=5,$Y$4,IF(MONTH($C104)=6,$Y$5,IF(MONTH($C104)=7,$Y$6,"ERROR")))),0),MAX(VLOOKUP($C104,COS!$B$8:$K$991,9,FALSE)-IF(MONTH($C104)=4,$V$3,IF(MONTH($C104)=5,$V$4,IF(MONTH($C104)=6,$V$5,IF(MONTH($C104)=7,$V$6,"ERROR"))))-VLOOKUP($C104,COS!$B$8:$K$991,6,FALSE)/2,0))</f>
        <v>0</v>
      </c>
      <c r="S104" s="30">
        <f t="shared" ref="S104:S107" si="164">R104*DAY($C104)*86400/43560/1000</f>
        <v>0</v>
      </c>
      <c r="T104" s="30">
        <f t="shared" ref="T104:T107" si="165">(O104+Q104)/2+S104</f>
        <v>15.686179421164772</v>
      </c>
      <c r="U104" s="30" t="str">
        <f>IF(VLOOKUP($C104,COS!$B$8:$I$991,8,FALSE)=1,"UWFE","IBU")</f>
        <v>UWFE</v>
      </c>
      <c r="V104" s="30">
        <f t="shared" ref="V104" si="166">MIN(IF(IF($AA$3=2,AND(E104=1,G104=1,L104=1,L109=1,M104=1,U104="IBU"),AND(E104=1,G104=1,L104=1,L109=1,M104=1)),T104,0),I104)</f>
        <v>0</v>
      </c>
      <c r="W104" s="30"/>
      <c r="X104" s="30"/>
      <c r="Y104" s="30"/>
      <c r="Z104" s="30"/>
      <c r="AA104" s="30"/>
      <c r="AB104" s="31"/>
    </row>
    <row r="105" spans="1:28" x14ac:dyDescent="0.3">
      <c r="A105" s="32">
        <f>VLOOKUP(YEAR(C105),Flags!$A$13:$B$95,2,FALSE)</f>
        <v>5</v>
      </c>
      <c r="B105" s="24">
        <f t="shared" si="116"/>
        <v>1932</v>
      </c>
      <c r="C105" s="25">
        <v>11840</v>
      </c>
      <c r="D105" s="26">
        <f>VLOOKUP($C105,COS!$B$8:$H$991,3,FALSE)</f>
        <v>4951.02978515625</v>
      </c>
      <c r="E105" s="24">
        <f>IF(D105&gt;=IF(MONTH($C105)=4,$C$3,IF(MONTH($C105)=5,$C$4,IF(MONTH($C105)=6,$C$5,IF(MONTH($C105)=7,$C$6,"ERROR")))),1,0)</f>
        <v>0</v>
      </c>
      <c r="F105" s="26">
        <f>VLOOKUP($C105,COS!$B$8:$H$991,7,FALSE)</f>
        <v>51.659408569335938</v>
      </c>
      <c r="G105" s="24">
        <f>IF(F105&lt;=IF(MONTH($C105)=4,$F$3,IF(MONTH($C105)=5,$F$4,IF(MONTH($C105)=6,$F$5,IF(MONTH($C105)=7,$F$6,"ERROR")))),1,0)</f>
        <v>1</v>
      </c>
      <c r="H105" s="26">
        <f>IF(J105=1,D105-$C$4,0)</f>
        <v>0</v>
      </c>
      <c r="I105" s="26">
        <f t="shared" si="136"/>
        <v>0</v>
      </c>
      <c r="J105" s="24">
        <f t="shared" si="159"/>
        <v>0</v>
      </c>
      <c r="K105" s="26">
        <f>VLOOKUP($C105,COS!$B$8:$H$991,2,FALSE)</f>
        <v>1880.785400390625</v>
      </c>
      <c r="L105" s="24">
        <f t="shared" si="129"/>
        <v>1</v>
      </c>
      <c r="M105" s="24">
        <f t="shared" si="130"/>
        <v>1</v>
      </c>
      <c r="N105" s="26">
        <f>VLOOKUP($C105,COS!$B$8:$H$991,5,FALSE)</f>
        <v>0</v>
      </c>
      <c r="O105" s="26">
        <f t="shared" si="162"/>
        <v>0</v>
      </c>
      <c r="P105" s="26">
        <f>VLOOKUP($C105,COS!$B$8:$H$991,6,FALSE)</f>
        <v>2037.6466064453125</v>
      </c>
      <c r="Q105" s="26">
        <f t="shared" si="163"/>
        <v>125.29000621448863</v>
      </c>
      <c r="R105" s="26">
        <f>MIN(IF(MONTH($C105)=4,$S$3,IF(MONTH($C105)=5,$S$4,IF(MONTH($C105)=6,$S$5,IF(MONTH($C105)=7,$S$6,"ERROR")))),MAX(VLOOKUP($C105,COS!$B$8:$K$991,10,FALSE)-IF(MONTH($C105)=4,$Y$3,IF(MONTH($C105)=5,$Y$4,IF(MONTH($C105)=6,$Y$5,IF(MONTH($C105)=7,$Y$6,"ERROR")))),0),MAX(VLOOKUP($C105,COS!$B$8:$K$991,9,FALSE)-IF(MONTH($C105)=4,$V$3,IF(MONTH($C105)=5,$V$4,IF(MONTH($C105)=6,$V$5,IF(MONTH($C105)=7,$V$6,"ERROR"))))-VLOOKUP($C105,COS!$B$8:$K$991,6,FALSE)/2,0))</f>
        <v>0</v>
      </c>
      <c r="S105" s="26">
        <f t="shared" si="164"/>
        <v>0</v>
      </c>
      <c r="T105" s="26">
        <f t="shared" si="165"/>
        <v>62.645003107244314</v>
      </c>
      <c r="U105" s="26" t="str">
        <f>IF(VLOOKUP($C105,COS!$B$8:$I$991,8,FALSE)=1,"UWFE","IBU")</f>
        <v>UWFE</v>
      </c>
      <c r="V105" s="26">
        <f t="shared" ref="V105" si="167">MIN(IF(IF($AA$3=2,AND(E105=1,G105=1,L105=1,L109=1,M105=1,U105="IBU"),AND(E105=1,G105=1,L105=1,L109=1,M105=1)),T105,0),I105)</f>
        <v>0</v>
      </c>
      <c r="W105" s="26"/>
      <c r="X105" s="26"/>
      <c r="Y105" s="26"/>
      <c r="Z105" s="26"/>
      <c r="AA105" s="26"/>
      <c r="AB105" s="33"/>
    </row>
    <row r="106" spans="1:28" x14ac:dyDescent="0.3">
      <c r="A106" s="32">
        <f>VLOOKUP(YEAR(C106),Flags!$A$13:$B$95,2,FALSE)</f>
        <v>5</v>
      </c>
      <c r="B106" s="24">
        <f t="shared" si="116"/>
        <v>1932</v>
      </c>
      <c r="C106" s="25">
        <v>11870</v>
      </c>
      <c r="D106" s="26">
        <f>VLOOKUP($C106,COS!$B$8:$H$991,3,FALSE)</f>
        <v>7197.30029296875</v>
      </c>
      <c r="E106" s="24">
        <f>IF(D106&gt;=IF(MONTH($C106)=4,$C$3,IF(MONTH($C106)=5,$C$4,IF(MONTH($C106)=6,$C$5,IF(MONTH($C106)=7,$C$6,"ERROR")))),1,0)</f>
        <v>0</v>
      </c>
      <c r="F106" s="26">
        <f>VLOOKUP($C106,COS!$B$8:$H$991,7,FALSE)</f>
        <v>54.089519500732422</v>
      </c>
      <c r="G106" s="24">
        <f>IF(F106&lt;=IF(MONTH($C106)=4,$F$3,IF(MONTH($C106)=5,$F$4,IF(MONTH($C106)=6,$F$5,IF(MONTH($C106)=7,$F$6,"ERROR")))),1,0)</f>
        <v>1</v>
      </c>
      <c r="H106" s="26">
        <f>IF(J106=1,D106-$C$5,0)</f>
        <v>0</v>
      </c>
      <c r="I106" s="26">
        <f t="shared" si="136"/>
        <v>0</v>
      </c>
      <c r="J106" s="24">
        <f t="shared" si="159"/>
        <v>0</v>
      </c>
      <c r="K106" s="26">
        <f>VLOOKUP($C106,COS!$B$8:$H$991,2,FALSE)</f>
        <v>1657.180419921875</v>
      </c>
      <c r="L106" s="24">
        <f t="shared" si="129"/>
        <v>1</v>
      </c>
      <c r="M106" s="24">
        <f t="shared" si="130"/>
        <v>1</v>
      </c>
      <c r="N106" s="26">
        <f>VLOOKUP($C106,COS!$B$8:$H$991,5,FALSE)</f>
        <v>0</v>
      </c>
      <c r="O106" s="26">
        <f t="shared" si="162"/>
        <v>0</v>
      </c>
      <c r="P106" s="26">
        <f>VLOOKUP($C106,COS!$B$8:$H$991,6,FALSE)</f>
        <v>2546.35791015625</v>
      </c>
      <c r="Q106" s="26">
        <f t="shared" si="163"/>
        <v>151.51881779442149</v>
      </c>
      <c r="R106" s="26">
        <f>MIN(IF(MONTH($C106)=4,$S$3,IF(MONTH($C106)=5,$S$4,IF(MONTH($C106)=6,$S$5,IF(MONTH($C106)=7,$S$6,"ERROR")))),MAX(VLOOKUP($C106,COS!$B$8:$K$991,10,FALSE)-IF(MONTH($C106)=4,$Y$3,IF(MONTH($C106)=5,$Y$4,IF(MONTH($C106)=6,$Y$5,IF(MONTH($C106)=7,$Y$6,"ERROR")))),0),MAX(VLOOKUP($C106,COS!$B$8:$K$991,9,FALSE)-IF(MONTH($C106)=4,$V$3,IF(MONTH($C106)=5,$V$4,IF(MONTH($C106)=6,$V$5,IF(MONTH($C106)=7,$V$6,"ERROR"))))-VLOOKUP($C106,COS!$B$8:$K$991,6,FALSE)/2,0))</f>
        <v>0</v>
      </c>
      <c r="S106" s="26">
        <f t="shared" si="164"/>
        <v>0</v>
      </c>
      <c r="T106" s="26">
        <f t="shared" si="165"/>
        <v>75.759408897210747</v>
      </c>
      <c r="U106" s="26" t="str">
        <f>IF(VLOOKUP($C106,COS!$B$8:$I$991,8,FALSE)=1,"UWFE","IBU")</f>
        <v>IBU</v>
      </c>
      <c r="V106" s="26">
        <f t="shared" ref="V106" si="168">MIN(IF(IF($AA$3=2,AND(E106=1,G106=1,L106=1,L109=1,M106=1,U106="IBU"),AND(E106=1,G106=1,L106=1,L109=1,M106=1)),T106,0),I106)</f>
        <v>0</v>
      </c>
      <c r="W106" s="26"/>
      <c r="X106" s="26"/>
      <c r="Y106" s="26"/>
      <c r="Z106" s="26"/>
      <c r="AA106" s="26"/>
      <c r="AB106" s="33"/>
    </row>
    <row r="107" spans="1:28" x14ac:dyDescent="0.3">
      <c r="A107" s="32">
        <f>VLOOKUP(YEAR(C107),Flags!$A$13:$B$95,2,FALSE)</f>
        <v>5</v>
      </c>
      <c r="B107" s="24">
        <f t="shared" si="116"/>
        <v>1932</v>
      </c>
      <c r="C107" s="25">
        <v>11901</v>
      </c>
      <c r="D107" s="26">
        <f>VLOOKUP($C107,COS!$B$8:$H$991,3,FALSE)</f>
        <v>8582.53125</v>
      </c>
      <c r="E107" s="24">
        <f>IF(D107&gt;=IF(MONTH($C107)=4,$C$3,IF(MONTH($C107)=5,$C$4,IF(MONTH($C107)=6,$C$5,IF(MONTH($C107)=7,$C$6,"ERROR")))),1,0)</f>
        <v>0</v>
      </c>
      <c r="F107" s="26">
        <f>VLOOKUP($C107,COS!$B$8:$H$991,7,FALSE)</f>
        <v>55.753875732421875</v>
      </c>
      <c r="G107" s="24">
        <f>IF(F107&lt;=IF(MONTH($C107)=4,$F$3,IF(MONTH($C107)=5,$F$4,IF(MONTH($C107)=6,$F$5,IF(MONTH($C107)=7,$F$6,"ERROR")))),1,0)</f>
        <v>0</v>
      </c>
      <c r="H107" s="26">
        <f>IF(J107=1,D107-$C$6,0)</f>
        <v>0</v>
      </c>
      <c r="I107" s="26">
        <f t="shared" si="136"/>
        <v>0</v>
      </c>
      <c r="J107" s="24">
        <f t="shared" si="159"/>
        <v>0</v>
      </c>
      <c r="K107" s="26">
        <f>VLOOKUP($C107,COS!$B$8:$H$991,2,FALSE)</f>
        <v>1286.91845703125</v>
      </c>
      <c r="L107" s="24">
        <f t="shared" si="129"/>
        <v>1</v>
      </c>
      <c r="M107" s="24">
        <f t="shared" si="130"/>
        <v>1</v>
      </c>
      <c r="N107" s="26">
        <f>VLOOKUP($C107,COS!$B$8:$H$991,5,FALSE)</f>
        <v>0</v>
      </c>
      <c r="O107" s="26">
        <f t="shared" si="162"/>
        <v>0</v>
      </c>
      <c r="P107" s="26">
        <f>VLOOKUP($C107,COS!$B$8:$H$991,6,FALSE)</f>
        <v>2538.07568359375</v>
      </c>
      <c r="Q107" s="26">
        <f t="shared" si="163"/>
        <v>156.06019079287191</v>
      </c>
      <c r="R107" s="26">
        <f>MIN(IF(MONTH($C107)=4,$S$3,IF(MONTH($C107)=5,$S$4,IF(MONTH($C107)=6,$S$5,IF(MONTH($C107)=7,$S$6,"ERROR")))),MAX(VLOOKUP($C107,COS!$B$8:$K$991,10,FALSE)-IF(MONTH($C107)=4,$Y$3,IF(MONTH($C107)=5,$Y$4,IF(MONTH($C107)=6,$Y$5,IF(MONTH($C107)=7,$Y$6,"ERROR")))),0),MAX(VLOOKUP($C107,COS!$B$8:$K$991,9,FALSE)-IF(MONTH($C107)=4,$V$3,IF(MONTH($C107)=5,$V$4,IF(MONTH($C107)=6,$V$5,IF(MONTH($C107)=7,$V$6,"ERROR"))))-VLOOKUP($C107,COS!$B$8:$K$991,6,FALSE)/2,0))</f>
        <v>0</v>
      </c>
      <c r="S107" s="26">
        <f t="shared" si="164"/>
        <v>0</v>
      </c>
      <c r="T107" s="26">
        <f t="shared" si="165"/>
        <v>78.030095396435954</v>
      </c>
      <c r="U107" s="26" t="str">
        <f>IF(VLOOKUP($C107,COS!$B$8:$I$991,8,FALSE)=1,"UWFE","IBU")</f>
        <v>IBU</v>
      </c>
      <c r="V107" s="26">
        <f t="shared" ref="V107" si="169">MIN(IF(IF($AA$3=2,AND(E107=1,G107=1,L107=1,L109=1,M107=1,U107="IBU"),AND(E107=1,G107=1,L107=1,L109=1,M107=1)),T107,0),I107)</f>
        <v>0</v>
      </c>
      <c r="W107" s="26"/>
      <c r="X107" s="26"/>
      <c r="Y107" s="26"/>
      <c r="Z107" s="26"/>
      <c r="AA107" s="26"/>
      <c r="AB107" s="33"/>
    </row>
    <row r="108" spans="1:28" x14ac:dyDescent="0.3">
      <c r="A108" s="32">
        <f>VLOOKUP(YEAR(C108),Flags!$A$13:$B$95,2,FALSE)</f>
        <v>5</v>
      </c>
      <c r="B108" s="24">
        <f t="shared" si="116"/>
        <v>1932</v>
      </c>
      <c r="C108" s="25">
        <v>11932</v>
      </c>
      <c r="D108" s="26"/>
      <c r="E108" s="24"/>
      <c r="F108" s="26"/>
      <c r="G108" s="24"/>
      <c r="H108" s="24"/>
      <c r="I108" s="26"/>
      <c r="J108" s="24"/>
      <c r="K108" s="26"/>
      <c r="L108" s="24"/>
      <c r="M108" s="24"/>
      <c r="N108" s="26"/>
      <c r="O108" s="26"/>
      <c r="P108" s="26"/>
      <c r="Q108" s="26"/>
      <c r="R108" s="26"/>
      <c r="S108" s="26"/>
      <c r="T108" s="26"/>
      <c r="U108" s="26"/>
      <c r="V108" s="26"/>
      <c r="W108" s="26">
        <f>MAX($C$7-VLOOKUP($C108,COS!$B$8:$H$991,3,FALSE),0)</f>
        <v>92726.396484375</v>
      </c>
      <c r="X108" s="26">
        <f t="shared" si="143"/>
        <v>5701.523883006198</v>
      </c>
      <c r="Y108" s="26">
        <f>VLOOKUP($C108,COS!$B$8:$H$991,4,FALSE)</f>
        <v>1881.437744140625</v>
      </c>
      <c r="Z108" s="26">
        <f t="shared" si="144"/>
        <v>115.68509765624999</v>
      </c>
      <c r="AA108" s="26">
        <f t="shared" ref="AA108:AA112" si="170">MIN(W108,Y108)</f>
        <v>1881.437744140625</v>
      </c>
      <c r="AB108" s="33">
        <f t="shared" ref="AB108" si="171">AA108*DAY($C108)*86400/43560/1000*IF(MONTH($C108)=8,$P$3,IF(MONTH($C108)=9,$P$4,IF(MONTH($C108)=10,$P$5,IF(MONTH($C108)=11,$P$6,IF(MONTH($C108)=12,$P$7,NA())))))</f>
        <v>115.68509765624999</v>
      </c>
    </row>
    <row r="109" spans="1:28" x14ac:dyDescent="0.3">
      <c r="A109" s="32">
        <f>VLOOKUP(YEAR(C109),Flags!$A$13:$B$95,2,FALSE)</f>
        <v>5</v>
      </c>
      <c r="B109" s="24">
        <f t="shared" si="116"/>
        <v>1932</v>
      </c>
      <c r="C109" s="25">
        <v>11962</v>
      </c>
      <c r="D109" s="26"/>
      <c r="E109" s="24"/>
      <c r="F109" s="26"/>
      <c r="G109" s="24"/>
      <c r="H109" s="24"/>
      <c r="I109" s="26"/>
      <c r="J109" s="24"/>
      <c r="K109" s="26">
        <f>VLOOKUP($C109,COS!$B$8:$H$991,2,FALSE)</f>
        <v>902.0557861328125</v>
      </c>
      <c r="L109" s="24">
        <f t="shared" ref="L109" si="172">IF(AND(K109&gt;$I$7,K109&lt;$I$8),1,0)</f>
        <v>1</v>
      </c>
      <c r="M109" s="24"/>
      <c r="N109" s="26"/>
      <c r="O109" s="26"/>
      <c r="P109" s="26"/>
      <c r="Q109" s="26"/>
      <c r="R109" s="26"/>
      <c r="S109" s="26"/>
      <c r="T109" s="26"/>
      <c r="U109" s="26"/>
      <c r="V109" s="26"/>
      <c r="W109" s="26">
        <f>MAX($C$8-VLOOKUP($C109,COS!$B$8:$H$991,3,FALSE),0)</f>
        <v>95768.7431640625</v>
      </c>
      <c r="X109" s="26">
        <f t="shared" si="143"/>
        <v>5698.6359568698354</v>
      </c>
      <c r="Y109" s="26">
        <f>VLOOKUP($C109,COS!$B$8:$H$991,4,FALSE)</f>
        <v>909.056396484375</v>
      </c>
      <c r="Z109" s="26">
        <f t="shared" si="144"/>
        <v>54.092612022210744</v>
      </c>
      <c r="AA109" s="26">
        <f t="shared" si="170"/>
        <v>909.056396484375</v>
      </c>
      <c r="AB109" s="33">
        <f t="shared" si="141"/>
        <v>54.092612022210744</v>
      </c>
    </row>
    <row r="110" spans="1:28" x14ac:dyDescent="0.3">
      <c r="A110" s="32">
        <f>VLOOKUP(YEAR(C110),Flags!$A$13:$B$95,2,FALSE)</f>
        <v>5</v>
      </c>
      <c r="B110" s="24">
        <f t="shared" si="116"/>
        <v>1932</v>
      </c>
      <c r="C110" s="25">
        <v>11993</v>
      </c>
      <c r="D110" s="26"/>
      <c r="E110" s="24"/>
      <c r="F110" s="26"/>
      <c r="G110" s="26"/>
      <c r="H110" s="26"/>
      <c r="I110" s="26"/>
      <c r="J110" s="26"/>
      <c r="K110" s="26"/>
      <c r="L110" s="24"/>
      <c r="M110" s="24"/>
      <c r="N110" s="26"/>
      <c r="O110" s="26"/>
      <c r="P110" s="26"/>
      <c r="Q110" s="26"/>
      <c r="R110" s="26"/>
      <c r="S110" s="26"/>
      <c r="T110" s="26"/>
      <c r="U110" s="26"/>
      <c r="V110" s="26"/>
      <c r="W110" s="26">
        <f>MAX($C$9-VLOOKUP($C110,COS!$B$8:$H$991,3,FALSE),0)</f>
        <v>95267.88623046875</v>
      </c>
      <c r="X110" s="26">
        <f t="shared" si="143"/>
        <v>5857.7939963197314</v>
      </c>
      <c r="Y110" s="26">
        <f>VLOOKUP($C110,COS!$B$8:$H$991,4,FALSE)</f>
        <v>1075.1279296875</v>
      </c>
      <c r="Z110" s="26">
        <f t="shared" si="144"/>
        <v>66.107039643595044</v>
      </c>
      <c r="AA110" s="26">
        <f t="shared" si="170"/>
        <v>1075.1279296875</v>
      </c>
      <c r="AB110" s="33">
        <f t="shared" si="141"/>
        <v>66.107039643595044</v>
      </c>
    </row>
    <row r="111" spans="1:28" x14ac:dyDescent="0.3">
      <c r="A111" s="32">
        <f>VLOOKUP(YEAR(C111),Flags!$A$13:$B$95,2,FALSE)</f>
        <v>5</v>
      </c>
      <c r="B111" s="24">
        <f t="shared" si="116"/>
        <v>1932</v>
      </c>
      <c r="C111" s="25">
        <v>12023</v>
      </c>
      <c r="D111" s="26"/>
      <c r="E111" s="24"/>
      <c r="F111" s="26"/>
      <c r="G111" s="26"/>
      <c r="H111" s="26"/>
      <c r="I111" s="26"/>
      <c r="J111" s="26"/>
      <c r="K111" s="26"/>
      <c r="L111" s="24"/>
      <c r="M111" s="24"/>
      <c r="N111" s="26"/>
      <c r="O111" s="26"/>
      <c r="P111" s="26"/>
      <c r="Q111" s="26"/>
      <c r="R111" s="26"/>
      <c r="S111" s="26"/>
      <c r="T111" s="26"/>
      <c r="U111" s="26"/>
      <c r="V111" s="26"/>
      <c r="W111" s="26">
        <f>MAX($C$10-VLOOKUP($C111,COS!$B$8:$H$991,3,FALSE),0)</f>
        <v>96396.837158203125</v>
      </c>
      <c r="X111" s="26">
        <f t="shared" si="143"/>
        <v>5736.0101449509302</v>
      </c>
      <c r="Y111" s="26">
        <f>VLOOKUP($C111,COS!$B$8:$H$991,4,FALSE)</f>
        <v>1139.5615234375</v>
      </c>
      <c r="Z111" s="26">
        <f t="shared" si="144"/>
        <v>67.808619576446276</v>
      </c>
      <c r="AA111" s="26">
        <f t="shared" si="170"/>
        <v>1139.5615234375</v>
      </c>
      <c r="AB111" s="33">
        <f t="shared" si="141"/>
        <v>33.904309788223138</v>
      </c>
    </row>
    <row r="112" spans="1:28" x14ac:dyDescent="0.3">
      <c r="A112" s="34">
        <f>VLOOKUP(YEAR(C112),Flags!$A$13:$B$95,2,FALSE)</f>
        <v>5</v>
      </c>
      <c r="B112" s="35">
        <f t="shared" si="116"/>
        <v>1932</v>
      </c>
      <c r="C112" s="36">
        <v>12054</v>
      </c>
      <c r="D112" s="37"/>
      <c r="E112" s="35"/>
      <c r="F112" s="37"/>
      <c r="G112" s="37"/>
      <c r="H112" s="37"/>
      <c r="I112" s="37"/>
      <c r="J112" s="37"/>
      <c r="K112" s="37"/>
      <c r="L112" s="35"/>
      <c r="M112" s="35"/>
      <c r="N112" s="37"/>
      <c r="O112" s="37"/>
      <c r="P112" s="37"/>
      <c r="Q112" s="37"/>
      <c r="R112" s="37"/>
      <c r="S112" s="37"/>
      <c r="T112" s="37"/>
      <c r="U112" s="37"/>
      <c r="V112" s="37"/>
      <c r="W112" s="37">
        <f>MAX($C$11-VLOOKUP($C112,COS!$B$8:$H$991,3,FALSE),0)</f>
        <v>0</v>
      </c>
      <c r="X112" s="37">
        <f t="shared" si="143"/>
        <v>0</v>
      </c>
      <c r="Y112" s="37">
        <f>VLOOKUP($C112,COS!$B$8:$H$991,4,FALSE)</f>
        <v>2675.63427734375</v>
      </c>
      <c r="Z112" s="37">
        <f t="shared" si="144"/>
        <v>164.51833903667355</v>
      </c>
      <c r="AA112" s="37">
        <f t="shared" si="170"/>
        <v>0</v>
      </c>
      <c r="AB112" s="38">
        <f t="shared" si="141"/>
        <v>0</v>
      </c>
    </row>
    <row r="113" spans="1:28" x14ac:dyDescent="0.3">
      <c r="A113" s="27">
        <f>VLOOKUP(YEAR(C113),Flags!$A$13:$B$95,2,FALSE)</f>
        <v>5</v>
      </c>
      <c r="B113" s="28">
        <f t="shared" si="116"/>
        <v>1933</v>
      </c>
      <c r="C113" s="29">
        <v>12174</v>
      </c>
      <c r="D113" s="30">
        <f>VLOOKUP($C113,COS!$B$8:$H$991,3,FALSE)</f>
        <v>3250</v>
      </c>
      <c r="E113" s="28">
        <f>IF(D113&gt;=IF(MONTH($C113)=4,$C$3,IF(MONTH($C113)=5,$C$4,IF(MONTH($C113)=6,$C$5,IF(MONTH($C113)=7,$C$6,"ERROR")))),1,0)</f>
        <v>0</v>
      </c>
      <c r="F113" s="30">
        <f>VLOOKUP($C113,COS!$B$8:$H$991,7,FALSE)</f>
        <v>51.034336090087891</v>
      </c>
      <c r="G113" s="28">
        <f>IF(F113&lt;=IF(MONTH($C113)=4,$F$3,IF(MONTH($C113)=5,$F$4,IF(MONTH($C113)=6,$F$5,IF(MONTH($C113)=7,$F$6,"ERROR")))),1,0)</f>
        <v>1</v>
      </c>
      <c r="H113" s="30">
        <f>IF(J113=1,D113-$C$3,0)</f>
        <v>0</v>
      </c>
      <c r="I113" s="30">
        <f t="shared" si="136"/>
        <v>0</v>
      </c>
      <c r="J113" s="28">
        <f t="shared" ref="J113:J116" si="173">IF(AND(E113=1,G113=1),1,0)</f>
        <v>0</v>
      </c>
      <c r="K113" s="30">
        <f>VLOOKUP($C113,COS!$B$8:$H$991,2,FALSE)</f>
        <v>1716.4488525390625</v>
      </c>
      <c r="L113" s="28">
        <f t="shared" ref="L113" si="174">IF(K113&lt;=IF(MONTH($C113)=4,$I$3,IF(MONTH($C113)=5,$I$4,IF(MONTH($C113)=6,$I$5,IF(MONTH($C113)=7,$I$6,"ERROR")))),1,0)</f>
        <v>1</v>
      </c>
      <c r="M113" s="28">
        <f t="shared" ref="M113" si="175">VLOOKUP($A113,$L$3:$M$7,2,FALSE)</f>
        <v>1</v>
      </c>
      <c r="N113" s="30">
        <f>VLOOKUP($C113,COS!$B$8:$H$991,5,FALSE)</f>
        <v>180.99517822265625</v>
      </c>
      <c r="O113" s="30">
        <f t="shared" ref="O113:O116" si="176">N113*DAY($C113)*86400/43560/1000</f>
        <v>10.769961018207646</v>
      </c>
      <c r="P113" s="30">
        <f>VLOOKUP($C113,COS!$B$8:$H$991,6,FALSE)</f>
        <v>566.2322998046875</v>
      </c>
      <c r="Q113" s="30">
        <f t="shared" ref="Q113:Q116" si="177">P113*DAY($C113)*86400/43560/1000</f>
        <v>33.693161641270663</v>
      </c>
      <c r="R113" s="30">
        <f>MIN(IF(MONTH($C113)=4,$S$3,IF(MONTH($C113)=5,$S$4,IF(MONTH($C113)=6,$S$5,IF(MONTH($C113)=7,$S$6,"ERROR")))),MAX(VLOOKUP($C113,COS!$B$8:$K$991,10,FALSE)-IF(MONTH($C113)=4,$Y$3,IF(MONTH($C113)=5,$Y$4,IF(MONTH($C113)=6,$Y$5,IF(MONTH($C113)=7,$Y$6,"ERROR")))),0),MAX(VLOOKUP($C113,COS!$B$8:$K$991,9,FALSE)-IF(MONTH($C113)=4,$V$3,IF(MONTH($C113)=5,$V$4,IF(MONTH($C113)=6,$V$5,IF(MONTH($C113)=7,$V$6,"ERROR"))))-VLOOKUP($C113,COS!$B$8:$K$991,6,FALSE)/2,0))</f>
        <v>0</v>
      </c>
      <c r="S113" s="30">
        <f t="shared" ref="S113:S116" si="178">R113*DAY($C113)*86400/43560/1000</f>
        <v>0</v>
      </c>
      <c r="T113" s="30">
        <f t="shared" ref="T113:T116" si="179">(O113+Q113)/2+S113</f>
        <v>22.231561329739154</v>
      </c>
      <c r="U113" s="30" t="str">
        <f>IF(VLOOKUP($C113,COS!$B$8:$I$991,8,FALSE)=1,"UWFE","IBU")</f>
        <v>UWFE</v>
      </c>
      <c r="V113" s="30">
        <f t="shared" ref="V113" si="180">MIN(IF(IF($AA$3=2,AND(E113=1,G113=1,L113=1,L118=1,M113=1,U113="IBU"),AND(E113=1,G113=1,L113=1,L118=1,M113=1)),T113,0),I113)</f>
        <v>0</v>
      </c>
      <c r="W113" s="30"/>
      <c r="X113" s="30"/>
      <c r="Y113" s="30"/>
      <c r="Z113" s="30"/>
      <c r="AA113" s="30"/>
      <c r="AB113" s="31"/>
    </row>
    <row r="114" spans="1:28" x14ac:dyDescent="0.3">
      <c r="A114" s="32">
        <f>VLOOKUP(YEAR(C114),Flags!$A$13:$B$95,2,FALSE)</f>
        <v>5</v>
      </c>
      <c r="B114" s="24">
        <f t="shared" si="116"/>
        <v>1933</v>
      </c>
      <c r="C114" s="25">
        <v>12205</v>
      </c>
      <c r="D114" s="26">
        <f>VLOOKUP($C114,COS!$B$8:$H$991,3,FALSE)</f>
        <v>6501.3232421875</v>
      </c>
      <c r="E114" s="24">
        <f>IF(D114&gt;=IF(MONTH($C114)=4,$C$3,IF(MONTH($C114)=5,$C$4,IF(MONTH($C114)=6,$C$5,IF(MONTH($C114)=7,$C$6,"ERROR")))),1,0)</f>
        <v>1</v>
      </c>
      <c r="F114" s="26">
        <f>VLOOKUP($C114,COS!$B$8:$H$991,7,FALSE)</f>
        <v>51.829986572265625</v>
      </c>
      <c r="G114" s="24">
        <f>IF(F114&lt;=IF(MONTH($C114)=4,$F$3,IF(MONTH($C114)=5,$F$4,IF(MONTH($C114)=6,$F$5,IF(MONTH($C114)=7,$F$6,"ERROR")))),1,0)</f>
        <v>1</v>
      </c>
      <c r="H114" s="26">
        <f>IF(J114=1,D114-$C$4,0)</f>
        <v>501.3232421875</v>
      </c>
      <c r="I114" s="26">
        <f t="shared" si="136"/>
        <v>30.825164643595041</v>
      </c>
      <c r="J114" s="24">
        <f t="shared" si="173"/>
        <v>1</v>
      </c>
      <c r="K114" s="26">
        <f>VLOOKUP($C114,COS!$B$8:$H$991,2,FALSE)</f>
        <v>1691.36767578125</v>
      </c>
      <c r="L114" s="24">
        <f t="shared" si="129"/>
        <v>1</v>
      </c>
      <c r="M114" s="24">
        <f t="shared" si="130"/>
        <v>1</v>
      </c>
      <c r="N114" s="26">
        <f>VLOOKUP($C114,COS!$B$8:$H$991,5,FALSE)</f>
        <v>170.30894470214844</v>
      </c>
      <c r="O114" s="26">
        <f t="shared" si="176"/>
        <v>10.471888831272597</v>
      </c>
      <c r="P114" s="26">
        <f>VLOOKUP($C114,COS!$B$8:$H$991,6,FALSE)</f>
        <v>2197.37890625</v>
      </c>
      <c r="Q114" s="26">
        <f t="shared" si="177"/>
        <v>135.11156249999999</v>
      </c>
      <c r="R114" s="26">
        <f>MIN(IF(MONTH($C114)=4,$S$3,IF(MONTH($C114)=5,$S$4,IF(MONTH($C114)=6,$S$5,IF(MONTH($C114)=7,$S$6,"ERROR")))),MAX(VLOOKUP($C114,COS!$B$8:$K$991,10,FALSE)-IF(MONTH($C114)=4,$Y$3,IF(MONTH($C114)=5,$Y$4,IF(MONTH($C114)=6,$Y$5,IF(MONTH($C114)=7,$Y$6,"ERROR")))),0),MAX(VLOOKUP($C114,COS!$B$8:$K$991,9,FALSE)-IF(MONTH($C114)=4,$V$3,IF(MONTH($C114)=5,$V$4,IF(MONTH($C114)=6,$V$5,IF(MONTH($C114)=7,$V$6,"ERROR"))))-VLOOKUP($C114,COS!$B$8:$K$991,6,FALSE)/2,0))</f>
        <v>0</v>
      </c>
      <c r="S114" s="26">
        <f t="shared" si="178"/>
        <v>0</v>
      </c>
      <c r="T114" s="26">
        <f t="shared" si="179"/>
        <v>72.791725665636292</v>
      </c>
      <c r="U114" s="26" t="str">
        <f>IF(VLOOKUP($C114,COS!$B$8:$I$991,8,FALSE)=1,"UWFE","IBU")</f>
        <v>UWFE</v>
      </c>
      <c r="V114" s="26">
        <f t="shared" ref="V114" si="181">MIN(IF(IF($AA$3=2,AND(E114=1,G114=1,L114=1,L118=1,M114=1,U114="IBU"),AND(E114=1,G114=1,L114=1,L118=1,M114=1)),T114,0),I114)</f>
        <v>0</v>
      </c>
      <c r="W114" s="26"/>
      <c r="X114" s="26"/>
      <c r="Y114" s="26"/>
      <c r="Z114" s="26"/>
      <c r="AA114" s="26"/>
      <c r="AB114" s="33"/>
    </row>
    <row r="115" spans="1:28" x14ac:dyDescent="0.3">
      <c r="A115" s="32">
        <f>VLOOKUP(YEAR(C115),Flags!$A$13:$B$95,2,FALSE)</f>
        <v>5</v>
      </c>
      <c r="B115" s="24">
        <f t="shared" si="116"/>
        <v>1933</v>
      </c>
      <c r="C115" s="25">
        <v>12235</v>
      </c>
      <c r="D115" s="26">
        <f>VLOOKUP($C115,COS!$B$8:$H$991,3,FALSE)</f>
        <v>7378.09228515625</v>
      </c>
      <c r="E115" s="24">
        <f>IF(D115&gt;=IF(MONTH($C115)=4,$C$3,IF(MONTH($C115)=5,$C$4,IF(MONTH($C115)=6,$C$5,IF(MONTH($C115)=7,$C$6,"ERROR")))),1,0)</f>
        <v>0</v>
      </c>
      <c r="F115" s="26">
        <f>VLOOKUP($C115,COS!$B$8:$H$991,7,FALSE)</f>
        <v>54.679584503173828</v>
      </c>
      <c r="G115" s="24">
        <f>IF(F115&lt;=IF(MONTH($C115)=4,$F$3,IF(MONTH($C115)=5,$F$4,IF(MONTH($C115)=6,$F$5,IF(MONTH($C115)=7,$F$6,"ERROR")))),1,0)</f>
        <v>1</v>
      </c>
      <c r="H115" s="26">
        <f>IF(J115=1,D115-$C$5,0)</f>
        <v>0</v>
      </c>
      <c r="I115" s="26">
        <f t="shared" si="136"/>
        <v>0</v>
      </c>
      <c r="J115" s="24">
        <f t="shared" si="173"/>
        <v>0</v>
      </c>
      <c r="K115" s="26">
        <f>VLOOKUP($C115,COS!$B$8:$H$991,2,FALSE)</f>
        <v>1503.1099853515625</v>
      </c>
      <c r="L115" s="24">
        <f t="shared" si="129"/>
        <v>1</v>
      </c>
      <c r="M115" s="24">
        <f t="shared" si="130"/>
        <v>1</v>
      </c>
      <c r="N115" s="26">
        <f>VLOOKUP($C115,COS!$B$8:$H$991,5,FALSE)</f>
        <v>210.99021911621094</v>
      </c>
      <c r="O115" s="26">
        <f t="shared" si="176"/>
        <v>12.55478989782412</v>
      </c>
      <c r="P115" s="26">
        <f>VLOOKUP($C115,COS!$B$8:$H$991,6,FALSE)</f>
        <v>2481.931884765625</v>
      </c>
      <c r="Q115" s="26">
        <f t="shared" si="177"/>
        <v>147.68520306043388</v>
      </c>
      <c r="R115" s="26">
        <f>MIN(IF(MONTH($C115)=4,$S$3,IF(MONTH($C115)=5,$S$4,IF(MONTH($C115)=6,$S$5,IF(MONTH($C115)=7,$S$6,"ERROR")))),MAX(VLOOKUP($C115,COS!$B$8:$K$991,10,FALSE)-IF(MONTH($C115)=4,$Y$3,IF(MONTH($C115)=5,$Y$4,IF(MONTH($C115)=6,$Y$5,IF(MONTH($C115)=7,$Y$6,"ERROR")))),0),MAX(VLOOKUP($C115,COS!$B$8:$K$991,9,FALSE)-IF(MONTH($C115)=4,$V$3,IF(MONTH($C115)=5,$V$4,IF(MONTH($C115)=6,$V$5,IF(MONTH($C115)=7,$V$6,"ERROR"))))-VLOOKUP($C115,COS!$B$8:$K$991,6,FALSE)/2,0))</f>
        <v>0</v>
      </c>
      <c r="S115" s="26">
        <f t="shared" si="178"/>
        <v>0</v>
      </c>
      <c r="T115" s="26">
        <f t="shared" si="179"/>
        <v>80.119996479129</v>
      </c>
      <c r="U115" s="26" t="str">
        <f>IF(VLOOKUP($C115,COS!$B$8:$I$991,8,FALSE)=1,"UWFE","IBU")</f>
        <v>IBU</v>
      </c>
      <c r="V115" s="26">
        <f t="shared" ref="V115" si="182">MIN(IF(IF($AA$3=2,AND(E115=1,G115=1,L115=1,L118=1,M115=1,U115="IBU"),AND(E115=1,G115=1,L115=1,L118=1,M115=1)),T115,0),I115)</f>
        <v>0</v>
      </c>
      <c r="W115" s="26"/>
      <c r="X115" s="26"/>
      <c r="Y115" s="26"/>
      <c r="Z115" s="26"/>
      <c r="AA115" s="26"/>
      <c r="AB115" s="33"/>
    </row>
    <row r="116" spans="1:28" x14ac:dyDescent="0.3">
      <c r="A116" s="32">
        <f>VLOOKUP(YEAR(C116),Flags!$A$13:$B$95,2,FALSE)</f>
        <v>5</v>
      </c>
      <c r="B116" s="24">
        <f t="shared" si="116"/>
        <v>1933</v>
      </c>
      <c r="C116" s="25">
        <v>12266</v>
      </c>
      <c r="D116" s="26">
        <f>VLOOKUP($C116,COS!$B$8:$H$991,3,FALSE)</f>
        <v>10174.720703125</v>
      </c>
      <c r="E116" s="24">
        <f>IF(D116&gt;=IF(MONTH($C116)=4,$C$3,IF(MONTH($C116)=5,$C$4,IF(MONTH($C116)=6,$C$5,IF(MONTH($C116)=7,$C$6,"ERROR")))),1,0)</f>
        <v>0</v>
      </c>
      <c r="F116" s="26">
        <f>VLOOKUP($C116,COS!$B$8:$H$991,7,FALSE)</f>
        <v>55.866065979003906</v>
      </c>
      <c r="G116" s="24">
        <f>IF(F116&lt;=IF(MONTH($C116)=4,$F$3,IF(MONTH($C116)=5,$F$4,IF(MONTH($C116)=6,$F$5,IF(MONTH($C116)=7,$F$6,"ERROR")))),1,0)</f>
        <v>0</v>
      </c>
      <c r="H116" s="26">
        <f>IF(J116=1,D116-$C$6,0)</f>
        <v>0</v>
      </c>
      <c r="I116" s="26">
        <f t="shared" si="136"/>
        <v>0</v>
      </c>
      <c r="J116" s="24">
        <f t="shared" si="173"/>
        <v>0</v>
      </c>
      <c r="K116" s="26">
        <f>VLOOKUP($C116,COS!$B$8:$H$991,2,FALSE)</f>
        <v>1036.812744140625</v>
      </c>
      <c r="L116" s="24">
        <f t="shared" si="129"/>
        <v>1</v>
      </c>
      <c r="M116" s="24">
        <f t="shared" si="130"/>
        <v>1</v>
      </c>
      <c r="N116" s="26">
        <f>VLOOKUP($C116,COS!$B$8:$H$991,5,FALSE)</f>
        <v>230.72744750976563</v>
      </c>
      <c r="O116" s="26">
        <f t="shared" si="176"/>
        <v>14.186877764236828</v>
      </c>
      <c r="P116" s="26">
        <f>VLOOKUP($C116,COS!$B$8:$H$991,6,FALSE)</f>
        <v>2281.4833984375</v>
      </c>
      <c r="Q116" s="26">
        <f t="shared" si="177"/>
        <v>140.28294615185951</v>
      </c>
      <c r="R116" s="26">
        <f>MIN(IF(MONTH($C116)=4,$S$3,IF(MONTH($C116)=5,$S$4,IF(MONTH($C116)=6,$S$5,IF(MONTH($C116)=7,$S$6,"ERROR")))),MAX(VLOOKUP($C116,COS!$B$8:$K$991,10,FALSE)-IF(MONTH($C116)=4,$Y$3,IF(MONTH($C116)=5,$Y$4,IF(MONTH($C116)=6,$Y$5,IF(MONTH($C116)=7,$Y$6,"ERROR")))),0),MAX(VLOOKUP($C116,COS!$B$8:$K$991,9,FALSE)-IF(MONTH($C116)=4,$V$3,IF(MONTH($C116)=5,$V$4,IF(MONTH($C116)=6,$V$5,IF(MONTH($C116)=7,$V$6,"ERROR"))))-VLOOKUP($C116,COS!$B$8:$K$991,6,FALSE)/2,0))</f>
        <v>0</v>
      </c>
      <c r="S116" s="26">
        <f t="shared" si="178"/>
        <v>0</v>
      </c>
      <c r="T116" s="26">
        <f t="shared" si="179"/>
        <v>77.234911958048173</v>
      </c>
      <c r="U116" s="26" t="str">
        <f>IF(VLOOKUP($C116,COS!$B$8:$I$991,8,FALSE)=1,"UWFE","IBU")</f>
        <v>IBU</v>
      </c>
      <c r="V116" s="26">
        <f t="shared" ref="V116" si="183">MIN(IF(IF($AA$3=2,AND(E116=1,G116=1,L116=1,L118=1,M116=1,U116="IBU"),AND(E116=1,G116=1,L116=1,L118=1,M116=1)),T116,0),I116)</f>
        <v>0</v>
      </c>
      <c r="W116" s="26"/>
      <c r="X116" s="26"/>
      <c r="Y116" s="26"/>
      <c r="Z116" s="26"/>
      <c r="AA116" s="26"/>
      <c r="AB116" s="33"/>
    </row>
    <row r="117" spans="1:28" x14ac:dyDescent="0.3">
      <c r="A117" s="32">
        <f>VLOOKUP(YEAR(C117),Flags!$A$13:$B$95,2,FALSE)</f>
        <v>5</v>
      </c>
      <c r="B117" s="24">
        <f t="shared" si="116"/>
        <v>1933</v>
      </c>
      <c r="C117" s="25">
        <v>12297</v>
      </c>
      <c r="D117" s="26"/>
      <c r="E117" s="24"/>
      <c r="F117" s="26"/>
      <c r="G117" s="24"/>
      <c r="H117" s="24"/>
      <c r="I117" s="26"/>
      <c r="J117" s="24"/>
      <c r="K117" s="26"/>
      <c r="L117" s="24"/>
      <c r="M117" s="24"/>
      <c r="N117" s="26"/>
      <c r="O117" s="26"/>
      <c r="P117" s="26"/>
      <c r="Q117" s="26"/>
      <c r="R117" s="26"/>
      <c r="S117" s="26"/>
      <c r="T117" s="26"/>
      <c r="U117" s="26"/>
      <c r="V117" s="26"/>
      <c r="W117" s="26">
        <f>MAX($C$7-VLOOKUP($C117,COS!$B$8:$H$991,3,FALSE),0)</f>
        <v>91960.78125</v>
      </c>
      <c r="X117" s="26">
        <f t="shared" si="143"/>
        <v>5654.4480371900827</v>
      </c>
      <c r="Y117" s="26">
        <f>VLOOKUP($C117,COS!$B$8:$H$991,4,FALSE)</f>
        <v>1026.3896484375</v>
      </c>
      <c r="Z117" s="26">
        <f t="shared" si="144"/>
        <v>63.110239540289257</v>
      </c>
      <c r="AA117" s="26">
        <f t="shared" ref="AA117:AA121" si="184">MIN(W117,Y117)</f>
        <v>1026.3896484375</v>
      </c>
      <c r="AB117" s="33">
        <f t="shared" ref="AB117" si="185">AA117*DAY($C117)*86400/43560/1000*IF(MONTH($C117)=8,$P$3,IF(MONTH($C117)=9,$P$4,IF(MONTH($C117)=10,$P$5,IF(MONTH($C117)=11,$P$6,IF(MONTH($C117)=12,$P$7,NA())))))</f>
        <v>63.110239540289257</v>
      </c>
    </row>
    <row r="118" spans="1:28" x14ac:dyDescent="0.3">
      <c r="A118" s="32">
        <f>VLOOKUP(YEAR(C118),Flags!$A$13:$B$95,2,FALSE)</f>
        <v>5</v>
      </c>
      <c r="B118" s="24">
        <f t="shared" si="116"/>
        <v>1933</v>
      </c>
      <c r="C118" s="25">
        <v>12327</v>
      </c>
      <c r="D118" s="26"/>
      <c r="E118" s="24"/>
      <c r="F118" s="26"/>
      <c r="G118" s="24"/>
      <c r="H118" s="24"/>
      <c r="I118" s="26"/>
      <c r="J118" s="24"/>
      <c r="K118" s="26">
        <f>VLOOKUP($C118,COS!$B$8:$H$991,2,FALSE)</f>
        <v>614.1947021484375</v>
      </c>
      <c r="L118" s="24">
        <f t="shared" ref="L118" si="186">IF(AND(K118&gt;$I$7,K118&lt;$I$8),1,0)</f>
        <v>1</v>
      </c>
      <c r="M118" s="24"/>
      <c r="N118" s="26"/>
      <c r="O118" s="26"/>
      <c r="P118" s="26"/>
      <c r="Q118" s="26"/>
      <c r="R118" s="26"/>
      <c r="S118" s="26"/>
      <c r="T118" s="26"/>
      <c r="U118" s="26"/>
      <c r="V118" s="26"/>
      <c r="W118" s="26">
        <f>MAX($C$8-VLOOKUP($C118,COS!$B$8:$H$991,3,FALSE),0)</f>
        <v>95805.57763671875</v>
      </c>
      <c r="X118" s="26">
        <f t="shared" si="143"/>
        <v>5700.8277602014468</v>
      </c>
      <c r="Y118" s="26">
        <f>VLOOKUP($C118,COS!$B$8:$H$991,4,FALSE)</f>
        <v>1631.19287109375</v>
      </c>
      <c r="Z118" s="26">
        <f t="shared" si="144"/>
        <v>97.062716296487608</v>
      </c>
      <c r="AA118" s="26">
        <f t="shared" si="184"/>
        <v>1631.19287109375</v>
      </c>
      <c r="AB118" s="33">
        <f t="shared" si="141"/>
        <v>97.062716296487608</v>
      </c>
    </row>
    <row r="119" spans="1:28" x14ac:dyDescent="0.3">
      <c r="A119" s="32">
        <f>VLOOKUP(YEAR(C119),Flags!$A$13:$B$95,2,FALSE)</f>
        <v>5</v>
      </c>
      <c r="B119" s="24">
        <f t="shared" si="116"/>
        <v>1933</v>
      </c>
      <c r="C119" s="25">
        <v>12358</v>
      </c>
      <c r="D119" s="26"/>
      <c r="E119" s="24"/>
      <c r="F119" s="26"/>
      <c r="G119" s="26"/>
      <c r="H119" s="26"/>
      <c r="I119" s="26"/>
      <c r="J119" s="26"/>
      <c r="K119" s="26"/>
      <c r="L119" s="24"/>
      <c r="M119" s="24"/>
      <c r="N119" s="26"/>
      <c r="O119" s="26"/>
      <c r="P119" s="26"/>
      <c r="Q119" s="26"/>
      <c r="R119" s="26"/>
      <c r="S119" s="26"/>
      <c r="T119" s="26"/>
      <c r="U119" s="26"/>
      <c r="V119" s="26"/>
      <c r="W119" s="26">
        <f>MAX($C$9-VLOOKUP($C119,COS!$B$8:$H$991,3,FALSE),0)</f>
        <v>95686.974609375</v>
      </c>
      <c r="X119" s="26">
        <f t="shared" si="143"/>
        <v>5883.5627363119829</v>
      </c>
      <c r="Y119" s="26">
        <f>VLOOKUP($C119,COS!$B$8:$H$991,4,FALSE)</f>
        <v>1357.4503173828125</v>
      </c>
      <c r="Z119" s="26">
        <f t="shared" si="144"/>
        <v>83.466366622546488</v>
      </c>
      <c r="AA119" s="26">
        <f t="shared" si="184"/>
        <v>1357.4503173828125</v>
      </c>
      <c r="AB119" s="33">
        <f t="shared" si="141"/>
        <v>83.466366622546488</v>
      </c>
    </row>
    <row r="120" spans="1:28" x14ac:dyDescent="0.3">
      <c r="A120" s="32">
        <f>VLOOKUP(YEAR(C120),Flags!$A$13:$B$95,2,FALSE)</f>
        <v>5</v>
      </c>
      <c r="B120" s="24">
        <f t="shared" si="116"/>
        <v>1933</v>
      </c>
      <c r="C120" s="25">
        <v>12388</v>
      </c>
      <c r="D120" s="26"/>
      <c r="E120" s="24"/>
      <c r="F120" s="26"/>
      <c r="G120" s="26"/>
      <c r="H120" s="26"/>
      <c r="I120" s="26"/>
      <c r="J120" s="26"/>
      <c r="K120" s="26"/>
      <c r="L120" s="24"/>
      <c r="M120" s="24"/>
      <c r="N120" s="26"/>
      <c r="O120" s="26"/>
      <c r="P120" s="26"/>
      <c r="Q120" s="26"/>
      <c r="R120" s="26"/>
      <c r="S120" s="26"/>
      <c r="T120" s="26"/>
      <c r="U120" s="26"/>
      <c r="V120" s="26"/>
      <c r="W120" s="26">
        <f>MAX($C$10-VLOOKUP($C120,COS!$B$8:$H$991,3,FALSE),0)</f>
        <v>96749</v>
      </c>
      <c r="X120" s="26">
        <f t="shared" si="143"/>
        <v>5756.965289256198</v>
      </c>
      <c r="Y120" s="26">
        <f>VLOOKUP($C120,COS!$B$8:$H$991,4,FALSE)</f>
        <v>1382.873779296875</v>
      </c>
      <c r="Z120" s="26">
        <f t="shared" si="144"/>
        <v>82.286704222623968</v>
      </c>
      <c r="AA120" s="26">
        <f t="shared" si="184"/>
        <v>1382.873779296875</v>
      </c>
      <c r="AB120" s="33">
        <f t="shared" si="141"/>
        <v>41.143352111311984</v>
      </c>
    </row>
    <row r="121" spans="1:28" x14ac:dyDescent="0.3">
      <c r="A121" s="34">
        <f>VLOOKUP(YEAR(C121),Flags!$A$13:$B$95,2,FALSE)</f>
        <v>5</v>
      </c>
      <c r="B121" s="35">
        <f t="shared" si="116"/>
        <v>1933</v>
      </c>
      <c r="C121" s="36">
        <v>12419</v>
      </c>
      <c r="D121" s="37"/>
      <c r="E121" s="35"/>
      <c r="F121" s="37"/>
      <c r="G121" s="37"/>
      <c r="H121" s="37"/>
      <c r="I121" s="37"/>
      <c r="J121" s="37"/>
      <c r="K121" s="37"/>
      <c r="L121" s="35"/>
      <c r="M121" s="35"/>
      <c r="N121" s="37"/>
      <c r="O121" s="37"/>
      <c r="P121" s="37"/>
      <c r="Q121" s="37"/>
      <c r="R121" s="37"/>
      <c r="S121" s="37"/>
      <c r="T121" s="37"/>
      <c r="U121" s="37"/>
      <c r="V121" s="37"/>
      <c r="W121" s="37">
        <f>MAX($C$11-VLOOKUP($C121,COS!$B$8:$H$991,3,FALSE),0)</f>
        <v>0</v>
      </c>
      <c r="X121" s="37">
        <f t="shared" si="143"/>
        <v>0</v>
      </c>
      <c r="Y121" s="37">
        <f>VLOOKUP($C121,COS!$B$8:$H$991,4,FALSE)</f>
        <v>632.6298828125</v>
      </c>
      <c r="Z121" s="37">
        <f t="shared" si="144"/>
        <v>38.898895273760331</v>
      </c>
      <c r="AA121" s="37">
        <f t="shared" si="184"/>
        <v>0</v>
      </c>
      <c r="AB121" s="38">
        <f t="shared" si="141"/>
        <v>0</v>
      </c>
    </row>
    <row r="122" spans="1:28" x14ac:dyDescent="0.3">
      <c r="A122" s="27">
        <f>VLOOKUP(YEAR(C122),Flags!$A$13:$B$95,2,FALSE)</f>
        <v>5</v>
      </c>
      <c r="B122" s="28">
        <f t="shared" si="116"/>
        <v>1934</v>
      </c>
      <c r="C122" s="29">
        <v>12539</v>
      </c>
      <c r="D122" s="30">
        <f>VLOOKUP($C122,COS!$B$8:$H$991,3,FALSE)</f>
        <v>3250</v>
      </c>
      <c r="E122" s="28">
        <f>IF(D122&gt;=IF(MONTH($C122)=4,$C$3,IF(MONTH($C122)=5,$C$4,IF(MONTH($C122)=6,$C$5,IF(MONTH($C122)=7,$C$6,"ERROR")))),1,0)</f>
        <v>0</v>
      </c>
      <c r="F122" s="30">
        <f>VLOOKUP($C122,COS!$B$8:$H$991,7,FALSE)</f>
        <v>50.49676513671875</v>
      </c>
      <c r="G122" s="28">
        <f>IF(F122&lt;=IF(MONTH($C122)=4,$F$3,IF(MONTH($C122)=5,$F$4,IF(MONTH($C122)=6,$F$5,IF(MONTH($C122)=7,$F$6,"ERROR")))),1,0)</f>
        <v>1</v>
      </c>
      <c r="H122" s="30">
        <f>IF(J122=1,D122-$C$3,0)</f>
        <v>0</v>
      </c>
      <c r="I122" s="30">
        <f t="shared" si="136"/>
        <v>0</v>
      </c>
      <c r="J122" s="28">
        <f t="shared" ref="J122:J125" si="187">IF(AND(E122=1,G122=1),1,0)</f>
        <v>0</v>
      </c>
      <c r="K122" s="30">
        <f>VLOOKUP($C122,COS!$B$8:$H$991,2,FALSE)</f>
        <v>1640.1229248046875</v>
      </c>
      <c r="L122" s="28">
        <f t="shared" ref="L122" si="188">IF(K122&lt;=IF(MONTH($C122)=4,$I$3,IF(MONTH($C122)=5,$I$4,IF(MONTH($C122)=6,$I$5,IF(MONTH($C122)=7,$I$6,"ERROR")))),1,0)</f>
        <v>1</v>
      </c>
      <c r="M122" s="28">
        <f t="shared" ref="M122" si="189">VLOOKUP($A122,$L$3:$M$7,2,FALSE)</f>
        <v>1</v>
      </c>
      <c r="N122" s="30">
        <f>VLOOKUP($C122,COS!$B$8:$H$991,5,FALSE)</f>
        <v>162.71662902832031</v>
      </c>
      <c r="O122" s="30">
        <f t="shared" ref="O122:O125" si="190">N122*DAY($C122)*86400/43560/1000</f>
        <v>9.6823118099496384</v>
      </c>
      <c r="P122" s="30">
        <f>VLOOKUP($C122,COS!$B$8:$H$991,6,FALSE)</f>
        <v>521.53076171875</v>
      </c>
      <c r="Q122" s="30">
        <f t="shared" ref="Q122:Q125" si="191">P122*DAY($C122)*86400/43560/1000</f>
        <v>31.033235408057852</v>
      </c>
      <c r="R122" s="30">
        <f>MIN(IF(MONTH($C122)=4,$S$3,IF(MONTH($C122)=5,$S$4,IF(MONTH($C122)=6,$S$5,IF(MONTH($C122)=7,$S$6,"ERROR")))),MAX(VLOOKUP($C122,COS!$B$8:$K$991,10,FALSE)-IF(MONTH($C122)=4,$Y$3,IF(MONTH($C122)=5,$Y$4,IF(MONTH($C122)=6,$Y$5,IF(MONTH($C122)=7,$Y$6,"ERROR")))),0),MAX(VLOOKUP($C122,COS!$B$8:$K$991,9,FALSE)-IF(MONTH($C122)=4,$V$3,IF(MONTH($C122)=5,$V$4,IF(MONTH($C122)=6,$V$5,IF(MONTH($C122)=7,$V$6,"ERROR"))))-VLOOKUP($C122,COS!$B$8:$K$991,6,FALSE)/2,0))</f>
        <v>0</v>
      </c>
      <c r="S122" s="30">
        <f t="shared" ref="S122:S125" si="192">R122*DAY($C122)*86400/43560/1000</f>
        <v>0</v>
      </c>
      <c r="T122" s="30">
        <f t="shared" ref="T122:T125" si="193">(O122+Q122)/2+S122</f>
        <v>20.357773609003743</v>
      </c>
      <c r="U122" s="30" t="str">
        <f>IF(VLOOKUP($C122,COS!$B$8:$I$991,8,FALSE)=1,"UWFE","IBU")</f>
        <v>UWFE</v>
      </c>
      <c r="V122" s="30">
        <f t="shared" ref="V122" si="194">MIN(IF(IF($AA$3=2,AND(E122=1,G122=1,L122=1,L127=1,M122=1,U122="IBU"),AND(E122=1,G122=1,L122=1,L127=1,M122=1)),T122,0),I122)</f>
        <v>0</v>
      </c>
      <c r="W122" s="30"/>
      <c r="X122" s="30"/>
      <c r="Y122" s="30"/>
      <c r="Z122" s="30"/>
      <c r="AA122" s="30"/>
      <c r="AB122" s="31"/>
    </row>
    <row r="123" spans="1:28" x14ac:dyDescent="0.3">
      <c r="A123" s="32">
        <f>VLOOKUP(YEAR(C123),Flags!$A$13:$B$95,2,FALSE)</f>
        <v>5</v>
      </c>
      <c r="B123" s="24">
        <f t="shared" si="116"/>
        <v>1934</v>
      </c>
      <c r="C123" s="25">
        <v>12570</v>
      </c>
      <c r="D123" s="26">
        <f>VLOOKUP($C123,COS!$B$8:$H$991,3,FALSE)</f>
        <v>6994.35986328125</v>
      </c>
      <c r="E123" s="24">
        <f>IF(D123&gt;=IF(MONTH($C123)=4,$C$3,IF(MONTH($C123)=5,$C$4,IF(MONTH($C123)=6,$C$5,IF(MONTH($C123)=7,$C$6,"ERROR")))),1,0)</f>
        <v>1</v>
      </c>
      <c r="F123" s="26">
        <f>VLOOKUP($C123,COS!$B$8:$H$991,7,FALSE)</f>
        <v>51.022247314453125</v>
      </c>
      <c r="G123" s="24">
        <f>IF(F123&lt;=IF(MONTH($C123)=4,$F$3,IF(MONTH($C123)=5,$F$4,IF(MONTH($C123)=6,$F$5,IF(MONTH($C123)=7,$F$6,"ERROR")))),1,0)</f>
        <v>1</v>
      </c>
      <c r="H123" s="26">
        <f>IF(J123=1,D123-$C$4,0)</f>
        <v>994.35986328125</v>
      </c>
      <c r="I123" s="26">
        <f t="shared" si="136"/>
        <v>61.140804816632233</v>
      </c>
      <c r="J123" s="24">
        <f t="shared" si="187"/>
        <v>1</v>
      </c>
      <c r="K123" s="26">
        <f>VLOOKUP($C123,COS!$B$8:$H$991,2,FALSE)</f>
        <v>1420.9012451171875</v>
      </c>
      <c r="L123" s="24">
        <f t="shared" si="129"/>
        <v>1</v>
      </c>
      <c r="M123" s="24">
        <f t="shared" si="130"/>
        <v>1</v>
      </c>
      <c r="N123" s="26">
        <f>VLOOKUP($C123,COS!$B$8:$H$991,5,FALSE)</f>
        <v>222.39739990234375</v>
      </c>
      <c r="O123" s="26">
        <f t="shared" si="190"/>
        <v>13.674683101433368</v>
      </c>
      <c r="P123" s="26">
        <f>VLOOKUP($C123,COS!$B$8:$H$991,6,FALSE)</f>
        <v>2243.647216796875</v>
      </c>
      <c r="Q123" s="26">
        <f t="shared" si="191"/>
        <v>137.95649002453513</v>
      </c>
      <c r="R123" s="26">
        <f>MIN(IF(MONTH($C123)=4,$S$3,IF(MONTH($C123)=5,$S$4,IF(MONTH($C123)=6,$S$5,IF(MONTH($C123)=7,$S$6,"ERROR")))),MAX(VLOOKUP($C123,COS!$B$8:$K$991,10,FALSE)-IF(MONTH($C123)=4,$Y$3,IF(MONTH($C123)=5,$Y$4,IF(MONTH($C123)=6,$Y$5,IF(MONTH($C123)=7,$Y$6,"ERROR")))),0),MAX(VLOOKUP($C123,COS!$B$8:$K$991,9,FALSE)-IF(MONTH($C123)=4,$V$3,IF(MONTH($C123)=5,$V$4,IF(MONTH($C123)=6,$V$5,IF(MONTH($C123)=7,$V$6,"ERROR"))))-VLOOKUP($C123,COS!$B$8:$K$991,6,FALSE)/2,0))</f>
        <v>0</v>
      </c>
      <c r="S123" s="26">
        <f t="shared" si="192"/>
        <v>0</v>
      </c>
      <c r="T123" s="26">
        <f t="shared" si="193"/>
        <v>75.815586562984251</v>
      </c>
      <c r="U123" s="26" t="str">
        <f>IF(VLOOKUP($C123,COS!$B$8:$I$991,8,FALSE)=1,"UWFE","IBU")</f>
        <v>IBU</v>
      </c>
      <c r="V123" s="26">
        <f t="shared" ref="V123" si="195">MIN(IF(IF($AA$3=2,AND(E123=1,G123=1,L123=1,L127=1,M123=1,U123="IBU"),AND(E123=1,G123=1,L123=1,L127=1,M123=1)),T123,0),I123)</f>
        <v>61.140804816632233</v>
      </c>
      <c r="W123" s="26"/>
      <c r="X123" s="26"/>
      <c r="Y123" s="26"/>
      <c r="Z123" s="26"/>
      <c r="AA123" s="26"/>
      <c r="AB123" s="33"/>
    </row>
    <row r="124" spans="1:28" x14ac:dyDescent="0.3">
      <c r="A124" s="32">
        <f>VLOOKUP(YEAR(C124),Flags!$A$13:$B$95,2,FALSE)</f>
        <v>5</v>
      </c>
      <c r="B124" s="24">
        <f t="shared" si="116"/>
        <v>1934</v>
      </c>
      <c r="C124" s="25">
        <v>12600</v>
      </c>
      <c r="D124" s="26">
        <f>VLOOKUP($C124,COS!$B$8:$H$991,3,FALSE)</f>
        <v>8056.033203125</v>
      </c>
      <c r="E124" s="24">
        <f>IF(D124&gt;=IF(MONTH($C124)=4,$C$3,IF(MONTH($C124)=5,$C$4,IF(MONTH($C124)=6,$C$5,IF(MONTH($C124)=7,$C$6,"ERROR")))),1,0)</f>
        <v>0</v>
      </c>
      <c r="F124" s="26">
        <f>VLOOKUP($C124,COS!$B$8:$H$991,7,FALSE)</f>
        <v>54.752338409423828</v>
      </c>
      <c r="G124" s="24">
        <f>IF(F124&lt;=IF(MONTH($C124)=4,$F$3,IF(MONTH($C124)=5,$F$4,IF(MONTH($C124)=6,$F$5,IF(MONTH($C124)=7,$F$6,"ERROR")))),1,0)</f>
        <v>1</v>
      </c>
      <c r="H124" s="26">
        <f>IF(J124=1,D124-$C$5,0)</f>
        <v>0</v>
      </c>
      <c r="I124" s="26">
        <f t="shared" si="136"/>
        <v>0</v>
      </c>
      <c r="J124" s="24">
        <f t="shared" si="187"/>
        <v>0</v>
      </c>
      <c r="K124" s="26">
        <f>VLOOKUP($C124,COS!$B$8:$H$991,2,FALSE)</f>
        <v>1102.0863037109375</v>
      </c>
      <c r="L124" s="24">
        <f t="shared" si="129"/>
        <v>1</v>
      </c>
      <c r="M124" s="24">
        <f t="shared" si="130"/>
        <v>1</v>
      </c>
      <c r="N124" s="26">
        <f>VLOOKUP($C124,COS!$B$8:$H$991,5,FALSE)</f>
        <v>267.839599609375</v>
      </c>
      <c r="O124" s="26">
        <f t="shared" si="190"/>
        <v>15.937562951962809</v>
      </c>
      <c r="P124" s="26">
        <f>VLOOKUP($C124,COS!$B$8:$H$991,6,FALSE)</f>
        <v>2418.7939453125</v>
      </c>
      <c r="Q124" s="26">
        <f t="shared" si="191"/>
        <v>143.9282347623967</v>
      </c>
      <c r="R124" s="26">
        <f>MIN(IF(MONTH($C124)=4,$S$3,IF(MONTH($C124)=5,$S$4,IF(MONTH($C124)=6,$S$5,IF(MONTH($C124)=7,$S$6,"ERROR")))),MAX(VLOOKUP($C124,COS!$B$8:$K$991,10,FALSE)-IF(MONTH($C124)=4,$Y$3,IF(MONTH($C124)=5,$Y$4,IF(MONTH($C124)=6,$Y$5,IF(MONTH($C124)=7,$Y$6,"ERROR")))),0),MAX(VLOOKUP($C124,COS!$B$8:$K$991,9,FALSE)-IF(MONTH($C124)=4,$V$3,IF(MONTH($C124)=5,$V$4,IF(MONTH($C124)=6,$V$5,IF(MONTH($C124)=7,$V$6,"ERROR"))))-VLOOKUP($C124,COS!$B$8:$K$991,6,FALSE)/2,0))</f>
        <v>0</v>
      </c>
      <c r="S124" s="26">
        <f t="shared" si="192"/>
        <v>0</v>
      </c>
      <c r="T124" s="26">
        <f t="shared" si="193"/>
        <v>79.932898857179751</v>
      </c>
      <c r="U124" s="26" t="str">
        <f>IF(VLOOKUP($C124,COS!$B$8:$I$991,8,FALSE)=1,"UWFE","IBU")</f>
        <v>IBU</v>
      </c>
      <c r="V124" s="26">
        <f t="shared" ref="V124" si="196">MIN(IF(IF($AA$3=2,AND(E124=1,G124=1,L124=1,L127=1,M124=1,U124="IBU"),AND(E124=1,G124=1,L124=1,L127=1,M124=1)),T124,0),I124)</f>
        <v>0</v>
      </c>
      <c r="W124" s="26"/>
      <c r="X124" s="26"/>
      <c r="Y124" s="26"/>
      <c r="Z124" s="26"/>
      <c r="AA124" s="26"/>
      <c r="AB124" s="33"/>
    </row>
    <row r="125" spans="1:28" x14ac:dyDescent="0.3">
      <c r="A125" s="32">
        <f>VLOOKUP(YEAR(C125),Flags!$A$13:$B$95,2,FALSE)</f>
        <v>5</v>
      </c>
      <c r="B125" s="24">
        <f t="shared" si="116"/>
        <v>1934</v>
      </c>
      <c r="C125" s="25">
        <v>12631</v>
      </c>
      <c r="D125" s="26">
        <f>VLOOKUP($C125,COS!$B$8:$H$991,3,FALSE)</f>
        <v>10945.8583984375</v>
      </c>
      <c r="E125" s="24">
        <f>IF(D125&gt;=IF(MONTH($C125)=4,$C$3,IF(MONTH($C125)=5,$C$4,IF(MONTH($C125)=6,$C$5,IF(MONTH($C125)=7,$C$6,"ERROR")))),1,0)</f>
        <v>0</v>
      </c>
      <c r="F125" s="26">
        <f>VLOOKUP($C125,COS!$B$8:$H$991,7,FALSE)</f>
        <v>56.054607391357422</v>
      </c>
      <c r="G125" s="24">
        <f>IF(F125&lt;=IF(MONTH($C125)=4,$F$3,IF(MONTH($C125)=5,$F$4,IF(MONTH($C125)=6,$F$5,IF(MONTH($C125)=7,$F$6,"ERROR")))),1,0)</f>
        <v>0</v>
      </c>
      <c r="H125" s="26">
        <f>IF(J125=1,D125-$C$6,0)</f>
        <v>0</v>
      </c>
      <c r="I125" s="26">
        <f t="shared" si="136"/>
        <v>0</v>
      </c>
      <c r="J125" s="24">
        <f t="shared" si="187"/>
        <v>0</v>
      </c>
      <c r="K125" s="26">
        <f>VLOOKUP($C125,COS!$B$8:$H$991,2,FALSE)</f>
        <v>650</v>
      </c>
      <c r="L125" s="24">
        <f t="shared" si="129"/>
        <v>1</v>
      </c>
      <c r="M125" s="24">
        <f t="shared" si="130"/>
        <v>1</v>
      </c>
      <c r="N125" s="26">
        <f>VLOOKUP($C125,COS!$B$8:$H$991,5,FALSE)</f>
        <v>306.08538818359375</v>
      </c>
      <c r="O125" s="26">
        <f t="shared" si="190"/>
        <v>18.820456926330063</v>
      </c>
      <c r="P125" s="26">
        <f>VLOOKUP($C125,COS!$B$8:$H$991,6,FALSE)</f>
        <v>2281.4833984375</v>
      </c>
      <c r="Q125" s="26">
        <f t="shared" si="191"/>
        <v>140.28294615185951</v>
      </c>
      <c r="R125" s="26">
        <f>MIN(IF(MONTH($C125)=4,$S$3,IF(MONTH($C125)=5,$S$4,IF(MONTH($C125)=6,$S$5,IF(MONTH($C125)=7,$S$6,"ERROR")))),MAX(VLOOKUP($C125,COS!$B$8:$K$991,10,FALSE)-IF(MONTH($C125)=4,$Y$3,IF(MONTH($C125)=5,$Y$4,IF(MONTH($C125)=6,$Y$5,IF(MONTH($C125)=7,$Y$6,"ERROR")))),0),MAX(VLOOKUP($C125,COS!$B$8:$K$991,9,FALSE)-IF(MONTH($C125)=4,$V$3,IF(MONTH($C125)=5,$V$4,IF(MONTH($C125)=6,$V$5,IF(MONTH($C125)=7,$V$6,"ERROR"))))-VLOOKUP($C125,COS!$B$8:$K$991,6,FALSE)/2,0))</f>
        <v>0</v>
      </c>
      <c r="S125" s="26">
        <f t="shared" si="192"/>
        <v>0</v>
      </c>
      <c r="T125" s="26">
        <f t="shared" si="193"/>
        <v>79.551701539094779</v>
      </c>
      <c r="U125" s="26" t="str">
        <f>IF(VLOOKUP($C125,COS!$B$8:$I$991,8,FALSE)=1,"UWFE","IBU")</f>
        <v>IBU</v>
      </c>
      <c r="V125" s="26">
        <f t="shared" ref="V125" si="197">MIN(IF(IF($AA$3=2,AND(E125=1,G125=1,L125=1,L127=1,M125=1,U125="IBU"),AND(E125=1,G125=1,L125=1,L127=1,M125=1)),T125,0),I125)</f>
        <v>0</v>
      </c>
      <c r="W125" s="26"/>
      <c r="X125" s="26"/>
      <c r="Y125" s="26"/>
      <c r="Z125" s="26"/>
      <c r="AA125" s="26"/>
      <c r="AB125" s="33"/>
    </row>
    <row r="126" spans="1:28" x14ac:dyDescent="0.3">
      <c r="A126" s="32">
        <f>VLOOKUP(YEAR(C126),Flags!$A$13:$B$95,2,FALSE)</f>
        <v>5</v>
      </c>
      <c r="B126" s="24">
        <f t="shared" si="116"/>
        <v>1934</v>
      </c>
      <c r="C126" s="25">
        <v>12662</v>
      </c>
      <c r="D126" s="26"/>
      <c r="E126" s="24"/>
      <c r="F126" s="26"/>
      <c r="G126" s="24"/>
      <c r="H126" s="24"/>
      <c r="I126" s="26"/>
      <c r="J126" s="24"/>
      <c r="K126" s="26"/>
      <c r="L126" s="24"/>
      <c r="M126" s="24"/>
      <c r="N126" s="26"/>
      <c r="O126" s="26"/>
      <c r="P126" s="26"/>
      <c r="Q126" s="26"/>
      <c r="R126" s="26"/>
      <c r="S126" s="26"/>
      <c r="T126" s="26"/>
      <c r="U126" s="26"/>
      <c r="V126" s="26"/>
      <c r="W126" s="26">
        <f>MAX($C$7-VLOOKUP($C126,COS!$B$8:$H$991,3,FALSE),0)</f>
        <v>92824.48193359375</v>
      </c>
      <c r="X126" s="26">
        <f t="shared" si="143"/>
        <v>5707.5549221978308</v>
      </c>
      <c r="Y126" s="26">
        <f>VLOOKUP($C126,COS!$B$8:$H$991,4,FALSE)</f>
        <v>3029.425537109375</v>
      </c>
      <c r="Z126" s="26">
        <f t="shared" si="144"/>
        <v>186.27211567019629</v>
      </c>
      <c r="AA126" s="26">
        <f t="shared" ref="AA126:AA130" si="198">MIN(W126,Y126)</f>
        <v>3029.425537109375</v>
      </c>
      <c r="AB126" s="33">
        <f t="shared" ref="AB126" si="199">AA126*DAY($C126)*86400/43560/1000*IF(MONTH($C126)=8,$P$3,IF(MONTH($C126)=9,$P$4,IF(MONTH($C126)=10,$P$5,IF(MONTH($C126)=11,$P$6,IF(MONTH($C126)=12,$P$7,NA())))))</f>
        <v>186.27211567019629</v>
      </c>
    </row>
    <row r="127" spans="1:28" x14ac:dyDescent="0.3">
      <c r="A127" s="32">
        <f>VLOOKUP(YEAR(C127),Flags!$A$13:$B$95,2,FALSE)</f>
        <v>5</v>
      </c>
      <c r="B127" s="24">
        <f t="shared" si="116"/>
        <v>1934</v>
      </c>
      <c r="C127" s="25">
        <v>12692</v>
      </c>
      <c r="D127" s="26"/>
      <c r="E127" s="24"/>
      <c r="F127" s="26"/>
      <c r="G127" s="24"/>
      <c r="H127" s="24"/>
      <c r="I127" s="26"/>
      <c r="J127" s="24"/>
      <c r="K127" s="26">
        <f>VLOOKUP($C127,COS!$B$8:$H$991,2,FALSE)</f>
        <v>550</v>
      </c>
      <c r="L127" s="24">
        <f t="shared" ref="L127" si="200">IF(AND(K127&gt;$I$7,K127&lt;$I$8),1,0)</f>
        <v>1</v>
      </c>
      <c r="M127" s="24"/>
      <c r="N127" s="26"/>
      <c r="O127" s="26"/>
      <c r="P127" s="26"/>
      <c r="Q127" s="26"/>
      <c r="R127" s="26"/>
      <c r="S127" s="26"/>
      <c r="T127" s="26"/>
      <c r="U127" s="26"/>
      <c r="V127" s="26"/>
      <c r="W127" s="26">
        <f>MAX($C$8-VLOOKUP($C127,COS!$B$8:$H$991,3,FALSE),0)</f>
        <v>96065.62744140625</v>
      </c>
      <c r="X127" s="26">
        <f t="shared" si="143"/>
        <v>5716.3017981663224</v>
      </c>
      <c r="Y127" s="26">
        <f>VLOOKUP($C127,COS!$B$8:$H$991,4,FALSE)</f>
        <v>1900.230224609375</v>
      </c>
      <c r="Z127" s="26">
        <f t="shared" si="144"/>
        <v>113.07155055526859</v>
      </c>
      <c r="AA127" s="26">
        <f t="shared" si="198"/>
        <v>1900.230224609375</v>
      </c>
      <c r="AB127" s="33">
        <f t="shared" si="141"/>
        <v>113.07155055526859</v>
      </c>
    </row>
    <row r="128" spans="1:28" x14ac:dyDescent="0.3">
      <c r="A128" s="32">
        <f>VLOOKUP(YEAR(C128),Flags!$A$13:$B$95,2,FALSE)</f>
        <v>5</v>
      </c>
      <c r="B128" s="24">
        <f t="shared" si="116"/>
        <v>1934</v>
      </c>
      <c r="C128" s="25">
        <v>12723</v>
      </c>
      <c r="D128" s="26"/>
      <c r="E128" s="24"/>
      <c r="F128" s="26"/>
      <c r="G128" s="26"/>
      <c r="H128" s="26"/>
      <c r="I128" s="26"/>
      <c r="J128" s="26"/>
      <c r="K128" s="26"/>
      <c r="L128" s="24"/>
      <c r="M128" s="24"/>
      <c r="N128" s="26"/>
      <c r="O128" s="26"/>
      <c r="P128" s="26"/>
      <c r="Q128" s="26"/>
      <c r="R128" s="26"/>
      <c r="S128" s="26"/>
      <c r="T128" s="26"/>
      <c r="U128" s="26"/>
      <c r="V128" s="26"/>
      <c r="W128" s="26">
        <f>MAX($C$9-VLOOKUP($C128,COS!$B$8:$H$991,3,FALSE),0)</f>
        <v>97296.357666015625</v>
      </c>
      <c r="X128" s="26">
        <f t="shared" si="143"/>
        <v>5982.5198432657544</v>
      </c>
      <c r="Y128" s="26">
        <f>VLOOKUP($C128,COS!$B$8:$H$991,4,FALSE)</f>
        <v>1445.2672119140625</v>
      </c>
      <c r="Z128" s="26">
        <f t="shared" si="144"/>
        <v>88.866016997029959</v>
      </c>
      <c r="AA128" s="26">
        <f t="shared" si="198"/>
        <v>1445.2672119140625</v>
      </c>
      <c r="AB128" s="33">
        <f t="shared" si="141"/>
        <v>88.866016997029959</v>
      </c>
    </row>
    <row r="129" spans="1:28" x14ac:dyDescent="0.3">
      <c r="A129" s="32">
        <f>VLOOKUP(YEAR(C129),Flags!$A$13:$B$95,2,FALSE)</f>
        <v>5</v>
      </c>
      <c r="B129" s="24">
        <f t="shared" si="116"/>
        <v>1934</v>
      </c>
      <c r="C129" s="25">
        <v>12753</v>
      </c>
      <c r="D129" s="26"/>
      <c r="E129" s="24"/>
      <c r="F129" s="26"/>
      <c r="G129" s="26"/>
      <c r="H129" s="26"/>
      <c r="I129" s="26"/>
      <c r="J129" s="26"/>
      <c r="K129" s="26"/>
      <c r="L129" s="24"/>
      <c r="M129" s="24"/>
      <c r="N129" s="26"/>
      <c r="O129" s="26"/>
      <c r="P129" s="26"/>
      <c r="Q129" s="26"/>
      <c r="R129" s="26"/>
      <c r="S129" s="26"/>
      <c r="T129" s="26"/>
      <c r="U129" s="26"/>
      <c r="V129" s="26"/>
      <c r="W129" s="26">
        <f>MAX($C$10-VLOOKUP($C129,COS!$B$8:$H$991,3,FALSE),0)</f>
        <v>96749</v>
      </c>
      <c r="X129" s="26">
        <f t="shared" si="143"/>
        <v>5756.965289256198</v>
      </c>
      <c r="Y129" s="26">
        <f>VLOOKUP($C129,COS!$B$8:$H$991,4,FALSE)</f>
        <v>2579.600341796875</v>
      </c>
      <c r="Z129" s="26">
        <f t="shared" si="144"/>
        <v>153.49687984245867</v>
      </c>
      <c r="AA129" s="26">
        <f t="shared" si="198"/>
        <v>2579.600341796875</v>
      </c>
      <c r="AB129" s="33">
        <f t="shared" si="141"/>
        <v>76.748439921229334</v>
      </c>
    </row>
    <row r="130" spans="1:28" x14ac:dyDescent="0.3">
      <c r="A130" s="34">
        <f>VLOOKUP(YEAR(C130),Flags!$A$13:$B$95,2,FALSE)</f>
        <v>5</v>
      </c>
      <c r="B130" s="35">
        <f t="shared" si="116"/>
        <v>1934</v>
      </c>
      <c r="C130" s="36">
        <v>12784</v>
      </c>
      <c r="D130" s="37"/>
      <c r="E130" s="35"/>
      <c r="F130" s="37"/>
      <c r="G130" s="37"/>
      <c r="H130" s="37"/>
      <c r="I130" s="37"/>
      <c r="J130" s="37"/>
      <c r="K130" s="37"/>
      <c r="L130" s="35"/>
      <c r="M130" s="35"/>
      <c r="N130" s="37"/>
      <c r="O130" s="37"/>
      <c r="P130" s="37"/>
      <c r="Q130" s="37"/>
      <c r="R130" s="37"/>
      <c r="S130" s="37"/>
      <c r="T130" s="37"/>
      <c r="U130" s="37"/>
      <c r="V130" s="37"/>
      <c r="W130" s="37">
        <f>MAX($C$11-VLOOKUP($C130,COS!$B$8:$H$991,3,FALSE),0)</f>
        <v>0</v>
      </c>
      <c r="X130" s="37">
        <f t="shared" si="143"/>
        <v>0</v>
      </c>
      <c r="Y130" s="37">
        <f>VLOOKUP($C130,COS!$B$8:$H$991,4,FALSE)</f>
        <v>0</v>
      </c>
      <c r="Z130" s="37">
        <f t="shared" si="144"/>
        <v>0</v>
      </c>
      <c r="AA130" s="37">
        <f t="shared" si="198"/>
        <v>0</v>
      </c>
      <c r="AB130" s="38">
        <f t="shared" si="141"/>
        <v>0</v>
      </c>
    </row>
    <row r="131" spans="1:28" x14ac:dyDescent="0.3">
      <c r="A131" s="27">
        <f>VLOOKUP(YEAR(C131),Flags!$A$13:$B$95,2,FALSE)</f>
        <v>4</v>
      </c>
      <c r="B131" s="28">
        <f t="shared" si="116"/>
        <v>1935</v>
      </c>
      <c r="C131" s="29">
        <v>12904</v>
      </c>
      <c r="D131" s="30">
        <f>VLOOKUP($C131,COS!$B$8:$H$991,3,FALSE)</f>
        <v>3250</v>
      </c>
      <c r="E131" s="28">
        <f>IF(D131&gt;=IF(MONTH($C131)=4,$C$3,IF(MONTH($C131)=5,$C$4,IF(MONTH($C131)=6,$C$5,IF(MONTH($C131)=7,$C$6,"ERROR")))),1,0)</f>
        <v>0</v>
      </c>
      <c r="F131" s="30">
        <f>VLOOKUP($C131,COS!$B$8:$H$991,7,FALSE)</f>
        <v>49.358055114746094</v>
      </c>
      <c r="G131" s="28">
        <f>IF(F131&lt;=IF(MONTH($C131)=4,$F$3,IF(MONTH($C131)=5,$F$4,IF(MONTH($C131)=6,$F$5,IF(MONTH($C131)=7,$F$6,"ERROR")))),1,0)</f>
        <v>1</v>
      </c>
      <c r="H131" s="30">
        <f>IF(J131=1,D131-$C$3,0)</f>
        <v>0</v>
      </c>
      <c r="I131" s="30">
        <f t="shared" si="136"/>
        <v>0</v>
      </c>
      <c r="J131" s="28">
        <f t="shared" ref="J131:J134" si="201">IF(AND(E131=1,G131=1),1,0)</f>
        <v>0</v>
      </c>
      <c r="K131" s="30">
        <f>VLOOKUP($C131,COS!$B$8:$H$991,2,FALSE)</f>
        <v>2701.329833984375</v>
      </c>
      <c r="L131" s="28">
        <f t="shared" ref="L131" si="202">IF(K131&lt;=IF(MONTH($C131)=4,$I$3,IF(MONTH($C131)=5,$I$4,IF(MONTH($C131)=6,$I$5,IF(MONTH($C131)=7,$I$6,"ERROR")))),1,0)</f>
        <v>1</v>
      </c>
      <c r="M131" s="28">
        <f t="shared" ref="M131" si="203">VLOOKUP($A131,$L$3:$M$7,2,FALSE)</f>
        <v>1</v>
      </c>
      <c r="N131" s="30">
        <f>VLOOKUP($C131,COS!$B$8:$H$991,5,FALSE)</f>
        <v>1.3366308212280273</v>
      </c>
      <c r="O131" s="30">
        <f t="shared" ref="O131:O134" si="204">N131*DAY($C131)*86400/43560/1000</f>
        <v>7.9535057130923945E-2</v>
      </c>
      <c r="P131" s="30">
        <f>VLOOKUP($C131,COS!$B$8:$H$991,6,FALSE)</f>
        <v>295.18359375</v>
      </c>
      <c r="Q131" s="30">
        <f t="shared" ref="Q131:Q134" si="205">P131*DAY($C131)*86400/43560/1000</f>
        <v>17.564643595041321</v>
      </c>
      <c r="R131" s="30">
        <f>MIN(IF(MONTH($C131)=4,$S$3,IF(MONTH($C131)=5,$S$4,IF(MONTH($C131)=6,$S$5,IF(MONTH($C131)=7,$S$6,"ERROR")))),MAX(VLOOKUP($C131,COS!$B$8:$K$991,10,FALSE)-IF(MONTH($C131)=4,$Y$3,IF(MONTH($C131)=5,$Y$4,IF(MONTH($C131)=6,$Y$5,IF(MONTH($C131)=7,$Y$6,"ERROR")))),0),MAX(VLOOKUP($C131,COS!$B$8:$K$991,9,FALSE)-IF(MONTH($C131)=4,$V$3,IF(MONTH($C131)=5,$V$4,IF(MONTH($C131)=6,$V$5,IF(MONTH($C131)=7,$V$6,"ERROR"))))-VLOOKUP($C131,COS!$B$8:$K$991,6,FALSE)/2,0))</f>
        <v>0</v>
      </c>
      <c r="S131" s="30">
        <f t="shared" ref="S131:S134" si="206">R131*DAY($C131)*86400/43560/1000</f>
        <v>0</v>
      </c>
      <c r="T131" s="30">
        <f t="shared" ref="T131:T134" si="207">(O131+Q131)/2+S131</f>
        <v>8.8220893260861235</v>
      </c>
      <c r="U131" s="30" t="str">
        <f>IF(VLOOKUP($C131,COS!$B$8:$I$991,8,FALSE)=1,"UWFE","IBU")</f>
        <v>UWFE</v>
      </c>
      <c r="V131" s="30">
        <f t="shared" ref="V131" si="208">MIN(IF(IF($AA$3=2,AND(E131=1,G131=1,L131=1,L136=1,M131=1,U131="IBU"),AND(E131=1,G131=1,L131=1,L136=1,M131=1)),T131,0),I131)</f>
        <v>0</v>
      </c>
      <c r="W131" s="30"/>
      <c r="X131" s="30"/>
      <c r="Y131" s="30"/>
      <c r="Z131" s="30"/>
      <c r="AA131" s="30"/>
      <c r="AB131" s="31"/>
    </row>
    <row r="132" spans="1:28" x14ac:dyDescent="0.3">
      <c r="A132" s="32">
        <f>VLOOKUP(YEAR(C132),Flags!$A$13:$B$95,2,FALSE)</f>
        <v>4</v>
      </c>
      <c r="B132" s="24">
        <f t="shared" si="116"/>
        <v>1935</v>
      </c>
      <c r="C132" s="25">
        <v>12935</v>
      </c>
      <c r="D132" s="26">
        <f>VLOOKUP($C132,COS!$B$8:$H$991,3,FALSE)</f>
        <v>3785.33349609375</v>
      </c>
      <c r="E132" s="24">
        <f>IF(D132&gt;=IF(MONTH($C132)=4,$C$3,IF(MONTH($C132)=5,$C$4,IF(MONTH($C132)=6,$C$5,IF(MONTH($C132)=7,$C$6,"ERROR")))),1,0)</f>
        <v>0</v>
      </c>
      <c r="F132" s="26">
        <f>VLOOKUP($C132,COS!$B$8:$H$991,7,FALSE)</f>
        <v>51.774246215820313</v>
      </c>
      <c r="G132" s="24">
        <f>IF(F132&lt;=IF(MONTH($C132)=4,$F$3,IF(MONTH($C132)=5,$F$4,IF(MONTH($C132)=6,$F$5,IF(MONTH($C132)=7,$F$6,"ERROR")))),1,0)</f>
        <v>1</v>
      </c>
      <c r="H132" s="26">
        <f>IF(J132=1,D132-$C$4,0)</f>
        <v>0</v>
      </c>
      <c r="I132" s="26">
        <f t="shared" si="136"/>
        <v>0</v>
      </c>
      <c r="J132" s="24">
        <f t="shared" si="201"/>
        <v>0</v>
      </c>
      <c r="K132" s="26">
        <f>VLOOKUP($C132,COS!$B$8:$H$991,2,FALSE)</f>
        <v>2993.270751953125</v>
      </c>
      <c r="L132" s="24">
        <f t="shared" si="129"/>
        <v>1</v>
      </c>
      <c r="M132" s="24">
        <f t="shared" si="130"/>
        <v>1</v>
      </c>
      <c r="N132" s="26">
        <f>VLOOKUP($C132,COS!$B$8:$H$991,5,FALSE)</f>
        <v>70.798858642578125</v>
      </c>
      <c r="O132" s="26">
        <f t="shared" si="204"/>
        <v>4.3532521347172004</v>
      </c>
      <c r="P132" s="26">
        <f>VLOOKUP($C132,COS!$B$8:$H$991,6,FALSE)</f>
        <v>2185.40966796875</v>
      </c>
      <c r="Q132" s="26">
        <f t="shared" si="205"/>
        <v>134.37560272469008</v>
      </c>
      <c r="R132" s="26">
        <f>MIN(IF(MONTH($C132)=4,$S$3,IF(MONTH($C132)=5,$S$4,IF(MONTH($C132)=6,$S$5,IF(MONTH($C132)=7,$S$6,"ERROR")))),MAX(VLOOKUP($C132,COS!$B$8:$K$991,10,FALSE)-IF(MONTH($C132)=4,$Y$3,IF(MONTH($C132)=5,$Y$4,IF(MONTH($C132)=6,$Y$5,IF(MONTH($C132)=7,$Y$6,"ERROR")))),0),MAX(VLOOKUP($C132,COS!$B$8:$K$991,9,FALSE)-IF(MONTH($C132)=4,$V$3,IF(MONTH($C132)=5,$V$4,IF(MONTH($C132)=6,$V$5,IF(MONTH($C132)=7,$V$6,"ERROR"))))-VLOOKUP($C132,COS!$B$8:$K$991,6,FALSE)/2,0))</f>
        <v>0</v>
      </c>
      <c r="S132" s="26">
        <f t="shared" si="206"/>
        <v>0</v>
      </c>
      <c r="T132" s="26">
        <f t="shared" si="207"/>
        <v>69.364427429703639</v>
      </c>
      <c r="U132" s="26" t="str">
        <f>IF(VLOOKUP($C132,COS!$B$8:$I$991,8,FALSE)=1,"UWFE","IBU")</f>
        <v>UWFE</v>
      </c>
      <c r="V132" s="26">
        <f t="shared" ref="V132" si="209">MIN(IF(IF($AA$3=2,AND(E132=1,G132=1,L132=1,L136=1,M132=1,U132="IBU"),AND(E132=1,G132=1,L132=1,L136=1,M132=1)),T132,0),I132)</f>
        <v>0</v>
      </c>
      <c r="W132" s="26"/>
      <c r="X132" s="26"/>
      <c r="Y132" s="26"/>
      <c r="Z132" s="26"/>
      <c r="AA132" s="26"/>
      <c r="AB132" s="33"/>
    </row>
    <row r="133" spans="1:28" x14ac:dyDescent="0.3">
      <c r="A133" s="32">
        <f>VLOOKUP(YEAR(C133),Flags!$A$13:$B$95,2,FALSE)</f>
        <v>4</v>
      </c>
      <c r="B133" s="24">
        <f t="shared" si="116"/>
        <v>1935</v>
      </c>
      <c r="C133" s="25">
        <v>12965</v>
      </c>
      <c r="D133" s="26">
        <f>VLOOKUP($C133,COS!$B$8:$H$991,3,FALSE)</f>
        <v>8129.7919921875</v>
      </c>
      <c r="E133" s="24">
        <f>IF(D133&gt;=IF(MONTH($C133)=4,$C$3,IF(MONTH($C133)=5,$C$4,IF(MONTH($C133)=6,$C$5,IF(MONTH($C133)=7,$C$6,"ERROR")))),1,0)</f>
        <v>0</v>
      </c>
      <c r="F133" s="26">
        <f>VLOOKUP($C133,COS!$B$8:$H$991,7,FALSE)</f>
        <v>51.700939178466797</v>
      </c>
      <c r="G133" s="24">
        <f>IF(F133&lt;=IF(MONTH($C133)=4,$F$3,IF(MONTH($C133)=5,$F$4,IF(MONTH($C133)=6,$F$5,IF(MONTH($C133)=7,$F$6,"ERROR")))),1,0)</f>
        <v>1</v>
      </c>
      <c r="H133" s="26">
        <f>IF(J133=1,D133-$C$5,0)</f>
        <v>0</v>
      </c>
      <c r="I133" s="26">
        <f t="shared" si="136"/>
        <v>0</v>
      </c>
      <c r="J133" s="24">
        <f t="shared" si="201"/>
        <v>0</v>
      </c>
      <c r="K133" s="26">
        <f>VLOOKUP($C133,COS!$B$8:$H$991,2,FALSE)</f>
        <v>2742.553466796875</v>
      </c>
      <c r="L133" s="24">
        <f t="shared" si="129"/>
        <v>1</v>
      </c>
      <c r="M133" s="24">
        <f t="shared" si="130"/>
        <v>1</v>
      </c>
      <c r="N133" s="26">
        <f>VLOOKUP($C133,COS!$B$8:$H$991,5,FALSE)</f>
        <v>355.03094482421875</v>
      </c>
      <c r="O133" s="26">
        <f t="shared" si="204"/>
        <v>21.125808287060952</v>
      </c>
      <c r="P133" s="26">
        <f>VLOOKUP($C133,COS!$B$8:$H$991,6,FALSE)</f>
        <v>2600.013916015625</v>
      </c>
      <c r="Q133" s="26">
        <f t="shared" si="205"/>
        <v>154.71157186208677</v>
      </c>
      <c r="R133" s="26">
        <f>MIN(IF(MONTH($C133)=4,$S$3,IF(MONTH($C133)=5,$S$4,IF(MONTH($C133)=6,$S$5,IF(MONTH($C133)=7,$S$6,"ERROR")))),MAX(VLOOKUP($C133,COS!$B$8:$K$991,10,FALSE)-IF(MONTH($C133)=4,$Y$3,IF(MONTH($C133)=5,$Y$4,IF(MONTH($C133)=6,$Y$5,IF(MONTH($C133)=7,$Y$6,"ERROR")))),0),MAX(VLOOKUP($C133,COS!$B$8:$K$991,9,FALSE)-IF(MONTH($C133)=4,$V$3,IF(MONTH($C133)=5,$V$4,IF(MONTH($C133)=6,$V$5,IF(MONTH($C133)=7,$V$6,"ERROR"))))-VLOOKUP($C133,COS!$B$8:$K$991,6,FALSE)/2,0))</f>
        <v>0</v>
      </c>
      <c r="S133" s="26">
        <f t="shared" si="206"/>
        <v>0</v>
      </c>
      <c r="T133" s="26">
        <f t="shared" si="207"/>
        <v>87.91869007457386</v>
      </c>
      <c r="U133" s="26" t="str">
        <f>IF(VLOOKUP($C133,COS!$B$8:$I$991,8,FALSE)=1,"UWFE","IBU")</f>
        <v>IBU</v>
      </c>
      <c r="V133" s="26">
        <f t="shared" ref="V133" si="210">MIN(IF(IF($AA$3=2,AND(E133=1,G133=1,L133=1,L136=1,M133=1,U133="IBU"),AND(E133=1,G133=1,L133=1,L136=1,M133=1)),T133,0),I133)</f>
        <v>0</v>
      </c>
      <c r="W133" s="26"/>
      <c r="X133" s="26"/>
      <c r="Y133" s="26"/>
      <c r="Z133" s="26"/>
      <c r="AA133" s="26"/>
      <c r="AB133" s="33"/>
    </row>
    <row r="134" spans="1:28" x14ac:dyDescent="0.3">
      <c r="A134" s="32">
        <f>VLOOKUP(YEAR(C134),Flags!$A$13:$B$95,2,FALSE)</f>
        <v>4</v>
      </c>
      <c r="B134" s="24">
        <f t="shared" si="116"/>
        <v>1935</v>
      </c>
      <c r="C134" s="25">
        <v>12996</v>
      </c>
      <c r="D134" s="26">
        <f>VLOOKUP($C134,COS!$B$8:$H$991,3,FALSE)</f>
        <v>9552.029296875</v>
      </c>
      <c r="E134" s="24">
        <f>IF(D134&gt;=IF(MONTH($C134)=4,$C$3,IF(MONTH($C134)=5,$C$4,IF(MONTH($C134)=6,$C$5,IF(MONTH($C134)=7,$C$6,"ERROR")))),1,0)</f>
        <v>0</v>
      </c>
      <c r="F134" s="26">
        <f>VLOOKUP($C134,COS!$B$8:$H$991,7,FALSE)</f>
        <v>53.422840118408203</v>
      </c>
      <c r="G134" s="24">
        <f>IF(F134&lt;=IF(MONTH($C134)=4,$F$3,IF(MONTH($C134)=5,$F$4,IF(MONTH($C134)=6,$F$5,IF(MONTH($C134)=7,$F$6,"ERROR")))),1,0)</f>
        <v>1</v>
      </c>
      <c r="H134" s="26">
        <f>IF(J134=1,D134-$C$6,0)</f>
        <v>0</v>
      </c>
      <c r="I134" s="26">
        <f t="shared" si="136"/>
        <v>0</v>
      </c>
      <c r="J134" s="24">
        <f t="shared" si="201"/>
        <v>0</v>
      </c>
      <c r="K134" s="26">
        <f>VLOOKUP($C134,COS!$B$8:$H$991,2,FALSE)</f>
        <v>2381.828857421875</v>
      </c>
      <c r="L134" s="24">
        <f t="shared" si="129"/>
        <v>1</v>
      </c>
      <c r="M134" s="24">
        <f t="shared" si="130"/>
        <v>1</v>
      </c>
      <c r="N134" s="26">
        <f>VLOOKUP($C134,COS!$B$8:$H$991,5,FALSE)</f>
        <v>386.67288208007813</v>
      </c>
      <c r="O134" s="26">
        <f t="shared" si="204"/>
        <v>23.775588782444473</v>
      </c>
      <c r="P134" s="26">
        <f>VLOOKUP($C134,COS!$B$8:$H$991,6,FALSE)</f>
        <v>2632.5888671875</v>
      </c>
      <c r="Q134" s="26">
        <f t="shared" si="205"/>
        <v>161.87157993285126</v>
      </c>
      <c r="R134" s="26">
        <f>MIN(IF(MONTH($C134)=4,$S$3,IF(MONTH($C134)=5,$S$4,IF(MONTH($C134)=6,$S$5,IF(MONTH($C134)=7,$S$6,"ERROR")))),MAX(VLOOKUP($C134,COS!$B$8:$K$991,10,FALSE)-IF(MONTH($C134)=4,$Y$3,IF(MONTH($C134)=5,$Y$4,IF(MONTH($C134)=6,$Y$5,IF(MONTH($C134)=7,$Y$6,"ERROR")))),0),MAX(VLOOKUP($C134,COS!$B$8:$K$991,9,FALSE)-IF(MONTH($C134)=4,$V$3,IF(MONTH($C134)=5,$V$4,IF(MONTH($C134)=6,$V$5,IF(MONTH($C134)=7,$V$6,"ERROR"))))-VLOOKUP($C134,COS!$B$8:$K$991,6,FALSE)/2,0))</f>
        <v>0</v>
      </c>
      <c r="S134" s="26">
        <f t="shared" si="206"/>
        <v>0</v>
      </c>
      <c r="T134" s="26">
        <f t="shared" si="207"/>
        <v>92.82358435764786</v>
      </c>
      <c r="U134" s="26" t="str">
        <f>IF(VLOOKUP($C134,COS!$B$8:$I$991,8,FALSE)=1,"UWFE","IBU")</f>
        <v>IBU</v>
      </c>
      <c r="V134" s="26">
        <f t="shared" ref="V134" si="211">MIN(IF(IF($AA$3=2,AND(E134=1,G134=1,L134=1,L136=1,M134=1,U134="IBU"),AND(E134=1,G134=1,L134=1,L136=1,M134=1)),T134,0),I134)</f>
        <v>0</v>
      </c>
      <c r="W134" s="26"/>
      <c r="X134" s="26"/>
      <c r="Y134" s="26"/>
      <c r="Z134" s="26"/>
      <c r="AA134" s="26"/>
      <c r="AB134" s="33"/>
    </row>
    <row r="135" spans="1:28" x14ac:dyDescent="0.3">
      <c r="A135" s="32">
        <f>VLOOKUP(YEAR(C135),Flags!$A$13:$B$95,2,FALSE)</f>
        <v>4</v>
      </c>
      <c r="B135" s="24">
        <f t="shared" si="116"/>
        <v>1935</v>
      </c>
      <c r="C135" s="25">
        <v>13027</v>
      </c>
      <c r="D135" s="26"/>
      <c r="E135" s="24"/>
      <c r="F135" s="26"/>
      <c r="G135" s="24"/>
      <c r="H135" s="24"/>
      <c r="I135" s="26"/>
      <c r="J135" s="24"/>
      <c r="K135" s="26"/>
      <c r="L135" s="24"/>
      <c r="M135" s="24"/>
      <c r="N135" s="26"/>
      <c r="O135" s="26"/>
      <c r="P135" s="26"/>
      <c r="Q135" s="26"/>
      <c r="R135" s="26"/>
      <c r="S135" s="26"/>
      <c r="T135" s="26"/>
      <c r="U135" s="26"/>
      <c r="V135" s="26"/>
      <c r="W135" s="26">
        <f>MAX($C$7-VLOOKUP($C135,COS!$B$8:$H$991,3,FALSE),0)</f>
        <v>91777.314453125</v>
      </c>
      <c r="X135" s="26">
        <f t="shared" si="143"/>
        <v>5643.1671035640502</v>
      </c>
      <c r="Y135" s="26">
        <f>VLOOKUP($C135,COS!$B$8:$H$991,4,FALSE)</f>
        <v>311.4095458984375</v>
      </c>
      <c r="Z135" s="26">
        <f t="shared" si="144"/>
        <v>19.147826623837808</v>
      </c>
      <c r="AA135" s="26">
        <f t="shared" ref="AA135:AA139" si="212">MIN(W135,Y135)</f>
        <v>311.4095458984375</v>
      </c>
      <c r="AB135" s="33">
        <f t="shared" ref="AB135" si="213">AA135*DAY($C135)*86400/43560/1000*IF(MONTH($C135)=8,$P$3,IF(MONTH($C135)=9,$P$4,IF(MONTH($C135)=10,$P$5,IF(MONTH($C135)=11,$P$6,IF(MONTH($C135)=12,$P$7,NA())))))</f>
        <v>19.147826623837808</v>
      </c>
    </row>
    <row r="136" spans="1:28" x14ac:dyDescent="0.3">
      <c r="A136" s="32">
        <f>VLOOKUP(YEAR(C136),Flags!$A$13:$B$95,2,FALSE)</f>
        <v>4</v>
      </c>
      <c r="B136" s="24">
        <f t="shared" si="116"/>
        <v>1935</v>
      </c>
      <c r="C136" s="25">
        <v>13057</v>
      </c>
      <c r="D136" s="26"/>
      <c r="E136" s="24"/>
      <c r="F136" s="26"/>
      <c r="G136" s="24"/>
      <c r="H136" s="24"/>
      <c r="I136" s="26"/>
      <c r="J136" s="24"/>
      <c r="K136" s="26">
        <f>VLOOKUP($C136,COS!$B$8:$H$991,2,FALSE)</f>
        <v>1958.6934814453125</v>
      </c>
      <c r="L136" s="24">
        <f t="shared" ref="L136" si="214">IF(AND(K136&gt;$I$7,K136&lt;$I$8),1,0)</f>
        <v>1</v>
      </c>
      <c r="M136" s="24"/>
      <c r="N136" s="26"/>
      <c r="O136" s="26"/>
      <c r="P136" s="26"/>
      <c r="Q136" s="26"/>
      <c r="R136" s="26"/>
      <c r="S136" s="26"/>
      <c r="T136" s="26"/>
      <c r="U136" s="26"/>
      <c r="V136" s="26"/>
      <c r="W136" s="26">
        <f>MAX($C$8-VLOOKUP($C136,COS!$B$8:$H$991,3,FALSE),0)</f>
        <v>95974.235595703125</v>
      </c>
      <c r="X136" s="26">
        <f t="shared" si="143"/>
        <v>5710.8636056947316</v>
      </c>
      <c r="Y136" s="26">
        <f>VLOOKUP($C136,COS!$B$8:$H$991,4,FALSE)</f>
        <v>386.73208618164063</v>
      </c>
      <c r="Z136" s="26">
        <f t="shared" si="144"/>
        <v>23.012157194279443</v>
      </c>
      <c r="AA136" s="26">
        <f t="shared" si="212"/>
        <v>386.73208618164063</v>
      </c>
      <c r="AB136" s="33">
        <f t="shared" si="141"/>
        <v>23.012157194279443</v>
      </c>
    </row>
    <row r="137" spans="1:28" x14ac:dyDescent="0.3">
      <c r="A137" s="32">
        <f>VLOOKUP(YEAR(C137),Flags!$A$13:$B$95,2,FALSE)</f>
        <v>4</v>
      </c>
      <c r="B137" s="24">
        <f t="shared" si="116"/>
        <v>1935</v>
      </c>
      <c r="C137" s="25">
        <v>13088</v>
      </c>
      <c r="D137" s="26"/>
      <c r="E137" s="24"/>
      <c r="F137" s="26"/>
      <c r="G137" s="26"/>
      <c r="H137" s="26"/>
      <c r="I137" s="26"/>
      <c r="J137" s="26"/>
      <c r="K137" s="26"/>
      <c r="L137" s="24"/>
      <c r="M137" s="24"/>
      <c r="N137" s="26"/>
      <c r="O137" s="26"/>
      <c r="P137" s="26"/>
      <c r="Q137" s="26"/>
      <c r="R137" s="26"/>
      <c r="S137" s="26"/>
      <c r="T137" s="26"/>
      <c r="U137" s="26"/>
      <c r="V137" s="26"/>
      <c r="W137" s="26">
        <f>MAX($C$9-VLOOKUP($C137,COS!$B$8:$H$991,3,FALSE),0)</f>
        <v>96108.80029296875</v>
      </c>
      <c r="X137" s="26">
        <f t="shared" si="143"/>
        <v>5909.4997866089871</v>
      </c>
      <c r="Y137" s="26">
        <f>VLOOKUP($C137,COS!$B$8:$H$991,4,FALSE)</f>
        <v>839.30419921875</v>
      </c>
      <c r="Z137" s="26">
        <f t="shared" si="144"/>
        <v>51.606803654442146</v>
      </c>
      <c r="AA137" s="26">
        <f t="shared" si="212"/>
        <v>839.30419921875</v>
      </c>
      <c r="AB137" s="33">
        <f t="shared" si="141"/>
        <v>51.606803654442146</v>
      </c>
    </row>
    <row r="138" spans="1:28" x14ac:dyDescent="0.3">
      <c r="A138" s="32">
        <f>VLOOKUP(YEAR(C138),Flags!$A$13:$B$95,2,FALSE)</f>
        <v>4</v>
      </c>
      <c r="B138" s="24">
        <f t="shared" si="116"/>
        <v>1935</v>
      </c>
      <c r="C138" s="25">
        <v>13118</v>
      </c>
      <c r="D138" s="26"/>
      <c r="E138" s="24"/>
      <c r="F138" s="26"/>
      <c r="G138" s="26"/>
      <c r="H138" s="26"/>
      <c r="I138" s="26"/>
      <c r="J138" s="26"/>
      <c r="K138" s="26"/>
      <c r="L138" s="24"/>
      <c r="M138" s="24"/>
      <c r="N138" s="26"/>
      <c r="O138" s="26"/>
      <c r="P138" s="26"/>
      <c r="Q138" s="26"/>
      <c r="R138" s="26"/>
      <c r="S138" s="26"/>
      <c r="T138" s="26"/>
      <c r="U138" s="26"/>
      <c r="V138" s="26"/>
      <c r="W138" s="26">
        <f>MAX($C$10-VLOOKUP($C138,COS!$B$8:$H$991,3,FALSE),0)</f>
        <v>96609.462646484375</v>
      </c>
      <c r="X138" s="26">
        <f t="shared" si="143"/>
        <v>5748.6622401213845</v>
      </c>
      <c r="Y138" s="26">
        <f>VLOOKUP($C138,COS!$B$8:$H$991,4,FALSE)</f>
        <v>442.06243896484375</v>
      </c>
      <c r="Z138" s="26">
        <f t="shared" si="144"/>
        <v>26.304541822701445</v>
      </c>
      <c r="AA138" s="26">
        <f t="shared" si="212"/>
        <v>442.06243896484375</v>
      </c>
      <c r="AB138" s="33">
        <f t="shared" si="141"/>
        <v>13.152270911350723</v>
      </c>
    </row>
    <row r="139" spans="1:28" x14ac:dyDescent="0.3">
      <c r="A139" s="34">
        <f>VLOOKUP(YEAR(C139),Flags!$A$13:$B$95,2,FALSE)</f>
        <v>4</v>
      </c>
      <c r="B139" s="35">
        <f t="shared" si="116"/>
        <v>1935</v>
      </c>
      <c r="C139" s="36">
        <v>13149</v>
      </c>
      <c r="D139" s="37"/>
      <c r="E139" s="35"/>
      <c r="F139" s="37"/>
      <c r="G139" s="37"/>
      <c r="H139" s="37"/>
      <c r="I139" s="37"/>
      <c r="J139" s="37"/>
      <c r="K139" s="37"/>
      <c r="L139" s="35"/>
      <c r="M139" s="35"/>
      <c r="N139" s="37"/>
      <c r="O139" s="37"/>
      <c r="P139" s="37"/>
      <c r="Q139" s="37"/>
      <c r="R139" s="37"/>
      <c r="S139" s="37"/>
      <c r="T139" s="37"/>
      <c r="U139" s="37"/>
      <c r="V139" s="37"/>
      <c r="W139" s="37">
        <f>MAX($C$11-VLOOKUP($C139,COS!$B$8:$H$991,3,FALSE),0)</f>
        <v>0</v>
      </c>
      <c r="X139" s="37">
        <f t="shared" si="143"/>
        <v>0</v>
      </c>
      <c r="Y139" s="37">
        <f>VLOOKUP($C139,COS!$B$8:$H$991,4,FALSE)</f>
        <v>18.913251876831055</v>
      </c>
      <c r="Z139" s="37">
        <f t="shared" si="144"/>
        <v>1.162930528624984</v>
      </c>
      <c r="AA139" s="37">
        <f t="shared" si="212"/>
        <v>0</v>
      </c>
      <c r="AB139" s="38">
        <f t="shared" si="141"/>
        <v>0</v>
      </c>
    </row>
    <row r="140" spans="1:28" x14ac:dyDescent="0.3">
      <c r="A140" s="27">
        <f>VLOOKUP(YEAR(C140),Flags!$A$13:$B$95,2,FALSE)</f>
        <v>3</v>
      </c>
      <c r="B140" s="28">
        <f t="shared" si="116"/>
        <v>1936</v>
      </c>
      <c r="C140" s="29">
        <v>13270</v>
      </c>
      <c r="D140" s="30">
        <f>VLOOKUP($C140,COS!$B$8:$H$991,3,FALSE)</f>
        <v>3250</v>
      </c>
      <c r="E140" s="28">
        <f>IF(D140&gt;=IF(MONTH($C140)=4,$C$3,IF(MONTH($C140)=5,$C$4,IF(MONTH($C140)=6,$C$5,IF(MONTH($C140)=7,$C$6,"ERROR")))),1,0)</f>
        <v>0</v>
      </c>
      <c r="F140" s="30">
        <f>VLOOKUP($C140,COS!$B$8:$H$991,7,FALSE)</f>
        <v>49.935798645019531</v>
      </c>
      <c r="G140" s="28">
        <f>IF(F140&lt;=IF(MONTH($C140)=4,$F$3,IF(MONTH($C140)=5,$F$4,IF(MONTH($C140)=6,$F$5,IF(MONTH($C140)=7,$F$6,"ERROR")))),1,0)</f>
        <v>1</v>
      </c>
      <c r="H140" s="30">
        <f>IF(J140=1,D140-$C$3,0)</f>
        <v>0</v>
      </c>
      <c r="I140" s="30">
        <f t="shared" si="136"/>
        <v>0</v>
      </c>
      <c r="J140" s="28">
        <f t="shared" ref="J140:J143" si="215">IF(AND(E140=1,G140=1),1,0)</f>
        <v>0</v>
      </c>
      <c r="K140" s="30">
        <f>VLOOKUP($C140,COS!$B$8:$H$991,2,FALSE)</f>
        <v>4126.388671875</v>
      </c>
      <c r="L140" s="28">
        <f t="shared" ref="L140" si="216">IF(K140&lt;=IF(MONTH($C140)=4,$I$3,IF(MONTH($C140)=5,$I$4,IF(MONTH($C140)=6,$I$5,IF(MONTH($C140)=7,$I$6,"ERROR")))),1,0)</f>
        <v>1</v>
      </c>
      <c r="M140" s="28">
        <f t="shared" ref="M140" si="217">VLOOKUP($A140,$L$3:$M$7,2,FALSE)</f>
        <v>0</v>
      </c>
      <c r="N140" s="30">
        <f>VLOOKUP($C140,COS!$B$8:$H$991,5,FALSE)</f>
        <v>205.43023681640625</v>
      </c>
      <c r="O140" s="30">
        <f t="shared" ref="O140:O143" si="218">N140*DAY($C140)*86400/43560/1000</f>
        <v>12.223947975852273</v>
      </c>
      <c r="P140" s="30">
        <f>VLOOKUP($C140,COS!$B$8:$H$991,6,FALSE)</f>
        <v>427.27923583984375</v>
      </c>
      <c r="Q140" s="30">
        <f t="shared" ref="Q140:Q143" si="219">P140*DAY($C140)*86400/43560/1000</f>
        <v>25.424880149147729</v>
      </c>
      <c r="R140" s="30">
        <f>MIN(IF(MONTH($C140)=4,$S$3,IF(MONTH($C140)=5,$S$4,IF(MONTH($C140)=6,$S$5,IF(MONTH($C140)=7,$S$6,"ERROR")))),MAX(VLOOKUP($C140,COS!$B$8:$K$991,10,FALSE)-IF(MONTH($C140)=4,$Y$3,IF(MONTH($C140)=5,$Y$4,IF(MONTH($C140)=6,$Y$5,IF(MONTH($C140)=7,$Y$6,"ERROR")))),0),MAX(VLOOKUP($C140,COS!$B$8:$K$991,9,FALSE)-IF(MONTH($C140)=4,$V$3,IF(MONTH($C140)=5,$V$4,IF(MONTH($C140)=6,$V$5,IF(MONTH($C140)=7,$V$6,"ERROR"))))-VLOOKUP($C140,COS!$B$8:$K$991,6,FALSE)/2,0))</f>
        <v>0</v>
      </c>
      <c r="S140" s="30">
        <f t="shared" ref="S140:S143" si="220">R140*DAY($C140)*86400/43560/1000</f>
        <v>0</v>
      </c>
      <c r="T140" s="30">
        <f t="shared" ref="T140:T143" si="221">(O140+Q140)/2+S140</f>
        <v>18.824414062500001</v>
      </c>
      <c r="U140" s="30" t="str">
        <f>IF(VLOOKUP($C140,COS!$B$8:$I$991,8,FALSE)=1,"UWFE","IBU")</f>
        <v>UWFE</v>
      </c>
      <c r="V140" s="30">
        <f t="shared" ref="V140" si="222">MIN(IF(IF($AA$3=2,AND(E140=1,G140=1,L140=1,L145=1,M140=1,U140="IBU"),AND(E140=1,G140=1,L140=1,L145=1,M140=1)),T140,0),I140)</f>
        <v>0</v>
      </c>
      <c r="W140" s="30"/>
      <c r="X140" s="30"/>
      <c r="Y140" s="30"/>
      <c r="Z140" s="30"/>
      <c r="AA140" s="30"/>
      <c r="AB140" s="31"/>
    </row>
    <row r="141" spans="1:28" x14ac:dyDescent="0.3">
      <c r="A141" s="32">
        <f>VLOOKUP(YEAR(C141),Flags!$A$13:$B$95,2,FALSE)</f>
        <v>3</v>
      </c>
      <c r="B141" s="24">
        <f t="shared" si="116"/>
        <v>1936</v>
      </c>
      <c r="C141" s="25">
        <v>13301</v>
      </c>
      <c r="D141" s="26">
        <f>VLOOKUP($C141,COS!$B$8:$H$991,3,FALSE)</f>
        <v>5730.4501953125</v>
      </c>
      <c r="E141" s="24">
        <f>IF(D141&gt;=IF(MONTH($C141)=4,$C$3,IF(MONTH($C141)=5,$C$4,IF(MONTH($C141)=6,$C$5,IF(MONTH($C141)=7,$C$6,"ERROR")))),1,0)</f>
        <v>0</v>
      </c>
      <c r="F141" s="26">
        <f>VLOOKUP($C141,COS!$B$8:$H$991,7,FALSE)</f>
        <v>50.767982482910156</v>
      </c>
      <c r="G141" s="24">
        <f>IF(F141&lt;=IF(MONTH($C141)=4,$F$3,IF(MONTH($C141)=5,$F$4,IF(MONTH($C141)=6,$F$5,IF(MONTH($C141)=7,$F$6,"ERROR")))),1,0)</f>
        <v>1</v>
      </c>
      <c r="H141" s="26">
        <f>IF(J141=1,D141-$C$4,0)</f>
        <v>0</v>
      </c>
      <c r="I141" s="26">
        <f t="shared" si="136"/>
        <v>0</v>
      </c>
      <c r="J141" s="24">
        <f t="shared" si="215"/>
        <v>0</v>
      </c>
      <c r="K141" s="26">
        <f>VLOOKUP($C141,COS!$B$8:$H$991,2,FALSE)</f>
        <v>4065.37890625</v>
      </c>
      <c r="L141" s="24">
        <f t="shared" si="129"/>
        <v>1</v>
      </c>
      <c r="M141" s="24">
        <f t="shared" si="130"/>
        <v>0</v>
      </c>
      <c r="N141" s="26">
        <f>VLOOKUP($C141,COS!$B$8:$H$991,5,FALSE)</f>
        <v>284.62387084960938</v>
      </c>
      <c r="O141" s="26">
        <f t="shared" si="218"/>
        <v>17.500839662157798</v>
      </c>
      <c r="P141" s="26">
        <f>VLOOKUP($C141,COS!$B$8:$H$991,6,FALSE)</f>
        <v>2118.009033203125</v>
      </c>
      <c r="Q141" s="26">
        <f t="shared" si="219"/>
        <v>130.23129923166323</v>
      </c>
      <c r="R141" s="26">
        <f>MIN(IF(MONTH($C141)=4,$S$3,IF(MONTH($C141)=5,$S$4,IF(MONTH($C141)=6,$S$5,IF(MONTH($C141)=7,$S$6,"ERROR")))),MAX(VLOOKUP($C141,COS!$B$8:$K$991,10,FALSE)-IF(MONTH($C141)=4,$Y$3,IF(MONTH($C141)=5,$Y$4,IF(MONTH($C141)=6,$Y$5,IF(MONTH($C141)=7,$Y$6,"ERROR")))),0),MAX(VLOOKUP($C141,COS!$B$8:$K$991,9,FALSE)-IF(MONTH($C141)=4,$V$3,IF(MONTH($C141)=5,$V$4,IF(MONTH($C141)=6,$V$5,IF(MONTH($C141)=7,$V$6,"ERROR"))))-VLOOKUP($C141,COS!$B$8:$K$991,6,FALSE)/2,0))</f>
        <v>0</v>
      </c>
      <c r="S141" s="26">
        <f t="shared" si="220"/>
        <v>0</v>
      </c>
      <c r="T141" s="26">
        <f t="shared" si="221"/>
        <v>73.866069446910515</v>
      </c>
      <c r="U141" s="26" t="str">
        <f>IF(VLOOKUP($C141,COS!$B$8:$I$991,8,FALSE)=1,"UWFE","IBU")</f>
        <v>UWFE</v>
      </c>
      <c r="V141" s="26">
        <f t="shared" ref="V141" si="223">MIN(IF(IF($AA$3=2,AND(E141=1,G141=1,L141=1,L145=1,M141=1,U141="IBU"),AND(E141=1,G141=1,L141=1,L145=1,M141=1)),T141,0),I141)</f>
        <v>0</v>
      </c>
      <c r="W141" s="26"/>
      <c r="X141" s="26"/>
      <c r="Y141" s="26"/>
      <c r="Z141" s="26"/>
      <c r="AA141" s="26"/>
      <c r="AB141" s="33"/>
    </row>
    <row r="142" spans="1:28" x14ac:dyDescent="0.3">
      <c r="A142" s="32">
        <f>VLOOKUP(YEAR(C142),Flags!$A$13:$B$95,2,FALSE)</f>
        <v>3</v>
      </c>
      <c r="B142" s="24">
        <f t="shared" si="116"/>
        <v>1936</v>
      </c>
      <c r="C142" s="25">
        <v>13331</v>
      </c>
      <c r="D142" s="26">
        <f>VLOOKUP($C142,COS!$B$8:$H$991,3,FALSE)</f>
        <v>7140.05078125</v>
      </c>
      <c r="E142" s="24">
        <f>IF(D142&gt;=IF(MONTH($C142)=4,$C$3,IF(MONTH($C142)=5,$C$4,IF(MONTH($C142)=6,$C$5,IF(MONTH($C142)=7,$C$6,"ERROR")))),1,0)</f>
        <v>0</v>
      </c>
      <c r="F142" s="26">
        <f>VLOOKUP($C142,COS!$B$8:$H$991,7,FALSE)</f>
        <v>50.706310272216797</v>
      </c>
      <c r="G142" s="24">
        <f>IF(F142&lt;=IF(MONTH($C142)=4,$F$3,IF(MONTH($C142)=5,$F$4,IF(MONTH($C142)=6,$F$5,IF(MONTH($C142)=7,$F$6,"ERROR")))),1,0)</f>
        <v>1</v>
      </c>
      <c r="H142" s="26">
        <f>IF(J142=1,D142-$C$5,0)</f>
        <v>0</v>
      </c>
      <c r="I142" s="26">
        <f t="shared" si="136"/>
        <v>0</v>
      </c>
      <c r="J142" s="24">
        <f t="shared" si="215"/>
        <v>0</v>
      </c>
      <c r="K142" s="26">
        <f>VLOOKUP($C142,COS!$B$8:$H$991,2,FALSE)</f>
        <v>3872.543701171875</v>
      </c>
      <c r="L142" s="24">
        <f t="shared" si="129"/>
        <v>1</v>
      </c>
      <c r="M142" s="24">
        <f t="shared" si="130"/>
        <v>0</v>
      </c>
      <c r="N142" s="26">
        <f>VLOOKUP($C142,COS!$B$8:$H$991,5,FALSE)</f>
        <v>523.20947265625</v>
      </c>
      <c r="O142" s="26">
        <f t="shared" si="218"/>
        <v>31.133125645661156</v>
      </c>
      <c r="P142" s="26">
        <f>VLOOKUP($C142,COS!$B$8:$H$991,6,FALSE)</f>
        <v>2337.24169921875</v>
      </c>
      <c r="Q142" s="26">
        <f t="shared" si="219"/>
        <v>139.07553912706612</v>
      </c>
      <c r="R142" s="26">
        <f>MIN(IF(MONTH($C142)=4,$S$3,IF(MONTH($C142)=5,$S$4,IF(MONTH($C142)=6,$S$5,IF(MONTH($C142)=7,$S$6,"ERROR")))),MAX(VLOOKUP($C142,COS!$B$8:$K$991,10,FALSE)-IF(MONTH($C142)=4,$Y$3,IF(MONTH($C142)=5,$Y$4,IF(MONTH($C142)=6,$Y$5,IF(MONTH($C142)=7,$Y$6,"ERROR")))),0),MAX(VLOOKUP($C142,COS!$B$8:$K$991,9,FALSE)-IF(MONTH($C142)=4,$V$3,IF(MONTH($C142)=5,$V$4,IF(MONTH($C142)=6,$V$5,IF(MONTH($C142)=7,$V$6,"ERROR"))))-VLOOKUP($C142,COS!$B$8:$K$991,6,FALSE)/2,0))</f>
        <v>0</v>
      </c>
      <c r="S142" s="26">
        <f t="shared" si="220"/>
        <v>0</v>
      </c>
      <c r="T142" s="26">
        <f t="shared" si="221"/>
        <v>85.104332386363637</v>
      </c>
      <c r="U142" s="26" t="str">
        <f>IF(VLOOKUP($C142,COS!$B$8:$I$991,8,FALSE)=1,"UWFE","IBU")</f>
        <v>UWFE</v>
      </c>
      <c r="V142" s="26">
        <f t="shared" ref="V142" si="224">MIN(IF(IF($AA$3=2,AND(E142=1,G142=1,L142=1,L145=1,M142=1,U142="IBU"),AND(E142=1,G142=1,L142=1,L145=1,M142=1)),T142,0),I142)</f>
        <v>0</v>
      </c>
      <c r="W142" s="26"/>
      <c r="X142" s="26"/>
      <c r="Y142" s="26"/>
      <c r="Z142" s="26"/>
      <c r="AA142" s="26"/>
      <c r="AB142" s="33"/>
    </row>
    <row r="143" spans="1:28" x14ac:dyDescent="0.3">
      <c r="A143" s="32">
        <f>VLOOKUP(YEAR(C143),Flags!$A$13:$B$95,2,FALSE)</f>
        <v>3</v>
      </c>
      <c r="B143" s="24">
        <f t="shared" ref="B143:B206" si="225">YEAR(C143)</f>
        <v>1936</v>
      </c>
      <c r="C143" s="25">
        <v>13362</v>
      </c>
      <c r="D143" s="26">
        <f>VLOOKUP($C143,COS!$B$8:$H$991,3,FALSE)</f>
        <v>10100.955078125</v>
      </c>
      <c r="E143" s="24">
        <f>IF(D143&gt;=IF(MONTH($C143)=4,$C$3,IF(MONTH($C143)=5,$C$4,IF(MONTH($C143)=6,$C$5,IF(MONTH($C143)=7,$C$6,"ERROR")))),1,0)</f>
        <v>0</v>
      </c>
      <c r="F143" s="26">
        <f>VLOOKUP($C143,COS!$B$8:$H$991,7,FALSE)</f>
        <v>50.784397125244141</v>
      </c>
      <c r="G143" s="24">
        <f>IF(F143&lt;=IF(MONTH($C143)=4,$F$3,IF(MONTH($C143)=5,$F$4,IF(MONTH($C143)=6,$F$5,IF(MONTH($C143)=7,$F$6,"ERROR")))),1,0)</f>
        <v>1</v>
      </c>
      <c r="H143" s="26">
        <f>IF(J143=1,D143-$C$6,0)</f>
        <v>0</v>
      </c>
      <c r="I143" s="26">
        <f t="shared" si="136"/>
        <v>0</v>
      </c>
      <c r="J143" s="24">
        <f t="shared" si="215"/>
        <v>0</v>
      </c>
      <c r="K143" s="26">
        <f>VLOOKUP($C143,COS!$B$8:$H$991,2,FALSE)</f>
        <v>3405.32080078125</v>
      </c>
      <c r="L143" s="24">
        <f t="shared" si="129"/>
        <v>1</v>
      </c>
      <c r="M143" s="24">
        <f t="shared" si="130"/>
        <v>0</v>
      </c>
      <c r="N143" s="26">
        <f>VLOOKUP($C143,COS!$B$8:$H$991,5,FALSE)</f>
        <v>692.3970947265625</v>
      </c>
      <c r="O143" s="26">
        <f t="shared" si="218"/>
        <v>42.573837890625001</v>
      </c>
      <c r="P143" s="26">
        <f>VLOOKUP($C143,COS!$B$8:$H$991,6,FALSE)</f>
        <v>2537.385498046875</v>
      </c>
      <c r="Q143" s="26">
        <f t="shared" si="219"/>
        <v>156.01775293775825</v>
      </c>
      <c r="R143" s="26">
        <f>MIN(IF(MONTH($C143)=4,$S$3,IF(MONTH($C143)=5,$S$4,IF(MONTH($C143)=6,$S$5,IF(MONTH($C143)=7,$S$6,"ERROR")))),MAX(VLOOKUP($C143,COS!$B$8:$K$991,10,FALSE)-IF(MONTH($C143)=4,$Y$3,IF(MONTH($C143)=5,$Y$4,IF(MONTH($C143)=6,$Y$5,IF(MONTH($C143)=7,$Y$6,"ERROR")))),0),MAX(VLOOKUP($C143,COS!$B$8:$K$991,9,FALSE)-IF(MONTH($C143)=4,$V$3,IF(MONTH($C143)=5,$V$4,IF(MONTH($C143)=6,$V$5,IF(MONTH($C143)=7,$V$6,"ERROR"))))-VLOOKUP($C143,COS!$B$8:$K$991,6,FALSE)/2,0))</f>
        <v>0</v>
      </c>
      <c r="S143" s="26">
        <f t="shared" si="220"/>
        <v>0</v>
      </c>
      <c r="T143" s="26">
        <f t="shared" si="221"/>
        <v>99.295795414191616</v>
      </c>
      <c r="U143" s="26" t="str">
        <f>IF(VLOOKUP($C143,COS!$B$8:$I$991,8,FALSE)=1,"UWFE","IBU")</f>
        <v>IBU</v>
      </c>
      <c r="V143" s="26">
        <f t="shared" ref="V143" si="226">MIN(IF(IF($AA$3=2,AND(E143=1,G143=1,L143=1,L145=1,M143=1,U143="IBU"),AND(E143=1,G143=1,L143=1,L145=1,M143=1)),T143,0),I143)</f>
        <v>0</v>
      </c>
      <c r="W143" s="26"/>
      <c r="X143" s="26"/>
      <c r="Y143" s="26"/>
      <c r="Z143" s="26"/>
      <c r="AA143" s="26"/>
      <c r="AB143" s="33"/>
    </row>
    <row r="144" spans="1:28" x14ac:dyDescent="0.3">
      <c r="A144" s="32">
        <f>VLOOKUP(YEAR(C144),Flags!$A$13:$B$95,2,FALSE)</f>
        <v>3</v>
      </c>
      <c r="B144" s="24">
        <f t="shared" si="225"/>
        <v>1936</v>
      </c>
      <c r="C144" s="25">
        <v>13393</v>
      </c>
      <c r="D144" s="26"/>
      <c r="E144" s="24"/>
      <c r="F144" s="26"/>
      <c r="G144" s="24"/>
      <c r="H144" s="24"/>
      <c r="I144" s="26"/>
      <c r="J144" s="24"/>
      <c r="K144" s="26"/>
      <c r="L144" s="24"/>
      <c r="M144" s="24"/>
      <c r="N144" s="26"/>
      <c r="O144" s="26"/>
      <c r="P144" s="26"/>
      <c r="Q144" s="26"/>
      <c r="R144" s="26"/>
      <c r="S144" s="26"/>
      <c r="T144" s="26"/>
      <c r="U144" s="26"/>
      <c r="V144" s="26"/>
      <c r="W144" s="26">
        <f>MAX($C$7-VLOOKUP($C144,COS!$B$8:$H$991,3,FALSE),0)</f>
        <v>90321.0078125</v>
      </c>
      <c r="X144" s="26">
        <f t="shared" si="143"/>
        <v>5553.6222985537188</v>
      </c>
      <c r="Y144" s="26">
        <f>VLOOKUP($C144,COS!$B$8:$H$991,4,FALSE)</f>
        <v>354.93222045898438</v>
      </c>
      <c r="Z144" s="26">
        <f t="shared" si="144"/>
        <v>21.823931572023504</v>
      </c>
      <c r="AA144" s="26">
        <f t="shared" ref="AA144:AA148" si="227">MIN(W144,Y144)</f>
        <v>354.93222045898438</v>
      </c>
      <c r="AB144" s="33">
        <f t="shared" ref="AB144" si="228">AA144*DAY($C144)*86400/43560/1000*IF(MONTH($C144)=8,$P$3,IF(MONTH($C144)=9,$P$4,IF(MONTH($C144)=10,$P$5,IF(MONTH($C144)=11,$P$6,IF(MONTH($C144)=12,$P$7,NA())))))</f>
        <v>21.823931572023504</v>
      </c>
    </row>
    <row r="145" spans="1:28" x14ac:dyDescent="0.3">
      <c r="A145" s="32">
        <f>VLOOKUP(YEAR(C145),Flags!$A$13:$B$95,2,FALSE)</f>
        <v>3</v>
      </c>
      <c r="B145" s="24">
        <f t="shared" si="225"/>
        <v>1936</v>
      </c>
      <c r="C145" s="25">
        <v>13423</v>
      </c>
      <c r="D145" s="26"/>
      <c r="E145" s="24"/>
      <c r="F145" s="26"/>
      <c r="G145" s="24"/>
      <c r="H145" s="24"/>
      <c r="I145" s="26"/>
      <c r="J145" s="24"/>
      <c r="K145" s="26">
        <f>VLOOKUP($C145,COS!$B$8:$H$991,2,FALSE)</f>
        <v>2909.572509765625</v>
      </c>
      <c r="L145" s="24">
        <f t="shared" ref="L145" si="229">IF(AND(K145&gt;$I$7,K145&lt;$I$8),1,0)</f>
        <v>1</v>
      </c>
      <c r="M145" s="24"/>
      <c r="N145" s="26"/>
      <c r="O145" s="26"/>
      <c r="P145" s="26"/>
      <c r="Q145" s="26"/>
      <c r="R145" s="26"/>
      <c r="S145" s="26"/>
      <c r="T145" s="26"/>
      <c r="U145" s="26"/>
      <c r="V145" s="26"/>
      <c r="W145" s="26">
        <f>MAX($C$8-VLOOKUP($C145,COS!$B$8:$H$991,3,FALSE),0)</f>
        <v>95795.64453125</v>
      </c>
      <c r="X145" s="26">
        <f t="shared" si="143"/>
        <v>5700.2366993801652</v>
      </c>
      <c r="Y145" s="26">
        <f>VLOOKUP($C145,COS!$B$8:$H$991,4,FALSE)</f>
        <v>0</v>
      </c>
      <c r="Z145" s="26">
        <f t="shared" si="144"/>
        <v>0</v>
      </c>
      <c r="AA145" s="26">
        <f t="shared" si="227"/>
        <v>0</v>
      </c>
      <c r="AB145" s="33">
        <f t="shared" si="141"/>
        <v>0</v>
      </c>
    </row>
    <row r="146" spans="1:28" x14ac:dyDescent="0.3">
      <c r="A146" s="32">
        <f>VLOOKUP(YEAR(C146),Flags!$A$13:$B$95,2,FALSE)</f>
        <v>3</v>
      </c>
      <c r="B146" s="24">
        <f t="shared" si="225"/>
        <v>1936</v>
      </c>
      <c r="C146" s="25">
        <v>13454</v>
      </c>
      <c r="D146" s="26"/>
      <c r="E146" s="24"/>
      <c r="F146" s="26"/>
      <c r="G146" s="26"/>
      <c r="H146" s="26"/>
      <c r="I146" s="26"/>
      <c r="J146" s="26"/>
      <c r="K146" s="26"/>
      <c r="L146" s="24"/>
      <c r="M146" s="24"/>
      <c r="N146" s="26"/>
      <c r="O146" s="26"/>
      <c r="P146" s="26"/>
      <c r="Q146" s="26"/>
      <c r="R146" s="26"/>
      <c r="S146" s="26"/>
      <c r="T146" s="26"/>
      <c r="U146" s="26"/>
      <c r="V146" s="26"/>
      <c r="W146" s="26">
        <f>MAX($C$9-VLOOKUP($C146,COS!$B$8:$H$991,3,FALSE),0)</f>
        <v>94201.28515625</v>
      </c>
      <c r="X146" s="26">
        <f t="shared" si="143"/>
        <v>5792.2112525826451</v>
      </c>
      <c r="Y146" s="26">
        <f>VLOOKUP($C146,COS!$B$8:$H$991,4,FALSE)</f>
        <v>840.8681640625</v>
      </c>
      <c r="Z146" s="26">
        <f t="shared" si="144"/>
        <v>51.702968104338844</v>
      </c>
      <c r="AA146" s="26">
        <f t="shared" si="227"/>
        <v>840.8681640625</v>
      </c>
      <c r="AB146" s="33">
        <f t="shared" si="141"/>
        <v>51.702968104338844</v>
      </c>
    </row>
    <row r="147" spans="1:28" x14ac:dyDescent="0.3">
      <c r="A147" s="32">
        <f>VLOOKUP(YEAR(C147),Flags!$A$13:$B$95,2,FALSE)</f>
        <v>3</v>
      </c>
      <c r="B147" s="24">
        <f t="shared" si="225"/>
        <v>1936</v>
      </c>
      <c r="C147" s="25">
        <v>13484</v>
      </c>
      <c r="D147" s="26"/>
      <c r="E147" s="24"/>
      <c r="F147" s="26"/>
      <c r="G147" s="26"/>
      <c r="H147" s="26"/>
      <c r="I147" s="26"/>
      <c r="J147" s="26"/>
      <c r="K147" s="26"/>
      <c r="L147" s="24"/>
      <c r="M147" s="24"/>
      <c r="N147" s="26"/>
      <c r="O147" s="26"/>
      <c r="P147" s="26"/>
      <c r="Q147" s="26"/>
      <c r="R147" s="26"/>
      <c r="S147" s="26"/>
      <c r="T147" s="26"/>
      <c r="U147" s="26"/>
      <c r="V147" s="26"/>
      <c r="W147" s="26">
        <f>MAX($C$10-VLOOKUP($C147,COS!$B$8:$H$991,3,FALSE),0)</f>
        <v>94597.1748046875</v>
      </c>
      <c r="X147" s="26">
        <f t="shared" si="143"/>
        <v>5628.9227982954544</v>
      </c>
      <c r="Y147" s="26">
        <f>VLOOKUP($C147,COS!$B$8:$H$991,4,FALSE)</f>
        <v>1128.2205810546875</v>
      </c>
      <c r="Z147" s="26">
        <f t="shared" si="144"/>
        <v>67.13378664127066</v>
      </c>
      <c r="AA147" s="26">
        <f t="shared" si="227"/>
        <v>1128.2205810546875</v>
      </c>
      <c r="AB147" s="33">
        <f t="shared" si="141"/>
        <v>33.56689332063533</v>
      </c>
    </row>
    <row r="148" spans="1:28" x14ac:dyDescent="0.3">
      <c r="A148" s="34">
        <f>VLOOKUP(YEAR(C148),Flags!$A$13:$B$95,2,FALSE)</f>
        <v>3</v>
      </c>
      <c r="B148" s="35">
        <f t="shared" si="225"/>
        <v>1936</v>
      </c>
      <c r="C148" s="36">
        <v>13515</v>
      </c>
      <c r="D148" s="37"/>
      <c r="E148" s="35"/>
      <c r="F148" s="37"/>
      <c r="G148" s="37"/>
      <c r="H148" s="37"/>
      <c r="I148" s="37"/>
      <c r="J148" s="37"/>
      <c r="K148" s="37"/>
      <c r="L148" s="35"/>
      <c r="M148" s="35"/>
      <c r="N148" s="37"/>
      <c r="O148" s="37"/>
      <c r="P148" s="37"/>
      <c r="Q148" s="37"/>
      <c r="R148" s="37"/>
      <c r="S148" s="37"/>
      <c r="T148" s="37"/>
      <c r="U148" s="37"/>
      <c r="V148" s="37"/>
      <c r="W148" s="37">
        <f>MAX($C$11-VLOOKUP($C148,COS!$B$8:$H$991,3,FALSE),0)</f>
        <v>0</v>
      </c>
      <c r="X148" s="37">
        <f t="shared" si="143"/>
        <v>0</v>
      </c>
      <c r="Y148" s="37">
        <f>VLOOKUP($C148,COS!$B$8:$H$991,4,FALSE)</f>
        <v>608.6763916015625</v>
      </c>
      <c r="Z148" s="37">
        <f t="shared" si="144"/>
        <v>37.426052508393596</v>
      </c>
      <c r="AA148" s="37">
        <f t="shared" si="227"/>
        <v>0</v>
      </c>
      <c r="AB148" s="38">
        <f t="shared" si="141"/>
        <v>0</v>
      </c>
    </row>
    <row r="149" spans="1:28" x14ac:dyDescent="0.3">
      <c r="A149" s="27">
        <f>VLOOKUP(YEAR(C149),Flags!$A$13:$B$95,2,FALSE)</f>
        <v>4</v>
      </c>
      <c r="B149" s="28">
        <f t="shared" si="225"/>
        <v>1937</v>
      </c>
      <c r="C149" s="29">
        <v>13635</v>
      </c>
      <c r="D149" s="30">
        <f>VLOOKUP($C149,COS!$B$8:$H$991,3,FALSE)</f>
        <v>3250</v>
      </c>
      <c r="E149" s="28">
        <f>IF(D149&gt;=IF(MONTH($C149)=4,$C$3,IF(MONTH($C149)=5,$C$4,IF(MONTH($C149)=6,$C$5,IF(MONTH($C149)=7,$C$6,"ERROR")))),1,0)</f>
        <v>0</v>
      </c>
      <c r="F149" s="30">
        <f>VLOOKUP($C149,COS!$B$8:$H$991,7,FALSE)</f>
        <v>51.161907196044922</v>
      </c>
      <c r="G149" s="28">
        <f>IF(F149&lt;=IF(MONTH($C149)=4,$F$3,IF(MONTH($C149)=5,$F$4,IF(MONTH($C149)=6,$F$5,IF(MONTH($C149)=7,$F$6,"ERROR")))),1,0)</f>
        <v>1</v>
      </c>
      <c r="H149" s="30">
        <f>IF(J149=1,D149-$C$3,0)</f>
        <v>0</v>
      </c>
      <c r="I149" s="30">
        <f t="shared" si="136"/>
        <v>0</v>
      </c>
      <c r="J149" s="28">
        <f t="shared" ref="J149:J152" si="230">IF(AND(E149=1,G149=1),1,0)</f>
        <v>0</v>
      </c>
      <c r="K149" s="30">
        <f>VLOOKUP($C149,COS!$B$8:$H$991,2,FALSE)</f>
        <v>4047.59912109375</v>
      </c>
      <c r="L149" s="28">
        <f t="shared" ref="L149:L206" si="231">IF(K149&lt;=IF(MONTH($C149)=4,$I$3,IF(MONTH($C149)=5,$I$4,IF(MONTH($C149)=6,$I$5,IF(MONTH($C149)=7,$I$6,"ERROR")))),1,0)</f>
        <v>1</v>
      </c>
      <c r="M149" s="28">
        <f t="shared" ref="M149:M206" si="232">VLOOKUP($A149,$L$3:$M$7,2,FALSE)</f>
        <v>1</v>
      </c>
      <c r="N149" s="30">
        <f>VLOOKUP($C149,COS!$B$8:$H$991,5,FALSE)</f>
        <v>21.622846603393555</v>
      </c>
      <c r="O149" s="30">
        <f t="shared" ref="O149:O152" si="233">N149*DAY($C149)*86400/43560/1000</f>
        <v>1.2866487235077158</v>
      </c>
      <c r="P149" s="30">
        <f>VLOOKUP($C149,COS!$B$8:$H$991,6,FALSE)</f>
        <v>433.80865478515625</v>
      </c>
      <c r="Q149" s="30">
        <f t="shared" ref="Q149:Q152" si="234">P149*DAY($C149)*86400/43560/1000</f>
        <v>25.813407557463844</v>
      </c>
      <c r="R149" s="30">
        <f>MIN(IF(MONTH($C149)=4,$S$3,IF(MONTH($C149)=5,$S$4,IF(MONTH($C149)=6,$S$5,IF(MONTH($C149)=7,$S$6,"ERROR")))),MAX(VLOOKUP($C149,COS!$B$8:$K$991,10,FALSE)-IF(MONTH($C149)=4,$Y$3,IF(MONTH($C149)=5,$Y$4,IF(MONTH($C149)=6,$Y$5,IF(MONTH($C149)=7,$Y$6,"ERROR")))),0),MAX(VLOOKUP($C149,COS!$B$8:$K$991,9,FALSE)-IF(MONTH($C149)=4,$V$3,IF(MONTH($C149)=5,$V$4,IF(MONTH($C149)=6,$V$5,IF(MONTH($C149)=7,$V$6,"ERROR"))))-VLOOKUP($C149,COS!$B$8:$K$991,6,FALSE)/2,0))</f>
        <v>0</v>
      </c>
      <c r="S149" s="30">
        <f t="shared" ref="S149:S152" si="235">R149*DAY($C149)*86400/43560/1000</f>
        <v>0</v>
      </c>
      <c r="T149" s="30">
        <f t="shared" ref="T149:T152" si="236">(O149+Q149)/2+S149</f>
        <v>13.550028140485781</v>
      </c>
      <c r="U149" s="30" t="str">
        <f>IF(VLOOKUP($C149,COS!$B$8:$I$991,8,FALSE)=1,"UWFE","IBU")</f>
        <v>UWFE</v>
      </c>
      <c r="V149" s="30">
        <f t="shared" ref="V149" si="237">MIN(IF(IF($AA$3=2,AND(E149=1,G149=1,L149=1,L154=1,M149=1,U149="IBU"),AND(E149=1,G149=1,L149=1,L154=1,M149=1)),T149,0),I149)</f>
        <v>0</v>
      </c>
      <c r="W149" s="30"/>
      <c r="X149" s="30"/>
      <c r="Y149" s="30"/>
      <c r="Z149" s="30"/>
      <c r="AA149" s="30"/>
      <c r="AB149" s="31"/>
    </row>
    <row r="150" spans="1:28" x14ac:dyDescent="0.3">
      <c r="A150" s="32">
        <f>VLOOKUP(YEAR(C150),Flags!$A$13:$B$95,2,FALSE)</f>
        <v>4</v>
      </c>
      <c r="B150" s="24">
        <f t="shared" si="225"/>
        <v>1937</v>
      </c>
      <c r="C150" s="25">
        <v>13666</v>
      </c>
      <c r="D150" s="26">
        <f>VLOOKUP($C150,COS!$B$8:$H$991,3,FALSE)</f>
        <v>5043.80322265625</v>
      </c>
      <c r="E150" s="24">
        <f>IF(D150&gt;=IF(MONTH($C150)=4,$C$3,IF(MONTH($C150)=5,$C$4,IF(MONTH($C150)=6,$C$5,IF(MONTH($C150)=7,$C$6,"ERROR")))),1,0)</f>
        <v>0</v>
      </c>
      <c r="F150" s="26">
        <f>VLOOKUP($C150,COS!$B$8:$H$991,7,FALSE)</f>
        <v>52.362800598144531</v>
      </c>
      <c r="G150" s="24">
        <f>IF(F150&lt;=IF(MONTH($C150)=4,$F$3,IF(MONTH($C150)=5,$F$4,IF(MONTH($C150)=6,$F$5,IF(MONTH($C150)=7,$F$6,"ERROR")))),1,0)</f>
        <v>1</v>
      </c>
      <c r="H150" s="26">
        <f>IF(J150=1,D150-$C$4,0)</f>
        <v>0</v>
      </c>
      <c r="I150" s="26">
        <f t="shared" si="136"/>
        <v>0</v>
      </c>
      <c r="J150" s="24">
        <f t="shared" si="230"/>
        <v>0</v>
      </c>
      <c r="K150" s="26">
        <f>VLOOKUP($C150,COS!$B$8:$H$991,2,FALSE)</f>
        <v>4246.3125</v>
      </c>
      <c r="L150" s="24">
        <f t="shared" si="231"/>
        <v>1</v>
      </c>
      <c r="M150" s="24">
        <f t="shared" si="232"/>
        <v>1</v>
      </c>
      <c r="N150" s="26">
        <f>VLOOKUP($C150,COS!$B$8:$H$991,5,FALSE)</f>
        <v>298.0838623046875</v>
      </c>
      <c r="O150" s="26">
        <f t="shared" si="233"/>
        <v>18.328462277246903</v>
      </c>
      <c r="P150" s="26">
        <f>VLOOKUP($C150,COS!$B$8:$H$991,6,FALSE)</f>
        <v>2283.91845703125</v>
      </c>
      <c r="Q150" s="26">
        <f t="shared" si="234"/>
        <v>140.43267206869837</v>
      </c>
      <c r="R150" s="26">
        <f>MIN(IF(MONTH($C150)=4,$S$3,IF(MONTH($C150)=5,$S$4,IF(MONTH($C150)=6,$S$5,IF(MONTH($C150)=7,$S$6,"ERROR")))),MAX(VLOOKUP($C150,COS!$B$8:$K$991,10,FALSE)-IF(MONTH($C150)=4,$Y$3,IF(MONTH($C150)=5,$Y$4,IF(MONTH($C150)=6,$Y$5,IF(MONTH($C150)=7,$Y$6,"ERROR")))),0),MAX(VLOOKUP($C150,COS!$B$8:$K$991,9,FALSE)-IF(MONTH($C150)=4,$V$3,IF(MONTH($C150)=5,$V$4,IF(MONTH($C150)=6,$V$5,IF(MONTH($C150)=7,$V$6,"ERROR"))))-VLOOKUP($C150,COS!$B$8:$K$991,6,FALSE)/2,0))</f>
        <v>0</v>
      </c>
      <c r="S150" s="26">
        <f t="shared" si="235"/>
        <v>0</v>
      </c>
      <c r="T150" s="26">
        <f t="shared" si="236"/>
        <v>79.380567172972633</v>
      </c>
      <c r="U150" s="26" t="str">
        <f>IF(VLOOKUP($C150,COS!$B$8:$I$991,8,FALSE)=1,"UWFE","IBU")</f>
        <v>UWFE</v>
      </c>
      <c r="V150" s="26">
        <f t="shared" ref="V150" si="238">MIN(IF(IF($AA$3=2,AND(E150=1,G150=1,L150=1,L154=1,M150=1,U150="IBU"),AND(E150=1,G150=1,L150=1,L154=1,M150=1)),T150,0),I150)</f>
        <v>0</v>
      </c>
      <c r="W150" s="26"/>
      <c r="X150" s="26"/>
      <c r="Y150" s="26"/>
      <c r="Z150" s="26"/>
      <c r="AA150" s="26"/>
      <c r="AB150" s="33"/>
    </row>
    <row r="151" spans="1:28" x14ac:dyDescent="0.3">
      <c r="A151" s="32">
        <f>VLOOKUP(YEAR(C151),Flags!$A$13:$B$95,2,FALSE)</f>
        <v>4</v>
      </c>
      <c r="B151" s="24">
        <f t="shared" si="225"/>
        <v>1937</v>
      </c>
      <c r="C151" s="25">
        <v>13696</v>
      </c>
      <c r="D151" s="26">
        <f>VLOOKUP($C151,COS!$B$8:$H$991,3,FALSE)</f>
        <v>7479.65771484375</v>
      </c>
      <c r="E151" s="24">
        <f>IF(D151&gt;=IF(MONTH($C151)=4,$C$3,IF(MONTH($C151)=5,$C$4,IF(MONTH($C151)=6,$C$5,IF(MONTH($C151)=7,$C$6,"ERROR")))),1,0)</f>
        <v>0</v>
      </c>
      <c r="F151" s="26">
        <f>VLOOKUP($C151,COS!$B$8:$H$991,7,FALSE)</f>
        <v>52.658245086669922</v>
      </c>
      <c r="G151" s="24">
        <f>IF(F151&lt;=IF(MONTH($C151)=4,$F$3,IF(MONTH($C151)=5,$F$4,IF(MONTH($C151)=6,$F$5,IF(MONTH($C151)=7,$F$6,"ERROR")))),1,0)</f>
        <v>1</v>
      </c>
      <c r="H151" s="26">
        <f>IF(J151=1,D151-$C$5,0)</f>
        <v>0</v>
      </c>
      <c r="I151" s="26">
        <f t="shared" ref="I151:I214" si="239">H151*DAY($C151)*86400/43560/1000</f>
        <v>0</v>
      </c>
      <c r="J151" s="24">
        <f t="shared" si="230"/>
        <v>0</v>
      </c>
      <c r="K151" s="26">
        <f>VLOOKUP($C151,COS!$B$8:$H$991,2,FALSE)</f>
        <v>4074.04931640625</v>
      </c>
      <c r="L151" s="24">
        <f t="shared" si="231"/>
        <v>1</v>
      </c>
      <c r="M151" s="24">
        <f t="shared" si="232"/>
        <v>1</v>
      </c>
      <c r="N151" s="26">
        <f>VLOOKUP($C151,COS!$B$8:$H$991,5,FALSE)</f>
        <v>523.22735595703125</v>
      </c>
      <c r="O151" s="26">
        <f t="shared" si="233"/>
        <v>31.13418977595558</v>
      </c>
      <c r="P151" s="26">
        <f>VLOOKUP($C151,COS!$B$8:$H$991,6,FALSE)</f>
        <v>2560.548095703125</v>
      </c>
      <c r="Q151" s="26">
        <f t="shared" si="234"/>
        <v>152.36319247159091</v>
      </c>
      <c r="R151" s="26">
        <f>MIN(IF(MONTH($C151)=4,$S$3,IF(MONTH($C151)=5,$S$4,IF(MONTH($C151)=6,$S$5,IF(MONTH($C151)=7,$S$6,"ERROR")))),MAX(VLOOKUP($C151,COS!$B$8:$K$991,10,FALSE)-IF(MONTH($C151)=4,$Y$3,IF(MONTH($C151)=5,$Y$4,IF(MONTH($C151)=6,$Y$5,IF(MONTH($C151)=7,$Y$6,"ERROR")))),0),MAX(VLOOKUP($C151,COS!$B$8:$K$991,9,FALSE)-IF(MONTH($C151)=4,$V$3,IF(MONTH($C151)=5,$V$4,IF(MONTH($C151)=6,$V$5,IF(MONTH($C151)=7,$V$6,"ERROR"))))-VLOOKUP($C151,COS!$B$8:$K$991,6,FALSE)/2,0))</f>
        <v>0</v>
      </c>
      <c r="S151" s="26">
        <f t="shared" si="235"/>
        <v>0</v>
      </c>
      <c r="T151" s="26">
        <f t="shared" si="236"/>
        <v>91.748691123773241</v>
      </c>
      <c r="U151" s="26" t="str">
        <f>IF(VLOOKUP($C151,COS!$B$8:$I$991,8,FALSE)=1,"UWFE","IBU")</f>
        <v>IBU</v>
      </c>
      <c r="V151" s="26">
        <f t="shared" ref="V151" si="240">MIN(IF(IF($AA$3=2,AND(E151=1,G151=1,L151=1,L154=1,M151=1,U151="IBU"),AND(E151=1,G151=1,L151=1,L154=1,M151=1)),T151,0),I151)</f>
        <v>0</v>
      </c>
      <c r="W151" s="26"/>
      <c r="X151" s="26"/>
      <c r="Y151" s="26"/>
      <c r="Z151" s="26"/>
      <c r="AA151" s="26"/>
      <c r="AB151" s="33"/>
    </row>
    <row r="152" spans="1:28" x14ac:dyDescent="0.3">
      <c r="A152" s="32">
        <f>VLOOKUP(YEAR(C152),Flags!$A$13:$B$95,2,FALSE)</f>
        <v>4</v>
      </c>
      <c r="B152" s="24">
        <f t="shared" si="225"/>
        <v>1937</v>
      </c>
      <c r="C152" s="25">
        <v>13727</v>
      </c>
      <c r="D152" s="26">
        <f>VLOOKUP($C152,COS!$B$8:$H$991,3,FALSE)</f>
        <v>10615.4677734375</v>
      </c>
      <c r="E152" s="24">
        <f>IF(D152&gt;=IF(MONTH($C152)=4,$C$3,IF(MONTH($C152)=5,$C$4,IF(MONTH($C152)=6,$C$5,IF(MONTH($C152)=7,$C$6,"ERROR")))),1,0)</f>
        <v>0</v>
      </c>
      <c r="F152" s="26">
        <f>VLOOKUP($C152,COS!$B$8:$H$991,7,FALSE)</f>
        <v>52.404350280761719</v>
      </c>
      <c r="G152" s="24">
        <f>IF(F152&lt;=IF(MONTH($C152)=4,$F$3,IF(MONTH($C152)=5,$F$4,IF(MONTH($C152)=6,$F$5,IF(MONTH($C152)=7,$F$6,"ERROR")))),1,0)</f>
        <v>1</v>
      </c>
      <c r="H152" s="26">
        <f>IF(J152=1,D152-$C$6,0)</f>
        <v>0</v>
      </c>
      <c r="I152" s="26">
        <f t="shared" si="239"/>
        <v>0</v>
      </c>
      <c r="J152" s="24">
        <f t="shared" si="230"/>
        <v>0</v>
      </c>
      <c r="K152" s="26">
        <f>VLOOKUP($C152,COS!$B$8:$H$991,2,FALSE)</f>
        <v>3583.887451171875</v>
      </c>
      <c r="L152" s="24">
        <f t="shared" si="231"/>
        <v>1</v>
      </c>
      <c r="M152" s="24">
        <f t="shared" si="232"/>
        <v>1</v>
      </c>
      <c r="N152" s="26">
        <f>VLOOKUP($C152,COS!$B$8:$H$991,5,FALSE)</f>
        <v>624.25457763671875</v>
      </c>
      <c r="O152" s="26">
        <f t="shared" si="233"/>
        <v>38.383917831547002</v>
      </c>
      <c r="P152" s="26">
        <f>VLOOKUP($C152,COS!$B$8:$H$991,6,FALSE)</f>
        <v>2537.385498046875</v>
      </c>
      <c r="Q152" s="26">
        <f t="shared" si="234"/>
        <v>156.01775293775825</v>
      </c>
      <c r="R152" s="26">
        <f>MIN(IF(MONTH($C152)=4,$S$3,IF(MONTH($C152)=5,$S$4,IF(MONTH($C152)=6,$S$5,IF(MONTH($C152)=7,$S$6,"ERROR")))),MAX(VLOOKUP($C152,COS!$B$8:$K$991,10,FALSE)-IF(MONTH($C152)=4,$Y$3,IF(MONTH($C152)=5,$Y$4,IF(MONTH($C152)=6,$Y$5,IF(MONTH($C152)=7,$Y$6,"ERROR")))),0),MAX(VLOOKUP($C152,COS!$B$8:$K$991,9,FALSE)-IF(MONTH($C152)=4,$V$3,IF(MONTH($C152)=5,$V$4,IF(MONTH($C152)=6,$V$5,IF(MONTH($C152)=7,$V$6,"ERROR"))))-VLOOKUP($C152,COS!$B$8:$K$991,6,FALSE)/2,0))</f>
        <v>0</v>
      </c>
      <c r="S152" s="26">
        <f t="shared" si="235"/>
        <v>0</v>
      </c>
      <c r="T152" s="26">
        <f t="shared" si="236"/>
        <v>97.200835384652621</v>
      </c>
      <c r="U152" s="26" t="str">
        <f>IF(VLOOKUP($C152,COS!$B$8:$I$991,8,FALSE)=1,"UWFE","IBU")</f>
        <v>IBU</v>
      </c>
      <c r="V152" s="26">
        <f t="shared" ref="V152" si="241">MIN(IF(IF($AA$3=2,AND(E152=1,G152=1,L152=1,L154=1,M152=1,U152="IBU"),AND(E152=1,G152=1,L152=1,L154=1,M152=1)),T152,0),I152)</f>
        <v>0</v>
      </c>
      <c r="W152" s="26"/>
      <c r="X152" s="26"/>
      <c r="Y152" s="26"/>
      <c r="Z152" s="26"/>
      <c r="AA152" s="26"/>
      <c r="AB152" s="33"/>
    </row>
    <row r="153" spans="1:28" x14ac:dyDescent="0.3">
      <c r="A153" s="32">
        <f>VLOOKUP(YEAR(C153),Flags!$A$13:$B$95,2,FALSE)</f>
        <v>4</v>
      </c>
      <c r="B153" s="24">
        <f t="shared" si="225"/>
        <v>1937</v>
      </c>
      <c r="C153" s="25">
        <v>13758</v>
      </c>
      <c r="D153" s="26"/>
      <c r="E153" s="24"/>
      <c r="F153" s="26"/>
      <c r="G153" s="24"/>
      <c r="H153" s="24"/>
      <c r="I153" s="26"/>
      <c r="J153" s="24"/>
      <c r="K153" s="26"/>
      <c r="L153" s="24"/>
      <c r="M153" s="24"/>
      <c r="N153" s="26"/>
      <c r="O153" s="26"/>
      <c r="P153" s="26"/>
      <c r="Q153" s="26"/>
      <c r="R153" s="26"/>
      <c r="S153" s="26"/>
      <c r="T153" s="26"/>
      <c r="U153" s="26"/>
      <c r="V153" s="26"/>
      <c r="W153" s="26">
        <f>MAX($C$7-VLOOKUP($C153,COS!$B$8:$H$991,3,FALSE),0)</f>
        <v>90408.666015625</v>
      </c>
      <c r="X153" s="26">
        <f t="shared" si="143"/>
        <v>5559.0121913739667</v>
      </c>
      <c r="Y153" s="26">
        <f>VLOOKUP($C153,COS!$B$8:$H$991,4,FALSE)</f>
        <v>565.9937744140625</v>
      </c>
      <c r="Z153" s="26">
        <f t="shared" si="144"/>
        <v>34.801600674715914</v>
      </c>
      <c r="AA153" s="26">
        <f t="shared" ref="AA153:AA157" si="242">MIN(W153,Y153)</f>
        <v>565.9937744140625</v>
      </c>
      <c r="AB153" s="33">
        <f t="shared" ref="AB153:AB211" si="243">AA153*DAY($C153)*86400/43560/1000*IF(MONTH($C153)=8,$P$3,IF(MONTH($C153)=9,$P$4,IF(MONTH($C153)=10,$P$5,IF(MONTH($C153)=11,$P$6,IF(MONTH($C153)=12,$P$7,NA())))))</f>
        <v>34.801600674715914</v>
      </c>
    </row>
    <row r="154" spans="1:28" x14ac:dyDescent="0.3">
      <c r="A154" s="32">
        <f>VLOOKUP(YEAR(C154),Flags!$A$13:$B$95,2,FALSE)</f>
        <v>4</v>
      </c>
      <c r="B154" s="24">
        <f t="shared" si="225"/>
        <v>1937</v>
      </c>
      <c r="C154" s="25">
        <v>13788</v>
      </c>
      <c r="D154" s="26"/>
      <c r="E154" s="24"/>
      <c r="F154" s="26"/>
      <c r="G154" s="24"/>
      <c r="H154" s="24"/>
      <c r="I154" s="26"/>
      <c r="J154" s="24"/>
      <c r="K154" s="26">
        <f>VLOOKUP($C154,COS!$B$8:$H$991,2,FALSE)</f>
        <v>3016.538330078125</v>
      </c>
      <c r="L154" s="24">
        <f t="shared" ref="L154" si="244">IF(AND(K154&gt;$I$7,K154&lt;$I$8),1,0)</f>
        <v>1</v>
      </c>
      <c r="M154" s="24"/>
      <c r="N154" s="26"/>
      <c r="O154" s="26"/>
      <c r="P154" s="26"/>
      <c r="Q154" s="26"/>
      <c r="R154" s="26"/>
      <c r="S154" s="26"/>
      <c r="T154" s="26"/>
      <c r="U154" s="26"/>
      <c r="V154" s="26"/>
      <c r="W154" s="26">
        <f>MAX($C$8-VLOOKUP($C154,COS!$B$8:$H$991,3,FALSE),0)</f>
        <v>94463.15234375</v>
      </c>
      <c r="X154" s="26">
        <f t="shared" si="143"/>
        <v>5620.9479080578512</v>
      </c>
      <c r="Y154" s="26">
        <f>VLOOKUP($C154,COS!$B$8:$H$991,4,FALSE)</f>
        <v>479.2886962890625</v>
      </c>
      <c r="Z154" s="26">
        <f t="shared" si="144"/>
        <v>28.519657961002068</v>
      </c>
      <c r="AA154" s="26">
        <f t="shared" si="242"/>
        <v>479.2886962890625</v>
      </c>
      <c r="AB154" s="33">
        <f t="shared" si="243"/>
        <v>28.519657961002068</v>
      </c>
    </row>
    <row r="155" spans="1:28" x14ac:dyDescent="0.3">
      <c r="A155" s="32">
        <f>VLOOKUP(YEAR(C155),Flags!$A$13:$B$95,2,FALSE)</f>
        <v>4</v>
      </c>
      <c r="B155" s="24">
        <f t="shared" si="225"/>
        <v>1937</v>
      </c>
      <c r="C155" s="25">
        <v>13819</v>
      </c>
      <c r="D155" s="26"/>
      <c r="E155" s="24"/>
      <c r="F155" s="26"/>
      <c r="G155" s="26"/>
      <c r="H155" s="26"/>
      <c r="I155" s="26"/>
      <c r="J155" s="26"/>
      <c r="K155" s="26"/>
      <c r="L155" s="24"/>
      <c r="M155" s="24"/>
      <c r="N155" s="26"/>
      <c r="O155" s="26"/>
      <c r="P155" s="26"/>
      <c r="Q155" s="26"/>
      <c r="R155" s="26"/>
      <c r="S155" s="26"/>
      <c r="T155" s="26"/>
      <c r="U155" s="26"/>
      <c r="V155" s="26"/>
      <c r="W155" s="26">
        <f>MAX($C$9-VLOOKUP($C155,COS!$B$8:$H$991,3,FALSE),0)</f>
        <v>95507.43994140625</v>
      </c>
      <c r="X155" s="26">
        <f t="shared" ref="X155:X218" si="245">W155*DAY($C155)*86400/43560/1000</f>
        <v>5872.5235798682852</v>
      </c>
      <c r="Y155" s="26">
        <f>VLOOKUP($C155,COS!$B$8:$H$991,4,FALSE)</f>
        <v>673.72100830078125</v>
      </c>
      <c r="Z155" s="26">
        <f t="shared" ref="Z155:Z218" si="246">Y155*DAY($C155)*86400/43560/1000</f>
        <v>41.425490097172002</v>
      </c>
      <c r="AA155" s="26">
        <f t="shared" si="242"/>
        <v>673.72100830078125</v>
      </c>
      <c r="AB155" s="33">
        <f t="shared" si="243"/>
        <v>41.425490097172002</v>
      </c>
    </row>
    <row r="156" spans="1:28" x14ac:dyDescent="0.3">
      <c r="A156" s="32">
        <f>VLOOKUP(YEAR(C156),Flags!$A$13:$B$95,2,FALSE)</f>
        <v>4</v>
      </c>
      <c r="B156" s="24">
        <f t="shared" si="225"/>
        <v>1937</v>
      </c>
      <c r="C156" s="25">
        <v>13849</v>
      </c>
      <c r="D156" s="26"/>
      <c r="E156" s="24"/>
      <c r="F156" s="26"/>
      <c r="G156" s="26"/>
      <c r="H156" s="26"/>
      <c r="I156" s="26"/>
      <c r="J156" s="26"/>
      <c r="K156" s="26"/>
      <c r="L156" s="24"/>
      <c r="M156" s="24"/>
      <c r="N156" s="26"/>
      <c r="O156" s="26"/>
      <c r="P156" s="26"/>
      <c r="Q156" s="26"/>
      <c r="R156" s="26"/>
      <c r="S156" s="26"/>
      <c r="T156" s="26"/>
      <c r="U156" s="26"/>
      <c r="V156" s="26"/>
      <c r="W156" s="26">
        <f>MAX($C$10-VLOOKUP($C156,COS!$B$8:$H$991,3,FALSE),0)</f>
        <v>91785.7744140625</v>
      </c>
      <c r="X156" s="26">
        <f t="shared" si="245"/>
        <v>5461.6328576962806</v>
      </c>
      <c r="Y156" s="26">
        <f>VLOOKUP($C156,COS!$B$8:$H$991,4,FALSE)</f>
        <v>0</v>
      </c>
      <c r="Z156" s="26">
        <f t="shared" si="246"/>
        <v>0</v>
      </c>
      <c r="AA156" s="26">
        <f t="shared" si="242"/>
        <v>0</v>
      </c>
      <c r="AB156" s="33">
        <f t="shared" si="243"/>
        <v>0</v>
      </c>
    </row>
    <row r="157" spans="1:28" x14ac:dyDescent="0.3">
      <c r="A157" s="34">
        <f>VLOOKUP(YEAR(C157),Flags!$A$13:$B$95,2,FALSE)</f>
        <v>4</v>
      </c>
      <c r="B157" s="35">
        <f t="shared" si="225"/>
        <v>1937</v>
      </c>
      <c r="C157" s="36">
        <v>13880</v>
      </c>
      <c r="D157" s="37"/>
      <c r="E157" s="35"/>
      <c r="F157" s="37"/>
      <c r="G157" s="37"/>
      <c r="H157" s="37"/>
      <c r="I157" s="37"/>
      <c r="J157" s="37"/>
      <c r="K157" s="37"/>
      <c r="L157" s="35"/>
      <c r="M157" s="35"/>
      <c r="N157" s="37"/>
      <c r="O157" s="37"/>
      <c r="P157" s="37"/>
      <c r="Q157" s="37"/>
      <c r="R157" s="37"/>
      <c r="S157" s="37"/>
      <c r="T157" s="37"/>
      <c r="U157" s="37"/>
      <c r="V157" s="37"/>
      <c r="W157" s="37">
        <f>MAX($C$11-VLOOKUP($C157,COS!$B$8:$H$991,3,FALSE),0)</f>
        <v>0</v>
      </c>
      <c r="X157" s="37">
        <f t="shared" si="245"/>
        <v>0</v>
      </c>
      <c r="Y157" s="37">
        <f>VLOOKUP($C157,COS!$B$8:$H$991,4,FALSE)</f>
        <v>0</v>
      </c>
      <c r="Z157" s="37">
        <f t="shared" si="246"/>
        <v>0</v>
      </c>
      <c r="AA157" s="37">
        <f t="shared" si="242"/>
        <v>0</v>
      </c>
      <c r="AB157" s="38">
        <f t="shared" si="243"/>
        <v>0</v>
      </c>
    </row>
    <row r="158" spans="1:28" x14ac:dyDescent="0.3">
      <c r="A158" s="27">
        <f>VLOOKUP(YEAR(C158),Flags!$A$13:$B$95,2,FALSE)</f>
        <v>1</v>
      </c>
      <c r="B158" s="28">
        <f t="shared" si="225"/>
        <v>1938</v>
      </c>
      <c r="C158" s="29">
        <v>14000</v>
      </c>
      <c r="D158" s="30">
        <f>VLOOKUP($C158,COS!$B$8:$H$991,3,FALSE)</f>
        <v>11215.0048828125</v>
      </c>
      <c r="E158" s="28">
        <f>IF(D158&gt;=IF(MONTH($C158)=4,$C$3,IF(MONTH($C158)=5,$C$4,IF(MONTH($C158)=6,$C$5,IF(MONTH($C158)=7,$C$6,"ERROR")))),1,0)</f>
        <v>1</v>
      </c>
      <c r="F158" s="30">
        <f>VLOOKUP($C158,COS!$B$8:$H$991,7,FALSE)</f>
        <v>47.354358673095703</v>
      </c>
      <c r="G158" s="28">
        <f>IF(F158&lt;=IF(MONTH($C158)=4,$F$3,IF(MONTH($C158)=5,$F$4,IF(MONTH($C158)=6,$F$5,IF(MONTH($C158)=7,$F$6,"ERROR")))),1,0)</f>
        <v>1</v>
      </c>
      <c r="H158" s="30">
        <f>IF(J158=1,D158-$C$3,0)</f>
        <v>5215.0048828125</v>
      </c>
      <c r="I158" s="30">
        <f t="shared" si="239"/>
        <v>310.31434013429748</v>
      </c>
      <c r="J158" s="28">
        <f t="shared" ref="J158:J161" si="247">IF(AND(E158=1,G158=1),1,0)</f>
        <v>1</v>
      </c>
      <c r="K158" s="30">
        <f>VLOOKUP($C158,COS!$B$8:$H$991,2,FALSE)</f>
        <v>4058</v>
      </c>
      <c r="L158" s="28">
        <f t="shared" ref="L158" si="248">IF(K158&lt;=IF(MONTH($C158)=4,$I$3,IF(MONTH($C158)=5,$I$4,IF(MONTH($C158)=6,$I$5,IF(MONTH($C158)=7,$I$6,"ERROR")))),1,0)</f>
        <v>1</v>
      </c>
      <c r="M158" s="28">
        <f t="shared" ref="M158" si="249">VLOOKUP($A158,$L$3:$M$7,2,FALSE)</f>
        <v>0</v>
      </c>
      <c r="N158" s="30">
        <f>VLOOKUP($C158,COS!$B$8:$H$991,5,FALSE)</f>
        <v>40.17889404296875</v>
      </c>
      <c r="O158" s="30">
        <f t="shared" ref="O158:O161" si="250">N158*DAY($C158)*86400/43560/1000</f>
        <v>2.3908102240444213</v>
      </c>
      <c r="P158" s="30">
        <f>VLOOKUP($C158,COS!$B$8:$H$991,6,FALSE)</f>
        <v>377.05276489257813</v>
      </c>
      <c r="Q158" s="30">
        <f t="shared" ref="Q158:Q161" si="251">P158*DAY($C158)*86400/43560/1000</f>
        <v>22.436197580384814</v>
      </c>
      <c r="R158" s="30">
        <f>MIN(IF(MONTH($C158)=4,$S$3,IF(MONTH($C158)=5,$S$4,IF(MONTH($C158)=6,$S$5,IF(MONTH($C158)=7,$S$6,"ERROR")))),MAX(VLOOKUP($C158,COS!$B$8:$K$991,10,FALSE)-IF(MONTH($C158)=4,$Y$3,IF(MONTH($C158)=5,$Y$4,IF(MONTH($C158)=6,$Y$5,IF(MONTH($C158)=7,$Y$6,"ERROR")))),0),MAX(VLOOKUP($C158,COS!$B$8:$K$991,9,FALSE)-IF(MONTH($C158)=4,$V$3,IF(MONTH($C158)=5,$V$4,IF(MONTH($C158)=6,$V$5,IF(MONTH($C158)=7,$V$6,"ERROR"))))-VLOOKUP($C158,COS!$B$8:$K$991,6,FALSE)/2,0))</f>
        <v>0</v>
      </c>
      <c r="S158" s="30">
        <f t="shared" ref="S158:S161" si="252">R158*DAY($C158)*86400/43560/1000</f>
        <v>0</v>
      </c>
      <c r="T158" s="30">
        <f t="shared" ref="T158:T161" si="253">(O158+Q158)/2+S158</f>
        <v>12.413503902214618</v>
      </c>
      <c r="U158" s="30" t="str">
        <f>IF(VLOOKUP($C158,COS!$B$8:$I$991,8,FALSE)=1,"UWFE","IBU")</f>
        <v>UWFE</v>
      </c>
      <c r="V158" s="30">
        <f t="shared" ref="V158" si="254">MIN(IF(IF($AA$3=2,AND(E158=1,G158=1,L158=1,L163=1,M158=1,U158="IBU"),AND(E158=1,G158=1,L158=1,L163=1,M158=1)),T158,0),I158)</f>
        <v>0</v>
      </c>
      <c r="W158" s="30"/>
      <c r="X158" s="30"/>
      <c r="Y158" s="30"/>
      <c r="Z158" s="30"/>
      <c r="AA158" s="30"/>
      <c r="AB158" s="31"/>
    </row>
    <row r="159" spans="1:28" x14ac:dyDescent="0.3">
      <c r="A159" s="32">
        <f>VLOOKUP(YEAR(C159),Flags!$A$13:$B$95,2,FALSE)</f>
        <v>1</v>
      </c>
      <c r="B159" s="24">
        <f t="shared" si="225"/>
        <v>1938</v>
      </c>
      <c r="C159" s="25">
        <v>14031</v>
      </c>
      <c r="D159" s="26">
        <f>VLOOKUP($C159,COS!$B$8:$H$991,3,FALSE)</f>
        <v>8562.095703125</v>
      </c>
      <c r="E159" s="24">
        <f>IF(D159&gt;=IF(MONTH($C159)=4,$C$3,IF(MONTH($C159)=5,$C$4,IF(MONTH($C159)=6,$C$5,IF(MONTH($C159)=7,$C$6,"ERROR")))),1,0)</f>
        <v>1</v>
      </c>
      <c r="F159" s="26">
        <f>VLOOKUP($C159,COS!$B$8:$H$991,7,FALSE)</f>
        <v>50.241443634033203</v>
      </c>
      <c r="G159" s="24">
        <f>IF(F159&lt;=IF(MONTH($C159)=4,$F$3,IF(MONTH($C159)=5,$F$4,IF(MONTH($C159)=6,$F$5,IF(MONTH($C159)=7,$F$6,"ERROR")))),1,0)</f>
        <v>1</v>
      </c>
      <c r="H159" s="26">
        <f>IF(J159=1,D159-$C$4,0)</f>
        <v>2562.095703125</v>
      </c>
      <c r="I159" s="26">
        <f t="shared" si="239"/>
        <v>157.53712422520661</v>
      </c>
      <c r="J159" s="24">
        <f t="shared" si="247"/>
        <v>1</v>
      </c>
      <c r="K159" s="26">
        <f>VLOOKUP($C159,COS!$B$8:$H$991,2,FALSE)</f>
        <v>4488.45849609375</v>
      </c>
      <c r="L159" s="24">
        <f t="shared" si="231"/>
        <v>1</v>
      </c>
      <c r="M159" s="24">
        <f t="shared" si="232"/>
        <v>0</v>
      </c>
      <c r="N159" s="26">
        <f>VLOOKUP($C159,COS!$B$8:$H$991,5,FALSE)</f>
        <v>664.77288818359375</v>
      </c>
      <c r="O159" s="26">
        <f t="shared" si="250"/>
        <v>40.875291637073857</v>
      </c>
      <c r="P159" s="26">
        <f>VLOOKUP($C159,COS!$B$8:$H$991,6,FALSE)</f>
        <v>2143.932373046875</v>
      </c>
      <c r="Q159" s="26">
        <f t="shared" si="251"/>
        <v>131.82526326833678</v>
      </c>
      <c r="R159" s="26">
        <f>MIN(IF(MONTH($C159)=4,$S$3,IF(MONTH($C159)=5,$S$4,IF(MONTH($C159)=6,$S$5,IF(MONTH($C159)=7,$S$6,"ERROR")))),MAX(VLOOKUP($C159,COS!$B$8:$K$991,10,FALSE)-IF(MONTH($C159)=4,$Y$3,IF(MONTH($C159)=5,$Y$4,IF(MONTH($C159)=6,$Y$5,IF(MONTH($C159)=7,$Y$6,"ERROR")))),0),MAX(VLOOKUP($C159,COS!$B$8:$K$991,9,FALSE)-IF(MONTH($C159)=4,$V$3,IF(MONTH($C159)=5,$V$4,IF(MONTH($C159)=6,$V$5,IF(MONTH($C159)=7,$V$6,"ERROR"))))-VLOOKUP($C159,COS!$B$8:$K$991,6,FALSE)/2,0))</f>
        <v>0</v>
      </c>
      <c r="S159" s="26">
        <f t="shared" si="252"/>
        <v>0</v>
      </c>
      <c r="T159" s="26">
        <f t="shared" si="253"/>
        <v>86.350277452705313</v>
      </c>
      <c r="U159" s="26" t="str">
        <f>IF(VLOOKUP($C159,COS!$B$8:$I$991,8,FALSE)=1,"UWFE","IBU")</f>
        <v>UWFE</v>
      </c>
      <c r="V159" s="26">
        <f t="shared" ref="V159" si="255">MIN(IF(IF($AA$3=2,AND(E159=1,G159=1,L159=1,L163=1,M159=1,U159="IBU"),AND(E159=1,G159=1,L159=1,L163=1,M159=1)),T159,0),I159)</f>
        <v>0</v>
      </c>
      <c r="W159" s="26"/>
      <c r="X159" s="26"/>
      <c r="Y159" s="26"/>
      <c r="Z159" s="26"/>
      <c r="AA159" s="26"/>
      <c r="AB159" s="33"/>
    </row>
    <row r="160" spans="1:28" x14ac:dyDescent="0.3">
      <c r="A160" s="32">
        <f>VLOOKUP(YEAR(C160),Flags!$A$13:$B$95,2,FALSE)</f>
        <v>1</v>
      </c>
      <c r="B160" s="24">
        <f t="shared" si="225"/>
        <v>1938</v>
      </c>
      <c r="C160" s="25">
        <v>14061</v>
      </c>
      <c r="D160" s="26">
        <f>VLOOKUP($C160,COS!$B$8:$H$991,3,FALSE)</f>
        <v>7901.6748046875</v>
      </c>
      <c r="E160" s="24">
        <f>IF(D160&gt;=IF(MONTH($C160)=4,$C$3,IF(MONTH($C160)=5,$C$4,IF(MONTH($C160)=6,$C$5,IF(MONTH($C160)=7,$C$6,"ERROR")))),1,0)</f>
        <v>0</v>
      </c>
      <c r="F160" s="26">
        <f>VLOOKUP($C160,COS!$B$8:$H$991,7,FALSE)</f>
        <v>52.2984619140625</v>
      </c>
      <c r="G160" s="24">
        <f>IF(F160&lt;=IF(MONTH($C160)=4,$F$3,IF(MONTH($C160)=5,$F$4,IF(MONTH($C160)=6,$F$5,IF(MONTH($C160)=7,$F$6,"ERROR")))),1,0)</f>
        <v>1</v>
      </c>
      <c r="H160" s="26">
        <f>IF(J160=1,D160-$C$5,0)</f>
        <v>0</v>
      </c>
      <c r="I160" s="26">
        <f t="shared" si="239"/>
        <v>0</v>
      </c>
      <c r="J160" s="24">
        <f t="shared" si="247"/>
        <v>0</v>
      </c>
      <c r="K160" s="26">
        <f>VLOOKUP($C160,COS!$B$8:$H$991,2,FALSE)</f>
        <v>4435.94384765625</v>
      </c>
      <c r="L160" s="24">
        <f t="shared" si="231"/>
        <v>1</v>
      </c>
      <c r="M160" s="24">
        <f t="shared" si="232"/>
        <v>0</v>
      </c>
      <c r="N160" s="26">
        <f>VLOOKUP($C160,COS!$B$8:$H$991,5,FALSE)</f>
        <v>1236.6031494140625</v>
      </c>
      <c r="O160" s="26">
        <f t="shared" si="250"/>
        <v>73.582997320506195</v>
      </c>
      <c r="P160" s="26">
        <f>VLOOKUP($C160,COS!$B$8:$H$991,6,FALSE)</f>
        <v>2276.98291015625</v>
      </c>
      <c r="Q160" s="26">
        <f t="shared" si="251"/>
        <v>135.48989217458677</v>
      </c>
      <c r="R160" s="26">
        <f>MIN(IF(MONTH($C160)=4,$S$3,IF(MONTH($C160)=5,$S$4,IF(MONTH($C160)=6,$S$5,IF(MONTH($C160)=7,$S$6,"ERROR")))),MAX(VLOOKUP($C160,COS!$B$8:$K$991,10,FALSE)-IF(MONTH($C160)=4,$Y$3,IF(MONTH($C160)=5,$Y$4,IF(MONTH($C160)=6,$Y$5,IF(MONTH($C160)=7,$Y$6,"ERROR")))),0),MAX(VLOOKUP($C160,COS!$B$8:$K$991,9,FALSE)-IF(MONTH($C160)=4,$V$3,IF(MONTH($C160)=5,$V$4,IF(MONTH($C160)=6,$V$5,IF(MONTH($C160)=7,$V$6,"ERROR"))))-VLOOKUP($C160,COS!$B$8:$K$991,6,FALSE)/2,0))</f>
        <v>0</v>
      </c>
      <c r="S160" s="26">
        <f t="shared" si="252"/>
        <v>0</v>
      </c>
      <c r="T160" s="26">
        <f t="shared" si="253"/>
        <v>104.53644474754648</v>
      </c>
      <c r="U160" s="26" t="str">
        <f>IF(VLOOKUP($C160,COS!$B$8:$I$991,8,FALSE)=1,"UWFE","IBU")</f>
        <v>UWFE</v>
      </c>
      <c r="V160" s="26">
        <f t="shared" ref="V160" si="256">MIN(IF(IF($AA$3=2,AND(E160=1,G160=1,L160=1,L163=1,M160=1,U160="IBU"),AND(E160=1,G160=1,L160=1,L163=1,M160=1)),T160,0),I160)</f>
        <v>0</v>
      </c>
      <c r="W160" s="26"/>
      <c r="X160" s="26"/>
      <c r="Y160" s="26"/>
      <c r="Z160" s="26"/>
      <c r="AA160" s="26"/>
      <c r="AB160" s="33"/>
    </row>
    <row r="161" spans="1:28" x14ac:dyDescent="0.3">
      <c r="A161" s="32">
        <f>VLOOKUP(YEAR(C161),Flags!$A$13:$B$95,2,FALSE)</f>
        <v>1</v>
      </c>
      <c r="B161" s="24">
        <f t="shared" si="225"/>
        <v>1938</v>
      </c>
      <c r="C161" s="25">
        <v>14092</v>
      </c>
      <c r="D161" s="26">
        <f>VLOOKUP($C161,COS!$B$8:$H$991,3,FALSE)</f>
        <v>10626.4931640625</v>
      </c>
      <c r="E161" s="24">
        <f>IF(D161&gt;=IF(MONTH($C161)=4,$C$3,IF(MONTH($C161)=5,$C$4,IF(MONTH($C161)=6,$C$5,IF(MONTH($C161)=7,$C$6,"ERROR")))),1,0)</f>
        <v>0</v>
      </c>
      <c r="F161" s="26">
        <f>VLOOKUP($C161,COS!$B$8:$H$991,7,FALSE)</f>
        <v>52.414962768554688</v>
      </c>
      <c r="G161" s="24">
        <f>IF(F161&lt;=IF(MONTH($C161)=4,$F$3,IF(MONTH($C161)=5,$F$4,IF(MONTH($C161)=6,$F$5,IF(MONTH($C161)=7,$F$6,"ERROR")))),1,0)</f>
        <v>1</v>
      </c>
      <c r="H161" s="26">
        <f>IF(J161=1,D161-$C$6,0)</f>
        <v>0</v>
      </c>
      <c r="I161" s="26">
        <f t="shared" si="239"/>
        <v>0</v>
      </c>
      <c r="J161" s="24">
        <f t="shared" si="247"/>
        <v>0</v>
      </c>
      <c r="K161" s="26">
        <f>VLOOKUP($C161,COS!$B$8:$H$991,2,FALSE)</f>
        <v>4015.395751953125</v>
      </c>
      <c r="L161" s="24">
        <f t="shared" si="231"/>
        <v>1</v>
      </c>
      <c r="M161" s="24">
        <f t="shared" si="232"/>
        <v>0</v>
      </c>
      <c r="N161" s="26">
        <f>VLOOKUP($C161,COS!$B$8:$H$991,5,FALSE)</f>
        <v>1349.977294921875</v>
      </c>
      <c r="O161" s="26">
        <f t="shared" si="250"/>
        <v>83.006868381973135</v>
      </c>
      <c r="P161" s="26">
        <f>VLOOKUP($C161,COS!$B$8:$H$991,6,FALSE)</f>
        <v>2521.474853515625</v>
      </c>
      <c r="Q161" s="26">
        <f t="shared" si="251"/>
        <v>155.0394455384814</v>
      </c>
      <c r="R161" s="26">
        <f>MIN(IF(MONTH($C161)=4,$S$3,IF(MONTH($C161)=5,$S$4,IF(MONTH($C161)=6,$S$5,IF(MONTH($C161)=7,$S$6,"ERROR")))),MAX(VLOOKUP($C161,COS!$B$8:$K$991,10,FALSE)-IF(MONTH($C161)=4,$Y$3,IF(MONTH($C161)=5,$Y$4,IF(MONTH($C161)=6,$Y$5,IF(MONTH($C161)=7,$Y$6,"ERROR")))),0),MAX(VLOOKUP($C161,COS!$B$8:$K$991,9,FALSE)-IF(MONTH($C161)=4,$V$3,IF(MONTH($C161)=5,$V$4,IF(MONTH($C161)=6,$V$5,IF(MONTH($C161)=7,$V$6,"ERROR"))))-VLOOKUP($C161,COS!$B$8:$K$991,6,FALSE)/2,0))</f>
        <v>0</v>
      </c>
      <c r="S161" s="26">
        <f t="shared" si="252"/>
        <v>0</v>
      </c>
      <c r="T161" s="26">
        <f t="shared" si="253"/>
        <v>119.02315696022727</v>
      </c>
      <c r="U161" s="26" t="str">
        <f>IF(VLOOKUP($C161,COS!$B$8:$I$991,8,FALSE)=1,"UWFE","IBU")</f>
        <v>IBU</v>
      </c>
      <c r="V161" s="26">
        <f t="shared" ref="V161" si="257">MIN(IF(IF($AA$3=2,AND(E161=1,G161=1,L161=1,L163=1,M161=1,U161="IBU"),AND(E161=1,G161=1,L161=1,L163=1,M161=1)),T161,0),I161)</f>
        <v>0</v>
      </c>
      <c r="W161" s="26"/>
      <c r="X161" s="26"/>
      <c r="Y161" s="26"/>
      <c r="Z161" s="26"/>
      <c r="AA161" s="26"/>
      <c r="AB161" s="33"/>
    </row>
    <row r="162" spans="1:28" x14ac:dyDescent="0.3">
      <c r="A162" s="32">
        <f>VLOOKUP(YEAR(C162),Flags!$A$13:$B$95,2,FALSE)</f>
        <v>1</v>
      </c>
      <c r="B162" s="24">
        <f t="shared" si="225"/>
        <v>1938</v>
      </c>
      <c r="C162" s="25">
        <v>14123</v>
      </c>
      <c r="D162" s="26"/>
      <c r="E162" s="24"/>
      <c r="F162" s="26"/>
      <c r="G162" s="24"/>
      <c r="H162" s="24"/>
      <c r="I162" s="26"/>
      <c r="J162" s="24"/>
      <c r="K162" s="26"/>
      <c r="L162" s="24"/>
      <c r="M162" s="24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f>MAX($C$7-VLOOKUP($C162,COS!$B$8:$H$991,3,FALSE),0)</f>
        <v>89530.1455078125</v>
      </c>
      <c r="X162" s="26">
        <f t="shared" si="245"/>
        <v>5504.9940708935947</v>
      </c>
      <c r="Y162" s="26">
        <f>VLOOKUP($C162,COS!$B$8:$H$991,4,FALSE)</f>
        <v>0</v>
      </c>
      <c r="Z162" s="26">
        <f t="shared" si="246"/>
        <v>0</v>
      </c>
      <c r="AA162" s="26">
        <f t="shared" ref="AA162:AA166" si="258">MIN(W162,Y162)</f>
        <v>0</v>
      </c>
      <c r="AB162" s="33">
        <f t="shared" ref="AB162" si="259">AA162*DAY($C162)*86400/43560/1000*IF(MONTH($C162)=8,$P$3,IF(MONTH($C162)=9,$P$4,IF(MONTH($C162)=10,$P$5,IF(MONTH($C162)=11,$P$6,IF(MONTH($C162)=12,$P$7,NA())))))</f>
        <v>0</v>
      </c>
    </row>
    <row r="163" spans="1:28" x14ac:dyDescent="0.3">
      <c r="A163" s="32">
        <f>VLOOKUP(YEAR(C163),Flags!$A$13:$B$95,2,FALSE)</f>
        <v>1</v>
      </c>
      <c r="B163" s="24">
        <f t="shared" si="225"/>
        <v>1938</v>
      </c>
      <c r="C163" s="25">
        <v>14153</v>
      </c>
      <c r="D163" s="26"/>
      <c r="E163" s="24"/>
      <c r="F163" s="26"/>
      <c r="G163" s="24"/>
      <c r="H163" s="24"/>
      <c r="I163" s="26"/>
      <c r="J163" s="24"/>
      <c r="K163" s="26">
        <f>VLOOKUP($C163,COS!$B$8:$H$991,2,FALSE)</f>
        <v>3067.66845703125</v>
      </c>
      <c r="L163" s="24">
        <f t="shared" ref="L163" si="260">IF(AND(K163&gt;$I$7,K163&lt;$I$8),1,0)</f>
        <v>1</v>
      </c>
      <c r="M163" s="24"/>
      <c r="N163" s="26"/>
      <c r="O163" s="26"/>
      <c r="P163" s="26"/>
      <c r="Q163" s="26"/>
      <c r="R163" s="26"/>
      <c r="S163" s="26"/>
      <c r="T163" s="26"/>
      <c r="U163" s="26"/>
      <c r="V163" s="26"/>
      <c r="W163" s="26">
        <f>MAX($C$8-VLOOKUP($C163,COS!$B$8:$H$991,3,FALSE),0)</f>
        <v>84308.306640625</v>
      </c>
      <c r="X163" s="26">
        <f t="shared" si="245"/>
        <v>5016.6926265495867</v>
      </c>
      <c r="Y163" s="26">
        <f>VLOOKUP($C163,COS!$B$8:$H$991,4,FALSE)</f>
        <v>0</v>
      </c>
      <c r="Z163" s="26">
        <f t="shared" si="246"/>
        <v>0</v>
      </c>
      <c r="AA163" s="26">
        <f t="shared" si="258"/>
        <v>0</v>
      </c>
      <c r="AB163" s="33">
        <f t="shared" si="243"/>
        <v>0</v>
      </c>
    </row>
    <row r="164" spans="1:28" x14ac:dyDescent="0.3">
      <c r="A164" s="32">
        <f>VLOOKUP(YEAR(C164),Flags!$A$13:$B$95,2,FALSE)</f>
        <v>1</v>
      </c>
      <c r="B164" s="24">
        <f t="shared" si="225"/>
        <v>1938</v>
      </c>
      <c r="C164" s="25">
        <v>14184</v>
      </c>
      <c r="D164" s="26"/>
      <c r="E164" s="24"/>
      <c r="F164" s="26"/>
      <c r="G164" s="26"/>
      <c r="H164" s="26"/>
      <c r="I164" s="26"/>
      <c r="J164" s="26"/>
      <c r="K164" s="26"/>
      <c r="L164" s="24"/>
      <c r="M164" s="24"/>
      <c r="N164" s="26"/>
      <c r="O164" s="26"/>
      <c r="P164" s="26"/>
      <c r="Q164" s="26"/>
      <c r="R164" s="26"/>
      <c r="S164" s="26"/>
      <c r="T164" s="26"/>
      <c r="U164" s="26"/>
      <c r="V164" s="26"/>
      <c r="W164" s="26">
        <f>MAX($C$9-VLOOKUP($C164,COS!$B$8:$H$991,3,FALSE),0)</f>
        <v>94842.9638671875</v>
      </c>
      <c r="X164" s="26">
        <f t="shared" si="245"/>
        <v>5831.6665386105378</v>
      </c>
      <c r="Y164" s="26">
        <f>VLOOKUP($C164,COS!$B$8:$H$991,4,FALSE)</f>
        <v>48.355400085449219</v>
      </c>
      <c r="Z164" s="26">
        <f t="shared" si="246"/>
        <v>2.9732576581466295</v>
      </c>
      <c r="AA164" s="26">
        <f t="shared" si="258"/>
        <v>48.355400085449219</v>
      </c>
      <c r="AB164" s="33">
        <f t="shared" si="243"/>
        <v>2.9732576581466295</v>
      </c>
    </row>
    <row r="165" spans="1:28" x14ac:dyDescent="0.3">
      <c r="A165" s="32">
        <f>VLOOKUP(YEAR(C165),Flags!$A$13:$B$95,2,FALSE)</f>
        <v>1</v>
      </c>
      <c r="B165" s="24">
        <f t="shared" si="225"/>
        <v>1938</v>
      </c>
      <c r="C165" s="25">
        <v>14214</v>
      </c>
      <c r="D165" s="26"/>
      <c r="E165" s="24"/>
      <c r="F165" s="26"/>
      <c r="G165" s="26"/>
      <c r="H165" s="26"/>
      <c r="I165" s="26"/>
      <c r="J165" s="26"/>
      <c r="K165" s="26"/>
      <c r="L165" s="24"/>
      <c r="M165" s="24"/>
      <c r="N165" s="26"/>
      <c r="O165" s="26"/>
      <c r="P165" s="26"/>
      <c r="Q165" s="26"/>
      <c r="R165" s="26"/>
      <c r="S165" s="26"/>
      <c r="T165" s="26"/>
      <c r="U165" s="26"/>
      <c r="V165" s="26"/>
      <c r="W165" s="26">
        <f>MAX($C$10-VLOOKUP($C165,COS!$B$8:$H$991,3,FALSE),0)</f>
        <v>91290.8857421875</v>
      </c>
      <c r="X165" s="26">
        <f t="shared" si="245"/>
        <v>5432.1849367252071</v>
      </c>
      <c r="Y165" s="26">
        <f>VLOOKUP($C165,COS!$B$8:$H$991,4,FALSE)</f>
        <v>0</v>
      </c>
      <c r="Z165" s="26">
        <f t="shared" si="246"/>
        <v>0</v>
      </c>
      <c r="AA165" s="26">
        <f t="shared" si="258"/>
        <v>0</v>
      </c>
      <c r="AB165" s="33">
        <f t="shared" si="243"/>
        <v>0</v>
      </c>
    </row>
    <row r="166" spans="1:28" x14ac:dyDescent="0.3">
      <c r="A166" s="34">
        <f>VLOOKUP(YEAR(C166),Flags!$A$13:$B$95,2,FALSE)</f>
        <v>1</v>
      </c>
      <c r="B166" s="35">
        <f t="shared" si="225"/>
        <v>1938</v>
      </c>
      <c r="C166" s="36">
        <v>14245</v>
      </c>
      <c r="D166" s="37"/>
      <c r="E166" s="35"/>
      <c r="F166" s="37"/>
      <c r="G166" s="37"/>
      <c r="H166" s="37"/>
      <c r="I166" s="37"/>
      <c r="J166" s="37"/>
      <c r="K166" s="37"/>
      <c r="L166" s="35"/>
      <c r="M166" s="35"/>
      <c r="N166" s="37"/>
      <c r="O166" s="37"/>
      <c r="P166" s="37"/>
      <c r="Q166" s="37"/>
      <c r="R166" s="37"/>
      <c r="S166" s="37"/>
      <c r="T166" s="37"/>
      <c r="U166" s="37"/>
      <c r="V166" s="37"/>
      <c r="W166" s="37">
        <f>MAX($C$11-VLOOKUP($C166,COS!$B$8:$H$991,3,FALSE),0)</f>
        <v>0</v>
      </c>
      <c r="X166" s="37">
        <f t="shared" si="245"/>
        <v>0</v>
      </c>
      <c r="Y166" s="37">
        <f>VLOOKUP($C166,COS!$B$8:$H$991,4,FALSE)</f>
        <v>0</v>
      </c>
      <c r="Z166" s="37">
        <f t="shared" si="246"/>
        <v>0</v>
      </c>
      <c r="AA166" s="37">
        <f t="shared" si="258"/>
        <v>0</v>
      </c>
      <c r="AB166" s="38">
        <f t="shared" si="243"/>
        <v>0</v>
      </c>
    </row>
    <row r="167" spans="1:28" x14ac:dyDescent="0.3">
      <c r="A167" s="27">
        <f>VLOOKUP(YEAR(C167),Flags!$A$13:$B$95,2,FALSE)</f>
        <v>3</v>
      </c>
      <c r="B167" s="28">
        <f t="shared" si="225"/>
        <v>1939</v>
      </c>
      <c r="C167" s="29">
        <v>14365</v>
      </c>
      <c r="D167" s="30">
        <f>VLOOKUP($C167,COS!$B$8:$H$991,3,FALSE)</f>
        <v>5639.22900390625</v>
      </c>
      <c r="E167" s="28">
        <f>IF(D167&gt;=IF(MONTH($C167)=4,$C$3,IF(MONTH($C167)=5,$C$4,IF(MONTH($C167)=6,$C$5,IF(MONTH($C167)=7,$C$6,"ERROR")))),1,0)</f>
        <v>0</v>
      </c>
      <c r="F167" s="30">
        <f>VLOOKUP($C167,COS!$B$8:$H$991,7,FALSE)</f>
        <v>50.994121551513672</v>
      </c>
      <c r="G167" s="28">
        <f>IF(F167&lt;=IF(MONTH($C167)=4,$F$3,IF(MONTH($C167)=5,$F$4,IF(MONTH($C167)=6,$F$5,IF(MONTH($C167)=7,$F$6,"ERROR")))),1,0)</f>
        <v>1</v>
      </c>
      <c r="H167" s="30">
        <f>IF(J167=1,D167-$C$3,0)</f>
        <v>0</v>
      </c>
      <c r="I167" s="30">
        <f t="shared" si="239"/>
        <v>0</v>
      </c>
      <c r="J167" s="28">
        <f t="shared" ref="J167:J170" si="261">IF(AND(E167=1,G167=1),1,0)</f>
        <v>0</v>
      </c>
      <c r="K167" s="30">
        <f>VLOOKUP($C167,COS!$B$8:$H$991,2,FALSE)</f>
        <v>3617.388427734375</v>
      </c>
      <c r="L167" s="28">
        <f t="shared" ref="L167" si="262">IF(K167&lt;=IF(MONTH($C167)=4,$I$3,IF(MONTH($C167)=5,$I$4,IF(MONTH($C167)=6,$I$5,IF(MONTH($C167)=7,$I$6,"ERROR")))),1,0)</f>
        <v>1</v>
      </c>
      <c r="M167" s="28">
        <f t="shared" ref="M167" si="263">VLOOKUP($A167,$L$3:$M$7,2,FALSE)</f>
        <v>0</v>
      </c>
      <c r="N167" s="30">
        <f>VLOOKUP($C167,COS!$B$8:$H$991,5,FALSE)</f>
        <v>605.5399169921875</v>
      </c>
      <c r="O167" s="30">
        <f t="shared" ref="O167:O170" si="264">N167*DAY($C167)*86400/43560/1000</f>
        <v>36.032127292097108</v>
      </c>
      <c r="P167" s="30">
        <f>VLOOKUP($C167,COS!$B$8:$H$991,6,FALSE)</f>
        <v>578.7889404296875</v>
      </c>
      <c r="Q167" s="30">
        <f t="shared" ref="Q167:Q170" si="265">P167*DAY($C167)*86400/43560/1000</f>
        <v>34.440333645402887</v>
      </c>
      <c r="R167" s="30">
        <f>MIN(IF(MONTH($C167)=4,$S$3,IF(MONTH($C167)=5,$S$4,IF(MONTH($C167)=6,$S$5,IF(MONTH($C167)=7,$S$6,"ERROR")))),MAX(VLOOKUP($C167,COS!$B$8:$K$991,10,FALSE)-IF(MONTH($C167)=4,$Y$3,IF(MONTH($C167)=5,$Y$4,IF(MONTH($C167)=6,$Y$5,IF(MONTH($C167)=7,$Y$6,"ERROR")))),0),MAX(VLOOKUP($C167,COS!$B$8:$K$991,9,FALSE)-IF(MONTH($C167)=4,$V$3,IF(MONTH($C167)=5,$V$4,IF(MONTH($C167)=6,$V$5,IF(MONTH($C167)=7,$V$6,"ERROR"))))-VLOOKUP($C167,COS!$B$8:$K$991,6,FALSE)/2,0))</f>
        <v>0</v>
      </c>
      <c r="S167" s="30">
        <f t="shared" ref="S167:S170" si="266">R167*DAY($C167)*86400/43560/1000</f>
        <v>0</v>
      </c>
      <c r="T167" s="30">
        <f t="shared" ref="T167:T170" si="267">(O167+Q167)/2+S167</f>
        <v>35.236230468749994</v>
      </c>
      <c r="U167" s="30" t="str">
        <f>IF(VLOOKUP($C167,COS!$B$8:$I$991,8,FALSE)=1,"UWFE","IBU")</f>
        <v>UWFE</v>
      </c>
      <c r="V167" s="30">
        <f t="shared" ref="V167" si="268">MIN(IF(IF($AA$3=2,AND(E167=1,G167=1,L167=1,L172=1,M167=1,U167="IBU"),AND(E167=1,G167=1,L167=1,L172=1,M167=1)),T167,0),I167)</f>
        <v>0</v>
      </c>
      <c r="W167" s="30"/>
      <c r="X167" s="30"/>
      <c r="Y167" s="30"/>
      <c r="Z167" s="30"/>
      <c r="AA167" s="30"/>
      <c r="AB167" s="31"/>
    </row>
    <row r="168" spans="1:28" x14ac:dyDescent="0.3">
      <c r="A168" s="32">
        <f>VLOOKUP(YEAR(C168),Flags!$A$13:$B$95,2,FALSE)</f>
        <v>3</v>
      </c>
      <c r="B168" s="24">
        <f t="shared" si="225"/>
        <v>1939</v>
      </c>
      <c r="C168" s="25">
        <v>14396</v>
      </c>
      <c r="D168" s="26">
        <f>VLOOKUP($C168,COS!$B$8:$H$991,3,FALSE)</f>
        <v>10183.0283203125</v>
      </c>
      <c r="E168" s="24">
        <f>IF(D168&gt;=IF(MONTH($C168)=4,$C$3,IF(MONTH($C168)=5,$C$4,IF(MONTH($C168)=6,$C$5,IF(MONTH($C168)=7,$C$6,"ERROR")))),1,0)</f>
        <v>1</v>
      </c>
      <c r="F168" s="26">
        <f>VLOOKUP($C168,COS!$B$8:$H$991,7,FALSE)</f>
        <v>50.974002838134766</v>
      </c>
      <c r="G168" s="24">
        <f>IF(F168&lt;=IF(MONTH($C168)=4,$F$3,IF(MONTH($C168)=5,$F$4,IF(MONTH($C168)=6,$F$5,IF(MONTH($C168)=7,$F$6,"ERROR")))),1,0)</f>
        <v>1</v>
      </c>
      <c r="H168" s="26">
        <f>IF(J168=1,D168-$C$4,0)</f>
        <v>4183.0283203125</v>
      </c>
      <c r="I168" s="26">
        <f t="shared" si="239"/>
        <v>257.20438597623968</v>
      </c>
      <c r="J168" s="24">
        <f t="shared" si="261"/>
        <v>1</v>
      </c>
      <c r="K168" s="26">
        <f>VLOOKUP($C168,COS!$B$8:$H$991,2,FALSE)</f>
        <v>3339.732177734375</v>
      </c>
      <c r="L168" s="24">
        <f t="shared" si="231"/>
        <v>1</v>
      </c>
      <c r="M168" s="24">
        <f t="shared" si="232"/>
        <v>0</v>
      </c>
      <c r="N168" s="26">
        <f>VLOOKUP($C168,COS!$B$8:$H$991,5,FALSE)</f>
        <v>507.59902954101563</v>
      </c>
      <c r="O168" s="26">
        <f t="shared" si="264"/>
        <v>31.211047766819473</v>
      </c>
      <c r="P168" s="26">
        <f>VLOOKUP($C168,COS!$B$8:$H$991,6,FALSE)</f>
        <v>2184.023681640625</v>
      </c>
      <c r="Q168" s="26">
        <f t="shared" si="265"/>
        <v>134.29038174715907</v>
      </c>
      <c r="R168" s="26">
        <f>MIN(IF(MONTH($C168)=4,$S$3,IF(MONTH($C168)=5,$S$4,IF(MONTH($C168)=6,$S$5,IF(MONTH($C168)=7,$S$6,"ERROR")))),MAX(VLOOKUP($C168,COS!$B$8:$K$991,10,FALSE)-IF(MONTH($C168)=4,$Y$3,IF(MONTH($C168)=5,$Y$4,IF(MONTH($C168)=6,$Y$5,IF(MONTH($C168)=7,$Y$6,"ERROR")))),0),MAX(VLOOKUP($C168,COS!$B$8:$K$991,9,FALSE)-IF(MONTH($C168)=4,$V$3,IF(MONTH($C168)=5,$V$4,IF(MONTH($C168)=6,$V$5,IF(MONTH($C168)=7,$V$6,"ERROR"))))-VLOOKUP($C168,COS!$B$8:$K$991,6,FALSE)/2,0))</f>
        <v>0</v>
      </c>
      <c r="S168" s="26">
        <f t="shared" si="266"/>
        <v>0</v>
      </c>
      <c r="T168" s="26">
        <f t="shared" si="267"/>
        <v>82.750714756989268</v>
      </c>
      <c r="U168" s="26" t="str">
        <f>IF(VLOOKUP($C168,COS!$B$8:$I$991,8,FALSE)=1,"UWFE","IBU")</f>
        <v>IBU</v>
      </c>
      <c r="V168" s="26">
        <f t="shared" ref="V168" si="269">MIN(IF(IF($AA$3=2,AND(E168=1,G168=1,L168=1,L172=1,M168=1,U168="IBU"),AND(E168=1,G168=1,L168=1,L172=1,M168=1)),T168,0),I168)</f>
        <v>0</v>
      </c>
      <c r="W168" s="26"/>
      <c r="X168" s="26"/>
      <c r="Y168" s="26"/>
      <c r="Z168" s="26"/>
      <c r="AA168" s="26"/>
      <c r="AB168" s="33"/>
    </row>
    <row r="169" spans="1:28" x14ac:dyDescent="0.3">
      <c r="A169" s="32">
        <f>VLOOKUP(YEAR(C169),Flags!$A$13:$B$95,2,FALSE)</f>
        <v>3</v>
      </c>
      <c r="B169" s="24">
        <f t="shared" si="225"/>
        <v>1939</v>
      </c>
      <c r="C169" s="25">
        <v>14426</v>
      </c>
      <c r="D169" s="26">
        <f>VLOOKUP($C169,COS!$B$8:$H$991,3,FALSE)</f>
        <v>12354.21484375</v>
      </c>
      <c r="E169" s="24">
        <f>IF(D169&gt;=IF(MONTH($C169)=4,$C$3,IF(MONTH($C169)=5,$C$4,IF(MONTH($C169)=6,$C$5,IF(MONTH($C169)=7,$C$6,"ERROR")))),1,0)</f>
        <v>1</v>
      </c>
      <c r="F169" s="26">
        <f>VLOOKUP($C169,COS!$B$8:$H$991,7,FALSE)</f>
        <v>52.385540008544922</v>
      </c>
      <c r="G169" s="24">
        <f>IF(F169&lt;=IF(MONTH($C169)=4,$F$3,IF(MONTH($C169)=5,$F$4,IF(MONTH($C169)=6,$F$5,IF(MONTH($C169)=7,$F$6,"ERROR")))),1,0)</f>
        <v>1</v>
      </c>
      <c r="H169" s="26">
        <f>IF(J169=1,D169-$C$5,0)</f>
        <v>2354.21484375</v>
      </c>
      <c r="I169" s="26">
        <f t="shared" si="239"/>
        <v>140.08551136363636</v>
      </c>
      <c r="J169" s="24">
        <f t="shared" si="261"/>
        <v>1</v>
      </c>
      <c r="K169" s="26">
        <f>VLOOKUP($C169,COS!$B$8:$H$991,2,FALSE)</f>
        <v>2944.504150390625</v>
      </c>
      <c r="L169" s="24">
        <f t="shared" si="231"/>
        <v>1</v>
      </c>
      <c r="M169" s="24">
        <f t="shared" si="232"/>
        <v>0</v>
      </c>
      <c r="N169" s="26">
        <f>VLOOKUP($C169,COS!$B$8:$H$991,5,FALSE)</f>
        <v>658.92901611328125</v>
      </c>
      <c r="O169" s="26">
        <f t="shared" si="264"/>
        <v>39.208999305914261</v>
      </c>
      <c r="P169" s="26">
        <f>VLOOKUP($C169,COS!$B$8:$H$991,6,FALSE)</f>
        <v>2679.353271484375</v>
      </c>
      <c r="Q169" s="26">
        <f t="shared" si="265"/>
        <v>159.43259136105374</v>
      </c>
      <c r="R169" s="26">
        <f>MIN(IF(MONTH($C169)=4,$S$3,IF(MONTH($C169)=5,$S$4,IF(MONTH($C169)=6,$S$5,IF(MONTH($C169)=7,$S$6,"ERROR")))),MAX(VLOOKUP($C169,COS!$B$8:$K$991,10,FALSE)-IF(MONTH($C169)=4,$Y$3,IF(MONTH($C169)=5,$Y$4,IF(MONTH($C169)=6,$Y$5,IF(MONTH($C169)=7,$Y$6,"ERROR")))),0),MAX(VLOOKUP($C169,COS!$B$8:$K$991,9,FALSE)-IF(MONTH($C169)=4,$V$3,IF(MONTH($C169)=5,$V$4,IF(MONTH($C169)=6,$V$5,IF(MONTH($C169)=7,$V$6,"ERROR"))))-VLOOKUP($C169,COS!$B$8:$K$991,6,FALSE)/2,0))</f>
        <v>0</v>
      </c>
      <c r="S169" s="26">
        <f t="shared" si="266"/>
        <v>0</v>
      </c>
      <c r="T169" s="26">
        <f t="shared" si="267"/>
        <v>99.320795333484</v>
      </c>
      <c r="U169" s="26" t="str">
        <f>IF(VLOOKUP($C169,COS!$B$8:$I$991,8,FALSE)=1,"UWFE","IBU")</f>
        <v>IBU</v>
      </c>
      <c r="V169" s="26">
        <f t="shared" ref="V169" si="270">MIN(IF(IF($AA$3=2,AND(E169=1,G169=1,L169=1,L172=1,M169=1,U169="IBU"),AND(E169=1,G169=1,L169=1,L172=1,M169=1)),T169,0),I169)</f>
        <v>0</v>
      </c>
      <c r="W169" s="26"/>
      <c r="X169" s="26"/>
      <c r="Y169" s="26"/>
      <c r="Z169" s="26"/>
      <c r="AA169" s="26"/>
      <c r="AB169" s="33"/>
    </row>
    <row r="170" spans="1:28" x14ac:dyDescent="0.3">
      <c r="A170" s="32">
        <f>VLOOKUP(YEAR(C170),Flags!$A$13:$B$95,2,FALSE)</f>
        <v>3</v>
      </c>
      <c r="B170" s="24">
        <f t="shared" si="225"/>
        <v>1939</v>
      </c>
      <c r="C170" s="25">
        <v>14457</v>
      </c>
      <c r="D170" s="26">
        <f>VLOOKUP($C170,COS!$B$8:$H$991,3,FALSE)</f>
        <v>16000</v>
      </c>
      <c r="E170" s="24">
        <f>IF(D170&gt;=IF(MONTH($C170)=4,$C$3,IF(MONTH($C170)=5,$C$4,IF(MONTH($C170)=6,$C$5,IF(MONTH($C170)=7,$C$6,"ERROR")))),1,0)</f>
        <v>1</v>
      </c>
      <c r="F170" s="26">
        <f>VLOOKUP($C170,COS!$B$8:$H$991,7,FALSE)</f>
        <v>53.516410827636719</v>
      </c>
      <c r="G170" s="24">
        <f>IF(F170&lt;=IF(MONTH($C170)=4,$F$3,IF(MONTH($C170)=5,$F$4,IF(MONTH($C170)=6,$F$5,IF(MONTH($C170)=7,$F$6,"ERROR")))),1,0)</f>
        <v>0</v>
      </c>
      <c r="H170" s="26">
        <f>IF(J170=1,D170-$C$6,0)</f>
        <v>0</v>
      </c>
      <c r="I170" s="26">
        <f t="shared" si="239"/>
        <v>0</v>
      </c>
      <c r="J170" s="24">
        <f t="shared" si="261"/>
        <v>0</v>
      </c>
      <c r="K170" s="26">
        <f>VLOOKUP($C170,COS!$B$8:$H$991,2,FALSE)</f>
        <v>2319.410888671875</v>
      </c>
      <c r="L170" s="24">
        <f t="shared" si="231"/>
        <v>1</v>
      </c>
      <c r="M170" s="24">
        <f t="shared" si="232"/>
        <v>0</v>
      </c>
      <c r="N170" s="26">
        <f>VLOOKUP($C170,COS!$B$8:$H$991,5,FALSE)</f>
        <v>718.189208984375</v>
      </c>
      <c r="O170" s="26">
        <f t="shared" si="264"/>
        <v>44.159733180526864</v>
      </c>
      <c r="P170" s="26">
        <f>VLOOKUP($C170,COS!$B$8:$H$991,6,FALSE)</f>
        <v>2421.51171875</v>
      </c>
      <c r="Q170" s="26">
        <f t="shared" si="265"/>
        <v>148.89295196280992</v>
      </c>
      <c r="R170" s="26">
        <f>MIN(IF(MONTH($C170)=4,$S$3,IF(MONTH($C170)=5,$S$4,IF(MONTH($C170)=6,$S$5,IF(MONTH($C170)=7,$S$6,"ERROR")))),MAX(VLOOKUP($C170,COS!$B$8:$K$991,10,FALSE)-IF(MONTH($C170)=4,$Y$3,IF(MONTH($C170)=5,$Y$4,IF(MONTH($C170)=6,$Y$5,IF(MONTH($C170)=7,$Y$6,"ERROR")))),0),MAX(VLOOKUP($C170,COS!$B$8:$K$991,9,FALSE)-IF(MONTH($C170)=4,$V$3,IF(MONTH($C170)=5,$V$4,IF(MONTH($C170)=6,$V$5,IF(MONTH($C170)=7,$V$6,"ERROR"))))-VLOOKUP($C170,COS!$B$8:$K$991,6,FALSE)/2,0))</f>
        <v>0</v>
      </c>
      <c r="S170" s="26">
        <f t="shared" si="266"/>
        <v>0</v>
      </c>
      <c r="T170" s="26">
        <f t="shared" si="267"/>
        <v>96.526342571668394</v>
      </c>
      <c r="U170" s="26" t="str">
        <f>IF(VLOOKUP($C170,COS!$B$8:$I$991,8,FALSE)=1,"UWFE","IBU")</f>
        <v>IBU</v>
      </c>
      <c r="V170" s="26">
        <f t="shared" ref="V170" si="271">MIN(IF(IF($AA$3=2,AND(E170=1,G170=1,L170=1,L172=1,M170=1,U170="IBU"),AND(E170=1,G170=1,L170=1,L172=1,M170=1)),T170,0),I170)</f>
        <v>0</v>
      </c>
      <c r="W170" s="26"/>
      <c r="X170" s="26"/>
      <c r="Y170" s="26"/>
      <c r="Z170" s="26"/>
      <c r="AA170" s="26"/>
      <c r="AB170" s="33"/>
    </row>
    <row r="171" spans="1:28" x14ac:dyDescent="0.3">
      <c r="A171" s="32">
        <f>VLOOKUP(YEAR(C171),Flags!$A$13:$B$95,2,FALSE)</f>
        <v>3</v>
      </c>
      <c r="B171" s="24">
        <f t="shared" si="225"/>
        <v>1939</v>
      </c>
      <c r="C171" s="25">
        <v>14488</v>
      </c>
      <c r="D171" s="26"/>
      <c r="E171" s="24"/>
      <c r="F171" s="26"/>
      <c r="G171" s="24"/>
      <c r="H171" s="24"/>
      <c r="I171" s="26"/>
      <c r="J171" s="24"/>
      <c r="K171" s="26"/>
      <c r="L171" s="24"/>
      <c r="M171" s="24"/>
      <c r="N171" s="26"/>
      <c r="O171" s="26"/>
      <c r="P171" s="26"/>
      <c r="Q171" s="26"/>
      <c r="R171" s="26"/>
      <c r="S171" s="26"/>
      <c r="T171" s="26"/>
      <c r="U171" s="26"/>
      <c r="V171" s="26"/>
      <c r="W171" s="26">
        <f>MAX($C$7-VLOOKUP($C171,COS!$B$8:$H$991,3,FALSE),0)</f>
        <v>85997.9140625</v>
      </c>
      <c r="X171" s="26">
        <f t="shared" si="245"/>
        <v>5287.805625</v>
      </c>
      <c r="Y171" s="26">
        <f>VLOOKUP($C171,COS!$B$8:$H$991,4,FALSE)</f>
        <v>3226.453125</v>
      </c>
      <c r="Z171" s="26">
        <f t="shared" si="246"/>
        <v>198.38686983471075</v>
      </c>
      <c r="AA171" s="26">
        <f t="shared" ref="AA171:AA175" si="272">MIN(W171,Y171)</f>
        <v>3226.453125</v>
      </c>
      <c r="AB171" s="33">
        <f t="shared" ref="AB171" si="273">AA171*DAY($C171)*86400/43560/1000*IF(MONTH($C171)=8,$P$3,IF(MONTH($C171)=9,$P$4,IF(MONTH($C171)=10,$P$5,IF(MONTH($C171)=11,$P$6,IF(MONTH($C171)=12,$P$7,NA())))))</f>
        <v>198.38686983471075</v>
      </c>
    </row>
    <row r="172" spans="1:28" x14ac:dyDescent="0.3">
      <c r="A172" s="32">
        <f>VLOOKUP(YEAR(C172),Flags!$A$13:$B$95,2,FALSE)</f>
        <v>3</v>
      </c>
      <c r="B172" s="24">
        <f t="shared" si="225"/>
        <v>1939</v>
      </c>
      <c r="C172" s="25">
        <v>14518</v>
      </c>
      <c r="D172" s="26"/>
      <c r="E172" s="24"/>
      <c r="F172" s="26"/>
      <c r="G172" s="24"/>
      <c r="H172" s="24"/>
      <c r="I172" s="26"/>
      <c r="J172" s="24"/>
      <c r="K172" s="26">
        <f>VLOOKUP($C172,COS!$B$8:$H$991,2,FALSE)</f>
        <v>1819.920654296875</v>
      </c>
      <c r="L172" s="24">
        <f t="shared" ref="L172" si="274">IF(AND(K172&gt;$I$7,K172&lt;$I$8),1,0)</f>
        <v>1</v>
      </c>
      <c r="M172" s="24"/>
      <c r="N172" s="26"/>
      <c r="O172" s="26"/>
      <c r="P172" s="26"/>
      <c r="Q172" s="26"/>
      <c r="R172" s="26"/>
      <c r="S172" s="26"/>
      <c r="T172" s="26"/>
      <c r="U172" s="26"/>
      <c r="V172" s="26"/>
      <c r="W172" s="26">
        <f>MAX($C$8-VLOOKUP($C172,COS!$B$8:$H$991,3,FALSE),0)</f>
        <v>94525.0498046875</v>
      </c>
      <c r="X172" s="26">
        <f t="shared" si="245"/>
        <v>5624.6310627582643</v>
      </c>
      <c r="Y172" s="26">
        <f>VLOOKUP($C172,COS!$B$8:$H$991,4,FALSE)</f>
        <v>1628.006103515625</v>
      </c>
      <c r="Z172" s="26">
        <f t="shared" si="246"/>
        <v>96.8730904571281</v>
      </c>
      <c r="AA172" s="26">
        <f t="shared" si="272"/>
        <v>1628.006103515625</v>
      </c>
      <c r="AB172" s="33">
        <f t="shared" si="243"/>
        <v>96.8730904571281</v>
      </c>
    </row>
    <row r="173" spans="1:28" x14ac:dyDescent="0.3">
      <c r="A173" s="32">
        <f>VLOOKUP(YEAR(C173),Flags!$A$13:$B$95,2,FALSE)</f>
        <v>3</v>
      </c>
      <c r="B173" s="24">
        <f t="shared" si="225"/>
        <v>1939</v>
      </c>
      <c r="C173" s="25">
        <v>14549</v>
      </c>
      <c r="D173" s="26"/>
      <c r="E173" s="24"/>
      <c r="F173" s="26"/>
      <c r="G173" s="26"/>
      <c r="H173" s="26"/>
      <c r="I173" s="26"/>
      <c r="J173" s="26"/>
      <c r="K173" s="26"/>
      <c r="L173" s="24"/>
      <c r="M173" s="24"/>
      <c r="N173" s="26"/>
      <c r="O173" s="26"/>
      <c r="P173" s="26"/>
      <c r="Q173" s="26"/>
      <c r="R173" s="26"/>
      <c r="S173" s="26"/>
      <c r="T173" s="26"/>
      <c r="U173" s="26"/>
      <c r="V173" s="26"/>
      <c r="W173" s="26">
        <f>MAX($C$9-VLOOKUP($C173,COS!$B$8:$H$991,3,FALSE),0)</f>
        <v>94233.89599609375</v>
      </c>
      <c r="X173" s="26">
        <f t="shared" si="245"/>
        <v>5794.2164149664259</v>
      </c>
      <c r="Y173" s="26">
        <f>VLOOKUP($C173,COS!$B$8:$H$991,4,FALSE)</f>
        <v>1678.0692138671875</v>
      </c>
      <c r="Z173" s="26">
        <f t="shared" si="246"/>
        <v>103.18045414191633</v>
      </c>
      <c r="AA173" s="26">
        <f t="shared" si="272"/>
        <v>1678.0692138671875</v>
      </c>
      <c r="AB173" s="33">
        <f t="shared" si="243"/>
        <v>103.18045414191633</v>
      </c>
    </row>
    <row r="174" spans="1:28" x14ac:dyDescent="0.3">
      <c r="A174" s="32">
        <f>VLOOKUP(YEAR(C174),Flags!$A$13:$B$95,2,FALSE)</f>
        <v>3</v>
      </c>
      <c r="B174" s="24">
        <f t="shared" si="225"/>
        <v>1939</v>
      </c>
      <c r="C174" s="25">
        <v>14579</v>
      </c>
      <c r="D174" s="26"/>
      <c r="E174" s="24"/>
      <c r="F174" s="26"/>
      <c r="G174" s="26"/>
      <c r="H174" s="26"/>
      <c r="I174" s="26"/>
      <c r="J174" s="26"/>
      <c r="K174" s="26"/>
      <c r="L174" s="24"/>
      <c r="M174" s="24"/>
      <c r="N174" s="26"/>
      <c r="O174" s="26"/>
      <c r="P174" s="26"/>
      <c r="Q174" s="26"/>
      <c r="R174" s="26"/>
      <c r="S174" s="26"/>
      <c r="T174" s="26"/>
      <c r="U174" s="26"/>
      <c r="V174" s="26"/>
      <c r="W174" s="26">
        <f>MAX($C$10-VLOOKUP($C174,COS!$B$8:$H$991,3,FALSE),0)</f>
        <v>93849.529296875</v>
      </c>
      <c r="X174" s="26">
        <f t="shared" si="245"/>
        <v>5584.4348011363636</v>
      </c>
      <c r="Y174" s="26">
        <f>VLOOKUP($C174,COS!$B$8:$H$991,4,FALSE)</f>
        <v>2018.930908203125</v>
      </c>
      <c r="Z174" s="26">
        <f t="shared" si="246"/>
        <v>120.13473172778926</v>
      </c>
      <c r="AA174" s="26">
        <f t="shared" si="272"/>
        <v>2018.930908203125</v>
      </c>
      <c r="AB174" s="33">
        <f t="shared" si="243"/>
        <v>60.067365863894629</v>
      </c>
    </row>
    <row r="175" spans="1:28" x14ac:dyDescent="0.3">
      <c r="A175" s="34">
        <f>VLOOKUP(YEAR(C175),Flags!$A$13:$B$95,2,FALSE)</f>
        <v>3</v>
      </c>
      <c r="B175" s="35">
        <f t="shared" si="225"/>
        <v>1939</v>
      </c>
      <c r="C175" s="36">
        <v>14610</v>
      </c>
      <c r="D175" s="37"/>
      <c r="E175" s="35"/>
      <c r="F175" s="37"/>
      <c r="G175" s="37"/>
      <c r="H175" s="37"/>
      <c r="I175" s="37"/>
      <c r="J175" s="37"/>
      <c r="K175" s="37"/>
      <c r="L175" s="35"/>
      <c r="M175" s="35"/>
      <c r="N175" s="37"/>
      <c r="O175" s="37"/>
      <c r="P175" s="37"/>
      <c r="Q175" s="37"/>
      <c r="R175" s="37"/>
      <c r="S175" s="37"/>
      <c r="T175" s="37"/>
      <c r="U175" s="37"/>
      <c r="V175" s="37"/>
      <c r="W175" s="37">
        <f>MAX($C$11-VLOOKUP($C175,COS!$B$8:$H$991,3,FALSE),0)</f>
        <v>0</v>
      </c>
      <c r="X175" s="37">
        <f t="shared" si="245"/>
        <v>0</v>
      </c>
      <c r="Y175" s="37">
        <f>VLOOKUP($C175,COS!$B$8:$H$991,4,FALSE)</f>
        <v>1704.9423828125</v>
      </c>
      <c r="Z175" s="37">
        <f t="shared" si="246"/>
        <v>104.83282089359504</v>
      </c>
      <c r="AA175" s="37">
        <f t="shared" si="272"/>
        <v>0</v>
      </c>
      <c r="AB175" s="38">
        <f t="shared" si="243"/>
        <v>0</v>
      </c>
    </row>
    <row r="176" spans="1:28" x14ac:dyDescent="0.3">
      <c r="A176" s="27">
        <f>VLOOKUP(YEAR(C176),Flags!$A$13:$B$95,2,FALSE)</f>
        <v>2</v>
      </c>
      <c r="B176" s="28">
        <f t="shared" si="225"/>
        <v>1940</v>
      </c>
      <c r="C176" s="29">
        <v>14731</v>
      </c>
      <c r="D176" s="30">
        <f>VLOOKUP($C176,COS!$B$8:$H$991,3,FALSE)</f>
        <v>3250</v>
      </c>
      <c r="E176" s="28">
        <f>IF(D176&gt;=IF(MONTH($C176)=4,$C$3,IF(MONTH($C176)=5,$C$4,IF(MONTH($C176)=6,$C$5,IF(MONTH($C176)=7,$C$6,"ERROR")))),1,0)</f>
        <v>0</v>
      </c>
      <c r="F176" s="30">
        <f>VLOOKUP($C176,COS!$B$8:$H$991,7,FALSE)</f>
        <v>50.942607879638672</v>
      </c>
      <c r="G176" s="28">
        <f>IF(F176&lt;=IF(MONTH($C176)=4,$F$3,IF(MONTH($C176)=5,$F$4,IF(MONTH($C176)=6,$F$5,IF(MONTH($C176)=7,$F$6,"ERROR")))),1,0)</f>
        <v>1</v>
      </c>
      <c r="H176" s="30">
        <f>IF(J176=1,D176-$C$3,0)</f>
        <v>0</v>
      </c>
      <c r="I176" s="30">
        <f t="shared" si="239"/>
        <v>0</v>
      </c>
      <c r="J176" s="28">
        <f t="shared" ref="J176:J179" si="275">IF(AND(E176=1,G176=1),1,0)</f>
        <v>0</v>
      </c>
      <c r="K176" s="30">
        <f>VLOOKUP($C176,COS!$B$8:$H$991,2,FALSE)</f>
        <v>4211.595703125</v>
      </c>
      <c r="L176" s="28">
        <f t="shared" ref="L176" si="276">IF(K176&lt;=IF(MONTH($C176)=4,$I$3,IF(MONTH($C176)=5,$I$4,IF(MONTH($C176)=6,$I$5,IF(MONTH($C176)=7,$I$6,"ERROR")))),1,0)</f>
        <v>1</v>
      </c>
      <c r="M176" s="28">
        <f t="shared" ref="M176" si="277">VLOOKUP($A176,$L$3:$M$7,2,FALSE)</f>
        <v>0</v>
      </c>
      <c r="N176" s="30">
        <f>VLOOKUP($C176,COS!$B$8:$H$991,5,FALSE)</f>
        <v>253.27787780761719</v>
      </c>
      <c r="O176" s="30">
        <f t="shared" ref="O176:O179" si="278">N176*DAY($C176)*86400/43560/1000</f>
        <v>15.071080332354081</v>
      </c>
      <c r="P176" s="30">
        <f>VLOOKUP($C176,COS!$B$8:$H$991,6,FALSE)</f>
        <v>410.20220947265625</v>
      </c>
      <c r="Q176" s="30">
        <f t="shared" ref="Q176:Q179" si="279">P176*DAY($C176)*86400/43560/1000</f>
        <v>24.408726514075415</v>
      </c>
      <c r="R176" s="30">
        <f>MIN(IF(MONTH($C176)=4,$S$3,IF(MONTH($C176)=5,$S$4,IF(MONTH($C176)=6,$S$5,IF(MONTH($C176)=7,$S$6,"ERROR")))),MAX(VLOOKUP($C176,COS!$B$8:$K$991,10,FALSE)-IF(MONTH($C176)=4,$Y$3,IF(MONTH($C176)=5,$Y$4,IF(MONTH($C176)=6,$Y$5,IF(MONTH($C176)=7,$Y$6,"ERROR")))),0),MAX(VLOOKUP($C176,COS!$B$8:$K$991,9,FALSE)-IF(MONTH($C176)=4,$V$3,IF(MONTH($C176)=5,$V$4,IF(MONTH($C176)=6,$V$5,IF(MONTH($C176)=7,$V$6,"ERROR"))))-VLOOKUP($C176,COS!$B$8:$K$991,6,FALSE)/2,0))</f>
        <v>0</v>
      </c>
      <c r="S176" s="30">
        <f t="shared" ref="S176:S179" si="280">R176*DAY($C176)*86400/43560/1000</f>
        <v>0</v>
      </c>
      <c r="T176" s="30">
        <f t="shared" ref="T176:T179" si="281">(O176+Q176)/2+S176</f>
        <v>19.739903423214749</v>
      </c>
      <c r="U176" s="30" t="str">
        <f>IF(VLOOKUP($C176,COS!$B$8:$I$991,8,FALSE)=1,"UWFE","IBU")</f>
        <v>UWFE</v>
      </c>
      <c r="V176" s="30">
        <f t="shared" ref="V176" si="282">MIN(IF(IF($AA$3=2,AND(E176=1,G176=1,L176=1,L181=1,M176=1,U176="IBU"),AND(E176=1,G176=1,L176=1,L181=1,M176=1)),T176,0),I176)</f>
        <v>0</v>
      </c>
      <c r="W176" s="30"/>
      <c r="X176" s="30"/>
      <c r="Y176" s="30"/>
      <c r="Z176" s="30"/>
      <c r="AA176" s="30"/>
      <c r="AB176" s="31"/>
    </row>
    <row r="177" spans="1:28" x14ac:dyDescent="0.3">
      <c r="A177" s="32">
        <f>VLOOKUP(YEAR(C177),Flags!$A$13:$B$95,2,FALSE)</f>
        <v>2</v>
      </c>
      <c r="B177" s="24">
        <f t="shared" si="225"/>
        <v>1940</v>
      </c>
      <c r="C177" s="25">
        <v>14762</v>
      </c>
      <c r="D177" s="26">
        <f>VLOOKUP($C177,COS!$B$8:$H$991,3,FALSE)</f>
        <v>5750.91845703125</v>
      </c>
      <c r="E177" s="24">
        <f>IF(D177&gt;=IF(MONTH($C177)=4,$C$3,IF(MONTH($C177)=5,$C$4,IF(MONTH($C177)=6,$C$5,IF(MONTH($C177)=7,$C$6,"ERROR")))),1,0)</f>
        <v>0</v>
      </c>
      <c r="F177" s="26">
        <f>VLOOKUP($C177,COS!$B$8:$H$991,7,FALSE)</f>
        <v>51.514625549316406</v>
      </c>
      <c r="G177" s="24">
        <f>IF(F177&lt;=IF(MONTH($C177)=4,$F$3,IF(MONTH($C177)=5,$F$4,IF(MONTH($C177)=6,$F$5,IF(MONTH($C177)=7,$F$6,"ERROR")))),1,0)</f>
        <v>1</v>
      </c>
      <c r="H177" s="26">
        <f>IF(J177=1,D177-$C$4,0)</f>
        <v>0</v>
      </c>
      <c r="I177" s="26">
        <f t="shared" si="239"/>
        <v>0</v>
      </c>
      <c r="J177" s="24">
        <f t="shared" si="275"/>
        <v>0</v>
      </c>
      <c r="K177" s="26">
        <f>VLOOKUP($C177,COS!$B$8:$H$991,2,FALSE)</f>
        <v>4218.22314453125</v>
      </c>
      <c r="L177" s="24">
        <f t="shared" si="231"/>
        <v>1</v>
      </c>
      <c r="M177" s="24">
        <f t="shared" si="232"/>
        <v>0</v>
      </c>
      <c r="N177" s="26">
        <f>VLOOKUP($C177,COS!$B$8:$H$991,5,FALSE)</f>
        <v>465.70071411132813</v>
      </c>
      <c r="O177" s="26">
        <f t="shared" si="278"/>
        <v>28.634820768498194</v>
      </c>
      <c r="P177" s="26">
        <f>VLOOKUP($C177,COS!$B$8:$H$991,6,FALSE)</f>
        <v>1936.545654296875</v>
      </c>
      <c r="Q177" s="26">
        <f t="shared" si="279"/>
        <v>119.07355097494835</v>
      </c>
      <c r="R177" s="26">
        <f>MIN(IF(MONTH($C177)=4,$S$3,IF(MONTH($C177)=5,$S$4,IF(MONTH($C177)=6,$S$5,IF(MONTH($C177)=7,$S$6,"ERROR")))),MAX(VLOOKUP($C177,COS!$B$8:$K$991,10,FALSE)-IF(MONTH($C177)=4,$Y$3,IF(MONTH($C177)=5,$Y$4,IF(MONTH($C177)=6,$Y$5,IF(MONTH($C177)=7,$Y$6,"ERROR")))),0),MAX(VLOOKUP($C177,COS!$B$8:$K$991,9,FALSE)-IF(MONTH($C177)=4,$V$3,IF(MONTH($C177)=5,$V$4,IF(MONTH($C177)=6,$V$5,IF(MONTH($C177)=7,$V$6,"ERROR"))))-VLOOKUP($C177,COS!$B$8:$K$991,6,FALSE)/2,0))</f>
        <v>0</v>
      </c>
      <c r="S177" s="26">
        <f t="shared" si="280"/>
        <v>0</v>
      </c>
      <c r="T177" s="26">
        <f t="shared" si="281"/>
        <v>73.854185871723274</v>
      </c>
      <c r="U177" s="26" t="str">
        <f>IF(VLOOKUP($C177,COS!$B$8:$I$991,8,FALSE)=1,"UWFE","IBU")</f>
        <v>UWFE</v>
      </c>
      <c r="V177" s="26">
        <f t="shared" ref="V177" si="283">MIN(IF(IF($AA$3=2,AND(E177=1,G177=1,L177=1,L181=1,M177=1,U177="IBU"),AND(E177=1,G177=1,L177=1,L181=1,M177=1)),T177,0),I177)</f>
        <v>0</v>
      </c>
      <c r="W177" s="26"/>
      <c r="X177" s="26"/>
      <c r="Y177" s="26"/>
      <c r="Z177" s="26"/>
      <c r="AA177" s="26"/>
      <c r="AB177" s="33"/>
    </row>
    <row r="178" spans="1:28" x14ac:dyDescent="0.3">
      <c r="A178" s="32">
        <f>VLOOKUP(YEAR(C178),Flags!$A$13:$B$95,2,FALSE)</f>
        <v>2</v>
      </c>
      <c r="B178" s="24">
        <f t="shared" si="225"/>
        <v>1940</v>
      </c>
      <c r="C178" s="25">
        <v>14792</v>
      </c>
      <c r="D178" s="26">
        <f>VLOOKUP($C178,COS!$B$8:$H$991,3,FALSE)</f>
        <v>9764.62109375</v>
      </c>
      <c r="E178" s="24">
        <f>IF(D178&gt;=IF(MONTH($C178)=4,$C$3,IF(MONTH($C178)=5,$C$4,IF(MONTH($C178)=6,$C$5,IF(MONTH($C178)=7,$C$6,"ERROR")))),1,0)</f>
        <v>0</v>
      </c>
      <c r="F178" s="26">
        <f>VLOOKUP($C178,COS!$B$8:$H$991,7,FALSE)</f>
        <v>51.442054748535156</v>
      </c>
      <c r="G178" s="24">
        <f>IF(F178&lt;=IF(MONTH($C178)=4,$F$3,IF(MONTH($C178)=5,$F$4,IF(MONTH($C178)=6,$F$5,IF(MONTH($C178)=7,$F$6,"ERROR")))),1,0)</f>
        <v>1</v>
      </c>
      <c r="H178" s="26">
        <f>IF(J178=1,D178-$C$5,0)</f>
        <v>0</v>
      </c>
      <c r="I178" s="26">
        <f t="shared" si="239"/>
        <v>0</v>
      </c>
      <c r="J178" s="24">
        <f t="shared" si="275"/>
        <v>0</v>
      </c>
      <c r="K178" s="26">
        <f>VLOOKUP($C178,COS!$B$8:$H$991,2,FALSE)</f>
        <v>3893.91650390625</v>
      </c>
      <c r="L178" s="24">
        <f t="shared" si="231"/>
        <v>1</v>
      </c>
      <c r="M178" s="24">
        <f t="shared" si="232"/>
        <v>0</v>
      </c>
      <c r="N178" s="26">
        <f>VLOOKUP($C178,COS!$B$8:$H$991,5,FALSE)</f>
        <v>885.69073486328125</v>
      </c>
      <c r="O178" s="26">
        <f t="shared" si="278"/>
        <v>52.702258603434913</v>
      </c>
      <c r="P178" s="26">
        <f>VLOOKUP($C178,COS!$B$8:$H$991,6,FALSE)</f>
        <v>2416.416259765625</v>
      </c>
      <c r="Q178" s="26">
        <f t="shared" si="279"/>
        <v>143.78675264721076</v>
      </c>
      <c r="R178" s="26">
        <f>MIN(IF(MONTH($C178)=4,$S$3,IF(MONTH($C178)=5,$S$4,IF(MONTH($C178)=6,$S$5,IF(MONTH($C178)=7,$S$6,"ERROR")))),MAX(VLOOKUP($C178,COS!$B$8:$K$991,10,FALSE)-IF(MONTH($C178)=4,$Y$3,IF(MONTH($C178)=5,$Y$4,IF(MONTH($C178)=6,$Y$5,IF(MONTH($C178)=7,$Y$6,"ERROR")))),0),MAX(VLOOKUP($C178,COS!$B$8:$K$991,9,FALSE)-IF(MONTH($C178)=4,$V$3,IF(MONTH($C178)=5,$V$4,IF(MONTH($C178)=6,$V$5,IF(MONTH($C178)=7,$V$6,"ERROR"))))-VLOOKUP($C178,COS!$B$8:$K$991,6,FALSE)/2,0))</f>
        <v>0</v>
      </c>
      <c r="S178" s="26">
        <f t="shared" si="280"/>
        <v>0</v>
      </c>
      <c r="T178" s="26">
        <f t="shared" si="281"/>
        <v>98.24450562532283</v>
      </c>
      <c r="U178" s="26" t="str">
        <f>IF(VLOOKUP($C178,COS!$B$8:$I$991,8,FALSE)=1,"UWFE","IBU")</f>
        <v>IBU</v>
      </c>
      <c r="V178" s="26">
        <f t="shared" ref="V178" si="284">MIN(IF(IF($AA$3=2,AND(E178=1,G178=1,L178=1,L181=1,M178=1,U178="IBU"),AND(E178=1,G178=1,L178=1,L181=1,M178=1)),T178,0),I178)</f>
        <v>0</v>
      </c>
      <c r="W178" s="26"/>
      <c r="X178" s="26"/>
      <c r="Y178" s="26"/>
      <c r="Z178" s="26"/>
      <c r="AA178" s="26"/>
      <c r="AB178" s="33"/>
    </row>
    <row r="179" spans="1:28" x14ac:dyDescent="0.3">
      <c r="A179" s="32">
        <f>VLOOKUP(YEAR(C179),Flags!$A$13:$B$95,2,FALSE)</f>
        <v>2</v>
      </c>
      <c r="B179" s="24">
        <f t="shared" si="225"/>
        <v>1940</v>
      </c>
      <c r="C179" s="25">
        <v>14823</v>
      </c>
      <c r="D179" s="26">
        <f>VLOOKUP($C179,COS!$B$8:$H$991,3,FALSE)</f>
        <v>15730.8037109375</v>
      </c>
      <c r="E179" s="24">
        <f>IF(D179&gt;=IF(MONTH($C179)=4,$C$3,IF(MONTH($C179)=5,$C$4,IF(MONTH($C179)=6,$C$5,IF(MONTH($C179)=7,$C$6,"ERROR")))),1,0)</f>
        <v>1</v>
      </c>
      <c r="F179" s="26">
        <f>VLOOKUP($C179,COS!$B$8:$H$991,7,FALSE)</f>
        <v>51.379985809326172</v>
      </c>
      <c r="G179" s="24">
        <f>IF(F179&lt;=IF(MONTH($C179)=4,$F$3,IF(MONTH($C179)=5,$F$4,IF(MONTH($C179)=6,$F$5,IF(MONTH($C179)=7,$F$6,"ERROR")))),1,0)</f>
        <v>1</v>
      </c>
      <c r="H179" s="26">
        <f>IF(J179=1,D179-$C$6,0)</f>
        <v>3730.8037109375</v>
      </c>
      <c r="I179" s="26">
        <f t="shared" si="239"/>
        <v>229.39817858987604</v>
      </c>
      <c r="J179" s="24">
        <f t="shared" si="275"/>
        <v>1</v>
      </c>
      <c r="K179" s="26">
        <f>VLOOKUP($C179,COS!$B$8:$H$991,2,FALSE)</f>
        <v>3200</v>
      </c>
      <c r="L179" s="24">
        <f t="shared" si="231"/>
        <v>1</v>
      </c>
      <c r="M179" s="24">
        <f t="shared" si="232"/>
        <v>0</v>
      </c>
      <c r="N179" s="26">
        <f>VLOOKUP($C179,COS!$B$8:$H$991,5,FALSE)</f>
        <v>981.25543212890625</v>
      </c>
      <c r="O179" s="26">
        <f t="shared" si="278"/>
        <v>60.335044752388946</v>
      </c>
      <c r="P179" s="26">
        <f>VLOOKUP($C179,COS!$B$8:$H$991,6,FALSE)</f>
        <v>2562.892822265625</v>
      </c>
      <c r="Q179" s="26">
        <f t="shared" si="279"/>
        <v>157.58613717071282</v>
      </c>
      <c r="R179" s="26">
        <f>MIN(IF(MONTH($C179)=4,$S$3,IF(MONTH($C179)=5,$S$4,IF(MONTH($C179)=6,$S$5,IF(MONTH($C179)=7,$S$6,"ERROR")))),MAX(VLOOKUP($C179,COS!$B$8:$K$991,10,FALSE)-IF(MONTH($C179)=4,$Y$3,IF(MONTH($C179)=5,$Y$4,IF(MONTH($C179)=6,$Y$5,IF(MONTH($C179)=7,$Y$6,"ERROR")))),0),MAX(VLOOKUP($C179,COS!$B$8:$K$991,9,FALSE)-IF(MONTH($C179)=4,$V$3,IF(MONTH($C179)=5,$V$4,IF(MONTH($C179)=6,$V$5,IF(MONTH($C179)=7,$V$6,"ERROR"))))-VLOOKUP($C179,COS!$B$8:$K$991,6,FALSE)/2,0))</f>
        <v>0</v>
      </c>
      <c r="S179" s="26">
        <f t="shared" si="280"/>
        <v>0</v>
      </c>
      <c r="T179" s="26">
        <f t="shared" si="281"/>
        <v>108.96059096155088</v>
      </c>
      <c r="U179" s="26" t="str">
        <f>IF(VLOOKUP($C179,COS!$B$8:$I$991,8,FALSE)=1,"UWFE","IBU")</f>
        <v>IBU</v>
      </c>
      <c r="V179" s="26">
        <f t="shared" ref="V179" si="285">MIN(IF(IF($AA$3=2,AND(E179=1,G179=1,L179=1,L181=1,M179=1,U179="IBU"),AND(E179=1,G179=1,L179=1,L181=1,M179=1)),T179,0),I179)</f>
        <v>0</v>
      </c>
      <c r="W179" s="26"/>
      <c r="X179" s="26"/>
      <c r="Y179" s="26"/>
      <c r="Z179" s="26"/>
      <c r="AA179" s="26"/>
      <c r="AB179" s="33"/>
    </row>
    <row r="180" spans="1:28" x14ac:dyDescent="0.3">
      <c r="A180" s="32">
        <f>VLOOKUP(YEAR(C180),Flags!$A$13:$B$95,2,FALSE)</f>
        <v>2</v>
      </c>
      <c r="B180" s="24">
        <f t="shared" si="225"/>
        <v>1940</v>
      </c>
      <c r="C180" s="25">
        <v>14854</v>
      </c>
      <c r="D180" s="26"/>
      <c r="E180" s="24"/>
      <c r="F180" s="26"/>
      <c r="G180" s="24"/>
      <c r="H180" s="24"/>
      <c r="I180" s="26"/>
      <c r="J180" s="24"/>
      <c r="K180" s="26"/>
      <c r="L180" s="24"/>
      <c r="M180" s="24"/>
      <c r="N180" s="26"/>
      <c r="O180" s="26"/>
      <c r="P180" s="26"/>
      <c r="Q180" s="26"/>
      <c r="R180" s="26"/>
      <c r="S180" s="26"/>
      <c r="T180" s="26"/>
      <c r="U180" s="26"/>
      <c r="V180" s="26"/>
      <c r="W180" s="26">
        <f>MAX($C$7-VLOOKUP($C180,COS!$B$8:$H$991,3,FALSE),0)</f>
        <v>88462.974609375</v>
      </c>
      <c r="X180" s="26">
        <f t="shared" si="245"/>
        <v>5439.3762900309921</v>
      </c>
      <c r="Y180" s="26">
        <f>VLOOKUP($C180,COS!$B$8:$H$991,4,FALSE)</f>
        <v>0</v>
      </c>
      <c r="Z180" s="26">
        <f t="shared" si="246"/>
        <v>0</v>
      </c>
      <c r="AA180" s="26">
        <f t="shared" ref="AA180:AA184" si="286">MIN(W180,Y180)</f>
        <v>0</v>
      </c>
      <c r="AB180" s="33">
        <f t="shared" ref="AB180" si="287">AA180*DAY($C180)*86400/43560/1000*IF(MONTH($C180)=8,$P$3,IF(MONTH($C180)=9,$P$4,IF(MONTH($C180)=10,$P$5,IF(MONTH($C180)=11,$P$6,IF(MONTH($C180)=12,$P$7,NA())))))</f>
        <v>0</v>
      </c>
    </row>
    <row r="181" spans="1:28" x14ac:dyDescent="0.3">
      <c r="A181" s="32">
        <f>VLOOKUP(YEAR(C181),Flags!$A$13:$B$95,2,FALSE)</f>
        <v>2</v>
      </c>
      <c r="B181" s="24">
        <f t="shared" si="225"/>
        <v>1940</v>
      </c>
      <c r="C181" s="25">
        <v>14884</v>
      </c>
      <c r="D181" s="26"/>
      <c r="E181" s="24"/>
      <c r="F181" s="26"/>
      <c r="G181" s="24"/>
      <c r="H181" s="24"/>
      <c r="I181" s="26"/>
      <c r="J181" s="24"/>
      <c r="K181" s="26">
        <f>VLOOKUP($C181,COS!$B$8:$H$991,2,FALSE)</f>
        <v>2472.069580078125</v>
      </c>
      <c r="L181" s="24">
        <f t="shared" ref="L181" si="288">IF(AND(K181&gt;$I$7,K181&lt;$I$8),1,0)</f>
        <v>1</v>
      </c>
      <c r="M181" s="24"/>
      <c r="N181" s="26"/>
      <c r="O181" s="26"/>
      <c r="P181" s="26"/>
      <c r="Q181" s="26"/>
      <c r="R181" s="26"/>
      <c r="S181" s="26"/>
      <c r="T181" s="26"/>
      <c r="U181" s="26"/>
      <c r="V181" s="26"/>
      <c r="W181" s="26">
        <f>MAX($C$8-VLOOKUP($C181,COS!$B$8:$H$991,3,FALSE),0)</f>
        <v>90576.14453125</v>
      </c>
      <c r="X181" s="26">
        <f t="shared" si="245"/>
        <v>5389.6548811983475</v>
      </c>
      <c r="Y181" s="26">
        <f>VLOOKUP($C181,COS!$B$8:$H$991,4,FALSE)</f>
        <v>254.33448791503906</v>
      </c>
      <c r="Z181" s="26">
        <f t="shared" si="246"/>
        <v>15.133952999903151</v>
      </c>
      <c r="AA181" s="26">
        <f t="shared" si="286"/>
        <v>254.33448791503906</v>
      </c>
      <c r="AB181" s="33">
        <f t="shared" si="243"/>
        <v>15.133952999903151</v>
      </c>
    </row>
    <row r="182" spans="1:28" x14ac:dyDescent="0.3">
      <c r="A182" s="32">
        <f>VLOOKUP(YEAR(C182),Flags!$A$13:$B$95,2,FALSE)</f>
        <v>2</v>
      </c>
      <c r="B182" s="24">
        <f t="shared" si="225"/>
        <v>1940</v>
      </c>
      <c r="C182" s="25">
        <v>14915</v>
      </c>
      <c r="D182" s="26"/>
      <c r="E182" s="24"/>
      <c r="F182" s="26"/>
      <c r="G182" s="26"/>
      <c r="H182" s="26"/>
      <c r="I182" s="26"/>
      <c r="J182" s="26"/>
      <c r="K182" s="26"/>
      <c r="L182" s="24"/>
      <c r="M182" s="24"/>
      <c r="N182" s="26"/>
      <c r="O182" s="26"/>
      <c r="P182" s="26"/>
      <c r="Q182" s="26"/>
      <c r="R182" s="26"/>
      <c r="S182" s="26"/>
      <c r="T182" s="26"/>
      <c r="U182" s="26"/>
      <c r="V182" s="26"/>
      <c r="W182" s="26">
        <f>MAX($C$9-VLOOKUP($C182,COS!$B$8:$H$991,3,FALSE),0)</f>
        <v>93346.93359375</v>
      </c>
      <c r="X182" s="26">
        <f t="shared" si="245"/>
        <v>5739.6792226239668</v>
      </c>
      <c r="Y182" s="26">
        <f>VLOOKUP($C182,COS!$B$8:$H$991,4,FALSE)</f>
        <v>785.3338623046875</v>
      </c>
      <c r="Z182" s="26">
        <f t="shared" si="246"/>
        <v>48.288296987990705</v>
      </c>
      <c r="AA182" s="26">
        <f t="shared" si="286"/>
        <v>785.3338623046875</v>
      </c>
      <c r="AB182" s="33">
        <f t="shared" si="243"/>
        <v>48.288296987990705</v>
      </c>
    </row>
    <row r="183" spans="1:28" x14ac:dyDescent="0.3">
      <c r="A183" s="32">
        <f>VLOOKUP(YEAR(C183),Flags!$A$13:$B$95,2,FALSE)</f>
        <v>2</v>
      </c>
      <c r="B183" s="24">
        <f t="shared" si="225"/>
        <v>1940</v>
      </c>
      <c r="C183" s="25">
        <v>14945</v>
      </c>
      <c r="D183" s="26"/>
      <c r="E183" s="24"/>
      <c r="F183" s="26"/>
      <c r="G183" s="26"/>
      <c r="H183" s="26"/>
      <c r="I183" s="26"/>
      <c r="J183" s="26"/>
      <c r="K183" s="26"/>
      <c r="L183" s="24"/>
      <c r="M183" s="24"/>
      <c r="N183" s="26"/>
      <c r="O183" s="26"/>
      <c r="P183" s="26"/>
      <c r="Q183" s="26"/>
      <c r="R183" s="26"/>
      <c r="S183" s="26"/>
      <c r="T183" s="26"/>
      <c r="U183" s="26"/>
      <c r="V183" s="26"/>
      <c r="W183" s="26">
        <f>MAX($C$10-VLOOKUP($C183,COS!$B$8:$H$991,3,FALSE),0)</f>
        <v>92458.0693359375</v>
      </c>
      <c r="X183" s="26">
        <f t="shared" si="245"/>
        <v>5501.6371836260332</v>
      </c>
      <c r="Y183" s="26">
        <f>VLOOKUP($C183,COS!$B$8:$H$991,4,FALSE)</f>
        <v>1105.5103759765625</v>
      </c>
      <c r="Z183" s="26">
        <f t="shared" si="246"/>
        <v>65.782435595299589</v>
      </c>
      <c r="AA183" s="26">
        <f t="shared" si="286"/>
        <v>1105.5103759765625</v>
      </c>
      <c r="AB183" s="33">
        <f t="shared" si="243"/>
        <v>32.891217797649794</v>
      </c>
    </row>
    <row r="184" spans="1:28" x14ac:dyDescent="0.3">
      <c r="A184" s="34">
        <f>VLOOKUP(YEAR(C184),Flags!$A$13:$B$95,2,FALSE)</f>
        <v>2</v>
      </c>
      <c r="B184" s="35">
        <f t="shared" si="225"/>
        <v>1940</v>
      </c>
      <c r="C184" s="36">
        <v>14976</v>
      </c>
      <c r="D184" s="37"/>
      <c r="E184" s="35"/>
      <c r="F184" s="37"/>
      <c r="G184" s="37"/>
      <c r="H184" s="37"/>
      <c r="I184" s="37"/>
      <c r="J184" s="37"/>
      <c r="K184" s="37"/>
      <c r="L184" s="35"/>
      <c r="M184" s="35"/>
      <c r="N184" s="37"/>
      <c r="O184" s="37"/>
      <c r="P184" s="37"/>
      <c r="Q184" s="37"/>
      <c r="R184" s="37"/>
      <c r="S184" s="37"/>
      <c r="T184" s="37"/>
      <c r="U184" s="37"/>
      <c r="V184" s="37"/>
      <c r="W184" s="37">
        <f>MAX($C$11-VLOOKUP($C184,COS!$B$8:$H$991,3,FALSE),0)</f>
        <v>0</v>
      </c>
      <c r="X184" s="37">
        <f t="shared" si="245"/>
        <v>0</v>
      </c>
      <c r="Y184" s="37">
        <f>VLOOKUP($C184,COS!$B$8:$H$991,4,FALSE)</f>
        <v>0</v>
      </c>
      <c r="Z184" s="37">
        <f t="shared" si="246"/>
        <v>0</v>
      </c>
      <c r="AA184" s="37">
        <f t="shared" si="286"/>
        <v>0</v>
      </c>
      <c r="AB184" s="38">
        <f t="shared" si="243"/>
        <v>0</v>
      </c>
    </row>
    <row r="185" spans="1:28" x14ac:dyDescent="0.3">
      <c r="A185" s="27">
        <f>VLOOKUP(YEAR(C185),Flags!$A$13:$B$95,2,FALSE)</f>
        <v>1</v>
      </c>
      <c r="B185" s="28">
        <f t="shared" si="225"/>
        <v>1941</v>
      </c>
      <c r="C185" s="29">
        <v>15096</v>
      </c>
      <c r="D185" s="30">
        <f>VLOOKUP($C185,COS!$B$8:$H$991,3,FALSE)</f>
        <v>13347.38671875</v>
      </c>
      <c r="E185" s="28">
        <f>IF(D185&gt;=IF(MONTH($C185)=4,$C$3,IF(MONTH($C185)=5,$C$4,IF(MONTH($C185)=6,$C$5,IF(MONTH($C185)=7,$C$6,"ERROR")))),1,0)</f>
        <v>1</v>
      </c>
      <c r="F185" s="30">
        <f>VLOOKUP($C185,COS!$B$8:$H$991,7,FALSE)</f>
        <v>47.10235595703125</v>
      </c>
      <c r="G185" s="28">
        <f>IF(F185&lt;=IF(MONTH($C185)=4,$F$3,IF(MONTH($C185)=5,$F$4,IF(MONTH($C185)=6,$F$5,IF(MONTH($C185)=7,$F$6,"ERROR")))),1,0)</f>
        <v>1</v>
      </c>
      <c r="H185" s="30">
        <f>IF(J185=1,D185-$C$3,0)</f>
        <v>7347.38671875</v>
      </c>
      <c r="I185" s="30">
        <f t="shared" si="239"/>
        <v>437.1998708677686</v>
      </c>
      <c r="J185" s="28">
        <f t="shared" ref="J185:J188" si="289">IF(AND(E185=1,G185=1),1,0)</f>
        <v>1</v>
      </c>
      <c r="K185" s="30">
        <f>VLOOKUP($C185,COS!$B$8:$H$991,2,FALSE)</f>
        <v>4456</v>
      </c>
      <c r="L185" s="28">
        <f t="shared" ref="L185" si="290">IF(K185&lt;=IF(MONTH($C185)=4,$I$3,IF(MONTH($C185)=5,$I$4,IF(MONTH($C185)=6,$I$5,IF(MONTH($C185)=7,$I$6,"ERROR")))),1,0)</f>
        <v>1</v>
      </c>
      <c r="M185" s="28">
        <f t="shared" ref="M185" si="291">VLOOKUP($A185,$L$3:$M$7,2,FALSE)</f>
        <v>0</v>
      </c>
      <c r="N185" s="30">
        <f>VLOOKUP($C185,COS!$B$8:$H$991,5,FALSE)</f>
        <v>23.296117782592773</v>
      </c>
      <c r="O185" s="30">
        <f t="shared" ref="O185:O188" si="292">N185*DAY($C185)*86400/43560/1000</f>
        <v>1.3862152730137849</v>
      </c>
      <c r="P185" s="30">
        <f>VLOOKUP($C185,COS!$B$8:$H$991,6,FALSE)</f>
        <v>258.51828002929688</v>
      </c>
      <c r="Q185" s="30">
        <f t="shared" ref="Q185:Q188" si="293">P185*DAY($C185)*86400/43560/1000</f>
        <v>15.382905919098658</v>
      </c>
      <c r="R185" s="30">
        <f>MIN(IF(MONTH($C185)=4,$S$3,IF(MONTH($C185)=5,$S$4,IF(MONTH($C185)=6,$S$5,IF(MONTH($C185)=7,$S$6,"ERROR")))),MAX(VLOOKUP($C185,COS!$B$8:$K$991,10,FALSE)-IF(MONTH($C185)=4,$Y$3,IF(MONTH($C185)=5,$Y$4,IF(MONTH($C185)=6,$Y$5,IF(MONTH($C185)=7,$Y$6,"ERROR")))),0),MAX(VLOOKUP($C185,COS!$B$8:$K$991,9,FALSE)-IF(MONTH($C185)=4,$V$3,IF(MONTH($C185)=5,$V$4,IF(MONTH($C185)=6,$V$5,IF(MONTH($C185)=7,$V$6,"ERROR"))))-VLOOKUP($C185,COS!$B$8:$K$991,6,FALSE)/2,0))</f>
        <v>0</v>
      </c>
      <c r="S185" s="30">
        <f t="shared" ref="S185:S188" si="294">R185*DAY($C185)*86400/43560/1000</f>
        <v>0</v>
      </c>
      <c r="T185" s="30">
        <f t="shared" ref="T185:T188" si="295">(O185+Q185)/2+S185</f>
        <v>8.3845605960562217</v>
      </c>
      <c r="U185" s="30" t="str">
        <f>IF(VLOOKUP($C185,COS!$B$8:$I$991,8,FALSE)=1,"UWFE","IBU")</f>
        <v>UWFE</v>
      </c>
      <c r="V185" s="30">
        <f t="shared" ref="V185" si="296">MIN(IF(IF($AA$3=2,AND(E185=1,G185=1,L185=1,L190=1,M185=1,U185="IBU"),AND(E185=1,G185=1,L185=1,L190=1,M185=1)),T185,0),I185)</f>
        <v>0</v>
      </c>
      <c r="W185" s="30"/>
      <c r="X185" s="30"/>
      <c r="Y185" s="30"/>
      <c r="Z185" s="30"/>
      <c r="AA185" s="30"/>
      <c r="AB185" s="31"/>
    </row>
    <row r="186" spans="1:28" x14ac:dyDescent="0.3">
      <c r="A186" s="32">
        <f>VLOOKUP(YEAR(C186),Flags!$A$13:$B$95,2,FALSE)</f>
        <v>1</v>
      </c>
      <c r="B186" s="24">
        <f t="shared" si="225"/>
        <v>1941</v>
      </c>
      <c r="C186" s="25">
        <v>15127</v>
      </c>
      <c r="D186" s="26">
        <f>VLOOKUP($C186,COS!$B$8:$H$991,3,FALSE)</f>
        <v>11196.62890625</v>
      </c>
      <c r="E186" s="24">
        <f>IF(D186&gt;=IF(MONTH($C186)=4,$C$3,IF(MONTH($C186)=5,$C$4,IF(MONTH($C186)=6,$C$5,IF(MONTH($C186)=7,$C$6,"ERROR")))),1,0)</f>
        <v>1</v>
      </c>
      <c r="F186" s="26">
        <f>VLOOKUP($C186,COS!$B$8:$H$991,7,FALSE)</f>
        <v>49.271575927734375</v>
      </c>
      <c r="G186" s="24">
        <f>IF(F186&lt;=IF(MONTH($C186)=4,$F$3,IF(MONTH($C186)=5,$F$4,IF(MONTH($C186)=6,$F$5,IF(MONTH($C186)=7,$F$6,"ERROR")))),1,0)</f>
        <v>1</v>
      </c>
      <c r="H186" s="26">
        <f>IF(J186=1,D186-$C$4,0)</f>
        <v>5196.62890625</v>
      </c>
      <c r="I186" s="26">
        <f t="shared" si="239"/>
        <v>319.52825671487602</v>
      </c>
      <c r="J186" s="24">
        <f t="shared" si="289"/>
        <v>1</v>
      </c>
      <c r="K186" s="26">
        <f>VLOOKUP($C186,COS!$B$8:$H$991,2,FALSE)</f>
        <v>4552</v>
      </c>
      <c r="L186" s="24">
        <f t="shared" si="231"/>
        <v>1</v>
      </c>
      <c r="M186" s="24">
        <f t="shared" si="232"/>
        <v>0</v>
      </c>
      <c r="N186" s="26">
        <f>VLOOKUP($C186,COS!$B$8:$H$991,5,FALSE)</f>
        <v>416.04388427734375</v>
      </c>
      <c r="O186" s="26">
        <f t="shared" si="292"/>
        <v>25.581541314243285</v>
      </c>
      <c r="P186" s="26">
        <f>VLOOKUP($C186,COS!$B$8:$H$991,6,FALSE)</f>
        <v>1881.5819091796875</v>
      </c>
      <c r="Q186" s="26">
        <f t="shared" si="293"/>
        <v>115.69396201898243</v>
      </c>
      <c r="R186" s="26">
        <f>MIN(IF(MONTH($C186)=4,$S$3,IF(MONTH($C186)=5,$S$4,IF(MONTH($C186)=6,$S$5,IF(MONTH($C186)=7,$S$6,"ERROR")))),MAX(VLOOKUP($C186,COS!$B$8:$K$991,10,FALSE)-IF(MONTH($C186)=4,$Y$3,IF(MONTH($C186)=5,$Y$4,IF(MONTH($C186)=6,$Y$5,IF(MONTH($C186)=7,$Y$6,"ERROR")))),0),MAX(VLOOKUP($C186,COS!$B$8:$K$991,9,FALSE)-IF(MONTH($C186)=4,$V$3,IF(MONTH($C186)=5,$V$4,IF(MONTH($C186)=6,$V$5,IF(MONTH($C186)=7,$V$6,"ERROR"))))-VLOOKUP($C186,COS!$B$8:$K$991,6,FALSE)/2,0))</f>
        <v>0</v>
      </c>
      <c r="S186" s="26">
        <f t="shared" si="294"/>
        <v>0</v>
      </c>
      <c r="T186" s="26">
        <f t="shared" si="295"/>
        <v>70.637751666612857</v>
      </c>
      <c r="U186" s="26" t="str">
        <f>IF(VLOOKUP($C186,COS!$B$8:$I$991,8,FALSE)=1,"UWFE","IBU")</f>
        <v>UWFE</v>
      </c>
      <c r="V186" s="26">
        <f t="shared" ref="V186" si="297">MIN(IF(IF($AA$3=2,AND(E186=1,G186=1,L186=1,L190=1,M186=1,U186="IBU"),AND(E186=1,G186=1,L186=1,L190=1,M186=1)),T186,0),I186)</f>
        <v>0</v>
      </c>
      <c r="W186" s="26"/>
      <c r="X186" s="26"/>
      <c r="Y186" s="26"/>
      <c r="Z186" s="26"/>
      <c r="AA186" s="26"/>
      <c r="AB186" s="33"/>
    </row>
    <row r="187" spans="1:28" x14ac:dyDescent="0.3">
      <c r="A187" s="32">
        <f>VLOOKUP(YEAR(C187),Flags!$A$13:$B$95,2,FALSE)</f>
        <v>1</v>
      </c>
      <c r="B187" s="24">
        <f t="shared" si="225"/>
        <v>1941</v>
      </c>
      <c r="C187" s="25">
        <v>15157</v>
      </c>
      <c r="D187" s="26">
        <f>VLOOKUP($C187,COS!$B$8:$H$991,3,FALSE)</f>
        <v>7959.45068359375</v>
      </c>
      <c r="E187" s="24">
        <f>IF(D187&gt;=IF(MONTH($C187)=4,$C$3,IF(MONTH($C187)=5,$C$4,IF(MONTH($C187)=6,$C$5,IF(MONTH($C187)=7,$C$6,"ERROR")))),1,0)</f>
        <v>0</v>
      </c>
      <c r="F187" s="26">
        <f>VLOOKUP($C187,COS!$B$8:$H$991,7,FALSE)</f>
        <v>51.485713958740234</v>
      </c>
      <c r="G187" s="24">
        <f>IF(F187&lt;=IF(MONTH($C187)=4,$F$3,IF(MONTH($C187)=5,$F$4,IF(MONTH($C187)=6,$F$5,IF(MONTH($C187)=7,$F$6,"ERROR")))),1,0)</f>
        <v>1</v>
      </c>
      <c r="H187" s="26">
        <f>IF(J187=1,D187-$C$5,0)</f>
        <v>0</v>
      </c>
      <c r="I187" s="26">
        <f t="shared" si="239"/>
        <v>0</v>
      </c>
      <c r="J187" s="24">
        <f t="shared" si="289"/>
        <v>0</v>
      </c>
      <c r="K187" s="26">
        <f>VLOOKUP($C187,COS!$B$8:$H$991,2,FALSE)</f>
        <v>4473.59912109375</v>
      </c>
      <c r="L187" s="24">
        <f t="shared" si="231"/>
        <v>1</v>
      </c>
      <c r="M187" s="24">
        <f t="shared" si="232"/>
        <v>0</v>
      </c>
      <c r="N187" s="26">
        <f>VLOOKUP($C187,COS!$B$8:$H$991,5,FALSE)</f>
        <v>1200.7138671875</v>
      </c>
      <c r="O187" s="26">
        <f t="shared" si="292"/>
        <v>71.447436725206614</v>
      </c>
      <c r="P187" s="26">
        <f>VLOOKUP($C187,COS!$B$8:$H$991,6,FALSE)</f>
        <v>2235.81640625</v>
      </c>
      <c r="Q187" s="26">
        <f t="shared" si="293"/>
        <v>133.04031508264464</v>
      </c>
      <c r="R187" s="26">
        <f>MIN(IF(MONTH($C187)=4,$S$3,IF(MONTH($C187)=5,$S$4,IF(MONTH($C187)=6,$S$5,IF(MONTH($C187)=7,$S$6,"ERROR")))),MAX(VLOOKUP($C187,COS!$B$8:$K$991,10,FALSE)-IF(MONTH($C187)=4,$Y$3,IF(MONTH($C187)=5,$Y$4,IF(MONTH($C187)=6,$Y$5,IF(MONTH($C187)=7,$Y$6,"ERROR")))),0),MAX(VLOOKUP($C187,COS!$B$8:$K$991,9,FALSE)-IF(MONTH($C187)=4,$V$3,IF(MONTH($C187)=5,$V$4,IF(MONTH($C187)=6,$V$5,IF(MONTH($C187)=7,$V$6,"ERROR"))))-VLOOKUP($C187,COS!$B$8:$K$991,6,FALSE)/2,0))</f>
        <v>0</v>
      </c>
      <c r="S187" s="26">
        <f t="shared" si="294"/>
        <v>0</v>
      </c>
      <c r="T187" s="26">
        <f t="shared" si="295"/>
        <v>102.24387590392563</v>
      </c>
      <c r="U187" s="26" t="str">
        <f>IF(VLOOKUP($C187,COS!$B$8:$I$991,8,FALSE)=1,"UWFE","IBU")</f>
        <v>UWFE</v>
      </c>
      <c r="V187" s="26">
        <f t="shared" ref="V187" si="298">MIN(IF(IF($AA$3=2,AND(E187=1,G187=1,L187=1,L190=1,M187=1,U187="IBU"),AND(E187=1,G187=1,L187=1,L190=1,M187=1)),T187,0),I187)</f>
        <v>0</v>
      </c>
      <c r="W187" s="26"/>
      <c r="X187" s="26"/>
      <c r="Y187" s="26"/>
      <c r="Z187" s="26"/>
      <c r="AA187" s="26"/>
      <c r="AB187" s="33"/>
    </row>
    <row r="188" spans="1:28" x14ac:dyDescent="0.3">
      <c r="A188" s="32">
        <f>VLOOKUP(YEAR(C188),Flags!$A$13:$B$95,2,FALSE)</f>
        <v>1</v>
      </c>
      <c r="B188" s="24">
        <f t="shared" si="225"/>
        <v>1941</v>
      </c>
      <c r="C188" s="25">
        <v>15188</v>
      </c>
      <c r="D188" s="26">
        <f>VLOOKUP($C188,COS!$B$8:$H$991,3,FALSE)</f>
        <v>13357.740234375</v>
      </c>
      <c r="E188" s="24">
        <f>IF(D188&gt;=IF(MONTH($C188)=4,$C$3,IF(MONTH($C188)=5,$C$4,IF(MONTH($C188)=6,$C$5,IF(MONTH($C188)=7,$C$6,"ERROR")))),1,0)</f>
        <v>1</v>
      </c>
      <c r="F188" s="26">
        <f>VLOOKUP($C188,COS!$B$8:$H$991,7,FALSE)</f>
        <v>52.457145690917969</v>
      </c>
      <c r="G188" s="24">
        <f>IF(F188&lt;=IF(MONTH($C188)=4,$F$3,IF(MONTH($C188)=5,$F$4,IF(MONTH($C188)=6,$F$5,IF(MONTH($C188)=7,$F$6,"ERROR")))),1,0)</f>
        <v>1</v>
      </c>
      <c r="H188" s="26">
        <f>IF(J188=1,D188-$C$6,0)</f>
        <v>1357.740234375</v>
      </c>
      <c r="I188" s="26">
        <f t="shared" si="239"/>
        <v>83.484192923553721</v>
      </c>
      <c r="J188" s="24">
        <f t="shared" si="289"/>
        <v>1</v>
      </c>
      <c r="K188" s="26">
        <f>VLOOKUP($C188,COS!$B$8:$H$991,2,FALSE)</f>
        <v>4107.0615234375</v>
      </c>
      <c r="L188" s="24">
        <f t="shared" si="231"/>
        <v>1</v>
      </c>
      <c r="M188" s="24">
        <f t="shared" si="232"/>
        <v>0</v>
      </c>
      <c r="N188" s="26">
        <f>VLOOKUP($C188,COS!$B$8:$H$991,5,FALSE)</f>
        <v>1380.17529296875</v>
      </c>
      <c r="O188" s="26">
        <f t="shared" si="292"/>
        <v>84.863670906508275</v>
      </c>
      <c r="P188" s="26">
        <f>VLOOKUP($C188,COS!$B$8:$H$991,6,FALSE)</f>
        <v>2616.67822265625</v>
      </c>
      <c r="Q188" s="26">
        <f t="shared" si="293"/>
        <v>160.89327253357436</v>
      </c>
      <c r="R188" s="26">
        <f>MIN(IF(MONTH($C188)=4,$S$3,IF(MONTH($C188)=5,$S$4,IF(MONTH($C188)=6,$S$5,IF(MONTH($C188)=7,$S$6,"ERROR")))),MAX(VLOOKUP($C188,COS!$B$8:$K$991,10,FALSE)-IF(MONTH($C188)=4,$Y$3,IF(MONTH($C188)=5,$Y$4,IF(MONTH($C188)=6,$Y$5,IF(MONTH($C188)=7,$Y$6,"ERROR")))),0),MAX(VLOOKUP($C188,COS!$B$8:$K$991,9,FALSE)-IF(MONTH($C188)=4,$V$3,IF(MONTH($C188)=5,$V$4,IF(MONTH($C188)=6,$V$5,IF(MONTH($C188)=7,$V$6,"ERROR"))))-VLOOKUP($C188,COS!$B$8:$K$991,6,FALSE)/2,0))</f>
        <v>0</v>
      </c>
      <c r="S188" s="26">
        <f t="shared" si="294"/>
        <v>0</v>
      </c>
      <c r="T188" s="26">
        <f t="shared" si="295"/>
        <v>122.87847172004132</v>
      </c>
      <c r="U188" s="26" t="str">
        <f>IF(VLOOKUP($C188,COS!$B$8:$I$991,8,FALSE)=1,"UWFE","IBU")</f>
        <v>IBU</v>
      </c>
      <c r="V188" s="26">
        <f t="shared" ref="V188" si="299">MIN(IF(IF($AA$3=2,AND(E188=1,G188=1,L188=1,L190=1,M188=1,U188="IBU"),AND(E188=1,G188=1,L188=1,L190=1,M188=1)),T188,0),I188)</f>
        <v>0</v>
      </c>
      <c r="W188" s="26"/>
      <c r="X188" s="26"/>
      <c r="Y188" s="26"/>
      <c r="Z188" s="26"/>
      <c r="AA188" s="26"/>
      <c r="AB188" s="33"/>
    </row>
    <row r="189" spans="1:28" x14ac:dyDescent="0.3">
      <c r="A189" s="32">
        <f>VLOOKUP(YEAR(C189),Flags!$A$13:$B$95,2,FALSE)</f>
        <v>1</v>
      </c>
      <c r="B189" s="24">
        <f t="shared" si="225"/>
        <v>1941</v>
      </c>
      <c r="C189" s="25">
        <v>15219</v>
      </c>
      <c r="D189" s="26"/>
      <c r="E189" s="24"/>
      <c r="F189" s="26"/>
      <c r="G189" s="24"/>
      <c r="H189" s="24"/>
      <c r="I189" s="26"/>
      <c r="J189" s="24"/>
      <c r="K189" s="26"/>
      <c r="L189" s="24"/>
      <c r="M189" s="24"/>
      <c r="N189" s="26"/>
      <c r="O189" s="26"/>
      <c r="P189" s="26"/>
      <c r="Q189" s="26"/>
      <c r="R189" s="26"/>
      <c r="S189" s="26"/>
      <c r="T189" s="26"/>
      <c r="U189" s="26"/>
      <c r="V189" s="26"/>
      <c r="W189" s="26">
        <f>MAX($C$7-VLOOKUP($C189,COS!$B$8:$H$991,3,FALSE),0)</f>
        <v>88126.173828125</v>
      </c>
      <c r="X189" s="26">
        <f t="shared" si="245"/>
        <v>5418.6672172004137</v>
      </c>
      <c r="Y189" s="26">
        <f>VLOOKUP($C189,COS!$B$8:$H$991,4,FALSE)</f>
        <v>41.871162414550781</v>
      </c>
      <c r="Z189" s="26">
        <f t="shared" si="246"/>
        <v>2.5745574244979985</v>
      </c>
      <c r="AA189" s="26">
        <f t="shared" ref="AA189:AA193" si="300">MIN(W189,Y189)</f>
        <v>41.871162414550781</v>
      </c>
      <c r="AB189" s="33">
        <f t="shared" ref="AB189" si="301">AA189*DAY($C189)*86400/43560/1000*IF(MONTH($C189)=8,$P$3,IF(MONTH($C189)=9,$P$4,IF(MONTH($C189)=10,$P$5,IF(MONTH($C189)=11,$P$6,IF(MONTH($C189)=12,$P$7,NA())))))</f>
        <v>2.5745574244979985</v>
      </c>
    </row>
    <row r="190" spans="1:28" x14ac:dyDescent="0.3">
      <c r="A190" s="32">
        <f>VLOOKUP(YEAR(C190),Flags!$A$13:$B$95,2,FALSE)</f>
        <v>1</v>
      </c>
      <c r="B190" s="24">
        <f t="shared" si="225"/>
        <v>1941</v>
      </c>
      <c r="C190" s="25">
        <v>15249</v>
      </c>
      <c r="D190" s="26"/>
      <c r="E190" s="24"/>
      <c r="F190" s="26"/>
      <c r="G190" s="24"/>
      <c r="H190" s="24"/>
      <c r="I190" s="26"/>
      <c r="J190" s="24"/>
      <c r="K190" s="26">
        <f>VLOOKUP($C190,COS!$B$8:$H$991,2,FALSE)</f>
        <v>3115.0087890625</v>
      </c>
      <c r="L190" s="24">
        <f t="shared" ref="L190" si="302">IF(AND(K190&gt;$I$7,K190&lt;$I$8),1,0)</f>
        <v>1</v>
      </c>
      <c r="M190" s="24"/>
      <c r="N190" s="26"/>
      <c r="O190" s="26"/>
      <c r="P190" s="26"/>
      <c r="Q190" s="26"/>
      <c r="R190" s="26"/>
      <c r="S190" s="26"/>
      <c r="T190" s="26"/>
      <c r="U190" s="26"/>
      <c r="V190" s="26"/>
      <c r="W190" s="26">
        <f>MAX($C$8-VLOOKUP($C190,COS!$B$8:$H$991,3,FALSE),0)</f>
        <v>83265.279296875</v>
      </c>
      <c r="X190" s="26">
        <f t="shared" si="245"/>
        <v>4954.6281895661159</v>
      </c>
      <c r="Y190" s="26">
        <f>VLOOKUP($C190,COS!$B$8:$H$991,4,FALSE)</f>
        <v>125.05797576904297</v>
      </c>
      <c r="Z190" s="26">
        <f t="shared" si="246"/>
        <v>7.4414663267529706</v>
      </c>
      <c r="AA190" s="26">
        <f t="shared" si="300"/>
        <v>125.05797576904297</v>
      </c>
      <c r="AB190" s="33">
        <f t="shared" si="243"/>
        <v>7.4414663267529706</v>
      </c>
    </row>
    <row r="191" spans="1:28" x14ac:dyDescent="0.3">
      <c r="A191" s="32">
        <f>VLOOKUP(YEAR(C191),Flags!$A$13:$B$95,2,FALSE)</f>
        <v>1</v>
      </c>
      <c r="B191" s="24">
        <f t="shared" si="225"/>
        <v>1941</v>
      </c>
      <c r="C191" s="25">
        <v>15280</v>
      </c>
      <c r="D191" s="26"/>
      <c r="E191" s="24"/>
      <c r="F191" s="26"/>
      <c r="G191" s="26"/>
      <c r="H191" s="26"/>
      <c r="I191" s="26"/>
      <c r="J191" s="26"/>
      <c r="K191" s="26"/>
      <c r="L191" s="24"/>
      <c r="M191" s="24"/>
      <c r="N191" s="26"/>
      <c r="O191" s="26"/>
      <c r="P191" s="26"/>
      <c r="Q191" s="26"/>
      <c r="R191" s="26"/>
      <c r="S191" s="26"/>
      <c r="T191" s="26"/>
      <c r="U191" s="26"/>
      <c r="V191" s="26"/>
      <c r="W191" s="26">
        <f>MAX($C$9-VLOOKUP($C191,COS!$B$8:$H$991,3,FALSE),0)</f>
        <v>93057.919921875</v>
      </c>
      <c r="X191" s="26">
        <f t="shared" si="245"/>
        <v>5721.908464617768</v>
      </c>
      <c r="Y191" s="26">
        <f>VLOOKUP($C191,COS!$B$8:$H$991,4,FALSE)</f>
        <v>404.5906982421875</v>
      </c>
      <c r="Z191" s="26">
        <f t="shared" si="246"/>
        <v>24.877312354726239</v>
      </c>
      <c r="AA191" s="26">
        <f t="shared" si="300"/>
        <v>404.5906982421875</v>
      </c>
      <c r="AB191" s="33">
        <f t="shared" si="243"/>
        <v>24.877312354726239</v>
      </c>
    </row>
    <row r="192" spans="1:28" x14ac:dyDescent="0.3">
      <c r="A192" s="32">
        <f>VLOOKUP(YEAR(C192),Flags!$A$13:$B$95,2,FALSE)</f>
        <v>1</v>
      </c>
      <c r="B192" s="24">
        <f t="shared" si="225"/>
        <v>1941</v>
      </c>
      <c r="C192" s="25">
        <v>15310</v>
      </c>
      <c r="D192" s="26"/>
      <c r="E192" s="24"/>
      <c r="F192" s="26"/>
      <c r="G192" s="26"/>
      <c r="H192" s="26"/>
      <c r="I192" s="26"/>
      <c r="J192" s="26"/>
      <c r="K192" s="26"/>
      <c r="L192" s="24"/>
      <c r="M192" s="24"/>
      <c r="N192" s="26"/>
      <c r="O192" s="26"/>
      <c r="P192" s="26"/>
      <c r="Q192" s="26"/>
      <c r="R192" s="26"/>
      <c r="S192" s="26"/>
      <c r="T192" s="26"/>
      <c r="U192" s="26"/>
      <c r="V192" s="26"/>
      <c r="W192" s="26">
        <f>MAX($C$10-VLOOKUP($C192,COS!$B$8:$H$991,3,FALSE),0)</f>
        <v>90006.765625</v>
      </c>
      <c r="X192" s="26">
        <f t="shared" si="245"/>
        <v>5355.7744834710738</v>
      </c>
      <c r="Y192" s="26">
        <f>VLOOKUP($C192,COS!$B$8:$H$991,4,FALSE)</f>
        <v>455.62896728515625</v>
      </c>
      <c r="Z192" s="26">
        <f t="shared" si="246"/>
        <v>27.111806317794422</v>
      </c>
      <c r="AA192" s="26">
        <f t="shared" si="300"/>
        <v>455.62896728515625</v>
      </c>
      <c r="AB192" s="33">
        <f t="shared" si="243"/>
        <v>13.555903158897211</v>
      </c>
    </row>
    <row r="193" spans="1:28" x14ac:dyDescent="0.3">
      <c r="A193" s="34">
        <f>VLOOKUP(YEAR(C193),Flags!$A$13:$B$95,2,FALSE)</f>
        <v>1</v>
      </c>
      <c r="B193" s="35">
        <f t="shared" si="225"/>
        <v>1941</v>
      </c>
      <c r="C193" s="36">
        <v>15341</v>
      </c>
      <c r="D193" s="37"/>
      <c r="E193" s="35"/>
      <c r="F193" s="37"/>
      <c r="G193" s="37"/>
      <c r="H193" s="37"/>
      <c r="I193" s="37"/>
      <c r="J193" s="37"/>
      <c r="K193" s="37"/>
      <c r="L193" s="35"/>
      <c r="M193" s="35"/>
      <c r="N193" s="37"/>
      <c r="O193" s="37"/>
      <c r="P193" s="37"/>
      <c r="Q193" s="37"/>
      <c r="R193" s="37"/>
      <c r="S193" s="37"/>
      <c r="T193" s="37"/>
      <c r="U193" s="37"/>
      <c r="V193" s="37"/>
      <c r="W193" s="37">
        <f>MAX($C$11-VLOOKUP($C193,COS!$B$8:$H$991,3,FALSE),0)</f>
        <v>0</v>
      </c>
      <c r="X193" s="37">
        <f t="shared" si="245"/>
        <v>0</v>
      </c>
      <c r="Y193" s="37">
        <f>VLOOKUP($C193,COS!$B$8:$H$991,4,FALSE)</f>
        <v>0</v>
      </c>
      <c r="Z193" s="37">
        <f t="shared" si="246"/>
        <v>0</v>
      </c>
      <c r="AA193" s="37">
        <f t="shared" si="300"/>
        <v>0</v>
      </c>
      <c r="AB193" s="38">
        <f t="shared" si="243"/>
        <v>0</v>
      </c>
    </row>
    <row r="194" spans="1:28" x14ac:dyDescent="0.3">
      <c r="A194" s="27">
        <f>VLOOKUP(YEAR(C194),Flags!$A$13:$B$95,2,FALSE)</f>
        <v>1</v>
      </c>
      <c r="B194" s="28">
        <f t="shared" si="225"/>
        <v>1942</v>
      </c>
      <c r="C194" s="29">
        <v>15461</v>
      </c>
      <c r="D194" s="30">
        <f>VLOOKUP($C194,COS!$B$8:$H$991,3,FALSE)</f>
        <v>3250</v>
      </c>
      <c r="E194" s="28">
        <f>IF(D194&gt;=IF(MONTH($C194)=4,$C$3,IF(MONTH($C194)=5,$C$4,IF(MONTH($C194)=6,$C$5,IF(MONTH($C194)=7,$C$6,"ERROR")))),1,0)</f>
        <v>0</v>
      </c>
      <c r="F194" s="30">
        <f>VLOOKUP($C194,COS!$B$8:$H$991,7,FALSE)</f>
        <v>49.696609497070313</v>
      </c>
      <c r="G194" s="28">
        <f>IF(F194&lt;=IF(MONTH($C194)=4,$F$3,IF(MONTH($C194)=5,$F$4,IF(MONTH($C194)=6,$F$5,IF(MONTH($C194)=7,$F$6,"ERROR")))),1,0)</f>
        <v>1</v>
      </c>
      <c r="H194" s="30">
        <f>IF(J194=1,D194-$C$3,0)</f>
        <v>0</v>
      </c>
      <c r="I194" s="30">
        <f t="shared" si="239"/>
        <v>0</v>
      </c>
      <c r="J194" s="28">
        <f t="shared" ref="J194:J197" si="303">IF(AND(E194=1,G194=1),1,0)</f>
        <v>0</v>
      </c>
      <c r="K194" s="30">
        <f>VLOOKUP($C194,COS!$B$8:$H$991,2,FALSE)</f>
        <v>4509.97900390625</v>
      </c>
      <c r="L194" s="28">
        <f t="shared" ref="L194" si="304">IF(K194&lt;=IF(MONTH($C194)=4,$I$3,IF(MONTH($C194)=5,$I$4,IF(MONTH($C194)=6,$I$5,IF(MONTH($C194)=7,$I$6,"ERROR")))),1,0)</f>
        <v>1</v>
      </c>
      <c r="M194" s="28">
        <f t="shared" ref="M194" si="305">VLOOKUP($A194,$L$3:$M$7,2,FALSE)</f>
        <v>0</v>
      </c>
      <c r="N194" s="30">
        <f>VLOOKUP($C194,COS!$B$8:$H$991,5,FALSE)</f>
        <v>20.96923828125</v>
      </c>
      <c r="O194" s="30">
        <f t="shared" ref="O194:O197" si="306">N194*DAY($C194)*86400/43560/1000</f>
        <v>1.2477563274793388</v>
      </c>
      <c r="P194" s="30">
        <f>VLOOKUP($C194,COS!$B$8:$H$991,6,FALSE)</f>
        <v>278.10659790039063</v>
      </c>
      <c r="Q194" s="30">
        <f t="shared" ref="Q194:Q197" si="307">P194*DAY($C194)*86400/43560/1000</f>
        <v>16.548491775891012</v>
      </c>
      <c r="R194" s="30">
        <f>MIN(IF(MONTH($C194)=4,$S$3,IF(MONTH($C194)=5,$S$4,IF(MONTH($C194)=6,$S$5,IF(MONTH($C194)=7,$S$6,"ERROR")))),MAX(VLOOKUP($C194,COS!$B$8:$K$991,10,FALSE)-IF(MONTH($C194)=4,$Y$3,IF(MONTH($C194)=5,$Y$4,IF(MONTH($C194)=6,$Y$5,IF(MONTH($C194)=7,$Y$6,"ERROR")))),0),MAX(VLOOKUP($C194,COS!$B$8:$K$991,9,FALSE)-IF(MONTH($C194)=4,$V$3,IF(MONTH($C194)=5,$V$4,IF(MONTH($C194)=6,$V$5,IF(MONTH($C194)=7,$V$6,"ERROR"))))-VLOOKUP($C194,COS!$B$8:$K$991,6,FALSE)/2,0))</f>
        <v>0</v>
      </c>
      <c r="S194" s="30">
        <f t="shared" ref="S194:S197" si="308">R194*DAY($C194)*86400/43560/1000</f>
        <v>0</v>
      </c>
      <c r="T194" s="30">
        <f t="shared" ref="T194:T197" si="309">(O194+Q194)/2+S194</f>
        <v>8.8981240516851763</v>
      </c>
      <c r="U194" s="30" t="str">
        <f>IF(VLOOKUP($C194,COS!$B$8:$I$991,8,FALSE)=1,"UWFE","IBU")</f>
        <v>UWFE</v>
      </c>
      <c r="V194" s="30">
        <f t="shared" ref="V194" si="310">MIN(IF(IF($AA$3=2,AND(E194=1,G194=1,L194=1,L199=1,M194=1,U194="IBU"),AND(E194=1,G194=1,L194=1,L199=1,M194=1)),T194,0),I194)</f>
        <v>0</v>
      </c>
      <c r="W194" s="30"/>
      <c r="X194" s="30"/>
      <c r="Y194" s="30"/>
      <c r="Z194" s="30"/>
      <c r="AA194" s="30"/>
      <c r="AB194" s="31"/>
    </row>
    <row r="195" spans="1:28" x14ac:dyDescent="0.3">
      <c r="A195" s="32">
        <f>VLOOKUP(YEAR(C195),Flags!$A$13:$B$95,2,FALSE)</f>
        <v>1</v>
      </c>
      <c r="B195" s="24">
        <f t="shared" si="225"/>
        <v>1942</v>
      </c>
      <c r="C195" s="25">
        <v>15492</v>
      </c>
      <c r="D195" s="26">
        <f>VLOOKUP($C195,COS!$B$8:$H$991,3,FALSE)</f>
        <v>10224.1552734375</v>
      </c>
      <c r="E195" s="24">
        <f>IF(D195&gt;=IF(MONTH($C195)=4,$C$3,IF(MONTH($C195)=5,$C$4,IF(MONTH($C195)=6,$C$5,IF(MONTH($C195)=7,$C$6,"ERROR")))),1,0)</f>
        <v>1</v>
      </c>
      <c r="F195" s="26">
        <f>VLOOKUP($C195,COS!$B$8:$H$991,7,FALSE)</f>
        <v>48.257987976074219</v>
      </c>
      <c r="G195" s="24">
        <f>IF(F195&lt;=IF(MONTH($C195)=4,$F$3,IF(MONTH($C195)=5,$F$4,IF(MONTH($C195)=6,$F$5,IF(MONTH($C195)=7,$F$6,"ERROR")))),1,0)</f>
        <v>1</v>
      </c>
      <c r="H195" s="26">
        <f>IF(J195=1,D195-$C$4,0)</f>
        <v>4224.1552734375</v>
      </c>
      <c r="I195" s="26">
        <f t="shared" si="239"/>
        <v>259.73318375516527</v>
      </c>
      <c r="J195" s="24">
        <f t="shared" si="303"/>
        <v>1</v>
      </c>
      <c r="K195" s="26">
        <f>VLOOKUP($C195,COS!$B$8:$H$991,2,FALSE)</f>
        <v>4552</v>
      </c>
      <c r="L195" s="24">
        <f t="shared" si="231"/>
        <v>1</v>
      </c>
      <c r="M195" s="24">
        <f t="shared" si="232"/>
        <v>0</v>
      </c>
      <c r="N195" s="26">
        <f>VLOOKUP($C195,COS!$B$8:$H$991,5,FALSE)</f>
        <v>528.735595703125</v>
      </c>
      <c r="O195" s="26">
        <f t="shared" si="306"/>
        <v>32.510684562241735</v>
      </c>
      <c r="P195" s="26">
        <f>VLOOKUP($C195,COS!$B$8:$H$991,6,FALSE)</f>
        <v>2076.0068359375</v>
      </c>
      <c r="Q195" s="26">
        <f t="shared" si="307"/>
        <v>127.64868478822314</v>
      </c>
      <c r="R195" s="26">
        <f>MIN(IF(MONTH($C195)=4,$S$3,IF(MONTH($C195)=5,$S$4,IF(MONTH($C195)=6,$S$5,IF(MONTH($C195)=7,$S$6,"ERROR")))),MAX(VLOOKUP($C195,COS!$B$8:$K$991,10,FALSE)-IF(MONTH($C195)=4,$Y$3,IF(MONTH($C195)=5,$Y$4,IF(MONTH($C195)=6,$Y$5,IF(MONTH($C195)=7,$Y$6,"ERROR")))),0),MAX(VLOOKUP($C195,COS!$B$8:$K$991,9,FALSE)-IF(MONTH($C195)=4,$V$3,IF(MONTH($C195)=5,$V$4,IF(MONTH($C195)=6,$V$5,IF(MONTH($C195)=7,$V$6,"ERROR"))))-VLOOKUP($C195,COS!$B$8:$K$991,6,FALSE)/2,0))</f>
        <v>0</v>
      </c>
      <c r="S195" s="26">
        <f t="shared" si="308"/>
        <v>0</v>
      </c>
      <c r="T195" s="26">
        <f t="shared" si="309"/>
        <v>80.079684675232443</v>
      </c>
      <c r="U195" s="26" t="str">
        <f>IF(VLOOKUP($C195,COS!$B$8:$I$991,8,FALSE)=1,"UWFE","IBU")</f>
        <v>UWFE</v>
      </c>
      <c r="V195" s="26">
        <f t="shared" ref="V195" si="311">MIN(IF(IF($AA$3=2,AND(E195=1,G195=1,L195=1,L199=1,M195=1,U195="IBU"),AND(E195=1,G195=1,L195=1,L199=1,M195=1)),T195,0),I195)</f>
        <v>0</v>
      </c>
      <c r="W195" s="26"/>
      <c r="X195" s="26"/>
      <c r="Y195" s="26"/>
      <c r="Z195" s="26"/>
      <c r="AA195" s="26"/>
      <c r="AB195" s="33"/>
    </row>
    <row r="196" spans="1:28" x14ac:dyDescent="0.3">
      <c r="A196" s="32">
        <f>VLOOKUP(YEAR(C196),Flags!$A$13:$B$95,2,FALSE)</f>
        <v>1</v>
      </c>
      <c r="B196" s="24">
        <f t="shared" si="225"/>
        <v>1942</v>
      </c>
      <c r="C196" s="25">
        <v>15522</v>
      </c>
      <c r="D196" s="26">
        <f>VLOOKUP($C196,COS!$B$8:$H$991,3,FALSE)</f>
        <v>7711.70703125</v>
      </c>
      <c r="E196" s="24">
        <f>IF(D196&gt;=IF(MONTH($C196)=4,$C$3,IF(MONTH($C196)=5,$C$4,IF(MONTH($C196)=6,$C$5,IF(MONTH($C196)=7,$C$6,"ERROR")))),1,0)</f>
        <v>0</v>
      </c>
      <c r="F196" s="26">
        <f>VLOOKUP($C196,COS!$B$8:$H$991,7,FALSE)</f>
        <v>50.720790863037109</v>
      </c>
      <c r="G196" s="24">
        <f>IF(F196&lt;=IF(MONTH($C196)=4,$F$3,IF(MONTH($C196)=5,$F$4,IF(MONTH($C196)=6,$F$5,IF(MONTH($C196)=7,$F$6,"ERROR")))),1,0)</f>
        <v>1</v>
      </c>
      <c r="H196" s="26">
        <f>IF(J196=1,D196-$C$5,0)</f>
        <v>0</v>
      </c>
      <c r="I196" s="26">
        <f t="shared" si="239"/>
        <v>0</v>
      </c>
      <c r="J196" s="24">
        <f t="shared" si="303"/>
        <v>0</v>
      </c>
      <c r="K196" s="26">
        <f>VLOOKUP($C196,COS!$B$8:$H$991,2,FALSE)</f>
        <v>4500</v>
      </c>
      <c r="L196" s="24">
        <f t="shared" si="231"/>
        <v>1</v>
      </c>
      <c r="M196" s="24">
        <f t="shared" si="232"/>
        <v>0</v>
      </c>
      <c r="N196" s="26">
        <f>VLOOKUP($C196,COS!$B$8:$H$991,5,FALSE)</f>
        <v>1239.5582275390625</v>
      </c>
      <c r="O196" s="26">
        <f t="shared" si="306"/>
        <v>73.758836680010319</v>
      </c>
      <c r="P196" s="26">
        <f>VLOOKUP($C196,COS!$B$8:$H$991,6,FALSE)</f>
        <v>2346.177734375</v>
      </c>
      <c r="Q196" s="26">
        <f t="shared" si="307"/>
        <v>139.6072701446281</v>
      </c>
      <c r="R196" s="26">
        <f>MIN(IF(MONTH($C196)=4,$S$3,IF(MONTH($C196)=5,$S$4,IF(MONTH($C196)=6,$S$5,IF(MONTH($C196)=7,$S$6,"ERROR")))),MAX(VLOOKUP($C196,COS!$B$8:$K$991,10,FALSE)-IF(MONTH($C196)=4,$Y$3,IF(MONTH($C196)=5,$Y$4,IF(MONTH($C196)=6,$Y$5,IF(MONTH($C196)=7,$Y$6,"ERROR")))),0),MAX(VLOOKUP($C196,COS!$B$8:$K$991,9,FALSE)-IF(MONTH($C196)=4,$V$3,IF(MONTH($C196)=5,$V$4,IF(MONTH($C196)=6,$V$5,IF(MONTH($C196)=7,$V$6,"ERROR"))))-VLOOKUP($C196,COS!$B$8:$K$991,6,FALSE)/2,0))</f>
        <v>0</v>
      </c>
      <c r="S196" s="26">
        <f t="shared" si="308"/>
        <v>0</v>
      </c>
      <c r="T196" s="26">
        <f t="shared" si="309"/>
        <v>106.68305341231921</v>
      </c>
      <c r="U196" s="26" t="str">
        <f>IF(VLOOKUP($C196,COS!$B$8:$I$991,8,FALSE)=1,"UWFE","IBU")</f>
        <v>UWFE</v>
      </c>
      <c r="V196" s="26">
        <f t="shared" ref="V196" si="312">MIN(IF(IF($AA$3=2,AND(E196=1,G196=1,L196=1,L199=1,M196=1,U196="IBU"),AND(E196=1,G196=1,L196=1,L199=1,M196=1)),T196,0),I196)</f>
        <v>0</v>
      </c>
      <c r="W196" s="26"/>
      <c r="X196" s="26"/>
      <c r="Y196" s="26"/>
      <c r="Z196" s="26"/>
      <c r="AA196" s="26"/>
      <c r="AB196" s="33"/>
    </row>
    <row r="197" spans="1:28" x14ac:dyDescent="0.3">
      <c r="A197" s="32">
        <f>VLOOKUP(YEAR(C197),Flags!$A$13:$B$95,2,FALSE)</f>
        <v>1</v>
      </c>
      <c r="B197" s="24">
        <f t="shared" si="225"/>
        <v>1942</v>
      </c>
      <c r="C197" s="25">
        <v>15553</v>
      </c>
      <c r="D197" s="26">
        <f>VLOOKUP($C197,COS!$B$8:$H$991,3,FALSE)</f>
        <v>12291.904296875</v>
      </c>
      <c r="E197" s="24">
        <f>IF(D197&gt;=IF(MONTH($C197)=4,$C$3,IF(MONTH($C197)=5,$C$4,IF(MONTH($C197)=6,$C$5,IF(MONTH($C197)=7,$C$6,"ERROR")))),1,0)</f>
        <v>1</v>
      </c>
      <c r="F197" s="26">
        <f>VLOOKUP($C197,COS!$B$8:$H$991,7,FALSE)</f>
        <v>51.129238128662109</v>
      </c>
      <c r="G197" s="24">
        <f>IF(F197&lt;=IF(MONTH($C197)=4,$F$3,IF(MONTH($C197)=5,$F$4,IF(MONTH($C197)=6,$F$5,IF(MONTH($C197)=7,$F$6,"ERROR")))),1,0)</f>
        <v>1</v>
      </c>
      <c r="H197" s="26">
        <f>IF(J197=1,D197-$C$6,0)</f>
        <v>291.904296875</v>
      </c>
      <c r="I197" s="26">
        <f t="shared" si="239"/>
        <v>17.948495609504132</v>
      </c>
      <c r="J197" s="24">
        <f t="shared" si="303"/>
        <v>1</v>
      </c>
      <c r="K197" s="26">
        <f>VLOOKUP($C197,COS!$B$8:$H$991,2,FALSE)</f>
        <v>3968.421142578125</v>
      </c>
      <c r="L197" s="24">
        <f t="shared" si="231"/>
        <v>1</v>
      </c>
      <c r="M197" s="24">
        <f t="shared" si="232"/>
        <v>0</v>
      </c>
      <c r="N197" s="26">
        <f>VLOOKUP($C197,COS!$B$8:$H$991,5,FALSE)</f>
        <v>1378.510009765625</v>
      </c>
      <c r="O197" s="26">
        <f t="shared" si="306"/>
        <v>84.761276633522726</v>
      </c>
      <c r="P197" s="26">
        <f>VLOOKUP($C197,COS!$B$8:$H$991,6,FALSE)</f>
        <v>2616.67822265625</v>
      </c>
      <c r="Q197" s="26">
        <f t="shared" si="307"/>
        <v>160.89327253357436</v>
      </c>
      <c r="R197" s="26">
        <f>MIN(IF(MONTH($C197)=4,$S$3,IF(MONTH($C197)=5,$S$4,IF(MONTH($C197)=6,$S$5,IF(MONTH($C197)=7,$S$6,"ERROR")))),MAX(VLOOKUP($C197,COS!$B$8:$K$991,10,FALSE)-IF(MONTH($C197)=4,$Y$3,IF(MONTH($C197)=5,$Y$4,IF(MONTH($C197)=6,$Y$5,IF(MONTH($C197)=7,$Y$6,"ERROR")))),0),MAX(VLOOKUP($C197,COS!$B$8:$K$991,9,FALSE)-IF(MONTH($C197)=4,$V$3,IF(MONTH($C197)=5,$V$4,IF(MONTH($C197)=6,$V$5,IF(MONTH($C197)=7,$V$6,"ERROR"))))-VLOOKUP($C197,COS!$B$8:$K$991,6,FALSE)/2,0))</f>
        <v>0</v>
      </c>
      <c r="S197" s="26">
        <f t="shared" si="308"/>
        <v>0</v>
      </c>
      <c r="T197" s="26">
        <f t="shared" si="309"/>
        <v>122.82727458354854</v>
      </c>
      <c r="U197" s="26" t="str">
        <f>IF(VLOOKUP($C197,COS!$B$8:$I$991,8,FALSE)=1,"UWFE","IBU")</f>
        <v>IBU</v>
      </c>
      <c r="V197" s="26">
        <f t="shared" ref="V197" si="313">MIN(IF(IF($AA$3=2,AND(E197=1,G197=1,L197=1,L199=1,M197=1,U197="IBU"),AND(E197=1,G197=1,L197=1,L199=1,M197=1)),T197,0),I197)</f>
        <v>0</v>
      </c>
      <c r="W197" s="26"/>
      <c r="X197" s="26"/>
      <c r="Y197" s="26"/>
      <c r="Z197" s="26"/>
      <c r="AA197" s="26"/>
      <c r="AB197" s="33"/>
    </row>
    <row r="198" spans="1:28" x14ac:dyDescent="0.3">
      <c r="A198" s="32">
        <f>VLOOKUP(YEAR(C198),Flags!$A$13:$B$95,2,FALSE)</f>
        <v>1</v>
      </c>
      <c r="B198" s="24">
        <f t="shared" si="225"/>
        <v>1942</v>
      </c>
      <c r="C198" s="25">
        <v>15584</v>
      </c>
      <c r="D198" s="26"/>
      <c r="E198" s="24"/>
      <c r="F198" s="26"/>
      <c r="G198" s="24"/>
      <c r="H198" s="24"/>
      <c r="I198" s="26"/>
      <c r="J198" s="24"/>
      <c r="K198" s="26"/>
      <c r="L198" s="24"/>
      <c r="M198" s="24"/>
      <c r="N198" s="26"/>
      <c r="O198" s="26"/>
      <c r="P198" s="26"/>
      <c r="Q198" s="26"/>
      <c r="R198" s="26"/>
      <c r="S198" s="26"/>
      <c r="T198" s="26"/>
      <c r="U198" s="26"/>
      <c r="V198" s="26"/>
      <c r="W198" s="26">
        <f>MAX($C$7-VLOOKUP($C198,COS!$B$8:$H$991,3,FALSE),0)</f>
        <v>89122.767578125</v>
      </c>
      <c r="X198" s="26">
        <f t="shared" si="245"/>
        <v>5479.9453783574381</v>
      </c>
      <c r="Y198" s="26">
        <f>VLOOKUP($C198,COS!$B$8:$H$991,4,FALSE)</f>
        <v>0</v>
      </c>
      <c r="Z198" s="26">
        <f t="shared" si="246"/>
        <v>0</v>
      </c>
      <c r="AA198" s="26">
        <f t="shared" ref="AA198:AA202" si="314">MIN(W198,Y198)</f>
        <v>0</v>
      </c>
      <c r="AB198" s="33">
        <f t="shared" ref="AB198" si="315">AA198*DAY($C198)*86400/43560/1000*IF(MONTH($C198)=8,$P$3,IF(MONTH($C198)=9,$P$4,IF(MONTH($C198)=10,$P$5,IF(MONTH($C198)=11,$P$6,IF(MONTH($C198)=12,$P$7,NA())))))</f>
        <v>0</v>
      </c>
    </row>
    <row r="199" spans="1:28" x14ac:dyDescent="0.3">
      <c r="A199" s="32">
        <f>VLOOKUP(YEAR(C199),Flags!$A$13:$B$95,2,FALSE)</f>
        <v>1</v>
      </c>
      <c r="B199" s="24">
        <f t="shared" si="225"/>
        <v>1942</v>
      </c>
      <c r="C199" s="25">
        <v>15614</v>
      </c>
      <c r="D199" s="26"/>
      <c r="E199" s="24"/>
      <c r="F199" s="26"/>
      <c r="G199" s="24"/>
      <c r="H199" s="24"/>
      <c r="I199" s="26"/>
      <c r="J199" s="24"/>
      <c r="K199" s="26">
        <f>VLOOKUP($C199,COS!$B$8:$H$991,2,FALSE)</f>
        <v>2988.85791015625</v>
      </c>
      <c r="L199" s="24">
        <f t="shared" ref="L199" si="316">IF(AND(K199&gt;$I$7,K199&lt;$I$8),1,0)</f>
        <v>1</v>
      </c>
      <c r="M199" s="24"/>
      <c r="N199" s="26"/>
      <c r="O199" s="26"/>
      <c r="P199" s="26"/>
      <c r="Q199" s="26"/>
      <c r="R199" s="26"/>
      <c r="S199" s="26"/>
      <c r="T199" s="26"/>
      <c r="U199" s="26"/>
      <c r="V199" s="26"/>
      <c r="W199" s="26">
        <f>MAX($C$8-VLOOKUP($C199,COS!$B$8:$H$991,3,FALSE),0)</f>
        <v>83557.9609375</v>
      </c>
      <c r="X199" s="26">
        <f t="shared" si="245"/>
        <v>4972.0439566115701</v>
      </c>
      <c r="Y199" s="26">
        <f>VLOOKUP($C199,COS!$B$8:$H$991,4,FALSE)</f>
        <v>0</v>
      </c>
      <c r="Z199" s="26">
        <f t="shared" si="246"/>
        <v>0</v>
      </c>
      <c r="AA199" s="26">
        <f t="shared" si="314"/>
        <v>0</v>
      </c>
      <c r="AB199" s="33">
        <f t="shared" si="243"/>
        <v>0</v>
      </c>
    </row>
    <row r="200" spans="1:28" x14ac:dyDescent="0.3">
      <c r="A200" s="32">
        <f>VLOOKUP(YEAR(C200),Flags!$A$13:$B$95,2,FALSE)</f>
        <v>1</v>
      </c>
      <c r="B200" s="24">
        <f t="shared" si="225"/>
        <v>1942</v>
      </c>
      <c r="C200" s="25">
        <v>15645</v>
      </c>
      <c r="D200" s="26"/>
      <c r="E200" s="24"/>
      <c r="F200" s="26"/>
      <c r="G200" s="26"/>
      <c r="H200" s="26"/>
      <c r="I200" s="26"/>
      <c r="J200" s="26"/>
      <c r="K200" s="26"/>
      <c r="L200" s="24"/>
      <c r="M200" s="24"/>
      <c r="N200" s="26"/>
      <c r="O200" s="26"/>
      <c r="P200" s="26"/>
      <c r="Q200" s="26"/>
      <c r="R200" s="26"/>
      <c r="S200" s="26"/>
      <c r="T200" s="26"/>
      <c r="U200" s="26"/>
      <c r="V200" s="26"/>
      <c r="W200" s="26">
        <f>MAX($C$9-VLOOKUP($C200,COS!$B$8:$H$991,3,FALSE),0)</f>
        <v>91981.8251953125</v>
      </c>
      <c r="X200" s="26">
        <f t="shared" si="245"/>
        <v>5655.741978951447</v>
      </c>
      <c r="Y200" s="26">
        <f>VLOOKUP($C200,COS!$B$8:$H$991,4,FALSE)</f>
        <v>1127.253662109375</v>
      </c>
      <c r="Z200" s="26">
        <f t="shared" si="246"/>
        <v>69.312126000774796</v>
      </c>
      <c r="AA200" s="26">
        <f t="shared" si="314"/>
        <v>1127.253662109375</v>
      </c>
      <c r="AB200" s="33">
        <f t="shared" si="243"/>
        <v>69.312126000774796</v>
      </c>
    </row>
    <row r="201" spans="1:28" x14ac:dyDescent="0.3">
      <c r="A201" s="32">
        <f>VLOOKUP(YEAR(C201),Flags!$A$13:$B$95,2,FALSE)</f>
        <v>1</v>
      </c>
      <c r="B201" s="24">
        <f t="shared" si="225"/>
        <v>1942</v>
      </c>
      <c r="C201" s="25">
        <v>15675</v>
      </c>
      <c r="D201" s="26"/>
      <c r="E201" s="24"/>
      <c r="F201" s="26"/>
      <c r="G201" s="26"/>
      <c r="H201" s="26"/>
      <c r="I201" s="26"/>
      <c r="J201" s="26"/>
      <c r="K201" s="26"/>
      <c r="L201" s="24"/>
      <c r="M201" s="24"/>
      <c r="N201" s="26"/>
      <c r="O201" s="26"/>
      <c r="P201" s="26"/>
      <c r="Q201" s="26"/>
      <c r="R201" s="26"/>
      <c r="S201" s="26"/>
      <c r="T201" s="26"/>
      <c r="U201" s="26"/>
      <c r="V201" s="26"/>
      <c r="W201" s="26">
        <f>MAX($C$10-VLOOKUP($C201,COS!$B$8:$H$991,3,FALSE),0)</f>
        <v>90870.3603515625</v>
      </c>
      <c r="X201" s="26">
        <f t="shared" si="245"/>
        <v>5407.1619382747931</v>
      </c>
      <c r="Y201" s="26">
        <f>VLOOKUP($C201,COS!$B$8:$H$991,4,FALSE)</f>
        <v>1237.8724365234375</v>
      </c>
      <c r="Z201" s="26">
        <f t="shared" si="246"/>
        <v>73.658525148502065</v>
      </c>
      <c r="AA201" s="26">
        <f t="shared" si="314"/>
        <v>1237.8724365234375</v>
      </c>
      <c r="AB201" s="33">
        <f t="shared" si="243"/>
        <v>36.829262574251032</v>
      </c>
    </row>
    <row r="202" spans="1:28" x14ac:dyDescent="0.3">
      <c r="A202" s="34">
        <f>VLOOKUP(YEAR(C202),Flags!$A$13:$B$95,2,FALSE)</f>
        <v>1</v>
      </c>
      <c r="B202" s="35">
        <f t="shared" si="225"/>
        <v>1942</v>
      </c>
      <c r="C202" s="36">
        <v>15706</v>
      </c>
      <c r="D202" s="37"/>
      <c r="E202" s="35"/>
      <c r="F202" s="37"/>
      <c r="G202" s="37"/>
      <c r="H202" s="37"/>
      <c r="I202" s="37"/>
      <c r="J202" s="37"/>
      <c r="K202" s="37"/>
      <c r="L202" s="35"/>
      <c r="M202" s="35"/>
      <c r="N202" s="37"/>
      <c r="O202" s="37"/>
      <c r="P202" s="37"/>
      <c r="Q202" s="37"/>
      <c r="R202" s="37"/>
      <c r="S202" s="37"/>
      <c r="T202" s="37"/>
      <c r="U202" s="37"/>
      <c r="V202" s="37"/>
      <c r="W202" s="37">
        <f>MAX($C$11-VLOOKUP($C202,COS!$B$8:$H$991,3,FALSE),0)</f>
        <v>0</v>
      </c>
      <c r="X202" s="37">
        <f t="shared" si="245"/>
        <v>0</v>
      </c>
      <c r="Y202" s="37">
        <f>VLOOKUP($C202,COS!$B$8:$H$991,4,FALSE)</f>
        <v>0</v>
      </c>
      <c r="Z202" s="37">
        <f t="shared" si="246"/>
        <v>0</v>
      </c>
      <c r="AA202" s="37">
        <f t="shared" si="314"/>
        <v>0</v>
      </c>
      <c r="AB202" s="38">
        <f t="shared" si="243"/>
        <v>0</v>
      </c>
    </row>
    <row r="203" spans="1:28" x14ac:dyDescent="0.3">
      <c r="A203" s="27">
        <f>VLOOKUP(YEAR(C203),Flags!$A$13:$B$95,2,FALSE)</f>
        <v>1</v>
      </c>
      <c r="B203" s="28">
        <f t="shared" si="225"/>
        <v>1943</v>
      </c>
      <c r="C203" s="29">
        <v>15826</v>
      </c>
      <c r="D203" s="30">
        <f>VLOOKUP($C203,COS!$B$8:$H$991,3,FALSE)</f>
        <v>3750.597900390625</v>
      </c>
      <c r="E203" s="28">
        <f>IF(D203&gt;=IF(MONTH($C203)=4,$C$3,IF(MONTH($C203)=5,$C$4,IF(MONTH($C203)=6,$C$5,IF(MONTH($C203)=7,$C$6,"ERROR")))),1,0)</f>
        <v>0</v>
      </c>
      <c r="F203" s="30">
        <f>VLOOKUP($C203,COS!$B$8:$H$991,7,FALSE)</f>
        <v>50.021923065185547</v>
      </c>
      <c r="G203" s="28">
        <f>IF(F203&lt;=IF(MONTH($C203)=4,$F$3,IF(MONTH($C203)=5,$F$4,IF(MONTH($C203)=6,$F$5,IF(MONTH($C203)=7,$F$6,"ERROR")))),1,0)</f>
        <v>1</v>
      </c>
      <c r="H203" s="30">
        <f>IF(J203=1,D203-$C$3,0)</f>
        <v>0</v>
      </c>
      <c r="I203" s="30">
        <f t="shared" si="239"/>
        <v>0</v>
      </c>
      <c r="J203" s="28">
        <f t="shared" ref="J203:J206" si="317">IF(AND(E203=1,G203=1),1,0)</f>
        <v>0</v>
      </c>
      <c r="K203" s="30">
        <f>VLOOKUP($C203,COS!$B$8:$H$991,2,FALSE)</f>
        <v>4552</v>
      </c>
      <c r="L203" s="28">
        <f t="shared" ref="L203" si="318">IF(K203&lt;=IF(MONTH($C203)=4,$I$3,IF(MONTH($C203)=5,$I$4,IF(MONTH($C203)=6,$I$5,IF(MONTH($C203)=7,$I$6,"ERROR")))),1,0)</f>
        <v>1</v>
      </c>
      <c r="M203" s="28">
        <f t="shared" ref="M203" si="319">VLOOKUP($A203,$L$3:$M$7,2,FALSE)</f>
        <v>0</v>
      </c>
      <c r="N203" s="30">
        <f>VLOOKUP($C203,COS!$B$8:$H$991,5,FALSE)</f>
        <v>242.15982055664063</v>
      </c>
      <c r="O203" s="30">
        <f t="shared" ref="O203:O206" si="320">N203*DAY($C203)*86400/43560/1000</f>
        <v>14.409509983535642</v>
      </c>
      <c r="P203" s="30">
        <f>VLOOKUP($C203,COS!$B$8:$H$991,6,FALSE)</f>
        <v>409.699951171875</v>
      </c>
      <c r="Q203" s="30">
        <f t="shared" ref="Q203:Q206" si="321">P203*DAY($C203)*86400/43560/1000</f>
        <v>24.378840069731407</v>
      </c>
      <c r="R203" s="30">
        <f>MIN(IF(MONTH($C203)=4,$S$3,IF(MONTH($C203)=5,$S$4,IF(MONTH($C203)=6,$S$5,IF(MONTH($C203)=7,$S$6,"ERROR")))),MAX(VLOOKUP($C203,COS!$B$8:$K$991,10,FALSE)-IF(MONTH($C203)=4,$Y$3,IF(MONTH($C203)=5,$Y$4,IF(MONTH($C203)=6,$Y$5,IF(MONTH($C203)=7,$Y$6,"ERROR")))),0),MAX(VLOOKUP($C203,COS!$B$8:$K$991,9,FALSE)-IF(MONTH($C203)=4,$V$3,IF(MONTH($C203)=5,$V$4,IF(MONTH($C203)=6,$V$5,IF(MONTH($C203)=7,$V$6,"ERROR"))))-VLOOKUP($C203,COS!$B$8:$K$991,6,FALSE)/2,0))</f>
        <v>0</v>
      </c>
      <c r="S203" s="30">
        <f t="shared" ref="S203:S206" si="322">R203*DAY($C203)*86400/43560/1000</f>
        <v>0</v>
      </c>
      <c r="T203" s="30">
        <f t="shared" ref="T203:T206" si="323">(O203+Q203)/2+S203</f>
        <v>19.394175026633526</v>
      </c>
      <c r="U203" s="30" t="str">
        <f>IF(VLOOKUP($C203,COS!$B$8:$I$991,8,FALSE)=1,"UWFE","IBU")</f>
        <v>UWFE</v>
      </c>
      <c r="V203" s="30">
        <f t="shared" ref="V203" si="324">MIN(IF(IF($AA$3=2,AND(E203=1,G203=1,L203=1,L208=1,M203=1,U203="IBU"),AND(E203=1,G203=1,L203=1,L208=1,M203=1)),T203,0),I203)</f>
        <v>0</v>
      </c>
      <c r="W203" s="30"/>
      <c r="X203" s="30"/>
      <c r="Y203" s="30"/>
      <c r="Z203" s="30"/>
      <c r="AA203" s="30"/>
      <c r="AB203" s="31"/>
    </row>
    <row r="204" spans="1:28" x14ac:dyDescent="0.3">
      <c r="A204" s="32">
        <f>VLOOKUP(YEAR(C204),Flags!$A$13:$B$95,2,FALSE)</f>
        <v>1</v>
      </c>
      <c r="B204" s="24">
        <f t="shared" si="225"/>
        <v>1943</v>
      </c>
      <c r="C204" s="25">
        <v>15857</v>
      </c>
      <c r="D204" s="26">
        <f>VLOOKUP($C204,COS!$B$8:$H$991,3,FALSE)</f>
        <v>7166.14208984375</v>
      </c>
      <c r="E204" s="24">
        <f>IF(D204&gt;=IF(MONTH($C204)=4,$C$3,IF(MONTH($C204)=5,$C$4,IF(MONTH($C204)=6,$C$5,IF(MONTH($C204)=7,$C$6,"ERROR")))),1,0)</f>
        <v>1</v>
      </c>
      <c r="F204" s="26">
        <f>VLOOKUP($C204,COS!$B$8:$H$991,7,FALSE)</f>
        <v>50.632198333740234</v>
      </c>
      <c r="G204" s="24">
        <f>IF(F204&lt;=IF(MONTH($C204)=4,$F$3,IF(MONTH($C204)=5,$F$4,IF(MONTH($C204)=6,$F$5,IF(MONTH($C204)=7,$F$6,"ERROR")))),1,0)</f>
        <v>1</v>
      </c>
      <c r="H204" s="26">
        <f>IF(J204=1,D204-$C$4,0)</f>
        <v>1166.14208984375</v>
      </c>
      <c r="I204" s="26">
        <f t="shared" si="239"/>
        <v>71.703282218491736</v>
      </c>
      <c r="J204" s="24">
        <f t="shared" si="317"/>
        <v>1</v>
      </c>
      <c r="K204" s="26">
        <f>VLOOKUP($C204,COS!$B$8:$H$991,2,FALSE)</f>
        <v>4552</v>
      </c>
      <c r="L204" s="24">
        <f t="shared" si="231"/>
        <v>1</v>
      </c>
      <c r="M204" s="24">
        <f t="shared" si="232"/>
        <v>0</v>
      </c>
      <c r="N204" s="26">
        <f>VLOOKUP($C204,COS!$B$8:$H$991,5,FALSE)</f>
        <v>758.106201171875</v>
      </c>
      <c r="O204" s="26">
        <f t="shared" si="320"/>
        <v>46.614133361311985</v>
      </c>
      <c r="P204" s="26">
        <f>VLOOKUP($C204,COS!$B$8:$H$991,6,FALSE)</f>
        <v>2288.578369140625</v>
      </c>
      <c r="Q204" s="26">
        <f t="shared" si="321"/>
        <v>140.71919889591942</v>
      </c>
      <c r="R204" s="26">
        <f>MIN(IF(MONTH($C204)=4,$S$3,IF(MONTH($C204)=5,$S$4,IF(MONTH($C204)=6,$S$5,IF(MONTH($C204)=7,$S$6,"ERROR")))),MAX(VLOOKUP($C204,COS!$B$8:$K$991,10,FALSE)-IF(MONTH($C204)=4,$Y$3,IF(MONTH($C204)=5,$Y$4,IF(MONTH($C204)=6,$Y$5,IF(MONTH($C204)=7,$Y$6,"ERROR")))),0),MAX(VLOOKUP($C204,COS!$B$8:$K$991,9,FALSE)-IF(MONTH($C204)=4,$V$3,IF(MONTH($C204)=5,$V$4,IF(MONTH($C204)=6,$V$5,IF(MONTH($C204)=7,$V$6,"ERROR"))))-VLOOKUP($C204,COS!$B$8:$K$991,6,FALSE)/2,0))</f>
        <v>0</v>
      </c>
      <c r="S204" s="26">
        <f t="shared" si="322"/>
        <v>0</v>
      </c>
      <c r="T204" s="26">
        <f t="shared" si="323"/>
        <v>93.666666128615702</v>
      </c>
      <c r="U204" s="26" t="str">
        <f>IF(VLOOKUP($C204,COS!$B$8:$I$991,8,FALSE)=1,"UWFE","IBU")</f>
        <v>UWFE</v>
      </c>
      <c r="V204" s="26">
        <f t="shared" ref="V204" si="325">MIN(IF(IF($AA$3=2,AND(E204=1,G204=1,L204=1,L208=1,M204=1,U204="IBU"),AND(E204=1,G204=1,L204=1,L208=1,M204=1)),T204,0),I204)</f>
        <v>0</v>
      </c>
      <c r="W204" s="26"/>
      <c r="X204" s="26"/>
      <c r="Y204" s="26"/>
      <c r="Z204" s="26"/>
      <c r="AA204" s="26"/>
      <c r="AB204" s="33"/>
    </row>
    <row r="205" spans="1:28" x14ac:dyDescent="0.3">
      <c r="A205" s="32">
        <f>VLOOKUP(YEAR(C205),Flags!$A$13:$B$95,2,FALSE)</f>
        <v>1</v>
      </c>
      <c r="B205" s="24">
        <f t="shared" si="225"/>
        <v>1943</v>
      </c>
      <c r="C205" s="25">
        <v>15887</v>
      </c>
      <c r="D205" s="26">
        <f>VLOOKUP($C205,COS!$B$8:$H$991,3,FALSE)</f>
        <v>8327.544921875</v>
      </c>
      <c r="E205" s="24">
        <f>IF(D205&gt;=IF(MONTH($C205)=4,$C$3,IF(MONTH($C205)=5,$C$4,IF(MONTH($C205)=6,$C$5,IF(MONTH($C205)=7,$C$6,"ERROR")))),1,0)</f>
        <v>0</v>
      </c>
      <c r="F205" s="26">
        <f>VLOOKUP($C205,COS!$B$8:$H$991,7,FALSE)</f>
        <v>50.935405731201172</v>
      </c>
      <c r="G205" s="24">
        <f>IF(F205&lt;=IF(MONTH($C205)=4,$F$3,IF(MONTH($C205)=5,$F$4,IF(MONTH($C205)=6,$F$5,IF(MONTH($C205)=7,$F$6,"ERROR")))),1,0)</f>
        <v>1</v>
      </c>
      <c r="H205" s="26">
        <f>IF(J205=1,D205-$C$5,0)</f>
        <v>0</v>
      </c>
      <c r="I205" s="26">
        <f t="shared" si="239"/>
        <v>0</v>
      </c>
      <c r="J205" s="24">
        <f t="shared" si="317"/>
        <v>0</v>
      </c>
      <c r="K205" s="26">
        <f>VLOOKUP($C205,COS!$B$8:$H$991,2,FALSE)</f>
        <v>4340.33056640625</v>
      </c>
      <c r="L205" s="24">
        <f t="shared" si="231"/>
        <v>1</v>
      </c>
      <c r="M205" s="24">
        <f t="shared" si="232"/>
        <v>0</v>
      </c>
      <c r="N205" s="26">
        <f>VLOOKUP($C205,COS!$B$8:$H$991,5,FALSE)</f>
        <v>855.91656494140625</v>
      </c>
      <c r="O205" s="26">
        <f t="shared" si="320"/>
        <v>50.930572459323344</v>
      </c>
      <c r="P205" s="26">
        <f>VLOOKUP($C205,COS!$B$8:$H$991,6,FALSE)</f>
        <v>2263.260986328125</v>
      </c>
      <c r="Q205" s="26">
        <f t="shared" si="321"/>
        <v>134.67338100464875</v>
      </c>
      <c r="R205" s="26">
        <f>MIN(IF(MONTH($C205)=4,$S$3,IF(MONTH($C205)=5,$S$4,IF(MONTH($C205)=6,$S$5,IF(MONTH($C205)=7,$S$6,"ERROR")))),MAX(VLOOKUP($C205,COS!$B$8:$K$991,10,FALSE)-IF(MONTH($C205)=4,$Y$3,IF(MONTH($C205)=5,$Y$4,IF(MONTH($C205)=6,$Y$5,IF(MONTH($C205)=7,$Y$6,"ERROR")))),0),MAX(VLOOKUP($C205,COS!$B$8:$K$991,9,FALSE)-IF(MONTH($C205)=4,$V$3,IF(MONTH($C205)=5,$V$4,IF(MONTH($C205)=6,$V$5,IF(MONTH($C205)=7,$V$6,"ERROR"))))-VLOOKUP($C205,COS!$B$8:$K$991,6,FALSE)/2,0))</f>
        <v>0</v>
      </c>
      <c r="S205" s="26">
        <f t="shared" si="322"/>
        <v>0</v>
      </c>
      <c r="T205" s="26">
        <f t="shared" si="323"/>
        <v>92.801976731986045</v>
      </c>
      <c r="U205" s="26" t="str">
        <f>IF(VLOOKUP($C205,COS!$B$8:$I$991,8,FALSE)=1,"UWFE","IBU")</f>
        <v>UWFE</v>
      </c>
      <c r="V205" s="26">
        <f t="shared" ref="V205" si="326">MIN(IF(IF($AA$3=2,AND(E205=1,G205=1,L205=1,L208=1,M205=1,U205="IBU"),AND(E205=1,G205=1,L205=1,L208=1,M205=1)),T205,0),I205)</f>
        <v>0</v>
      </c>
      <c r="W205" s="26"/>
      <c r="X205" s="26"/>
      <c r="Y205" s="26"/>
      <c r="Z205" s="26"/>
      <c r="AA205" s="26"/>
      <c r="AB205" s="33"/>
    </row>
    <row r="206" spans="1:28" x14ac:dyDescent="0.3">
      <c r="A206" s="32">
        <f>VLOOKUP(YEAR(C206),Flags!$A$13:$B$95,2,FALSE)</f>
        <v>1</v>
      </c>
      <c r="B206" s="24">
        <f t="shared" si="225"/>
        <v>1943</v>
      </c>
      <c r="C206" s="25">
        <v>15918</v>
      </c>
      <c r="D206" s="26">
        <f>VLOOKUP($C206,COS!$B$8:$H$991,3,FALSE)</f>
        <v>16000</v>
      </c>
      <c r="E206" s="24">
        <f>IF(D206&gt;=IF(MONTH($C206)=4,$C$3,IF(MONTH($C206)=5,$C$4,IF(MONTH($C206)=6,$C$5,IF(MONTH($C206)=7,$C$6,"ERROR")))),1,0)</f>
        <v>1</v>
      </c>
      <c r="F206" s="26">
        <f>VLOOKUP($C206,COS!$B$8:$H$991,7,FALSE)</f>
        <v>50.874599456787109</v>
      </c>
      <c r="G206" s="24">
        <f>IF(F206&lt;=IF(MONTH($C206)=4,$F$3,IF(MONTH($C206)=5,$F$4,IF(MONTH($C206)=6,$F$5,IF(MONTH($C206)=7,$F$6,"ERROR")))),1,0)</f>
        <v>1</v>
      </c>
      <c r="H206" s="26">
        <f>IF(J206=1,D206-$C$6,0)</f>
        <v>4000</v>
      </c>
      <c r="I206" s="26">
        <f t="shared" si="239"/>
        <v>245.95041322314049</v>
      </c>
      <c r="J206" s="24">
        <f t="shared" si="317"/>
        <v>1</v>
      </c>
      <c r="K206" s="26">
        <f>VLOOKUP($C206,COS!$B$8:$H$991,2,FALSE)</f>
        <v>3628.526611328125</v>
      </c>
      <c r="L206" s="24">
        <f t="shared" si="231"/>
        <v>1</v>
      </c>
      <c r="M206" s="24">
        <f t="shared" si="232"/>
        <v>0</v>
      </c>
      <c r="N206" s="26">
        <f>VLOOKUP($C206,COS!$B$8:$H$991,5,FALSE)</f>
        <v>941.12457275390625</v>
      </c>
      <c r="O206" s="26">
        <f t="shared" si="320"/>
        <v>57.867494390818699</v>
      </c>
      <c r="P206" s="26">
        <f>VLOOKUP($C206,COS!$B$8:$H$991,6,FALSE)</f>
        <v>2607.468505859375</v>
      </c>
      <c r="Q206" s="26">
        <f t="shared" si="321"/>
        <v>160.32698912060951</v>
      </c>
      <c r="R206" s="26">
        <f>MIN(IF(MONTH($C206)=4,$S$3,IF(MONTH($C206)=5,$S$4,IF(MONTH($C206)=6,$S$5,IF(MONTH($C206)=7,$S$6,"ERROR")))),MAX(VLOOKUP($C206,COS!$B$8:$K$991,10,FALSE)-IF(MONTH($C206)=4,$Y$3,IF(MONTH($C206)=5,$Y$4,IF(MONTH($C206)=6,$Y$5,IF(MONTH($C206)=7,$Y$6,"ERROR")))),0),MAX(VLOOKUP($C206,COS!$B$8:$K$991,9,FALSE)-IF(MONTH($C206)=4,$V$3,IF(MONTH($C206)=5,$V$4,IF(MONTH($C206)=6,$V$5,IF(MONTH($C206)=7,$V$6,"ERROR"))))-VLOOKUP($C206,COS!$B$8:$K$991,6,FALSE)/2,0))</f>
        <v>0</v>
      </c>
      <c r="S206" s="26">
        <f t="shared" si="322"/>
        <v>0</v>
      </c>
      <c r="T206" s="26">
        <f t="shared" si="323"/>
        <v>109.09724175571411</v>
      </c>
      <c r="U206" s="26" t="str">
        <f>IF(VLOOKUP($C206,COS!$B$8:$I$991,8,FALSE)=1,"UWFE","IBU")</f>
        <v>IBU</v>
      </c>
      <c r="V206" s="26">
        <f t="shared" ref="V206" si="327">MIN(IF(IF($AA$3=2,AND(E206=1,G206=1,L206=1,L208=1,M206=1,U206="IBU"),AND(E206=1,G206=1,L206=1,L208=1,M206=1)),T206,0),I206)</f>
        <v>0</v>
      </c>
      <c r="W206" s="26"/>
      <c r="X206" s="26"/>
      <c r="Y206" s="26"/>
      <c r="Z206" s="26"/>
      <c r="AA206" s="26"/>
      <c r="AB206" s="33"/>
    </row>
    <row r="207" spans="1:28" x14ac:dyDescent="0.3">
      <c r="A207" s="32">
        <f>VLOOKUP(YEAR(C207),Flags!$A$13:$B$95,2,FALSE)</f>
        <v>1</v>
      </c>
      <c r="B207" s="24">
        <f t="shared" ref="B207:B270" si="328">YEAR(C207)</f>
        <v>1943</v>
      </c>
      <c r="C207" s="25">
        <v>15949</v>
      </c>
      <c r="D207" s="26"/>
      <c r="E207" s="24"/>
      <c r="F207" s="26"/>
      <c r="G207" s="24"/>
      <c r="H207" s="24"/>
      <c r="I207" s="26"/>
      <c r="J207" s="24"/>
      <c r="K207" s="26"/>
      <c r="L207" s="24"/>
      <c r="M207" s="24"/>
      <c r="N207" s="26"/>
      <c r="O207" s="26"/>
      <c r="P207" s="26"/>
      <c r="Q207" s="26"/>
      <c r="R207" s="26"/>
      <c r="S207" s="26"/>
      <c r="T207" s="26"/>
      <c r="U207" s="26"/>
      <c r="V207" s="26"/>
      <c r="W207" s="26">
        <f>MAX($C$7-VLOOKUP($C207,COS!$B$8:$H$991,3,FALSE),0)</f>
        <v>88574.7412109375</v>
      </c>
      <c r="X207" s="26">
        <f t="shared" si="245"/>
        <v>5446.2485504907027</v>
      </c>
      <c r="Y207" s="26">
        <f>VLOOKUP($C207,COS!$B$8:$H$991,4,FALSE)</f>
        <v>301.35446166992188</v>
      </c>
      <c r="Z207" s="26">
        <f t="shared" si="246"/>
        <v>18.529563593588584</v>
      </c>
      <c r="AA207" s="26">
        <f t="shared" ref="AA207:AA211" si="329">MIN(W207,Y207)</f>
        <v>301.35446166992188</v>
      </c>
      <c r="AB207" s="33">
        <f t="shared" ref="AB207" si="330">AA207*DAY($C207)*86400/43560/1000*IF(MONTH($C207)=8,$P$3,IF(MONTH($C207)=9,$P$4,IF(MONTH($C207)=10,$P$5,IF(MONTH($C207)=11,$P$6,IF(MONTH($C207)=12,$P$7,NA())))))</f>
        <v>18.529563593588584</v>
      </c>
    </row>
    <row r="208" spans="1:28" x14ac:dyDescent="0.3">
      <c r="A208" s="32">
        <f>VLOOKUP(YEAR(C208),Flags!$A$13:$B$95,2,FALSE)</f>
        <v>1</v>
      </c>
      <c r="B208" s="24">
        <f t="shared" si="328"/>
        <v>1943</v>
      </c>
      <c r="C208" s="25">
        <v>15979</v>
      </c>
      <c r="D208" s="26"/>
      <c r="E208" s="24"/>
      <c r="F208" s="26"/>
      <c r="G208" s="24"/>
      <c r="H208" s="24"/>
      <c r="I208" s="26"/>
      <c r="J208" s="24"/>
      <c r="K208" s="26">
        <f>VLOOKUP($C208,COS!$B$8:$H$991,2,FALSE)</f>
        <v>2551.45654296875</v>
      </c>
      <c r="L208" s="24">
        <f t="shared" ref="L208" si="331">IF(AND(K208&gt;$I$7,K208&lt;$I$8),1,0)</f>
        <v>1</v>
      </c>
      <c r="M208" s="24"/>
      <c r="N208" s="26"/>
      <c r="O208" s="26"/>
      <c r="P208" s="26"/>
      <c r="Q208" s="26"/>
      <c r="R208" s="26"/>
      <c r="S208" s="26"/>
      <c r="T208" s="26"/>
      <c r="U208" s="26"/>
      <c r="V208" s="26"/>
      <c r="W208" s="26">
        <f>MAX($C$8-VLOOKUP($C208,COS!$B$8:$H$991,3,FALSE),0)</f>
        <v>83754.365234375</v>
      </c>
      <c r="X208" s="26">
        <f t="shared" si="245"/>
        <v>4983.7308238636369</v>
      </c>
      <c r="Y208" s="26">
        <f>VLOOKUP($C208,COS!$B$8:$H$991,4,FALSE)</f>
        <v>0</v>
      </c>
      <c r="Z208" s="26">
        <f t="shared" si="246"/>
        <v>0</v>
      </c>
      <c r="AA208" s="26">
        <f t="shared" si="329"/>
        <v>0</v>
      </c>
      <c r="AB208" s="33">
        <f t="shared" si="243"/>
        <v>0</v>
      </c>
    </row>
    <row r="209" spans="1:28" x14ac:dyDescent="0.3">
      <c r="A209" s="32">
        <f>VLOOKUP(YEAR(C209),Flags!$A$13:$B$95,2,FALSE)</f>
        <v>1</v>
      </c>
      <c r="B209" s="24">
        <f t="shared" si="328"/>
        <v>1943</v>
      </c>
      <c r="C209" s="25">
        <v>16010</v>
      </c>
      <c r="D209" s="26"/>
      <c r="E209" s="24"/>
      <c r="F209" s="26"/>
      <c r="G209" s="26"/>
      <c r="H209" s="26"/>
      <c r="I209" s="26"/>
      <c r="J209" s="26"/>
      <c r="K209" s="26"/>
      <c r="L209" s="24"/>
      <c r="M209" s="24"/>
      <c r="N209" s="26"/>
      <c r="O209" s="26"/>
      <c r="P209" s="26"/>
      <c r="Q209" s="26"/>
      <c r="R209" s="26"/>
      <c r="S209" s="26"/>
      <c r="T209" s="26"/>
      <c r="U209" s="26"/>
      <c r="V209" s="26"/>
      <c r="W209" s="26">
        <f>MAX($C$9-VLOOKUP($C209,COS!$B$8:$H$991,3,FALSE),0)</f>
        <v>91470.8173828125</v>
      </c>
      <c r="X209" s="26">
        <f t="shared" si="245"/>
        <v>5624.3213332902887</v>
      </c>
      <c r="Y209" s="26">
        <f>VLOOKUP($C209,COS!$B$8:$H$991,4,FALSE)</f>
        <v>1550.2403564453125</v>
      </c>
      <c r="Z209" s="26">
        <f t="shared" si="246"/>
        <v>95.320564065728306</v>
      </c>
      <c r="AA209" s="26">
        <f t="shared" si="329"/>
        <v>1550.2403564453125</v>
      </c>
      <c r="AB209" s="33">
        <f t="shared" si="243"/>
        <v>95.320564065728306</v>
      </c>
    </row>
    <row r="210" spans="1:28" x14ac:dyDescent="0.3">
      <c r="A210" s="32">
        <f>VLOOKUP(YEAR(C210),Flags!$A$13:$B$95,2,FALSE)</f>
        <v>1</v>
      </c>
      <c r="B210" s="24">
        <f t="shared" si="328"/>
        <v>1943</v>
      </c>
      <c r="C210" s="25">
        <v>16040</v>
      </c>
      <c r="D210" s="26"/>
      <c r="E210" s="24"/>
      <c r="F210" s="26"/>
      <c r="G210" s="26"/>
      <c r="H210" s="26"/>
      <c r="I210" s="26"/>
      <c r="J210" s="26"/>
      <c r="K210" s="26"/>
      <c r="L210" s="24"/>
      <c r="M210" s="24"/>
      <c r="N210" s="26"/>
      <c r="O210" s="26"/>
      <c r="P210" s="26"/>
      <c r="Q210" s="26"/>
      <c r="R210" s="26"/>
      <c r="S210" s="26"/>
      <c r="T210" s="26"/>
      <c r="U210" s="26"/>
      <c r="V210" s="26"/>
      <c r="W210" s="26">
        <f>MAX($C$10-VLOOKUP($C210,COS!$B$8:$H$991,3,FALSE),0)</f>
        <v>89086.3046875</v>
      </c>
      <c r="X210" s="26">
        <f t="shared" si="245"/>
        <v>5301.0032541322316</v>
      </c>
      <c r="Y210" s="26">
        <f>VLOOKUP($C210,COS!$B$8:$H$991,4,FALSE)</f>
        <v>2815.150390625</v>
      </c>
      <c r="Z210" s="26">
        <f t="shared" si="246"/>
        <v>167.51308109504131</v>
      </c>
      <c r="AA210" s="26">
        <f t="shared" si="329"/>
        <v>2815.150390625</v>
      </c>
      <c r="AB210" s="33">
        <f t="shared" si="243"/>
        <v>83.756540547520657</v>
      </c>
    </row>
    <row r="211" spans="1:28" x14ac:dyDescent="0.3">
      <c r="A211" s="34">
        <f>VLOOKUP(YEAR(C211),Flags!$A$13:$B$95,2,FALSE)</f>
        <v>1</v>
      </c>
      <c r="B211" s="35">
        <f t="shared" si="328"/>
        <v>1943</v>
      </c>
      <c r="C211" s="36">
        <v>16071</v>
      </c>
      <c r="D211" s="37"/>
      <c r="E211" s="35"/>
      <c r="F211" s="37"/>
      <c r="G211" s="37"/>
      <c r="H211" s="37"/>
      <c r="I211" s="37"/>
      <c r="J211" s="37"/>
      <c r="K211" s="37"/>
      <c r="L211" s="35"/>
      <c r="M211" s="35"/>
      <c r="N211" s="37"/>
      <c r="O211" s="37"/>
      <c r="P211" s="37"/>
      <c r="Q211" s="37"/>
      <c r="R211" s="37"/>
      <c r="S211" s="37"/>
      <c r="T211" s="37"/>
      <c r="U211" s="37"/>
      <c r="V211" s="37"/>
      <c r="W211" s="37">
        <f>MAX($C$11-VLOOKUP($C211,COS!$B$8:$H$991,3,FALSE),0)</f>
        <v>0</v>
      </c>
      <c r="X211" s="37">
        <f t="shared" si="245"/>
        <v>0</v>
      </c>
      <c r="Y211" s="37">
        <f>VLOOKUP($C211,COS!$B$8:$H$991,4,FALSE)</f>
        <v>40.252571105957031</v>
      </c>
      <c r="Z211" s="37">
        <f t="shared" si="246"/>
        <v>2.4750341242009943</v>
      </c>
      <c r="AA211" s="37">
        <f t="shared" si="329"/>
        <v>0</v>
      </c>
      <c r="AB211" s="38">
        <f t="shared" si="243"/>
        <v>0</v>
      </c>
    </row>
    <row r="212" spans="1:28" x14ac:dyDescent="0.3">
      <c r="A212" s="27">
        <f>VLOOKUP(YEAR(C212),Flags!$A$13:$B$95,2,FALSE)</f>
        <v>4</v>
      </c>
      <c r="B212" s="28">
        <f t="shared" si="328"/>
        <v>1944</v>
      </c>
      <c r="C212" s="29">
        <v>16192</v>
      </c>
      <c r="D212" s="30">
        <f>VLOOKUP($C212,COS!$B$8:$H$991,3,FALSE)</f>
        <v>3250</v>
      </c>
      <c r="E212" s="28">
        <f>IF(D212&gt;=IF(MONTH($C212)=4,$C$3,IF(MONTH($C212)=5,$C$4,IF(MONTH($C212)=6,$C$5,IF(MONTH($C212)=7,$C$6,"ERROR")))),1,0)</f>
        <v>0</v>
      </c>
      <c r="F212" s="30">
        <f>VLOOKUP($C212,COS!$B$8:$H$991,7,FALSE)</f>
        <v>50.606151580810547</v>
      </c>
      <c r="G212" s="28">
        <f>IF(F212&lt;=IF(MONTH($C212)=4,$F$3,IF(MONTH($C212)=5,$F$4,IF(MONTH($C212)=6,$F$5,IF(MONTH($C212)=7,$F$6,"ERROR")))),1,0)</f>
        <v>1</v>
      </c>
      <c r="H212" s="30">
        <f>IF(J212=1,D212-$C$3,0)</f>
        <v>0</v>
      </c>
      <c r="I212" s="30">
        <f t="shared" si="239"/>
        <v>0</v>
      </c>
      <c r="J212" s="28">
        <f t="shared" ref="J212:J215" si="332">IF(AND(E212=1,G212=1),1,0)</f>
        <v>0</v>
      </c>
      <c r="K212" s="30">
        <f>VLOOKUP($C212,COS!$B$8:$H$991,2,FALSE)</f>
        <v>3187.75537109375</v>
      </c>
      <c r="L212" s="28">
        <f t="shared" ref="L212:L269" si="333">IF(K212&lt;=IF(MONTH($C212)=4,$I$3,IF(MONTH($C212)=5,$I$4,IF(MONTH($C212)=6,$I$5,IF(MONTH($C212)=7,$I$6,"ERROR")))),1,0)</f>
        <v>1</v>
      </c>
      <c r="M212" s="28">
        <f t="shared" ref="M212:M269" si="334">VLOOKUP($A212,$L$3:$M$7,2,FALSE)</f>
        <v>1</v>
      </c>
      <c r="N212" s="30">
        <f>VLOOKUP($C212,COS!$B$8:$H$991,5,FALSE)</f>
        <v>104.06297302246094</v>
      </c>
      <c r="O212" s="30">
        <f t="shared" ref="O212:O215" si="335">N212*DAY($C212)*86400/43560/1000</f>
        <v>6.1921769071216426</v>
      </c>
      <c r="P212" s="30">
        <f>VLOOKUP($C212,COS!$B$8:$H$991,6,FALSE)</f>
        <v>468.96719360351563</v>
      </c>
      <c r="Q212" s="30">
        <f t="shared" ref="Q212:Q215" si="336">P212*DAY($C212)*86400/43560/1000</f>
        <v>27.905485900374483</v>
      </c>
      <c r="R212" s="30">
        <f>MIN(IF(MONTH($C212)=4,$S$3,IF(MONTH($C212)=5,$S$4,IF(MONTH($C212)=6,$S$5,IF(MONTH($C212)=7,$S$6,"ERROR")))),MAX(VLOOKUP($C212,COS!$B$8:$K$991,10,FALSE)-IF(MONTH($C212)=4,$Y$3,IF(MONTH($C212)=5,$Y$4,IF(MONTH($C212)=6,$Y$5,IF(MONTH($C212)=7,$Y$6,"ERROR")))),0),MAX(VLOOKUP($C212,COS!$B$8:$K$991,9,FALSE)-IF(MONTH($C212)=4,$V$3,IF(MONTH($C212)=5,$V$4,IF(MONTH($C212)=6,$V$5,IF(MONTH($C212)=7,$V$6,"ERROR"))))-VLOOKUP($C212,COS!$B$8:$K$991,6,FALSE)/2,0))</f>
        <v>0</v>
      </c>
      <c r="S212" s="30">
        <f t="shared" ref="S212:S215" si="337">R212*DAY($C212)*86400/43560/1000</f>
        <v>0</v>
      </c>
      <c r="T212" s="30">
        <f t="shared" ref="T212:T215" si="338">(O212+Q212)/2+S212</f>
        <v>17.048831403748064</v>
      </c>
      <c r="U212" s="30" t="str">
        <f>IF(VLOOKUP($C212,COS!$B$8:$I$991,8,FALSE)=1,"UWFE","IBU")</f>
        <v>UWFE</v>
      </c>
      <c r="V212" s="30">
        <f t="shared" ref="V212" si="339">MIN(IF(IF($AA$3=2,AND(E212=1,G212=1,L212=1,L217=1,M212=1,U212="IBU"),AND(E212=1,G212=1,L212=1,L217=1,M212=1)),T212,0),I212)</f>
        <v>0</v>
      </c>
      <c r="W212" s="30"/>
      <c r="X212" s="30"/>
      <c r="Y212" s="30"/>
      <c r="Z212" s="30"/>
      <c r="AA212" s="30"/>
      <c r="AB212" s="31"/>
    </row>
    <row r="213" spans="1:28" x14ac:dyDescent="0.3">
      <c r="A213" s="32">
        <f>VLOOKUP(YEAR(C213),Flags!$A$13:$B$95,2,FALSE)</f>
        <v>4</v>
      </c>
      <c r="B213" s="24">
        <f t="shared" si="328"/>
        <v>1944</v>
      </c>
      <c r="C213" s="25">
        <v>16223</v>
      </c>
      <c r="D213" s="26">
        <f>VLOOKUP($C213,COS!$B$8:$H$991,3,FALSE)</f>
        <v>5285.6044921875</v>
      </c>
      <c r="E213" s="24">
        <f>IF(D213&gt;=IF(MONTH($C213)=4,$C$3,IF(MONTH($C213)=5,$C$4,IF(MONTH($C213)=6,$C$5,IF(MONTH($C213)=7,$C$6,"ERROR")))),1,0)</f>
        <v>0</v>
      </c>
      <c r="F213" s="26">
        <f>VLOOKUP($C213,COS!$B$8:$H$991,7,FALSE)</f>
        <v>51.930629730224609</v>
      </c>
      <c r="G213" s="24">
        <f>IF(F213&lt;=IF(MONTH($C213)=4,$F$3,IF(MONTH($C213)=5,$F$4,IF(MONTH($C213)=6,$F$5,IF(MONTH($C213)=7,$F$6,"ERROR")))),1,0)</f>
        <v>1</v>
      </c>
      <c r="H213" s="26">
        <f>IF(J213=1,D213-$C$4,0)</f>
        <v>0</v>
      </c>
      <c r="I213" s="26">
        <f t="shared" si="239"/>
        <v>0</v>
      </c>
      <c r="J213" s="24">
        <f t="shared" si="332"/>
        <v>0</v>
      </c>
      <c r="K213" s="26">
        <f>VLOOKUP($C213,COS!$B$8:$H$991,2,FALSE)</f>
        <v>3183.985107421875</v>
      </c>
      <c r="L213" s="24">
        <f t="shared" si="333"/>
        <v>1</v>
      </c>
      <c r="M213" s="24">
        <f t="shared" si="334"/>
        <v>1</v>
      </c>
      <c r="N213" s="26">
        <f>VLOOKUP($C213,COS!$B$8:$H$991,5,FALSE)</f>
        <v>20.680736541748047</v>
      </c>
      <c r="O213" s="26">
        <f t="shared" si="335"/>
        <v>1.2716089245504583</v>
      </c>
      <c r="P213" s="26">
        <f>VLOOKUP($C213,COS!$B$8:$H$991,6,FALSE)</f>
        <v>2024.68505859375</v>
      </c>
      <c r="Q213" s="26">
        <f t="shared" si="336"/>
        <v>124.49303170196281</v>
      </c>
      <c r="R213" s="26">
        <f>MIN(IF(MONTH($C213)=4,$S$3,IF(MONTH($C213)=5,$S$4,IF(MONTH($C213)=6,$S$5,IF(MONTH($C213)=7,$S$6,"ERROR")))),MAX(VLOOKUP($C213,COS!$B$8:$K$991,10,FALSE)-IF(MONTH($C213)=4,$Y$3,IF(MONTH($C213)=5,$Y$4,IF(MONTH($C213)=6,$Y$5,IF(MONTH($C213)=7,$Y$6,"ERROR")))),0),MAX(VLOOKUP($C213,COS!$B$8:$K$991,9,FALSE)-IF(MONTH($C213)=4,$V$3,IF(MONTH($C213)=5,$V$4,IF(MONTH($C213)=6,$V$5,IF(MONTH($C213)=7,$V$6,"ERROR"))))-VLOOKUP($C213,COS!$B$8:$K$991,6,FALSE)/2,0))</f>
        <v>0</v>
      </c>
      <c r="S213" s="26">
        <f t="shared" si="337"/>
        <v>0</v>
      </c>
      <c r="T213" s="26">
        <f t="shared" si="338"/>
        <v>62.882320313256635</v>
      </c>
      <c r="U213" s="26" t="str">
        <f>IF(VLOOKUP($C213,COS!$B$8:$I$991,8,FALSE)=1,"UWFE","IBU")</f>
        <v>UWFE</v>
      </c>
      <c r="V213" s="26">
        <f t="shared" ref="V213" si="340">MIN(IF(IF($AA$3=2,AND(E213=1,G213=1,L213=1,L217=1,M213=1,U213="IBU"),AND(E213=1,G213=1,L213=1,L217=1,M213=1)),T213,0),I213)</f>
        <v>0</v>
      </c>
      <c r="W213" s="26"/>
      <c r="X213" s="26"/>
      <c r="Y213" s="26"/>
      <c r="Z213" s="26"/>
      <c r="AA213" s="26"/>
      <c r="AB213" s="33"/>
    </row>
    <row r="214" spans="1:28" x14ac:dyDescent="0.3">
      <c r="A214" s="32">
        <f>VLOOKUP(YEAR(C214),Flags!$A$13:$B$95,2,FALSE)</f>
        <v>4</v>
      </c>
      <c r="B214" s="24">
        <f t="shared" si="328"/>
        <v>1944</v>
      </c>
      <c r="C214" s="25">
        <v>16253</v>
      </c>
      <c r="D214" s="26">
        <f>VLOOKUP($C214,COS!$B$8:$H$991,3,FALSE)</f>
        <v>9979.68359375</v>
      </c>
      <c r="E214" s="24">
        <f>IF(D214&gt;=IF(MONTH($C214)=4,$C$3,IF(MONTH($C214)=5,$C$4,IF(MONTH($C214)=6,$C$5,IF(MONTH($C214)=7,$C$6,"ERROR")))),1,0)</f>
        <v>0</v>
      </c>
      <c r="F214" s="26">
        <f>VLOOKUP($C214,COS!$B$8:$H$991,7,FALSE)</f>
        <v>51.431163787841797</v>
      </c>
      <c r="G214" s="24">
        <f>IF(F214&lt;=IF(MONTH($C214)=4,$F$3,IF(MONTH($C214)=5,$F$4,IF(MONTH($C214)=6,$F$5,IF(MONTH($C214)=7,$F$6,"ERROR")))),1,0)</f>
        <v>1</v>
      </c>
      <c r="H214" s="26">
        <f>IF(J214=1,D214-$C$5,0)</f>
        <v>0</v>
      </c>
      <c r="I214" s="26">
        <f t="shared" si="239"/>
        <v>0</v>
      </c>
      <c r="J214" s="24">
        <f t="shared" si="332"/>
        <v>0</v>
      </c>
      <c r="K214" s="26">
        <f>VLOOKUP($C214,COS!$B$8:$H$991,2,FALSE)</f>
        <v>2883.628662109375</v>
      </c>
      <c r="L214" s="24">
        <f t="shared" si="333"/>
        <v>1</v>
      </c>
      <c r="M214" s="24">
        <f t="shared" si="334"/>
        <v>1</v>
      </c>
      <c r="N214" s="26">
        <f>VLOOKUP($C214,COS!$B$8:$H$991,5,FALSE)</f>
        <v>231.61277770996094</v>
      </c>
      <c r="O214" s="26">
        <f t="shared" si="335"/>
        <v>13.781917351336519</v>
      </c>
      <c r="P214" s="26">
        <f>VLOOKUP($C214,COS!$B$8:$H$991,6,FALSE)</f>
        <v>2655.6513671875</v>
      </c>
      <c r="Q214" s="26">
        <f t="shared" si="336"/>
        <v>158.02223011363634</v>
      </c>
      <c r="R214" s="26">
        <f>MIN(IF(MONTH($C214)=4,$S$3,IF(MONTH($C214)=5,$S$4,IF(MONTH($C214)=6,$S$5,IF(MONTH($C214)=7,$S$6,"ERROR")))),MAX(VLOOKUP($C214,COS!$B$8:$K$991,10,FALSE)-IF(MONTH($C214)=4,$Y$3,IF(MONTH($C214)=5,$Y$4,IF(MONTH($C214)=6,$Y$5,IF(MONTH($C214)=7,$Y$6,"ERROR")))),0),MAX(VLOOKUP($C214,COS!$B$8:$K$991,9,FALSE)-IF(MONTH($C214)=4,$V$3,IF(MONTH($C214)=5,$V$4,IF(MONTH($C214)=6,$V$5,IF(MONTH($C214)=7,$V$6,"ERROR"))))-VLOOKUP($C214,COS!$B$8:$K$991,6,FALSE)/2,0))</f>
        <v>0</v>
      </c>
      <c r="S214" s="26">
        <f t="shared" si="337"/>
        <v>0</v>
      </c>
      <c r="T214" s="26">
        <f t="shared" si="338"/>
        <v>85.902073732486429</v>
      </c>
      <c r="U214" s="26" t="str">
        <f>IF(VLOOKUP($C214,COS!$B$8:$I$991,8,FALSE)=1,"UWFE","IBU")</f>
        <v>IBU</v>
      </c>
      <c r="V214" s="26">
        <f t="shared" ref="V214" si="341">MIN(IF(IF($AA$3=2,AND(E214=1,G214=1,L214=1,L217=1,M214=1,U214="IBU"),AND(E214=1,G214=1,L214=1,L217=1,M214=1)),T214,0),I214)</f>
        <v>0</v>
      </c>
      <c r="W214" s="26"/>
      <c r="X214" s="26"/>
      <c r="Y214" s="26"/>
      <c r="Z214" s="26"/>
      <c r="AA214" s="26"/>
      <c r="AB214" s="33"/>
    </row>
    <row r="215" spans="1:28" x14ac:dyDescent="0.3">
      <c r="A215" s="32">
        <f>VLOOKUP(YEAR(C215),Flags!$A$13:$B$95,2,FALSE)</f>
        <v>4</v>
      </c>
      <c r="B215" s="24">
        <f t="shared" si="328"/>
        <v>1944</v>
      </c>
      <c r="C215" s="25">
        <v>16284</v>
      </c>
      <c r="D215" s="26">
        <f>VLOOKUP($C215,COS!$B$8:$H$991,3,FALSE)</f>
        <v>11936.8037109375</v>
      </c>
      <c r="E215" s="24">
        <f>IF(D215&gt;=IF(MONTH($C215)=4,$C$3,IF(MONTH($C215)=5,$C$4,IF(MONTH($C215)=6,$C$5,IF(MONTH($C215)=7,$C$6,"ERROR")))),1,0)</f>
        <v>0</v>
      </c>
      <c r="F215" s="26">
        <f>VLOOKUP($C215,COS!$B$8:$H$991,7,FALSE)</f>
        <v>53.474411010742188</v>
      </c>
      <c r="G215" s="24">
        <f>IF(F215&lt;=IF(MONTH($C215)=4,$F$3,IF(MONTH($C215)=5,$F$4,IF(MONTH($C215)=6,$F$5,IF(MONTH($C215)=7,$F$6,"ERROR")))),1,0)</f>
        <v>1</v>
      </c>
      <c r="H215" s="26">
        <f>IF(J215=1,D215-$C$6,0)</f>
        <v>0</v>
      </c>
      <c r="I215" s="26">
        <f t="shared" ref="I215:I278" si="342">H215*DAY($C215)*86400/43560/1000</f>
        <v>0</v>
      </c>
      <c r="J215" s="24">
        <f t="shared" si="332"/>
        <v>0</v>
      </c>
      <c r="K215" s="26">
        <f>VLOOKUP($C215,COS!$B$8:$H$991,2,FALSE)</f>
        <v>2455.531494140625</v>
      </c>
      <c r="L215" s="24">
        <f t="shared" si="333"/>
        <v>1</v>
      </c>
      <c r="M215" s="24">
        <f t="shared" si="334"/>
        <v>1</v>
      </c>
      <c r="N215" s="26">
        <f>VLOOKUP($C215,COS!$B$8:$H$991,5,FALSE)</f>
        <v>264.6837158203125</v>
      </c>
      <c r="O215" s="26">
        <f t="shared" si="335"/>
        <v>16.274767319860537</v>
      </c>
      <c r="P215" s="26">
        <f>VLOOKUP($C215,COS!$B$8:$H$991,6,FALSE)</f>
        <v>2538.07568359375</v>
      </c>
      <c r="Q215" s="26">
        <f t="shared" si="336"/>
        <v>156.06019079287191</v>
      </c>
      <c r="R215" s="26">
        <f>MIN(IF(MONTH($C215)=4,$S$3,IF(MONTH($C215)=5,$S$4,IF(MONTH($C215)=6,$S$5,IF(MONTH($C215)=7,$S$6,"ERROR")))),MAX(VLOOKUP($C215,COS!$B$8:$K$991,10,FALSE)-IF(MONTH($C215)=4,$Y$3,IF(MONTH($C215)=5,$Y$4,IF(MONTH($C215)=6,$Y$5,IF(MONTH($C215)=7,$Y$6,"ERROR")))),0),MAX(VLOOKUP($C215,COS!$B$8:$K$991,9,FALSE)-IF(MONTH($C215)=4,$V$3,IF(MONTH($C215)=5,$V$4,IF(MONTH($C215)=6,$V$5,IF(MONTH($C215)=7,$V$6,"ERROR"))))-VLOOKUP($C215,COS!$B$8:$K$991,6,FALSE)/2,0))</f>
        <v>0</v>
      </c>
      <c r="S215" s="26">
        <f t="shared" si="337"/>
        <v>0</v>
      </c>
      <c r="T215" s="26">
        <f t="shared" si="338"/>
        <v>86.167479056366219</v>
      </c>
      <c r="U215" s="26" t="str">
        <f>IF(VLOOKUP($C215,COS!$B$8:$I$991,8,FALSE)=1,"UWFE","IBU")</f>
        <v>IBU</v>
      </c>
      <c r="V215" s="26">
        <f t="shared" ref="V215" si="343">MIN(IF(IF($AA$3=2,AND(E215=1,G215=1,L215=1,L217=1,M215=1,U215="IBU"),AND(E215=1,G215=1,L215=1,L217=1,M215=1)),T215,0),I215)</f>
        <v>0</v>
      </c>
      <c r="W215" s="26"/>
      <c r="X215" s="26"/>
      <c r="Y215" s="26"/>
      <c r="Z215" s="26"/>
      <c r="AA215" s="26"/>
      <c r="AB215" s="33"/>
    </row>
    <row r="216" spans="1:28" x14ac:dyDescent="0.3">
      <c r="A216" s="32">
        <f>VLOOKUP(YEAR(C216),Flags!$A$13:$B$95,2,FALSE)</f>
        <v>4</v>
      </c>
      <c r="B216" s="24">
        <f t="shared" si="328"/>
        <v>1944</v>
      </c>
      <c r="C216" s="25">
        <v>16315</v>
      </c>
      <c r="D216" s="26"/>
      <c r="E216" s="24"/>
      <c r="F216" s="26"/>
      <c r="G216" s="24"/>
      <c r="H216" s="24"/>
      <c r="I216" s="26"/>
      <c r="J216" s="24"/>
      <c r="K216" s="26"/>
      <c r="L216" s="24"/>
      <c r="M216" s="24"/>
      <c r="N216" s="26"/>
      <c r="O216" s="26"/>
      <c r="P216" s="26"/>
      <c r="Q216" s="26"/>
      <c r="R216" s="26"/>
      <c r="S216" s="26"/>
      <c r="T216" s="26"/>
      <c r="U216" s="26"/>
      <c r="V216" s="26"/>
      <c r="W216" s="26">
        <f>MAX($C$7-VLOOKUP($C216,COS!$B$8:$H$991,3,FALSE),0)</f>
        <v>91194.1171875</v>
      </c>
      <c r="X216" s="26">
        <f t="shared" si="245"/>
        <v>5607.3077014462806</v>
      </c>
      <c r="Y216" s="26">
        <f>VLOOKUP($C216,COS!$B$8:$H$991,4,FALSE)</f>
        <v>1479.651123046875</v>
      </c>
      <c r="Z216" s="26">
        <f t="shared" si="246"/>
        <v>90.9802012848657</v>
      </c>
      <c r="AA216" s="26">
        <f t="shared" ref="AA216:AA220" si="344">MIN(W216,Y216)</f>
        <v>1479.651123046875</v>
      </c>
      <c r="AB216" s="33">
        <f t="shared" ref="AB216:AB274" si="345">AA216*DAY($C216)*86400/43560/1000*IF(MONTH($C216)=8,$P$3,IF(MONTH($C216)=9,$P$4,IF(MONTH($C216)=10,$P$5,IF(MONTH($C216)=11,$P$6,IF(MONTH($C216)=12,$P$7,NA())))))</f>
        <v>90.9802012848657</v>
      </c>
    </row>
    <row r="217" spans="1:28" x14ac:dyDescent="0.3">
      <c r="A217" s="32">
        <f>VLOOKUP(YEAR(C217),Flags!$A$13:$B$95,2,FALSE)</f>
        <v>4</v>
      </c>
      <c r="B217" s="24">
        <f t="shared" si="328"/>
        <v>1944</v>
      </c>
      <c r="C217" s="25">
        <v>16345</v>
      </c>
      <c r="D217" s="26"/>
      <c r="E217" s="24"/>
      <c r="F217" s="26"/>
      <c r="G217" s="24"/>
      <c r="H217" s="24"/>
      <c r="I217" s="26"/>
      <c r="J217" s="24"/>
      <c r="K217" s="26">
        <f>VLOOKUP($C217,COS!$B$8:$H$991,2,FALSE)</f>
        <v>2136.83203125</v>
      </c>
      <c r="L217" s="24">
        <f t="shared" ref="L217" si="346">IF(AND(K217&gt;$I$7,K217&lt;$I$8),1,0)</f>
        <v>1</v>
      </c>
      <c r="M217" s="24"/>
      <c r="N217" s="26"/>
      <c r="O217" s="26"/>
      <c r="P217" s="26"/>
      <c r="Q217" s="26"/>
      <c r="R217" s="26"/>
      <c r="S217" s="26"/>
      <c r="T217" s="26"/>
      <c r="U217" s="26"/>
      <c r="V217" s="26"/>
      <c r="W217" s="26">
        <f>MAX($C$8-VLOOKUP($C217,COS!$B$8:$H$991,3,FALSE),0)</f>
        <v>95026.63427734375</v>
      </c>
      <c r="X217" s="26">
        <f t="shared" si="245"/>
        <v>5654.4774115444216</v>
      </c>
      <c r="Y217" s="26">
        <f>VLOOKUP($C217,COS!$B$8:$H$991,4,FALSE)</f>
        <v>1451.7376708984375</v>
      </c>
      <c r="Z217" s="26">
        <f t="shared" si="246"/>
        <v>86.384390334452476</v>
      </c>
      <c r="AA217" s="26">
        <f t="shared" si="344"/>
        <v>1451.7376708984375</v>
      </c>
      <c r="AB217" s="33">
        <f t="shared" si="345"/>
        <v>86.384390334452476</v>
      </c>
    </row>
    <row r="218" spans="1:28" x14ac:dyDescent="0.3">
      <c r="A218" s="32">
        <f>VLOOKUP(YEAR(C218),Flags!$A$13:$B$95,2,FALSE)</f>
        <v>4</v>
      </c>
      <c r="B218" s="24">
        <f t="shared" si="328"/>
        <v>1944</v>
      </c>
      <c r="C218" s="25">
        <v>16376</v>
      </c>
      <c r="D218" s="26"/>
      <c r="E218" s="24"/>
      <c r="F218" s="26"/>
      <c r="G218" s="26"/>
      <c r="H218" s="26"/>
      <c r="I218" s="26"/>
      <c r="J218" s="26"/>
      <c r="K218" s="26"/>
      <c r="L218" s="24"/>
      <c r="M218" s="24"/>
      <c r="N218" s="26"/>
      <c r="O218" s="26"/>
      <c r="P218" s="26"/>
      <c r="Q218" s="26"/>
      <c r="R218" s="26"/>
      <c r="S218" s="26"/>
      <c r="T218" s="26"/>
      <c r="U218" s="26"/>
      <c r="V218" s="26"/>
      <c r="W218" s="26">
        <f>MAX($C$9-VLOOKUP($C218,COS!$B$8:$H$991,3,FALSE),0)</f>
        <v>94521.05810546875</v>
      </c>
      <c r="X218" s="26">
        <f t="shared" si="245"/>
        <v>5811.8733248321287</v>
      </c>
      <c r="Y218" s="26">
        <f>VLOOKUP($C218,COS!$B$8:$H$991,4,FALSE)</f>
        <v>1521.927001953125</v>
      </c>
      <c r="Z218" s="26">
        <f t="shared" si="246"/>
        <v>93.579643756456619</v>
      </c>
      <c r="AA218" s="26">
        <f t="shared" si="344"/>
        <v>1521.927001953125</v>
      </c>
      <c r="AB218" s="33">
        <f t="shared" si="345"/>
        <v>93.579643756456619</v>
      </c>
    </row>
    <row r="219" spans="1:28" x14ac:dyDescent="0.3">
      <c r="A219" s="32">
        <f>VLOOKUP(YEAR(C219),Flags!$A$13:$B$95,2,FALSE)</f>
        <v>4</v>
      </c>
      <c r="B219" s="24">
        <f t="shared" si="328"/>
        <v>1944</v>
      </c>
      <c r="C219" s="25">
        <v>16406</v>
      </c>
      <c r="D219" s="26"/>
      <c r="E219" s="24"/>
      <c r="F219" s="26"/>
      <c r="G219" s="26"/>
      <c r="H219" s="26"/>
      <c r="I219" s="26"/>
      <c r="J219" s="26"/>
      <c r="K219" s="26"/>
      <c r="L219" s="24"/>
      <c r="M219" s="24"/>
      <c r="N219" s="26"/>
      <c r="O219" s="26"/>
      <c r="P219" s="26"/>
      <c r="Q219" s="26"/>
      <c r="R219" s="26"/>
      <c r="S219" s="26"/>
      <c r="T219" s="26"/>
      <c r="U219" s="26"/>
      <c r="V219" s="26"/>
      <c r="W219" s="26">
        <f>MAX($C$10-VLOOKUP($C219,COS!$B$8:$H$991,3,FALSE),0)</f>
        <v>96749</v>
      </c>
      <c r="X219" s="26">
        <f t="shared" ref="X219:X282" si="347">W219*DAY($C219)*86400/43560/1000</f>
        <v>5756.965289256198</v>
      </c>
      <c r="Y219" s="26">
        <f>VLOOKUP($C219,COS!$B$8:$H$991,4,FALSE)</f>
        <v>0</v>
      </c>
      <c r="Z219" s="26">
        <f t="shared" ref="Z219:Z282" si="348">Y219*DAY($C219)*86400/43560/1000</f>
        <v>0</v>
      </c>
      <c r="AA219" s="26">
        <f t="shared" si="344"/>
        <v>0</v>
      </c>
      <c r="AB219" s="33">
        <f t="shared" si="345"/>
        <v>0</v>
      </c>
    </row>
    <row r="220" spans="1:28" x14ac:dyDescent="0.3">
      <c r="A220" s="34">
        <f>VLOOKUP(YEAR(C220),Flags!$A$13:$B$95,2,FALSE)</f>
        <v>4</v>
      </c>
      <c r="B220" s="35">
        <f t="shared" si="328"/>
        <v>1944</v>
      </c>
      <c r="C220" s="36">
        <v>16437</v>
      </c>
      <c r="D220" s="37"/>
      <c r="E220" s="35"/>
      <c r="F220" s="37"/>
      <c r="G220" s="37"/>
      <c r="H220" s="37"/>
      <c r="I220" s="37"/>
      <c r="J220" s="37"/>
      <c r="K220" s="37"/>
      <c r="L220" s="35"/>
      <c r="M220" s="35"/>
      <c r="N220" s="37"/>
      <c r="O220" s="37"/>
      <c r="P220" s="37"/>
      <c r="Q220" s="37"/>
      <c r="R220" s="37"/>
      <c r="S220" s="37"/>
      <c r="T220" s="37"/>
      <c r="U220" s="37"/>
      <c r="V220" s="37"/>
      <c r="W220" s="37">
        <f>MAX($C$11-VLOOKUP($C220,COS!$B$8:$H$991,3,FALSE),0)</f>
        <v>0</v>
      </c>
      <c r="X220" s="37">
        <f t="shared" si="347"/>
        <v>0</v>
      </c>
      <c r="Y220" s="37">
        <f>VLOOKUP($C220,COS!$B$8:$H$991,4,FALSE)</f>
        <v>2511.267822265625</v>
      </c>
      <c r="Z220" s="37">
        <f t="shared" si="348"/>
        <v>154.41183965005163</v>
      </c>
      <c r="AA220" s="37">
        <f t="shared" si="344"/>
        <v>0</v>
      </c>
      <c r="AB220" s="38">
        <f t="shared" si="345"/>
        <v>0</v>
      </c>
    </row>
    <row r="221" spans="1:28" x14ac:dyDescent="0.3">
      <c r="A221" s="27">
        <f>VLOOKUP(YEAR(C221),Flags!$A$13:$B$95,2,FALSE)</f>
        <v>3</v>
      </c>
      <c r="B221" s="28">
        <f t="shared" si="328"/>
        <v>1945</v>
      </c>
      <c r="C221" s="29">
        <v>16557</v>
      </c>
      <c r="D221" s="30">
        <f>VLOOKUP($C221,COS!$B$8:$H$991,3,FALSE)</f>
        <v>3250</v>
      </c>
      <c r="E221" s="28">
        <f>IF(D221&gt;=IF(MONTH($C221)=4,$C$3,IF(MONTH($C221)=5,$C$4,IF(MONTH($C221)=6,$C$5,IF(MONTH($C221)=7,$C$6,"ERROR")))),1,0)</f>
        <v>0</v>
      </c>
      <c r="F221" s="30">
        <f>VLOOKUP($C221,COS!$B$8:$H$991,7,FALSE)</f>
        <v>50.669651031494141</v>
      </c>
      <c r="G221" s="28">
        <f>IF(F221&lt;=IF(MONTH($C221)=4,$F$3,IF(MONTH($C221)=5,$F$4,IF(MONTH($C221)=6,$F$5,IF(MONTH($C221)=7,$F$6,"ERROR")))),1,0)</f>
        <v>1</v>
      </c>
      <c r="H221" s="30">
        <f>IF(J221=1,D221-$C$3,0)</f>
        <v>0</v>
      </c>
      <c r="I221" s="30">
        <f t="shared" si="342"/>
        <v>0</v>
      </c>
      <c r="J221" s="28">
        <f t="shared" ref="J221:J224" si="349">IF(AND(E221=1,G221=1),1,0)</f>
        <v>0</v>
      </c>
      <c r="K221" s="30">
        <f>VLOOKUP($C221,COS!$B$8:$H$991,2,FALSE)</f>
        <v>4155.40673828125</v>
      </c>
      <c r="L221" s="28">
        <f t="shared" ref="L221" si="350">IF(K221&lt;=IF(MONTH($C221)=4,$I$3,IF(MONTH($C221)=5,$I$4,IF(MONTH($C221)=6,$I$5,IF(MONTH($C221)=7,$I$6,"ERROR")))),1,0)</f>
        <v>1</v>
      </c>
      <c r="M221" s="28">
        <f t="shared" ref="M221" si="351">VLOOKUP($A221,$L$3:$M$7,2,FALSE)</f>
        <v>0</v>
      </c>
      <c r="N221" s="30">
        <f>VLOOKUP($C221,COS!$B$8:$H$991,5,FALSE)</f>
        <v>245.70526123046875</v>
      </c>
      <c r="O221" s="30">
        <f t="shared" ref="O221:O224" si="352">N221*DAY($C221)*86400/43560/1000</f>
        <v>14.620478354209711</v>
      </c>
      <c r="P221" s="30">
        <f>VLOOKUP($C221,COS!$B$8:$H$991,6,FALSE)</f>
        <v>453.39697265625</v>
      </c>
      <c r="Q221" s="30">
        <f t="shared" ref="Q221:Q224" si="353">P221*DAY($C221)*86400/43560/1000</f>
        <v>26.978993414256198</v>
      </c>
      <c r="R221" s="30">
        <f>MIN(IF(MONTH($C221)=4,$S$3,IF(MONTH($C221)=5,$S$4,IF(MONTH($C221)=6,$S$5,IF(MONTH($C221)=7,$S$6,"ERROR")))),MAX(VLOOKUP($C221,COS!$B$8:$K$991,10,FALSE)-IF(MONTH($C221)=4,$Y$3,IF(MONTH($C221)=5,$Y$4,IF(MONTH($C221)=6,$Y$5,IF(MONTH($C221)=7,$Y$6,"ERROR")))),0),MAX(VLOOKUP($C221,COS!$B$8:$K$991,9,FALSE)-IF(MONTH($C221)=4,$V$3,IF(MONTH($C221)=5,$V$4,IF(MONTH($C221)=6,$V$5,IF(MONTH($C221)=7,$V$6,"ERROR"))))-VLOOKUP($C221,COS!$B$8:$K$991,6,FALSE)/2,0))</f>
        <v>0</v>
      </c>
      <c r="S221" s="30">
        <f t="shared" ref="S221:S224" si="354">R221*DAY($C221)*86400/43560/1000</f>
        <v>0</v>
      </c>
      <c r="T221" s="30">
        <f t="shared" ref="T221:T224" si="355">(O221+Q221)/2+S221</f>
        <v>20.799735884232955</v>
      </c>
      <c r="U221" s="30" t="str">
        <f>IF(VLOOKUP($C221,COS!$B$8:$I$991,8,FALSE)=1,"UWFE","IBU")</f>
        <v>UWFE</v>
      </c>
      <c r="V221" s="30">
        <f t="shared" ref="V221" si="356">MIN(IF(IF($AA$3=2,AND(E221=1,G221=1,L221=1,L226=1,M221=1,U221="IBU"),AND(E221=1,G221=1,L221=1,L226=1,M221=1)),T221,0),I221)</f>
        <v>0</v>
      </c>
      <c r="W221" s="30"/>
      <c r="X221" s="30"/>
      <c r="Y221" s="30"/>
      <c r="Z221" s="30"/>
      <c r="AA221" s="30"/>
      <c r="AB221" s="31"/>
    </row>
    <row r="222" spans="1:28" x14ac:dyDescent="0.3">
      <c r="A222" s="32">
        <f>VLOOKUP(YEAR(C222),Flags!$A$13:$B$95,2,FALSE)</f>
        <v>3</v>
      </c>
      <c r="B222" s="24">
        <f t="shared" si="328"/>
        <v>1945</v>
      </c>
      <c r="C222" s="25">
        <v>16588</v>
      </c>
      <c r="D222" s="26">
        <f>VLOOKUP($C222,COS!$B$8:$H$991,3,FALSE)</f>
        <v>4815.7119140625</v>
      </c>
      <c r="E222" s="24">
        <f>IF(D222&gt;=IF(MONTH($C222)=4,$C$3,IF(MONTH($C222)=5,$C$4,IF(MONTH($C222)=6,$C$5,IF(MONTH($C222)=7,$C$6,"ERROR")))),1,0)</f>
        <v>0</v>
      </c>
      <c r="F222" s="26">
        <f>VLOOKUP($C222,COS!$B$8:$H$991,7,FALSE)</f>
        <v>50.982772827148438</v>
      </c>
      <c r="G222" s="24">
        <f>IF(F222&lt;=IF(MONTH($C222)=4,$F$3,IF(MONTH($C222)=5,$F$4,IF(MONTH($C222)=6,$F$5,IF(MONTH($C222)=7,$F$6,"ERROR")))),1,0)</f>
        <v>1</v>
      </c>
      <c r="H222" s="26">
        <f>IF(J222=1,D222-$C$4,0)</f>
        <v>0</v>
      </c>
      <c r="I222" s="26">
        <f t="shared" si="342"/>
        <v>0</v>
      </c>
      <c r="J222" s="24">
        <f t="shared" si="349"/>
        <v>0</v>
      </c>
      <c r="K222" s="26">
        <f>VLOOKUP($C222,COS!$B$8:$H$991,2,FALSE)</f>
        <v>4312.3994140625</v>
      </c>
      <c r="L222" s="24">
        <f t="shared" si="333"/>
        <v>1</v>
      </c>
      <c r="M222" s="24">
        <f t="shared" si="334"/>
        <v>0</v>
      </c>
      <c r="N222" s="26">
        <f>VLOOKUP($C222,COS!$B$8:$H$991,5,FALSE)</f>
        <v>419.08834838867188</v>
      </c>
      <c r="O222" s="26">
        <f t="shared" si="352"/>
        <v>25.76873811579933</v>
      </c>
      <c r="P222" s="26">
        <f>VLOOKUP($C222,COS!$B$8:$H$991,6,FALSE)</f>
        <v>2006.53857421875</v>
      </c>
      <c r="Q222" s="26">
        <f t="shared" si="353"/>
        <v>123.37724786931818</v>
      </c>
      <c r="R222" s="26">
        <f>MIN(IF(MONTH($C222)=4,$S$3,IF(MONTH($C222)=5,$S$4,IF(MONTH($C222)=6,$S$5,IF(MONTH($C222)=7,$S$6,"ERROR")))),MAX(VLOOKUP($C222,COS!$B$8:$K$991,10,FALSE)-IF(MONTH($C222)=4,$Y$3,IF(MONTH($C222)=5,$Y$4,IF(MONTH($C222)=6,$Y$5,IF(MONTH($C222)=7,$Y$6,"ERROR")))),0),MAX(VLOOKUP($C222,COS!$B$8:$K$991,9,FALSE)-IF(MONTH($C222)=4,$V$3,IF(MONTH($C222)=5,$V$4,IF(MONTH($C222)=6,$V$5,IF(MONTH($C222)=7,$V$6,"ERROR"))))-VLOOKUP($C222,COS!$B$8:$K$991,6,FALSE)/2,0))</f>
        <v>0</v>
      </c>
      <c r="S222" s="26">
        <f t="shared" si="354"/>
        <v>0</v>
      </c>
      <c r="T222" s="26">
        <f t="shared" si="355"/>
        <v>74.572992992558753</v>
      </c>
      <c r="U222" s="26" t="str">
        <f>IF(VLOOKUP($C222,COS!$B$8:$I$991,8,FALSE)=1,"UWFE","IBU")</f>
        <v>UWFE</v>
      </c>
      <c r="V222" s="26">
        <f t="shared" ref="V222" si="357">MIN(IF(IF($AA$3=2,AND(E222=1,G222=1,L222=1,L226=1,M222=1,U222="IBU"),AND(E222=1,G222=1,L222=1,L226=1,M222=1)),T222,0),I222)</f>
        <v>0</v>
      </c>
      <c r="W222" s="26"/>
      <c r="X222" s="26"/>
      <c r="Y222" s="26"/>
      <c r="Z222" s="26"/>
      <c r="AA222" s="26"/>
      <c r="AB222" s="33"/>
    </row>
    <row r="223" spans="1:28" x14ac:dyDescent="0.3">
      <c r="A223" s="32">
        <f>VLOOKUP(YEAR(C223),Flags!$A$13:$B$95,2,FALSE)</f>
        <v>3</v>
      </c>
      <c r="B223" s="24">
        <f t="shared" si="328"/>
        <v>1945</v>
      </c>
      <c r="C223" s="25">
        <v>16618</v>
      </c>
      <c r="D223" s="26">
        <f>VLOOKUP($C223,COS!$B$8:$H$991,3,FALSE)</f>
        <v>8762.8173828125</v>
      </c>
      <c r="E223" s="24">
        <f>IF(D223&gt;=IF(MONTH($C223)=4,$C$3,IF(MONTH($C223)=5,$C$4,IF(MONTH($C223)=6,$C$5,IF(MONTH($C223)=7,$C$6,"ERROR")))),1,0)</f>
        <v>0</v>
      </c>
      <c r="F223" s="26">
        <f>VLOOKUP($C223,COS!$B$8:$H$991,7,FALSE)</f>
        <v>50.982040405273438</v>
      </c>
      <c r="G223" s="24">
        <f>IF(F223&lt;=IF(MONTH($C223)=4,$F$3,IF(MONTH($C223)=5,$F$4,IF(MONTH($C223)=6,$F$5,IF(MONTH($C223)=7,$F$6,"ERROR")))),1,0)</f>
        <v>1</v>
      </c>
      <c r="H223" s="26">
        <f>IF(J223=1,D223-$C$5,0)</f>
        <v>0</v>
      </c>
      <c r="I223" s="26">
        <f t="shared" si="342"/>
        <v>0</v>
      </c>
      <c r="J223" s="24">
        <f t="shared" si="349"/>
        <v>0</v>
      </c>
      <c r="K223" s="26">
        <f>VLOOKUP($C223,COS!$B$8:$H$991,2,FALSE)</f>
        <v>4079.3798828125</v>
      </c>
      <c r="L223" s="24">
        <f t="shared" si="333"/>
        <v>1</v>
      </c>
      <c r="M223" s="24">
        <f t="shared" si="334"/>
        <v>0</v>
      </c>
      <c r="N223" s="26">
        <f>VLOOKUP($C223,COS!$B$8:$H$991,5,FALSE)</f>
        <v>584.35906982421875</v>
      </c>
      <c r="O223" s="26">
        <f t="shared" si="352"/>
        <v>34.771779361441112</v>
      </c>
      <c r="P223" s="26">
        <f>VLOOKUP($C223,COS!$B$8:$H$991,6,FALSE)</f>
        <v>2486.4326171875</v>
      </c>
      <c r="Q223" s="26">
        <f t="shared" si="353"/>
        <v>147.9530152376033</v>
      </c>
      <c r="R223" s="26">
        <f>MIN(IF(MONTH($C223)=4,$S$3,IF(MONTH($C223)=5,$S$4,IF(MONTH($C223)=6,$S$5,IF(MONTH($C223)=7,$S$6,"ERROR")))),MAX(VLOOKUP($C223,COS!$B$8:$K$991,10,FALSE)-IF(MONTH($C223)=4,$Y$3,IF(MONTH($C223)=5,$Y$4,IF(MONTH($C223)=6,$Y$5,IF(MONTH($C223)=7,$Y$6,"ERROR")))),0),MAX(VLOOKUP($C223,COS!$B$8:$K$991,9,FALSE)-IF(MONTH($C223)=4,$V$3,IF(MONTH($C223)=5,$V$4,IF(MONTH($C223)=6,$V$5,IF(MONTH($C223)=7,$V$6,"ERROR"))))-VLOOKUP($C223,COS!$B$8:$K$991,6,FALSE)/2,0))</f>
        <v>0</v>
      </c>
      <c r="S223" s="26">
        <f t="shared" si="354"/>
        <v>0</v>
      </c>
      <c r="T223" s="26">
        <f t="shared" si="355"/>
        <v>91.3623972995222</v>
      </c>
      <c r="U223" s="26" t="str">
        <f>IF(VLOOKUP($C223,COS!$B$8:$I$991,8,FALSE)=1,"UWFE","IBU")</f>
        <v>IBU</v>
      </c>
      <c r="V223" s="26">
        <f t="shared" ref="V223" si="358">MIN(IF(IF($AA$3=2,AND(E223=1,G223=1,L223=1,L226=1,M223=1,U223="IBU"),AND(E223=1,G223=1,L223=1,L226=1,M223=1)),T223,0),I223)</f>
        <v>0</v>
      </c>
      <c r="W223" s="26"/>
      <c r="X223" s="26"/>
      <c r="Y223" s="26"/>
      <c r="Z223" s="26"/>
      <c r="AA223" s="26"/>
      <c r="AB223" s="33"/>
    </row>
    <row r="224" spans="1:28" x14ac:dyDescent="0.3">
      <c r="A224" s="32">
        <f>VLOOKUP(YEAR(C224),Flags!$A$13:$B$95,2,FALSE)</f>
        <v>3</v>
      </c>
      <c r="B224" s="24">
        <f t="shared" si="328"/>
        <v>1945</v>
      </c>
      <c r="C224" s="25">
        <v>16649</v>
      </c>
      <c r="D224" s="26">
        <f>VLOOKUP($C224,COS!$B$8:$H$991,3,FALSE)</f>
        <v>13865.92578125</v>
      </c>
      <c r="E224" s="24">
        <f>IF(D224&gt;=IF(MONTH($C224)=4,$C$3,IF(MONTH($C224)=5,$C$4,IF(MONTH($C224)=6,$C$5,IF(MONTH($C224)=7,$C$6,"ERROR")))),1,0)</f>
        <v>1</v>
      </c>
      <c r="F224" s="26">
        <f>VLOOKUP($C224,COS!$B$8:$H$991,7,FALSE)</f>
        <v>50.834716796875</v>
      </c>
      <c r="G224" s="24">
        <f>IF(F224&lt;=IF(MONTH($C224)=4,$F$3,IF(MONTH($C224)=5,$F$4,IF(MONTH($C224)=6,$F$5,IF(MONTH($C224)=7,$F$6,"ERROR")))),1,0)</f>
        <v>1</v>
      </c>
      <c r="H224" s="26">
        <f>IF(J224=1,D224-$C$6,0)</f>
        <v>1865.92578125</v>
      </c>
      <c r="I224" s="26">
        <f t="shared" si="342"/>
        <v>114.73130423553718</v>
      </c>
      <c r="J224" s="24">
        <f t="shared" si="349"/>
        <v>1</v>
      </c>
      <c r="K224" s="26">
        <f>VLOOKUP($C224,COS!$B$8:$H$991,2,FALSE)</f>
        <v>3470.729248046875</v>
      </c>
      <c r="L224" s="24">
        <f t="shared" si="333"/>
        <v>1</v>
      </c>
      <c r="M224" s="24">
        <f t="shared" si="334"/>
        <v>0</v>
      </c>
      <c r="N224" s="26">
        <f>VLOOKUP($C224,COS!$B$8:$H$991,5,FALSE)</f>
        <v>726.76727294921875</v>
      </c>
      <c r="O224" s="26">
        <f t="shared" si="352"/>
        <v>44.687177774728823</v>
      </c>
      <c r="P224" s="26">
        <f>VLOOKUP($C224,COS!$B$8:$H$991,6,FALSE)</f>
        <v>2632.5888671875</v>
      </c>
      <c r="Q224" s="26">
        <f t="shared" si="353"/>
        <v>161.87157993285126</v>
      </c>
      <c r="R224" s="26">
        <f>MIN(IF(MONTH($C224)=4,$S$3,IF(MONTH($C224)=5,$S$4,IF(MONTH($C224)=6,$S$5,IF(MONTH($C224)=7,$S$6,"ERROR")))),MAX(VLOOKUP($C224,COS!$B$8:$K$991,10,FALSE)-IF(MONTH($C224)=4,$Y$3,IF(MONTH($C224)=5,$Y$4,IF(MONTH($C224)=6,$Y$5,IF(MONTH($C224)=7,$Y$6,"ERROR")))),0),MAX(VLOOKUP($C224,COS!$B$8:$K$991,9,FALSE)-IF(MONTH($C224)=4,$V$3,IF(MONTH($C224)=5,$V$4,IF(MONTH($C224)=6,$V$5,IF(MONTH($C224)=7,$V$6,"ERROR"))))-VLOOKUP($C224,COS!$B$8:$K$991,6,FALSE)/2,0))</f>
        <v>0</v>
      </c>
      <c r="S224" s="26">
        <f t="shared" si="354"/>
        <v>0</v>
      </c>
      <c r="T224" s="26">
        <f t="shared" si="355"/>
        <v>103.27937885379004</v>
      </c>
      <c r="U224" s="26" t="str">
        <f>IF(VLOOKUP($C224,COS!$B$8:$I$991,8,FALSE)=1,"UWFE","IBU")</f>
        <v>IBU</v>
      </c>
      <c r="V224" s="26">
        <f t="shared" ref="V224" si="359">MIN(IF(IF($AA$3=2,AND(E224=1,G224=1,L224=1,L226=1,M224=1,U224="IBU"),AND(E224=1,G224=1,L224=1,L226=1,M224=1)),T224,0),I224)</f>
        <v>0</v>
      </c>
      <c r="W224" s="26"/>
      <c r="X224" s="26"/>
      <c r="Y224" s="26"/>
      <c r="Z224" s="26"/>
      <c r="AA224" s="26"/>
      <c r="AB224" s="33"/>
    </row>
    <row r="225" spans="1:28" x14ac:dyDescent="0.3">
      <c r="A225" s="32">
        <f>VLOOKUP(YEAR(C225),Flags!$A$13:$B$95,2,FALSE)</f>
        <v>3</v>
      </c>
      <c r="B225" s="24">
        <f t="shared" si="328"/>
        <v>1945</v>
      </c>
      <c r="C225" s="25">
        <v>16680</v>
      </c>
      <c r="D225" s="26"/>
      <c r="E225" s="24"/>
      <c r="F225" s="26"/>
      <c r="G225" s="24"/>
      <c r="H225" s="24"/>
      <c r="I225" s="26"/>
      <c r="J225" s="24"/>
      <c r="K225" s="26"/>
      <c r="L225" s="24"/>
      <c r="M225" s="24"/>
      <c r="N225" s="26"/>
      <c r="O225" s="26"/>
      <c r="P225" s="26"/>
      <c r="Q225" s="26"/>
      <c r="R225" s="26"/>
      <c r="S225" s="26"/>
      <c r="T225" s="26"/>
      <c r="U225" s="26"/>
      <c r="V225" s="26"/>
      <c r="W225" s="26">
        <f>MAX($C$7-VLOOKUP($C225,COS!$B$8:$H$991,3,FALSE),0)</f>
        <v>90106.1162109375</v>
      </c>
      <c r="X225" s="26">
        <f t="shared" si="347"/>
        <v>5540.4091290030992</v>
      </c>
      <c r="Y225" s="26">
        <f>VLOOKUP($C225,COS!$B$8:$H$991,4,FALSE)</f>
        <v>465.335205078125</v>
      </c>
      <c r="Z225" s="26">
        <f t="shared" si="348"/>
        <v>28.612346494059917</v>
      </c>
      <c r="AA225" s="26">
        <f t="shared" ref="AA225:AA229" si="360">MIN(W225,Y225)</f>
        <v>465.335205078125</v>
      </c>
      <c r="AB225" s="33">
        <f t="shared" ref="AB225" si="361">AA225*DAY($C225)*86400/43560/1000*IF(MONTH($C225)=8,$P$3,IF(MONTH($C225)=9,$P$4,IF(MONTH($C225)=10,$P$5,IF(MONTH($C225)=11,$P$6,IF(MONTH($C225)=12,$P$7,NA())))))</f>
        <v>28.612346494059917</v>
      </c>
    </row>
    <row r="226" spans="1:28" x14ac:dyDescent="0.3">
      <c r="A226" s="32">
        <f>VLOOKUP(YEAR(C226),Flags!$A$13:$B$95,2,FALSE)</f>
        <v>3</v>
      </c>
      <c r="B226" s="24">
        <f t="shared" si="328"/>
        <v>1945</v>
      </c>
      <c r="C226" s="25">
        <v>16710</v>
      </c>
      <c r="D226" s="26"/>
      <c r="E226" s="24"/>
      <c r="F226" s="26"/>
      <c r="G226" s="24"/>
      <c r="H226" s="24"/>
      <c r="I226" s="26"/>
      <c r="J226" s="24"/>
      <c r="K226" s="26">
        <f>VLOOKUP($C226,COS!$B$8:$H$991,2,FALSE)</f>
        <v>2950.834716796875</v>
      </c>
      <c r="L226" s="24">
        <f t="shared" ref="L226" si="362">IF(AND(K226&gt;$I$7,K226&lt;$I$8),1,0)</f>
        <v>1</v>
      </c>
      <c r="M226" s="24"/>
      <c r="N226" s="26"/>
      <c r="O226" s="26"/>
      <c r="P226" s="26"/>
      <c r="Q226" s="26"/>
      <c r="R226" s="26"/>
      <c r="S226" s="26"/>
      <c r="T226" s="26"/>
      <c r="U226" s="26"/>
      <c r="V226" s="26"/>
      <c r="W226" s="26">
        <f>MAX($C$8-VLOOKUP($C226,COS!$B$8:$H$991,3,FALSE),0)</f>
        <v>94362.61474609375</v>
      </c>
      <c r="X226" s="26">
        <f t="shared" si="347"/>
        <v>5614.9655055526855</v>
      </c>
      <c r="Y226" s="26">
        <f>VLOOKUP($C226,COS!$B$8:$H$991,4,FALSE)</f>
        <v>334.24276733398438</v>
      </c>
      <c r="Z226" s="26">
        <f t="shared" si="348"/>
        <v>19.888825824832129</v>
      </c>
      <c r="AA226" s="26">
        <f t="shared" si="360"/>
        <v>334.24276733398438</v>
      </c>
      <c r="AB226" s="33">
        <f t="shared" si="345"/>
        <v>19.888825824832129</v>
      </c>
    </row>
    <row r="227" spans="1:28" x14ac:dyDescent="0.3">
      <c r="A227" s="32">
        <f>VLOOKUP(YEAR(C227),Flags!$A$13:$B$95,2,FALSE)</f>
        <v>3</v>
      </c>
      <c r="B227" s="24">
        <f t="shared" si="328"/>
        <v>1945</v>
      </c>
      <c r="C227" s="25">
        <v>16741</v>
      </c>
      <c r="D227" s="26"/>
      <c r="E227" s="24"/>
      <c r="F227" s="26"/>
      <c r="G227" s="26"/>
      <c r="H227" s="26"/>
      <c r="I227" s="26"/>
      <c r="J227" s="26"/>
      <c r="K227" s="26"/>
      <c r="L227" s="24"/>
      <c r="M227" s="24"/>
      <c r="N227" s="26"/>
      <c r="O227" s="26"/>
      <c r="P227" s="26"/>
      <c r="Q227" s="26"/>
      <c r="R227" s="26"/>
      <c r="S227" s="26"/>
      <c r="T227" s="26"/>
      <c r="U227" s="26"/>
      <c r="V227" s="26"/>
      <c r="W227" s="26">
        <f>MAX($C$9-VLOOKUP($C227,COS!$B$8:$H$991,3,FALSE),0)</f>
        <v>94737.2158203125</v>
      </c>
      <c r="X227" s="26">
        <f t="shared" si="347"/>
        <v>5825.1643446539256</v>
      </c>
      <c r="Y227" s="26">
        <f>VLOOKUP($C227,COS!$B$8:$H$991,4,FALSE)</f>
        <v>526.39361572265625</v>
      </c>
      <c r="Z227" s="26">
        <f t="shared" si="348"/>
        <v>32.366681826252581</v>
      </c>
      <c r="AA227" s="26">
        <f t="shared" si="360"/>
        <v>526.39361572265625</v>
      </c>
      <c r="AB227" s="33">
        <f t="shared" si="345"/>
        <v>32.366681826252581</v>
      </c>
    </row>
    <row r="228" spans="1:28" x14ac:dyDescent="0.3">
      <c r="A228" s="32">
        <f>VLOOKUP(YEAR(C228),Flags!$A$13:$B$95,2,FALSE)</f>
        <v>3</v>
      </c>
      <c r="B228" s="24">
        <f t="shared" si="328"/>
        <v>1945</v>
      </c>
      <c r="C228" s="25">
        <v>16771</v>
      </c>
      <c r="D228" s="26"/>
      <c r="E228" s="24"/>
      <c r="F228" s="26"/>
      <c r="G228" s="26"/>
      <c r="H228" s="26"/>
      <c r="I228" s="26"/>
      <c r="J228" s="26"/>
      <c r="K228" s="26"/>
      <c r="L228" s="24"/>
      <c r="M228" s="24"/>
      <c r="N228" s="26"/>
      <c r="O228" s="26"/>
      <c r="P228" s="26"/>
      <c r="Q228" s="26"/>
      <c r="R228" s="26"/>
      <c r="S228" s="26"/>
      <c r="T228" s="26"/>
      <c r="U228" s="26"/>
      <c r="V228" s="26"/>
      <c r="W228" s="26">
        <f>MAX($C$10-VLOOKUP($C228,COS!$B$8:$H$991,3,FALSE),0)</f>
        <v>93731.17041015625</v>
      </c>
      <c r="X228" s="26">
        <f t="shared" si="347"/>
        <v>5577.391958290289</v>
      </c>
      <c r="Y228" s="26">
        <f>VLOOKUP($C228,COS!$B$8:$H$991,4,FALSE)</f>
        <v>697.87353515625</v>
      </c>
      <c r="Z228" s="26">
        <f t="shared" si="348"/>
        <v>41.526359116735541</v>
      </c>
      <c r="AA228" s="26">
        <f t="shared" si="360"/>
        <v>697.87353515625</v>
      </c>
      <c r="AB228" s="33">
        <f t="shared" si="345"/>
        <v>20.763179558367771</v>
      </c>
    </row>
    <row r="229" spans="1:28" x14ac:dyDescent="0.3">
      <c r="A229" s="34">
        <f>VLOOKUP(YEAR(C229),Flags!$A$13:$B$95,2,FALSE)</f>
        <v>3</v>
      </c>
      <c r="B229" s="35">
        <f t="shared" si="328"/>
        <v>1945</v>
      </c>
      <c r="C229" s="36">
        <v>16802</v>
      </c>
      <c r="D229" s="37"/>
      <c r="E229" s="35"/>
      <c r="F229" s="37"/>
      <c r="G229" s="37"/>
      <c r="H229" s="37"/>
      <c r="I229" s="37"/>
      <c r="J229" s="37"/>
      <c r="K229" s="37"/>
      <c r="L229" s="35"/>
      <c r="M229" s="35"/>
      <c r="N229" s="37"/>
      <c r="O229" s="37"/>
      <c r="P229" s="37"/>
      <c r="Q229" s="37"/>
      <c r="R229" s="37"/>
      <c r="S229" s="37"/>
      <c r="T229" s="37"/>
      <c r="U229" s="37"/>
      <c r="V229" s="37"/>
      <c r="W229" s="37">
        <f>MAX($C$11-VLOOKUP($C229,COS!$B$8:$H$991,3,FALSE),0)</f>
        <v>0</v>
      </c>
      <c r="X229" s="37">
        <f t="shared" si="347"/>
        <v>0</v>
      </c>
      <c r="Y229" s="37">
        <f>VLOOKUP($C229,COS!$B$8:$H$991,4,FALSE)</f>
        <v>0</v>
      </c>
      <c r="Z229" s="37">
        <f t="shared" si="348"/>
        <v>0</v>
      </c>
      <c r="AA229" s="37">
        <f t="shared" si="360"/>
        <v>0</v>
      </c>
      <c r="AB229" s="38">
        <f t="shared" si="345"/>
        <v>0</v>
      </c>
    </row>
    <row r="230" spans="1:28" x14ac:dyDescent="0.3">
      <c r="A230" s="27">
        <f>VLOOKUP(YEAR(C230),Flags!$A$13:$B$95,2,FALSE)</f>
        <v>2</v>
      </c>
      <c r="B230" s="28">
        <f t="shared" si="328"/>
        <v>1946</v>
      </c>
      <c r="C230" s="29">
        <v>16922</v>
      </c>
      <c r="D230" s="30">
        <f>VLOOKUP($C230,COS!$B$8:$H$991,3,FALSE)</f>
        <v>4076.084716796875</v>
      </c>
      <c r="E230" s="28">
        <f>IF(D230&gt;=IF(MONTH($C230)=4,$C$3,IF(MONTH($C230)=5,$C$4,IF(MONTH($C230)=6,$C$5,IF(MONTH($C230)=7,$C$6,"ERROR")))),1,0)</f>
        <v>0</v>
      </c>
      <c r="F230" s="30">
        <f>VLOOKUP($C230,COS!$B$8:$H$991,7,FALSE)</f>
        <v>48.838871002197266</v>
      </c>
      <c r="G230" s="28">
        <f>IF(F230&lt;=IF(MONTH($C230)=4,$F$3,IF(MONTH($C230)=5,$F$4,IF(MONTH($C230)=6,$F$5,IF(MONTH($C230)=7,$F$6,"ERROR")))),1,0)</f>
        <v>1</v>
      </c>
      <c r="H230" s="30">
        <f>IF(J230=1,D230-$C$3,0)</f>
        <v>0</v>
      </c>
      <c r="I230" s="30">
        <f t="shared" si="342"/>
        <v>0</v>
      </c>
      <c r="J230" s="28">
        <f t="shared" ref="J230:J233" si="363">IF(AND(E230=1,G230=1),1,0)</f>
        <v>0</v>
      </c>
      <c r="K230" s="30">
        <f>VLOOKUP($C230,COS!$B$8:$H$991,2,FALSE)</f>
        <v>4552</v>
      </c>
      <c r="L230" s="28">
        <f t="shared" ref="L230" si="364">IF(K230&lt;=IF(MONTH($C230)=4,$I$3,IF(MONTH($C230)=5,$I$4,IF(MONTH($C230)=6,$I$5,IF(MONTH($C230)=7,$I$6,"ERROR")))),1,0)</f>
        <v>1</v>
      </c>
      <c r="M230" s="28">
        <f t="shared" ref="M230" si="365">VLOOKUP($A230,$L$3:$M$7,2,FALSE)</f>
        <v>0</v>
      </c>
      <c r="N230" s="30">
        <f>VLOOKUP($C230,COS!$B$8:$H$991,5,FALSE)</f>
        <v>571.77276611328125</v>
      </c>
      <c r="O230" s="30">
        <f t="shared" ref="O230:O233" si="366">N230*DAY($C230)*86400/43560/1000</f>
        <v>34.022842281120866</v>
      </c>
      <c r="P230" s="30">
        <f>VLOOKUP($C230,COS!$B$8:$H$991,6,FALSE)</f>
        <v>546.8182373046875</v>
      </c>
      <c r="Q230" s="30">
        <f t="shared" ref="Q230:Q233" si="367">P230*DAY($C230)*86400/43560/1000</f>
        <v>32.537944699121901</v>
      </c>
      <c r="R230" s="30">
        <f>MIN(IF(MONTH($C230)=4,$S$3,IF(MONTH($C230)=5,$S$4,IF(MONTH($C230)=6,$S$5,IF(MONTH($C230)=7,$S$6,"ERROR")))),MAX(VLOOKUP($C230,COS!$B$8:$K$991,10,FALSE)-IF(MONTH($C230)=4,$Y$3,IF(MONTH($C230)=5,$Y$4,IF(MONTH($C230)=6,$Y$5,IF(MONTH($C230)=7,$Y$6,"ERROR")))),0),MAX(VLOOKUP($C230,COS!$B$8:$K$991,9,FALSE)-IF(MONTH($C230)=4,$V$3,IF(MONTH($C230)=5,$V$4,IF(MONTH($C230)=6,$V$5,IF(MONTH($C230)=7,$V$6,"ERROR"))))-VLOOKUP($C230,COS!$B$8:$K$991,6,FALSE)/2,0))</f>
        <v>0</v>
      </c>
      <c r="S230" s="30">
        <f t="shared" ref="S230:S233" si="368">R230*DAY($C230)*86400/43560/1000</f>
        <v>0</v>
      </c>
      <c r="T230" s="30">
        <f t="shared" ref="T230:T233" si="369">(O230+Q230)/2+S230</f>
        <v>33.280393490121384</v>
      </c>
      <c r="U230" s="30" t="str">
        <f>IF(VLOOKUP($C230,COS!$B$8:$I$991,8,FALSE)=1,"UWFE","IBU")</f>
        <v>UWFE</v>
      </c>
      <c r="V230" s="30">
        <f t="shared" ref="V230" si="370">MIN(IF(IF($AA$3=2,AND(E230=1,G230=1,L230=1,L235=1,M230=1,U230="IBU"),AND(E230=1,G230=1,L230=1,L235=1,M230=1)),T230,0),I230)</f>
        <v>0</v>
      </c>
      <c r="W230" s="30"/>
      <c r="X230" s="30"/>
      <c r="Y230" s="30"/>
      <c r="Z230" s="30"/>
      <c r="AA230" s="30"/>
      <c r="AB230" s="31"/>
    </row>
    <row r="231" spans="1:28" x14ac:dyDescent="0.3">
      <c r="A231" s="32">
        <f>VLOOKUP(YEAR(C231),Flags!$A$13:$B$95,2,FALSE)</f>
        <v>2</v>
      </c>
      <c r="B231" s="24">
        <f t="shared" si="328"/>
        <v>1946</v>
      </c>
      <c r="C231" s="25">
        <v>16953</v>
      </c>
      <c r="D231" s="26">
        <f>VLOOKUP($C231,COS!$B$8:$H$991,3,FALSE)</f>
        <v>7674.50244140625</v>
      </c>
      <c r="E231" s="24">
        <f>IF(D231&gt;=IF(MONTH($C231)=4,$C$3,IF(MONTH($C231)=5,$C$4,IF(MONTH($C231)=6,$C$5,IF(MONTH($C231)=7,$C$6,"ERROR")))),1,0)</f>
        <v>1</v>
      </c>
      <c r="F231" s="26">
        <f>VLOOKUP($C231,COS!$B$8:$H$991,7,FALSE)</f>
        <v>48.690444946289063</v>
      </c>
      <c r="G231" s="24">
        <f>IF(F231&lt;=IF(MONTH($C231)=4,$F$3,IF(MONTH($C231)=5,$F$4,IF(MONTH($C231)=6,$F$5,IF(MONTH($C231)=7,$F$6,"ERROR")))),1,0)</f>
        <v>1</v>
      </c>
      <c r="H231" s="26">
        <f>IF(J231=1,D231-$C$4,0)</f>
        <v>1674.50244140625</v>
      </c>
      <c r="I231" s="26">
        <f t="shared" si="342"/>
        <v>102.9611418517562</v>
      </c>
      <c r="J231" s="24">
        <f t="shared" si="363"/>
        <v>1</v>
      </c>
      <c r="K231" s="26">
        <f>VLOOKUP($C231,COS!$B$8:$H$991,2,FALSE)</f>
        <v>4470.89013671875</v>
      </c>
      <c r="L231" s="24">
        <f t="shared" si="333"/>
        <v>1</v>
      </c>
      <c r="M231" s="24">
        <f t="shared" si="334"/>
        <v>0</v>
      </c>
      <c r="N231" s="26">
        <f>VLOOKUP($C231,COS!$B$8:$H$991,5,FALSE)</f>
        <v>870.65301513671875</v>
      </c>
      <c r="O231" s="26">
        <f t="shared" si="366"/>
        <v>53.534367211712294</v>
      </c>
      <c r="P231" s="26">
        <f>VLOOKUP($C231,COS!$B$8:$H$991,6,FALSE)</f>
        <v>2245.033447265625</v>
      </c>
      <c r="Q231" s="26">
        <f t="shared" si="367"/>
        <v>138.04172601368802</v>
      </c>
      <c r="R231" s="26">
        <f>MIN(IF(MONTH($C231)=4,$S$3,IF(MONTH($C231)=5,$S$4,IF(MONTH($C231)=6,$S$5,IF(MONTH($C231)=7,$S$6,"ERROR")))),MAX(VLOOKUP($C231,COS!$B$8:$K$991,10,FALSE)-IF(MONTH($C231)=4,$Y$3,IF(MONTH($C231)=5,$Y$4,IF(MONTH($C231)=6,$Y$5,IF(MONTH($C231)=7,$Y$6,"ERROR")))),0),MAX(VLOOKUP($C231,COS!$B$8:$K$991,9,FALSE)-IF(MONTH($C231)=4,$V$3,IF(MONTH($C231)=5,$V$4,IF(MONTH($C231)=6,$V$5,IF(MONTH($C231)=7,$V$6,"ERROR"))))-VLOOKUP($C231,COS!$B$8:$K$991,6,FALSE)/2,0))</f>
        <v>0</v>
      </c>
      <c r="S231" s="26">
        <f t="shared" si="368"/>
        <v>0</v>
      </c>
      <c r="T231" s="26">
        <f t="shared" si="369"/>
        <v>95.788046612700157</v>
      </c>
      <c r="U231" s="26" t="str">
        <f>IF(VLOOKUP($C231,COS!$B$8:$I$991,8,FALSE)=1,"UWFE","IBU")</f>
        <v>UWFE</v>
      </c>
      <c r="V231" s="26">
        <f t="shared" ref="V231" si="371">MIN(IF(IF($AA$3=2,AND(E231=1,G231=1,L231=1,L235=1,M231=1,U231="IBU"),AND(E231=1,G231=1,L231=1,L235=1,M231=1)),T231,0),I231)</f>
        <v>0</v>
      </c>
      <c r="W231" s="26"/>
      <c r="X231" s="26"/>
      <c r="Y231" s="26"/>
      <c r="Z231" s="26"/>
      <c r="AA231" s="26"/>
      <c r="AB231" s="33"/>
    </row>
    <row r="232" spans="1:28" x14ac:dyDescent="0.3">
      <c r="A232" s="32">
        <f>VLOOKUP(YEAR(C232),Flags!$A$13:$B$95,2,FALSE)</f>
        <v>2</v>
      </c>
      <c r="B232" s="24">
        <f t="shared" si="328"/>
        <v>1946</v>
      </c>
      <c r="C232" s="25">
        <v>16983</v>
      </c>
      <c r="D232" s="26">
        <f>VLOOKUP($C232,COS!$B$8:$H$991,3,FALSE)</f>
        <v>10991.0703125</v>
      </c>
      <c r="E232" s="24">
        <f>IF(D232&gt;=IF(MONTH($C232)=4,$C$3,IF(MONTH($C232)=5,$C$4,IF(MONTH($C232)=6,$C$5,IF(MONTH($C232)=7,$C$6,"ERROR")))),1,0)</f>
        <v>1</v>
      </c>
      <c r="F232" s="26">
        <f>VLOOKUP($C232,COS!$B$8:$H$991,7,FALSE)</f>
        <v>49.001594543457031</v>
      </c>
      <c r="G232" s="24">
        <f>IF(F232&lt;=IF(MONTH($C232)=4,$F$3,IF(MONTH($C232)=5,$F$4,IF(MONTH($C232)=6,$F$5,IF(MONTH($C232)=7,$F$6,"ERROR")))),1,0)</f>
        <v>1</v>
      </c>
      <c r="H232" s="26">
        <f>IF(J232=1,D232-$C$5,0)</f>
        <v>991.0703125</v>
      </c>
      <c r="I232" s="26">
        <f t="shared" si="342"/>
        <v>58.972778925619835</v>
      </c>
      <c r="J232" s="24">
        <f t="shared" si="363"/>
        <v>1</v>
      </c>
      <c r="K232" s="26">
        <f>VLOOKUP($C232,COS!$B$8:$H$991,2,FALSE)</f>
        <v>4054.78515625</v>
      </c>
      <c r="L232" s="24">
        <f t="shared" si="333"/>
        <v>1</v>
      </c>
      <c r="M232" s="24">
        <f t="shared" si="334"/>
        <v>0</v>
      </c>
      <c r="N232" s="26">
        <f>VLOOKUP($C232,COS!$B$8:$H$991,5,FALSE)</f>
        <v>864.298095703125</v>
      </c>
      <c r="O232" s="26">
        <f t="shared" si="366"/>
        <v>51.42930817407025</v>
      </c>
      <c r="P232" s="26">
        <f>VLOOKUP($C232,COS!$B$8:$H$991,6,FALSE)</f>
        <v>2675.089599609375</v>
      </c>
      <c r="Q232" s="26">
        <f t="shared" si="367"/>
        <v>159.1788852660124</v>
      </c>
      <c r="R232" s="26">
        <f>MIN(IF(MONTH($C232)=4,$S$3,IF(MONTH($C232)=5,$S$4,IF(MONTH($C232)=6,$S$5,IF(MONTH($C232)=7,$S$6,"ERROR")))),MAX(VLOOKUP($C232,COS!$B$8:$K$991,10,FALSE)-IF(MONTH($C232)=4,$Y$3,IF(MONTH($C232)=5,$Y$4,IF(MONTH($C232)=6,$Y$5,IF(MONTH($C232)=7,$Y$6,"ERROR")))),0),MAX(VLOOKUP($C232,COS!$B$8:$K$991,9,FALSE)-IF(MONTH($C232)=4,$V$3,IF(MONTH($C232)=5,$V$4,IF(MONTH($C232)=6,$V$5,IF(MONTH($C232)=7,$V$6,"ERROR"))))-VLOOKUP($C232,COS!$B$8:$K$991,6,FALSE)/2,0))</f>
        <v>0</v>
      </c>
      <c r="S232" s="26">
        <f t="shared" si="368"/>
        <v>0</v>
      </c>
      <c r="T232" s="26">
        <f t="shared" si="369"/>
        <v>105.30409672004133</v>
      </c>
      <c r="U232" s="26" t="str">
        <f>IF(VLOOKUP($C232,COS!$B$8:$I$991,8,FALSE)=1,"UWFE","IBU")</f>
        <v>IBU</v>
      </c>
      <c r="V232" s="26">
        <f t="shared" ref="V232" si="372">MIN(IF(IF($AA$3=2,AND(E232=1,G232=1,L232=1,L235=1,M232=1,U232="IBU"),AND(E232=1,G232=1,L232=1,L235=1,M232=1)),T232,0),I232)</f>
        <v>0</v>
      </c>
      <c r="W232" s="26"/>
      <c r="X232" s="26"/>
      <c r="Y232" s="26"/>
      <c r="Z232" s="26"/>
      <c r="AA232" s="26"/>
      <c r="AB232" s="33"/>
    </row>
    <row r="233" spans="1:28" x14ac:dyDescent="0.3">
      <c r="A233" s="32">
        <f>VLOOKUP(YEAR(C233),Flags!$A$13:$B$95,2,FALSE)</f>
        <v>2</v>
      </c>
      <c r="B233" s="24">
        <f t="shared" si="328"/>
        <v>1946</v>
      </c>
      <c r="C233" s="25">
        <v>17014</v>
      </c>
      <c r="D233" s="26">
        <f>VLOOKUP($C233,COS!$B$8:$H$991,3,FALSE)</f>
        <v>16000</v>
      </c>
      <c r="E233" s="24">
        <f>IF(D233&gt;=IF(MONTH($C233)=4,$C$3,IF(MONTH($C233)=5,$C$4,IF(MONTH($C233)=6,$C$5,IF(MONTH($C233)=7,$C$6,"ERROR")))),1,0)</f>
        <v>1</v>
      </c>
      <c r="F233" s="26">
        <f>VLOOKUP($C233,COS!$B$8:$H$991,7,FALSE)</f>
        <v>49.493640899658203</v>
      </c>
      <c r="G233" s="24">
        <f>IF(F233&lt;=IF(MONTH($C233)=4,$F$3,IF(MONTH($C233)=5,$F$4,IF(MONTH($C233)=6,$F$5,IF(MONTH($C233)=7,$F$6,"ERROR")))),1,0)</f>
        <v>1</v>
      </c>
      <c r="H233" s="26">
        <f>IF(J233=1,D233-$C$6,0)</f>
        <v>4000</v>
      </c>
      <c r="I233" s="26">
        <f t="shared" si="342"/>
        <v>245.95041322314049</v>
      </c>
      <c r="J233" s="24">
        <f t="shared" si="363"/>
        <v>1</v>
      </c>
      <c r="K233" s="26">
        <f>VLOOKUP($C233,COS!$B$8:$H$991,2,FALSE)</f>
        <v>3315.635498046875</v>
      </c>
      <c r="L233" s="24">
        <f t="shared" si="333"/>
        <v>1</v>
      </c>
      <c r="M233" s="24">
        <f t="shared" si="334"/>
        <v>0</v>
      </c>
      <c r="N233" s="26">
        <f>VLOOKUP($C233,COS!$B$8:$H$991,5,FALSE)</f>
        <v>929.87835693359375</v>
      </c>
      <c r="O233" s="26">
        <f t="shared" si="366"/>
        <v>57.175991533768077</v>
      </c>
      <c r="P233" s="26">
        <f>VLOOKUP($C233,COS!$B$8:$H$991,6,FALSE)</f>
        <v>2527.75390625</v>
      </c>
      <c r="Q233" s="26">
        <f t="shared" si="367"/>
        <v>155.42552944214876</v>
      </c>
      <c r="R233" s="26">
        <f>MIN(IF(MONTH($C233)=4,$S$3,IF(MONTH($C233)=5,$S$4,IF(MONTH($C233)=6,$S$5,IF(MONTH($C233)=7,$S$6,"ERROR")))),MAX(VLOOKUP($C233,COS!$B$8:$K$991,10,FALSE)-IF(MONTH($C233)=4,$Y$3,IF(MONTH($C233)=5,$Y$4,IF(MONTH($C233)=6,$Y$5,IF(MONTH($C233)=7,$Y$6,"ERROR")))),0),MAX(VLOOKUP($C233,COS!$B$8:$K$991,9,FALSE)-IF(MONTH($C233)=4,$V$3,IF(MONTH($C233)=5,$V$4,IF(MONTH($C233)=6,$V$5,IF(MONTH($C233)=7,$V$6,"ERROR"))))-VLOOKUP($C233,COS!$B$8:$K$991,6,FALSE)/2,0))</f>
        <v>0</v>
      </c>
      <c r="S233" s="26">
        <f t="shared" si="368"/>
        <v>0</v>
      </c>
      <c r="T233" s="26">
        <f t="shared" si="369"/>
        <v>106.30076048795841</v>
      </c>
      <c r="U233" s="26" t="str">
        <f>IF(VLOOKUP($C233,COS!$B$8:$I$991,8,FALSE)=1,"UWFE","IBU")</f>
        <v>IBU</v>
      </c>
      <c r="V233" s="26">
        <f t="shared" ref="V233" si="373">MIN(IF(IF($AA$3=2,AND(E233=1,G233=1,L233=1,L235=1,M233=1,U233="IBU"),AND(E233=1,G233=1,L233=1,L235=1,M233=1)),T233,0),I233)</f>
        <v>0</v>
      </c>
      <c r="W233" s="26"/>
      <c r="X233" s="26"/>
      <c r="Y233" s="26"/>
      <c r="Z233" s="26"/>
      <c r="AA233" s="26"/>
      <c r="AB233" s="33"/>
    </row>
    <row r="234" spans="1:28" x14ac:dyDescent="0.3">
      <c r="A234" s="32">
        <f>VLOOKUP(YEAR(C234),Flags!$A$13:$B$95,2,FALSE)</f>
        <v>2</v>
      </c>
      <c r="B234" s="24">
        <f t="shared" si="328"/>
        <v>1946</v>
      </c>
      <c r="C234" s="25">
        <v>17045</v>
      </c>
      <c r="D234" s="26"/>
      <c r="E234" s="24"/>
      <c r="F234" s="26"/>
      <c r="G234" s="24"/>
      <c r="H234" s="24"/>
      <c r="I234" s="26"/>
      <c r="J234" s="24"/>
      <c r="K234" s="26"/>
      <c r="L234" s="24"/>
      <c r="M234" s="24"/>
      <c r="N234" s="26"/>
      <c r="O234" s="26"/>
      <c r="P234" s="26"/>
      <c r="Q234" s="26"/>
      <c r="R234" s="26"/>
      <c r="S234" s="26"/>
      <c r="T234" s="26"/>
      <c r="U234" s="26"/>
      <c r="V234" s="26"/>
      <c r="W234" s="26">
        <f>MAX($C$7-VLOOKUP($C234,COS!$B$8:$H$991,3,FALSE),0)</f>
        <v>88284.59765625</v>
      </c>
      <c r="X234" s="26">
        <f t="shared" si="347"/>
        <v>5428.4083186983471</v>
      </c>
      <c r="Y234" s="26">
        <f>VLOOKUP($C234,COS!$B$8:$H$991,4,FALSE)</f>
        <v>0</v>
      </c>
      <c r="Z234" s="26">
        <f t="shared" si="348"/>
        <v>0</v>
      </c>
      <c r="AA234" s="26">
        <f t="shared" ref="AA234:AA238" si="374">MIN(W234,Y234)</f>
        <v>0</v>
      </c>
      <c r="AB234" s="33">
        <f t="shared" ref="AB234" si="375">AA234*DAY($C234)*86400/43560/1000*IF(MONTH($C234)=8,$P$3,IF(MONTH($C234)=9,$P$4,IF(MONTH($C234)=10,$P$5,IF(MONTH($C234)=11,$P$6,IF(MONTH($C234)=12,$P$7,NA())))))</f>
        <v>0</v>
      </c>
    </row>
    <row r="235" spans="1:28" x14ac:dyDescent="0.3">
      <c r="A235" s="32">
        <f>VLOOKUP(YEAR(C235),Flags!$A$13:$B$95,2,FALSE)</f>
        <v>2</v>
      </c>
      <c r="B235" s="24">
        <f t="shared" si="328"/>
        <v>1946</v>
      </c>
      <c r="C235" s="25">
        <v>17075</v>
      </c>
      <c r="D235" s="26"/>
      <c r="E235" s="24"/>
      <c r="F235" s="26"/>
      <c r="G235" s="24"/>
      <c r="H235" s="24"/>
      <c r="I235" s="26"/>
      <c r="J235" s="24"/>
      <c r="K235" s="26">
        <f>VLOOKUP($C235,COS!$B$8:$H$991,2,FALSE)</f>
        <v>2524.6171875</v>
      </c>
      <c r="L235" s="24">
        <f t="shared" ref="L235" si="376">IF(AND(K235&gt;$I$7,K235&lt;$I$8),1,0)</f>
        <v>1</v>
      </c>
      <c r="M235" s="24"/>
      <c r="N235" s="26"/>
      <c r="O235" s="26"/>
      <c r="P235" s="26"/>
      <c r="Q235" s="26"/>
      <c r="R235" s="26"/>
      <c r="S235" s="26"/>
      <c r="T235" s="26"/>
      <c r="U235" s="26"/>
      <c r="V235" s="26"/>
      <c r="W235" s="26">
        <f>MAX($C$8-VLOOKUP($C235,COS!$B$8:$H$991,3,FALSE),0)</f>
        <v>88618.8271484375</v>
      </c>
      <c r="X235" s="26">
        <f t="shared" si="347"/>
        <v>5273.1864088326447</v>
      </c>
      <c r="Y235" s="26">
        <f>VLOOKUP($C235,COS!$B$8:$H$991,4,FALSE)</f>
        <v>0</v>
      </c>
      <c r="Z235" s="26">
        <f t="shared" si="348"/>
        <v>0</v>
      </c>
      <c r="AA235" s="26">
        <f t="shared" si="374"/>
        <v>0</v>
      </c>
      <c r="AB235" s="33">
        <f t="shared" si="345"/>
        <v>0</v>
      </c>
    </row>
    <row r="236" spans="1:28" x14ac:dyDescent="0.3">
      <c r="A236" s="32">
        <f>VLOOKUP(YEAR(C236),Flags!$A$13:$B$95,2,FALSE)</f>
        <v>2</v>
      </c>
      <c r="B236" s="24">
        <f t="shared" si="328"/>
        <v>1946</v>
      </c>
      <c r="C236" s="25">
        <v>17106</v>
      </c>
      <c r="D236" s="26"/>
      <c r="E236" s="24"/>
      <c r="F236" s="26"/>
      <c r="G236" s="26"/>
      <c r="H236" s="26"/>
      <c r="I236" s="26"/>
      <c r="J236" s="26"/>
      <c r="K236" s="26"/>
      <c r="L236" s="24"/>
      <c r="M236" s="24"/>
      <c r="N236" s="26"/>
      <c r="O236" s="26"/>
      <c r="P236" s="26"/>
      <c r="Q236" s="26"/>
      <c r="R236" s="26"/>
      <c r="S236" s="26"/>
      <c r="T236" s="26"/>
      <c r="U236" s="26"/>
      <c r="V236" s="26"/>
      <c r="W236" s="26">
        <f>MAX($C$9-VLOOKUP($C236,COS!$B$8:$H$991,3,FALSE),0)</f>
        <v>91926.40234375</v>
      </c>
      <c r="X236" s="26">
        <f t="shared" si="347"/>
        <v>5652.3341606404956</v>
      </c>
      <c r="Y236" s="26">
        <f>VLOOKUP($C236,COS!$B$8:$H$991,4,FALSE)</f>
        <v>1148.6480712890625</v>
      </c>
      <c r="Z236" s="26">
        <f t="shared" si="348"/>
        <v>70.627616945377071</v>
      </c>
      <c r="AA236" s="26">
        <f t="shared" si="374"/>
        <v>1148.6480712890625</v>
      </c>
      <c r="AB236" s="33">
        <f t="shared" si="345"/>
        <v>70.627616945377071</v>
      </c>
    </row>
    <row r="237" spans="1:28" x14ac:dyDescent="0.3">
      <c r="A237" s="32">
        <f>VLOOKUP(YEAR(C237),Flags!$A$13:$B$95,2,FALSE)</f>
        <v>2</v>
      </c>
      <c r="B237" s="24">
        <f t="shared" si="328"/>
        <v>1946</v>
      </c>
      <c r="C237" s="25">
        <v>17136</v>
      </c>
      <c r="D237" s="26"/>
      <c r="E237" s="24"/>
      <c r="F237" s="26"/>
      <c r="G237" s="26"/>
      <c r="H237" s="26"/>
      <c r="I237" s="26"/>
      <c r="J237" s="26"/>
      <c r="K237" s="26"/>
      <c r="L237" s="24"/>
      <c r="M237" s="24"/>
      <c r="N237" s="26"/>
      <c r="O237" s="26"/>
      <c r="P237" s="26"/>
      <c r="Q237" s="26"/>
      <c r="R237" s="26"/>
      <c r="S237" s="26"/>
      <c r="T237" s="26"/>
      <c r="U237" s="26"/>
      <c r="V237" s="26"/>
      <c r="W237" s="26">
        <f>MAX($C$10-VLOOKUP($C237,COS!$B$8:$H$991,3,FALSE),0)</f>
        <v>91705.3271484375</v>
      </c>
      <c r="X237" s="26">
        <f t="shared" si="347"/>
        <v>5456.8459129648754</v>
      </c>
      <c r="Y237" s="26">
        <f>VLOOKUP($C237,COS!$B$8:$H$991,4,FALSE)</f>
        <v>1644.781982421875</v>
      </c>
      <c r="Z237" s="26">
        <f t="shared" si="348"/>
        <v>97.871324573863632</v>
      </c>
      <c r="AA237" s="26">
        <f t="shared" si="374"/>
        <v>1644.781982421875</v>
      </c>
      <c r="AB237" s="33">
        <f t="shared" si="345"/>
        <v>48.935662286931816</v>
      </c>
    </row>
    <row r="238" spans="1:28" x14ac:dyDescent="0.3">
      <c r="A238" s="34">
        <f>VLOOKUP(YEAR(C238),Flags!$A$13:$B$95,2,FALSE)</f>
        <v>2</v>
      </c>
      <c r="B238" s="35">
        <f t="shared" si="328"/>
        <v>1946</v>
      </c>
      <c r="C238" s="36">
        <v>17167</v>
      </c>
      <c r="D238" s="37"/>
      <c r="E238" s="35"/>
      <c r="F238" s="37"/>
      <c r="G238" s="37"/>
      <c r="H238" s="37"/>
      <c r="I238" s="37"/>
      <c r="J238" s="37"/>
      <c r="K238" s="37"/>
      <c r="L238" s="35"/>
      <c r="M238" s="35"/>
      <c r="N238" s="37"/>
      <c r="O238" s="37"/>
      <c r="P238" s="37"/>
      <c r="Q238" s="37"/>
      <c r="R238" s="37"/>
      <c r="S238" s="37"/>
      <c r="T238" s="37"/>
      <c r="U238" s="37"/>
      <c r="V238" s="37"/>
      <c r="W238" s="37">
        <f>MAX($C$11-VLOOKUP($C238,COS!$B$8:$H$991,3,FALSE),0)</f>
        <v>0</v>
      </c>
      <c r="X238" s="37">
        <f t="shared" si="347"/>
        <v>0</v>
      </c>
      <c r="Y238" s="37">
        <f>VLOOKUP($C238,COS!$B$8:$H$991,4,FALSE)</f>
        <v>0</v>
      </c>
      <c r="Z238" s="37">
        <f t="shared" si="348"/>
        <v>0</v>
      </c>
      <c r="AA238" s="37">
        <f t="shared" si="374"/>
        <v>0</v>
      </c>
      <c r="AB238" s="38">
        <f t="shared" si="345"/>
        <v>0</v>
      </c>
    </row>
    <row r="239" spans="1:28" x14ac:dyDescent="0.3">
      <c r="A239" s="27">
        <f>VLOOKUP(YEAR(C239),Flags!$A$13:$B$95,2,FALSE)</f>
        <v>4</v>
      </c>
      <c r="B239" s="28">
        <f t="shared" si="328"/>
        <v>1947</v>
      </c>
      <c r="C239" s="29">
        <v>17287</v>
      </c>
      <c r="D239" s="30">
        <f>VLOOKUP($C239,COS!$B$8:$H$991,3,FALSE)</f>
        <v>3250</v>
      </c>
      <c r="E239" s="28">
        <f>IF(D239&gt;=IF(MONTH($C239)=4,$C$3,IF(MONTH($C239)=5,$C$4,IF(MONTH($C239)=6,$C$5,IF(MONTH($C239)=7,$C$6,"ERROR")))),1,0)</f>
        <v>0</v>
      </c>
      <c r="F239" s="30">
        <f>VLOOKUP($C239,COS!$B$8:$H$991,7,FALSE)</f>
        <v>51.992382049560547</v>
      </c>
      <c r="G239" s="28">
        <f>IF(F239&lt;=IF(MONTH($C239)=4,$F$3,IF(MONTH($C239)=5,$F$4,IF(MONTH($C239)=6,$F$5,IF(MONTH($C239)=7,$F$6,"ERROR")))),1,0)</f>
        <v>1</v>
      </c>
      <c r="H239" s="30">
        <f>IF(J239=1,D239-$C$3,0)</f>
        <v>0</v>
      </c>
      <c r="I239" s="30">
        <f t="shared" si="342"/>
        <v>0</v>
      </c>
      <c r="J239" s="28">
        <f t="shared" ref="J239:J242" si="377">IF(AND(E239=1,G239=1),1,0)</f>
        <v>0</v>
      </c>
      <c r="K239" s="30">
        <f>VLOOKUP($C239,COS!$B$8:$H$991,2,FALSE)</f>
        <v>3389.9931640625</v>
      </c>
      <c r="L239" s="28">
        <f t="shared" ref="L239" si="378">IF(K239&lt;=IF(MONTH($C239)=4,$I$3,IF(MONTH($C239)=5,$I$4,IF(MONTH($C239)=6,$I$5,IF(MONTH($C239)=7,$I$6,"ERROR")))),1,0)</f>
        <v>1</v>
      </c>
      <c r="M239" s="28">
        <f t="shared" ref="M239" si="379">VLOOKUP($A239,$L$3:$M$7,2,FALSE)</f>
        <v>1</v>
      </c>
      <c r="N239" s="30">
        <f>VLOOKUP($C239,COS!$B$8:$H$991,5,FALSE)</f>
        <v>210.8018798828125</v>
      </c>
      <c r="O239" s="30">
        <f t="shared" ref="O239:O242" si="380">N239*DAY($C239)*86400/43560/1000</f>
        <v>12.543582935175619</v>
      </c>
      <c r="P239" s="30">
        <f>VLOOKUP($C239,COS!$B$8:$H$991,6,FALSE)</f>
        <v>467.46041870117188</v>
      </c>
      <c r="Q239" s="30">
        <f t="shared" ref="Q239:Q242" si="381">P239*DAY($C239)*86400/43560/1000</f>
        <v>27.815826567342459</v>
      </c>
      <c r="R239" s="30">
        <f>MIN(IF(MONTH($C239)=4,$S$3,IF(MONTH($C239)=5,$S$4,IF(MONTH($C239)=6,$S$5,IF(MONTH($C239)=7,$S$6,"ERROR")))),MAX(VLOOKUP($C239,COS!$B$8:$K$991,10,FALSE)-IF(MONTH($C239)=4,$Y$3,IF(MONTH($C239)=5,$Y$4,IF(MONTH($C239)=6,$Y$5,IF(MONTH($C239)=7,$Y$6,"ERROR")))),0),MAX(VLOOKUP($C239,COS!$B$8:$K$991,9,FALSE)-IF(MONTH($C239)=4,$V$3,IF(MONTH($C239)=5,$V$4,IF(MONTH($C239)=6,$V$5,IF(MONTH($C239)=7,$V$6,"ERROR"))))-VLOOKUP($C239,COS!$B$8:$K$991,6,FALSE)/2,0))</f>
        <v>0</v>
      </c>
      <c r="S239" s="30">
        <f t="shared" ref="S239:S242" si="382">R239*DAY($C239)*86400/43560/1000</f>
        <v>0</v>
      </c>
      <c r="T239" s="30">
        <f t="shared" ref="T239:T242" si="383">(O239+Q239)/2+S239</f>
        <v>20.179704751259038</v>
      </c>
      <c r="U239" s="30" t="str">
        <f>IF(VLOOKUP($C239,COS!$B$8:$I$991,8,FALSE)=1,"UWFE","IBU")</f>
        <v>UWFE</v>
      </c>
      <c r="V239" s="30">
        <f t="shared" ref="V239" si="384">MIN(IF(IF($AA$3=2,AND(E239=1,G239=1,L239=1,L244=1,M239=1,U239="IBU"),AND(E239=1,G239=1,L239=1,L244=1,M239=1)),T239,0),I239)</f>
        <v>0</v>
      </c>
      <c r="W239" s="30"/>
      <c r="X239" s="30"/>
      <c r="Y239" s="30"/>
      <c r="Z239" s="30"/>
      <c r="AA239" s="30"/>
      <c r="AB239" s="31"/>
    </row>
    <row r="240" spans="1:28" x14ac:dyDescent="0.3">
      <c r="A240" s="32">
        <f>VLOOKUP(YEAR(C240),Flags!$A$13:$B$95,2,FALSE)</f>
        <v>4</v>
      </c>
      <c r="B240" s="24">
        <f t="shared" si="328"/>
        <v>1947</v>
      </c>
      <c r="C240" s="25">
        <v>17318</v>
      </c>
      <c r="D240" s="26">
        <f>VLOOKUP($C240,COS!$B$8:$H$991,3,FALSE)</f>
        <v>8656.3466796875</v>
      </c>
      <c r="E240" s="24">
        <f>IF(D240&gt;=IF(MONTH($C240)=4,$C$3,IF(MONTH($C240)=5,$C$4,IF(MONTH($C240)=6,$C$5,IF(MONTH($C240)=7,$C$6,"ERROR")))),1,0)</f>
        <v>1</v>
      </c>
      <c r="F240" s="26">
        <f>VLOOKUP($C240,COS!$B$8:$H$991,7,FALSE)</f>
        <v>50.687347412109375</v>
      </c>
      <c r="G240" s="24">
        <f>IF(F240&lt;=IF(MONTH($C240)=4,$F$3,IF(MONTH($C240)=5,$F$4,IF(MONTH($C240)=6,$F$5,IF(MONTH($C240)=7,$F$6,"ERROR")))),1,0)</f>
        <v>1</v>
      </c>
      <c r="H240" s="26">
        <f>IF(J240=1,D240-$C$4,0)</f>
        <v>2656.3466796875</v>
      </c>
      <c r="I240" s="26">
        <f t="shared" si="342"/>
        <v>163.33239088326445</v>
      </c>
      <c r="J240" s="24">
        <f t="shared" si="377"/>
        <v>1</v>
      </c>
      <c r="K240" s="26">
        <f>VLOOKUP($C240,COS!$B$8:$H$991,2,FALSE)</f>
        <v>3099.48974609375</v>
      </c>
      <c r="L240" s="24">
        <f t="shared" si="333"/>
        <v>1</v>
      </c>
      <c r="M240" s="24">
        <f t="shared" si="334"/>
        <v>1</v>
      </c>
      <c r="N240" s="26">
        <f>VLOOKUP($C240,COS!$B$8:$H$991,5,FALSE)</f>
        <v>304.60684204101563</v>
      </c>
      <c r="O240" s="26">
        <f t="shared" si="380"/>
        <v>18.729544667645918</v>
      </c>
      <c r="P240" s="26">
        <f>VLOOKUP($C240,COS!$B$8:$H$991,6,FALSE)</f>
        <v>2205.62353515625</v>
      </c>
      <c r="Q240" s="26">
        <f t="shared" si="381"/>
        <v>135.61850497159091</v>
      </c>
      <c r="R240" s="26">
        <f>MIN(IF(MONTH($C240)=4,$S$3,IF(MONTH($C240)=5,$S$4,IF(MONTH($C240)=6,$S$5,IF(MONTH($C240)=7,$S$6,"ERROR")))),MAX(VLOOKUP($C240,COS!$B$8:$K$991,10,FALSE)-IF(MONTH($C240)=4,$Y$3,IF(MONTH($C240)=5,$Y$4,IF(MONTH($C240)=6,$Y$5,IF(MONTH($C240)=7,$Y$6,"ERROR")))),0),MAX(VLOOKUP($C240,COS!$B$8:$K$991,9,FALSE)-IF(MONTH($C240)=4,$V$3,IF(MONTH($C240)=5,$V$4,IF(MONTH($C240)=6,$V$5,IF(MONTH($C240)=7,$V$6,"ERROR"))))-VLOOKUP($C240,COS!$B$8:$K$991,6,FALSE)/2,0))</f>
        <v>0</v>
      </c>
      <c r="S240" s="26">
        <f t="shared" si="382"/>
        <v>0</v>
      </c>
      <c r="T240" s="26">
        <f t="shared" si="383"/>
        <v>77.17402481961841</v>
      </c>
      <c r="U240" s="26" t="str">
        <f>IF(VLOOKUP($C240,COS!$B$8:$I$991,8,FALSE)=1,"UWFE","IBU")</f>
        <v>IBU</v>
      </c>
      <c r="V240" s="26">
        <f t="shared" ref="V240" si="385">MIN(IF(IF($AA$3=2,AND(E240=1,G240=1,L240=1,L244=1,M240=1,U240="IBU"),AND(E240=1,G240=1,L240=1,L244=1,M240=1)),T240,0),I240)</f>
        <v>77.17402481961841</v>
      </c>
      <c r="W240" s="26"/>
      <c r="X240" s="26"/>
      <c r="Y240" s="26"/>
      <c r="Z240" s="26"/>
      <c r="AA240" s="26"/>
      <c r="AB240" s="33"/>
    </row>
    <row r="241" spans="1:28" x14ac:dyDescent="0.3">
      <c r="A241" s="32">
        <f>VLOOKUP(YEAR(C241),Flags!$A$13:$B$95,2,FALSE)</f>
        <v>4</v>
      </c>
      <c r="B241" s="24">
        <f t="shared" si="328"/>
        <v>1947</v>
      </c>
      <c r="C241" s="25">
        <v>17348</v>
      </c>
      <c r="D241" s="26">
        <f>VLOOKUP($C241,COS!$B$8:$H$991,3,FALSE)</f>
        <v>10092.3349609375</v>
      </c>
      <c r="E241" s="24">
        <f>IF(D241&gt;=IF(MONTH($C241)=4,$C$3,IF(MONTH($C241)=5,$C$4,IF(MONTH($C241)=6,$C$5,IF(MONTH($C241)=7,$C$6,"ERROR")))),1,0)</f>
        <v>1</v>
      </c>
      <c r="F241" s="26">
        <f>VLOOKUP($C241,COS!$B$8:$H$991,7,FALSE)</f>
        <v>51.895301818847656</v>
      </c>
      <c r="G241" s="24">
        <f>IF(F241&lt;=IF(MONTH($C241)=4,$F$3,IF(MONTH($C241)=5,$F$4,IF(MONTH($C241)=6,$F$5,IF(MONTH($C241)=7,$F$6,"ERROR")))),1,0)</f>
        <v>1</v>
      </c>
      <c r="H241" s="26">
        <f>IF(J241=1,D241-$C$5,0)</f>
        <v>92.3349609375</v>
      </c>
      <c r="I241" s="26">
        <f t="shared" si="342"/>
        <v>5.4943117252066109</v>
      </c>
      <c r="J241" s="24">
        <f t="shared" si="377"/>
        <v>1</v>
      </c>
      <c r="K241" s="26">
        <f>VLOOKUP($C241,COS!$B$8:$H$991,2,FALSE)</f>
        <v>2880.829833984375</v>
      </c>
      <c r="L241" s="24">
        <f t="shared" si="333"/>
        <v>1</v>
      </c>
      <c r="M241" s="24">
        <f t="shared" si="334"/>
        <v>1</v>
      </c>
      <c r="N241" s="26">
        <f>VLOOKUP($C241,COS!$B$8:$H$991,5,FALSE)</f>
        <v>355.63311767578125</v>
      </c>
      <c r="O241" s="26">
        <f t="shared" si="380"/>
        <v>21.161640060046487</v>
      </c>
      <c r="P241" s="26">
        <f>VLOOKUP($C241,COS!$B$8:$H$991,6,FALSE)</f>
        <v>2534.749267578125</v>
      </c>
      <c r="Q241" s="26">
        <f t="shared" si="381"/>
        <v>150.82805559142562</v>
      </c>
      <c r="R241" s="26">
        <f>MIN(IF(MONTH($C241)=4,$S$3,IF(MONTH($C241)=5,$S$4,IF(MONTH($C241)=6,$S$5,IF(MONTH($C241)=7,$S$6,"ERROR")))),MAX(VLOOKUP($C241,COS!$B$8:$K$991,10,FALSE)-IF(MONTH($C241)=4,$Y$3,IF(MONTH($C241)=5,$Y$4,IF(MONTH($C241)=6,$Y$5,IF(MONTH($C241)=7,$Y$6,"ERROR")))),0),MAX(VLOOKUP($C241,COS!$B$8:$K$991,9,FALSE)-IF(MONTH($C241)=4,$V$3,IF(MONTH($C241)=5,$V$4,IF(MONTH($C241)=6,$V$5,IF(MONTH($C241)=7,$V$6,"ERROR"))))-VLOOKUP($C241,COS!$B$8:$K$991,6,FALSE)/2,0))</f>
        <v>0</v>
      </c>
      <c r="S241" s="26">
        <f t="shared" si="382"/>
        <v>0</v>
      </c>
      <c r="T241" s="26">
        <f t="shared" si="383"/>
        <v>85.994847825736059</v>
      </c>
      <c r="U241" s="26" t="str">
        <f>IF(VLOOKUP($C241,COS!$B$8:$I$991,8,FALSE)=1,"UWFE","IBU")</f>
        <v>IBU</v>
      </c>
      <c r="V241" s="26">
        <f t="shared" ref="V241" si="386">MIN(IF(IF($AA$3=2,AND(E241=1,G241=1,L241=1,L244=1,M241=1,U241="IBU"),AND(E241=1,G241=1,L241=1,L244=1,M241=1)),T241,0),I241)</f>
        <v>5.4943117252066109</v>
      </c>
      <c r="W241" s="26"/>
      <c r="X241" s="26"/>
      <c r="Y241" s="26"/>
      <c r="Z241" s="26"/>
      <c r="AA241" s="26"/>
      <c r="AB241" s="33"/>
    </row>
    <row r="242" spans="1:28" x14ac:dyDescent="0.3">
      <c r="A242" s="32">
        <f>VLOOKUP(YEAR(C242),Flags!$A$13:$B$95,2,FALSE)</f>
        <v>4</v>
      </c>
      <c r="B242" s="24">
        <f t="shared" si="328"/>
        <v>1947</v>
      </c>
      <c r="C242" s="25">
        <v>17379</v>
      </c>
      <c r="D242" s="26">
        <f>VLOOKUP($C242,COS!$B$8:$H$991,3,FALSE)</f>
        <v>13768.3623046875</v>
      </c>
      <c r="E242" s="24">
        <f>IF(D242&gt;=IF(MONTH($C242)=4,$C$3,IF(MONTH($C242)=5,$C$4,IF(MONTH($C242)=6,$C$5,IF(MONTH($C242)=7,$C$6,"ERROR")))),1,0)</f>
        <v>1</v>
      </c>
      <c r="F242" s="26">
        <f>VLOOKUP($C242,COS!$B$8:$H$991,7,FALSE)</f>
        <v>53.452518463134766</v>
      </c>
      <c r="G242" s="24">
        <f>IF(F242&lt;=IF(MONTH($C242)=4,$F$3,IF(MONTH($C242)=5,$F$4,IF(MONTH($C242)=6,$F$5,IF(MONTH($C242)=7,$F$6,"ERROR")))),1,0)</f>
        <v>1</v>
      </c>
      <c r="H242" s="26">
        <f>IF(J242=1,D242-$C$6,0)</f>
        <v>1768.3623046875</v>
      </c>
      <c r="I242" s="26">
        <f t="shared" si="342"/>
        <v>108.73235989152892</v>
      </c>
      <c r="J242" s="24">
        <f t="shared" si="377"/>
        <v>1</v>
      </c>
      <c r="K242" s="26">
        <f>VLOOKUP($C242,COS!$B$8:$H$991,2,FALSE)</f>
        <v>2415.119140625</v>
      </c>
      <c r="L242" s="24">
        <f t="shared" si="333"/>
        <v>1</v>
      </c>
      <c r="M242" s="24">
        <f t="shared" si="334"/>
        <v>1</v>
      </c>
      <c r="N242" s="26">
        <f>VLOOKUP($C242,COS!$B$8:$H$991,5,FALSE)</f>
        <v>438.732666015625</v>
      </c>
      <c r="O242" s="26">
        <f t="shared" si="380"/>
        <v>26.976620125258265</v>
      </c>
      <c r="P242" s="26">
        <f>VLOOKUP($C242,COS!$B$8:$H$991,6,FALSE)</f>
        <v>2538.07568359375</v>
      </c>
      <c r="Q242" s="26">
        <f t="shared" si="381"/>
        <v>156.06019079287191</v>
      </c>
      <c r="R242" s="26">
        <f>MIN(IF(MONTH($C242)=4,$S$3,IF(MONTH($C242)=5,$S$4,IF(MONTH($C242)=6,$S$5,IF(MONTH($C242)=7,$S$6,"ERROR")))),MAX(VLOOKUP($C242,COS!$B$8:$K$991,10,FALSE)-IF(MONTH($C242)=4,$Y$3,IF(MONTH($C242)=5,$Y$4,IF(MONTH($C242)=6,$Y$5,IF(MONTH($C242)=7,$Y$6,"ERROR")))),0),MAX(VLOOKUP($C242,COS!$B$8:$K$991,9,FALSE)-IF(MONTH($C242)=4,$V$3,IF(MONTH($C242)=5,$V$4,IF(MONTH($C242)=6,$V$5,IF(MONTH($C242)=7,$V$6,"ERROR"))))-VLOOKUP($C242,COS!$B$8:$K$991,6,FALSE)/2,0))</f>
        <v>0</v>
      </c>
      <c r="S242" s="26">
        <f t="shared" si="382"/>
        <v>0</v>
      </c>
      <c r="T242" s="26">
        <f t="shared" si="383"/>
        <v>91.518405459065093</v>
      </c>
      <c r="U242" s="26" t="str">
        <f>IF(VLOOKUP($C242,COS!$B$8:$I$991,8,FALSE)=1,"UWFE","IBU")</f>
        <v>IBU</v>
      </c>
      <c r="V242" s="26">
        <f t="shared" ref="V242" si="387">MIN(IF(IF($AA$3=2,AND(E242=1,G242=1,L242=1,L244=1,M242=1,U242="IBU"),AND(E242=1,G242=1,L242=1,L244=1,M242=1)),T242,0),I242)</f>
        <v>91.518405459065093</v>
      </c>
      <c r="W242" s="26"/>
      <c r="X242" s="26"/>
      <c r="Y242" s="26"/>
      <c r="Z242" s="26"/>
      <c r="AA242" s="26"/>
      <c r="AB242" s="33"/>
    </row>
    <row r="243" spans="1:28" x14ac:dyDescent="0.3">
      <c r="A243" s="32">
        <f>VLOOKUP(YEAR(C243),Flags!$A$13:$B$95,2,FALSE)</f>
        <v>4</v>
      </c>
      <c r="B243" s="24">
        <f t="shared" si="328"/>
        <v>1947</v>
      </c>
      <c r="C243" s="25">
        <v>17410</v>
      </c>
      <c r="D243" s="26"/>
      <c r="E243" s="24"/>
      <c r="F243" s="26"/>
      <c r="G243" s="24"/>
      <c r="H243" s="24"/>
      <c r="I243" s="26"/>
      <c r="J243" s="24"/>
      <c r="K243" s="26"/>
      <c r="L243" s="24"/>
      <c r="M243" s="24"/>
      <c r="N243" s="26"/>
      <c r="O243" s="26"/>
      <c r="P243" s="26"/>
      <c r="Q243" s="26"/>
      <c r="R243" s="26"/>
      <c r="S243" s="26"/>
      <c r="T243" s="26"/>
      <c r="U243" s="26"/>
      <c r="V243" s="26"/>
      <c r="W243" s="26">
        <f>MAX($C$7-VLOOKUP($C243,COS!$B$8:$H$991,3,FALSE),0)</f>
        <v>90847.5517578125</v>
      </c>
      <c r="X243" s="26">
        <f t="shared" si="347"/>
        <v>5585.9982237861568</v>
      </c>
      <c r="Y243" s="26">
        <f>VLOOKUP($C243,COS!$B$8:$H$991,4,FALSE)</f>
        <v>1509.713623046875</v>
      </c>
      <c r="Z243" s="26">
        <f t="shared" si="348"/>
        <v>92.828672359245871</v>
      </c>
      <c r="AA243" s="26">
        <f t="shared" ref="AA243:AA247" si="388">MIN(W243,Y243)</f>
        <v>1509.713623046875</v>
      </c>
      <c r="AB243" s="33">
        <f t="shared" ref="AB243" si="389">AA243*DAY($C243)*86400/43560/1000*IF(MONTH($C243)=8,$P$3,IF(MONTH($C243)=9,$P$4,IF(MONTH($C243)=10,$P$5,IF(MONTH($C243)=11,$P$6,IF(MONTH($C243)=12,$P$7,NA())))))</f>
        <v>92.828672359245871</v>
      </c>
    </row>
    <row r="244" spans="1:28" x14ac:dyDescent="0.3">
      <c r="A244" s="32">
        <f>VLOOKUP(YEAR(C244),Flags!$A$13:$B$95,2,FALSE)</f>
        <v>4</v>
      </c>
      <c r="B244" s="24">
        <f t="shared" si="328"/>
        <v>1947</v>
      </c>
      <c r="C244" s="25">
        <v>17440</v>
      </c>
      <c r="D244" s="26"/>
      <c r="E244" s="24"/>
      <c r="F244" s="26"/>
      <c r="G244" s="24"/>
      <c r="H244" s="24"/>
      <c r="I244" s="26"/>
      <c r="J244" s="24"/>
      <c r="K244" s="26">
        <f>VLOOKUP($C244,COS!$B$8:$H$991,2,FALSE)</f>
        <v>1968.9127197265625</v>
      </c>
      <c r="L244" s="24">
        <f t="shared" ref="L244" si="390">IF(AND(K244&gt;$I$7,K244&lt;$I$8),1,0)</f>
        <v>1</v>
      </c>
      <c r="M244" s="24"/>
      <c r="N244" s="26"/>
      <c r="O244" s="26"/>
      <c r="P244" s="26"/>
      <c r="Q244" s="26"/>
      <c r="R244" s="26"/>
      <c r="S244" s="26"/>
      <c r="T244" s="26"/>
      <c r="U244" s="26"/>
      <c r="V244" s="26"/>
      <c r="W244" s="26">
        <f>MAX($C$8-VLOOKUP($C244,COS!$B$8:$H$991,3,FALSE),0)</f>
        <v>94272.12744140625</v>
      </c>
      <c r="X244" s="26">
        <f t="shared" si="347"/>
        <v>5609.5811370092979</v>
      </c>
      <c r="Y244" s="26">
        <f>VLOOKUP($C244,COS!$B$8:$H$991,4,FALSE)</f>
        <v>1350.30224609375</v>
      </c>
      <c r="Z244" s="26">
        <f t="shared" si="348"/>
        <v>80.348563403925624</v>
      </c>
      <c r="AA244" s="26">
        <f t="shared" si="388"/>
        <v>1350.30224609375</v>
      </c>
      <c r="AB244" s="33">
        <f t="shared" si="345"/>
        <v>80.348563403925624</v>
      </c>
    </row>
    <row r="245" spans="1:28" x14ac:dyDescent="0.3">
      <c r="A245" s="32">
        <f>VLOOKUP(YEAR(C245),Flags!$A$13:$B$95,2,FALSE)</f>
        <v>4</v>
      </c>
      <c r="B245" s="24">
        <f t="shared" si="328"/>
        <v>1947</v>
      </c>
      <c r="C245" s="25">
        <v>17471</v>
      </c>
      <c r="D245" s="26"/>
      <c r="E245" s="24"/>
      <c r="F245" s="26"/>
      <c r="G245" s="26"/>
      <c r="H245" s="26"/>
      <c r="I245" s="26"/>
      <c r="J245" s="26"/>
      <c r="K245" s="26"/>
      <c r="L245" s="24"/>
      <c r="M245" s="24"/>
      <c r="N245" s="26"/>
      <c r="O245" s="26"/>
      <c r="P245" s="26"/>
      <c r="Q245" s="26"/>
      <c r="R245" s="26"/>
      <c r="S245" s="26"/>
      <c r="T245" s="26"/>
      <c r="U245" s="26"/>
      <c r="V245" s="26"/>
      <c r="W245" s="26">
        <f>MAX($C$9-VLOOKUP($C245,COS!$B$8:$H$991,3,FALSE),0)</f>
        <v>96632.93359375</v>
      </c>
      <c r="X245" s="26">
        <f t="shared" si="347"/>
        <v>5941.7274870867768</v>
      </c>
      <c r="Y245" s="26">
        <f>VLOOKUP($C245,COS!$B$8:$H$991,4,FALSE)</f>
        <v>1046.6112060546875</v>
      </c>
      <c r="Z245" s="26">
        <f t="shared" si="348"/>
        <v>64.353614653279962</v>
      </c>
      <c r="AA245" s="26">
        <f t="shared" si="388"/>
        <v>1046.6112060546875</v>
      </c>
      <c r="AB245" s="33">
        <f t="shared" si="345"/>
        <v>64.353614653279962</v>
      </c>
    </row>
    <row r="246" spans="1:28" x14ac:dyDescent="0.3">
      <c r="A246" s="32">
        <f>VLOOKUP(YEAR(C246),Flags!$A$13:$B$95,2,FALSE)</f>
        <v>4</v>
      </c>
      <c r="B246" s="24">
        <f t="shared" si="328"/>
        <v>1947</v>
      </c>
      <c r="C246" s="25">
        <v>17501</v>
      </c>
      <c r="D246" s="26"/>
      <c r="E246" s="24"/>
      <c r="F246" s="26"/>
      <c r="G246" s="26"/>
      <c r="H246" s="26"/>
      <c r="I246" s="26"/>
      <c r="J246" s="26"/>
      <c r="K246" s="26"/>
      <c r="L246" s="24"/>
      <c r="M246" s="24"/>
      <c r="N246" s="26"/>
      <c r="O246" s="26"/>
      <c r="P246" s="26"/>
      <c r="Q246" s="26"/>
      <c r="R246" s="26"/>
      <c r="S246" s="26"/>
      <c r="T246" s="26"/>
      <c r="U246" s="26"/>
      <c r="V246" s="26"/>
      <c r="W246" s="26">
        <f>MAX($C$10-VLOOKUP($C246,COS!$B$8:$H$991,3,FALSE),0)</f>
        <v>96749</v>
      </c>
      <c r="X246" s="26">
        <f t="shared" si="347"/>
        <v>5756.965289256198</v>
      </c>
      <c r="Y246" s="26">
        <f>VLOOKUP($C246,COS!$B$8:$H$991,4,FALSE)</f>
        <v>1013.9700927734375</v>
      </c>
      <c r="Z246" s="26">
        <f t="shared" si="348"/>
        <v>60.335410479080579</v>
      </c>
      <c r="AA246" s="26">
        <f t="shared" si="388"/>
        <v>1013.9700927734375</v>
      </c>
      <c r="AB246" s="33">
        <f t="shared" si="345"/>
        <v>30.16770523954029</v>
      </c>
    </row>
    <row r="247" spans="1:28" x14ac:dyDescent="0.3">
      <c r="A247" s="34">
        <f>VLOOKUP(YEAR(C247),Flags!$A$13:$B$95,2,FALSE)</f>
        <v>4</v>
      </c>
      <c r="B247" s="35">
        <f t="shared" si="328"/>
        <v>1947</v>
      </c>
      <c r="C247" s="36">
        <v>17532</v>
      </c>
      <c r="D247" s="37"/>
      <c r="E247" s="35"/>
      <c r="F247" s="37"/>
      <c r="G247" s="37"/>
      <c r="H247" s="37"/>
      <c r="I247" s="37"/>
      <c r="J247" s="37"/>
      <c r="K247" s="37"/>
      <c r="L247" s="35"/>
      <c r="M247" s="35"/>
      <c r="N247" s="37"/>
      <c r="O247" s="37"/>
      <c r="P247" s="37"/>
      <c r="Q247" s="37"/>
      <c r="R247" s="37"/>
      <c r="S247" s="37"/>
      <c r="T247" s="37"/>
      <c r="U247" s="37"/>
      <c r="V247" s="37"/>
      <c r="W247" s="37">
        <f>MAX($C$11-VLOOKUP($C247,COS!$B$8:$H$991,3,FALSE),0)</f>
        <v>0</v>
      </c>
      <c r="X247" s="37">
        <f t="shared" si="347"/>
        <v>0</v>
      </c>
      <c r="Y247" s="37">
        <f>VLOOKUP($C247,COS!$B$8:$H$991,4,FALSE)</f>
        <v>1615.037353515625</v>
      </c>
      <c r="Z247" s="37">
        <f t="shared" si="348"/>
        <v>99.304776116993807</v>
      </c>
      <c r="AA247" s="37">
        <f t="shared" si="388"/>
        <v>0</v>
      </c>
      <c r="AB247" s="38">
        <f t="shared" si="345"/>
        <v>0</v>
      </c>
    </row>
    <row r="248" spans="1:28" x14ac:dyDescent="0.3">
      <c r="A248" s="27">
        <f>VLOOKUP(YEAR(C248),Flags!$A$13:$B$95,2,FALSE)</f>
        <v>3</v>
      </c>
      <c r="B248" s="28">
        <f t="shared" si="328"/>
        <v>1948</v>
      </c>
      <c r="C248" s="29">
        <v>17653</v>
      </c>
      <c r="D248" s="30">
        <f>VLOOKUP($C248,COS!$B$8:$H$991,3,FALSE)</f>
        <v>3250</v>
      </c>
      <c r="E248" s="28">
        <f>IF(D248&gt;=IF(MONTH($C248)=4,$C$3,IF(MONTH($C248)=5,$C$4,IF(MONTH($C248)=6,$C$5,IF(MONTH($C248)=7,$C$6,"ERROR")))),1,0)</f>
        <v>0</v>
      </c>
      <c r="F248" s="30">
        <f>VLOOKUP($C248,COS!$B$8:$H$991,7,FALSE)</f>
        <v>49.87957763671875</v>
      </c>
      <c r="G248" s="28">
        <f>IF(F248&lt;=IF(MONTH($C248)=4,$F$3,IF(MONTH($C248)=5,$F$4,IF(MONTH($C248)=6,$F$5,IF(MONTH($C248)=7,$F$6,"ERROR")))),1,0)</f>
        <v>1</v>
      </c>
      <c r="H248" s="30">
        <f>IF(J248=1,D248-$C$3,0)</f>
        <v>0</v>
      </c>
      <c r="I248" s="30">
        <f t="shared" si="342"/>
        <v>0</v>
      </c>
      <c r="J248" s="28">
        <f t="shared" ref="J248:J251" si="391">IF(AND(E248=1,G248=1),1,0)</f>
        <v>0</v>
      </c>
      <c r="K248" s="30">
        <f>VLOOKUP($C248,COS!$B$8:$H$991,2,FALSE)</f>
        <v>4304.84423828125</v>
      </c>
      <c r="L248" s="28">
        <f t="shared" ref="L248" si="392">IF(K248&lt;=IF(MONTH($C248)=4,$I$3,IF(MONTH($C248)=5,$I$4,IF(MONTH($C248)=6,$I$5,IF(MONTH($C248)=7,$I$6,"ERROR")))),1,0)</f>
        <v>1</v>
      </c>
      <c r="M248" s="28">
        <f t="shared" ref="M248" si="393">VLOOKUP($A248,$L$3:$M$7,2,FALSE)</f>
        <v>0</v>
      </c>
      <c r="N248" s="30">
        <f>VLOOKUP($C248,COS!$B$8:$H$991,5,FALSE)</f>
        <v>46.918926239013672</v>
      </c>
      <c r="O248" s="30">
        <f t="shared" ref="O248:O251" si="394">N248*DAY($C248)*86400/43560/1000</f>
        <v>2.7918699910818052</v>
      </c>
      <c r="P248" s="30">
        <f>VLOOKUP($C248,COS!$B$8:$H$991,6,FALSE)</f>
        <v>211.80764770507813</v>
      </c>
      <c r="Q248" s="30">
        <f t="shared" ref="Q248:Q251" si="395">P248*DAY($C248)*86400/43560/1000</f>
        <v>12.603430276665806</v>
      </c>
      <c r="R248" s="30">
        <f>MIN(IF(MONTH($C248)=4,$S$3,IF(MONTH($C248)=5,$S$4,IF(MONTH($C248)=6,$S$5,IF(MONTH($C248)=7,$S$6,"ERROR")))),MAX(VLOOKUP($C248,COS!$B$8:$K$991,10,FALSE)-IF(MONTH($C248)=4,$Y$3,IF(MONTH($C248)=5,$Y$4,IF(MONTH($C248)=6,$Y$5,IF(MONTH($C248)=7,$Y$6,"ERROR")))),0),MAX(VLOOKUP($C248,COS!$B$8:$K$991,9,FALSE)-IF(MONTH($C248)=4,$V$3,IF(MONTH($C248)=5,$V$4,IF(MONTH($C248)=6,$V$5,IF(MONTH($C248)=7,$V$6,"ERROR"))))-VLOOKUP($C248,COS!$B$8:$K$991,6,FALSE)/2,0))</f>
        <v>0</v>
      </c>
      <c r="S248" s="30">
        <f t="shared" ref="S248:S251" si="396">R248*DAY($C248)*86400/43560/1000</f>
        <v>0</v>
      </c>
      <c r="T248" s="30">
        <f t="shared" ref="T248:T251" si="397">(O248+Q248)/2+S248</f>
        <v>7.6976501338738057</v>
      </c>
      <c r="U248" s="30" t="str">
        <f>IF(VLOOKUP($C248,COS!$B$8:$I$991,8,FALSE)=1,"UWFE","IBU")</f>
        <v>UWFE</v>
      </c>
      <c r="V248" s="30">
        <f t="shared" ref="V248" si="398">MIN(IF(IF($AA$3=2,AND(E248=1,G248=1,L248=1,L253=1,M248=1,U248="IBU"),AND(E248=1,G248=1,L248=1,L253=1,M248=1)),T248,0),I248)</f>
        <v>0</v>
      </c>
      <c r="W248" s="30"/>
      <c r="X248" s="30"/>
      <c r="Y248" s="30"/>
      <c r="Z248" s="30"/>
      <c r="AA248" s="30"/>
      <c r="AB248" s="31"/>
    </row>
    <row r="249" spans="1:28" x14ac:dyDescent="0.3">
      <c r="A249" s="32">
        <f>VLOOKUP(YEAR(C249),Flags!$A$13:$B$95,2,FALSE)</f>
        <v>3</v>
      </c>
      <c r="B249" s="24">
        <f t="shared" si="328"/>
        <v>1948</v>
      </c>
      <c r="C249" s="25">
        <v>17684</v>
      </c>
      <c r="D249" s="26">
        <f>VLOOKUP($C249,COS!$B$8:$H$991,3,FALSE)</f>
        <v>9188.48046875</v>
      </c>
      <c r="E249" s="24">
        <f>IF(D249&gt;=IF(MONTH($C249)=4,$C$3,IF(MONTH($C249)=5,$C$4,IF(MONTH($C249)=6,$C$5,IF(MONTH($C249)=7,$C$6,"ERROR")))),1,0)</f>
        <v>1</v>
      </c>
      <c r="F249" s="26">
        <f>VLOOKUP($C249,COS!$B$8:$H$991,7,FALSE)</f>
        <v>49.27020263671875</v>
      </c>
      <c r="G249" s="24">
        <f>IF(F249&lt;=IF(MONTH($C249)=4,$F$3,IF(MONTH($C249)=5,$F$4,IF(MONTH($C249)=6,$F$5,IF(MONTH($C249)=7,$F$6,"ERROR")))),1,0)</f>
        <v>1</v>
      </c>
      <c r="H249" s="26">
        <f>IF(J249=1,D249-$C$4,0)</f>
        <v>3188.48046875</v>
      </c>
      <c r="I249" s="26">
        <f t="shared" si="342"/>
        <v>196.05202221074381</v>
      </c>
      <c r="J249" s="24">
        <f t="shared" si="391"/>
        <v>1</v>
      </c>
      <c r="K249" s="26">
        <f>VLOOKUP($C249,COS!$B$8:$H$991,2,FALSE)</f>
        <v>4552</v>
      </c>
      <c r="L249" s="24">
        <f t="shared" si="333"/>
        <v>1</v>
      </c>
      <c r="M249" s="24">
        <f t="shared" si="334"/>
        <v>0</v>
      </c>
      <c r="N249" s="26">
        <f>VLOOKUP($C249,COS!$B$8:$H$991,5,FALSE)</f>
        <v>414.791748046875</v>
      </c>
      <c r="O249" s="26">
        <f t="shared" si="394"/>
        <v>25.50455045841942</v>
      </c>
      <c r="P249" s="26">
        <f>VLOOKUP($C249,COS!$B$8:$H$991,6,FALSE)</f>
        <v>1547.1707763671875</v>
      </c>
      <c r="Q249" s="26">
        <f t="shared" si="395"/>
        <v>95.131822943569219</v>
      </c>
      <c r="R249" s="26">
        <f>MIN(IF(MONTH($C249)=4,$S$3,IF(MONTH($C249)=5,$S$4,IF(MONTH($C249)=6,$S$5,IF(MONTH($C249)=7,$S$6,"ERROR")))),MAX(VLOOKUP($C249,COS!$B$8:$K$991,10,FALSE)-IF(MONTH($C249)=4,$Y$3,IF(MONTH($C249)=5,$Y$4,IF(MONTH($C249)=6,$Y$5,IF(MONTH($C249)=7,$Y$6,"ERROR")))),0),MAX(VLOOKUP($C249,COS!$B$8:$K$991,9,FALSE)-IF(MONTH($C249)=4,$V$3,IF(MONTH($C249)=5,$V$4,IF(MONTH($C249)=6,$V$5,IF(MONTH($C249)=7,$V$6,"ERROR"))))-VLOOKUP($C249,COS!$B$8:$K$991,6,FALSE)/2,0))</f>
        <v>0</v>
      </c>
      <c r="S249" s="26">
        <f t="shared" si="396"/>
        <v>0</v>
      </c>
      <c r="T249" s="26">
        <f t="shared" si="397"/>
        <v>60.318186700994318</v>
      </c>
      <c r="U249" s="26" t="str">
        <f>IF(VLOOKUP($C249,COS!$B$8:$I$991,8,FALSE)=1,"UWFE","IBU")</f>
        <v>UWFE</v>
      </c>
      <c r="V249" s="26">
        <f t="shared" ref="V249" si="399">MIN(IF(IF($AA$3=2,AND(E249=1,G249=1,L249=1,L253=1,M249=1,U249="IBU"),AND(E249=1,G249=1,L249=1,L253=1,M249=1)),T249,0),I249)</f>
        <v>0</v>
      </c>
      <c r="W249" s="26"/>
      <c r="X249" s="26"/>
      <c r="Y249" s="26"/>
      <c r="Z249" s="26"/>
      <c r="AA249" s="26"/>
      <c r="AB249" s="33"/>
    </row>
    <row r="250" spans="1:28" x14ac:dyDescent="0.3">
      <c r="A250" s="32">
        <f>VLOOKUP(YEAR(C250),Flags!$A$13:$B$95,2,FALSE)</f>
        <v>3</v>
      </c>
      <c r="B250" s="24">
        <f t="shared" si="328"/>
        <v>1948</v>
      </c>
      <c r="C250" s="25">
        <v>17714</v>
      </c>
      <c r="D250" s="26">
        <f>VLOOKUP($C250,COS!$B$8:$H$991,3,FALSE)</f>
        <v>8322.865234375</v>
      </c>
      <c r="E250" s="24">
        <f>IF(D250&gt;=IF(MONTH($C250)=4,$C$3,IF(MONTH($C250)=5,$C$4,IF(MONTH($C250)=6,$C$5,IF(MONTH($C250)=7,$C$6,"ERROR")))),1,0)</f>
        <v>0</v>
      </c>
      <c r="F250" s="26">
        <f>VLOOKUP($C250,COS!$B$8:$H$991,7,FALSE)</f>
        <v>51.372959136962891</v>
      </c>
      <c r="G250" s="24">
        <f>IF(F250&lt;=IF(MONTH($C250)=4,$F$3,IF(MONTH($C250)=5,$F$4,IF(MONTH($C250)=6,$F$5,IF(MONTH($C250)=7,$F$6,"ERROR")))),1,0)</f>
        <v>1</v>
      </c>
      <c r="H250" s="26">
        <f>IF(J250=1,D250-$C$5,0)</f>
        <v>0</v>
      </c>
      <c r="I250" s="26">
        <f t="shared" si="342"/>
        <v>0</v>
      </c>
      <c r="J250" s="24">
        <f t="shared" si="391"/>
        <v>0</v>
      </c>
      <c r="K250" s="26">
        <f>VLOOKUP($C250,COS!$B$8:$H$991,2,FALSE)</f>
        <v>4500</v>
      </c>
      <c r="L250" s="24">
        <f t="shared" si="333"/>
        <v>1</v>
      </c>
      <c r="M250" s="24">
        <f t="shared" si="334"/>
        <v>0</v>
      </c>
      <c r="N250" s="26">
        <f>VLOOKUP($C250,COS!$B$8:$H$991,5,FALSE)</f>
        <v>739.47967529296875</v>
      </c>
      <c r="O250" s="26">
        <f t="shared" si="394"/>
        <v>44.002096381069215</v>
      </c>
      <c r="P250" s="26">
        <f>VLOOKUP($C250,COS!$B$8:$H$991,6,FALSE)</f>
        <v>2358.41552734375</v>
      </c>
      <c r="Q250" s="26">
        <f t="shared" si="395"/>
        <v>140.33546939566114</v>
      </c>
      <c r="R250" s="26">
        <f>MIN(IF(MONTH($C250)=4,$S$3,IF(MONTH($C250)=5,$S$4,IF(MONTH($C250)=6,$S$5,IF(MONTH($C250)=7,$S$6,"ERROR")))),MAX(VLOOKUP($C250,COS!$B$8:$K$991,10,FALSE)-IF(MONTH($C250)=4,$Y$3,IF(MONTH($C250)=5,$Y$4,IF(MONTH($C250)=6,$Y$5,IF(MONTH($C250)=7,$Y$6,"ERROR")))),0),MAX(VLOOKUP($C250,COS!$B$8:$K$991,9,FALSE)-IF(MONTH($C250)=4,$V$3,IF(MONTH($C250)=5,$V$4,IF(MONTH($C250)=6,$V$5,IF(MONTH($C250)=7,$V$6,"ERROR"))))-VLOOKUP($C250,COS!$B$8:$K$991,6,FALSE)/2,0))</f>
        <v>0</v>
      </c>
      <c r="S250" s="26">
        <f t="shared" si="396"/>
        <v>0</v>
      </c>
      <c r="T250" s="26">
        <f t="shared" si="397"/>
        <v>92.168782888365172</v>
      </c>
      <c r="U250" s="26" t="str">
        <f>IF(VLOOKUP($C250,COS!$B$8:$I$991,8,FALSE)=1,"UWFE","IBU")</f>
        <v>UWFE</v>
      </c>
      <c r="V250" s="26">
        <f t="shared" ref="V250" si="400">MIN(IF(IF($AA$3=2,AND(E250=1,G250=1,L250=1,L253=1,M250=1,U250="IBU"),AND(E250=1,G250=1,L250=1,L253=1,M250=1)),T250,0),I250)</f>
        <v>0</v>
      </c>
      <c r="W250" s="26"/>
      <c r="X250" s="26"/>
      <c r="Y250" s="26"/>
      <c r="Z250" s="26"/>
      <c r="AA250" s="26"/>
      <c r="AB250" s="33"/>
    </row>
    <row r="251" spans="1:28" x14ac:dyDescent="0.3">
      <c r="A251" s="32">
        <f>VLOOKUP(YEAR(C251),Flags!$A$13:$B$95,2,FALSE)</f>
        <v>3</v>
      </c>
      <c r="B251" s="24">
        <f t="shared" si="328"/>
        <v>1948</v>
      </c>
      <c r="C251" s="25">
        <v>17745</v>
      </c>
      <c r="D251" s="26">
        <f>VLOOKUP($C251,COS!$B$8:$H$991,3,FALSE)</f>
        <v>12203.6953125</v>
      </c>
      <c r="E251" s="24">
        <f>IF(D251&gt;=IF(MONTH($C251)=4,$C$3,IF(MONTH($C251)=5,$C$4,IF(MONTH($C251)=6,$C$5,IF(MONTH($C251)=7,$C$6,"ERROR")))),1,0)</f>
        <v>1</v>
      </c>
      <c r="F251" s="26">
        <f>VLOOKUP($C251,COS!$B$8:$H$991,7,FALSE)</f>
        <v>51.679328918457031</v>
      </c>
      <c r="G251" s="24">
        <f>IF(F251&lt;=IF(MONTH($C251)=4,$F$3,IF(MONTH($C251)=5,$F$4,IF(MONTH($C251)=6,$F$5,IF(MONTH($C251)=7,$F$6,"ERROR")))),1,0)</f>
        <v>1</v>
      </c>
      <c r="H251" s="26">
        <f>IF(J251=1,D251-$C$6,0)</f>
        <v>203.6953125</v>
      </c>
      <c r="I251" s="26">
        <f t="shared" si="342"/>
        <v>12.524736570247935</v>
      </c>
      <c r="J251" s="24">
        <f t="shared" si="391"/>
        <v>1</v>
      </c>
      <c r="K251" s="26">
        <f>VLOOKUP($C251,COS!$B$8:$H$991,2,FALSE)</f>
        <v>3932.43017578125</v>
      </c>
      <c r="L251" s="24">
        <f t="shared" si="333"/>
        <v>1</v>
      </c>
      <c r="M251" s="24">
        <f t="shared" si="334"/>
        <v>0</v>
      </c>
      <c r="N251" s="26">
        <f>VLOOKUP($C251,COS!$B$8:$H$991,5,FALSE)</f>
        <v>1057.1549072265625</v>
      </c>
      <c r="O251" s="26">
        <f t="shared" si="394"/>
        <v>65.001921568310948</v>
      </c>
      <c r="P251" s="26">
        <f>VLOOKUP($C251,COS!$B$8:$H$991,6,FALSE)</f>
        <v>2632.5888671875</v>
      </c>
      <c r="Q251" s="26">
        <f t="shared" si="395"/>
        <v>161.87157993285126</v>
      </c>
      <c r="R251" s="26">
        <f>MIN(IF(MONTH($C251)=4,$S$3,IF(MONTH($C251)=5,$S$4,IF(MONTH($C251)=6,$S$5,IF(MONTH($C251)=7,$S$6,"ERROR")))),MAX(VLOOKUP($C251,COS!$B$8:$K$991,10,FALSE)-IF(MONTH($C251)=4,$Y$3,IF(MONTH($C251)=5,$Y$4,IF(MONTH($C251)=6,$Y$5,IF(MONTH($C251)=7,$Y$6,"ERROR")))),0),MAX(VLOOKUP($C251,COS!$B$8:$K$991,9,FALSE)-IF(MONTH($C251)=4,$V$3,IF(MONTH($C251)=5,$V$4,IF(MONTH($C251)=6,$V$5,IF(MONTH($C251)=7,$V$6,"ERROR"))))-VLOOKUP($C251,COS!$B$8:$K$991,6,FALSE)/2,0))</f>
        <v>0</v>
      </c>
      <c r="S251" s="26">
        <f t="shared" si="396"/>
        <v>0</v>
      </c>
      <c r="T251" s="26">
        <f t="shared" si="397"/>
        <v>113.4367507505811</v>
      </c>
      <c r="U251" s="26" t="str">
        <f>IF(VLOOKUP($C251,COS!$B$8:$I$991,8,FALSE)=1,"UWFE","IBU")</f>
        <v>IBU</v>
      </c>
      <c r="V251" s="26">
        <f t="shared" ref="V251" si="401">MIN(IF(IF($AA$3=2,AND(E251=1,G251=1,L251=1,L253=1,M251=1,U251="IBU"),AND(E251=1,G251=1,L251=1,L253=1,M251=1)),T251,0),I251)</f>
        <v>0</v>
      </c>
      <c r="W251" s="26"/>
      <c r="X251" s="26"/>
      <c r="Y251" s="26"/>
      <c r="Z251" s="26"/>
      <c r="AA251" s="26"/>
      <c r="AB251" s="33"/>
    </row>
    <row r="252" spans="1:28" x14ac:dyDescent="0.3">
      <c r="A252" s="32">
        <f>VLOOKUP(YEAR(C252),Flags!$A$13:$B$95,2,FALSE)</f>
        <v>3</v>
      </c>
      <c r="B252" s="24">
        <f t="shared" si="328"/>
        <v>1948</v>
      </c>
      <c r="C252" s="25">
        <v>17776</v>
      </c>
      <c r="D252" s="26"/>
      <c r="E252" s="24"/>
      <c r="F252" s="26"/>
      <c r="G252" s="24"/>
      <c r="H252" s="24"/>
      <c r="I252" s="26"/>
      <c r="J252" s="24"/>
      <c r="K252" s="26"/>
      <c r="L252" s="24"/>
      <c r="M252" s="24"/>
      <c r="N252" s="26"/>
      <c r="O252" s="26"/>
      <c r="P252" s="26"/>
      <c r="Q252" s="26"/>
      <c r="R252" s="26"/>
      <c r="S252" s="26"/>
      <c r="T252" s="26"/>
      <c r="U252" s="26"/>
      <c r="V252" s="26"/>
      <c r="W252" s="26">
        <f>MAX($C$7-VLOOKUP($C252,COS!$B$8:$H$991,3,FALSE),0)</f>
        <v>90274.7529296875</v>
      </c>
      <c r="X252" s="26">
        <f t="shared" si="347"/>
        <v>5550.7781966683888</v>
      </c>
      <c r="Y252" s="26">
        <f>VLOOKUP($C252,COS!$B$8:$H$991,4,FALSE)</f>
        <v>181.02853393554688</v>
      </c>
      <c r="Z252" s="26">
        <f t="shared" si="348"/>
        <v>11.131010681656766</v>
      </c>
      <c r="AA252" s="26">
        <f t="shared" ref="AA252:AA256" si="402">MIN(W252,Y252)</f>
        <v>181.02853393554688</v>
      </c>
      <c r="AB252" s="33">
        <f t="shared" ref="AB252" si="403">AA252*DAY($C252)*86400/43560/1000*IF(MONTH($C252)=8,$P$3,IF(MONTH($C252)=9,$P$4,IF(MONTH($C252)=10,$P$5,IF(MONTH($C252)=11,$P$6,IF(MONTH($C252)=12,$P$7,NA())))))</f>
        <v>11.131010681656766</v>
      </c>
    </row>
    <row r="253" spans="1:28" x14ac:dyDescent="0.3">
      <c r="A253" s="32">
        <f>VLOOKUP(YEAR(C253),Flags!$A$13:$B$95,2,FALSE)</f>
        <v>3</v>
      </c>
      <c r="B253" s="24">
        <f t="shared" si="328"/>
        <v>1948</v>
      </c>
      <c r="C253" s="25">
        <v>17806</v>
      </c>
      <c r="D253" s="26"/>
      <c r="E253" s="24"/>
      <c r="F253" s="26"/>
      <c r="G253" s="24"/>
      <c r="H253" s="24"/>
      <c r="I253" s="26"/>
      <c r="J253" s="24"/>
      <c r="K253" s="26">
        <f>VLOOKUP($C253,COS!$B$8:$H$991,2,FALSE)</f>
        <v>3400</v>
      </c>
      <c r="L253" s="24">
        <f t="shared" ref="L253" si="404">IF(AND(K253&gt;$I$7,K253&lt;$I$8),1,0)</f>
        <v>1</v>
      </c>
      <c r="M253" s="24"/>
      <c r="N253" s="26"/>
      <c r="O253" s="26"/>
      <c r="P253" s="26"/>
      <c r="Q253" s="26"/>
      <c r="R253" s="26"/>
      <c r="S253" s="26"/>
      <c r="T253" s="26"/>
      <c r="U253" s="26"/>
      <c r="V253" s="26"/>
      <c r="W253" s="26">
        <f>MAX($C$8-VLOOKUP($C253,COS!$B$8:$H$991,3,FALSE),0)</f>
        <v>94375.82568359375</v>
      </c>
      <c r="X253" s="26">
        <f t="shared" si="347"/>
        <v>5615.7516109245862</v>
      </c>
      <c r="Y253" s="26">
        <f>VLOOKUP($C253,COS!$B$8:$H$991,4,FALSE)</f>
        <v>0</v>
      </c>
      <c r="Z253" s="26">
        <f t="shared" si="348"/>
        <v>0</v>
      </c>
      <c r="AA253" s="26">
        <f t="shared" si="402"/>
        <v>0</v>
      </c>
      <c r="AB253" s="33">
        <f t="shared" si="345"/>
        <v>0</v>
      </c>
    </row>
    <row r="254" spans="1:28" x14ac:dyDescent="0.3">
      <c r="A254" s="32">
        <f>VLOOKUP(YEAR(C254),Flags!$A$13:$B$95,2,FALSE)</f>
        <v>3</v>
      </c>
      <c r="B254" s="24">
        <f t="shared" si="328"/>
        <v>1948</v>
      </c>
      <c r="C254" s="25">
        <v>17837</v>
      </c>
      <c r="D254" s="26"/>
      <c r="E254" s="24"/>
      <c r="F254" s="26"/>
      <c r="G254" s="26"/>
      <c r="H254" s="26"/>
      <c r="I254" s="26"/>
      <c r="J254" s="26"/>
      <c r="K254" s="26"/>
      <c r="L254" s="24"/>
      <c r="M254" s="24"/>
      <c r="N254" s="26"/>
      <c r="O254" s="26"/>
      <c r="P254" s="26"/>
      <c r="Q254" s="26"/>
      <c r="R254" s="26"/>
      <c r="S254" s="26"/>
      <c r="T254" s="26"/>
      <c r="U254" s="26"/>
      <c r="V254" s="26"/>
      <c r="W254" s="26">
        <f>MAX($C$9-VLOOKUP($C254,COS!$B$8:$H$991,3,FALSE),0)</f>
        <v>93532.60888671875</v>
      </c>
      <c r="X254" s="26">
        <f t="shared" si="347"/>
        <v>5751.0959513817152</v>
      </c>
      <c r="Y254" s="26">
        <f>VLOOKUP($C254,COS!$B$8:$H$991,4,FALSE)</f>
        <v>756.62615966796875</v>
      </c>
      <c r="Z254" s="26">
        <f t="shared" si="348"/>
        <v>46.523129156443694</v>
      </c>
      <c r="AA254" s="26">
        <f t="shared" si="402"/>
        <v>756.62615966796875</v>
      </c>
      <c r="AB254" s="33">
        <f t="shared" si="345"/>
        <v>46.523129156443694</v>
      </c>
    </row>
    <row r="255" spans="1:28" x14ac:dyDescent="0.3">
      <c r="A255" s="32">
        <f>VLOOKUP(YEAR(C255),Flags!$A$13:$B$95,2,FALSE)</f>
        <v>3</v>
      </c>
      <c r="B255" s="24">
        <f t="shared" si="328"/>
        <v>1948</v>
      </c>
      <c r="C255" s="25">
        <v>17867</v>
      </c>
      <c r="D255" s="26"/>
      <c r="E255" s="24"/>
      <c r="F255" s="26"/>
      <c r="G255" s="26"/>
      <c r="H255" s="26"/>
      <c r="I255" s="26"/>
      <c r="J255" s="26"/>
      <c r="K255" s="26"/>
      <c r="L255" s="24"/>
      <c r="M255" s="24"/>
      <c r="N255" s="26"/>
      <c r="O255" s="26"/>
      <c r="P255" s="26"/>
      <c r="Q255" s="26"/>
      <c r="R255" s="26"/>
      <c r="S255" s="26"/>
      <c r="T255" s="26"/>
      <c r="U255" s="26"/>
      <c r="V255" s="26"/>
      <c r="W255" s="26">
        <f>MAX($C$10-VLOOKUP($C255,COS!$B$8:$H$991,3,FALSE),0)</f>
        <v>95683.03125</v>
      </c>
      <c r="X255" s="26">
        <f t="shared" si="347"/>
        <v>5693.5357438016526</v>
      </c>
      <c r="Y255" s="26">
        <f>VLOOKUP($C255,COS!$B$8:$H$991,4,FALSE)</f>
        <v>1042.5562744140625</v>
      </c>
      <c r="Z255" s="26">
        <f t="shared" si="348"/>
        <v>62.036406411415285</v>
      </c>
      <c r="AA255" s="26">
        <f t="shared" si="402"/>
        <v>1042.5562744140625</v>
      </c>
      <c r="AB255" s="33">
        <f t="shared" si="345"/>
        <v>31.018203205707643</v>
      </c>
    </row>
    <row r="256" spans="1:28" x14ac:dyDescent="0.3">
      <c r="A256" s="34">
        <f>VLOOKUP(YEAR(C256),Flags!$A$13:$B$95,2,FALSE)</f>
        <v>3</v>
      </c>
      <c r="B256" s="35">
        <f t="shared" si="328"/>
        <v>1948</v>
      </c>
      <c r="C256" s="36">
        <v>17898</v>
      </c>
      <c r="D256" s="37"/>
      <c r="E256" s="35"/>
      <c r="F256" s="37"/>
      <c r="G256" s="37"/>
      <c r="H256" s="37"/>
      <c r="I256" s="37"/>
      <c r="J256" s="37"/>
      <c r="K256" s="37"/>
      <c r="L256" s="35"/>
      <c r="M256" s="35"/>
      <c r="N256" s="37"/>
      <c r="O256" s="37"/>
      <c r="P256" s="37"/>
      <c r="Q256" s="37"/>
      <c r="R256" s="37"/>
      <c r="S256" s="37"/>
      <c r="T256" s="37"/>
      <c r="U256" s="37"/>
      <c r="V256" s="37"/>
      <c r="W256" s="37">
        <f>MAX($C$11-VLOOKUP($C256,COS!$B$8:$H$991,3,FALSE),0)</f>
        <v>0</v>
      </c>
      <c r="X256" s="37">
        <f t="shared" si="347"/>
        <v>0</v>
      </c>
      <c r="Y256" s="37">
        <f>VLOOKUP($C256,COS!$B$8:$H$991,4,FALSE)</f>
        <v>1411.7911376953125</v>
      </c>
      <c r="Z256" s="37">
        <f t="shared" si="348"/>
        <v>86.807653425232431</v>
      </c>
      <c r="AA256" s="37">
        <f t="shared" si="402"/>
        <v>0</v>
      </c>
      <c r="AB256" s="38">
        <f t="shared" si="345"/>
        <v>0</v>
      </c>
    </row>
    <row r="257" spans="1:28" x14ac:dyDescent="0.3">
      <c r="A257" s="27">
        <f>VLOOKUP(YEAR(C257),Flags!$A$13:$B$95,2,FALSE)</f>
        <v>4</v>
      </c>
      <c r="B257" s="28">
        <f t="shared" si="328"/>
        <v>1949</v>
      </c>
      <c r="C257" s="29">
        <v>18018</v>
      </c>
      <c r="D257" s="30">
        <f>VLOOKUP($C257,COS!$B$8:$H$991,3,FALSE)</f>
        <v>3250</v>
      </c>
      <c r="E257" s="28">
        <f>IF(D257&gt;=IF(MONTH($C257)=4,$C$3,IF(MONTH($C257)=5,$C$4,IF(MONTH($C257)=6,$C$5,IF(MONTH($C257)=7,$C$6,"ERROR")))),1,0)</f>
        <v>0</v>
      </c>
      <c r="F257" s="30">
        <f>VLOOKUP($C257,COS!$B$8:$H$991,7,FALSE)</f>
        <v>51.698932647705078</v>
      </c>
      <c r="G257" s="28">
        <f>IF(F257&lt;=IF(MONTH($C257)=4,$F$3,IF(MONTH($C257)=5,$F$4,IF(MONTH($C257)=6,$F$5,IF(MONTH($C257)=7,$F$6,"ERROR")))),1,0)</f>
        <v>1</v>
      </c>
      <c r="H257" s="30">
        <f>IF(J257=1,D257-$C$3,0)</f>
        <v>0</v>
      </c>
      <c r="I257" s="30">
        <f t="shared" si="342"/>
        <v>0</v>
      </c>
      <c r="J257" s="28">
        <f t="shared" ref="J257:J260" si="405">IF(AND(E257=1,G257=1),1,0)</f>
        <v>0</v>
      </c>
      <c r="K257" s="30">
        <f>VLOOKUP($C257,COS!$B$8:$H$991,2,FALSE)</f>
        <v>4435.89990234375</v>
      </c>
      <c r="L257" s="28">
        <f t="shared" ref="L257" si="406">IF(K257&lt;=IF(MONTH($C257)=4,$I$3,IF(MONTH($C257)=5,$I$4,IF(MONTH($C257)=6,$I$5,IF(MONTH($C257)=7,$I$6,"ERROR")))),1,0)</f>
        <v>1</v>
      </c>
      <c r="M257" s="28">
        <f t="shared" ref="M257" si="407">VLOOKUP($A257,$L$3:$M$7,2,FALSE)</f>
        <v>1</v>
      </c>
      <c r="N257" s="30">
        <f>VLOOKUP($C257,COS!$B$8:$H$991,5,FALSE)</f>
        <v>261.805908203125</v>
      </c>
      <c r="O257" s="30">
        <f t="shared" ref="O257:O260" si="408">N257*DAY($C257)*86400/43560/1000</f>
        <v>15.578533380681819</v>
      </c>
      <c r="P257" s="30">
        <f>VLOOKUP($C257,COS!$B$8:$H$991,6,FALSE)</f>
        <v>454.90377807617188</v>
      </c>
      <c r="Q257" s="30">
        <f t="shared" ref="Q257:Q260" si="409">P257*DAY($C257)*86400/43560/1000</f>
        <v>27.068654563210227</v>
      </c>
      <c r="R257" s="30">
        <f>MIN(IF(MONTH($C257)=4,$S$3,IF(MONTH($C257)=5,$S$4,IF(MONTH($C257)=6,$S$5,IF(MONTH($C257)=7,$S$6,"ERROR")))),MAX(VLOOKUP($C257,COS!$B$8:$K$991,10,FALSE)-IF(MONTH($C257)=4,$Y$3,IF(MONTH($C257)=5,$Y$4,IF(MONTH($C257)=6,$Y$5,IF(MONTH($C257)=7,$Y$6,"ERROR")))),0),MAX(VLOOKUP($C257,COS!$B$8:$K$991,9,FALSE)-IF(MONTH($C257)=4,$V$3,IF(MONTH($C257)=5,$V$4,IF(MONTH($C257)=6,$V$5,IF(MONTH($C257)=7,$V$6,"ERROR"))))-VLOOKUP($C257,COS!$B$8:$K$991,6,FALSE)/2,0))</f>
        <v>0</v>
      </c>
      <c r="S257" s="30">
        <f t="shared" ref="S257:S260" si="410">R257*DAY($C257)*86400/43560/1000</f>
        <v>0</v>
      </c>
      <c r="T257" s="30">
        <f t="shared" ref="T257:T260" si="411">(O257+Q257)/2+S257</f>
        <v>21.323593971946025</v>
      </c>
      <c r="U257" s="30" t="str">
        <f>IF(VLOOKUP($C257,COS!$B$8:$I$991,8,FALSE)=1,"UWFE","IBU")</f>
        <v>UWFE</v>
      </c>
      <c r="V257" s="30">
        <f t="shared" ref="V257" si="412">MIN(IF(IF($AA$3=2,AND(E257=1,G257=1,L257=1,L262=1,M257=1,U257="IBU"),AND(E257=1,G257=1,L257=1,L262=1,M257=1)),T257,0),I257)</f>
        <v>0</v>
      </c>
      <c r="W257" s="30"/>
      <c r="X257" s="30"/>
      <c r="Y257" s="30"/>
      <c r="Z257" s="30"/>
      <c r="AA257" s="30"/>
      <c r="AB257" s="31"/>
    </row>
    <row r="258" spans="1:28" x14ac:dyDescent="0.3">
      <c r="A258" s="32">
        <f>VLOOKUP(YEAR(C258),Flags!$A$13:$B$95,2,FALSE)</f>
        <v>4</v>
      </c>
      <c r="B258" s="24">
        <f t="shared" si="328"/>
        <v>1949</v>
      </c>
      <c r="C258" s="25">
        <v>18049</v>
      </c>
      <c r="D258" s="26">
        <f>VLOOKUP($C258,COS!$B$8:$H$991,3,FALSE)</f>
        <v>6600.49267578125</v>
      </c>
      <c r="E258" s="24">
        <f>IF(D258&gt;=IF(MONTH($C258)=4,$C$3,IF(MONTH($C258)=5,$C$4,IF(MONTH($C258)=6,$C$5,IF(MONTH($C258)=7,$C$6,"ERROR")))),1,0)</f>
        <v>1</v>
      </c>
      <c r="F258" s="26">
        <f>VLOOKUP($C258,COS!$B$8:$H$991,7,FALSE)</f>
        <v>50.530754089355469</v>
      </c>
      <c r="G258" s="24">
        <f>IF(F258&lt;=IF(MONTH($C258)=4,$F$3,IF(MONTH($C258)=5,$F$4,IF(MONTH($C258)=6,$F$5,IF(MONTH($C258)=7,$F$6,"ERROR")))),1,0)</f>
        <v>1</v>
      </c>
      <c r="H258" s="26">
        <f>IF(J258=1,D258-$C$4,0)</f>
        <v>600.49267578125</v>
      </c>
      <c r="I258" s="26">
        <f t="shared" si="342"/>
        <v>36.922855436466939</v>
      </c>
      <c r="J258" s="24">
        <f t="shared" si="405"/>
        <v>1</v>
      </c>
      <c r="K258" s="26">
        <f>VLOOKUP($C258,COS!$B$8:$H$991,2,FALSE)</f>
        <v>4429.88037109375</v>
      </c>
      <c r="L258" s="24">
        <f t="shared" si="333"/>
        <v>1</v>
      </c>
      <c r="M258" s="24">
        <f t="shared" si="334"/>
        <v>1</v>
      </c>
      <c r="N258" s="26">
        <f>VLOOKUP($C258,COS!$B$8:$H$991,5,FALSE)</f>
        <v>565.04315185546875</v>
      </c>
      <c r="O258" s="26">
        <f t="shared" si="408"/>
        <v>34.743149171939564</v>
      </c>
      <c r="P258" s="26">
        <f>VLOOKUP($C258,COS!$B$8:$H$991,6,FALSE)</f>
        <v>2066.162353515625</v>
      </c>
      <c r="Q258" s="26">
        <f t="shared" si="409"/>
        <v>127.04337115831612</v>
      </c>
      <c r="R258" s="26">
        <f>MIN(IF(MONTH($C258)=4,$S$3,IF(MONTH($C258)=5,$S$4,IF(MONTH($C258)=6,$S$5,IF(MONTH($C258)=7,$S$6,"ERROR")))),MAX(VLOOKUP($C258,COS!$B$8:$K$991,10,FALSE)-IF(MONTH($C258)=4,$Y$3,IF(MONTH($C258)=5,$Y$4,IF(MONTH($C258)=6,$Y$5,IF(MONTH($C258)=7,$Y$6,"ERROR")))),0),MAX(VLOOKUP($C258,COS!$B$8:$K$991,9,FALSE)-IF(MONTH($C258)=4,$V$3,IF(MONTH($C258)=5,$V$4,IF(MONTH($C258)=6,$V$5,IF(MONTH($C258)=7,$V$6,"ERROR"))))-VLOOKUP($C258,COS!$B$8:$K$991,6,FALSE)/2,0))</f>
        <v>0</v>
      </c>
      <c r="S258" s="26">
        <f t="shared" si="410"/>
        <v>0</v>
      </c>
      <c r="T258" s="26">
        <f t="shared" si="411"/>
        <v>80.893260165127842</v>
      </c>
      <c r="U258" s="26" t="str">
        <f>IF(VLOOKUP($C258,COS!$B$8:$I$991,8,FALSE)=1,"UWFE","IBU")</f>
        <v>UWFE</v>
      </c>
      <c r="V258" s="26">
        <f t="shared" ref="V258" si="413">MIN(IF(IF($AA$3=2,AND(E258=1,G258=1,L258=1,L262=1,M258=1,U258="IBU"),AND(E258=1,G258=1,L258=1,L262=1,M258=1)),T258,0),I258)</f>
        <v>0</v>
      </c>
      <c r="W258" s="26"/>
      <c r="X258" s="26"/>
      <c r="Y258" s="26"/>
      <c r="Z258" s="26"/>
      <c r="AA258" s="26"/>
      <c r="AB258" s="33"/>
    </row>
    <row r="259" spans="1:28" x14ac:dyDescent="0.3">
      <c r="A259" s="32">
        <f>VLOOKUP(YEAR(C259),Flags!$A$13:$B$95,2,FALSE)</f>
        <v>4</v>
      </c>
      <c r="B259" s="24">
        <f t="shared" si="328"/>
        <v>1949</v>
      </c>
      <c r="C259" s="25">
        <v>18079</v>
      </c>
      <c r="D259" s="26">
        <f>VLOOKUP($C259,COS!$B$8:$H$991,3,FALSE)</f>
        <v>9891.2216796875</v>
      </c>
      <c r="E259" s="24">
        <f>IF(D259&gt;=IF(MONTH($C259)=4,$C$3,IF(MONTH($C259)=5,$C$4,IF(MONTH($C259)=6,$C$5,IF(MONTH($C259)=7,$C$6,"ERROR")))),1,0)</f>
        <v>0</v>
      </c>
      <c r="F259" s="26">
        <f>VLOOKUP($C259,COS!$B$8:$H$991,7,FALSE)</f>
        <v>51.359127044677734</v>
      </c>
      <c r="G259" s="24">
        <f>IF(F259&lt;=IF(MONTH($C259)=4,$F$3,IF(MONTH($C259)=5,$F$4,IF(MONTH($C259)=6,$F$5,IF(MONTH($C259)=7,$F$6,"ERROR")))),1,0)</f>
        <v>1</v>
      </c>
      <c r="H259" s="26">
        <f>IF(J259=1,D259-$C$5,0)</f>
        <v>0</v>
      </c>
      <c r="I259" s="26">
        <f t="shared" si="342"/>
        <v>0</v>
      </c>
      <c r="J259" s="24">
        <f t="shared" si="405"/>
        <v>0</v>
      </c>
      <c r="K259" s="26">
        <f>VLOOKUP($C259,COS!$B$8:$H$991,2,FALSE)</f>
        <v>4039.34130859375</v>
      </c>
      <c r="L259" s="24">
        <f t="shared" si="333"/>
        <v>1</v>
      </c>
      <c r="M259" s="24">
        <f t="shared" si="334"/>
        <v>1</v>
      </c>
      <c r="N259" s="26">
        <f>VLOOKUP($C259,COS!$B$8:$H$991,5,FALSE)</f>
        <v>696.944580078125</v>
      </c>
      <c r="O259" s="26">
        <f t="shared" si="408"/>
        <v>41.47108245092975</v>
      </c>
      <c r="P259" s="26">
        <f>VLOOKUP($C259,COS!$B$8:$H$991,6,FALSE)</f>
        <v>2712.6806640625</v>
      </c>
      <c r="Q259" s="26">
        <f t="shared" si="409"/>
        <v>161.41570893595042</v>
      </c>
      <c r="R259" s="26">
        <f>MIN(IF(MONTH($C259)=4,$S$3,IF(MONTH($C259)=5,$S$4,IF(MONTH($C259)=6,$S$5,IF(MONTH($C259)=7,$S$6,"ERROR")))),MAX(VLOOKUP($C259,COS!$B$8:$K$991,10,FALSE)-IF(MONTH($C259)=4,$Y$3,IF(MONTH($C259)=5,$Y$4,IF(MONTH($C259)=6,$Y$5,IF(MONTH($C259)=7,$Y$6,"ERROR")))),0),MAX(VLOOKUP($C259,COS!$B$8:$K$991,9,FALSE)-IF(MONTH($C259)=4,$V$3,IF(MONTH($C259)=5,$V$4,IF(MONTH($C259)=6,$V$5,IF(MONTH($C259)=7,$V$6,"ERROR"))))-VLOOKUP($C259,COS!$B$8:$K$991,6,FALSE)/2,0))</f>
        <v>0</v>
      </c>
      <c r="S259" s="26">
        <f t="shared" si="410"/>
        <v>0</v>
      </c>
      <c r="T259" s="26">
        <f t="shared" si="411"/>
        <v>101.44339569344008</v>
      </c>
      <c r="U259" s="26" t="str">
        <f>IF(VLOOKUP($C259,COS!$B$8:$I$991,8,FALSE)=1,"UWFE","IBU")</f>
        <v>IBU</v>
      </c>
      <c r="V259" s="26">
        <f t="shared" ref="V259" si="414">MIN(IF(IF($AA$3=2,AND(E259=1,G259=1,L259=1,L262=1,M259=1,U259="IBU"),AND(E259=1,G259=1,L259=1,L262=1,M259=1)),T259,0),I259)</f>
        <v>0</v>
      </c>
      <c r="W259" s="26"/>
      <c r="X259" s="26"/>
      <c r="Y259" s="26"/>
      <c r="Z259" s="26"/>
      <c r="AA259" s="26"/>
      <c r="AB259" s="33"/>
    </row>
    <row r="260" spans="1:28" x14ac:dyDescent="0.3">
      <c r="A260" s="32">
        <f>VLOOKUP(YEAR(C260),Flags!$A$13:$B$95,2,FALSE)</f>
        <v>4</v>
      </c>
      <c r="B260" s="24">
        <f t="shared" si="328"/>
        <v>1949</v>
      </c>
      <c r="C260" s="25">
        <v>18110</v>
      </c>
      <c r="D260" s="26">
        <f>VLOOKUP($C260,COS!$B$8:$H$991,3,FALSE)</f>
        <v>14543.4052734375</v>
      </c>
      <c r="E260" s="24">
        <f>IF(D260&gt;=IF(MONTH($C260)=4,$C$3,IF(MONTH($C260)=5,$C$4,IF(MONTH($C260)=6,$C$5,IF(MONTH($C260)=7,$C$6,"ERROR")))),1,0)</f>
        <v>1</v>
      </c>
      <c r="F260" s="26">
        <f>VLOOKUP($C260,COS!$B$8:$H$991,7,FALSE)</f>
        <v>50.889629364013672</v>
      </c>
      <c r="G260" s="24">
        <f>IF(F260&lt;=IF(MONTH($C260)=4,$F$3,IF(MONTH($C260)=5,$F$4,IF(MONTH($C260)=6,$F$5,IF(MONTH($C260)=7,$F$6,"ERROR")))),1,0)</f>
        <v>1</v>
      </c>
      <c r="H260" s="26">
        <f>IF(J260=1,D260-$C$6,0)</f>
        <v>2543.4052734375</v>
      </c>
      <c r="I260" s="26">
        <f t="shared" si="342"/>
        <v>156.38789449896694</v>
      </c>
      <c r="J260" s="24">
        <f t="shared" si="405"/>
        <v>1</v>
      </c>
      <c r="K260" s="26">
        <f>VLOOKUP($C260,COS!$B$8:$H$991,2,FALSE)</f>
        <v>3385.65673828125</v>
      </c>
      <c r="L260" s="24">
        <f t="shared" si="333"/>
        <v>1</v>
      </c>
      <c r="M260" s="24">
        <f t="shared" si="334"/>
        <v>1</v>
      </c>
      <c r="N260" s="26">
        <f>VLOOKUP($C260,COS!$B$8:$H$991,5,FALSE)</f>
        <v>761.88348388671875</v>
      </c>
      <c r="O260" s="26">
        <f t="shared" si="408"/>
        <v>46.846389422456092</v>
      </c>
      <c r="P260" s="26">
        <f>VLOOKUP($C260,COS!$B$8:$H$991,6,FALSE)</f>
        <v>2538.07568359375</v>
      </c>
      <c r="Q260" s="26">
        <f t="shared" si="409"/>
        <v>156.06019079287191</v>
      </c>
      <c r="R260" s="26">
        <f>MIN(IF(MONTH($C260)=4,$S$3,IF(MONTH($C260)=5,$S$4,IF(MONTH($C260)=6,$S$5,IF(MONTH($C260)=7,$S$6,"ERROR")))),MAX(VLOOKUP($C260,COS!$B$8:$K$991,10,FALSE)-IF(MONTH($C260)=4,$Y$3,IF(MONTH($C260)=5,$Y$4,IF(MONTH($C260)=6,$Y$5,IF(MONTH($C260)=7,$Y$6,"ERROR")))),0),MAX(VLOOKUP($C260,COS!$B$8:$K$991,9,FALSE)-IF(MONTH($C260)=4,$V$3,IF(MONTH($C260)=5,$V$4,IF(MONTH($C260)=6,$V$5,IF(MONTH($C260)=7,$V$6,"ERROR"))))-VLOOKUP($C260,COS!$B$8:$K$991,6,FALSE)/2,0))</f>
        <v>0</v>
      </c>
      <c r="S260" s="26">
        <f t="shared" si="410"/>
        <v>0</v>
      </c>
      <c r="T260" s="26">
        <f t="shared" si="411"/>
        <v>101.453290107664</v>
      </c>
      <c r="U260" s="26" t="str">
        <f>IF(VLOOKUP($C260,COS!$B$8:$I$991,8,FALSE)=1,"UWFE","IBU")</f>
        <v>IBU</v>
      </c>
      <c r="V260" s="26">
        <f t="shared" ref="V260" si="415">MIN(IF(IF($AA$3=2,AND(E260=1,G260=1,L260=1,L262=1,M260=1,U260="IBU"),AND(E260=1,G260=1,L260=1,L262=1,M260=1)),T260,0),I260)</f>
        <v>101.453290107664</v>
      </c>
      <c r="W260" s="26"/>
      <c r="X260" s="26"/>
      <c r="Y260" s="26"/>
      <c r="Z260" s="26"/>
      <c r="AA260" s="26"/>
      <c r="AB260" s="33"/>
    </row>
    <row r="261" spans="1:28" x14ac:dyDescent="0.3">
      <c r="A261" s="32">
        <f>VLOOKUP(YEAR(C261),Flags!$A$13:$B$95,2,FALSE)</f>
        <v>4</v>
      </c>
      <c r="B261" s="24">
        <f t="shared" si="328"/>
        <v>1949</v>
      </c>
      <c r="C261" s="25">
        <v>18141</v>
      </c>
      <c r="D261" s="26"/>
      <c r="E261" s="24"/>
      <c r="F261" s="26"/>
      <c r="G261" s="24"/>
      <c r="H261" s="24"/>
      <c r="I261" s="26"/>
      <c r="J261" s="24"/>
      <c r="K261" s="26"/>
      <c r="L261" s="24"/>
      <c r="M261" s="24"/>
      <c r="N261" s="26"/>
      <c r="O261" s="26"/>
      <c r="P261" s="26"/>
      <c r="Q261" s="26"/>
      <c r="R261" s="26"/>
      <c r="S261" s="26"/>
      <c r="T261" s="26"/>
      <c r="U261" s="26"/>
      <c r="V261" s="26"/>
      <c r="W261" s="26">
        <f>MAX($C$7-VLOOKUP($C261,COS!$B$8:$H$991,3,FALSE),0)</f>
        <v>90977.3701171875</v>
      </c>
      <c r="X261" s="26">
        <f t="shared" si="347"/>
        <v>5593.9804435692149</v>
      </c>
      <c r="Y261" s="26">
        <f>VLOOKUP($C261,COS!$B$8:$H$991,4,FALSE)</f>
        <v>2030.735107421875</v>
      </c>
      <c r="Z261" s="26">
        <f t="shared" si="348"/>
        <v>124.86503470428718</v>
      </c>
      <c r="AA261" s="26">
        <f t="shared" ref="AA261:AA265" si="416">MIN(W261,Y261)</f>
        <v>2030.735107421875</v>
      </c>
      <c r="AB261" s="33">
        <f t="shared" ref="AB261" si="417">AA261*DAY($C261)*86400/43560/1000*IF(MONTH($C261)=8,$P$3,IF(MONTH($C261)=9,$P$4,IF(MONTH($C261)=10,$P$5,IF(MONTH($C261)=11,$P$6,IF(MONTH($C261)=12,$P$7,NA())))))</f>
        <v>124.86503470428718</v>
      </c>
    </row>
    <row r="262" spans="1:28" x14ac:dyDescent="0.3">
      <c r="A262" s="32">
        <f>VLOOKUP(YEAR(C262),Flags!$A$13:$B$95,2,FALSE)</f>
        <v>4</v>
      </c>
      <c r="B262" s="24">
        <f t="shared" si="328"/>
        <v>1949</v>
      </c>
      <c r="C262" s="25">
        <v>18171</v>
      </c>
      <c r="D262" s="26"/>
      <c r="E262" s="24"/>
      <c r="F262" s="26"/>
      <c r="G262" s="24"/>
      <c r="H262" s="24"/>
      <c r="I262" s="26"/>
      <c r="J262" s="24"/>
      <c r="K262" s="26">
        <f>VLOOKUP($C262,COS!$B$8:$H$991,2,FALSE)</f>
        <v>3001.73291015625</v>
      </c>
      <c r="L262" s="24">
        <f t="shared" ref="L262" si="418">IF(AND(K262&gt;$I$7,K262&lt;$I$8),1,0)</f>
        <v>1</v>
      </c>
      <c r="M262" s="24"/>
      <c r="N262" s="26"/>
      <c r="O262" s="26"/>
      <c r="P262" s="26"/>
      <c r="Q262" s="26"/>
      <c r="R262" s="26"/>
      <c r="S262" s="26"/>
      <c r="T262" s="26"/>
      <c r="U262" s="26"/>
      <c r="V262" s="26"/>
      <c r="W262" s="26">
        <f>MAX($C$8-VLOOKUP($C262,COS!$B$8:$H$991,3,FALSE),0)</f>
        <v>94939.001953125</v>
      </c>
      <c r="X262" s="26">
        <f t="shared" si="347"/>
        <v>5649.2629261363636</v>
      </c>
      <c r="Y262" s="26">
        <f>VLOOKUP($C262,COS!$B$8:$H$991,4,FALSE)</f>
        <v>1015.7754516601563</v>
      </c>
      <c r="Z262" s="26">
        <f t="shared" si="348"/>
        <v>60.442836793001035</v>
      </c>
      <c r="AA262" s="26">
        <f t="shared" si="416"/>
        <v>1015.7754516601563</v>
      </c>
      <c r="AB262" s="33">
        <f t="shared" si="345"/>
        <v>60.442836793001035</v>
      </c>
    </row>
    <row r="263" spans="1:28" x14ac:dyDescent="0.3">
      <c r="A263" s="32">
        <f>VLOOKUP(YEAR(C263),Flags!$A$13:$B$95,2,FALSE)</f>
        <v>4</v>
      </c>
      <c r="B263" s="24">
        <f t="shared" si="328"/>
        <v>1949</v>
      </c>
      <c r="C263" s="25">
        <v>18202</v>
      </c>
      <c r="D263" s="26"/>
      <c r="E263" s="24"/>
      <c r="F263" s="26"/>
      <c r="G263" s="26"/>
      <c r="H263" s="26"/>
      <c r="I263" s="26"/>
      <c r="J263" s="26"/>
      <c r="K263" s="26"/>
      <c r="L263" s="24"/>
      <c r="M263" s="24"/>
      <c r="N263" s="26"/>
      <c r="O263" s="26"/>
      <c r="P263" s="26"/>
      <c r="Q263" s="26"/>
      <c r="R263" s="26"/>
      <c r="S263" s="26"/>
      <c r="T263" s="26"/>
      <c r="U263" s="26"/>
      <c r="V263" s="26"/>
      <c r="W263" s="26">
        <f>MAX($C$9-VLOOKUP($C263,COS!$B$8:$H$991,3,FALSE),0)</f>
        <v>93926.57080078125</v>
      </c>
      <c r="X263" s="26">
        <f t="shared" si="347"/>
        <v>5775.319725271177</v>
      </c>
      <c r="Y263" s="26">
        <f>VLOOKUP($C263,COS!$B$8:$H$991,4,FALSE)</f>
        <v>1726.75830078125</v>
      </c>
      <c r="Z263" s="26">
        <f t="shared" si="348"/>
        <v>106.17422940340909</v>
      </c>
      <c r="AA263" s="26">
        <f t="shared" si="416"/>
        <v>1726.75830078125</v>
      </c>
      <c r="AB263" s="33">
        <f t="shared" si="345"/>
        <v>106.17422940340909</v>
      </c>
    </row>
    <row r="264" spans="1:28" x14ac:dyDescent="0.3">
      <c r="A264" s="32">
        <f>VLOOKUP(YEAR(C264),Flags!$A$13:$B$95,2,FALSE)</f>
        <v>4</v>
      </c>
      <c r="B264" s="24">
        <f t="shared" si="328"/>
        <v>1949</v>
      </c>
      <c r="C264" s="25">
        <v>18232</v>
      </c>
      <c r="D264" s="26"/>
      <c r="E264" s="24"/>
      <c r="F264" s="26"/>
      <c r="G264" s="26"/>
      <c r="H264" s="26"/>
      <c r="I264" s="26"/>
      <c r="J264" s="26"/>
      <c r="K264" s="26"/>
      <c r="L264" s="24"/>
      <c r="M264" s="24"/>
      <c r="N264" s="26"/>
      <c r="O264" s="26"/>
      <c r="P264" s="26"/>
      <c r="Q264" s="26"/>
      <c r="R264" s="26"/>
      <c r="S264" s="26"/>
      <c r="T264" s="26"/>
      <c r="U264" s="26"/>
      <c r="V264" s="26"/>
      <c r="W264" s="26">
        <f>MAX($C$10-VLOOKUP($C264,COS!$B$8:$H$991,3,FALSE),0)</f>
        <v>93878.3037109375</v>
      </c>
      <c r="X264" s="26">
        <f t="shared" si="347"/>
        <v>5586.1469976756198</v>
      </c>
      <c r="Y264" s="26">
        <f>VLOOKUP($C264,COS!$B$8:$H$991,4,FALSE)</f>
        <v>814.205810546875</v>
      </c>
      <c r="Z264" s="26">
        <f t="shared" si="348"/>
        <v>48.448610214359505</v>
      </c>
      <c r="AA264" s="26">
        <f t="shared" si="416"/>
        <v>814.205810546875</v>
      </c>
      <c r="AB264" s="33">
        <f t="shared" si="345"/>
        <v>24.224305107179752</v>
      </c>
    </row>
    <row r="265" spans="1:28" x14ac:dyDescent="0.3">
      <c r="A265" s="34">
        <f>VLOOKUP(YEAR(C265),Flags!$A$13:$B$95,2,FALSE)</f>
        <v>4</v>
      </c>
      <c r="B265" s="35">
        <f t="shared" si="328"/>
        <v>1949</v>
      </c>
      <c r="C265" s="36">
        <v>18263</v>
      </c>
      <c r="D265" s="37"/>
      <c r="E265" s="35"/>
      <c r="F265" s="37"/>
      <c r="G265" s="37"/>
      <c r="H265" s="37"/>
      <c r="I265" s="37"/>
      <c r="J265" s="37"/>
      <c r="K265" s="37"/>
      <c r="L265" s="35"/>
      <c r="M265" s="35"/>
      <c r="N265" s="37"/>
      <c r="O265" s="37"/>
      <c r="P265" s="37"/>
      <c r="Q265" s="37"/>
      <c r="R265" s="37"/>
      <c r="S265" s="37"/>
      <c r="T265" s="37"/>
      <c r="U265" s="37"/>
      <c r="V265" s="37"/>
      <c r="W265" s="37">
        <f>MAX($C$11-VLOOKUP($C265,COS!$B$8:$H$991,3,FALSE),0)</f>
        <v>0</v>
      </c>
      <c r="X265" s="37">
        <f t="shared" si="347"/>
        <v>0</v>
      </c>
      <c r="Y265" s="37">
        <f>VLOOKUP($C265,COS!$B$8:$H$991,4,FALSE)</f>
        <v>1528.547607421875</v>
      </c>
      <c r="Z265" s="37">
        <f t="shared" si="348"/>
        <v>93.986728919163227</v>
      </c>
      <c r="AA265" s="37">
        <f t="shared" si="416"/>
        <v>0</v>
      </c>
      <c r="AB265" s="38">
        <f t="shared" si="345"/>
        <v>0</v>
      </c>
    </row>
    <row r="266" spans="1:28" x14ac:dyDescent="0.3">
      <c r="A266" s="27">
        <f>VLOOKUP(YEAR(C266),Flags!$A$13:$B$95,2,FALSE)</f>
        <v>4</v>
      </c>
      <c r="B266" s="28">
        <f t="shared" si="328"/>
        <v>1950</v>
      </c>
      <c r="C266" s="29">
        <v>18383</v>
      </c>
      <c r="D266" s="30">
        <f>VLOOKUP($C266,COS!$B$8:$H$991,3,FALSE)</f>
        <v>3250</v>
      </c>
      <c r="E266" s="28">
        <f>IF(D266&gt;=IF(MONTH($C266)=4,$C$3,IF(MONTH($C266)=5,$C$4,IF(MONTH($C266)=6,$C$5,IF(MONTH($C266)=7,$C$6,"ERROR")))),1,0)</f>
        <v>0</v>
      </c>
      <c r="F266" s="30">
        <f>VLOOKUP($C266,COS!$B$8:$H$991,7,FALSE)</f>
        <v>51.198993682861328</v>
      </c>
      <c r="G266" s="28">
        <f>IF(F266&lt;=IF(MONTH($C266)=4,$F$3,IF(MONTH($C266)=5,$F$4,IF(MONTH($C266)=6,$F$5,IF(MONTH($C266)=7,$F$6,"ERROR")))),1,0)</f>
        <v>1</v>
      </c>
      <c r="H266" s="30">
        <f>IF(J266=1,D266-$C$3,0)</f>
        <v>0</v>
      </c>
      <c r="I266" s="30">
        <f t="shared" si="342"/>
        <v>0</v>
      </c>
      <c r="J266" s="28">
        <f t="shared" ref="J266:J269" si="419">IF(AND(E266=1,G266=1),1,0)</f>
        <v>0</v>
      </c>
      <c r="K266" s="30">
        <f>VLOOKUP($C266,COS!$B$8:$H$991,2,FALSE)</f>
        <v>4233.70751953125</v>
      </c>
      <c r="L266" s="28">
        <f t="shared" ref="L266" si="420">IF(K266&lt;=IF(MONTH($C266)=4,$I$3,IF(MONTH($C266)=5,$I$4,IF(MONTH($C266)=6,$I$5,IF(MONTH($C266)=7,$I$6,"ERROR")))),1,0)</f>
        <v>1</v>
      </c>
      <c r="M266" s="28">
        <f t="shared" ref="M266" si="421">VLOOKUP($A266,$L$3:$M$7,2,FALSE)</f>
        <v>1</v>
      </c>
      <c r="N266" s="30">
        <f>VLOOKUP($C266,COS!$B$8:$H$991,5,FALSE)</f>
        <v>269.705322265625</v>
      </c>
      <c r="O266" s="30">
        <f t="shared" ref="O266:O269" si="422">N266*DAY($C266)*86400/43560/1000</f>
        <v>16.048581159607437</v>
      </c>
      <c r="P266" s="30">
        <f>VLOOKUP($C266,COS!$B$8:$H$991,6,FALSE)</f>
        <v>500.60986328125</v>
      </c>
      <c r="Q266" s="30">
        <f t="shared" ref="Q266:Q269" si="423">P266*DAY($C266)*86400/43560/1000</f>
        <v>29.788355501033056</v>
      </c>
      <c r="R266" s="30">
        <f>MIN(IF(MONTH($C266)=4,$S$3,IF(MONTH($C266)=5,$S$4,IF(MONTH($C266)=6,$S$5,IF(MONTH($C266)=7,$S$6,"ERROR")))),MAX(VLOOKUP($C266,COS!$B$8:$K$991,10,FALSE)-IF(MONTH($C266)=4,$Y$3,IF(MONTH($C266)=5,$Y$4,IF(MONTH($C266)=6,$Y$5,IF(MONTH($C266)=7,$Y$6,"ERROR")))),0),MAX(VLOOKUP($C266,COS!$B$8:$K$991,9,FALSE)-IF(MONTH($C266)=4,$V$3,IF(MONTH($C266)=5,$V$4,IF(MONTH($C266)=6,$V$5,IF(MONTH($C266)=7,$V$6,"ERROR"))))-VLOOKUP($C266,COS!$B$8:$K$991,6,FALSE)/2,0))</f>
        <v>0</v>
      </c>
      <c r="S266" s="30">
        <f t="shared" ref="S266:S269" si="424">R266*DAY($C266)*86400/43560/1000</f>
        <v>0</v>
      </c>
      <c r="T266" s="30">
        <f t="shared" ref="T266:T269" si="425">(O266+Q266)/2+S266</f>
        <v>22.918468330320245</v>
      </c>
      <c r="U266" s="30" t="str">
        <f>IF(VLOOKUP($C266,COS!$B$8:$I$991,8,FALSE)=1,"UWFE","IBU")</f>
        <v>UWFE</v>
      </c>
      <c r="V266" s="30">
        <f t="shared" ref="V266" si="426">MIN(IF(IF($AA$3=2,AND(E266=1,G266=1,L266=1,L271=1,M266=1,U266="IBU"),AND(E266=1,G266=1,L266=1,L271=1,M266=1)),T266,0),I266)</f>
        <v>0</v>
      </c>
      <c r="W266" s="30"/>
      <c r="X266" s="30"/>
      <c r="Y266" s="30"/>
      <c r="Z266" s="30"/>
      <c r="AA266" s="30"/>
      <c r="AB266" s="31"/>
    </row>
    <row r="267" spans="1:28" x14ac:dyDescent="0.3">
      <c r="A267" s="32">
        <f>VLOOKUP(YEAR(C267),Flags!$A$13:$B$95,2,FALSE)</f>
        <v>4</v>
      </c>
      <c r="B267" s="24">
        <f t="shared" si="328"/>
        <v>1950</v>
      </c>
      <c r="C267" s="25">
        <v>18414</v>
      </c>
      <c r="D267" s="26">
        <f>VLOOKUP($C267,COS!$B$8:$H$991,3,FALSE)</f>
        <v>6396.69482421875</v>
      </c>
      <c r="E267" s="24">
        <f>IF(D267&gt;=IF(MONTH($C267)=4,$C$3,IF(MONTH($C267)=5,$C$4,IF(MONTH($C267)=6,$C$5,IF(MONTH($C267)=7,$C$6,"ERROR")))),1,0)</f>
        <v>1</v>
      </c>
      <c r="F267" s="26">
        <f>VLOOKUP($C267,COS!$B$8:$H$991,7,FALSE)</f>
        <v>50.986736297607422</v>
      </c>
      <c r="G267" s="24">
        <f>IF(F267&lt;=IF(MONTH($C267)=4,$F$3,IF(MONTH($C267)=5,$F$4,IF(MONTH($C267)=6,$F$5,IF(MONTH($C267)=7,$F$6,"ERROR")))),1,0)</f>
        <v>1</v>
      </c>
      <c r="H267" s="26">
        <f>IF(J267=1,D267-$C$4,0)</f>
        <v>396.69482421875</v>
      </c>
      <c r="I267" s="26">
        <f t="shared" si="342"/>
        <v>24.391813985020661</v>
      </c>
      <c r="J267" s="24">
        <f t="shared" si="419"/>
        <v>1</v>
      </c>
      <c r="K267" s="26">
        <f>VLOOKUP($C267,COS!$B$8:$H$991,2,FALSE)</f>
        <v>4172.81884765625</v>
      </c>
      <c r="L267" s="24">
        <f t="shared" si="333"/>
        <v>1</v>
      </c>
      <c r="M267" s="24">
        <f t="shared" si="334"/>
        <v>1</v>
      </c>
      <c r="N267" s="26">
        <f>VLOOKUP($C267,COS!$B$8:$H$991,5,FALSE)</f>
        <v>221.03926086425781</v>
      </c>
      <c r="O267" s="26">
        <f t="shared" si="422"/>
        <v>13.59117438702544</v>
      </c>
      <c r="P267" s="26">
        <f>VLOOKUP($C267,COS!$B$8:$H$991,6,FALSE)</f>
        <v>2273.549072265625</v>
      </c>
      <c r="Q267" s="26">
        <f t="shared" si="423"/>
        <v>139.79508345170456</v>
      </c>
      <c r="R267" s="26">
        <f>MIN(IF(MONTH($C267)=4,$S$3,IF(MONTH($C267)=5,$S$4,IF(MONTH($C267)=6,$S$5,IF(MONTH($C267)=7,$S$6,"ERROR")))),MAX(VLOOKUP($C267,COS!$B$8:$K$991,10,FALSE)-IF(MONTH($C267)=4,$Y$3,IF(MONTH($C267)=5,$Y$4,IF(MONTH($C267)=6,$Y$5,IF(MONTH($C267)=7,$Y$6,"ERROR")))),0),MAX(VLOOKUP($C267,COS!$B$8:$K$991,9,FALSE)-IF(MONTH($C267)=4,$V$3,IF(MONTH($C267)=5,$V$4,IF(MONTH($C267)=6,$V$5,IF(MONTH($C267)=7,$V$6,"ERROR"))))-VLOOKUP($C267,COS!$B$8:$K$991,6,FALSE)/2,0))</f>
        <v>0</v>
      </c>
      <c r="S267" s="26">
        <f t="shared" si="424"/>
        <v>0</v>
      </c>
      <c r="T267" s="26">
        <f t="shared" si="425"/>
        <v>76.693128919364995</v>
      </c>
      <c r="U267" s="26" t="str">
        <f>IF(VLOOKUP($C267,COS!$B$8:$I$991,8,FALSE)=1,"UWFE","IBU")</f>
        <v>UWFE</v>
      </c>
      <c r="V267" s="26">
        <f t="shared" ref="V267" si="427">MIN(IF(IF($AA$3=2,AND(E267=1,G267=1,L267=1,L271=1,M267=1,U267="IBU"),AND(E267=1,G267=1,L267=1,L271=1,M267=1)),T267,0),I267)</f>
        <v>0</v>
      </c>
      <c r="W267" s="26"/>
      <c r="X267" s="26"/>
      <c r="Y267" s="26"/>
      <c r="Z267" s="26"/>
      <c r="AA267" s="26"/>
      <c r="AB267" s="33"/>
    </row>
    <row r="268" spans="1:28" x14ac:dyDescent="0.3">
      <c r="A268" s="32">
        <f>VLOOKUP(YEAR(C268),Flags!$A$13:$B$95,2,FALSE)</f>
        <v>4</v>
      </c>
      <c r="B268" s="24">
        <f t="shared" si="328"/>
        <v>1950</v>
      </c>
      <c r="C268" s="25">
        <v>18444</v>
      </c>
      <c r="D268" s="26">
        <f>VLOOKUP($C268,COS!$B$8:$H$991,3,FALSE)</f>
        <v>8106.11865234375</v>
      </c>
      <c r="E268" s="24">
        <f>IF(D268&gt;=IF(MONTH($C268)=4,$C$3,IF(MONTH($C268)=5,$C$4,IF(MONTH($C268)=6,$C$5,IF(MONTH($C268)=7,$C$6,"ERROR")))),1,0)</f>
        <v>0</v>
      </c>
      <c r="F268" s="26">
        <f>VLOOKUP($C268,COS!$B$8:$H$991,7,FALSE)</f>
        <v>51.396080017089844</v>
      </c>
      <c r="G268" s="24">
        <f>IF(F268&lt;=IF(MONTH($C268)=4,$F$3,IF(MONTH($C268)=5,$F$4,IF(MONTH($C268)=6,$F$5,IF(MONTH($C268)=7,$F$6,"ERROR")))),1,0)</f>
        <v>1</v>
      </c>
      <c r="H268" s="26">
        <f>IF(J268=1,D268-$C$5,0)</f>
        <v>0</v>
      </c>
      <c r="I268" s="26">
        <f t="shared" si="342"/>
        <v>0</v>
      </c>
      <c r="J268" s="24">
        <f t="shared" si="419"/>
        <v>0</v>
      </c>
      <c r="K268" s="26">
        <f>VLOOKUP($C268,COS!$B$8:$H$991,2,FALSE)</f>
        <v>3898.8837890625</v>
      </c>
      <c r="L268" s="24">
        <f t="shared" si="333"/>
        <v>1</v>
      </c>
      <c r="M268" s="24">
        <f t="shared" si="334"/>
        <v>1</v>
      </c>
      <c r="N268" s="26">
        <f>VLOOKUP($C268,COS!$B$8:$H$991,5,FALSE)</f>
        <v>433.48184204101563</v>
      </c>
      <c r="O268" s="26">
        <f t="shared" si="422"/>
        <v>25.793960848721593</v>
      </c>
      <c r="P268" s="26">
        <f>VLOOKUP($C268,COS!$B$8:$H$991,6,FALSE)</f>
        <v>2603.512451171875</v>
      </c>
      <c r="Q268" s="26">
        <f t="shared" si="423"/>
        <v>154.91974916064049</v>
      </c>
      <c r="R268" s="26">
        <f>MIN(IF(MONTH($C268)=4,$S$3,IF(MONTH($C268)=5,$S$4,IF(MONTH($C268)=6,$S$5,IF(MONTH($C268)=7,$S$6,"ERROR")))),MAX(VLOOKUP($C268,COS!$B$8:$K$991,10,FALSE)-IF(MONTH($C268)=4,$Y$3,IF(MONTH($C268)=5,$Y$4,IF(MONTH($C268)=6,$Y$5,IF(MONTH($C268)=7,$Y$6,"ERROR")))),0),MAX(VLOOKUP($C268,COS!$B$8:$K$991,9,FALSE)-IF(MONTH($C268)=4,$V$3,IF(MONTH($C268)=5,$V$4,IF(MONTH($C268)=6,$V$5,IF(MONTH($C268)=7,$V$6,"ERROR"))))-VLOOKUP($C268,COS!$B$8:$K$991,6,FALSE)/2,0))</f>
        <v>0</v>
      </c>
      <c r="S268" s="26">
        <f t="shared" si="424"/>
        <v>0</v>
      </c>
      <c r="T268" s="26">
        <f t="shared" si="425"/>
        <v>90.356855004681037</v>
      </c>
      <c r="U268" s="26" t="str">
        <f>IF(VLOOKUP($C268,COS!$B$8:$I$991,8,FALSE)=1,"UWFE","IBU")</f>
        <v>IBU</v>
      </c>
      <c r="V268" s="26">
        <f t="shared" ref="V268" si="428">MIN(IF(IF($AA$3=2,AND(E268=1,G268=1,L268=1,L271=1,M268=1,U268="IBU"),AND(E268=1,G268=1,L268=1,L271=1,M268=1)),T268,0),I268)</f>
        <v>0</v>
      </c>
      <c r="W268" s="26"/>
      <c r="X268" s="26"/>
      <c r="Y268" s="26"/>
      <c r="Z268" s="26"/>
      <c r="AA268" s="26"/>
      <c r="AB268" s="33"/>
    </row>
    <row r="269" spans="1:28" x14ac:dyDescent="0.3">
      <c r="A269" s="32">
        <f>VLOOKUP(YEAR(C269),Flags!$A$13:$B$95,2,FALSE)</f>
        <v>4</v>
      </c>
      <c r="B269" s="24">
        <f t="shared" si="328"/>
        <v>1950</v>
      </c>
      <c r="C269" s="25">
        <v>18475</v>
      </c>
      <c r="D269" s="26">
        <f>VLOOKUP($C269,COS!$B$8:$H$991,3,FALSE)</f>
        <v>9670.4365234375</v>
      </c>
      <c r="E269" s="24">
        <f>IF(D269&gt;=IF(MONTH($C269)=4,$C$3,IF(MONTH($C269)=5,$C$4,IF(MONTH($C269)=6,$C$5,IF(MONTH($C269)=7,$C$6,"ERROR")))),1,0)</f>
        <v>0</v>
      </c>
      <c r="F269" s="26">
        <f>VLOOKUP($C269,COS!$B$8:$H$991,7,FALSE)</f>
        <v>52.254299163818359</v>
      </c>
      <c r="G269" s="24">
        <f>IF(F269&lt;=IF(MONTH($C269)=4,$F$3,IF(MONTH($C269)=5,$F$4,IF(MONTH($C269)=6,$F$5,IF(MONTH($C269)=7,$F$6,"ERROR")))),1,0)</f>
        <v>1</v>
      </c>
      <c r="H269" s="26">
        <f>IF(J269=1,D269-$C$6,0)</f>
        <v>0</v>
      </c>
      <c r="I269" s="26">
        <f t="shared" si="342"/>
        <v>0</v>
      </c>
      <c r="J269" s="24">
        <f t="shared" si="419"/>
        <v>0</v>
      </c>
      <c r="K269" s="26">
        <f>VLOOKUP($C269,COS!$B$8:$H$991,2,FALSE)</f>
        <v>3515.872314453125</v>
      </c>
      <c r="L269" s="24">
        <f t="shared" si="333"/>
        <v>1</v>
      </c>
      <c r="M269" s="24">
        <f t="shared" si="334"/>
        <v>1</v>
      </c>
      <c r="N269" s="26">
        <f>VLOOKUP($C269,COS!$B$8:$H$991,5,FALSE)</f>
        <v>482.3499755859375</v>
      </c>
      <c r="O269" s="26">
        <f t="shared" si="422"/>
        <v>29.658543953383266</v>
      </c>
      <c r="P269" s="26">
        <f>VLOOKUP($C269,COS!$B$8:$H$991,6,FALSE)</f>
        <v>2632.5888671875</v>
      </c>
      <c r="Q269" s="26">
        <f t="shared" si="423"/>
        <v>161.87157993285126</v>
      </c>
      <c r="R269" s="26">
        <f>MIN(IF(MONTH($C269)=4,$S$3,IF(MONTH($C269)=5,$S$4,IF(MONTH($C269)=6,$S$5,IF(MONTH($C269)=7,$S$6,"ERROR")))),MAX(VLOOKUP($C269,COS!$B$8:$K$991,10,FALSE)-IF(MONTH($C269)=4,$Y$3,IF(MONTH($C269)=5,$Y$4,IF(MONTH($C269)=6,$Y$5,IF(MONTH($C269)=7,$Y$6,"ERROR")))),0),MAX(VLOOKUP($C269,COS!$B$8:$K$991,9,FALSE)-IF(MONTH($C269)=4,$V$3,IF(MONTH($C269)=5,$V$4,IF(MONTH($C269)=6,$V$5,IF(MONTH($C269)=7,$V$6,"ERROR"))))-VLOOKUP($C269,COS!$B$8:$K$991,6,FALSE)/2,0))</f>
        <v>0</v>
      </c>
      <c r="S269" s="26">
        <f t="shared" si="424"/>
        <v>0</v>
      </c>
      <c r="T269" s="26">
        <f t="shared" si="425"/>
        <v>95.76506194311726</v>
      </c>
      <c r="U269" s="26" t="str">
        <f>IF(VLOOKUP($C269,COS!$B$8:$I$991,8,FALSE)=1,"UWFE","IBU")</f>
        <v>IBU</v>
      </c>
      <c r="V269" s="26">
        <f t="shared" ref="V269" si="429">MIN(IF(IF($AA$3=2,AND(E269=1,G269=1,L269=1,L271=1,M269=1,U269="IBU"),AND(E269=1,G269=1,L269=1,L271=1,M269=1)),T269,0),I269)</f>
        <v>0</v>
      </c>
      <c r="W269" s="26"/>
      <c r="X269" s="26"/>
      <c r="Y269" s="26"/>
      <c r="Z269" s="26"/>
      <c r="AA269" s="26"/>
      <c r="AB269" s="33"/>
    </row>
    <row r="270" spans="1:28" x14ac:dyDescent="0.3">
      <c r="A270" s="32">
        <f>VLOOKUP(YEAR(C270),Flags!$A$13:$B$95,2,FALSE)</f>
        <v>4</v>
      </c>
      <c r="B270" s="24">
        <f t="shared" si="328"/>
        <v>1950</v>
      </c>
      <c r="C270" s="25">
        <v>18506</v>
      </c>
      <c r="D270" s="26"/>
      <c r="E270" s="24"/>
      <c r="F270" s="26"/>
      <c r="G270" s="24"/>
      <c r="H270" s="24"/>
      <c r="I270" s="26"/>
      <c r="J270" s="24"/>
      <c r="K270" s="26"/>
      <c r="L270" s="24"/>
      <c r="M270" s="24"/>
      <c r="N270" s="26"/>
      <c r="O270" s="26"/>
      <c r="P270" s="26"/>
      <c r="Q270" s="26"/>
      <c r="R270" s="26"/>
      <c r="S270" s="26"/>
      <c r="T270" s="26"/>
      <c r="U270" s="26"/>
      <c r="V270" s="26"/>
      <c r="W270" s="26">
        <f>MAX($C$7-VLOOKUP($C270,COS!$B$8:$H$991,3,FALSE),0)</f>
        <v>90741.2333984375</v>
      </c>
      <c r="X270" s="26">
        <f t="shared" si="347"/>
        <v>5579.4609626807851</v>
      </c>
      <c r="Y270" s="26">
        <f>VLOOKUP($C270,COS!$B$8:$H$991,4,FALSE)</f>
        <v>437.07077026367188</v>
      </c>
      <c r="Z270" s="26">
        <f t="shared" si="348"/>
        <v>26.874434138526603</v>
      </c>
      <c r="AA270" s="26">
        <f t="shared" ref="AA270:AA274" si="430">MIN(W270,Y270)</f>
        <v>437.07077026367188</v>
      </c>
      <c r="AB270" s="33">
        <f t="shared" ref="AB270" si="431">AA270*DAY($C270)*86400/43560/1000*IF(MONTH($C270)=8,$P$3,IF(MONTH($C270)=9,$P$4,IF(MONTH($C270)=10,$P$5,IF(MONTH($C270)=11,$P$6,IF(MONTH($C270)=12,$P$7,NA())))))</f>
        <v>26.874434138526603</v>
      </c>
    </row>
    <row r="271" spans="1:28" x14ac:dyDescent="0.3">
      <c r="A271" s="32">
        <f>VLOOKUP(YEAR(C271),Flags!$A$13:$B$95,2,FALSE)</f>
        <v>4</v>
      </c>
      <c r="B271" s="24">
        <f t="shared" ref="B271:B334" si="432">YEAR(C271)</f>
        <v>1950</v>
      </c>
      <c r="C271" s="25">
        <v>18536</v>
      </c>
      <c r="D271" s="26"/>
      <c r="E271" s="24"/>
      <c r="F271" s="26"/>
      <c r="G271" s="24"/>
      <c r="H271" s="24"/>
      <c r="I271" s="26"/>
      <c r="J271" s="24"/>
      <c r="K271" s="26">
        <f>VLOOKUP($C271,COS!$B$8:$H$991,2,FALSE)</f>
        <v>3133.93603515625</v>
      </c>
      <c r="L271" s="24">
        <f t="shared" ref="L271" si="433">IF(AND(K271&gt;$I$7,K271&lt;$I$8),1,0)</f>
        <v>1</v>
      </c>
      <c r="M271" s="24"/>
      <c r="N271" s="26"/>
      <c r="O271" s="26"/>
      <c r="P271" s="26"/>
      <c r="Q271" s="26"/>
      <c r="R271" s="26"/>
      <c r="S271" s="26"/>
      <c r="T271" s="26"/>
      <c r="U271" s="26"/>
      <c r="V271" s="26"/>
      <c r="W271" s="26">
        <f>MAX($C$8-VLOOKUP($C271,COS!$B$8:$H$991,3,FALSE),0)</f>
        <v>95235.51904296875</v>
      </c>
      <c r="X271" s="26">
        <f t="shared" si="347"/>
        <v>5666.9069182592975</v>
      </c>
      <c r="Y271" s="26">
        <f>VLOOKUP($C271,COS!$B$8:$H$991,4,FALSE)</f>
        <v>0</v>
      </c>
      <c r="Z271" s="26">
        <f t="shared" si="348"/>
        <v>0</v>
      </c>
      <c r="AA271" s="26">
        <f t="shared" si="430"/>
        <v>0</v>
      </c>
      <c r="AB271" s="33">
        <f t="shared" si="345"/>
        <v>0</v>
      </c>
    </row>
    <row r="272" spans="1:28" x14ac:dyDescent="0.3">
      <c r="A272" s="32">
        <f>VLOOKUP(YEAR(C272),Flags!$A$13:$B$95,2,FALSE)</f>
        <v>4</v>
      </c>
      <c r="B272" s="24">
        <f t="shared" si="432"/>
        <v>1950</v>
      </c>
      <c r="C272" s="25">
        <v>18567</v>
      </c>
      <c r="D272" s="26"/>
      <c r="E272" s="24"/>
      <c r="F272" s="26"/>
      <c r="G272" s="26"/>
      <c r="H272" s="26"/>
      <c r="I272" s="26"/>
      <c r="J272" s="26"/>
      <c r="K272" s="26"/>
      <c r="L272" s="24"/>
      <c r="M272" s="24"/>
      <c r="N272" s="26"/>
      <c r="O272" s="26"/>
      <c r="P272" s="26"/>
      <c r="Q272" s="26"/>
      <c r="R272" s="26"/>
      <c r="S272" s="26"/>
      <c r="T272" s="26"/>
      <c r="U272" s="26"/>
      <c r="V272" s="26"/>
      <c r="W272" s="26">
        <f>MAX($C$9-VLOOKUP($C272,COS!$B$8:$H$991,3,FALSE),0)</f>
        <v>91664.693359375</v>
      </c>
      <c r="X272" s="26">
        <f t="shared" si="347"/>
        <v>5636.2423024276859</v>
      </c>
      <c r="Y272" s="26">
        <f>VLOOKUP($C272,COS!$B$8:$H$991,4,FALSE)</f>
        <v>1385.623291015625</v>
      </c>
      <c r="Z272" s="26">
        <f t="shared" si="348"/>
        <v>85.198655249225212</v>
      </c>
      <c r="AA272" s="26">
        <f t="shared" si="430"/>
        <v>1385.623291015625</v>
      </c>
      <c r="AB272" s="33">
        <f t="shared" si="345"/>
        <v>85.198655249225212</v>
      </c>
    </row>
    <row r="273" spans="1:28" x14ac:dyDescent="0.3">
      <c r="A273" s="32">
        <f>VLOOKUP(YEAR(C273),Flags!$A$13:$B$95,2,FALSE)</f>
        <v>4</v>
      </c>
      <c r="B273" s="24">
        <f t="shared" si="432"/>
        <v>1950</v>
      </c>
      <c r="C273" s="25">
        <v>18597</v>
      </c>
      <c r="D273" s="26"/>
      <c r="E273" s="24"/>
      <c r="F273" s="26"/>
      <c r="G273" s="26"/>
      <c r="H273" s="26"/>
      <c r="I273" s="26"/>
      <c r="J273" s="26"/>
      <c r="K273" s="26"/>
      <c r="L273" s="24"/>
      <c r="M273" s="24"/>
      <c r="N273" s="26"/>
      <c r="O273" s="26"/>
      <c r="P273" s="26"/>
      <c r="Q273" s="26"/>
      <c r="R273" s="26"/>
      <c r="S273" s="26"/>
      <c r="T273" s="26"/>
      <c r="U273" s="26"/>
      <c r="V273" s="26"/>
      <c r="W273" s="26">
        <f>MAX($C$10-VLOOKUP($C273,COS!$B$8:$H$991,3,FALSE),0)</f>
        <v>88639.322265625</v>
      </c>
      <c r="X273" s="26">
        <f t="shared" si="347"/>
        <v>5274.4059529958677</v>
      </c>
      <c r="Y273" s="26">
        <f>VLOOKUP($C273,COS!$B$8:$H$991,4,FALSE)</f>
        <v>0</v>
      </c>
      <c r="Z273" s="26">
        <f t="shared" si="348"/>
        <v>0</v>
      </c>
      <c r="AA273" s="26">
        <f t="shared" si="430"/>
        <v>0</v>
      </c>
      <c r="AB273" s="33">
        <f t="shared" si="345"/>
        <v>0</v>
      </c>
    </row>
    <row r="274" spans="1:28" x14ac:dyDescent="0.3">
      <c r="A274" s="34">
        <f>VLOOKUP(YEAR(C274),Flags!$A$13:$B$95,2,FALSE)</f>
        <v>4</v>
      </c>
      <c r="B274" s="35">
        <f t="shared" si="432"/>
        <v>1950</v>
      </c>
      <c r="C274" s="36">
        <v>18628</v>
      </c>
      <c r="D274" s="37"/>
      <c r="E274" s="35"/>
      <c r="F274" s="37"/>
      <c r="G274" s="37"/>
      <c r="H274" s="37"/>
      <c r="I274" s="37"/>
      <c r="J274" s="37"/>
      <c r="K274" s="37"/>
      <c r="L274" s="35"/>
      <c r="M274" s="35"/>
      <c r="N274" s="37"/>
      <c r="O274" s="37"/>
      <c r="P274" s="37"/>
      <c r="Q274" s="37"/>
      <c r="R274" s="37"/>
      <c r="S274" s="37"/>
      <c r="T274" s="37"/>
      <c r="U274" s="37"/>
      <c r="V274" s="37"/>
      <c r="W274" s="37">
        <f>MAX($C$11-VLOOKUP($C274,COS!$B$8:$H$991,3,FALSE),0)</f>
        <v>0</v>
      </c>
      <c r="X274" s="37">
        <f t="shared" si="347"/>
        <v>0</v>
      </c>
      <c r="Y274" s="37">
        <f>VLOOKUP($C274,COS!$B$8:$H$991,4,FALSE)</f>
        <v>0</v>
      </c>
      <c r="Z274" s="37">
        <f t="shared" si="348"/>
        <v>0</v>
      </c>
      <c r="AA274" s="37">
        <f t="shared" si="430"/>
        <v>0</v>
      </c>
      <c r="AB274" s="38">
        <f t="shared" si="345"/>
        <v>0</v>
      </c>
    </row>
    <row r="275" spans="1:28" x14ac:dyDescent="0.3">
      <c r="A275" s="27">
        <f>VLOOKUP(YEAR(C275),Flags!$A$13:$B$95,2,FALSE)</f>
        <v>2</v>
      </c>
      <c r="B275" s="28">
        <f t="shared" si="432"/>
        <v>1951</v>
      </c>
      <c r="C275" s="29">
        <v>18748</v>
      </c>
      <c r="D275" s="30">
        <f>VLOOKUP($C275,COS!$B$8:$H$991,3,FALSE)</f>
        <v>3250</v>
      </c>
      <c r="E275" s="28">
        <f>IF(D275&gt;=IF(MONTH($C275)=4,$C$3,IF(MONTH($C275)=5,$C$4,IF(MONTH($C275)=6,$C$5,IF(MONTH($C275)=7,$C$6,"ERROR")))),1,0)</f>
        <v>0</v>
      </c>
      <c r="F275" s="30">
        <f>VLOOKUP($C275,COS!$B$8:$H$991,7,FALSE)</f>
        <v>50.026283264160156</v>
      </c>
      <c r="G275" s="28">
        <f>IF(F275&lt;=IF(MONTH($C275)=4,$F$3,IF(MONTH($C275)=5,$F$4,IF(MONTH($C275)=6,$F$5,IF(MONTH($C275)=7,$F$6,"ERROR")))),1,0)</f>
        <v>1</v>
      </c>
      <c r="H275" s="30">
        <f>IF(J275=1,D275-$C$3,0)</f>
        <v>0</v>
      </c>
      <c r="I275" s="30">
        <f t="shared" si="342"/>
        <v>0</v>
      </c>
      <c r="J275" s="28">
        <f t="shared" ref="J275:J278" si="434">IF(AND(E275=1,G275=1),1,0)</f>
        <v>0</v>
      </c>
      <c r="K275" s="30">
        <f>VLOOKUP($C275,COS!$B$8:$H$991,2,FALSE)</f>
        <v>4516.4619140625</v>
      </c>
      <c r="L275" s="28">
        <f t="shared" ref="L275:L332" si="435">IF(K275&lt;=IF(MONTH($C275)=4,$I$3,IF(MONTH($C275)=5,$I$4,IF(MONTH($C275)=6,$I$5,IF(MONTH($C275)=7,$I$6,"ERROR")))),1,0)</f>
        <v>1</v>
      </c>
      <c r="M275" s="28">
        <f t="shared" ref="M275:M332" si="436">VLOOKUP($A275,$L$3:$M$7,2,FALSE)</f>
        <v>0</v>
      </c>
      <c r="N275" s="30">
        <f>VLOOKUP($C275,COS!$B$8:$H$991,5,FALSE)</f>
        <v>285.89596557617188</v>
      </c>
      <c r="O275" s="30">
        <f t="shared" ref="O275:O278" si="437">N275*DAY($C275)*86400/43560/1000</f>
        <v>17.011991340069731</v>
      </c>
      <c r="P275" s="30">
        <f>VLOOKUP($C275,COS!$B$8:$H$991,6,FALSE)</f>
        <v>523.71405029296875</v>
      </c>
      <c r="Q275" s="30">
        <f t="shared" ref="Q275:Q278" si="438">P275*DAY($C275)*86400/43560/1000</f>
        <v>31.16315010007748</v>
      </c>
      <c r="R275" s="30">
        <f>MIN(IF(MONTH($C275)=4,$S$3,IF(MONTH($C275)=5,$S$4,IF(MONTH($C275)=6,$S$5,IF(MONTH($C275)=7,$S$6,"ERROR")))),MAX(VLOOKUP($C275,COS!$B$8:$K$991,10,FALSE)-IF(MONTH($C275)=4,$Y$3,IF(MONTH($C275)=5,$Y$4,IF(MONTH($C275)=6,$Y$5,IF(MONTH($C275)=7,$Y$6,"ERROR")))),0),MAX(VLOOKUP($C275,COS!$B$8:$K$991,9,FALSE)-IF(MONTH($C275)=4,$V$3,IF(MONTH($C275)=5,$V$4,IF(MONTH($C275)=6,$V$5,IF(MONTH($C275)=7,$V$6,"ERROR"))))-VLOOKUP($C275,COS!$B$8:$K$991,6,FALSE)/2,0))</f>
        <v>0</v>
      </c>
      <c r="S275" s="30">
        <f t="shared" ref="S275:S278" si="439">R275*DAY($C275)*86400/43560/1000</f>
        <v>0</v>
      </c>
      <c r="T275" s="30">
        <f t="shared" ref="T275:T278" si="440">(O275+Q275)/2+S275</f>
        <v>24.087570720073607</v>
      </c>
      <c r="U275" s="30" t="str">
        <f>IF(VLOOKUP($C275,COS!$B$8:$I$991,8,FALSE)=1,"UWFE","IBU")</f>
        <v>UWFE</v>
      </c>
      <c r="V275" s="30">
        <f t="shared" ref="V275" si="441">MIN(IF(IF($AA$3=2,AND(E275=1,G275=1,L275=1,L280=1,M275=1,U275="IBU"),AND(E275=1,G275=1,L275=1,L280=1,M275=1)),T275,0),I275)</f>
        <v>0</v>
      </c>
      <c r="W275" s="30"/>
      <c r="X275" s="30"/>
      <c r="Y275" s="30"/>
      <c r="Z275" s="30"/>
      <c r="AA275" s="30"/>
      <c r="AB275" s="31"/>
    </row>
    <row r="276" spans="1:28" x14ac:dyDescent="0.3">
      <c r="A276" s="32">
        <f>VLOOKUP(YEAR(C276),Flags!$A$13:$B$95,2,FALSE)</f>
        <v>2</v>
      </c>
      <c r="B276" s="24">
        <f t="shared" si="432"/>
        <v>1951</v>
      </c>
      <c r="C276" s="25">
        <v>18779</v>
      </c>
      <c r="D276" s="26">
        <f>VLOOKUP($C276,COS!$B$8:$H$991,3,FALSE)</f>
        <v>6537.244140625</v>
      </c>
      <c r="E276" s="24">
        <f>IF(D276&gt;=IF(MONTH($C276)=4,$C$3,IF(MONTH($C276)=5,$C$4,IF(MONTH($C276)=6,$C$5,IF(MONTH($C276)=7,$C$6,"ERROR")))),1,0)</f>
        <v>1</v>
      </c>
      <c r="F276" s="26">
        <f>VLOOKUP($C276,COS!$B$8:$H$991,7,FALSE)</f>
        <v>50.078166961669922</v>
      </c>
      <c r="G276" s="24">
        <f>IF(F276&lt;=IF(MONTH($C276)=4,$F$3,IF(MONTH($C276)=5,$F$4,IF(MONTH($C276)=6,$F$5,IF(MONTH($C276)=7,$F$6,"ERROR")))),1,0)</f>
        <v>1</v>
      </c>
      <c r="H276" s="26">
        <f>IF(J276=1,D276-$C$4,0)</f>
        <v>537.244140625</v>
      </c>
      <c r="I276" s="26">
        <f t="shared" si="342"/>
        <v>33.033854597107435</v>
      </c>
      <c r="J276" s="24">
        <f t="shared" si="434"/>
        <v>1</v>
      </c>
      <c r="K276" s="26">
        <f>VLOOKUP($C276,COS!$B$8:$H$991,2,FALSE)</f>
        <v>4552</v>
      </c>
      <c r="L276" s="24">
        <f t="shared" si="435"/>
        <v>1</v>
      </c>
      <c r="M276" s="24">
        <f t="shared" si="436"/>
        <v>0</v>
      </c>
      <c r="N276" s="26">
        <f>VLOOKUP($C276,COS!$B$8:$H$991,5,FALSE)</f>
        <v>725.94110107421875</v>
      </c>
      <c r="O276" s="26">
        <f t="shared" si="437"/>
        <v>44.636378446216426</v>
      </c>
      <c r="P276" s="26">
        <f>VLOOKUP($C276,COS!$B$8:$H$991,6,FALSE)</f>
        <v>1961.9442138671875</v>
      </c>
      <c r="Q276" s="26">
        <f t="shared" si="438"/>
        <v>120.63524753034608</v>
      </c>
      <c r="R276" s="26">
        <f>MIN(IF(MONTH($C276)=4,$S$3,IF(MONTH($C276)=5,$S$4,IF(MONTH($C276)=6,$S$5,IF(MONTH($C276)=7,$S$6,"ERROR")))),MAX(VLOOKUP($C276,COS!$B$8:$K$991,10,FALSE)-IF(MONTH($C276)=4,$Y$3,IF(MONTH($C276)=5,$Y$4,IF(MONTH($C276)=6,$Y$5,IF(MONTH($C276)=7,$Y$6,"ERROR")))),0),MAX(VLOOKUP($C276,COS!$B$8:$K$991,9,FALSE)-IF(MONTH($C276)=4,$V$3,IF(MONTH($C276)=5,$V$4,IF(MONTH($C276)=6,$V$5,IF(MONTH($C276)=7,$V$6,"ERROR"))))-VLOOKUP($C276,COS!$B$8:$K$991,6,FALSE)/2,0))</f>
        <v>0</v>
      </c>
      <c r="S276" s="26">
        <f t="shared" si="439"/>
        <v>0</v>
      </c>
      <c r="T276" s="26">
        <f t="shared" si="440"/>
        <v>82.635812988281259</v>
      </c>
      <c r="U276" s="26" t="str">
        <f>IF(VLOOKUP($C276,COS!$B$8:$I$991,8,FALSE)=1,"UWFE","IBU")</f>
        <v>UWFE</v>
      </c>
      <c r="V276" s="26">
        <f t="shared" ref="V276" si="442">MIN(IF(IF($AA$3=2,AND(E276=1,G276=1,L276=1,L280=1,M276=1,U276="IBU"),AND(E276=1,G276=1,L276=1,L280=1,M276=1)),T276,0),I276)</f>
        <v>0</v>
      </c>
      <c r="W276" s="26"/>
      <c r="X276" s="26"/>
      <c r="Y276" s="26"/>
      <c r="Z276" s="26"/>
      <c r="AA276" s="26"/>
      <c r="AB276" s="33"/>
    </row>
    <row r="277" spans="1:28" x14ac:dyDescent="0.3">
      <c r="A277" s="32">
        <f>VLOOKUP(YEAR(C277),Flags!$A$13:$B$95,2,FALSE)</f>
        <v>2</v>
      </c>
      <c r="B277" s="24">
        <f t="shared" si="432"/>
        <v>1951</v>
      </c>
      <c r="C277" s="25">
        <v>18809</v>
      </c>
      <c r="D277" s="26">
        <f>VLOOKUP($C277,COS!$B$8:$H$991,3,FALSE)</f>
        <v>10659.24609375</v>
      </c>
      <c r="E277" s="24">
        <f>IF(D277&gt;=IF(MONTH($C277)=4,$C$3,IF(MONTH($C277)=5,$C$4,IF(MONTH($C277)=6,$C$5,IF(MONTH($C277)=7,$C$6,"ERROR")))),1,0)</f>
        <v>1</v>
      </c>
      <c r="F277" s="26">
        <f>VLOOKUP($C277,COS!$B$8:$H$991,7,FALSE)</f>
        <v>49.92681884765625</v>
      </c>
      <c r="G277" s="24">
        <f>IF(F277&lt;=IF(MONTH($C277)=4,$F$3,IF(MONTH($C277)=5,$F$4,IF(MONTH($C277)=6,$F$5,IF(MONTH($C277)=7,$F$6,"ERROR")))),1,0)</f>
        <v>1</v>
      </c>
      <c r="H277" s="26">
        <f>IF(J277=1,D277-$C$5,0)</f>
        <v>659.24609375</v>
      </c>
      <c r="I277" s="26">
        <f t="shared" si="342"/>
        <v>39.227866735537184</v>
      </c>
      <c r="J277" s="24">
        <f t="shared" si="434"/>
        <v>1</v>
      </c>
      <c r="K277" s="26">
        <f>VLOOKUP($C277,COS!$B$8:$H$991,2,FALSE)</f>
        <v>4123.96142578125</v>
      </c>
      <c r="L277" s="24">
        <f t="shared" si="435"/>
        <v>1</v>
      </c>
      <c r="M277" s="24">
        <f t="shared" si="436"/>
        <v>0</v>
      </c>
      <c r="N277" s="26">
        <f>VLOOKUP($C277,COS!$B$8:$H$991,5,FALSE)</f>
        <v>977.7628173828125</v>
      </c>
      <c r="O277" s="26">
        <f t="shared" si="437"/>
        <v>58.180927976497934</v>
      </c>
      <c r="P277" s="26">
        <f>VLOOKUP($C277,COS!$B$8:$H$991,6,FALSE)</f>
        <v>2422.49462890625</v>
      </c>
      <c r="Q277" s="26">
        <f t="shared" si="438"/>
        <v>144.14844072830579</v>
      </c>
      <c r="R277" s="26">
        <f>MIN(IF(MONTH($C277)=4,$S$3,IF(MONTH($C277)=5,$S$4,IF(MONTH($C277)=6,$S$5,IF(MONTH($C277)=7,$S$6,"ERROR")))),MAX(VLOOKUP($C277,COS!$B$8:$K$991,10,FALSE)-IF(MONTH($C277)=4,$Y$3,IF(MONTH($C277)=5,$Y$4,IF(MONTH($C277)=6,$Y$5,IF(MONTH($C277)=7,$Y$6,"ERROR")))),0),MAX(VLOOKUP($C277,COS!$B$8:$K$991,9,FALSE)-IF(MONTH($C277)=4,$V$3,IF(MONTH($C277)=5,$V$4,IF(MONTH($C277)=6,$V$5,IF(MONTH($C277)=7,$V$6,"ERROR"))))-VLOOKUP($C277,COS!$B$8:$K$991,6,FALSE)/2,0))</f>
        <v>0</v>
      </c>
      <c r="S277" s="26">
        <f t="shared" si="439"/>
        <v>0</v>
      </c>
      <c r="T277" s="26">
        <f t="shared" si="440"/>
        <v>101.16468435240186</v>
      </c>
      <c r="U277" s="26" t="str">
        <f>IF(VLOOKUP($C277,COS!$B$8:$I$991,8,FALSE)=1,"UWFE","IBU")</f>
        <v>IBU</v>
      </c>
      <c r="V277" s="26">
        <f t="shared" ref="V277" si="443">MIN(IF(IF($AA$3=2,AND(E277=1,G277=1,L277=1,L280=1,M277=1,U277="IBU"),AND(E277=1,G277=1,L277=1,L280=1,M277=1)),T277,0),I277)</f>
        <v>0</v>
      </c>
      <c r="W277" s="26"/>
      <c r="X277" s="26"/>
      <c r="Y277" s="26"/>
      <c r="Z277" s="26"/>
      <c r="AA277" s="26"/>
      <c r="AB277" s="33"/>
    </row>
    <row r="278" spans="1:28" x14ac:dyDescent="0.3">
      <c r="A278" s="32">
        <f>VLOOKUP(YEAR(C278),Flags!$A$13:$B$95,2,FALSE)</f>
        <v>2</v>
      </c>
      <c r="B278" s="24">
        <f t="shared" si="432"/>
        <v>1951</v>
      </c>
      <c r="C278" s="25">
        <v>18840</v>
      </c>
      <c r="D278" s="26">
        <f>VLOOKUP($C278,COS!$B$8:$H$991,3,FALSE)</f>
        <v>16000</v>
      </c>
      <c r="E278" s="24">
        <f>IF(D278&gt;=IF(MONTH($C278)=4,$C$3,IF(MONTH($C278)=5,$C$4,IF(MONTH($C278)=6,$C$5,IF(MONTH($C278)=7,$C$6,"ERROR")))),1,0)</f>
        <v>1</v>
      </c>
      <c r="F278" s="26">
        <f>VLOOKUP($C278,COS!$B$8:$H$991,7,FALSE)</f>
        <v>50.000553131103516</v>
      </c>
      <c r="G278" s="24">
        <f>IF(F278&lt;=IF(MONTH($C278)=4,$F$3,IF(MONTH($C278)=5,$F$4,IF(MONTH($C278)=6,$F$5,IF(MONTH($C278)=7,$F$6,"ERROR")))),1,0)</f>
        <v>1</v>
      </c>
      <c r="H278" s="26">
        <f>IF(J278=1,D278-$C$6,0)</f>
        <v>4000</v>
      </c>
      <c r="I278" s="26">
        <f t="shared" si="342"/>
        <v>245.95041322314049</v>
      </c>
      <c r="J278" s="24">
        <f t="shared" si="434"/>
        <v>1</v>
      </c>
      <c r="K278" s="26">
        <f>VLOOKUP($C278,COS!$B$8:$H$991,2,FALSE)</f>
        <v>3378.982666015625</v>
      </c>
      <c r="L278" s="24">
        <f t="shared" si="435"/>
        <v>1</v>
      </c>
      <c r="M278" s="24">
        <f t="shared" si="436"/>
        <v>0</v>
      </c>
      <c r="N278" s="26">
        <f>VLOOKUP($C278,COS!$B$8:$H$991,5,FALSE)</f>
        <v>1073.9122314453125</v>
      </c>
      <c r="O278" s="26">
        <f t="shared" si="437"/>
        <v>66.032289272339867</v>
      </c>
      <c r="P278" s="26">
        <f>VLOOKUP($C278,COS!$B$8:$H$991,6,FALSE)</f>
        <v>2562.892822265625</v>
      </c>
      <c r="Q278" s="26">
        <f t="shared" si="438"/>
        <v>157.58613717071282</v>
      </c>
      <c r="R278" s="26">
        <f>MIN(IF(MONTH($C278)=4,$S$3,IF(MONTH($C278)=5,$S$4,IF(MONTH($C278)=6,$S$5,IF(MONTH($C278)=7,$S$6,"ERROR")))),MAX(VLOOKUP($C278,COS!$B$8:$K$991,10,FALSE)-IF(MONTH($C278)=4,$Y$3,IF(MONTH($C278)=5,$Y$4,IF(MONTH($C278)=6,$Y$5,IF(MONTH($C278)=7,$Y$6,"ERROR")))),0),MAX(VLOOKUP($C278,COS!$B$8:$K$991,9,FALSE)-IF(MONTH($C278)=4,$V$3,IF(MONTH($C278)=5,$V$4,IF(MONTH($C278)=6,$V$5,IF(MONTH($C278)=7,$V$6,"ERROR"))))-VLOOKUP($C278,COS!$B$8:$K$991,6,FALSE)/2,0))</f>
        <v>0</v>
      </c>
      <c r="S278" s="26">
        <f t="shared" si="439"/>
        <v>0</v>
      </c>
      <c r="T278" s="26">
        <f t="shared" si="440"/>
        <v>111.80921322152633</v>
      </c>
      <c r="U278" s="26" t="str">
        <f>IF(VLOOKUP($C278,COS!$B$8:$I$991,8,FALSE)=1,"UWFE","IBU")</f>
        <v>IBU</v>
      </c>
      <c r="V278" s="26">
        <f t="shared" ref="V278" si="444">MIN(IF(IF($AA$3=2,AND(E278=1,G278=1,L278=1,L280=1,M278=1,U278="IBU"),AND(E278=1,G278=1,L278=1,L280=1,M278=1)),T278,0),I278)</f>
        <v>0</v>
      </c>
      <c r="W278" s="26"/>
      <c r="X278" s="26"/>
      <c r="Y278" s="26"/>
      <c r="Z278" s="26"/>
      <c r="AA278" s="26"/>
      <c r="AB278" s="33"/>
    </row>
    <row r="279" spans="1:28" x14ac:dyDescent="0.3">
      <c r="A279" s="32">
        <f>VLOOKUP(YEAR(C279),Flags!$A$13:$B$95,2,FALSE)</f>
        <v>2</v>
      </c>
      <c r="B279" s="24">
        <f t="shared" si="432"/>
        <v>1951</v>
      </c>
      <c r="C279" s="25">
        <v>18871</v>
      </c>
      <c r="D279" s="26"/>
      <c r="E279" s="24"/>
      <c r="F279" s="26"/>
      <c r="G279" s="24"/>
      <c r="H279" s="24"/>
      <c r="I279" s="26"/>
      <c r="J279" s="24"/>
      <c r="K279" s="26"/>
      <c r="L279" s="24"/>
      <c r="M279" s="24"/>
      <c r="N279" s="26"/>
      <c r="O279" s="26"/>
      <c r="P279" s="26"/>
      <c r="Q279" s="26"/>
      <c r="R279" s="26"/>
      <c r="S279" s="26"/>
      <c r="T279" s="26"/>
      <c r="U279" s="26"/>
      <c r="V279" s="26"/>
      <c r="W279" s="26">
        <f>MAX($C$7-VLOOKUP($C279,COS!$B$8:$H$991,3,FALSE),0)</f>
        <v>88694.990234375</v>
      </c>
      <c r="X279" s="26">
        <f t="shared" si="347"/>
        <v>5453.6423747417357</v>
      </c>
      <c r="Y279" s="26">
        <f>VLOOKUP($C279,COS!$B$8:$H$991,4,FALSE)</f>
        <v>0</v>
      </c>
      <c r="Z279" s="26">
        <f t="shared" si="348"/>
        <v>0</v>
      </c>
      <c r="AA279" s="26">
        <f t="shared" ref="AA279:AA283" si="445">MIN(W279,Y279)</f>
        <v>0</v>
      </c>
      <c r="AB279" s="33">
        <f t="shared" ref="AB279:AB337" si="446">AA279*DAY($C279)*86400/43560/1000*IF(MONTH($C279)=8,$P$3,IF(MONTH($C279)=9,$P$4,IF(MONTH($C279)=10,$P$5,IF(MONTH($C279)=11,$P$6,IF(MONTH($C279)=12,$P$7,NA())))))</f>
        <v>0</v>
      </c>
    </row>
    <row r="280" spans="1:28" x14ac:dyDescent="0.3">
      <c r="A280" s="32">
        <f>VLOOKUP(YEAR(C280),Flags!$A$13:$B$95,2,FALSE)</f>
        <v>2</v>
      </c>
      <c r="B280" s="24">
        <f t="shared" si="432"/>
        <v>1951</v>
      </c>
      <c r="C280" s="25">
        <v>18901</v>
      </c>
      <c r="D280" s="26"/>
      <c r="E280" s="24"/>
      <c r="F280" s="26"/>
      <c r="G280" s="24"/>
      <c r="H280" s="24"/>
      <c r="I280" s="26"/>
      <c r="J280" s="24"/>
      <c r="K280" s="26">
        <f>VLOOKUP($C280,COS!$B$8:$H$991,2,FALSE)</f>
        <v>2661.90625</v>
      </c>
      <c r="L280" s="24">
        <f t="shared" ref="L280" si="447">IF(AND(K280&gt;$I$7,K280&lt;$I$8),1,0)</f>
        <v>1</v>
      </c>
      <c r="M280" s="24"/>
      <c r="N280" s="26"/>
      <c r="O280" s="26"/>
      <c r="P280" s="26"/>
      <c r="Q280" s="26"/>
      <c r="R280" s="26"/>
      <c r="S280" s="26"/>
      <c r="T280" s="26"/>
      <c r="U280" s="26"/>
      <c r="V280" s="26"/>
      <c r="W280" s="26">
        <f>MAX($C$8-VLOOKUP($C280,COS!$B$8:$H$991,3,FALSE),0)</f>
        <v>90025.66796875</v>
      </c>
      <c r="X280" s="26">
        <f t="shared" si="347"/>
        <v>5356.8992510330572</v>
      </c>
      <c r="Y280" s="26">
        <f>VLOOKUP($C280,COS!$B$8:$H$991,4,FALSE)</f>
        <v>0</v>
      </c>
      <c r="Z280" s="26">
        <f t="shared" si="348"/>
        <v>0</v>
      </c>
      <c r="AA280" s="26">
        <f t="shared" si="445"/>
        <v>0</v>
      </c>
      <c r="AB280" s="33">
        <f t="shared" si="446"/>
        <v>0</v>
      </c>
    </row>
    <row r="281" spans="1:28" x14ac:dyDescent="0.3">
      <c r="A281" s="32">
        <f>VLOOKUP(YEAR(C281),Flags!$A$13:$B$95,2,FALSE)</f>
        <v>2</v>
      </c>
      <c r="B281" s="24">
        <f t="shared" si="432"/>
        <v>1951</v>
      </c>
      <c r="C281" s="25">
        <v>18932</v>
      </c>
      <c r="D281" s="26"/>
      <c r="E281" s="24"/>
      <c r="F281" s="26"/>
      <c r="G281" s="26"/>
      <c r="H281" s="26"/>
      <c r="I281" s="26"/>
      <c r="J281" s="26"/>
      <c r="K281" s="26"/>
      <c r="L281" s="24"/>
      <c r="M281" s="24"/>
      <c r="N281" s="26"/>
      <c r="O281" s="26"/>
      <c r="P281" s="26"/>
      <c r="Q281" s="26"/>
      <c r="R281" s="26"/>
      <c r="S281" s="26"/>
      <c r="T281" s="26"/>
      <c r="U281" s="26"/>
      <c r="V281" s="26"/>
      <c r="W281" s="26">
        <f>MAX($C$9-VLOOKUP($C281,COS!$B$8:$H$991,3,FALSE),0)</f>
        <v>92899.10302734375</v>
      </c>
      <c r="X281" s="26">
        <f t="shared" si="347"/>
        <v>5712.1431944085743</v>
      </c>
      <c r="Y281" s="26">
        <f>VLOOKUP($C281,COS!$B$8:$H$991,4,FALSE)</f>
        <v>951.9967041015625</v>
      </c>
      <c r="Z281" s="26">
        <f t="shared" si="348"/>
        <v>58.535995690211777</v>
      </c>
      <c r="AA281" s="26">
        <f t="shared" si="445"/>
        <v>951.9967041015625</v>
      </c>
      <c r="AB281" s="33">
        <f t="shared" si="446"/>
        <v>58.535995690211777</v>
      </c>
    </row>
    <row r="282" spans="1:28" x14ac:dyDescent="0.3">
      <c r="A282" s="32">
        <f>VLOOKUP(YEAR(C282),Flags!$A$13:$B$95,2,FALSE)</f>
        <v>2</v>
      </c>
      <c r="B282" s="24">
        <f t="shared" si="432"/>
        <v>1951</v>
      </c>
      <c r="C282" s="25">
        <v>18962</v>
      </c>
      <c r="D282" s="26"/>
      <c r="E282" s="24"/>
      <c r="F282" s="26"/>
      <c r="G282" s="26"/>
      <c r="H282" s="26"/>
      <c r="I282" s="26"/>
      <c r="J282" s="26"/>
      <c r="K282" s="26"/>
      <c r="L282" s="24"/>
      <c r="M282" s="24"/>
      <c r="N282" s="26"/>
      <c r="O282" s="26"/>
      <c r="P282" s="26"/>
      <c r="Q282" s="26"/>
      <c r="R282" s="26"/>
      <c r="S282" s="26"/>
      <c r="T282" s="26"/>
      <c r="U282" s="26"/>
      <c r="V282" s="26"/>
      <c r="W282" s="26">
        <f>MAX($C$10-VLOOKUP($C282,COS!$B$8:$H$991,3,FALSE),0)</f>
        <v>91653.669921875</v>
      </c>
      <c r="X282" s="26">
        <f t="shared" si="347"/>
        <v>5453.7720945247929</v>
      </c>
      <c r="Y282" s="26">
        <f>VLOOKUP($C282,COS!$B$8:$H$991,4,FALSE)</f>
        <v>1099.94921875</v>
      </c>
      <c r="Z282" s="26">
        <f t="shared" si="348"/>
        <v>65.451523760330574</v>
      </c>
      <c r="AA282" s="26">
        <f t="shared" si="445"/>
        <v>1099.94921875</v>
      </c>
      <c r="AB282" s="33">
        <f t="shared" si="446"/>
        <v>32.725761880165287</v>
      </c>
    </row>
    <row r="283" spans="1:28" x14ac:dyDescent="0.3">
      <c r="A283" s="34">
        <f>VLOOKUP(YEAR(C283),Flags!$A$13:$B$95,2,FALSE)</f>
        <v>2</v>
      </c>
      <c r="B283" s="35">
        <f t="shared" si="432"/>
        <v>1951</v>
      </c>
      <c r="C283" s="36">
        <v>18993</v>
      </c>
      <c r="D283" s="37"/>
      <c r="E283" s="35"/>
      <c r="F283" s="37"/>
      <c r="G283" s="37"/>
      <c r="H283" s="37"/>
      <c r="I283" s="37"/>
      <c r="J283" s="37"/>
      <c r="K283" s="37"/>
      <c r="L283" s="35"/>
      <c r="M283" s="35"/>
      <c r="N283" s="37"/>
      <c r="O283" s="37"/>
      <c r="P283" s="37"/>
      <c r="Q283" s="37"/>
      <c r="R283" s="37"/>
      <c r="S283" s="37"/>
      <c r="T283" s="37"/>
      <c r="U283" s="37"/>
      <c r="V283" s="37"/>
      <c r="W283" s="37">
        <f>MAX($C$11-VLOOKUP($C283,COS!$B$8:$H$991,3,FALSE),0)</f>
        <v>0</v>
      </c>
      <c r="X283" s="37">
        <f t="shared" ref="X283:X346" si="448">W283*DAY($C283)*86400/43560/1000</f>
        <v>0</v>
      </c>
      <c r="Y283" s="37">
        <f>VLOOKUP($C283,COS!$B$8:$H$991,4,FALSE)</f>
        <v>0</v>
      </c>
      <c r="Z283" s="37">
        <f t="shared" ref="Z283:Z346" si="449">Y283*DAY($C283)*86400/43560/1000</f>
        <v>0</v>
      </c>
      <c r="AA283" s="37">
        <f t="shared" si="445"/>
        <v>0</v>
      </c>
      <c r="AB283" s="38">
        <f t="shared" si="446"/>
        <v>0</v>
      </c>
    </row>
    <row r="284" spans="1:28" x14ac:dyDescent="0.3">
      <c r="A284" s="27">
        <f>VLOOKUP(YEAR(C284),Flags!$A$13:$B$95,2,FALSE)</f>
        <v>1</v>
      </c>
      <c r="B284" s="28">
        <f t="shared" si="432"/>
        <v>1952</v>
      </c>
      <c r="C284" s="29">
        <v>19114</v>
      </c>
      <c r="D284" s="30">
        <f>VLOOKUP($C284,COS!$B$8:$H$991,3,FALSE)</f>
        <v>16481.419921875</v>
      </c>
      <c r="E284" s="28">
        <f>IF(D284&gt;=IF(MONTH($C284)=4,$C$3,IF(MONTH($C284)=5,$C$4,IF(MONTH($C284)=6,$C$5,IF(MONTH($C284)=7,$C$6,"ERROR")))),1,0)</f>
        <v>1</v>
      </c>
      <c r="F284" s="30">
        <f>VLOOKUP($C284,COS!$B$8:$H$991,7,FALSE)</f>
        <v>46.811973571777344</v>
      </c>
      <c r="G284" s="28">
        <f>IF(F284&lt;=IF(MONTH($C284)=4,$F$3,IF(MONTH($C284)=5,$F$4,IF(MONTH($C284)=6,$F$5,IF(MONTH($C284)=7,$F$6,"ERROR")))),1,0)</f>
        <v>1</v>
      </c>
      <c r="H284" s="30">
        <f>IF(J284=1,D284-$C$3,0)</f>
        <v>10481.419921875</v>
      </c>
      <c r="I284" s="30">
        <f t="shared" ref="I284:I347" si="450">H284*DAY($C284)*86400/43560/1000</f>
        <v>623.68779700413222</v>
      </c>
      <c r="J284" s="28">
        <f t="shared" ref="J284:J287" si="451">IF(AND(E284=1,G284=1),1,0)</f>
        <v>1</v>
      </c>
      <c r="K284" s="30">
        <f>VLOOKUP($C284,COS!$B$8:$H$991,2,FALSE)</f>
        <v>4290</v>
      </c>
      <c r="L284" s="28">
        <f t="shared" ref="L284" si="452">IF(K284&lt;=IF(MONTH($C284)=4,$I$3,IF(MONTH($C284)=5,$I$4,IF(MONTH($C284)=6,$I$5,IF(MONTH($C284)=7,$I$6,"ERROR")))),1,0)</f>
        <v>1</v>
      </c>
      <c r="M284" s="28">
        <f t="shared" ref="M284" si="453">VLOOKUP($A284,$L$3:$M$7,2,FALSE)</f>
        <v>0</v>
      </c>
      <c r="N284" s="30">
        <f>VLOOKUP($C284,COS!$B$8:$H$991,5,FALSE)</f>
        <v>93.1021728515625</v>
      </c>
      <c r="O284" s="30">
        <f t="shared" ref="O284:O287" si="454">N284*DAY($C284)*86400/43560/1000</f>
        <v>5.5399640043904954</v>
      </c>
      <c r="P284" s="30">
        <f>VLOOKUP($C284,COS!$B$8:$H$991,6,FALSE)</f>
        <v>430.79507446289063</v>
      </c>
      <c r="Q284" s="30">
        <f t="shared" ref="Q284:Q287" si="455">P284*DAY($C284)*86400/43560/1000</f>
        <v>25.63408707547779</v>
      </c>
      <c r="R284" s="30">
        <f>MIN(IF(MONTH($C284)=4,$S$3,IF(MONTH($C284)=5,$S$4,IF(MONTH($C284)=6,$S$5,IF(MONTH($C284)=7,$S$6,"ERROR")))),MAX(VLOOKUP($C284,COS!$B$8:$K$991,10,FALSE)-IF(MONTH($C284)=4,$Y$3,IF(MONTH($C284)=5,$Y$4,IF(MONTH($C284)=6,$Y$5,IF(MONTH($C284)=7,$Y$6,"ERROR")))),0),MAX(VLOOKUP($C284,COS!$B$8:$K$991,9,FALSE)-IF(MONTH($C284)=4,$V$3,IF(MONTH($C284)=5,$V$4,IF(MONTH($C284)=6,$V$5,IF(MONTH($C284)=7,$V$6,"ERROR"))))-VLOOKUP($C284,COS!$B$8:$K$991,6,FALSE)/2,0))</f>
        <v>0</v>
      </c>
      <c r="S284" s="30">
        <f t="shared" ref="S284:S287" si="456">R284*DAY($C284)*86400/43560/1000</f>
        <v>0</v>
      </c>
      <c r="T284" s="30">
        <f t="shared" ref="T284:T287" si="457">(O284+Q284)/2+S284</f>
        <v>15.587025539934142</v>
      </c>
      <c r="U284" s="30" t="str">
        <f>IF(VLOOKUP($C284,COS!$B$8:$I$991,8,FALSE)=1,"UWFE","IBU")</f>
        <v>UWFE</v>
      </c>
      <c r="V284" s="30">
        <f t="shared" ref="V284" si="458">MIN(IF(IF($AA$3=2,AND(E284=1,G284=1,L284=1,L289=1,M284=1,U284="IBU"),AND(E284=1,G284=1,L284=1,L289=1,M284=1)),T284,0),I284)</f>
        <v>0</v>
      </c>
      <c r="W284" s="30"/>
      <c r="X284" s="30"/>
      <c r="Y284" s="30"/>
      <c r="Z284" s="30"/>
      <c r="AA284" s="30"/>
      <c r="AB284" s="31"/>
    </row>
    <row r="285" spans="1:28" x14ac:dyDescent="0.3">
      <c r="A285" s="32">
        <f>VLOOKUP(YEAR(C285),Flags!$A$13:$B$95,2,FALSE)</f>
        <v>1</v>
      </c>
      <c r="B285" s="24">
        <f t="shared" si="432"/>
        <v>1952</v>
      </c>
      <c r="C285" s="25">
        <v>19145</v>
      </c>
      <c r="D285" s="26">
        <f>VLOOKUP($C285,COS!$B$8:$H$991,3,FALSE)</f>
        <v>7205.154296875</v>
      </c>
      <c r="E285" s="24">
        <f>IF(D285&gt;=IF(MONTH($C285)=4,$C$3,IF(MONTH($C285)=5,$C$4,IF(MONTH($C285)=6,$C$5,IF(MONTH($C285)=7,$C$6,"ERROR")))),1,0)</f>
        <v>1</v>
      </c>
      <c r="F285" s="26">
        <f>VLOOKUP($C285,COS!$B$8:$H$991,7,FALSE)</f>
        <v>49.908802032470703</v>
      </c>
      <c r="G285" s="24">
        <f>IF(F285&lt;=IF(MONTH($C285)=4,$F$3,IF(MONTH($C285)=5,$F$4,IF(MONTH($C285)=6,$F$5,IF(MONTH($C285)=7,$F$6,"ERROR")))),1,0)</f>
        <v>1</v>
      </c>
      <c r="H285" s="26">
        <f>IF(J285=1,D285-$C$4,0)</f>
        <v>1205.154296875</v>
      </c>
      <c r="I285" s="26">
        <f t="shared" si="450"/>
        <v>74.102049328512393</v>
      </c>
      <c r="J285" s="24">
        <f t="shared" si="451"/>
        <v>1</v>
      </c>
      <c r="K285" s="26">
        <f>VLOOKUP($C285,COS!$B$8:$H$991,2,FALSE)</f>
        <v>4552</v>
      </c>
      <c r="L285" s="24">
        <f t="shared" si="435"/>
        <v>1</v>
      </c>
      <c r="M285" s="24">
        <f t="shared" si="436"/>
        <v>0</v>
      </c>
      <c r="N285" s="26">
        <f>VLOOKUP($C285,COS!$B$8:$H$991,5,FALSE)</f>
        <v>740.753662109375</v>
      </c>
      <c r="O285" s="26">
        <f t="shared" si="454"/>
        <v>45.547167323088843</v>
      </c>
      <c r="P285" s="26">
        <f>VLOOKUP($C285,COS!$B$8:$H$991,6,FALSE)</f>
        <v>2298.94775390625</v>
      </c>
      <c r="Q285" s="26">
        <f t="shared" si="455"/>
        <v>141.35678751291323</v>
      </c>
      <c r="R285" s="26">
        <f>MIN(IF(MONTH($C285)=4,$S$3,IF(MONTH($C285)=5,$S$4,IF(MONTH($C285)=6,$S$5,IF(MONTH($C285)=7,$S$6,"ERROR")))),MAX(VLOOKUP($C285,COS!$B$8:$K$991,10,FALSE)-IF(MONTH($C285)=4,$Y$3,IF(MONTH($C285)=5,$Y$4,IF(MONTH($C285)=6,$Y$5,IF(MONTH($C285)=7,$Y$6,"ERROR")))),0),MAX(VLOOKUP($C285,COS!$B$8:$K$991,9,FALSE)-IF(MONTH($C285)=4,$V$3,IF(MONTH($C285)=5,$V$4,IF(MONTH($C285)=6,$V$5,IF(MONTH($C285)=7,$V$6,"ERROR"))))-VLOOKUP($C285,COS!$B$8:$K$991,6,FALSE)/2,0))</f>
        <v>0</v>
      </c>
      <c r="S285" s="26">
        <f t="shared" si="456"/>
        <v>0</v>
      </c>
      <c r="T285" s="26">
        <f t="shared" si="457"/>
        <v>93.451977418001036</v>
      </c>
      <c r="U285" s="26" t="str">
        <f>IF(VLOOKUP($C285,COS!$B$8:$I$991,8,FALSE)=1,"UWFE","IBU")</f>
        <v>UWFE</v>
      </c>
      <c r="V285" s="26">
        <f t="shared" ref="V285" si="459">MIN(IF(IF($AA$3=2,AND(E285=1,G285=1,L285=1,L289=1,M285=1,U285="IBU"),AND(E285=1,G285=1,L285=1,L289=1,M285=1)),T285,0),I285)</f>
        <v>0</v>
      </c>
      <c r="W285" s="26"/>
      <c r="X285" s="26"/>
      <c r="Y285" s="26"/>
      <c r="Z285" s="26"/>
      <c r="AA285" s="26"/>
      <c r="AB285" s="33"/>
    </row>
    <row r="286" spans="1:28" x14ac:dyDescent="0.3">
      <c r="A286" s="32">
        <f>VLOOKUP(YEAR(C286),Flags!$A$13:$B$95,2,FALSE)</f>
        <v>1</v>
      </c>
      <c r="B286" s="24">
        <f t="shared" si="432"/>
        <v>1952</v>
      </c>
      <c r="C286" s="25">
        <v>19175</v>
      </c>
      <c r="D286" s="26">
        <f>VLOOKUP($C286,COS!$B$8:$H$991,3,FALSE)</f>
        <v>6688.24560546875</v>
      </c>
      <c r="E286" s="24">
        <f>IF(D286&gt;=IF(MONTH($C286)=4,$C$3,IF(MONTH($C286)=5,$C$4,IF(MONTH($C286)=6,$C$5,IF(MONTH($C286)=7,$C$6,"ERROR")))),1,0)</f>
        <v>0</v>
      </c>
      <c r="F286" s="26">
        <f>VLOOKUP($C286,COS!$B$8:$H$991,7,FALSE)</f>
        <v>51.496559143066406</v>
      </c>
      <c r="G286" s="24">
        <f>IF(F286&lt;=IF(MONTH($C286)=4,$F$3,IF(MONTH($C286)=5,$F$4,IF(MONTH($C286)=6,$F$5,IF(MONTH($C286)=7,$F$6,"ERROR")))),1,0)</f>
        <v>1</v>
      </c>
      <c r="H286" s="26">
        <f>IF(J286=1,D286-$C$5,0)</f>
        <v>0</v>
      </c>
      <c r="I286" s="26">
        <f t="shared" si="450"/>
        <v>0</v>
      </c>
      <c r="J286" s="24">
        <f t="shared" si="451"/>
        <v>0</v>
      </c>
      <c r="K286" s="26">
        <f>VLOOKUP($C286,COS!$B$8:$H$991,2,FALSE)</f>
        <v>4500</v>
      </c>
      <c r="L286" s="24">
        <f t="shared" si="435"/>
        <v>1</v>
      </c>
      <c r="M286" s="24">
        <f t="shared" si="436"/>
        <v>0</v>
      </c>
      <c r="N286" s="26">
        <f>VLOOKUP($C286,COS!$B$8:$H$991,5,FALSE)</f>
        <v>1056.9393310546875</v>
      </c>
      <c r="O286" s="26">
        <f t="shared" si="454"/>
        <v>62.892257715650828</v>
      </c>
      <c r="P286" s="26">
        <f>VLOOKUP($C286,COS!$B$8:$H$991,6,FALSE)</f>
        <v>2224.63916015625</v>
      </c>
      <c r="Q286" s="26">
        <f t="shared" si="455"/>
        <v>132.37522275309917</v>
      </c>
      <c r="R286" s="26">
        <f>MIN(IF(MONTH($C286)=4,$S$3,IF(MONTH($C286)=5,$S$4,IF(MONTH($C286)=6,$S$5,IF(MONTH($C286)=7,$S$6,"ERROR")))),MAX(VLOOKUP($C286,COS!$B$8:$K$991,10,FALSE)-IF(MONTH($C286)=4,$Y$3,IF(MONTH($C286)=5,$Y$4,IF(MONTH($C286)=6,$Y$5,IF(MONTH($C286)=7,$Y$6,"ERROR")))),0),MAX(VLOOKUP($C286,COS!$B$8:$K$991,9,FALSE)-IF(MONTH($C286)=4,$V$3,IF(MONTH($C286)=5,$V$4,IF(MONTH($C286)=6,$V$5,IF(MONTH($C286)=7,$V$6,"ERROR"))))-VLOOKUP($C286,COS!$B$8:$K$991,6,FALSE)/2,0))</f>
        <v>0</v>
      </c>
      <c r="S286" s="26">
        <f t="shared" si="456"/>
        <v>0</v>
      </c>
      <c r="T286" s="26">
        <f t="shared" si="457"/>
        <v>97.633740234374997</v>
      </c>
      <c r="U286" s="26" t="str">
        <f>IF(VLOOKUP($C286,COS!$B$8:$I$991,8,FALSE)=1,"UWFE","IBU")</f>
        <v>UWFE</v>
      </c>
      <c r="V286" s="26">
        <f t="shared" ref="V286" si="460">MIN(IF(IF($AA$3=2,AND(E286=1,G286=1,L286=1,L289=1,M286=1,U286="IBU"),AND(E286=1,G286=1,L286=1,L289=1,M286=1)),T286,0),I286)</f>
        <v>0</v>
      </c>
      <c r="W286" s="26"/>
      <c r="X286" s="26"/>
      <c r="Y286" s="26"/>
      <c r="Z286" s="26"/>
      <c r="AA286" s="26"/>
      <c r="AB286" s="33"/>
    </row>
    <row r="287" spans="1:28" x14ac:dyDescent="0.3">
      <c r="A287" s="32">
        <f>VLOOKUP(YEAR(C287),Flags!$A$13:$B$95,2,FALSE)</f>
        <v>1</v>
      </c>
      <c r="B287" s="24">
        <f t="shared" si="432"/>
        <v>1952</v>
      </c>
      <c r="C287" s="25">
        <v>19206</v>
      </c>
      <c r="D287" s="26">
        <f>VLOOKUP($C287,COS!$B$8:$H$991,3,FALSE)</f>
        <v>9808.591796875</v>
      </c>
      <c r="E287" s="24">
        <f>IF(D287&gt;=IF(MONTH($C287)=4,$C$3,IF(MONTH($C287)=5,$C$4,IF(MONTH($C287)=6,$C$5,IF(MONTH($C287)=7,$C$6,"ERROR")))),1,0)</f>
        <v>0</v>
      </c>
      <c r="F287" s="26">
        <f>VLOOKUP($C287,COS!$B$8:$H$991,7,FALSE)</f>
        <v>52.452281951904297</v>
      </c>
      <c r="G287" s="24">
        <f>IF(F287&lt;=IF(MONTH($C287)=4,$F$3,IF(MONTH($C287)=5,$F$4,IF(MONTH($C287)=6,$F$5,IF(MONTH($C287)=7,$F$6,"ERROR")))),1,0)</f>
        <v>1</v>
      </c>
      <c r="H287" s="26">
        <f>IF(J287=1,D287-$C$6,0)</f>
        <v>0</v>
      </c>
      <c r="I287" s="26">
        <f t="shared" si="450"/>
        <v>0</v>
      </c>
      <c r="J287" s="24">
        <f t="shared" si="451"/>
        <v>0</v>
      </c>
      <c r="K287" s="26">
        <f>VLOOKUP($C287,COS!$B$8:$H$991,2,FALSE)</f>
        <v>4145.533203125</v>
      </c>
      <c r="L287" s="24">
        <f t="shared" si="435"/>
        <v>1</v>
      </c>
      <c r="M287" s="24">
        <f t="shared" si="436"/>
        <v>0</v>
      </c>
      <c r="N287" s="26">
        <f>VLOOKUP($C287,COS!$B$8:$H$991,5,FALSE)</f>
        <v>1272.6998291015625</v>
      </c>
      <c r="O287" s="26">
        <f t="shared" si="454"/>
        <v>78.255262219137393</v>
      </c>
      <c r="P287" s="26">
        <f>VLOOKUP($C287,COS!$B$8:$H$991,6,FALSE)</f>
        <v>2503.0556640625</v>
      </c>
      <c r="Q287" s="26">
        <f t="shared" si="455"/>
        <v>153.90689372417353</v>
      </c>
      <c r="R287" s="26">
        <f>MIN(IF(MONTH($C287)=4,$S$3,IF(MONTH($C287)=5,$S$4,IF(MONTH($C287)=6,$S$5,IF(MONTH($C287)=7,$S$6,"ERROR")))),MAX(VLOOKUP($C287,COS!$B$8:$K$991,10,FALSE)-IF(MONTH($C287)=4,$Y$3,IF(MONTH($C287)=5,$Y$4,IF(MONTH($C287)=6,$Y$5,IF(MONTH($C287)=7,$Y$6,"ERROR")))),0),MAX(VLOOKUP($C287,COS!$B$8:$K$991,9,FALSE)-IF(MONTH($C287)=4,$V$3,IF(MONTH($C287)=5,$V$4,IF(MONTH($C287)=6,$V$5,IF(MONTH($C287)=7,$V$6,"ERROR"))))-VLOOKUP($C287,COS!$B$8:$K$991,6,FALSE)/2,0))</f>
        <v>0</v>
      </c>
      <c r="S287" s="26">
        <f t="shared" si="456"/>
        <v>0</v>
      </c>
      <c r="T287" s="26">
        <f t="shared" si="457"/>
        <v>116.08107797165546</v>
      </c>
      <c r="U287" s="26" t="str">
        <f>IF(VLOOKUP($C287,COS!$B$8:$I$991,8,FALSE)=1,"UWFE","IBU")</f>
        <v>UWFE</v>
      </c>
      <c r="V287" s="26">
        <f t="shared" ref="V287" si="461">MIN(IF(IF($AA$3=2,AND(E287=1,G287=1,L287=1,L289=1,M287=1,U287="IBU"),AND(E287=1,G287=1,L287=1,L289=1,M287=1)),T287,0),I287)</f>
        <v>0</v>
      </c>
      <c r="W287" s="26"/>
      <c r="X287" s="26"/>
      <c r="Y287" s="26"/>
      <c r="Z287" s="26"/>
      <c r="AA287" s="26"/>
      <c r="AB287" s="33"/>
    </row>
    <row r="288" spans="1:28" x14ac:dyDescent="0.3">
      <c r="A288" s="32">
        <f>VLOOKUP(YEAR(C288),Flags!$A$13:$B$95,2,FALSE)</f>
        <v>1</v>
      </c>
      <c r="B288" s="24">
        <f t="shared" si="432"/>
        <v>1952</v>
      </c>
      <c r="C288" s="25">
        <v>19237</v>
      </c>
      <c r="D288" s="26"/>
      <c r="E288" s="24"/>
      <c r="F288" s="26"/>
      <c r="G288" s="24"/>
      <c r="H288" s="24"/>
      <c r="I288" s="26"/>
      <c r="J288" s="24"/>
      <c r="K288" s="26"/>
      <c r="L288" s="24"/>
      <c r="M288" s="24"/>
      <c r="N288" s="26"/>
      <c r="O288" s="26"/>
      <c r="P288" s="26"/>
      <c r="Q288" s="26"/>
      <c r="R288" s="26"/>
      <c r="S288" s="26"/>
      <c r="T288" s="26"/>
      <c r="U288" s="26"/>
      <c r="V288" s="26"/>
      <c r="W288" s="26">
        <f>MAX($C$7-VLOOKUP($C288,COS!$B$8:$H$991,3,FALSE),0)</f>
        <v>88187.6650390625</v>
      </c>
      <c r="X288" s="26">
        <f t="shared" si="448"/>
        <v>5422.4481643853305</v>
      </c>
      <c r="Y288" s="26">
        <f>VLOOKUP($C288,COS!$B$8:$H$991,4,FALSE)</f>
        <v>0</v>
      </c>
      <c r="Z288" s="26">
        <f t="shared" si="449"/>
        <v>0</v>
      </c>
      <c r="AA288" s="26">
        <f t="shared" ref="AA288:AA292" si="462">MIN(W288,Y288)</f>
        <v>0</v>
      </c>
      <c r="AB288" s="33">
        <f t="shared" ref="AB288" si="463">AA288*DAY($C288)*86400/43560/1000*IF(MONTH($C288)=8,$P$3,IF(MONTH($C288)=9,$P$4,IF(MONTH($C288)=10,$P$5,IF(MONTH($C288)=11,$P$6,IF(MONTH($C288)=12,$P$7,NA())))))</f>
        <v>0</v>
      </c>
    </row>
    <row r="289" spans="1:28" x14ac:dyDescent="0.3">
      <c r="A289" s="32">
        <f>VLOOKUP(YEAR(C289),Flags!$A$13:$B$95,2,FALSE)</f>
        <v>1</v>
      </c>
      <c r="B289" s="24">
        <f t="shared" si="432"/>
        <v>1952</v>
      </c>
      <c r="C289" s="25">
        <v>19267</v>
      </c>
      <c r="D289" s="26"/>
      <c r="E289" s="24"/>
      <c r="F289" s="26"/>
      <c r="G289" s="24"/>
      <c r="H289" s="24"/>
      <c r="I289" s="26"/>
      <c r="J289" s="24"/>
      <c r="K289" s="26">
        <f>VLOOKUP($C289,COS!$B$8:$H$991,2,FALSE)</f>
        <v>3316.7529296875</v>
      </c>
      <c r="L289" s="24">
        <f t="shared" ref="L289" si="464">IF(AND(K289&gt;$I$7,K289&lt;$I$8),1,0)</f>
        <v>1</v>
      </c>
      <c r="M289" s="24"/>
      <c r="N289" s="26"/>
      <c r="O289" s="26"/>
      <c r="P289" s="26"/>
      <c r="Q289" s="26"/>
      <c r="R289" s="26"/>
      <c r="S289" s="26"/>
      <c r="T289" s="26"/>
      <c r="U289" s="26"/>
      <c r="V289" s="26"/>
      <c r="W289" s="26">
        <f>MAX($C$8-VLOOKUP($C289,COS!$B$8:$H$991,3,FALSE),0)</f>
        <v>87814.3583984375</v>
      </c>
      <c r="X289" s="26">
        <f t="shared" si="448"/>
        <v>5225.3171939566118</v>
      </c>
      <c r="Y289" s="26">
        <f>VLOOKUP($C289,COS!$B$8:$H$991,4,FALSE)</f>
        <v>38.310874938964844</v>
      </c>
      <c r="Z289" s="26">
        <f t="shared" si="449"/>
        <v>2.2796553682689824</v>
      </c>
      <c r="AA289" s="26">
        <f t="shared" si="462"/>
        <v>38.310874938964844</v>
      </c>
      <c r="AB289" s="33">
        <f t="shared" si="446"/>
        <v>2.2796553682689824</v>
      </c>
    </row>
    <row r="290" spans="1:28" x14ac:dyDescent="0.3">
      <c r="A290" s="32">
        <f>VLOOKUP(YEAR(C290),Flags!$A$13:$B$95,2,FALSE)</f>
        <v>1</v>
      </c>
      <c r="B290" s="24">
        <f t="shared" si="432"/>
        <v>1952</v>
      </c>
      <c r="C290" s="25">
        <v>19298</v>
      </c>
      <c r="D290" s="26"/>
      <c r="E290" s="24"/>
      <c r="F290" s="26"/>
      <c r="G290" s="26"/>
      <c r="H290" s="26"/>
      <c r="I290" s="26"/>
      <c r="J290" s="26"/>
      <c r="K290" s="26"/>
      <c r="L290" s="24"/>
      <c r="M290" s="24"/>
      <c r="N290" s="26"/>
      <c r="O290" s="26"/>
      <c r="P290" s="26"/>
      <c r="Q290" s="26"/>
      <c r="R290" s="26"/>
      <c r="S290" s="26"/>
      <c r="T290" s="26"/>
      <c r="U290" s="26"/>
      <c r="V290" s="26"/>
      <c r="W290" s="26">
        <f>MAX($C$9-VLOOKUP($C290,COS!$B$8:$H$991,3,FALSE),0)</f>
        <v>92103.11669921875</v>
      </c>
      <c r="X290" s="26">
        <f t="shared" si="448"/>
        <v>5663.1999028279961</v>
      </c>
      <c r="Y290" s="26">
        <f>VLOOKUP($C290,COS!$B$8:$H$991,4,FALSE)</f>
        <v>203.00856018066406</v>
      </c>
      <c r="Z290" s="26">
        <f t="shared" si="449"/>
        <v>12.482509816067278</v>
      </c>
      <c r="AA290" s="26">
        <f t="shared" si="462"/>
        <v>203.00856018066406</v>
      </c>
      <c r="AB290" s="33">
        <f t="shared" si="446"/>
        <v>12.482509816067278</v>
      </c>
    </row>
    <row r="291" spans="1:28" x14ac:dyDescent="0.3">
      <c r="A291" s="32">
        <f>VLOOKUP(YEAR(C291),Flags!$A$13:$B$95,2,FALSE)</f>
        <v>1</v>
      </c>
      <c r="B291" s="24">
        <f t="shared" si="432"/>
        <v>1952</v>
      </c>
      <c r="C291" s="25">
        <v>19328</v>
      </c>
      <c r="D291" s="26"/>
      <c r="E291" s="24"/>
      <c r="F291" s="26"/>
      <c r="G291" s="26"/>
      <c r="H291" s="26"/>
      <c r="I291" s="26"/>
      <c r="J291" s="26"/>
      <c r="K291" s="26"/>
      <c r="L291" s="24"/>
      <c r="M291" s="24"/>
      <c r="N291" s="26"/>
      <c r="O291" s="26"/>
      <c r="P291" s="26"/>
      <c r="Q291" s="26"/>
      <c r="R291" s="26"/>
      <c r="S291" s="26"/>
      <c r="T291" s="26"/>
      <c r="U291" s="26"/>
      <c r="V291" s="26"/>
      <c r="W291" s="26">
        <f>MAX($C$10-VLOOKUP($C291,COS!$B$8:$H$991,3,FALSE),0)</f>
        <v>89899.2255859375</v>
      </c>
      <c r="X291" s="26">
        <f t="shared" si="448"/>
        <v>5349.3754067665295</v>
      </c>
      <c r="Y291" s="26">
        <f>VLOOKUP($C291,COS!$B$8:$H$991,4,FALSE)</f>
        <v>736.8885498046875</v>
      </c>
      <c r="Z291" s="26">
        <f t="shared" si="449"/>
        <v>43.847913707386361</v>
      </c>
      <c r="AA291" s="26">
        <f t="shared" si="462"/>
        <v>736.8885498046875</v>
      </c>
      <c r="AB291" s="33">
        <f t="shared" si="446"/>
        <v>21.923956853693181</v>
      </c>
    </row>
    <row r="292" spans="1:28" x14ac:dyDescent="0.3">
      <c r="A292" s="34">
        <f>VLOOKUP(YEAR(C292),Flags!$A$13:$B$95,2,FALSE)</f>
        <v>1</v>
      </c>
      <c r="B292" s="35">
        <f t="shared" si="432"/>
        <v>1952</v>
      </c>
      <c r="C292" s="36">
        <v>19359</v>
      </c>
      <c r="D292" s="37"/>
      <c r="E292" s="35"/>
      <c r="F292" s="37"/>
      <c r="G292" s="37"/>
      <c r="H292" s="37"/>
      <c r="I292" s="37"/>
      <c r="J292" s="37"/>
      <c r="K292" s="37"/>
      <c r="L292" s="35"/>
      <c r="M292" s="35"/>
      <c r="N292" s="37"/>
      <c r="O292" s="37"/>
      <c r="P292" s="37"/>
      <c r="Q292" s="37"/>
      <c r="R292" s="37"/>
      <c r="S292" s="37"/>
      <c r="T292" s="37"/>
      <c r="U292" s="37"/>
      <c r="V292" s="37"/>
      <c r="W292" s="37">
        <f>MAX($C$11-VLOOKUP($C292,COS!$B$8:$H$991,3,FALSE),0)</f>
        <v>0</v>
      </c>
      <c r="X292" s="37">
        <f t="shared" si="448"/>
        <v>0</v>
      </c>
      <c r="Y292" s="37">
        <f>VLOOKUP($C292,COS!$B$8:$H$991,4,FALSE)</f>
        <v>0</v>
      </c>
      <c r="Z292" s="37">
        <f t="shared" si="449"/>
        <v>0</v>
      </c>
      <c r="AA292" s="37">
        <f t="shared" si="462"/>
        <v>0</v>
      </c>
      <c r="AB292" s="38">
        <f t="shared" si="446"/>
        <v>0</v>
      </c>
    </row>
    <row r="293" spans="1:28" x14ac:dyDescent="0.3">
      <c r="A293" s="27">
        <f>VLOOKUP(YEAR(C293),Flags!$A$13:$B$95,2,FALSE)</f>
        <v>1</v>
      </c>
      <c r="B293" s="28">
        <f t="shared" si="432"/>
        <v>1953</v>
      </c>
      <c r="C293" s="29">
        <v>19479</v>
      </c>
      <c r="D293" s="30">
        <f>VLOOKUP($C293,COS!$B$8:$H$991,3,FALSE)</f>
        <v>5435.791015625</v>
      </c>
      <c r="E293" s="28">
        <f>IF(D293&gt;=IF(MONTH($C293)=4,$C$3,IF(MONTH($C293)=5,$C$4,IF(MONTH($C293)=6,$C$5,IF(MONTH($C293)=7,$C$6,"ERROR")))),1,0)</f>
        <v>0</v>
      </c>
      <c r="F293" s="30">
        <f>VLOOKUP($C293,COS!$B$8:$H$991,7,FALSE)</f>
        <v>48.983604431152344</v>
      </c>
      <c r="G293" s="28">
        <f>IF(F293&lt;=IF(MONTH($C293)=4,$F$3,IF(MONTH($C293)=5,$F$4,IF(MONTH($C293)=6,$F$5,IF(MONTH($C293)=7,$F$6,"ERROR")))),1,0)</f>
        <v>1</v>
      </c>
      <c r="H293" s="30">
        <f>IF(J293=1,D293-$C$3,0)</f>
        <v>0</v>
      </c>
      <c r="I293" s="30">
        <f t="shared" si="450"/>
        <v>0</v>
      </c>
      <c r="J293" s="28">
        <f t="shared" ref="J293:J296" si="465">IF(AND(E293=1,G293=1),1,0)</f>
        <v>0</v>
      </c>
      <c r="K293" s="30">
        <f>VLOOKUP($C293,COS!$B$8:$H$991,2,FALSE)</f>
        <v>4552</v>
      </c>
      <c r="L293" s="28">
        <f t="shared" ref="L293" si="466">IF(K293&lt;=IF(MONTH($C293)=4,$I$3,IF(MONTH($C293)=5,$I$4,IF(MONTH($C293)=6,$I$5,IF(MONTH($C293)=7,$I$6,"ERROR")))),1,0)</f>
        <v>1</v>
      </c>
      <c r="M293" s="28">
        <f t="shared" ref="M293" si="467">VLOOKUP($A293,$L$3:$M$7,2,FALSE)</f>
        <v>0</v>
      </c>
      <c r="N293" s="30">
        <f>VLOOKUP($C293,COS!$B$8:$H$991,5,FALSE)</f>
        <v>445.47723388671875</v>
      </c>
      <c r="O293" s="30">
        <f t="shared" ref="O293:O296" si="468">N293*DAY($C293)*86400/43560/1000</f>
        <v>26.507736231275828</v>
      </c>
      <c r="P293" s="30">
        <f>VLOOKUP($C293,COS!$B$8:$H$991,6,FALSE)</f>
        <v>432.80410766601563</v>
      </c>
      <c r="Q293" s="30">
        <f t="shared" ref="Q293:Q296" si="469">P293*DAY($C293)*86400/43560/1000</f>
        <v>25.753632852853823</v>
      </c>
      <c r="R293" s="30">
        <f>MIN(IF(MONTH($C293)=4,$S$3,IF(MONTH($C293)=5,$S$4,IF(MONTH($C293)=6,$S$5,IF(MONTH($C293)=7,$S$6,"ERROR")))),MAX(VLOOKUP($C293,COS!$B$8:$K$991,10,FALSE)-IF(MONTH($C293)=4,$Y$3,IF(MONTH($C293)=5,$Y$4,IF(MONTH($C293)=6,$Y$5,IF(MONTH($C293)=7,$Y$6,"ERROR")))),0),MAX(VLOOKUP($C293,COS!$B$8:$K$991,9,FALSE)-IF(MONTH($C293)=4,$V$3,IF(MONTH($C293)=5,$V$4,IF(MONTH($C293)=6,$V$5,IF(MONTH($C293)=7,$V$6,"ERROR"))))-VLOOKUP($C293,COS!$B$8:$K$991,6,FALSE)/2,0))</f>
        <v>0</v>
      </c>
      <c r="S293" s="30">
        <f t="shared" ref="S293:S296" si="470">R293*DAY($C293)*86400/43560/1000</f>
        <v>0</v>
      </c>
      <c r="T293" s="30">
        <f t="shared" ref="T293:T296" si="471">(O293+Q293)/2+S293</f>
        <v>26.130684542064827</v>
      </c>
      <c r="U293" s="30" t="str">
        <f>IF(VLOOKUP($C293,COS!$B$8:$I$991,8,FALSE)=1,"UWFE","IBU")</f>
        <v>UWFE</v>
      </c>
      <c r="V293" s="30">
        <f t="shared" ref="V293" si="472">MIN(IF(IF($AA$3=2,AND(E293=1,G293=1,L293=1,L298=1,M293=1,U293="IBU"),AND(E293=1,G293=1,L293=1,L298=1,M293=1)),T293,0),I293)</f>
        <v>0</v>
      </c>
      <c r="W293" s="30"/>
      <c r="X293" s="30"/>
      <c r="Y293" s="30"/>
      <c r="Z293" s="30"/>
      <c r="AA293" s="30"/>
      <c r="AB293" s="31"/>
    </row>
    <row r="294" spans="1:28" x14ac:dyDescent="0.3">
      <c r="A294" s="32">
        <f>VLOOKUP(YEAR(C294),Flags!$A$13:$B$95,2,FALSE)</f>
        <v>1</v>
      </c>
      <c r="B294" s="24">
        <f t="shared" si="432"/>
        <v>1953</v>
      </c>
      <c r="C294" s="25">
        <v>19510</v>
      </c>
      <c r="D294" s="26">
        <f>VLOOKUP($C294,COS!$B$8:$H$991,3,FALSE)</f>
        <v>9500.9638671875</v>
      </c>
      <c r="E294" s="24">
        <f>IF(D294&gt;=IF(MONTH($C294)=4,$C$3,IF(MONTH($C294)=5,$C$4,IF(MONTH($C294)=6,$C$5,IF(MONTH($C294)=7,$C$6,"ERROR")))),1,0)</f>
        <v>1</v>
      </c>
      <c r="F294" s="26">
        <f>VLOOKUP($C294,COS!$B$8:$H$991,7,FALSE)</f>
        <v>48.526103973388672</v>
      </c>
      <c r="G294" s="24">
        <f>IF(F294&lt;=IF(MONTH($C294)=4,$F$3,IF(MONTH($C294)=5,$F$4,IF(MONTH($C294)=6,$F$5,IF(MONTH($C294)=7,$F$6,"ERROR")))),1,0)</f>
        <v>1</v>
      </c>
      <c r="H294" s="26">
        <f>IF(J294=1,D294-$C$4,0)</f>
        <v>3500.9638671875</v>
      </c>
      <c r="I294" s="26">
        <f t="shared" si="450"/>
        <v>215.26587745351239</v>
      </c>
      <c r="J294" s="24">
        <f t="shared" si="465"/>
        <v>1</v>
      </c>
      <c r="K294" s="26">
        <f>VLOOKUP($C294,COS!$B$8:$H$991,2,FALSE)</f>
        <v>4552</v>
      </c>
      <c r="L294" s="24">
        <f t="shared" si="435"/>
        <v>1</v>
      </c>
      <c r="M294" s="24">
        <f t="shared" si="436"/>
        <v>0</v>
      </c>
      <c r="N294" s="26">
        <f>VLOOKUP($C294,COS!$B$8:$H$991,5,FALSE)</f>
        <v>730.5885009765625</v>
      </c>
      <c r="O294" s="26">
        <f t="shared" si="468"/>
        <v>44.922135927815084</v>
      </c>
      <c r="P294" s="26">
        <f>VLOOKUP($C294,COS!$B$8:$H$991,6,FALSE)</f>
        <v>2213.400634765625</v>
      </c>
      <c r="Q294" s="26">
        <f t="shared" si="469"/>
        <v>136.09670018724174</v>
      </c>
      <c r="R294" s="26">
        <f>MIN(IF(MONTH($C294)=4,$S$3,IF(MONTH($C294)=5,$S$4,IF(MONTH($C294)=6,$S$5,IF(MONTH($C294)=7,$S$6,"ERROR")))),MAX(VLOOKUP($C294,COS!$B$8:$K$991,10,FALSE)-IF(MONTH($C294)=4,$Y$3,IF(MONTH($C294)=5,$Y$4,IF(MONTH($C294)=6,$Y$5,IF(MONTH($C294)=7,$Y$6,"ERROR")))),0),MAX(VLOOKUP($C294,COS!$B$8:$K$991,9,FALSE)-IF(MONTH($C294)=4,$V$3,IF(MONTH($C294)=5,$V$4,IF(MONTH($C294)=6,$V$5,IF(MONTH($C294)=7,$V$6,"ERROR"))))-VLOOKUP($C294,COS!$B$8:$K$991,6,FALSE)/2,0))</f>
        <v>0</v>
      </c>
      <c r="S294" s="26">
        <f t="shared" si="470"/>
        <v>0</v>
      </c>
      <c r="T294" s="26">
        <f t="shared" si="471"/>
        <v>90.509418057528407</v>
      </c>
      <c r="U294" s="26" t="str">
        <f>IF(VLOOKUP($C294,COS!$B$8:$I$991,8,FALSE)=1,"UWFE","IBU")</f>
        <v>UWFE</v>
      </c>
      <c r="V294" s="26">
        <f t="shared" ref="V294" si="473">MIN(IF(IF($AA$3=2,AND(E294=1,G294=1,L294=1,L298=1,M294=1,U294="IBU"),AND(E294=1,G294=1,L294=1,L298=1,M294=1)),T294,0),I294)</f>
        <v>0</v>
      </c>
      <c r="W294" s="26"/>
      <c r="X294" s="26"/>
      <c r="Y294" s="26"/>
      <c r="Z294" s="26"/>
      <c r="AA294" s="26"/>
      <c r="AB294" s="33"/>
    </row>
    <row r="295" spans="1:28" x14ac:dyDescent="0.3">
      <c r="A295" s="32">
        <f>VLOOKUP(YEAR(C295),Flags!$A$13:$B$95,2,FALSE)</f>
        <v>1</v>
      </c>
      <c r="B295" s="24">
        <f t="shared" si="432"/>
        <v>1953</v>
      </c>
      <c r="C295" s="25">
        <v>19540</v>
      </c>
      <c r="D295" s="26">
        <f>VLOOKUP($C295,COS!$B$8:$H$991,3,FALSE)</f>
        <v>8763.9052734375</v>
      </c>
      <c r="E295" s="24">
        <f>IF(D295&gt;=IF(MONTH($C295)=4,$C$3,IF(MONTH($C295)=5,$C$4,IF(MONTH($C295)=6,$C$5,IF(MONTH($C295)=7,$C$6,"ERROR")))),1,0)</f>
        <v>0</v>
      </c>
      <c r="F295" s="26">
        <f>VLOOKUP($C295,COS!$B$8:$H$991,7,FALSE)</f>
        <v>50.420295715332031</v>
      </c>
      <c r="G295" s="24">
        <f>IF(F295&lt;=IF(MONTH($C295)=4,$F$3,IF(MONTH($C295)=5,$F$4,IF(MONTH($C295)=6,$F$5,IF(MONTH($C295)=7,$F$6,"ERROR")))),1,0)</f>
        <v>1</v>
      </c>
      <c r="H295" s="26">
        <f>IF(J295=1,D295-$C$5,0)</f>
        <v>0</v>
      </c>
      <c r="I295" s="26">
        <f t="shared" si="450"/>
        <v>0</v>
      </c>
      <c r="J295" s="24">
        <f t="shared" si="465"/>
        <v>0</v>
      </c>
      <c r="K295" s="26">
        <f>VLOOKUP($C295,COS!$B$8:$H$991,2,FALSE)</f>
        <v>4500</v>
      </c>
      <c r="L295" s="24">
        <f t="shared" si="435"/>
        <v>1</v>
      </c>
      <c r="M295" s="24">
        <f t="shared" si="436"/>
        <v>0</v>
      </c>
      <c r="N295" s="26">
        <f>VLOOKUP($C295,COS!$B$8:$H$991,5,FALSE)</f>
        <v>1097.9736328125</v>
      </c>
      <c r="O295" s="26">
        <f t="shared" si="468"/>
        <v>65.333968233471069</v>
      </c>
      <c r="P295" s="26">
        <f>VLOOKUP($C295,COS!$B$8:$H$991,6,FALSE)</f>
        <v>2273.646484375</v>
      </c>
      <c r="Q295" s="26">
        <f t="shared" si="469"/>
        <v>135.29136105371902</v>
      </c>
      <c r="R295" s="26">
        <f>MIN(IF(MONTH($C295)=4,$S$3,IF(MONTH($C295)=5,$S$4,IF(MONTH($C295)=6,$S$5,IF(MONTH($C295)=7,$S$6,"ERROR")))),MAX(VLOOKUP($C295,COS!$B$8:$K$991,10,FALSE)-IF(MONTH($C295)=4,$Y$3,IF(MONTH($C295)=5,$Y$4,IF(MONTH($C295)=6,$Y$5,IF(MONTH($C295)=7,$Y$6,"ERROR")))),0),MAX(VLOOKUP($C295,COS!$B$8:$K$991,9,FALSE)-IF(MONTH($C295)=4,$V$3,IF(MONTH($C295)=5,$V$4,IF(MONTH($C295)=6,$V$5,IF(MONTH($C295)=7,$V$6,"ERROR"))))-VLOOKUP($C295,COS!$B$8:$K$991,6,FALSE)/2,0))</f>
        <v>0</v>
      </c>
      <c r="S295" s="26">
        <f t="shared" si="470"/>
        <v>0</v>
      </c>
      <c r="T295" s="26">
        <f t="shared" si="471"/>
        <v>100.31266464359504</v>
      </c>
      <c r="U295" s="26" t="str">
        <f>IF(VLOOKUP($C295,COS!$B$8:$I$991,8,FALSE)=1,"UWFE","IBU")</f>
        <v>UWFE</v>
      </c>
      <c r="V295" s="26">
        <f t="shared" ref="V295" si="474">MIN(IF(IF($AA$3=2,AND(E295=1,G295=1,L295=1,L298=1,M295=1,U295="IBU"),AND(E295=1,G295=1,L295=1,L298=1,M295=1)),T295,0),I295)</f>
        <v>0</v>
      </c>
      <c r="W295" s="26"/>
      <c r="X295" s="26"/>
      <c r="Y295" s="26"/>
      <c r="Z295" s="26"/>
      <c r="AA295" s="26"/>
      <c r="AB295" s="33"/>
    </row>
    <row r="296" spans="1:28" x14ac:dyDescent="0.3">
      <c r="A296" s="32">
        <f>VLOOKUP(YEAR(C296),Flags!$A$13:$B$95,2,FALSE)</f>
        <v>1</v>
      </c>
      <c r="B296" s="24">
        <f t="shared" si="432"/>
        <v>1953</v>
      </c>
      <c r="C296" s="25">
        <v>19571</v>
      </c>
      <c r="D296" s="26">
        <f>VLOOKUP($C296,COS!$B$8:$H$991,3,FALSE)</f>
        <v>14905.9033203125</v>
      </c>
      <c r="E296" s="24">
        <f>IF(D296&gt;=IF(MONTH($C296)=4,$C$3,IF(MONTH($C296)=5,$C$4,IF(MONTH($C296)=6,$C$5,IF(MONTH($C296)=7,$C$6,"ERROR")))),1,0)</f>
        <v>1</v>
      </c>
      <c r="F296" s="26">
        <f>VLOOKUP($C296,COS!$B$8:$H$991,7,FALSE)</f>
        <v>51.294979095458984</v>
      </c>
      <c r="G296" s="24">
        <f>IF(F296&lt;=IF(MONTH($C296)=4,$F$3,IF(MONTH($C296)=5,$F$4,IF(MONTH($C296)=6,$F$5,IF(MONTH($C296)=7,$F$6,"ERROR")))),1,0)</f>
        <v>1</v>
      </c>
      <c r="H296" s="26">
        <f>IF(J296=1,D296-$C$6,0)</f>
        <v>2905.9033203125</v>
      </c>
      <c r="I296" s="26">
        <f t="shared" si="450"/>
        <v>178.67703060433885</v>
      </c>
      <c r="J296" s="24">
        <f t="shared" si="465"/>
        <v>1</v>
      </c>
      <c r="K296" s="26">
        <f>VLOOKUP($C296,COS!$B$8:$H$991,2,FALSE)</f>
        <v>3867.513427734375</v>
      </c>
      <c r="L296" s="24">
        <f t="shared" si="435"/>
        <v>1</v>
      </c>
      <c r="M296" s="24">
        <f t="shared" si="436"/>
        <v>0</v>
      </c>
      <c r="N296" s="26">
        <f>VLOOKUP($C296,COS!$B$8:$H$991,5,FALSE)</f>
        <v>1282.49609375</v>
      </c>
      <c r="O296" s="26">
        <f t="shared" si="468"/>
        <v>78.857611053719012</v>
      </c>
      <c r="P296" s="26">
        <f>VLOOKUP($C296,COS!$B$8:$H$991,6,FALSE)</f>
        <v>2616.67822265625</v>
      </c>
      <c r="Q296" s="26">
        <f t="shared" si="469"/>
        <v>160.89327253357436</v>
      </c>
      <c r="R296" s="26">
        <f>MIN(IF(MONTH($C296)=4,$S$3,IF(MONTH($C296)=5,$S$4,IF(MONTH($C296)=6,$S$5,IF(MONTH($C296)=7,$S$6,"ERROR")))),MAX(VLOOKUP($C296,COS!$B$8:$K$991,10,FALSE)-IF(MONTH($C296)=4,$Y$3,IF(MONTH($C296)=5,$Y$4,IF(MONTH($C296)=6,$Y$5,IF(MONTH($C296)=7,$Y$6,"ERROR")))),0),MAX(VLOOKUP($C296,COS!$B$8:$K$991,9,FALSE)-IF(MONTH($C296)=4,$V$3,IF(MONTH($C296)=5,$V$4,IF(MONTH($C296)=6,$V$5,IF(MONTH($C296)=7,$V$6,"ERROR"))))-VLOOKUP($C296,COS!$B$8:$K$991,6,FALSE)/2,0))</f>
        <v>0</v>
      </c>
      <c r="S296" s="26">
        <f t="shared" si="470"/>
        <v>0</v>
      </c>
      <c r="T296" s="26">
        <f t="shared" si="471"/>
        <v>119.87544179364669</v>
      </c>
      <c r="U296" s="26" t="str">
        <f>IF(VLOOKUP($C296,COS!$B$8:$I$991,8,FALSE)=1,"UWFE","IBU")</f>
        <v>IBU</v>
      </c>
      <c r="V296" s="26">
        <f t="shared" ref="V296" si="475">MIN(IF(IF($AA$3=2,AND(E296=1,G296=1,L296=1,L298=1,M296=1,U296="IBU"),AND(E296=1,G296=1,L296=1,L298=1,M296=1)),T296,0),I296)</f>
        <v>0</v>
      </c>
      <c r="W296" s="26"/>
      <c r="X296" s="26"/>
      <c r="Y296" s="26"/>
      <c r="Z296" s="26"/>
      <c r="AA296" s="26"/>
      <c r="AB296" s="33"/>
    </row>
    <row r="297" spans="1:28" x14ac:dyDescent="0.3">
      <c r="A297" s="32">
        <f>VLOOKUP(YEAR(C297),Flags!$A$13:$B$95,2,FALSE)</f>
        <v>1</v>
      </c>
      <c r="B297" s="24">
        <f t="shared" si="432"/>
        <v>1953</v>
      </c>
      <c r="C297" s="25">
        <v>19602</v>
      </c>
      <c r="D297" s="26"/>
      <c r="E297" s="24"/>
      <c r="F297" s="26"/>
      <c r="G297" s="24"/>
      <c r="H297" s="24"/>
      <c r="I297" s="26"/>
      <c r="J297" s="24"/>
      <c r="K297" s="26"/>
      <c r="L297" s="24"/>
      <c r="M297" s="24"/>
      <c r="N297" s="26"/>
      <c r="O297" s="26"/>
      <c r="P297" s="26"/>
      <c r="Q297" s="26"/>
      <c r="R297" s="26"/>
      <c r="S297" s="26"/>
      <c r="T297" s="26"/>
      <c r="U297" s="26"/>
      <c r="V297" s="26"/>
      <c r="W297" s="26">
        <f>MAX($C$7-VLOOKUP($C297,COS!$B$8:$H$991,3,FALSE),0)</f>
        <v>89655.0712890625</v>
      </c>
      <c r="X297" s="26">
        <f t="shared" si="448"/>
        <v>5512.6754577737602</v>
      </c>
      <c r="Y297" s="26">
        <f>VLOOKUP($C297,COS!$B$8:$H$991,4,FALSE)</f>
        <v>19.638147354125977</v>
      </c>
      <c r="Z297" s="26">
        <f t="shared" si="449"/>
        <v>1.2075026141710519</v>
      </c>
      <c r="AA297" s="26">
        <f t="shared" ref="AA297:AA301" si="476">MIN(W297,Y297)</f>
        <v>19.638147354125977</v>
      </c>
      <c r="AB297" s="33">
        <f t="shared" ref="AB297" si="477">AA297*DAY($C297)*86400/43560/1000*IF(MONTH($C297)=8,$P$3,IF(MONTH($C297)=9,$P$4,IF(MONTH($C297)=10,$P$5,IF(MONTH($C297)=11,$P$6,IF(MONTH($C297)=12,$P$7,NA())))))</f>
        <v>1.2075026141710519</v>
      </c>
    </row>
    <row r="298" spans="1:28" x14ac:dyDescent="0.3">
      <c r="A298" s="32">
        <f>VLOOKUP(YEAR(C298),Flags!$A$13:$B$95,2,FALSE)</f>
        <v>1</v>
      </c>
      <c r="B298" s="24">
        <f t="shared" si="432"/>
        <v>1953</v>
      </c>
      <c r="C298" s="25">
        <v>19632</v>
      </c>
      <c r="D298" s="26"/>
      <c r="E298" s="24"/>
      <c r="F298" s="26"/>
      <c r="G298" s="24"/>
      <c r="H298" s="24"/>
      <c r="I298" s="26"/>
      <c r="J298" s="24"/>
      <c r="K298" s="26">
        <f>VLOOKUP($C298,COS!$B$8:$H$991,2,FALSE)</f>
        <v>3007.05029296875</v>
      </c>
      <c r="L298" s="24">
        <f t="shared" ref="L298" si="478">IF(AND(K298&gt;$I$7,K298&lt;$I$8),1,0)</f>
        <v>1</v>
      </c>
      <c r="M298" s="24"/>
      <c r="N298" s="26"/>
      <c r="O298" s="26"/>
      <c r="P298" s="26"/>
      <c r="Q298" s="26"/>
      <c r="R298" s="26"/>
      <c r="S298" s="26"/>
      <c r="T298" s="26"/>
      <c r="U298" s="26"/>
      <c r="V298" s="26"/>
      <c r="W298" s="26">
        <f>MAX($C$8-VLOOKUP($C298,COS!$B$8:$H$991,3,FALSE),0)</f>
        <v>85167.98828125</v>
      </c>
      <c r="X298" s="26">
        <f t="shared" si="448"/>
        <v>5067.8472365702482</v>
      </c>
      <c r="Y298" s="26">
        <f>VLOOKUP($C298,COS!$B$8:$H$991,4,FALSE)</f>
        <v>0</v>
      </c>
      <c r="Z298" s="26">
        <f t="shared" si="449"/>
        <v>0</v>
      </c>
      <c r="AA298" s="26">
        <f t="shared" si="476"/>
        <v>0</v>
      </c>
      <c r="AB298" s="33">
        <f t="shared" si="446"/>
        <v>0</v>
      </c>
    </row>
    <row r="299" spans="1:28" x14ac:dyDescent="0.3">
      <c r="A299" s="32">
        <f>VLOOKUP(YEAR(C299),Flags!$A$13:$B$95,2,FALSE)</f>
        <v>1</v>
      </c>
      <c r="B299" s="24">
        <f t="shared" si="432"/>
        <v>1953</v>
      </c>
      <c r="C299" s="25">
        <v>19663</v>
      </c>
      <c r="D299" s="26"/>
      <c r="E299" s="24"/>
      <c r="F299" s="26"/>
      <c r="G299" s="26"/>
      <c r="H299" s="26"/>
      <c r="I299" s="26"/>
      <c r="J299" s="26"/>
      <c r="K299" s="26"/>
      <c r="L299" s="24"/>
      <c r="M299" s="24"/>
      <c r="N299" s="26"/>
      <c r="O299" s="26"/>
      <c r="P299" s="26"/>
      <c r="Q299" s="26"/>
      <c r="R299" s="26"/>
      <c r="S299" s="26"/>
      <c r="T299" s="26"/>
      <c r="U299" s="26"/>
      <c r="V299" s="26"/>
      <c r="W299" s="26">
        <f>MAX($C$9-VLOOKUP($C299,COS!$B$8:$H$991,3,FALSE),0)</f>
        <v>90385.5849609375</v>
      </c>
      <c r="X299" s="26">
        <f t="shared" si="448"/>
        <v>5557.5929926394629</v>
      </c>
      <c r="Y299" s="26">
        <f>VLOOKUP($C299,COS!$B$8:$H$991,4,FALSE)</f>
        <v>1224.5797119140625</v>
      </c>
      <c r="Z299" s="26">
        <f t="shared" si="449"/>
        <v>75.296471542484511</v>
      </c>
      <c r="AA299" s="26">
        <f t="shared" si="476"/>
        <v>1224.5797119140625</v>
      </c>
      <c r="AB299" s="33">
        <f t="shared" si="446"/>
        <v>75.296471542484511</v>
      </c>
    </row>
    <row r="300" spans="1:28" x14ac:dyDescent="0.3">
      <c r="A300" s="32">
        <f>VLOOKUP(YEAR(C300),Flags!$A$13:$B$95,2,FALSE)</f>
        <v>1</v>
      </c>
      <c r="B300" s="24">
        <f t="shared" si="432"/>
        <v>1953</v>
      </c>
      <c r="C300" s="25">
        <v>19693</v>
      </c>
      <c r="D300" s="26"/>
      <c r="E300" s="24"/>
      <c r="F300" s="26"/>
      <c r="G300" s="26"/>
      <c r="H300" s="26"/>
      <c r="I300" s="26"/>
      <c r="J300" s="26"/>
      <c r="K300" s="26"/>
      <c r="L300" s="24"/>
      <c r="M300" s="24"/>
      <c r="N300" s="26"/>
      <c r="O300" s="26"/>
      <c r="P300" s="26"/>
      <c r="Q300" s="26"/>
      <c r="R300" s="26"/>
      <c r="S300" s="26"/>
      <c r="T300" s="26"/>
      <c r="U300" s="26"/>
      <c r="V300" s="26"/>
      <c r="W300" s="26">
        <f>MAX($C$10-VLOOKUP($C300,COS!$B$8:$H$991,3,FALSE),0)</f>
        <v>88062.6611328125</v>
      </c>
      <c r="X300" s="26">
        <f t="shared" si="448"/>
        <v>5240.0922326962809</v>
      </c>
      <c r="Y300" s="26">
        <f>VLOOKUP($C300,COS!$B$8:$H$991,4,FALSE)</f>
        <v>1707.279296875</v>
      </c>
      <c r="Z300" s="26">
        <f t="shared" si="449"/>
        <v>101.59017303719008</v>
      </c>
      <c r="AA300" s="26">
        <f t="shared" si="476"/>
        <v>1707.279296875</v>
      </c>
      <c r="AB300" s="33">
        <f t="shared" si="446"/>
        <v>50.795086518595042</v>
      </c>
    </row>
    <row r="301" spans="1:28" x14ac:dyDescent="0.3">
      <c r="A301" s="34">
        <f>VLOOKUP(YEAR(C301),Flags!$A$13:$B$95,2,FALSE)</f>
        <v>1</v>
      </c>
      <c r="B301" s="35">
        <f t="shared" si="432"/>
        <v>1953</v>
      </c>
      <c r="C301" s="36">
        <v>19724</v>
      </c>
      <c r="D301" s="37"/>
      <c r="E301" s="35"/>
      <c r="F301" s="37"/>
      <c r="G301" s="37"/>
      <c r="H301" s="37"/>
      <c r="I301" s="37"/>
      <c r="J301" s="37"/>
      <c r="K301" s="37"/>
      <c r="L301" s="35"/>
      <c r="M301" s="35"/>
      <c r="N301" s="37"/>
      <c r="O301" s="37"/>
      <c r="P301" s="37"/>
      <c r="Q301" s="37"/>
      <c r="R301" s="37"/>
      <c r="S301" s="37"/>
      <c r="T301" s="37"/>
      <c r="U301" s="37"/>
      <c r="V301" s="37"/>
      <c r="W301" s="37">
        <f>MAX($C$11-VLOOKUP($C301,COS!$B$8:$H$991,3,FALSE),0)</f>
        <v>0</v>
      </c>
      <c r="X301" s="37">
        <f t="shared" si="448"/>
        <v>0</v>
      </c>
      <c r="Y301" s="37">
        <f>VLOOKUP($C301,COS!$B$8:$H$991,4,FALSE)</f>
        <v>98.75079345703125</v>
      </c>
      <c r="Z301" s="37">
        <f t="shared" si="449"/>
        <v>6.0719496142174583</v>
      </c>
      <c r="AA301" s="37">
        <f t="shared" si="476"/>
        <v>0</v>
      </c>
      <c r="AB301" s="38">
        <f t="shared" si="446"/>
        <v>0</v>
      </c>
    </row>
    <row r="302" spans="1:28" x14ac:dyDescent="0.3">
      <c r="A302" s="27">
        <f>VLOOKUP(YEAR(C302),Flags!$A$13:$B$95,2,FALSE)</f>
        <v>2</v>
      </c>
      <c r="B302" s="28">
        <f t="shared" si="432"/>
        <v>1954</v>
      </c>
      <c r="C302" s="29">
        <v>19844</v>
      </c>
      <c r="D302" s="30">
        <f>VLOOKUP($C302,COS!$B$8:$H$991,3,FALSE)</f>
        <v>10966.724609375</v>
      </c>
      <c r="E302" s="28">
        <f>IF(D302&gt;=IF(MONTH($C302)=4,$C$3,IF(MONTH($C302)=5,$C$4,IF(MONTH($C302)=6,$C$5,IF(MONTH($C302)=7,$C$6,"ERROR")))),1,0)</f>
        <v>1</v>
      </c>
      <c r="F302" s="30">
        <f>VLOOKUP($C302,COS!$B$8:$H$991,7,FALSE)</f>
        <v>48.739151000976563</v>
      </c>
      <c r="G302" s="28">
        <f>IF(F302&lt;=IF(MONTH($C302)=4,$F$3,IF(MONTH($C302)=5,$F$4,IF(MONTH($C302)=6,$F$5,IF(MONTH($C302)=7,$F$6,"ERROR")))),1,0)</f>
        <v>1</v>
      </c>
      <c r="H302" s="30">
        <f>IF(J302=1,D302-$C$3,0)</f>
        <v>4966.724609375</v>
      </c>
      <c r="I302" s="30">
        <f t="shared" si="450"/>
        <v>295.54063791322312</v>
      </c>
      <c r="J302" s="28">
        <f t="shared" ref="J302:J305" si="479">IF(AND(E302=1,G302=1),1,0)</f>
        <v>1</v>
      </c>
      <c r="K302" s="30">
        <f>VLOOKUP($C302,COS!$B$8:$H$991,2,FALSE)</f>
        <v>4546</v>
      </c>
      <c r="L302" s="28">
        <f t="shared" ref="L302" si="480">IF(K302&lt;=IF(MONTH($C302)=4,$I$3,IF(MONTH($C302)=5,$I$4,IF(MONTH($C302)=6,$I$5,IF(MONTH($C302)=7,$I$6,"ERROR")))),1,0)</f>
        <v>1</v>
      </c>
      <c r="M302" s="28">
        <f t="shared" ref="M302" si="481">VLOOKUP($A302,$L$3:$M$7,2,FALSE)</f>
        <v>0</v>
      </c>
      <c r="N302" s="30">
        <f>VLOOKUP($C302,COS!$B$8:$H$991,5,FALSE)</f>
        <v>33.86962890625</v>
      </c>
      <c r="O302" s="30">
        <f t="shared" ref="O302:O305" si="482">N302*DAY($C302)*86400/43560/1000</f>
        <v>2.0153828770661155</v>
      </c>
      <c r="P302" s="30">
        <f>VLOOKUP($C302,COS!$B$8:$H$991,6,FALSE)</f>
        <v>347.92138671875</v>
      </c>
      <c r="Q302" s="30">
        <f t="shared" ref="Q302:Q305" si="483">P302*DAY($C302)*86400/43560/1000</f>
        <v>20.702760201446281</v>
      </c>
      <c r="R302" s="30">
        <f>MIN(IF(MONTH($C302)=4,$S$3,IF(MONTH($C302)=5,$S$4,IF(MONTH($C302)=6,$S$5,IF(MONTH($C302)=7,$S$6,"ERROR")))),MAX(VLOOKUP($C302,COS!$B$8:$K$991,10,FALSE)-IF(MONTH($C302)=4,$Y$3,IF(MONTH($C302)=5,$Y$4,IF(MONTH($C302)=6,$Y$5,IF(MONTH($C302)=7,$Y$6,"ERROR")))),0),MAX(VLOOKUP($C302,COS!$B$8:$K$991,9,FALSE)-IF(MONTH($C302)=4,$V$3,IF(MONTH($C302)=5,$V$4,IF(MONTH($C302)=6,$V$5,IF(MONTH($C302)=7,$V$6,"ERROR"))))-VLOOKUP($C302,COS!$B$8:$K$991,6,FALSE)/2,0))</f>
        <v>0</v>
      </c>
      <c r="S302" s="30">
        <f t="shared" ref="S302:S305" si="484">R302*DAY($C302)*86400/43560/1000</f>
        <v>0</v>
      </c>
      <c r="T302" s="30">
        <f t="shared" ref="T302:T305" si="485">(O302+Q302)/2+S302</f>
        <v>11.359071539256199</v>
      </c>
      <c r="U302" s="30" t="str">
        <f>IF(VLOOKUP($C302,COS!$B$8:$I$991,8,FALSE)=1,"UWFE","IBU")</f>
        <v>UWFE</v>
      </c>
      <c r="V302" s="30">
        <f t="shared" ref="V302" si="486">MIN(IF(IF($AA$3=2,AND(E302=1,G302=1,L302=1,L307=1,M302=1,U302="IBU"),AND(E302=1,G302=1,L302=1,L307=1,M302=1)),T302,0),I302)</f>
        <v>0</v>
      </c>
      <c r="W302" s="30"/>
      <c r="X302" s="30"/>
      <c r="Y302" s="30"/>
      <c r="Z302" s="30"/>
      <c r="AA302" s="30"/>
      <c r="AB302" s="31"/>
    </row>
    <row r="303" spans="1:28" x14ac:dyDescent="0.3">
      <c r="A303" s="32">
        <f>VLOOKUP(YEAR(C303),Flags!$A$13:$B$95,2,FALSE)</f>
        <v>2</v>
      </c>
      <c r="B303" s="24">
        <f t="shared" si="432"/>
        <v>1954</v>
      </c>
      <c r="C303" s="25">
        <v>19875</v>
      </c>
      <c r="D303" s="26">
        <f>VLOOKUP($C303,COS!$B$8:$H$991,3,FALSE)</f>
        <v>7140.4267578125</v>
      </c>
      <c r="E303" s="24">
        <f>IF(D303&gt;=IF(MONTH($C303)=4,$C$3,IF(MONTH($C303)=5,$C$4,IF(MONTH($C303)=6,$C$5,IF(MONTH($C303)=7,$C$6,"ERROR")))),1,0)</f>
        <v>1</v>
      </c>
      <c r="F303" s="26">
        <f>VLOOKUP($C303,COS!$B$8:$H$991,7,FALSE)</f>
        <v>50.82733154296875</v>
      </c>
      <c r="G303" s="24">
        <f>IF(F303&lt;=IF(MONTH($C303)=4,$F$3,IF(MONTH($C303)=5,$F$4,IF(MONTH($C303)=6,$F$5,IF(MONTH($C303)=7,$F$6,"ERROR")))),1,0)</f>
        <v>1</v>
      </c>
      <c r="H303" s="26">
        <f>IF(J303=1,D303-$C$4,0)</f>
        <v>1140.4267578125</v>
      </c>
      <c r="I303" s="26">
        <f t="shared" si="450"/>
        <v>70.122108083677688</v>
      </c>
      <c r="J303" s="24">
        <f t="shared" si="479"/>
        <v>1</v>
      </c>
      <c r="K303" s="26">
        <f>VLOOKUP($C303,COS!$B$8:$H$991,2,FALSE)</f>
        <v>4520.74951171875</v>
      </c>
      <c r="L303" s="24">
        <f t="shared" si="435"/>
        <v>1</v>
      </c>
      <c r="M303" s="24">
        <f t="shared" si="436"/>
        <v>0</v>
      </c>
      <c r="N303" s="26">
        <f>VLOOKUP($C303,COS!$B$8:$H$991,5,FALSE)</f>
        <v>705.2218017578125</v>
      </c>
      <c r="O303" s="26">
        <f t="shared" si="482"/>
        <v>43.362398389075409</v>
      </c>
      <c r="P303" s="26">
        <f>VLOOKUP($C303,COS!$B$8:$H$991,6,FALSE)</f>
        <v>2247.10107421875</v>
      </c>
      <c r="Q303" s="26">
        <f t="shared" si="483"/>
        <v>138.16885943956612</v>
      </c>
      <c r="R303" s="26">
        <f>MIN(IF(MONTH($C303)=4,$S$3,IF(MONTH($C303)=5,$S$4,IF(MONTH($C303)=6,$S$5,IF(MONTH($C303)=7,$S$6,"ERROR")))),MAX(VLOOKUP($C303,COS!$B$8:$K$991,10,FALSE)-IF(MONTH($C303)=4,$Y$3,IF(MONTH($C303)=5,$Y$4,IF(MONTH($C303)=6,$Y$5,IF(MONTH($C303)=7,$Y$6,"ERROR")))),0),MAX(VLOOKUP($C303,COS!$B$8:$K$991,9,FALSE)-IF(MONTH($C303)=4,$V$3,IF(MONTH($C303)=5,$V$4,IF(MONTH($C303)=6,$V$5,IF(MONTH($C303)=7,$V$6,"ERROR"))))-VLOOKUP($C303,COS!$B$8:$K$991,6,FALSE)/2,0))</f>
        <v>0</v>
      </c>
      <c r="S303" s="26">
        <f t="shared" si="484"/>
        <v>0</v>
      </c>
      <c r="T303" s="26">
        <f t="shared" si="485"/>
        <v>90.765628914320757</v>
      </c>
      <c r="U303" s="26" t="str">
        <f>IF(VLOOKUP($C303,COS!$B$8:$I$991,8,FALSE)=1,"UWFE","IBU")</f>
        <v>UWFE</v>
      </c>
      <c r="V303" s="26">
        <f t="shared" ref="V303" si="487">MIN(IF(IF($AA$3=2,AND(E303=1,G303=1,L303=1,L307=1,M303=1,U303="IBU"),AND(E303=1,G303=1,L303=1,L307=1,M303=1)),T303,0),I303)</f>
        <v>0</v>
      </c>
      <c r="W303" s="26"/>
      <c r="X303" s="26"/>
      <c r="Y303" s="26"/>
      <c r="Z303" s="26"/>
      <c r="AA303" s="26"/>
      <c r="AB303" s="33"/>
    </row>
    <row r="304" spans="1:28" x14ac:dyDescent="0.3">
      <c r="A304" s="32">
        <f>VLOOKUP(YEAR(C304),Flags!$A$13:$B$95,2,FALSE)</f>
        <v>2</v>
      </c>
      <c r="B304" s="24">
        <f t="shared" si="432"/>
        <v>1954</v>
      </c>
      <c r="C304" s="25">
        <v>19905</v>
      </c>
      <c r="D304" s="26">
        <f>VLOOKUP($C304,COS!$B$8:$H$991,3,FALSE)</f>
        <v>10288.154296875</v>
      </c>
      <c r="E304" s="24">
        <f>IF(D304&gt;=IF(MONTH($C304)=4,$C$3,IF(MONTH($C304)=5,$C$4,IF(MONTH($C304)=6,$C$5,IF(MONTH($C304)=7,$C$6,"ERROR")))),1,0)</f>
        <v>1</v>
      </c>
      <c r="F304" s="26">
        <f>VLOOKUP($C304,COS!$B$8:$H$991,7,FALSE)</f>
        <v>50.714031219482422</v>
      </c>
      <c r="G304" s="24">
        <f>IF(F304&lt;=IF(MONTH($C304)=4,$F$3,IF(MONTH($C304)=5,$F$4,IF(MONTH($C304)=6,$F$5,IF(MONTH($C304)=7,$F$6,"ERROR")))),1,0)</f>
        <v>1</v>
      </c>
      <c r="H304" s="26">
        <f>IF(J304=1,D304-$C$5,0)</f>
        <v>288.154296875</v>
      </c>
      <c r="I304" s="26">
        <f t="shared" si="450"/>
        <v>17.14637138429752</v>
      </c>
      <c r="J304" s="24">
        <f t="shared" si="479"/>
        <v>1</v>
      </c>
      <c r="K304" s="26">
        <f>VLOOKUP($C304,COS!$B$8:$H$991,2,FALSE)</f>
        <v>4172.916015625</v>
      </c>
      <c r="L304" s="24">
        <f t="shared" si="435"/>
        <v>1</v>
      </c>
      <c r="M304" s="24">
        <f t="shared" si="436"/>
        <v>0</v>
      </c>
      <c r="N304" s="26">
        <f>VLOOKUP($C304,COS!$B$8:$H$991,5,FALSE)</f>
        <v>1051.88525390625</v>
      </c>
      <c r="O304" s="26">
        <f t="shared" si="482"/>
        <v>62.591519240702482</v>
      </c>
      <c r="P304" s="26">
        <f>VLOOKUP($C304,COS!$B$8:$H$991,6,FALSE)</f>
        <v>2396.154541015625</v>
      </c>
      <c r="Q304" s="26">
        <f t="shared" si="483"/>
        <v>142.58109665547522</v>
      </c>
      <c r="R304" s="26">
        <f>MIN(IF(MONTH($C304)=4,$S$3,IF(MONTH($C304)=5,$S$4,IF(MONTH($C304)=6,$S$5,IF(MONTH($C304)=7,$S$6,"ERROR")))),MAX(VLOOKUP($C304,COS!$B$8:$K$991,10,FALSE)-IF(MONTH($C304)=4,$Y$3,IF(MONTH($C304)=5,$Y$4,IF(MONTH($C304)=6,$Y$5,IF(MONTH($C304)=7,$Y$6,"ERROR")))),0),MAX(VLOOKUP($C304,COS!$B$8:$K$991,9,FALSE)-IF(MONTH($C304)=4,$V$3,IF(MONTH($C304)=5,$V$4,IF(MONTH($C304)=6,$V$5,IF(MONTH($C304)=7,$V$6,"ERROR"))))-VLOOKUP($C304,COS!$B$8:$K$991,6,FALSE)/2,0))</f>
        <v>0</v>
      </c>
      <c r="S304" s="26">
        <f t="shared" si="484"/>
        <v>0</v>
      </c>
      <c r="T304" s="26">
        <f t="shared" si="485"/>
        <v>102.58630794808886</v>
      </c>
      <c r="U304" s="26" t="str">
        <f>IF(VLOOKUP($C304,COS!$B$8:$I$991,8,FALSE)=1,"UWFE","IBU")</f>
        <v>IBU</v>
      </c>
      <c r="V304" s="26">
        <f t="shared" ref="V304" si="488">MIN(IF(IF($AA$3=2,AND(E304=1,G304=1,L304=1,L307=1,M304=1,U304="IBU"),AND(E304=1,G304=1,L304=1,L307=1,M304=1)),T304,0),I304)</f>
        <v>0</v>
      </c>
      <c r="W304" s="26"/>
      <c r="X304" s="26"/>
      <c r="Y304" s="26"/>
      <c r="Z304" s="26"/>
      <c r="AA304" s="26"/>
      <c r="AB304" s="33"/>
    </row>
    <row r="305" spans="1:28" x14ac:dyDescent="0.3">
      <c r="A305" s="32">
        <f>VLOOKUP(YEAR(C305),Flags!$A$13:$B$95,2,FALSE)</f>
        <v>2</v>
      </c>
      <c r="B305" s="24">
        <f t="shared" si="432"/>
        <v>1954</v>
      </c>
      <c r="C305" s="25">
        <v>19936</v>
      </c>
      <c r="D305" s="26">
        <f>VLOOKUP($C305,COS!$B$8:$H$991,3,FALSE)</f>
        <v>16000</v>
      </c>
      <c r="E305" s="24">
        <f>IF(D305&gt;=IF(MONTH($C305)=4,$C$3,IF(MONTH($C305)=5,$C$4,IF(MONTH($C305)=6,$C$5,IF(MONTH($C305)=7,$C$6,"ERROR")))),1,0)</f>
        <v>1</v>
      </c>
      <c r="F305" s="26">
        <f>VLOOKUP($C305,COS!$B$8:$H$991,7,FALSE)</f>
        <v>51.326705932617188</v>
      </c>
      <c r="G305" s="24">
        <f>IF(F305&lt;=IF(MONTH($C305)=4,$F$3,IF(MONTH($C305)=5,$F$4,IF(MONTH($C305)=6,$F$5,IF(MONTH($C305)=7,$F$6,"ERROR")))),1,0)</f>
        <v>1</v>
      </c>
      <c r="H305" s="26">
        <f>IF(J305=1,D305-$C$6,0)</f>
        <v>4000</v>
      </c>
      <c r="I305" s="26">
        <f t="shared" si="450"/>
        <v>245.95041322314049</v>
      </c>
      <c r="J305" s="24">
        <f t="shared" si="479"/>
        <v>1</v>
      </c>
      <c r="K305" s="26">
        <f>VLOOKUP($C305,COS!$B$8:$H$991,2,FALSE)</f>
        <v>3484.43505859375</v>
      </c>
      <c r="L305" s="24">
        <f t="shared" si="435"/>
        <v>1</v>
      </c>
      <c r="M305" s="24">
        <f t="shared" si="436"/>
        <v>0</v>
      </c>
      <c r="N305" s="26">
        <f>VLOOKUP($C305,COS!$B$8:$H$991,5,FALSE)</f>
        <v>1187.869384765625</v>
      </c>
      <c r="O305" s="26">
        <f t="shared" si="482"/>
        <v>73.039241509555779</v>
      </c>
      <c r="P305" s="26">
        <f>VLOOKUP($C305,COS!$B$8:$H$991,6,FALSE)</f>
        <v>2562.892822265625</v>
      </c>
      <c r="Q305" s="26">
        <f t="shared" si="483"/>
        <v>157.58613717071282</v>
      </c>
      <c r="R305" s="26">
        <f>MIN(IF(MONTH($C305)=4,$S$3,IF(MONTH($C305)=5,$S$4,IF(MONTH($C305)=6,$S$5,IF(MONTH($C305)=7,$S$6,"ERROR")))),MAX(VLOOKUP($C305,COS!$B$8:$K$991,10,FALSE)-IF(MONTH($C305)=4,$Y$3,IF(MONTH($C305)=5,$Y$4,IF(MONTH($C305)=6,$Y$5,IF(MONTH($C305)=7,$Y$6,"ERROR")))),0),MAX(VLOOKUP($C305,COS!$B$8:$K$991,9,FALSE)-IF(MONTH($C305)=4,$V$3,IF(MONTH($C305)=5,$V$4,IF(MONTH($C305)=6,$V$5,IF(MONTH($C305)=7,$V$6,"ERROR"))))-VLOOKUP($C305,COS!$B$8:$K$991,6,FALSE)/2,0))</f>
        <v>0</v>
      </c>
      <c r="S305" s="26">
        <f t="shared" si="484"/>
        <v>0</v>
      </c>
      <c r="T305" s="26">
        <f t="shared" si="485"/>
        <v>115.3126893401343</v>
      </c>
      <c r="U305" s="26" t="str">
        <f>IF(VLOOKUP($C305,COS!$B$8:$I$991,8,FALSE)=1,"UWFE","IBU")</f>
        <v>IBU</v>
      </c>
      <c r="V305" s="26">
        <f t="shared" ref="V305" si="489">MIN(IF(IF($AA$3=2,AND(E305=1,G305=1,L305=1,L307=1,M305=1,U305="IBU"),AND(E305=1,G305=1,L305=1,L307=1,M305=1)),T305,0),I305)</f>
        <v>0</v>
      </c>
      <c r="W305" s="26"/>
      <c r="X305" s="26"/>
      <c r="Y305" s="26"/>
      <c r="Z305" s="26"/>
      <c r="AA305" s="26"/>
      <c r="AB305" s="33"/>
    </row>
    <row r="306" spans="1:28" x14ac:dyDescent="0.3">
      <c r="A306" s="32">
        <f>VLOOKUP(YEAR(C306),Flags!$A$13:$B$95,2,FALSE)</f>
        <v>2</v>
      </c>
      <c r="B306" s="24">
        <f t="shared" si="432"/>
        <v>1954</v>
      </c>
      <c r="C306" s="25">
        <v>19967</v>
      </c>
      <c r="D306" s="26"/>
      <c r="E306" s="24"/>
      <c r="F306" s="26"/>
      <c r="G306" s="24"/>
      <c r="H306" s="24"/>
      <c r="I306" s="26"/>
      <c r="J306" s="24"/>
      <c r="K306" s="26"/>
      <c r="L306" s="24"/>
      <c r="M306" s="24"/>
      <c r="N306" s="26"/>
      <c r="O306" s="26"/>
      <c r="P306" s="26"/>
      <c r="Q306" s="26"/>
      <c r="R306" s="26"/>
      <c r="S306" s="26"/>
      <c r="T306" s="26"/>
      <c r="U306" s="26"/>
      <c r="V306" s="26"/>
      <c r="W306" s="26">
        <f>MAX($C$7-VLOOKUP($C306,COS!$B$8:$H$991,3,FALSE),0)</f>
        <v>89107.3271484375</v>
      </c>
      <c r="X306" s="26">
        <f t="shared" si="448"/>
        <v>5478.9959833419425</v>
      </c>
      <c r="Y306" s="26">
        <f>VLOOKUP($C306,COS!$B$8:$H$991,4,FALSE)</f>
        <v>0</v>
      </c>
      <c r="Z306" s="26">
        <f t="shared" si="449"/>
        <v>0</v>
      </c>
      <c r="AA306" s="26">
        <f t="shared" ref="AA306:AA310" si="490">MIN(W306,Y306)</f>
        <v>0</v>
      </c>
      <c r="AB306" s="33">
        <f t="shared" ref="AB306" si="491">AA306*DAY($C306)*86400/43560/1000*IF(MONTH($C306)=8,$P$3,IF(MONTH($C306)=9,$P$4,IF(MONTH($C306)=10,$P$5,IF(MONTH($C306)=11,$P$6,IF(MONTH($C306)=12,$P$7,NA())))))</f>
        <v>0</v>
      </c>
    </row>
    <row r="307" spans="1:28" x14ac:dyDescent="0.3">
      <c r="A307" s="32">
        <f>VLOOKUP(YEAR(C307),Flags!$A$13:$B$95,2,FALSE)</f>
        <v>2</v>
      </c>
      <c r="B307" s="24">
        <f t="shared" si="432"/>
        <v>1954</v>
      </c>
      <c r="C307" s="25">
        <v>19997</v>
      </c>
      <c r="D307" s="26"/>
      <c r="E307" s="24"/>
      <c r="F307" s="26"/>
      <c r="G307" s="24"/>
      <c r="H307" s="24"/>
      <c r="I307" s="26"/>
      <c r="J307" s="24"/>
      <c r="K307" s="26">
        <f>VLOOKUP($C307,COS!$B$8:$H$991,2,FALSE)</f>
        <v>2910.68115234375</v>
      </c>
      <c r="L307" s="24">
        <f t="shared" ref="L307" si="492">IF(AND(K307&gt;$I$7,K307&lt;$I$8),1,0)</f>
        <v>1</v>
      </c>
      <c r="M307" s="24"/>
      <c r="N307" s="26"/>
      <c r="O307" s="26"/>
      <c r="P307" s="26"/>
      <c r="Q307" s="26"/>
      <c r="R307" s="26"/>
      <c r="S307" s="26"/>
      <c r="T307" s="26"/>
      <c r="U307" s="26"/>
      <c r="V307" s="26"/>
      <c r="W307" s="26">
        <f>MAX($C$8-VLOOKUP($C307,COS!$B$8:$H$991,3,FALSE),0)</f>
        <v>89705.0009765625</v>
      </c>
      <c r="X307" s="26">
        <f t="shared" si="448"/>
        <v>5337.8182399276857</v>
      </c>
      <c r="Y307" s="26">
        <f>VLOOKUP($C307,COS!$B$8:$H$991,4,FALSE)</f>
        <v>0</v>
      </c>
      <c r="Z307" s="26">
        <f t="shared" si="449"/>
        <v>0</v>
      </c>
      <c r="AA307" s="26">
        <f t="shared" si="490"/>
        <v>0</v>
      </c>
      <c r="AB307" s="33">
        <f t="shared" si="446"/>
        <v>0</v>
      </c>
    </row>
    <row r="308" spans="1:28" x14ac:dyDescent="0.3">
      <c r="A308" s="32">
        <f>VLOOKUP(YEAR(C308),Flags!$A$13:$B$95,2,FALSE)</f>
        <v>2</v>
      </c>
      <c r="B308" s="24">
        <f t="shared" si="432"/>
        <v>1954</v>
      </c>
      <c r="C308" s="25">
        <v>20028</v>
      </c>
      <c r="D308" s="26"/>
      <c r="E308" s="24"/>
      <c r="F308" s="26"/>
      <c r="G308" s="26"/>
      <c r="H308" s="26"/>
      <c r="I308" s="26"/>
      <c r="J308" s="26"/>
      <c r="K308" s="26"/>
      <c r="L308" s="24"/>
      <c r="M308" s="24"/>
      <c r="N308" s="26"/>
      <c r="O308" s="26"/>
      <c r="P308" s="26"/>
      <c r="Q308" s="26"/>
      <c r="R308" s="26"/>
      <c r="S308" s="26"/>
      <c r="T308" s="26"/>
      <c r="U308" s="26"/>
      <c r="V308" s="26"/>
      <c r="W308" s="26">
        <f>MAX($C$9-VLOOKUP($C308,COS!$B$8:$H$991,3,FALSE),0)</f>
        <v>92851.60400390625</v>
      </c>
      <c r="X308" s="26">
        <f t="shared" si="448"/>
        <v>5709.2225932980373</v>
      </c>
      <c r="Y308" s="26">
        <f>VLOOKUP($C308,COS!$B$8:$H$991,4,FALSE)</f>
        <v>798.4456787109375</v>
      </c>
      <c r="Z308" s="26">
        <f t="shared" si="449"/>
        <v>49.094511153796482</v>
      </c>
      <c r="AA308" s="26">
        <f t="shared" si="490"/>
        <v>798.4456787109375</v>
      </c>
      <c r="AB308" s="33">
        <f t="shared" si="446"/>
        <v>49.094511153796482</v>
      </c>
    </row>
    <row r="309" spans="1:28" x14ac:dyDescent="0.3">
      <c r="A309" s="32">
        <f>VLOOKUP(YEAR(C309),Flags!$A$13:$B$95,2,FALSE)</f>
        <v>2</v>
      </c>
      <c r="B309" s="24">
        <f t="shared" si="432"/>
        <v>1954</v>
      </c>
      <c r="C309" s="25">
        <v>20058</v>
      </c>
      <c r="D309" s="26"/>
      <c r="E309" s="24"/>
      <c r="F309" s="26"/>
      <c r="G309" s="26"/>
      <c r="H309" s="26"/>
      <c r="I309" s="26"/>
      <c r="J309" s="26"/>
      <c r="K309" s="26"/>
      <c r="L309" s="24"/>
      <c r="M309" s="24"/>
      <c r="N309" s="26"/>
      <c r="O309" s="26"/>
      <c r="P309" s="26"/>
      <c r="Q309" s="26"/>
      <c r="R309" s="26"/>
      <c r="S309" s="26"/>
      <c r="T309" s="26"/>
      <c r="U309" s="26"/>
      <c r="V309" s="26"/>
      <c r="W309" s="26">
        <f>MAX($C$10-VLOOKUP($C309,COS!$B$8:$H$991,3,FALSE),0)</f>
        <v>92153.25146484375</v>
      </c>
      <c r="X309" s="26">
        <f t="shared" si="448"/>
        <v>5483.4992607179747</v>
      </c>
      <c r="Y309" s="26">
        <f>VLOOKUP($C309,COS!$B$8:$H$991,4,FALSE)</f>
        <v>832.2525634765625</v>
      </c>
      <c r="Z309" s="26">
        <f t="shared" si="449"/>
        <v>49.522466587035126</v>
      </c>
      <c r="AA309" s="26">
        <f t="shared" si="490"/>
        <v>832.2525634765625</v>
      </c>
      <c r="AB309" s="33">
        <f t="shared" si="446"/>
        <v>24.761233293517563</v>
      </c>
    </row>
    <row r="310" spans="1:28" x14ac:dyDescent="0.3">
      <c r="A310" s="34">
        <f>VLOOKUP(YEAR(C310),Flags!$A$13:$B$95,2,FALSE)</f>
        <v>2</v>
      </c>
      <c r="B310" s="35">
        <f t="shared" si="432"/>
        <v>1954</v>
      </c>
      <c r="C310" s="36">
        <v>20089</v>
      </c>
      <c r="D310" s="37"/>
      <c r="E310" s="35"/>
      <c r="F310" s="37"/>
      <c r="G310" s="37"/>
      <c r="H310" s="37"/>
      <c r="I310" s="37"/>
      <c r="J310" s="37"/>
      <c r="K310" s="37"/>
      <c r="L310" s="35"/>
      <c r="M310" s="35"/>
      <c r="N310" s="37"/>
      <c r="O310" s="37"/>
      <c r="P310" s="37"/>
      <c r="Q310" s="37"/>
      <c r="R310" s="37"/>
      <c r="S310" s="37"/>
      <c r="T310" s="37"/>
      <c r="U310" s="37"/>
      <c r="V310" s="37"/>
      <c r="W310" s="37">
        <f>MAX($C$11-VLOOKUP($C310,COS!$B$8:$H$991,3,FALSE),0)</f>
        <v>0</v>
      </c>
      <c r="X310" s="37">
        <f t="shared" si="448"/>
        <v>0</v>
      </c>
      <c r="Y310" s="37">
        <f>VLOOKUP($C310,COS!$B$8:$H$991,4,FALSE)</f>
        <v>0</v>
      </c>
      <c r="Z310" s="37">
        <f t="shared" si="449"/>
        <v>0</v>
      </c>
      <c r="AA310" s="37">
        <f t="shared" si="490"/>
        <v>0</v>
      </c>
      <c r="AB310" s="38">
        <f t="shared" si="446"/>
        <v>0</v>
      </c>
    </row>
    <row r="311" spans="1:28" x14ac:dyDescent="0.3">
      <c r="A311" s="27">
        <f>VLOOKUP(YEAR(C311),Flags!$A$13:$B$95,2,FALSE)</f>
        <v>4</v>
      </c>
      <c r="B311" s="28">
        <f t="shared" si="432"/>
        <v>1955</v>
      </c>
      <c r="C311" s="29">
        <v>20209</v>
      </c>
      <c r="D311" s="30">
        <f>VLOOKUP($C311,COS!$B$8:$H$991,3,FALSE)</f>
        <v>3250</v>
      </c>
      <c r="E311" s="28">
        <f>IF(D311&gt;=IF(MONTH($C311)=4,$C$3,IF(MONTH($C311)=5,$C$4,IF(MONTH($C311)=6,$C$5,IF(MONTH($C311)=7,$C$6,"ERROR")))),1,0)</f>
        <v>0</v>
      </c>
      <c r="F311" s="30">
        <f>VLOOKUP($C311,COS!$B$8:$H$991,7,FALSE)</f>
        <v>50.451328277587891</v>
      </c>
      <c r="G311" s="28">
        <f>IF(F311&lt;=IF(MONTH($C311)=4,$F$3,IF(MONTH($C311)=5,$F$4,IF(MONTH($C311)=6,$F$5,IF(MONTH($C311)=7,$F$6,"ERROR")))),1,0)</f>
        <v>1</v>
      </c>
      <c r="H311" s="30">
        <f>IF(J311=1,D311-$C$3,0)</f>
        <v>0</v>
      </c>
      <c r="I311" s="30">
        <f t="shared" si="450"/>
        <v>0</v>
      </c>
      <c r="J311" s="28">
        <f t="shared" ref="J311:J314" si="493">IF(AND(E311=1,G311=1),1,0)</f>
        <v>0</v>
      </c>
      <c r="K311" s="30">
        <f>VLOOKUP($C311,COS!$B$8:$H$991,2,FALSE)</f>
        <v>3900.966552734375</v>
      </c>
      <c r="L311" s="28">
        <f t="shared" ref="L311" si="494">IF(K311&lt;=IF(MONTH($C311)=4,$I$3,IF(MONTH($C311)=5,$I$4,IF(MONTH($C311)=6,$I$5,IF(MONTH($C311)=7,$I$6,"ERROR")))),1,0)</f>
        <v>1</v>
      </c>
      <c r="M311" s="28">
        <f t="shared" ref="M311" si="495">VLOOKUP($A311,$L$3:$M$7,2,FALSE)</f>
        <v>1</v>
      </c>
      <c r="N311" s="30">
        <f>VLOOKUP($C311,COS!$B$8:$H$991,5,FALSE)</f>
        <v>222.8968505859375</v>
      </c>
      <c r="O311" s="30">
        <f t="shared" ref="O311:O314" si="496">N311*DAY($C311)*86400/43560/1000</f>
        <v>13.26328367122934</v>
      </c>
      <c r="P311" s="30">
        <f>VLOOKUP($C311,COS!$B$8:$H$991,6,FALSE)</f>
        <v>466.9581298828125</v>
      </c>
      <c r="Q311" s="30">
        <f t="shared" ref="Q311:Q314" si="497">P311*DAY($C311)*86400/43560/1000</f>
        <v>27.785938307076446</v>
      </c>
      <c r="R311" s="30">
        <f>MIN(IF(MONTH($C311)=4,$S$3,IF(MONTH($C311)=5,$S$4,IF(MONTH($C311)=6,$S$5,IF(MONTH($C311)=7,$S$6,"ERROR")))),MAX(VLOOKUP($C311,COS!$B$8:$K$991,10,FALSE)-IF(MONTH($C311)=4,$Y$3,IF(MONTH($C311)=5,$Y$4,IF(MONTH($C311)=6,$Y$5,IF(MONTH($C311)=7,$Y$6,"ERROR")))),0),MAX(VLOOKUP($C311,COS!$B$8:$K$991,9,FALSE)-IF(MONTH($C311)=4,$V$3,IF(MONTH($C311)=5,$V$4,IF(MONTH($C311)=6,$V$5,IF(MONTH($C311)=7,$V$6,"ERROR"))))-VLOOKUP($C311,COS!$B$8:$K$991,6,FALSE)/2,0))</f>
        <v>0</v>
      </c>
      <c r="S311" s="30">
        <f t="shared" ref="S311:S314" si="498">R311*DAY($C311)*86400/43560/1000</f>
        <v>0</v>
      </c>
      <c r="T311" s="30">
        <f t="shared" ref="T311:T314" si="499">(O311+Q311)/2+S311</f>
        <v>20.524610989152894</v>
      </c>
      <c r="U311" s="30" t="str">
        <f>IF(VLOOKUP($C311,COS!$B$8:$I$991,8,FALSE)=1,"UWFE","IBU")</f>
        <v>UWFE</v>
      </c>
      <c r="V311" s="30">
        <f t="shared" ref="V311" si="500">MIN(IF(IF($AA$3=2,AND(E311=1,G311=1,L311=1,L316=1,M311=1,U311="IBU"),AND(E311=1,G311=1,L311=1,L316=1,M311=1)),T311,0),I311)</f>
        <v>0</v>
      </c>
      <c r="W311" s="30"/>
      <c r="X311" s="30"/>
      <c r="Y311" s="30"/>
      <c r="Z311" s="30"/>
      <c r="AA311" s="30"/>
      <c r="AB311" s="31"/>
    </row>
    <row r="312" spans="1:28" x14ac:dyDescent="0.3">
      <c r="A312" s="32">
        <f>VLOOKUP(YEAR(C312),Flags!$A$13:$B$95,2,FALSE)</f>
        <v>4</v>
      </c>
      <c r="B312" s="24">
        <f t="shared" si="432"/>
        <v>1955</v>
      </c>
      <c r="C312" s="25">
        <v>20240</v>
      </c>
      <c r="D312" s="26">
        <f>VLOOKUP($C312,COS!$B$8:$H$991,3,FALSE)</f>
        <v>5268.8193359375</v>
      </c>
      <c r="E312" s="24">
        <f>IF(D312&gt;=IF(MONTH($C312)=4,$C$3,IF(MONTH($C312)=5,$C$4,IF(MONTH($C312)=6,$C$5,IF(MONTH($C312)=7,$C$6,"ERROR")))),1,0)</f>
        <v>0</v>
      </c>
      <c r="F312" s="26">
        <f>VLOOKUP($C312,COS!$B$8:$H$991,7,FALSE)</f>
        <v>51.616672515869141</v>
      </c>
      <c r="G312" s="24">
        <f>IF(F312&lt;=IF(MONTH($C312)=4,$F$3,IF(MONTH($C312)=5,$F$4,IF(MONTH($C312)=6,$F$5,IF(MONTH($C312)=7,$F$6,"ERROR")))),1,0)</f>
        <v>1</v>
      </c>
      <c r="H312" s="26">
        <f>IF(J312=1,D312-$C$4,0)</f>
        <v>0</v>
      </c>
      <c r="I312" s="26">
        <f t="shared" si="450"/>
        <v>0</v>
      </c>
      <c r="J312" s="24">
        <f t="shared" si="493"/>
        <v>0</v>
      </c>
      <c r="K312" s="26">
        <f>VLOOKUP($C312,COS!$B$8:$H$991,2,FALSE)</f>
        <v>4019.9189453125</v>
      </c>
      <c r="L312" s="24">
        <f t="shared" si="435"/>
        <v>1</v>
      </c>
      <c r="M312" s="24">
        <f t="shared" si="436"/>
        <v>1</v>
      </c>
      <c r="N312" s="26">
        <f>VLOOKUP($C312,COS!$B$8:$H$991,5,FALSE)</f>
        <v>365.389892578125</v>
      </c>
      <c r="O312" s="26">
        <f t="shared" si="496"/>
        <v>22.466948766787191</v>
      </c>
      <c r="P312" s="26">
        <f>VLOOKUP($C312,COS!$B$8:$H$991,6,FALSE)</f>
        <v>2265.77197265625</v>
      </c>
      <c r="Q312" s="26">
        <f t="shared" si="497"/>
        <v>139.31688823605373</v>
      </c>
      <c r="R312" s="26">
        <f>MIN(IF(MONTH($C312)=4,$S$3,IF(MONTH($C312)=5,$S$4,IF(MONTH($C312)=6,$S$5,IF(MONTH($C312)=7,$S$6,"ERROR")))),MAX(VLOOKUP($C312,COS!$B$8:$K$991,10,FALSE)-IF(MONTH($C312)=4,$Y$3,IF(MONTH($C312)=5,$Y$4,IF(MONTH($C312)=6,$Y$5,IF(MONTH($C312)=7,$Y$6,"ERROR")))),0),MAX(VLOOKUP($C312,COS!$B$8:$K$991,9,FALSE)-IF(MONTH($C312)=4,$V$3,IF(MONTH($C312)=5,$V$4,IF(MONTH($C312)=6,$V$5,IF(MONTH($C312)=7,$V$6,"ERROR"))))-VLOOKUP($C312,COS!$B$8:$K$991,6,FALSE)/2,0))</f>
        <v>0</v>
      </c>
      <c r="S312" s="26">
        <f t="shared" si="498"/>
        <v>0</v>
      </c>
      <c r="T312" s="26">
        <f t="shared" si="499"/>
        <v>80.891918501420463</v>
      </c>
      <c r="U312" s="26" t="str">
        <f>IF(VLOOKUP($C312,COS!$B$8:$I$991,8,FALSE)=1,"UWFE","IBU")</f>
        <v>UWFE</v>
      </c>
      <c r="V312" s="26">
        <f t="shared" ref="V312" si="501">MIN(IF(IF($AA$3=2,AND(E312=1,G312=1,L312=1,L316=1,M312=1,U312="IBU"),AND(E312=1,G312=1,L312=1,L316=1,M312=1)),T312,0),I312)</f>
        <v>0</v>
      </c>
      <c r="W312" s="26"/>
      <c r="X312" s="26"/>
      <c r="Y312" s="26"/>
      <c r="Z312" s="26"/>
      <c r="AA312" s="26"/>
      <c r="AB312" s="33"/>
    </row>
    <row r="313" spans="1:28" x14ac:dyDescent="0.3">
      <c r="A313" s="32">
        <f>VLOOKUP(YEAR(C313),Flags!$A$13:$B$95,2,FALSE)</f>
        <v>4</v>
      </c>
      <c r="B313" s="24">
        <f t="shared" si="432"/>
        <v>1955</v>
      </c>
      <c r="C313" s="25">
        <v>20270</v>
      </c>
      <c r="D313" s="26">
        <f>VLOOKUP($C313,COS!$B$8:$H$991,3,FALSE)</f>
        <v>9586.744140625</v>
      </c>
      <c r="E313" s="24">
        <f>IF(D313&gt;=IF(MONTH($C313)=4,$C$3,IF(MONTH($C313)=5,$C$4,IF(MONTH($C313)=6,$C$5,IF(MONTH($C313)=7,$C$6,"ERROR")))),1,0)</f>
        <v>0</v>
      </c>
      <c r="F313" s="26">
        <f>VLOOKUP($C313,COS!$B$8:$H$991,7,FALSE)</f>
        <v>51.253532409667969</v>
      </c>
      <c r="G313" s="24">
        <f>IF(F313&lt;=IF(MONTH($C313)=4,$F$3,IF(MONTH($C313)=5,$F$4,IF(MONTH($C313)=6,$F$5,IF(MONTH($C313)=7,$F$6,"ERROR")))),1,0)</f>
        <v>1</v>
      </c>
      <c r="H313" s="26">
        <f>IF(J313=1,D313-$C$5,0)</f>
        <v>0</v>
      </c>
      <c r="I313" s="26">
        <f t="shared" si="450"/>
        <v>0</v>
      </c>
      <c r="J313" s="24">
        <f t="shared" si="493"/>
        <v>0</v>
      </c>
      <c r="K313" s="26">
        <f>VLOOKUP($C313,COS!$B$8:$H$991,2,FALSE)</f>
        <v>3710.103271484375</v>
      </c>
      <c r="L313" s="24">
        <f t="shared" si="435"/>
        <v>1</v>
      </c>
      <c r="M313" s="24">
        <f t="shared" si="436"/>
        <v>1</v>
      </c>
      <c r="N313" s="26">
        <f>VLOOKUP($C313,COS!$B$8:$H$991,5,FALSE)</f>
        <v>444.3331298828125</v>
      </c>
      <c r="O313" s="26">
        <f t="shared" si="496"/>
        <v>26.439657315340909</v>
      </c>
      <c r="P313" s="26">
        <f>VLOOKUP($C313,COS!$B$8:$H$991,6,FALSE)</f>
        <v>2712.6806640625</v>
      </c>
      <c r="Q313" s="26">
        <f t="shared" si="497"/>
        <v>161.41570893595042</v>
      </c>
      <c r="R313" s="26">
        <f>MIN(IF(MONTH($C313)=4,$S$3,IF(MONTH($C313)=5,$S$4,IF(MONTH($C313)=6,$S$5,IF(MONTH($C313)=7,$S$6,"ERROR")))),MAX(VLOOKUP($C313,COS!$B$8:$K$991,10,FALSE)-IF(MONTH($C313)=4,$Y$3,IF(MONTH($C313)=5,$Y$4,IF(MONTH($C313)=6,$Y$5,IF(MONTH($C313)=7,$Y$6,"ERROR")))),0),MAX(VLOOKUP($C313,COS!$B$8:$K$991,9,FALSE)-IF(MONTH($C313)=4,$V$3,IF(MONTH($C313)=5,$V$4,IF(MONTH($C313)=6,$V$5,IF(MONTH($C313)=7,$V$6,"ERROR"))))-VLOOKUP($C313,COS!$B$8:$K$991,6,FALSE)/2,0))</f>
        <v>0</v>
      </c>
      <c r="S313" s="26">
        <f t="shared" si="498"/>
        <v>0</v>
      </c>
      <c r="T313" s="26">
        <f t="shared" si="499"/>
        <v>93.927683125645672</v>
      </c>
      <c r="U313" s="26" t="str">
        <f>IF(VLOOKUP($C313,COS!$B$8:$I$991,8,FALSE)=1,"UWFE","IBU")</f>
        <v>IBU</v>
      </c>
      <c r="V313" s="26">
        <f t="shared" ref="V313" si="502">MIN(IF(IF($AA$3=2,AND(E313=1,G313=1,L313=1,L316=1,M313=1,U313="IBU"),AND(E313=1,G313=1,L313=1,L316=1,M313=1)),T313,0),I313)</f>
        <v>0</v>
      </c>
      <c r="W313" s="26"/>
      <c r="X313" s="26"/>
      <c r="Y313" s="26"/>
      <c r="Z313" s="26"/>
      <c r="AA313" s="26"/>
      <c r="AB313" s="33"/>
    </row>
    <row r="314" spans="1:28" x14ac:dyDescent="0.3">
      <c r="A314" s="32">
        <f>VLOOKUP(YEAR(C314),Flags!$A$13:$B$95,2,FALSE)</f>
        <v>4</v>
      </c>
      <c r="B314" s="24">
        <f t="shared" si="432"/>
        <v>1955</v>
      </c>
      <c r="C314" s="25">
        <v>20301</v>
      </c>
      <c r="D314" s="26">
        <f>VLOOKUP($C314,COS!$B$8:$H$991,3,FALSE)</f>
        <v>14380.9560546875</v>
      </c>
      <c r="E314" s="24">
        <f>IF(D314&gt;=IF(MONTH($C314)=4,$C$3,IF(MONTH($C314)=5,$C$4,IF(MONTH($C314)=6,$C$5,IF(MONTH($C314)=7,$C$6,"ERROR")))),1,0)</f>
        <v>1</v>
      </c>
      <c r="F314" s="26">
        <f>VLOOKUP($C314,COS!$B$8:$H$991,7,FALSE)</f>
        <v>51.871387481689453</v>
      </c>
      <c r="G314" s="24">
        <f>IF(F314&lt;=IF(MONTH($C314)=4,$F$3,IF(MONTH($C314)=5,$F$4,IF(MONTH($C314)=6,$F$5,IF(MONTH($C314)=7,$F$6,"ERROR")))),1,0)</f>
        <v>1</v>
      </c>
      <c r="H314" s="26">
        <f>IF(J314=1,D314-$C$6,0)</f>
        <v>2380.9560546875</v>
      </c>
      <c r="I314" s="26">
        <f t="shared" si="450"/>
        <v>146.39928137913225</v>
      </c>
      <c r="J314" s="24">
        <f t="shared" si="493"/>
        <v>1</v>
      </c>
      <c r="K314" s="26">
        <f>VLOOKUP($C314,COS!$B$8:$H$991,2,FALSE)</f>
        <v>3124.154052734375</v>
      </c>
      <c r="L314" s="24">
        <f t="shared" si="435"/>
        <v>1</v>
      </c>
      <c r="M314" s="24">
        <f t="shared" si="436"/>
        <v>1</v>
      </c>
      <c r="N314" s="26">
        <f>VLOOKUP($C314,COS!$B$8:$H$991,5,FALSE)</f>
        <v>487.44525146484375</v>
      </c>
      <c r="O314" s="26">
        <f t="shared" si="496"/>
        <v>29.971840255358988</v>
      </c>
      <c r="P314" s="26">
        <f>VLOOKUP($C314,COS!$B$8:$H$991,6,FALSE)</f>
        <v>2538.07568359375</v>
      </c>
      <c r="Q314" s="26">
        <f t="shared" si="497"/>
        <v>156.06019079287191</v>
      </c>
      <c r="R314" s="26">
        <f>MIN(IF(MONTH($C314)=4,$S$3,IF(MONTH($C314)=5,$S$4,IF(MONTH($C314)=6,$S$5,IF(MONTH($C314)=7,$S$6,"ERROR")))),MAX(VLOOKUP($C314,COS!$B$8:$K$991,10,FALSE)-IF(MONTH($C314)=4,$Y$3,IF(MONTH($C314)=5,$Y$4,IF(MONTH($C314)=6,$Y$5,IF(MONTH($C314)=7,$Y$6,"ERROR")))),0),MAX(VLOOKUP($C314,COS!$B$8:$K$991,9,FALSE)-IF(MONTH($C314)=4,$V$3,IF(MONTH($C314)=5,$V$4,IF(MONTH($C314)=6,$V$5,IF(MONTH($C314)=7,$V$6,"ERROR"))))-VLOOKUP($C314,COS!$B$8:$K$991,6,FALSE)/2,0))</f>
        <v>0</v>
      </c>
      <c r="S314" s="26">
        <f t="shared" si="498"/>
        <v>0</v>
      </c>
      <c r="T314" s="26">
        <f t="shared" si="499"/>
        <v>93.016015524115446</v>
      </c>
      <c r="U314" s="26" t="str">
        <f>IF(VLOOKUP($C314,COS!$B$8:$I$991,8,FALSE)=1,"UWFE","IBU")</f>
        <v>IBU</v>
      </c>
      <c r="V314" s="26">
        <f t="shared" ref="V314" si="503">MIN(IF(IF($AA$3=2,AND(E314=1,G314=1,L314=1,L316=1,M314=1,U314="IBU"),AND(E314=1,G314=1,L314=1,L316=1,M314=1)),T314,0),I314)</f>
        <v>93.016015524115446</v>
      </c>
      <c r="W314" s="26"/>
      <c r="X314" s="26"/>
      <c r="Y314" s="26"/>
      <c r="Z314" s="26"/>
      <c r="AA314" s="26"/>
      <c r="AB314" s="33"/>
    </row>
    <row r="315" spans="1:28" x14ac:dyDescent="0.3">
      <c r="A315" s="32">
        <f>VLOOKUP(YEAR(C315),Flags!$A$13:$B$95,2,FALSE)</f>
        <v>4</v>
      </c>
      <c r="B315" s="24">
        <f t="shared" si="432"/>
        <v>1955</v>
      </c>
      <c r="C315" s="25">
        <v>20332</v>
      </c>
      <c r="D315" s="26"/>
      <c r="E315" s="24"/>
      <c r="F315" s="26"/>
      <c r="G315" s="24"/>
      <c r="H315" s="24"/>
      <c r="I315" s="26"/>
      <c r="J315" s="24"/>
      <c r="K315" s="26"/>
      <c r="L315" s="24"/>
      <c r="M315" s="24"/>
      <c r="N315" s="26"/>
      <c r="O315" s="26"/>
      <c r="P315" s="26"/>
      <c r="Q315" s="26"/>
      <c r="R315" s="26"/>
      <c r="S315" s="26"/>
      <c r="T315" s="26"/>
      <c r="U315" s="26"/>
      <c r="V315" s="26"/>
      <c r="W315" s="26">
        <f>MAX($C$7-VLOOKUP($C315,COS!$B$8:$H$991,3,FALSE),0)</f>
        <v>91467.5400390625</v>
      </c>
      <c r="X315" s="26">
        <f t="shared" si="448"/>
        <v>5624.1198172778923</v>
      </c>
      <c r="Y315" s="26">
        <f>VLOOKUP($C315,COS!$B$8:$H$991,4,FALSE)</f>
        <v>1565.8887939453125</v>
      </c>
      <c r="Z315" s="26">
        <f t="shared" si="449"/>
        <v>96.282748983083678</v>
      </c>
      <c r="AA315" s="26">
        <f t="shared" ref="AA315:AA319" si="504">MIN(W315,Y315)</f>
        <v>1565.8887939453125</v>
      </c>
      <c r="AB315" s="33">
        <f t="shared" ref="AB315" si="505">AA315*DAY($C315)*86400/43560/1000*IF(MONTH($C315)=8,$P$3,IF(MONTH($C315)=9,$P$4,IF(MONTH($C315)=10,$P$5,IF(MONTH($C315)=11,$P$6,IF(MONTH($C315)=12,$P$7,NA())))))</f>
        <v>96.282748983083678</v>
      </c>
    </row>
    <row r="316" spans="1:28" x14ac:dyDescent="0.3">
      <c r="A316" s="32">
        <f>VLOOKUP(YEAR(C316),Flags!$A$13:$B$95,2,FALSE)</f>
        <v>4</v>
      </c>
      <c r="B316" s="24">
        <f t="shared" si="432"/>
        <v>1955</v>
      </c>
      <c r="C316" s="25">
        <v>20362</v>
      </c>
      <c r="D316" s="26"/>
      <c r="E316" s="24"/>
      <c r="F316" s="26"/>
      <c r="G316" s="24"/>
      <c r="H316" s="24"/>
      <c r="I316" s="26"/>
      <c r="J316" s="24"/>
      <c r="K316" s="26">
        <f>VLOOKUP($C316,COS!$B$8:$H$991,2,FALSE)</f>
        <v>2864.943603515625</v>
      </c>
      <c r="L316" s="24">
        <f t="shared" ref="L316" si="506">IF(AND(K316&gt;$I$7,K316&lt;$I$8),1,0)</f>
        <v>1</v>
      </c>
      <c r="M316" s="24"/>
      <c r="N316" s="26"/>
      <c r="O316" s="26"/>
      <c r="P316" s="26"/>
      <c r="Q316" s="26"/>
      <c r="R316" s="26"/>
      <c r="S316" s="26"/>
      <c r="T316" s="26"/>
      <c r="U316" s="26"/>
      <c r="V316" s="26"/>
      <c r="W316" s="26">
        <f>MAX($C$8-VLOOKUP($C316,COS!$B$8:$H$991,3,FALSE),0)</f>
        <v>95723.19287109375</v>
      </c>
      <c r="X316" s="26">
        <f t="shared" si="448"/>
        <v>5695.9255262138431</v>
      </c>
      <c r="Y316" s="26">
        <f>VLOOKUP($C316,COS!$B$8:$H$991,4,FALSE)</f>
        <v>813.69903564453125</v>
      </c>
      <c r="Z316" s="26">
        <f t="shared" si="449"/>
        <v>48.418455013558884</v>
      </c>
      <c r="AA316" s="26">
        <f t="shared" si="504"/>
        <v>813.69903564453125</v>
      </c>
      <c r="AB316" s="33">
        <f t="shared" si="446"/>
        <v>48.418455013558884</v>
      </c>
    </row>
    <row r="317" spans="1:28" x14ac:dyDescent="0.3">
      <c r="A317" s="32">
        <f>VLOOKUP(YEAR(C317),Flags!$A$13:$B$95,2,FALSE)</f>
        <v>4</v>
      </c>
      <c r="B317" s="24">
        <f t="shared" si="432"/>
        <v>1955</v>
      </c>
      <c r="C317" s="25">
        <v>20393</v>
      </c>
      <c r="D317" s="26"/>
      <c r="E317" s="24"/>
      <c r="F317" s="26"/>
      <c r="G317" s="26"/>
      <c r="H317" s="26"/>
      <c r="I317" s="26"/>
      <c r="J317" s="26"/>
      <c r="K317" s="26"/>
      <c r="L317" s="24"/>
      <c r="M317" s="24"/>
      <c r="N317" s="26"/>
      <c r="O317" s="26"/>
      <c r="P317" s="26"/>
      <c r="Q317" s="26"/>
      <c r="R317" s="26"/>
      <c r="S317" s="26"/>
      <c r="T317" s="26"/>
      <c r="U317" s="26"/>
      <c r="V317" s="26"/>
      <c r="W317" s="26">
        <f>MAX($C$9-VLOOKUP($C317,COS!$B$8:$H$991,3,FALSE),0)</f>
        <v>94019.69970703125</v>
      </c>
      <c r="X317" s="26">
        <f t="shared" si="448"/>
        <v>5781.0459985149791</v>
      </c>
      <c r="Y317" s="26">
        <f>VLOOKUP($C317,COS!$B$8:$H$991,4,FALSE)</f>
        <v>1413.0872802734375</v>
      </c>
      <c r="Z317" s="26">
        <f t="shared" si="449"/>
        <v>86.887350125903922</v>
      </c>
      <c r="AA317" s="26">
        <f t="shared" si="504"/>
        <v>1413.0872802734375</v>
      </c>
      <c r="AB317" s="33">
        <f t="shared" si="446"/>
        <v>86.887350125903922</v>
      </c>
    </row>
    <row r="318" spans="1:28" x14ac:dyDescent="0.3">
      <c r="A318" s="32">
        <f>VLOOKUP(YEAR(C318),Flags!$A$13:$B$95,2,FALSE)</f>
        <v>4</v>
      </c>
      <c r="B318" s="24">
        <f t="shared" si="432"/>
        <v>1955</v>
      </c>
      <c r="C318" s="25">
        <v>20423</v>
      </c>
      <c r="D318" s="26"/>
      <c r="E318" s="24"/>
      <c r="F318" s="26"/>
      <c r="G318" s="26"/>
      <c r="H318" s="26"/>
      <c r="I318" s="26"/>
      <c r="J318" s="26"/>
      <c r="K318" s="26"/>
      <c r="L318" s="24"/>
      <c r="M318" s="24"/>
      <c r="N318" s="26"/>
      <c r="O318" s="26"/>
      <c r="P318" s="26"/>
      <c r="Q318" s="26"/>
      <c r="R318" s="26"/>
      <c r="S318" s="26"/>
      <c r="T318" s="26"/>
      <c r="U318" s="26"/>
      <c r="V318" s="26"/>
      <c r="W318" s="26">
        <f>MAX($C$10-VLOOKUP($C318,COS!$B$8:$H$991,3,FALSE),0)</f>
        <v>96749</v>
      </c>
      <c r="X318" s="26">
        <f t="shared" si="448"/>
        <v>5756.965289256198</v>
      </c>
      <c r="Y318" s="26">
        <f>VLOOKUP($C318,COS!$B$8:$H$991,4,FALSE)</f>
        <v>1431.478759765625</v>
      </c>
      <c r="Z318" s="26">
        <f t="shared" si="449"/>
        <v>85.178901407541332</v>
      </c>
      <c r="AA318" s="26">
        <f t="shared" si="504"/>
        <v>1431.478759765625</v>
      </c>
      <c r="AB318" s="33">
        <f t="shared" si="446"/>
        <v>42.589450703770666</v>
      </c>
    </row>
    <row r="319" spans="1:28" x14ac:dyDescent="0.3">
      <c r="A319" s="34">
        <f>VLOOKUP(YEAR(C319),Flags!$A$13:$B$95,2,FALSE)</f>
        <v>4</v>
      </c>
      <c r="B319" s="35">
        <f t="shared" si="432"/>
        <v>1955</v>
      </c>
      <c r="C319" s="36">
        <v>20454</v>
      </c>
      <c r="D319" s="37"/>
      <c r="E319" s="35"/>
      <c r="F319" s="37"/>
      <c r="G319" s="37"/>
      <c r="H319" s="37"/>
      <c r="I319" s="37"/>
      <c r="J319" s="37"/>
      <c r="K319" s="37"/>
      <c r="L319" s="35"/>
      <c r="M319" s="35"/>
      <c r="N319" s="37"/>
      <c r="O319" s="37"/>
      <c r="P319" s="37"/>
      <c r="Q319" s="37"/>
      <c r="R319" s="37"/>
      <c r="S319" s="37"/>
      <c r="T319" s="37"/>
      <c r="U319" s="37"/>
      <c r="V319" s="37"/>
      <c r="W319" s="37">
        <f>MAX($C$11-VLOOKUP($C319,COS!$B$8:$H$991,3,FALSE),0)</f>
        <v>0</v>
      </c>
      <c r="X319" s="37">
        <f t="shared" si="448"/>
        <v>0</v>
      </c>
      <c r="Y319" s="37">
        <f>VLOOKUP($C319,COS!$B$8:$H$991,4,FALSE)</f>
        <v>0</v>
      </c>
      <c r="Z319" s="37">
        <f t="shared" si="449"/>
        <v>0</v>
      </c>
      <c r="AA319" s="37">
        <f t="shared" si="504"/>
        <v>0</v>
      </c>
      <c r="AB319" s="38">
        <f t="shared" si="446"/>
        <v>0</v>
      </c>
    </row>
    <row r="320" spans="1:28" x14ac:dyDescent="0.3">
      <c r="A320" s="27">
        <f>VLOOKUP(YEAR(C320),Flags!$A$13:$B$95,2,FALSE)</f>
        <v>1</v>
      </c>
      <c r="B320" s="28">
        <f t="shared" si="432"/>
        <v>1956</v>
      </c>
      <c r="C320" s="29">
        <v>20575</v>
      </c>
      <c r="D320" s="30">
        <f>VLOOKUP($C320,COS!$B$8:$H$991,3,FALSE)</f>
        <v>3250</v>
      </c>
      <c r="E320" s="28">
        <f>IF(D320&gt;=IF(MONTH($C320)=4,$C$3,IF(MONTH($C320)=5,$C$4,IF(MONTH($C320)=6,$C$5,IF(MONTH($C320)=7,$C$6,"ERROR")))),1,0)</f>
        <v>0</v>
      </c>
      <c r="F320" s="30">
        <f>VLOOKUP($C320,COS!$B$8:$H$991,7,FALSE)</f>
        <v>49.895095825195313</v>
      </c>
      <c r="G320" s="28">
        <f>IF(F320&lt;=IF(MONTH($C320)=4,$F$3,IF(MONTH($C320)=5,$F$4,IF(MONTH($C320)=6,$F$5,IF(MONTH($C320)=7,$F$6,"ERROR")))),1,0)</f>
        <v>1</v>
      </c>
      <c r="H320" s="30">
        <f>IF(J320=1,D320-$C$3,0)</f>
        <v>0</v>
      </c>
      <c r="I320" s="30">
        <f t="shared" si="450"/>
        <v>0</v>
      </c>
      <c r="J320" s="28">
        <f t="shared" ref="J320:J323" si="507">IF(AND(E320=1,G320=1),1,0)</f>
        <v>0</v>
      </c>
      <c r="K320" s="30">
        <f>VLOOKUP($C320,COS!$B$8:$H$991,2,FALSE)</f>
        <v>4525.97607421875</v>
      </c>
      <c r="L320" s="28">
        <f t="shared" ref="L320" si="508">IF(K320&lt;=IF(MONTH($C320)=4,$I$3,IF(MONTH($C320)=5,$I$4,IF(MONTH($C320)=6,$I$5,IF(MONTH($C320)=7,$I$6,"ERROR")))),1,0)</f>
        <v>1</v>
      </c>
      <c r="M320" s="28">
        <f t="shared" ref="M320" si="509">VLOOKUP($A320,$L$3:$M$7,2,FALSE)</f>
        <v>0</v>
      </c>
      <c r="N320" s="30">
        <f>VLOOKUP($C320,COS!$B$8:$H$991,5,FALSE)</f>
        <v>274.44708251953125</v>
      </c>
      <c r="O320" s="30">
        <f t="shared" ref="O320:O323" si="510">N320*DAY($C320)*86400/43560/1000</f>
        <v>16.330735488765498</v>
      </c>
      <c r="P320" s="30">
        <f>VLOOKUP($C320,COS!$B$8:$H$991,6,FALSE)</f>
        <v>472.98532104492188</v>
      </c>
      <c r="Q320" s="30">
        <f t="shared" ref="Q320:Q323" si="511">P320*DAY($C320)*86400/43560/1000</f>
        <v>28.144581086970557</v>
      </c>
      <c r="R320" s="30">
        <f>MIN(IF(MONTH($C320)=4,$S$3,IF(MONTH($C320)=5,$S$4,IF(MONTH($C320)=6,$S$5,IF(MONTH($C320)=7,$S$6,"ERROR")))),MAX(VLOOKUP($C320,COS!$B$8:$K$991,10,FALSE)-IF(MONTH($C320)=4,$Y$3,IF(MONTH($C320)=5,$Y$4,IF(MONTH($C320)=6,$Y$5,IF(MONTH($C320)=7,$Y$6,"ERROR")))),0),MAX(VLOOKUP($C320,COS!$B$8:$K$991,9,FALSE)-IF(MONTH($C320)=4,$V$3,IF(MONTH($C320)=5,$V$4,IF(MONTH($C320)=6,$V$5,IF(MONTH($C320)=7,$V$6,"ERROR"))))-VLOOKUP($C320,COS!$B$8:$K$991,6,FALSE)/2,0))</f>
        <v>0</v>
      </c>
      <c r="S320" s="30">
        <f t="shared" ref="S320:S323" si="512">R320*DAY($C320)*86400/43560/1000</f>
        <v>0</v>
      </c>
      <c r="T320" s="30">
        <f t="shared" ref="T320:T323" si="513">(O320+Q320)/2+S320</f>
        <v>22.23765828786803</v>
      </c>
      <c r="U320" s="30" t="str">
        <f>IF(VLOOKUP($C320,COS!$B$8:$I$991,8,FALSE)=1,"UWFE","IBU")</f>
        <v>UWFE</v>
      </c>
      <c r="V320" s="30">
        <f t="shared" ref="V320" si="514">MIN(IF(IF($AA$3=2,AND(E320=1,G320=1,L320=1,L325=1,M320=1,U320="IBU"),AND(E320=1,G320=1,L320=1,L325=1,M320=1)),T320,0),I320)</f>
        <v>0</v>
      </c>
      <c r="W320" s="30"/>
      <c r="X320" s="30"/>
      <c r="Y320" s="30"/>
      <c r="Z320" s="30"/>
      <c r="AA320" s="30"/>
      <c r="AB320" s="31"/>
    </row>
    <row r="321" spans="1:28" x14ac:dyDescent="0.3">
      <c r="A321" s="32">
        <f>VLOOKUP(YEAR(C321),Flags!$A$13:$B$95,2,FALSE)</f>
        <v>1</v>
      </c>
      <c r="B321" s="24">
        <f t="shared" si="432"/>
        <v>1956</v>
      </c>
      <c r="C321" s="25">
        <v>20606</v>
      </c>
      <c r="D321" s="26">
        <f>VLOOKUP($C321,COS!$B$8:$H$991,3,FALSE)</f>
        <v>9877.4130859375</v>
      </c>
      <c r="E321" s="24">
        <f>IF(D321&gt;=IF(MONTH($C321)=4,$C$3,IF(MONTH($C321)=5,$C$4,IF(MONTH($C321)=6,$C$5,IF(MONTH($C321)=7,$C$6,"ERROR")))),1,0)</f>
        <v>1</v>
      </c>
      <c r="F321" s="26">
        <f>VLOOKUP($C321,COS!$B$8:$H$991,7,FALSE)</f>
        <v>47.875160217285156</v>
      </c>
      <c r="G321" s="24">
        <f>IF(F321&lt;=IF(MONTH($C321)=4,$F$3,IF(MONTH($C321)=5,$F$4,IF(MONTH($C321)=6,$F$5,IF(MONTH($C321)=7,$F$6,"ERROR")))),1,0)</f>
        <v>1</v>
      </c>
      <c r="H321" s="26">
        <f>IF(J321=1,D321-$C$4,0)</f>
        <v>3877.4130859375</v>
      </c>
      <c r="I321" s="26">
        <f t="shared" si="450"/>
        <v>238.41283768078512</v>
      </c>
      <c r="J321" s="24">
        <f t="shared" si="507"/>
        <v>1</v>
      </c>
      <c r="K321" s="26">
        <f>VLOOKUP($C321,COS!$B$8:$H$991,2,FALSE)</f>
        <v>4552</v>
      </c>
      <c r="L321" s="24">
        <f t="shared" si="435"/>
        <v>1</v>
      </c>
      <c r="M321" s="24">
        <f t="shared" si="436"/>
        <v>0</v>
      </c>
      <c r="N321" s="26">
        <f>VLOOKUP($C321,COS!$B$8:$H$991,5,FALSE)</f>
        <v>735.657470703125</v>
      </c>
      <c r="O321" s="26">
        <f t="shared" si="510"/>
        <v>45.233814727530991</v>
      </c>
      <c r="P321" s="26">
        <f>VLOOKUP($C321,COS!$B$8:$H$991,6,FALSE)</f>
        <v>2024.16015625</v>
      </c>
      <c r="Q321" s="26">
        <f t="shared" si="511"/>
        <v>124.46075671487603</v>
      </c>
      <c r="R321" s="26">
        <f>MIN(IF(MONTH($C321)=4,$S$3,IF(MONTH($C321)=5,$S$4,IF(MONTH($C321)=6,$S$5,IF(MONTH($C321)=7,$S$6,"ERROR")))),MAX(VLOOKUP($C321,COS!$B$8:$K$991,10,FALSE)-IF(MONTH($C321)=4,$Y$3,IF(MONTH($C321)=5,$Y$4,IF(MONTH($C321)=6,$Y$5,IF(MONTH($C321)=7,$Y$6,"ERROR")))),0),MAX(VLOOKUP($C321,COS!$B$8:$K$991,9,FALSE)-IF(MONTH($C321)=4,$V$3,IF(MONTH($C321)=5,$V$4,IF(MONTH($C321)=6,$V$5,IF(MONTH($C321)=7,$V$6,"ERROR"))))-VLOOKUP($C321,COS!$B$8:$K$991,6,FALSE)/2,0))</f>
        <v>0</v>
      </c>
      <c r="S321" s="26">
        <f t="shared" si="512"/>
        <v>0</v>
      </c>
      <c r="T321" s="26">
        <f t="shared" si="513"/>
        <v>84.847285721203505</v>
      </c>
      <c r="U321" s="26" t="str">
        <f>IF(VLOOKUP($C321,COS!$B$8:$I$991,8,FALSE)=1,"UWFE","IBU")</f>
        <v>UWFE</v>
      </c>
      <c r="V321" s="26">
        <f t="shared" ref="V321" si="515">MIN(IF(IF($AA$3=2,AND(E321=1,G321=1,L321=1,L325=1,M321=1,U321="IBU"),AND(E321=1,G321=1,L321=1,L325=1,M321=1)),T321,0),I321)</f>
        <v>0</v>
      </c>
      <c r="W321" s="26"/>
      <c r="X321" s="26"/>
      <c r="Y321" s="26"/>
      <c r="Z321" s="26"/>
      <c r="AA321" s="26"/>
      <c r="AB321" s="33"/>
    </row>
    <row r="322" spans="1:28" x14ac:dyDescent="0.3">
      <c r="A322" s="32">
        <f>VLOOKUP(YEAR(C322),Flags!$A$13:$B$95,2,FALSE)</f>
        <v>1</v>
      </c>
      <c r="B322" s="24">
        <f t="shared" si="432"/>
        <v>1956</v>
      </c>
      <c r="C322" s="25">
        <v>20636</v>
      </c>
      <c r="D322" s="26">
        <f>VLOOKUP($C322,COS!$B$8:$H$991,3,FALSE)</f>
        <v>7543.416015625</v>
      </c>
      <c r="E322" s="24">
        <f>IF(D322&gt;=IF(MONTH($C322)=4,$C$3,IF(MONTH($C322)=5,$C$4,IF(MONTH($C322)=6,$C$5,IF(MONTH($C322)=7,$C$6,"ERROR")))),1,0)</f>
        <v>0</v>
      </c>
      <c r="F322" s="26">
        <f>VLOOKUP($C322,COS!$B$8:$H$991,7,FALSE)</f>
        <v>50.089691162109375</v>
      </c>
      <c r="G322" s="24">
        <f>IF(F322&lt;=IF(MONTH($C322)=4,$F$3,IF(MONTH($C322)=5,$F$4,IF(MONTH($C322)=6,$F$5,IF(MONTH($C322)=7,$F$6,"ERROR")))),1,0)</f>
        <v>1</v>
      </c>
      <c r="H322" s="26">
        <f>IF(J322=1,D322-$C$5,0)</f>
        <v>0</v>
      </c>
      <c r="I322" s="26">
        <f t="shared" si="450"/>
        <v>0</v>
      </c>
      <c r="J322" s="24">
        <f t="shared" si="507"/>
        <v>0</v>
      </c>
      <c r="K322" s="26">
        <f>VLOOKUP($C322,COS!$B$8:$H$991,2,FALSE)</f>
        <v>4426.123046875</v>
      </c>
      <c r="L322" s="24">
        <f t="shared" si="435"/>
        <v>1</v>
      </c>
      <c r="M322" s="24">
        <f t="shared" si="436"/>
        <v>0</v>
      </c>
      <c r="N322" s="26">
        <f>VLOOKUP($C322,COS!$B$8:$H$991,5,FALSE)</f>
        <v>1099.9310302734375</v>
      </c>
      <c r="O322" s="26">
        <f t="shared" si="510"/>
        <v>65.450441470816116</v>
      </c>
      <c r="P322" s="26">
        <f>VLOOKUP($C322,COS!$B$8:$H$991,6,FALSE)</f>
        <v>2200.53125</v>
      </c>
      <c r="Q322" s="26">
        <f t="shared" si="511"/>
        <v>130.94070247933885</v>
      </c>
      <c r="R322" s="26">
        <f>MIN(IF(MONTH($C322)=4,$S$3,IF(MONTH($C322)=5,$S$4,IF(MONTH($C322)=6,$S$5,IF(MONTH($C322)=7,$S$6,"ERROR")))),MAX(VLOOKUP($C322,COS!$B$8:$K$991,10,FALSE)-IF(MONTH($C322)=4,$Y$3,IF(MONTH($C322)=5,$Y$4,IF(MONTH($C322)=6,$Y$5,IF(MONTH($C322)=7,$Y$6,"ERROR")))),0),MAX(VLOOKUP($C322,COS!$B$8:$K$991,9,FALSE)-IF(MONTH($C322)=4,$V$3,IF(MONTH($C322)=5,$V$4,IF(MONTH($C322)=6,$V$5,IF(MONTH($C322)=7,$V$6,"ERROR"))))-VLOOKUP($C322,COS!$B$8:$K$991,6,FALSE)/2,0))</f>
        <v>0</v>
      </c>
      <c r="S322" s="26">
        <f t="shared" si="512"/>
        <v>0</v>
      </c>
      <c r="T322" s="26">
        <f t="shared" si="513"/>
        <v>98.195571975077485</v>
      </c>
      <c r="U322" s="26" t="str">
        <f>IF(VLOOKUP($C322,COS!$B$8:$I$991,8,FALSE)=1,"UWFE","IBU")</f>
        <v>UWFE</v>
      </c>
      <c r="V322" s="26">
        <f t="shared" ref="V322" si="516">MIN(IF(IF($AA$3=2,AND(E322=1,G322=1,L322=1,L325=1,M322=1,U322="IBU"),AND(E322=1,G322=1,L322=1,L325=1,M322=1)),T322,0),I322)</f>
        <v>0</v>
      </c>
      <c r="W322" s="26"/>
      <c r="X322" s="26"/>
      <c r="Y322" s="26"/>
      <c r="Z322" s="26"/>
      <c r="AA322" s="26"/>
      <c r="AB322" s="33"/>
    </row>
    <row r="323" spans="1:28" x14ac:dyDescent="0.3">
      <c r="A323" s="32">
        <f>VLOOKUP(YEAR(C323),Flags!$A$13:$B$95,2,FALSE)</f>
        <v>1</v>
      </c>
      <c r="B323" s="24">
        <f t="shared" si="432"/>
        <v>1956</v>
      </c>
      <c r="C323" s="25">
        <v>20667</v>
      </c>
      <c r="D323" s="26">
        <f>VLOOKUP($C323,COS!$B$8:$H$991,3,FALSE)</f>
        <v>11823.966796875</v>
      </c>
      <c r="E323" s="24">
        <f>IF(D323&gt;=IF(MONTH($C323)=4,$C$3,IF(MONTH($C323)=5,$C$4,IF(MONTH($C323)=6,$C$5,IF(MONTH($C323)=7,$C$6,"ERROR")))),1,0)</f>
        <v>0</v>
      </c>
      <c r="F323" s="26">
        <f>VLOOKUP($C323,COS!$B$8:$H$991,7,FALSE)</f>
        <v>50.282562255859375</v>
      </c>
      <c r="G323" s="24">
        <f>IF(F323&lt;=IF(MONTH($C323)=4,$F$3,IF(MONTH($C323)=5,$F$4,IF(MONTH($C323)=6,$F$5,IF(MONTH($C323)=7,$F$6,"ERROR")))),1,0)</f>
        <v>1</v>
      </c>
      <c r="H323" s="26">
        <f>IF(J323=1,D323-$C$6,0)</f>
        <v>0</v>
      </c>
      <c r="I323" s="26">
        <f t="shared" si="450"/>
        <v>0</v>
      </c>
      <c r="J323" s="24">
        <f t="shared" si="507"/>
        <v>0</v>
      </c>
      <c r="K323" s="26">
        <f>VLOOKUP($C323,COS!$B$8:$H$991,2,FALSE)</f>
        <v>3905.54736328125</v>
      </c>
      <c r="L323" s="24">
        <f t="shared" si="435"/>
        <v>1</v>
      </c>
      <c r="M323" s="24">
        <f t="shared" si="436"/>
        <v>0</v>
      </c>
      <c r="N323" s="26">
        <f>VLOOKUP($C323,COS!$B$8:$H$991,5,FALSE)</f>
        <v>1282.6153564453125</v>
      </c>
      <c r="O323" s="26">
        <f t="shared" si="510"/>
        <v>78.86494423101756</v>
      </c>
      <c r="P323" s="26">
        <f>VLOOKUP($C323,COS!$B$8:$H$991,6,FALSE)</f>
        <v>2616.67822265625</v>
      </c>
      <c r="Q323" s="26">
        <f t="shared" si="511"/>
        <v>160.89327253357436</v>
      </c>
      <c r="R323" s="26">
        <f>MIN(IF(MONTH($C323)=4,$S$3,IF(MONTH($C323)=5,$S$4,IF(MONTH($C323)=6,$S$5,IF(MONTH($C323)=7,$S$6,"ERROR")))),MAX(VLOOKUP($C323,COS!$B$8:$K$991,10,FALSE)-IF(MONTH($C323)=4,$Y$3,IF(MONTH($C323)=5,$Y$4,IF(MONTH($C323)=6,$Y$5,IF(MONTH($C323)=7,$Y$6,"ERROR")))),0),MAX(VLOOKUP($C323,COS!$B$8:$K$991,9,FALSE)-IF(MONTH($C323)=4,$V$3,IF(MONTH($C323)=5,$V$4,IF(MONTH($C323)=6,$V$5,IF(MONTH($C323)=7,$V$6,"ERROR"))))-VLOOKUP($C323,COS!$B$8:$K$991,6,FALSE)/2,0))</f>
        <v>0</v>
      </c>
      <c r="S323" s="26">
        <f t="shared" si="512"/>
        <v>0</v>
      </c>
      <c r="T323" s="26">
        <f t="shared" si="513"/>
        <v>119.87910838229595</v>
      </c>
      <c r="U323" s="26" t="str">
        <f>IF(VLOOKUP($C323,COS!$B$8:$I$991,8,FALSE)=1,"UWFE","IBU")</f>
        <v>IBU</v>
      </c>
      <c r="V323" s="26">
        <f t="shared" ref="V323" si="517">MIN(IF(IF($AA$3=2,AND(E323=1,G323=1,L323=1,L325=1,M323=1,U323="IBU"),AND(E323=1,G323=1,L323=1,L325=1,M323=1)),T323,0),I323)</f>
        <v>0</v>
      </c>
      <c r="W323" s="26"/>
      <c r="X323" s="26"/>
      <c r="Y323" s="26"/>
      <c r="Z323" s="26"/>
      <c r="AA323" s="26"/>
      <c r="AB323" s="33"/>
    </row>
    <row r="324" spans="1:28" x14ac:dyDescent="0.3">
      <c r="A324" s="32">
        <f>VLOOKUP(YEAR(C324),Flags!$A$13:$B$95,2,FALSE)</f>
        <v>1</v>
      </c>
      <c r="B324" s="24">
        <f t="shared" si="432"/>
        <v>1956</v>
      </c>
      <c r="C324" s="25">
        <v>20698</v>
      </c>
      <c r="D324" s="26"/>
      <c r="E324" s="24"/>
      <c r="F324" s="26"/>
      <c r="G324" s="24"/>
      <c r="H324" s="24"/>
      <c r="I324" s="26"/>
      <c r="J324" s="24"/>
      <c r="K324" s="26"/>
      <c r="L324" s="24"/>
      <c r="M324" s="24"/>
      <c r="N324" s="26"/>
      <c r="O324" s="26"/>
      <c r="P324" s="26"/>
      <c r="Q324" s="26"/>
      <c r="R324" s="26"/>
      <c r="S324" s="26"/>
      <c r="T324" s="26"/>
      <c r="U324" s="26"/>
      <c r="V324" s="26"/>
      <c r="W324" s="26">
        <f>MAX($C$7-VLOOKUP($C324,COS!$B$8:$H$991,3,FALSE),0)</f>
        <v>90474.158203125</v>
      </c>
      <c r="X324" s="26">
        <f t="shared" si="448"/>
        <v>5563.0391490185948</v>
      </c>
      <c r="Y324" s="26">
        <f>VLOOKUP($C324,COS!$B$8:$H$991,4,FALSE)</f>
        <v>0</v>
      </c>
      <c r="Z324" s="26">
        <f t="shared" si="449"/>
        <v>0</v>
      </c>
      <c r="AA324" s="26">
        <f t="shared" ref="AA324:AA328" si="518">MIN(W324,Y324)</f>
        <v>0</v>
      </c>
      <c r="AB324" s="33">
        <f t="shared" ref="AB324" si="519">AA324*DAY($C324)*86400/43560/1000*IF(MONTH($C324)=8,$P$3,IF(MONTH($C324)=9,$P$4,IF(MONTH($C324)=10,$P$5,IF(MONTH($C324)=11,$P$6,IF(MONTH($C324)=12,$P$7,NA())))))</f>
        <v>0</v>
      </c>
    </row>
    <row r="325" spans="1:28" x14ac:dyDescent="0.3">
      <c r="A325" s="32">
        <f>VLOOKUP(YEAR(C325),Flags!$A$13:$B$95,2,FALSE)</f>
        <v>1</v>
      </c>
      <c r="B325" s="24">
        <f t="shared" si="432"/>
        <v>1956</v>
      </c>
      <c r="C325" s="25">
        <v>20728</v>
      </c>
      <c r="D325" s="26"/>
      <c r="E325" s="24"/>
      <c r="F325" s="26"/>
      <c r="G325" s="24"/>
      <c r="H325" s="24"/>
      <c r="I325" s="26"/>
      <c r="J325" s="24"/>
      <c r="K325" s="26">
        <f>VLOOKUP($C325,COS!$B$8:$H$991,2,FALSE)</f>
        <v>3055.82763671875</v>
      </c>
      <c r="L325" s="24">
        <f t="shared" ref="L325" si="520">IF(AND(K325&gt;$I$7,K325&lt;$I$8),1,0)</f>
        <v>1</v>
      </c>
      <c r="M325" s="24"/>
      <c r="N325" s="26"/>
      <c r="O325" s="26"/>
      <c r="P325" s="26"/>
      <c r="Q325" s="26"/>
      <c r="R325" s="26"/>
      <c r="S325" s="26"/>
      <c r="T325" s="26"/>
      <c r="U325" s="26"/>
      <c r="V325" s="26"/>
      <c r="W325" s="26">
        <f>MAX($C$8-VLOOKUP($C325,COS!$B$8:$H$991,3,FALSE),0)</f>
        <v>84431.8017578125</v>
      </c>
      <c r="X325" s="26">
        <f t="shared" si="448"/>
        <v>5024.0410963326449</v>
      </c>
      <c r="Y325" s="26">
        <f>VLOOKUP($C325,COS!$B$8:$H$991,4,FALSE)</f>
        <v>0</v>
      </c>
      <c r="Z325" s="26">
        <f t="shared" si="449"/>
        <v>0</v>
      </c>
      <c r="AA325" s="26">
        <f t="shared" si="518"/>
        <v>0</v>
      </c>
      <c r="AB325" s="33">
        <f t="shared" si="446"/>
        <v>0</v>
      </c>
    </row>
    <row r="326" spans="1:28" x14ac:dyDescent="0.3">
      <c r="A326" s="32">
        <f>VLOOKUP(YEAR(C326),Flags!$A$13:$B$95,2,FALSE)</f>
        <v>1</v>
      </c>
      <c r="B326" s="24">
        <f t="shared" si="432"/>
        <v>1956</v>
      </c>
      <c r="C326" s="25">
        <v>20759</v>
      </c>
      <c r="D326" s="26"/>
      <c r="E326" s="24"/>
      <c r="F326" s="26"/>
      <c r="G326" s="26"/>
      <c r="H326" s="26"/>
      <c r="I326" s="26"/>
      <c r="J326" s="26"/>
      <c r="K326" s="26"/>
      <c r="L326" s="24"/>
      <c r="M326" s="24"/>
      <c r="N326" s="26"/>
      <c r="O326" s="26"/>
      <c r="P326" s="26"/>
      <c r="Q326" s="26"/>
      <c r="R326" s="26"/>
      <c r="S326" s="26"/>
      <c r="T326" s="26"/>
      <c r="U326" s="26"/>
      <c r="V326" s="26"/>
      <c r="W326" s="26">
        <f>MAX($C$9-VLOOKUP($C326,COS!$B$8:$H$991,3,FALSE),0)</f>
        <v>92823.07568359375</v>
      </c>
      <c r="X326" s="26">
        <f t="shared" si="448"/>
        <v>5707.4684552556819</v>
      </c>
      <c r="Y326" s="26">
        <f>VLOOKUP($C326,COS!$B$8:$H$991,4,FALSE)</f>
        <v>524.9937744140625</v>
      </c>
      <c r="Z326" s="26">
        <f t="shared" si="449"/>
        <v>32.28060893917872</v>
      </c>
      <c r="AA326" s="26">
        <f t="shared" si="518"/>
        <v>524.9937744140625</v>
      </c>
      <c r="AB326" s="33">
        <f t="shared" si="446"/>
        <v>32.28060893917872</v>
      </c>
    </row>
    <row r="327" spans="1:28" x14ac:dyDescent="0.3">
      <c r="A327" s="32">
        <f>VLOOKUP(YEAR(C327),Flags!$A$13:$B$95,2,FALSE)</f>
        <v>1</v>
      </c>
      <c r="B327" s="24">
        <f t="shared" si="432"/>
        <v>1956</v>
      </c>
      <c r="C327" s="25">
        <v>20789</v>
      </c>
      <c r="D327" s="26"/>
      <c r="E327" s="24"/>
      <c r="F327" s="26"/>
      <c r="G327" s="26"/>
      <c r="H327" s="26"/>
      <c r="I327" s="26"/>
      <c r="J327" s="26"/>
      <c r="K327" s="26"/>
      <c r="L327" s="24"/>
      <c r="M327" s="24"/>
      <c r="N327" s="26"/>
      <c r="O327" s="26"/>
      <c r="P327" s="26"/>
      <c r="Q327" s="26"/>
      <c r="R327" s="26"/>
      <c r="S327" s="26"/>
      <c r="T327" s="26"/>
      <c r="U327" s="26"/>
      <c r="V327" s="26"/>
      <c r="W327" s="26">
        <f>MAX($C$10-VLOOKUP($C327,COS!$B$8:$H$991,3,FALSE),0)</f>
        <v>87816.908203125</v>
      </c>
      <c r="X327" s="26">
        <f t="shared" si="448"/>
        <v>5225.4689178719009</v>
      </c>
      <c r="Y327" s="26">
        <f>VLOOKUP($C327,COS!$B$8:$H$991,4,FALSE)</f>
        <v>630.58831787109375</v>
      </c>
      <c r="Z327" s="26">
        <f t="shared" si="449"/>
        <v>37.522610650180788</v>
      </c>
      <c r="AA327" s="26">
        <f t="shared" si="518"/>
        <v>630.58831787109375</v>
      </c>
      <c r="AB327" s="33">
        <f t="shared" si="446"/>
        <v>18.761305325090394</v>
      </c>
    </row>
    <row r="328" spans="1:28" x14ac:dyDescent="0.3">
      <c r="A328" s="34">
        <f>VLOOKUP(YEAR(C328),Flags!$A$13:$B$95,2,FALSE)</f>
        <v>1</v>
      </c>
      <c r="B328" s="35">
        <f t="shared" si="432"/>
        <v>1956</v>
      </c>
      <c r="C328" s="36">
        <v>20820</v>
      </c>
      <c r="D328" s="37"/>
      <c r="E328" s="35"/>
      <c r="F328" s="37"/>
      <c r="G328" s="37"/>
      <c r="H328" s="37"/>
      <c r="I328" s="37"/>
      <c r="J328" s="37"/>
      <c r="K328" s="37"/>
      <c r="L328" s="35"/>
      <c r="M328" s="35"/>
      <c r="N328" s="37"/>
      <c r="O328" s="37"/>
      <c r="P328" s="37"/>
      <c r="Q328" s="37"/>
      <c r="R328" s="37"/>
      <c r="S328" s="37"/>
      <c r="T328" s="37"/>
      <c r="U328" s="37"/>
      <c r="V328" s="37"/>
      <c r="W328" s="37">
        <f>MAX($C$11-VLOOKUP($C328,COS!$B$8:$H$991,3,FALSE),0)</f>
        <v>0</v>
      </c>
      <c r="X328" s="37">
        <f t="shared" si="448"/>
        <v>0</v>
      </c>
      <c r="Y328" s="37">
        <f>VLOOKUP($C328,COS!$B$8:$H$991,4,FALSE)</f>
        <v>0</v>
      </c>
      <c r="Z328" s="37">
        <f t="shared" si="449"/>
        <v>0</v>
      </c>
      <c r="AA328" s="37">
        <f t="shared" si="518"/>
        <v>0</v>
      </c>
      <c r="AB328" s="38">
        <f t="shared" si="446"/>
        <v>0</v>
      </c>
    </row>
    <row r="329" spans="1:28" x14ac:dyDescent="0.3">
      <c r="A329" s="27">
        <f>VLOOKUP(YEAR(C329),Flags!$A$13:$B$95,2,FALSE)</f>
        <v>2</v>
      </c>
      <c r="B329" s="28">
        <f t="shared" si="432"/>
        <v>1957</v>
      </c>
      <c r="C329" s="29">
        <v>20940</v>
      </c>
      <c r="D329" s="30">
        <f>VLOOKUP($C329,COS!$B$8:$H$991,3,FALSE)</f>
        <v>3250</v>
      </c>
      <c r="E329" s="28">
        <f>IF(D329&gt;=IF(MONTH($C329)=4,$C$3,IF(MONTH($C329)=5,$C$4,IF(MONTH($C329)=6,$C$5,IF(MONTH($C329)=7,$C$6,"ERROR")))),1,0)</f>
        <v>0</v>
      </c>
      <c r="F329" s="30">
        <f>VLOOKUP($C329,COS!$B$8:$H$991,7,FALSE)</f>
        <v>51.217433929443359</v>
      </c>
      <c r="G329" s="28">
        <f>IF(F329&lt;=IF(MONTH($C329)=4,$F$3,IF(MONTH($C329)=5,$F$4,IF(MONTH($C329)=6,$F$5,IF(MONTH($C329)=7,$F$6,"ERROR")))),1,0)</f>
        <v>1</v>
      </c>
      <c r="H329" s="30">
        <f>IF(J329=1,D329-$C$3,0)</f>
        <v>0</v>
      </c>
      <c r="I329" s="30">
        <f t="shared" si="450"/>
        <v>0</v>
      </c>
      <c r="J329" s="28">
        <f t="shared" ref="J329:J332" si="521">IF(AND(E329=1,G329=1),1,0)</f>
        <v>0</v>
      </c>
      <c r="K329" s="30">
        <f>VLOOKUP($C329,COS!$B$8:$H$991,2,FALSE)</f>
        <v>4535.75439453125</v>
      </c>
      <c r="L329" s="28">
        <f t="shared" ref="L329" si="522">IF(K329&lt;=IF(MONTH($C329)=4,$I$3,IF(MONTH($C329)=5,$I$4,IF(MONTH($C329)=6,$I$5,IF(MONTH($C329)=7,$I$6,"ERROR")))),1,0)</f>
        <v>1</v>
      </c>
      <c r="M329" s="28">
        <f t="shared" ref="M329" si="523">VLOOKUP($A329,$L$3:$M$7,2,FALSE)</f>
        <v>0</v>
      </c>
      <c r="N329" s="30">
        <f>VLOOKUP($C329,COS!$B$8:$H$991,5,FALSE)</f>
        <v>473.61004638671875</v>
      </c>
      <c r="O329" s="30">
        <f t="shared" ref="O329:O332" si="524">N329*DAY($C329)*86400/43560/1000</f>
        <v>28.18175482631715</v>
      </c>
      <c r="P329" s="30">
        <f>VLOOKUP($C329,COS!$B$8:$H$991,6,FALSE)</f>
        <v>459.42416381835938</v>
      </c>
      <c r="Q329" s="30">
        <f t="shared" ref="Q329:Q332" si="525">P329*DAY($C329)*86400/43560/1000</f>
        <v>27.33763619415031</v>
      </c>
      <c r="R329" s="30">
        <f>MIN(IF(MONTH($C329)=4,$S$3,IF(MONTH($C329)=5,$S$4,IF(MONTH($C329)=6,$S$5,IF(MONTH($C329)=7,$S$6,"ERROR")))),MAX(VLOOKUP($C329,COS!$B$8:$K$991,10,FALSE)-IF(MONTH($C329)=4,$Y$3,IF(MONTH($C329)=5,$Y$4,IF(MONTH($C329)=6,$Y$5,IF(MONTH($C329)=7,$Y$6,"ERROR")))),0),MAX(VLOOKUP($C329,COS!$B$8:$K$991,9,FALSE)-IF(MONTH($C329)=4,$V$3,IF(MONTH($C329)=5,$V$4,IF(MONTH($C329)=6,$V$5,IF(MONTH($C329)=7,$V$6,"ERROR"))))-VLOOKUP($C329,COS!$B$8:$K$991,6,FALSE)/2,0))</f>
        <v>0</v>
      </c>
      <c r="S329" s="30">
        <f t="shared" ref="S329:S332" si="526">R329*DAY($C329)*86400/43560/1000</f>
        <v>0</v>
      </c>
      <c r="T329" s="30">
        <f t="shared" ref="T329:T332" si="527">(O329+Q329)/2+S329</f>
        <v>27.75969551023373</v>
      </c>
      <c r="U329" s="30" t="str">
        <f>IF(VLOOKUP($C329,COS!$B$8:$I$991,8,FALSE)=1,"UWFE","IBU")</f>
        <v>UWFE</v>
      </c>
      <c r="V329" s="30">
        <f t="shared" ref="V329" si="528">MIN(IF(IF($AA$3=2,AND(E329=1,G329=1,L329=1,L334=1,M329=1,U329="IBU"),AND(E329=1,G329=1,L329=1,L334=1,M329=1)),T329,0),I329)</f>
        <v>0</v>
      </c>
      <c r="W329" s="30"/>
      <c r="X329" s="30"/>
      <c r="Y329" s="30"/>
      <c r="Z329" s="30"/>
      <c r="AA329" s="30"/>
      <c r="AB329" s="31"/>
    </row>
    <row r="330" spans="1:28" x14ac:dyDescent="0.3">
      <c r="A330" s="32">
        <f>VLOOKUP(YEAR(C330),Flags!$A$13:$B$95,2,FALSE)</f>
        <v>2</v>
      </c>
      <c r="B330" s="24">
        <f t="shared" si="432"/>
        <v>1957</v>
      </c>
      <c r="C330" s="25">
        <v>20971</v>
      </c>
      <c r="D330" s="26">
        <f>VLOOKUP($C330,COS!$B$8:$H$991,3,FALSE)</f>
        <v>10383.798828125</v>
      </c>
      <c r="E330" s="24">
        <f>IF(D330&gt;=IF(MONTH($C330)=4,$C$3,IF(MONTH($C330)=5,$C$4,IF(MONTH($C330)=6,$C$5,IF(MONTH($C330)=7,$C$6,"ERROR")))),1,0)</f>
        <v>1</v>
      </c>
      <c r="F330" s="26">
        <f>VLOOKUP($C330,COS!$B$8:$H$991,7,FALSE)</f>
        <v>50.116058349609375</v>
      </c>
      <c r="G330" s="24">
        <f>IF(F330&lt;=IF(MONTH($C330)=4,$F$3,IF(MONTH($C330)=5,$F$4,IF(MONTH($C330)=6,$F$5,IF(MONTH($C330)=7,$F$6,"ERROR")))),1,0)</f>
        <v>1</v>
      </c>
      <c r="H330" s="26">
        <f>IF(J330=1,D330-$C$4,0)</f>
        <v>4383.798828125</v>
      </c>
      <c r="I330" s="26">
        <f t="shared" si="450"/>
        <v>269.54928331611569</v>
      </c>
      <c r="J330" s="24">
        <f t="shared" si="521"/>
        <v>1</v>
      </c>
      <c r="K330" s="26">
        <f>VLOOKUP($C330,COS!$B$8:$H$991,2,FALSE)</f>
        <v>4552</v>
      </c>
      <c r="L330" s="24">
        <f t="shared" si="435"/>
        <v>1</v>
      </c>
      <c r="M330" s="24">
        <f t="shared" si="436"/>
        <v>0</v>
      </c>
      <c r="N330" s="26">
        <f>VLOOKUP($C330,COS!$B$8:$H$991,5,FALSE)</f>
        <v>717.7584228515625</v>
      </c>
      <c r="O330" s="26">
        <f t="shared" si="524"/>
        <v>44.133245173682852</v>
      </c>
      <c r="P330" s="26">
        <f>VLOOKUP($C330,COS!$B$8:$H$991,6,FALSE)</f>
        <v>2044.89892578125</v>
      </c>
      <c r="Q330" s="26">
        <f t="shared" si="525"/>
        <v>125.73593394886363</v>
      </c>
      <c r="R330" s="26">
        <f>MIN(IF(MONTH($C330)=4,$S$3,IF(MONTH($C330)=5,$S$4,IF(MONTH($C330)=6,$S$5,IF(MONTH($C330)=7,$S$6,"ERROR")))),MAX(VLOOKUP($C330,COS!$B$8:$K$991,10,FALSE)-IF(MONTH($C330)=4,$Y$3,IF(MONTH($C330)=5,$Y$4,IF(MONTH($C330)=6,$Y$5,IF(MONTH($C330)=7,$Y$6,"ERROR")))),0),MAX(VLOOKUP($C330,COS!$B$8:$K$991,9,FALSE)-IF(MONTH($C330)=4,$V$3,IF(MONTH($C330)=5,$V$4,IF(MONTH($C330)=6,$V$5,IF(MONTH($C330)=7,$V$6,"ERROR"))))-VLOOKUP($C330,COS!$B$8:$K$991,6,FALSE)/2,0))</f>
        <v>0</v>
      </c>
      <c r="S330" s="26">
        <f t="shared" si="526"/>
        <v>0</v>
      </c>
      <c r="T330" s="26">
        <f t="shared" si="527"/>
        <v>84.934589561273242</v>
      </c>
      <c r="U330" s="26" t="str">
        <f>IF(VLOOKUP($C330,COS!$B$8:$I$991,8,FALSE)=1,"UWFE","IBU")</f>
        <v>UWFE</v>
      </c>
      <c r="V330" s="26">
        <f t="shared" ref="V330" si="529">MIN(IF(IF($AA$3=2,AND(E330=1,G330=1,L330=1,L334=1,M330=1,U330="IBU"),AND(E330=1,G330=1,L330=1,L334=1,M330=1)),T330,0),I330)</f>
        <v>0</v>
      </c>
      <c r="W330" s="26"/>
      <c r="X330" s="26"/>
      <c r="Y330" s="26"/>
      <c r="Z330" s="26"/>
      <c r="AA330" s="26"/>
      <c r="AB330" s="33"/>
    </row>
    <row r="331" spans="1:28" x14ac:dyDescent="0.3">
      <c r="A331" s="32">
        <f>VLOOKUP(YEAR(C331),Flags!$A$13:$B$95,2,FALSE)</f>
        <v>2</v>
      </c>
      <c r="B331" s="24">
        <f t="shared" si="432"/>
        <v>1957</v>
      </c>
      <c r="C331" s="25">
        <v>21001</v>
      </c>
      <c r="D331" s="26">
        <f>VLOOKUP($C331,COS!$B$8:$H$991,3,FALSE)</f>
        <v>9041.25390625</v>
      </c>
      <c r="E331" s="24">
        <f>IF(D331&gt;=IF(MONTH($C331)=4,$C$3,IF(MONTH($C331)=5,$C$4,IF(MONTH($C331)=6,$C$5,IF(MONTH($C331)=7,$C$6,"ERROR")))),1,0)</f>
        <v>0</v>
      </c>
      <c r="F331" s="26">
        <f>VLOOKUP($C331,COS!$B$8:$H$991,7,FALSE)</f>
        <v>52.248523712158203</v>
      </c>
      <c r="G331" s="24">
        <f>IF(F331&lt;=IF(MONTH($C331)=4,$F$3,IF(MONTH($C331)=5,$F$4,IF(MONTH($C331)=6,$F$5,IF(MONTH($C331)=7,$F$6,"ERROR")))),1,0)</f>
        <v>1</v>
      </c>
      <c r="H331" s="26">
        <f>IF(J331=1,D331-$C$5,0)</f>
        <v>0</v>
      </c>
      <c r="I331" s="26">
        <f t="shared" si="450"/>
        <v>0</v>
      </c>
      <c r="J331" s="24">
        <f t="shared" si="521"/>
        <v>0</v>
      </c>
      <c r="K331" s="26">
        <f>VLOOKUP($C331,COS!$B$8:$H$991,2,FALSE)</f>
        <v>4290.39404296875</v>
      </c>
      <c r="L331" s="24">
        <f t="shared" si="435"/>
        <v>1</v>
      </c>
      <c r="M331" s="24">
        <f t="shared" si="436"/>
        <v>0</v>
      </c>
      <c r="N331" s="26">
        <f>VLOOKUP($C331,COS!$B$8:$H$991,5,FALSE)</f>
        <v>866.60247802734375</v>
      </c>
      <c r="O331" s="26">
        <f t="shared" si="524"/>
        <v>51.566428444602273</v>
      </c>
      <c r="P331" s="26">
        <f>VLOOKUP($C331,COS!$B$8:$H$991,6,FALSE)</f>
        <v>2422.49462890625</v>
      </c>
      <c r="Q331" s="26">
        <f t="shared" si="525"/>
        <v>144.14844072830579</v>
      </c>
      <c r="R331" s="26">
        <f>MIN(IF(MONTH($C331)=4,$S$3,IF(MONTH($C331)=5,$S$4,IF(MONTH($C331)=6,$S$5,IF(MONTH($C331)=7,$S$6,"ERROR")))),MAX(VLOOKUP($C331,COS!$B$8:$K$991,10,FALSE)-IF(MONTH($C331)=4,$Y$3,IF(MONTH($C331)=5,$Y$4,IF(MONTH($C331)=6,$Y$5,IF(MONTH($C331)=7,$Y$6,"ERROR")))),0),MAX(VLOOKUP($C331,COS!$B$8:$K$991,9,FALSE)-IF(MONTH($C331)=4,$V$3,IF(MONTH($C331)=5,$V$4,IF(MONTH($C331)=6,$V$5,IF(MONTH($C331)=7,$V$6,"ERROR"))))-VLOOKUP($C331,COS!$B$8:$K$991,6,FALSE)/2,0))</f>
        <v>0</v>
      </c>
      <c r="S331" s="26">
        <f t="shared" si="526"/>
        <v>0</v>
      </c>
      <c r="T331" s="26">
        <f t="shared" si="527"/>
        <v>97.857434586454033</v>
      </c>
      <c r="U331" s="26" t="str">
        <f>IF(VLOOKUP($C331,COS!$B$8:$I$991,8,FALSE)=1,"UWFE","IBU")</f>
        <v>IBU</v>
      </c>
      <c r="V331" s="26">
        <f t="shared" ref="V331" si="530">MIN(IF(IF($AA$3=2,AND(E331=1,G331=1,L331=1,L334=1,M331=1,U331="IBU"),AND(E331=1,G331=1,L331=1,L334=1,M331=1)),T331,0),I331)</f>
        <v>0</v>
      </c>
      <c r="W331" s="26"/>
      <c r="X331" s="26"/>
      <c r="Y331" s="26"/>
      <c r="Z331" s="26"/>
      <c r="AA331" s="26"/>
      <c r="AB331" s="33"/>
    </row>
    <row r="332" spans="1:28" x14ac:dyDescent="0.3">
      <c r="A332" s="32">
        <f>VLOOKUP(YEAR(C332),Flags!$A$13:$B$95,2,FALSE)</f>
        <v>2</v>
      </c>
      <c r="B332" s="24">
        <f t="shared" si="432"/>
        <v>1957</v>
      </c>
      <c r="C332" s="25">
        <v>21032</v>
      </c>
      <c r="D332" s="26">
        <f>VLOOKUP($C332,COS!$B$8:$H$991,3,FALSE)</f>
        <v>16000</v>
      </c>
      <c r="E332" s="24">
        <f>IF(D332&gt;=IF(MONTH($C332)=4,$C$3,IF(MONTH($C332)=5,$C$4,IF(MONTH($C332)=6,$C$5,IF(MONTH($C332)=7,$C$6,"ERROR")))),1,0)</f>
        <v>1</v>
      </c>
      <c r="F332" s="26">
        <f>VLOOKUP($C332,COS!$B$8:$H$991,7,FALSE)</f>
        <v>51.816173553466797</v>
      </c>
      <c r="G332" s="24">
        <f>IF(F332&lt;=IF(MONTH($C332)=4,$F$3,IF(MONTH($C332)=5,$F$4,IF(MONTH($C332)=6,$F$5,IF(MONTH($C332)=7,$F$6,"ERROR")))),1,0)</f>
        <v>1</v>
      </c>
      <c r="H332" s="26">
        <f>IF(J332=1,D332-$C$6,0)</f>
        <v>4000</v>
      </c>
      <c r="I332" s="26">
        <f t="shared" si="450"/>
        <v>245.95041322314049</v>
      </c>
      <c r="J332" s="24">
        <f t="shared" si="521"/>
        <v>1</v>
      </c>
      <c r="K332" s="26">
        <f>VLOOKUP($C332,COS!$B$8:$H$991,2,FALSE)</f>
        <v>3601.666259765625</v>
      </c>
      <c r="L332" s="24">
        <f t="shared" si="435"/>
        <v>1</v>
      </c>
      <c r="M332" s="24">
        <f t="shared" si="436"/>
        <v>0</v>
      </c>
      <c r="N332" s="26">
        <f>VLOOKUP($C332,COS!$B$8:$H$991,5,FALSE)</f>
        <v>947.87957763671875</v>
      </c>
      <c r="O332" s="26">
        <f t="shared" si="524"/>
        <v>58.282843451381709</v>
      </c>
      <c r="P332" s="26">
        <f>VLOOKUP($C332,COS!$B$8:$H$991,6,FALSE)</f>
        <v>2467.689453125</v>
      </c>
      <c r="Q332" s="26">
        <f t="shared" si="525"/>
        <v>151.73231017561986</v>
      </c>
      <c r="R332" s="26">
        <f>MIN(IF(MONTH($C332)=4,$S$3,IF(MONTH($C332)=5,$S$4,IF(MONTH($C332)=6,$S$5,IF(MONTH($C332)=7,$S$6,"ERROR")))),MAX(VLOOKUP($C332,COS!$B$8:$K$991,10,FALSE)-IF(MONTH($C332)=4,$Y$3,IF(MONTH($C332)=5,$Y$4,IF(MONTH($C332)=6,$Y$5,IF(MONTH($C332)=7,$Y$6,"ERROR")))),0),MAX(VLOOKUP($C332,COS!$B$8:$K$991,9,FALSE)-IF(MONTH($C332)=4,$V$3,IF(MONTH($C332)=5,$V$4,IF(MONTH($C332)=6,$V$5,IF(MONTH($C332)=7,$V$6,"ERROR"))))-VLOOKUP($C332,COS!$B$8:$K$991,6,FALSE)/2,0))</f>
        <v>0</v>
      </c>
      <c r="S332" s="26">
        <f t="shared" si="526"/>
        <v>0</v>
      </c>
      <c r="T332" s="26">
        <f t="shared" si="527"/>
        <v>105.00757681350078</v>
      </c>
      <c r="U332" s="26" t="str">
        <f>IF(VLOOKUP($C332,COS!$B$8:$I$991,8,FALSE)=1,"UWFE","IBU")</f>
        <v>IBU</v>
      </c>
      <c r="V332" s="26">
        <f t="shared" ref="V332" si="531">MIN(IF(IF($AA$3=2,AND(E332=1,G332=1,L332=1,L334=1,M332=1,U332="IBU"),AND(E332=1,G332=1,L332=1,L334=1,M332=1)),T332,0),I332)</f>
        <v>0</v>
      </c>
      <c r="W332" s="26"/>
      <c r="X332" s="26"/>
      <c r="Y332" s="26"/>
      <c r="Z332" s="26"/>
      <c r="AA332" s="26"/>
      <c r="AB332" s="33"/>
    </row>
    <row r="333" spans="1:28" x14ac:dyDescent="0.3">
      <c r="A333" s="32">
        <f>VLOOKUP(YEAR(C333),Flags!$A$13:$B$95,2,FALSE)</f>
        <v>2</v>
      </c>
      <c r="B333" s="24">
        <f t="shared" si="432"/>
        <v>1957</v>
      </c>
      <c r="C333" s="25">
        <v>21063</v>
      </c>
      <c r="D333" s="26"/>
      <c r="E333" s="24"/>
      <c r="F333" s="26"/>
      <c r="G333" s="24"/>
      <c r="H333" s="24"/>
      <c r="I333" s="26"/>
      <c r="J333" s="24"/>
      <c r="K333" s="26"/>
      <c r="L333" s="24"/>
      <c r="M333" s="24"/>
      <c r="N333" s="26"/>
      <c r="O333" s="26"/>
      <c r="P333" s="26"/>
      <c r="Q333" s="26"/>
      <c r="R333" s="26"/>
      <c r="S333" s="26"/>
      <c r="T333" s="26"/>
      <c r="U333" s="26"/>
      <c r="V333" s="26"/>
      <c r="W333" s="26">
        <f>MAX($C$7-VLOOKUP($C333,COS!$B$8:$H$991,3,FALSE),0)</f>
        <v>89621.1240234375</v>
      </c>
      <c r="X333" s="26">
        <f t="shared" si="448"/>
        <v>5510.5881217716942</v>
      </c>
      <c r="Y333" s="26">
        <f>VLOOKUP($C333,COS!$B$8:$H$991,4,FALSE)</f>
        <v>972.99468994140625</v>
      </c>
      <c r="Z333" s="26">
        <f t="shared" si="449"/>
        <v>59.827111513752584</v>
      </c>
      <c r="AA333" s="26">
        <f t="shared" ref="AA333:AA337" si="532">MIN(W333,Y333)</f>
        <v>972.99468994140625</v>
      </c>
      <c r="AB333" s="33">
        <f t="shared" ref="AB333" si="533">AA333*DAY($C333)*86400/43560/1000*IF(MONTH($C333)=8,$P$3,IF(MONTH($C333)=9,$P$4,IF(MONTH($C333)=10,$P$5,IF(MONTH($C333)=11,$P$6,IF(MONTH($C333)=12,$P$7,NA())))))</f>
        <v>59.827111513752584</v>
      </c>
    </row>
    <row r="334" spans="1:28" x14ac:dyDescent="0.3">
      <c r="A334" s="32">
        <f>VLOOKUP(YEAR(C334),Flags!$A$13:$B$95,2,FALSE)</f>
        <v>2</v>
      </c>
      <c r="B334" s="24">
        <f t="shared" si="432"/>
        <v>1957</v>
      </c>
      <c r="C334" s="25">
        <v>21093</v>
      </c>
      <c r="D334" s="26"/>
      <c r="E334" s="24"/>
      <c r="F334" s="26"/>
      <c r="G334" s="24"/>
      <c r="H334" s="24"/>
      <c r="I334" s="26"/>
      <c r="J334" s="24"/>
      <c r="K334" s="26">
        <f>VLOOKUP($C334,COS!$B$8:$H$991,2,FALSE)</f>
        <v>3041.052978515625</v>
      </c>
      <c r="L334" s="24">
        <f t="shared" ref="L334" si="534">IF(AND(K334&gt;$I$7,K334&lt;$I$8),1,0)</f>
        <v>1</v>
      </c>
      <c r="M334" s="24"/>
      <c r="N334" s="26"/>
      <c r="O334" s="26"/>
      <c r="P334" s="26"/>
      <c r="Q334" s="26"/>
      <c r="R334" s="26"/>
      <c r="S334" s="26"/>
      <c r="T334" s="26"/>
      <c r="U334" s="26"/>
      <c r="V334" s="26"/>
      <c r="W334" s="26">
        <f>MAX($C$8-VLOOKUP($C334,COS!$B$8:$H$991,3,FALSE),0)</f>
        <v>90649.27734375</v>
      </c>
      <c r="X334" s="26">
        <f t="shared" si="448"/>
        <v>5394.0065857438012</v>
      </c>
      <c r="Y334" s="26">
        <f>VLOOKUP($C334,COS!$B$8:$H$991,4,FALSE)</f>
        <v>579.7745361328125</v>
      </c>
      <c r="Z334" s="26">
        <f t="shared" si="449"/>
        <v>34.498980662448346</v>
      </c>
      <c r="AA334" s="26">
        <f t="shared" si="532"/>
        <v>579.7745361328125</v>
      </c>
      <c r="AB334" s="33">
        <f t="shared" si="446"/>
        <v>34.498980662448346</v>
      </c>
    </row>
    <row r="335" spans="1:28" x14ac:dyDescent="0.3">
      <c r="A335" s="32">
        <f>VLOOKUP(YEAR(C335),Flags!$A$13:$B$95,2,FALSE)</f>
        <v>2</v>
      </c>
      <c r="B335" s="24">
        <f t="shared" ref="B335:B398" si="535">YEAR(C335)</f>
        <v>1957</v>
      </c>
      <c r="C335" s="25">
        <v>21124</v>
      </c>
      <c r="D335" s="26"/>
      <c r="E335" s="24"/>
      <c r="F335" s="26"/>
      <c r="G335" s="26"/>
      <c r="H335" s="26"/>
      <c r="I335" s="26"/>
      <c r="J335" s="26"/>
      <c r="K335" s="26"/>
      <c r="L335" s="24"/>
      <c r="M335" s="24"/>
      <c r="N335" s="26"/>
      <c r="O335" s="26"/>
      <c r="P335" s="26"/>
      <c r="Q335" s="26"/>
      <c r="R335" s="26"/>
      <c r="S335" s="26"/>
      <c r="T335" s="26"/>
      <c r="U335" s="26"/>
      <c r="V335" s="26"/>
      <c r="W335" s="26">
        <f>MAX($C$9-VLOOKUP($C335,COS!$B$8:$H$991,3,FALSE),0)</f>
        <v>94373.61279296875</v>
      </c>
      <c r="X335" s="26">
        <f t="shared" si="448"/>
        <v>5802.8072659478312</v>
      </c>
      <c r="Y335" s="26">
        <f>VLOOKUP($C335,COS!$B$8:$H$991,4,FALSE)</f>
        <v>1307.7252197265625</v>
      </c>
      <c r="Z335" s="26">
        <f t="shared" si="449"/>
        <v>80.40888954351756</v>
      </c>
      <c r="AA335" s="26">
        <f t="shared" si="532"/>
        <v>1307.7252197265625</v>
      </c>
      <c r="AB335" s="33">
        <f t="shared" si="446"/>
        <v>80.40888954351756</v>
      </c>
    </row>
    <row r="336" spans="1:28" x14ac:dyDescent="0.3">
      <c r="A336" s="32">
        <f>VLOOKUP(YEAR(C336),Flags!$A$13:$B$95,2,FALSE)</f>
        <v>2</v>
      </c>
      <c r="B336" s="24">
        <f t="shared" si="535"/>
        <v>1957</v>
      </c>
      <c r="C336" s="25">
        <v>21154</v>
      </c>
      <c r="D336" s="26"/>
      <c r="E336" s="24"/>
      <c r="F336" s="26"/>
      <c r="G336" s="26"/>
      <c r="H336" s="26"/>
      <c r="I336" s="26"/>
      <c r="J336" s="26"/>
      <c r="K336" s="26"/>
      <c r="L336" s="24"/>
      <c r="M336" s="24"/>
      <c r="N336" s="26"/>
      <c r="O336" s="26"/>
      <c r="P336" s="26"/>
      <c r="Q336" s="26"/>
      <c r="R336" s="26"/>
      <c r="S336" s="26"/>
      <c r="T336" s="26"/>
      <c r="U336" s="26"/>
      <c r="V336" s="26"/>
      <c r="W336" s="26">
        <f>MAX($C$10-VLOOKUP($C336,COS!$B$8:$H$991,3,FALSE),0)</f>
        <v>91059.4033203125</v>
      </c>
      <c r="X336" s="26">
        <f t="shared" si="448"/>
        <v>5418.410776084711</v>
      </c>
      <c r="Y336" s="26">
        <f>VLOOKUP($C336,COS!$B$8:$H$991,4,FALSE)</f>
        <v>2291.82421875</v>
      </c>
      <c r="Z336" s="26">
        <f t="shared" si="449"/>
        <v>136.37301136363635</v>
      </c>
      <c r="AA336" s="26">
        <f t="shared" si="532"/>
        <v>2291.82421875</v>
      </c>
      <c r="AB336" s="33">
        <f t="shared" si="446"/>
        <v>68.186505681818176</v>
      </c>
    </row>
    <row r="337" spans="1:28" x14ac:dyDescent="0.3">
      <c r="A337" s="34">
        <f>VLOOKUP(YEAR(C337),Flags!$A$13:$B$95,2,FALSE)</f>
        <v>2</v>
      </c>
      <c r="B337" s="35">
        <f t="shared" si="535"/>
        <v>1957</v>
      </c>
      <c r="C337" s="36">
        <v>21185</v>
      </c>
      <c r="D337" s="37"/>
      <c r="E337" s="35"/>
      <c r="F337" s="37"/>
      <c r="G337" s="37"/>
      <c r="H337" s="37"/>
      <c r="I337" s="37"/>
      <c r="J337" s="37"/>
      <c r="K337" s="37"/>
      <c r="L337" s="35"/>
      <c r="M337" s="35"/>
      <c r="N337" s="37"/>
      <c r="O337" s="37"/>
      <c r="P337" s="37"/>
      <c r="Q337" s="37"/>
      <c r="R337" s="37"/>
      <c r="S337" s="37"/>
      <c r="T337" s="37"/>
      <c r="U337" s="37"/>
      <c r="V337" s="37"/>
      <c r="W337" s="37">
        <f>MAX($C$11-VLOOKUP($C337,COS!$B$8:$H$991,3,FALSE),0)</f>
        <v>0</v>
      </c>
      <c r="X337" s="37">
        <f t="shared" si="448"/>
        <v>0</v>
      </c>
      <c r="Y337" s="37">
        <f>VLOOKUP($C337,COS!$B$8:$H$991,4,FALSE)</f>
        <v>0</v>
      </c>
      <c r="Z337" s="37">
        <f t="shared" si="449"/>
        <v>0</v>
      </c>
      <c r="AA337" s="37">
        <f t="shared" si="532"/>
        <v>0</v>
      </c>
      <c r="AB337" s="38">
        <f t="shared" si="446"/>
        <v>0</v>
      </c>
    </row>
    <row r="338" spans="1:28" x14ac:dyDescent="0.3">
      <c r="A338" s="27">
        <f>VLOOKUP(YEAR(C338),Flags!$A$13:$B$95,2,FALSE)</f>
        <v>1</v>
      </c>
      <c r="B338" s="28">
        <f t="shared" si="535"/>
        <v>1958</v>
      </c>
      <c r="C338" s="29">
        <v>21305</v>
      </c>
      <c r="D338" s="30">
        <f>VLOOKUP($C338,COS!$B$8:$H$991,3,FALSE)</f>
        <v>11542.2392578125</v>
      </c>
      <c r="E338" s="28">
        <f>IF(D338&gt;=IF(MONTH($C338)=4,$C$3,IF(MONTH($C338)=5,$C$4,IF(MONTH($C338)=6,$C$5,IF(MONTH($C338)=7,$C$6,"ERROR")))),1,0)</f>
        <v>1</v>
      </c>
      <c r="F338" s="30">
        <f>VLOOKUP($C338,COS!$B$8:$H$991,7,FALSE)</f>
        <v>47.772865295410156</v>
      </c>
      <c r="G338" s="28">
        <f>IF(F338&lt;=IF(MONTH($C338)=4,$F$3,IF(MONTH($C338)=5,$F$4,IF(MONTH($C338)=6,$F$5,IF(MONTH($C338)=7,$F$6,"ERROR")))),1,0)</f>
        <v>1</v>
      </c>
      <c r="H338" s="30">
        <f>IF(J338=1,D338-$C$3,0)</f>
        <v>5542.2392578125</v>
      </c>
      <c r="I338" s="30">
        <f t="shared" si="450"/>
        <v>329.78613765495868</v>
      </c>
      <c r="J338" s="28">
        <f t="shared" ref="J338:J341" si="536">IF(AND(E338=1,G338=1),1,0)</f>
        <v>1</v>
      </c>
      <c r="K338" s="30">
        <f>VLOOKUP($C338,COS!$B$8:$H$991,2,FALSE)</f>
        <v>4173</v>
      </c>
      <c r="L338" s="28">
        <f t="shared" ref="L338:L395" si="537">IF(K338&lt;=IF(MONTH($C338)=4,$I$3,IF(MONTH($C338)=5,$I$4,IF(MONTH($C338)=6,$I$5,IF(MONTH($C338)=7,$I$6,"ERROR")))),1,0)</f>
        <v>1</v>
      </c>
      <c r="M338" s="28">
        <f t="shared" ref="M338:M395" si="538">VLOOKUP($A338,$L$3:$M$7,2,FALSE)</f>
        <v>0</v>
      </c>
      <c r="N338" s="30">
        <f>VLOOKUP($C338,COS!$B$8:$H$991,5,FALSE)</f>
        <v>28.527523040771484</v>
      </c>
      <c r="O338" s="30">
        <f t="shared" ref="O338:O341" si="539">N338*DAY($C338)*86400/43560/1000</f>
        <v>1.6975055032525181</v>
      </c>
      <c r="P338" s="30">
        <f>VLOOKUP($C338,COS!$B$8:$H$991,6,FALSE)</f>
        <v>286.142822265625</v>
      </c>
      <c r="Q338" s="30">
        <f t="shared" ref="Q338:Q341" si="540">P338*DAY($C338)*86400/43560/1000</f>
        <v>17.026680333161156</v>
      </c>
      <c r="R338" s="30">
        <f>MIN(IF(MONTH($C338)=4,$S$3,IF(MONTH($C338)=5,$S$4,IF(MONTH($C338)=6,$S$5,IF(MONTH($C338)=7,$S$6,"ERROR")))),MAX(VLOOKUP($C338,COS!$B$8:$K$991,10,FALSE)-IF(MONTH($C338)=4,$Y$3,IF(MONTH($C338)=5,$Y$4,IF(MONTH($C338)=6,$Y$5,IF(MONTH($C338)=7,$Y$6,"ERROR")))),0),MAX(VLOOKUP($C338,COS!$B$8:$K$991,9,FALSE)-IF(MONTH($C338)=4,$V$3,IF(MONTH($C338)=5,$V$4,IF(MONTH($C338)=6,$V$5,IF(MONTH($C338)=7,$V$6,"ERROR"))))-VLOOKUP($C338,COS!$B$8:$K$991,6,FALSE)/2,0))</f>
        <v>0</v>
      </c>
      <c r="S338" s="30">
        <f t="shared" ref="S338:S341" si="541">R338*DAY($C338)*86400/43560/1000</f>
        <v>0</v>
      </c>
      <c r="T338" s="30">
        <f t="shared" ref="T338:T341" si="542">(O338+Q338)/2+S338</f>
        <v>9.3620929182068373</v>
      </c>
      <c r="U338" s="30" t="str">
        <f>IF(VLOOKUP($C338,COS!$B$8:$I$991,8,FALSE)=1,"UWFE","IBU")</f>
        <v>UWFE</v>
      </c>
      <c r="V338" s="30">
        <f t="shared" ref="V338" si="543">MIN(IF(IF($AA$3=2,AND(E338=1,G338=1,L338=1,L343=1,M338=1,U338="IBU"),AND(E338=1,G338=1,L338=1,L343=1,M338=1)),T338,0),I338)</f>
        <v>0</v>
      </c>
      <c r="W338" s="30"/>
      <c r="X338" s="30"/>
      <c r="Y338" s="30"/>
      <c r="Z338" s="30"/>
      <c r="AA338" s="30"/>
      <c r="AB338" s="31"/>
    </row>
    <row r="339" spans="1:28" x14ac:dyDescent="0.3">
      <c r="A339" s="32">
        <f>VLOOKUP(YEAR(C339),Flags!$A$13:$B$95,2,FALSE)</f>
        <v>1</v>
      </c>
      <c r="B339" s="24">
        <f t="shared" si="535"/>
        <v>1958</v>
      </c>
      <c r="C339" s="25">
        <v>21336</v>
      </c>
      <c r="D339" s="26">
        <f>VLOOKUP($C339,COS!$B$8:$H$991,3,FALSE)</f>
        <v>6985.326171875</v>
      </c>
      <c r="E339" s="24">
        <f>IF(D339&gt;=IF(MONTH($C339)=4,$C$3,IF(MONTH($C339)=5,$C$4,IF(MONTH($C339)=6,$C$5,IF(MONTH($C339)=7,$C$6,"ERROR")))),1,0)</f>
        <v>1</v>
      </c>
      <c r="F339" s="26">
        <f>VLOOKUP($C339,COS!$B$8:$H$991,7,FALSE)</f>
        <v>51.385059356689453</v>
      </c>
      <c r="G339" s="24">
        <f>IF(F339&lt;=IF(MONTH($C339)=4,$F$3,IF(MONTH($C339)=5,$F$4,IF(MONTH($C339)=6,$F$5,IF(MONTH($C339)=7,$F$6,"ERROR")))),1,0)</f>
        <v>1</v>
      </c>
      <c r="H339" s="26">
        <f>IF(J339=1,D339-$C$4,0)</f>
        <v>985.326171875</v>
      </c>
      <c r="I339" s="26">
        <f t="shared" si="450"/>
        <v>60.585344783057849</v>
      </c>
      <c r="J339" s="24">
        <f t="shared" si="536"/>
        <v>1</v>
      </c>
      <c r="K339" s="26">
        <f>VLOOKUP($C339,COS!$B$8:$H$991,2,FALSE)</f>
        <v>4552</v>
      </c>
      <c r="L339" s="24">
        <f t="shared" si="537"/>
        <v>1</v>
      </c>
      <c r="M339" s="24">
        <f t="shared" si="538"/>
        <v>0</v>
      </c>
      <c r="N339" s="26">
        <f>VLOOKUP($C339,COS!$B$8:$H$991,5,FALSE)</f>
        <v>454.28439331054688</v>
      </c>
      <c r="O339" s="26">
        <f t="shared" si="539"/>
        <v>27.932858563888171</v>
      </c>
      <c r="P339" s="26">
        <f>VLOOKUP($C339,COS!$B$8:$H$991,6,FALSE)</f>
        <v>1943.7978515625</v>
      </c>
      <c r="Q339" s="26">
        <f t="shared" si="540"/>
        <v>119.5194712035124</v>
      </c>
      <c r="R339" s="26">
        <f>MIN(IF(MONTH($C339)=4,$S$3,IF(MONTH($C339)=5,$S$4,IF(MONTH($C339)=6,$S$5,IF(MONTH($C339)=7,$S$6,"ERROR")))),MAX(VLOOKUP($C339,COS!$B$8:$K$991,10,FALSE)-IF(MONTH($C339)=4,$Y$3,IF(MONTH($C339)=5,$Y$4,IF(MONTH($C339)=6,$Y$5,IF(MONTH($C339)=7,$Y$6,"ERROR")))),0),MAX(VLOOKUP($C339,COS!$B$8:$K$991,9,FALSE)-IF(MONTH($C339)=4,$V$3,IF(MONTH($C339)=5,$V$4,IF(MONTH($C339)=6,$V$5,IF(MONTH($C339)=7,$V$6,"ERROR"))))-VLOOKUP($C339,COS!$B$8:$K$991,6,FALSE)/2,0))</f>
        <v>0</v>
      </c>
      <c r="S339" s="26">
        <f t="shared" si="541"/>
        <v>0</v>
      </c>
      <c r="T339" s="26">
        <f t="shared" si="542"/>
        <v>73.726164883700278</v>
      </c>
      <c r="U339" s="26" t="str">
        <f>IF(VLOOKUP($C339,COS!$B$8:$I$991,8,FALSE)=1,"UWFE","IBU")</f>
        <v>UWFE</v>
      </c>
      <c r="V339" s="26">
        <f t="shared" ref="V339" si="544">MIN(IF(IF($AA$3=2,AND(E339=1,G339=1,L339=1,L343=1,M339=1,U339="IBU"),AND(E339=1,G339=1,L339=1,L343=1,M339=1)),T339,0),I339)</f>
        <v>0</v>
      </c>
      <c r="W339" s="26"/>
      <c r="X339" s="26"/>
      <c r="Y339" s="26"/>
      <c r="Z339" s="26"/>
      <c r="AA339" s="26"/>
      <c r="AB339" s="33"/>
    </row>
    <row r="340" spans="1:28" x14ac:dyDescent="0.3">
      <c r="A340" s="32">
        <f>VLOOKUP(YEAR(C340),Flags!$A$13:$B$95,2,FALSE)</f>
        <v>1</v>
      </c>
      <c r="B340" s="24">
        <f t="shared" si="535"/>
        <v>1958</v>
      </c>
      <c r="C340" s="25">
        <v>21366</v>
      </c>
      <c r="D340" s="26">
        <f>VLOOKUP($C340,COS!$B$8:$H$991,3,FALSE)</f>
        <v>8232.15234375</v>
      </c>
      <c r="E340" s="24">
        <f>IF(D340&gt;=IF(MONTH($C340)=4,$C$3,IF(MONTH($C340)=5,$C$4,IF(MONTH($C340)=6,$C$5,IF(MONTH($C340)=7,$C$6,"ERROR")))),1,0)</f>
        <v>0</v>
      </c>
      <c r="F340" s="26">
        <f>VLOOKUP($C340,COS!$B$8:$H$991,7,FALSE)</f>
        <v>51.681552886962891</v>
      </c>
      <c r="G340" s="24">
        <f>IF(F340&lt;=IF(MONTH($C340)=4,$F$3,IF(MONTH($C340)=5,$F$4,IF(MONTH($C340)=6,$F$5,IF(MONTH($C340)=7,$F$6,"ERROR")))),1,0)</f>
        <v>1</v>
      </c>
      <c r="H340" s="26">
        <f>IF(J340=1,D340-$C$5,0)</f>
        <v>0</v>
      </c>
      <c r="I340" s="26">
        <f t="shared" si="450"/>
        <v>0</v>
      </c>
      <c r="J340" s="24">
        <f t="shared" si="536"/>
        <v>0</v>
      </c>
      <c r="K340" s="26">
        <f>VLOOKUP($C340,COS!$B$8:$H$991,2,FALSE)</f>
        <v>4500</v>
      </c>
      <c r="L340" s="24">
        <f t="shared" si="537"/>
        <v>1</v>
      </c>
      <c r="M340" s="24">
        <f t="shared" si="538"/>
        <v>0</v>
      </c>
      <c r="N340" s="26">
        <f>VLOOKUP($C340,COS!$B$8:$H$991,5,FALSE)</f>
        <v>1154.1927490234375</v>
      </c>
      <c r="O340" s="26">
        <f t="shared" si="539"/>
        <v>68.679237958419421</v>
      </c>
      <c r="P340" s="26">
        <f>VLOOKUP($C340,COS!$B$8:$H$991,6,FALSE)</f>
        <v>2269.72607421875</v>
      </c>
      <c r="Q340" s="26">
        <f t="shared" si="540"/>
        <v>135.05808044938016</v>
      </c>
      <c r="R340" s="26">
        <f>MIN(IF(MONTH($C340)=4,$S$3,IF(MONTH($C340)=5,$S$4,IF(MONTH($C340)=6,$S$5,IF(MONTH($C340)=7,$S$6,"ERROR")))),MAX(VLOOKUP($C340,COS!$B$8:$K$991,10,FALSE)-IF(MONTH($C340)=4,$Y$3,IF(MONTH($C340)=5,$Y$4,IF(MONTH($C340)=6,$Y$5,IF(MONTH($C340)=7,$Y$6,"ERROR")))),0),MAX(VLOOKUP($C340,COS!$B$8:$K$991,9,FALSE)-IF(MONTH($C340)=4,$V$3,IF(MONTH($C340)=5,$V$4,IF(MONTH($C340)=6,$V$5,IF(MONTH($C340)=7,$V$6,"ERROR"))))-VLOOKUP($C340,COS!$B$8:$K$991,6,FALSE)/2,0))</f>
        <v>0</v>
      </c>
      <c r="S340" s="26">
        <f t="shared" si="541"/>
        <v>0</v>
      </c>
      <c r="T340" s="26">
        <f t="shared" si="542"/>
        <v>101.8686592038998</v>
      </c>
      <c r="U340" s="26" t="str">
        <f>IF(VLOOKUP($C340,COS!$B$8:$I$991,8,FALSE)=1,"UWFE","IBU")</f>
        <v>UWFE</v>
      </c>
      <c r="V340" s="26">
        <f t="shared" ref="V340" si="545">MIN(IF(IF($AA$3=2,AND(E340=1,G340=1,L340=1,L343=1,M340=1,U340="IBU"),AND(E340=1,G340=1,L340=1,L343=1,M340=1)),T340,0),I340)</f>
        <v>0</v>
      </c>
      <c r="W340" s="26"/>
      <c r="X340" s="26"/>
      <c r="Y340" s="26"/>
      <c r="Z340" s="26"/>
      <c r="AA340" s="26"/>
      <c r="AB340" s="33"/>
    </row>
    <row r="341" spans="1:28" x14ac:dyDescent="0.3">
      <c r="A341" s="32">
        <f>VLOOKUP(YEAR(C341),Flags!$A$13:$B$95,2,FALSE)</f>
        <v>1</v>
      </c>
      <c r="B341" s="24">
        <f t="shared" si="535"/>
        <v>1958</v>
      </c>
      <c r="C341" s="25">
        <v>21397</v>
      </c>
      <c r="D341" s="26">
        <f>VLOOKUP($C341,COS!$B$8:$H$991,3,FALSE)</f>
        <v>12357.0048828125</v>
      </c>
      <c r="E341" s="24">
        <f>IF(D341&gt;=IF(MONTH($C341)=4,$C$3,IF(MONTH($C341)=5,$C$4,IF(MONTH($C341)=6,$C$5,IF(MONTH($C341)=7,$C$6,"ERROR")))),1,0)</f>
        <v>1</v>
      </c>
      <c r="F341" s="26">
        <f>VLOOKUP($C341,COS!$B$8:$H$991,7,FALSE)</f>
        <v>52.224693298339844</v>
      </c>
      <c r="G341" s="24">
        <f>IF(F341&lt;=IF(MONTH($C341)=4,$F$3,IF(MONTH($C341)=5,$F$4,IF(MONTH($C341)=6,$F$5,IF(MONTH($C341)=7,$F$6,"ERROR")))),1,0)</f>
        <v>1</v>
      </c>
      <c r="H341" s="26">
        <f>IF(J341=1,D341-$C$6,0)</f>
        <v>357.0048828125</v>
      </c>
      <c r="I341" s="26">
        <f t="shared" si="450"/>
        <v>21.951374612603306</v>
      </c>
      <c r="J341" s="24">
        <f t="shared" si="536"/>
        <v>1</v>
      </c>
      <c r="K341" s="26">
        <f>VLOOKUP($C341,COS!$B$8:$H$991,2,FALSE)</f>
        <v>4105.73681640625</v>
      </c>
      <c r="L341" s="24">
        <f t="shared" si="537"/>
        <v>1</v>
      </c>
      <c r="M341" s="24">
        <f t="shared" si="538"/>
        <v>0</v>
      </c>
      <c r="N341" s="26">
        <f>VLOOKUP($C341,COS!$B$8:$H$991,5,FALSE)</f>
        <v>1329.9095458984375</v>
      </c>
      <c r="O341" s="26">
        <f t="shared" si="539"/>
        <v>81.772950590779956</v>
      </c>
      <c r="P341" s="26">
        <f>VLOOKUP($C341,COS!$B$8:$H$991,6,FALSE)</f>
        <v>2552.21142578125</v>
      </c>
      <c r="Q341" s="26">
        <f t="shared" si="540"/>
        <v>156.92936370092974</v>
      </c>
      <c r="R341" s="26">
        <f>MIN(IF(MONTH($C341)=4,$S$3,IF(MONTH($C341)=5,$S$4,IF(MONTH($C341)=6,$S$5,IF(MONTH($C341)=7,$S$6,"ERROR")))),MAX(VLOOKUP($C341,COS!$B$8:$K$991,10,FALSE)-IF(MONTH($C341)=4,$Y$3,IF(MONTH($C341)=5,$Y$4,IF(MONTH($C341)=6,$Y$5,IF(MONTH($C341)=7,$Y$6,"ERROR")))),0),MAX(VLOOKUP($C341,COS!$B$8:$K$991,9,FALSE)-IF(MONTH($C341)=4,$V$3,IF(MONTH($C341)=5,$V$4,IF(MONTH($C341)=6,$V$5,IF(MONTH($C341)=7,$V$6,"ERROR"))))-VLOOKUP($C341,COS!$B$8:$K$991,6,FALSE)/2,0))</f>
        <v>0</v>
      </c>
      <c r="S341" s="26">
        <f t="shared" si="541"/>
        <v>0</v>
      </c>
      <c r="T341" s="26">
        <f t="shared" si="542"/>
        <v>119.35115714585484</v>
      </c>
      <c r="U341" s="26" t="str">
        <f>IF(VLOOKUP($C341,COS!$B$8:$I$991,8,FALSE)=1,"UWFE","IBU")</f>
        <v>IBU</v>
      </c>
      <c r="V341" s="26">
        <f t="shared" ref="V341" si="546">MIN(IF(IF($AA$3=2,AND(E341=1,G341=1,L341=1,L343=1,M341=1,U341="IBU"),AND(E341=1,G341=1,L341=1,L343=1,M341=1)),T341,0),I341)</f>
        <v>0</v>
      </c>
      <c r="W341" s="26"/>
      <c r="X341" s="26"/>
      <c r="Y341" s="26"/>
      <c r="Z341" s="26"/>
      <c r="AA341" s="26"/>
      <c r="AB341" s="33"/>
    </row>
    <row r="342" spans="1:28" x14ac:dyDescent="0.3">
      <c r="A342" s="32">
        <f>VLOOKUP(YEAR(C342),Flags!$A$13:$B$95,2,FALSE)</f>
        <v>1</v>
      </c>
      <c r="B342" s="24">
        <f t="shared" si="535"/>
        <v>1958</v>
      </c>
      <c r="C342" s="25">
        <v>21428</v>
      </c>
      <c r="D342" s="26"/>
      <c r="E342" s="24"/>
      <c r="F342" s="26"/>
      <c r="G342" s="24"/>
      <c r="H342" s="24"/>
      <c r="I342" s="26"/>
      <c r="J342" s="24"/>
      <c r="K342" s="26"/>
      <c r="L342" s="24"/>
      <c r="M342" s="24"/>
      <c r="N342" s="26"/>
      <c r="O342" s="26"/>
      <c r="P342" s="26"/>
      <c r="Q342" s="26"/>
      <c r="R342" s="26"/>
      <c r="S342" s="26"/>
      <c r="T342" s="26"/>
      <c r="U342" s="26"/>
      <c r="V342" s="26"/>
      <c r="W342" s="26">
        <f>MAX($C$7-VLOOKUP($C342,COS!$B$8:$H$991,3,FALSE),0)</f>
        <v>87940.8720703125</v>
      </c>
      <c r="X342" s="26">
        <f t="shared" si="448"/>
        <v>5407.2734562241731</v>
      </c>
      <c r="Y342" s="26">
        <f>VLOOKUP($C342,COS!$B$8:$H$991,4,FALSE)</f>
        <v>0</v>
      </c>
      <c r="Z342" s="26">
        <f t="shared" si="449"/>
        <v>0</v>
      </c>
      <c r="AA342" s="26">
        <f t="shared" ref="AA342:AA346" si="547">MIN(W342,Y342)</f>
        <v>0</v>
      </c>
      <c r="AB342" s="33">
        <f t="shared" ref="AB342:AB400" si="548">AA342*DAY($C342)*86400/43560/1000*IF(MONTH($C342)=8,$P$3,IF(MONTH($C342)=9,$P$4,IF(MONTH($C342)=10,$P$5,IF(MONTH($C342)=11,$P$6,IF(MONTH($C342)=12,$P$7,NA())))))</f>
        <v>0</v>
      </c>
    </row>
    <row r="343" spans="1:28" x14ac:dyDescent="0.3">
      <c r="A343" s="32">
        <f>VLOOKUP(YEAR(C343),Flags!$A$13:$B$95,2,FALSE)</f>
        <v>1</v>
      </c>
      <c r="B343" s="24">
        <f t="shared" si="535"/>
        <v>1958</v>
      </c>
      <c r="C343" s="25">
        <v>21458</v>
      </c>
      <c r="D343" s="26"/>
      <c r="E343" s="24"/>
      <c r="F343" s="26"/>
      <c r="G343" s="24"/>
      <c r="H343" s="24"/>
      <c r="I343" s="26"/>
      <c r="J343" s="24"/>
      <c r="K343" s="26">
        <f>VLOOKUP($C343,COS!$B$8:$H$991,2,FALSE)</f>
        <v>3174.58203125</v>
      </c>
      <c r="L343" s="24">
        <f t="shared" ref="L343" si="549">IF(AND(K343&gt;$I$7,K343&lt;$I$8),1,0)</f>
        <v>1</v>
      </c>
      <c r="M343" s="24"/>
      <c r="N343" s="26"/>
      <c r="O343" s="26"/>
      <c r="P343" s="26"/>
      <c r="Q343" s="26"/>
      <c r="R343" s="26"/>
      <c r="S343" s="26"/>
      <c r="T343" s="26"/>
      <c r="U343" s="26"/>
      <c r="V343" s="26"/>
      <c r="W343" s="26">
        <f>MAX($C$8-VLOOKUP($C343,COS!$B$8:$H$991,3,FALSE),0)</f>
        <v>84527.9521484375</v>
      </c>
      <c r="X343" s="26">
        <f t="shared" si="448"/>
        <v>5029.7624418904961</v>
      </c>
      <c r="Y343" s="26">
        <f>VLOOKUP($C343,COS!$B$8:$H$991,4,FALSE)</f>
        <v>0</v>
      </c>
      <c r="Z343" s="26">
        <f t="shared" si="449"/>
        <v>0</v>
      </c>
      <c r="AA343" s="26">
        <f t="shared" si="547"/>
        <v>0</v>
      </c>
      <c r="AB343" s="33">
        <f t="shared" si="548"/>
        <v>0</v>
      </c>
    </row>
    <row r="344" spans="1:28" x14ac:dyDescent="0.3">
      <c r="A344" s="32">
        <f>VLOOKUP(YEAR(C344),Flags!$A$13:$B$95,2,FALSE)</f>
        <v>1</v>
      </c>
      <c r="B344" s="24">
        <f t="shared" si="535"/>
        <v>1958</v>
      </c>
      <c r="C344" s="25">
        <v>21489</v>
      </c>
      <c r="D344" s="26"/>
      <c r="E344" s="24"/>
      <c r="F344" s="26"/>
      <c r="G344" s="26"/>
      <c r="H344" s="26"/>
      <c r="I344" s="26"/>
      <c r="J344" s="26"/>
      <c r="K344" s="26"/>
      <c r="L344" s="24"/>
      <c r="M344" s="24"/>
      <c r="N344" s="26"/>
      <c r="O344" s="26"/>
      <c r="P344" s="26"/>
      <c r="Q344" s="26"/>
      <c r="R344" s="26"/>
      <c r="S344" s="26"/>
      <c r="T344" s="26"/>
      <c r="U344" s="26"/>
      <c r="V344" s="26"/>
      <c r="W344" s="26">
        <f>MAX($C$9-VLOOKUP($C344,COS!$B$8:$H$991,3,FALSE),0)</f>
        <v>92967.86865234375</v>
      </c>
      <c r="X344" s="26">
        <f t="shared" si="448"/>
        <v>5716.3714278796488</v>
      </c>
      <c r="Y344" s="26">
        <f>VLOOKUP($C344,COS!$B$8:$H$991,4,FALSE)</f>
        <v>50.698928833007813</v>
      </c>
      <c r="Z344" s="26">
        <f t="shared" si="449"/>
        <v>3.117355624112216</v>
      </c>
      <c r="AA344" s="26">
        <f t="shared" si="547"/>
        <v>50.698928833007813</v>
      </c>
      <c r="AB344" s="33">
        <f t="shared" si="548"/>
        <v>3.117355624112216</v>
      </c>
    </row>
    <row r="345" spans="1:28" x14ac:dyDescent="0.3">
      <c r="A345" s="32">
        <f>VLOOKUP(YEAR(C345),Flags!$A$13:$B$95,2,FALSE)</f>
        <v>1</v>
      </c>
      <c r="B345" s="24">
        <f t="shared" si="535"/>
        <v>1958</v>
      </c>
      <c r="C345" s="25">
        <v>21519</v>
      </c>
      <c r="D345" s="26"/>
      <c r="E345" s="24"/>
      <c r="F345" s="26"/>
      <c r="G345" s="26"/>
      <c r="H345" s="26"/>
      <c r="I345" s="26"/>
      <c r="J345" s="26"/>
      <c r="K345" s="26"/>
      <c r="L345" s="24"/>
      <c r="M345" s="24"/>
      <c r="N345" s="26"/>
      <c r="O345" s="26"/>
      <c r="P345" s="26"/>
      <c r="Q345" s="26"/>
      <c r="R345" s="26"/>
      <c r="S345" s="26"/>
      <c r="T345" s="26"/>
      <c r="U345" s="26"/>
      <c r="V345" s="26"/>
      <c r="W345" s="26">
        <f>MAX($C$10-VLOOKUP($C345,COS!$B$8:$H$991,3,FALSE),0)</f>
        <v>88886.1259765625</v>
      </c>
      <c r="X345" s="26">
        <f t="shared" si="448"/>
        <v>5289.091793646694</v>
      </c>
      <c r="Y345" s="26">
        <f>VLOOKUP($C345,COS!$B$8:$H$991,4,FALSE)</f>
        <v>1516.7578125</v>
      </c>
      <c r="Z345" s="26">
        <f t="shared" si="449"/>
        <v>90.253357438016522</v>
      </c>
      <c r="AA345" s="26">
        <f t="shared" si="547"/>
        <v>1516.7578125</v>
      </c>
      <c r="AB345" s="33">
        <f t="shared" si="548"/>
        <v>45.126678719008261</v>
      </c>
    </row>
    <row r="346" spans="1:28" x14ac:dyDescent="0.3">
      <c r="A346" s="34">
        <f>VLOOKUP(YEAR(C346),Flags!$A$13:$B$95,2,FALSE)</f>
        <v>1</v>
      </c>
      <c r="B346" s="35">
        <f t="shared" si="535"/>
        <v>1958</v>
      </c>
      <c r="C346" s="36">
        <v>21550</v>
      </c>
      <c r="D346" s="37"/>
      <c r="E346" s="35"/>
      <c r="F346" s="37"/>
      <c r="G346" s="37"/>
      <c r="H346" s="37"/>
      <c r="I346" s="37"/>
      <c r="J346" s="37"/>
      <c r="K346" s="37"/>
      <c r="L346" s="35"/>
      <c r="M346" s="35"/>
      <c r="N346" s="37"/>
      <c r="O346" s="37"/>
      <c r="P346" s="37"/>
      <c r="Q346" s="37"/>
      <c r="R346" s="37"/>
      <c r="S346" s="37"/>
      <c r="T346" s="37"/>
      <c r="U346" s="37"/>
      <c r="V346" s="37"/>
      <c r="W346" s="37">
        <f>MAX($C$11-VLOOKUP($C346,COS!$B$8:$H$991,3,FALSE),0)</f>
        <v>0</v>
      </c>
      <c r="X346" s="37">
        <f t="shared" si="448"/>
        <v>0</v>
      </c>
      <c r="Y346" s="37">
        <f>VLOOKUP($C346,COS!$B$8:$H$991,4,FALSE)</f>
        <v>0</v>
      </c>
      <c r="Z346" s="37">
        <f t="shared" si="449"/>
        <v>0</v>
      </c>
      <c r="AA346" s="37">
        <f t="shared" si="547"/>
        <v>0</v>
      </c>
      <c r="AB346" s="38">
        <f t="shared" si="548"/>
        <v>0</v>
      </c>
    </row>
    <row r="347" spans="1:28" x14ac:dyDescent="0.3">
      <c r="A347" s="27">
        <f>VLOOKUP(YEAR(C347),Flags!$A$13:$B$95,2,FALSE)</f>
        <v>3</v>
      </c>
      <c r="B347" s="28">
        <f t="shared" si="535"/>
        <v>1959</v>
      </c>
      <c r="C347" s="29">
        <v>21670</v>
      </c>
      <c r="D347" s="30">
        <f>VLOOKUP($C347,COS!$B$8:$H$991,3,FALSE)</f>
        <v>4176.9140625</v>
      </c>
      <c r="E347" s="28">
        <f>IF(D347&gt;=IF(MONTH($C347)=4,$C$3,IF(MONTH($C347)=5,$C$4,IF(MONTH($C347)=6,$C$5,IF(MONTH($C347)=7,$C$6,"ERROR")))),1,0)</f>
        <v>0</v>
      </c>
      <c r="F347" s="30">
        <f>VLOOKUP($C347,COS!$B$8:$H$991,7,FALSE)</f>
        <v>52.521034240722656</v>
      </c>
      <c r="G347" s="28">
        <f>IF(F347&lt;=IF(MONTH($C347)=4,$F$3,IF(MONTH($C347)=5,$F$4,IF(MONTH($C347)=6,$F$5,IF(MONTH($C347)=7,$F$6,"ERROR")))),1,0)</f>
        <v>1</v>
      </c>
      <c r="H347" s="30">
        <f>IF(J347=1,D347-$C$3,0)</f>
        <v>0</v>
      </c>
      <c r="I347" s="30">
        <f t="shared" si="450"/>
        <v>0</v>
      </c>
      <c r="J347" s="28">
        <f t="shared" ref="J347:J350" si="550">IF(AND(E347=1,G347=1),1,0)</f>
        <v>0</v>
      </c>
      <c r="K347" s="30">
        <f>VLOOKUP($C347,COS!$B$8:$H$991,2,FALSE)</f>
        <v>4402.98779296875</v>
      </c>
      <c r="L347" s="28">
        <f t="shared" ref="L347" si="551">IF(K347&lt;=IF(MONTH($C347)=4,$I$3,IF(MONTH($C347)=5,$I$4,IF(MONTH($C347)=6,$I$5,IF(MONTH($C347)=7,$I$6,"ERROR")))),1,0)</f>
        <v>1</v>
      </c>
      <c r="M347" s="28">
        <f t="shared" ref="M347" si="552">VLOOKUP($A347,$L$3:$M$7,2,FALSE)</f>
        <v>0</v>
      </c>
      <c r="N347" s="30">
        <f>VLOOKUP($C347,COS!$B$8:$H$991,5,FALSE)</f>
        <v>220.10430908203125</v>
      </c>
      <c r="O347" s="30">
        <f t="shared" ref="O347:O350" si="553">N347*DAY($C347)*86400/43560/1000</f>
        <v>13.097115912319216</v>
      </c>
      <c r="P347" s="30">
        <f>VLOOKUP($C347,COS!$B$8:$H$991,6,FALSE)</f>
        <v>554.8544921875</v>
      </c>
      <c r="Q347" s="30">
        <f t="shared" ref="Q347:Q350" si="554">P347*DAY($C347)*86400/43560/1000</f>
        <v>33.01613507231405</v>
      </c>
      <c r="R347" s="30">
        <f>MIN(IF(MONTH($C347)=4,$S$3,IF(MONTH($C347)=5,$S$4,IF(MONTH($C347)=6,$S$5,IF(MONTH($C347)=7,$S$6,"ERROR")))),MAX(VLOOKUP($C347,COS!$B$8:$K$991,10,FALSE)-IF(MONTH($C347)=4,$Y$3,IF(MONTH($C347)=5,$Y$4,IF(MONTH($C347)=6,$Y$5,IF(MONTH($C347)=7,$Y$6,"ERROR")))),0),MAX(VLOOKUP($C347,COS!$B$8:$K$991,9,FALSE)-IF(MONTH($C347)=4,$V$3,IF(MONTH($C347)=5,$V$4,IF(MONTH($C347)=6,$V$5,IF(MONTH($C347)=7,$V$6,"ERROR"))))-VLOOKUP($C347,COS!$B$8:$K$991,6,FALSE)/2,0))</f>
        <v>0</v>
      </c>
      <c r="S347" s="30">
        <f t="shared" ref="S347:S350" si="555">R347*DAY($C347)*86400/43560/1000</f>
        <v>0</v>
      </c>
      <c r="T347" s="30">
        <f t="shared" ref="T347:T350" si="556">(O347+Q347)/2+S347</f>
        <v>23.056625492316634</v>
      </c>
      <c r="U347" s="30" t="str">
        <f>IF(VLOOKUP($C347,COS!$B$8:$I$991,8,FALSE)=1,"UWFE","IBU")</f>
        <v>UWFE</v>
      </c>
      <c r="V347" s="30">
        <f t="shared" ref="V347" si="557">MIN(IF(IF($AA$3=2,AND(E347=1,G347=1,L347=1,L352=1,M347=1,U347="IBU"),AND(E347=1,G347=1,L347=1,L352=1,M347=1)),T347,0),I347)</f>
        <v>0</v>
      </c>
      <c r="W347" s="30"/>
      <c r="X347" s="30"/>
      <c r="Y347" s="30"/>
      <c r="Z347" s="30"/>
      <c r="AA347" s="30"/>
      <c r="AB347" s="31"/>
    </row>
    <row r="348" spans="1:28" x14ac:dyDescent="0.3">
      <c r="A348" s="32">
        <f>VLOOKUP(YEAR(C348),Flags!$A$13:$B$95,2,FALSE)</f>
        <v>3</v>
      </c>
      <c r="B348" s="24">
        <f t="shared" si="535"/>
        <v>1959</v>
      </c>
      <c r="C348" s="25">
        <v>21701</v>
      </c>
      <c r="D348" s="26">
        <f>VLOOKUP($C348,COS!$B$8:$H$991,3,FALSE)</f>
        <v>8032.080078125</v>
      </c>
      <c r="E348" s="24">
        <f>IF(D348&gt;=IF(MONTH($C348)=4,$C$3,IF(MONTH($C348)=5,$C$4,IF(MONTH($C348)=6,$C$5,IF(MONTH($C348)=7,$C$6,"ERROR")))),1,0)</f>
        <v>1</v>
      </c>
      <c r="F348" s="26">
        <f>VLOOKUP($C348,COS!$B$8:$H$991,7,FALSE)</f>
        <v>51.603923797607422</v>
      </c>
      <c r="G348" s="24">
        <f>IF(F348&lt;=IF(MONTH($C348)=4,$F$3,IF(MONTH($C348)=5,$F$4,IF(MONTH($C348)=6,$F$5,IF(MONTH($C348)=7,$F$6,"ERROR")))),1,0)</f>
        <v>1</v>
      </c>
      <c r="H348" s="26">
        <f>IF(J348=1,D348-$C$4,0)</f>
        <v>2032.080078125</v>
      </c>
      <c r="I348" s="26">
        <f t="shared" ref="I348:I411" si="558">H348*DAY($C348)*86400/43560/1000</f>
        <v>124.94773372933884</v>
      </c>
      <c r="J348" s="24">
        <f t="shared" si="550"/>
        <v>1</v>
      </c>
      <c r="K348" s="26">
        <f>VLOOKUP($C348,COS!$B$8:$H$991,2,FALSE)</f>
        <v>4231.4052734375</v>
      </c>
      <c r="L348" s="24">
        <f t="shared" si="537"/>
        <v>1</v>
      </c>
      <c r="M348" s="24">
        <f t="shared" si="538"/>
        <v>0</v>
      </c>
      <c r="N348" s="26">
        <f>VLOOKUP($C348,COS!$B$8:$H$991,5,FALSE)</f>
        <v>634.8975830078125</v>
      </c>
      <c r="O348" s="26">
        <f t="shared" si="553"/>
        <v>39.03833072378616</v>
      </c>
      <c r="P348" s="26">
        <f>VLOOKUP($C348,COS!$B$8:$H$991,6,FALSE)</f>
        <v>2338.357666015625</v>
      </c>
      <c r="Q348" s="26">
        <f t="shared" si="554"/>
        <v>143.78000855501034</v>
      </c>
      <c r="R348" s="26">
        <f>MIN(IF(MONTH($C348)=4,$S$3,IF(MONTH($C348)=5,$S$4,IF(MONTH($C348)=6,$S$5,IF(MONTH($C348)=7,$S$6,"ERROR")))),MAX(VLOOKUP($C348,COS!$B$8:$K$991,10,FALSE)-IF(MONTH($C348)=4,$Y$3,IF(MONTH($C348)=5,$Y$4,IF(MONTH($C348)=6,$Y$5,IF(MONTH($C348)=7,$Y$6,"ERROR")))),0),MAX(VLOOKUP($C348,COS!$B$8:$K$991,9,FALSE)-IF(MONTH($C348)=4,$V$3,IF(MONTH($C348)=5,$V$4,IF(MONTH($C348)=6,$V$5,IF(MONTH($C348)=7,$V$6,"ERROR"))))-VLOOKUP($C348,COS!$B$8:$K$991,6,FALSE)/2,0))</f>
        <v>0</v>
      </c>
      <c r="S348" s="26">
        <f t="shared" si="555"/>
        <v>0</v>
      </c>
      <c r="T348" s="26">
        <f t="shared" si="556"/>
        <v>91.409169639398243</v>
      </c>
      <c r="U348" s="26" t="str">
        <f>IF(VLOOKUP($C348,COS!$B$8:$I$991,8,FALSE)=1,"UWFE","IBU")</f>
        <v>UWFE</v>
      </c>
      <c r="V348" s="26">
        <f t="shared" ref="V348" si="559">MIN(IF(IF($AA$3=2,AND(E348=1,G348=1,L348=1,L352=1,M348=1,U348="IBU"),AND(E348=1,G348=1,L348=1,L352=1,M348=1)),T348,0),I348)</f>
        <v>0</v>
      </c>
      <c r="W348" s="26"/>
      <c r="X348" s="26"/>
      <c r="Y348" s="26"/>
      <c r="Z348" s="26"/>
      <c r="AA348" s="26"/>
      <c r="AB348" s="33"/>
    </row>
    <row r="349" spans="1:28" x14ac:dyDescent="0.3">
      <c r="A349" s="32">
        <f>VLOOKUP(YEAR(C349),Flags!$A$13:$B$95,2,FALSE)</f>
        <v>3</v>
      </c>
      <c r="B349" s="24">
        <f t="shared" si="535"/>
        <v>1959</v>
      </c>
      <c r="C349" s="25">
        <v>21731</v>
      </c>
      <c r="D349" s="26">
        <f>VLOOKUP($C349,COS!$B$8:$H$991,3,FALSE)</f>
        <v>12238.9375</v>
      </c>
      <c r="E349" s="24">
        <f>IF(D349&gt;=IF(MONTH($C349)=4,$C$3,IF(MONTH($C349)=5,$C$4,IF(MONTH($C349)=6,$C$5,IF(MONTH($C349)=7,$C$6,"ERROR")))),1,0)</f>
        <v>1</v>
      </c>
      <c r="F349" s="26">
        <f>VLOOKUP($C349,COS!$B$8:$H$991,7,FALSE)</f>
        <v>51.942916870117188</v>
      </c>
      <c r="G349" s="24">
        <f>IF(F349&lt;=IF(MONTH($C349)=4,$F$3,IF(MONTH($C349)=5,$F$4,IF(MONTH($C349)=6,$F$5,IF(MONTH($C349)=7,$F$6,"ERROR")))),1,0)</f>
        <v>1</v>
      </c>
      <c r="H349" s="26">
        <f>IF(J349=1,D349-$C$5,0)</f>
        <v>2238.9375</v>
      </c>
      <c r="I349" s="26">
        <f t="shared" si="558"/>
        <v>133.22603305785125</v>
      </c>
      <c r="J349" s="24">
        <f t="shared" si="550"/>
        <v>1</v>
      </c>
      <c r="K349" s="26">
        <f>VLOOKUP($C349,COS!$B$8:$H$991,2,FALSE)</f>
        <v>3758.05615234375</v>
      </c>
      <c r="L349" s="24">
        <f t="shared" si="537"/>
        <v>1</v>
      </c>
      <c r="M349" s="24">
        <f t="shared" si="538"/>
        <v>0</v>
      </c>
      <c r="N349" s="26">
        <f>VLOOKUP($C349,COS!$B$8:$H$991,5,FALSE)</f>
        <v>756.1251220703125</v>
      </c>
      <c r="O349" s="26">
        <f t="shared" si="553"/>
        <v>44.992569247159089</v>
      </c>
      <c r="P349" s="26">
        <f>VLOOKUP($C349,COS!$B$8:$H$991,6,FALSE)</f>
        <v>2677.335693359375</v>
      </c>
      <c r="Q349" s="26">
        <f t="shared" si="554"/>
        <v>159.31253712551654</v>
      </c>
      <c r="R349" s="26">
        <f>MIN(IF(MONTH($C349)=4,$S$3,IF(MONTH($C349)=5,$S$4,IF(MONTH($C349)=6,$S$5,IF(MONTH($C349)=7,$S$6,"ERROR")))),MAX(VLOOKUP($C349,COS!$B$8:$K$991,10,FALSE)-IF(MONTH($C349)=4,$Y$3,IF(MONTH($C349)=5,$Y$4,IF(MONTH($C349)=6,$Y$5,IF(MONTH($C349)=7,$Y$6,"ERROR")))),0),MAX(VLOOKUP($C349,COS!$B$8:$K$991,9,FALSE)-IF(MONTH($C349)=4,$V$3,IF(MONTH($C349)=5,$V$4,IF(MONTH($C349)=6,$V$5,IF(MONTH($C349)=7,$V$6,"ERROR"))))-VLOOKUP($C349,COS!$B$8:$K$991,6,FALSE)/2,0))</f>
        <v>0</v>
      </c>
      <c r="S349" s="26">
        <f t="shared" si="555"/>
        <v>0</v>
      </c>
      <c r="T349" s="26">
        <f t="shared" si="556"/>
        <v>102.15255318633781</v>
      </c>
      <c r="U349" s="26" t="str">
        <f>IF(VLOOKUP($C349,COS!$B$8:$I$991,8,FALSE)=1,"UWFE","IBU")</f>
        <v>IBU</v>
      </c>
      <c r="V349" s="26">
        <f t="shared" ref="V349" si="560">MIN(IF(IF($AA$3=2,AND(E349=1,G349=1,L349=1,L352=1,M349=1,U349="IBU"),AND(E349=1,G349=1,L349=1,L352=1,M349=1)),T349,0),I349)</f>
        <v>0</v>
      </c>
      <c r="W349" s="26"/>
      <c r="X349" s="26"/>
      <c r="Y349" s="26"/>
      <c r="Z349" s="26"/>
      <c r="AA349" s="26"/>
      <c r="AB349" s="33"/>
    </row>
    <row r="350" spans="1:28" x14ac:dyDescent="0.3">
      <c r="A350" s="32">
        <f>VLOOKUP(YEAR(C350),Flags!$A$13:$B$95,2,FALSE)</f>
        <v>3</v>
      </c>
      <c r="B350" s="24">
        <f t="shared" si="535"/>
        <v>1959</v>
      </c>
      <c r="C350" s="25">
        <v>21762</v>
      </c>
      <c r="D350" s="26">
        <f>VLOOKUP($C350,COS!$B$8:$H$991,3,FALSE)</f>
        <v>16000</v>
      </c>
      <c r="E350" s="24">
        <f>IF(D350&gt;=IF(MONTH($C350)=4,$C$3,IF(MONTH($C350)=5,$C$4,IF(MONTH($C350)=6,$C$5,IF(MONTH($C350)=7,$C$6,"ERROR")))),1,0)</f>
        <v>1</v>
      </c>
      <c r="F350" s="26">
        <f>VLOOKUP($C350,COS!$B$8:$H$991,7,FALSE)</f>
        <v>52.936290740966797</v>
      </c>
      <c r="G350" s="24">
        <f>IF(F350&lt;=IF(MONTH($C350)=4,$F$3,IF(MONTH($C350)=5,$F$4,IF(MONTH($C350)=6,$F$5,IF(MONTH($C350)=7,$F$6,"ERROR")))),1,0)</f>
        <v>1</v>
      </c>
      <c r="H350" s="26">
        <f>IF(J350=1,D350-$C$6,0)</f>
        <v>4000</v>
      </c>
      <c r="I350" s="26">
        <f t="shared" si="558"/>
        <v>245.95041322314049</v>
      </c>
      <c r="J350" s="24">
        <f t="shared" si="550"/>
        <v>1</v>
      </c>
      <c r="K350" s="26">
        <f>VLOOKUP($C350,COS!$B$8:$H$991,2,FALSE)</f>
        <v>3122.560546875</v>
      </c>
      <c r="L350" s="24">
        <f t="shared" si="537"/>
        <v>1</v>
      </c>
      <c r="M350" s="24">
        <f t="shared" si="538"/>
        <v>0</v>
      </c>
      <c r="N350" s="26">
        <f>VLOOKUP($C350,COS!$B$8:$H$991,5,FALSE)</f>
        <v>824.85052490234375</v>
      </c>
      <c r="O350" s="26">
        <f t="shared" si="553"/>
        <v>50.718081861763942</v>
      </c>
      <c r="P350" s="26">
        <f>VLOOKUP($C350,COS!$B$8:$H$991,6,FALSE)</f>
        <v>2537.385498046875</v>
      </c>
      <c r="Q350" s="26">
        <f t="shared" si="554"/>
        <v>156.01775293775825</v>
      </c>
      <c r="R350" s="26">
        <f>MIN(IF(MONTH($C350)=4,$S$3,IF(MONTH($C350)=5,$S$4,IF(MONTH($C350)=6,$S$5,IF(MONTH($C350)=7,$S$6,"ERROR")))),MAX(VLOOKUP($C350,COS!$B$8:$K$991,10,FALSE)-IF(MONTH($C350)=4,$Y$3,IF(MONTH($C350)=5,$Y$4,IF(MONTH($C350)=6,$Y$5,IF(MONTH($C350)=7,$Y$6,"ERROR")))),0),MAX(VLOOKUP($C350,COS!$B$8:$K$991,9,FALSE)-IF(MONTH($C350)=4,$V$3,IF(MONTH($C350)=5,$V$4,IF(MONTH($C350)=6,$V$5,IF(MONTH($C350)=7,$V$6,"ERROR"))))-VLOOKUP($C350,COS!$B$8:$K$991,6,FALSE)/2,0))</f>
        <v>0</v>
      </c>
      <c r="S350" s="26">
        <f t="shared" si="555"/>
        <v>0</v>
      </c>
      <c r="T350" s="26">
        <f t="shared" si="556"/>
        <v>103.3679173997611</v>
      </c>
      <c r="U350" s="26" t="str">
        <f>IF(VLOOKUP($C350,COS!$B$8:$I$991,8,FALSE)=1,"UWFE","IBU")</f>
        <v>IBU</v>
      </c>
      <c r="V350" s="26">
        <f t="shared" ref="V350" si="561">MIN(IF(IF($AA$3=2,AND(E350=1,G350=1,L350=1,L352=1,M350=1,U350="IBU"),AND(E350=1,G350=1,L350=1,L352=1,M350=1)),T350,0),I350)</f>
        <v>0</v>
      </c>
      <c r="W350" s="26"/>
      <c r="X350" s="26"/>
      <c r="Y350" s="26"/>
      <c r="Z350" s="26"/>
      <c r="AA350" s="26"/>
      <c r="AB350" s="33"/>
    </row>
    <row r="351" spans="1:28" x14ac:dyDescent="0.3">
      <c r="A351" s="32">
        <f>VLOOKUP(YEAR(C351),Flags!$A$13:$B$95,2,FALSE)</f>
        <v>3</v>
      </c>
      <c r="B351" s="24">
        <f t="shared" si="535"/>
        <v>1959</v>
      </c>
      <c r="C351" s="25">
        <v>21793</v>
      </c>
      <c r="D351" s="26"/>
      <c r="E351" s="24"/>
      <c r="F351" s="26"/>
      <c r="G351" s="24"/>
      <c r="H351" s="24"/>
      <c r="I351" s="26"/>
      <c r="J351" s="24"/>
      <c r="K351" s="26"/>
      <c r="L351" s="24"/>
      <c r="M351" s="24"/>
      <c r="N351" s="26"/>
      <c r="O351" s="26"/>
      <c r="P351" s="26"/>
      <c r="Q351" s="26"/>
      <c r="R351" s="26"/>
      <c r="S351" s="26"/>
      <c r="T351" s="26"/>
      <c r="U351" s="26"/>
      <c r="V351" s="26"/>
      <c r="W351" s="26">
        <f>MAX($C$7-VLOOKUP($C351,COS!$B$8:$H$991,3,FALSE),0)</f>
        <v>87769.9443359375</v>
      </c>
      <c r="X351" s="26">
        <f t="shared" ref="X351:X414" si="562">W351*DAY($C351)*86400/43560/1000</f>
        <v>5396.7635194989671</v>
      </c>
      <c r="Y351" s="26">
        <f>VLOOKUP($C351,COS!$B$8:$H$991,4,FALSE)</f>
        <v>580.99884033203125</v>
      </c>
      <c r="Z351" s="26">
        <f t="shared" ref="Z351:Z414" si="563">Y351*DAY($C351)*86400/43560/1000</f>
        <v>35.724226215457129</v>
      </c>
      <c r="AA351" s="26">
        <f t="shared" ref="AA351:AA355" si="564">MIN(W351,Y351)</f>
        <v>580.99884033203125</v>
      </c>
      <c r="AB351" s="33">
        <f t="shared" ref="AB351" si="565">AA351*DAY($C351)*86400/43560/1000*IF(MONTH($C351)=8,$P$3,IF(MONTH($C351)=9,$P$4,IF(MONTH($C351)=10,$P$5,IF(MONTH($C351)=11,$P$6,IF(MONTH($C351)=12,$P$7,NA())))))</f>
        <v>35.724226215457129</v>
      </c>
    </row>
    <row r="352" spans="1:28" x14ac:dyDescent="0.3">
      <c r="A352" s="32">
        <f>VLOOKUP(YEAR(C352),Flags!$A$13:$B$95,2,FALSE)</f>
        <v>3</v>
      </c>
      <c r="B352" s="24">
        <f t="shared" si="535"/>
        <v>1959</v>
      </c>
      <c r="C352" s="25">
        <v>21823</v>
      </c>
      <c r="D352" s="26"/>
      <c r="E352" s="24"/>
      <c r="F352" s="26"/>
      <c r="G352" s="24"/>
      <c r="H352" s="24"/>
      <c r="I352" s="26"/>
      <c r="J352" s="24"/>
      <c r="K352" s="26">
        <f>VLOOKUP($C352,COS!$B$8:$H$991,2,FALSE)</f>
        <v>2777.299560546875</v>
      </c>
      <c r="L352" s="24">
        <f t="shared" ref="L352" si="566">IF(AND(K352&gt;$I$7,K352&lt;$I$8),1,0)</f>
        <v>1</v>
      </c>
      <c r="M352" s="24"/>
      <c r="N352" s="26"/>
      <c r="O352" s="26"/>
      <c r="P352" s="26"/>
      <c r="Q352" s="26"/>
      <c r="R352" s="26"/>
      <c r="S352" s="26"/>
      <c r="T352" s="26"/>
      <c r="U352" s="26"/>
      <c r="V352" s="26"/>
      <c r="W352" s="26">
        <f>MAX($C$8-VLOOKUP($C352,COS!$B$8:$H$991,3,FALSE),0)</f>
        <v>94751.353515625</v>
      </c>
      <c r="X352" s="26">
        <f t="shared" si="562"/>
        <v>5638.0970686983474</v>
      </c>
      <c r="Y352" s="26">
        <f>VLOOKUP($C352,COS!$B$8:$H$991,4,FALSE)</f>
        <v>162.466064453125</v>
      </c>
      <c r="Z352" s="26">
        <f t="shared" si="563"/>
        <v>9.66740218233471</v>
      </c>
      <c r="AA352" s="26">
        <f t="shared" si="564"/>
        <v>162.466064453125</v>
      </c>
      <c r="AB352" s="33">
        <f t="shared" si="548"/>
        <v>9.66740218233471</v>
      </c>
    </row>
    <row r="353" spans="1:28" x14ac:dyDescent="0.3">
      <c r="A353" s="32">
        <f>VLOOKUP(YEAR(C353),Flags!$A$13:$B$95,2,FALSE)</f>
        <v>3</v>
      </c>
      <c r="B353" s="24">
        <f t="shared" si="535"/>
        <v>1959</v>
      </c>
      <c r="C353" s="25">
        <v>21854</v>
      </c>
      <c r="D353" s="26"/>
      <c r="E353" s="24"/>
      <c r="F353" s="26"/>
      <c r="G353" s="26"/>
      <c r="H353" s="26"/>
      <c r="I353" s="26"/>
      <c r="J353" s="26"/>
      <c r="K353" s="26"/>
      <c r="L353" s="24"/>
      <c r="M353" s="24"/>
      <c r="N353" s="26"/>
      <c r="O353" s="26"/>
      <c r="P353" s="26"/>
      <c r="Q353" s="26"/>
      <c r="R353" s="26"/>
      <c r="S353" s="26"/>
      <c r="T353" s="26"/>
      <c r="U353" s="26"/>
      <c r="V353" s="26"/>
      <c r="W353" s="26">
        <f>MAX($C$9-VLOOKUP($C353,COS!$B$8:$H$991,3,FALSE),0)</f>
        <v>93413.3603515625</v>
      </c>
      <c r="X353" s="26">
        <f t="shared" si="562"/>
        <v>5743.7636447572313</v>
      </c>
      <c r="Y353" s="26">
        <f>VLOOKUP($C353,COS!$B$8:$H$991,4,FALSE)</f>
        <v>1540.0111083984375</v>
      </c>
      <c r="Z353" s="26">
        <f t="shared" si="563"/>
        <v>94.691592119705575</v>
      </c>
      <c r="AA353" s="26">
        <f t="shared" si="564"/>
        <v>1540.0111083984375</v>
      </c>
      <c r="AB353" s="33">
        <f t="shared" si="548"/>
        <v>94.691592119705575</v>
      </c>
    </row>
    <row r="354" spans="1:28" x14ac:dyDescent="0.3">
      <c r="A354" s="32">
        <f>VLOOKUP(YEAR(C354),Flags!$A$13:$B$95,2,FALSE)</f>
        <v>3</v>
      </c>
      <c r="B354" s="24">
        <f t="shared" si="535"/>
        <v>1959</v>
      </c>
      <c r="C354" s="25">
        <v>21884</v>
      </c>
      <c r="D354" s="26"/>
      <c r="E354" s="24"/>
      <c r="F354" s="26"/>
      <c r="G354" s="26"/>
      <c r="H354" s="26"/>
      <c r="I354" s="26"/>
      <c r="J354" s="26"/>
      <c r="K354" s="26"/>
      <c r="L354" s="24"/>
      <c r="M354" s="24"/>
      <c r="N354" s="26"/>
      <c r="O354" s="26"/>
      <c r="P354" s="26"/>
      <c r="Q354" s="26"/>
      <c r="R354" s="26"/>
      <c r="S354" s="26"/>
      <c r="T354" s="26"/>
      <c r="U354" s="26"/>
      <c r="V354" s="26"/>
      <c r="W354" s="26">
        <f>MAX($C$10-VLOOKUP($C354,COS!$B$8:$H$991,3,FALSE),0)</f>
        <v>92727.755859375</v>
      </c>
      <c r="X354" s="26">
        <f t="shared" si="562"/>
        <v>5517.6846461776859</v>
      </c>
      <c r="Y354" s="26">
        <f>VLOOKUP($C354,COS!$B$8:$H$991,4,FALSE)</f>
        <v>1347.0540771484375</v>
      </c>
      <c r="Z354" s="26">
        <f t="shared" si="563"/>
        <v>80.155283929493805</v>
      </c>
      <c r="AA354" s="26">
        <f t="shared" si="564"/>
        <v>1347.0540771484375</v>
      </c>
      <c r="AB354" s="33">
        <f t="shared" si="548"/>
        <v>40.077641964746903</v>
      </c>
    </row>
    <row r="355" spans="1:28" x14ac:dyDescent="0.3">
      <c r="A355" s="34">
        <f>VLOOKUP(YEAR(C355),Flags!$A$13:$B$95,2,FALSE)</f>
        <v>3</v>
      </c>
      <c r="B355" s="35">
        <f t="shared" si="535"/>
        <v>1959</v>
      </c>
      <c r="C355" s="36">
        <v>21915</v>
      </c>
      <c r="D355" s="37"/>
      <c r="E355" s="35"/>
      <c r="F355" s="37"/>
      <c r="G355" s="37"/>
      <c r="H355" s="37"/>
      <c r="I355" s="37"/>
      <c r="J355" s="37"/>
      <c r="K355" s="37"/>
      <c r="L355" s="35"/>
      <c r="M355" s="35"/>
      <c r="N355" s="37"/>
      <c r="O355" s="37"/>
      <c r="P355" s="37"/>
      <c r="Q355" s="37"/>
      <c r="R355" s="37"/>
      <c r="S355" s="37"/>
      <c r="T355" s="37"/>
      <c r="U355" s="37"/>
      <c r="V355" s="37"/>
      <c r="W355" s="37">
        <f>MAX($C$11-VLOOKUP($C355,COS!$B$8:$H$991,3,FALSE),0)</f>
        <v>0</v>
      </c>
      <c r="X355" s="37">
        <f t="shared" si="562"/>
        <v>0</v>
      </c>
      <c r="Y355" s="37">
        <f>VLOOKUP($C355,COS!$B$8:$H$991,4,FALSE)</f>
        <v>2025.1993408203125</v>
      </c>
      <c r="Z355" s="37">
        <f t="shared" si="563"/>
        <v>124.52465368349691</v>
      </c>
      <c r="AA355" s="37">
        <f t="shared" si="564"/>
        <v>0</v>
      </c>
      <c r="AB355" s="38">
        <f t="shared" si="548"/>
        <v>0</v>
      </c>
    </row>
    <row r="356" spans="1:28" x14ac:dyDescent="0.3">
      <c r="A356" s="27">
        <f>VLOOKUP(YEAR(C356),Flags!$A$13:$B$95,2,FALSE)</f>
        <v>4</v>
      </c>
      <c r="B356" s="28">
        <f t="shared" si="535"/>
        <v>1960</v>
      </c>
      <c r="C356" s="29">
        <v>22036</v>
      </c>
      <c r="D356" s="30">
        <f>VLOOKUP($C356,COS!$B$8:$H$991,3,FALSE)</f>
        <v>7127.0625</v>
      </c>
      <c r="E356" s="28">
        <f>IF(D356&gt;=IF(MONTH($C356)=4,$C$3,IF(MONTH($C356)=5,$C$4,IF(MONTH($C356)=6,$C$5,IF(MONTH($C356)=7,$C$6,"ERROR")))),1,0)</f>
        <v>1</v>
      </c>
      <c r="F356" s="30">
        <f>VLOOKUP($C356,COS!$B$8:$H$991,7,FALSE)</f>
        <v>49.91119384765625</v>
      </c>
      <c r="G356" s="28">
        <f>IF(F356&lt;=IF(MONTH($C356)=4,$F$3,IF(MONTH($C356)=5,$F$4,IF(MONTH($C356)=6,$F$5,IF(MONTH($C356)=7,$F$6,"ERROR")))),1,0)</f>
        <v>1</v>
      </c>
      <c r="H356" s="30">
        <f>IF(J356=1,D356-$C$3,0)</f>
        <v>1127.0625</v>
      </c>
      <c r="I356" s="30">
        <f t="shared" si="558"/>
        <v>67.064876033057857</v>
      </c>
      <c r="J356" s="28">
        <f t="shared" ref="J356:J359" si="567">IF(AND(E356=1,G356=1),1,0)</f>
        <v>1</v>
      </c>
      <c r="K356" s="30">
        <f>VLOOKUP($C356,COS!$B$8:$H$991,2,FALSE)</f>
        <v>4172.98876953125</v>
      </c>
      <c r="L356" s="28">
        <f t="shared" ref="L356" si="568">IF(K356&lt;=IF(MONTH($C356)=4,$I$3,IF(MONTH($C356)=5,$I$4,IF(MONTH($C356)=6,$I$5,IF(MONTH($C356)=7,$I$6,"ERROR")))),1,0)</f>
        <v>1</v>
      </c>
      <c r="M356" s="28">
        <f t="shared" ref="M356" si="569">VLOOKUP($A356,$L$3:$M$7,2,FALSE)</f>
        <v>1</v>
      </c>
      <c r="N356" s="30">
        <f>VLOOKUP($C356,COS!$B$8:$H$991,5,FALSE)</f>
        <v>16.487361907958984</v>
      </c>
      <c r="O356" s="30">
        <f t="shared" ref="O356:O359" si="570">N356*DAY($C356)*86400/43560/1000</f>
        <v>0.98106616311822048</v>
      </c>
      <c r="P356" s="30">
        <f>VLOOKUP($C356,COS!$B$8:$H$991,6,FALSE)</f>
        <v>466.45590209960938</v>
      </c>
      <c r="Q356" s="30">
        <f t="shared" ref="Q356:Q359" si="571">P356*DAY($C356)*86400/43560/1000</f>
        <v>27.756053678654443</v>
      </c>
      <c r="R356" s="30">
        <f>MIN(IF(MONTH($C356)=4,$S$3,IF(MONTH($C356)=5,$S$4,IF(MONTH($C356)=6,$S$5,IF(MONTH($C356)=7,$S$6,"ERROR")))),MAX(VLOOKUP($C356,COS!$B$8:$K$991,10,FALSE)-IF(MONTH($C356)=4,$Y$3,IF(MONTH($C356)=5,$Y$4,IF(MONTH($C356)=6,$Y$5,IF(MONTH($C356)=7,$Y$6,"ERROR")))),0),MAX(VLOOKUP($C356,COS!$B$8:$K$991,9,FALSE)-IF(MONTH($C356)=4,$V$3,IF(MONTH($C356)=5,$V$4,IF(MONTH($C356)=6,$V$5,IF(MONTH($C356)=7,$V$6,"ERROR"))))-VLOOKUP($C356,COS!$B$8:$K$991,6,FALSE)/2,0))</f>
        <v>0</v>
      </c>
      <c r="S356" s="30">
        <f t="shared" ref="S356:S359" si="572">R356*DAY($C356)*86400/43560/1000</f>
        <v>0</v>
      </c>
      <c r="T356" s="30">
        <f t="shared" ref="T356:T359" si="573">(O356+Q356)/2+S356</f>
        <v>14.368559920886332</v>
      </c>
      <c r="U356" s="30" t="str">
        <f>IF(VLOOKUP($C356,COS!$B$8:$I$991,8,FALSE)=1,"UWFE","IBU")</f>
        <v>UWFE</v>
      </c>
      <c r="V356" s="30">
        <f t="shared" ref="V356" si="574">MIN(IF(IF($AA$3=2,AND(E356=1,G356=1,L356=1,L361=1,M356=1,U356="IBU"),AND(E356=1,G356=1,L356=1,L361=1,M356=1)),T356,0),I356)</f>
        <v>0</v>
      </c>
      <c r="W356" s="30"/>
      <c r="X356" s="30"/>
      <c r="Y356" s="30"/>
      <c r="Z356" s="30"/>
      <c r="AA356" s="30"/>
      <c r="AB356" s="31"/>
    </row>
    <row r="357" spans="1:28" x14ac:dyDescent="0.3">
      <c r="A357" s="32">
        <f>VLOOKUP(YEAR(C357),Flags!$A$13:$B$95,2,FALSE)</f>
        <v>4</v>
      </c>
      <c r="B357" s="24">
        <f t="shared" si="535"/>
        <v>1960</v>
      </c>
      <c r="C357" s="25">
        <v>22067</v>
      </c>
      <c r="D357" s="26">
        <f>VLOOKUP($C357,COS!$B$8:$H$991,3,FALSE)</f>
        <v>4957.14453125</v>
      </c>
      <c r="E357" s="24">
        <f>IF(D357&gt;=IF(MONTH($C357)=4,$C$3,IF(MONTH($C357)=5,$C$4,IF(MONTH($C357)=6,$C$5,IF(MONTH($C357)=7,$C$6,"ERROR")))),1,0)</f>
        <v>0</v>
      </c>
      <c r="F357" s="26">
        <f>VLOOKUP($C357,COS!$B$8:$H$991,7,FALSE)</f>
        <v>52.527271270751953</v>
      </c>
      <c r="G357" s="24">
        <f>IF(F357&lt;=IF(MONTH($C357)=4,$F$3,IF(MONTH($C357)=5,$F$4,IF(MONTH($C357)=6,$F$5,IF(MONTH($C357)=7,$F$6,"ERROR")))),1,0)</f>
        <v>1</v>
      </c>
      <c r="H357" s="26">
        <f>IF(J357=1,D357-$C$4,0)</f>
        <v>0</v>
      </c>
      <c r="I357" s="26">
        <f t="shared" si="558"/>
        <v>0</v>
      </c>
      <c r="J357" s="24">
        <f t="shared" si="567"/>
        <v>0</v>
      </c>
      <c r="K357" s="26">
        <f>VLOOKUP($C357,COS!$B$8:$H$991,2,FALSE)</f>
        <v>4264.8515625</v>
      </c>
      <c r="L357" s="24">
        <f t="shared" si="537"/>
        <v>1</v>
      </c>
      <c r="M357" s="24">
        <f t="shared" si="538"/>
        <v>1</v>
      </c>
      <c r="N357" s="26">
        <f>VLOOKUP($C357,COS!$B$8:$H$991,5,FALSE)</f>
        <v>320.07254028320313</v>
      </c>
      <c r="O357" s="26">
        <f t="shared" si="570"/>
        <v>19.680493386008521</v>
      </c>
      <c r="P357" s="26">
        <f>VLOOKUP($C357,COS!$B$8:$H$991,6,FALSE)</f>
        <v>2099.86279296875</v>
      </c>
      <c r="Q357" s="26">
        <f t="shared" si="571"/>
        <v>129.1155304106405</v>
      </c>
      <c r="R357" s="26">
        <f>MIN(IF(MONTH($C357)=4,$S$3,IF(MONTH($C357)=5,$S$4,IF(MONTH($C357)=6,$S$5,IF(MONTH($C357)=7,$S$6,"ERROR")))),MAX(VLOOKUP($C357,COS!$B$8:$K$991,10,FALSE)-IF(MONTH($C357)=4,$Y$3,IF(MONTH($C357)=5,$Y$4,IF(MONTH($C357)=6,$Y$5,IF(MONTH($C357)=7,$Y$6,"ERROR")))),0),MAX(VLOOKUP($C357,COS!$B$8:$K$991,9,FALSE)-IF(MONTH($C357)=4,$V$3,IF(MONTH($C357)=5,$V$4,IF(MONTH($C357)=6,$V$5,IF(MONTH($C357)=7,$V$6,"ERROR"))))-VLOOKUP($C357,COS!$B$8:$K$991,6,FALSE)/2,0))</f>
        <v>0</v>
      </c>
      <c r="S357" s="26">
        <f t="shared" si="572"/>
        <v>0</v>
      </c>
      <c r="T357" s="26">
        <f t="shared" si="573"/>
        <v>74.398011898324512</v>
      </c>
      <c r="U357" s="26" t="str">
        <f>IF(VLOOKUP($C357,COS!$B$8:$I$991,8,FALSE)=1,"UWFE","IBU")</f>
        <v>UWFE</v>
      </c>
      <c r="V357" s="26">
        <f t="shared" ref="V357" si="575">MIN(IF(IF($AA$3=2,AND(E357=1,G357=1,L357=1,L361=1,M357=1,U357="IBU"),AND(E357=1,G357=1,L357=1,L361=1,M357=1)),T357,0),I357)</f>
        <v>0</v>
      </c>
      <c r="W357" s="26"/>
      <c r="X357" s="26"/>
      <c r="Y357" s="26"/>
      <c r="Z357" s="26"/>
      <c r="AA357" s="26"/>
      <c r="AB357" s="33"/>
    </row>
    <row r="358" spans="1:28" x14ac:dyDescent="0.3">
      <c r="A358" s="32">
        <f>VLOOKUP(YEAR(C358),Flags!$A$13:$B$95,2,FALSE)</f>
        <v>4</v>
      </c>
      <c r="B358" s="24">
        <f t="shared" si="535"/>
        <v>1960</v>
      </c>
      <c r="C358" s="25">
        <v>22097</v>
      </c>
      <c r="D358" s="26">
        <f>VLOOKUP($C358,COS!$B$8:$H$991,3,FALSE)</f>
        <v>13233.97265625</v>
      </c>
      <c r="E358" s="24">
        <f>IF(D358&gt;=IF(MONTH($C358)=4,$C$3,IF(MONTH($C358)=5,$C$4,IF(MONTH($C358)=6,$C$5,IF(MONTH($C358)=7,$C$6,"ERROR")))),1,0)</f>
        <v>1</v>
      </c>
      <c r="F358" s="26">
        <f>VLOOKUP($C358,COS!$B$8:$H$991,7,FALSE)</f>
        <v>51.440536499023438</v>
      </c>
      <c r="G358" s="24">
        <f>IF(F358&lt;=IF(MONTH($C358)=4,$F$3,IF(MONTH($C358)=5,$F$4,IF(MONTH($C358)=6,$F$5,IF(MONTH($C358)=7,$F$6,"ERROR")))),1,0)</f>
        <v>1</v>
      </c>
      <c r="H358" s="26">
        <f>IF(J358=1,D358-$C$5,0)</f>
        <v>3233.97265625</v>
      </c>
      <c r="I358" s="26">
        <f t="shared" si="558"/>
        <v>192.43473657024794</v>
      </c>
      <c r="J358" s="24">
        <f t="shared" si="567"/>
        <v>1</v>
      </c>
      <c r="K358" s="26">
        <f>VLOOKUP($C358,COS!$B$8:$H$991,2,FALSE)</f>
        <v>3735.558837890625</v>
      </c>
      <c r="L358" s="24">
        <f t="shared" si="537"/>
        <v>1</v>
      </c>
      <c r="M358" s="24">
        <f t="shared" si="538"/>
        <v>1</v>
      </c>
      <c r="N358" s="26">
        <f>VLOOKUP($C358,COS!$B$8:$H$991,5,FALSE)</f>
        <v>457.70184326171875</v>
      </c>
      <c r="O358" s="26">
        <f t="shared" si="570"/>
        <v>27.2351510040031</v>
      </c>
      <c r="P358" s="26">
        <f>VLOOKUP($C358,COS!$B$8:$H$991,6,FALSE)</f>
        <v>2712.6806640625</v>
      </c>
      <c r="Q358" s="26">
        <f t="shared" si="571"/>
        <v>161.41570893595042</v>
      </c>
      <c r="R358" s="26">
        <f>MIN(IF(MONTH($C358)=4,$S$3,IF(MONTH($C358)=5,$S$4,IF(MONTH($C358)=6,$S$5,IF(MONTH($C358)=7,$S$6,"ERROR")))),MAX(VLOOKUP($C358,COS!$B$8:$K$991,10,FALSE)-IF(MONTH($C358)=4,$Y$3,IF(MONTH($C358)=5,$Y$4,IF(MONTH($C358)=6,$Y$5,IF(MONTH($C358)=7,$Y$6,"ERROR")))),0),MAX(VLOOKUP($C358,COS!$B$8:$K$991,9,FALSE)-IF(MONTH($C358)=4,$V$3,IF(MONTH($C358)=5,$V$4,IF(MONTH($C358)=6,$V$5,IF(MONTH($C358)=7,$V$6,"ERROR"))))-VLOOKUP($C358,COS!$B$8:$K$991,6,FALSE)/2,0))</f>
        <v>0</v>
      </c>
      <c r="S358" s="26">
        <f t="shared" si="572"/>
        <v>0</v>
      </c>
      <c r="T358" s="26">
        <f t="shared" si="573"/>
        <v>94.325429969976767</v>
      </c>
      <c r="U358" s="26" t="str">
        <f>IF(VLOOKUP($C358,COS!$B$8:$I$991,8,FALSE)=1,"UWFE","IBU")</f>
        <v>IBU</v>
      </c>
      <c r="V358" s="26">
        <f t="shared" ref="V358" si="576">MIN(IF(IF($AA$3=2,AND(E358=1,G358=1,L358=1,L361=1,M358=1,U358="IBU"),AND(E358=1,G358=1,L358=1,L361=1,M358=1)),T358,0),I358)</f>
        <v>94.325429969976767</v>
      </c>
      <c r="W358" s="26"/>
      <c r="X358" s="26"/>
      <c r="Y358" s="26"/>
      <c r="Z358" s="26"/>
      <c r="AA358" s="26"/>
      <c r="AB358" s="33"/>
    </row>
    <row r="359" spans="1:28" x14ac:dyDescent="0.3">
      <c r="A359" s="32">
        <f>VLOOKUP(YEAR(C359),Flags!$A$13:$B$95,2,FALSE)</f>
        <v>4</v>
      </c>
      <c r="B359" s="24">
        <f t="shared" si="535"/>
        <v>1960</v>
      </c>
      <c r="C359" s="25">
        <v>22128</v>
      </c>
      <c r="D359" s="26">
        <f>VLOOKUP($C359,COS!$B$8:$H$991,3,FALSE)</f>
        <v>13995.5498046875</v>
      </c>
      <c r="E359" s="24">
        <f>IF(D359&gt;=IF(MONTH($C359)=4,$C$3,IF(MONTH($C359)=5,$C$4,IF(MONTH($C359)=6,$C$5,IF(MONTH($C359)=7,$C$6,"ERROR")))),1,0)</f>
        <v>1</v>
      </c>
      <c r="F359" s="26">
        <f>VLOOKUP($C359,COS!$B$8:$H$991,7,FALSE)</f>
        <v>52.7860107421875</v>
      </c>
      <c r="G359" s="24">
        <f>IF(F359&lt;=IF(MONTH($C359)=4,$F$3,IF(MONTH($C359)=5,$F$4,IF(MONTH($C359)=6,$F$5,IF(MONTH($C359)=7,$F$6,"ERROR")))),1,0)</f>
        <v>1</v>
      </c>
      <c r="H359" s="26">
        <f>IF(J359=1,D359-$C$6,0)</f>
        <v>1995.5498046875</v>
      </c>
      <c r="I359" s="26">
        <f t="shared" si="558"/>
        <v>122.70157476756198</v>
      </c>
      <c r="J359" s="24">
        <f t="shared" si="567"/>
        <v>1</v>
      </c>
      <c r="K359" s="26">
        <f>VLOOKUP($C359,COS!$B$8:$H$991,2,FALSE)</f>
        <v>3174.995361328125</v>
      </c>
      <c r="L359" s="24">
        <f t="shared" si="537"/>
        <v>1</v>
      </c>
      <c r="M359" s="24">
        <f t="shared" si="538"/>
        <v>1</v>
      </c>
      <c r="N359" s="26">
        <f>VLOOKUP($C359,COS!$B$8:$H$991,5,FALSE)</f>
        <v>499.1810302734375</v>
      </c>
      <c r="O359" s="26">
        <f t="shared" si="570"/>
        <v>30.69344516722624</v>
      </c>
      <c r="P359" s="26">
        <f>VLOOKUP($C359,COS!$B$8:$H$991,6,FALSE)</f>
        <v>2441.261474609375</v>
      </c>
      <c r="Q359" s="26">
        <f t="shared" si="571"/>
        <v>150.10731711647728</v>
      </c>
      <c r="R359" s="26">
        <f>MIN(IF(MONTH($C359)=4,$S$3,IF(MONTH($C359)=5,$S$4,IF(MONTH($C359)=6,$S$5,IF(MONTH($C359)=7,$S$6,"ERROR")))),MAX(VLOOKUP($C359,COS!$B$8:$K$991,10,FALSE)-IF(MONTH($C359)=4,$Y$3,IF(MONTH($C359)=5,$Y$4,IF(MONTH($C359)=6,$Y$5,IF(MONTH($C359)=7,$Y$6,"ERROR")))),0),MAX(VLOOKUP($C359,COS!$B$8:$K$991,9,FALSE)-IF(MONTH($C359)=4,$V$3,IF(MONTH($C359)=5,$V$4,IF(MONTH($C359)=6,$V$5,IF(MONTH($C359)=7,$V$6,"ERROR"))))-VLOOKUP($C359,COS!$B$8:$K$991,6,FALSE)/2,0))</f>
        <v>0</v>
      </c>
      <c r="S359" s="26">
        <f t="shared" si="572"/>
        <v>0</v>
      </c>
      <c r="T359" s="26">
        <f t="shared" si="573"/>
        <v>90.400381141851753</v>
      </c>
      <c r="U359" s="26" t="str">
        <f>IF(VLOOKUP($C359,COS!$B$8:$I$991,8,FALSE)=1,"UWFE","IBU")</f>
        <v>IBU</v>
      </c>
      <c r="V359" s="26">
        <f t="shared" ref="V359" si="577">MIN(IF(IF($AA$3=2,AND(E359=1,G359=1,L359=1,L361=1,M359=1,U359="IBU"),AND(E359=1,G359=1,L359=1,L361=1,M359=1)),T359,0),I359)</f>
        <v>90.400381141851753</v>
      </c>
      <c r="W359" s="26"/>
      <c r="X359" s="26"/>
      <c r="Y359" s="26"/>
      <c r="Z359" s="26"/>
      <c r="AA359" s="26"/>
      <c r="AB359" s="33"/>
    </row>
    <row r="360" spans="1:28" x14ac:dyDescent="0.3">
      <c r="A360" s="32">
        <f>VLOOKUP(YEAR(C360),Flags!$A$13:$B$95,2,FALSE)</f>
        <v>4</v>
      </c>
      <c r="B360" s="24">
        <f t="shared" si="535"/>
        <v>1960</v>
      </c>
      <c r="C360" s="25">
        <v>22159</v>
      </c>
      <c r="D360" s="26"/>
      <c r="E360" s="24"/>
      <c r="F360" s="26"/>
      <c r="G360" s="24"/>
      <c r="H360" s="24"/>
      <c r="I360" s="26"/>
      <c r="J360" s="24"/>
      <c r="K360" s="26"/>
      <c r="L360" s="24"/>
      <c r="M360" s="24"/>
      <c r="N360" s="26"/>
      <c r="O360" s="26"/>
      <c r="P360" s="26"/>
      <c r="Q360" s="26"/>
      <c r="R360" s="26"/>
      <c r="S360" s="26"/>
      <c r="T360" s="26"/>
      <c r="U360" s="26"/>
      <c r="V360" s="26"/>
      <c r="W360" s="26">
        <f>MAX($C$7-VLOOKUP($C360,COS!$B$8:$H$991,3,FALSE),0)</f>
        <v>90376.2197265625</v>
      </c>
      <c r="X360" s="26">
        <f t="shared" si="562"/>
        <v>5557.0171468233475</v>
      </c>
      <c r="Y360" s="26">
        <f>VLOOKUP($C360,COS!$B$8:$H$991,4,FALSE)</f>
        <v>1283.5350341796875</v>
      </c>
      <c r="Z360" s="26">
        <f t="shared" si="563"/>
        <v>78.921493010717967</v>
      </c>
      <c r="AA360" s="26">
        <f t="shared" ref="AA360:AA364" si="578">MIN(W360,Y360)</f>
        <v>1283.5350341796875</v>
      </c>
      <c r="AB360" s="33">
        <f t="shared" ref="AB360" si="579">AA360*DAY($C360)*86400/43560/1000*IF(MONTH($C360)=8,$P$3,IF(MONTH($C360)=9,$P$4,IF(MONTH($C360)=10,$P$5,IF(MONTH($C360)=11,$P$6,IF(MONTH($C360)=12,$P$7,NA())))))</f>
        <v>78.921493010717967</v>
      </c>
    </row>
    <row r="361" spans="1:28" x14ac:dyDescent="0.3">
      <c r="A361" s="32">
        <f>VLOOKUP(YEAR(C361),Flags!$A$13:$B$95,2,FALSE)</f>
        <v>4</v>
      </c>
      <c r="B361" s="24">
        <f t="shared" si="535"/>
        <v>1960</v>
      </c>
      <c r="C361" s="25">
        <v>22189</v>
      </c>
      <c r="D361" s="26"/>
      <c r="E361" s="24"/>
      <c r="F361" s="26"/>
      <c r="G361" s="24"/>
      <c r="H361" s="24"/>
      <c r="I361" s="26"/>
      <c r="J361" s="24"/>
      <c r="K361" s="26">
        <f>VLOOKUP($C361,COS!$B$8:$H$991,2,FALSE)</f>
        <v>2747.35986328125</v>
      </c>
      <c r="L361" s="24">
        <f t="shared" ref="L361" si="580">IF(AND(K361&gt;$I$7,K361&lt;$I$8),1,0)</f>
        <v>1</v>
      </c>
      <c r="M361" s="24"/>
      <c r="N361" s="26"/>
      <c r="O361" s="26"/>
      <c r="P361" s="26"/>
      <c r="Q361" s="26"/>
      <c r="R361" s="26"/>
      <c r="S361" s="26"/>
      <c r="T361" s="26"/>
      <c r="U361" s="26"/>
      <c r="V361" s="26"/>
      <c r="W361" s="26">
        <f>MAX($C$8-VLOOKUP($C361,COS!$B$8:$H$991,3,FALSE),0)</f>
        <v>93859.93212890625</v>
      </c>
      <c r="X361" s="26">
        <f t="shared" si="562"/>
        <v>5585.0538126291322</v>
      </c>
      <c r="Y361" s="26">
        <f>VLOOKUP($C361,COS!$B$8:$H$991,4,FALSE)</f>
        <v>1185.9482421875</v>
      </c>
      <c r="Z361" s="26">
        <f t="shared" si="563"/>
        <v>70.568821022727278</v>
      </c>
      <c r="AA361" s="26">
        <f t="shared" si="578"/>
        <v>1185.9482421875</v>
      </c>
      <c r="AB361" s="33">
        <f t="shared" si="548"/>
        <v>70.568821022727278</v>
      </c>
    </row>
    <row r="362" spans="1:28" x14ac:dyDescent="0.3">
      <c r="A362" s="32">
        <f>VLOOKUP(YEAR(C362),Flags!$A$13:$B$95,2,FALSE)</f>
        <v>4</v>
      </c>
      <c r="B362" s="24">
        <f t="shared" si="535"/>
        <v>1960</v>
      </c>
      <c r="C362" s="25">
        <v>22220</v>
      </c>
      <c r="D362" s="26"/>
      <c r="E362" s="24"/>
      <c r="F362" s="26"/>
      <c r="G362" s="26"/>
      <c r="H362" s="26"/>
      <c r="I362" s="26"/>
      <c r="J362" s="26"/>
      <c r="K362" s="26"/>
      <c r="L362" s="24"/>
      <c r="M362" s="24"/>
      <c r="N362" s="26"/>
      <c r="O362" s="26"/>
      <c r="P362" s="26"/>
      <c r="Q362" s="26"/>
      <c r="R362" s="26"/>
      <c r="S362" s="26"/>
      <c r="T362" s="26"/>
      <c r="U362" s="26"/>
      <c r="V362" s="26"/>
      <c r="W362" s="26">
        <f>MAX($C$9-VLOOKUP($C362,COS!$B$8:$H$991,3,FALSE),0)</f>
        <v>93911.3974609375</v>
      </c>
      <c r="X362" s="26">
        <f t="shared" si="562"/>
        <v>5774.3867529700419</v>
      </c>
      <c r="Y362" s="26">
        <f>VLOOKUP($C362,COS!$B$8:$H$991,4,FALSE)</f>
        <v>1660.7847900390625</v>
      </c>
      <c r="Z362" s="26">
        <f t="shared" si="563"/>
        <v>102.11767634620351</v>
      </c>
      <c r="AA362" s="26">
        <f t="shared" si="578"/>
        <v>1660.7847900390625</v>
      </c>
      <c r="AB362" s="33">
        <f t="shared" si="548"/>
        <v>102.11767634620351</v>
      </c>
    </row>
    <row r="363" spans="1:28" x14ac:dyDescent="0.3">
      <c r="A363" s="32">
        <f>VLOOKUP(YEAR(C363),Flags!$A$13:$B$95,2,FALSE)</f>
        <v>4</v>
      </c>
      <c r="B363" s="24">
        <f t="shared" si="535"/>
        <v>1960</v>
      </c>
      <c r="C363" s="25">
        <v>22250</v>
      </c>
      <c r="D363" s="26"/>
      <c r="E363" s="24"/>
      <c r="F363" s="26"/>
      <c r="G363" s="26"/>
      <c r="H363" s="26"/>
      <c r="I363" s="26"/>
      <c r="J363" s="26"/>
      <c r="K363" s="26"/>
      <c r="L363" s="24"/>
      <c r="M363" s="24"/>
      <c r="N363" s="26"/>
      <c r="O363" s="26"/>
      <c r="P363" s="26"/>
      <c r="Q363" s="26"/>
      <c r="R363" s="26"/>
      <c r="S363" s="26"/>
      <c r="T363" s="26"/>
      <c r="U363" s="26"/>
      <c r="V363" s="26"/>
      <c r="W363" s="26">
        <f>MAX($C$10-VLOOKUP($C363,COS!$B$8:$H$991,3,FALSE),0)</f>
        <v>96749</v>
      </c>
      <c r="X363" s="26">
        <f t="shared" si="562"/>
        <v>5756.965289256198</v>
      </c>
      <c r="Y363" s="26">
        <f>VLOOKUP($C363,COS!$B$8:$H$991,4,FALSE)</f>
        <v>409.7125244140625</v>
      </c>
      <c r="Z363" s="26">
        <f t="shared" si="563"/>
        <v>24.379588229597108</v>
      </c>
      <c r="AA363" s="26">
        <f t="shared" si="578"/>
        <v>409.7125244140625</v>
      </c>
      <c r="AB363" s="33">
        <f t="shared" si="548"/>
        <v>12.189794114798554</v>
      </c>
    </row>
    <row r="364" spans="1:28" x14ac:dyDescent="0.3">
      <c r="A364" s="34">
        <f>VLOOKUP(YEAR(C364),Flags!$A$13:$B$95,2,FALSE)</f>
        <v>4</v>
      </c>
      <c r="B364" s="35">
        <f t="shared" si="535"/>
        <v>1960</v>
      </c>
      <c r="C364" s="36">
        <v>22281</v>
      </c>
      <c r="D364" s="37"/>
      <c r="E364" s="35"/>
      <c r="F364" s="37"/>
      <c r="G364" s="37"/>
      <c r="H364" s="37"/>
      <c r="I364" s="37"/>
      <c r="J364" s="37"/>
      <c r="K364" s="37"/>
      <c r="L364" s="35"/>
      <c r="M364" s="35"/>
      <c r="N364" s="37"/>
      <c r="O364" s="37"/>
      <c r="P364" s="37"/>
      <c r="Q364" s="37"/>
      <c r="R364" s="37"/>
      <c r="S364" s="37"/>
      <c r="T364" s="37"/>
      <c r="U364" s="37"/>
      <c r="V364" s="37"/>
      <c r="W364" s="37">
        <f>MAX($C$11-VLOOKUP($C364,COS!$B$8:$H$991,3,FALSE),0)</f>
        <v>0</v>
      </c>
      <c r="X364" s="37">
        <f t="shared" si="562"/>
        <v>0</v>
      </c>
      <c r="Y364" s="37">
        <f>VLOOKUP($C364,COS!$B$8:$H$991,4,FALSE)</f>
        <v>2387.1279296875</v>
      </c>
      <c r="Z364" s="37">
        <f t="shared" si="563"/>
        <v>146.77877518078512</v>
      </c>
      <c r="AA364" s="37">
        <f t="shared" si="578"/>
        <v>0</v>
      </c>
      <c r="AB364" s="38">
        <f t="shared" si="548"/>
        <v>0</v>
      </c>
    </row>
    <row r="365" spans="1:28" x14ac:dyDescent="0.3">
      <c r="A365" s="27">
        <f>VLOOKUP(YEAR(C365),Flags!$A$13:$B$95,2,FALSE)</f>
        <v>4</v>
      </c>
      <c r="B365" s="28">
        <f t="shared" si="535"/>
        <v>1961</v>
      </c>
      <c r="C365" s="29">
        <v>22401</v>
      </c>
      <c r="D365" s="30">
        <f>VLOOKUP($C365,COS!$B$8:$H$991,3,FALSE)</f>
        <v>3330.927978515625</v>
      </c>
      <c r="E365" s="28">
        <f>IF(D365&gt;=IF(MONTH($C365)=4,$C$3,IF(MONTH($C365)=5,$C$4,IF(MONTH($C365)=6,$C$5,IF(MONTH($C365)=7,$C$6,"ERROR")))),1,0)</f>
        <v>0</v>
      </c>
      <c r="F365" s="30">
        <f>VLOOKUP($C365,COS!$B$8:$H$991,7,FALSE)</f>
        <v>51.26251220703125</v>
      </c>
      <c r="G365" s="28">
        <f>IF(F365&lt;=IF(MONTH($C365)=4,$F$3,IF(MONTH($C365)=5,$F$4,IF(MONTH($C365)=6,$F$5,IF(MONTH($C365)=7,$F$6,"ERROR")))),1,0)</f>
        <v>1</v>
      </c>
      <c r="H365" s="30">
        <f>IF(J365=1,D365-$C$3,0)</f>
        <v>0</v>
      </c>
      <c r="I365" s="30">
        <f t="shared" si="558"/>
        <v>0</v>
      </c>
      <c r="J365" s="28">
        <f t="shared" ref="J365:J368" si="581">IF(AND(E365=1,G365=1),1,0)</f>
        <v>0</v>
      </c>
      <c r="K365" s="30">
        <f>VLOOKUP($C365,COS!$B$8:$H$991,2,FALSE)</f>
        <v>4552</v>
      </c>
      <c r="L365" s="28">
        <f t="shared" ref="L365" si="582">IF(K365&lt;=IF(MONTH($C365)=4,$I$3,IF(MONTH($C365)=5,$I$4,IF(MONTH($C365)=6,$I$5,IF(MONTH($C365)=7,$I$6,"ERROR")))),1,0)</f>
        <v>1</v>
      </c>
      <c r="M365" s="28">
        <f t="shared" ref="M365" si="583">VLOOKUP($A365,$L$3:$M$7,2,FALSE)</f>
        <v>1</v>
      </c>
      <c r="N365" s="30">
        <f>VLOOKUP($C365,COS!$B$8:$H$991,5,FALSE)</f>
        <v>224.14614868164063</v>
      </c>
      <c r="O365" s="30">
        <f t="shared" ref="O365:O368" si="584">N365*DAY($C365)*86400/43560/1000</f>
        <v>13.3376220703125</v>
      </c>
      <c r="P365" s="30">
        <f>VLOOKUP($C365,COS!$B$8:$H$991,6,FALSE)</f>
        <v>461.4332275390625</v>
      </c>
      <c r="Q365" s="30">
        <f t="shared" ref="Q365:Q368" si="585">P365*DAY($C365)*86400/43560/1000</f>
        <v>27.457183787448347</v>
      </c>
      <c r="R365" s="30">
        <f>MIN(IF(MONTH($C365)=4,$S$3,IF(MONTH($C365)=5,$S$4,IF(MONTH($C365)=6,$S$5,IF(MONTH($C365)=7,$S$6,"ERROR")))),MAX(VLOOKUP($C365,COS!$B$8:$K$991,10,FALSE)-IF(MONTH($C365)=4,$Y$3,IF(MONTH($C365)=5,$Y$4,IF(MONTH($C365)=6,$Y$5,IF(MONTH($C365)=7,$Y$6,"ERROR")))),0),MAX(VLOOKUP($C365,COS!$B$8:$K$991,9,FALSE)-IF(MONTH($C365)=4,$V$3,IF(MONTH($C365)=5,$V$4,IF(MONTH($C365)=6,$V$5,IF(MONTH($C365)=7,$V$6,"ERROR"))))-VLOOKUP($C365,COS!$B$8:$K$991,6,FALSE)/2,0))</f>
        <v>0</v>
      </c>
      <c r="S365" s="30">
        <f t="shared" ref="S365:S368" si="586">R365*DAY($C365)*86400/43560/1000</f>
        <v>0</v>
      </c>
      <c r="T365" s="30">
        <f t="shared" ref="T365:T368" si="587">(O365+Q365)/2+S365</f>
        <v>20.397402928880425</v>
      </c>
      <c r="U365" s="30" t="str">
        <f>IF(VLOOKUP($C365,COS!$B$8:$I$991,8,FALSE)=1,"UWFE","IBU")</f>
        <v>UWFE</v>
      </c>
      <c r="V365" s="30">
        <f t="shared" ref="V365" si="588">MIN(IF(IF($AA$3=2,AND(E365=1,G365=1,L365=1,L370=1,M365=1,U365="IBU"),AND(E365=1,G365=1,L365=1,L370=1,M365=1)),T365,0),I365)</f>
        <v>0</v>
      </c>
      <c r="W365" s="30"/>
      <c r="X365" s="30"/>
      <c r="Y365" s="30"/>
      <c r="Z365" s="30"/>
      <c r="AA365" s="30"/>
      <c r="AB365" s="31"/>
    </row>
    <row r="366" spans="1:28" x14ac:dyDescent="0.3">
      <c r="A366" s="32">
        <f>VLOOKUP(YEAR(C366),Flags!$A$13:$B$95,2,FALSE)</f>
        <v>4</v>
      </c>
      <c r="B366" s="24">
        <f t="shared" si="535"/>
        <v>1961</v>
      </c>
      <c r="C366" s="25">
        <v>22432</v>
      </c>
      <c r="D366" s="26">
        <f>VLOOKUP($C366,COS!$B$8:$H$991,3,FALSE)</f>
        <v>7787.1884765625</v>
      </c>
      <c r="E366" s="24">
        <f>IF(D366&gt;=IF(MONTH($C366)=4,$C$3,IF(MONTH($C366)=5,$C$4,IF(MONTH($C366)=6,$C$5,IF(MONTH($C366)=7,$C$6,"ERROR")))),1,0)</f>
        <v>1</v>
      </c>
      <c r="F366" s="26">
        <f>VLOOKUP($C366,COS!$B$8:$H$991,7,FALSE)</f>
        <v>50.240604400634766</v>
      </c>
      <c r="G366" s="24">
        <f>IF(F366&lt;=IF(MONTH($C366)=4,$F$3,IF(MONTH($C366)=5,$F$4,IF(MONTH($C366)=6,$F$5,IF(MONTH($C366)=7,$F$6,"ERROR")))),1,0)</f>
        <v>1</v>
      </c>
      <c r="H366" s="26">
        <f>IF(J366=1,D366-$C$4,0)</f>
        <v>1787.1884765625</v>
      </c>
      <c r="I366" s="26">
        <f t="shared" si="558"/>
        <v>109.88993607954545</v>
      </c>
      <c r="J366" s="24">
        <f t="shared" si="581"/>
        <v>1</v>
      </c>
      <c r="K366" s="26">
        <f>VLOOKUP($C366,COS!$B$8:$H$991,2,FALSE)</f>
        <v>4502.27978515625</v>
      </c>
      <c r="L366" s="24">
        <f t="shared" si="537"/>
        <v>1</v>
      </c>
      <c r="M366" s="24">
        <f t="shared" si="538"/>
        <v>1</v>
      </c>
      <c r="N366" s="26">
        <f>VLOOKUP($C366,COS!$B$8:$H$991,5,FALSE)</f>
        <v>270.762451171875</v>
      </c>
      <c r="O366" s="26">
        <f t="shared" si="584"/>
        <v>16.648534187758266</v>
      </c>
      <c r="P366" s="26">
        <f>VLOOKUP($C366,COS!$B$8:$H$991,6,FALSE)</f>
        <v>2241.916259765625</v>
      </c>
      <c r="Q366" s="26">
        <f t="shared" si="585"/>
        <v>137.85005762525824</v>
      </c>
      <c r="R366" s="26">
        <f>MIN(IF(MONTH($C366)=4,$S$3,IF(MONTH($C366)=5,$S$4,IF(MONTH($C366)=6,$S$5,IF(MONTH($C366)=7,$S$6,"ERROR")))),MAX(VLOOKUP($C366,COS!$B$8:$K$991,10,FALSE)-IF(MONTH($C366)=4,$Y$3,IF(MONTH($C366)=5,$Y$4,IF(MONTH($C366)=6,$Y$5,IF(MONTH($C366)=7,$Y$6,"ERROR")))),0),MAX(VLOOKUP($C366,COS!$B$8:$K$991,9,FALSE)-IF(MONTH($C366)=4,$V$3,IF(MONTH($C366)=5,$V$4,IF(MONTH($C366)=6,$V$5,IF(MONTH($C366)=7,$V$6,"ERROR"))))-VLOOKUP($C366,COS!$B$8:$K$991,6,FALSE)/2,0))</f>
        <v>0</v>
      </c>
      <c r="S366" s="26">
        <f t="shared" si="586"/>
        <v>0</v>
      </c>
      <c r="T366" s="26">
        <f t="shared" si="587"/>
        <v>77.249295906508252</v>
      </c>
      <c r="U366" s="26" t="str">
        <f>IF(VLOOKUP($C366,COS!$B$8:$I$991,8,FALSE)=1,"UWFE","IBU")</f>
        <v>UWFE</v>
      </c>
      <c r="V366" s="26">
        <f t="shared" ref="V366" si="589">MIN(IF(IF($AA$3=2,AND(E366=1,G366=1,L366=1,L370=1,M366=1,U366="IBU"),AND(E366=1,G366=1,L366=1,L370=1,M366=1)),T366,0),I366)</f>
        <v>0</v>
      </c>
      <c r="W366" s="26"/>
      <c r="X366" s="26"/>
      <c r="Y366" s="26"/>
      <c r="Z366" s="26"/>
      <c r="AA366" s="26"/>
      <c r="AB366" s="33"/>
    </row>
    <row r="367" spans="1:28" x14ac:dyDescent="0.3">
      <c r="A367" s="32">
        <f>VLOOKUP(YEAR(C367),Flags!$A$13:$B$95,2,FALSE)</f>
        <v>4</v>
      </c>
      <c r="B367" s="24">
        <f t="shared" si="535"/>
        <v>1961</v>
      </c>
      <c r="C367" s="25">
        <v>22462</v>
      </c>
      <c r="D367" s="26">
        <f>VLOOKUP($C367,COS!$B$8:$H$991,3,FALSE)</f>
        <v>10063.0751953125</v>
      </c>
      <c r="E367" s="24">
        <f>IF(D367&gt;=IF(MONTH($C367)=4,$C$3,IF(MONTH($C367)=5,$C$4,IF(MONTH($C367)=6,$C$5,IF(MONTH($C367)=7,$C$6,"ERROR")))),1,0)</f>
        <v>1</v>
      </c>
      <c r="F367" s="26">
        <f>VLOOKUP($C367,COS!$B$8:$H$991,7,FALSE)</f>
        <v>51.530010223388672</v>
      </c>
      <c r="G367" s="24">
        <f>IF(F367&lt;=IF(MONTH($C367)=4,$F$3,IF(MONTH($C367)=5,$F$4,IF(MONTH($C367)=6,$F$5,IF(MONTH($C367)=7,$F$6,"ERROR")))),1,0)</f>
        <v>1</v>
      </c>
      <c r="H367" s="26">
        <f>IF(J367=1,D367-$C$5,0)</f>
        <v>63.0751953125</v>
      </c>
      <c r="I367" s="26">
        <f t="shared" si="558"/>
        <v>3.7532347623966942</v>
      </c>
      <c r="J367" s="24">
        <f t="shared" si="581"/>
        <v>1</v>
      </c>
      <c r="K367" s="26">
        <f>VLOOKUP($C367,COS!$B$8:$H$991,2,FALSE)</f>
        <v>4143.28564453125</v>
      </c>
      <c r="L367" s="24">
        <f t="shared" si="537"/>
        <v>1</v>
      </c>
      <c r="M367" s="24">
        <f t="shared" si="538"/>
        <v>1</v>
      </c>
      <c r="N367" s="26">
        <f>VLOOKUP($C367,COS!$B$8:$H$991,5,FALSE)</f>
        <v>520.3306884765625</v>
      </c>
      <c r="O367" s="26">
        <f t="shared" si="584"/>
        <v>30.961826091167357</v>
      </c>
      <c r="P367" s="26">
        <f>VLOOKUP($C367,COS!$B$8:$H$991,6,FALSE)</f>
        <v>2605.465576171875</v>
      </c>
      <c r="Q367" s="26">
        <f t="shared" si="585"/>
        <v>155.03596816890496</v>
      </c>
      <c r="R367" s="26">
        <f>MIN(IF(MONTH($C367)=4,$S$3,IF(MONTH($C367)=5,$S$4,IF(MONTH($C367)=6,$S$5,IF(MONTH($C367)=7,$S$6,"ERROR")))),MAX(VLOOKUP($C367,COS!$B$8:$K$991,10,FALSE)-IF(MONTH($C367)=4,$Y$3,IF(MONTH($C367)=5,$Y$4,IF(MONTH($C367)=6,$Y$5,IF(MONTH($C367)=7,$Y$6,"ERROR")))),0),MAX(VLOOKUP($C367,COS!$B$8:$K$991,9,FALSE)-IF(MONTH($C367)=4,$V$3,IF(MONTH($C367)=5,$V$4,IF(MONTH($C367)=6,$V$5,IF(MONTH($C367)=7,$V$6,"ERROR"))))-VLOOKUP($C367,COS!$B$8:$K$991,6,FALSE)/2,0))</f>
        <v>0</v>
      </c>
      <c r="S367" s="26">
        <f t="shared" si="586"/>
        <v>0</v>
      </c>
      <c r="T367" s="26">
        <f t="shared" si="587"/>
        <v>92.998897130036156</v>
      </c>
      <c r="U367" s="26" t="str">
        <f>IF(VLOOKUP($C367,COS!$B$8:$I$991,8,FALSE)=1,"UWFE","IBU")</f>
        <v>IBU</v>
      </c>
      <c r="V367" s="26">
        <f t="shared" ref="V367" si="590">MIN(IF(IF($AA$3=2,AND(E367=1,G367=1,L367=1,L370=1,M367=1,U367="IBU"),AND(E367=1,G367=1,L367=1,L370=1,M367=1)),T367,0),I367)</f>
        <v>3.7532347623966942</v>
      </c>
      <c r="W367" s="26"/>
      <c r="X367" s="26"/>
      <c r="Y367" s="26"/>
      <c r="Z367" s="26"/>
      <c r="AA367" s="26"/>
      <c r="AB367" s="33"/>
    </row>
    <row r="368" spans="1:28" x14ac:dyDescent="0.3">
      <c r="A368" s="32">
        <f>VLOOKUP(YEAR(C368),Flags!$A$13:$B$95,2,FALSE)</f>
        <v>4</v>
      </c>
      <c r="B368" s="24">
        <f t="shared" si="535"/>
        <v>1961</v>
      </c>
      <c r="C368" s="25">
        <v>22493</v>
      </c>
      <c r="D368" s="26">
        <f>VLOOKUP($C368,COS!$B$8:$H$991,3,FALSE)</f>
        <v>16000</v>
      </c>
      <c r="E368" s="24">
        <f>IF(D368&gt;=IF(MONTH($C368)=4,$C$3,IF(MONTH($C368)=5,$C$4,IF(MONTH($C368)=6,$C$5,IF(MONTH($C368)=7,$C$6,"ERROR")))),1,0)</f>
        <v>1</v>
      </c>
      <c r="F368" s="26">
        <f>VLOOKUP($C368,COS!$B$8:$H$991,7,FALSE)</f>
        <v>51.374370574951172</v>
      </c>
      <c r="G368" s="24">
        <f>IF(F368&lt;=IF(MONTH($C368)=4,$F$3,IF(MONTH($C368)=5,$F$4,IF(MONTH($C368)=6,$F$5,IF(MONTH($C368)=7,$F$6,"ERROR")))),1,0)</f>
        <v>1</v>
      </c>
      <c r="H368" s="26">
        <f>IF(J368=1,D368-$C$6,0)</f>
        <v>4000</v>
      </c>
      <c r="I368" s="26">
        <f t="shared" si="558"/>
        <v>245.95041322314049</v>
      </c>
      <c r="J368" s="24">
        <f t="shared" si="581"/>
        <v>1</v>
      </c>
      <c r="K368" s="26">
        <f>VLOOKUP($C368,COS!$B$8:$H$991,2,FALSE)</f>
        <v>3417.93798828125</v>
      </c>
      <c r="L368" s="24">
        <f t="shared" si="537"/>
        <v>1</v>
      </c>
      <c r="M368" s="24">
        <f t="shared" si="538"/>
        <v>1</v>
      </c>
      <c r="N368" s="26">
        <f>VLOOKUP($C368,COS!$B$8:$H$991,5,FALSE)</f>
        <v>610.17608642578125</v>
      </c>
      <c r="O368" s="26">
        <f t="shared" si="584"/>
        <v>37.518265148824895</v>
      </c>
      <c r="P368" s="26">
        <f>VLOOKUP($C368,COS!$B$8:$H$991,6,FALSE)</f>
        <v>2538.07568359375</v>
      </c>
      <c r="Q368" s="26">
        <f t="shared" si="585"/>
        <v>156.06019079287191</v>
      </c>
      <c r="R368" s="26">
        <f>MIN(IF(MONTH($C368)=4,$S$3,IF(MONTH($C368)=5,$S$4,IF(MONTH($C368)=6,$S$5,IF(MONTH($C368)=7,$S$6,"ERROR")))),MAX(VLOOKUP($C368,COS!$B$8:$K$991,10,FALSE)-IF(MONTH($C368)=4,$Y$3,IF(MONTH($C368)=5,$Y$4,IF(MONTH($C368)=6,$Y$5,IF(MONTH($C368)=7,$Y$6,"ERROR")))),0),MAX(VLOOKUP($C368,COS!$B$8:$K$991,9,FALSE)-IF(MONTH($C368)=4,$V$3,IF(MONTH($C368)=5,$V$4,IF(MONTH($C368)=6,$V$5,IF(MONTH($C368)=7,$V$6,"ERROR"))))-VLOOKUP($C368,COS!$B$8:$K$991,6,FALSE)/2,0))</f>
        <v>0</v>
      </c>
      <c r="S368" s="26">
        <f t="shared" si="586"/>
        <v>0</v>
      </c>
      <c r="T368" s="26">
        <f t="shared" si="587"/>
        <v>96.789227970848401</v>
      </c>
      <c r="U368" s="26" t="str">
        <f>IF(VLOOKUP($C368,COS!$B$8:$I$991,8,FALSE)=1,"UWFE","IBU")</f>
        <v>IBU</v>
      </c>
      <c r="V368" s="26">
        <f t="shared" ref="V368" si="591">MIN(IF(IF($AA$3=2,AND(E368=1,G368=1,L368=1,L370=1,M368=1,U368="IBU"),AND(E368=1,G368=1,L368=1,L370=1,M368=1)),T368,0),I368)</f>
        <v>96.789227970848401</v>
      </c>
      <c r="W368" s="26"/>
      <c r="X368" s="26"/>
      <c r="Y368" s="26"/>
      <c r="Z368" s="26"/>
      <c r="AA368" s="26"/>
      <c r="AB368" s="33"/>
    </row>
    <row r="369" spans="1:28" x14ac:dyDescent="0.3">
      <c r="A369" s="32">
        <f>VLOOKUP(YEAR(C369),Flags!$A$13:$B$95,2,FALSE)</f>
        <v>4</v>
      </c>
      <c r="B369" s="24">
        <f t="shared" si="535"/>
        <v>1961</v>
      </c>
      <c r="C369" s="25">
        <v>22524</v>
      </c>
      <c r="D369" s="26"/>
      <c r="E369" s="24"/>
      <c r="F369" s="26"/>
      <c r="G369" s="24"/>
      <c r="H369" s="24"/>
      <c r="I369" s="26"/>
      <c r="J369" s="24"/>
      <c r="K369" s="26"/>
      <c r="L369" s="24"/>
      <c r="M369" s="24"/>
      <c r="N369" s="26"/>
      <c r="O369" s="26"/>
      <c r="P369" s="26"/>
      <c r="Q369" s="26"/>
      <c r="R369" s="26"/>
      <c r="S369" s="26"/>
      <c r="T369" s="26"/>
      <c r="U369" s="26"/>
      <c r="V369" s="26"/>
      <c r="W369" s="26">
        <f>MAX($C$7-VLOOKUP($C369,COS!$B$8:$H$991,3,FALSE),0)</f>
        <v>90140.421875</v>
      </c>
      <c r="X369" s="26">
        <f t="shared" si="562"/>
        <v>5542.5185020661156</v>
      </c>
      <c r="Y369" s="26">
        <f>VLOOKUP($C369,COS!$B$8:$H$991,4,FALSE)</f>
        <v>3366.373779296875</v>
      </c>
      <c r="Z369" s="26">
        <f t="shared" si="563"/>
        <v>206.99025552040288</v>
      </c>
      <c r="AA369" s="26">
        <f t="shared" ref="AA369:AA373" si="592">MIN(W369,Y369)</f>
        <v>3366.373779296875</v>
      </c>
      <c r="AB369" s="33">
        <f t="shared" ref="AB369" si="593">AA369*DAY($C369)*86400/43560/1000*IF(MONTH($C369)=8,$P$3,IF(MONTH($C369)=9,$P$4,IF(MONTH($C369)=10,$P$5,IF(MONTH($C369)=11,$P$6,IF(MONTH($C369)=12,$P$7,NA())))))</f>
        <v>206.99025552040288</v>
      </c>
    </row>
    <row r="370" spans="1:28" x14ac:dyDescent="0.3">
      <c r="A370" s="32">
        <f>VLOOKUP(YEAR(C370),Flags!$A$13:$B$95,2,FALSE)</f>
        <v>4</v>
      </c>
      <c r="B370" s="24">
        <f t="shared" si="535"/>
        <v>1961</v>
      </c>
      <c r="C370" s="25">
        <v>22554</v>
      </c>
      <c r="D370" s="26"/>
      <c r="E370" s="24"/>
      <c r="F370" s="26"/>
      <c r="G370" s="24"/>
      <c r="H370" s="24"/>
      <c r="I370" s="26"/>
      <c r="J370" s="24"/>
      <c r="K370" s="26">
        <f>VLOOKUP($C370,COS!$B$8:$H$991,2,FALSE)</f>
        <v>3030.294189453125</v>
      </c>
      <c r="L370" s="24">
        <f t="shared" ref="L370" si="594">IF(AND(K370&gt;$I$7,K370&lt;$I$8),1,0)</f>
        <v>1</v>
      </c>
      <c r="M370" s="24"/>
      <c r="N370" s="26"/>
      <c r="O370" s="26"/>
      <c r="P370" s="26"/>
      <c r="Q370" s="26"/>
      <c r="R370" s="26"/>
      <c r="S370" s="26"/>
      <c r="T370" s="26"/>
      <c r="U370" s="26"/>
      <c r="V370" s="26"/>
      <c r="W370" s="26">
        <f>MAX($C$8-VLOOKUP($C370,COS!$B$8:$H$991,3,FALSE),0)</f>
        <v>94542.38232421875</v>
      </c>
      <c r="X370" s="26">
        <f t="shared" si="562"/>
        <v>5625.6624192923546</v>
      </c>
      <c r="Y370" s="26">
        <f>VLOOKUP($C370,COS!$B$8:$H$991,4,FALSE)</f>
        <v>1068.3673095703125</v>
      </c>
      <c r="Z370" s="26">
        <f t="shared" si="563"/>
        <v>63.572269660382233</v>
      </c>
      <c r="AA370" s="26">
        <f t="shared" si="592"/>
        <v>1068.3673095703125</v>
      </c>
      <c r="AB370" s="33">
        <f t="shared" si="548"/>
        <v>63.572269660382233</v>
      </c>
    </row>
    <row r="371" spans="1:28" x14ac:dyDescent="0.3">
      <c r="A371" s="32">
        <f>VLOOKUP(YEAR(C371),Flags!$A$13:$B$95,2,FALSE)</f>
        <v>4</v>
      </c>
      <c r="B371" s="24">
        <f t="shared" si="535"/>
        <v>1961</v>
      </c>
      <c r="C371" s="25">
        <v>22585</v>
      </c>
      <c r="D371" s="26"/>
      <c r="E371" s="24"/>
      <c r="F371" s="26"/>
      <c r="G371" s="26"/>
      <c r="H371" s="26"/>
      <c r="I371" s="26"/>
      <c r="J371" s="26"/>
      <c r="K371" s="26"/>
      <c r="L371" s="24"/>
      <c r="M371" s="24"/>
      <c r="N371" s="26"/>
      <c r="O371" s="26"/>
      <c r="P371" s="26"/>
      <c r="Q371" s="26"/>
      <c r="R371" s="26"/>
      <c r="S371" s="26"/>
      <c r="T371" s="26"/>
      <c r="U371" s="26"/>
      <c r="V371" s="26"/>
      <c r="W371" s="26">
        <f>MAX($C$9-VLOOKUP($C371,COS!$B$8:$H$991,3,FALSE),0)</f>
        <v>92871.4130859375</v>
      </c>
      <c r="X371" s="26">
        <f t="shared" si="562"/>
        <v>5710.4406062758271</v>
      </c>
      <c r="Y371" s="26">
        <f>VLOOKUP($C371,COS!$B$8:$H$991,4,FALSE)</f>
        <v>2354.580322265625</v>
      </c>
      <c r="Z371" s="26">
        <f t="shared" si="563"/>
        <v>144.77750080707645</v>
      </c>
      <c r="AA371" s="26">
        <f t="shared" si="592"/>
        <v>2354.580322265625</v>
      </c>
      <c r="AB371" s="33">
        <f t="shared" si="548"/>
        <v>144.77750080707645</v>
      </c>
    </row>
    <row r="372" spans="1:28" x14ac:dyDescent="0.3">
      <c r="A372" s="32">
        <f>VLOOKUP(YEAR(C372),Flags!$A$13:$B$95,2,FALSE)</f>
        <v>4</v>
      </c>
      <c r="B372" s="24">
        <f t="shared" si="535"/>
        <v>1961</v>
      </c>
      <c r="C372" s="25">
        <v>22615</v>
      </c>
      <c r="D372" s="26"/>
      <c r="E372" s="24"/>
      <c r="F372" s="26"/>
      <c r="G372" s="26"/>
      <c r="H372" s="26"/>
      <c r="I372" s="26"/>
      <c r="J372" s="26"/>
      <c r="K372" s="26"/>
      <c r="L372" s="24"/>
      <c r="M372" s="24"/>
      <c r="N372" s="26"/>
      <c r="O372" s="26"/>
      <c r="P372" s="26"/>
      <c r="Q372" s="26"/>
      <c r="R372" s="26"/>
      <c r="S372" s="26"/>
      <c r="T372" s="26"/>
      <c r="U372" s="26"/>
      <c r="V372" s="26"/>
      <c r="W372" s="26">
        <f>MAX($C$10-VLOOKUP($C372,COS!$B$8:$H$991,3,FALSE),0)</f>
        <v>95558.98876953125</v>
      </c>
      <c r="X372" s="26">
        <f t="shared" si="562"/>
        <v>5686.1547036415295</v>
      </c>
      <c r="Y372" s="26">
        <f>VLOOKUP($C372,COS!$B$8:$H$991,4,FALSE)</f>
        <v>1388.96728515625</v>
      </c>
      <c r="Z372" s="26">
        <f t="shared" si="563"/>
        <v>82.649293001033058</v>
      </c>
      <c r="AA372" s="26">
        <f t="shared" si="592"/>
        <v>1388.96728515625</v>
      </c>
      <c r="AB372" s="33">
        <f t="shared" si="548"/>
        <v>41.324646500516529</v>
      </c>
    </row>
    <row r="373" spans="1:28" x14ac:dyDescent="0.3">
      <c r="A373" s="34">
        <f>VLOOKUP(YEAR(C373),Flags!$A$13:$B$95,2,FALSE)</f>
        <v>4</v>
      </c>
      <c r="B373" s="35">
        <f t="shared" si="535"/>
        <v>1961</v>
      </c>
      <c r="C373" s="36">
        <v>22646</v>
      </c>
      <c r="D373" s="37"/>
      <c r="E373" s="35"/>
      <c r="F373" s="37"/>
      <c r="G373" s="37"/>
      <c r="H373" s="37"/>
      <c r="I373" s="37"/>
      <c r="J373" s="37"/>
      <c r="K373" s="37"/>
      <c r="L373" s="35"/>
      <c r="M373" s="35"/>
      <c r="N373" s="37"/>
      <c r="O373" s="37"/>
      <c r="P373" s="37"/>
      <c r="Q373" s="37"/>
      <c r="R373" s="37"/>
      <c r="S373" s="37"/>
      <c r="T373" s="37"/>
      <c r="U373" s="37"/>
      <c r="V373" s="37"/>
      <c r="W373" s="37">
        <f>MAX($C$11-VLOOKUP($C373,COS!$B$8:$H$991,3,FALSE),0)</f>
        <v>0</v>
      </c>
      <c r="X373" s="37">
        <f t="shared" si="562"/>
        <v>0</v>
      </c>
      <c r="Y373" s="37">
        <f>VLOOKUP($C373,COS!$B$8:$H$991,4,FALSE)</f>
        <v>1553.054443359375</v>
      </c>
      <c r="Z373" s="37">
        <f t="shared" si="563"/>
        <v>95.493595525568182</v>
      </c>
      <c r="AA373" s="37">
        <f t="shared" si="592"/>
        <v>0</v>
      </c>
      <c r="AB373" s="38">
        <f t="shared" si="548"/>
        <v>0</v>
      </c>
    </row>
    <row r="374" spans="1:28" x14ac:dyDescent="0.3">
      <c r="A374" s="27">
        <f>VLOOKUP(YEAR(C374),Flags!$A$13:$B$95,2,FALSE)</f>
        <v>3</v>
      </c>
      <c r="B374" s="28">
        <f t="shared" si="535"/>
        <v>1962</v>
      </c>
      <c r="C374" s="29">
        <v>22766</v>
      </c>
      <c r="D374" s="30">
        <f>VLOOKUP($C374,COS!$B$8:$H$991,3,FALSE)</f>
        <v>3754.135009765625</v>
      </c>
      <c r="E374" s="28">
        <f>IF(D374&gt;=IF(MONTH($C374)=4,$C$3,IF(MONTH($C374)=5,$C$4,IF(MONTH($C374)=6,$C$5,IF(MONTH($C374)=7,$C$6,"ERROR")))),1,0)</f>
        <v>0</v>
      </c>
      <c r="F374" s="30">
        <f>VLOOKUP($C374,COS!$B$8:$H$991,7,FALSE)</f>
        <v>51.116634368896484</v>
      </c>
      <c r="G374" s="28">
        <f>IF(F374&lt;=IF(MONTH($C374)=4,$F$3,IF(MONTH($C374)=5,$F$4,IF(MONTH($C374)=6,$F$5,IF(MONTH($C374)=7,$F$6,"ERROR")))),1,0)</f>
        <v>1</v>
      </c>
      <c r="H374" s="30">
        <f>IF(J374=1,D374-$C$3,0)</f>
        <v>0</v>
      </c>
      <c r="I374" s="30">
        <f t="shared" si="558"/>
        <v>0</v>
      </c>
      <c r="J374" s="28">
        <f t="shared" ref="J374:J377" si="595">IF(AND(E374=1,G374=1),1,0)</f>
        <v>0</v>
      </c>
      <c r="K374" s="30">
        <f>VLOOKUP($C374,COS!$B$8:$H$991,2,FALSE)</f>
        <v>4552</v>
      </c>
      <c r="L374" s="28">
        <f t="shared" ref="L374" si="596">IF(K374&lt;=IF(MONTH($C374)=4,$I$3,IF(MONTH($C374)=5,$I$4,IF(MONTH($C374)=6,$I$5,IF(MONTH($C374)=7,$I$6,"ERROR")))),1,0)</f>
        <v>1</v>
      </c>
      <c r="M374" s="28">
        <f t="shared" ref="M374" si="597">VLOOKUP($A374,$L$3:$M$7,2,FALSE)</f>
        <v>0</v>
      </c>
      <c r="N374" s="30">
        <f>VLOOKUP($C374,COS!$B$8:$H$991,5,FALSE)</f>
        <v>412.55120849609375</v>
      </c>
      <c r="O374" s="30">
        <f t="shared" ref="O374:O377" si="598">N374*DAY($C374)*86400/43560/1000</f>
        <v>24.548501662577479</v>
      </c>
      <c r="P374" s="30">
        <f>VLOOKUP($C374,COS!$B$8:$H$991,6,FALSE)</f>
        <v>496.0894775390625</v>
      </c>
      <c r="Q374" s="30">
        <f t="shared" ref="Q374:Q377" si="599">P374*DAY($C374)*86400/43560/1000</f>
        <v>29.519373870092974</v>
      </c>
      <c r="R374" s="30">
        <f>MIN(IF(MONTH($C374)=4,$S$3,IF(MONTH($C374)=5,$S$4,IF(MONTH($C374)=6,$S$5,IF(MONTH($C374)=7,$S$6,"ERROR")))),MAX(VLOOKUP($C374,COS!$B$8:$K$991,10,FALSE)-IF(MONTH($C374)=4,$Y$3,IF(MONTH($C374)=5,$Y$4,IF(MONTH($C374)=6,$Y$5,IF(MONTH($C374)=7,$Y$6,"ERROR")))),0),MAX(VLOOKUP($C374,COS!$B$8:$K$991,9,FALSE)-IF(MONTH($C374)=4,$V$3,IF(MONTH($C374)=5,$V$4,IF(MONTH($C374)=6,$V$5,IF(MONTH($C374)=7,$V$6,"ERROR"))))-VLOOKUP($C374,COS!$B$8:$K$991,6,FALSE)/2,0))</f>
        <v>0</v>
      </c>
      <c r="S374" s="30">
        <f t="shared" ref="S374:S377" si="600">R374*DAY($C374)*86400/43560/1000</f>
        <v>0</v>
      </c>
      <c r="T374" s="30">
        <f t="shared" ref="T374:T377" si="601">(O374+Q374)/2+S374</f>
        <v>27.033937766335228</v>
      </c>
      <c r="U374" s="30" t="str">
        <f>IF(VLOOKUP($C374,COS!$B$8:$I$991,8,FALSE)=1,"UWFE","IBU")</f>
        <v>UWFE</v>
      </c>
      <c r="V374" s="30">
        <f t="shared" ref="V374" si="602">MIN(IF(IF($AA$3=2,AND(E374=1,G374=1,L374=1,L379=1,M374=1,U374="IBU"),AND(E374=1,G374=1,L374=1,L379=1,M374=1)),T374,0),I374)</f>
        <v>0</v>
      </c>
      <c r="W374" s="30"/>
      <c r="X374" s="30"/>
      <c r="Y374" s="30"/>
      <c r="Z374" s="30"/>
      <c r="AA374" s="30"/>
      <c r="AB374" s="31"/>
    </row>
    <row r="375" spans="1:28" x14ac:dyDescent="0.3">
      <c r="A375" s="32">
        <f>VLOOKUP(YEAR(C375),Flags!$A$13:$B$95,2,FALSE)</f>
        <v>3</v>
      </c>
      <c r="B375" s="24">
        <f t="shared" si="535"/>
        <v>1962</v>
      </c>
      <c r="C375" s="25">
        <v>22797</v>
      </c>
      <c r="D375" s="26">
        <f>VLOOKUP($C375,COS!$B$8:$H$991,3,FALSE)</f>
        <v>8163.22021484375</v>
      </c>
      <c r="E375" s="24">
        <f>IF(D375&gt;=IF(MONTH($C375)=4,$C$3,IF(MONTH($C375)=5,$C$4,IF(MONTH($C375)=6,$C$5,IF(MONTH($C375)=7,$C$6,"ERROR")))),1,0)</f>
        <v>1</v>
      </c>
      <c r="F375" s="26">
        <f>VLOOKUP($C375,COS!$B$8:$H$991,7,FALSE)</f>
        <v>49.783451080322266</v>
      </c>
      <c r="G375" s="24">
        <f>IF(F375&lt;=IF(MONTH($C375)=4,$F$3,IF(MONTH($C375)=5,$F$4,IF(MONTH($C375)=6,$F$5,IF(MONTH($C375)=7,$F$6,"ERROR")))),1,0)</f>
        <v>1</v>
      </c>
      <c r="H375" s="26">
        <f>IF(J375=1,D375-$C$4,0)</f>
        <v>2163.22021484375</v>
      </c>
      <c r="I375" s="26">
        <f t="shared" si="558"/>
        <v>133.01122643336777</v>
      </c>
      <c r="J375" s="24">
        <f t="shared" si="595"/>
        <v>1</v>
      </c>
      <c r="K375" s="26">
        <f>VLOOKUP($C375,COS!$B$8:$H$991,2,FALSE)</f>
        <v>4418.89453125</v>
      </c>
      <c r="L375" s="24">
        <f t="shared" si="537"/>
        <v>1</v>
      </c>
      <c r="M375" s="24">
        <f t="shared" si="538"/>
        <v>0</v>
      </c>
      <c r="N375" s="26">
        <f>VLOOKUP($C375,COS!$B$8:$H$991,5,FALSE)</f>
        <v>657.1561279296875</v>
      </c>
      <c r="O375" s="26">
        <f t="shared" si="598"/>
        <v>40.406955304106404</v>
      </c>
      <c r="P375" s="26">
        <f>VLOOKUP($C375,COS!$B$8:$H$991,6,FALSE)</f>
        <v>2288.578369140625</v>
      </c>
      <c r="Q375" s="26">
        <f t="shared" si="599"/>
        <v>140.71919889591942</v>
      </c>
      <c r="R375" s="26">
        <f>MIN(IF(MONTH($C375)=4,$S$3,IF(MONTH($C375)=5,$S$4,IF(MONTH($C375)=6,$S$5,IF(MONTH($C375)=7,$S$6,"ERROR")))),MAX(VLOOKUP($C375,COS!$B$8:$K$991,10,FALSE)-IF(MONTH($C375)=4,$Y$3,IF(MONTH($C375)=5,$Y$4,IF(MONTH($C375)=6,$Y$5,IF(MONTH($C375)=7,$Y$6,"ERROR")))),0),MAX(VLOOKUP($C375,COS!$B$8:$K$991,9,FALSE)-IF(MONTH($C375)=4,$V$3,IF(MONTH($C375)=5,$V$4,IF(MONTH($C375)=6,$V$5,IF(MONTH($C375)=7,$V$6,"ERROR"))))-VLOOKUP($C375,COS!$B$8:$K$991,6,FALSE)/2,0))</f>
        <v>0</v>
      </c>
      <c r="S375" s="26">
        <f t="shared" si="600"/>
        <v>0</v>
      </c>
      <c r="T375" s="26">
        <f t="shared" si="601"/>
        <v>90.563077100012919</v>
      </c>
      <c r="U375" s="26" t="str">
        <f>IF(VLOOKUP($C375,COS!$B$8:$I$991,8,FALSE)=1,"UWFE","IBU")</f>
        <v>UWFE</v>
      </c>
      <c r="V375" s="26">
        <f t="shared" ref="V375" si="603">MIN(IF(IF($AA$3=2,AND(E375=1,G375=1,L375=1,L379=1,M375=1,U375="IBU"),AND(E375=1,G375=1,L375=1,L379=1,M375=1)),T375,0),I375)</f>
        <v>0</v>
      </c>
      <c r="W375" s="26"/>
      <c r="X375" s="26"/>
      <c r="Y375" s="26"/>
      <c r="Z375" s="26"/>
      <c r="AA375" s="26"/>
      <c r="AB375" s="33"/>
    </row>
    <row r="376" spans="1:28" x14ac:dyDescent="0.3">
      <c r="A376" s="32">
        <f>VLOOKUP(YEAR(C376),Flags!$A$13:$B$95,2,FALSE)</f>
        <v>3</v>
      </c>
      <c r="B376" s="24">
        <f t="shared" si="535"/>
        <v>1962</v>
      </c>
      <c r="C376" s="25">
        <v>22827</v>
      </c>
      <c r="D376" s="26">
        <f>VLOOKUP($C376,COS!$B$8:$H$991,3,FALSE)</f>
        <v>9541.0107421875</v>
      </c>
      <c r="E376" s="24">
        <f>IF(D376&gt;=IF(MONTH($C376)=4,$C$3,IF(MONTH($C376)=5,$C$4,IF(MONTH($C376)=6,$C$5,IF(MONTH($C376)=7,$C$6,"ERROR")))),1,0)</f>
        <v>0</v>
      </c>
      <c r="F376" s="26">
        <f>VLOOKUP($C376,COS!$B$8:$H$991,7,FALSE)</f>
        <v>50.677501678466797</v>
      </c>
      <c r="G376" s="24">
        <f>IF(F376&lt;=IF(MONTH($C376)=4,$F$3,IF(MONTH($C376)=5,$F$4,IF(MONTH($C376)=6,$F$5,IF(MONTH($C376)=7,$F$6,"ERROR")))),1,0)</f>
        <v>1</v>
      </c>
      <c r="H376" s="26">
        <f>IF(J376=1,D376-$C$5,0)</f>
        <v>0</v>
      </c>
      <c r="I376" s="26">
        <f t="shared" si="558"/>
        <v>0</v>
      </c>
      <c r="J376" s="24">
        <f t="shared" si="595"/>
        <v>0</v>
      </c>
      <c r="K376" s="26">
        <f>VLOOKUP($C376,COS!$B$8:$H$991,2,FALSE)</f>
        <v>4081.933837890625</v>
      </c>
      <c r="L376" s="24">
        <f t="shared" si="537"/>
        <v>1</v>
      </c>
      <c r="M376" s="24">
        <f t="shared" si="538"/>
        <v>0</v>
      </c>
      <c r="N376" s="26">
        <f>VLOOKUP($C376,COS!$B$8:$H$991,5,FALSE)</f>
        <v>805.975830078125</v>
      </c>
      <c r="O376" s="26">
        <f t="shared" si="598"/>
        <v>47.95889236828512</v>
      </c>
      <c r="P376" s="26">
        <f>VLOOKUP($C376,COS!$B$8:$H$991,6,FALSE)</f>
        <v>2523.65283203125</v>
      </c>
      <c r="Q376" s="26">
        <f t="shared" si="599"/>
        <v>150.1677718233471</v>
      </c>
      <c r="R376" s="26">
        <f>MIN(IF(MONTH($C376)=4,$S$3,IF(MONTH($C376)=5,$S$4,IF(MONTH($C376)=6,$S$5,IF(MONTH($C376)=7,$S$6,"ERROR")))),MAX(VLOOKUP($C376,COS!$B$8:$K$991,10,FALSE)-IF(MONTH($C376)=4,$Y$3,IF(MONTH($C376)=5,$Y$4,IF(MONTH($C376)=6,$Y$5,IF(MONTH($C376)=7,$Y$6,"ERROR")))),0),MAX(VLOOKUP($C376,COS!$B$8:$K$991,9,FALSE)-IF(MONTH($C376)=4,$V$3,IF(MONTH($C376)=5,$V$4,IF(MONTH($C376)=6,$V$5,IF(MONTH($C376)=7,$V$6,"ERROR"))))-VLOOKUP($C376,COS!$B$8:$K$991,6,FALSE)/2,0))</f>
        <v>0</v>
      </c>
      <c r="S376" s="26">
        <f t="shared" si="600"/>
        <v>0</v>
      </c>
      <c r="T376" s="26">
        <f t="shared" si="601"/>
        <v>99.063332095816108</v>
      </c>
      <c r="U376" s="26" t="str">
        <f>IF(VLOOKUP($C376,COS!$B$8:$I$991,8,FALSE)=1,"UWFE","IBU")</f>
        <v>IBU</v>
      </c>
      <c r="V376" s="26">
        <f t="shared" ref="V376" si="604">MIN(IF(IF($AA$3=2,AND(E376=1,G376=1,L376=1,L379=1,M376=1,U376="IBU"),AND(E376=1,G376=1,L376=1,L379=1,M376=1)),T376,0),I376)</f>
        <v>0</v>
      </c>
      <c r="W376" s="26"/>
      <c r="X376" s="26"/>
      <c r="Y376" s="26"/>
      <c r="Z376" s="26"/>
      <c r="AA376" s="26"/>
      <c r="AB376" s="33"/>
    </row>
    <row r="377" spans="1:28" x14ac:dyDescent="0.3">
      <c r="A377" s="32">
        <f>VLOOKUP(YEAR(C377),Flags!$A$13:$B$95,2,FALSE)</f>
        <v>3</v>
      </c>
      <c r="B377" s="24">
        <f t="shared" si="535"/>
        <v>1962</v>
      </c>
      <c r="C377" s="25">
        <v>22858</v>
      </c>
      <c r="D377" s="26">
        <f>VLOOKUP($C377,COS!$B$8:$H$991,3,FALSE)</f>
        <v>15542.783203125</v>
      </c>
      <c r="E377" s="24">
        <f>IF(D377&gt;=IF(MONTH($C377)=4,$C$3,IF(MONTH($C377)=5,$C$4,IF(MONTH($C377)=6,$C$5,IF(MONTH($C377)=7,$C$6,"ERROR")))),1,0)</f>
        <v>1</v>
      </c>
      <c r="F377" s="26">
        <f>VLOOKUP($C377,COS!$B$8:$H$991,7,FALSE)</f>
        <v>50.507843017578125</v>
      </c>
      <c r="G377" s="24">
        <f>IF(F377&lt;=IF(MONTH($C377)=4,$F$3,IF(MONTH($C377)=5,$F$4,IF(MONTH($C377)=6,$F$5,IF(MONTH($C377)=7,$F$6,"ERROR")))),1,0)</f>
        <v>1</v>
      </c>
      <c r="H377" s="26">
        <f>IF(J377=1,D377-$C$6,0)</f>
        <v>3542.783203125</v>
      </c>
      <c r="I377" s="26">
        <f t="shared" si="558"/>
        <v>217.83724819214873</v>
      </c>
      <c r="J377" s="24">
        <f t="shared" si="595"/>
        <v>1</v>
      </c>
      <c r="K377" s="26">
        <f>VLOOKUP($C377,COS!$B$8:$H$991,2,FALSE)</f>
        <v>3381.171142578125</v>
      </c>
      <c r="L377" s="24">
        <f t="shared" si="537"/>
        <v>1</v>
      </c>
      <c r="M377" s="24">
        <f t="shared" si="538"/>
        <v>0</v>
      </c>
      <c r="N377" s="26">
        <f>VLOOKUP($C377,COS!$B$8:$H$991,5,FALSE)</f>
        <v>930.34075927734375</v>
      </c>
      <c r="O377" s="26">
        <f t="shared" si="598"/>
        <v>57.20442354564824</v>
      </c>
      <c r="P377" s="26">
        <f>VLOOKUP($C377,COS!$B$8:$H$991,6,FALSE)</f>
        <v>2537.385498046875</v>
      </c>
      <c r="Q377" s="26">
        <f t="shared" si="599"/>
        <v>156.01775293775825</v>
      </c>
      <c r="R377" s="26">
        <f>MIN(IF(MONTH($C377)=4,$S$3,IF(MONTH($C377)=5,$S$4,IF(MONTH($C377)=6,$S$5,IF(MONTH($C377)=7,$S$6,"ERROR")))),MAX(VLOOKUP($C377,COS!$B$8:$K$991,10,FALSE)-IF(MONTH($C377)=4,$Y$3,IF(MONTH($C377)=5,$Y$4,IF(MONTH($C377)=6,$Y$5,IF(MONTH($C377)=7,$Y$6,"ERROR")))),0),MAX(VLOOKUP($C377,COS!$B$8:$K$991,9,FALSE)-IF(MONTH($C377)=4,$V$3,IF(MONTH($C377)=5,$V$4,IF(MONTH($C377)=6,$V$5,IF(MONTH($C377)=7,$V$6,"ERROR"))))-VLOOKUP($C377,COS!$B$8:$K$991,6,FALSE)/2,0))</f>
        <v>0</v>
      </c>
      <c r="S377" s="26">
        <f t="shared" si="600"/>
        <v>0</v>
      </c>
      <c r="T377" s="26">
        <f t="shared" si="601"/>
        <v>106.61108824170324</v>
      </c>
      <c r="U377" s="26" t="str">
        <f>IF(VLOOKUP($C377,COS!$B$8:$I$991,8,FALSE)=1,"UWFE","IBU")</f>
        <v>IBU</v>
      </c>
      <c r="V377" s="26">
        <f t="shared" ref="V377" si="605">MIN(IF(IF($AA$3=2,AND(E377=1,G377=1,L377=1,L379=1,M377=1,U377="IBU"),AND(E377=1,G377=1,L377=1,L379=1,M377=1)),T377,0),I377)</f>
        <v>0</v>
      </c>
      <c r="W377" s="26"/>
      <c r="X377" s="26"/>
      <c r="Y377" s="26"/>
      <c r="Z377" s="26"/>
      <c r="AA377" s="26"/>
      <c r="AB377" s="33"/>
    </row>
    <row r="378" spans="1:28" x14ac:dyDescent="0.3">
      <c r="A378" s="32">
        <f>VLOOKUP(YEAR(C378),Flags!$A$13:$B$95,2,FALSE)</f>
        <v>3</v>
      </c>
      <c r="B378" s="24">
        <f t="shared" si="535"/>
        <v>1962</v>
      </c>
      <c r="C378" s="25">
        <v>22889</v>
      </c>
      <c r="D378" s="26"/>
      <c r="E378" s="24"/>
      <c r="F378" s="26"/>
      <c r="G378" s="24"/>
      <c r="H378" s="24"/>
      <c r="I378" s="26"/>
      <c r="J378" s="24"/>
      <c r="K378" s="26"/>
      <c r="L378" s="24"/>
      <c r="M378" s="24"/>
      <c r="N378" s="26"/>
      <c r="O378" s="26"/>
      <c r="P378" s="26"/>
      <c r="Q378" s="26"/>
      <c r="R378" s="26"/>
      <c r="S378" s="26"/>
      <c r="T378" s="26"/>
      <c r="U378" s="26"/>
      <c r="V378" s="26"/>
      <c r="W378" s="26">
        <f>MAX($C$7-VLOOKUP($C378,COS!$B$8:$H$991,3,FALSE),0)</f>
        <v>90501.505859375</v>
      </c>
      <c r="X378" s="26">
        <f t="shared" si="562"/>
        <v>5564.7206908574381</v>
      </c>
      <c r="Y378" s="26">
        <f>VLOOKUP($C378,COS!$B$8:$H$991,4,FALSE)</f>
        <v>326.0140380859375</v>
      </c>
      <c r="Z378" s="26">
        <f t="shared" si="563"/>
        <v>20.045821845945248</v>
      </c>
      <c r="AA378" s="26">
        <f t="shared" ref="AA378:AA382" si="606">MIN(W378,Y378)</f>
        <v>326.0140380859375</v>
      </c>
      <c r="AB378" s="33">
        <f t="shared" ref="AB378" si="607">AA378*DAY($C378)*86400/43560/1000*IF(MONTH($C378)=8,$P$3,IF(MONTH($C378)=9,$P$4,IF(MONTH($C378)=10,$P$5,IF(MONTH($C378)=11,$P$6,IF(MONTH($C378)=12,$P$7,NA())))))</f>
        <v>20.045821845945248</v>
      </c>
    </row>
    <row r="379" spans="1:28" x14ac:dyDescent="0.3">
      <c r="A379" s="32">
        <f>VLOOKUP(YEAR(C379),Flags!$A$13:$B$95,2,FALSE)</f>
        <v>3</v>
      </c>
      <c r="B379" s="24">
        <f t="shared" si="535"/>
        <v>1962</v>
      </c>
      <c r="C379" s="25">
        <v>22919</v>
      </c>
      <c r="D379" s="26"/>
      <c r="E379" s="24"/>
      <c r="F379" s="26"/>
      <c r="G379" s="24"/>
      <c r="H379" s="24"/>
      <c r="I379" s="26"/>
      <c r="J379" s="24"/>
      <c r="K379" s="26">
        <f>VLOOKUP($C379,COS!$B$8:$H$991,2,FALSE)</f>
        <v>3012.717529296875</v>
      </c>
      <c r="L379" s="24">
        <f t="shared" ref="L379" si="608">IF(AND(K379&gt;$I$7,K379&lt;$I$8),1,0)</f>
        <v>1</v>
      </c>
      <c r="M379" s="24"/>
      <c r="N379" s="26"/>
      <c r="O379" s="26"/>
      <c r="P379" s="26"/>
      <c r="Q379" s="26"/>
      <c r="R379" s="26"/>
      <c r="S379" s="26"/>
      <c r="T379" s="26"/>
      <c r="U379" s="26"/>
      <c r="V379" s="26"/>
      <c r="W379" s="26">
        <f>MAX($C$8-VLOOKUP($C379,COS!$B$8:$H$991,3,FALSE),0)</f>
        <v>94563.63525390625</v>
      </c>
      <c r="X379" s="26">
        <f t="shared" si="562"/>
        <v>5626.9270564307853</v>
      </c>
      <c r="Y379" s="26">
        <f>VLOOKUP($C379,COS!$B$8:$H$991,4,FALSE)</f>
        <v>0</v>
      </c>
      <c r="Z379" s="26">
        <f t="shared" si="563"/>
        <v>0</v>
      </c>
      <c r="AA379" s="26">
        <f t="shared" si="606"/>
        <v>0</v>
      </c>
      <c r="AB379" s="33">
        <f t="shared" si="548"/>
        <v>0</v>
      </c>
    </row>
    <row r="380" spans="1:28" x14ac:dyDescent="0.3">
      <c r="A380" s="32">
        <f>VLOOKUP(YEAR(C380),Flags!$A$13:$B$95,2,FALSE)</f>
        <v>3</v>
      </c>
      <c r="B380" s="24">
        <f t="shared" si="535"/>
        <v>1962</v>
      </c>
      <c r="C380" s="25">
        <v>22950</v>
      </c>
      <c r="D380" s="26"/>
      <c r="E380" s="24"/>
      <c r="F380" s="26"/>
      <c r="G380" s="26"/>
      <c r="H380" s="26"/>
      <c r="I380" s="26"/>
      <c r="J380" s="26"/>
      <c r="K380" s="26"/>
      <c r="L380" s="24"/>
      <c r="M380" s="24"/>
      <c r="N380" s="26"/>
      <c r="O380" s="26"/>
      <c r="P380" s="26"/>
      <c r="Q380" s="26"/>
      <c r="R380" s="26"/>
      <c r="S380" s="26"/>
      <c r="T380" s="26"/>
      <c r="U380" s="26"/>
      <c r="V380" s="26"/>
      <c r="W380" s="26">
        <f>MAX($C$9-VLOOKUP($C380,COS!$B$8:$H$991,3,FALSE),0)</f>
        <v>91099.30859375</v>
      </c>
      <c r="X380" s="26">
        <f t="shared" si="562"/>
        <v>5601.478148243802</v>
      </c>
      <c r="Y380" s="26">
        <f>VLOOKUP($C380,COS!$B$8:$H$991,4,FALSE)</f>
        <v>0</v>
      </c>
      <c r="Z380" s="26">
        <f t="shared" si="563"/>
        <v>0</v>
      </c>
      <c r="AA380" s="26">
        <f t="shared" si="606"/>
        <v>0</v>
      </c>
      <c r="AB380" s="33">
        <f t="shared" si="548"/>
        <v>0</v>
      </c>
    </row>
    <row r="381" spans="1:28" x14ac:dyDescent="0.3">
      <c r="A381" s="32">
        <f>VLOOKUP(YEAR(C381),Flags!$A$13:$B$95,2,FALSE)</f>
        <v>3</v>
      </c>
      <c r="B381" s="24">
        <f t="shared" si="535"/>
        <v>1962</v>
      </c>
      <c r="C381" s="25">
        <v>22980</v>
      </c>
      <c r="D381" s="26"/>
      <c r="E381" s="24"/>
      <c r="F381" s="26"/>
      <c r="G381" s="26"/>
      <c r="H381" s="26"/>
      <c r="I381" s="26"/>
      <c r="J381" s="26"/>
      <c r="K381" s="26"/>
      <c r="L381" s="24"/>
      <c r="M381" s="24"/>
      <c r="N381" s="26"/>
      <c r="O381" s="26"/>
      <c r="P381" s="26"/>
      <c r="Q381" s="26"/>
      <c r="R381" s="26"/>
      <c r="S381" s="26"/>
      <c r="T381" s="26"/>
      <c r="U381" s="26"/>
      <c r="V381" s="26"/>
      <c r="W381" s="26">
        <f>MAX($C$10-VLOOKUP($C381,COS!$B$8:$H$991,3,FALSE),0)</f>
        <v>94435.6953125</v>
      </c>
      <c r="X381" s="26">
        <f t="shared" si="562"/>
        <v>5619.3141012396691</v>
      </c>
      <c r="Y381" s="26">
        <f>VLOOKUP($C381,COS!$B$8:$H$991,4,FALSE)</f>
        <v>0</v>
      </c>
      <c r="Z381" s="26">
        <f t="shared" si="563"/>
        <v>0</v>
      </c>
      <c r="AA381" s="26">
        <f t="shared" si="606"/>
        <v>0</v>
      </c>
      <c r="AB381" s="33">
        <f t="shared" si="548"/>
        <v>0</v>
      </c>
    </row>
    <row r="382" spans="1:28" x14ac:dyDescent="0.3">
      <c r="A382" s="34">
        <f>VLOOKUP(YEAR(C382),Flags!$A$13:$B$95,2,FALSE)</f>
        <v>3</v>
      </c>
      <c r="B382" s="35">
        <f t="shared" si="535"/>
        <v>1962</v>
      </c>
      <c r="C382" s="36">
        <v>23011</v>
      </c>
      <c r="D382" s="37"/>
      <c r="E382" s="35"/>
      <c r="F382" s="37"/>
      <c r="G382" s="37"/>
      <c r="H382" s="37"/>
      <c r="I382" s="37"/>
      <c r="J382" s="37"/>
      <c r="K382" s="37"/>
      <c r="L382" s="35"/>
      <c r="M382" s="35"/>
      <c r="N382" s="37"/>
      <c r="O382" s="37"/>
      <c r="P382" s="37"/>
      <c r="Q382" s="37"/>
      <c r="R382" s="37"/>
      <c r="S382" s="37"/>
      <c r="T382" s="37"/>
      <c r="U382" s="37"/>
      <c r="V382" s="37"/>
      <c r="W382" s="37">
        <f>MAX($C$11-VLOOKUP($C382,COS!$B$8:$H$991,3,FALSE),0)</f>
        <v>0</v>
      </c>
      <c r="X382" s="37">
        <f t="shared" si="562"/>
        <v>0</v>
      </c>
      <c r="Y382" s="37">
        <f>VLOOKUP($C382,COS!$B$8:$H$991,4,FALSE)</f>
        <v>0</v>
      </c>
      <c r="Z382" s="37">
        <f t="shared" si="563"/>
        <v>0</v>
      </c>
      <c r="AA382" s="37">
        <f t="shared" si="606"/>
        <v>0</v>
      </c>
      <c r="AB382" s="38">
        <f t="shared" si="548"/>
        <v>0</v>
      </c>
    </row>
    <row r="383" spans="1:28" x14ac:dyDescent="0.3">
      <c r="A383" s="27">
        <f>VLOOKUP(YEAR(C383),Flags!$A$13:$B$95,2,FALSE)</f>
        <v>1</v>
      </c>
      <c r="B383" s="28">
        <f t="shared" si="535"/>
        <v>1963</v>
      </c>
      <c r="C383" s="29">
        <v>23131</v>
      </c>
      <c r="D383" s="30">
        <f>VLOOKUP($C383,COS!$B$8:$H$991,3,FALSE)</f>
        <v>30893.44921875</v>
      </c>
      <c r="E383" s="28">
        <f>IF(D383&gt;=IF(MONTH($C383)=4,$C$3,IF(MONTH($C383)=5,$C$4,IF(MONTH($C383)=6,$C$5,IF(MONTH($C383)=7,$C$6,"ERROR")))),1,0)</f>
        <v>1</v>
      </c>
      <c r="F383" s="30">
        <f>VLOOKUP($C383,COS!$B$8:$H$991,7,FALSE)</f>
        <v>48.021064758300781</v>
      </c>
      <c r="G383" s="28">
        <f>IF(F383&lt;=IF(MONTH($C383)=4,$F$3,IF(MONTH($C383)=5,$F$4,IF(MONTH($C383)=6,$F$5,IF(MONTH($C383)=7,$F$6,"ERROR")))),1,0)</f>
        <v>1</v>
      </c>
      <c r="H383" s="30">
        <f>IF(J383=1,D383-$C$3,0)</f>
        <v>24893.44921875</v>
      </c>
      <c r="I383" s="30">
        <f t="shared" si="558"/>
        <v>1481.2630940082643</v>
      </c>
      <c r="J383" s="28">
        <f t="shared" ref="J383:J386" si="609">IF(AND(E383=1,G383=1),1,0)</f>
        <v>1</v>
      </c>
      <c r="K383" s="30">
        <f>VLOOKUP($C383,COS!$B$8:$H$991,2,FALSE)</f>
        <v>4137</v>
      </c>
      <c r="L383" s="28">
        <f t="shared" ref="L383" si="610">IF(K383&lt;=IF(MONTH($C383)=4,$I$3,IF(MONTH($C383)=5,$I$4,IF(MONTH($C383)=6,$I$5,IF(MONTH($C383)=7,$I$6,"ERROR")))),1,0)</f>
        <v>1</v>
      </c>
      <c r="M383" s="28">
        <f t="shared" ref="M383" si="611">VLOOKUP($A383,$L$3:$M$7,2,FALSE)</f>
        <v>0</v>
      </c>
      <c r="N383" s="30">
        <f>VLOOKUP($C383,COS!$B$8:$H$991,5,FALSE)</f>
        <v>15.700532913208008</v>
      </c>
      <c r="O383" s="30">
        <f t="shared" ref="O383:O386" si="612">N383*DAY($C383)*86400/43560/1000</f>
        <v>0.93424658657105497</v>
      </c>
      <c r="P383" s="30">
        <f>VLOOKUP($C383,COS!$B$8:$H$991,6,FALSE)</f>
        <v>254.50013732910156</v>
      </c>
      <c r="Q383" s="30">
        <f t="shared" ref="Q383:Q386" si="613">P383*DAY($C383)*86400/43560/1000</f>
        <v>15.143809824541581</v>
      </c>
      <c r="R383" s="30">
        <f>MIN(IF(MONTH($C383)=4,$S$3,IF(MONTH($C383)=5,$S$4,IF(MONTH($C383)=6,$S$5,IF(MONTH($C383)=7,$S$6,"ERROR")))),MAX(VLOOKUP($C383,COS!$B$8:$K$991,10,FALSE)-IF(MONTH($C383)=4,$Y$3,IF(MONTH($C383)=5,$Y$4,IF(MONTH($C383)=6,$Y$5,IF(MONTH($C383)=7,$Y$6,"ERROR")))),0),MAX(VLOOKUP($C383,COS!$B$8:$K$991,9,FALSE)-IF(MONTH($C383)=4,$V$3,IF(MONTH($C383)=5,$V$4,IF(MONTH($C383)=6,$V$5,IF(MONTH($C383)=7,$V$6,"ERROR"))))-VLOOKUP($C383,COS!$B$8:$K$991,6,FALSE)/2,0))</f>
        <v>0</v>
      </c>
      <c r="S383" s="30">
        <f t="shared" ref="S383:S386" si="614">R383*DAY($C383)*86400/43560/1000</f>
        <v>0</v>
      </c>
      <c r="T383" s="30">
        <f t="shared" ref="T383:T386" si="615">(O383+Q383)/2+S383</f>
        <v>8.0390282055563187</v>
      </c>
      <c r="U383" s="30" t="str">
        <f>IF(VLOOKUP($C383,COS!$B$8:$I$991,8,FALSE)=1,"UWFE","IBU")</f>
        <v>UWFE</v>
      </c>
      <c r="V383" s="30">
        <f t="shared" ref="V383" si="616">MIN(IF(IF($AA$3=2,AND(E383=1,G383=1,L383=1,L388=1,M383=1,U383="IBU"),AND(E383=1,G383=1,L383=1,L388=1,M383=1)),T383,0),I383)</f>
        <v>0</v>
      </c>
      <c r="W383" s="30"/>
      <c r="X383" s="30"/>
      <c r="Y383" s="30"/>
      <c r="Z383" s="30"/>
      <c r="AA383" s="30"/>
      <c r="AB383" s="31"/>
    </row>
    <row r="384" spans="1:28" x14ac:dyDescent="0.3">
      <c r="A384" s="32">
        <f>VLOOKUP(YEAR(C384),Flags!$A$13:$B$95,2,FALSE)</f>
        <v>1</v>
      </c>
      <c r="B384" s="24">
        <f t="shared" si="535"/>
        <v>1963</v>
      </c>
      <c r="C384" s="25">
        <v>23162</v>
      </c>
      <c r="D384" s="26">
        <f>VLOOKUP($C384,COS!$B$8:$H$991,3,FALSE)</f>
        <v>4724.07177734375</v>
      </c>
      <c r="E384" s="24">
        <f>IF(D384&gt;=IF(MONTH($C384)=4,$C$3,IF(MONTH($C384)=5,$C$4,IF(MONTH($C384)=6,$C$5,IF(MONTH($C384)=7,$C$6,"ERROR")))),1,0)</f>
        <v>0</v>
      </c>
      <c r="F384" s="26">
        <f>VLOOKUP($C384,COS!$B$8:$H$991,7,FALSE)</f>
        <v>52.657608032226563</v>
      </c>
      <c r="G384" s="24">
        <f>IF(F384&lt;=IF(MONTH($C384)=4,$F$3,IF(MONTH($C384)=5,$F$4,IF(MONTH($C384)=6,$F$5,IF(MONTH($C384)=7,$F$6,"ERROR")))),1,0)</f>
        <v>1</v>
      </c>
      <c r="H384" s="26">
        <f>IF(J384=1,D384-$C$4,0)</f>
        <v>0</v>
      </c>
      <c r="I384" s="26">
        <f t="shared" si="558"/>
        <v>0</v>
      </c>
      <c r="J384" s="24">
        <f t="shared" si="609"/>
        <v>0</v>
      </c>
      <c r="K384" s="26">
        <f>VLOOKUP($C384,COS!$B$8:$H$991,2,FALSE)</f>
        <v>4552</v>
      </c>
      <c r="L384" s="24">
        <f t="shared" si="537"/>
        <v>1</v>
      </c>
      <c r="M384" s="24">
        <f t="shared" si="538"/>
        <v>0</v>
      </c>
      <c r="N384" s="26">
        <f>VLOOKUP($C384,COS!$B$8:$H$991,5,FALSE)</f>
        <v>528.83221435546875</v>
      </c>
      <c r="O384" s="26">
        <f t="shared" si="612"/>
        <v>32.516625411608985</v>
      </c>
      <c r="P384" s="26">
        <f>VLOOKUP($C384,COS!$B$8:$H$991,6,FALSE)</f>
        <v>2086.376220703125</v>
      </c>
      <c r="Q384" s="26">
        <f t="shared" si="613"/>
        <v>128.28627340521695</v>
      </c>
      <c r="R384" s="26">
        <f>MIN(IF(MONTH($C384)=4,$S$3,IF(MONTH($C384)=5,$S$4,IF(MONTH($C384)=6,$S$5,IF(MONTH($C384)=7,$S$6,"ERROR")))),MAX(VLOOKUP($C384,COS!$B$8:$K$991,10,FALSE)-IF(MONTH($C384)=4,$Y$3,IF(MONTH($C384)=5,$Y$4,IF(MONTH($C384)=6,$Y$5,IF(MONTH($C384)=7,$Y$6,"ERROR")))),0),MAX(VLOOKUP($C384,COS!$B$8:$K$991,9,FALSE)-IF(MONTH($C384)=4,$V$3,IF(MONTH($C384)=5,$V$4,IF(MONTH($C384)=6,$V$5,IF(MONTH($C384)=7,$V$6,"ERROR"))))-VLOOKUP($C384,COS!$B$8:$K$991,6,FALSE)/2,0))</f>
        <v>0</v>
      </c>
      <c r="S384" s="26">
        <f t="shared" si="614"/>
        <v>0</v>
      </c>
      <c r="T384" s="26">
        <f t="shared" si="615"/>
        <v>80.401449408412958</v>
      </c>
      <c r="U384" s="26" t="str">
        <f>IF(VLOOKUP($C384,COS!$B$8:$I$991,8,FALSE)=1,"UWFE","IBU")</f>
        <v>UWFE</v>
      </c>
      <c r="V384" s="26">
        <f t="shared" ref="V384" si="617">MIN(IF(IF($AA$3=2,AND(E384=1,G384=1,L384=1,L388=1,M384=1,U384="IBU"),AND(E384=1,G384=1,L384=1,L388=1,M384=1)),T384,0),I384)</f>
        <v>0</v>
      </c>
      <c r="W384" s="26"/>
      <c r="X384" s="26"/>
      <c r="Y384" s="26"/>
      <c r="Z384" s="26"/>
      <c r="AA384" s="26"/>
      <c r="AB384" s="33"/>
    </row>
    <row r="385" spans="1:28" x14ac:dyDescent="0.3">
      <c r="A385" s="32">
        <f>VLOOKUP(YEAR(C385),Flags!$A$13:$B$95,2,FALSE)</f>
        <v>1</v>
      </c>
      <c r="B385" s="24">
        <f t="shared" si="535"/>
        <v>1963</v>
      </c>
      <c r="C385" s="25">
        <v>23192</v>
      </c>
      <c r="D385" s="26">
        <f>VLOOKUP($C385,COS!$B$8:$H$991,3,FALSE)</f>
        <v>8594.71875</v>
      </c>
      <c r="E385" s="24">
        <f>IF(D385&gt;=IF(MONTH($C385)=4,$C$3,IF(MONTH($C385)=5,$C$4,IF(MONTH($C385)=6,$C$5,IF(MONTH($C385)=7,$C$6,"ERROR")))),1,0)</f>
        <v>0</v>
      </c>
      <c r="F385" s="26">
        <f>VLOOKUP($C385,COS!$B$8:$H$991,7,FALSE)</f>
        <v>52.543663024902344</v>
      </c>
      <c r="G385" s="24">
        <f>IF(F385&lt;=IF(MONTH($C385)=4,$F$3,IF(MONTH($C385)=5,$F$4,IF(MONTH($C385)=6,$F$5,IF(MONTH($C385)=7,$F$6,"ERROR")))),1,0)</f>
        <v>1</v>
      </c>
      <c r="H385" s="26">
        <f>IF(J385=1,D385-$C$5,0)</f>
        <v>0</v>
      </c>
      <c r="I385" s="26">
        <f t="shared" si="558"/>
        <v>0</v>
      </c>
      <c r="J385" s="24">
        <f t="shared" si="609"/>
        <v>0</v>
      </c>
      <c r="K385" s="26">
        <f>VLOOKUP($C385,COS!$B$8:$H$991,2,FALSE)</f>
        <v>4318.48828125</v>
      </c>
      <c r="L385" s="24">
        <f t="shared" si="537"/>
        <v>1</v>
      </c>
      <c r="M385" s="24">
        <f t="shared" si="538"/>
        <v>0</v>
      </c>
      <c r="N385" s="26">
        <f>VLOOKUP($C385,COS!$B$8:$H$991,5,FALSE)</f>
        <v>1228.4559326171875</v>
      </c>
      <c r="O385" s="26">
        <f t="shared" si="612"/>
        <v>73.098204254907031</v>
      </c>
      <c r="P385" s="26">
        <f>VLOOKUP($C385,COS!$B$8:$H$991,6,FALSE)</f>
        <v>2324.6142578125</v>
      </c>
      <c r="Q385" s="26">
        <f t="shared" si="613"/>
        <v>138.3241541838843</v>
      </c>
      <c r="R385" s="26">
        <f>MIN(IF(MONTH($C385)=4,$S$3,IF(MONTH($C385)=5,$S$4,IF(MONTH($C385)=6,$S$5,IF(MONTH($C385)=7,$S$6,"ERROR")))),MAX(VLOOKUP($C385,COS!$B$8:$K$991,10,FALSE)-IF(MONTH($C385)=4,$Y$3,IF(MONTH($C385)=5,$Y$4,IF(MONTH($C385)=6,$Y$5,IF(MONTH($C385)=7,$Y$6,"ERROR")))),0),MAX(VLOOKUP($C385,COS!$B$8:$K$991,9,FALSE)-IF(MONTH($C385)=4,$V$3,IF(MONTH($C385)=5,$V$4,IF(MONTH($C385)=6,$V$5,IF(MONTH($C385)=7,$V$6,"ERROR"))))-VLOOKUP($C385,COS!$B$8:$K$991,6,FALSE)/2,0))</f>
        <v>0</v>
      </c>
      <c r="S385" s="26">
        <f t="shared" si="614"/>
        <v>0</v>
      </c>
      <c r="T385" s="26">
        <f t="shared" si="615"/>
        <v>105.71117921939566</v>
      </c>
      <c r="U385" s="26" t="str">
        <f>IF(VLOOKUP($C385,COS!$B$8:$I$991,8,FALSE)=1,"UWFE","IBU")</f>
        <v>IBU</v>
      </c>
      <c r="V385" s="26">
        <f t="shared" ref="V385" si="618">MIN(IF(IF($AA$3=2,AND(E385=1,G385=1,L385=1,L388=1,M385=1,U385="IBU"),AND(E385=1,G385=1,L385=1,L388=1,M385=1)),T385,0),I385)</f>
        <v>0</v>
      </c>
      <c r="W385" s="26"/>
      <c r="X385" s="26"/>
      <c r="Y385" s="26"/>
      <c r="Z385" s="26"/>
      <c r="AA385" s="26"/>
      <c r="AB385" s="33"/>
    </row>
    <row r="386" spans="1:28" x14ac:dyDescent="0.3">
      <c r="A386" s="32">
        <f>VLOOKUP(YEAR(C386),Flags!$A$13:$B$95,2,FALSE)</f>
        <v>1</v>
      </c>
      <c r="B386" s="24">
        <f t="shared" si="535"/>
        <v>1963</v>
      </c>
      <c r="C386" s="25">
        <v>23223</v>
      </c>
      <c r="D386" s="26">
        <f>VLOOKUP($C386,COS!$B$8:$H$991,3,FALSE)</f>
        <v>16000</v>
      </c>
      <c r="E386" s="24">
        <f>IF(D386&gt;=IF(MONTH($C386)=4,$C$3,IF(MONTH($C386)=5,$C$4,IF(MONTH($C386)=6,$C$5,IF(MONTH($C386)=7,$C$6,"ERROR")))),1,0)</f>
        <v>1</v>
      </c>
      <c r="F386" s="26">
        <f>VLOOKUP($C386,COS!$B$8:$H$991,7,FALSE)</f>
        <v>52.109561920166016</v>
      </c>
      <c r="G386" s="24">
        <f>IF(F386&lt;=IF(MONTH($C386)=4,$F$3,IF(MONTH($C386)=5,$F$4,IF(MONTH($C386)=6,$F$5,IF(MONTH($C386)=7,$F$6,"ERROR")))),1,0)</f>
        <v>1</v>
      </c>
      <c r="H386" s="26">
        <f>IF(J386=1,D386-$C$6,0)</f>
        <v>4000</v>
      </c>
      <c r="I386" s="26">
        <f t="shared" si="558"/>
        <v>245.95041322314049</v>
      </c>
      <c r="J386" s="24">
        <f t="shared" si="609"/>
        <v>1</v>
      </c>
      <c r="K386" s="26">
        <f>VLOOKUP($C386,COS!$B$8:$H$991,2,FALSE)</f>
        <v>3649.526611328125</v>
      </c>
      <c r="L386" s="24">
        <f t="shared" si="537"/>
        <v>1</v>
      </c>
      <c r="M386" s="24">
        <f t="shared" si="538"/>
        <v>0</v>
      </c>
      <c r="N386" s="26">
        <f>VLOOKUP($C386,COS!$B$8:$H$991,5,FALSE)</f>
        <v>1381.7017822265625</v>
      </c>
      <c r="O386" s="26">
        <f t="shared" si="612"/>
        <v>84.957531072443174</v>
      </c>
      <c r="P386" s="26">
        <f>VLOOKUP($C386,COS!$B$8:$H$991,6,FALSE)</f>
        <v>2521.474853515625</v>
      </c>
      <c r="Q386" s="26">
        <f t="shared" si="613"/>
        <v>155.0394455384814</v>
      </c>
      <c r="R386" s="26">
        <f>MIN(IF(MONTH($C386)=4,$S$3,IF(MONTH($C386)=5,$S$4,IF(MONTH($C386)=6,$S$5,IF(MONTH($C386)=7,$S$6,"ERROR")))),MAX(VLOOKUP($C386,COS!$B$8:$K$991,10,FALSE)-IF(MONTH($C386)=4,$Y$3,IF(MONTH($C386)=5,$Y$4,IF(MONTH($C386)=6,$Y$5,IF(MONTH($C386)=7,$Y$6,"ERROR")))),0),MAX(VLOOKUP($C386,COS!$B$8:$K$991,9,FALSE)-IF(MONTH($C386)=4,$V$3,IF(MONTH($C386)=5,$V$4,IF(MONTH($C386)=6,$V$5,IF(MONTH($C386)=7,$V$6,"ERROR"))))-VLOOKUP($C386,COS!$B$8:$K$991,6,FALSE)/2,0))</f>
        <v>0</v>
      </c>
      <c r="S386" s="26">
        <f t="shared" si="614"/>
        <v>0</v>
      </c>
      <c r="T386" s="26">
        <f t="shared" si="615"/>
        <v>119.99848830546229</v>
      </c>
      <c r="U386" s="26" t="str">
        <f>IF(VLOOKUP($C386,COS!$B$8:$I$991,8,FALSE)=1,"UWFE","IBU")</f>
        <v>IBU</v>
      </c>
      <c r="V386" s="26">
        <f t="shared" ref="V386" si="619">MIN(IF(IF($AA$3=2,AND(E386=1,G386=1,L386=1,L388=1,M386=1,U386="IBU"),AND(E386=1,G386=1,L386=1,L388=1,M386=1)),T386,0),I386)</f>
        <v>0</v>
      </c>
      <c r="W386" s="26"/>
      <c r="X386" s="26"/>
      <c r="Y386" s="26"/>
      <c r="Z386" s="26"/>
      <c r="AA386" s="26"/>
      <c r="AB386" s="33"/>
    </row>
    <row r="387" spans="1:28" x14ac:dyDescent="0.3">
      <c r="A387" s="32">
        <f>VLOOKUP(YEAR(C387),Flags!$A$13:$B$95,2,FALSE)</f>
        <v>1</v>
      </c>
      <c r="B387" s="24">
        <f t="shared" si="535"/>
        <v>1963</v>
      </c>
      <c r="C387" s="25">
        <v>23254</v>
      </c>
      <c r="D387" s="26"/>
      <c r="E387" s="24"/>
      <c r="F387" s="26"/>
      <c r="G387" s="24"/>
      <c r="H387" s="24"/>
      <c r="I387" s="26"/>
      <c r="J387" s="24"/>
      <c r="K387" s="26"/>
      <c r="L387" s="24"/>
      <c r="M387" s="24"/>
      <c r="N387" s="26"/>
      <c r="O387" s="26"/>
      <c r="P387" s="26"/>
      <c r="Q387" s="26"/>
      <c r="R387" s="26"/>
      <c r="S387" s="26"/>
      <c r="T387" s="26"/>
      <c r="U387" s="26"/>
      <c r="V387" s="26"/>
      <c r="W387" s="26">
        <f>MAX($C$7-VLOOKUP($C387,COS!$B$8:$H$991,3,FALSE),0)</f>
        <v>89286.853515625</v>
      </c>
      <c r="X387" s="26">
        <f t="shared" si="562"/>
        <v>5490.0346293904959</v>
      </c>
      <c r="Y387" s="26">
        <f>VLOOKUP($C387,COS!$B$8:$H$991,4,FALSE)</f>
        <v>0</v>
      </c>
      <c r="Z387" s="26">
        <f t="shared" si="563"/>
        <v>0</v>
      </c>
      <c r="AA387" s="26">
        <f t="shared" ref="AA387:AA391" si="620">MIN(W387,Y387)</f>
        <v>0</v>
      </c>
      <c r="AB387" s="33">
        <f t="shared" ref="AB387" si="621">AA387*DAY($C387)*86400/43560/1000*IF(MONTH($C387)=8,$P$3,IF(MONTH($C387)=9,$P$4,IF(MONTH($C387)=10,$P$5,IF(MONTH($C387)=11,$P$6,IF(MONTH($C387)=12,$P$7,NA())))))</f>
        <v>0</v>
      </c>
    </row>
    <row r="388" spans="1:28" x14ac:dyDescent="0.3">
      <c r="A388" s="32">
        <f>VLOOKUP(YEAR(C388),Flags!$A$13:$B$95,2,FALSE)</f>
        <v>1</v>
      </c>
      <c r="B388" s="24">
        <f t="shared" si="535"/>
        <v>1963</v>
      </c>
      <c r="C388" s="25">
        <v>23284</v>
      </c>
      <c r="D388" s="26"/>
      <c r="E388" s="24"/>
      <c r="F388" s="26"/>
      <c r="G388" s="24"/>
      <c r="H388" s="24"/>
      <c r="I388" s="26"/>
      <c r="J388" s="24"/>
      <c r="K388" s="26">
        <f>VLOOKUP($C388,COS!$B$8:$H$991,2,FALSE)</f>
        <v>2718.105712890625</v>
      </c>
      <c r="L388" s="24">
        <f t="shared" ref="L388" si="622">IF(AND(K388&gt;$I$7,K388&lt;$I$8),1,0)</f>
        <v>1</v>
      </c>
      <c r="M388" s="24"/>
      <c r="N388" s="26"/>
      <c r="O388" s="26"/>
      <c r="P388" s="26"/>
      <c r="Q388" s="26"/>
      <c r="R388" s="26"/>
      <c r="S388" s="26"/>
      <c r="T388" s="26"/>
      <c r="U388" s="26"/>
      <c r="V388" s="26"/>
      <c r="W388" s="26">
        <f>MAX($C$8-VLOOKUP($C388,COS!$B$8:$H$991,3,FALSE),0)</f>
        <v>84976.9580078125</v>
      </c>
      <c r="X388" s="26">
        <f t="shared" si="562"/>
        <v>5056.4801459194214</v>
      </c>
      <c r="Y388" s="26">
        <f>VLOOKUP($C388,COS!$B$8:$H$991,4,FALSE)</f>
        <v>0</v>
      </c>
      <c r="Z388" s="26">
        <f t="shared" si="563"/>
        <v>0</v>
      </c>
      <c r="AA388" s="26">
        <f t="shared" si="620"/>
        <v>0</v>
      </c>
      <c r="AB388" s="33">
        <f t="shared" si="548"/>
        <v>0</v>
      </c>
    </row>
    <row r="389" spans="1:28" x14ac:dyDescent="0.3">
      <c r="A389" s="32">
        <f>VLOOKUP(YEAR(C389),Flags!$A$13:$B$95,2,FALSE)</f>
        <v>1</v>
      </c>
      <c r="B389" s="24">
        <f t="shared" si="535"/>
        <v>1963</v>
      </c>
      <c r="C389" s="25">
        <v>23315</v>
      </c>
      <c r="D389" s="26"/>
      <c r="E389" s="24"/>
      <c r="F389" s="26"/>
      <c r="G389" s="26"/>
      <c r="H389" s="26"/>
      <c r="I389" s="26"/>
      <c r="J389" s="26"/>
      <c r="K389" s="26"/>
      <c r="L389" s="24"/>
      <c r="M389" s="24"/>
      <c r="N389" s="26"/>
      <c r="O389" s="26"/>
      <c r="P389" s="26"/>
      <c r="Q389" s="26"/>
      <c r="R389" s="26"/>
      <c r="S389" s="26"/>
      <c r="T389" s="26"/>
      <c r="U389" s="26"/>
      <c r="V389" s="26"/>
      <c r="W389" s="26">
        <f>MAX($C$9-VLOOKUP($C389,COS!$B$8:$H$991,3,FALSE),0)</f>
        <v>92588.90966796875</v>
      </c>
      <c r="X389" s="26">
        <f t="shared" si="562"/>
        <v>5693.0701481792357</v>
      </c>
      <c r="Y389" s="26">
        <f>VLOOKUP($C389,COS!$B$8:$H$991,4,FALSE)</f>
        <v>1189.5572509765625</v>
      </c>
      <c r="Z389" s="26">
        <f t="shared" si="563"/>
        <v>73.143024357567143</v>
      </c>
      <c r="AA389" s="26">
        <f t="shared" si="620"/>
        <v>1189.5572509765625</v>
      </c>
      <c r="AB389" s="33">
        <f t="shared" si="548"/>
        <v>73.143024357567143</v>
      </c>
    </row>
    <row r="390" spans="1:28" x14ac:dyDescent="0.3">
      <c r="A390" s="32">
        <f>VLOOKUP(YEAR(C390),Flags!$A$13:$B$95,2,FALSE)</f>
        <v>1</v>
      </c>
      <c r="B390" s="24">
        <f t="shared" si="535"/>
        <v>1963</v>
      </c>
      <c r="C390" s="25">
        <v>23345</v>
      </c>
      <c r="D390" s="26"/>
      <c r="E390" s="24"/>
      <c r="F390" s="26"/>
      <c r="G390" s="26"/>
      <c r="H390" s="26"/>
      <c r="I390" s="26"/>
      <c r="J390" s="26"/>
      <c r="K390" s="26"/>
      <c r="L390" s="24"/>
      <c r="M390" s="24"/>
      <c r="N390" s="26"/>
      <c r="O390" s="26"/>
      <c r="P390" s="26"/>
      <c r="Q390" s="26"/>
      <c r="R390" s="26"/>
      <c r="S390" s="26"/>
      <c r="T390" s="26"/>
      <c r="U390" s="26"/>
      <c r="V390" s="26"/>
      <c r="W390" s="26">
        <f>MAX($C$10-VLOOKUP($C390,COS!$B$8:$H$991,3,FALSE),0)</f>
        <v>93790.83056640625</v>
      </c>
      <c r="X390" s="26">
        <f t="shared" si="562"/>
        <v>5580.9419841167355</v>
      </c>
      <c r="Y390" s="26">
        <f>VLOOKUP($C390,COS!$B$8:$H$991,4,FALSE)</f>
        <v>1109.0794677734375</v>
      </c>
      <c r="Z390" s="26">
        <f t="shared" si="563"/>
        <v>65.994811305526866</v>
      </c>
      <c r="AA390" s="26">
        <f t="shared" si="620"/>
        <v>1109.0794677734375</v>
      </c>
      <c r="AB390" s="33">
        <f t="shared" si="548"/>
        <v>32.997405652763433</v>
      </c>
    </row>
    <row r="391" spans="1:28" x14ac:dyDescent="0.3">
      <c r="A391" s="34">
        <f>VLOOKUP(YEAR(C391),Flags!$A$13:$B$95,2,FALSE)</f>
        <v>1</v>
      </c>
      <c r="B391" s="35">
        <f t="shared" si="535"/>
        <v>1963</v>
      </c>
      <c r="C391" s="36">
        <v>23376</v>
      </c>
      <c r="D391" s="37"/>
      <c r="E391" s="35"/>
      <c r="F391" s="37"/>
      <c r="G391" s="37"/>
      <c r="H391" s="37"/>
      <c r="I391" s="37"/>
      <c r="J391" s="37"/>
      <c r="K391" s="37"/>
      <c r="L391" s="35"/>
      <c r="M391" s="35"/>
      <c r="N391" s="37"/>
      <c r="O391" s="37"/>
      <c r="P391" s="37"/>
      <c r="Q391" s="37"/>
      <c r="R391" s="37"/>
      <c r="S391" s="37"/>
      <c r="T391" s="37"/>
      <c r="U391" s="37"/>
      <c r="V391" s="37"/>
      <c r="W391" s="37">
        <f>MAX($C$11-VLOOKUP($C391,COS!$B$8:$H$991,3,FALSE),0)</f>
        <v>0</v>
      </c>
      <c r="X391" s="37">
        <f t="shared" si="562"/>
        <v>0</v>
      </c>
      <c r="Y391" s="37">
        <f>VLOOKUP($C391,COS!$B$8:$H$991,4,FALSE)</f>
        <v>347.96035766601563</v>
      </c>
      <c r="Z391" s="37">
        <f t="shared" si="563"/>
        <v>21.395248438307078</v>
      </c>
      <c r="AA391" s="37">
        <f t="shared" si="620"/>
        <v>0</v>
      </c>
      <c r="AB391" s="38">
        <f t="shared" si="548"/>
        <v>0</v>
      </c>
    </row>
    <row r="392" spans="1:28" x14ac:dyDescent="0.3">
      <c r="A392" s="27">
        <f>VLOOKUP(YEAR(C392),Flags!$A$13:$B$95,2,FALSE)</f>
        <v>4</v>
      </c>
      <c r="B392" s="28">
        <f t="shared" si="535"/>
        <v>1964</v>
      </c>
      <c r="C392" s="29">
        <v>23497</v>
      </c>
      <c r="D392" s="30">
        <f>VLOOKUP($C392,COS!$B$8:$H$991,3,FALSE)</f>
        <v>6091.94580078125</v>
      </c>
      <c r="E392" s="28">
        <f>IF(D392&gt;=IF(MONTH($C392)=4,$C$3,IF(MONTH($C392)=5,$C$4,IF(MONTH($C392)=6,$C$5,IF(MONTH($C392)=7,$C$6,"ERROR")))),1,0)</f>
        <v>1</v>
      </c>
      <c r="F392" s="30">
        <f>VLOOKUP($C392,COS!$B$8:$H$991,7,FALSE)</f>
        <v>49.550472259521484</v>
      </c>
      <c r="G392" s="28">
        <f>IF(F392&lt;=IF(MONTH($C392)=4,$F$3,IF(MONTH($C392)=5,$F$4,IF(MONTH($C392)=6,$F$5,IF(MONTH($C392)=7,$F$6,"ERROR")))),1,0)</f>
        <v>1</v>
      </c>
      <c r="H392" s="30">
        <f>IF(J392=1,D392-$C$3,0)</f>
        <v>91.94580078125</v>
      </c>
      <c r="I392" s="30">
        <f t="shared" si="558"/>
        <v>5.4711550878099171</v>
      </c>
      <c r="J392" s="28">
        <f t="shared" ref="J392:J395" si="623">IF(AND(E392=1,G392=1),1,0)</f>
        <v>1</v>
      </c>
      <c r="K392" s="30">
        <f>VLOOKUP($C392,COS!$B$8:$H$991,2,FALSE)</f>
        <v>3746.64306640625</v>
      </c>
      <c r="L392" s="28">
        <f t="shared" ref="L392" si="624">IF(K392&lt;=IF(MONTH($C392)=4,$I$3,IF(MONTH($C392)=5,$I$4,IF(MONTH($C392)=6,$I$5,IF(MONTH($C392)=7,$I$6,"ERROR")))),1,0)</f>
        <v>1</v>
      </c>
      <c r="M392" s="28">
        <f t="shared" ref="M392" si="625">VLOOKUP($A392,$L$3:$M$7,2,FALSE)</f>
        <v>1</v>
      </c>
      <c r="N392" s="30">
        <f>VLOOKUP($C392,COS!$B$8:$H$991,5,FALSE)</f>
        <v>316.77880859375</v>
      </c>
      <c r="O392" s="30">
        <f t="shared" ref="O392:O395" si="626">N392*DAY($C392)*86400/43560/1000</f>
        <v>18.849648114669421</v>
      </c>
      <c r="P392" s="30">
        <f>VLOOKUP($C392,COS!$B$8:$H$991,6,FALSE)</f>
        <v>564.8997802734375</v>
      </c>
      <c r="Q392" s="30">
        <f t="shared" ref="Q392:Q395" si="627">P392*DAY($C392)*86400/43560/1000</f>
        <v>33.613871222882231</v>
      </c>
      <c r="R392" s="30">
        <f>MIN(IF(MONTH($C392)=4,$S$3,IF(MONTH($C392)=5,$S$4,IF(MONTH($C392)=6,$S$5,IF(MONTH($C392)=7,$S$6,"ERROR")))),MAX(VLOOKUP($C392,COS!$B$8:$K$991,10,FALSE)-IF(MONTH($C392)=4,$Y$3,IF(MONTH($C392)=5,$Y$4,IF(MONTH($C392)=6,$Y$5,IF(MONTH($C392)=7,$Y$6,"ERROR")))),0),MAX(VLOOKUP($C392,COS!$B$8:$K$991,9,FALSE)-IF(MONTH($C392)=4,$V$3,IF(MONTH($C392)=5,$V$4,IF(MONTH($C392)=6,$V$5,IF(MONTH($C392)=7,$V$6,"ERROR"))))-VLOOKUP($C392,COS!$B$8:$K$991,6,FALSE)/2,0))</f>
        <v>0</v>
      </c>
      <c r="S392" s="30">
        <f t="shared" ref="S392:S395" si="628">R392*DAY($C392)*86400/43560/1000</f>
        <v>0</v>
      </c>
      <c r="T392" s="30">
        <f t="shared" ref="T392:T395" si="629">(O392+Q392)/2+S392</f>
        <v>26.231759668775826</v>
      </c>
      <c r="U392" s="30" t="str">
        <f>IF(VLOOKUP($C392,COS!$B$8:$I$991,8,FALSE)=1,"UWFE","IBU")</f>
        <v>UWFE</v>
      </c>
      <c r="V392" s="30">
        <f t="shared" ref="V392" si="630">MIN(IF(IF($AA$3=2,AND(E392=1,G392=1,L392=1,L397=1,M392=1,U392="IBU"),AND(E392=1,G392=1,L392=1,L397=1,M392=1)),T392,0),I392)</f>
        <v>0</v>
      </c>
      <c r="W392" s="30"/>
      <c r="X392" s="30"/>
      <c r="Y392" s="30"/>
      <c r="Z392" s="30"/>
      <c r="AA392" s="30"/>
      <c r="AB392" s="31"/>
    </row>
    <row r="393" spans="1:28" x14ac:dyDescent="0.3">
      <c r="A393" s="32">
        <f>VLOOKUP(YEAR(C393),Flags!$A$13:$B$95,2,FALSE)</f>
        <v>4</v>
      </c>
      <c r="B393" s="24">
        <f t="shared" si="535"/>
        <v>1964</v>
      </c>
      <c r="C393" s="25">
        <v>23528</v>
      </c>
      <c r="D393" s="26">
        <f>VLOOKUP($C393,COS!$B$8:$H$991,3,FALSE)</f>
        <v>6700.63427734375</v>
      </c>
      <c r="E393" s="24">
        <f>IF(D393&gt;=IF(MONTH($C393)=4,$C$3,IF(MONTH($C393)=5,$C$4,IF(MONTH($C393)=6,$C$5,IF(MONTH($C393)=7,$C$6,"ERROR")))),1,0)</f>
        <v>1</v>
      </c>
      <c r="F393" s="26">
        <f>VLOOKUP($C393,COS!$B$8:$H$991,7,FALSE)</f>
        <v>50.719039916992188</v>
      </c>
      <c r="G393" s="24">
        <f>IF(F393&lt;=IF(MONTH($C393)=4,$F$3,IF(MONTH($C393)=5,$F$4,IF(MONTH($C393)=6,$F$5,IF(MONTH($C393)=7,$F$6,"ERROR")))),1,0)</f>
        <v>1</v>
      </c>
      <c r="H393" s="26">
        <f>IF(J393=1,D393-$C$4,0)</f>
        <v>700.63427734375</v>
      </c>
      <c r="I393" s="26">
        <f t="shared" si="558"/>
        <v>43.080322507747937</v>
      </c>
      <c r="J393" s="24">
        <f t="shared" si="623"/>
        <v>1</v>
      </c>
      <c r="K393" s="26">
        <f>VLOOKUP($C393,COS!$B$8:$H$991,2,FALSE)</f>
        <v>3609.5830078125</v>
      </c>
      <c r="L393" s="24">
        <f t="shared" si="537"/>
        <v>1</v>
      </c>
      <c r="M393" s="24">
        <f t="shared" si="538"/>
        <v>1</v>
      </c>
      <c r="N393" s="26">
        <f>VLOOKUP($C393,COS!$B$8:$H$991,5,FALSE)</f>
        <v>332.74734497070313</v>
      </c>
      <c r="O393" s="26">
        <f t="shared" si="626"/>
        <v>20.459836748611828</v>
      </c>
      <c r="P393" s="26">
        <f>VLOOKUP($C393,COS!$B$8:$H$991,6,FALSE)</f>
        <v>2309.841796875</v>
      </c>
      <c r="Q393" s="26">
        <f t="shared" si="627"/>
        <v>142.02663610537189</v>
      </c>
      <c r="R393" s="26">
        <f>MIN(IF(MONTH($C393)=4,$S$3,IF(MONTH($C393)=5,$S$4,IF(MONTH($C393)=6,$S$5,IF(MONTH($C393)=7,$S$6,"ERROR")))),MAX(VLOOKUP($C393,COS!$B$8:$K$991,10,FALSE)-IF(MONTH($C393)=4,$Y$3,IF(MONTH($C393)=5,$Y$4,IF(MONTH($C393)=6,$Y$5,IF(MONTH($C393)=7,$Y$6,"ERROR")))),0),MAX(VLOOKUP($C393,COS!$B$8:$K$991,9,FALSE)-IF(MONTH($C393)=4,$V$3,IF(MONTH($C393)=5,$V$4,IF(MONTH($C393)=6,$V$5,IF(MONTH($C393)=7,$V$6,"ERROR"))))-VLOOKUP($C393,COS!$B$8:$K$991,6,FALSE)/2,0))</f>
        <v>0</v>
      </c>
      <c r="S393" s="26">
        <f t="shared" si="628"/>
        <v>0</v>
      </c>
      <c r="T393" s="26">
        <f t="shared" si="629"/>
        <v>81.243236426991857</v>
      </c>
      <c r="U393" s="26" t="str">
        <f>IF(VLOOKUP($C393,COS!$B$8:$I$991,8,FALSE)=1,"UWFE","IBU")</f>
        <v>UWFE</v>
      </c>
      <c r="V393" s="26">
        <f t="shared" ref="V393" si="631">MIN(IF(IF($AA$3=2,AND(E393=1,G393=1,L393=1,L397=1,M393=1,U393="IBU"),AND(E393=1,G393=1,L393=1,L397=1,M393=1)),T393,0),I393)</f>
        <v>0</v>
      </c>
      <c r="W393" s="26"/>
      <c r="X393" s="26"/>
      <c r="Y393" s="26"/>
      <c r="Z393" s="26"/>
      <c r="AA393" s="26"/>
      <c r="AB393" s="33"/>
    </row>
    <row r="394" spans="1:28" x14ac:dyDescent="0.3">
      <c r="A394" s="32">
        <f>VLOOKUP(YEAR(C394),Flags!$A$13:$B$95,2,FALSE)</f>
        <v>4</v>
      </c>
      <c r="B394" s="24">
        <f t="shared" si="535"/>
        <v>1964</v>
      </c>
      <c r="C394" s="25">
        <v>23558</v>
      </c>
      <c r="D394" s="26">
        <f>VLOOKUP($C394,COS!$B$8:$H$991,3,FALSE)</f>
        <v>8947.9150390625</v>
      </c>
      <c r="E394" s="24">
        <f>IF(D394&gt;=IF(MONTH($C394)=4,$C$3,IF(MONTH($C394)=5,$C$4,IF(MONTH($C394)=6,$C$5,IF(MONTH($C394)=7,$C$6,"ERROR")))),1,0)</f>
        <v>0</v>
      </c>
      <c r="F394" s="26">
        <f>VLOOKUP($C394,COS!$B$8:$H$991,7,FALSE)</f>
        <v>51.899105072021484</v>
      </c>
      <c r="G394" s="24">
        <f>IF(F394&lt;=IF(MONTH($C394)=4,$F$3,IF(MONTH($C394)=5,$F$4,IF(MONTH($C394)=6,$F$5,IF(MONTH($C394)=7,$F$6,"ERROR")))),1,0)</f>
        <v>1</v>
      </c>
      <c r="H394" s="26">
        <f>IF(J394=1,D394-$C$5,0)</f>
        <v>0</v>
      </c>
      <c r="I394" s="26">
        <f t="shared" si="558"/>
        <v>0</v>
      </c>
      <c r="J394" s="24">
        <f t="shared" si="623"/>
        <v>0</v>
      </c>
      <c r="K394" s="26">
        <f>VLOOKUP($C394,COS!$B$8:$H$991,2,FALSE)</f>
        <v>3402.844970703125</v>
      </c>
      <c r="L394" s="24">
        <f t="shared" si="537"/>
        <v>1</v>
      </c>
      <c r="M394" s="24">
        <f t="shared" si="538"/>
        <v>1</v>
      </c>
      <c r="N394" s="26">
        <f>VLOOKUP($C394,COS!$B$8:$H$991,5,FALSE)</f>
        <v>359.117431640625</v>
      </c>
      <c r="O394" s="26">
        <f t="shared" si="626"/>
        <v>21.368971138946282</v>
      </c>
      <c r="P394" s="26">
        <f>VLOOKUP($C394,COS!$B$8:$H$991,6,FALSE)</f>
        <v>2607.746826171875</v>
      </c>
      <c r="Q394" s="26">
        <f t="shared" si="627"/>
        <v>155.17171197055785</v>
      </c>
      <c r="R394" s="26">
        <f>MIN(IF(MONTH($C394)=4,$S$3,IF(MONTH($C394)=5,$S$4,IF(MONTH($C394)=6,$S$5,IF(MONTH($C394)=7,$S$6,"ERROR")))),MAX(VLOOKUP($C394,COS!$B$8:$K$991,10,FALSE)-IF(MONTH($C394)=4,$Y$3,IF(MONTH($C394)=5,$Y$4,IF(MONTH($C394)=6,$Y$5,IF(MONTH($C394)=7,$Y$6,"ERROR")))),0),MAX(VLOOKUP($C394,COS!$B$8:$K$991,9,FALSE)-IF(MONTH($C394)=4,$V$3,IF(MONTH($C394)=5,$V$4,IF(MONTH($C394)=6,$V$5,IF(MONTH($C394)=7,$V$6,"ERROR"))))-VLOOKUP($C394,COS!$B$8:$K$991,6,FALSE)/2,0))</f>
        <v>0</v>
      </c>
      <c r="S394" s="26">
        <f t="shared" si="628"/>
        <v>0</v>
      </c>
      <c r="T394" s="26">
        <f t="shared" si="629"/>
        <v>88.270341554752065</v>
      </c>
      <c r="U394" s="26" t="str">
        <f>IF(VLOOKUP($C394,COS!$B$8:$I$991,8,FALSE)=1,"UWFE","IBU")</f>
        <v>IBU</v>
      </c>
      <c r="V394" s="26">
        <f t="shared" ref="V394" si="632">MIN(IF(IF($AA$3=2,AND(E394=1,G394=1,L394=1,L397=1,M394=1,U394="IBU"),AND(E394=1,G394=1,L394=1,L397=1,M394=1)),T394,0),I394)</f>
        <v>0</v>
      </c>
      <c r="W394" s="26"/>
      <c r="X394" s="26"/>
      <c r="Y394" s="26"/>
      <c r="Z394" s="26"/>
      <c r="AA394" s="26"/>
      <c r="AB394" s="33"/>
    </row>
    <row r="395" spans="1:28" x14ac:dyDescent="0.3">
      <c r="A395" s="32">
        <f>VLOOKUP(YEAR(C395),Flags!$A$13:$B$95,2,FALSE)</f>
        <v>4</v>
      </c>
      <c r="B395" s="24">
        <f t="shared" si="535"/>
        <v>1964</v>
      </c>
      <c r="C395" s="25">
        <v>23589</v>
      </c>
      <c r="D395" s="26">
        <f>VLOOKUP($C395,COS!$B$8:$H$991,3,FALSE)</f>
        <v>14511.1044921875</v>
      </c>
      <c r="E395" s="24">
        <f>IF(D395&gt;=IF(MONTH($C395)=4,$C$3,IF(MONTH($C395)=5,$C$4,IF(MONTH($C395)=6,$C$5,IF(MONTH($C395)=7,$C$6,"ERROR")))),1,0)</f>
        <v>1</v>
      </c>
      <c r="F395" s="26">
        <f>VLOOKUP($C395,COS!$B$8:$H$991,7,FALSE)</f>
        <v>52.263500213623047</v>
      </c>
      <c r="G395" s="24">
        <f>IF(F395&lt;=IF(MONTH($C395)=4,$F$3,IF(MONTH($C395)=5,$F$4,IF(MONTH($C395)=6,$F$5,IF(MONTH($C395)=7,$F$6,"ERROR")))),1,0)</f>
        <v>1</v>
      </c>
      <c r="H395" s="26">
        <f>IF(J395=1,D395-$C$6,0)</f>
        <v>2511.1044921875</v>
      </c>
      <c r="I395" s="26">
        <f t="shared" si="558"/>
        <v>154.401796875</v>
      </c>
      <c r="J395" s="24">
        <f t="shared" si="623"/>
        <v>1</v>
      </c>
      <c r="K395" s="26">
        <f>VLOOKUP($C395,COS!$B$8:$H$991,2,FALSE)</f>
        <v>2786.120361328125</v>
      </c>
      <c r="L395" s="24">
        <f t="shared" si="537"/>
        <v>1</v>
      </c>
      <c r="M395" s="24">
        <f t="shared" si="538"/>
        <v>1</v>
      </c>
      <c r="N395" s="26">
        <f>VLOOKUP($C395,COS!$B$8:$H$991,5,FALSE)</f>
        <v>422.46829223632813</v>
      </c>
      <c r="O395" s="26">
        <f t="shared" si="626"/>
        <v>25.976562762299842</v>
      </c>
      <c r="P395" s="26">
        <f>VLOOKUP($C395,COS!$B$8:$H$991,6,FALSE)</f>
        <v>2533.61962890625</v>
      </c>
      <c r="Q395" s="26">
        <f t="shared" si="627"/>
        <v>155.78619866993802</v>
      </c>
      <c r="R395" s="26">
        <f>MIN(IF(MONTH($C395)=4,$S$3,IF(MONTH($C395)=5,$S$4,IF(MONTH($C395)=6,$S$5,IF(MONTH($C395)=7,$S$6,"ERROR")))),MAX(VLOOKUP($C395,COS!$B$8:$K$991,10,FALSE)-IF(MONTH($C395)=4,$Y$3,IF(MONTH($C395)=5,$Y$4,IF(MONTH($C395)=6,$Y$5,IF(MONTH($C395)=7,$Y$6,"ERROR")))),0),MAX(VLOOKUP($C395,COS!$B$8:$K$991,9,FALSE)-IF(MONTH($C395)=4,$V$3,IF(MONTH($C395)=5,$V$4,IF(MONTH($C395)=6,$V$5,IF(MONTH($C395)=7,$V$6,"ERROR"))))-VLOOKUP($C395,COS!$B$8:$K$991,6,FALSE)/2,0))</f>
        <v>0</v>
      </c>
      <c r="S395" s="26">
        <f t="shared" si="628"/>
        <v>0</v>
      </c>
      <c r="T395" s="26">
        <f t="shared" si="629"/>
        <v>90.881380716118926</v>
      </c>
      <c r="U395" s="26" t="str">
        <f>IF(VLOOKUP($C395,COS!$B$8:$I$991,8,FALSE)=1,"UWFE","IBU")</f>
        <v>IBU</v>
      </c>
      <c r="V395" s="26">
        <f t="shared" ref="V395" si="633">MIN(IF(IF($AA$3=2,AND(E395=1,G395=1,L395=1,L397=1,M395=1,U395="IBU"),AND(E395=1,G395=1,L395=1,L397=1,M395=1)),T395,0),I395)</f>
        <v>90.881380716118926</v>
      </c>
      <c r="W395" s="26"/>
      <c r="X395" s="26"/>
      <c r="Y395" s="26"/>
      <c r="Z395" s="26"/>
      <c r="AA395" s="26"/>
      <c r="AB395" s="33"/>
    </row>
    <row r="396" spans="1:28" x14ac:dyDescent="0.3">
      <c r="A396" s="32">
        <f>VLOOKUP(YEAR(C396),Flags!$A$13:$B$95,2,FALSE)</f>
        <v>4</v>
      </c>
      <c r="B396" s="24">
        <f t="shared" si="535"/>
        <v>1964</v>
      </c>
      <c r="C396" s="25">
        <v>23620</v>
      </c>
      <c r="D396" s="26"/>
      <c r="E396" s="24"/>
      <c r="F396" s="26"/>
      <c r="G396" s="24"/>
      <c r="H396" s="24"/>
      <c r="I396" s="26"/>
      <c r="J396" s="24"/>
      <c r="K396" s="26"/>
      <c r="L396" s="24"/>
      <c r="M396" s="24"/>
      <c r="N396" s="26"/>
      <c r="O396" s="26"/>
      <c r="P396" s="26"/>
      <c r="Q396" s="26"/>
      <c r="R396" s="26"/>
      <c r="S396" s="26"/>
      <c r="T396" s="26"/>
      <c r="U396" s="26"/>
      <c r="V396" s="26"/>
      <c r="W396" s="26">
        <f>MAX($C$7-VLOOKUP($C396,COS!$B$8:$H$991,3,FALSE),0)</f>
        <v>91194.7255859375</v>
      </c>
      <c r="X396" s="26">
        <f t="shared" si="562"/>
        <v>5607.3451104080577</v>
      </c>
      <c r="Y396" s="26">
        <f>VLOOKUP($C396,COS!$B$8:$H$991,4,FALSE)</f>
        <v>771.8970947265625</v>
      </c>
      <c r="Z396" s="26">
        <f t="shared" si="563"/>
        <v>47.462102353434915</v>
      </c>
      <c r="AA396" s="26">
        <f t="shared" ref="AA396:AA400" si="634">MIN(W396,Y396)</f>
        <v>771.8970947265625</v>
      </c>
      <c r="AB396" s="33">
        <f t="shared" ref="AB396" si="635">AA396*DAY($C396)*86400/43560/1000*IF(MONTH($C396)=8,$P$3,IF(MONTH($C396)=9,$P$4,IF(MONTH($C396)=10,$P$5,IF(MONTH($C396)=11,$P$6,IF(MONTH($C396)=12,$P$7,NA())))))</f>
        <v>47.462102353434915</v>
      </c>
    </row>
    <row r="397" spans="1:28" x14ac:dyDescent="0.3">
      <c r="A397" s="32">
        <f>VLOOKUP(YEAR(C397),Flags!$A$13:$B$95,2,FALSE)</f>
        <v>4</v>
      </c>
      <c r="B397" s="24">
        <f t="shared" si="535"/>
        <v>1964</v>
      </c>
      <c r="C397" s="25">
        <v>23650</v>
      </c>
      <c r="D397" s="26"/>
      <c r="E397" s="24"/>
      <c r="F397" s="26"/>
      <c r="G397" s="24"/>
      <c r="H397" s="24"/>
      <c r="I397" s="26"/>
      <c r="J397" s="24"/>
      <c r="K397" s="26">
        <f>VLOOKUP($C397,COS!$B$8:$H$991,2,FALSE)</f>
        <v>2475.959716796875</v>
      </c>
      <c r="L397" s="24">
        <f t="shared" ref="L397" si="636">IF(AND(K397&gt;$I$7,K397&lt;$I$8),1,0)</f>
        <v>1</v>
      </c>
      <c r="M397" s="24"/>
      <c r="N397" s="26"/>
      <c r="O397" s="26"/>
      <c r="P397" s="26"/>
      <c r="Q397" s="26"/>
      <c r="R397" s="26"/>
      <c r="S397" s="26"/>
      <c r="T397" s="26"/>
      <c r="U397" s="26"/>
      <c r="V397" s="26"/>
      <c r="W397" s="26">
        <f>MAX($C$8-VLOOKUP($C397,COS!$B$8:$H$991,3,FALSE),0)</f>
        <v>95000.587890625</v>
      </c>
      <c r="X397" s="26">
        <f t="shared" si="562"/>
        <v>5652.9275439049579</v>
      </c>
      <c r="Y397" s="26">
        <f>VLOOKUP($C397,COS!$B$8:$H$991,4,FALSE)</f>
        <v>1010.355224609375</v>
      </c>
      <c r="Z397" s="26">
        <f t="shared" si="563"/>
        <v>60.120310885847111</v>
      </c>
      <c r="AA397" s="26">
        <f t="shared" si="634"/>
        <v>1010.355224609375</v>
      </c>
      <c r="AB397" s="33">
        <f t="shared" si="548"/>
        <v>60.120310885847111</v>
      </c>
    </row>
    <row r="398" spans="1:28" x14ac:dyDescent="0.3">
      <c r="A398" s="32">
        <f>VLOOKUP(YEAR(C398),Flags!$A$13:$B$95,2,FALSE)</f>
        <v>4</v>
      </c>
      <c r="B398" s="24">
        <f t="shared" si="535"/>
        <v>1964</v>
      </c>
      <c r="C398" s="25">
        <v>23681</v>
      </c>
      <c r="D398" s="26"/>
      <c r="E398" s="24"/>
      <c r="F398" s="26"/>
      <c r="G398" s="26"/>
      <c r="H398" s="26"/>
      <c r="I398" s="26"/>
      <c r="J398" s="26"/>
      <c r="K398" s="26"/>
      <c r="L398" s="24"/>
      <c r="M398" s="24"/>
      <c r="N398" s="26"/>
      <c r="O398" s="26"/>
      <c r="P398" s="26"/>
      <c r="Q398" s="26"/>
      <c r="R398" s="26"/>
      <c r="S398" s="26"/>
      <c r="T398" s="26"/>
      <c r="U398" s="26"/>
      <c r="V398" s="26"/>
      <c r="W398" s="26">
        <f>MAX($C$9-VLOOKUP($C398,COS!$B$8:$H$991,3,FALSE),0)</f>
        <v>94941.07861328125</v>
      </c>
      <c r="X398" s="26">
        <f t="shared" si="562"/>
        <v>5837.6993791967971</v>
      </c>
      <c r="Y398" s="26">
        <f>VLOOKUP($C398,COS!$B$8:$H$991,4,FALSE)</f>
        <v>1503.157470703125</v>
      </c>
      <c r="Z398" s="26">
        <f t="shared" si="563"/>
        <v>92.425550264721082</v>
      </c>
      <c r="AA398" s="26">
        <f t="shared" si="634"/>
        <v>1503.157470703125</v>
      </c>
      <c r="AB398" s="33">
        <f t="shared" si="548"/>
        <v>92.425550264721082</v>
      </c>
    </row>
    <row r="399" spans="1:28" x14ac:dyDescent="0.3">
      <c r="A399" s="32">
        <f>VLOOKUP(YEAR(C399),Flags!$A$13:$B$95,2,FALSE)</f>
        <v>4</v>
      </c>
      <c r="B399" s="24">
        <f t="shared" ref="B399:B462" si="637">YEAR(C399)</f>
        <v>1964</v>
      </c>
      <c r="C399" s="25">
        <v>23711</v>
      </c>
      <c r="D399" s="26"/>
      <c r="E399" s="24"/>
      <c r="F399" s="26"/>
      <c r="G399" s="26"/>
      <c r="H399" s="26"/>
      <c r="I399" s="26"/>
      <c r="J399" s="26"/>
      <c r="K399" s="26"/>
      <c r="L399" s="24"/>
      <c r="M399" s="24"/>
      <c r="N399" s="26"/>
      <c r="O399" s="26"/>
      <c r="P399" s="26"/>
      <c r="Q399" s="26"/>
      <c r="R399" s="26"/>
      <c r="S399" s="26"/>
      <c r="T399" s="26"/>
      <c r="U399" s="26"/>
      <c r="V399" s="26"/>
      <c r="W399" s="26">
        <f>MAX($C$10-VLOOKUP($C399,COS!$B$8:$H$991,3,FALSE),0)</f>
        <v>96749</v>
      </c>
      <c r="X399" s="26">
        <f t="shared" si="562"/>
        <v>5756.965289256198</v>
      </c>
      <c r="Y399" s="26">
        <f>VLOOKUP($C399,COS!$B$8:$H$991,4,FALSE)</f>
        <v>1991.6624755859375</v>
      </c>
      <c r="Z399" s="26">
        <f t="shared" si="563"/>
        <v>118.51214730759297</v>
      </c>
      <c r="AA399" s="26">
        <f t="shared" si="634"/>
        <v>1991.6624755859375</v>
      </c>
      <c r="AB399" s="33">
        <f t="shared" si="548"/>
        <v>59.256073653796484</v>
      </c>
    </row>
    <row r="400" spans="1:28" x14ac:dyDescent="0.3">
      <c r="A400" s="34">
        <f>VLOOKUP(YEAR(C400),Flags!$A$13:$B$95,2,FALSE)</f>
        <v>4</v>
      </c>
      <c r="B400" s="35">
        <f t="shared" si="637"/>
        <v>1964</v>
      </c>
      <c r="C400" s="36">
        <v>23742</v>
      </c>
      <c r="D400" s="37"/>
      <c r="E400" s="35"/>
      <c r="F400" s="37"/>
      <c r="G400" s="37"/>
      <c r="H400" s="37"/>
      <c r="I400" s="37"/>
      <c r="J400" s="37"/>
      <c r="K400" s="37"/>
      <c r="L400" s="35"/>
      <c r="M400" s="35"/>
      <c r="N400" s="37"/>
      <c r="O400" s="37"/>
      <c r="P400" s="37"/>
      <c r="Q400" s="37"/>
      <c r="R400" s="37"/>
      <c r="S400" s="37"/>
      <c r="T400" s="37"/>
      <c r="U400" s="37"/>
      <c r="V400" s="37"/>
      <c r="W400" s="37">
        <f>MAX($C$11-VLOOKUP($C400,COS!$B$8:$H$991,3,FALSE),0)</f>
        <v>0</v>
      </c>
      <c r="X400" s="37">
        <f t="shared" si="562"/>
        <v>0</v>
      </c>
      <c r="Y400" s="37">
        <f>VLOOKUP($C400,COS!$B$8:$H$991,4,FALSE)</f>
        <v>0</v>
      </c>
      <c r="Z400" s="37">
        <f t="shared" si="563"/>
        <v>0</v>
      </c>
      <c r="AA400" s="37">
        <f t="shared" si="634"/>
        <v>0</v>
      </c>
      <c r="AB400" s="38">
        <f t="shared" si="548"/>
        <v>0</v>
      </c>
    </row>
    <row r="401" spans="1:28" x14ac:dyDescent="0.3">
      <c r="A401" s="27">
        <f>VLOOKUP(YEAR(C401),Flags!$A$13:$B$95,2,FALSE)</f>
        <v>1</v>
      </c>
      <c r="B401" s="28">
        <f t="shared" si="637"/>
        <v>1965</v>
      </c>
      <c r="C401" s="29">
        <v>23862</v>
      </c>
      <c r="D401" s="30">
        <f>VLOOKUP($C401,COS!$B$8:$H$991,3,FALSE)</f>
        <v>6748.35888671875</v>
      </c>
      <c r="E401" s="28">
        <f>IF(D401&gt;=IF(MONTH($C401)=4,$C$3,IF(MONTH($C401)=5,$C$4,IF(MONTH($C401)=6,$C$5,IF(MONTH($C401)=7,$C$6,"ERROR")))),1,0)</f>
        <v>1</v>
      </c>
      <c r="F401" s="30">
        <f>VLOOKUP($C401,COS!$B$8:$H$991,7,FALSE)</f>
        <v>46.947509765625</v>
      </c>
      <c r="G401" s="28">
        <f>IF(F401&lt;=IF(MONTH($C401)=4,$F$3,IF(MONTH($C401)=5,$F$4,IF(MONTH($C401)=6,$F$5,IF(MONTH($C401)=7,$F$6,"ERROR")))),1,0)</f>
        <v>1</v>
      </c>
      <c r="H401" s="30">
        <f>IF(J401=1,D401-$C$3,0)</f>
        <v>748.35888671875</v>
      </c>
      <c r="I401" s="30">
        <f t="shared" si="558"/>
        <v>44.530446151859508</v>
      </c>
      <c r="J401" s="28">
        <f t="shared" ref="J401:J404" si="638">IF(AND(E401=1,G401=1),1,0)</f>
        <v>1</v>
      </c>
      <c r="K401" s="30">
        <f>VLOOKUP($C401,COS!$B$8:$H$991,2,FALSE)</f>
        <v>4500</v>
      </c>
      <c r="L401" s="28">
        <f t="shared" ref="L401:L458" si="639">IF(K401&lt;=IF(MONTH($C401)=4,$I$3,IF(MONTH($C401)=5,$I$4,IF(MONTH($C401)=6,$I$5,IF(MONTH($C401)=7,$I$6,"ERROR")))),1,0)</f>
        <v>1</v>
      </c>
      <c r="M401" s="28">
        <f t="shared" ref="M401:M458" si="640">VLOOKUP($A401,$L$3:$M$7,2,FALSE)</f>
        <v>0</v>
      </c>
      <c r="N401" s="30">
        <f>VLOOKUP($C401,COS!$B$8:$H$991,5,FALSE)</f>
        <v>15.99506664276123</v>
      </c>
      <c r="O401" s="30">
        <f t="shared" ref="O401:O404" si="641">N401*DAY($C401)*86400/43560/1000</f>
        <v>0.95177256056099879</v>
      </c>
      <c r="P401" s="30">
        <f>VLOOKUP($C401,COS!$B$8:$H$991,6,FALSE)</f>
        <v>409.699951171875</v>
      </c>
      <c r="Q401" s="30">
        <f t="shared" ref="Q401:Q404" si="642">P401*DAY($C401)*86400/43560/1000</f>
        <v>24.378840069731407</v>
      </c>
      <c r="R401" s="30">
        <f>MIN(IF(MONTH($C401)=4,$S$3,IF(MONTH($C401)=5,$S$4,IF(MONTH($C401)=6,$S$5,IF(MONTH($C401)=7,$S$6,"ERROR")))),MAX(VLOOKUP($C401,COS!$B$8:$K$991,10,FALSE)-IF(MONTH($C401)=4,$Y$3,IF(MONTH($C401)=5,$Y$4,IF(MONTH($C401)=6,$Y$5,IF(MONTH($C401)=7,$Y$6,"ERROR")))),0),MAX(VLOOKUP($C401,COS!$B$8:$K$991,9,FALSE)-IF(MONTH($C401)=4,$V$3,IF(MONTH($C401)=5,$V$4,IF(MONTH($C401)=6,$V$5,IF(MONTH($C401)=7,$V$6,"ERROR"))))-VLOOKUP($C401,COS!$B$8:$K$991,6,FALSE)/2,0))</f>
        <v>0</v>
      </c>
      <c r="S401" s="30">
        <f t="shared" ref="S401:S404" si="643">R401*DAY($C401)*86400/43560/1000</f>
        <v>0</v>
      </c>
      <c r="T401" s="30">
        <f t="shared" ref="T401:T404" si="644">(O401+Q401)/2+S401</f>
        <v>12.665306315146204</v>
      </c>
      <c r="U401" s="30" t="str">
        <f>IF(VLOOKUP($C401,COS!$B$8:$I$991,8,FALSE)=1,"UWFE","IBU")</f>
        <v>UWFE</v>
      </c>
      <c r="V401" s="30">
        <f t="shared" ref="V401" si="645">MIN(IF(IF($AA$3=2,AND(E401=1,G401=1,L401=1,L406=1,M401=1,U401="IBU"),AND(E401=1,G401=1,L401=1,L406=1,M401=1)),T401,0),I401)</f>
        <v>0</v>
      </c>
      <c r="W401" s="30"/>
      <c r="X401" s="30"/>
      <c r="Y401" s="30"/>
      <c r="Z401" s="30"/>
      <c r="AA401" s="30"/>
      <c r="AB401" s="31"/>
    </row>
    <row r="402" spans="1:28" x14ac:dyDescent="0.3">
      <c r="A402" s="32">
        <f>VLOOKUP(YEAR(C402),Flags!$A$13:$B$95,2,FALSE)</f>
        <v>1</v>
      </c>
      <c r="B402" s="24">
        <f t="shared" si="637"/>
        <v>1965</v>
      </c>
      <c r="C402" s="25">
        <v>23893</v>
      </c>
      <c r="D402" s="26">
        <f>VLOOKUP($C402,COS!$B$8:$H$991,3,FALSE)</f>
        <v>6685.54638671875</v>
      </c>
      <c r="E402" s="24">
        <f>IF(D402&gt;=IF(MONTH($C402)=4,$C$3,IF(MONTH($C402)=5,$C$4,IF(MONTH($C402)=6,$C$5,IF(MONTH($C402)=7,$C$6,"ERROR")))),1,0)</f>
        <v>1</v>
      </c>
      <c r="F402" s="26">
        <f>VLOOKUP($C402,COS!$B$8:$H$991,7,FALSE)</f>
        <v>49.095413208007813</v>
      </c>
      <c r="G402" s="24">
        <f>IF(F402&lt;=IF(MONTH($C402)=4,$F$3,IF(MONTH($C402)=5,$F$4,IF(MONTH($C402)=6,$F$5,IF(MONTH($C402)=7,$F$6,"ERROR")))),1,0)</f>
        <v>1</v>
      </c>
      <c r="H402" s="26">
        <f>IF(J402=1,D402-$C$4,0)</f>
        <v>685.54638671875</v>
      </c>
      <c r="I402" s="26">
        <f t="shared" si="558"/>
        <v>42.152604274276861</v>
      </c>
      <c r="J402" s="24">
        <f t="shared" si="638"/>
        <v>1</v>
      </c>
      <c r="K402" s="26">
        <f>VLOOKUP($C402,COS!$B$8:$H$991,2,FALSE)</f>
        <v>4530.5419921875</v>
      </c>
      <c r="L402" s="24">
        <f t="shared" si="639"/>
        <v>1</v>
      </c>
      <c r="M402" s="24">
        <f t="shared" si="640"/>
        <v>0</v>
      </c>
      <c r="N402" s="26">
        <f>VLOOKUP($C402,COS!$B$8:$H$991,5,FALSE)</f>
        <v>633.97503662109375</v>
      </c>
      <c r="O402" s="26">
        <f t="shared" si="641"/>
        <v>38.981605557528411</v>
      </c>
      <c r="P402" s="26">
        <f>VLOOKUP($C402,COS!$B$8:$H$991,6,FALSE)</f>
        <v>2257.9951171875</v>
      </c>
      <c r="Q402" s="26">
        <f t="shared" si="642"/>
        <v>138.83870803202478</v>
      </c>
      <c r="R402" s="26">
        <f>MIN(IF(MONTH($C402)=4,$S$3,IF(MONTH($C402)=5,$S$4,IF(MONTH($C402)=6,$S$5,IF(MONTH($C402)=7,$S$6,"ERROR")))),MAX(VLOOKUP($C402,COS!$B$8:$K$991,10,FALSE)-IF(MONTH($C402)=4,$Y$3,IF(MONTH($C402)=5,$Y$4,IF(MONTH($C402)=6,$Y$5,IF(MONTH($C402)=7,$Y$6,"ERROR")))),0),MAX(VLOOKUP($C402,COS!$B$8:$K$991,9,FALSE)-IF(MONTH($C402)=4,$V$3,IF(MONTH($C402)=5,$V$4,IF(MONTH($C402)=6,$V$5,IF(MONTH($C402)=7,$V$6,"ERROR"))))-VLOOKUP($C402,COS!$B$8:$K$991,6,FALSE)/2,0))</f>
        <v>0</v>
      </c>
      <c r="S402" s="26">
        <f t="shared" si="643"/>
        <v>0</v>
      </c>
      <c r="T402" s="26">
        <f t="shared" si="644"/>
        <v>88.910156794776597</v>
      </c>
      <c r="U402" s="26" t="str">
        <f>IF(VLOOKUP($C402,COS!$B$8:$I$991,8,FALSE)=1,"UWFE","IBU")</f>
        <v>UWFE</v>
      </c>
      <c r="V402" s="26">
        <f t="shared" ref="V402" si="646">MIN(IF(IF($AA$3=2,AND(E402=1,G402=1,L402=1,L406=1,M402=1,U402="IBU"),AND(E402=1,G402=1,L402=1,L406=1,M402=1)),T402,0),I402)</f>
        <v>0</v>
      </c>
      <c r="W402" s="26"/>
      <c r="X402" s="26"/>
      <c r="Y402" s="26"/>
      <c r="Z402" s="26"/>
      <c r="AA402" s="26"/>
      <c r="AB402" s="33"/>
    </row>
    <row r="403" spans="1:28" x14ac:dyDescent="0.3">
      <c r="A403" s="32">
        <f>VLOOKUP(YEAR(C403),Flags!$A$13:$B$95,2,FALSE)</f>
        <v>1</v>
      </c>
      <c r="B403" s="24">
        <f t="shared" si="637"/>
        <v>1965</v>
      </c>
      <c r="C403" s="25">
        <v>23923</v>
      </c>
      <c r="D403" s="26">
        <f>VLOOKUP($C403,COS!$B$8:$H$991,3,FALSE)</f>
        <v>8087.30908203125</v>
      </c>
      <c r="E403" s="24">
        <f>IF(D403&gt;=IF(MONTH($C403)=4,$C$3,IF(MONTH($C403)=5,$C$4,IF(MONTH($C403)=6,$C$5,IF(MONTH($C403)=7,$C$6,"ERROR")))),1,0)</f>
        <v>0</v>
      </c>
      <c r="F403" s="26">
        <f>VLOOKUP($C403,COS!$B$8:$H$991,7,FALSE)</f>
        <v>49.536151885986328</v>
      </c>
      <c r="G403" s="24">
        <f>IF(F403&lt;=IF(MONTH($C403)=4,$F$3,IF(MONTH($C403)=5,$F$4,IF(MONTH($C403)=6,$F$5,IF(MONTH($C403)=7,$F$6,"ERROR")))),1,0)</f>
        <v>1</v>
      </c>
      <c r="H403" s="26">
        <f>IF(J403=1,D403-$C$5,0)</f>
        <v>0</v>
      </c>
      <c r="I403" s="26">
        <f t="shared" si="558"/>
        <v>0</v>
      </c>
      <c r="J403" s="24">
        <f t="shared" si="638"/>
        <v>0</v>
      </c>
      <c r="K403" s="26">
        <f>VLOOKUP($C403,COS!$B$8:$H$991,2,FALSE)</f>
        <v>4283.341796875</v>
      </c>
      <c r="L403" s="24">
        <f t="shared" si="639"/>
        <v>1</v>
      </c>
      <c r="M403" s="24">
        <f t="shared" si="640"/>
        <v>0</v>
      </c>
      <c r="N403" s="26">
        <f>VLOOKUP($C403,COS!$B$8:$H$991,5,FALSE)</f>
        <v>838.3341064453125</v>
      </c>
      <c r="O403" s="26">
        <f t="shared" si="641"/>
        <v>49.884343524018597</v>
      </c>
      <c r="P403" s="26">
        <f>VLOOKUP($C403,COS!$B$8:$H$991,6,FALSE)</f>
        <v>2334.416015625</v>
      </c>
      <c r="Q403" s="26">
        <f t="shared" si="642"/>
        <v>138.90739927685951</v>
      </c>
      <c r="R403" s="26">
        <f>MIN(IF(MONTH($C403)=4,$S$3,IF(MONTH($C403)=5,$S$4,IF(MONTH($C403)=6,$S$5,IF(MONTH($C403)=7,$S$6,"ERROR")))),MAX(VLOOKUP($C403,COS!$B$8:$K$991,10,FALSE)-IF(MONTH($C403)=4,$Y$3,IF(MONTH($C403)=5,$Y$4,IF(MONTH($C403)=6,$Y$5,IF(MONTH($C403)=7,$Y$6,"ERROR")))),0),MAX(VLOOKUP($C403,COS!$B$8:$K$991,9,FALSE)-IF(MONTH($C403)=4,$V$3,IF(MONTH($C403)=5,$V$4,IF(MONTH($C403)=6,$V$5,IF(MONTH($C403)=7,$V$6,"ERROR"))))-VLOOKUP($C403,COS!$B$8:$K$991,6,FALSE)/2,0))</f>
        <v>0</v>
      </c>
      <c r="S403" s="26">
        <f t="shared" si="643"/>
        <v>0</v>
      </c>
      <c r="T403" s="26">
        <f t="shared" si="644"/>
        <v>94.395871400439049</v>
      </c>
      <c r="U403" s="26" t="str">
        <f>IF(VLOOKUP($C403,COS!$B$8:$I$991,8,FALSE)=1,"UWFE","IBU")</f>
        <v>UWFE</v>
      </c>
      <c r="V403" s="26">
        <f t="shared" ref="V403" si="647">MIN(IF(IF($AA$3=2,AND(E403=1,G403=1,L403=1,L406=1,M403=1,U403="IBU"),AND(E403=1,G403=1,L403=1,L406=1,M403=1)),T403,0),I403)</f>
        <v>0</v>
      </c>
      <c r="W403" s="26"/>
      <c r="X403" s="26"/>
      <c r="Y403" s="26"/>
      <c r="Z403" s="26"/>
      <c r="AA403" s="26"/>
      <c r="AB403" s="33"/>
    </row>
    <row r="404" spans="1:28" x14ac:dyDescent="0.3">
      <c r="A404" s="32">
        <f>VLOOKUP(YEAR(C404),Flags!$A$13:$B$95,2,FALSE)</f>
        <v>1</v>
      </c>
      <c r="B404" s="24">
        <f t="shared" si="637"/>
        <v>1965</v>
      </c>
      <c r="C404" s="25">
        <v>23954</v>
      </c>
      <c r="D404" s="26">
        <f>VLOOKUP($C404,COS!$B$8:$H$991,3,FALSE)</f>
        <v>16000</v>
      </c>
      <c r="E404" s="24">
        <f>IF(D404&gt;=IF(MONTH($C404)=4,$C$3,IF(MONTH($C404)=5,$C$4,IF(MONTH($C404)=6,$C$5,IF(MONTH($C404)=7,$C$6,"ERROR")))),1,0)</f>
        <v>1</v>
      </c>
      <c r="F404" s="26">
        <f>VLOOKUP($C404,COS!$B$8:$H$991,7,FALSE)</f>
        <v>49.443107604980469</v>
      </c>
      <c r="G404" s="24">
        <f>IF(F404&lt;=IF(MONTH($C404)=4,$F$3,IF(MONTH($C404)=5,$F$4,IF(MONTH($C404)=6,$F$5,IF(MONTH($C404)=7,$F$6,"ERROR")))),1,0)</f>
        <v>1</v>
      </c>
      <c r="H404" s="26">
        <f>IF(J404=1,D404-$C$6,0)</f>
        <v>4000</v>
      </c>
      <c r="I404" s="26">
        <f t="shared" si="558"/>
        <v>245.95041322314049</v>
      </c>
      <c r="J404" s="24">
        <f t="shared" si="638"/>
        <v>1</v>
      </c>
      <c r="K404" s="26">
        <f>VLOOKUP($C404,COS!$B$8:$H$991,2,FALSE)</f>
        <v>3588.650146484375</v>
      </c>
      <c r="L404" s="24">
        <f t="shared" si="639"/>
        <v>1</v>
      </c>
      <c r="M404" s="24">
        <f t="shared" si="640"/>
        <v>0</v>
      </c>
      <c r="N404" s="26">
        <f>VLOOKUP($C404,COS!$B$8:$H$991,5,FALSE)</f>
        <v>922.08319091796875</v>
      </c>
      <c r="O404" s="26">
        <f t="shared" si="641"/>
        <v>56.696685458096589</v>
      </c>
      <c r="P404" s="26">
        <f>VLOOKUP($C404,COS!$B$8:$H$991,6,FALSE)</f>
        <v>2612.073486328125</v>
      </c>
      <c r="Q404" s="26">
        <f t="shared" si="642"/>
        <v>160.61013833290289</v>
      </c>
      <c r="R404" s="26">
        <f>MIN(IF(MONTH($C404)=4,$S$3,IF(MONTH($C404)=5,$S$4,IF(MONTH($C404)=6,$S$5,IF(MONTH($C404)=7,$S$6,"ERROR")))),MAX(VLOOKUP($C404,COS!$B$8:$K$991,10,FALSE)-IF(MONTH($C404)=4,$Y$3,IF(MONTH($C404)=5,$Y$4,IF(MONTH($C404)=6,$Y$5,IF(MONTH($C404)=7,$Y$6,"ERROR")))),0),MAX(VLOOKUP($C404,COS!$B$8:$K$991,9,FALSE)-IF(MONTH($C404)=4,$V$3,IF(MONTH($C404)=5,$V$4,IF(MONTH($C404)=6,$V$5,IF(MONTH($C404)=7,$V$6,"ERROR"))))-VLOOKUP($C404,COS!$B$8:$K$991,6,FALSE)/2,0))</f>
        <v>0</v>
      </c>
      <c r="S404" s="26">
        <f t="shared" si="643"/>
        <v>0</v>
      </c>
      <c r="T404" s="26">
        <f t="shared" si="644"/>
        <v>108.65341189549974</v>
      </c>
      <c r="U404" s="26" t="str">
        <f>IF(VLOOKUP($C404,COS!$B$8:$I$991,8,FALSE)=1,"UWFE","IBU")</f>
        <v>IBU</v>
      </c>
      <c r="V404" s="26">
        <f t="shared" ref="V404" si="648">MIN(IF(IF($AA$3=2,AND(E404=1,G404=1,L404=1,L406=1,M404=1,U404="IBU"),AND(E404=1,G404=1,L404=1,L406=1,M404=1)),T404,0),I404)</f>
        <v>0</v>
      </c>
      <c r="W404" s="26"/>
      <c r="X404" s="26"/>
      <c r="Y404" s="26"/>
      <c r="Z404" s="26"/>
      <c r="AA404" s="26"/>
      <c r="AB404" s="33"/>
    </row>
    <row r="405" spans="1:28" x14ac:dyDescent="0.3">
      <c r="A405" s="32">
        <f>VLOOKUP(YEAR(C405),Flags!$A$13:$B$95,2,FALSE)</f>
        <v>1</v>
      </c>
      <c r="B405" s="24">
        <f t="shared" si="637"/>
        <v>1965</v>
      </c>
      <c r="C405" s="25">
        <v>23985</v>
      </c>
      <c r="D405" s="26"/>
      <c r="E405" s="24"/>
      <c r="F405" s="26"/>
      <c r="G405" s="24"/>
      <c r="H405" s="24"/>
      <c r="I405" s="26"/>
      <c r="J405" s="24"/>
      <c r="K405" s="26"/>
      <c r="L405" s="24"/>
      <c r="M405" s="24"/>
      <c r="N405" s="26"/>
      <c r="O405" s="26"/>
      <c r="P405" s="26"/>
      <c r="Q405" s="26"/>
      <c r="R405" s="26"/>
      <c r="S405" s="26"/>
      <c r="T405" s="26"/>
      <c r="U405" s="26"/>
      <c r="V405" s="26"/>
      <c r="W405" s="26">
        <f>MAX($C$7-VLOOKUP($C405,COS!$B$8:$H$991,3,FALSE),0)</f>
        <v>91045.6005859375</v>
      </c>
      <c r="X405" s="26">
        <f t="shared" si="562"/>
        <v>5598.1757715650829</v>
      </c>
      <c r="Y405" s="26">
        <f>VLOOKUP($C405,COS!$B$8:$H$991,4,FALSE)</f>
        <v>0</v>
      </c>
      <c r="Z405" s="26">
        <f t="shared" si="563"/>
        <v>0</v>
      </c>
      <c r="AA405" s="26">
        <f t="shared" ref="AA405:AA409" si="649">MIN(W405,Y405)</f>
        <v>0</v>
      </c>
      <c r="AB405" s="33">
        <f t="shared" ref="AB405:AB463" si="650">AA405*DAY($C405)*86400/43560/1000*IF(MONTH($C405)=8,$P$3,IF(MONTH($C405)=9,$P$4,IF(MONTH($C405)=10,$P$5,IF(MONTH($C405)=11,$P$6,IF(MONTH($C405)=12,$P$7,NA())))))</f>
        <v>0</v>
      </c>
    </row>
    <row r="406" spans="1:28" x14ac:dyDescent="0.3">
      <c r="A406" s="32">
        <f>VLOOKUP(YEAR(C406),Flags!$A$13:$B$95,2,FALSE)</f>
        <v>1</v>
      </c>
      <c r="B406" s="24">
        <f t="shared" si="637"/>
        <v>1965</v>
      </c>
      <c r="C406" s="25">
        <v>24015</v>
      </c>
      <c r="D406" s="26"/>
      <c r="E406" s="24"/>
      <c r="F406" s="26"/>
      <c r="G406" s="24"/>
      <c r="H406" s="24"/>
      <c r="I406" s="26"/>
      <c r="J406" s="24"/>
      <c r="K406" s="26">
        <f>VLOOKUP($C406,COS!$B$8:$H$991,2,FALSE)</f>
        <v>2849.32861328125</v>
      </c>
      <c r="L406" s="24">
        <f t="shared" ref="L406" si="651">IF(AND(K406&gt;$I$7,K406&lt;$I$8),1,0)</f>
        <v>1</v>
      </c>
      <c r="M406" s="24"/>
      <c r="N406" s="26"/>
      <c r="O406" s="26"/>
      <c r="P406" s="26"/>
      <c r="Q406" s="26"/>
      <c r="R406" s="26"/>
      <c r="S406" s="26"/>
      <c r="T406" s="26"/>
      <c r="U406" s="26"/>
      <c r="V406" s="26"/>
      <c r="W406" s="26">
        <f>MAX($C$8-VLOOKUP($C406,COS!$B$8:$H$991,3,FALSE),0)</f>
        <v>86410.6357421875</v>
      </c>
      <c r="X406" s="26">
        <f t="shared" si="562"/>
        <v>5141.7898954028924</v>
      </c>
      <c r="Y406" s="26">
        <f>VLOOKUP($C406,COS!$B$8:$H$991,4,FALSE)</f>
        <v>0</v>
      </c>
      <c r="Z406" s="26">
        <f t="shared" si="563"/>
        <v>0</v>
      </c>
      <c r="AA406" s="26">
        <f t="shared" si="649"/>
        <v>0</v>
      </c>
      <c r="AB406" s="33">
        <f t="shared" si="650"/>
        <v>0</v>
      </c>
    </row>
    <row r="407" spans="1:28" x14ac:dyDescent="0.3">
      <c r="A407" s="32">
        <f>VLOOKUP(YEAR(C407),Flags!$A$13:$B$95,2,FALSE)</f>
        <v>1</v>
      </c>
      <c r="B407" s="24">
        <f t="shared" si="637"/>
        <v>1965</v>
      </c>
      <c r="C407" s="25">
        <v>24046</v>
      </c>
      <c r="D407" s="26"/>
      <c r="E407" s="24"/>
      <c r="F407" s="26"/>
      <c r="G407" s="26"/>
      <c r="H407" s="26"/>
      <c r="I407" s="26"/>
      <c r="J407" s="26"/>
      <c r="K407" s="26"/>
      <c r="L407" s="24"/>
      <c r="M407" s="24"/>
      <c r="N407" s="26"/>
      <c r="O407" s="26"/>
      <c r="P407" s="26"/>
      <c r="Q407" s="26"/>
      <c r="R407" s="26"/>
      <c r="S407" s="26"/>
      <c r="T407" s="26"/>
      <c r="U407" s="26"/>
      <c r="V407" s="26"/>
      <c r="W407" s="26">
        <f>MAX($C$9-VLOOKUP($C407,COS!$B$8:$H$991,3,FALSE),0)</f>
        <v>91501.974609375</v>
      </c>
      <c r="X407" s="26">
        <f t="shared" si="562"/>
        <v>5626.2371164772721</v>
      </c>
      <c r="Y407" s="26">
        <f>VLOOKUP($C407,COS!$B$8:$H$991,4,FALSE)</f>
        <v>958.20550537109375</v>
      </c>
      <c r="Z407" s="26">
        <f t="shared" si="563"/>
        <v>58.917759999677166</v>
      </c>
      <c r="AA407" s="26">
        <f t="shared" si="649"/>
        <v>958.20550537109375</v>
      </c>
      <c r="AB407" s="33">
        <f t="shared" si="650"/>
        <v>58.917759999677166</v>
      </c>
    </row>
    <row r="408" spans="1:28" x14ac:dyDescent="0.3">
      <c r="A408" s="32">
        <f>VLOOKUP(YEAR(C408),Flags!$A$13:$B$95,2,FALSE)</f>
        <v>1</v>
      </c>
      <c r="B408" s="24">
        <f t="shared" si="637"/>
        <v>1965</v>
      </c>
      <c r="C408" s="25">
        <v>24076</v>
      </c>
      <c r="D408" s="26"/>
      <c r="E408" s="24"/>
      <c r="F408" s="26"/>
      <c r="G408" s="26"/>
      <c r="H408" s="26"/>
      <c r="I408" s="26"/>
      <c r="J408" s="26"/>
      <c r="K408" s="26"/>
      <c r="L408" s="24"/>
      <c r="M408" s="24"/>
      <c r="N408" s="26"/>
      <c r="O408" s="26"/>
      <c r="P408" s="26"/>
      <c r="Q408" s="26"/>
      <c r="R408" s="26"/>
      <c r="S408" s="26"/>
      <c r="T408" s="26"/>
      <c r="U408" s="26"/>
      <c r="V408" s="26"/>
      <c r="W408" s="26">
        <f>MAX($C$10-VLOOKUP($C408,COS!$B$8:$H$991,3,FALSE),0)</f>
        <v>92705.76025390625</v>
      </c>
      <c r="X408" s="26">
        <f t="shared" si="562"/>
        <v>5516.3758167613632</v>
      </c>
      <c r="Y408" s="26">
        <f>VLOOKUP($C408,COS!$B$8:$H$991,4,FALSE)</f>
        <v>425.12249755859375</v>
      </c>
      <c r="Z408" s="26">
        <f t="shared" si="563"/>
        <v>25.296545309271693</v>
      </c>
      <c r="AA408" s="26">
        <f t="shared" si="649"/>
        <v>425.12249755859375</v>
      </c>
      <c r="AB408" s="33">
        <f t="shared" si="650"/>
        <v>12.648272654635846</v>
      </c>
    </row>
    <row r="409" spans="1:28" x14ac:dyDescent="0.3">
      <c r="A409" s="34">
        <f>VLOOKUP(YEAR(C409),Flags!$A$13:$B$95,2,FALSE)</f>
        <v>1</v>
      </c>
      <c r="B409" s="35">
        <f t="shared" si="637"/>
        <v>1965</v>
      </c>
      <c r="C409" s="36">
        <v>24107</v>
      </c>
      <c r="D409" s="37"/>
      <c r="E409" s="35"/>
      <c r="F409" s="37"/>
      <c r="G409" s="37"/>
      <c r="H409" s="37"/>
      <c r="I409" s="37"/>
      <c r="J409" s="37"/>
      <c r="K409" s="37"/>
      <c r="L409" s="35"/>
      <c r="M409" s="35"/>
      <c r="N409" s="37"/>
      <c r="O409" s="37"/>
      <c r="P409" s="37"/>
      <c r="Q409" s="37"/>
      <c r="R409" s="37"/>
      <c r="S409" s="37"/>
      <c r="T409" s="37"/>
      <c r="U409" s="37"/>
      <c r="V409" s="37"/>
      <c r="W409" s="37">
        <f>MAX($C$11-VLOOKUP($C409,COS!$B$8:$H$991,3,FALSE),0)</f>
        <v>0</v>
      </c>
      <c r="X409" s="37">
        <f t="shared" si="562"/>
        <v>0</v>
      </c>
      <c r="Y409" s="37">
        <f>VLOOKUP($C409,COS!$B$8:$H$991,4,FALSE)</f>
        <v>0</v>
      </c>
      <c r="Z409" s="37">
        <f t="shared" si="563"/>
        <v>0</v>
      </c>
      <c r="AA409" s="37">
        <f t="shared" si="649"/>
        <v>0</v>
      </c>
      <c r="AB409" s="38">
        <f t="shared" si="650"/>
        <v>0</v>
      </c>
    </row>
    <row r="410" spans="1:28" x14ac:dyDescent="0.3">
      <c r="A410" s="27">
        <f>VLOOKUP(YEAR(C410),Flags!$A$13:$B$95,2,FALSE)</f>
        <v>3</v>
      </c>
      <c r="B410" s="28">
        <f t="shared" si="637"/>
        <v>1966</v>
      </c>
      <c r="C410" s="29">
        <v>24227</v>
      </c>
      <c r="D410" s="30">
        <f>VLOOKUP($C410,COS!$B$8:$H$991,3,FALSE)</f>
        <v>4292.888671875</v>
      </c>
      <c r="E410" s="28">
        <f>IF(D410&gt;=IF(MONTH($C410)=4,$C$3,IF(MONTH($C410)=5,$C$4,IF(MONTH($C410)=6,$C$5,IF(MONTH($C410)=7,$C$6,"ERROR")))),1,0)</f>
        <v>0</v>
      </c>
      <c r="F410" s="30">
        <f>VLOOKUP($C410,COS!$B$8:$H$991,7,FALSE)</f>
        <v>49.869205474853516</v>
      </c>
      <c r="G410" s="28">
        <f>IF(F410&lt;=IF(MONTH($C410)=4,$F$3,IF(MONTH($C410)=5,$F$4,IF(MONTH($C410)=6,$F$5,IF(MONTH($C410)=7,$F$6,"ERROR")))),1,0)</f>
        <v>1</v>
      </c>
      <c r="H410" s="30">
        <f>IF(J410=1,D410-$C$3,0)</f>
        <v>0</v>
      </c>
      <c r="I410" s="30">
        <f t="shared" si="558"/>
        <v>0</v>
      </c>
      <c r="J410" s="28">
        <f t="shared" ref="J410:J413" si="652">IF(AND(E410=1,G410=1),1,0)</f>
        <v>0</v>
      </c>
      <c r="K410" s="30">
        <f>VLOOKUP($C410,COS!$B$8:$H$991,2,FALSE)</f>
        <v>4552</v>
      </c>
      <c r="L410" s="28">
        <f t="shared" ref="L410" si="653">IF(K410&lt;=IF(MONTH($C410)=4,$I$3,IF(MONTH($C410)=5,$I$4,IF(MONTH($C410)=6,$I$5,IF(MONTH($C410)=7,$I$6,"ERROR")))),1,0)</f>
        <v>1</v>
      </c>
      <c r="M410" s="28">
        <f t="shared" ref="M410" si="654">VLOOKUP($A410,$L$3:$M$7,2,FALSE)</f>
        <v>0</v>
      </c>
      <c r="N410" s="30">
        <f>VLOOKUP($C410,COS!$B$8:$H$991,5,FALSE)</f>
        <v>529.82769775390625</v>
      </c>
      <c r="O410" s="30">
        <f t="shared" ref="O410:O413" si="655">N410*DAY($C410)*86400/43560/1000</f>
        <v>31.526937387009298</v>
      </c>
      <c r="P410" s="30">
        <f>VLOOKUP($C410,COS!$B$8:$H$991,6,FALSE)</f>
        <v>552.3431396484375</v>
      </c>
      <c r="Q410" s="30">
        <f t="shared" ref="Q410:Q413" si="656">P410*DAY($C410)*86400/43560/1000</f>
        <v>32.86669921875</v>
      </c>
      <c r="R410" s="30">
        <f>MIN(IF(MONTH($C410)=4,$S$3,IF(MONTH($C410)=5,$S$4,IF(MONTH($C410)=6,$S$5,IF(MONTH($C410)=7,$S$6,"ERROR")))),MAX(VLOOKUP($C410,COS!$B$8:$K$991,10,FALSE)-IF(MONTH($C410)=4,$Y$3,IF(MONTH($C410)=5,$Y$4,IF(MONTH($C410)=6,$Y$5,IF(MONTH($C410)=7,$Y$6,"ERROR")))),0),MAX(VLOOKUP($C410,COS!$B$8:$K$991,9,FALSE)-IF(MONTH($C410)=4,$V$3,IF(MONTH($C410)=5,$V$4,IF(MONTH($C410)=6,$V$5,IF(MONTH($C410)=7,$V$6,"ERROR"))))-VLOOKUP($C410,COS!$B$8:$K$991,6,FALSE)/2,0))</f>
        <v>0</v>
      </c>
      <c r="S410" s="30">
        <f t="shared" ref="S410:S413" si="657">R410*DAY($C410)*86400/43560/1000</f>
        <v>0</v>
      </c>
      <c r="T410" s="30">
        <f t="shared" ref="T410:T413" si="658">(O410+Q410)/2+S410</f>
        <v>32.196818302879649</v>
      </c>
      <c r="U410" s="30" t="str">
        <f>IF(VLOOKUP($C410,COS!$B$8:$I$991,8,FALSE)=1,"UWFE","IBU")</f>
        <v>UWFE</v>
      </c>
      <c r="V410" s="30">
        <f t="shared" ref="V410" si="659">MIN(IF(IF($AA$3=2,AND(E410=1,G410=1,L410=1,L415=1,M410=1,U410="IBU"),AND(E410=1,G410=1,L410=1,L415=1,M410=1)),T410,0),I410)</f>
        <v>0</v>
      </c>
      <c r="W410" s="30"/>
      <c r="X410" s="30"/>
      <c r="Y410" s="30"/>
      <c r="Z410" s="30"/>
      <c r="AA410" s="30"/>
      <c r="AB410" s="31"/>
    </row>
    <row r="411" spans="1:28" x14ac:dyDescent="0.3">
      <c r="A411" s="32">
        <f>VLOOKUP(YEAR(C411),Flags!$A$13:$B$95,2,FALSE)</f>
        <v>3</v>
      </c>
      <c r="B411" s="24">
        <f t="shared" si="637"/>
        <v>1966</v>
      </c>
      <c r="C411" s="25">
        <v>24258</v>
      </c>
      <c r="D411" s="26">
        <f>VLOOKUP($C411,COS!$B$8:$H$991,3,FALSE)</f>
        <v>8730.6591796875</v>
      </c>
      <c r="E411" s="24">
        <f>IF(D411&gt;=IF(MONTH($C411)=4,$C$3,IF(MONTH($C411)=5,$C$4,IF(MONTH($C411)=6,$C$5,IF(MONTH($C411)=7,$C$6,"ERROR")))),1,0)</f>
        <v>1</v>
      </c>
      <c r="F411" s="26">
        <f>VLOOKUP($C411,COS!$B$8:$H$991,7,FALSE)</f>
        <v>49.472553253173828</v>
      </c>
      <c r="G411" s="24">
        <f>IF(F411&lt;=IF(MONTH($C411)=4,$F$3,IF(MONTH($C411)=5,$F$4,IF(MONTH($C411)=6,$F$5,IF(MONTH($C411)=7,$F$6,"ERROR")))),1,0)</f>
        <v>1</v>
      </c>
      <c r="H411" s="26">
        <f>IF(J411=1,D411-$C$4,0)</f>
        <v>2730.6591796875</v>
      </c>
      <c r="I411" s="26">
        <f t="shared" si="558"/>
        <v>167.90168840392562</v>
      </c>
      <c r="J411" s="24">
        <f t="shared" si="652"/>
        <v>1</v>
      </c>
      <c r="K411" s="26">
        <f>VLOOKUP($C411,COS!$B$8:$H$991,2,FALSE)</f>
        <v>4347.7724609375</v>
      </c>
      <c r="L411" s="24">
        <f t="shared" si="639"/>
        <v>1</v>
      </c>
      <c r="M411" s="24">
        <f t="shared" si="640"/>
        <v>0</v>
      </c>
      <c r="N411" s="26">
        <f>VLOOKUP($C411,COS!$B$8:$H$991,5,FALSE)</f>
        <v>640.74652099609375</v>
      </c>
      <c r="O411" s="26">
        <f t="shared" si="655"/>
        <v>39.397967902569732</v>
      </c>
      <c r="P411" s="26">
        <f>VLOOKUP($C411,COS!$B$8:$H$991,6,FALSE)</f>
        <v>2340.425048828125</v>
      </c>
      <c r="Q411" s="26">
        <f t="shared" si="656"/>
        <v>143.90712696926653</v>
      </c>
      <c r="R411" s="26">
        <f>MIN(IF(MONTH($C411)=4,$S$3,IF(MONTH($C411)=5,$S$4,IF(MONTH($C411)=6,$S$5,IF(MONTH($C411)=7,$S$6,"ERROR")))),MAX(VLOOKUP($C411,COS!$B$8:$K$991,10,FALSE)-IF(MONTH($C411)=4,$Y$3,IF(MONTH($C411)=5,$Y$4,IF(MONTH($C411)=6,$Y$5,IF(MONTH($C411)=7,$Y$6,"ERROR")))),0),MAX(VLOOKUP($C411,COS!$B$8:$K$991,9,FALSE)-IF(MONTH($C411)=4,$V$3,IF(MONTH($C411)=5,$V$4,IF(MONTH($C411)=6,$V$5,IF(MONTH($C411)=7,$V$6,"ERROR"))))-VLOOKUP($C411,COS!$B$8:$K$991,6,FALSE)/2,0))</f>
        <v>0</v>
      </c>
      <c r="S411" s="26">
        <f t="shared" si="657"/>
        <v>0</v>
      </c>
      <c r="T411" s="26">
        <f t="shared" si="658"/>
        <v>91.652547435918137</v>
      </c>
      <c r="U411" s="26" t="str">
        <f>IF(VLOOKUP($C411,COS!$B$8:$I$991,8,FALSE)=1,"UWFE","IBU")</f>
        <v>IBU</v>
      </c>
      <c r="V411" s="26">
        <f t="shared" ref="V411" si="660">MIN(IF(IF($AA$3=2,AND(E411=1,G411=1,L411=1,L415=1,M411=1,U411="IBU"),AND(E411=1,G411=1,L411=1,L415=1,M411=1)),T411,0),I411)</f>
        <v>0</v>
      </c>
      <c r="W411" s="26"/>
      <c r="X411" s="26"/>
      <c r="Y411" s="26"/>
      <c r="Z411" s="26"/>
      <c r="AA411" s="26"/>
      <c r="AB411" s="33"/>
    </row>
    <row r="412" spans="1:28" x14ac:dyDescent="0.3">
      <c r="A412" s="32">
        <f>VLOOKUP(YEAR(C412),Flags!$A$13:$B$95,2,FALSE)</f>
        <v>3</v>
      </c>
      <c r="B412" s="24">
        <f t="shared" si="637"/>
        <v>1966</v>
      </c>
      <c r="C412" s="25">
        <v>24288</v>
      </c>
      <c r="D412" s="26">
        <f>VLOOKUP($C412,COS!$B$8:$H$991,3,FALSE)</f>
        <v>13508.86328125</v>
      </c>
      <c r="E412" s="24">
        <f>IF(D412&gt;=IF(MONTH($C412)=4,$C$3,IF(MONTH($C412)=5,$C$4,IF(MONTH($C412)=6,$C$5,IF(MONTH($C412)=7,$C$6,"ERROR")))),1,0)</f>
        <v>1</v>
      </c>
      <c r="F412" s="26">
        <f>VLOOKUP($C412,COS!$B$8:$H$991,7,FALSE)</f>
        <v>49.86444091796875</v>
      </c>
      <c r="G412" s="24">
        <f>IF(F412&lt;=IF(MONTH($C412)=4,$F$3,IF(MONTH($C412)=5,$F$4,IF(MONTH($C412)=6,$F$5,IF(MONTH($C412)=7,$F$6,"ERROR")))),1,0)</f>
        <v>1</v>
      </c>
      <c r="H412" s="26">
        <f>IF(J412=1,D412-$C$5,0)</f>
        <v>3508.86328125</v>
      </c>
      <c r="I412" s="26">
        <f t="shared" ref="I412:I475" si="661">H412*DAY($C412)*86400/43560/1000</f>
        <v>208.79186466942147</v>
      </c>
      <c r="J412" s="24">
        <f t="shared" si="652"/>
        <v>1</v>
      </c>
      <c r="K412" s="26">
        <f>VLOOKUP($C412,COS!$B$8:$H$991,2,FALSE)</f>
        <v>3800.234375</v>
      </c>
      <c r="L412" s="24">
        <f t="shared" si="639"/>
        <v>1</v>
      </c>
      <c r="M412" s="24">
        <f t="shared" si="640"/>
        <v>0</v>
      </c>
      <c r="N412" s="26">
        <f>VLOOKUP($C412,COS!$B$8:$H$991,5,FALSE)</f>
        <v>770.628173828125</v>
      </c>
      <c r="O412" s="26">
        <f t="shared" si="655"/>
        <v>45.85556075671488</v>
      </c>
      <c r="P412" s="26">
        <f>VLOOKUP($C412,COS!$B$8:$H$991,6,FALSE)</f>
        <v>2661.6142578125</v>
      </c>
      <c r="Q412" s="26">
        <f t="shared" si="656"/>
        <v>158.37704674586777</v>
      </c>
      <c r="R412" s="26">
        <f>MIN(IF(MONTH($C412)=4,$S$3,IF(MONTH($C412)=5,$S$4,IF(MONTH($C412)=6,$S$5,IF(MONTH($C412)=7,$S$6,"ERROR")))),MAX(VLOOKUP($C412,COS!$B$8:$K$991,10,FALSE)-IF(MONTH($C412)=4,$Y$3,IF(MONTH($C412)=5,$Y$4,IF(MONTH($C412)=6,$Y$5,IF(MONTH($C412)=7,$Y$6,"ERROR")))),0),MAX(VLOOKUP($C412,COS!$B$8:$K$991,9,FALSE)-IF(MONTH($C412)=4,$V$3,IF(MONTH($C412)=5,$V$4,IF(MONTH($C412)=6,$V$5,IF(MONTH($C412)=7,$V$6,"ERROR"))))-VLOOKUP($C412,COS!$B$8:$K$991,6,FALSE)/2,0))</f>
        <v>0</v>
      </c>
      <c r="S412" s="26">
        <f t="shared" si="657"/>
        <v>0</v>
      </c>
      <c r="T412" s="26">
        <f t="shared" si="658"/>
        <v>102.11630375129133</v>
      </c>
      <c r="U412" s="26" t="str">
        <f>IF(VLOOKUP($C412,COS!$B$8:$I$991,8,FALSE)=1,"UWFE","IBU")</f>
        <v>IBU</v>
      </c>
      <c r="V412" s="26">
        <f t="shared" ref="V412" si="662">MIN(IF(IF($AA$3=2,AND(E412=1,G412=1,L412=1,L415=1,M412=1,U412="IBU"),AND(E412=1,G412=1,L412=1,L415=1,M412=1)),T412,0),I412)</f>
        <v>0</v>
      </c>
      <c r="W412" s="26"/>
      <c r="X412" s="26"/>
      <c r="Y412" s="26"/>
      <c r="Z412" s="26"/>
      <c r="AA412" s="26"/>
      <c r="AB412" s="33"/>
    </row>
    <row r="413" spans="1:28" x14ac:dyDescent="0.3">
      <c r="A413" s="32">
        <f>VLOOKUP(YEAR(C413),Flags!$A$13:$B$95,2,FALSE)</f>
        <v>3</v>
      </c>
      <c r="B413" s="24">
        <f t="shared" si="637"/>
        <v>1966</v>
      </c>
      <c r="C413" s="25">
        <v>24319</v>
      </c>
      <c r="D413" s="26">
        <f>VLOOKUP($C413,COS!$B$8:$H$991,3,FALSE)</f>
        <v>16000</v>
      </c>
      <c r="E413" s="24">
        <f>IF(D413&gt;=IF(MONTH($C413)=4,$C$3,IF(MONTH($C413)=5,$C$4,IF(MONTH($C413)=6,$C$5,IF(MONTH($C413)=7,$C$6,"ERROR")))),1,0)</f>
        <v>1</v>
      </c>
      <c r="F413" s="26">
        <f>VLOOKUP($C413,COS!$B$8:$H$991,7,FALSE)</f>
        <v>50.834873199462891</v>
      </c>
      <c r="G413" s="24">
        <f>IF(F413&lt;=IF(MONTH($C413)=4,$F$3,IF(MONTH($C413)=5,$F$4,IF(MONTH($C413)=6,$F$5,IF(MONTH($C413)=7,$F$6,"ERROR")))),1,0)</f>
        <v>1</v>
      </c>
      <c r="H413" s="26">
        <f>IF(J413=1,D413-$C$6,0)</f>
        <v>4000</v>
      </c>
      <c r="I413" s="26">
        <f t="shared" si="661"/>
        <v>245.95041322314049</v>
      </c>
      <c r="J413" s="24">
        <f t="shared" si="652"/>
        <v>1</v>
      </c>
      <c r="K413" s="26">
        <f>VLOOKUP($C413,COS!$B$8:$H$991,2,FALSE)</f>
        <v>3119.609375</v>
      </c>
      <c r="L413" s="24">
        <f t="shared" si="639"/>
        <v>1</v>
      </c>
      <c r="M413" s="24">
        <f t="shared" si="640"/>
        <v>0</v>
      </c>
      <c r="N413" s="26">
        <f>VLOOKUP($C413,COS!$B$8:$H$991,5,FALSE)</f>
        <v>838.9403076171875</v>
      </c>
      <c r="O413" s="26">
        <f t="shared" si="655"/>
        <v>51.584428831998963</v>
      </c>
      <c r="P413" s="26">
        <f>VLOOKUP($C413,COS!$B$8:$H$991,6,FALSE)</f>
        <v>2521.163330078125</v>
      </c>
      <c r="Q413" s="26">
        <f t="shared" si="656"/>
        <v>155.02029070893593</v>
      </c>
      <c r="R413" s="26">
        <f>MIN(IF(MONTH($C413)=4,$S$3,IF(MONTH($C413)=5,$S$4,IF(MONTH($C413)=6,$S$5,IF(MONTH($C413)=7,$S$6,"ERROR")))),MAX(VLOOKUP($C413,COS!$B$8:$K$991,10,FALSE)-IF(MONTH($C413)=4,$Y$3,IF(MONTH($C413)=5,$Y$4,IF(MONTH($C413)=6,$Y$5,IF(MONTH($C413)=7,$Y$6,"ERROR")))),0),MAX(VLOOKUP($C413,COS!$B$8:$K$991,9,FALSE)-IF(MONTH($C413)=4,$V$3,IF(MONTH($C413)=5,$V$4,IF(MONTH($C413)=6,$V$5,IF(MONTH($C413)=7,$V$6,"ERROR"))))-VLOOKUP($C413,COS!$B$8:$K$991,6,FALSE)/2,0))</f>
        <v>0</v>
      </c>
      <c r="S413" s="26">
        <f t="shared" si="657"/>
        <v>0</v>
      </c>
      <c r="T413" s="26">
        <f t="shared" si="658"/>
        <v>103.30235977046745</v>
      </c>
      <c r="U413" s="26" t="str">
        <f>IF(VLOOKUP($C413,COS!$B$8:$I$991,8,FALSE)=1,"UWFE","IBU")</f>
        <v>IBU</v>
      </c>
      <c r="V413" s="26">
        <f t="shared" ref="V413" si="663">MIN(IF(IF($AA$3=2,AND(E413=1,G413=1,L413=1,L415=1,M413=1,U413="IBU"),AND(E413=1,G413=1,L413=1,L415=1,M413=1)),T413,0),I413)</f>
        <v>0</v>
      </c>
      <c r="W413" s="26"/>
      <c r="X413" s="26"/>
      <c r="Y413" s="26"/>
      <c r="Z413" s="26"/>
      <c r="AA413" s="26"/>
      <c r="AB413" s="33"/>
    </row>
    <row r="414" spans="1:28" x14ac:dyDescent="0.3">
      <c r="A414" s="32">
        <f>VLOOKUP(YEAR(C414),Flags!$A$13:$B$95,2,FALSE)</f>
        <v>3</v>
      </c>
      <c r="B414" s="24">
        <f t="shared" si="637"/>
        <v>1966</v>
      </c>
      <c r="C414" s="25">
        <v>24350</v>
      </c>
      <c r="D414" s="26"/>
      <c r="E414" s="24"/>
      <c r="F414" s="26"/>
      <c r="G414" s="24"/>
      <c r="H414" s="24"/>
      <c r="I414" s="26"/>
      <c r="J414" s="24"/>
      <c r="K414" s="26"/>
      <c r="L414" s="24"/>
      <c r="M414" s="24"/>
      <c r="N414" s="26"/>
      <c r="O414" s="26"/>
      <c r="P414" s="26"/>
      <c r="Q414" s="26"/>
      <c r="R414" s="26"/>
      <c r="S414" s="26"/>
      <c r="T414" s="26"/>
      <c r="U414" s="26"/>
      <c r="V414" s="26"/>
      <c r="W414" s="26">
        <f>MAX($C$7-VLOOKUP($C414,COS!$B$8:$H$991,3,FALSE),0)</f>
        <v>87234.4794921875</v>
      </c>
      <c r="X414" s="26">
        <f t="shared" si="562"/>
        <v>5363.8390696022725</v>
      </c>
      <c r="Y414" s="26">
        <f>VLOOKUP($C414,COS!$B$8:$H$991,4,FALSE)</f>
        <v>442.35452270507813</v>
      </c>
      <c r="Z414" s="26">
        <f t="shared" si="563"/>
        <v>27.199319412609761</v>
      </c>
      <c r="AA414" s="26">
        <f t="shared" ref="AA414:AA418" si="664">MIN(W414,Y414)</f>
        <v>442.35452270507813</v>
      </c>
      <c r="AB414" s="33">
        <f t="shared" ref="AB414" si="665">AA414*DAY($C414)*86400/43560/1000*IF(MONTH($C414)=8,$P$3,IF(MONTH($C414)=9,$P$4,IF(MONTH($C414)=10,$P$5,IF(MONTH($C414)=11,$P$6,IF(MONTH($C414)=12,$P$7,NA())))))</f>
        <v>27.199319412609761</v>
      </c>
    </row>
    <row r="415" spans="1:28" x14ac:dyDescent="0.3">
      <c r="A415" s="32">
        <f>VLOOKUP(YEAR(C415),Flags!$A$13:$B$95,2,FALSE)</f>
        <v>3</v>
      </c>
      <c r="B415" s="24">
        <f t="shared" si="637"/>
        <v>1966</v>
      </c>
      <c r="C415" s="25">
        <v>24380</v>
      </c>
      <c r="D415" s="26"/>
      <c r="E415" s="24"/>
      <c r="F415" s="26"/>
      <c r="G415" s="24"/>
      <c r="H415" s="24"/>
      <c r="I415" s="26"/>
      <c r="J415" s="24"/>
      <c r="K415" s="26">
        <f>VLOOKUP($C415,COS!$B$8:$H$991,2,FALSE)</f>
        <v>2583.3671875</v>
      </c>
      <c r="L415" s="24">
        <f t="shared" ref="L415" si="666">IF(AND(K415&gt;$I$7,K415&lt;$I$8),1,0)</f>
        <v>1</v>
      </c>
      <c r="M415" s="24"/>
      <c r="N415" s="26"/>
      <c r="O415" s="26"/>
      <c r="P415" s="26"/>
      <c r="Q415" s="26"/>
      <c r="R415" s="26"/>
      <c r="S415" s="26"/>
      <c r="T415" s="26"/>
      <c r="U415" s="26"/>
      <c r="V415" s="26"/>
      <c r="W415" s="26">
        <f>MAX($C$8-VLOOKUP($C415,COS!$B$8:$H$991,3,FALSE),0)</f>
        <v>92546.88525390625</v>
      </c>
      <c r="X415" s="26">
        <f t="shared" ref="X415:X478" si="667">W415*DAY($C415)*86400/43560/1000</f>
        <v>5506.9220977530995</v>
      </c>
      <c r="Y415" s="26">
        <f>VLOOKUP($C415,COS!$B$8:$H$991,4,FALSE)</f>
        <v>418.4725341796875</v>
      </c>
      <c r="Z415" s="26">
        <f t="shared" ref="Z415:Z478" si="668">Y415*DAY($C415)*86400/43560/1000</f>
        <v>24.900845009039259</v>
      </c>
      <c r="AA415" s="26">
        <f t="shared" si="664"/>
        <v>418.4725341796875</v>
      </c>
      <c r="AB415" s="33">
        <f t="shared" si="650"/>
        <v>24.900845009039259</v>
      </c>
    </row>
    <row r="416" spans="1:28" x14ac:dyDescent="0.3">
      <c r="A416" s="32">
        <f>VLOOKUP(YEAR(C416),Flags!$A$13:$B$95,2,FALSE)</f>
        <v>3</v>
      </c>
      <c r="B416" s="24">
        <f t="shared" si="637"/>
        <v>1966</v>
      </c>
      <c r="C416" s="25">
        <v>24411</v>
      </c>
      <c r="D416" s="26"/>
      <c r="E416" s="24"/>
      <c r="F416" s="26"/>
      <c r="G416" s="26"/>
      <c r="H416" s="26"/>
      <c r="I416" s="26"/>
      <c r="J416" s="26"/>
      <c r="K416" s="26"/>
      <c r="L416" s="24"/>
      <c r="M416" s="24"/>
      <c r="N416" s="26"/>
      <c r="O416" s="26"/>
      <c r="P416" s="26"/>
      <c r="Q416" s="26"/>
      <c r="R416" s="26"/>
      <c r="S416" s="26"/>
      <c r="T416" s="26"/>
      <c r="U416" s="26"/>
      <c r="V416" s="26"/>
      <c r="W416" s="26">
        <f>MAX($C$9-VLOOKUP($C416,COS!$B$8:$H$991,3,FALSE),0)</f>
        <v>93829.6923828125</v>
      </c>
      <c r="X416" s="26">
        <f t="shared" si="667"/>
        <v>5769.3629035382237</v>
      </c>
      <c r="Y416" s="26">
        <f>VLOOKUP($C416,COS!$B$8:$H$991,4,FALSE)</f>
        <v>1319.8214111328125</v>
      </c>
      <c r="Z416" s="26">
        <f t="shared" si="668"/>
        <v>81.15265536221591</v>
      </c>
      <c r="AA416" s="26">
        <f t="shared" si="664"/>
        <v>1319.8214111328125</v>
      </c>
      <c r="AB416" s="33">
        <f t="shared" si="650"/>
        <v>81.15265536221591</v>
      </c>
    </row>
    <row r="417" spans="1:28" x14ac:dyDescent="0.3">
      <c r="A417" s="32">
        <f>VLOOKUP(YEAR(C417),Flags!$A$13:$B$95,2,FALSE)</f>
        <v>3</v>
      </c>
      <c r="B417" s="24">
        <f t="shared" si="637"/>
        <v>1966</v>
      </c>
      <c r="C417" s="25">
        <v>24441</v>
      </c>
      <c r="D417" s="26"/>
      <c r="E417" s="24"/>
      <c r="F417" s="26"/>
      <c r="G417" s="26"/>
      <c r="H417" s="26"/>
      <c r="I417" s="26"/>
      <c r="J417" s="26"/>
      <c r="K417" s="26"/>
      <c r="L417" s="24"/>
      <c r="M417" s="24"/>
      <c r="N417" s="26"/>
      <c r="O417" s="26"/>
      <c r="P417" s="26"/>
      <c r="Q417" s="26"/>
      <c r="R417" s="26"/>
      <c r="S417" s="26"/>
      <c r="T417" s="26"/>
      <c r="U417" s="26"/>
      <c r="V417" s="26"/>
      <c r="W417" s="26">
        <f>MAX($C$10-VLOOKUP($C417,COS!$B$8:$H$991,3,FALSE),0)</f>
        <v>96749</v>
      </c>
      <c r="X417" s="26">
        <f t="shared" si="667"/>
        <v>5756.965289256198</v>
      </c>
      <c r="Y417" s="26">
        <f>VLOOKUP($C417,COS!$B$8:$H$991,4,FALSE)</f>
        <v>1161.37109375</v>
      </c>
      <c r="Z417" s="26">
        <f t="shared" si="668"/>
        <v>69.10637913223141</v>
      </c>
      <c r="AA417" s="26">
        <f t="shared" si="664"/>
        <v>1161.37109375</v>
      </c>
      <c r="AB417" s="33">
        <f t="shared" si="650"/>
        <v>34.553189566115705</v>
      </c>
    </row>
    <row r="418" spans="1:28" x14ac:dyDescent="0.3">
      <c r="A418" s="34">
        <f>VLOOKUP(YEAR(C418),Flags!$A$13:$B$95,2,FALSE)</f>
        <v>3</v>
      </c>
      <c r="B418" s="35">
        <f t="shared" si="637"/>
        <v>1966</v>
      </c>
      <c r="C418" s="36">
        <v>24472</v>
      </c>
      <c r="D418" s="37"/>
      <c r="E418" s="35"/>
      <c r="F418" s="37"/>
      <c r="G418" s="37"/>
      <c r="H418" s="37"/>
      <c r="I418" s="37"/>
      <c r="J418" s="37"/>
      <c r="K418" s="37"/>
      <c r="L418" s="35"/>
      <c r="M418" s="35"/>
      <c r="N418" s="37"/>
      <c r="O418" s="37"/>
      <c r="P418" s="37"/>
      <c r="Q418" s="37"/>
      <c r="R418" s="37"/>
      <c r="S418" s="37"/>
      <c r="T418" s="37"/>
      <c r="U418" s="37"/>
      <c r="V418" s="37"/>
      <c r="W418" s="37">
        <f>MAX($C$11-VLOOKUP($C418,COS!$B$8:$H$991,3,FALSE),0)</f>
        <v>0</v>
      </c>
      <c r="X418" s="37">
        <f t="shared" si="667"/>
        <v>0</v>
      </c>
      <c r="Y418" s="37">
        <f>VLOOKUP($C418,COS!$B$8:$H$991,4,FALSE)</f>
        <v>0</v>
      </c>
      <c r="Z418" s="37">
        <f t="shared" si="668"/>
        <v>0</v>
      </c>
      <c r="AA418" s="37">
        <f t="shared" si="664"/>
        <v>0</v>
      </c>
      <c r="AB418" s="38">
        <f t="shared" si="650"/>
        <v>0</v>
      </c>
    </row>
    <row r="419" spans="1:28" x14ac:dyDescent="0.3">
      <c r="A419" s="27">
        <f>VLOOKUP(YEAR(C419),Flags!$A$13:$B$95,2,FALSE)</f>
        <v>1</v>
      </c>
      <c r="B419" s="28">
        <f t="shared" si="637"/>
        <v>1967</v>
      </c>
      <c r="C419" s="29">
        <v>24592</v>
      </c>
      <c r="D419" s="30">
        <f>VLOOKUP($C419,COS!$B$8:$H$991,3,FALSE)</f>
        <v>10209.6708984375</v>
      </c>
      <c r="E419" s="28">
        <f>IF(D419&gt;=IF(MONTH($C419)=4,$C$3,IF(MONTH($C419)=5,$C$4,IF(MONTH($C419)=6,$C$5,IF(MONTH($C419)=7,$C$6,"ERROR")))),1,0)</f>
        <v>1</v>
      </c>
      <c r="F419" s="30">
        <f>VLOOKUP($C419,COS!$B$8:$H$991,7,FALSE)</f>
        <v>47.143501281738281</v>
      </c>
      <c r="G419" s="28">
        <f>IF(F419&lt;=IF(MONTH($C419)=4,$F$3,IF(MONTH($C419)=5,$F$4,IF(MONTH($C419)=6,$F$5,IF(MONTH($C419)=7,$F$6,"ERROR")))),1,0)</f>
        <v>1</v>
      </c>
      <c r="H419" s="30">
        <f>IF(J419=1,D419-$C$3,0)</f>
        <v>4209.6708984375</v>
      </c>
      <c r="I419" s="30">
        <f t="shared" si="661"/>
        <v>250.49281379132231</v>
      </c>
      <c r="J419" s="28">
        <f t="shared" ref="J419:J422" si="669">IF(AND(E419=1,G419=1),1,0)</f>
        <v>1</v>
      </c>
      <c r="K419" s="30">
        <f>VLOOKUP($C419,COS!$B$8:$H$991,2,FALSE)</f>
        <v>4479</v>
      </c>
      <c r="L419" s="28">
        <f t="shared" ref="L419" si="670">IF(K419&lt;=IF(MONTH($C419)=4,$I$3,IF(MONTH($C419)=5,$I$4,IF(MONTH($C419)=6,$I$5,IF(MONTH($C419)=7,$I$6,"ERROR")))),1,0)</f>
        <v>1</v>
      </c>
      <c r="M419" s="28">
        <f t="shared" ref="M419" si="671">VLOOKUP($A419,$L$3:$M$7,2,FALSE)</f>
        <v>0</v>
      </c>
      <c r="N419" s="30">
        <f>VLOOKUP($C419,COS!$B$8:$H$991,5,FALSE)</f>
        <v>39.870414733886719</v>
      </c>
      <c r="O419" s="30">
        <f t="shared" ref="O419:O422" si="672">N419*DAY($C419)*86400/43560/1000</f>
        <v>2.3724544304461519</v>
      </c>
      <c r="P419" s="30">
        <f>VLOOKUP($C419,COS!$B$8:$H$991,6,FALSE)</f>
        <v>237.42314147949219</v>
      </c>
      <c r="Q419" s="30">
        <f t="shared" ref="Q419:Q422" si="673">P419*DAY($C419)*86400/43560/1000</f>
        <v>14.127658005391272</v>
      </c>
      <c r="R419" s="30">
        <f>MIN(IF(MONTH($C419)=4,$S$3,IF(MONTH($C419)=5,$S$4,IF(MONTH($C419)=6,$S$5,IF(MONTH($C419)=7,$S$6,"ERROR")))),MAX(VLOOKUP($C419,COS!$B$8:$K$991,10,FALSE)-IF(MONTH($C419)=4,$Y$3,IF(MONTH($C419)=5,$Y$4,IF(MONTH($C419)=6,$Y$5,IF(MONTH($C419)=7,$Y$6,"ERROR")))),0),MAX(VLOOKUP($C419,COS!$B$8:$K$991,9,FALSE)-IF(MONTH($C419)=4,$V$3,IF(MONTH($C419)=5,$V$4,IF(MONTH($C419)=6,$V$5,IF(MONTH($C419)=7,$V$6,"ERROR"))))-VLOOKUP($C419,COS!$B$8:$K$991,6,FALSE)/2,0))</f>
        <v>0</v>
      </c>
      <c r="S419" s="30">
        <f t="shared" ref="S419:S422" si="674">R419*DAY($C419)*86400/43560/1000</f>
        <v>0</v>
      </c>
      <c r="T419" s="30">
        <f t="shared" ref="T419:T422" si="675">(O419+Q419)/2+S419</f>
        <v>8.2500562179187114</v>
      </c>
      <c r="U419" s="30" t="str">
        <f>IF(VLOOKUP($C419,COS!$B$8:$I$991,8,FALSE)=1,"UWFE","IBU")</f>
        <v>UWFE</v>
      </c>
      <c r="V419" s="30">
        <f t="shared" ref="V419" si="676">MIN(IF(IF($AA$3=2,AND(E419=1,G419=1,L419=1,L424=1,M419=1,U419="IBU"),AND(E419=1,G419=1,L419=1,L424=1,M419=1)),T419,0),I419)</f>
        <v>0</v>
      </c>
      <c r="W419" s="30"/>
      <c r="X419" s="30"/>
      <c r="Y419" s="30"/>
      <c r="Z419" s="30"/>
      <c r="AA419" s="30"/>
      <c r="AB419" s="31"/>
    </row>
    <row r="420" spans="1:28" x14ac:dyDescent="0.3">
      <c r="A420" s="32">
        <f>VLOOKUP(YEAR(C420),Flags!$A$13:$B$95,2,FALSE)</f>
        <v>1</v>
      </c>
      <c r="B420" s="24">
        <f t="shared" si="637"/>
        <v>1967</v>
      </c>
      <c r="C420" s="25">
        <v>24623</v>
      </c>
      <c r="D420" s="26">
        <f>VLOOKUP($C420,COS!$B$8:$H$991,3,FALSE)</f>
        <v>12507.45703125</v>
      </c>
      <c r="E420" s="24">
        <f>IF(D420&gt;=IF(MONTH($C420)=4,$C$3,IF(MONTH($C420)=5,$C$4,IF(MONTH($C420)=6,$C$5,IF(MONTH($C420)=7,$C$6,"ERROR")))),1,0)</f>
        <v>1</v>
      </c>
      <c r="F420" s="26">
        <f>VLOOKUP($C420,COS!$B$8:$H$991,7,FALSE)</f>
        <v>48.993885040283203</v>
      </c>
      <c r="G420" s="24">
        <f>IF(F420&lt;=IF(MONTH($C420)=4,$F$3,IF(MONTH($C420)=5,$F$4,IF(MONTH($C420)=6,$F$5,IF(MONTH($C420)=7,$F$6,"ERROR")))),1,0)</f>
        <v>1</v>
      </c>
      <c r="H420" s="26">
        <f>IF(J420=1,D420-$C$4,0)</f>
        <v>6507.45703125</v>
      </c>
      <c r="I420" s="26">
        <f t="shared" si="661"/>
        <v>400.12793646694212</v>
      </c>
      <c r="J420" s="24">
        <f t="shared" si="669"/>
        <v>1</v>
      </c>
      <c r="K420" s="26">
        <f>VLOOKUP($C420,COS!$B$8:$H$991,2,FALSE)</f>
        <v>4552</v>
      </c>
      <c r="L420" s="24">
        <f t="shared" si="639"/>
        <v>1</v>
      </c>
      <c r="M420" s="24">
        <f t="shared" si="640"/>
        <v>0</v>
      </c>
      <c r="N420" s="26">
        <f>VLOOKUP($C420,COS!$B$8:$H$991,5,FALSE)</f>
        <v>634.8349609375</v>
      </c>
      <c r="O420" s="26">
        <f t="shared" si="672"/>
        <v>39.034480242768595</v>
      </c>
      <c r="P420" s="26">
        <f>VLOOKUP($C420,COS!$B$8:$H$991,6,FALSE)</f>
        <v>2252.28564453125</v>
      </c>
      <c r="Q420" s="26">
        <f t="shared" si="673"/>
        <v>138.48764624225205</v>
      </c>
      <c r="R420" s="26">
        <f>MIN(IF(MONTH($C420)=4,$S$3,IF(MONTH($C420)=5,$S$4,IF(MONTH($C420)=6,$S$5,IF(MONTH($C420)=7,$S$6,"ERROR")))),MAX(VLOOKUP($C420,COS!$B$8:$K$991,10,FALSE)-IF(MONTH($C420)=4,$Y$3,IF(MONTH($C420)=5,$Y$4,IF(MONTH($C420)=6,$Y$5,IF(MONTH($C420)=7,$Y$6,"ERROR")))),0),MAX(VLOOKUP($C420,COS!$B$8:$K$991,9,FALSE)-IF(MONTH($C420)=4,$V$3,IF(MONTH($C420)=5,$V$4,IF(MONTH($C420)=6,$V$5,IF(MONTH($C420)=7,$V$6,"ERROR"))))-VLOOKUP($C420,COS!$B$8:$K$991,6,FALSE)/2,0))</f>
        <v>0</v>
      </c>
      <c r="S420" s="26">
        <f t="shared" si="674"/>
        <v>0</v>
      </c>
      <c r="T420" s="26">
        <f t="shared" si="675"/>
        <v>88.761063242510318</v>
      </c>
      <c r="U420" s="26" t="str">
        <f>IF(VLOOKUP($C420,COS!$B$8:$I$991,8,FALSE)=1,"UWFE","IBU")</f>
        <v>UWFE</v>
      </c>
      <c r="V420" s="26">
        <f t="shared" ref="V420" si="677">MIN(IF(IF($AA$3=2,AND(E420=1,G420=1,L420=1,L424=1,M420=1,U420="IBU"),AND(E420=1,G420=1,L420=1,L424=1,M420=1)),T420,0),I420)</f>
        <v>0</v>
      </c>
      <c r="W420" s="26"/>
      <c r="X420" s="26"/>
      <c r="Y420" s="26"/>
      <c r="Z420" s="26"/>
      <c r="AA420" s="26"/>
      <c r="AB420" s="33"/>
    </row>
    <row r="421" spans="1:28" x14ac:dyDescent="0.3">
      <c r="A421" s="32">
        <f>VLOOKUP(YEAR(C421),Flags!$A$13:$B$95,2,FALSE)</f>
        <v>1</v>
      </c>
      <c r="B421" s="24">
        <f t="shared" si="637"/>
        <v>1967</v>
      </c>
      <c r="C421" s="25">
        <v>24653</v>
      </c>
      <c r="D421" s="26">
        <f>VLOOKUP($C421,COS!$B$8:$H$991,3,FALSE)</f>
        <v>8491.80078125</v>
      </c>
      <c r="E421" s="24">
        <f>IF(D421&gt;=IF(MONTH($C421)=4,$C$3,IF(MONTH($C421)=5,$C$4,IF(MONTH($C421)=6,$C$5,IF(MONTH($C421)=7,$C$6,"ERROR")))),1,0)</f>
        <v>0</v>
      </c>
      <c r="F421" s="26">
        <f>VLOOKUP($C421,COS!$B$8:$H$991,7,FALSE)</f>
        <v>51.173347473144531</v>
      </c>
      <c r="G421" s="24">
        <f>IF(F421&lt;=IF(MONTH($C421)=4,$F$3,IF(MONTH($C421)=5,$F$4,IF(MONTH($C421)=6,$F$5,IF(MONTH($C421)=7,$F$6,"ERROR")))),1,0)</f>
        <v>1</v>
      </c>
      <c r="H421" s="26">
        <f>IF(J421=1,D421-$C$5,0)</f>
        <v>0</v>
      </c>
      <c r="I421" s="26">
        <f t="shared" si="661"/>
        <v>0</v>
      </c>
      <c r="J421" s="24">
        <f t="shared" si="669"/>
        <v>0</v>
      </c>
      <c r="K421" s="26">
        <f>VLOOKUP($C421,COS!$B$8:$H$991,2,FALSE)</f>
        <v>4500</v>
      </c>
      <c r="L421" s="24">
        <f t="shared" si="639"/>
        <v>1</v>
      </c>
      <c r="M421" s="24">
        <f t="shared" si="640"/>
        <v>0</v>
      </c>
      <c r="N421" s="26">
        <f>VLOOKUP($C421,COS!$B$8:$H$991,5,FALSE)</f>
        <v>937.7822265625</v>
      </c>
      <c r="O421" s="26">
        <f t="shared" si="672"/>
        <v>55.801917613636363</v>
      </c>
      <c r="P421" s="26">
        <f>VLOOKUP($C421,COS!$B$8:$H$991,6,FALSE)</f>
        <v>2001.16455078125</v>
      </c>
      <c r="Q421" s="26">
        <f t="shared" si="673"/>
        <v>119.0775600464876</v>
      </c>
      <c r="R421" s="26">
        <f>MIN(IF(MONTH($C421)=4,$S$3,IF(MONTH($C421)=5,$S$4,IF(MONTH($C421)=6,$S$5,IF(MONTH($C421)=7,$S$6,"ERROR")))),MAX(VLOOKUP($C421,COS!$B$8:$K$991,10,FALSE)-IF(MONTH($C421)=4,$Y$3,IF(MONTH($C421)=5,$Y$4,IF(MONTH($C421)=6,$Y$5,IF(MONTH($C421)=7,$Y$6,"ERROR")))),0),MAX(VLOOKUP($C421,COS!$B$8:$K$991,9,FALSE)-IF(MONTH($C421)=4,$V$3,IF(MONTH($C421)=5,$V$4,IF(MONTH($C421)=6,$V$5,IF(MONTH($C421)=7,$V$6,"ERROR"))))-VLOOKUP($C421,COS!$B$8:$K$991,6,FALSE)/2,0))</f>
        <v>0</v>
      </c>
      <c r="S421" s="26">
        <f t="shared" si="674"/>
        <v>0</v>
      </c>
      <c r="T421" s="26">
        <f t="shared" si="675"/>
        <v>87.439738830061984</v>
      </c>
      <c r="U421" s="26" t="str">
        <f>IF(VLOOKUP($C421,COS!$B$8:$I$991,8,FALSE)=1,"UWFE","IBU")</f>
        <v>UWFE</v>
      </c>
      <c r="V421" s="26">
        <f t="shared" ref="V421" si="678">MIN(IF(IF($AA$3=2,AND(E421=1,G421=1,L421=1,L424=1,M421=1,U421="IBU"),AND(E421=1,G421=1,L421=1,L424=1,M421=1)),T421,0),I421)</f>
        <v>0</v>
      </c>
      <c r="W421" s="26"/>
      <c r="X421" s="26"/>
      <c r="Y421" s="26"/>
      <c r="Z421" s="26"/>
      <c r="AA421" s="26"/>
      <c r="AB421" s="33"/>
    </row>
    <row r="422" spans="1:28" x14ac:dyDescent="0.3">
      <c r="A422" s="32">
        <f>VLOOKUP(YEAR(C422),Flags!$A$13:$B$95,2,FALSE)</f>
        <v>1</v>
      </c>
      <c r="B422" s="24">
        <f t="shared" si="637"/>
        <v>1967</v>
      </c>
      <c r="C422" s="25">
        <v>24684</v>
      </c>
      <c r="D422" s="26">
        <f>VLOOKUP($C422,COS!$B$8:$H$991,3,FALSE)</f>
        <v>11558.0478515625</v>
      </c>
      <c r="E422" s="24">
        <f>IF(D422&gt;=IF(MONTH($C422)=4,$C$3,IF(MONTH($C422)=5,$C$4,IF(MONTH($C422)=6,$C$5,IF(MONTH($C422)=7,$C$6,"ERROR")))),1,0)</f>
        <v>0</v>
      </c>
      <c r="F422" s="26">
        <f>VLOOKUP($C422,COS!$B$8:$H$991,7,FALSE)</f>
        <v>52.531658172607422</v>
      </c>
      <c r="G422" s="24">
        <f>IF(F422&lt;=IF(MONTH($C422)=4,$F$3,IF(MONTH($C422)=5,$F$4,IF(MONTH($C422)=6,$F$5,IF(MONTH($C422)=7,$F$6,"ERROR")))),1,0)</f>
        <v>1</v>
      </c>
      <c r="H422" s="26">
        <f>IF(J422=1,D422-$C$6,0)</f>
        <v>0</v>
      </c>
      <c r="I422" s="26">
        <f t="shared" si="661"/>
        <v>0</v>
      </c>
      <c r="J422" s="24">
        <f t="shared" si="669"/>
        <v>0</v>
      </c>
      <c r="K422" s="26">
        <f>VLOOKUP($C422,COS!$B$8:$H$991,2,FALSE)</f>
        <v>4019.93115234375</v>
      </c>
      <c r="L422" s="24">
        <f t="shared" si="639"/>
        <v>1</v>
      </c>
      <c r="M422" s="24">
        <f t="shared" si="640"/>
        <v>0</v>
      </c>
      <c r="N422" s="26">
        <f>VLOOKUP($C422,COS!$B$8:$H$991,5,FALSE)</f>
        <v>1366.88818359375</v>
      </c>
      <c r="O422" s="26">
        <f t="shared" si="672"/>
        <v>84.046678396177683</v>
      </c>
      <c r="P422" s="26">
        <f>VLOOKUP($C422,COS!$B$8:$H$991,6,FALSE)</f>
        <v>2516.8701171875</v>
      </c>
      <c r="Q422" s="26">
        <f t="shared" si="673"/>
        <v>154.75631133780993</v>
      </c>
      <c r="R422" s="26">
        <f>MIN(IF(MONTH($C422)=4,$S$3,IF(MONTH($C422)=5,$S$4,IF(MONTH($C422)=6,$S$5,IF(MONTH($C422)=7,$S$6,"ERROR")))),MAX(VLOOKUP($C422,COS!$B$8:$K$991,10,FALSE)-IF(MONTH($C422)=4,$Y$3,IF(MONTH($C422)=5,$Y$4,IF(MONTH($C422)=6,$Y$5,IF(MONTH($C422)=7,$Y$6,"ERROR")))),0),MAX(VLOOKUP($C422,COS!$B$8:$K$991,9,FALSE)-IF(MONTH($C422)=4,$V$3,IF(MONTH($C422)=5,$V$4,IF(MONTH($C422)=6,$V$5,IF(MONTH($C422)=7,$V$6,"ERROR"))))-VLOOKUP($C422,COS!$B$8:$K$991,6,FALSE)/2,0))</f>
        <v>0</v>
      </c>
      <c r="S422" s="26">
        <f t="shared" si="674"/>
        <v>0</v>
      </c>
      <c r="T422" s="26">
        <f t="shared" si="675"/>
        <v>119.4014948669938</v>
      </c>
      <c r="U422" s="26" t="str">
        <f>IF(VLOOKUP($C422,COS!$B$8:$I$991,8,FALSE)=1,"UWFE","IBU")</f>
        <v>UWFE</v>
      </c>
      <c r="V422" s="26">
        <f t="shared" ref="V422" si="679">MIN(IF(IF($AA$3=2,AND(E422=1,G422=1,L422=1,L424=1,M422=1,U422="IBU"),AND(E422=1,G422=1,L422=1,L424=1,M422=1)),T422,0),I422)</f>
        <v>0</v>
      </c>
      <c r="W422" s="26"/>
      <c r="X422" s="26"/>
      <c r="Y422" s="26"/>
      <c r="Z422" s="26"/>
      <c r="AA422" s="26"/>
      <c r="AB422" s="33"/>
    </row>
    <row r="423" spans="1:28" x14ac:dyDescent="0.3">
      <c r="A423" s="32">
        <f>VLOOKUP(YEAR(C423),Flags!$A$13:$B$95,2,FALSE)</f>
        <v>1</v>
      </c>
      <c r="B423" s="24">
        <f t="shared" si="637"/>
        <v>1967</v>
      </c>
      <c r="C423" s="25">
        <v>24715</v>
      </c>
      <c r="D423" s="26"/>
      <c r="E423" s="24"/>
      <c r="F423" s="26"/>
      <c r="G423" s="24"/>
      <c r="H423" s="24"/>
      <c r="I423" s="26"/>
      <c r="J423" s="24"/>
      <c r="K423" s="26"/>
      <c r="L423" s="24"/>
      <c r="M423" s="24"/>
      <c r="N423" s="26"/>
      <c r="O423" s="26"/>
      <c r="P423" s="26"/>
      <c r="Q423" s="26"/>
      <c r="R423" s="26"/>
      <c r="S423" s="26"/>
      <c r="T423" s="26"/>
      <c r="U423" s="26"/>
      <c r="V423" s="26"/>
      <c r="W423" s="26">
        <f>MAX($C$7-VLOOKUP($C423,COS!$B$8:$H$991,3,FALSE),0)</f>
        <v>89940.6201171875</v>
      </c>
      <c r="X423" s="26">
        <f t="shared" si="667"/>
        <v>5530.2331708419424</v>
      </c>
      <c r="Y423" s="26">
        <f>VLOOKUP($C423,COS!$B$8:$H$991,4,FALSE)</f>
        <v>0</v>
      </c>
      <c r="Z423" s="26">
        <f t="shared" si="668"/>
        <v>0</v>
      </c>
      <c r="AA423" s="26">
        <f t="shared" ref="AA423:AA427" si="680">MIN(W423,Y423)</f>
        <v>0</v>
      </c>
      <c r="AB423" s="33">
        <f t="shared" ref="AB423" si="681">AA423*DAY($C423)*86400/43560/1000*IF(MONTH($C423)=8,$P$3,IF(MONTH($C423)=9,$P$4,IF(MONTH($C423)=10,$P$5,IF(MONTH($C423)=11,$P$6,IF(MONTH($C423)=12,$P$7,NA())))))</f>
        <v>0</v>
      </c>
    </row>
    <row r="424" spans="1:28" x14ac:dyDescent="0.3">
      <c r="A424" s="32">
        <f>VLOOKUP(YEAR(C424),Flags!$A$13:$B$95,2,FALSE)</f>
        <v>1</v>
      </c>
      <c r="B424" s="24">
        <f t="shared" si="637"/>
        <v>1967</v>
      </c>
      <c r="C424" s="25">
        <v>24745</v>
      </c>
      <c r="D424" s="26"/>
      <c r="E424" s="24"/>
      <c r="F424" s="26"/>
      <c r="G424" s="24"/>
      <c r="H424" s="24"/>
      <c r="I424" s="26"/>
      <c r="J424" s="24"/>
      <c r="K424" s="26">
        <f>VLOOKUP($C424,COS!$B$8:$H$991,2,FALSE)</f>
        <v>3126.86767578125</v>
      </c>
      <c r="L424" s="24">
        <f t="shared" ref="L424" si="682">IF(AND(K424&gt;$I$7,K424&lt;$I$8),1,0)</f>
        <v>1</v>
      </c>
      <c r="M424" s="24"/>
      <c r="N424" s="26"/>
      <c r="O424" s="26"/>
      <c r="P424" s="26"/>
      <c r="Q424" s="26"/>
      <c r="R424" s="26"/>
      <c r="S424" s="26"/>
      <c r="T424" s="26"/>
      <c r="U424" s="26"/>
      <c r="V424" s="26"/>
      <c r="W424" s="26">
        <f>MAX($C$8-VLOOKUP($C424,COS!$B$8:$H$991,3,FALSE),0)</f>
        <v>84275.95703125</v>
      </c>
      <c r="X424" s="26">
        <f t="shared" si="667"/>
        <v>5014.7676911157023</v>
      </c>
      <c r="Y424" s="26">
        <f>VLOOKUP($C424,COS!$B$8:$H$991,4,FALSE)</f>
        <v>0</v>
      </c>
      <c r="Z424" s="26">
        <f t="shared" si="668"/>
        <v>0</v>
      </c>
      <c r="AA424" s="26">
        <f t="shared" si="680"/>
        <v>0</v>
      </c>
      <c r="AB424" s="33">
        <f t="shared" si="650"/>
        <v>0</v>
      </c>
    </row>
    <row r="425" spans="1:28" x14ac:dyDescent="0.3">
      <c r="A425" s="32">
        <f>VLOOKUP(YEAR(C425),Flags!$A$13:$B$95,2,FALSE)</f>
        <v>1</v>
      </c>
      <c r="B425" s="24">
        <f t="shared" si="637"/>
        <v>1967</v>
      </c>
      <c r="C425" s="25">
        <v>24776</v>
      </c>
      <c r="D425" s="26"/>
      <c r="E425" s="24"/>
      <c r="F425" s="26"/>
      <c r="G425" s="26"/>
      <c r="H425" s="26"/>
      <c r="I425" s="26"/>
      <c r="J425" s="26"/>
      <c r="K425" s="26"/>
      <c r="L425" s="24"/>
      <c r="M425" s="24"/>
      <c r="N425" s="26"/>
      <c r="O425" s="26"/>
      <c r="P425" s="26"/>
      <c r="Q425" s="26"/>
      <c r="R425" s="26"/>
      <c r="S425" s="26"/>
      <c r="T425" s="26"/>
      <c r="U425" s="26"/>
      <c r="V425" s="26"/>
      <c r="W425" s="26">
        <f>MAX($C$9-VLOOKUP($C425,COS!$B$8:$H$991,3,FALSE),0)</f>
        <v>94715.58154296875</v>
      </c>
      <c r="X425" s="26">
        <f t="shared" si="667"/>
        <v>5823.8341047908061</v>
      </c>
      <c r="Y425" s="26">
        <f>VLOOKUP($C425,COS!$B$8:$H$991,4,FALSE)</f>
        <v>302.17996215820313</v>
      </c>
      <c r="Z425" s="26">
        <f t="shared" si="668"/>
        <v>18.580321640140756</v>
      </c>
      <c r="AA425" s="26">
        <f t="shared" si="680"/>
        <v>302.17996215820313</v>
      </c>
      <c r="AB425" s="33">
        <f t="shared" si="650"/>
        <v>18.580321640140756</v>
      </c>
    </row>
    <row r="426" spans="1:28" x14ac:dyDescent="0.3">
      <c r="A426" s="32">
        <f>VLOOKUP(YEAR(C426),Flags!$A$13:$B$95,2,FALSE)</f>
        <v>1</v>
      </c>
      <c r="B426" s="24">
        <f t="shared" si="637"/>
        <v>1967</v>
      </c>
      <c r="C426" s="25">
        <v>24806</v>
      </c>
      <c r="D426" s="26"/>
      <c r="E426" s="24"/>
      <c r="F426" s="26"/>
      <c r="G426" s="26"/>
      <c r="H426" s="26"/>
      <c r="I426" s="26"/>
      <c r="J426" s="26"/>
      <c r="K426" s="26"/>
      <c r="L426" s="24"/>
      <c r="M426" s="24"/>
      <c r="N426" s="26"/>
      <c r="O426" s="26"/>
      <c r="P426" s="26"/>
      <c r="Q426" s="26"/>
      <c r="R426" s="26"/>
      <c r="S426" s="26"/>
      <c r="T426" s="26"/>
      <c r="U426" s="26"/>
      <c r="V426" s="26"/>
      <c r="W426" s="26">
        <f>MAX($C$10-VLOOKUP($C426,COS!$B$8:$H$991,3,FALSE),0)</f>
        <v>91235.603515625</v>
      </c>
      <c r="X426" s="26">
        <f t="shared" si="667"/>
        <v>5428.895415805785</v>
      </c>
      <c r="Y426" s="26">
        <f>VLOOKUP($C426,COS!$B$8:$H$991,4,FALSE)</f>
        <v>1725.1964111328125</v>
      </c>
      <c r="Z426" s="26">
        <f t="shared" si="668"/>
        <v>102.65631537319214</v>
      </c>
      <c r="AA426" s="26">
        <f t="shared" si="680"/>
        <v>1725.1964111328125</v>
      </c>
      <c r="AB426" s="33">
        <f t="shared" si="650"/>
        <v>51.328157686596072</v>
      </c>
    </row>
    <row r="427" spans="1:28" x14ac:dyDescent="0.3">
      <c r="A427" s="34">
        <f>VLOOKUP(YEAR(C427),Flags!$A$13:$B$95,2,FALSE)</f>
        <v>1</v>
      </c>
      <c r="B427" s="35">
        <f t="shared" si="637"/>
        <v>1967</v>
      </c>
      <c r="C427" s="36">
        <v>24837</v>
      </c>
      <c r="D427" s="37"/>
      <c r="E427" s="35"/>
      <c r="F427" s="37"/>
      <c r="G427" s="37"/>
      <c r="H427" s="37"/>
      <c r="I427" s="37"/>
      <c r="J427" s="37"/>
      <c r="K427" s="37"/>
      <c r="L427" s="35"/>
      <c r="M427" s="35"/>
      <c r="N427" s="37"/>
      <c r="O427" s="37"/>
      <c r="P427" s="37"/>
      <c r="Q427" s="37"/>
      <c r="R427" s="37"/>
      <c r="S427" s="37"/>
      <c r="T427" s="37"/>
      <c r="U427" s="37"/>
      <c r="V427" s="37"/>
      <c r="W427" s="37">
        <f>MAX($C$11-VLOOKUP($C427,COS!$B$8:$H$991,3,FALSE),0)</f>
        <v>0</v>
      </c>
      <c r="X427" s="37">
        <f t="shared" si="667"/>
        <v>0</v>
      </c>
      <c r="Y427" s="37">
        <f>VLOOKUP($C427,COS!$B$8:$H$991,4,FALSE)</f>
        <v>0</v>
      </c>
      <c r="Z427" s="37">
        <f t="shared" si="668"/>
        <v>0</v>
      </c>
      <c r="AA427" s="37">
        <f t="shared" si="680"/>
        <v>0</v>
      </c>
      <c r="AB427" s="38">
        <f t="shared" si="650"/>
        <v>0</v>
      </c>
    </row>
    <row r="428" spans="1:28" x14ac:dyDescent="0.3">
      <c r="A428" s="27">
        <f>VLOOKUP(YEAR(C428),Flags!$A$13:$B$95,2,FALSE)</f>
        <v>3</v>
      </c>
      <c r="B428" s="28">
        <f t="shared" si="637"/>
        <v>1968</v>
      </c>
      <c r="C428" s="29">
        <v>24958</v>
      </c>
      <c r="D428" s="30">
        <f>VLOOKUP($C428,COS!$B$8:$H$991,3,FALSE)</f>
        <v>3250</v>
      </c>
      <c r="E428" s="28">
        <f>IF(D428&gt;=IF(MONTH($C428)=4,$C$3,IF(MONTH($C428)=5,$C$4,IF(MONTH($C428)=6,$C$5,IF(MONTH($C428)=7,$C$6,"ERROR")))),1,0)</f>
        <v>0</v>
      </c>
      <c r="F428" s="30">
        <f>VLOOKUP($C428,COS!$B$8:$H$991,7,FALSE)</f>
        <v>51.910366058349609</v>
      </c>
      <c r="G428" s="28">
        <f>IF(F428&lt;=IF(MONTH($C428)=4,$F$3,IF(MONTH($C428)=5,$F$4,IF(MONTH($C428)=6,$F$5,IF(MONTH($C428)=7,$F$6,"ERROR")))),1,0)</f>
        <v>1</v>
      </c>
      <c r="H428" s="30">
        <f>IF(J428=1,D428-$C$3,0)</f>
        <v>0</v>
      </c>
      <c r="I428" s="30">
        <f t="shared" si="661"/>
        <v>0</v>
      </c>
      <c r="J428" s="28">
        <f t="shared" ref="J428:J431" si="683">IF(AND(E428=1,G428=1),1,0)</f>
        <v>0</v>
      </c>
      <c r="K428" s="30">
        <f>VLOOKUP($C428,COS!$B$8:$H$991,2,FALSE)</f>
        <v>4387.3369140625</v>
      </c>
      <c r="L428" s="28">
        <f t="shared" ref="L428" si="684">IF(K428&lt;=IF(MONTH($C428)=4,$I$3,IF(MONTH($C428)=5,$I$4,IF(MONTH($C428)=6,$I$5,IF(MONTH($C428)=7,$I$6,"ERROR")))),1,0)</f>
        <v>1</v>
      </c>
      <c r="M428" s="28">
        <f t="shared" ref="M428" si="685">VLOOKUP($A428,$L$3:$M$7,2,FALSE)</f>
        <v>0</v>
      </c>
      <c r="N428" s="30">
        <f>VLOOKUP($C428,COS!$B$8:$H$991,5,FALSE)</f>
        <v>372.8587646484375</v>
      </c>
      <c r="O428" s="30">
        <f t="shared" ref="O428:O431" si="686">N428*DAY($C428)*86400/43560/1000</f>
        <v>22.186637235278926</v>
      </c>
      <c r="P428" s="30">
        <f>VLOOKUP($C428,COS!$B$8:$H$991,6,FALSE)</f>
        <v>480.01702880859375</v>
      </c>
      <c r="Q428" s="30">
        <f t="shared" ref="Q428:Q431" si="687">P428*DAY($C428)*86400/43560/1000</f>
        <v>28.562996755552685</v>
      </c>
      <c r="R428" s="30">
        <f>MIN(IF(MONTH($C428)=4,$S$3,IF(MONTH($C428)=5,$S$4,IF(MONTH($C428)=6,$S$5,IF(MONTH($C428)=7,$S$6,"ERROR")))),MAX(VLOOKUP($C428,COS!$B$8:$K$991,10,FALSE)-IF(MONTH($C428)=4,$Y$3,IF(MONTH($C428)=5,$Y$4,IF(MONTH($C428)=6,$Y$5,IF(MONTH($C428)=7,$Y$6,"ERROR")))),0),MAX(VLOOKUP($C428,COS!$B$8:$K$991,9,FALSE)-IF(MONTH($C428)=4,$V$3,IF(MONTH($C428)=5,$V$4,IF(MONTH($C428)=6,$V$5,IF(MONTH($C428)=7,$V$6,"ERROR"))))-VLOOKUP($C428,COS!$B$8:$K$991,6,FALSE)/2,0))</f>
        <v>0</v>
      </c>
      <c r="S428" s="30">
        <f t="shared" ref="S428:S431" si="688">R428*DAY($C428)*86400/43560/1000</f>
        <v>0</v>
      </c>
      <c r="T428" s="30">
        <f t="shared" ref="T428:T431" si="689">(O428+Q428)/2+S428</f>
        <v>25.374816995415806</v>
      </c>
      <c r="U428" s="30" t="str">
        <f>IF(VLOOKUP($C428,COS!$B$8:$I$991,8,FALSE)=1,"UWFE","IBU")</f>
        <v>UWFE</v>
      </c>
      <c r="V428" s="30">
        <f t="shared" ref="V428" si="690">MIN(IF(IF($AA$3=2,AND(E428=1,G428=1,L428=1,L433=1,M428=1,U428="IBU"),AND(E428=1,G428=1,L428=1,L433=1,M428=1)),T428,0),I428)</f>
        <v>0</v>
      </c>
      <c r="W428" s="30"/>
      <c r="X428" s="30"/>
      <c r="Y428" s="30"/>
      <c r="Z428" s="30"/>
      <c r="AA428" s="30"/>
      <c r="AB428" s="31"/>
    </row>
    <row r="429" spans="1:28" x14ac:dyDescent="0.3">
      <c r="A429" s="32">
        <f>VLOOKUP(YEAR(C429),Flags!$A$13:$B$95,2,FALSE)</f>
        <v>3</v>
      </c>
      <c r="B429" s="24">
        <f t="shared" si="637"/>
        <v>1968</v>
      </c>
      <c r="C429" s="25">
        <v>24989</v>
      </c>
      <c r="D429" s="26">
        <f>VLOOKUP($C429,COS!$B$8:$H$991,3,FALSE)</f>
        <v>7092.59228515625</v>
      </c>
      <c r="E429" s="24">
        <f>IF(D429&gt;=IF(MONTH($C429)=4,$C$3,IF(MONTH($C429)=5,$C$4,IF(MONTH($C429)=6,$C$5,IF(MONTH($C429)=7,$C$6,"ERROR")))),1,0)</f>
        <v>1</v>
      </c>
      <c r="F429" s="26">
        <f>VLOOKUP($C429,COS!$B$8:$H$991,7,FALSE)</f>
        <v>51.028709411621094</v>
      </c>
      <c r="G429" s="24">
        <f>IF(F429&lt;=IF(MONTH($C429)=4,$F$3,IF(MONTH($C429)=5,$F$4,IF(MONTH($C429)=6,$F$5,IF(MONTH($C429)=7,$F$6,"ERROR")))),1,0)</f>
        <v>1</v>
      </c>
      <c r="H429" s="26">
        <f>IF(J429=1,D429-$C$4,0)</f>
        <v>1092.59228515625</v>
      </c>
      <c r="I429" s="26">
        <f t="shared" si="661"/>
        <v>67.180881004648768</v>
      </c>
      <c r="J429" s="24">
        <f t="shared" si="683"/>
        <v>1</v>
      </c>
      <c r="K429" s="26">
        <f>VLOOKUP($C429,COS!$B$8:$H$991,2,FALSE)</f>
        <v>4254.63671875</v>
      </c>
      <c r="L429" s="24">
        <f t="shared" si="639"/>
        <v>1</v>
      </c>
      <c r="M429" s="24">
        <f t="shared" si="640"/>
        <v>0</v>
      </c>
      <c r="N429" s="26">
        <f>VLOOKUP($C429,COS!$B$8:$H$991,5,FALSE)</f>
        <v>578.8367919921875</v>
      </c>
      <c r="O429" s="26">
        <f t="shared" si="686"/>
        <v>35.591287044808887</v>
      </c>
      <c r="P429" s="26">
        <f>VLOOKUP($C429,COS!$B$8:$H$991,6,FALSE)</f>
        <v>2198.37158203125</v>
      </c>
      <c r="Q429" s="26">
        <f t="shared" si="687"/>
        <v>135.17259975464876</v>
      </c>
      <c r="R429" s="26">
        <f>MIN(IF(MONTH($C429)=4,$S$3,IF(MONTH($C429)=5,$S$4,IF(MONTH($C429)=6,$S$5,IF(MONTH($C429)=7,$S$6,"ERROR")))),MAX(VLOOKUP($C429,COS!$B$8:$K$991,10,FALSE)-IF(MONTH($C429)=4,$Y$3,IF(MONTH($C429)=5,$Y$4,IF(MONTH($C429)=6,$Y$5,IF(MONTH($C429)=7,$Y$6,"ERROR")))),0),MAX(VLOOKUP($C429,COS!$B$8:$K$991,9,FALSE)-IF(MONTH($C429)=4,$V$3,IF(MONTH($C429)=5,$V$4,IF(MONTH($C429)=6,$V$5,IF(MONTH($C429)=7,$V$6,"ERROR"))))-VLOOKUP($C429,COS!$B$8:$K$991,6,FALSE)/2,0))</f>
        <v>0</v>
      </c>
      <c r="S429" s="26">
        <f t="shared" si="688"/>
        <v>0</v>
      </c>
      <c r="T429" s="26">
        <f t="shared" si="689"/>
        <v>85.381943399728826</v>
      </c>
      <c r="U429" s="26" t="str">
        <f>IF(VLOOKUP($C429,COS!$B$8:$I$991,8,FALSE)=1,"UWFE","IBU")</f>
        <v>UWFE</v>
      </c>
      <c r="V429" s="26">
        <f t="shared" ref="V429" si="691">MIN(IF(IF($AA$3=2,AND(E429=1,G429=1,L429=1,L433=1,M429=1,U429="IBU"),AND(E429=1,G429=1,L429=1,L433=1,M429=1)),T429,0),I429)</f>
        <v>0</v>
      </c>
      <c r="W429" s="26"/>
      <c r="X429" s="26"/>
      <c r="Y429" s="26"/>
      <c r="Z429" s="26"/>
      <c r="AA429" s="26"/>
      <c r="AB429" s="33"/>
    </row>
    <row r="430" spans="1:28" x14ac:dyDescent="0.3">
      <c r="A430" s="32">
        <f>VLOOKUP(YEAR(C430),Flags!$A$13:$B$95,2,FALSE)</f>
        <v>3</v>
      </c>
      <c r="B430" s="24">
        <f t="shared" si="637"/>
        <v>1968</v>
      </c>
      <c r="C430" s="25">
        <v>25019</v>
      </c>
      <c r="D430" s="26">
        <f>VLOOKUP($C430,COS!$B$8:$H$991,3,FALSE)</f>
        <v>13090.2783203125</v>
      </c>
      <c r="E430" s="24">
        <f>IF(D430&gt;=IF(MONTH($C430)=4,$C$3,IF(MONTH($C430)=5,$C$4,IF(MONTH($C430)=6,$C$5,IF(MONTH($C430)=7,$C$6,"ERROR")))),1,0)</f>
        <v>1</v>
      </c>
      <c r="F430" s="26">
        <f>VLOOKUP($C430,COS!$B$8:$H$991,7,FALSE)</f>
        <v>50.739017486572266</v>
      </c>
      <c r="G430" s="24">
        <f>IF(F430&lt;=IF(MONTH($C430)=4,$F$3,IF(MONTH($C430)=5,$F$4,IF(MONTH($C430)=6,$F$5,IF(MONTH($C430)=7,$F$6,"ERROR")))),1,0)</f>
        <v>1</v>
      </c>
      <c r="H430" s="26">
        <f>IF(J430=1,D430-$C$5,0)</f>
        <v>3090.2783203125</v>
      </c>
      <c r="I430" s="26">
        <f t="shared" si="661"/>
        <v>183.884329803719</v>
      </c>
      <c r="J430" s="24">
        <f t="shared" si="683"/>
        <v>1</v>
      </c>
      <c r="K430" s="26">
        <f>VLOOKUP($C430,COS!$B$8:$H$991,2,FALSE)</f>
        <v>3698.470458984375</v>
      </c>
      <c r="L430" s="24">
        <f t="shared" si="639"/>
        <v>1</v>
      </c>
      <c r="M430" s="24">
        <f t="shared" si="640"/>
        <v>0</v>
      </c>
      <c r="N430" s="26">
        <f>VLOOKUP($C430,COS!$B$8:$H$991,5,FALSE)</f>
        <v>708.03900146484375</v>
      </c>
      <c r="O430" s="26">
        <f t="shared" si="686"/>
        <v>42.131246368155992</v>
      </c>
      <c r="P430" s="26">
        <f>VLOOKUP($C430,COS!$B$8:$H$991,6,FALSE)</f>
        <v>2497.662353515625</v>
      </c>
      <c r="Q430" s="26">
        <f t="shared" si="687"/>
        <v>148.62123095299586</v>
      </c>
      <c r="R430" s="26">
        <f>MIN(IF(MONTH($C430)=4,$S$3,IF(MONTH($C430)=5,$S$4,IF(MONTH($C430)=6,$S$5,IF(MONTH($C430)=7,$S$6,"ERROR")))),MAX(VLOOKUP($C430,COS!$B$8:$K$991,10,FALSE)-IF(MONTH($C430)=4,$Y$3,IF(MONTH($C430)=5,$Y$4,IF(MONTH($C430)=6,$Y$5,IF(MONTH($C430)=7,$Y$6,"ERROR")))),0),MAX(VLOOKUP($C430,COS!$B$8:$K$991,9,FALSE)-IF(MONTH($C430)=4,$V$3,IF(MONTH($C430)=5,$V$4,IF(MONTH($C430)=6,$V$5,IF(MONTH($C430)=7,$V$6,"ERROR"))))-VLOOKUP($C430,COS!$B$8:$K$991,6,FALSE)/2,0))</f>
        <v>0</v>
      </c>
      <c r="S430" s="26">
        <f t="shared" si="688"/>
        <v>0</v>
      </c>
      <c r="T430" s="26">
        <f t="shared" si="689"/>
        <v>95.376238660575922</v>
      </c>
      <c r="U430" s="26" t="str">
        <f>IF(VLOOKUP($C430,COS!$B$8:$I$991,8,FALSE)=1,"UWFE","IBU")</f>
        <v>IBU</v>
      </c>
      <c r="V430" s="26">
        <f t="shared" ref="V430" si="692">MIN(IF(IF($AA$3=2,AND(E430=1,G430=1,L430=1,L433=1,M430=1,U430="IBU"),AND(E430=1,G430=1,L430=1,L433=1,M430=1)),T430,0),I430)</f>
        <v>0</v>
      </c>
      <c r="W430" s="26"/>
      <c r="X430" s="26"/>
      <c r="Y430" s="26"/>
      <c r="Z430" s="26"/>
      <c r="AA430" s="26"/>
      <c r="AB430" s="33"/>
    </row>
    <row r="431" spans="1:28" x14ac:dyDescent="0.3">
      <c r="A431" s="32">
        <f>VLOOKUP(YEAR(C431),Flags!$A$13:$B$95,2,FALSE)</f>
        <v>3</v>
      </c>
      <c r="B431" s="24">
        <f t="shared" si="637"/>
        <v>1968</v>
      </c>
      <c r="C431" s="25">
        <v>25050</v>
      </c>
      <c r="D431" s="26">
        <f>VLOOKUP($C431,COS!$B$8:$H$991,3,FALSE)</f>
        <v>16000</v>
      </c>
      <c r="E431" s="24">
        <f>IF(D431&gt;=IF(MONTH($C431)=4,$C$3,IF(MONTH($C431)=5,$C$4,IF(MONTH($C431)=6,$C$5,IF(MONTH($C431)=7,$C$6,"ERROR")))),1,0)</f>
        <v>1</v>
      </c>
      <c r="F431" s="26">
        <f>VLOOKUP($C431,COS!$B$8:$H$991,7,FALSE)</f>
        <v>51.892650604248047</v>
      </c>
      <c r="G431" s="24">
        <f>IF(F431&lt;=IF(MONTH($C431)=4,$F$3,IF(MONTH($C431)=5,$F$4,IF(MONTH($C431)=6,$F$5,IF(MONTH($C431)=7,$F$6,"ERROR")))),1,0)</f>
        <v>1</v>
      </c>
      <c r="H431" s="26">
        <f>IF(J431=1,D431-$C$6,0)</f>
        <v>4000</v>
      </c>
      <c r="I431" s="26">
        <f t="shared" si="661"/>
        <v>245.95041322314049</v>
      </c>
      <c r="J431" s="24">
        <f t="shared" si="683"/>
        <v>1</v>
      </c>
      <c r="K431" s="26">
        <f>VLOOKUP($C431,COS!$B$8:$H$991,2,FALSE)</f>
        <v>3020.87158203125</v>
      </c>
      <c r="L431" s="24">
        <f t="shared" si="639"/>
        <v>1</v>
      </c>
      <c r="M431" s="24">
        <f t="shared" si="640"/>
        <v>0</v>
      </c>
      <c r="N431" s="26">
        <f>VLOOKUP($C431,COS!$B$8:$H$991,5,FALSE)</f>
        <v>869.43463134765625</v>
      </c>
      <c r="O431" s="26">
        <f t="shared" si="686"/>
        <v>53.459451712616215</v>
      </c>
      <c r="P431" s="26">
        <f>VLOOKUP($C431,COS!$B$8:$H$991,6,FALSE)</f>
        <v>2537.385498046875</v>
      </c>
      <c r="Q431" s="26">
        <f t="shared" si="687"/>
        <v>156.01775293775825</v>
      </c>
      <c r="R431" s="26">
        <f>MIN(IF(MONTH($C431)=4,$S$3,IF(MONTH($C431)=5,$S$4,IF(MONTH($C431)=6,$S$5,IF(MONTH($C431)=7,$S$6,"ERROR")))),MAX(VLOOKUP($C431,COS!$B$8:$K$991,10,FALSE)-IF(MONTH($C431)=4,$Y$3,IF(MONTH($C431)=5,$Y$4,IF(MONTH($C431)=6,$Y$5,IF(MONTH($C431)=7,$Y$6,"ERROR")))),0),MAX(VLOOKUP($C431,COS!$B$8:$K$991,9,FALSE)-IF(MONTH($C431)=4,$V$3,IF(MONTH($C431)=5,$V$4,IF(MONTH($C431)=6,$V$5,IF(MONTH($C431)=7,$V$6,"ERROR"))))-VLOOKUP($C431,COS!$B$8:$K$991,6,FALSE)/2,0))</f>
        <v>0</v>
      </c>
      <c r="S431" s="26">
        <f t="shared" si="688"/>
        <v>0</v>
      </c>
      <c r="T431" s="26">
        <f t="shared" si="689"/>
        <v>104.73860232518723</v>
      </c>
      <c r="U431" s="26" t="str">
        <f>IF(VLOOKUP($C431,COS!$B$8:$I$991,8,FALSE)=1,"UWFE","IBU")</f>
        <v>IBU</v>
      </c>
      <c r="V431" s="26">
        <f t="shared" ref="V431" si="693">MIN(IF(IF($AA$3=2,AND(E431=1,G431=1,L431=1,L433=1,M431=1,U431="IBU"),AND(E431=1,G431=1,L431=1,L433=1,M431=1)),T431,0),I431)</f>
        <v>0</v>
      </c>
      <c r="W431" s="26"/>
      <c r="X431" s="26"/>
      <c r="Y431" s="26"/>
      <c r="Z431" s="26"/>
      <c r="AA431" s="26"/>
      <c r="AB431" s="33"/>
    </row>
    <row r="432" spans="1:28" x14ac:dyDescent="0.3">
      <c r="A432" s="32">
        <f>VLOOKUP(YEAR(C432),Flags!$A$13:$B$95,2,FALSE)</f>
        <v>3</v>
      </c>
      <c r="B432" s="24">
        <f t="shared" si="637"/>
        <v>1968</v>
      </c>
      <c r="C432" s="25">
        <v>25081</v>
      </c>
      <c r="D432" s="26"/>
      <c r="E432" s="24"/>
      <c r="F432" s="26"/>
      <c r="G432" s="24"/>
      <c r="H432" s="24"/>
      <c r="I432" s="26"/>
      <c r="J432" s="24"/>
      <c r="K432" s="26"/>
      <c r="L432" s="24"/>
      <c r="M432" s="24"/>
      <c r="N432" s="26"/>
      <c r="O432" s="26"/>
      <c r="P432" s="26"/>
      <c r="Q432" s="26"/>
      <c r="R432" s="26"/>
      <c r="S432" s="26"/>
      <c r="T432" s="26"/>
      <c r="U432" s="26"/>
      <c r="V432" s="26"/>
      <c r="W432" s="26">
        <f>MAX($C$7-VLOOKUP($C432,COS!$B$8:$H$991,3,FALSE),0)</f>
        <v>91885.423828125</v>
      </c>
      <c r="X432" s="26">
        <f t="shared" si="667"/>
        <v>5649.8144899276858</v>
      </c>
      <c r="Y432" s="26">
        <f>VLOOKUP($C432,COS!$B$8:$H$991,4,FALSE)</f>
        <v>520.4456787109375</v>
      </c>
      <c r="Z432" s="26">
        <f t="shared" si="668"/>
        <v>32.000957434788219</v>
      </c>
      <c r="AA432" s="26">
        <f t="shared" ref="AA432:AA436" si="694">MIN(W432,Y432)</f>
        <v>520.4456787109375</v>
      </c>
      <c r="AB432" s="33">
        <f t="shared" ref="AB432" si="695">AA432*DAY($C432)*86400/43560/1000*IF(MONTH($C432)=8,$P$3,IF(MONTH($C432)=9,$P$4,IF(MONTH($C432)=10,$P$5,IF(MONTH($C432)=11,$P$6,IF(MONTH($C432)=12,$P$7,NA())))))</f>
        <v>32.000957434788219</v>
      </c>
    </row>
    <row r="433" spans="1:28" x14ac:dyDescent="0.3">
      <c r="A433" s="32">
        <f>VLOOKUP(YEAR(C433),Flags!$A$13:$B$95,2,FALSE)</f>
        <v>3</v>
      </c>
      <c r="B433" s="24">
        <f t="shared" si="637"/>
        <v>1968</v>
      </c>
      <c r="C433" s="25">
        <v>25111</v>
      </c>
      <c r="D433" s="26"/>
      <c r="E433" s="24"/>
      <c r="F433" s="26"/>
      <c r="G433" s="24"/>
      <c r="H433" s="24"/>
      <c r="I433" s="26"/>
      <c r="J433" s="24"/>
      <c r="K433" s="26">
        <f>VLOOKUP($C433,COS!$B$8:$H$991,2,FALSE)</f>
        <v>2794.065185546875</v>
      </c>
      <c r="L433" s="24">
        <f t="shared" ref="L433" si="696">IF(AND(K433&gt;$I$7,K433&lt;$I$8),1,0)</f>
        <v>1</v>
      </c>
      <c r="M433" s="24"/>
      <c r="N433" s="26"/>
      <c r="O433" s="26"/>
      <c r="P433" s="26"/>
      <c r="Q433" s="26"/>
      <c r="R433" s="26"/>
      <c r="S433" s="26"/>
      <c r="T433" s="26"/>
      <c r="U433" s="26"/>
      <c r="V433" s="26"/>
      <c r="W433" s="26">
        <f>MAX($C$8-VLOOKUP($C433,COS!$B$8:$H$991,3,FALSE),0)</f>
        <v>93395.6298828125</v>
      </c>
      <c r="X433" s="26">
        <f t="shared" si="667"/>
        <v>5557.4259103822315</v>
      </c>
      <c r="Y433" s="26">
        <f>VLOOKUP($C433,COS!$B$8:$H$991,4,FALSE)</f>
        <v>164.13697814941406</v>
      </c>
      <c r="Z433" s="26">
        <f t="shared" si="668"/>
        <v>9.76682845186596</v>
      </c>
      <c r="AA433" s="26">
        <f t="shared" si="694"/>
        <v>164.13697814941406</v>
      </c>
      <c r="AB433" s="33">
        <f t="shared" si="650"/>
        <v>9.76682845186596</v>
      </c>
    </row>
    <row r="434" spans="1:28" x14ac:dyDescent="0.3">
      <c r="A434" s="32">
        <f>VLOOKUP(YEAR(C434),Flags!$A$13:$B$95,2,FALSE)</f>
        <v>3</v>
      </c>
      <c r="B434" s="24">
        <f t="shared" si="637"/>
        <v>1968</v>
      </c>
      <c r="C434" s="25">
        <v>25142</v>
      </c>
      <c r="D434" s="26"/>
      <c r="E434" s="24"/>
      <c r="F434" s="26"/>
      <c r="G434" s="26"/>
      <c r="H434" s="26"/>
      <c r="I434" s="26"/>
      <c r="J434" s="26"/>
      <c r="K434" s="26"/>
      <c r="L434" s="24"/>
      <c r="M434" s="24"/>
      <c r="N434" s="26"/>
      <c r="O434" s="26"/>
      <c r="P434" s="26"/>
      <c r="Q434" s="26"/>
      <c r="R434" s="26"/>
      <c r="S434" s="26"/>
      <c r="T434" s="26"/>
      <c r="U434" s="26"/>
      <c r="V434" s="26"/>
      <c r="W434" s="26">
        <f>MAX($C$9-VLOOKUP($C434,COS!$B$8:$H$991,3,FALSE),0)</f>
        <v>94950.54296875</v>
      </c>
      <c r="X434" s="26">
        <f t="shared" si="667"/>
        <v>5838.2813197314053</v>
      </c>
      <c r="Y434" s="26">
        <f>VLOOKUP($C434,COS!$B$8:$H$991,4,FALSE)</f>
        <v>1019.0936889648438</v>
      </c>
      <c r="Z434" s="26">
        <f t="shared" si="668"/>
        <v>62.661628478499487</v>
      </c>
      <c r="AA434" s="26">
        <f t="shared" si="694"/>
        <v>1019.0936889648438</v>
      </c>
      <c r="AB434" s="33">
        <f t="shared" si="650"/>
        <v>62.661628478499487</v>
      </c>
    </row>
    <row r="435" spans="1:28" x14ac:dyDescent="0.3">
      <c r="A435" s="32">
        <f>VLOOKUP(YEAR(C435),Flags!$A$13:$B$95,2,FALSE)</f>
        <v>3</v>
      </c>
      <c r="B435" s="24">
        <f t="shared" si="637"/>
        <v>1968</v>
      </c>
      <c r="C435" s="25">
        <v>25172</v>
      </c>
      <c r="D435" s="26"/>
      <c r="E435" s="24"/>
      <c r="F435" s="26"/>
      <c r="G435" s="26"/>
      <c r="H435" s="26"/>
      <c r="I435" s="26"/>
      <c r="J435" s="26"/>
      <c r="K435" s="26"/>
      <c r="L435" s="24"/>
      <c r="M435" s="24"/>
      <c r="N435" s="26"/>
      <c r="O435" s="26"/>
      <c r="P435" s="26"/>
      <c r="Q435" s="26"/>
      <c r="R435" s="26"/>
      <c r="S435" s="26"/>
      <c r="T435" s="26"/>
      <c r="U435" s="26"/>
      <c r="V435" s="26"/>
      <c r="W435" s="26">
        <f>MAX($C$10-VLOOKUP($C435,COS!$B$8:$H$991,3,FALSE),0)</f>
        <v>96749</v>
      </c>
      <c r="X435" s="26">
        <f t="shared" si="667"/>
        <v>5756.965289256198</v>
      </c>
      <c r="Y435" s="26">
        <f>VLOOKUP($C435,COS!$B$8:$H$991,4,FALSE)</f>
        <v>448.95883178710938</v>
      </c>
      <c r="Z435" s="26">
        <f t="shared" si="668"/>
        <v>26.714905693117252</v>
      </c>
      <c r="AA435" s="26">
        <f t="shared" si="694"/>
        <v>448.95883178710938</v>
      </c>
      <c r="AB435" s="33">
        <f t="shared" si="650"/>
        <v>13.357452846558626</v>
      </c>
    </row>
    <row r="436" spans="1:28" x14ac:dyDescent="0.3">
      <c r="A436" s="34">
        <f>VLOOKUP(YEAR(C436),Flags!$A$13:$B$95,2,FALSE)</f>
        <v>3</v>
      </c>
      <c r="B436" s="35">
        <f t="shared" si="637"/>
        <v>1968</v>
      </c>
      <c r="C436" s="36">
        <v>25203</v>
      </c>
      <c r="D436" s="37"/>
      <c r="E436" s="35"/>
      <c r="F436" s="37"/>
      <c r="G436" s="37"/>
      <c r="H436" s="37"/>
      <c r="I436" s="37"/>
      <c r="J436" s="37"/>
      <c r="K436" s="37"/>
      <c r="L436" s="35"/>
      <c r="M436" s="35"/>
      <c r="N436" s="37"/>
      <c r="O436" s="37"/>
      <c r="P436" s="37"/>
      <c r="Q436" s="37"/>
      <c r="R436" s="37"/>
      <c r="S436" s="37"/>
      <c r="T436" s="37"/>
      <c r="U436" s="37"/>
      <c r="V436" s="37"/>
      <c r="W436" s="37">
        <f>MAX($C$11-VLOOKUP($C436,COS!$B$8:$H$991,3,FALSE),0)</f>
        <v>0</v>
      </c>
      <c r="X436" s="37">
        <f t="shared" si="667"/>
        <v>0</v>
      </c>
      <c r="Y436" s="37">
        <f>VLOOKUP($C436,COS!$B$8:$H$991,4,FALSE)</f>
        <v>0</v>
      </c>
      <c r="Z436" s="37">
        <f t="shared" si="668"/>
        <v>0</v>
      </c>
      <c r="AA436" s="37">
        <f t="shared" si="694"/>
        <v>0</v>
      </c>
      <c r="AB436" s="38">
        <f t="shared" si="650"/>
        <v>0</v>
      </c>
    </row>
    <row r="437" spans="1:28" x14ac:dyDescent="0.3">
      <c r="A437" s="27">
        <f>VLOOKUP(YEAR(C437),Flags!$A$13:$B$95,2,FALSE)</f>
        <v>1</v>
      </c>
      <c r="B437" s="28">
        <f t="shared" si="637"/>
        <v>1969</v>
      </c>
      <c r="C437" s="29">
        <v>25323</v>
      </c>
      <c r="D437" s="30">
        <f>VLOOKUP($C437,COS!$B$8:$H$991,3,FALSE)</f>
        <v>9669.7626953125</v>
      </c>
      <c r="E437" s="28">
        <f>IF(D437&gt;=IF(MONTH($C437)=4,$C$3,IF(MONTH($C437)=5,$C$4,IF(MONTH($C437)=6,$C$5,IF(MONTH($C437)=7,$C$6,"ERROR")))),1,0)</f>
        <v>1</v>
      </c>
      <c r="F437" s="30">
        <f>VLOOKUP($C437,COS!$B$8:$H$991,7,FALSE)</f>
        <v>46.990718841552734</v>
      </c>
      <c r="G437" s="28">
        <f>IF(F437&lt;=IF(MONTH($C437)=4,$F$3,IF(MONTH($C437)=5,$F$4,IF(MONTH($C437)=6,$F$5,IF(MONTH($C437)=7,$F$6,"ERROR")))),1,0)</f>
        <v>1</v>
      </c>
      <c r="H437" s="30">
        <f>IF(J437=1,D437-$C$3,0)</f>
        <v>3669.7626953125</v>
      </c>
      <c r="I437" s="30">
        <f t="shared" si="661"/>
        <v>218.36604467975206</v>
      </c>
      <c r="J437" s="28">
        <f t="shared" ref="J437:J440" si="697">IF(AND(E437=1,G437=1),1,0)</f>
        <v>1</v>
      </c>
      <c r="K437" s="30">
        <f>VLOOKUP($C437,COS!$B$8:$H$991,2,FALSE)</f>
        <v>4434</v>
      </c>
      <c r="L437" s="28">
        <f t="shared" ref="L437" si="698">IF(K437&lt;=IF(MONTH($C437)=4,$I$3,IF(MONTH($C437)=5,$I$4,IF(MONTH($C437)=6,$I$5,IF(MONTH($C437)=7,$I$6,"ERROR")))),1,0)</f>
        <v>1</v>
      </c>
      <c r="M437" s="28">
        <f t="shared" ref="M437" si="699">VLOOKUP($A437,$L$3:$M$7,2,FALSE)</f>
        <v>0</v>
      </c>
      <c r="N437" s="30">
        <f>VLOOKUP($C437,COS!$B$8:$H$991,5,FALSE)</f>
        <v>171.73318481445313</v>
      </c>
      <c r="O437" s="30">
        <f t="shared" ref="O437:O440" si="700">N437*DAY($C437)*86400/43560/1000</f>
        <v>10.218834137719524</v>
      </c>
      <c r="P437" s="30">
        <f>VLOOKUP($C437,COS!$B$8:$H$991,6,FALSE)</f>
        <v>463.4422607421875</v>
      </c>
      <c r="Q437" s="30">
        <f t="shared" ref="Q437:Q440" si="701">P437*DAY($C437)*86400/43560/1000</f>
        <v>27.576729564824383</v>
      </c>
      <c r="R437" s="30">
        <f>MIN(IF(MONTH($C437)=4,$S$3,IF(MONTH($C437)=5,$S$4,IF(MONTH($C437)=6,$S$5,IF(MONTH($C437)=7,$S$6,"ERROR")))),MAX(VLOOKUP($C437,COS!$B$8:$K$991,10,FALSE)-IF(MONTH($C437)=4,$Y$3,IF(MONTH($C437)=5,$Y$4,IF(MONTH($C437)=6,$Y$5,IF(MONTH($C437)=7,$Y$6,"ERROR")))),0),MAX(VLOOKUP($C437,COS!$B$8:$K$991,9,FALSE)-IF(MONTH($C437)=4,$V$3,IF(MONTH($C437)=5,$V$4,IF(MONTH($C437)=6,$V$5,IF(MONTH($C437)=7,$V$6,"ERROR"))))-VLOOKUP($C437,COS!$B$8:$K$991,6,FALSE)/2,0))</f>
        <v>0</v>
      </c>
      <c r="S437" s="30">
        <f t="shared" ref="S437:S440" si="702">R437*DAY($C437)*86400/43560/1000</f>
        <v>0</v>
      </c>
      <c r="T437" s="30">
        <f t="shared" ref="T437:T440" si="703">(O437+Q437)/2+S437</f>
        <v>18.897781851271954</v>
      </c>
      <c r="U437" s="30" t="str">
        <f>IF(VLOOKUP($C437,COS!$B$8:$I$991,8,FALSE)=1,"UWFE","IBU")</f>
        <v>UWFE</v>
      </c>
      <c r="V437" s="30">
        <f t="shared" ref="V437" si="704">MIN(IF(IF($AA$3=2,AND(E437=1,G437=1,L437=1,L442=1,M437=1,U437="IBU"),AND(E437=1,G437=1,L437=1,L442=1,M437=1)),T437,0),I437)</f>
        <v>0</v>
      </c>
      <c r="W437" s="30"/>
      <c r="X437" s="30"/>
      <c r="Y437" s="30"/>
      <c r="Z437" s="30"/>
      <c r="AA437" s="30"/>
      <c r="AB437" s="31"/>
    </row>
    <row r="438" spans="1:28" x14ac:dyDescent="0.3">
      <c r="A438" s="32">
        <f>VLOOKUP(YEAR(C438),Flags!$A$13:$B$95,2,FALSE)</f>
        <v>1</v>
      </c>
      <c r="B438" s="24">
        <f t="shared" si="637"/>
        <v>1969</v>
      </c>
      <c r="C438" s="25">
        <v>25354</v>
      </c>
      <c r="D438" s="26">
        <f>VLOOKUP($C438,COS!$B$8:$H$991,3,FALSE)</f>
        <v>9579.4580078125</v>
      </c>
      <c r="E438" s="24">
        <f>IF(D438&gt;=IF(MONTH($C438)=4,$C$3,IF(MONTH($C438)=5,$C$4,IF(MONTH($C438)=6,$C$5,IF(MONTH($C438)=7,$C$6,"ERROR")))),1,0)</f>
        <v>1</v>
      </c>
      <c r="F438" s="26">
        <f>VLOOKUP($C438,COS!$B$8:$H$991,7,FALSE)</f>
        <v>48.872310638427734</v>
      </c>
      <c r="G438" s="24">
        <f>IF(F438&lt;=IF(MONTH($C438)=4,$F$3,IF(MONTH($C438)=5,$F$4,IF(MONTH($C438)=6,$F$5,IF(MONTH($C438)=7,$F$6,"ERROR")))),1,0)</f>
        <v>1</v>
      </c>
      <c r="H438" s="26">
        <f>IF(J438=1,D438-$C$4,0)</f>
        <v>3579.4580078125</v>
      </c>
      <c r="I438" s="26">
        <f t="shared" si="661"/>
        <v>220.09229403409091</v>
      </c>
      <c r="J438" s="24">
        <f t="shared" si="697"/>
        <v>1</v>
      </c>
      <c r="K438" s="26">
        <f>VLOOKUP($C438,COS!$B$8:$H$991,2,FALSE)</f>
        <v>4552</v>
      </c>
      <c r="L438" s="24">
        <f t="shared" si="639"/>
        <v>1</v>
      </c>
      <c r="M438" s="24">
        <f t="shared" si="640"/>
        <v>0</v>
      </c>
      <c r="N438" s="26">
        <f>VLOOKUP($C438,COS!$B$8:$H$991,5,FALSE)</f>
        <v>779.53582763671875</v>
      </c>
      <c r="O438" s="26">
        <f t="shared" si="700"/>
        <v>47.931789732373453</v>
      </c>
      <c r="P438" s="26">
        <f>VLOOKUP($C438,COS!$B$8:$H$991,6,FALSE)</f>
        <v>2345.609619140625</v>
      </c>
      <c r="Q438" s="26">
        <f t="shared" si="701"/>
        <v>144.22591377195246</v>
      </c>
      <c r="R438" s="26">
        <f>MIN(IF(MONTH($C438)=4,$S$3,IF(MONTH($C438)=5,$S$4,IF(MONTH($C438)=6,$S$5,IF(MONTH($C438)=7,$S$6,"ERROR")))),MAX(VLOOKUP($C438,COS!$B$8:$K$991,10,FALSE)-IF(MONTH($C438)=4,$Y$3,IF(MONTH($C438)=5,$Y$4,IF(MONTH($C438)=6,$Y$5,IF(MONTH($C438)=7,$Y$6,"ERROR")))),0),MAX(VLOOKUP($C438,COS!$B$8:$K$991,9,FALSE)-IF(MONTH($C438)=4,$V$3,IF(MONTH($C438)=5,$V$4,IF(MONTH($C438)=6,$V$5,IF(MONTH($C438)=7,$V$6,"ERROR"))))-VLOOKUP($C438,COS!$B$8:$K$991,6,FALSE)/2,0))</f>
        <v>0</v>
      </c>
      <c r="S438" s="26">
        <f t="shared" si="702"/>
        <v>0</v>
      </c>
      <c r="T438" s="26">
        <f t="shared" si="703"/>
        <v>96.078851752162961</v>
      </c>
      <c r="U438" s="26" t="str">
        <f>IF(VLOOKUP($C438,COS!$B$8:$I$991,8,FALSE)=1,"UWFE","IBU")</f>
        <v>UWFE</v>
      </c>
      <c r="V438" s="26">
        <f t="shared" ref="V438" si="705">MIN(IF(IF($AA$3=2,AND(E438=1,G438=1,L438=1,L442=1,M438=1,U438="IBU"),AND(E438=1,G438=1,L438=1,L442=1,M438=1)),T438,0),I438)</f>
        <v>0</v>
      </c>
      <c r="W438" s="26"/>
      <c r="X438" s="26"/>
      <c r="Y438" s="26"/>
      <c r="Z438" s="26"/>
      <c r="AA438" s="26"/>
      <c r="AB438" s="33"/>
    </row>
    <row r="439" spans="1:28" x14ac:dyDescent="0.3">
      <c r="A439" s="32">
        <f>VLOOKUP(YEAR(C439),Flags!$A$13:$B$95,2,FALSE)</f>
        <v>1</v>
      </c>
      <c r="B439" s="24">
        <f t="shared" si="637"/>
        <v>1969</v>
      </c>
      <c r="C439" s="25">
        <v>25384</v>
      </c>
      <c r="D439" s="26">
        <f>VLOOKUP($C439,COS!$B$8:$H$991,3,FALSE)</f>
        <v>8011.47998046875</v>
      </c>
      <c r="E439" s="24">
        <f>IF(D439&gt;=IF(MONTH($C439)=4,$C$3,IF(MONTH($C439)=5,$C$4,IF(MONTH($C439)=6,$C$5,IF(MONTH($C439)=7,$C$6,"ERROR")))),1,0)</f>
        <v>0</v>
      </c>
      <c r="F439" s="26">
        <f>VLOOKUP($C439,COS!$B$8:$H$991,7,FALSE)</f>
        <v>50.501800537109375</v>
      </c>
      <c r="G439" s="24">
        <f>IF(F439&lt;=IF(MONTH($C439)=4,$F$3,IF(MONTH($C439)=5,$F$4,IF(MONTH($C439)=6,$F$5,IF(MONTH($C439)=7,$F$6,"ERROR")))),1,0)</f>
        <v>1</v>
      </c>
      <c r="H439" s="26">
        <f>IF(J439=1,D439-$C$5,0)</f>
        <v>0</v>
      </c>
      <c r="I439" s="26">
        <f t="shared" si="661"/>
        <v>0</v>
      </c>
      <c r="J439" s="24">
        <f t="shared" si="697"/>
        <v>0</v>
      </c>
      <c r="K439" s="26">
        <f>VLOOKUP($C439,COS!$B$8:$H$991,2,FALSE)</f>
        <v>4403.0791015625</v>
      </c>
      <c r="L439" s="24">
        <f t="shared" si="639"/>
        <v>1</v>
      </c>
      <c r="M439" s="24">
        <f t="shared" si="640"/>
        <v>0</v>
      </c>
      <c r="N439" s="26">
        <f>VLOOKUP($C439,COS!$B$8:$H$991,5,FALSE)</f>
        <v>1103.256591796875</v>
      </c>
      <c r="O439" s="26">
        <f t="shared" si="700"/>
        <v>65.648326123450417</v>
      </c>
      <c r="P439" s="26">
        <f>VLOOKUP($C439,COS!$B$8:$H$991,6,FALSE)</f>
        <v>2226.01513671875</v>
      </c>
      <c r="Q439" s="26">
        <f t="shared" si="701"/>
        <v>132.45709904442148</v>
      </c>
      <c r="R439" s="26">
        <f>MIN(IF(MONTH($C439)=4,$S$3,IF(MONTH($C439)=5,$S$4,IF(MONTH($C439)=6,$S$5,IF(MONTH($C439)=7,$S$6,"ERROR")))),MAX(VLOOKUP($C439,COS!$B$8:$K$991,10,FALSE)-IF(MONTH($C439)=4,$Y$3,IF(MONTH($C439)=5,$Y$4,IF(MONTH($C439)=6,$Y$5,IF(MONTH($C439)=7,$Y$6,"ERROR")))),0),MAX(VLOOKUP($C439,COS!$B$8:$K$991,9,FALSE)-IF(MONTH($C439)=4,$V$3,IF(MONTH($C439)=5,$V$4,IF(MONTH($C439)=6,$V$5,IF(MONTH($C439)=7,$V$6,"ERROR"))))-VLOOKUP($C439,COS!$B$8:$K$991,6,FALSE)/2,0))</f>
        <v>0</v>
      </c>
      <c r="S439" s="26">
        <f t="shared" si="702"/>
        <v>0</v>
      </c>
      <c r="T439" s="26">
        <f t="shared" si="703"/>
        <v>99.052712583935943</v>
      </c>
      <c r="U439" s="26" t="str">
        <f>IF(VLOOKUP($C439,COS!$B$8:$I$991,8,FALSE)=1,"UWFE","IBU")</f>
        <v>UWFE</v>
      </c>
      <c r="V439" s="26">
        <f t="shared" ref="V439" si="706">MIN(IF(IF($AA$3=2,AND(E439=1,G439=1,L439=1,L442=1,M439=1,U439="IBU"),AND(E439=1,G439=1,L439=1,L442=1,M439=1)),T439,0),I439)</f>
        <v>0</v>
      </c>
      <c r="W439" s="26"/>
      <c r="X439" s="26"/>
      <c r="Y439" s="26"/>
      <c r="Z439" s="26"/>
      <c r="AA439" s="26"/>
      <c r="AB439" s="33"/>
    </row>
    <row r="440" spans="1:28" x14ac:dyDescent="0.3">
      <c r="A440" s="32">
        <f>VLOOKUP(YEAR(C440),Flags!$A$13:$B$95,2,FALSE)</f>
        <v>1</v>
      </c>
      <c r="B440" s="24">
        <f t="shared" si="637"/>
        <v>1969</v>
      </c>
      <c r="C440" s="25">
        <v>25415</v>
      </c>
      <c r="D440" s="26">
        <f>VLOOKUP($C440,COS!$B$8:$H$991,3,FALSE)</f>
        <v>11045.078125</v>
      </c>
      <c r="E440" s="24">
        <f>IF(D440&gt;=IF(MONTH($C440)=4,$C$3,IF(MONTH($C440)=5,$C$4,IF(MONTH($C440)=6,$C$5,IF(MONTH($C440)=7,$C$6,"ERROR")))),1,0)</f>
        <v>0</v>
      </c>
      <c r="F440" s="26">
        <f>VLOOKUP($C440,COS!$B$8:$H$991,7,FALSE)</f>
        <v>51.50872802734375</v>
      </c>
      <c r="G440" s="24">
        <f>IF(F440&lt;=IF(MONTH($C440)=4,$F$3,IF(MONTH($C440)=5,$F$4,IF(MONTH($C440)=6,$F$5,IF(MONTH($C440)=7,$F$6,"ERROR")))),1,0)</f>
        <v>1</v>
      </c>
      <c r="H440" s="26">
        <f>IF(J440=1,D440-$C$6,0)</f>
        <v>0</v>
      </c>
      <c r="I440" s="26">
        <f t="shared" si="661"/>
        <v>0</v>
      </c>
      <c r="J440" s="24">
        <f t="shared" si="697"/>
        <v>0</v>
      </c>
      <c r="K440" s="26">
        <f>VLOOKUP($C440,COS!$B$8:$H$991,2,FALSE)</f>
        <v>3947.457763671875</v>
      </c>
      <c r="L440" s="24">
        <f t="shared" si="639"/>
        <v>1</v>
      </c>
      <c r="M440" s="24">
        <f t="shared" si="640"/>
        <v>0</v>
      </c>
      <c r="N440" s="26">
        <f>VLOOKUP($C440,COS!$B$8:$H$991,5,FALSE)</f>
        <v>1249.15625</v>
      </c>
      <c r="O440" s="26">
        <f t="shared" si="700"/>
        <v>76.807623966942145</v>
      </c>
      <c r="P440" s="26">
        <f>VLOOKUP($C440,COS!$B$8:$H$991,6,FALSE)</f>
        <v>2516.8701171875</v>
      </c>
      <c r="Q440" s="26">
        <f t="shared" si="701"/>
        <v>154.75631133780993</v>
      </c>
      <c r="R440" s="26">
        <f>MIN(IF(MONTH($C440)=4,$S$3,IF(MONTH($C440)=5,$S$4,IF(MONTH($C440)=6,$S$5,IF(MONTH($C440)=7,$S$6,"ERROR")))),MAX(VLOOKUP($C440,COS!$B$8:$K$991,10,FALSE)-IF(MONTH($C440)=4,$Y$3,IF(MONTH($C440)=5,$Y$4,IF(MONTH($C440)=6,$Y$5,IF(MONTH($C440)=7,$Y$6,"ERROR")))),0),MAX(VLOOKUP($C440,COS!$B$8:$K$991,9,FALSE)-IF(MONTH($C440)=4,$V$3,IF(MONTH($C440)=5,$V$4,IF(MONTH($C440)=6,$V$5,IF(MONTH($C440)=7,$V$6,"ERROR"))))-VLOOKUP($C440,COS!$B$8:$K$991,6,FALSE)/2,0))</f>
        <v>0</v>
      </c>
      <c r="S440" s="26">
        <f t="shared" si="702"/>
        <v>0</v>
      </c>
      <c r="T440" s="26">
        <f t="shared" si="703"/>
        <v>115.78196765237604</v>
      </c>
      <c r="U440" s="26" t="str">
        <f>IF(VLOOKUP($C440,COS!$B$8:$I$991,8,FALSE)=1,"UWFE","IBU")</f>
        <v>IBU</v>
      </c>
      <c r="V440" s="26">
        <f t="shared" ref="V440" si="707">MIN(IF(IF($AA$3=2,AND(E440=1,G440=1,L440=1,L442=1,M440=1,U440="IBU"),AND(E440=1,G440=1,L440=1,L442=1,M440=1)),T440,0),I440)</f>
        <v>0</v>
      </c>
      <c r="W440" s="26"/>
      <c r="X440" s="26"/>
      <c r="Y440" s="26"/>
      <c r="Z440" s="26"/>
      <c r="AA440" s="26"/>
      <c r="AB440" s="33"/>
    </row>
    <row r="441" spans="1:28" x14ac:dyDescent="0.3">
      <c r="A441" s="32">
        <f>VLOOKUP(YEAR(C441),Flags!$A$13:$B$95,2,FALSE)</f>
        <v>1</v>
      </c>
      <c r="B441" s="24">
        <f t="shared" si="637"/>
        <v>1969</v>
      </c>
      <c r="C441" s="25">
        <v>25446</v>
      </c>
      <c r="D441" s="26"/>
      <c r="E441" s="24"/>
      <c r="F441" s="26"/>
      <c r="G441" s="24"/>
      <c r="H441" s="24"/>
      <c r="I441" s="26"/>
      <c r="J441" s="24"/>
      <c r="K441" s="26"/>
      <c r="L441" s="24"/>
      <c r="M441" s="24"/>
      <c r="N441" s="26"/>
      <c r="O441" s="26"/>
      <c r="P441" s="26"/>
      <c r="Q441" s="26"/>
      <c r="R441" s="26"/>
      <c r="S441" s="26"/>
      <c r="T441" s="26"/>
      <c r="U441" s="26"/>
      <c r="V441" s="26"/>
      <c r="W441" s="26">
        <f>MAX($C$7-VLOOKUP($C441,COS!$B$8:$H$991,3,FALSE),0)</f>
        <v>89532.791015625</v>
      </c>
      <c r="X441" s="26">
        <f t="shared" si="667"/>
        <v>5505.1567368285123</v>
      </c>
      <c r="Y441" s="26">
        <f>VLOOKUP($C441,COS!$B$8:$H$991,4,FALSE)</f>
        <v>0</v>
      </c>
      <c r="Z441" s="26">
        <f t="shared" si="668"/>
        <v>0</v>
      </c>
      <c r="AA441" s="26">
        <f t="shared" ref="AA441:AA445" si="708">MIN(W441,Y441)</f>
        <v>0</v>
      </c>
      <c r="AB441" s="33">
        <f t="shared" ref="AB441" si="709">AA441*DAY($C441)*86400/43560/1000*IF(MONTH($C441)=8,$P$3,IF(MONTH($C441)=9,$P$4,IF(MONTH($C441)=10,$P$5,IF(MONTH($C441)=11,$P$6,IF(MONTH($C441)=12,$P$7,NA())))))</f>
        <v>0</v>
      </c>
    </row>
    <row r="442" spans="1:28" x14ac:dyDescent="0.3">
      <c r="A442" s="32">
        <f>VLOOKUP(YEAR(C442),Flags!$A$13:$B$95,2,FALSE)</f>
        <v>1</v>
      </c>
      <c r="B442" s="24">
        <f t="shared" si="637"/>
        <v>1969</v>
      </c>
      <c r="C442" s="25">
        <v>25476</v>
      </c>
      <c r="D442" s="26"/>
      <c r="E442" s="24"/>
      <c r="F442" s="26"/>
      <c r="G442" s="24"/>
      <c r="H442" s="24"/>
      <c r="I442" s="26"/>
      <c r="J442" s="24"/>
      <c r="K442" s="26">
        <f>VLOOKUP($C442,COS!$B$8:$H$991,2,FALSE)</f>
        <v>3239.390869140625</v>
      </c>
      <c r="L442" s="24">
        <f t="shared" ref="L442" si="710">IF(AND(K442&gt;$I$7,K442&lt;$I$8),1,0)</f>
        <v>1</v>
      </c>
      <c r="M442" s="24"/>
      <c r="N442" s="26"/>
      <c r="O442" s="26"/>
      <c r="P442" s="26"/>
      <c r="Q442" s="26"/>
      <c r="R442" s="26"/>
      <c r="S442" s="26"/>
      <c r="T442" s="26"/>
      <c r="U442" s="26"/>
      <c r="V442" s="26"/>
      <c r="W442" s="26">
        <f>MAX($C$8-VLOOKUP($C442,COS!$B$8:$H$991,3,FALSE),0)</f>
        <v>88147.01953125</v>
      </c>
      <c r="X442" s="26">
        <f t="shared" si="667"/>
        <v>5245.1119059917355</v>
      </c>
      <c r="Y442" s="26">
        <f>VLOOKUP($C442,COS!$B$8:$H$991,4,FALSE)</f>
        <v>42.857669830322266</v>
      </c>
      <c r="Z442" s="26">
        <f t="shared" si="668"/>
        <v>2.5502084527133912</v>
      </c>
      <c r="AA442" s="26">
        <f t="shared" si="708"/>
        <v>42.857669830322266</v>
      </c>
      <c r="AB442" s="33">
        <f t="shared" si="650"/>
        <v>2.5502084527133912</v>
      </c>
    </row>
    <row r="443" spans="1:28" x14ac:dyDescent="0.3">
      <c r="A443" s="32">
        <f>VLOOKUP(YEAR(C443),Flags!$A$13:$B$95,2,FALSE)</f>
        <v>1</v>
      </c>
      <c r="B443" s="24">
        <f t="shared" si="637"/>
        <v>1969</v>
      </c>
      <c r="C443" s="25">
        <v>25507</v>
      </c>
      <c r="D443" s="26"/>
      <c r="E443" s="24"/>
      <c r="F443" s="26"/>
      <c r="G443" s="26"/>
      <c r="H443" s="26"/>
      <c r="I443" s="26"/>
      <c r="J443" s="26"/>
      <c r="K443" s="26"/>
      <c r="L443" s="24"/>
      <c r="M443" s="24"/>
      <c r="N443" s="26"/>
      <c r="O443" s="26"/>
      <c r="P443" s="26"/>
      <c r="Q443" s="26"/>
      <c r="R443" s="26"/>
      <c r="S443" s="26"/>
      <c r="T443" s="26"/>
      <c r="U443" s="26"/>
      <c r="V443" s="26"/>
      <c r="W443" s="26">
        <f>MAX($C$9-VLOOKUP($C443,COS!$B$8:$H$991,3,FALSE),0)</f>
        <v>93281.42724609375</v>
      </c>
      <c r="X443" s="26">
        <f t="shared" si="667"/>
        <v>5735.6513943052687</v>
      </c>
      <c r="Y443" s="26">
        <f>VLOOKUP($C443,COS!$B$8:$H$991,4,FALSE)</f>
        <v>245.98057556152344</v>
      </c>
      <c r="Z443" s="26">
        <f t="shared" si="668"/>
        <v>15.124756051055655</v>
      </c>
      <c r="AA443" s="26">
        <f t="shared" si="708"/>
        <v>245.98057556152344</v>
      </c>
      <c r="AB443" s="33">
        <f t="shared" si="650"/>
        <v>15.124756051055655</v>
      </c>
    </row>
    <row r="444" spans="1:28" x14ac:dyDescent="0.3">
      <c r="A444" s="32">
        <f>VLOOKUP(YEAR(C444),Flags!$A$13:$B$95,2,FALSE)</f>
        <v>1</v>
      </c>
      <c r="B444" s="24">
        <f t="shared" si="637"/>
        <v>1969</v>
      </c>
      <c r="C444" s="25">
        <v>25537</v>
      </c>
      <c r="D444" s="26"/>
      <c r="E444" s="24"/>
      <c r="F444" s="26"/>
      <c r="G444" s="26"/>
      <c r="H444" s="26"/>
      <c r="I444" s="26"/>
      <c r="J444" s="26"/>
      <c r="K444" s="26"/>
      <c r="L444" s="24"/>
      <c r="M444" s="24"/>
      <c r="N444" s="26"/>
      <c r="O444" s="26"/>
      <c r="P444" s="26"/>
      <c r="Q444" s="26"/>
      <c r="R444" s="26"/>
      <c r="S444" s="26"/>
      <c r="T444" s="26"/>
      <c r="U444" s="26"/>
      <c r="V444" s="26"/>
      <c r="W444" s="26">
        <f>MAX($C$10-VLOOKUP($C444,COS!$B$8:$H$991,3,FALSE),0)</f>
        <v>92833.80517578125</v>
      </c>
      <c r="X444" s="26">
        <f t="shared" si="667"/>
        <v>5523.995018724173</v>
      </c>
      <c r="Y444" s="26">
        <f>VLOOKUP($C444,COS!$B$8:$H$991,4,FALSE)</f>
        <v>0</v>
      </c>
      <c r="Z444" s="26">
        <f t="shared" si="668"/>
        <v>0</v>
      </c>
      <c r="AA444" s="26">
        <f t="shared" si="708"/>
        <v>0</v>
      </c>
      <c r="AB444" s="33">
        <f t="shared" si="650"/>
        <v>0</v>
      </c>
    </row>
    <row r="445" spans="1:28" x14ac:dyDescent="0.3">
      <c r="A445" s="34">
        <f>VLOOKUP(YEAR(C445),Flags!$A$13:$B$95,2,FALSE)</f>
        <v>1</v>
      </c>
      <c r="B445" s="35">
        <f t="shared" si="637"/>
        <v>1969</v>
      </c>
      <c r="C445" s="36">
        <v>25568</v>
      </c>
      <c r="D445" s="37"/>
      <c r="E445" s="35"/>
      <c r="F445" s="37"/>
      <c r="G445" s="37"/>
      <c r="H445" s="37"/>
      <c r="I445" s="37"/>
      <c r="J445" s="37"/>
      <c r="K445" s="37"/>
      <c r="L445" s="35"/>
      <c r="M445" s="35"/>
      <c r="N445" s="37"/>
      <c r="O445" s="37"/>
      <c r="P445" s="37"/>
      <c r="Q445" s="37"/>
      <c r="R445" s="37"/>
      <c r="S445" s="37"/>
      <c r="T445" s="37"/>
      <c r="U445" s="37"/>
      <c r="V445" s="37"/>
      <c r="W445" s="37">
        <f>MAX($C$11-VLOOKUP($C445,COS!$B$8:$H$991,3,FALSE),0)</f>
        <v>0</v>
      </c>
      <c r="X445" s="37">
        <f t="shared" si="667"/>
        <v>0</v>
      </c>
      <c r="Y445" s="37">
        <f>VLOOKUP($C445,COS!$B$8:$H$991,4,FALSE)</f>
        <v>0</v>
      </c>
      <c r="Z445" s="37">
        <f t="shared" si="668"/>
        <v>0</v>
      </c>
      <c r="AA445" s="37">
        <f t="shared" si="708"/>
        <v>0</v>
      </c>
      <c r="AB445" s="38">
        <f t="shared" si="650"/>
        <v>0</v>
      </c>
    </row>
    <row r="446" spans="1:28" x14ac:dyDescent="0.3">
      <c r="A446" s="27">
        <f>VLOOKUP(YEAR(C446),Flags!$A$13:$B$95,2,FALSE)</f>
        <v>1</v>
      </c>
      <c r="B446" s="28">
        <f t="shared" si="637"/>
        <v>1970</v>
      </c>
      <c r="C446" s="29">
        <v>25688</v>
      </c>
      <c r="D446" s="30">
        <f>VLOOKUP($C446,COS!$B$8:$H$991,3,FALSE)</f>
        <v>3250</v>
      </c>
      <c r="E446" s="28">
        <f>IF(D446&gt;=IF(MONTH($C446)=4,$C$3,IF(MONTH($C446)=5,$C$4,IF(MONTH($C446)=6,$C$5,IF(MONTH($C446)=7,$C$6,"ERROR")))),1,0)</f>
        <v>0</v>
      </c>
      <c r="F446" s="30">
        <f>VLOOKUP($C446,COS!$B$8:$H$991,7,FALSE)</f>
        <v>49.804428100585938</v>
      </c>
      <c r="G446" s="28">
        <f>IF(F446&lt;=IF(MONTH($C446)=4,$F$3,IF(MONTH($C446)=5,$F$4,IF(MONTH($C446)=6,$F$5,IF(MONTH($C446)=7,$F$6,"ERROR")))),1,0)</f>
        <v>1</v>
      </c>
      <c r="H446" s="30">
        <f>IF(J446=1,D446-$C$3,0)</f>
        <v>0</v>
      </c>
      <c r="I446" s="30">
        <f t="shared" si="661"/>
        <v>0</v>
      </c>
      <c r="J446" s="28">
        <f t="shared" ref="J446:J449" si="711">IF(AND(E446=1,G446=1),1,0)</f>
        <v>0</v>
      </c>
      <c r="K446" s="30">
        <f>VLOOKUP($C446,COS!$B$8:$H$991,2,FALSE)</f>
        <v>4291.064453125</v>
      </c>
      <c r="L446" s="28">
        <f t="shared" ref="L446" si="712">IF(K446&lt;=IF(MONTH($C446)=4,$I$3,IF(MONTH($C446)=5,$I$4,IF(MONTH($C446)=6,$I$5,IF(MONTH($C446)=7,$I$6,"ERROR")))),1,0)</f>
        <v>1</v>
      </c>
      <c r="M446" s="28">
        <f t="shared" ref="M446" si="713">VLOOKUP($A446,$L$3:$M$7,2,FALSE)</f>
        <v>0</v>
      </c>
      <c r="N446" s="30">
        <f>VLOOKUP($C446,COS!$B$8:$H$991,5,FALSE)</f>
        <v>73.196624755859375</v>
      </c>
      <c r="O446" s="30">
        <f t="shared" ref="O446:O449" si="714">N446*DAY($C446)*86400/43560/1000</f>
        <v>4.3555016383651859</v>
      </c>
      <c r="P446" s="30">
        <f>VLOOKUP($C446,COS!$B$8:$H$991,6,FALSE)</f>
        <v>508.6461181640625</v>
      </c>
      <c r="Q446" s="30">
        <f t="shared" ref="Q446:Q449" si="715">P446*DAY($C446)*86400/43560/1000</f>
        <v>30.266545874225205</v>
      </c>
      <c r="R446" s="30">
        <f>MIN(IF(MONTH($C446)=4,$S$3,IF(MONTH($C446)=5,$S$4,IF(MONTH($C446)=6,$S$5,IF(MONTH($C446)=7,$S$6,"ERROR")))),MAX(VLOOKUP($C446,COS!$B$8:$K$991,10,FALSE)-IF(MONTH($C446)=4,$Y$3,IF(MONTH($C446)=5,$Y$4,IF(MONTH($C446)=6,$Y$5,IF(MONTH($C446)=7,$Y$6,"ERROR")))),0),MAX(VLOOKUP($C446,COS!$B$8:$K$991,9,FALSE)-IF(MONTH($C446)=4,$V$3,IF(MONTH($C446)=5,$V$4,IF(MONTH($C446)=6,$V$5,IF(MONTH($C446)=7,$V$6,"ERROR"))))-VLOOKUP($C446,COS!$B$8:$K$991,6,FALSE)/2,0))</f>
        <v>0</v>
      </c>
      <c r="S446" s="30">
        <f t="shared" ref="S446:S449" si="716">R446*DAY($C446)*86400/43560/1000</f>
        <v>0</v>
      </c>
      <c r="T446" s="30">
        <f t="shared" ref="T446:T449" si="717">(O446+Q446)/2+S446</f>
        <v>17.311023756295196</v>
      </c>
      <c r="U446" s="30" t="str">
        <f>IF(VLOOKUP($C446,COS!$B$8:$I$991,8,FALSE)=1,"UWFE","IBU")</f>
        <v>UWFE</v>
      </c>
      <c r="V446" s="30">
        <f t="shared" ref="V446" si="718">MIN(IF(IF($AA$3=2,AND(E446=1,G446=1,L446=1,L451=1,M446=1,U446="IBU"),AND(E446=1,G446=1,L446=1,L451=1,M446=1)),T446,0),I446)</f>
        <v>0</v>
      </c>
      <c r="W446" s="30"/>
      <c r="X446" s="30"/>
      <c r="Y446" s="30"/>
      <c r="Z446" s="30"/>
      <c r="AA446" s="30"/>
      <c r="AB446" s="31"/>
    </row>
    <row r="447" spans="1:28" x14ac:dyDescent="0.3">
      <c r="A447" s="32">
        <f>VLOOKUP(YEAR(C447),Flags!$A$13:$B$95,2,FALSE)</f>
        <v>1</v>
      </c>
      <c r="B447" s="24">
        <f t="shared" si="637"/>
        <v>1970</v>
      </c>
      <c r="C447" s="25">
        <v>25719</v>
      </c>
      <c r="D447" s="26">
        <f>VLOOKUP($C447,COS!$B$8:$H$991,3,FALSE)</f>
        <v>6423.0224609375</v>
      </c>
      <c r="E447" s="24">
        <f>IF(D447&gt;=IF(MONTH($C447)=4,$C$3,IF(MONTH($C447)=5,$C$4,IF(MONTH($C447)=6,$C$5,IF(MONTH($C447)=7,$C$6,"ERROR")))),1,0)</f>
        <v>1</v>
      </c>
      <c r="F447" s="26">
        <f>VLOOKUP($C447,COS!$B$8:$H$991,7,FALSE)</f>
        <v>49.899898529052734</v>
      </c>
      <c r="G447" s="24">
        <f>IF(F447&lt;=IF(MONTH($C447)=4,$F$3,IF(MONTH($C447)=5,$F$4,IF(MONTH($C447)=6,$F$5,IF(MONTH($C447)=7,$F$6,"ERROR")))),1,0)</f>
        <v>1</v>
      </c>
      <c r="H447" s="26">
        <f>IF(J447=1,D447-$C$4,0)</f>
        <v>423.0224609375</v>
      </c>
      <c r="I447" s="26">
        <f t="shared" si="661"/>
        <v>26.010637267561982</v>
      </c>
      <c r="J447" s="24">
        <f t="shared" si="711"/>
        <v>1</v>
      </c>
      <c r="K447" s="26">
        <f>VLOOKUP($C447,COS!$B$8:$H$991,2,FALSE)</f>
        <v>4231.88427734375</v>
      </c>
      <c r="L447" s="24">
        <f t="shared" si="639"/>
        <v>1</v>
      </c>
      <c r="M447" s="24">
        <f t="shared" si="640"/>
        <v>0</v>
      </c>
      <c r="N447" s="26">
        <f>VLOOKUP($C447,COS!$B$8:$H$991,5,FALSE)</f>
        <v>572.192626953125</v>
      </c>
      <c r="O447" s="26">
        <f t="shared" si="714"/>
        <v>35.182753260588839</v>
      </c>
      <c r="P447" s="26">
        <f>VLOOKUP($C447,COS!$B$8:$H$991,6,FALSE)</f>
        <v>2315.026611328125</v>
      </c>
      <c r="Q447" s="26">
        <f t="shared" si="715"/>
        <v>142.34543791967974</v>
      </c>
      <c r="R447" s="26">
        <f>MIN(IF(MONTH($C447)=4,$S$3,IF(MONTH($C447)=5,$S$4,IF(MONTH($C447)=6,$S$5,IF(MONTH($C447)=7,$S$6,"ERROR")))),MAX(VLOOKUP($C447,COS!$B$8:$K$991,10,FALSE)-IF(MONTH($C447)=4,$Y$3,IF(MONTH($C447)=5,$Y$4,IF(MONTH($C447)=6,$Y$5,IF(MONTH($C447)=7,$Y$6,"ERROR")))),0),MAX(VLOOKUP($C447,COS!$B$8:$K$991,9,FALSE)-IF(MONTH($C447)=4,$V$3,IF(MONTH($C447)=5,$V$4,IF(MONTH($C447)=6,$V$5,IF(MONTH($C447)=7,$V$6,"ERROR"))))-VLOOKUP($C447,COS!$B$8:$K$991,6,FALSE)/2,0))</f>
        <v>0</v>
      </c>
      <c r="S447" s="26">
        <f t="shared" si="716"/>
        <v>0</v>
      </c>
      <c r="T447" s="26">
        <f t="shared" si="717"/>
        <v>88.764095590134289</v>
      </c>
      <c r="U447" s="26" t="str">
        <f>IF(VLOOKUP($C447,COS!$B$8:$I$991,8,FALSE)=1,"UWFE","IBU")</f>
        <v>UWFE</v>
      </c>
      <c r="V447" s="26">
        <f t="shared" ref="V447" si="719">MIN(IF(IF($AA$3=2,AND(E447=1,G447=1,L447=1,L451=1,M447=1,U447="IBU"),AND(E447=1,G447=1,L447=1,L451=1,M447=1)),T447,0),I447)</f>
        <v>0</v>
      </c>
      <c r="W447" s="26"/>
      <c r="X447" s="26"/>
      <c r="Y447" s="26"/>
      <c r="Z447" s="26"/>
      <c r="AA447" s="26"/>
      <c r="AB447" s="33"/>
    </row>
    <row r="448" spans="1:28" x14ac:dyDescent="0.3">
      <c r="A448" s="32">
        <f>VLOOKUP(YEAR(C448),Flags!$A$13:$B$95,2,FALSE)</f>
        <v>1</v>
      </c>
      <c r="B448" s="24">
        <f t="shared" si="637"/>
        <v>1970</v>
      </c>
      <c r="C448" s="25">
        <v>25749</v>
      </c>
      <c r="D448" s="26">
        <f>VLOOKUP($C448,COS!$B$8:$H$991,3,FALSE)</f>
        <v>11296.083984375</v>
      </c>
      <c r="E448" s="24">
        <f>IF(D448&gt;=IF(MONTH($C448)=4,$C$3,IF(MONTH($C448)=5,$C$4,IF(MONTH($C448)=6,$C$5,IF(MONTH($C448)=7,$C$6,"ERROR")))),1,0)</f>
        <v>1</v>
      </c>
      <c r="F448" s="26">
        <f>VLOOKUP($C448,COS!$B$8:$H$991,7,FALSE)</f>
        <v>49.374355316162109</v>
      </c>
      <c r="G448" s="24">
        <f>IF(F448&lt;=IF(MONTH($C448)=4,$F$3,IF(MONTH($C448)=5,$F$4,IF(MONTH($C448)=6,$F$5,IF(MONTH($C448)=7,$F$6,"ERROR")))),1,0)</f>
        <v>1</v>
      </c>
      <c r="H448" s="26">
        <f>IF(J448=1,D448-$C$5,0)</f>
        <v>1296.083984375</v>
      </c>
      <c r="I448" s="26">
        <f t="shared" si="661"/>
        <v>77.122352789256198</v>
      </c>
      <c r="J448" s="24">
        <f t="shared" si="711"/>
        <v>1</v>
      </c>
      <c r="K448" s="26">
        <f>VLOOKUP($C448,COS!$B$8:$H$991,2,FALSE)</f>
        <v>3804.720947265625</v>
      </c>
      <c r="L448" s="24">
        <f t="shared" si="639"/>
        <v>1</v>
      </c>
      <c r="M448" s="24">
        <f t="shared" si="640"/>
        <v>0</v>
      </c>
      <c r="N448" s="26">
        <f>VLOOKUP($C448,COS!$B$8:$H$991,5,FALSE)</f>
        <v>657.61016845703125</v>
      </c>
      <c r="O448" s="26">
        <f t="shared" si="714"/>
        <v>39.130522420583681</v>
      </c>
      <c r="P448" s="26">
        <f>VLOOKUP($C448,COS!$B$8:$H$991,6,FALSE)</f>
        <v>2256.00390625</v>
      </c>
      <c r="Q448" s="26">
        <f t="shared" si="715"/>
        <v>134.24155475206612</v>
      </c>
      <c r="R448" s="26">
        <f>MIN(IF(MONTH($C448)=4,$S$3,IF(MONTH($C448)=5,$S$4,IF(MONTH($C448)=6,$S$5,IF(MONTH($C448)=7,$S$6,"ERROR")))),MAX(VLOOKUP($C448,COS!$B$8:$K$991,10,FALSE)-IF(MONTH($C448)=4,$Y$3,IF(MONTH($C448)=5,$Y$4,IF(MONTH($C448)=6,$Y$5,IF(MONTH($C448)=7,$Y$6,"ERROR")))),0),MAX(VLOOKUP($C448,COS!$B$8:$K$991,9,FALSE)-IF(MONTH($C448)=4,$V$3,IF(MONTH($C448)=5,$V$4,IF(MONTH($C448)=6,$V$5,IF(MONTH($C448)=7,$V$6,"ERROR"))))-VLOOKUP($C448,COS!$B$8:$K$991,6,FALSE)/2,0))</f>
        <v>0</v>
      </c>
      <c r="S448" s="26">
        <f t="shared" si="716"/>
        <v>0</v>
      </c>
      <c r="T448" s="26">
        <f t="shared" si="717"/>
        <v>86.686038586324898</v>
      </c>
      <c r="U448" s="26" t="str">
        <f>IF(VLOOKUP($C448,COS!$B$8:$I$991,8,FALSE)=1,"UWFE","IBU")</f>
        <v>IBU</v>
      </c>
      <c r="V448" s="26">
        <f t="shared" ref="V448" si="720">MIN(IF(IF($AA$3=2,AND(E448=1,G448=1,L448=1,L451=1,M448=1,U448="IBU"),AND(E448=1,G448=1,L448=1,L451=1,M448=1)),T448,0),I448)</f>
        <v>0</v>
      </c>
      <c r="W448" s="26"/>
      <c r="X448" s="26"/>
      <c r="Y448" s="26"/>
      <c r="Z448" s="26"/>
      <c r="AA448" s="26"/>
      <c r="AB448" s="33"/>
    </row>
    <row r="449" spans="1:28" x14ac:dyDescent="0.3">
      <c r="A449" s="32">
        <f>VLOOKUP(YEAR(C449),Flags!$A$13:$B$95,2,FALSE)</f>
        <v>1</v>
      </c>
      <c r="B449" s="24">
        <f t="shared" si="637"/>
        <v>1970</v>
      </c>
      <c r="C449" s="25">
        <v>25780</v>
      </c>
      <c r="D449" s="26">
        <f>VLOOKUP($C449,COS!$B$8:$H$991,3,FALSE)</f>
        <v>15933.296875</v>
      </c>
      <c r="E449" s="24">
        <f>IF(D449&gt;=IF(MONTH($C449)=4,$C$3,IF(MONTH($C449)=5,$C$4,IF(MONTH($C449)=6,$C$5,IF(MONTH($C449)=7,$C$6,"ERROR")))),1,0)</f>
        <v>1</v>
      </c>
      <c r="F449" s="26">
        <f>VLOOKUP($C449,COS!$B$8:$H$991,7,FALSE)</f>
        <v>50.264232635498047</v>
      </c>
      <c r="G449" s="24">
        <f>IF(F449&lt;=IF(MONTH($C449)=4,$F$3,IF(MONTH($C449)=5,$F$4,IF(MONTH($C449)=6,$F$5,IF(MONTH($C449)=7,$F$6,"ERROR")))),1,0)</f>
        <v>1</v>
      </c>
      <c r="H449" s="26">
        <f>IF(J449=1,D449-$C$6,0)</f>
        <v>3933.296875</v>
      </c>
      <c r="I449" s="26">
        <f t="shared" si="661"/>
        <v>241.84899793388431</v>
      </c>
      <c r="J449" s="24">
        <f t="shared" si="711"/>
        <v>1</v>
      </c>
      <c r="K449" s="26">
        <f>VLOOKUP($C449,COS!$B$8:$H$991,2,FALSE)</f>
        <v>3122.0966796875</v>
      </c>
      <c r="L449" s="24">
        <f t="shared" si="639"/>
        <v>1</v>
      </c>
      <c r="M449" s="24">
        <f t="shared" si="640"/>
        <v>0</v>
      </c>
      <c r="N449" s="26">
        <f>VLOOKUP($C449,COS!$B$8:$H$991,5,FALSE)</f>
        <v>784.4171142578125</v>
      </c>
      <c r="O449" s="26">
        <f t="shared" si="714"/>
        <v>48.231928347753097</v>
      </c>
      <c r="P449" s="26">
        <f>VLOOKUP($C449,COS!$B$8:$H$991,6,FALSE)</f>
        <v>2616.67822265625</v>
      </c>
      <c r="Q449" s="26">
        <f t="shared" si="715"/>
        <v>160.89327253357436</v>
      </c>
      <c r="R449" s="26">
        <f>MIN(IF(MONTH($C449)=4,$S$3,IF(MONTH($C449)=5,$S$4,IF(MONTH($C449)=6,$S$5,IF(MONTH($C449)=7,$S$6,"ERROR")))),MAX(VLOOKUP($C449,COS!$B$8:$K$991,10,FALSE)-IF(MONTH($C449)=4,$Y$3,IF(MONTH($C449)=5,$Y$4,IF(MONTH($C449)=6,$Y$5,IF(MONTH($C449)=7,$Y$6,"ERROR")))),0),MAX(VLOOKUP($C449,COS!$B$8:$K$991,9,FALSE)-IF(MONTH($C449)=4,$V$3,IF(MONTH($C449)=5,$V$4,IF(MONTH($C449)=6,$V$5,IF(MONTH($C449)=7,$V$6,"ERROR"))))-VLOOKUP($C449,COS!$B$8:$K$991,6,FALSE)/2,0))</f>
        <v>0</v>
      </c>
      <c r="S449" s="26">
        <f t="shared" si="716"/>
        <v>0</v>
      </c>
      <c r="T449" s="26">
        <f t="shared" si="717"/>
        <v>104.56260044066373</v>
      </c>
      <c r="U449" s="26" t="str">
        <f>IF(VLOOKUP($C449,COS!$B$8:$I$991,8,FALSE)=1,"UWFE","IBU")</f>
        <v>IBU</v>
      </c>
      <c r="V449" s="26">
        <f t="shared" ref="V449" si="721">MIN(IF(IF($AA$3=2,AND(E449=1,G449=1,L449=1,L451=1,M449=1,U449="IBU"),AND(E449=1,G449=1,L449=1,L451=1,M449=1)),T449,0),I449)</f>
        <v>0</v>
      </c>
      <c r="W449" s="26"/>
      <c r="X449" s="26"/>
      <c r="Y449" s="26"/>
      <c r="Z449" s="26"/>
      <c r="AA449" s="26"/>
      <c r="AB449" s="33"/>
    </row>
    <row r="450" spans="1:28" x14ac:dyDescent="0.3">
      <c r="A450" s="32">
        <f>VLOOKUP(YEAR(C450),Flags!$A$13:$B$95,2,FALSE)</f>
        <v>1</v>
      </c>
      <c r="B450" s="24">
        <f t="shared" si="637"/>
        <v>1970</v>
      </c>
      <c r="C450" s="25">
        <v>25811</v>
      </c>
      <c r="D450" s="26"/>
      <c r="E450" s="24"/>
      <c r="F450" s="26"/>
      <c r="G450" s="24"/>
      <c r="H450" s="24"/>
      <c r="I450" s="26"/>
      <c r="J450" s="24"/>
      <c r="K450" s="26"/>
      <c r="L450" s="24"/>
      <c r="M450" s="24"/>
      <c r="N450" s="26"/>
      <c r="O450" s="26"/>
      <c r="P450" s="26"/>
      <c r="Q450" s="26"/>
      <c r="R450" s="26"/>
      <c r="S450" s="26"/>
      <c r="T450" s="26"/>
      <c r="U450" s="26"/>
      <c r="V450" s="26"/>
      <c r="W450" s="26">
        <f>MAX($C$7-VLOOKUP($C450,COS!$B$8:$H$991,3,FALSE),0)</f>
        <v>89359.1201171875</v>
      </c>
      <c r="X450" s="26">
        <f t="shared" si="667"/>
        <v>5494.4781295196281</v>
      </c>
      <c r="Y450" s="26">
        <f>VLOOKUP($C450,COS!$B$8:$H$991,4,FALSE)</f>
        <v>0</v>
      </c>
      <c r="Z450" s="26">
        <f t="shared" si="668"/>
        <v>0</v>
      </c>
      <c r="AA450" s="26">
        <f t="shared" ref="AA450:AA454" si="722">MIN(W450,Y450)</f>
        <v>0</v>
      </c>
      <c r="AB450" s="33">
        <f t="shared" ref="AB450" si="723">AA450*DAY($C450)*86400/43560/1000*IF(MONTH($C450)=8,$P$3,IF(MONTH($C450)=9,$P$4,IF(MONTH($C450)=10,$P$5,IF(MONTH($C450)=11,$P$6,IF(MONTH($C450)=12,$P$7,NA())))))</f>
        <v>0</v>
      </c>
    </row>
    <row r="451" spans="1:28" x14ac:dyDescent="0.3">
      <c r="A451" s="32">
        <f>VLOOKUP(YEAR(C451),Flags!$A$13:$B$95,2,FALSE)</f>
        <v>1</v>
      </c>
      <c r="B451" s="24">
        <f t="shared" si="637"/>
        <v>1970</v>
      </c>
      <c r="C451" s="25">
        <v>25841</v>
      </c>
      <c r="D451" s="26"/>
      <c r="E451" s="24"/>
      <c r="F451" s="26"/>
      <c r="G451" s="24"/>
      <c r="H451" s="24"/>
      <c r="I451" s="26"/>
      <c r="J451" s="24"/>
      <c r="K451" s="26">
        <f>VLOOKUP($C451,COS!$B$8:$H$991,2,FALSE)</f>
        <v>2249.6484375</v>
      </c>
      <c r="L451" s="24">
        <f t="shared" ref="L451" si="724">IF(AND(K451&gt;$I$7,K451&lt;$I$8),1,0)</f>
        <v>1</v>
      </c>
      <c r="M451" s="24"/>
      <c r="N451" s="26"/>
      <c r="O451" s="26"/>
      <c r="P451" s="26"/>
      <c r="Q451" s="26"/>
      <c r="R451" s="26"/>
      <c r="S451" s="26"/>
      <c r="T451" s="26"/>
      <c r="U451" s="26"/>
      <c r="V451" s="26"/>
      <c r="W451" s="26">
        <f>MAX($C$8-VLOOKUP($C451,COS!$B$8:$H$991,3,FALSE),0)</f>
        <v>84248.9375</v>
      </c>
      <c r="X451" s="26">
        <f t="shared" si="667"/>
        <v>5013.1599173553714</v>
      </c>
      <c r="Y451" s="26">
        <f>VLOOKUP($C451,COS!$B$8:$H$991,4,FALSE)</f>
        <v>762.34381103515625</v>
      </c>
      <c r="Z451" s="26">
        <f t="shared" si="668"/>
        <v>45.362606937629131</v>
      </c>
      <c r="AA451" s="26">
        <f t="shared" si="722"/>
        <v>762.34381103515625</v>
      </c>
      <c r="AB451" s="33">
        <f t="shared" si="650"/>
        <v>45.362606937629131</v>
      </c>
    </row>
    <row r="452" spans="1:28" x14ac:dyDescent="0.3">
      <c r="A452" s="32">
        <f>VLOOKUP(YEAR(C452),Flags!$A$13:$B$95,2,FALSE)</f>
        <v>1</v>
      </c>
      <c r="B452" s="24">
        <f t="shared" si="637"/>
        <v>1970</v>
      </c>
      <c r="C452" s="25">
        <v>25872</v>
      </c>
      <c r="D452" s="26"/>
      <c r="E452" s="24"/>
      <c r="F452" s="26"/>
      <c r="G452" s="26"/>
      <c r="H452" s="26"/>
      <c r="I452" s="26"/>
      <c r="J452" s="26"/>
      <c r="K452" s="26"/>
      <c r="L452" s="24"/>
      <c r="M452" s="24"/>
      <c r="N452" s="26"/>
      <c r="O452" s="26"/>
      <c r="P452" s="26"/>
      <c r="Q452" s="26"/>
      <c r="R452" s="26"/>
      <c r="S452" s="26"/>
      <c r="T452" s="26"/>
      <c r="U452" s="26"/>
      <c r="V452" s="26"/>
      <c r="W452" s="26">
        <f>MAX($C$9-VLOOKUP($C452,COS!$B$8:$H$991,3,FALSE),0)</f>
        <v>90155.1904296875</v>
      </c>
      <c r="X452" s="26">
        <f t="shared" si="667"/>
        <v>5543.426585098141</v>
      </c>
      <c r="Y452" s="26">
        <f>VLOOKUP($C452,COS!$B$8:$H$991,4,FALSE)</f>
        <v>958.85076904296875</v>
      </c>
      <c r="Z452" s="26">
        <f t="shared" si="668"/>
        <v>58.957435716361054</v>
      </c>
      <c r="AA452" s="26">
        <f t="shared" si="722"/>
        <v>958.85076904296875</v>
      </c>
      <c r="AB452" s="33">
        <f t="shared" si="650"/>
        <v>58.957435716361054</v>
      </c>
    </row>
    <row r="453" spans="1:28" x14ac:dyDescent="0.3">
      <c r="A453" s="32">
        <f>VLOOKUP(YEAR(C453),Flags!$A$13:$B$95,2,FALSE)</f>
        <v>1</v>
      </c>
      <c r="B453" s="24">
        <f t="shared" si="637"/>
        <v>1970</v>
      </c>
      <c r="C453" s="25">
        <v>25902</v>
      </c>
      <c r="D453" s="26"/>
      <c r="E453" s="24"/>
      <c r="F453" s="26"/>
      <c r="G453" s="26"/>
      <c r="H453" s="26"/>
      <c r="I453" s="26"/>
      <c r="J453" s="26"/>
      <c r="K453" s="26"/>
      <c r="L453" s="24"/>
      <c r="M453" s="24"/>
      <c r="N453" s="26"/>
      <c r="O453" s="26"/>
      <c r="P453" s="26"/>
      <c r="Q453" s="26"/>
      <c r="R453" s="26"/>
      <c r="S453" s="26"/>
      <c r="T453" s="26"/>
      <c r="U453" s="26"/>
      <c r="V453" s="26"/>
      <c r="W453" s="26">
        <f>MAX($C$10-VLOOKUP($C453,COS!$B$8:$H$991,3,FALSE),0)</f>
        <v>94202.6669921875</v>
      </c>
      <c r="X453" s="26">
        <f t="shared" si="667"/>
        <v>5605.4479532541327</v>
      </c>
      <c r="Y453" s="26">
        <f>VLOOKUP($C453,COS!$B$8:$H$991,4,FALSE)</f>
        <v>1112.5506591796875</v>
      </c>
      <c r="Z453" s="26">
        <f t="shared" si="668"/>
        <v>66.201361537964871</v>
      </c>
      <c r="AA453" s="26">
        <f t="shared" si="722"/>
        <v>1112.5506591796875</v>
      </c>
      <c r="AB453" s="33">
        <f t="shared" si="650"/>
        <v>33.100680768982436</v>
      </c>
    </row>
    <row r="454" spans="1:28" x14ac:dyDescent="0.3">
      <c r="A454" s="34">
        <f>VLOOKUP(YEAR(C454),Flags!$A$13:$B$95,2,FALSE)</f>
        <v>1</v>
      </c>
      <c r="B454" s="35">
        <f t="shared" si="637"/>
        <v>1970</v>
      </c>
      <c r="C454" s="36">
        <v>25933</v>
      </c>
      <c r="D454" s="37"/>
      <c r="E454" s="35"/>
      <c r="F454" s="37"/>
      <c r="G454" s="37"/>
      <c r="H454" s="37"/>
      <c r="I454" s="37"/>
      <c r="J454" s="37"/>
      <c r="K454" s="37"/>
      <c r="L454" s="35"/>
      <c r="M454" s="35"/>
      <c r="N454" s="37"/>
      <c r="O454" s="37"/>
      <c r="P454" s="37"/>
      <c r="Q454" s="37"/>
      <c r="R454" s="37"/>
      <c r="S454" s="37"/>
      <c r="T454" s="37"/>
      <c r="U454" s="37"/>
      <c r="V454" s="37"/>
      <c r="W454" s="37">
        <f>MAX($C$11-VLOOKUP($C454,COS!$B$8:$H$991,3,FALSE),0)</f>
        <v>0</v>
      </c>
      <c r="X454" s="37">
        <f t="shared" si="667"/>
        <v>0</v>
      </c>
      <c r="Y454" s="37">
        <f>VLOOKUP($C454,COS!$B$8:$H$991,4,FALSE)</f>
        <v>0</v>
      </c>
      <c r="Z454" s="37">
        <f t="shared" si="668"/>
        <v>0</v>
      </c>
      <c r="AA454" s="37">
        <f t="shared" si="722"/>
        <v>0</v>
      </c>
      <c r="AB454" s="38">
        <f t="shared" si="650"/>
        <v>0</v>
      </c>
    </row>
    <row r="455" spans="1:28" x14ac:dyDescent="0.3">
      <c r="A455" s="27">
        <f>VLOOKUP(YEAR(C455),Flags!$A$13:$B$95,2,FALSE)</f>
        <v>1</v>
      </c>
      <c r="B455" s="28">
        <f t="shared" si="637"/>
        <v>1971</v>
      </c>
      <c r="C455" s="29">
        <v>26053</v>
      </c>
      <c r="D455" s="30">
        <f>VLOOKUP($C455,COS!$B$8:$H$991,3,FALSE)</f>
        <v>3250</v>
      </c>
      <c r="E455" s="28">
        <f>IF(D455&gt;=IF(MONTH($C455)=4,$C$3,IF(MONTH($C455)=5,$C$4,IF(MONTH($C455)=6,$C$5,IF(MONTH($C455)=7,$C$6,"ERROR")))),1,0)</f>
        <v>0</v>
      </c>
      <c r="F455" s="30">
        <f>VLOOKUP($C455,COS!$B$8:$H$991,7,FALSE)</f>
        <v>50.101123809814453</v>
      </c>
      <c r="G455" s="28">
        <f>IF(F455&lt;=IF(MONTH($C455)=4,$F$3,IF(MONTH($C455)=5,$F$4,IF(MONTH($C455)=6,$F$5,IF(MONTH($C455)=7,$F$6,"ERROR")))),1,0)</f>
        <v>1</v>
      </c>
      <c r="H455" s="30">
        <f>IF(J455=1,D455-$C$3,0)</f>
        <v>0</v>
      </c>
      <c r="I455" s="30">
        <f t="shared" si="661"/>
        <v>0</v>
      </c>
      <c r="J455" s="28">
        <f t="shared" ref="J455:J458" si="725">IF(AND(E455=1,G455=1),1,0)</f>
        <v>0</v>
      </c>
      <c r="K455" s="30">
        <f>VLOOKUP($C455,COS!$B$8:$H$991,2,FALSE)</f>
        <v>4470.4140625</v>
      </c>
      <c r="L455" s="28">
        <f t="shared" ref="L455" si="726">IF(K455&lt;=IF(MONTH($C455)=4,$I$3,IF(MONTH($C455)=5,$I$4,IF(MONTH($C455)=6,$I$5,IF(MONTH($C455)=7,$I$6,"ERROR")))),1,0)</f>
        <v>1</v>
      </c>
      <c r="M455" s="28">
        <f t="shared" ref="M455" si="727">VLOOKUP($A455,$L$3:$M$7,2,FALSE)</f>
        <v>0</v>
      </c>
      <c r="N455" s="30">
        <f>VLOOKUP($C455,COS!$B$8:$H$991,5,FALSE)</f>
        <v>663.01629638671875</v>
      </c>
      <c r="O455" s="30">
        <f t="shared" ref="O455:O458" si="728">N455*DAY($C455)*86400/43560/1000</f>
        <v>39.452209371771694</v>
      </c>
      <c r="P455" s="30">
        <f>VLOOKUP($C455,COS!$B$8:$H$991,6,FALSE)</f>
        <v>563.3929443359375</v>
      </c>
      <c r="Q455" s="30">
        <f t="shared" ref="Q455:Q458" si="729">P455*DAY($C455)*86400/43560/1000</f>
        <v>33.524208258006198</v>
      </c>
      <c r="R455" s="30">
        <f>MIN(IF(MONTH($C455)=4,$S$3,IF(MONTH($C455)=5,$S$4,IF(MONTH($C455)=6,$S$5,IF(MONTH($C455)=7,$S$6,"ERROR")))),MAX(VLOOKUP($C455,COS!$B$8:$K$991,10,FALSE)-IF(MONTH($C455)=4,$Y$3,IF(MONTH($C455)=5,$Y$4,IF(MONTH($C455)=6,$Y$5,IF(MONTH($C455)=7,$Y$6,"ERROR")))),0),MAX(VLOOKUP($C455,COS!$B$8:$K$991,9,FALSE)-IF(MONTH($C455)=4,$V$3,IF(MONTH($C455)=5,$V$4,IF(MONTH($C455)=6,$V$5,IF(MONTH($C455)=7,$V$6,"ERROR"))))-VLOOKUP($C455,COS!$B$8:$K$991,6,FALSE)/2,0))</f>
        <v>0</v>
      </c>
      <c r="S455" s="30">
        <f t="shared" ref="S455:S458" si="730">R455*DAY($C455)*86400/43560/1000</f>
        <v>0</v>
      </c>
      <c r="T455" s="30">
        <f t="shared" ref="T455:T458" si="731">(O455+Q455)/2+S455</f>
        <v>36.488208814888949</v>
      </c>
      <c r="U455" s="30" t="str">
        <f>IF(VLOOKUP($C455,COS!$B$8:$I$991,8,FALSE)=1,"UWFE","IBU")</f>
        <v>UWFE</v>
      </c>
      <c r="V455" s="30">
        <f t="shared" ref="V455" si="732">MIN(IF(IF($AA$3=2,AND(E455=1,G455=1,L455=1,L460=1,M455=1,U455="IBU"),AND(E455=1,G455=1,L455=1,L460=1,M455=1)),T455,0),I455)</f>
        <v>0</v>
      </c>
      <c r="W455" s="30"/>
      <c r="X455" s="30"/>
      <c r="Y455" s="30"/>
      <c r="Z455" s="30"/>
      <c r="AA455" s="30"/>
      <c r="AB455" s="31"/>
    </row>
    <row r="456" spans="1:28" x14ac:dyDescent="0.3">
      <c r="A456" s="32">
        <f>VLOOKUP(YEAR(C456),Flags!$A$13:$B$95,2,FALSE)</f>
        <v>1</v>
      </c>
      <c r="B456" s="24">
        <f t="shared" si="637"/>
        <v>1971</v>
      </c>
      <c r="C456" s="25">
        <v>26084</v>
      </c>
      <c r="D456" s="26">
        <f>VLOOKUP($C456,COS!$B$8:$H$991,3,FALSE)</f>
        <v>8956.8486328125</v>
      </c>
      <c r="E456" s="24">
        <f>IF(D456&gt;=IF(MONTH($C456)=4,$C$3,IF(MONTH($C456)=5,$C$4,IF(MONTH($C456)=6,$C$5,IF(MONTH($C456)=7,$C$6,"ERROR")))),1,0)</f>
        <v>1</v>
      </c>
      <c r="F456" s="26">
        <f>VLOOKUP($C456,COS!$B$8:$H$991,7,FALSE)</f>
        <v>49.074142456054688</v>
      </c>
      <c r="G456" s="24">
        <f>IF(F456&lt;=IF(MONTH($C456)=4,$F$3,IF(MONTH($C456)=5,$F$4,IF(MONTH($C456)=6,$F$5,IF(MONTH($C456)=7,$F$6,"ERROR")))),1,0)</f>
        <v>1</v>
      </c>
      <c r="H456" s="26">
        <f>IF(J456=1,D456-$C$4,0)</f>
        <v>2956.8486328125</v>
      </c>
      <c r="I456" s="26">
        <f t="shared" si="661"/>
        <v>181.8095357696281</v>
      </c>
      <c r="J456" s="24">
        <f t="shared" si="725"/>
        <v>1</v>
      </c>
      <c r="K456" s="26">
        <f>VLOOKUP($C456,COS!$B$8:$H$991,2,FALSE)</f>
        <v>4552</v>
      </c>
      <c r="L456" s="24">
        <f t="shared" si="639"/>
        <v>1</v>
      </c>
      <c r="M456" s="24">
        <f t="shared" si="640"/>
        <v>0</v>
      </c>
      <c r="N456" s="26">
        <f>VLOOKUP($C456,COS!$B$8:$H$991,5,FALSE)</f>
        <v>722.55084228515625</v>
      </c>
      <c r="O456" s="26">
        <f t="shared" si="728"/>
        <v>44.427919558690597</v>
      </c>
      <c r="P456" s="26">
        <f>VLOOKUP($C456,COS!$B$8:$H$991,6,FALSE)</f>
        <v>1990.4598388671875</v>
      </c>
      <c r="Q456" s="26">
        <f t="shared" si="729"/>
        <v>122.3886049683626</v>
      </c>
      <c r="R456" s="26">
        <f>MIN(IF(MONTH($C456)=4,$S$3,IF(MONTH($C456)=5,$S$4,IF(MONTH($C456)=6,$S$5,IF(MONTH($C456)=7,$S$6,"ERROR")))),MAX(VLOOKUP($C456,COS!$B$8:$K$991,10,FALSE)-IF(MONTH($C456)=4,$Y$3,IF(MONTH($C456)=5,$Y$4,IF(MONTH($C456)=6,$Y$5,IF(MONTH($C456)=7,$Y$6,"ERROR")))),0),MAX(VLOOKUP($C456,COS!$B$8:$K$991,9,FALSE)-IF(MONTH($C456)=4,$V$3,IF(MONTH($C456)=5,$V$4,IF(MONTH($C456)=6,$V$5,IF(MONTH($C456)=7,$V$6,"ERROR"))))-VLOOKUP($C456,COS!$B$8:$K$991,6,FALSE)/2,0))</f>
        <v>0</v>
      </c>
      <c r="S456" s="26">
        <f t="shared" si="730"/>
        <v>0</v>
      </c>
      <c r="T456" s="26">
        <f t="shared" si="731"/>
        <v>83.408262263526595</v>
      </c>
      <c r="U456" s="26" t="str">
        <f>IF(VLOOKUP($C456,COS!$B$8:$I$991,8,FALSE)=1,"UWFE","IBU")</f>
        <v>UWFE</v>
      </c>
      <c r="V456" s="26">
        <f t="shared" ref="V456" si="733">MIN(IF(IF($AA$3=2,AND(E456=1,G456=1,L456=1,L460=1,M456=1,U456="IBU"),AND(E456=1,G456=1,L456=1,L460=1,M456=1)),T456,0),I456)</f>
        <v>0</v>
      </c>
      <c r="W456" s="26"/>
      <c r="X456" s="26"/>
      <c r="Y456" s="26"/>
      <c r="Z456" s="26"/>
      <c r="AA456" s="26"/>
      <c r="AB456" s="33"/>
    </row>
    <row r="457" spans="1:28" x14ac:dyDescent="0.3">
      <c r="A457" s="32">
        <f>VLOOKUP(YEAR(C457),Flags!$A$13:$B$95,2,FALSE)</f>
        <v>1</v>
      </c>
      <c r="B457" s="24">
        <f t="shared" si="637"/>
        <v>1971</v>
      </c>
      <c r="C457" s="25">
        <v>26114</v>
      </c>
      <c r="D457" s="26">
        <f>VLOOKUP($C457,COS!$B$8:$H$991,3,FALSE)</f>
        <v>7962.24658203125</v>
      </c>
      <c r="E457" s="24">
        <f>IF(D457&gt;=IF(MONTH($C457)=4,$C$3,IF(MONTH($C457)=5,$C$4,IF(MONTH($C457)=6,$C$5,IF(MONTH($C457)=7,$C$6,"ERROR")))),1,0)</f>
        <v>0</v>
      </c>
      <c r="F457" s="26">
        <f>VLOOKUP($C457,COS!$B$8:$H$991,7,FALSE)</f>
        <v>51.377964019775391</v>
      </c>
      <c r="G457" s="24">
        <f>IF(F457&lt;=IF(MONTH($C457)=4,$F$3,IF(MONTH($C457)=5,$F$4,IF(MONTH($C457)=6,$F$5,IF(MONTH($C457)=7,$F$6,"ERROR")))),1,0)</f>
        <v>1</v>
      </c>
      <c r="H457" s="26">
        <f>IF(J457=1,D457-$C$5,0)</f>
        <v>0</v>
      </c>
      <c r="I457" s="26">
        <f t="shared" si="661"/>
        <v>0</v>
      </c>
      <c r="J457" s="24">
        <f t="shared" si="725"/>
        <v>0</v>
      </c>
      <c r="K457" s="26">
        <f>VLOOKUP($C457,COS!$B$8:$H$991,2,FALSE)</f>
        <v>4500</v>
      </c>
      <c r="L457" s="24">
        <f t="shared" si="639"/>
        <v>1</v>
      </c>
      <c r="M457" s="24">
        <f t="shared" si="640"/>
        <v>0</v>
      </c>
      <c r="N457" s="26">
        <f>VLOOKUP($C457,COS!$B$8:$H$991,5,FALSE)</f>
        <v>865.0386962890625</v>
      </c>
      <c r="O457" s="26">
        <f t="shared" si="728"/>
        <v>51.473376969266532</v>
      </c>
      <c r="P457" s="26">
        <f>VLOOKUP($C457,COS!$B$8:$H$991,6,FALSE)</f>
        <v>2342.25732421875</v>
      </c>
      <c r="Q457" s="26">
        <f t="shared" si="729"/>
        <v>139.37398954028924</v>
      </c>
      <c r="R457" s="26">
        <f>MIN(IF(MONTH($C457)=4,$S$3,IF(MONTH($C457)=5,$S$4,IF(MONTH($C457)=6,$S$5,IF(MONTH($C457)=7,$S$6,"ERROR")))),MAX(VLOOKUP($C457,COS!$B$8:$K$991,10,FALSE)-IF(MONTH($C457)=4,$Y$3,IF(MONTH($C457)=5,$Y$4,IF(MONTH($C457)=6,$Y$5,IF(MONTH($C457)=7,$Y$6,"ERROR")))),0),MAX(VLOOKUP($C457,COS!$B$8:$K$991,9,FALSE)-IF(MONTH($C457)=4,$V$3,IF(MONTH($C457)=5,$V$4,IF(MONTH($C457)=6,$V$5,IF(MONTH($C457)=7,$V$6,"ERROR"))))-VLOOKUP($C457,COS!$B$8:$K$991,6,FALSE)/2,0))</f>
        <v>0</v>
      </c>
      <c r="S457" s="26">
        <f t="shared" si="730"/>
        <v>0</v>
      </c>
      <c r="T457" s="26">
        <f t="shared" si="731"/>
        <v>95.423683254777885</v>
      </c>
      <c r="U457" s="26" t="str">
        <f>IF(VLOOKUP($C457,COS!$B$8:$I$991,8,FALSE)=1,"UWFE","IBU")</f>
        <v>UWFE</v>
      </c>
      <c r="V457" s="26">
        <f t="shared" ref="V457" si="734">MIN(IF(IF($AA$3=2,AND(E457=1,G457=1,L457=1,L460=1,M457=1,U457="IBU"),AND(E457=1,G457=1,L457=1,L460=1,M457=1)),T457,0),I457)</f>
        <v>0</v>
      </c>
      <c r="W457" s="26"/>
      <c r="X457" s="26"/>
      <c r="Y457" s="26"/>
      <c r="Z457" s="26"/>
      <c r="AA457" s="26"/>
      <c r="AB457" s="33"/>
    </row>
    <row r="458" spans="1:28" x14ac:dyDescent="0.3">
      <c r="A458" s="32">
        <f>VLOOKUP(YEAR(C458),Flags!$A$13:$B$95,2,FALSE)</f>
        <v>1</v>
      </c>
      <c r="B458" s="24">
        <f t="shared" si="637"/>
        <v>1971</v>
      </c>
      <c r="C458" s="25">
        <v>26145</v>
      </c>
      <c r="D458" s="26">
        <f>VLOOKUP($C458,COS!$B$8:$H$991,3,FALSE)</f>
        <v>15771.30859375</v>
      </c>
      <c r="E458" s="24">
        <f>IF(D458&gt;=IF(MONTH($C458)=4,$C$3,IF(MONTH($C458)=5,$C$4,IF(MONTH($C458)=6,$C$5,IF(MONTH($C458)=7,$C$6,"ERROR")))),1,0)</f>
        <v>1</v>
      </c>
      <c r="F458" s="26">
        <f>VLOOKUP($C458,COS!$B$8:$H$991,7,FALSE)</f>
        <v>51.168178558349609</v>
      </c>
      <c r="G458" s="24">
        <f>IF(F458&lt;=IF(MONTH($C458)=4,$F$3,IF(MONTH($C458)=5,$F$4,IF(MONTH($C458)=6,$F$5,IF(MONTH($C458)=7,$F$6,"ERROR")))),1,0)</f>
        <v>1</v>
      </c>
      <c r="H458" s="26">
        <f>IF(J458=1,D458-$C$6,0)</f>
        <v>3771.30859375</v>
      </c>
      <c r="I458" s="26">
        <f t="shared" si="661"/>
        <v>231.88872675619837</v>
      </c>
      <c r="J458" s="24">
        <f t="shared" si="725"/>
        <v>1</v>
      </c>
      <c r="K458" s="26">
        <f>VLOOKUP($C458,COS!$B$8:$H$991,2,FALSE)</f>
        <v>3763.6337890625</v>
      </c>
      <c r="L458" s="24">
        <f t="shared" si="639"/>
        <v>1</v>
      </c>
      <c r="M458" s="24">
        <f t="shared" si="640"/>
        <v>0</v>
      </c>
      <c r="N458" s="26">
        <f>VLOOKUP($C458,COS!$B$8:$H$991,5,FALSE)</f>
        <v>964.21917724609375</v>
      </c>
      <c r="O458" s="26">
        <f t="shared" si="728"/>
        <v>59.287526270338326</v>
      </c>
      <c r="P458" s="26">
        <f>VLOOKUP($C458,COS!$B$8:$H$991,6,FALSE)</f>
        <v>2521.474853515625</v>
      </c>
      <c r="Q458" s="26">
        <f t="shared" si="729"/>
        <v>155.0394455384814</v>
      </c>
      <c r="R458" s="26">
        <f>MIN(IF(MONTH($C458)=4,$S$3,IF(MONTH($C458)=5,$S$4,IF(MONTH($C458)=6,$S$5,IF(MONTH($C458)=7,$S$6,"ERROR")))),MAX(VLOOKUP($C458,COS!$B$8:$K$991,10,FALSE)-IF(MONTH($C458)=4,$Y$3,IF(MONTH($C458)=5,$Y$4,IF(MONTH($C458)=6,$Y$5,IF(MONTH($C458)=7,$Y$6,"ERROR")))),0),MAX(VLOOKUP($C458,COS!$B$8:$K$991,9,FALSE)-IF(MONTH($C458)=4,$V$3,IF(MONTH($C458)=5,$V$4,IF(MONTH($C458)=6,$V$5,IF(MONTH($C458)=7,$V$6,"ERROR"))))-VLOOKUP($C458,COS!$B$8:$K$991,6,FALSE)/2,0))</f>
        <v>0</v>
      </c>
      <c r="S458" s="26">
        <f t="shared" si="730"/>
        <v>0</v>
      </c>
      <c r="T458" s="26">
        <f t="shared" si="731"/>
        <v>107.16348590440987</v>
      </c>
      <c r="U458" s="26" t="str">
        <f>IF(VLOOKUP($C458,COS!$B$8:$I$991,8,FALSE)=1,"UWFE","IBU")</f>
        <v>IBU</v>
      </c>
      <c r="V458" s="26">
        <f t="shared" ref="V458" si="735">MIN(IF(IF($AA$3=2,AND(E458=1,G458=1,L458=1,L460=1,M458=1,U458="IBU"),AND(E458=1,G458=1,L458=1,L460=1,M458=1)),T458,0),I458)</f>
        <v>0</v>
      </c>
      <c r="W458" s="26"/>
      <c r="X458" s="26"/>
      <c r="Y458" s="26"/>
      <c r="Z458" s="26"/>
      <c r="AA458" s="26"/>
      <c r="AB458" s="33"/>
    </row>
    <row r="459" spans="1:28" x14ac:dyDescent="0.3">
      <c r="A459" s="32">
        <f>VLOOKUP(YEAR(C459),Flags!$A$13:$B$95,2,FALSE)</f>
        <v>1</v>
      </c>
      <c r="B459" s="24">
        <f t="shared" si="637"/>
        <v>1971</v>
      </c>
      <c r="C459" s="25">
        <v>26176</v>
      </c>
      <c r="D459" s="26"/>
      <c r="E459" s="24"/>
      <c r="F459" s="26"/>
      <c r="G459" s="24"/>
      <c r="H459" s="24"/>
      <c r="I459" s="26"/>
      <c r="J459" s="24"/>
      <c r="K459" s="26"/>
      <c r="L459" s="24"/>
      <c r="M459" s="24"/>
      <c r="N459" s="26"/>
      <c r="O459" s="26"/>
      <c r="P459" s="26"/>
      <c r="Q459" s="26"/>
      <c r="R459" s="26"/>
      <c r="S459" s="26"/>
      <c r="T459" s="26"/>
      <c r="U459" s="26"/>
      <c r="V459" s="26"/>
      <c r="W459" s="26">
        <f>MAX($C$7-VLOOKUP($C459,COS!$B$8:$H$991,3,FALSE),0)</f>
        <v>90534.529296875</v>
      </c>
      <c r="X459" s="26">
        <f t="shared" si="667"/>
        <v>5566.7512228822316</v>
      </c>
      <c r="Y459" s="26">
        <f>VLOOKUP($C459,COS!$B$8:$H$991,4,FALSE)</f>
        <v>367.70223999023438</v>
      </c>
      <c r="Z459" s="26">
        <f t="shared" si="668"/>
        <v>22.609129467168131</v>
      </c>
      <c r="AA459" s="26">
        <f t="shared" ref="AA459:AA463" si="736">MIN(W459,Y459)</f>
        <v>367.70223999023438</v>
      </c>
      <c r="AB459" s="33">
        <f t="shared" ref="AB459" si="737">AA459*DAY($C459)*86400/43560/1000*IF(MONTH($C459)=8,$P$3,IF(MONTH($C459)=9,$P$4,IF(MONTH($C459)=10,$P$5,IF(MONTH($C459)=11,$P$6,IF(MONTH($C459)=12,$P$7,NA())))))</f>
        <v>22.609129467168131</v>
      </c>
    </row>
    <row r="460" spans="1:28" x14ac:dyDescent="0.3">
      <c r="A460" s="32">
        <f>VLOOKUP(YEAR(C460),Flags!$A$13:$B$95,2,FALSE)</f>
        <v>1</v>
      </c>
      <c r="B460" s="24">
        <f t="shared" si="637"/>
        <v>1971</v>
      </c>
      <c r="C460" s="25">
        <v>26206</v>
      </c>
      <c r="D460" s="26"/>
      <c r="E460" s="24"/>
      <c r="F460" s="26"/>
      <c r="G460" s="24"/>
      <c r="H460" s="24"/>
      <c r="I460" s="26"/>
      <c r="J460" s="24"/>
      <c r="K460" s="26">
        <f>VLOOKUP($C460,COS!$B$8:$H$991,2,FALSE)</f>
        <v>2942.9580078125</v>
      </c>
      <c r="L460" s="24">
        <f t="shared" ref="L460" si="738">IF(AND(K460&gt;$I$7,K460&lt;$I$8),1,0)</f>
        <v>1</v>
      </c>
      <c r="M460" s="24"/>
      <c r="N460" s="26"/>
      <c r="O460" s="26"/>
      <c r="P460" s="26"/>
      <c r="Q460" s="26"/>
      <c r="R460" s="26"/>
      <c r="S460" s="26"/>
      <c r="T460" s="26"/>
      <c r="U460" s="26"/>
      <c r="V460" s="26"/>
      <c r="W460" s="26">
        <f>MAX($C$8-VLOOKUP($C460,COS!$B$8:$H$991,3,FALSE),0)</f>
        <v>86539.259765625</v>
      </c>
      <c r="X460" s="26">
        <f t="shared" si="667"/>
        <v>5149.4435563016523</v>
      </c>
      <c r="Y460" s="26">
        <f>VLOOKUP($C460,COS!$B$8:$H$991,4,FALSE)</f>
        <v>0</v>
      </c>
      <c r="Z460" s="26">
        <f t="shared" si="668"/>
        <v>0</v>
      </c>
      <c r="AA460" s="26">
        <f t="shared" si="736"/>
        <v>0</v>
      </c>
      <c r="AB460" s="33">
        <f t="shared" si="650"/>
        <v>0</v>
      </c>
    </row>
    <row r="461" spans="1:28" x14ac:dyDescent="0.3">
      <c r="A461" s="32">
        <f>VLOOKUP(YEAR(C461),Flags!$A$13:$B$95,2,FALSE)</f>
        <v>1</v>
      </c>
      <c r="B461" s="24">
        <f t="shared" si="637"/>
        <v>1971</v>
      </c>
      <c r="C461" s="25">
        <v>26237</v>
      </c>
      <c r="D461" s="26"/>
      <c r="E461" s="24"/>
      <c r="F461" s="26"/>
      <c r="G461" s="26"/>
      <c r="H461" s="26"/>
      <c r="I461" s="26"/>
      <c r="J461" s="26"/>
      <c r="K461" s="26"/>
      <c r="L461" s="24"/>
      <c r="M461" s="24"/>
      <c r="N461" s="26"/>
      <c r="O461" s="26"/>
      <c r="P461" s="26"/>
      <c r="Q461" s="26"/>
      <c r="R461" s="26"/>
      <c r="S461" s="26"/>
      <c r="T461" s="26"/>
      <c r="U461" s="26"/>
      <c r="V461" s="26"/>
      <c r="W461" s="26">
        <f>MAX($C$9-VLOOKUP($C461,COS!$B$8:$H$991,3,FALSE),0)</f>
        <v>91401.7578125</v>
      </c>
      <c r="X461" s="26">
        <f t="shared" si="667"/>
        <v>5620.075025826447</v>
      </c>
      <c r="Y461" s="26">
        <f>VLOOKUP($C461,COS!$B$8:$H$991,4,FALSE)</f>
        <v>1216.479248046875</v>
      </c>
      <c r="Z461" s="26">
        <f t="shared" si="668"/>
        <v>74.798393433626032</v>
      </c>
      <c r="AA461" s="26">
        <f t="shared" si="736"/>
        <v>1216.479248046875</v>
      </c>
      <c r="AB461" s="33">
        <f t="shared" si="650"/>
        <v>74.798393433626032</v>
      </c>
    </row>
    <row r="462" spans="1:28" x14ac:dyDescent="0.3">
      <c r="A462" s="32">
        <f>VLOOKUP(YEAR(C462),Flags!$A$13:$B$95,2,FALSE)</f>
        <v>1</v>
      </c>
      <c r="B462" s="24">
        <f t="shared" si="637"/>
        <v>1971</v>
      </c>
      <c r="C462" s="25">
        <v>26267</v>
      </c>
      <c r="D462" s="26"/>
      <c r="E462" s="24"/>
      <c r="F462" s="26"/>
      <c r="G462" s="26"/>
      <c r="H462" s="26"/>
      <c r="I462" s="26"/>
      <c r="J462" s="26"/>
      <c r="K462" s="26"/>
      <c r="L462" s="24"/>
      <c r="M462" s="24"/>
      <c r="N462" s="26"/>
      <c r="O462" s="26"/>
      <c r="P462" s="26"/>
      <c r="Q462" s="26"/>
      <c r="R462" s="26"/>
      <c r="S462" s="26"/>
      <c r="T462" s="26"/>
      <c r="U462" s="26"/>
      <c r="V462" s="26"/>
      <c r="W462" s="26">
        <f>MAX($C$10-VLOOKUP($C462,COS!$B$8:$H$991,3,FALSE),0)</f>
        <v>87564.6484375</v>
      </c>
      <c r="X462" s="26">
        <f t="shared" si="667"/>
        <v>5210.4584194214876</v>
      </c>
      <c r="Y462" s="26">
        <f>VLOOKUP($C462,COS!$B$8:$H$991,4,FALSE)</f>
        <v>1703.5538330078125</v>
      </c>
      <c r="Z462" s="26">
        <f t="shared" si="668"/>
        <v>101.36849254261364</v>
      </c>
      <c r="AA462" s="26">
        <f t="shared" si="736"/>
        <v>1703.5538330078125</v>
      </c>
      <c r="AB462" s="33">
        <f t="shared" si="650"/>
        <v>50.684246271306819</v>
      </c>
    </row>
    <row r="463" spans="1:28" x14ac:dyDescent="0.3">
      <c r="A463" s="34">
        <f>VLOOKUP(YEAR(C463),Flags!$A$13:$B$95,2,FALSE)</f>
        <v>1</v>
      </c>
      <c r="B463" s="35">
        <f t="shared" ref="B463:B526" si="739">YEAR(C463)</f>
        <v>1971</v>
      </c>
      <c r="C463" s="36">
        <v>26298</v>
      </c>
      <c r="D463" s="37"/>
      <c r="E463" s="35"/>
      <c r="F463" s="37"/>
      <c r="G463" s="37"/>
      <c r="H463" s="37"/>
      <c r="I463" s="37"/>
      <c r="J463" s="37"/>
      <c r="K463" s="37"/>
      <c r="L463" s="35"/>
      <c r="M463" s="35"/>
      <c r="N463" s="37"/>
      <c r="O463" s="37"/>
      <c r="P463" s="37"/>
      <c r="Q463" s="37"/>
      <c r="R463" s="37"/>
      <c r="S463" s="37"/>
      <c r="T463" s="37"/>
      <c r="U463" s="37"/>
      <c r="V463" s="37"/>
      <c r="W463" s="37">
        <f>MAX($C$11-VLOOKUP($C463,COS!$B$8:$H$991,3,FALSE),0)</f>
        <v>0</v>
      </c>
      <c r="X463" s="37">
        <f t="shared" si="667"/>
        <v>0</v>
      </c>
      <c r="Y463" s="37">
        <f>VLOOKUP($C463,COS!$B$8:$H$991,4,FALSE)</f>
        <v>0</v>
      </c>
      <c r="Z463" s="37">
        <f t="shared" si="668"/>
        <v>0</v>
      </c>
      <c r="AA463" s="37">
        <f t="shared" si="736"/>
        <v>0</v>
      </c>
      <c r="AB463" s="38">
        <f t="shared" si="650"/>
        <v>0</v>
      </c>
    </row>
    <row r="464" spans="1:28" x14ac:dyDescent="0.3">
      <c r="A464" s="27">
        <f>VLOOKUP(YEAR(C464),Flags!$A$13:$B$95,2,FALSE)</f>
        <v>3</v>
      </c>
      <c r="B464" s="28">
        <f t="shared" si="739"/>
        <v>1972</v>
      </c>
      <c r="C464" s="29">
        <v>26419</v>
      </c>
      <c r="D464" s="30">
        <f>VLOOKUP($C464,COS!$B$8:$H$991,3,FALSE)</f>
        <v>4466.64501953125</v>
      </c>
      <c r="E464" s="28">
        <f>IF(D464&gt;=IF(MONTH($C464)=4,$C$3,IF(MONTH($C464)=5,$C$4,IF(MONTH($C464)=6,$C$5,IF(MONTH($C464)=7,$C$6,"ERROR")))),1,0)</f>
        <v>0</v>
      </c>
      <c r="F464" s="30">
        <f>VLOOKUP($C464,COS!$B$8:$H$991,7,FALSE)</f>
        <v>50.082248687744141</v>
      </c>
      <c r="G464" s="28">
        <f>IF(F464&lt;=IF(MONTH($C464)=4,$F$3,IF(MONTH($C464)=5,$F$4,IF(MONTH($C464)=6,$F$5,IF(MONTH($C464)=7,$F$6,"ERROR")))),1,0)</f>
        <v>1</v>
      </c>
      <c r="H464" s="30">
        <f>IF(J464=1,D464-$C$3,0)</f>
        <v>0</v>
      </c>
      <c r="I464" s="30">
        <f t="shared" si="661"/>
        <v>0</v>
      </c>
      <c r="J464" s="28">
        <f t="shared" ref="J464:J467" si="740">IF(AND(E464=1,G464=1),1,0)</f>
        <v>0</v>
      </c>
      <c r="K464" s="30">
        <f>VLOOKUP($C464,COS!$B$8:$H$991,2,FALSE)</f>
        <v>4552</v>
      </c>
      <c r="L464" s="28">
        <f t="shared" ref="L464:L521" si="741">IF(K464&lt;=IF(MONTH($C464)=4,$I$3,IF(MONTH($C464)=5,$I$4,IF(MONTH($C464)=6,$I$5,IF(MONTH($C464)=7,$I$6,"ERROR")))),1,0)</f>
        <v>1</v>
      </c>
      <c r="M464" s="28">
        <f t="shared" ref="M464:M521" si="742">VLOOKUP($A464,$L$3:$M$7,2,FALSE)</f>
        <v>0</v>
      </c>
      <c r="N464" s="30">
        <f>VLOOKUP($C464,COS!$B$8:$H$991,5,FALSE)</f>
        <v>323.25350952148438</v>
      </c>
      <c r="O464" s="30">
        <f t="shared" ref="O464:O467" si="743">N464*DAY($C464)*86400/43560/1000</f>
        <v>19.23491957483213</v>
      </c>
      <c r="P464" s="30">
        <f>VLOOKUP($C464,COS!$B$8:$H$991,6,FALSE)</f>
        <v>539.28424072265625</v>
      </c>
      <c r="Q464" s="30">
        <f t="shared" ref="Q464:Q467" si="744">P464*DAY($C464)*86400/43560/1000</f>
        <v>32.08964077027376</v>
      </c>
      <c r="R464" s="30">
        <f>MIN(IF(MONTH($C464)=4,$S$3,IF(MONTH($C464)=5,$S$4,IF(MONTH($C464)=6,$S$5,IF(MONTH($C464)=7,$S$6,"ERROR")))),MAX(VLOOKUP($C464,COS!$B$8:$K$991,10,FALSE)-IF(MONTH($C464)=4,$Y$3,IF(MONTH($C464)=5,$Y$4,IF(MONTH($C464)=6,$Y$5,IF(MONTH($C464)=7,$Y$6,"ERROR")))),0),MAX(VLOOKUP($C464,COS!$B$8:$K$991,9,FALSE)-IF(MONTH($C464)=4,$V$3,IF(MONTH($C464)=5,$V$4,IF(MONTH($C464)=6,$V$5,IF(MONTH($C464)=7,$V$6,"ERROR"))))-VLOOKUP($C464,COS!$B$8:$K$991,6,FALSE)/2,0))</f>
        <v>0</v>
      </c>
      <c r="S464" s="30">
        <f t="shared" ref="S464:S467" si="745">R464*DAY($C464)*86400/43560/1000</f>
        <v>0</v>
      </c>
      <c r="T464" s="30">
        <f t="shared" ref="T464:T467" si="746">(O464+Q464)/2+S464</f>
        <v>25.662280172552947</v>
      </c>
      <c r="U464" s="30" t="str">
        <f>IF(VLOOKUP($C464,COS!$B$8:$I$991,8,FALSE)=1,"UWFE","IBU")</f>
        <v>UWFE</v>
      </c>
      <c r="V464" s="30">
        <f t="shared" ref="V464" si="747">MIN(IF(IF($AA$3=2,AND(E464=1,G464=1,L464=1,L469=1,M464=1,U464="IBU"),AND(E464=1,G464=1,L464=1,L469=1,M464=1)),T464,0),I464)</f>
        <v>0</v>
      </c>
      <c r="W464" s="30"/>
      <c r="X464" s="30"/>
      <c r="Y464" s="30"/>
      <c r="Z464" s="30"/>
      <c r="AA464" s="30"/>
      <c r="AB464" s="31"/>
    </row>
    <row r="465" spans="1:28" x14ac:dyDescent="0.3">
      <c r="A465" s="32">
        <f>VLOOKUP(YEAR(C465),Flags!$A$13:$B$95,2,FALSE)</f>
        <v>3</v>
      </c>
      <c r="B465" s="24">
        <f t="shared" si="739"/>
        <v>1972</v>
      </c>
      <c r="C465" s="25">
        <v>26450</v>
      </c>
      <c r="D465" s="26">
        <f>VLOOKUP($C465,COS!$B$8:$H$991,3,FALSE)</f>
        <v>7295.134765625</v>
      </c>
      <c r="E465" s="24">
        <f>IF(D465&gt;=IF(MONTH($C465)=4,$C$3,IF(MONTH($C465)=5,$C$4,IF(MONTH($C465)=6,$C$5,IF(MONTH($C465)=7,$C$6,"ERROR")))),1,0)</f>
        <v>1</v>
      </c>
      <c r="F465" s="26">
        <f>VLOOKUP($C465,COS!$B$8:$H$991,7,FALSE)</f>
        <v>50.610748291015625</v>
      </c>
      <c r="G465" s="24">
        <f>IF(F465&lt;=IF(MONTH($C465)=4,$F$3,IF(MONTH($C465)=5,$F$4,IF(MONTH($C465)=6,$F$5,IF(MONTH($C465)=7,$F$6,"ERROR")))),1,0)</f>
        <v>1</v>
      </c>
      <c r="H465" s="26">
        <f>IF(J465=1,D465-$C$4,0)</f>
        <v>1295.134765625</v>
      </c>
      <c r="I465" s="26">
        <f t="shared" si="661"/>
        <v>79.634732696280992</v>
      </c>
      <c r="J465" s="24">
        <f t="shared" si="740"/>
        <v>1</v>
      </c>
      <c r="K465" s="26">
        <f>VLOOKUP($C465,COS!$B$8:$H$991,2,FALSE)</f>
        <v>4444.4248046875</v>
      </c>
      <c r="L465" s="24">
        <f t="shared" si="741"/>
        <v>1</v>
      </c>
      <c r="M465" s="24">
        <f t="shared" si="742"/>
        <v>0</v>
      </c>
      <c r="N465" s="26">
        <f>VLOOKUP($C465,COS!$B$8:$H$991,5,FALSE)</f>
        <v>214.1783447265625</v>
      </c>
      <c r="O465" s="26">
        <f t="shared" si="743"/>
        <v>13.169313097236572</v>
      </c>
      <c r="P465" s="26">
        <f>VLOOKUP($C465,COS!$B$8:$H$991,6,FALSE)</f>
        <v>2237.25634765625</v>
      </c>
      <c r="Q465" s="26">
        <f t="shared" si="744"/>
        <v>137.56353079803719</v>
      </c>
      <c r="R465" s="26">
        <f>MIN(IF(MONTH($C465)=4,$S$3,IF(MONTH($C465)=5,$S$4,IF(MONTH($C465)=6,$S$5,IF(MONTH($C465)=7,$S$6,"ERROR")))),MAX(VLOOKUP($C465,COS!$B$8:$K$991,10,FALSE)-IF(MONTH($C465)=4,$Y$3,IF(MONTH($C465)=5,$Y$4,IF(MONTH($C465)=6,$Y$5,IF(MONTH($C465)=7,$Y$6,"ERROR")))),0),MAX(VLOOKUP($C465,COS!$B$8:$K$991,9,FALSE)-IF(MONTH($C465)=4,$V$3,IF(MONTH($C465)=5,$V$4,IF(MONTH($C465)=6,$V$5,IF(MONTH($C465)=7,$V$6,"ERROR"))))-VLOOKUP($C465,COS!$B$8:$K$991,6,FALSE)/2,0))</f>
        <v>0</v>
      </c>
      <c r="S465" s="26">
        <f t="shared" si="745"/>
        <v>0</v>
      </c>
      <c r="T465" s="26">
        <f t="shared" si="746"/>
        <v>75.36642194763688</v>
      </c>
      <c r="U465" s="26" t="str">
        <f>IF(VLOOKUP($C465,COS!$B$8:$I$991,8,FALSE)=1,"UWFE","IBU")</f>
        <v>UWFE</v>
      </c>
      <c r="V465" s="26">
        <f t="shared" ref="V465" si="748">MIN(IF(IF($AA$3=2,AND(E465=1,G465=1,L465=1,L469=1,M465=1,U465="IBU"),AND(E465=1,G465=1,L465=1,L469=1,M465=1)),T465,0),I465)</f>
        <v>0</v>
      </c>
      <c r="W465" s="26"/>
      <c r="X465" s="26"/>
      <c r="Y465" s="26"/>
      <c r="Z465" s="26"/>
      <c r="AA465" s="26"/>
      <c r="AB465" s="33"/>
    </row>
    <row r="466" spans="1:28" x14ac:dyDescent="0.3">
      <c r="A466" s="32">
        <f>VLOOKUP(YEAR(C466),Flags!$A$13:$B$95,2,FALSE)</f>
        <v>3</v>
      </c>
      <c r="B466" s="24">
        <f t="shared" si="739"/>
        <v>1972</v>
      </c>
      <c r="C466" s="25">
        <v>26480</v>
      </c>
      <c r="D466" s="26">
        <f>VLOOKUP($C466,COS!$B$8:$H$991,3,FALSE)</f>
        <v>13446.5849609375</v>
      </c>
      <c r="E466" s="24">
        <f>IF(D466&gt;=IF(MONTH($C466)=4,$C$3,IF(MONTH($C466)=5,$C$4,IF(MONTH($C466)=6,$C$5,IF(MONTH($C466)=7,$C$6,"ERROR")))),1,0)</f>
        <v>1</v>
      </c>
      <c r="F466" s="26">
        <f>VLOOKUP($C466,COS!$B$8:$H$991,7,FALSE)</f>
        <v>50.5291748046875</v>
      </c>
      <c r="G466" s="24">
        <f>IF(F466&lt;=IF(MONTH($C466)=4,$F$3,IF(MONTH($C466)=5,$F$4,IF(MONTH($C466)=6,$F$5,IF(MONTH($C466)=7,$F$6,"ERROR")))),1,0)</f>
        <v>1</v>
      </c>
      <c r="H466" s="26">
        <f>IF(J466=1,D466-$C$5,0)</f>
        <v>3446.5849609375</v>
      </c>
      <c r="I466" s="26">
        <f t="shared" si="661"/>
        <v>205.0860472623967</v>
      </c>
      <c r="J466" s="24">
        <f t="shared" si="740"/>
        <v>1</v>
      </c>
      <c r="K466" s="26">
        <f>VLOOKUP($C466,COS!$B$8:$H$991,2,FALSE)</f>
        <v>3879.44091796875</v>
      </c>
      <c r="L466" s="24">
        <f t="shared" si="741"/>
        <v>1</v>
      </c>
      <c r="M466" s="24">
        <f t="shared" si="742"/>
        <v>0</v>
      </c>
      <c r="N466" s="26">
        <f>VLOOKUP($C466,COS!$B$8:$H$991,5,FALSE)</f>
        <v>428.46661376953125</v>
      </c>
      <c r="O466" s="26">
        <f t="shared" si="743"/>
        <v>25.495534042484504</v>
      </c>
      <c r="P466" s="26">
        <f>VLOOKUP($C466,COS!$B$8:$H$991,6,FALSE)</f>
        <v>2616.696044921875</v>
      </c>
      <c r="Q466" s="26">
        <f t="shared" si="744"/>
        <v>155.70422746642564</v>
      </c>
      <c r="R466" s="26">
        <f>MIN(IF(MONTH($C466)=4,$S$3,IF(MONTH($C466)=5,$S$4,IF(MONTH($C466)=6,$S$5,IF(MONTH($C466)=7,$S$6,"ERROR")))),MAX(VLOOKUP($C466,COS!$B$8:$K$991,10,FALSE)-IF(MONTH($C466)=4,$Y$3,IF(MONTH($C466)=5,$Y$4,IF(MONTH($C466)=6,$Y$5,IF(MONTH($C466)=7,$Y$6,"ERROR")))),0),MAX(VLOOKUP($C466,COS!$B$8:$K$991,9,FALSE)-IF(MONTH($C466)=4,$V$3,IF(MONTH($C466)=5,$V$4,IF(MONTH($C466)=6,$V$5,IF(MONTH($C466)=7,$V$6,"ERROR"))))-VLOOKUP($C466,COS!$B$8:$K$991,6,FALSE)/2,0))</f>
        <v>0</v>
      </c>
      <c r="S466" s="26">
        <f t="shared" si="745"/>
        <v>0</v>
      </c>
      <c r="T466" s="26">
        <f t="shared" si="746"/>
        <v>90.599880754455071</v>
      </c>
      <c r="U466" s="26" t="str">
        <f>IF(VLOOKUP($C466,COS!$B$8:$I$991,8,FALSE)=1,"UWFE","IBU")</f>
        <v>IBU</v>
      </c>
      <c r="V466" s="26">
        <f t="shared" ref="V466" si="749">MIN(IF(IF($AA$3=2,AND(E466=1,G466=1,L466=1,L469=1,M466=1,U466="IBU"),AND(E466=1,G466=1,L466=1,L469=1,M466=1)),T466,0),I466)</f>
        <v>0</v>
      </c>
      <c r="W466" s="26"/>
      <c r="X466" s="26"/>
      <c r="Y466" s="26"/>
      <c r="Z466" s="26"/>
      <c r="AA466" s="26"/>
      <c r="AB466" s="33"/>
    </row>
    <row r="467" spans="1:28" x14ac:dyDescent="0.3">
      <c r="A467" s="32">
        <f>VLOOKUP(YEAR(C467),Flags!$A$13:$B$95,2,FALSE)</f>
        <v>3</v>
      </c>
      <c r="B467" s="24">
        <f t="shared" si="739"/>
        <v>1972</v>
      </c>
      <c r="C467" s="25">
        <v>26511</v>
      </c>
      <c r="D467" s="26">
        <f>VLOOKUP($C467,COS!$B$8:$H$991,3,FALSE)</f>
        <v>15975.8271484375</v>
      </c>
      <c r="E467" s="24">
        <f>IF(D467&gt;=IF(MONTH($C467)=4,$C$3,IF(MONTH($C467)=5,$C$4,IF(MONTH($C467)=6,$C$5,IF(MONTH($C467)=7,$C$6,"ERROR")))),1,0)</f>
        <v>1</v>
      </c>
      <c r="F467" s="26">
        <f>VLOOKUP($C467,COS!$B$8:$H$991,7,FALSE)</f>
        <v>51.616970062255859</v>
      </c>
      <c r="G467" s="24">
        <f>IF(F467&lt;=IF(MONTH($C467)=4,$F$3,IF(MONTH($C467)=5,$F$4,IF(MONTH($C467)=6,$F$5,IF(MONTH($C467)=7,$F$6,"ERROR")))),1,0)</f>
        <v>1</v>
      </c>
      <c r="H467" s="26">
        <f>IF(J467=1,D467-$C$6,0)</f>
        <v>3975.8271484375</v>
      </c>
      <c r="I467" s="26">
        <f t="shared" si="661"/>
        <v>244.46408251549585</v>
      </c>
      <c r="J467" s="24">
        <f t="shared" si="740"/>
        <v>1</v>
      </c>
      <c r="K467" s="26">
        <f>VLOOKUP($C467,COS!$B$8:$H$991,2,FALSE)</f>
        <v>3200</v>
      </c>
      <c r="L467" s="24">
        <f t="shared" si="741"/>
        <v>1</v>
      </c>
      <c r="M467" s="24">
        <f t="shared" si="742"/>
        <v>0</v>
      </c>
      <c r="N467" s="26">
        <f>VLOOKUP($C467,COS!$B$8:$H$991,5,FALSE)</f>
        <v>484.07479858398438</v>
      </c>
      <c r="O467" s="26">
        <f t="shared" si="743"/>
        <v>29.764599185659868</v>
      </c>
      <c r="P467" s="26">
        <f>VLOOKUP($C467,COS!$B$8:$H$991,6,FALSE)</f>
        <v>2537.385498046875</v>
      </c>
      <c r="Q467" s="26">
        <f t="shared" si="744"/>
        <v>156.01775293775825</v>
      </c>
      <c r="R467" s="26">
        <f>MIN(IF(MONTH($C467)=4,$S$3,IF(MONTH($C467)=5,$S$4,IF(MONTH($C467)=6,$S$5,IF(MONTH($C467)=7,$S$6,"ERROR")))),MAX(VLOOKUP($C467,COS!$B$8:$K$991,10,FALSE)-IF(MONTH($C467)=4,$Y$3,IF(MONTH($C467)=5,$Y$4,IF(MONTH($C467)=6,$Y$5,IF(MONTH($C467)=7,$Y$6,"ERROR")))),0),MAX(VLOOKUP($C467,COS!$B$8:$K$991,9,FALSE)-IF(MONTH($C467)=4,$V$3,IF(MONTH($C467)=5,$V$4,IF(MONTH($C467)=6,$V$5,IF(MONTH($C467)=7,$V$6,"ERROR"))))-VLOOKUP($C467,COS!$B$8:$K$991,6,FALSE)/2,0))</f>
        <v>0</v>
      </c>
      <c r="S467" s="26">
        <f t="shared" si="745"/>
        <v>0</v>
      </c>
      <c r="T467" s="26">
        <f t="shared" si="746"/>
        <v>92.891176061709061</v>
      </c>
      <c r="U467" s="26" t="str">
        <f>IF(VLOOKUP($C467,COS!$B$8:$I$991,8,FALSE)=1,"UWFE","IBU")</f>
        <v>IBU</v>
      </c>
      <c r="V467" s="26">
        <f t="shared" ref="V467" si="750">MIN(IF(IF($AA$3=2,AND(E467=1,G467=1,L467=1,L469=1,M467=1,U467="IBU"),AND(E467=1,G467=1,L467=1,L469=1,M467=1)),T467,0),I467)</f>
        <v>0</v>
      </c>
      <c r="W467" s="26"/>
      <c r="X467" s="26"/>
      <c r="Y467" s="26"/>
      <c r="Z467" s="26"/>
      <c r="AA467" s="26"/>
      <c r="AB467" s="33"/>
    </row>
    <row r="468" spans="1:28" x14ac:dyDescent="0.3">
      <c r="A468" s="32">
        <f>VLOOKUP(YEAR(C468),Flags!$A$13:$B$95,2,FALSE)</f>
        <v>3</v>
      </c>
      <c r="B468" s="24">
        <f t="shared" si="739"/>
        <v>1972</v>
      </c>
      <c r="C468" s="25">
        <v>26542</v>
      </c>
      <c r="D468" s="26"/>
      <c r="E468" s="24"/>
      <c r="F468" s="26"/>
      <c r="G468" s="24"/>
      <c r="H468" s="24"/>
      <c r="I468" s="26"/>
      <c r="J468" s="24"/>
      <c r="K468" s="26"/>
      <c r="L468" s="24"/>
      <c r="M468" s="24"/>
      <c r="N468" s="26"/>
      <c r="O468" s="26"/>
      <c r="P468" s="26"/>
      <c r="Q468" s="26"/>
      <c r="R468" s="26"/>
      <c r="S468" s="26"/>
      <c r="T468" s="26"/>
      <c r="U468" s="26"/>
      <c r="V468" s="26"/>
      <c r="W468" s="26">
        <f>MAX($C$7-VLOOKUP($C468,COS!$B$8:$H$991,3,FALSE),0)</f>
        <v>89878.541015625</v>
      </c>
      <c r="X468" s="26">
        <f t="shared" si="667"/>
        <v>5526.4160756714873</v>
      </c>
      <c r="Y468" s="26">
        <f>VLOOKUP($C468,COS!$B$8:$H$991,4,FALSE)</f>
        <v>1250.875732421875</v>
      </c>
      <c r="Z468" s="26">
        <f t="shared" si="668"/>
        <v>76.913350819989674</v>
      </c>
      <c r="AA468" s="26">
        <f t="shared" ref="AA468:AA472" si="751">MIN(W468,Y468)</f>
        <v>1250.875732421875</v>
      </c>
      <c r="AB468" s="33">
        <f t="shared" ref="AB468:AB526" si="752">AA468*DAY($C468)*86400/43560/1000*IF(MONTH($C468)=8,$P$3,IF(MONTH($C468)=9,$P$4,IF(MONTH($C468)=10,$P$5,IF(MONTH($C468)=11,$P$6,IF(MONTH($C468)=12,$P$7,NA())))))</f>
        <v>76.913350819989674</v>
      </c>
    </row>
    <row r="469" spans="1:28" x14ac:dyDescent="0.3">
      <c r="A469" s="32">
        <f>VLOOKUP(YEAR(C469),Flags!$A$13:$B$95,2,FALSE)</f>
        <v>3</v>
      </c>
      <c r="B469" s="24">
        <f t="shared" si="739"/>
        <v>1972</v>
      </c>
      <c r="C469" s="25">
        <v>26572</v>
      </c>
      <c r="D469" s="26"/>
      <c r="E469" s="24"/>
      <c r="F469" s="26"/>
      <c r="G469" s="24"/>
      <c r="H469" s="24"/>
      <c r="I469" s="26"/>
      <c r="J469" s="24"/>
      <c r="K469" s="26">
        <f>VLOOKUP($C469,COS!$B$8:$H$991,2,FALSE)</f>
        <v>2958.29638671875</v>
      </c>
      <c r="L469" s="24">
        <f t="shared" ref="L469" si="753">IF(AND(K469&gt;$I$7,K469&lt;$I$8),1,0)</f>
        <v>1</v>
      </c>
      <c r="M469" s="24"/>
      <c r="N469" s="26"/>
      <c r="O469" s="26"/>
      <c r="P469" s="26"/>
      <c r="Q469" s="26"/>
      <c r="R469" s="26"/>
      <c r="S469" s="26"/>
      <c r="T469" s="26"/>
      <c r="U469" s="26"/>
      <c r="V469" s="26"/>
      <c r="W469" s="26">
        <f>MAX($C$8-VLOOKUP($C469,COS!$B$8:$H$991,3,FALSE),0)</f>
        <v>95242.72265625</v>
      </c>
      <c r="X469" s="26">
        <f t="shared" si="667"/>
        <v>5667.3355630165288</v>
      </c>
      <c r="Y469" s="26">
        <f>VLOOKUP($C469,COS!$B$8:$H$991,4,FALSE)</f>
        <v>954.7808837890625</v>
      </c>
      <c r="Z469" s="26">
        <f t="shared" si="668"/>
        <v>56.813407961002063</v>
      </c>
      <c r="AA469" s="26">
        <f t="shared" si="751"/>
        <v>954.7808837890625</v>
      </c>
      <c r="AB469" s="33">
        <f t="shared" si="752"/>
        <v>56.813407961002063</v>
      </c>
    </row>
    <row r="470" spans="1:28" x14ac:dyDescent="0.3">
      <c r="A470" s="32">
        <f>VLOOKUP(YEAR(C470),Flags!$A$13:$B$95,2,FALSE)</f>
        <v>3</v>
      </c>
      <c r="B470" s="24">
        <f t="shared" si="739"/>
        <v>1972</v>
      </c>
      <c r="C470" s="25">
        <v>26603</v>
      </c>
      <c r="D470" s="26"/>
      <c r="E470" s="24"/>
      <c r="F470" s="26"/>
      <c r="G470" s="26"/>
      <c r="H470" s="26"/>
      <c r="I470" s="26"/>
      <c r="J470" s="26"/>
      <c r="K470" s="26"/>
      <c r="L470" s="24"/>
      <c r="M470" s="24"/>
      <c r="N470" s="26"/>
      <c r="O470" s="26"/>
      <c r="P470" s="26"/>
      <c r="Q470" s="26"/>
      <c r="R470" s="26"/>
      <c r="S470" s="26"/>
      <c r="T470" s="26"/>
      <c r="U470" s="26"/>
      <c r="V470" s="26"/>
      <c r="W470" s="26">
        <f>MAX($C$9-VLOOKUP($C470,COS!$B$8:$H$991,3,FALSE),0)</f>
        <v>95128.9990234375</v>
      </c>
      <c r="X470" s="26">
        <f t="shared" si="667"/>
        <v>5849.2541548295458</v>
      </c>
      <c r="Y470" s="26">
        <f>VLOOKUP($C470,COS!$B$8:$H$991,4,FALSE)</f>
        <v>439.72247314453125</v>
      </c>
      <c r="Z470" s="26">
        <f t="shared" si="668"/>
        <v>27.037480993349689</v>
      </c>
      <c r="AA470" s="26">
        <f t="shared" si="751"/>
        <v>439.72247314453125</v>
      </c>
      <c r="AB470" s="33">
        <f t="shared" si="752"/>
        <v>27.037480993349689</v>
      </c>
    </row>
    <row r="471" spans="1:28" x14ac:dyDescent="0.3">
      <c r="A471" s="32">
        <f>VLOOKUP(YEAR(C471),Flags!$A$13:$B$95,2,FALSE)</f>
        <v>3</v>
      </c>
      <c r="B471" s="24">
        <f t="shared" si="739"/>
        <v>1972</v>
      </c>
      <c r="C471" s="25">
        <v>26633</v>
      </c>
      <c r="D471" s="26"/>
      <c r="E471" s="24"/>
      <c r="F471" s="26"/>
      <c r="G471" s="26"/>
      <c r="H471" s="26"/>
      <c r="I471" s="26"/>
      <c r="J471" s="26"/>
      <c r="K471" s="26"/>
      <c r="L471" s="24"/>
      <c r="M471" s="24"/>
      <c r="N471" s="26"/>
      <c r="O471" s="26"/>
      <c r="P471" s="26"/>
      <c r="Q471" s="26"/>
      <c r="R471" s="26"/>
      <c r="S471" s="26"/>
      <c r="T471" s="26"/>
      <c r="U471" s="26"/>
      <c r="V471" s="26"/>
      <c r="W471" s="26">
        <f>MAX($C$10-VLOOKUP($C471,COS!$B$8:$H$991,3,FALSE),0)</f>
        <v>96243.074462890625</v>
      </c>
      <c r="X471" s="26">
        <f t="shared" si="667"/>
        <v>5726.8606291967972</v>
      </c>
      <c r="Y471" s="26">
        <f>VLOOKUP($C471,COS!$B$8:$H$991,4,FALSE)</f>
        <v>2301.576171875</v>
      </c>
      <c r="Z471" s="26">
        <f t="shared" si="668"/>
        <v>136.95329287190083</v>
      </c>
      <c r="AA471" s="26">
        <f t="shared" si="751"/>
        <v>2301.576171875</v>
      </c>
      <c r="AB471" s="33">
        <f t="shared" si="752"/>
        <v>68.476646435950414</v>
      </c>
    </row>
    <row r="472" spans="1:28" x14ac:dyDescent="0.3">
      <c r="A472" s="34">
        <f>VLOOKUP(YEAR(C472),Flags!$A$13:$B$95,2,FALSE)</f>
        <v>3</v>
      </c>
      <c r="B472" s="35">
        <f t="shared" si="739"/>
        <v>1972</v>
      </c>
      <c r="C472" s="36">
        <v>26664</v>
      </c>
      <c r="D472" s="37"/>
      <c r="E472" s="35"/>
      <c r="F472" s="37"/>
      <c r="G472" s="37"/>
      <c r="H472" s="37"/>
      <c r="I472" s="37"/>
      <c r="J472" s="37"/>
      <c r="K472" s="37"/>
      <c r="L472" s="35"/>
      <c r="M472" s="35"/>
      <c r="N472" s="37"/>
      <c r="O472" s="37"/>
      <c r="P472" s="37"/>
      <c r="Q472" s="37"/>
      <c r="R472" s="37"/>
      <c r="S472" s="37"/>
      <c r="T472" s="37"/>
      <c r="U472" s="37"/>
      <c r="V472" s="37"/>
      <c r="W472" s="37">
        <f>MAX($C$11-VLOOKUP($C472,COS!$B$8:$H$991,3,FALSE),0)</f>
        <v>0</v>
      </c>
      <c r="X472" s="37">
        <f t="shared" si="667"/>
        <v>0</v>
      </c>
      <c r="Y472" s="37">
        <f>VLOOKUP($C472,COS!$B$8:$H$991,4,FALSE)</f>
        <v>0</v>
      </c>
      <c r="Z472" s="37">
        <f t="shared" si="668"/>
        <v>0</v>
      </c>
      <c r="AA472" s="37">
        <f t="shared" si="751"/>
        <v>0</v>
      </c>
      <c r="AB472" s="38">
        <f t="shared" si="752"/>
        <v>0</v>
      </c>
    </row>
    <row r="473" spans="1:28" x14ac:dyDescent="0.3">
      <c r="A473" s="27">
        <f>VLOOKUP(YEAR(C473),Flags!$A$13:$B$95,2,FALSE)</f>
        <v>2</v>
      </c>
      <c r="B473" s="28">
        <f t="shared" si="739"/>
        <v>1973</v>
      </c>
      <c r="C473" s="29">
        <v>26784</v>
      </c>
      <c r="D473" s="30">
        <f>VLOOKUP($C473,COS!$B$8:$H$991,3,FALSE)</f>
        <v>3250</v>
      </c>
      <c r="E473" s="28">
        <f>IF(D473&gt;=IF(MONTH($C473)=4,$C$3,IF(MONTH($C473)=5,$C$4,IF(MONTH($C473)=6,$C$5,IF(MONTH($C473)=7,$C$6,"ERROR")))),1,0)</f>
        <v>0</v>
      </c>
      <c r="F473" s="30">
        <f>VLOOKUP($C473,COS!$B$8:$H$991,7,FALSE)</f>
        <v>50.581394195556641</v>
      </c>
      <c r="G473" s="28">
        <f>IF(F473&lt;=IF(MONTH($C473)=4,$F$3,IF(MONTH($C473)=5,$F$4,IF(MONTH($C473)=6,$F$5,IF(MONTH($C473)=7,$F$6,"ERROR")))),1,0)</f>
        <v>1</v>
      </c>
      <c r="H473" s="30">
        <f>IF(J473=1,D473-$C$3,0)</f>
        <v>0</v>
      </c>
      <c r="I473" s="30">
        <f t="shared" si="661"/>
        <v>0</v>
      </c>
      <c r="J473" s="28">
        <f t="shared" ref="J473:J476" si="754">IF(AND(E473=1,G473=1),1,0)</f>
        <v>0</v>
      </c>
      <c r="K473" s="30">
        <f>VLOOKUP($C473,COS!$B$8:$H$991,2,FALSE)</f>
        <v>4464.4716796875</v>
      </c>
      <c r="L473" s="28">
        <f t="shared" ref="L473" si="755">IF(K473&lt;=IF(MONTH($C473)=4,$I$3,IF(MONTH($C473)=5,$I$4,IF(MONTH($C473)=6,$I$5,IF(MONTH($C473)=7,$I$6,"ERROR")))),1,0)</f>
        <v>1</v>
      </c>
      <c r="M473" s="28">
        <f t="shared" ref="M473" si="756">VLOOKUP($A473,$L$3:$M$7,2,FALSE)</f>
        <v>0</v>
      </c>
      <c r="N473" s="30">
        <f>VLOOKUP($C473,COS!$B$8:$H$991,5,FALSE)</f>
        <v>411.989013671875</v>
      </c>
      <c r="O473" s="30">
        <f t="shared" ref="O473:O476" si="757">N473*DAY($C473)*86400/43560/1000</f>
        <v>24.515048747417357</v>
      </c>
      <c r="P473" s="30">
        <f>VLOOKUP($C473,COS!$B$8:$H$991,6,FALSE)</f>
        <v>453.39697265625</v>
      </c>
      <c r="Q473" s="30">
        <f t="shared" ref="Q473:Q476" si="758">P473*DAY($C473)*86400/43560/1000</f>
        <v>26.978993414256198</v>
      </c>
      <c r="R473" s="30">
        <f>MIN(IF(MONTH($C473)=4,$S$3,IF(MONTH($C473)=5,$S$4,IF(MONTH($C473)=6,$S$5,IF(MONTH($C473)=7,$S$6,"ERROR")))),MAX(VLOOKUP($C473,COS!$B$8:$K$991,10,FALSE)-IF(MONTH($C473)=4,$Y$3,IF(MONTH($C473)=5,$Y$4,IF(MONTH($C473)=6,$Y$5,IF(MONTH($C473)=7,$Y$6,"ERROR")))),0),MAX(VLOOKUP($C473,COS!$B$8:$K$991,9,FALSE)-IF(MONTH($C473)=4,$V$3,IF(MONTH($C473)=5,$V$4,IF(MONTH($C473)=6,$V$5,IF(MONTH($C473)=7,$V$6,"ERROR"))))-VLOOKUP($C473,COS!$B$8:$K$991,6,FALSE)/2,0))</f>
        <v>0</v>
      </c>
      <c r="S473" s="30">
        <f t="shared" ref="S473:S476" si="759">R473*DAY($C473)*86400/43560/1000</f>
        <v>0</v>
      </c>
      <c r="T473" s="30">
        <f t="shared" ref="T473:T476" si="760">(O473+Q473)/2+S473</f>
        <v>25.747021080836777</v>
      </c>
      <c r="U473" s="30" t="str">
        <f>IF(VLOOKUP($C473,COS!$B$8:$I$991,8,FALSE)=1,"UWFE","IBU")</f>
        <v>UWFE</v>
      </c>
      <c r="V473" s="30">
        <f t="shared" ref="V473" si="761">MIN(IF(IF($AA$3=2,AND(E473=1,G473=1,L473=1,L478=1,M473=1,U473="IBU"),AND(E473=1,G473=1,L473=1,L478=1,M473=1)),T473,0),I473)</f>
        <v>0</v>
      </c>
      <c r="W473" s="30"/>
      <c r="X473" s="30"/>
      <c r="Y473" s="30"/>
      <c r="Z473" s="30"/>
      <c r="AA473" s="30"/>
      <c r="AB473" s="31"/>
    </row>
    <row r="474" spans="1:28" x14ac:dyDescent="0.3">
      <c r="A474" s="32">
        <f>VLOOKUP(YEAR(C474),Flags!$A$13:$B$95,2,FALSE)</f>
        <v>2</v>
      </c>
      <c r="B474" s="24">
        <f t="shared" si="739"/>
        <v>1973</v>
      </c>
      <c r="C474" s="25">
        <v>26815</v>
      </c>
      <c r="D474" s="26">
        <f>VLOOKUP($C474,COS!$B$8:$H$991,3,FALSE)</f>
        <v>6365.75537109375</v>
      </c>
      <c r="E474" s="24">
        <f>IF(D474&gt;=IF(MONTH($C474)=4,$C$3,IF(MONTH($C474)=5,$C$4,IF(MONTH($C474)=6,$C$5,IF(MONTH($C474)=7,$C$6,"ERROR")))),1,0)</f>
        <v>1</v>
      </c>
      <c r="F474" s="26">
        <f>VLOOKUP($C474,COS!$B$8:$H$991,7,FALSE)</f>
        <v>51.265758514404297</v>
      </c>
      <c r="G474" s="24">
        <f>IF(F474&lt;=IF(MONTH($C474)=4,$F$3,IF(MONTH($C474)=5,$F$4,IF(MONTH($C474)=6,$F$5,IF(MONTH($C474)=7,$F$6,"ERROR")))),1,0)</f>
        <v>1</v>
      </c>
      <c r="H474" s="26">
        <f>IF(J474=1,D474-$C$4,0)</f>
        <v>365.75537109375</v>
      </c>
      <c r="I474" s="26">
        <f t="shared" si="661"/>
        <v>22.489421164772729</v>
      </c>
      <c r="J474" s="24">
        <f t="shared" si="754"/>
        <v>1</v>
      </c>
      <c r="K474" s="26">
        <f>VLOOKUP($C474,COS!$B$8:$H$991,2,FALSE)</f>
        <v>4489.771484375</v>
      </c>
      <c r="L474" s="24">
        <f t="shared" si="741"/>
        <v>1</v>
      </c>
      <c r="M474" s="24">
        <f t="shared" si="742"/>
        <v>0</v>
      </c>
      <c r="N474" s="26">
        <f>VLOOKUP($C474,COS!$B$8:$H$991,5,FALSE)</f>
        <v>753.90789794921875</v>
      </c>
      <c r="O474" s="26">
        <f t="shared" si="757"/>
        <v>46.355989758199897</v>
      </c>
      <c r="P474" s="26">
        <f>VLOOKUP($C474,COS!$B$8:$H$991,6,FALSE)</f>
        <v>2250.21826171875</v>
      </c>
      <c r="Q474" s="26">
        <f t="shared" si="758"/>
        <v>138.36052782799587</v>
      </c>
      <c r="R474" s="26">
        <f>MIN(IF(MONTH($C474)=4,$S$3,IF(MONTH($C474)=5,$S$4,IF(MONTH($C474)=6,$S$5,IF(MONTH($C474)=7,$S$6,"ERROR")))),MAX(VLOOKUP($C474,COS!$B$8:$K$991,10,FALSE)-IF(MONTH($C474)=4,$Y$3,IF(MONTH($C474)=5,$Y$4,IF(MONTH($C474)=6,$Y$5,IF(MONTH($C474)=7,$Y$6,"ERROR")))),0),MAX(VLOOKUP($C474,COS!$B$8:$K$991,9,FALSE)-IF(MONTH($C474)=4,$V$3,IF(MONTH($C474)=5,$V$4,IF(MONTH($C474)=6,$V$5,IF(MONTH($C474)=7,$V$6,"ERROR"))))-VLOOKUP($C474,COS!$B$8:$K$991,6,FALSE)/2,0))</f>
        <v>0</v>
      </c>
      <c r="S474" s="26">
        <f t="shared" si="759"/>
        <v>0</v>
      </c>
      <c r="T474" s="26">
        <f t="shared" si="760"/>
        <v>92.358258793097889</v>
      </c>
      <c r="U474" s="26" t="str">
        <f>IF(VLOOKUP($C474,COS!$B$8:$I$991,8,FALSE)=1,"UWFE","IBU")</f>
        <v>UWFE</v>
      </c>
      <c r="V474" s="26">
        <f t="shared" ref="V474" si="762">MIN(IF(IF($AA$3=2,AND(E474=1,G474=1,L474=1,L478=1,M474=1,U474="IBU"),AND(E474=1,G474=1,L474=1,L478=1,M474=1)),T474,0),I474)</f>
        <v>0</v>
      </c>
      <c r="W474" s="26"/>
      <c r="X474" s="26"/>
      <c r="Y474" s="26"/>
      <c r="Z474" s="26"/>
      <c r="AA474" s="26"/>
      <c r="AB474" s="33"/>
    </row>
    <row r="475" spans="1:28" x14ac:dyDescent="0.3">
      <c r="A475" s="32">
        <f>VLOOKUP(YEAR(C475),Flags!$A$13:$B$95,2,FALSE)</f>
        <v>2</v>
      </c>
      <c r="B475" s="24">
        <f t="shared" si="739"/>
        <v>1973</v>
      </c>
      <c r="C475" s="25">
        <v>26845</v>
      </c>
      <c r="D475" s="26">
        <f>VLOOKUP($C475,COS!$B$8:$H$991,3,FALSE)</f>
        <v>13158.140625</v>
      </c>
      <c r="E475" s="24">
        <f>IF(D475&gt;=IF(MONTH($C475)=4,$C$3,IF(MONTH($C475)=5,$C$4,IF(MONTH($C475)=6,$C$5,IF(MONTH($C475)=7,$C$6,"ERROR")))),1,0)</f>
        <v>1</v>
      </c>
      <c r="F475" s="26">
        <f>VLOOKUP($C475,COS!$B$8:$H$991,7,FALSE)</f>
        <v>49.900630950927734</v>
      </c>
      <c r="G475" s="24">
        <f>IF(F475&lt;=IF(MONTH($C475)=4,$F$3,IF(MONTH($C475)=5,$F$4,IF(MONTH($C475)=6,$F$5,IF(MONTH($C475)=7,$F$6,"ERROR")))),1,0)</f>
        <v>1</v>
      </c>
      <c r="H475" s="26">
        <f>IF(J475=1,D475-$C$5,0)</f>
        <v>3158.140625</v>
      </c>
      <c r="I475" s="26">
        <f t="shared" si="661"/>
        <v>187.92241735537189</v>
      </c>
      <c r="J475" s="24">
        <f t="shared" si="754"/>
        <v>1</v>
      </c>
      <c r="K475" s="26">
        <f>VLOOKUP($C475,COS!$B$8:$H$991,2,FALSE)</f>
        <v>3919.55078125</v>
      </c>
      <c r="L475" s="24">
        <f t="shared" si="741"/>
        <v>1</v>
      </c>
      <c r="M475" s="24">
        <f t="shared" si="742"/>
        <v>0</v>
      </c>
      <c r="N475" s="26">
        <f>VLOOKUP($C475,COS!$B$8:$H$991,5,FALSE)</f>
        <v>1050.899658203125</v>
      </c>
      <c r="O475" s="26">
        <f t="shared" si="757"/>
        <v>62.532872223657023</v>
      </c>
      <c r="P475" s="26">
        <f>VLOOKUP($C475,COS!$B$8:$H$991,6,FALSE)</f>
        <v>2424.520751953125</v>
      </c>
      <c r="Q475" s="26">
        <f t="shared" si="758"/>
        <v>144.26900342200415</v>
      </c>
      <c r="R475" s="26">
        <f>MIN(IF(MONTH($C475)=4,$S$3,IF(MONTH($C475)=5,$S$4,IF(MONTH($C475)=6,$S$5,IF(MONTH($C475)=7,$S$6,"ERROR")))),MAX(VLOOKUP($C475,COS!$B$8:$K$991,10,FALSE)-IF(MONTH($C475)=4,$Y$3,IF(MONTH($C475)=5,$Y$4,IF(MONTH($C475)=6,$Y$5,IF(MONTH($C475)=7,$Y$6,"ERROR")))),0),MAX(VLOOKUP($C475,COS!$B$8:$K$991,9,FALSE)-IF(MONTH($C475)=4,$V$3,IF(MONTH($C475)=5,$V$4,IF(MONTH($C475)=6,$V$5,IF(MONTH($C475)=7,$V$6,"ERROR"))))-VLOOKUP($C475,COS!$B$8:$K$991,6,FALSE)/2,0))</f>
        <v>0</v>
      </c>
      <c r="S475" s="26">
        <f t="shared" si="759"/>
        <v>0</v>
      </c>
      <c r="T475" s="26">
        <f t="shared" si="760"/>
        <v>103.40093782283058</v>
      </c>
      <c r="U475" s="26" t="str">
        <f>IF(VLOOKUP($C475,COS!$B$8:$I$991,8,FALSE)=1,"UWFE","IBU")</f>
        <v>IBU</v>
      </c>
      <c r="V475" s="26">
        <f t="shared" ref="V475" si="763">MIN(IF(IF($AA$3=2,AND(E475=1,G475=1,L475=1,L478=1,M475=1,U475="IBU"),AND(E475=1,G475=1,L475=1,L478=1,M475=1)),T475,0),I475)</f>
        <v>0</v>
      </c>
      <c r="W475" s="26"/>
      <c r="X475" s="26"/>
      <c r="Y475" s="26"/>
      <c r="Z475" s="26"/>
      <c r="AA475" s="26"/>
      <c r="AB475" s="33"/>
    </row>
    <row r="476" spans="1:28" x14ac:dyDescent="0.3">
      <c r="A476" s="32">
        <f>VLOOKUP(YEAR(C476),Flags!$A$13:$B$95,2,FALSE)</f>
        <v>2</v>
      </c>
      <c r="B476" s="24">
        <f t="shared" si="739"/>
        <v>1973</v>
      </c>
      <c r="C476" s="25">
        <v>26876</v>
      </c>
      <c r="D476" s="26">
        <f>VLOOKUP($C476,COS!$B$8:$H$991,3,FALSE)</f>
        <v>16000</v>
      </c>
      <c r="E476" s="24">
        <f>IF(D476&gt;=IF(MONTH($C476)=4,$C$3,IF(MONTH($C476)=5,$C$4,IF(MONTH($C476)=6,$C$5,IF(MONTH($C476)=7,$C$6,"ERROR")))),1,0)</f>
        <v>1</v>
      </c>
      <c r="F476" s="26">
        <f>VLOOKUP($C476,COS!$B$8:$H$991,7,FALSE)</f>
        <v>50.579265594482422</v>
      </c>
      <c r="G476" s="24">
        <f>IF(F476&lt;=IF(MONTH($C476)=4,$F$3,IF(MONTH($C476)=5,$F$4,IF(MONTH($C476)=6,$F$5,IF(MONTH($C476)=7,$F$6,"ERROR")))),1,0)</f>
        <v>1</v>
      </c>
      <c r="H476" s="26">
        <f>IF(J476=1,D476-$C$6,0)</f>
        <v>4000</v>
      </c>
      <c r="I476" s="26">
        <f t="shared" ref="I476:I539" si="764">H476*DAY($C476)*86400/43560/1000</f>
        <v>245.95041322314049</v>
      </c>
      <c r="J476" s="24">
        <f t="shared" si="754"/>
        <v>1</v>
      </c>
      <c r="K476" s="26">
        <f>VLOOKUP($C476,COS!$B$8:$H$991,2,FALSE)</f>
        <v>3219.93359375</v>
      </c>
      <c r="L476" s="24">
        <f t="shared" si="741"/>
        <v>1</v>
      </c>
      <c r="M476" s="24">
        <f t="shared" si="742"/>
        <v>0</v>
      </c>
      <c r="N476" s="26">
        <f>VLOOKUP($C476,COS!$B$8:$H$991,5,FALSE)</f>
        <v>1148.61376953125</v>
      </c>
      <c r="O476" s="26">
        <f t="shared" si="757"/>
        <v>70.625507812500004</v>
      </c>
      <c r="P476" s="26">
        <f>VLOOKUP($C476,COS!$B$8:$H$991,6,FALSE)</f>
        <v>2522.65771484375</v>
      </c>
      <c r="Q476" s="26">
        <f t="shared" si="758"/>
        <v>155.1121768465909</v>
      </c>
      <c r="R476" s="26">
        <f>MIN(IF(MONTH($C476)=4,$S$3,IF(MONTH($C476)=5,$S$4,IF(MONTH($C476)=6,$S$5,IF(MONTH($C476)=7,$S$6,"ERROR")))),MAX(VLOOKUP($C476,COS!$B$8:$K$991,10,FALSE)-IF(MONTH($C476)=4,$Y$3,IF(MONTH($C476)=5,$Y$4,IF(MONTH($C476)=6,$Y$5,IF(MONTH($C476)=7,$Y$6,"ERROR")))),0),MAX(VLOOKUP($C476,COS!$B$8:$K$991,9,FALSE)-IF(MONTH($C476)=4,$V$3,IF(MONTH($C476)=5,$V$4,IF(MONTH($C476)=6,$V$5,IF(MONTH($C476)=7,$V$6,"ERROR"))))-VLOOKUP($C476,COS!$B$8:$K$991,6,FALSE)/2,0))</f>
        <v>0</v>
      </c>
      <c r="S476" s="26">
        <f t="shared" si="759"/>
        <v>0</v>
      </c>
      <c r="T476" s="26">
        <f t="shared" si="760"/>
        <v>112.86884232954546</v>
      </c>
      <c r="U476" s="26" t="str">
        <f>IF(VLOOKUP($C476,COS!$B$8:$I$991,8,FALSE)=1,"UWFE","IBU")</f>
        <v>IBU</v>
      </c>
      <c r="V476" s="26">
        <f t="shared" ref="V476" si="765">MIN(IF(IF($AA$3=2,AND(E476=1,G476=1,L476=1,L478=1,M476=1,U476="IBU"),AND(E476=1,G476=1,L476=1,L478=1,M476=1)),T476,0),I476)</f>
        <v>0</v>
      </c>
      <c r="W476" s="26"/>
      <c r="X476" s="26"/>
      <c r="Y476" s="26"/>
      <c r="Z476" s="26"/>
      <c r="AA476" s="26"/>
      <c r="AB476" s="33"/>
    </row>
    <row r="477" spans="1:28" x14ac:dyDescent="0.3">
      <c r="A477" s="32">
        <f>VLOOKUP(YEAR(C477),Flags!$A$13:$B$95,2,FALSE)</f>
        <v>2</v>
      </c>
      <c r="B477" s="24">
        <f t="shared" si="739"/>
        <v>1973</v>
      </c>
      <c r="C477" s="25">
        <v>26907</v>
      </c>
      <c r="D477" s="26"/>
      <c r="E477" s="24"/>
      <c r="F477" s="26"/>
      <c r="G477" s="24"/>
      <c r="H477" s="24"/>
      <c r="I477" s="26"/>
      <c r="J477" s="24"/>
      <c r="K477" s="26"/>
      <c r="L477" s="24"/>
      <c r="M477" s="24"/>
      <c r="N477" s="26"/>
      <c r="O477" s="26"/>
      <c r="P477" s="26"/>
      <c r="Q477" s="26"/>
      <c r="R477" s="26"/>
      <c r="S477" s="26"/>
      <c r="T477" s="26"/>
      <c r="U477" s="26"/>
      <c r="V477" s="26"/>
      <c r="W477" s="26">
        <f>MAX($C$7-VLOOKUP($C477,COS!$B$8:$H$991,3,FALSE),0)</f>
        <v>91231.0947265625</v>
      </c>
      <c r="X477" s="26">
        <f t="shared" si="667"/>
        <v>5609.5813616993801</v>
      </c>
      <c r="Y477" s="26">
        <f>VLOOKUP($C477,COS!$B$8:$H$991,4,FALSE)</f>
        <v>266.08578491210938</v>
      </c>
      <c r="Z477" s="26">
        <f t="shared" si="668"/>
        <v>16.360977187984247</v>
      </c>
      <c r="AA477" s="26">
        <f t="shared" ref="AA477:AA481" si="766">MIN(W477,Y477)</f>
        <v>266.08578491210938</v>
      </c>
      <c r="AB477" s="33">
        <f t="shared" ref="AB477" si="767">AA477*DAY($C477)*86400/43560/1000*IF(MONTH($C477)=8,$P$3,IF(MONTH($C477)=9,$P$4,IF(MONTH($C477)=10,$P$5,IF(MONTH($C477)=11,$P$6,IF(MONTH($C477)=12,$P$7,NA())))))</f>
        <v>16.360977187984247</v>
      </c>
    </row>
    <row r="478" spans="1:28" x14ac:dyDescent="0.3">
      <c r="A478" s="32">
        <f>VLOOKUP(YEAR(C478),Flags!$A$13:$B$95,2,FALSE)</f>
        <v>2</v>
      </c>
      <c r="B478" s="24">
        <f t="shared" si="739"/>
        <v>1973</v>
      </c>
      <c r="C478" s="25">
        <v>26937</v>
      </c>
      <c r="D478" s="26"/>
      <c r="E478" s="24"/>
      <c r="F478" s="26"/>
      <c r="G478" s="24"/>
      <c r="H478" s="24"/>
      <c r="I478" s="26"/>
      <c r="J478" s="24"/>
      <c r="K478" s="26">
        <f>VLOOKUP($C478,COS!$B$8:$H$991,2,FALSE)</f>
        <v>2805.609619140625</v>
      </c>
      <c r="L478" s="24">
        <f t="shared" ref="L478" si="768">IF(AND(K478&gt;$I$7,K478&lt;$I$8),1,0)</f>
        <v>1</v>
      </c>
      <c r="M478" s="24"/>
      <c r="N478" s="26"/>
      <c r="O478" s="26"/>
      <c r="P478" s="26"/>
      <c r="Q478" s="26"/>
      <c r="R478" s="26"/>
      <c r="S478" s="26"/>
      <c r="T478" s="26"/>
      <c r="U478" s="26"/>
      <c r="V478" s="26"/>
      <c r="W478" s="26">
        <f>MAX($C$8-VLOOKUP($C478,COS!$B$8:$H$991,3,FALSE),0)</f>
        <v>90741.9873046875</v>
      </c>
      <c r="X478" s="26">
        <f t="shared" si="667"/>
        <v>5399.5232115185954</v>
      </c>
      <c r="Y478" s="26">
        <f>VLOOKUP($C478,COS!$B$8:$H$991,4,FALSE)</f>
        <v>632.89453125</v>
      </c>
      <c r="Z478" s="26">
        <f t="shared" si="668"/>
        <v>37.659839876033061</v>
      </c>
      <c r="AA478" s="26">
        <f t="shared" si="766"/>
        <v>632.89453125</v>
      </c>
      <c r="AB478" s="33">
        <f t="shared" si="752"/>
        <v>37.659839876033061</v>
      </c>
    </row>
    <row r="479" spans="1:28" x14ac:dyDescent="0.3">
      <c r="A479" s="32">
        <f>VLOOKUP(YEAR(C479),Flags!$A$13:$B$95,2,FALSE)</f>
        <v>2</v>
      </c>
      <c r="B479" s="24">
        <f t="shared" si="739"/>
        <v>1973</v>
      </c>
      <c r="C479" s="25">
        <v>26968</v>
      </c>
      <c r="D479" s="26"/>
      <c r="E479" s="24"/>
      <c r="F479" s="26"/>
      <c r="G479" s="26"/>
      <c r="H479" s="26"/>
      <c r="I479" s="26"/>
      <c r="J479" s="26"/>
      <c r="K479" s="26"/>
      <c r="L479" s="24"/>
      <c r="M479" s="24"/>
      <c r="N479" s="26"/>
      <c r="O479" s="26"/>
      <c r="P479" s="26"/>
      <c r="Q479" s="26"/>
      <c r="R479" s="26"/>
      <c r="S479" s="26"/>
      <c r="T479" s="26"/>
      <c r="U479" s="26"/>
      <c r="V479" s="26"/>
      <c r="W479" s="26">
        <f>MAX($C$9-VLOOKUP($C479,COS!$B$8:$H$991,3,FALSE),0)</f>
        <v>94903.3291015625</v>
      </c>
      <c r="X479" s="26">
        <f t="shared" ref="X479:X542" si="769">W479*DAY($C479)*86400/43560/1000</f>
        <v>5835.378252195248</v>
      </c>
      <c r="Y479" s="26">
        <f>VLOOKUP($C479,COS!$B$8:$H$991,4,FALSE)</f>
        <v>827.64825439453125</v>
      </c>
      <c r="Z479" s="26">
        <f t="shared" ref="Z479:Z542" si="770">Y479*DAY($C479)*86400/43560/1000</f>
        <v>50.890107542936462</v>
      </c>
      <c r="AA479" s="26">
        <f t="shared" si="766"/>
        <v>827.64825439453125</v>
      </c>
      <c r="AB479" s="33">
        <f t="shared" si="752"/>
        <v>50.890107542936462</v>
      </c>
    </row>
    <row r="480" spans="1:28" x14ac:dyDescent="0.3">
      <c r="A480" s="32">
        <f>VLOOKUP(YEAR(C480),Flags!$A$13:$B$95,2,FALSE)</f>
        <v>2</v>
      </c>
      <c r="B480" s="24">
        <f t="shared" si="739"/>
        <v>1973</v>
      </c>
      <c r="C480" s="25">
        <v>26998</v>
      </c>
      <c r="D480" s="26"/>
      <c r="E480" s="24"/>
      <c r="F480" s="26"/>
      <c r="G480" s="26"/>
      <c r="H480" s="26"/>
      <c r="I480" s="26"/>
      <c r="J480" s="26"/>
      <c r="K480" s="26"/>
      <c r="L480" s="24"/>
      <c r="M480" s="24"/>
      <c r="N480" s="26"/>
      <c r="O480" s="26"/>
      <c r="P480" s="26"/>
      <c r="Q480" s="26"/>
      <c r="R480" s="26"/>
      <c r="S480" s="26"/>
      <c r="T480" s="26"/>
      <c r="U480" s="26"/>
      <c r="V480" s="26"/>
      <c r="W480" s="26">
        <f>MAX($C$10-VLOOKUP($C480,COS!$B$8:$H$991,3,FALSE),0)</f>
        <v>71353.306640625</v>
      </c>
      <c r="X480" s="26">
        <f t="shared" si="769"/>
        <v>4245.8165934917361</v>
      </c>
      <c r="Y480" s="26">
        <f>VLOOKUP($C480,COS!$B$8:$H$991,4,FALSE)</f>
        <v>0</v>
      </c>
      <c r="Z480" s="26">
        <f t="shared" si="770"/>
        <v>0</v>
      </c>
      <c r="AA480" s="26">
        <f t="shared" si="766"/>
        <v>0</v>
      </c>
      <c r="AB480" s="33">
        <f t="shared" si="752"/>
        <v>0</v>
      </c>
    </row>
    <row r="481" spans="1:28" x14ac:dyDescent="0.3">
      <c r="A481" s="34">
        <f>VLOOKUP(YEAR(C481),Flags!$A$13:$B$95,2,FALSE)</f>
        <v>2</v>
      </c>
      <c r="B481" s="35">
        <f t="shared" si="739"/>
        <v>1973</v>
      </c>
      <c r="C481" s="36">
        <v>27029</v>
      </c>
      <c r="D481" s="37"/>
      <c r="E481" s="35"/>
      <c r="F481" s="37"/>
      <c r="G481" s="37"/>
      <c r="H481" s="37"/>
      <c r="I481" s="37"/>
      <c r="J481" s="37"/>
      <c r="K481" s="37"/>
      <c r="L481" s="35"/>
      <c r="M481" s="35"/>
      <c r="N481" s="37"/>
      <c r="O481" s="37"/>
      <c r="P481" s="37"/>
      <c r="Q481" s="37"/>
      <c r="R481" s="37"/>
      <c r="S481" s="37"/>
      <c r="T481" s="37"/>
      <c r="U481" s="37"/>
      <c r="V481" s="37"/>
      <c r="W481" s="37">
        <f>MAX($C$11-VLOOKUP($C481,COS!$B$8:$H$991,3,FALSE),0)</f>
        <v>0</v>
      </c>
      <c r="X481" s="37">
        <f t="shared" si="769"/>
        <v>0</v>
      </c>
      <c r="Y481" s="37">
        <f>VLOOKUP($C481,COS!$B$8:$H$991,4,FALSE)</f>
        <v>0</v>
      </c>
      <c r="Z481" s="37">
        <f t="shared" si="770"/>
        <v>0</v>
      </c>
      <c r="AA481" s="37">
        <f t="shared" si="766"/>
        <v>0</v>
      </c>
      <c r="AB481" s="38">
        <f t="shared" si="752"/>
        <v>0</v>
      </c>
    </row>
    <row r="482" spans="1:28" x14ac:dyDescent="0.3">
      <c r="A482" s="27">
        <f>VLOOKUP(YEAR(C482),Flags!$A$13:$B$95,2,FALSE)</f>
        <v>1</v>
      </c>
      <c r="B482" s="28">
        <f t="shared" si="739"/>
        <v>1974</v>
      </c>
      <c r="C482" s="29">
        <v>27149</v>
      </c>
      <c r="D482" s="30">
        <f>VLOOKUP($C482,COS!$B$8:$H$991,3,FALSE)</f>
        <v>5857.21484375</v>
      </c>
      <c r="E482" s="28">
        <f>IF(D482&gt;=IF(MONTH($C482)=4,$C$3,IF(MONTH($C482)=5,$C$4,IF(MONTH($C482)=6,$C$5,IF(MONTH($C482)=7,$C$6,"ERROR")))),1,0)</f>
        <v>0</v>
      </c>
      <c r="F482" s="30">
        <f>VLOOKUP($C482,COS!$B$8:$H$991,7,FALSE)</f>
        <v>48.415458679199219</v>
      </c>
      <c r="G482" s="28">
        <f>IF(F482&lt;=IF(MONTH($C482)=4,$F$3,IF(MONTH($C482)=5,$F$4,IF(MONTH($C482)=6,$F$5,IF(MONTH($C482)=7,$F$6,"ERROR")))),1,0)</f>
        <v>1</v>
      </c>
      <c r="H482" s="30">
        <f>IF(J482=1,D482-$C$3,0)</f>
        <v>0</v>
      </c>
      <c r="I482" s="30">
        <f t="shared" si="764"/>
        <v>0</v>
      </c>
      <c r="J482" s="28">
        <f t="shared" ref="J482:J485" si="771">IF(AND(E482=1,G482=1),1,0)</f>
        <v>0</v>
      </c>
      <c r="K482" s="30">
        <f>VLOOKUP($C482,COS!$B$8:$H$991,2,FALSE)</f>
        <v>4289</v>
      </c>
      <c r="L482" s="28">
        <f t="shared" ref="L482" si="772">IF(K482&lt;=IF(MONTH($C482)=4,$I$3,IF(MONTH($C482)=5,$I$4,IF(MONTH($C482)=6,$I$5,IF(MONTH($C482)=7,$I$6,"ERROR")))),1,0)</f>
        <v>1</v>
      </c>
      <c r="M482" s="28">
        <f t="shared" ref="M482" si="773">VLOOKUP($A482,$L$3:$M$7,2,FALSE)</f>
        <v>0</v>
      </c>
      <c r="N482" s="30">
        <f>VLOOKUP($C482,COS!$B$8:$H$991,5,FALSE)</f>
        <v>44.716442108154297</v>
      </c>
      <c r="O482" s="30">
        <f t="shared" ref="O482:O485" si="774">N482*DAY($C482)*86400/43560/1000</f>
        <v>2.6608130841215778</v>
      </c>
      <c r="P482" s="30">
        <f>VLOOKUP($C482,COS!$B$8:$H$991,6,FALSE)</f>
        <v>403.17050170898438</v>
      </c>
      <c r="Q482" s="30">
        <f t="shared" ref="Q482:Q485" si="775">P482*DAY($C482)*86400/43560/1000</f>
        <v>23.990310845493283</v>
      </c>
      <c r="R482" s="30">
        <f>MIN(IF(MONTH($C482)=4,$S$3,IF(MONTH($C482)=5,$S$4,IF(MONTH($C482)=6,$S$5,IF(MONTH($C482)=7,$S$6,"ERROR")))),MAX(VLOOKUP($C482,COS!$B$8:$K$991,10,FALSE)-IF(MONTH($C482)=4,$Y$3,IF(MONTH($C482)=5,$Y$4,IF(MONTH($C482)=6,$Y$5,IF(MONTH($C482)=7,$Y$6,"ERROR")))),0),MAX(VLOOKUP($C482,COS!$B$8:$K$991,9,FALSE)-IF(MONTH($C482)=4,$V$3,IF(MONTH($C482)=5,$V$4,IF(MONTH($C482)=6,$V$5,IF(MONTH($C482)=7,$V$6,"ERROR"))))-VLOOKUP($C482,COS!$B$8:$K$991,6,FALSE)/2,0))</f>
        <v>0</v>
      </c>
      <c r="S482" s="30">
        <f t="shared" ref="S482:S485" si="776">R482*DAY($C482)*86400/43560/1000</f>
        <v>0</v>
      </c>
      <c r="T482" s="30">
        <f t="shared" ref="T482:T485" si="777">(O482+Q482)/2+S482</f>
        <v>13.325561964807431</v>
      </c>
      <c r="U482" s="30" t="str">
        <f>IF(VLOOKUP($C482,COS!$B$8:$I$991,8,FALSE)=1,"UWFE","IBU")</f>
        <v>UWFE</v>
      </c>
      <c r="V482" s="30">
        <f t="shared" ref="V482" si="778">MIN(IF(IF($AA$3=2,AND(E482=1,G482=1,L482=1,L487=1,M482=1,U482="IBU"),AND(E482=1,G482=1,L482=1,L487=1,M482=1)),T482,0),I482)</f>
        <v>0</v>
      </c>
      <c r="W482" s="30"/>
      <c r="X482" s="30"/>
      <c r="Y482" s="30"/>
      <c r="Z482" s="30"/>
      <c r="AA482" s="30"/>
      <c r="AB482" s="31"/>
    </row>
    <row r="483" spans="1:28" x14ac:dyDescent="0.3">
      <c r="A483" s="32">
        <f>VLOOKUP(YEAR(C483),Flags!$A$13:$B$95,2,FALSE)</f>
        <v>1</v>
      </c>
      <c r="B483" s="24">
        <f t="shared" si="739"/>
        <v>1974</v>
      </c>
      <c r="C483" s="25">
        <v>27180</v>
      </c>
      <c r="D483" s="26">
        <f>VLOOKUP($C483,COS!$B$8:$H$991,3,FALSE)</f>
        <v>5594.63427734375</v>
      </c>
      <c r="E483" s="24">
        <f>IF(D483&gt;=IF(MONTH($C483)=4,$C$3,IF(MONTH($C483)=5,$C$4,IF(MONTH($C483)=6,$C$5,IF(MONTH($C483)=7,$C$6,"ERROR")))),1,0)</f>
        <v>0</v>
      </c>
      <c r="F483" s="26">
        <f>VLOOKUP($C483,COS!$B$8:$H$991,7,FALSE)</f>
        <v>50.93426513671875</v>
      </c>
      <c r="G483" s="24">
        <f>IF(F483&lt;=IF(MONTH($C483)=4,$F$3,IF(MONTH($C483)=5,$F$4,IF(MONTH($C483)=6,$F$5,IF(MONTH($C483)=7,$F$6,"ERROR")))),1,0)</f>
        <v>1</v>
      </c>
      <c r="H483" s="26">
        <f>IF(J483=1,D483-$C$4,0)</f>
        <v>0</v>
      </c>
      <c r="I483" s="26">
        <f t="shared" si="764"/>
        <v>0</v>
      </c>
      <c r="J483" s="24">
        <f t="shared" si="771"/>
        <v>0</v>
      </c>
      <c r="K483" s="26">
        <f>VLOOKUP($C483,COS!$B$8:$H$991,2,FALSE)</f>
        <v>4515.02880859375</v>
      </c>
      <c r="L483" s="24">
        <f t="shared" si="741"/>
        <v>1</v>
      </c>
      <c r="M483" s="24">
        <f t="shared" si="742"/>
        <v>0</v>
      </c>
      <c r="N483" s="26">
        <f>VLOOKUP($C483,COS!$B$8:$H$991,5,FALSE)</f>
        <v>762.792724609375</v>
      </c>
      <c r="O483" s="26">
        <f t="shared" si="774"/>
        <v>46.902296455320247</v>
      </c>
      <c r="P483" s="26">
        <f>VLOOKUP($C483,COS!$B$8:$H$991,6,FALSE)</f>
        <v>2255.40283203125</v>
      </c>
      <c r="Q483" s="26">
        <f t="shared" si="775"/>
        <v>138.67931463068183</v>
      </c>
      <c r="R483" s="26">
        <f>MIN(IF(MONTH($C483)=4,$S$3,IF(MONTH($C483)=5,$S$4,IF(MONTH($C483)=6,$S$5,IF(MONTH($C483)=7,$S$6,"ERROR")))),MAX(VLOOKUP($C483,COS!$B$8:$K$991,10,FALSE)-IF(MONTH($C483)=4,$Y$3,IF(MONTH($C483)=5,$Y$4,IF(MONTH($C483)=6,$Y$5,IF(MONTH($C483)=7,$Y$6,"ERROR")))),0),MAX(VLOOKUP($C483,COS!$B$8:$K$991,9,FALSE)-IF(MONTH($C483)=4,$V$3,IF(MONTH($C483)=5,$V$4,IF(MONTH($C483)=6,$V$5,IF(MONTH($C483)=7,$V$6,"ERROR"))))-VLOOKUP($C483,COS!$B$8:$K$991,6,FALSE)/2,0))</f>
        <v>0</v>
      </c>
      <c r="S483" s="26">
        <f t="shared" si="776"/>
        <v>0</v>
      </c>
      <c r="T483" s="26">
        <f t="shared" si="777"/>
        <v>92.790805543001042</v>
      </c>
      <c r="U483" s="26" t="str">
        <f>IF(VLOOKUP($C483,COS!$B$8:$I$991,8,FALSE)=1,"UWFE","IBU")</f>
        <v>UWFE</v>
      </c>
      <c r="V483" s="26">
        <f t="shared" ref="V483" si="779">MIN(IF(IF($AA$3=2,AND(E483=1,G483=1,L483=1,L487=1,M483=1,U483="IBU"),AND(E483=1,G483=1,L483=1,L487=1,M483=1)),T483,0),I483)</f>
        <v>0</v>
      </c>
      <c r="W483" s="26"/>
      <c r="X483" s="26"/>
      <c r="Y483" s="26"/>
      <c r="Z483" s="26"/>
      <c r="AA483" s="26"/>
      <c r="AB483" s="33"/>
    </row>
    <row r="484" spans="1:28" x14ac:dyDescent="0.3">
      <c r="A484" s="32">
        <f>VLOOKUP(YEAR(C484),Flags!$A$13:$B$95,2,FALSE)</f>
        <v>1</v>
      </c>
      <c r="B484" s="24">
        <f t="shared" si="739"/>
        <v>1974</v>
      </c>
      <c r="C484" s="25">
        <v>27210</v>
      </c>
      <c r="D484" s="26">
        <f>VLOOKUP($C484,COS!$B$8:$H$991,3,FALSE)</f>
        <v>8124.50732421875</v>
      </c>
      <c r="E484" s="24">
        <f>IF(D484&gt;=IF(MONTH($C484)=4,$C$3,IF(MONTH($C484)=5,$C$4,IF(MONTH($C484)=6,$C$5,IF(MONTH($C484)=7,$C$6,"ERROR")))),1,0)</f>
        <v>0</v>
      </c>
      <c r="F484" s="26">
        <f>VLOOKUP($C484,COS!$B$8:$H$991,7,FALSE)</f>
        <v>51.255088806152344</v>
      </c>
      <c r="G484" s="24">
        <f>IF(F484&lt;=IF(MONTH($C484)=4,$F$3,IF(MONTH($C484)=5,$F$4,IF(MONTH($C484)=6,$F$5,IF(MONTH($C484)=7,$F$6,"ERROR")))),1,0)</f>
        <v>1</v>
      </c>
      <c r="H484" s="26">
        <f>IF(J484=1,D484-$C$5,0)</f>
        <v>0</v>
      </c>
      <c r="I484" s="26">
        <f t="shared" si="764"/>
        <v>0</v>
      </c>
      <c r="J484" s="24">
        <f t="shared" si="771"/>
        <v>0</v>
      </c>
      <c r="K484" s="26">
        <f>VLOOKUP($C484,COS!$B$8:$H$991,2,FALSE)</f>
        <v>4359.88232421875</v>
      </c>
      <c r="L484" s="24">
        <f t="shared" si="741"/>
        <v>1</v>
      </c>
      <c r="M484" s="24">
        <f t="shared" si="742"/>
        <v>0</v>
      </c>
      <c r="N484" s="26">
        <f>VLOOKUP($C484,COS!$B$8:$H$991,5,FALSE)</f>
        <v>1221.2120361328125</v>
      </c>
      <c r="O484" s="26">
        <f t="shared" si="774"/>
        <v>72.667162480630168</v>
      </c>
      <c r="P484" s="26">
        <f>VLOOKUP($C484,COS!$B$8:$H$991,6,FALSE)</f>
        <v>2328.534912109375</v>
      </c>
      <c r="Q484" s="26">
        <f t="shared" si="775"/>
        <v>138.55744931559917</v>
      </c>
      <c r="R484" s="26">
        <f>MIN(IF(MONTH($C484)=4,$S$3,IF(MONTH($C484)=5,$S$4,IF(MONTH($C484)=6,$S$5,IF(MONTH($C484)=7,$S$6,"ERROR")))),MAX(VLOOKUP($C484,COS!$B$8:$K$991,10,FALSE)-IF(MONTH($C484)=4,$Y$3,IF(MONTH($C484)=5,$Y$4,IF(MONTH($C484)=6,$Y$5,IF(MONTH($C484)=7,$Y$6,"ERROR")))),0),MAX(VLOOKUP($C484,COS!$B$8:$K$991,9,FALSE)-IF(MONTH($C484)=4,$V$3,IF(MONTH($C484)=5,$V$4,IF(MONTH($C484)=6,$V$5,IF(MONTH($C484)=7,$V$6,"ERROR"))))-VLOOKUP($C484,COS!$B$8:$K$991,6,FALSE)/2,0))</f>
        <v>0</v>
      </c>
      <c r="S484" s="26">
        <f t="shared" si="776"/>
        <v>0</v>
      </c>
      <c r="T484" s="26">
        <f t="shared" si="777"/>
        <v>105.61230589811467</v>
      </c>
      <c r="U484" s="26" t="str">
        <f>IF(VLOOKUP($C484,COS!$B$8:$I$991,8,FALSE)=1,"UWFE","IBU")</f>
        <v>UWFE</v>
      </c>
      <c r="V484" s="26">
        <f t="shared" ref="V484" si="780">MIN(IF(IF($AA$3=2,AND(E484=1,G484=1,L484=1,L487=1,M484=1,U484="IBU"),AND(E484=1,G484=1,L484=1,L487=1,M484=1)),T484,0),I484)</f>
        <v>0</v>
      </c>
      <c r="W484" s="26"/>
      <c r="X484" s="26"/>
      <c r="Y484" s="26"/>
      <c r="Z484" s="26"/>
      <c r="AA484" s="26"/>
      <c r="AB484" s="33"/>
    </row>
    <row r="485" spans="1:28" x14ac:dyDescent="0.3">
      <c r="A485" s="32">
        <f>VLOOKUP(YEAR(C485),Flags!$A$13:$B$95,2,FALSE)</f>
        <v>1</v>
      </c>
      <c r="B485" s="24">
        <f t="shared" si="739"/>
        <v>1974</v>
      </c>
      <c r="C485" s="25">
        <v>27241</v>
      </c>
      <c r="D485" s="26">
        <f>VLOOKUP($C485,COS!$B$8:$H$991,3,FALSE)</f>
        <v>12602.3798828125</v>
      </c>
      <c r="E485" s="24">
        <f>IF(D485&gt;=IF(MONTH($C485)=4,$C$3,IF(MONTH($C485)=5,$C$4,IF(MONTH($C485)=6,$C$5,IF(MONTH($C485)=7,$C$6,"ERROR")))),1,0)</f>
        <v>1</v>
      </c>
      <c r="F485" s="26">
        <f>VLOOKUP($C485,COS!$B$8:$H$991,7,FALSE)</f>
        <v>51.680782318115234</v>
      </c>
      <c r="G485" s="24">
        <f>IF(F485&lt;=IF(MONTH($C485)=4,$F$3,IF(MONTH($C485)=5,$F$4,IF(MONTH($C485)=6,$F$5,IF(MONTH($C485)=7,$F$6,"ERROR")))),1,0)</f>
        <v>1</v>
      </c>
      <c r="H485" s="26">
        <f>IF(J485=1,D485-$C$6,0)</f>
        <v>602.3798828125</v>
      </c>
      <c r="I485" s="26">
        <f t="shared" si="764"/>
        <v>37.038895273760332</v>
      </c>
      <c r="J485" s="24">
        <f t="shared" si="771"/>
        <v>1</v>
      </c>
      <c r="K485" s="26">
        <f>VLOOKUP($C485,COS!$B$8:$H$991,2,FALSE)</f>
        <v>3927.6494140625</v>
      </c>
      <c r="L485" s="24">
        <f t="shared" si="741"/>
        <v>1</v>
      </c>
      <c r="M485" s="24">
        <f t="shared" si="742"/>
        <v>0</v>
      </c>
      <c r="N485" s="26">
        <f>VLOOKUP($C485,COS!$B$8:$H$991,5,FALSE)</f>
        <v>1157.809326171875</v>
      </c>
      <c r="O485" s="26">
        <f t="shared" si="774"/>
        <v>71.190920551394626</v>
      </c>
      <c r="P485" s="26">
        <f>VLOOKUP($C485,COS!$B$8:$H$991,6,FALSE)</f>
        <v>2265.91064453125</v>
      </c>
      <c r="Q485" s="26">
        <f t="shared" si="775"/>
        <v>139.32541483729338</v>
      </c>
      <c r="R485" s="26">
        <f>MIN(IF(MONTH($C485)=4,$S$3,IF(MONTH($C485)=5,$S$4,IF(MONTH($C485)=6,$S$5,IF(MONTH($C485)=7,$S$6,"ERROR")))),MAX(VLOOKUP($C485,COS!$B$8:$K$991,10,FALSE)-IF(MONTH($C485)=4,$Y$3,IF(MONTH($C485)=5,$Y$4,IF(MONTH($C485)=6,$Y$5,IF(MONTH($C485)=7,$Y$6,"ERROR")))),0),MAX(VLOOKUP($C485,COS!$B$8:$K$991,9,FALSE)-IF(MONTH($C485)=4,$V$3,IF(MONTH($C485)=5,$V$4,IF(MONTH($C485)=6,$V$5,IF(MONTH($C485)=7,$V$6,"ERROR"))))-VLOOKUP($C485,COS!$B$8:$K$991,6,FALSE)/2,0))</f>
        <v>0</v>
      </c>
      <c r="S485" s="26">
        <f t="shared" si="776"/>
        <v>0</v>
      </c>
      <c r="T485" s="26">
        <f t="shared" si="777"/>
        <v>105.258167694344</v>
      </c>
      <c r="U485" s="26" t="str">
        <f>IF(VLOOKUP($C485,COS!$B$8:$I$991,8,FALSE)=1,"UWFE","IBU")</f>
        <v>IBU</v>
      </c>
      <c r="V485" s="26">
        <f t="shared" ref="V485" si="781">MIN(IF(IF($AA$3=2,AND(E485=1,G485=1,L485=1,L487=1,M485=1,U485="IBU"),AND(E485=1,G485=1,L485=1,L487=1,M485=1)),T485,0),I485)</f>
        <v>0</v>
      </c>
      <c r="W485" s="26"/>
      <c r="X485" s="26"/>
      <c r="Y485" s="26"/>
      <c r="Z485" s="26"/>
      <c r="AA485" s="26"/>
      <c r="AB485" s="33"/>
    </row>
    <row r="486" spans="1:28" x14ac:dyDescent="0.3">
      <c r="A486" s="32">
        <f>VLOOKUP(YEAR(C486),Flags!$A$13:$B$95,2,FALSE)</f>
        <v>1</v>
      </c>
      <c r="B486" s="24">
        <f t="shared" si="739"/>
        <v>1974</v>
      </c>
      <c r="C486" s="25">
        <v>27272</v>
      </c>
      <c r="D486" s="26"/>
      <c r="E486" s="24"/>
      <c r="F486" s="26"/>
      <c r="G486" s="24"/>
      <c r="H486" s="24"/>
      <c r="I486" s="26"/>
      <c r="J486" s="24"/>
      <c r="K486" s="26"/>
      <c r="L486" s="24"/>
      <c r="M486" s="24"/>
      <c r="N486" s="26"/>
      <c r="O486" s="26"/>
      <c r="P486" s="26"/>
      <c r="Q486" s="26"/>
      <c r="R486" s="26"/>
      <c r="S486" s="26"/>
      <c r="T486" s="26"/>
      <c r="U486" s="26"/>
      <c r="V486" s="26"/>
      <c r="W486" s="26">
        <f>MAX($C$7-VLOOKUP($C486,COS!$B$8:$H$991,3,FALSE),0)</f>
        <v>90403.6591796875</v>
      </c>
      <c r="X486" s="26">
        <f t="shared" si="769"/>
        <v>5558.7043330320248</v>
      </c>
      <c r="Y486" s="26">
        <f>VLOOKUP($C486,COS!$B$8:$H$991,4,FALSE)</f>
        <v>0</v>
      </c>
      <c r="Z486" s="26">
        <f t="shared" si="770"/>
        <v>0</v>
      </c>
      <c r="AA486" s="26">
        <f t="shared" ref="AA486:AA490" si="782">MIN(W486,Y486)</f>
        <v>0</v>
      </c>
      <c r="AB486" s="33">
        <f t="shared" ref="AB486" si="783">AA486*DAY($C486)*86400/43560/1000*IF(MONTH($C486)=8,$P$3,IF(MONTH($C486)=9,$P$4,IF(MONTH($C486)=10,$P$5,IF(MONTH($C486)=11,$P$6,IF(MONTH($C486)=12,$P$7,NA())))))</f>
        <v>0</v>
      </c>
    </row>
    <row r="487" spans="1:28" x14ac:dyDescent="0.3">
      <c r="A487" s="32">
        <f>VLOOKUP(YEAR(C487),Flags!$A$13:$B$95,2,FALSE)</f>
        <v>1</v>
      </c>
      <c r="B487" s="24">
        <f t="shared" si="739"/>
        <v>1974</v>
      </c>
      <c r="C487" s="25">
        <v>27302</v>
      </c>
      <c r="D487" s="26"/>
      <c r="E487" s="24"/>
      <c r="F487" s="26"/>
      <c r="G487" s="24"/>
      <c r="H487" s="24"/>
      <c r="I487" s="26"/>
      <c r="J487" s="24"/>
      <c r="K487" s="26">
        <f>VLOOKUP($C487,COS!$B$8:$H$991,2,FALSE)</f>
        <v>3201.753173828125</v>
      </c>
      <c r="L487" s="24">
        <f t="shared" ref="L487" si="784">IF(AND(K487&gt;$I$7,K487&lt;$I$8),1,0)</f>
        <v>1</v>
      </c>
      <c r="M487" s="24"/>
      <c r="N487" s="26"/>
      <c r="O487" s="26"/>
      <c r="P487" s="26"/>
      <c r="Q487" s="26"/>
      <c r="R487" s="26"/>
      <c r="S487" s="26"/>
      <c r="T487" s="26"/>
      <c r="U487" s="26"/>
      <c r="V487" s="26"/>
      <c r="W487" s="26">
        <f>MAX($C$8-VLOOKUP($C487,COS!$B$8:$H$991,3,FALSE),0)</f>
        <v>86925.96875</v>
      </c>
      <c r="X487" s="26">
        <f t="shared" si="769"/>
        <v>5172.4543388429747</v>
      </c>
      <c r="Y487" s="26">
        <f>VLOOKUP($C487,COS!$B$8:$H$991,4,FALSE)</f>
        <v>0</v>
      </c>
      <c r="Z487" s="26">
        <f t="shared" si="770"/>
        <v>0</v>
      </c>
      <c r="AA487" s="26">
        <f t="shared" si="782"/>
        <v>0</v>
      </c>
      <c r="AB487" s="33">
        <f t="shared" si="752"/>
        <v>0</v>
      </c>
    </row>
    <row r="488" spans="1:28" x14ac:dyDescent="0.3">
      <c r="A488" s="32">
        <f>VLOOKUP(YEAR(C488),Flags!$A$13:$B$95,2,FALSE)</f>
        <v>1</v>
      </c>
      <c r="B488" s="24">
        <f t="shared" si="739"/>
        <v>1974</v>
      </c>
      <c r="C488" s="25">
        <v>27333</v>
      </c>
      <c r="D488" s="26"/>
      <c r="E488" s="24"/>
      <c r="F488" s="26"/>
      <c r="G488" s="26"/>
      <c r="H488" s="26"/>
      <c r="I488" s="26"/>
      <c r="J488" s="26"/>
      <c r="K488" s="26"/>
      <c r="L488" s="24"/>
      <c r="M488" s="24"/>
      <c r="N488" s="26"/>
      <c r="O488" s="26"/>
      <c r="P488" s="26"/>
      <c r="Q488" s="26"/>
      <c r="R488" s="26"/>
      <c r="S488" s="26"/>
      <c r="T488" s="26"/>
      <c r="U488" s="26"/>
      <c r="V488" s="26"/>
      <c r="W488" s="26">
        <f>MAX($C$9-VLOOKUP($C488,COS!$B$8:$H$991,3,FALSE),0)</f>
        <v>91203.32421875</v>
      </c>
      <c r="X488" s="26">
        <f t="shared" si="769"/>
        <v>5607.8738197314051</v>
      </c>
      <c r="Y488" s="26">
        <f>VLOOKUP($C488,COS!$B$8:$H$991,4,FALSE)</f>
        <v>1233.3179931640625</v>
      </c>
      <c r="Z488" s="26">
        <f t="shared" si="770"/>
        <v>75.833767513558882</v>
      </c>
      <c r="AA488" s="26">
        <f t="shared" si="782"/>
        <v>1233.3179931640625</v>
      </c>
      <c r="AB488" s="33">
        <f t="shared" si="752"/>
        <v>75.833767513558882</v>
      </c>
    </row>
    <row r="489" spans="1:28" x14ac:dyDescent="0.3">
      <c r="A489" s="32">
        <f>VLOOKUP(YEAR(C489),Flags!$A$13:$B$95,2,FALSE)</f>
        <v>1</v>
      </c>
      <c r="B489" s="24">
        <f t="shared" si="739"/>
        <v>1974</v>
      </c>
      <c r="C489" s="25">
        <v>27363</v>
      </c>
      <c r="D489" s="26"/>
      <c r="E489" s="24"/>
      <c r="F489" s="26"/>
      <c r="G489" s="26"/>
      <c r="H489" s="26"/>
      <c r="I489" s="26"/>
      <c r="J489" s="26"/>
      <c r="K489" s="26"/>
      <c r="L489" s="24"/>
      <c r="M489" s="24"/>
      <c r="N489" s="26"/>
      <c r="O489" s="26"/>
      <c r="P489" s="26"/>
      <c r="Q489" s="26"/>
      <c r="R489" s="26"/>
      <c r="S489" s="26"/>
      <c r="T489" s="26"/>
      <c r="U489" s="26"/>
      <c r="V489" s="26"/>
      <c r="W489" s="26">
        <f>MAX($C$10-VLOOKUP($C489,COS!$B$8:$H$991,3,FALSE),0)</f>
        <v>87555.9794921875</v>
      </c>
      <c r="X489" s="26">
        <f t="shared" si="769"/>
        <v>5209.9425813533062</v>
      </c>
      <c r="Y489" s="26">
        <f>VLOOKUP($C489,COS!$B$8:$H$991,4,FALSE)</f>
        <v>1391.8277587890625</v>
      </c>
      <c r="Z489" s="26">
        <f t="shared" si="770"/>
        <v>82.819503002324367</v>
      </c>
      <c r="AA489" s="26">
        <f t="shared" si="782"/>
        <v>1391.8277587890625</v>
      </c>
      <c r="AB489" s="33">
        <f t="shared" si="752"/>
        <v>41.409751501162184</v>
      </c>
    </row>
    <row r="490" spans="1:28" x14ac:dyDescent="0.3">
      <c r="A490" s="34">
        <f>VLOOKUP(YEAR(C490),Flags!$A$13:$B$95,2,FALSE)</f>
        <v>1</v>
      </c>
      <c r="B490" s="35">
        <f t="shared" si="739"/>
        <v>1974</v>
      </c>
      <c r="C490" s="36">
        <v>27394</v>
      </c>
      <c r="D490" s="37"/>
      <c r="E490" s="35"/>
      <c r="F490" s="37"/>
      <c r="G490" s="37"/>
      <c r="H490" s="37"/>
      <c r="I490" s="37"/>
      <c r="J490" s="37"/>
      <c r="K490" s="37"/>
      <c r="L490" s="35"/>
      <c r="M490" s="35"/>
      <c r="N490" s="37"/>
      <c r="O490" s="37"/>
      <c r="P490" s="37"/>
      <c r="Q490" s="37"/>
      <c r="R490" s="37"/>
      <c r="S490" s="37"/>
      <c r="T490" s="37"/>
      <c r="U490" s="37"/>
      <c r="V490" s="37"/>
      <c r="W490" s="37">
        <f>MAX($C$11-VLOOKUP($C490,COS!$B$8:$H$991,3,FALSE),0)</f>
        <v>0</v>
      </c>
      <c r="X490" s="37">
        <f t="shared" si="769"/>
        <v>0</v>
      </c>
      <c r="Y490" s="37">
        <f>VLOOKUP($C490,COS!$B$8:$H$991,4,FALSE)</f>
        <v>0</v>
      </c>
      <c r="Z490" s="37">
        <f t="shared" si="770"/>
        <v>0</v>
      </c>
      <c r="AA490" s="37">
        <f t="shared" si="782"/>
        <v>0</v>
      </c>
      <c r="AB490" s="38">
        <f t="shared" si="752"/>
        <v>0</v>
      </c>
    </row>
    <row r="491" spans="1:28" x14ac:dyDescent="0.3">
      <c r="A491" s="27">
        <f>VLOOKUP(YEAR(C491),Flags!$A$13:$B$95,2,FALSE)</f>
        <v>1</v>
      </c>
      <c r="B491" s="28">
        <f t="shared" si="739"/>
        <v>1975</v>
      </c>
      <c r="C491" s="29">
        <v>27514</v>
      </c>
      <c r="D491" s="30">
        <f>VLOOKUP($C491,COS!$B$8:$H$991,3,FALSE)</f>
        <v>3250</v>
      </c>
      <c r="E491" s="28">
        <f>IF(D491&gt;=IF(MONTH($C491)=4,$C$3,IF(MONTH($C491)=5,$C$4,IF(MONTH($C491)=6,$C$5,IF(MONTH($C491)=7,$C$6,"ERROR")))),1,0)</f>
        <v>0</v>
      </c>
      <c r="F491" s="30">
        <f>VLOOKUP($C491,COS!$B$8:$H$991,7,FALSE)</f>
        <v>50.470378875732422</v>
      </c>
      <c r="G491" s="28">
        <f>IF(F491&lt;=IF(MONTH($C491)=4,$F$3,IF(MONTH($C491)=5,$F$4,IF(MONTH($C491)=6,$F$5,IF(MONTH($C491)=7,$F$6,"ERROR")))),1,0)</f>
        <v>1</v>
      </c>
      <c r="H491" s="30">
        <f>IF(J491=1,D491-$C$3,0)</f>
        <v>0</v>
      </c>
      <c r="I491" s="30">
        <f t="shared" si="764"/>
        <v>0</v>
      </c>
      <c r="J491" s="28">
        <f t="shared" ref="J491:J494" si="785">IF(AND(E491=1,G491=1),1,0)</f>
        <v>0</v>
      </c>
      <c r="K491" s="30">
        <f>VLOOKUP($C491,COS!$B$8:$H$991,2,FALSE)</f>
        <v>4449.69873046875</v>
      </c>
      <c r="L491" s="28">
        <f t="shared" ref="L491" si="786">IF(K491&lt;=IF(MONTH($C491)=4,$I$3,IF(MONTH($C491)=5,$I$4,IF(MONTH($C491)=6,$I$5,IF(MONTH($C491)=7,$I$6,"ERROR")))),1,0)</f>
        <v>1</v>
      </c>
      <c r="M491" s="28">
        <f t="shared" ref="M491" si="787">VLOOKUP($A491,$L$3:$M$7,2,FALSE)</f>
        <v>0</v>
      </c>
      <c r="N491" s="30">
        <f>VLOOKUP($C491,COS!$B$8:$H$991,5,FALSE)</f>
        <v>348.71612548828125</v>
      </c>
      <c r="O491" s="30">
        <f t="shared" ref="O491:O494" si="788">N491*DAY($C491)*86400/43560/1000</f>
        <v>20.750050442277892</v>
      </c>
      <c r="P491" s="30">
        <f>VLOOKUP($C491,COS!$B$8:$H$991,6,FALSE)</f>
        <v>422.25656127929688</v>
      </c>
      <c r="Q491" s="30">
        <f t="shared" ref="Q491:Q494" si="789">P491*DAY($C491)*86400/43560/1000</f>
        <v>25.12601025794163</v>
      </c>
      <c r="R491" s="30">
        <f>MIN(IF(MONTH($C491)=4,$S$3,IF(MONTH($C491)=5,$S$4,IF(MONTH($C491)=6,$S$5,IF(MONTH($C491)=7,$S$6,"ERROR")))),MAX(VLOOKUP($C491,COS!$B$8:$K$991,10,FALSE)-IF(MONTH($C491)=4,$Y$3,IF(MONTH($C491)=5,$Y$4,IF(MONTH($C491)=6,$Y$5,IF(MONTH($C491)=7,$Y$6,"ERROR")))),0),MAX(VLOOKUP($C491,COS!$B$8:$K$991,9,FALSE)-IF(MONTH($C491)=4,$V$3,IF(MONTH($C491)=5,$V$4,IF(MONTH($C491)=6,$V$5,IF(MONTH($C491)=7,$V$6,"ERROR"))))-VLOOKUP($C491,COS!$B$8:$K$991,6,FALSE)/2,0))</f>
        <v>0</v>
      </c>
      <c r="S491" s="30">
        <f t="shared" ref="S491:S494" si="790">R491*DAY($C491)*86400/43560/1000</f>
        <v>0</v>
      </c>
      <c r="T491" s="30">
        <f t="shared" ref="T491:T494" si="791">(O491+Q491)/2+S491</f>
        <v>22.938030350109763</v>
      </c>
      <c r="U491" s="30" t="str">
        <f>IF(VLOOKUP($C491,COS!$B$8:$I$991,8,FALSE)=1,"UWFE","IBU")</f>
        <v>UWFE</v>
      </c>
      <c r="V491" s="30">
        <f t="shared" ref="V491" si="792">MIN(IF(IF($AA$3=2,AND(E491=1,G491=1,L491=1,L496=1,M491=1,U491="IBU"),AND(E491=1,G491=1,L491=1,L496=1,M491=1)),T491,0),I491)</f>
        <v>0</v>
      </c>
      <c r="W491" s="30"/>
      <c r="X491" s="30"/>
      <c r="Y491" s="30"/>
      <c r="Z491" s="30"/>
      <c r="AA491" s="30"/>
      <c r="AB491" s="31"/>
    </row>
    <row r="492" spans="1:28" x14ac:dyDescent="0.3">
      <c r="A492" s="32">
        <f>VLOOKUP(YEAR(C492),Flags!$A$13:$B$95,2,FALSE)</f>
        <v>1</v>
      </c>
      <c r="B492" s="24">
        <f t="shared" si="739"/>
        <v>1975</v>
      </c>
      <c r="C492" s="25">
        <v>27545</v>
      </c>
      <c r="D492" s="26">
        <f>VLOOKUP($C492,COS!$B$8:$H$991,3,FALSE)</f>
        <v>9954.1455078125</v>
      </c>
      <c r="E492" s="24">
        <f>IF(D492&gt;=IF(MONTH($C492)=4,$C$3,IF(MONTH($C492)=5,$C$4,IF(MONTH($C492)=6,$C$5,IF(MONTH($C492)=7,$C$6,"ERROR")))),1,0)</f>
        <v>1</v>
      </c>
      <c r="F492" s="26">
        <f>VLOOKUP($C492,COS!$B$8:$H$991,7,FALSE)</f>
        <v>50.279342651367188</v>
      </c>
      <c r="G492" s="24">
        <f>IF(F492&lt;=IF(MONTH($C492)=4,$F$3,IF(MONTH($C492)=5,$F$4,IF(MONTH($C492)=6,$F$5,IF(MONTH($C492)=7,$F$6,"ERROR")))),1,0)</f>
        <v>1</v>
      </c>
      <c r="H492" s="26">
        <f>IF(J492=1,D492-$C$4,0)</f>
        <v>3954.1455078125</v>
      </c>
      <c r="I492" s="26">
        <f t="shared" si="764"/>
        <v>243.13093039772727</v>
      </c>
      <c r="J492" s="24">
        <f t="shared" si="785"/>
        <v>1</v>
      </c>
      <c r="K492" s="26">
        <f>VLOOKUP($C492,COS!$B$8:$H$991,2,FALSE)</f>
        <v>4552</v>
      </c>
      <c r="L492" s="24">
        <f t="shared" si="741"/>
        <v>1</v>
      </c>
      <c r="M492" s="24">
        <f t="shared" si="742"/>
        <v>0</v>
      </c>
      <c r="N492" s="26">
        <f>VLOOKUP($C492,COS!$B$8:$H$991,5,FALSE)</f>
        <v>880.44073486328125</v>
      </c>
      <c r="O492" s="26">
        <f t="shared" si="788"/>
        <v>54.136190639527378</v>
      </c>
      <c r="P492" s="26">
        <f>VLOOKUP($C492,COS!$B$8:$H$991,6,FALSE)</f>
        <v>2314.501708984375</v>
      </c>
      <c r="Q492" s="26">
        <f t="shared" si="789"/>
        <v>142.31316293259297</v>
      </c>
      <c r="R492" s="26">
        <f>MIN(IF(MONTH($C492)=4,$S$3,IF(MONTH($C492)=5,$S$4,IF(MONTH($C492)=6,$S$5,IF(MONTH($C492)=7,$S$6,"ERROR")))),MAX(VLOOKUP($C492,COS!$B$8:$K$991,10,FALSE)-IF(MONTH($C492)=4,$Y$3,IF(MONTH($C492)=5,$Y$4,IF(MONTH($C492)=6,$Y$5,IF(MONTH($C492)=7,$Y$6,"ERROR")))),0),MAX(VLOOKUP($C492,COS!$B$8:$K$991,9,FALSE)-IF(MONTH($C492)=4,$V$3,IF(MONTH($C492)=5,$V$4,IF(MONTH($C492)=6,$V$5,IF(MONTH($C492)=7,$V$6,"ERROR"))))-VLOOKUP($C492,COS!$B$8:$K$991,6,FALSE)/2,0))</f>
        <v>0</v>
      </c>
      <c r="S492" s="26">
        <f t="shared" si="790"/>
        <v>0</v>
      </c>
      <c r="T492" s="26">
        <f t="shared" si="791"/>
        <v>98.224676786060172</v>
      </c>
      <c r="U492" s="26" t="str">
        <f>IF(VLOOKUP($C492,COS!$B$8:$I$991,8,FALSE)=1,"UWFE","IBU")</f>
        <v>UWFE</v>
      </c>
      <c r="V492" s="26">
        <f t="shared" ref="V492" si="793">MIN(IF(IF($AA$3=2,AND(E492=1,G492=1,L492=1,L496=1,M492=1,U492="IBU"),AND(E492=1,G492=1,L492=1,L496=1,M492=1)),T492,0),I492)</f>
        <v>0</v>
      </c>
      <c r="W492" s="26"/>
      <c r="X492" s="26"/>
      <c r="Y492" s="26"/>
      <c r="Z492" s="26"/>
      <c r="AA492" s="26"/>
      <c r="AB492" s="33"/>
    </row>
    <row r="493" spans="1:28" x14ac:dyDescent="0.3">
      <c r="A493" s="32">
        <f>VLOOKUP(YEAR(C493),Flags!$A$13:$B$95,2,FALSE)</f>
        <v>1</v>
      </c>
      <c r="B493" s="24">
        <f t="shared" si="739"/>
        <v>1975</v>
      </c>
      <c r="C493" s="25">
        <v>27575</v>
      </c>
      <c r="D493" s="26">
        <f>VLOOKUP($C493,COS!$B$8:$H$991,3,FALSE)</f>
        <v>8908.6064453125</v>
      </c>
      <c r="E493" s="24">
        <f>IF(D493&gt;=IF(MONTH($C493)=4,$C$3,IF(MONTH($C493)=5,$C$4,IF(MONTH($C493)=6,$C$5,IF(MONTH($C493)=7,$C$6,"ERROR")))),1,0)</f>
        <v>0</v>
      </c>
      <c r="F493" s="26">
        <f>VLOOKUP($C493,COS!$B$8:$H$991,7,FALSE)</f>
        <v>51.962612152099609</v>
      </c>
      <c r="G493" s="24">
        <f>IF(F493&lt;=IF(MONTH($C493)=4,$F$3,IF(MONTH($C493)=5,$F$4,IF(MONTH($C493)=6,$F$5,IF(MONTH($C493)=7,$F$6,"ERROR")))),1,0)</f>
        <v>1</v>
      </c>
      <c r="H493" s="26">
        <f>IF(J493=1,D493-$C$5,0)</f>
        <v>0</v>
      </c>
      <c r="I493" s="26">
        <f t="shared" si="764"/>
        <v>0</v>
      </c>
      <c r="J493" s="24">
        <f t="shared" si="785"/>
        <v>0</v>
      </c>
      <c r="K493" s="26">
        <f>VLOOKUP($C493,COS!$B$8:$H$991,2,FALSE)</f>
        <v>4422.015625</v>
      </c>
      <c r="L493" s="24">
        <f t="shared" si="741"/>
        <v>1</v>
      </c>
      <c r="M493" s="24">
        <f t="shared" si="742"/>
        <v>0</v>
      </c>
      <c r="N493" s="26">
        <f>VLOOKUP($C493,COS!$B$8:$H$991,5,FALSE)</f>
        <v>1191.22607421875</v>
      </c>
      <c r="O493" s="26">
        <f t="shared" si="788"/>
        <v>70.882873837809925</v>
      </c>
      <c r="P493" s="26">
        <f>VLOOKUP($C493,COS!$B$8:$H$991,6,FALSE)</f>
        <v>2278.943359375</v>
      </c>
      <c r="Q493" s="26">
        <f t="shared" si="789"/>
        <v>135.60654700413224</v>
      </c>
      <c r="R493" s="26">
        <f>MIN(IF(MONTH($C493)=4,$S$3,IF(MONTH($C493)=5,$S$4,IF(MONTH($C493)=6,$S$5,IF(MONTH($C493)=7,$S$6,"ERROR")))),MAX(VLOOKUP($C493,COS!$B$8:$K$991,10,FALSE)-IF(MONTH($C493)=4,$Y$3,IF(MONTH($C493)=5,$Y$4,IF(MONTH($C493)=6,$Y$5,IF(MONTH($C493)=7,$Y$6,"ERROR")))),0),MAX(VLOOKUP($C493,COS!$B$8:$K$991,9,FALSE)-IF(MONTH($C493)=4,$V$3,IF(MONTH($C493)=5,$V$4,IF(MONTH($C493)=6,$V$5,IF(MONTH($C493)=7,$V$6,"ERROR"))))-VLOOKUP($C493,COS!$B$8:$K$991,6,FALSE)/2,0))</f>
        <v>0</v>
      </c>
      <c r="S493" s="26">
        <f t="shared" si="790"/>
        <v>0</v>
      </c>
      <c r="T493" s="26">
        <f t="shared" si="791"/>
        <v>103.24471042097107</v>
      </c>
      <c r="U493" s="26" t="str">
        <f>IF(VLOOKUP($C493,COS!$B$8:$I$991,8,FALSE)=1,"UWFE","IBU")</f>
        <v>UWFE</v>
      </c>
      <c r="V493" s="26">
        <f t="shared" ref="V493" si="794">MIN(IF(IF($AA$3=2,AND(E493=1,G493=1,L493=1,L496=1,M493=1,U493="IBU"),AND(E493=1,G493=1,L493=1,L496=1,M493=1)),T493,0),I493)</f>
        <v>0</v>
      </c>
      <c r="W493" s="26"/>
      <c r="X493" s="26"/>
      <c r="Y493" s="26"/>
      <c r="Z493" s="26"/>
      <c r="AA493" s="26"/>
      <c r="AB493" s="33"/>
    </row>
    <row r="494" spans="1:28" x14ac:dyDescent="0.3">
      <c r="A494" s="32">
        <f>VLOOKUP(YEAR(C494),Flags!$A$13:$B$95,2,FALSE)</f>
        <v>1</v>
      </c>
      <c r="B494" s="24">
        <f t="shared" si="739"/>
        <v>1975</v>
      </c>
      <c r="C494" s="25">
        <v>27606</v>
      </c>
      <c r="D494" s="26">
        <f>VLOOKUP($C494,COS!$B$8:$H$991,3,FALSE)</f>
        <v>13871.7421875</v>
      </c>
      <c r="E494" s="24">
        <f>IF(D494&gt;=IF(MONTH($C494)=4,$C$3,IF(MONTH($C494)=5,$C$4,IF(MONTH($C494)=6,$C$5,IF(MONTH($C494)=7,$C$6,"ERROR")))),1,0)</f>
        <v>1</v>
      </c>
      <c r="F494" s="26">
        <f>VLOOKUP($C494,COS!$B$8:$H$991,7,FALSE)</f>
        <v>52.175071716308594</v>
      </c>
      <c r="G494" s="24">
        <f>IF(F494&lt;=IF(MONTH($C494)=4,$F$3,IF(MONTH($C494)=5,$F$4,IF(MONTH($C494)=6,$F$5,IF(MONTH($C494)=7,$F$6,"ERROR")))),1,0)</f>
        <v>1</v>
      </c>
      <c r="H494" s="26">
        <f>IF(J494=1,D494-$C$6,0)</f>
        <v>1871.7421875</v>
      </c>
      <c r="I494" s="26">
        <f t="shared" si="764"/>
        <v>115.08894111570247</v>
      </c>
      <c r="J494" s="24">
        <f t="shared" si="785"/>
        <v>1</v>
      </c>
      <c r="K494" s="26">
        <f>VLOOKUP($C494,COS!$B$8:$H$991,2,FALSE)</f>
        <v>3940.190673828125</v>
      </c>
      <c r="L494" s="24">
        <f t="shared" si="741"/>
        <v>1</v>
      </c>
      <c r="M494" s="24">
        <f t="shared" si="742"/>
        <v>0</v>
      </c>
      <c r="N494" s="26">
        <f>VLOOKUP($C494,COS!$B$8:$H$991,5,FALSE)</f>
        <v>1259.2373046875</v>
      </c>
      <c r="O494" s="26">
        <f t="shared" si="788"/>
        <v>77.427483858471078</v>
      </c>
      <c r="P494" s="26">
        <f>VLOOKUP($C494,COS!$B$8:$H$991,6,FALSE)</f>
        <v>2566.025634765625</v>
      </c>
      <c r="Q494" s="26">
        <f t="shared" si="789"/>
        <v>157.77876630294421</v>
      </c>
      <c r="R494" s="26">
        <f>MIN(IF(MONTH($C494)=4,$S$3,IF(MONTH($C494)=5,$S$4,IF(MONTH($C494)=6,$S$5,IF(MONTH($C494)=7,$S$6,"ERROR")))),MAX(VLOOKUP($C494,COS!$B$8:$K$991,10,FALSE)-IF(MONTH($C494)=4,$Y$3,IF(MONTH($C494)=5,$Y$4,IF(MONTH($C494)=6,$Y$5,IF(MONTH($C494)=7,$Y$6,"ERROR")))),0),MAX(VLOOKUP($C494,COS!$B$8:$K$991,9,FALSE)-IF(MONTH($C494)=4,$V$3,IF(MONTH($C494)=5,$V$4,IF(MONTH($C494)=6,$V$5,IF(MONTH($C494)=7,$V$6,"ERROR"))))-VLOOKUP($C494,COS!$B$8:$K$991,6,FALSE)/2,0))</f>
        <v>0</v>
      </c>
      <c r="S494" s="26">
        <f t="shared" si="790"/>
        <v>0</v>
      </c>
      <c r="T494" s="26">
        <f t="shared" si="791"/>
        <v>117.60312508070764</v>
      </c>
      <c r="U494" s="26" t="str">
        <f>IF(VLOOKUP($C494,COS!$B$8:$I$991,8,FALSE)=1,"UWFE","IBU")</f>
        <v>IBU</v>
      </c>
      <c r="V494" s="26">
        <f t="shared" ref="V494" si="795">MIN(IF(IF($AA$3=2,AND(E494=1,G494=1,L494=1,L496=1,M494=1,U494="IBU"),AND(E494=1,G494=1,L494=1,L496=1,M494=1)),T494,0),I494)</f>
        <v>0</v>
      </c>
      <c r="W494" s="26"/>
      <c r="X494" s="26"/>
      <c r="Y494" s="26"/>
      <c r="Z494" s="26"/>
      <c r="AA494" s="26"/>
      <c r="AB494" s="33"/>
    </row>
    <row r="495" spans="1:28" x14ac:dyDescent="0.3">
      <c r="A495" s="32">
        <f>VLOOKUP(YEAR(C495),Flags!$A$13:$B$95,2,FALSE)</f>
        <v>1</v>
      </c>
      <c r="B495" s="24">
        <f t="shared" si="739"/>
        <v>1975</v>
      </c>
      <c r="C495" s="25">
        <v>27637</v>
      </c>
      <c r="D495" s="26"/>
      <c r="E495" s="24"/>
      <c r="F495" s="26"/>
      <c r="G495" s="24"/>
      <c r="H495" s="24"/>
      <c r="I495" s="26"/>
      <c r="J495" s="24"/>
      <c r="K495" s="26"/>
      <c r="L495" s="24"/>
      <c r="M495" s="24"/>
      <c r="N495" s="26"/>
      <c r="O495" s="26"/>
      <c r="P495" s="26"/>
      <c r="Q495" s="26"/>
      <c r="R495" s="26"/>
      <c r="S495" s="26"/>
      <c r="T495" s="26"/>
      <c r="U495" s="26"/>
      <c r="V495" s="26"/>
      <c r="W495" s="26">
        <f>MAX($C$7-VLOOKUP($C495,COS!$B$8:$H$991,3,FALSE),0)</f>
        <v>90235.9765625</v>
      </c>
      <c r="X495" s="26">
        <f t="shared" si="769"/>
        <v>5548.3939307851242</v>
      </c>
      <c r="Y495" s="26">
        <f>VLOOKUP($C495,COS!$B$8:$H$991,4,FALSE)</f>
        <v>0</v>
      </c>
      <c r="Z495" s="26">
        <f t="shared" si="770"/>
        <v>0</v>
      </c>
      <c r="AA495" s="26">
        <f t="shared" ref="AA495:AA499" si="796">MIN(W495,Y495)</f>
        <v>0</v>
      </c>
      <c r="AB495" s="33">
        <f t="shared" ref="AB495" si="797">AA495*DAY($C495)*86400/43560/1000*IF(MONTH($C495)=8,$P$3,IF(MONTH($C495)=9,$P$4,IF(MONTH($C495)=10,$P$5,IF(MONTH($C495)=11,$P$6,IF(MONTH($C495)=12,$P$7,NA())))))</f>
        <v>0</v>
      </c>
    </row>
    <row r="496" spans="1:28" x14ac:dyDescent="0.3">
      <c r="A496" s="32">
        <f>VLOOKUP(YEAR(C496),Flags!$A$13:$B$95,2,FALSE)</f>
        <v>1</v>
      </c>
      <c r="B496" s="24">
        <f t="shared" si="739"/>
        <v>1975</v>
      </c>
      <c r="C496" s="25">
        <v>27667</v>
      </c>
      <c r="D496" s="26"/>
      <c r="E496" s="24"/>
      <c r="F496" s="26"/>
      <c r="G496" s="24"/>
      <c r="H496" s="24"/>
      <c r="I496" s="26"/>
      <c r="J496" s="24"/>
      <c r="K496" s="26">
        <f>VLOOKUP($C496,COS!$B$8:$H$991,2,FALSE)</f>
        <v>3139.902587890625</v>
      </c>
      <c r="L496" s="24">
        <f t="shared" ref="L496" si="798">IF(AND(K496&gt;$I$7,K496&lt;$I$8),1,0)</f>
        <v>1</v>
      </c>
      <c r="M496" s="24"/>
      <c r="N496" s="26"/>
      <c r="O496" s="26"/>
      <c r="P496" s="26"/>
      <c r="Q496" s="26"/>
      <c r="R496" s="26"/>
      <c r="S496" s="26"/>
      <c r="T496" s="26"/>
      <c r="U496" s="26"/>
      <c r="V496" s="26"/>
      <c r="W496" s="26">
        <f>MAX($C$8-VLOOKUP($C496,COS!$B$8:$H$991,3,FALSE),0)</f>
        <v>84908.5556640625</v>
      </c>
      <c r="X496" s="26">
        <f t="shared" si="769"/>
        <v>5052.4099238119834</v>
      </c>
      <c r="Y496" s="26">
        <f>VLOOKUP($C496,COS!$B$8:$H$991,4,FALSE)</f>
        <v>0</v>
      </c>
      <c r="Z496" s="26">
        <f t="shared" si="770"/>
        <v>0</v>
      </c>
      <c r="AA496" s="26">
        <f t="shared" si="796"/>
        <v>0</v>
      </c>
      <c r="AB496" s="33">
        <f t="shared" si="752"/>
        <v>0</v>
      </c>
    </row>
    <row r="497" spans="1:28" x14ac:dyDescent="0.3">
      <c r="A497" s="32">
        <f>VLOOKUP(YEAR(C497),Flags!$A$13:$B$95,2,FALSE)</f>
        <v>1</v>
      </c>
      <c r="B497" s="24">
        <f t="shared" si="739"/>
        <v>1975</v>
      </c>
      <c r="C497" s="25">
        <v>27698</v>
      </c>
      <c r="D497" s="26"/>
      <c r="E497" s="24"/>
      <c r="F497" s="26"/>
      <c r="G497" s="26"/>
      <c r="H497" s="26"/>
      <c r="I497" s="26"/>
      <c r="J497" s="26"/>
      <c r="K497" s="26"/>
      <c r="L497" s="24"/>
      <c r="M497" s="24"/>
      <c r="N497" s="26"/>
      <c r="O497" s="26"/>
      <c r="P497" s="26"/>
      <c r="Q497" s="26"/>
      <c r="R497" s="26"/>
      <c r="S497" s="26"/>
      <c r="T497" s="26"/>
      <c r="U497" s="26"/>
      <c r="V497" s="26"/>
      <c r="W497" s="26">
        <f>MAX($C$9-VLOOKUP($C497,COS!$B$8:$H$991,3,FALSE),0)</f>
        <v>93899.6826171875</v>
      </c>
      <c r="X497" s="26">
        <f t="shared" si="769"/>
        <v>5773.6664353047518</v>
      </c>
      <c r="Y497" s="26">
        <f>VLOOKUP($C497,COS!$B$8:$H$991,4,FALSE)</f>
        <v>935.7257080078125</v>
      </c>
      <c r="Z497" s="26">
        <f t="shared" si="770"/>
        <v>57.535531137009293</v>
      </c>
      <c r="AA497" s="26">
        <f t="shared" si="796"/>
        <v>935.7257080078125</v>
      </c>
      <c r="AB497" s="33">
        <f t="shared" si="752"/>
        <v>57.535531137009293</v>
      </c>
    </row>
    <row r="498" spans="1:28" x14ac:dyDescent="0.3">
      <c r="A498" s="32">
        <f>VLOOKUP(YEAR(C498),Flags!$A$13:$B$95,2,FALSE)</f>
        <v>1</v>
      </c>
      <c r="B498" s="24">
        <f t="shared" si="739"/>
        <v>1975</v>
      </c>
      <c r="C498" s="25">
        <v>27728</v>
      </c>
      <c r="D498" s="26"/>
      <c r="E498" s="24"/>
      <c r="F498" s="26"/>
      <c r="G498" s="26"/>
      <c r="H498" s="26"/>
      <c r="I498" s="26"/>
      <c r="J498" s="26"/>
      <c r="K498" s="26"/>
      <c r="L498" s="24"/>
      <c r="M498" s="24"/>
      <c r="N498" s="26"/>
      <c r="O498" s="26"/>
      <c r="P498" s="26"/>
      <c r="Q498" s="26"/>
      <c r="R498" s="26"/>
      <c r="S498" s="26"/>
      <c r="T498" s="26"/>
      <c r="U498" s="26"/>
      <c r="V498" s="26"/>
      <c r="W498" s="26">
        <f>MAX($C$10-VLOOKUP($C498,COS!$B$8:$H$991,3,FALSE),0)</f>
        <v>90029.630859375</v>
      </c>
      <c r="X498" s="26">
        <f t="shared" si="769"/>
        <v>5357.1350594008263</v>
      </c>
      <c r="Y498" s="26">
        <f>VLOOKUP($C498,COS!$B$8:$H$991,4,FALSE)</f>
        <v>1105.79541015625</v>
      </c>
      <c r="Z498" s="26">
        <f t="shared" si="770"/>
        <v>65.799396306818181</v>
      </c>
      <c r="AA498" s="26">
        <f t="shared" si="796"/>
        <v>1105.79541015625</v>
      </c>
      <c r="AB498" s="33">
        <f t="shared" si="752"/>
        <v>32.899698153409091</v>
      </c>
    </row>
    <row r="499" spans="1:28" x14ac:dyDescent="0.3">
      <c r="A499" s="34">
        <f>VLOOKUP(YEAR(C499),Flags!$A$13:$B$95,2,FALSE)</f>
        <v>1</v>
      </c>
      <c r="B499" s="35">
        <f t="shared" si="739"/>
        <v>1975</v>
      </c>
      <c r="C499" s="36">
        <v>27759</v>
      </c>
      <c r="D499" s="37"/>
      <c r="E499" s="35"/>
      <c r="F499" s="37"/>
      <c r="G499" s="37"/>
      <c r="H499" s="37"/>
      <c r="I499" s="37"/>
      <c r="J499" s="37"/>
      <c r="K499" s="37"/>
      <c r="L499" s="35"/>
      <c r="M499" s="35"/>
      <c r="N499" s="37"/>
      <c r="O499" s="37"/>
      <c r="P499" s="37"/>
      <c r="Q499" s="37"/>
      <c r="R499" s="37"/>
      <c r="S499" s="37"/>
      <c r="T499" s="37"/>
      <c r="U499" s="37"/>
      <c r="V499" s="37"/>
      <c r="W499" s="37">
        <f>MAX($C$11-VLOOKUP($C499,COS!$B$8:$H$991,3,FALSE),0)</f>
        <v>0</v>
      </c>
      <c r="X499" s="37">
        <f t="shared" si="769"/>
        <v>0</v>
      </c>
      <c r="Y499" s="37">
        <f>VLOOKUP($C499,COS!$B$8:$H$991,4,FALSE)</f>
        <v>0</v>
      </c>
      <c r="Z499" s="37">
        <f t="shared" si="770"/>
        <v>0</v>
      </c>
      <c r="AA499" s="37">
        <f t="shared" si="796"/>
        <v>0</v>
      </c>
      <c r="AB499" s="38">
        <f t="shared" si="752"/>
        <v>0</v>
      </c>
    </row>
    <row r="500" spans="1:28" x14ac:dyDescent="0.3">
      <c r="A500" s="27">
        <f>VLOOKUP(YEAR(C500),Flags!$A$13:$B$95,2,FALSE)</f>
        <v>4</v>
      </c>
      <c r="B500" s="28">
        <f t="shared" si="739"/>
        <v>1976</v>
      </c>
      <c r="C500" s="29">
        <v>27880</v>
      </c>
      <c r="D500" s="30">
        <f>VLOOKUP($C500,COS!$B$8:$H$991,3,FALSE)</f>
        <v>3250</v>
      </c>
      <c r="E500" s="28">
        <f>IF(D500&gt;=IF(MONTH($C500)=4,$C$3,IF(MONTH($C500)=5,$C$4,IF(MONTH($C500)=6,$C$5,IF(MONTH($C500)=7,$C$6,"ERROR")))),1,0)</f>
        <v>0</v>
      </c>
      <c r="F500" s="30">
        <f>VLOOKUP($C500,COS!$B$8:$H$991,7,FALSE)</f>
        <v>51.587924957275391</v>
      </c>
      <c r="G500" s="28">
        <f>IF(F500&lt;=IF(MONTH($C500)=4,$F$3,IF(MONTH($C500)=5,$F$4,IF(MONTH($C500)=6,$F$5,IF(MONTH($C500)=7,$F$6,"ERROR")))),1,0)</f>
        <v>1</v>
      </c>
      <c r="H500" s="30">
        <f>IF(J500=1,D500-$C$3,0)</f>
        <v>0</v>
      </c>
      <c r="I500" s="30">
        <f t="shared" si="764"/>
        <v>0</v>
      </c>
      <c r="J500" s="28">
        <f t="shared" ref="J500:J503" si="799">IF(AND(E500=1,G500=1),1,0)</f>
        <v>0</v>
      </c>
      <c r="K500" s="30">
        <f>VLOOKUP($C500,COS!$B$8:$H$991,2,FALSE)</f>
        <v>3878.489990234375</v>
      </c>
      <c r="L500" s="28">
        <f t="shared" ref="L500" si="800">IF(K500&lt;=IF(MONTH($C500)=4,$I$3,IF(MONTH($C500)=5,$I$4,IF(MONTH($C500)=6,$I$5,IF(MONTH($C500)=7,$I$6,"ERROR")))),1,0)</f>
        <v>1</v>
      </c>
      <c r="M500" s="28">
        <f t="shared" ref="M500" si="801">VLOOKUP($A500,$L$3:$M$7,2,FALSE)</f>
        <v>1</v>
      </c>
      <c r="N500" s="30">
        <f>VLOOKUP($C500,COS!$B$8:$H$991,5,FALSE)</f>
        <v>162.41636657714844</v>
      </c>
      <c r="O500" s="30">
        <f t="shared" ref="O500:O503" si="802">N500*DAY($C500)*86400/43560/1000</f>
        <v>9.6644449533509817</v>
      </c>
      <c r="P500" s="30">
        <f>VLOOKUP($C500,COS!$B$8:$H$991,6,FALSE)</f>
        <v>525.2208251953125</v>
      </c>
      <c r="Q500" s="30">
        <f t="shared" ref="Q500:Q503" si="803">P500*DAY($C500)*86400/43560/1000</f>
        <v>31.252809433109505</v>
      </c>
      <c r="R500" s="30">
        <f>MIN(IF(MONTH($C500)=4,$S$3,IF(MONTH($C500)=5,$S$4,IF(MONTH($C500)=6,$S$5,IF(MONTH($C500)=7,$S$6,"ERROR")))),MAX(VLOOKUP($C500,COS!$B$8:$K$991,10,FALSE)-IF(MONTH($C500)=4,$Y$3,IF(MONTH($C500)=5,$Y$4,IF(MONTH($C500)=6,$Y$5,IF(MONTH($C500)=7,$Y$6,"ERROR")))),0),MAX(VLOOKUP($C500,COS!$B$8:$K$991,9,FALSE)-IF(MONTH($C500)=4,$V$3,IF(MONTH($C500)=5,$V$4,IF(MONTH($C500)=6,$V$5,IF(MONTH($C500)=7,$V$6,"ERROR"))))-VLOOKUP($C500,COS!$B$8:$K$991,6,FALSE)/2,0))</f>
        <v>0</v>
      </c>
      <c r="S500" s="30">
        <f t="shared" ref="S500:S503" si="804">R500*DAY($C500)*86400/43560/1000</f>
        <v>0</v>
      </c>
      <c r="T500" s="30">
        <f t="shared" ref="T500:T503" si="805">(O500+Q500)/2+S500</f>
        <v>20.458627193230242</v>
      </c>
      <c r="U500" s="30" t="str">
        <f>IF(VLOOKUP($C500,COS!$B$8:$I$991,8,FALSE)=1,"UWFE","IBU")</f>
        <v>UWFE</v>
      </c>
      <c r="V500" s="30">
        <f t="shared" ref="V500" si="806">MIN(IF(IF($AA$3=2,AND(E500=1,G500=1,L500=1,L505=1,M500=1,U500="IBU"),AND(E500=1,G500=1,L500=1,L505=1,M500=1)),T500,0),I500)</f>
        <v>0</v>
      </c>
      <c r="W500" s="30"/>
      <c r="X500" s="30"/>
      <c r="Y500" s="30"/>
      <c r="Z500" s="30"/>
      <c r="AA500" s="30"/>
      <c r="AB500" s="31"/>
    </row>
    <row r="501" spans="1:28" x14ac:dyDescent="0.3">
      <c r="A501" s="32">
        <f>VLOOKUP(YEAR(C501),Flags!$A$13:$B$95,2,FALSE)</f>
        <v>4</v>
      </c>
      <c r="B501" s="24">
        <f t="shared" si="739"/>
        <v>1976</v>
      </c>
      <c r="C501" s="25">
        <v>27911</v>
      </c>
      <c r="D501" s="26">
        <f>VLOOKUP($C501,COS!$B$8:$H$991,3,FALSE)</f>
        <v>10081.5947265625</v>
      </c>
      <c r="E501" s="24">
        <f>IF(D501&gt;=IF(MONTH($C501)=4,$C$3,IF(MONTH($C501)=5,$C$4,IF(MONTH($C501)=6,$C$5,IF(MONTH($C501)=7,$C$6,"ERROR")))),1,0)</f>
        <v>1</v>
      </c>
      <c r="F501" s="26">
        <f>VLOOKUP($C501,COS!$B$8:$H$991,7,FALSE)</f>
        <v>51.443138122558594</v>
      </c>
      <c r="G501" s="24">
        <f>IF(F501&lt;=IF(MONTH($C501)=4,$F$3,IF(MONTH($C501)=5,$F$4,IF(MONTH($C501)=6,$F$5,IF(MONTH($C501)=7,$F$6,"ERROR")))),1,0)</f>
        <v>1</v>
      </c>
      <c r="H501" s="26">
        <f>IF(J501=1,D501-$C$4,0)</f>
        <v>4081.5947265625</v>
      </c>
      <c r="I501" s="26">
        <f t="shared" si="764"/>
        <v>250.9674774018595</v>
      </c>
      <c r="J501" s="24">
        <f t="shared" si="799"/>
        <v>1</v>
      </c>
      <c r="K501" s="26">
        <f>VLOOKUP($C501,COS!$B$8:$H$991,2,FALSE)</f>
        <v>3615.4599609375</v>
      </c>
      <c r="L501" s="24">
        <f t="shared" si="741"/>
        <v>1</v>
      </c>
      <c r="M501" s="24">
        <f t="shared" si="742"/>
        <v>1</v>
      </c>
      <c r="N501" s="26">
        <f>VLOOKUP($C501,COS!$B$8:$H$991,5,FALSE)</f>
        <v>197.63545227050781</v>
      </c>
      <c r="O501" s="26">
        <f t="shared" si="802"/>
        <v>12.152130288368415</v>
      </c>
      <c r="P501" s="26">
        <f>VLOOKUP($C501,COS!$B$8:$H$991,6,FALSE)</f>
        <v>2397.456298828125</v>
      </c>
      <c r="Q501" s="26">
        <f t="shared" si="803"/>
        <v>147.41384184529957</v>
      </c>
      <c r="R501" s="26">
        <f>MIN(IF(MONTH($C501)=4,$S$3,IF(MONTH($C501)=5,$S$4,IF(MONTH($C501)=6,$S$5,IF(MONTH($C501)=7,$S$6,"ERROR")))),MAX(VLOOKUP($C501,COS!$B$8:$K$991,10,FALSE)-IF(MONTH($C501)=4,$Y$3,IF(MONTH($C501)=5,$Y$4,IF(MONTH($C501)=6,$Y$5,IF(MONTH($C501)=7,$Y$6,"ERROR")))),0),MAX(VLOOKUP($C501,COS!$B$8:$K$991,9,FALSE)-IF(MONTH($C501)=4,$V$3,IF(MONTH($C501)=5,$V$4,IF(MONTH($C501)=6,$V$5,IF(MONTH($C501)=7,$V$6,"ERROR"))))-VLOOKUP($C501,COS!$B$8:$K$991,6,FALSE)/2,0))</f>
        <v>0</v>
      </c>
      <c r="S501" s="26">
        <f t="shared" si="804"/>
        <v>0</v>
      </c>
      <c r="T501" s="26">
        <f t="shared" si="805"/>
        <v>79.782986066833999</v>
      </c>
      <c r="U501" s="26" t="str">
        <f>IF(VLOOKUP($C501,COS!$B$8:$I$991,8,FALSE)=1,"UWFE","IBU")</f>
        <v>IBU</v>
      </c>
      <c r="V501" s="26">
        <f t="shared" ref="V501" si="807">MIN(IF(IF($AA$3=2,AND(E501=1,G501=1,L501=1,L505=1,M501=1,U501="IBU"),AND(E501=1,G501=1,L501=1,L505=1,M501=1)),T501,0),I501)</f>
        <v>79.782986066833999</v>
      </c>
      <c r="W501" s="26"/>
      <c r="X501" s="26"/>
      <c r="Y501" s="26"/>
      <c r="Z501" s="26"/>
      <c r="AA501" s="26"/>
      <c r="AB501" s="33"/>
    </row>
    <row r="502" spans="1:28" x14ac:dyDescent="0.3">
      <c r="A502" s="32">
        <f>VLOOKUP(YEAR(C502),Flags!$A$13:$B$95,2,FALSE)</f>
        <v>4</v>
      </c>
      <c r="B502" s="24">
        <f t="shared" si="739"/>
        <v>1976</v>
      </c>
      <c r="C502" s="25">
        <v>27941</v>
      </c>
      <c r="D502" s="26">
        <f>VLOOKUP($C502,COS!$B$8:$H$991,3,FALSE)</f>
        <v>9693.1298828125</v>
      </c>
      <c r="E502" s="24">
        <f>IF(D502&gt;=IF(MONTH($C502)=4,$C$3,IF(MONTH($C502)=5,$C$4,IF(MONTH($C502)=6,$C$5,IF(MONTH($C502)=7,$C$6,"ERROR")))),1,0)</f>
        <v>0</v>
      </c>
      <c r="F502" s="26">
        <f>VLOOKUP($C502,COS!$B$8:$H$991,7,FALSE)</f>
        <v>52.964691162109375</v>
      </c>
      <c r="G502" s="24">
        <f>IF(F502&lt;=IF(MONTH($C502)=4,$F$3,IF(MONTH($C502)=5,$F$4,IF(MONTH($C502)=6,$F$5,IF(MONTH($C502)=7,$F$6,"ERROR")))),1,0)</f>
        <v>1</v>
      </c>
      <c r="H502" s="26">
        <f>IF(J502=1,D502-$C$5,0)</f>
        <v>0</v>
      </c>
      <c r="I502" s="26">
        <f t="shared" si="764"/>
        <v>0</v>
      </c>
      <c r="J502" s="24">
        <f t="shared" si="799"/>
        <v>0</v>
      </c>
      <c r="K502" s="26">
        <f>VLOOKUP($C502,COS!$B$8:$H$991,2,FALSE)</f>
        <v>3290.374755859375</v>
      </c>
      <c r="L502" s="24">
        <f t="shared" si="741"/>
        <v>1</v>
      </c>
      <c r="M502" s="24">
        <f t="shared" si="742"/>
        <v>1</v>
      </c>
      <c r="N502" s="26">
        <f>VLOOKUP($C502,COS!$B$8:$H$991,5,FALSE)</f>
        <v>220.81330871582031</v>
      </c>
      <c r="O502" s="26">
        <f t="shared" si="802"/>
        <v>13.139304320280216</v>
      </c>
      <c r="P502" s="26">
        <f>VLOOKUP($C502,COS!$B$8:$H$991,6,FALSE)</f>
        <v>2496.31787109375</v>
      </c>
      <c r="Q502" s="26">
        <f t="shared" si="803"/>
        <v>148.54122869318184</v>
      </c>
      <c r="R502" s="26">
        <f>MIN(IF(MONTH($C502)=4,$S$3,IF(MONTH($C502)=5,$S$4,IF(MONTH($C502)=6,$S$5,IF(MONTH($C502)=7,$S$6,"ERROR")))),MAX(VLOOKUP($C502,COS!$B$8:$K$991,10,FALSE)-IF(MONTH($C502)=4,$Y$3,IF(MONTH($C502)=5,$Y$4,IF(MONTH($C502)=6,$Y$5,IF(MONTH($C502)=7,$Y$6,"ERROR")))),0),MAX(VLOOKUP($C502,COS!$B$8:$K$991,9,FALSE)-IF(MONTH($C502)=4,$V$3,IF(MONTH($C502)=5,$V$4,IF(MONTH($C502)=6,$V$5,IF(MONTH($C502)=7,$V$6,"ERROR"))))-VLOOKUP($C502,COS!$B$8:$K$991,6,FALSE)/2,0))</f>
        <v>0</v>
      </c>
      <c r="S502" s="26">
        <f t="shared" si="804"/>
        <v>0</v>
      </c>
      <c r="T502" s="26">
        <f t="shared" si="805"/>
        <v>80.840266506731027</v>
      </c>
      <c r="U502" s="26" t="str">
        <f>IF(VLOOKUP($C502,COS!$B$8:$I$991,8,FALSE)=1,"UWFE","IBU")</f>
        <v>IBU</v>
      </c>
      <c r="V502" s="26">
        <f t="shared" ref="V502" si="808">MIN(IF(IF($AA$3=2,AND(E502=1,G502=1,L502=1,L505=1,M502=1,U502="IBU"),AND(E502=1,G502=1,L502=1,L505=1,M502=1)),T502,0),I502)</f>
        <v>0</v>
      </c>
      <c r="W502" s="26"/>
      <c r="X502" s="26"/>
      <c r="Y502" s="26"/>
      <c r="Z502" s="26"/>
      <c r="AA502" s="26"/>
      <c r="AB502" s="33"/>
    </row>
    <row r="503" spans="1:28" x14ac:dyDescent="0.3">
      <c r="A503" s="32">
        <f>VLOOKUP(YEAR(C503),Flags!$A$13:$B$95,2,FALSE)</f>
        <v>4</v>
      </c>
      <c r="B503" s="24">
        <f t="shared" si="739"/>
        <v>1976</v>
      </c>
      <c r="C503" s="25">
        <v>27972</v>
      </c>
      <c r="D503" s="26">
        <f>VLOOKUP($C503,COS!$B$8:$H$991,3,FALSE)</f>
        <v>13307.634765625</v>
      </c>
      <c r="E503" s="24">
        <f>IF(D503&gt;=IF(MONTH($C503)=4,$C$3,IF(MONTH($C503)=5,$C$4,IF(MONTH($C503)=6,$C$5,IF(MONTH($C503)=7,$C$6,"ERROR")))),1,0)</f>
        <v>1</v>
      </c>
      <c r="F503" s="26">
        <f>VLOOKUP($C503,COS!$B$8:$H$991,7,FALSE)</f>
        <v>54.076438903808594</v>
      </c>
      <c r="G503" s="24">
        <f>IF(F503&lt;=IF(MONTH($C503)=4,$F$3,IF(MONTH($C503)=5,$F$4,IF(MONTH($C503)=6,$F$5,IF(MONTH($C503)=7,$F$6,"ERROR")))),1,0)</f>
        <v>0</v>
      </c>
      <c r="H503" s="26">
        <f>IF(J503=1,D503-$C$6,0)</f>
        <v>0</v>
      </c>
      <c r="I503" s="26">
        <f t="shared" si="764"/>
        <v>0</v>
      </c>
      <c r="J503" s="24">
        <f t="shared" si="799"/>
        <v>0</v>
      </c>
      <c r="K503" s="26">
        <f>VLOOKUP($C503,COS!$B$8:$H$991,2,FALSE)</f>
        <v>2839.34033203125</v>
      </c>
      <c r="L503" s="24">
        <f t="shared" si="741"/>
        <v>1</v>
      </c>
      <c r="M503" s="24">
        <f t="shared" si="742"/>
        <v>1</v>
      </c>
      <c r="N503" s="26">
        <f>VLOOKUP($C503,COS!$B$8:$H$991,5,FALSE)</f>
        <v>243.29853820800781</v>
      </c>
      <c r="O503" s="26">
        <f t="shared" si="802"/>
        <v>14.959844002211391</v>
      </c>
      <c r="P503" s="26">
        <f>VLOOKUP($C503,COS!$B$8:$H$991,6,FALSE)</f>
        <v>2326.644775390625</v>
      </c>
      <c r="Q503" s="26">
        <f t="shared" si="803"/>
        <v>143.05981098269626</v>
      </c>
      <c r="R503" s="26">
        <f>MIN(IF(MONTH($C503)=4,$S$3,IF(MONTH($C503)=5,$S$4,IF(MONTH($C503)=6,$S$5,IF(MONTH($C503)=7,$S$6,"ERROR")))),MAX(VLOOKUP($C503,COS!$B$8:$K$991,10,FALSE)-IF(MONTH($C503)=4,$Y$3,IF(MONTH($C503)=5,$Y$4,IF(MONTH($C503)=6,$Y$5,IF(MONTH($C503)=7,$Y$6,"ERROR")))),0),MAX(VLOOKUP($C503,COS!$B$8:$K$991,9,FALSE)-IF(MONTH($C503)=4,$V$3,IF(MONTH($C503)=5,$V$4,IF(MONTH($C503)=6,$V$5,IF(MONTH($C503)=7,$V$6,"ERROR"))))-VLOOKUP($C503,COS!$B$8:$K$991,6,FALSE)/2,0))</f>
        <v>0</v>
      </c>
      <c r="S503" s="26">
        <f t="shared" si="804"/>
        <v>0</v>
      </c>
      <c r="T503" s="26">
        <f t="shared" si="805"/>
        <v>79.009827492453823</v>
      </c>
      <c r="U503" s="26" t="str">
        <f>IF(VLOOKUP($C503,COS!$B$8:$I$991,8,FALSE)=1,"UWFE","IBU")</f>
        <v>IBU</v>
      </c>
      <c r="V503" s="26">
        <f t="shared" ref="V503" si="809">MIN(IF(IF($AA$3=2,AND(E503=1,G503=1,L503=1,L505=1,M503=1,U503="IBU"),AND(E503=1,G503=1,L503=1,L505=1,M503=1)),T503,0),I503)</f>
        <v>0</v>
      </c>
      <c r="W503" s="26"/>
      <c r="X503" s="26"/>
      <c r="Y503" s="26"/>
      <c r="Z503" s="26"/>
      <c r="AA503" s="26"/>
      <c r="AB503" s="33"/>
    </row>
    <row r="504" spans="1:28" x14ac:dyDescent="0.3">
      <c r="A504" s="32">
        <f>VLOOKUP(YEAR(C504),Flags!$A$13:$B$95,2,FALSE)</f>
        <v>4</v>
      </c>
      <c r="B504" s="24">
        <f t="shared" si="739"/>
        <v>1976</v>
      </c>
      <c r="C504" s="25">
        <v>28003</v>
      </c>
      <c r="D504" s="26"/>
      <c r="E504" s="24"/>
      <c r="F504" s="26"/>
      <c r="G504" s="24"/>
      <c r="H504" s="24"/>
      <c r="I504" s="26"/>
      <c r="J504" s="24"/>
      <c r="K504" s="26"/>
      <c r="L504" s="24"/>
      <c r="M504" s="24"/>
      <c r="N504" s="26"/>
      <c r="O504" s="26"/>
      <c r="P504" s="26"/>
      <c r="Q504" s="26"/>
      <c r="R504" s="26"/>
      <c r="S504" s="26"/>
      <c r="T504" s="26"/>
      <c r="U504" s="26"/>
      <c r="V504" s="26"/>
      <c r="W504" s="26">
        <f>MAX($C$7-VLOOKUP($C504,COS!$B$8:$H$991,3,FALSE),0)</f>
        <v>93360.21484375</v>
      </c>
      <c r="X504" s="26">
        <f t="shared" si="769"/>
        <v>5740.4958548553714</v>
      </c>
      <c r="Y504" s="26">
        <f>VLOOKUP($C504,COS!$B$8:$H$991,4,FALSE)</f>
        <v>1948.8914794921875</v>
      </c>
      <c r="Z504" s="26">
        <f t="shared" si="770"/>
        <v>119.83266617704028</v>
      </c>
      <c r="AA504" s="26">
        <f t="shared" ref="AA504:AA508" si="810">MIN(W504,Y504)</f>
        <v>1948.8914794921875</v>
      </c>
      <c r="AB504" s="33">
        <f t="shared" ref="AB504" si="811">AA504*DAY($C504)*86400/43560/1000*IF(MONTH($C504)=8,$P$3,IF(MONTH($C504)=9,$P$4,IF(MONTH($C504)=10,$P$5,IF(MONTH($C504)=11,$P$6,IF(MONTH($C504)=12,$P$7,NA())))))</f>
        <v>119.83266617704028</v>
      </c>
    </row>
    <row r="505" spans="1:28" x14ac:dyDescent="0.3">
      <c r="A505" s="32">
        <f>VLOOKUP(YEAR(C505),Flags!$A$13:$B$95,2,FALSE)</f>
        <v>4</v>
      </c>
      <c r="B505" s="24">
        <f t="shared" si="739"/>
        <v>1976</v>
      </c>
      <c r="C505" s="25">
        <v>28033</v>
      </c>
      <c r="D505" s="26"/>
      <c r="E505" s="24"/>
      <c r="F505" s="26"/>
      <c r="G505" s="24"/>
      <c r="H505" s="24"/>
      <c r="I505" s="26"/>
      <c r="J505" s="24"/>
      <c r="K505" s="26">
        <f>VLOOKUP($C505,COS!$B$8:$H$991,2,FALSE)</f>
        <v>2776.3486328125</v>
      </c>
      <c r="L505" s="24">
        <f t="shared" ref="L505" si="812">IF(AND(K505&gt;$I$7,K505&lt;$I$8),1,0)</f>
        <v>1</v>
      </c>
      <c r="M505" s="24"/>
      <c r="N505" s="26"/>
      <c r="O505" s="26"/>
      <c r="P505" s="26"/>
      <c r="Q505" s="26"/>
      <c r="R505" s="26"/>
      <c r="S505" s="26"/>
      <c r="T505" s="26"/>
      <c r="U505" s="26"/>
      <c r="V505" s="26"/>
      <c r="W505" s="26">
        <f>MAX($C$8-VLOOKUP($C505,COS!$B$8:$H$991,3,FALSE),0)</f>
        <v>95118.068359375</v>
      </c>
      <c r="X505" s="26">
        <f t="shared" si="769"/>
        <v>5659.9181172520657</v>
      </c>
      <c r="Y505" s="26">
        <f>VLOOKUP($C505,COS!$B$8:$H$991,4,FALSE)</f>
        <v>1649.7568359375</v>
      </c>
      <c r="Z505" s="26">
        <f t="shared" si="770"/>
        <v>98.167348915289253</v>
      </c>
      <c r="AA505" s="26">
        <f t="shared" si="810"/>
        <v>1649.7568359375</v>
      </c>
      <c r="AB505" s="33">
        <f t="shared" si="752"/>
        <v>98.167348915289253</v>
      </c>
    </row>
    <row r="506" spans="1:28" x14ac:dyDescent="0.3">
      <c r="A506" s="32">
        <f>VLOOKUP(YEAR(C506),Flags!$A$13:$B$95,2,FALSE)</f>
        <v>4</v>
      </c>
      <c r="B506" s="24">
        <f t="shared" si="739"/>
        <v>1976</v>
      </c>
      <c r="C506" s="25">
        <v>28064</v>
      </c>
      <c r="D506" s="26"/>
      <c r="E506" s="24"/>
      <c r="F506" s="26"/>
      <c r="G506" s="26"/>
      <c r="H506" s="26"/>
      <c r="I506" s="26"/>
      <c r="J506" s="26"/>
      <c r="K506" s="26"/>
      <c r="L506" s="24"/>
      <c r="M506" s="24"/>
      <c r="N506" s="26"/>
      <c r="O506" s="26"/>
      <c r="P506" s="26"/>
      <c r="Q506" s="26"/>
      <c r="R506" s="26"/>
      <c r="S506" s="26"/>
      <c r="T506" s="26"/>
      <c r="U506" s="26"/>
      <c r="V506" s="26"/>
      <c r="W506" s="26">
        <f>MAX($C$9-VLOOKUP($C506,COS!$B$8:$H$991,3,FALSE),0)</f>
        <v>92269.14697265625</v>
      </c>
      <c r="X506" s="26">
        <f t="shared" si="769"/>
        <v>5673.4087064178721</v>
      </c>
      <c r="Y506" s="26">
        <f>VLOOKUP($C506,COS!$B$8:$H$991,4,FALSE)</f>
        <v>1735.9190673828125</v>
      </c>
      <c r="Z506" s="26">
        <f t="shared" si="770"/>
        <v>106.73750298618285</v>
      </c>
      <c r="AA506" s="26">
        <f t="shared" si="810"/>
        <v>1735.9190673828125</v>
      </c>
      <c r="AB506" s="33">
        <f t="shared" si="752"/>
        <v>106.73750298618285</v>
      </c>
    </row>
    <row r="507" spans="1:28" x14ac:dyDescent="0.3">
      <c r="A507" s="32">
        <f>VLOOKUP(YEAR(C507),Flags!$A$13:$B$95,2,FALSE)</f>
        <v>4</v>
      </c>
      <c r="B507" s="24">
        <f t="shared" si="739"/>
        <v>1976</v>
      </c>
      <c r="C507" s="25">
        <v>28094</v>
      </c>
      <c r="D507" s="26"/>
      <c r="E507" s="24"/>
      <c r="F507" s="26"/>
      <c r="G507" s="26"/>
      <c r="H507" s="26"/>
      <c r="I507" s="26"/>
      <c r="J507" s="26"/>
      <c r="K507" s="26"/>
      <c r="L507" s="24"/>
      <c r="M507" s="24"/>
      <c r="N507" s="26"/>
      <c r="O507" s="26"/>
      <c r="P507" s="26"/>
      <c r="Q507" s="26"/>
      <c r="R507" s="26"/>
      <c r="S507" s="26"/>
      <c r="T507" s="26"/>
      <c r="U507" s="26"/>
      <c r="V507" s="26"/>
      <c r="W507" s="26">
        <f>MAX($C$10-VLOOKUP($C507,COS!$B$8:$H$991,3,FALSE),0)</f>
        <v>92605.25439453125</v>
      </c>
      <c r="X507" s="26">
        <f t="shared" si="769"/>
        <v>5510.3953028150827</v>
      </c>
      <c r="Y507" s="26">
        <f>VLOOKUP($C507,COS!$B$8:$H$991,4,FALSE)</f>
        <v>1444.778564453125</v>
      </c>
      <c r="Z507" s="26">
        <f t="shared" si="770"/>
        <v>85.970294744318181</v>
      </c>
      <c r="AA507" s="26">
        <f t="shared" si="810"/>
        <v>1444.778564453125</v>
      </c>
      <c r="AB507" s="33">
        <f t="shared" si="752"/>
        <v>42.985147372159091</v>
      </c>
    </row>
    <row r="508" spans="1:28" x14ac:dyDescent="0.3">
      <c r="A508" s="34">
        <f>VLOOKUP(YEAR(C508),Flags!$A$13:$B$95,2,FALSE)</f>
        <v>4</v>
      </c>
      <c r="B508" s="35">
        <f t="shared" si="739"/>
        <v>1976</v>
      </c>
      <c r="C508" s="36">
        <v>28125</v>
      </c>
      <c r="D508" s="37"/>
      <c r="E508" s="35"/>
      <c r="F508" s="37"/>
      <c r="G508" s="37"/>
      <c r="H508" s="37"/>
      <c r="I508" s="37"/>
      <c r="J508" s="37"/>
      <c r="K508" s="37"/>
      <c r="L508" s="35"/>
      <c r="M508" s="35"/>
      <c r="N508" s="37"/>
      <c r="O508" s="37"/>
      <c r="P508" s="37"/>
      <c r="Q508" s="37"/>
      <c r="R508" s="37"/>
      <c r="S508" s="37"/>
      <c r="T508" s="37"/>
      <c r="U508" s="37"/>
      <c r="V508" s="37"/>
      <c r="W508" s="37">
        <f>MAX($C$11-VLOOKUP($C508,COS!$B$8:$H$991,3,FALSE),0)</f>
        <v>0</v>
      </c>
      <c r="X508" s="37">
        <f t="shared" si="769"/>
        <v>0</v>
      </c>
      <c r="Y508" s="37">
        <f>VLOOKUP($C508,COS!$B$8:$H$991,4,FALSE)</f>
        <v>2446.426025390625</v>
      </c>
      <c r="Z508" s="37">
        <f t="shared" si="770"/>
        <v>150.42487296616736</v>
      </c>
      <c r="AA508" s="37">
        <f t="shared" si="810"/>
        <v>0</v>
      </c>
      <c r="AB508" s="38">
        <f t="shared" si="752"/>
        <v>0</v>
      </c>
    </row>
    <row r="509" spans="1:28" x14ac:dyDescent="0.3">
      <c r="A509" s="27">
        <f>VLOOKUP(YEAR(C509),Flags!$A$13:$B$95,2,FALSE)</f>
        <v>5</v>
      </c>
      <c r="B509" s="28">
        <f t="shared" si="739"/>
        <v>1977</v>
      </c>
      <c r="C509" s="29">
        <v>28245</v>
      </c>
      <c r="D509" s="30">
        <f>VLOOKUP($C509,COS!$B$8:$H$991,3,FALSE)</f>
        <v>7071.7509765625</v>
      </c>
      <c r="E509" s="28">
        <f>IF(D509&gt;=IF(MONTH($C509)=4,$C$3,IF(MONTH($C509)=5,$C$4,IF(MONTH($C509)=6,$C$5,IF(MONTH($C509)=7,$C$6,"ERROR")))),1,0)</f>
        <v>1</v>
      </c>
      <c r="F509" s="30">
        <f>VLOOKUP($C509,COS!$B$8:$H$991,7,FALSE)</f>
        <v>50.791873931884766</v>
      </c>
      <c r="G509" s="28">
        <f>IF(F509&lt;=IF(MONTH($C509)=4,$F$3,IF(MONTH($C509)=5,$F$4,IF(MONTH($C509)=6,$F$5,IF(MONTH($C509)=7,$F$6,"ERROR")))),1,0)</f>
        <v>1</v>
      </c>
      <c r="H509" s="30">
        <f>IF(J509=1,D509-$C$3,0)</f>
        <v>1071.7509765625</v>
      </c>
      <c r="I509" s="30">
        <f t="shared" si="764"/>
        <v>63.773611828512394</v>
      </c>
      <c r="J509" s="28">
        <f t="shared" ref="J509:J512" si="813">IF(AND(E509=1,G509=1),1,0)</f>
        <v>1</v>
      </c>
      <c r="K509" s="30">
        <f>VLOOKUP($C509,COS!$B$8:$H$991,2,FALSE)</f>
        <v>1944.6558837890625</v>
      </c>
      <c r="L509" s="28">
        <f t="shared" ref="L509" si="814">IF(K509&lt;=IF(MONTH($C509)=4,$I$3,IF(MONTH($C509)=5,$I$4,IF(MONTH($C509)=6,$I$5,IF(MONTH($C509)=7,$I$6,"ERROR")))),1,0)</f>
        <v>1</v>
      </c>
      <c r="M509" s="28">
        <f t="shared" ref="M509" si="815">VLOOKUP($A509,$L$3:$M$7,2,FALSE)</f>
        <v>1</v>
      </c>
      <c r="N509" s="30">
        <f>VLOOKUP($C509,COS!$B$8:$H$991,5,FALSE)</f>
        <v>201.60958862304688</v>
      </c>
      <c r="O509" s="30">
        <f t="shared" ref="O509:O512" si="816">N509*DAY($C509)*86400/43560/1000</f>
        <v>11.996603620544938</v>
      </c>
      <c r="P509" s="30">
        <f>VLOOKUP($C509,COS!$B$8:$H$991,6,FALSE)</f>
        <v>581.802490234375</v>
      </c>
      <c r="Q509" s="30">
        <f t="shared" ref="Q509:Q512" si="817">P509*DAY($C509)*86400/43560/1000</f>
        <v>34.619652311466943</v>
      </c>
      <c r="R509" s="30">
        <f>MIN(IF(MONTH($C509)=4,$S$3,IF(MONTH($C509)=5,$S$4,IF(MONTH($C509)=6,$S$5,IF(MONTH($C509)=7,$S$6,"ERROR")))),MAX(VLOOKUP($C509,COS!$B$8:$K$991,10,FALSE)-IF(MONTH($C509)=4,$Y$3,IF(MONTH($C509)=5,$Y$4,IF(MONTH($C509)=6,$Y$5,IF(MONTH($C509)=7,$Y$6,"ERROR")))),0),MAX(VLOOKUP($C509,COS!$B$8:$K$991,9,FALSE)-IF(MONTH($C509)=4,$V$3,IF(MONTH($C509)=5,$V$4,IF(MONTH($C509)=6,$V$5,IF(MONTH($C509)=7,$V$6,"ERROR"))))-VLOOKUP($C509,COS!$B$8:$K$991,6,FALSE)/2,0))</f>
        <v>0</v>
      </c>
      <c r="S509" s="30">
        <f t="shared" ref="S509:S512" si="818">R509*DAY($C509)*86400/43560/1000</f>
        <v>0</v>
      </c>
      <c r="T509" s="30">
        <f t="shared" ref="T509:T512" si="819">(O509+Q509)/2+S509</f>
        <v>23.308127966005941</v>
      </c>
      <c r="U509" s="30" t="str">
        <f>IF(VLOOKUP($C509,COS!$B$8:$I$991,8,FALSE)=1,"UWFE","IBU")</f>
        <v>IBU</v>
      </c>
      <c r="V509" s="30">
        <f t="shared" ref="V509" si="820">MIN(IF(IF($AA$3=2,AND(E509=1,G509=1,L509=1,L514=1,M509=1,U509="IBU"),AND(E509=1,G509=1,L509=1,L514=1,M509=1)),T509,0),I509)</f>
        <v>23.308127966005941</v>
      </c>
      <c r="W509" s="30"/>
      <c r="X509" s="30"/>
      <c r="Y509" s="30"/>
      <c r="Z509" s="30"/>
      <c r="AA509" s="30"/>
      <c r="AB509" s="31"/>
    </row>
    <row r="510" spans="1:28" x14ac:dyDescent="0.3">
      <c r="A510" s="32">
        <f>VLOOKUP(YEAR(C510),Flags!$A$13:$B$95,2,FALSE)</f>
        <v>5</v>
      </c>
      <c r="B510" s="24">
        <f t="shared" si="739"/>
        <v>1977</v>
      </c>
      <c r="C510" s="25">
        <v>28276</v>
      </c>
      <c r="D510" s="26">
        <f>VLOOKUP($C510,COS!$B$8:$H$991,3,FALSE)</f>
        <v>5902.6396484375</v>
      </c>
      <c r="E510" s="24">
        <f>IF(D510&gt;=IF(MONTH($C510)=4,$C$3,IF(MONTH($C510)=5,$C$4,IF(MONTH($C510)=6,$C$5,IF(MONTH($C510)=7,$C$6,"ERROR")))),1,0)</f>
        <v>0</v>
      </c>
      <c r="F510" s="26">
        <f>VLOOKUP($C510,COS!$B$8:$H$991,7,FALSE)</f>
        <v>52.327152252197266</v>
      </c>
      <c r="G510" s="24">
        <f>IF(F510&lt;=IF(MONTH($C510)=4,$F$3,IF(MONTH($C510)=5,$F$4,IF(MONTH($C510)=6,$F$5,IF(MONTH($C510)=7,$F$6,"ERROR")))),1,0)</f>
        <v>1</v>
      </c>
      <c r="H510" s="26">
        <f>IF(J510=1,D510-$C$4,0)</f>
        <v>0</v>
      </c>
      <c r="I510" s="26">
        <f t="shared" si="764"/>
        <v>0</v>
      </c>
      <c r="J510" s="24">
        <f t="shared" si="813"/>
        <v>0</v>
      </c>
      <c r="K510" s="26">
        <f>VLOOKUP($C510,COS!$B$8:$H$991,2,FALSE)</f>
        <v>1775.2607421875</v>
      </c>
      <c r="L510" s="24">
        <f t="shared" si="741"/>
        <v>1</v>
      </c>
      <c r="M510" s="24">
        <f t="shared" si="742"/>
        <v>1</v>
      </c>
      <c r="N510" s="26">
        <f>VLOOKUP($C510,COS!$B$8:$H$991,5,FALSE)</f>
        <v>129.15513610839844</v>
      </c>
      <c r="O510" s="26">
        <f t="shared" si="816"/>
        <v>7.941439773937887</v>
      </c>
      <c r="P510" s="26">
        <f>VLOOKUP($C510,COS!$B$8:$H$991,6,FALSE)</f>
        <v>1768.8984375</v>
      </c>
      <c r="Q510" s="26">
        <f t="shared" si="817"/>
        <v>108.76532541322314</v>
      </c>
      <c r="R510" s="26">
        <f>MIN(IF(MONTH($C510)=4,$S$3,IF(MONTH($C510)=5,$S$4,IF(MONTH($C510)=6,$S$5,IF(MONTH($C510)=7,$S$6,"ERROR")))),MAX(VLOOKUP($C510,COS!$B$8:$K$991,10,FALSE)-IF(MONTH($C510)=4,$Y$3,IF(MONTH($C510)=5,$Y$4,IF(MONTH($C510)=6,$Y$5,IF(MONTH($C510)=7,$Y$6,"ERROR")))),0),MAX(VLOOKUP($C510,COS!$B$8:$K$991,9,FALSE)-IF(MONTH($C510)=4,$V$3,IF(MONTH($C510)=5,$V$4,IF(MONTH($C510)=6,$V$5,IF(MONTH($C510)=7,$V$6,"ERROR"))))-VLOOKUP($C510,COS!$B$8:$K$991,6,FALSE)/2,0))</f>
        <v>0</v>
      </c>
      <c r="S510" s="26">
        <f t="shared" si="818"/>
        <v>0</v>
      </c>
      <c r="T510" s="26">
        <f t="shared" si="819"/>
        <v>58.353382593580513</v>
      </c>
      <c r="U510" s="26" t="str">
        <f>IF(VLOOKUP($C510,COS!$B$8:$I$991,8,FALSE)=1,"UWFE","IBU")</f>
        <v>IBU</v>
      </c>
      <c r="V510" s="26">
        <f t="shared" ref="V510" si="821">MIN(IF(IF($AA$3=2,AND(E510=1,G510=1,L510=1,L514=1,M510=1,U510="IBU"),AND(E510=1,G510=1,L510=1,L514=1,M510=1)),T510,0),I510)</f>
        <v>0</v>
      </c>
      <c r="W510" s="26"/>
      <c r="X510" s="26"/>
      <c r="Y510" s="26"/>
      <c r="Z510" s="26"/>
      <c r="AA510" s="26"/>
      <c r="AB510" s="33"/>
    </row>
    <row r="511" spans="1:28" x14ac:dyDescent="0.3">
      <c r="A511" s="32">
        <f>VLOOKUP(YEAR(C511),Flags!$A$13:$B$95,2,FALSE)</f>
        <v>5</v>
      </c>
      <c r="B511" s="24">
        <f t="shared" si="739"/>
        <v>1977</v>
      </c>
      <c r="C511" s="25">
        <v>28306</v>
      </c>
      <c r="D511" s="26">
        <f>VLOOKUP($C511,COS!$B$8:$H$991,3,FALSE)</f>
        <v>12227.62890625</v>
      </c>
      <c r="E511" s="24">
        <f>IF(D511&gt;=IF(MONTH($C511)=4,$C$3,IF(MONTH($C511)=5,$C$4,IF(MONTH($C511)=6,$C$5,IF(MONTH($C511)=7,$C$6,"ERROR")))),1,0)</f>
        <v>1</v>
      </c>
      <c r="F511" s="26">
        <f>VLOOKUP($C511,COS!$B$8:$H$991,7,FALSE)</f>
        <v>54.287090301513672</v>
      </c>
      <c r="G511" s="24">
        <f>IF(F511&lt;=IF(MONTH($C511)=4,$F$3,IF(MONTH($C511)=5,$F$4,IF(MONTH($C511)=6,$F$5,IF(MONTH($C511)=7,$F$6,"ERROR")))),1,0)</f>
        <v>1</v>
      </c>
      <c r="H511" s="26">
        <f>IF(J511=1,D511-$C$5,0)</f>
        <v>2227.62890625</v>
      </c>
      <c r="I511" s="26">
        <f t="shared" si="764"/>
        <v>132.55312499999999</v>
      </c>
      <c r="J511" s="24">
        <f t="shared" si="813"/>
        <v>1</v>
      </c>
      <c r="K511" s="26">
        <f>VLOOKUP($C511,COS!$B$8:$H$991,2,FALSE)</f>
        <v>1227.3997802734375</v>
      </c>
      <c r="L511" s="24">
        <f t="shared" si="741"/>
        <v>1</v>
      </c>
      <c r="M511" s="24">
        <f t="shared" si="742"/>
        <v>1</v>
      </c>
      <c r="N511" s="26">
        <f>VLOOKUP($C511,COS!$B$8:$H$991,5,FALSE)</f>
        <v>215.26878356933594</v>
      </c>
      <c r="O511" s="26">
        <f t="shared" si="816"/>
        <v>12.809382162803461</v>
      </c>
      <c r="P511" s="26">
        <f>VLOOKUP($C511,COS!$B$8:$H$991,6,FALSE)</f>
        <v>2477.72265625</v>
      </c>
      <c r="Q511" s="26">
        <f t="shared" si="817"/>
        <v>147.43473657024794</v>
      </c>
      <c r="R511" s="26">
        <f>MIN(IF(MONTH($C511)=4,$S$3,IF(MONTH($C511)=5,$S$4,IF(MONTH($C511)=6,$S$5,IF(MONTH($C511)=7,$S$6,"ERROR")))),MAX(VLOOKUP($C511,COS!$B$8:$K$991,10,FALSE)-IF(MONTH($C511)=4,$Y$3,IF(MONTH($C511)=5,$Y$4,IF(MONTH($C511)=6,$Y$5,IF(MONTH($C511)=7,$Y$6,"ERROR")))),0),MAX(VLOOKUP($C511,COS!$B$8:$K$991,9,FALSE)-IF(MONTH($C511)=4,$V$3,IF(MONTH($C511)=5,$V$4,IF(MONTH($C511)=6,$V$5,IF(MONTH($C511)=7,$V$6,"ERROR"))))-VLOOKUP($C511,COS!$B$8:$K$991,6,FALSE)/2,0))</f>
        <v>0</v>
      </c>
      <c r="S511" s="26">
        <f t="shared" si="818"/>
        <v>0</v>
      </c>
      <c r="T511" s="26">
        <f t="shared" si="819"/>
        <v>80.122059366525704</v>
      </c>
      <c r="U511" s="26" t="str">
        <f>IF(VLOOKUP($C511,COS!$B$8:$I$991,8,FALSE)=1,"UWFE","IBU")</f>
        <v>IBU</v>
      </c>
      <c r="V511" s="26">
        <f t="shared" ref="V511" si="822">MIN(IF(IF($AA$3=2,AND(E511=1,G511=1,L511=1,L514=1,M511=1,U511="IBU"),AND(E511=1,G511=1,L511=1,L514=1,M511=1)),T511,0),I511)</f>
        <v>80.122059366525704</v>
      </c>
      <c r="W511" s="26"/>
      <c r="X511" s="26"/>
      <c r="Y511" s="26"/>
      <c r="Z511" s="26"/>
      <c r="AA511" s="26"/>
      <c r="AB511" s="33"/>
    </row>
    <row r="512" spans="1:28" x14ac:dyDescent="0.3">
      <c r="A512" s="32">
        <f>VLOOKUP(YEAR(C512),Flags!$A$13:$B$95,2,FALSE)</f>
        <v>5</v>
      </c>
      <c r="B512" s="24">
        <f t="shared" si="739"/>
        <v>1977</v>
      </c>
      <c r="C512" s="25">
        <v>28337</v>
      </c>
      <c r="D512" s="26">
        <f>VLOOKUP($C512,COS!$B$8:$H$991,3,FALSE)</f>
        <v>12847.9814453125</v>
      </c>
      <c r="E512" s="24">
        <f>IF(D512&gt;=IF(MONTH($C512)=4,$C$3,IF(MONTH($C512)=5,$C$4,IF(MONTH($C512)=6,$C$5,IF(MONTH($C512)=7,$C$6,"ERROR")))),1,0)</f>
        <v>1</v>
      </c>
      <c r="F512" s="26">
        <f>VLOOKUP($C512,COS!$B$8:$H$991,7,FALSE)</f>
        <v>56.79901123046875</v>
      </c>
      <c r="G512" s="24">
        <f>IF(F512&lt;=IF(MONTH($C512)=4,$F$3,IF(MONTH($C512)=5,$F$4,IF(MONTH($C512)=6,$F$5,IF(MONTH($C512)=7,$F$6,"ERROR")))),1,0)</f>
        <v>0</v>
      </c>
      <c r="H512" s="26">
        <f>IF(J512=1,D512-$C$6,0)</f>
        <v>0</v>
      </c>
      <c r="I512" s="26">
        <f t="shared" si="764"/>
        <v>0</v>
      </c>
      <c r="J512" s="24">
        <f t="shared" si="813"/>
        <v>0</v>
      </c>
      <c r="K512" s="26">
        <f>VLOOKUP($C512,COS!$B$8:$H$991,2,FALSE)</f>
        <v>674.0113525390625</v>
      </c>
      <c r="L512" s="24">
        <f t="shared" si="741"/>
        <v>1</v>
      </c>
      <c r="M512" s="24">
        <f t="shared" si="742"/>
        <v>1</v>
      </c>
      <c r="N512" s="26">
        <f>VLOOKUP($C512,COS!$B$8:$H$991,5,FALSE)</f>
        <v>236.5211181640625</v>
      </c>
      <c r="O512" s="26">
        <f t="shared" si="816"/>
        <v>14.543116687112603</v>
      </c>
      <c r="P512" s="26">
        <f>VLOOKUP($C512,COS!$B$8:$H$991,6,FALSE)</f>
        <v>2273.37158203125</v>
      </c>
      <c r="Q512" s="26">
        <f t="shared" si="817"/>
        <v>139.78417000258267</v>
      </c>
      <c r="R512" s="26">
        <f>MIN(IF(MONTH($C512)=4,$S$3,IF(MONTH($C512)=5,$S$4,IF(MONTH($C512)=6,$S$5,IF(MONTH($C512)=7,$S$6,"ERROR")))),MAX(VLOOKUP($C512,COS!$B$8:$K$991,10,FALSE)-IF(MONTH($C512)=4,$Y$3,IF(MONTH($C512)=5,$Y$4,IF(MONTH($C512)=6,$Y$5,IF(MONTH($C512)=7,$Y$6,"ERROR")))),0),MAX(VLOOKUP($C512,COS!$B$8:$K$991,9,FALSE)-IF(MONTH($C512)=4,$V$3,IF(MONTH($C512)=5,$V$4,IF(MONTH($C512)=6,$V$5,IF(MONTH($C512)=7,$V$6,"ERROR"))))-VLOOKUP($C512,COS!$B$8:$K$991,6,FALSE)/2,0))</f>
        <v>0</v>
      </c>
      <c r="S512" s="26">
        <f t="shared" si="818"/>
        <v>0</v>
      </c>
      <c r="T512" s="26">
        <f t="shared" si="819"/>
        <v>77.163643344847642</v>
      </c>
      <c r="U512" s="26" t="str">
        <f>IF(VLOOKUP($C512,COS!$B$8:$I$991,8,FALSE)=1,"UWFE","IBU")</f>
        <v>IBU</v>
      </c>
      <c r="V512" s="26">
        <f t="shared" ref="V512" si="823">MIN(IF(IF($AA$3=2,AND(E512=1,G512=1,L512=1,L514=1,M512=1,U512="IBU"),AND(E512=1,G512=1,L512=1,L514=1,M512=1)),T512,0),I512)</f>
        <v>0</v>
      </c>
      <c r="W512" s="26"/>
      <c r="X512" s="26"/>
      <c r="Y512" s="26"/>
      <c r="Z512" s="26"/>
      <c r="AA512" s="26"/>
      <c r="AB512" s="33"/>
    </row>
    <row r="513" spans="1:28" x14ac:dyDescent="0.3">
      <c r="A513" s="32">
        <f>VLOOKUP(YEAR(C513),Flags!$A$13:$B$95,2,FALSE)</f>
        <v>5</v>
      </c>
      <c r="B513" s="24">
        <f t="shared" si="739"/>
        <v>1977</v>
      </c>
      <c r="C513" s="25">
        <v>28368</v>
      </c>
      <c r="D513" s="26"/>
      <c r="E513" s="24"/>
      <c r="F513" s="26"/>
      <c r="G513" s="24"/>
      <c r="H513" s="24"/>
      <c r="I513" s="26"/>
      <c r="J513" s="24"/>
      <c r="K513" s="26"/>
      <c r="L513" s="24"/>
      <c r="M513" s="24"/>
      <c r="N513" s="26"/>
      <c r="O513" s="26"/>
      <c r="P513" s="26"/>
      <c r="Q513" s="26"/>
      <c r="R513" s="26"/>
      <c r="S513" s="26"/>
      <c r="T513" s="26"/>
      <c r="U513" s="26"/>
      <c r="V513" s="26"/>
      <c r="W513" s="26">
        <f>MAX($C$7-VLOOKUP($C513,COS!$B$8:$H$991,3,FALSE),0)</f>
        <v>90811.39453125</v>
      </c>
      <c r="X513" s="26">
        <f t="shared" si="769"/>
        <v>5583.7750025826454</v>
      </c>
      <c r="Y513" s="26">
        <f>VLOOKUP($C513,COS!$B$8:$H$991,4,FALSE)</f>
        <v>3103.3232421875</v>
      </c>
      <c r="Z513" s="26">
        <f t="shared" si="770"/>
        <v>190.81590844524794</v>
      </c>
      <c r="AA513" s="26">
        <f t="shared" ref="AA513:AA517" si="824">MIN(W513,Y513)</f>
        <v>3103.3232421875</v>
      </c>
      <c r="AB513" s="33">
        <f t="shared" ref="AB513" si="825">AA513*DAY($C513)*86400/43560/1000*IF(MONTH($C513)=8,$P$3,IF(MONTH($C513)=9,$P$4,IF(MONTH($C513)=10,$P$5,IF(MONTH($C513)=11,$P$6,IF(MONTH($C513)=12,$P$7,NA())))))</f>
        <v>190.81590844524794</v>
      </c>
    </row>
    <row r="514" spans="1:28" x14ac:dyDescent="0.3">
      <c r="A514" s="32">
        <f>VLOOKUP(YEAR(C514),Flags!$A$13:$B$95,2,FALSE)</f>
        <v>5</v>
      </c>
      <c r="B514" s="24">
        <f t="shared" si="739"/>
        <v>1977</v>
      </c>
      <c r="C514" s="25">
        <v>28398</v>
      </c>
      <c r="D514" s="26"/>
      <c r="E514" s="24"/>
      <c r="F514" s="26"/>
      <c r="G514" s="24"/>
      <c r="H514" s="24"/>
      <c r="I514" s="26"/>
      <c r="J514" s="24"/>
      <c r="K514" s="26">
        <f>VLOOKUP($C514,COS!$B$8:$H$991,2,FALSE)</f>
        <v>550</v>
      </c>
      <c r="L514" s="24">
        <f t="shared" ref="L514" si="826">IF(AND(K514&gt;$I$7,K514&lt;$I$8),1,0)</f>
        <v>1</v>
      </c>
      <c r="M514" s="24"/>
      <c r="N514" s="26"/>
      <c r="O514" s="26"/>
      <c r="P514" s="26"/>
      <c r="Q514" s="26"/>
      <c r="R514" s="26"/>
      <c r="S514" s="26"/>
      <c r="T514" s="26"/>
      <c r="U514" s="26"/>
      <c r="V514" s="26"/>
      <c r="W514" s="26">
        <f>MAX($C$8-VLOOKUP($C514,COS!$B$8:$H$991,3,FALSE),0)</f>
        <v>96010.7861328125</v>
      </c>
      <c r="X514" s="26">
        <f t="shared" si="769"/>
        <v>5713.0385136880168</v>
      </c>
      <c r="Y514" s="26">
        <f>VLOOKUP($C514,COS!$B$8:$H$991,4,FALSE)</f>
        <v>2002.165283203125</v>
      </c>
      <c r="Z514" s="26">
        <f t="shared" si="770"/>
        <v>119.13710776084712</v>
      </c>
      <c r="AA514" s="26">
        <f t="shared" si="824"/>
        <v>2002.165283203125</v>
      </c>
      <c r="AB514" s="33">
        <f t="shared" si="752"/>
        <v>119.13710776084712</v>
      </c>
    </row>
    <row r="515" spans="1:28" x14ac:dyDescent="0.3">
      <c r="A515" s="32">
        <f>VLOOKUP(YEAR(C515),Flags!$A$13:$B$95,2,FALSE)</f>
        <v>5</v>
      </c>
      <c r="B515" s="24">
        <f t="shared" si="739"/>
        <v>1977</v>
      </c>
      <c r="C515" s="25">
        <v>28429</v>
      </c>
      <c r="D515" s="26"/>
      <c r="E515" s="24"/>
      <c r="F515" s="26"/>
      <c r="G515" s="26"/>
      <c r="H515" s="26"/>
      <c r="I515" s="26"/>
      <c r="J515" s="26"/>
      <c r="K515" s="26"/>
      <c r="L515" s="24"/>
      <c r="M515" s="24"/>
      <c r="N515" s="26"/>
      <c r="O515" s="26"/>
      <c r="P515" s="26"/>
      <c r="Q515" s="26"/>
      <c r="R515" s="26"/>
      <c r="S515" s="26"/>
      <c r="T515" s="26"/>
      <c r="U515" s="26"/>
      <c r="V515" s="26"/>
      <c r="W515" s="26">
        <f>MAX($C$9-VLOOKUP($C515,COS!$B$8:$H$991,3,FALSE),0)</f>
        <v>93437.82080078125</v>
      </c>
      <c r="X515" s="26">
        <f t="shared" si="769"/>
        <v>5745.2676591554746</v>
      </c>
      <c r="Y515" s="26">
        <f>VLOOKUP($C515,COS!$B$8:$H$991,4,FALSE)</f>
        <v>1799.302734375</v>
      </c>
      <c r="Z515" s="26">
        <f t="shared" si="770"/>
        <v>110.63481275826447</v>
      </c>
      <c r="AA515" s="26">
        <f t="shared" si="824"/>
        <v>1799.302734375</v>
      </c>
      <c r="AB515" s="33">
        <f t="shared" si="752"/>
        <v>110.63481275826447</v>
      </c>
    </row>
    <row r="516" spans="1:28" x14ac:dyDescent="0.3">
      <c r="A516" s="32">
        <f>VLOOKUP(YEAR(C516),Flags!$A$13:$B$95,2,FALSE)</f>
        <v>5</v>
      </c>
      <c r="B516" s="24">
        <f t="shared" si="739"/>
        <v>1977</v>
      </c>
      <c r="C516" s="25">
        <v>28459</v>
      </c>
      <c r="D516" s="26"/>
      <c r="E516" s="24"/>
      <c r="F516" s="26"/>
      <c r="G516" s="26"/>
      <c r="H516" s="26"/>
      <c r="I516" s="26"/>
      <c r="J516" s="26"/>
      <c r="K516" s="26"/>
      <c r="L516" s="24"/>
      <c r="M516" s="24"/>
      <c r="N516" s="26"/>
      <c r="O516" s="26"/>
      <c r="P516" s="26"/>
      <c r="Q516" s="26"/>
      <c r="R516" s="26"/>
      <c r="S516" s="26"/>
      <c r="T516" s="26"/>
      <c r="U516" s="26"/>
      <c r="V516" s="26"/>
      <c r="W516" s="26">
        <f>MAX($C$10-VLOOKUP($C516,COS!$B$8:$H$991,3,FALSE),0)</f>
        <v>96634.680419921875</v>
      </c>
      <c r="X516" s="26">
        <f t="shared" si="769"/>
        <v>5750.1628018465908</v>
      </c>
      <c r="Y516" s="26">
        <f>VLOOKUP($C516,COS!$B$8:$H$991,4,FALSE)</f>
        <v>1647.787109375</v>
      </c>
      <c r="Z516" s="26">
        <f t="shared" si="770"/>
        <v>98.05014204545455</v>
      </c>
      <c r="AA516" s="26">
        <f t="shared" si="824"/>
        <v>1647.787109375</v>
      </c>
      <c r="AB516" s="33">
        <f t="shared" si="752"/>
        <v>49.025071022727275</v>
      </c>
    </row>
    <row r="517" spans="1:28" x14ac:dyDescent="0.3">
      <c r="A517" s="34">
        <f>VLOOKUP(YEAR(C517),Flags!$A$13:$B$95,2,FALSE)</f>
        <v>5</v>
      </c>
      <c r="B517" s="35">
        <f t="shared" si="739"/>
        <v>1977</v>
      </c>
      <c r="C517" s="36">
        <v>28490</v>
      </c>
      <c r="D517" s="37"/>
      <c r="E517" s="35"/>
      <c r="F517" s="37"/>
      <c r="G517" s="37"/>
      <c r="H517" s="37"/>
      <c r="I517" s="37"/>
      <c r="J517" s="37"/>
      <c r="K517" s="37"/>
      <c r="L517" s="35"/>
      <c r="M517" s="35"/>
      <c r="N517" s="37"/>
      <c r="O517" s="37"/>
      <c r="P517" s="37"/>
      <c r="Q517" s="37"/>
      <c r="R517" s="37"/>
      <c r="S517" s="37"/>
      <c r="T517" s="37"/>
      <c r="U517" s="37"/>
      <c r="V517" s="37"/>
      <c r="W517" s="37">
        <f>MAX($C$11-VLOOKUP($C517,COS!$B$8:$H$991,3,FALSE),0)</f>
        <v>0</v>
      </c>
      <c r="X517" s="37">
        <f t="shared" si="769"/>
        <v>0</v>
      </c>
      <c r="Y517" s="37">
        <f>VLOOKUP($C517,COS!$B$8:$H$991,4,FALSE)</f>
        <v>1898.17529296875</v>
      </c>
      <c r="Z517" s="37">
        <f t="shared" si="770"/>
        <v>116.71424941890496</v>
      </c>
      <c r="AA517" s="37">
        <f t="shared" si="824"/>
        <v>0</v>
      </c>
      <c r="AB517" s="38">
        <f t="shared" si="752"/>
        <v>0</v>
      </c>
    </row>
    <row r="518" spans="1:28" x14ac:dyDescent="0.3">
      <c r="A518" s="27">
        <f>VLOOKUP(YEAR(C518),Flags!$A$13:$B$95,2,FALSE)</f>
        <v>2</v>
      </c>
      <c r="B518" s="28">
        <f t="shared" si="739"/>
        <v>1978</v>
      </c>
      <c r="C518" s="29">
        <v>28610</v>
      </c>
      <c r="D518" s="30">
        <f>VLOOKUP($C518,COS!$B$8:$H$991,3,FALSE)</f>
        <v>5366.947265625</v>
      </c>
      <c r="E518" s="28">
        <f>IF(D518&gt;=IF(MONTH($C518)=4,$C$3,IF(MONTH($C518)=5,$C$4,IF(MONTH($C518)=6,$C$5,IF(MONTH($C518)=7,$C$6,"ERROR")))),1,0)</f>
        <v>0</v>
      </c>
      <c r="F518" s="30">
        <f>VLOOKUP($C518,COS!$B$8:$H$991,7,FALSE)</f>
        <v>47.174221038818359</v>
      </c>
      <c r="G518" s="28">
        <f>IF(F518&lt;=IF(MONTH($C518)=4,$F$3,IF(MONTH($C518)=5,$F$4,IF(MONTH($C518)=6,$F$5,IF(MONTH($C518)=7,$F$6,"ERROR")))),1,0)</f>
        <v>1</v>
      </c>
      <c r="H518" s="30">
        <f>IF(J518=1,D518-$C$3,0)</f>
        <v>0</v>
      </c>
      <c r="I518" s="30">
        <f t="shared" si="764"/>
        <v>0</v>
      </c>
      <c r="J518" s="28">
        <f t="shared" ref="J518:J521" si="827">IF(AND(E518=1,G518=1),1,0)</f>
        <v>0</v>
      </c>
      <c r="K518" s="30">
        <f>VLOOKUP($C518,COS!$B$8:$H$991,2,FALSE)</f>
        <v>4552</v>
      </c>
      <c r="L518" s="28">
        <f t="shared" ref="L518" si="828">IF(K518&lt;=IF(MONTH($C518)=4,$I$3,IF(MONTH($C518)=5,$I$4,IF(MONTH($C518)=6,$I$5,IF(MONTH($C518)=7,$I$6,"ERROR")))),1,0)</f>
        <v>1</v>
      </c>
      <c r="M518" s="28">
        <f t="shared" ref="M518" si="829">VLOOKUP($A518,$L$3:$M$7,2,FALSE)</f>
        <v>0</v>
      </c>
      <c r="N518" s="30">
        <f>VLOOKUP($C518,COS!$B$8:$H$991,5,FALSE)</f>
        <v>14.349928855895996</v>
      </c>
      <c r="O518" s="30">
        <f t="shared" ref="O518:O521" si="830">N518*DAY($C518)*86400/43560/1000</f>
        <v>0.85388006415248896</v>
      </c>
      <c r="P518" s="30">
        <f>VLOOKUP($C518,COS!$B$8:$H$991,6,FALSE)</f>
        <v>353.44631958007813</v>
      </c>
      <c r="Q518" s="30">
        <f t="shared" ref="Q518:Q521" si="831">P518*DAY($C518)*86400/43560/1000</f>
        <v>21.031516536996385</v>
      </c>
      <c r="R518" s="30">
        <f>MIN(IF(MONTH($C518)=4,$S$3,IF(MONTH($C518)=5,$S$4,IF(MONTH($C518)=6,$S$5,IF(MONTH($C518)=7,$S$6,"ERROR")))),MAX(VLOOKUP($C518,COS!$B$8:$K$991,10,FALSE)-IF(MONTH($C518)=4,$Y$3,IF(MONTH($C518)=5,$Y$4,IF(MONTH($C518)=6,$Y$5,IF(MONTH($C518)=7,$Y$6,"ERROR")))),0),MAX(VLOOKUP($C518,COS!$B$8:$K$991,9,FALSE)-IF(MONTH($C518)=4,$V$3,IF(MONTH($C518)=5,$V$4,IF(MONTH($C518)=6,$V$5,IF(MONTH($C518)=7,$V$6,"ERROR"))))-VLOOKUP($C518,COS!$B$8:$K$991,6,FALSE)/2,0))</f>
        <v>0</v>
      </c>
      <c r="S518" s="30">
        <f t="shared" ref="S518:S521" si="832">R518*DAY($C518)*86400/43560/1000</f>
        <v>0</v>
      </c>
      <c r="T518" s="30">
        <f t="shared" ref="T518:T521" si="833">(O518+Q518)/2+S518</f>
        <v>10.942698300574436</v>
      </c>
      <c r="U518" s="30" t="str">
        <f>IF(VLOOKUP($C518,COS!$B$8:$I$991,8,FALSE)=1,"UWFE","IBU")</f>
        <v>UWFE</v>
      </c>
      <c r="V518" s="30">
        <f t="shared" ref="V518" si="834">MIN(IF(IF($AA$3=2,AND(E518=1,G518=1,L518=1,L523=1,M518=1,U518="IBU"),AND(E518=1,G518=1,L518=1,L523=1,M518=1)),T518,0),I518)</f>
        <v>0</v>
      </c>
      <c r="W518" s="30"/>
      <c r="X518" s="30"/>
      <c r="Y518" s="30"/>
      <c r="Z518" s="30"/>
      <c r="AA518" s="30"/>
      <c r="AB518" s="31"/>
    </row>
    <row r="519" spans="1:28" x14ac:dyDescent="0.3">
      <c r="A519" s="32">
        <f>VLOOKUP(YEAR(C519),Flags!$A$13:$B$95,2,FALSE)</f>
        <v>2</v>
      </c>
      <c r="B519" s="24">
        <f t="shared" si="739"/>
        <v>1978</v>
      </c>
      <c r="C519" s="25">
        <v>28641</v>
      </c>
      <c r="D519" s="26">
        <f>VLOOKUP($C519,COS!$B$8:$H$991,3,FALSE)</f>
        <v>8295.84765625</v>
      </c>
      <c r="E519" s="24">
        <f>IF(D519&gt;=IF(MONTH($C519)=4,$C$3,IF(MONTH($C519)=5,$C$4,IF(MONTH($C519)=6,$C$5,IF(MONTH($C519)=7,$C$6,"ERROR")))),1,0)</f>
        <v>1</v>
      </c>
      <c r="F519" s="26">
        <f>VLOOKUP($C519,COS!$B$8:$H$991,7,FALSE)</f>
        <v>48.754131317138672</v>
      </c>
      <c r="G519" s="24">
        <f>IF(F519&lt;=IF(MONTH($C519)=4,$F$3,IF(MONTH($C519)=5,$F$4,IF(MONTH($C519)=6,$F$5,IF(MONTH($C519)=7,$F$6,"ERROR")))),1,0)</f>
        <v>1</v>
      </c>
      <c r="H519" s="26">
        <f>IF(J519=1,D519-$C$4,0)</f>
        <v>2295.84765625</v>
      </c>
      <c r="I519" s="26">
        <f t="shared" si="764"/>
        <v>141.16616993801654</v>
      </c>
      <c r="J519" s="24">
        <f t="shared" si="827"/>
        <v>1</v>
      </c>
      <c r="K519" s="26">
        <f>VLOOKUP($C519,COS!$B$8:$H$991,2,FALSE)</f>
        <v>4552</v>
      </c>
      <c r="L519" s="24">
        <f t="shared" si="741"/>
        <v>1</v>
      </c>
      <c r="M519" s="24">
        <f t="shared" si="742"/>
        <v>0</v>
      </c>
      <c r="N519" s="26">
        <f>VLOOKUP($C519,COS!$B$8:$H$991,5,FALSE)</f>
        <v>802.34027099609375</v>
      </c>
      <c r="O519" s="26">
        <f t="shared" si="830"/>
        <v>49.333980299263942</v>
      </c>
      <c r="P519" s="26">
        <f>VLOOKUP($C519,COS!$B$8:$H$991,6,FALSE)</f>
        <v>2254.8779296875</v>
      </c>
      <c r="Q519" s="26">
        <f t="shared" si="831"/>
        <v>138.64703964359506</v>
      </c>
      <c r="R519" s="26">
        <f>MIN(IF(MONTH($C519)=4,$S$3,IF(MONTH($C519)=5,$S$4,IF(MONTH($C519)=6,$S$5,IF(MONTH($C519)=7,$S$6,"ERROR")))),MAX(VLOOKUP($C519,COS!$B$8:$K$991,10,FALSE)-IF(MONTH($C519)=4,$Y$3,IF(MONTH($C519)=5,$Y$4,IF(MONTH($C519)=6,$Y$5,IF(MONTH($C519)=7,$Y$6,"ERROR")))),0),MAX(VLOOKUP($C519,COS!$B$8:$K$991,9,FALSE)-IF(MONTH($C519)=4,$V$3,IF(MONTH($C519)=5,$V$4,IF(MONTH($C519)=6,$V$5,IF(MONTH($C519)=7,$V$6,"ERROR"))))-VLOOKUP($C519,COS!$B$8:$K$991,6,FALSE)/2,0))</f>
        <v>0</v>
      </c>
      <c r="S519" s="26">
        <f t="shared" si="832"/>
        <v>0</v>
      </c>
      <c r="T519" s="26">
        <f t="shared" si="833"/>
        <v>93.990509971429503</v>
      </c>
      <c r="U519" s="26" t="str">
        <f>IF(VLOOKUP($C519,COS!$B$8:$I$991,8,FALSE)=1,"UWFE","IBU")</f>
        <v>UWFE</v>
      </c>
      <c r="V519" s="26">
        <f t="shared" ref="V519" si="835">MIN(IF(IF($AA$3=2,AND(E519=1,G519=1,L519=1,L523=1,M519=1,U519="IBU"),AND(E519=1,G519=1,L519=1,L523=1,M519=1)),T519,0),I519)</f>
        <v>0</v>
      </c>
      <c r="W519" s="26"/>
      <c r="X519" s="26"/>
      <c r="Y519" s="26"/>
      <c r="Z519" s="26"/>
      <c r="AA519" s="26"/>
      <c r="AB519" s="33"/>
    </row>
    <row r="520" spans="1:28" x14ac:dyDescent="0.3">
      <c r="A520" s="32">
        <f>VLOOKUP(YEAR(C520),Flags!$A$13:$B$95,2,FALSE)</f>
        <v>2</v>
      </c>
      <c r="B520" s="24">
        <f t="shared" si="739"/>
        <v>1978</v>
      </c>
      <c r="C520" s="25">
        <v>28671</v>
      </c>
      <c r="D520" s="26">
        <f>VLOOKUP($C520,COS!$B$8:$H$991,3,FALSE)</f>
        <v>9561.716796875</v>
      </c>
      <c r="E520" s="24">
        <f>IF(D520&gt;=IF(MONTH($C520)=4,$C$3,IF(MONTH($C520)=5,$C$4,IF(MONTH($C520)=6,$C$5,IF(MONTH($C520)=7,$C$6,"ERROR")))),1,0)</f>
        <v>0</v>
      </c>
      <c r="F520" s="26">
        <f>VLOOKUP($C520,COS!$B$8:$H$991,7,FALSE)</f>
        <v>49.9637451171875</v>
      </c>
      <c r="G520" s="24">
        <f>IF(F520&lt;=IF(MONTH($C520)=4,$F$3,IF(MONTH($C520)=5,$F$4,IF(MONTH($C520)=6,$F$5,IF(MONTH($C520)=7,$F$6,"ERROR")))),1,0)</f>
        <v>1</v>
      </c>
      <c r="H520" s="26">
        <f>IF(J520=1,D520-$C$5,0)</f>
        <v>0</v>
      </c>
      <c r="I520" s="26">
        <f t="shared" si="764"/>
        <v>0</v>
      </c>
      <c r="J520" s="24">
        <f t="shared" si="827"/>
        <v>0</v>
      </c>
      <c r="K520" s="26">
        <f>VLOOKUP($C520,COS!$B$8:$H$991,2,FALSE)</f>
        <v>4231.4814453125</v>
      </c>
      <c r="L520" s="24">
        <f t="shared" si="741"/>
        <v>1</v>
      </c>
      <c r="M520" s="24">
        <f t="shared" si="742"/>
        <v>0</v>
      </c>
      <c r="N520" s="26">
        <f>VLOOKUP($C520,COS!$B$8:$H$991,5,FALSE)</f>
        <v>1242.423828125</v>
      </c>
      <c r="O520" s="26">
        <f t="shared" si="830"/>
        <v>73.929351756198344</v>
      </c>
      <c r="P520" s="26">
        <f>VLOOKUP($C520,COS!$B$8:$H$991,6,FALSE)</f>
        <v>2349.44482421875</v>
      </c>
      <c r="Q520" s="26">
        <f t="shared" si="831"/>
        <v>139.80167549070248</v>
      </c>
      <c r="R520" s="26">
        <f>MIN(IF(MONTH($C520)=4,$S$3,IF(MONTH($C520)=5,$S$4,IF(MONTH($C520)=6,$S$5,IF(MONTH($C520)=7,$S$6,"ERROR")))),MAX(VLOOKUP($C520,COS!$B$8:$K$991,10,FALSE)-IF(MONTH($C520)=4,$Y$3,IF(MONTH($C520)=5,$Y$4,IF(MONTH($C520)=6,$Y$5,IF(MONTH($C520)=7,$Y$6,"ERROR")))),0),MAX(VLOOKUP($C520,COS!$B$8:$K$991,9,FALSE)-IF(MONTH($C520)=4,$V$3,IF(MONTH($C520)=5,$V$4,IF(MONTH($C520)=6,$V$5,IF(MONTH($C520)=7,$V$6,"ERROR"))))-VLOOKUP($C520,COS!$B$8:$K$991,6,FALSE)/2,0))</f>
        <v>0</v>
      </c>
      <c r="S520" s="26">
        <f t="shared" si="832"/>
        <v>0</v>
      </c>
      <c r="T520" s="26">
        <f t="shared" si="833"/>
        <v>106.86551362345041</v>
      </c>
      <c r="U520" s="26" t="str">
        <f>IF(VLOOKUP($C520,COS!$B$8:$I$991,8,FALSE)=1,"UWFE","IBU")</f>
        <v>UWFE</v>
      </c>
      <c r="V520" s="26">
        <f t="shared" ref="V520" si="836">MIN(IF(IF($AA$3=2,AND(E520=1,G520=1,L520=1,L523=1,M520=1,U520="IBU"),AND(E520=1,G520=1,L520=1,L523=1,M520=1)),T520,0),I520)</f>
        <v>0</v>
      </c>
      <c r="W520" s="26"/>
      <c r="X520" s="26"/>
      <c r="Y520" s="26"/>
      <c r="Z520" s="26"/>
      <c r="AA520" s="26"/>
      <c r="AB520" s="33"/>
    </row>
    <row r="521" spans="1:28" x14ac:dyDescent="0.3">
      <c r="A521" s="32">
        <f>VLOOKUP(YEAR(C521),Flags!$A$13:$B$95,2,FALSE)</f>
        <v>2</v>
      </c>
      <c r="B521" s="24">
        <f t="shared" si="739"/>
        <v>1978</v>
      </c>
      <c r="C521" s="25">
        <v>28702</v>
      </c>
      <c r="D521" s="26">
        <f>VLOOKUP($C521,COS!$B$8:$H$991,3,FALSE)</f>
        <v>13248.9892578125</v>
      </c>
      <c r="E521" s="24">
        <f>IF(D521&gt;=IF(MONTH($C521)=4,$C$3,IF(MONTH($C521)=5,$C$4,IF(MONTH($C521)=6,$C$5,IF(MONTH($C521)=7,$C$6,"ERROR")))),1,0)</f>
        <v>1</v>
      </c>
      <c r="F521" s="26">
        <f>VLOOKUP($C521,COS!$B$8:$H$991,7,FALSE)</f>
        <v>50.877964019775391</v>
      </c>
      <c r="G521" s="24">
        <f>IF(F521&lt;=IF(MONTH($C521)=4,$F$3,IF(MONTH($C521)=5,$F$4,IF(MONTH($C521)=6,$F$5,IF(MONTH($C521)=7,$F$6,"ERROR")))),1,0)</f>
        <v>1</v>
      </c>
      <c r="H521" s="26">
        <f>IF(J521=1,D521-$C$6,0)</f>
        <v>1248.9892578125</v>
      </c>
      <c r="I521" s="26">
        <f t="shared" si="764"/>
        <v>76.797356017561981</v>
      </c>
      <c r="J521" s="24">
        <f t="shared" si="827"/>
        <v>1</v>
      </c>
      <c r="K521" s="26">
        <f>VLOOKUP($C521,COS!$B$8:$H$991,2,FALSE)</f>
        <v>3678.985107421875</v>
      </c>
      <c r="L521" s="24">
        <f t="shared" si="741"/>
        <v>1</v>
      </c>
      <c r="M521" s="24">
        <f t="shared" si="742"/>
        <v>0</v>
      </c>
      <c r="N521" s="26">
        <f>VLOOKUP($C521,COS!$B$8:$H$991,5,FALSE)</f>
        <v>1355.9876708984375</v>
      </c>
      <c r="O521" s="26">
        <f t="shared" si="830"/>
        <v>83.376431995738628</v>
      </c>
      <c r="P521" s="26">
        <f>VLOOKUP($C521,COS!$B$8:$H$991,6,FALSE)</f>
        <v>2562.892822265625</v>
      </c>
      <c r="Q521" s="26">
        <f t="shared" si="831"/>
        <v>157.58613717071282</v>
      </c>
      <c r="R521" s="26">
        <f>MIN(IF(MONTH($C521)=4,$S$3,IF(MONTH($C521)=5,$S$4,IF(MONTH($C521)=6,$S$5,IF(MONTH($C521)=7,$S$6,"ERROR")))),MAX(VLOOKUP($C521,COS!$B$8:$K$991,10,FALSE)-IF(MONTH($C521)=4,$Y$3,IF(MONTH($C521)=5,$Y$4,IF(MONTH($C521)=6,$Y$5,IF(MONTH($C521)=7,$Y$6,"ERROR")))),0),MAX(VLOOKUP($C521,COS!$B$8:$K$991,9,FALSE)-IF(MONTH($C521)=4,$V$3,IF(MONTH($C521)=5,$V$4,IF(MONTH($C521)=6,$V$5,IF(MONTH($C521)=7,$V$6,"ERROR"))))-VLOOKUP($C521,COS!$B$8:$K$991,6,FALSE)/2,0))</f>
        <v>0</v>
      </c>
      <c r="S521" s="26">
        <f t="shared" si="832"/>
        <v>0</v>
      </c>
      <c r="T521" s="26">
        <f t="shared" si="833"/>
        <v>120.48128458322572</v>
      </c>
      <c r="U521" s="26" t="str">
        <f>IF(VLOOKUP($C521,COS!$B$8:$I$991,8,FALSE)=1,"UWFE","IBU")</f>
        <v>IBU</v>
      </c>
      <c r="V521" s="26">
        <f t="shared" ref="V521" si="837">MIN(IF(IF($AA$3=2,AND(E521=1,G521=1,L521=1,L523=1,M521=1,U521="IBU"),AND(E521=1,G521=1,L521=1,L523=1,M521=1)),T521,0),I521)</f>
        <v>0</v>
      </c>
      <c r="W521" s="26"/>
      <c r="X521" s="26"/>
      <c r="Y521" s="26"/>
      <c r="Z521" s="26"/>
      <c r="AA521" s="26"/>
      <c r="AB521" s="33"/>
    </row>
    <row r="522" spans="1:28" x14ac:dyDescent="0.3">
      <c r="A522" s="32">
        <f>VLOOKUP(YEAR(C522),Flags!$A$13:$B$95,2,FALSE)</f>
        <v>2</v>
      </c>
      <c r="B522" s="24">
        <f t="shared" si="739"/>
        <v>1978</v>
      </c>
      <c r="C522" s="25">
        <v>28733</v>
      </c>
      <c r="D522" s="26"/>
      <c r="E522" s="24"/>
      <c r="F522" s="26"/>
      <c r="G522" s="24"/>
      <c r="H522" s="24"/>
      <c r="I522" s="26"/>
      <c r="J522" s="24"/>
      <c r="K522" s="26"/>
      <c r="L522" s="24"/>
      <c r="M522" s="24"/>
      <c r="N522" s="26"/>
      <c r="O522" s="26"/>
      <c r="P522" s="26"/>
      <c r="Q522" s="26"/>
      <c r="R522" s="26"/>
      <c r="S522" s="26"/>
      <c r="T522" s="26"/>
      <c r="U522" s="26"/>
      <c r="V522" s="26"/>
      <c r="W522" s="26">
        <f>MAX($C$7-VLOOKUP($C522,COS!$B$8:$H$991,3,FALSE),0)</f>
        <v>90311.0869140625</v>
      </c>
      <c r="X522" s="26">
        <f t="shared" si="769"/>
        <v>5553.0122862861563</v>
      </c>
      <c r="Y522" s="26">
        <f>VLOOKUP($C522,COS!$B$8:$H$991,4,FALSE)</f>
        <v>138.08555603027344</v>
      </c>
      <c r="Z522" s="26">
        <f t="shared" si="770"/>
        <v>8.490549891448218</v>
      </c>
      <c r="AA522" s="26">
        <f t="shared" ref="AA522:AA526" si="838">MIN(W522,Y522)</f>
        <v>138.08555603027344</v>
      </c>
      <c r="AB522" s="33">
        <f t="shared" ref="AB522" si="839">AA522*DAY($C522)*86400/43560/1000*IF(MONTH($C522)=8,$P$3,IF(MONTH($C522)=9,$P$4,IF(MONTH($C522)=10,$P$5,IF(MONTH($C522)=11,$P$6,IF(MONTH($C522)=12,$P$7,NA())))))</f>
        <v>8.490549891448218</v>
      </c>
    </row>
    <row r="523" spans="1:28" x14ac:dyDescent="0.3">
      <c r="A523" s="32">
        <f>VLOOKUP(YEAR(C523),Flags!$A$13:$B$95,2,FALSE)</f>
        <v>2</v>
      </c>
      <c r="B523" s="24">
        <f t="shared" si="739"/>
        <v>1978</v>
      </c>
      <c r="C523" s="25">
        <v>28763</v>
      </c>
      <c r="D523" s="26"/>
      <c r="E523" s="24"/>
      <c r="F523" s="26"/>
      <c r="G523" s="24"/>
      <c r="H523" s="24"/>
      <c r="I523" s="26"/>
      <c r="J523" s="24"/>
      <c r="K523" s="26">
        <f>VLOOKUP($C523,COS!$B$8:$H$991,2,FALSE)</f>
        <v>3233.942626953125</v>
      </c>
      <c r="L523" s="24">
        <f t="shared" ref="L523" si="840">IF(AND(K523&gt;$I$7,K523&lt;$I$8),1,0)</f>
        <v>1</v>
      </c>
      <c r="M523" s="24"/>
      <c r="N523" s="26"/>
      <c r="O523" s="26"/>
      <c r="P523" s="26"/>
      <c r="Q523" s="26"/>
      <c r="R523" s="26"/>
      <c r="S523" s="26"/>
      <c r="T523" s="26"/>
      <c r="U523" s="26"/>
      <c r="V523" s="26"/>
      <c r="W523" s="26">
        <f>MAX($C$8-VLOOKUP($C523,COS!$B$8:$H$991,3,FALSE),0)</f>
        <v>93316.7197265625</v>
      </c>
      <c r="X523" s="26">
        <f t="shared" si="769"/>
        <v>5552.7304300103306</v>
      </c>
      <c r="Y523" s="26">
        <f>VLOOKUP($C523,COS!$B$8:$H$991,4,FALSE)</f>
        <v>124.30649566650391</v>
      </c>
      <c r="Z523" s="26">
        <f t="shared" si="770"/>
        <v>7.3967501553622164</v>
      </c>
      <c r="AA523" s="26">
        <f t="shared" si="838"/>
        <v>124.30649566650391</v>
      </c>
      <c r="AB523" s="33">
        <f t="shared" si="752"/>
        <v>7.3967501553622164</v>
      </c>
    </row>
    <row r="524" spans="1:28" x14ac:dyDescent="0.3">
      <c r="A524" s="32">
        <f>VLOOKUP(YEAR(C524),Flags!$A$13:$B$95,2,FALSE)</f>
        <v>2</v>
      </c>
      <c r="B524" s="24">
        <f t="shared" si="739"/>
        <v>1978</v>
      </c>
      <c r="C524" s="25">
        <v>28794</v>
      </c>
      <c r="D524" s="26"/>
      <c r="E524" s="24"/>
      <c r="F524" s="26"/>
      <c r="G524" s="26"/>
      <c r="H524" s="26"/>
      <c r="I524" s="26"/>
      <c r="J524" s="26"/>
      <c r="K524" s="26"/>
      <c r="L524" s="24"/>
      <c r="M524" s="24"/>
      <c r="N524" s="26"/>
      <c r="O524" s="26"/>
      <c r="P524" s="26"/>
      <c r="Q524" s="26"/>
      <c r="R524" s="26"/>
      <c r="S524" s="26"/>
      <c r="T524" s="26"/>
      <c r="U524" s="26"/>
      <c r="V524" s="26"/>
      <c r="W524" s="26">
        <f>MAX($C$9-VLOOKUP($C524,COS!$B$8:$H$991,3,FALSE),0)</f>
        <v>94237.51806640625</v>
      </c>
      <c r="X524" s="26">
        <f t="shared" si="769"/>
        <v>5794.4391273889469</v>
      </c>
      <c r="Y524" s="26">
        <f>VLOOKUP($C524,COS!$B$8:$H$991,4,FALSE)</f>
        <v>308.338623046875</v>
      </c>
      <c r="Z524" s="26">
        <f t="shared" si="770"/>
        <v>18.959002937758264</v>
      </c>
      <c r="AA524" s="26">
        <f t="shared" si="838"/>
        <v>308.338623046875</v>
      </c>
      <c r="AB524" s="33">
        <f t="shared" si="752"/>
        <v>18.959002937758264</v>
      </c>
    </row>
    <row r="525" spans="1:28" x14ac:dyDescent="0.3">
      <c r="A525" s="32">
        <f>VLOOKUP(YEAR(C525),Flags!$A$13:$B$95,2,FALSE)</f>
        <v>2</v>
      </c>
      <c r="B525" s="24">
        <f t="shared" si="739"/>
        <v>1978</v>
      </c>
      <c r="C525" s="25">
        <v>28824</v>
      </c>
      <c r="D525" s="26"/>
      <c r="E525" s="24"/>
      <c r="F525" s="26"/>
      <c r="G525" s="26"/>
      <c r="H525" s="26"/>
      <c r="I525" s="26"/>
      <c r="J525" s="26"/>
      <c r="K525" s="26"/>
      <c r="L525" s="24"/>
      <c r="M525" s="24"/>
      <c r="N525" s="26"/>
      <c r="O525" s="26"/>
      <c r="P525" s="26"/>
      <c r="Q525" s="26"/>
      <c r="R525" s="26"/>
      <c r="S525" s="26"/>
      <c r="T525" s="26"/>
      <c r="U525" s="26"/>
      <c r="V525" s="26"/>
      <c r="W525" s="26">
        <f>MAX($C$10-VLOOKUP($C525,COS!$B$8:$H$991,3,FALSE),0)</f>
        <v>90817.384765625</v>
      </c>
      <c r="X525" s="26">
        <f t="shared" si="769"/>
        <v>5404.0096720041329</v>
      </c>
      <c r="Y525" s="26">
        <f>VLOOKUP($C525,COS!$B$8:$H$991,4,FALSE)</f>
        <v>283.46884155273438</v>
      </c>
      <c r="Z525" s="26">
        <f t="shared" si="770"/>
        <v>16.867567431237088</v>
      </c>
      <c r="AA525" s="26">
        <f t="shared" si="838"/>
        <v>283.46884155273438</v>
      </c>
      <c r="AB525" s="33">
        <f t="shared" si="752"/>
        <v>8.433783715618544</v>
      </c>
    </row>
    <row r="526" spans="1:28" x14ac:dyDescent="0.3">
      <c r="A526" s="34">
        <f>VLOOKUP(YEAR(C526),Flags!$A$13:$B$95,2,FALSE)</f>
        <v>2</v>
      </c>
      <c r="B526" s="35">
        <f t="shared" si="739"/>
        <v>1978</v>
      </c>
      <c r="C526" s="36">
        <v>28855</v>
      </c>
      <c r="D526" s="37"/>
      <c r="E526" s="35"/>
      <c r="F526" s="37"/>
      <c r="G526" s="37"/>
      <c r="H526" s="37"/>
      <c r="I526" s="37"/>
      <c r="J526" s="37"/>
      <c r="K526" s="37"/>
      <c r="L526" s="35"/>
      <c r="M526" s="35"/>
      <c r="N526" s="37"/>
      <c r="O526" s="37"/>
      <c r="P526" s="37"/>
      <c r="Q526" s="37"/>
      <c r="R526" s="37"/>
      <c r="S526" s="37"/>
      <c r="T526" s="37"/>
      <c r="U526" s="37"/>
      <c r="V526" s="37"/>
      <c r="W526" s="37">
        <f>MAX($C$11-VLOOKUP($C526,COS!$B$8:$H$991,3,FALSE),0)</f>
        <v>0</v>
      </c>
      <c r="X526" s="37">
        <f t="shared" si="769"/>
        <v>0</v>
      </c>
      <c r="Y526" s="37">
        <f>VLOOKUP($C526,COS!$B$8:$H$991,4,FALSE)</f>
        <v>569.04254150390625</v>
      </c>
      <c r="Z526" s="37">
        <f t="shared" si="770"/>
        <v>34.989062056107954</v>
      </c>
      <c r="AA526" s="37">
        <f t="shared" si="838"/>
        <v>0</v>
      </c>
      <c r="AB526" s="38">
        <f t="shared" si="752"/>
        <v>0</v>
      </c>
    </row>
    <row r="527" spans="1:28" x14ac:dyDescent="0.3">
      <c r="A527" s="27">
        <f>VLOOKUP(YEAR(C527),Flags!$A$13:$B$95,2,FALSE)</f>
        <v>4</v>
      </c>
      <c r="B527" s="28">
        <f t="shared" ref="B527:B590" si="841">YEAR(C527)</f>
        <v>1979</v>
      </c>
      <c r="C527" s="29">
        <v>28975</v>
      </c>
      <c r="D527" s="30">
        <f>VLOOKUP($C527,COS!$B$8:$H$991,3,FALSE)</f>
        <v>3250</v>
      </c>
      <c r="E527" s="28">
        <f>IF(D527&gt;=IF(MONTH($C527)=4,$C$3,IF(MONTH($C527)=5,$C$4,IF(MONTH($C527)=6,$C$5,IF(MONTH($C527)=7,$C$6,"ERROR")))),1,0)</f>
        <v>0</v>
      </c>
      <c r="F527" s="30">
        <f>VLOOKUP($C527,COS!$B$8:$H$991,7,FALSE)</f>
        <v>51.270172119140625</v>
      </c>
      <c r="G527" s="28">
        <f>IF(F527&lt;=IF(MONTH($C527)=4,$F$3,IF(MONTH($C527)=5,$F$4,IF(MONTH($C527)=6,$F$5,IF(MONTH($C527)=7,$F$6,"ERROR")))),1,0)</f>
        <v>1</v>
      </c>
      <c r="H527" s="30">
        <f>IF(J527=1,D527-$C$3,0)</f>
        <v>0</v>
      </c>
      <c r="I527" s="30">
        <f t="shared" si="764"/>
        <v>0</v>
      </c>
      <c r="J527" s="28">
        <f t="shared" ref="J527:J530" si="842">IF(AND(E527=1,G527=1),1,0)</f>
        <v>0</v>
      </c>
      <c r="K527" s="30">
        <f>VLOOKUP($C527,COS!$B$8:$H$991,2,FALSE)</f>
        <v>4053.44189453125</v>
      </c>
      <c r="L527" s="28">
        <f t="shared" ref="L527:L584" si="843">IF(K527&lt;=IF(MONTH($C527)=4,$I$3,IF(MONTH($C527)=5,$I$4,IF(MONTH($C527)=6,$I$5,IF(MONTH($C527)=7,$I$6,"ERROR")))),1,0)</f>
        <v>1</v>
      </c>
      <c r="M527" s="28">
        <f t="shared" ref="M527:M584" si="844">VLOOKUP($A527,$L$3:$M$7,2,FALSE)</f>
        <v>1</v>
      </c>
      <c r="N527" s="30">
        <f>VLOOKUP($C527,COS!$B$8:$H$991,5,FALSE)</f>
        <v>214.24491882324219</v>
      </c>
      <c r="O527" s="30">
        <f t="shared" ref="O527:O530" si="845">N527*DAY($C527)*86400/43560/1000</f>
        <v>12.748457979564824</v>
      </c>
      <c r="P527" s="30">
        <f>VLOOKUP($C527,COS!$B$8:$H$991,6,FALSE)</f>
        <v>439.33358764648438</v>
      </c>
      <c r="Q527" s="30">
        <f t="shared" ref="Q527:Q530" si="846">P527*DAY($C527)*86400/43560/1000</f>
        <v>26.142163893013944</v>
      </c>
      <c r="R527" s="30">
        <f>MIN(IF(MONTH($C527)=4,$S$3,IF(MONTH($C527)=5,$S$4,IF(MONTH($C527)=6,$S$5,IF(MONTH($C527)=7,$S$6,"ERROR")))),MAX(VLOOKUP($C527,COS!$B$8:$K$991,10,FALSE)-IF(MONTH($C527)=4,$Y$3,IF(MONTH($C527)=5,$Y$4,IF(MONTH($C527)=6,$Y$5,IF(MONTH($C527)=7,$Y$6,"ERROR")))),0),MAX(VLOOKUP($C527,COS!$B$8:$K$991,9,FALSE)-IF(MONTH($C527)=4,$V$3,IF(MONTH($C527)=5,$V$4,IF(MONTH($C527)=6,$V$5,IF(MONTH($C527)=7,$V$6,"ERROR"))))-VLOOKUP($C527,COS!$B$8:$K$991,6,FALSE)/2,0))</f>
        <v>0</v>
      </c>
      <c r="S527" s="30">
        <f t="shared" ref="S527:S530" si="847">R527*DAY($C527)*86400/43560/1000</f>
        <v>0</v>
      </c>
      <c r="T527" s="30">
        <f t="shared" ref="T527:T530" si="848">(O527+Q527)/2+S527</f>
        <v>19.445310936289385</v>
      </c>
      <c r="U527" s="30" t="str">
        <f>IF(VLOOKUP($C527,COS!$B$8:$I$991,8,FALSE)=1,"UWFE","IBU")</f>
        <v>UWFE</v>
      </c>
      <c r="V527" s="30">
        <f t="shared" ref="V527" si="849">MIN(IF(IF($AA$3=2,AND(E527=1,G527=1,L527=1,L532=1,M527=1,U527="IBU"),AND(E527=1,G527=1,L527=1,L532=1,M527=1)),T527,0),I527)</f>
        <v>0</v>
      </c>
      <c r="W527" s="30"/>
      <c r="X527" s="30"/>
      <c r="Y527" s="30"/>
      <c r="Z527" s="30"/>
      <c r="AA527" s="30"/>
      <c r="AB527" s="31"/>
    </row>
    <row r="528" spans="1:28" x14ac:dyDescent="0.3">
      <c r="A528" s="32">
        <f>VLOOKUP(YEAR(C528),Flags!$A$13:$B$95,2,FALSE)</f>
        <v>4</v>
      </c>
      <c r="B528" s="24">
        <f t="shared" si="841"/>
        <v>1979</v>
      </c>
      <c r="C528" s="25">
        <v>29006</v>
      </c>
      <c r="D528" s="26">
        <f>VLOOKUP($C528,COS!$B$8:$H$991,3,FALSE)</f>
        <v>4739.0380859375</v>
      </c>
      <c r="E528" s="24">
        <f>IF(D528&gt;=IF(MONTH($C528)=4,$C$3,IF(MONTH($C528)=5,$C$4,IF(MONTH($C528)=6,$C$5,IF(MONTH($C528)=7,$C$6,"ERROR")))),1,0)</f>
        <v>0</v>
      </c>
      <c r="F528" s="26">
        <f>VLOOKUP($C528,COS!$B$8:$H$991,7,FALSE)</f>
        <v>53.222888946533203</v>
      </c>
      <c r="G528" s="24">
        <f>IF(F528&lt;=IF(MONTH($C528)=4,$F$3,IF(MONTH($C528)=5,$F$4,IF(MONTH($C528)=6,$F$5,IF(MONTH($C528)=7,$F$6,"ERROR")))),1,0)</f>
        <v>1</v>
      </c>
      <c r="H528" s="26">
        <f>IF(J528=1,D528-$C$4,0)</f>
        <v>0</v>
      </c>
      <c r="I528" s="26">
        <f t="shared" si="764"/>
        <v>0</v>
      </c>
      <c r="J528" s="24">
        <f t="shared" si="842"/>
        <v>0</v>
      </c>
      <c r="K528" s="26">
        <f>VLOOKUP($C528,COS!$B$8:$H$991,2,FALSE)</f>
        <v>4220.81298828125</v>
      </c>
      <c r="L528" s="24">
        <f t="shared" si="843"/>
        <v>1</v>
      </c>
      <c r="M528" s="24">
        <f t="shared" si="844"/>
        <v>1</v>
      </c>
      <c r="N528" s="26">
        <f>VLOOKUP($C528,COS!$B$8:$H$991,5,FALSE)</f>
        <v>321.92453002929688</v>
      </c>
      <c r="O528" s="26">
        <f t="shared" si="845"/>
        <v>19.794367796842717</v>
      </c>
      <c r="P528" s="26">
        <f>VLOOKUP($C528,COS!$B$8:$H$991,6,FALSE)</f>
        <v>2260.58740234375</v>
      </c>
      <c r="Q528" s="26">
        <f t="shared" si="846"/>
        <v>138.99810143336776</v>
      </c>
      <c r="R528" s="26">
        <f>MIN(IF(MONTH($C528)=4,$S$3,IF(MONTH($C528)=5,$S$4,IF(MONTH($C528)=6,$S$5,IF(MONTH($C528)=7,$S$6,"ERROR")))),MAX(VLOOKUP($C528,COS!$B$8:$K$991,10,FALSE)-IF(MONTH($C528)=4,$Y$3,IF(MONTH($C528)=5,$Y$4,IF(MONTH($C528)=6,$Y$5,IF(MONTH($C528)=7,$Y$6,"ERROR")))),0),MAX(VLOOKUP($C528,COS!$B$8:$K$991,9,FALSE)-IF(MONTH($C528)=4,$V$3,IF(MONTH($C528)=5,$V$4,IF(MONTH($C528)=6,$V$5,IF(MONTH($C528)=7,$V$6,"ERROR"))))-VLOOKUP($C528,COS!$B$8:$K$991,6,FALSE)/2,0))</f>
        <v>0</v>
      </c>
      <c r="S528" s="26">
        <f t="shared" si="847"/>
        <v>0</v>
      </c>
      <c r="T528" s="26">
        <f t="shared" si="848"/>
        <v>79.396234615105243</v>
      </c>
      <c r="U528" s="26" t="str">
        <f>IF(VLOOKUP($C528,COS!$B$8:$I$991,8,FALSE)=1,"UWFE","IBU")</f>
        <v>UWFE</v>
      </c>
      <c r="V528" s="26">
        <f t="shared" ref="V528" si="850">MIN(IF(IF($AA$3=2,AND(E528=1,G528=1,L528=1,L532=1,M528=1,U528="IBU"),AND(E528=1,G528=1,L528=1,L532=1,M528=1)),T528,0),I528)</f>
        <v>0</v>
      </c>
      <c r="W528" s="26"/>
      <c r="X528" s="26"/>
      <c r="Y528" s="26"/>
      <c r="Z528" s="26"/>
      <c r="AA528" s="26"/>
      <c r="AB528" s="33"/>
    </row>
    <row r="529" spans="1:28" x14ac:dyDescent="0.3">
      <c r="A529" s="32">
        <f>VLOOKUP(YEAR(C529),Flags!$A$13:$B$95,2,FALSE)</f>
        <v>4</v>
      </c>
      <c r="B529" s="24">
        <f t="shared" si="841"/>
        <v>1979</v>
      </c>
      <c r="C529" s="25">
        <v>29036</v>
      </c>
      <c r="D529" s="26">
        <f>VLOOKUP($C529,COS!$B$8:$H$991,3,FALSE)</f>
        <v>10586.1376953125</v>
      </c>
      <c r="E529" s="24">
        <f>IF(D529&gt;=IF(MONTH($C529)=4,$C$3,IF(MONTH($C529)=5,$C$4,IF(MONTH($C529)=6,$C$5,IF(MONTH($C529)=7,$C$6,"ERROR")))),1,0)</f>
        <v>1</v>
      </c>
      <c r="F529" s="26">
        <f>VLOOKUP($C529,COS!$B$8:$H$991,7,FALSE)</f>
        <v>51.544940948486328</v>
      </c>
      <c r="G529" s="24">
        <f>IF(F529&lt;=IF(MONTH($C529)=4,$F$3,IF(MONTH($C529)=5,$F$4,IF(MONTH($C529)=6,$F$5,IF(MONTH($C529)=7,$F$6,"ERROR")))),1,0)</f>
        <v>1</v>
      </c>
      <c r="H529" s="26">
        <f>IF(J529=1,D529-$C$5,0)</f>
        <v>586.1376953125</v>
      </c>
      <c r="I529" s="26">
        <f t="shared" si="764"/>
        <v>34.877614927685947</v>
      </c>
      <c r="J529" s="24">
        <f t="shared" si="842"/>
        <v>1</v>
      </c>
      <c r="K529" s="26">
        <f>VLOOKUP($C529,COS!$B$8:$H$991,2,FALSE)</f>
        <v>3800.5693359375</v>
      </c>
      <c r="L529" s="24">
        <f t="shared" si="843"/>
        <v>1</v>
      </c>
      <c r="M529" s="24">
        <f t="shared" si="844"/>
        <v>1</v>
      </c>
      <c r="N529" s="26">
        <f>VLOOKUP($C529,COS!$B$8:$H$991,5,FALSE)</f>
        <v>618.16412353515625</v>
      </c>
      <c r="O529" s="26">
        <f t="shared" si="845"/>
        <v>36.783319747546486</v>
      </c>
      <c r="P529" s="26">
        <f>VLOOKUP($C529,COS!$B$8:$H$991,6,FALSE)</f>
        <v>2677.335693359375</v>
      </c>
      <c r="Q529" s="26">
        <f t="shared" si="846"/>
        <v>159.31253712551654</v>
      </c>
      <c r="R529" s="26">
        <f>MIN(IF(MONTH($C529)=4,$S$3,IF(MONTH($C529)=5,$S$4,IF(MONTH($C529)=6,$S$5,IF(MONTH($C529)=7,$S$6,"ERROR")))),MAX(VLOOKUP($C529,COS!$B$8:$K$991,10,FALSE)-IF(MONTH($C529)=4,$Y$3,IF(MONTH($C529)=5,$Y$4,IF(MONTH($C529)=6,$Y$5,IF(MONTH($C529)=7,$Y$6,"ERROR")))),0),MAX(VLOOKUP($C529,COS!$B$8:$K$991,9,FALSE)-IF(MONTH($C529)=4,$V$3,IF(MONTH($C529)=5,$V$4,IF(MONTH($C529)=6,$V$5,IF(MONTH($C529)=7,$V$6,"ERROR"))))-VLOOKUP($C529,COS!$B$8:$K$991,6,FALSE)/2,0))</f>
        <v>0</v>
      </c>
      <c r="S529" s="26">
        <f t="shared" si="847"/>
        <v>0</v>
      </c>
      <c r="T529" s="26">
        <f t="shared" si="848"/>
        <v>98.047928436531521</v>
      </c>
      <c r="U529" s="26" t="str">
        <f>IF(VLOOKUP($C529,COS!$B$8:$I$991,8,FALSE)=1,"UWFE","IBU")</f>
        <v>IBU</v>
      </c>
      <c r="V529" s="26">
        <f t="shared" ref="V529" si="851">MIN(IF(IF($AA$3=2,AND(E529=1,G529=1,L529=1,L532=1,M529=1,U529="IBU"),AND(E529=1,G529=1,L529=1,L532=1,M529=1)),T529,0),I529)</f>
        <v>34.877614927685947</v>
      </c>
      <c r="W529" s="26"/>
      <c r="X529" s="26"/>
      <c r="Y529" s="26"/>
      <c r="Z529" s="26"/>
      <c r="AA529" s="26"/>
      <c r="AB529" s="33"/>
    </row>
    <row r="530" spans="1:28" x14ac:dyDescent="0.3">
      <c r="A530" s="32">
        <f>VLOOKUP(YEAR(C530),Flags!$A$13:$B$95,2,FALSE)</f>
        <v>4</v>
      </c>
      <c r="B530" s="24">
        <f t="shared" si="841"/>
        <v>1979</v>
      </c>
      <c r="C530" s="25">
        <v>29067</v>
      </c>
      <c r="D530" s="26">
        <f>VLOOKUP($C530,COS!$B$8:$H$991,3,FALSE)</f>
        <v>10198.0205078125</v>
      </c>
      <c r="E530" s="24">
        <f>IF(D530&gt;=IF(MONTH($C530)=4,$C$3,IF(MONTH($C530)=5,$C$4,IF(MONTH($C530)=6,$C$5,IF(MONTH($C530)=7,$C$6,"ERROR")))),1,0)</f>
        <v>0</v>
      </c>
      <c r="F530" s="26">
        <f>VLOOKUP($C530,COS!$B$8:$H$991,7,FALSE)</f>
        <v>52.837936401367188</v>
      </c>
      <c r="G530" s="24">
        <f>IF(F530&lt;=IF(MONTH($C530)=4,$F$3,IF(MONTH($C530)=5,$F$4,IF(MONTH($C530)=6,$F$5,IF(MONTH($C530)=7,$F$6,"ERROR")))),1,0)</f>
        <v>1</v>
      </c>
      <c r="H530" s="26">
        <f>IF(J530=1,D530-$C$6,0)</f>
        <v>0</v>
      </c>
      <c r="I530" s="26">
        <f t="shared" si="764"/>
        <v>0</v>
      </c>
      <c r="J530" s="24">
        <f t="shared" si="842"/>
        <v>0</v>
      </c>
      <c r="K530" s="26">
        <f>VLOOKUP($C530,COS!$B$8:$H$991,2,FALSE)</f>
        <v>3407.86474609375</v>
      </c>
      <c r="L530" s="24">
        <f t="shared" si="843"/>
        <v>1</v>
      </c>
      <c r="M530" s="24">
        <f t="shared" si="844"/>
        <v>1</v>
      </c>
      <c r="N530" s="26">
        <f>VLOOKUP($C530,COS!$B$8:$H$991,5,FALSE)</f>
        <v>673.1793212890625</v>
      </c>
      <c r="O530" s="26">
        <f t="shared" si="845"/>
        <v>41.392183061079542</v>
      </c>
      <c r="P530" s="26">
        <f>VLOOKUP($C530,COS!$B$8:$H$991,6,FALSE)</f>
        <v>2632.5888671875</v>
      </c>
      <c r="Q530" s="26">
        <f t="shared" si="846"/>
        <v>161.87157993285126</v>
      </c>
      <c r="R530" s="26">
        <f>MIN(IF(MONTH($C530)=4,$S$3,IF(MONTH($C530)=5,$S$4,IF(MONTH($C530)=6,$S$5,IF(MONTH($C530)=7,$S$6,"ERROR")))),MAX(VLOOKUP($C530,COS!$B$8:$K$991,10,FALSE)-IF(MONTH($C530)=4,$Y$3,IF(MONTH($C530)=5,$Y$4,IF(MONTH($C530)=6,$Y$5,IF(MONTH($C530)=7,$Y$6,"ERROR")))),0),MAX(VLOOKUP($C530,COS!$B$8:$K$991,9,FALSE)-IF(MONTH($C530)=4,$V$3,IF(MONTH($C530)=5,$V$4,IF(MONTH($C530)=6,$V$5,IF(MONTH($C530)=7,$V$6,"ERROR"))))-VLOOKUP($C530,COS!$B$8:$K$991,6,FALSE)/2,0))</f>
        <v>0</v>
      </c>
      <c r="S530" s="26">
        <f t="shared" si="847"/>
        <v>0</v>
      </c>
      <c r="T530" s="26">
        <f t="shared" si="848"/>
        <v>101.63188149696541</v>
      </c>
      <c r="U530" s="26" t="str">
        <f>IF(VLOOKUP($C530,COS!$B$8:$I$991,8,FALSE)=1,"UWFE","IBU")</f>
        <v>IBU</v>
      </c>
      <c r="V530" s="26">
        <f t="shared" ref="V530" si="852">MIN(IF(IF($AA$3=2,AND(E530=1,G530=1,L530=1,L532=1,M530=1,U530="IBU"),AND(E530=1,G530=1,L530=1,L532=1,M530=1)),T530,0),I530)</f>
        <v>0</v>
      </c>
      <c r="W530" s="26"/>
      <c r="X530" s="26"/>
      <c r="Y530" s="26"/>
      <c r="Z530" s="26"/>
      <c r="AA530" s="26"/>
      <c r="AB530" s="33"/>
    </row>
    <row r="531" spans="1:28" x14ac:dyDescent="0.3">
      <c r="A531" s="32">
        <f>VLOOKUP(YEAR(C531),Flags!$A$13:$B$95,2,FALSE)</f>
        <v>4</v>
      </c>
      <c r="B531" s="24">
        <f t="shared" si="841"/>
        <v>1979</v>
      </c>
      <c r="C531" s="25">
        <v>29098</v>
      </c>
      <c r="D531" s="26"/>
      <c r="E531" s="24"/>
      <c r="F531" s="26"/>
      <c r="G531" s="24"/>
      <c r="H531" s="24"/>
      <c r="I531" s="26"/>
      <c r="J531" s="24"/>
      <c r="K531" s="26"/>
      <c r="L531" s="24"/>
      <c r="M531" s="24"/>
      <c r="N531" s="26"/>
      <c r="O531" s="26"/>
      <c r="P531" s="26"/>
      <c r="Q531" s="26"/>
      <c r="R531" s="26"/>
      <c r="S531" s="26"/>
      <c r="T531" s="26"/>
      <c r="U531" s="26"/>
      <c r="V531" s="26"/>
      <c r="W531" s="26">
        <f>MAX($C$7-VLOOKUP($C531,COS!$B$8:$H$991,3,FALSE),0)</f>
        <v>91695.837890625</v>
      </c>
      <c r="X531" s="26">
        <f t="shared" si="769"/>
        <v>5638.1573050103307</v>
      </c>
      <c r="Y531" s="26">
        <f>VLOOKUP($C531,COS!$B$8:$H$991,4,FALSE)</f>
        <v>53.124755859375</v>
      </c>
      <c r="Z531" s="26">
        <f t="shared" si="770"/>
        <v>3.2665139139979336</v>
      </c>
      <c r="AA531" s="26">
        <f t="shared" ref="AA531:AA535" si="853">MIN(W531,Y531)</f>
        <v>53.124755859375</v>
      </c>
      <c r="AB531" s="33">
        <f t="shared" ref="AB531:AB589" si="854">AA531*DAY($C531)*86400/43560/1000*IF(MONTH($C531)=8,$P$3,IF(MONTH($C531)=9,$P$4,IF(MONTH($C531)=10,$P$5,IF(MONTH($C531)=11,$P$6,IF(MONTH($C531)=12,$P$7,NA())))))</f>
        <v>3.2665139139979336</v>
      </c>
    </row>
    <row r="532" spans="1:28" x14ac:dyDescent="0.3">
      <c r="A532" s="32">
        <f>VLOOKUP(YEAR(C532),Flags!$A$13:$B$95,2,FALSE)</f>
        <v>4</v>
      </c>
      <c r="B532" s="24">
        <f t="shared" si="841"/>
        <v>1979</v>
      </c>
      <c r="C532" s="25">
        <v>29128</v>
      </c>
      <c r="D532" s="26"/>
      <c r="E532" s="24"/>
      <c r="F532" s="26"/>
      <c r="G532" s="24"/>
      <c r="H532" s="24"/>
      <c r="I532" s="26"/>
      <c r="J532" s="24"/>
      <c r="K532" s="26">
        <f>VLOOKUP($C532,COS!$B$8:$H$991,2,FALSE)</f>
        <v>3119.8076171875</v>
      </c>
      <c r="L532" s="24">
        <f t="shared" ref="L532" si="855">IF(AND(K532&gt;$I$7,K532&lt;$I$8),1,0)</f>
        <v>1</v>
      </c>
      <c r="M532" s="24"/>
      <c r="N532" s="26"/>
      <c r="O532" s="26"/>
      <c r="P532" s="26"/>
      <c r="Q532" s="26"/>
      <c r="R532" s="26"/>
      <c r="S532" s="26"/>
      <c r="T532" s="26"/>
      <c r="U532" s="26"/>
      <c r="V532" s="26"/>
      <c r="W532" s="26">
        <f>MAX($C$8-VLOOKUP($C532,COS!$B$8:$H$991,3,FALSE),0)</f>
        <v>95203.8974609375</v>
      </c>
      <c r="X532" s="26">
        <f t="shared" si="769"/>
        <v>5665.025303460744</v>
      </c>
      <c r="Y532" s="26">
        <f>VLOOKUP($C532,COS!$B$8:$H$991,4,FALSE)</f>
        <v>0</v>
      </c>
      <c r="Z532" s="26">
        <f t="shared" si="770"/>
        <v>0</v>
      </c>
      <c r="AA532" s="26">
        <f t="shared" si="853"/>
        <v>0</v>
      </c>
      <c r="AB532" s="33">
        <f t="shared" si="854"/>
        <v>0</v>
      </c>
    </row>
    <row r="533" spans="1:28" x14ac:dyDescent="0.3">
      <c r="A533" s="32">
        <f>VLOOKUP(YEAR(C533),Flags!$A$13:$B$95,2,FALSE)</f>
        <v>4</v>
      </c>
      <c r="B533" s="24">
        <f t="shared" si="841"/>
        <v>1979</v>
      </c>
      <c r="C533" s="25">
        <v>29159</v>
      </c>
      <c r="D533" s="26"/>
      <c r="E533" s="24"/>
      <c r="F533" s="26"/>
      <c r="G533" s="26"/>
      <c r="H533" s="26"/>
      <c r="I533" s="26"/>
      <c r="J533" s="26"/>
      <c r="K533" s="26"/>
      <c r="L533" s="24"/>
      <c r="M533" s="24"/>
      <c r="N533" s="26"/>
      <c r="O533" s="26"/>
      <c r="P533" s="26"/>
      <c r="Q533" s="26"/>
      <c r="R533" s="26"/>
      <c r="S533" s="26"/>
      <c r="T533" s="26"/>
      <c r="U533" s="26"/>
      <c r="V533" s="26"/>
      <c r="W533" s="26">
        <f>MAX($C$9-VLOOKUP($C533,COS!$B$8:$H$991,3,FALSE),0)</f>
        <v>95850.04736328125</v>
      </c>
      <c r="X533" s="26">
        <f t="shared" si="769"/>
        <v>5893.5896891141529</v>
      </c>
      <c r="Y533" s="26">
        <f>VLOOKUP($C533,COS!$B$8:$H$991,4,FALSE)</f>
        <v>801.079833984375</v>
      </c>
      <c r="Z533" s="26">
        <f t="shared" si="770"/>
        <v>49.256479048295454</v>
      </c>
      <c r="AA533" s="26">
        <f t="shared" si="853"/>
        <v>801.079833984375</v>
      </c>
      <c r="AB533" s="33">
        <f t="shared" si="854"/>
        <v>49.256479048295454</v>
      </c>
    </row>
    <row r="534" spans="1:28" x14ac:dyDescent="0.3">
      <c r="A534" s="32">
        <f>VLOOKUP(YEAR(C534),Flags!$A$13:$B$95,2,FALSE)</f>
        <v>4</v>
      </c>
      <c r="B534" s="24">
        <f t="shared" si="841"/>
        <v>1979</v>
      </c>
      <c r="C534" s="25">
        <v>29189</v>
      </c>
      <c r="D534" s="26"/>
      <c r="E534" s="24"/>
      <c r="F534" s="26"/>
      <c r="G534" s="26"/>
      <c r="H534" s="26"/>
      <c r="I534" s="26"/>
      <c r="J534" s="26"/>
      <c r="K534" s="26"/>
      <c r="L534" s="24"/>
      <c r="M534" s="24"/>
      <c r="N534" s="26"/>
      <c r="O534" s="26"/>
      <c r="P534" s="26"/>
      <c r="Q534" s="26"/>
      <c r="R534" s="26"/>
      <c r="S534" s="26"/>
      <c r="T534" s="26"/>
      <c r="U534" s="26"/>
      <c r="V534" s="26"/>
      <c r="W534" s="26">
        <f>MAX($C$10-VLOOKUP($C534,COS!$B$8:$H$991,3,FALSE),0)</f>
        <v>94181.76708984375</v>
      </c>
      <c r="X534" s="26">
        <f t="shared" si="769"/>
        <v>5604.2043227014465</v>
      </c>
      <c r="Y534" s="26">
        <f>VLOOKUP($C534,COS!$B$8:$H$991,4,FALSE)</f>
        <v>1226.431884765625</v>
      </c>
      <c r="Z534" s="26">
        <f t="shared" si="770"/>
        <v>72.977765043904967</v>
      </c>
      <c r="AA534" s="26">
        <f t="shared" si="853"/>
        <v>1226.431884765625</v>
      </c>
      <c r="AB534" s="33">
        <f t="shared" si="854"/>
        <v>36.488882521952483</v>
      </c>
    </row>
    <row r="535" spans="1:28" x14ac:dyDescent="0.3">
      <c r="A535" s="34">
        <f>VLOOKUP(YEAR(C535),Flags!$A$13:$B$95,2,FALSE)</f>
        <v>4</v>
      </c>
      <c r="B535" s="35">
        <f t="shared" si="841"/>
        <v>1979</v>
      </c>
      <c r="C535" s="36">
        <v>29220</v>
      </c>
      <c r="D535" s="37"/>
      <c r="E535" s="35"/>
      <c r="F535" s="37"/>
      <c r="G535" s="37"/>
      <c r="H535" s="37"/>
      <c r="I535" s="37"/>
      <c r="J535" s="37"/>
      <c r="K535" s="37"/>
      <c r="L535" s="35"/>
      <c r="M535" s="35"/>
      <c r="N535" s="37"/>
      <c r="O535" s="37"/>
      <c r="P535" s="37"/>
      <c r="Q535" s="37"/>
      <c r="R535" s="37"/>
      <c r="S535" s="37"/>
      <c r="T535" s="37"/>
      <c r="U535" s="37"/>
      <c r="V535" s="37"/>
      <c r="W535" s="37">
        <f>MAX($C$11-VLOOKUP($C535,COS!$B$8:$H$991,3,FALSE),0)</f>
        <v>0</v>
      </c>
      <c r="X535" s="37">
        <f t="shared" si="769"/>
        <v>0</v>
      </c>
      <c r="Y535" s="37">
        <f>VLOOKUP($C535,COS!$B$8:$H$991,4,FALSE)</f>
        <v>0</v>
      </c>
      <c r="Z535" s="37">
        <f t="shared" si="770"/>
        <v>0</v>
      </c>
      <c r="AA535" s="37">
        <f t="shared" si="853"/>
        <v>0</v>
      </c>
      <c r="AB535" s="38">
        <f t="shared" si="854"/>
        <v>0</v>
      </c>
    </row>
    <row r="536" spans="1:28" x14ac:dyDescent="0.3">
      <c r="A536" s="27">
        <f>VLOOKUP(YEAR(C536),Flags!$A$13:$B$95,2,FALSE)</f>
        <v>2</v>
      </c>
      <c r="B536" s="28">
        <f t="shared" si="841"/>
        <v>1980</v>
      </c>
      <c r="C536" s="29">
        <v>29341</v>
      </c>
      <c r="D536" s="30">
        <f>VLOOKUP($C536,COS!$B$8:$H$991,3,FALSE)</f>
        <v>3250</v>
      </c>
      <c r="E536" s="28">
        <f>IF(D536&gt;=IF(MONTH($C536)=4,$C$3,IF(MONTH($C536)=5,$C$4,IF(MONTH($C536)=6,$C$5,IF(MONTH($C536)=7,$C$6,"ERROR")))),1,0)</f>
        <v>0</v>
      </c>
      <c r="F536" s="30">
        <f>VLOOKUP($C536,COS!$B$8:$H$991,7,FALSE)</f>
        <v>50.949337005615234</v>
      </c>
      <c r="G536" s="28">
        <f>IF(F536&lt;=IF(MONTH($C536)=4,$F$3,IF(MONTH($C536)=5,$F$4,IF(MONTH($C536)=6,$F$5,IF(MONTH($C536)=7,$F$6,"ERROR")))),1,0)</f>
        <v>1</v>
      </c>
      <c r="H536" s="30">
        <f>IF(J536=1,D536-$C$3,0)</f>
        <v>0</v>
      </c>
      <c r="I536" s="30">
        <f t="shared" si="764"/>
        <v>0</v>
      </c>
      <c r="J536" s="28">
        <f t="shared" ref="J536:J539" si="856">IF(AND(E536=1,G536=1),1,0)</f>
        <v>0</v>
      </c>
      <c r="K536" s="30">
        <f>VLOOKUP($C536,COS!$B$8:$H$991,2,FALSE)</f>
        <v>4390.5458984375</v>
      </c>
      <c r="L536" s="28">
        <f t="shared" ref="L536" si="857">IF(K536&lt;=IF(MONTH($C536)=4,$I$3,IF(MONTH($C536)=5,$I$4,IF(MONTH($C536)=6,$I$5,IF(MONTH($C536)=7,$I$6,"ERROR")))),1,0)</f>
        <v>1</v>
      </c>
      <c r="M536" s="28">
        <f t="shared" ref="M536" si="858">VLOOKUP($A536,$L$3:$M$7,2,FALSE)</f>
        <v>0</v>
      </c>
      <c r="N536" s="30">
        <f>VLOOKUP($C536,COS!$B$8:$H$991,5,FALSE)</f>
        <v>343.85354614257813</v>
      </c>
      <c r="O536" s="30">
        <f t="shared" ref="O536:O539" si="859">N536*DAY($C536)*86400/43560/1000</f>
        <v>20.460706877905476</v>
      </c>
      <c r="P536" s="30">
        <f>VLOOKUP($C536,COS!$B$8:$H$991,6,FALSE)</f>
        <v>435.81771850585938</v>
      </c>
      <c r="Q536" s="30">
        <f t="shared" ref="Q536:Q539" si="860">P536*DAY($C536)*86400/43560/1000</f>
        <v>25.932955150761881</v>
      </c>
      <c r="R536" s="30">
        <f>MIN(IF(MONTH($C536)=4,$S$3,IF(MONTH($C536)=5,$S$4,IF(MONTH($C536)=6,$S$5,IF(MONTH($C536)=7,$S$6,"ERROR")))),MAX(VLOOKUP($C536,COS!$B$8:$K$991,10,FALSE)-IF(MONTH($C536)=4,$Y$3,IF(MONTH($C536)=5,$Y$4,IF(MONTH($C536)=6,$Y$5,IF(MONTH($C536)=7,$Y$6,"ERROR")))),0),MAX(VLOOKUP($C536,COS!$B$8:$K$991,9,FALSE)-IF(MONTH($C536)=4,$V$3,IF(MONTH($C536)=5,$V$4,IF(MONTH($C536)=6,$V$5,IF(MONTH($C536)=7,$V$6,"ERROR"))))-VLOOKUP($C536,COS!$B$8:$K$991,6,FALSE)/2,0))</f>
        <v>0</v>
      </c>
      <c r="S536" s="30">
        <f t="shared" ref="S536:S539" si="861">R536*DAY($C536)*86400/43560/1000</f>
        <v>0</v>
      </c>
      <c r="T536" s="30">
        <f t="shared" ref="T536:T539" si="862">(O536+Q536)/2+S536</f>
        <v>23.196831014333679</v>
      </c>
      <c r="U536" s="30" t="str">
        <f>IF(VLOOKUP($C536,COS!$B$8:$I$991,8,FALSE)=1,"UWFE","IBU")</f>
        <v>UWFE</v>
      </c>
      <c r="V536" s="30">
        <f t="shared" ref="V536" si="863">MIN(IF(IF($AA$3=2,AND(E536=1,G536=1,L536=1,L541=1,M536=1,U536="IBU"),AND(E536=1,G536=1,L536=1,L541=1,M536=1)),T536,0),I536)</f>
        <v>0</v>
      </c>
      <c r="W536" s="30"/>
      <c r="X536" s="30"/>
      <c r="Y536" s="30"/>
      <c r="Z536" s="30"/>
      <c r="AA536" s="30"/>
      <c r="AB536" s="31"/>
    </row>
    <row r="537" spans="1:28" x14ac:dyDescent="0.3">
      <c r="A537" s="32">
        <f>VLOOKUP(YEAR(C537),Flags!$A$13:$B$95,2,FALSE)</f>
        <v>2</v>
      </c>
      <c r="B537" s="24">
        <f t="shared" si="841"/>
        <v>1980</v>
      </c>
      <c r="C537" s="25">
        <v>29372</v>
      </c>
      <c r="D537" s="26">
        <f>VLOOKUP($C537,COS!$B$8:$H$991,3,FALSE)</f>
        <v>6651.8935546875</v>
      </c>
      <c r="E537" s="24">
        <f>IF(D537&gt;=IF(MONTH($C537)=4,$C$3,IF(MONTH($C537)=5,$C$4,IF(MONTH($C537)=6,$C$5,IF(MONTH($C537)=7,$C$6,"ERROR")))),1,0)</f>
        <v>1</v>
      </c>
      <c r="F537" s="26">
        <f>VLOOKUP($C537,COS!$B$8:$H$991,7,FALSE)</f>
        <v>50.088848114013672</v>
      </c>
      <c r="G537" s="24">
        <f>IF(F537&lt;=IF(MONTH($C537)=4,$F$3,IF(MONTH($C537)=5,$F$4,IF(MONTH($C537)=6,$F$5,IF(MONTH($C537)=7,$F$6,"ERROR")))),1,0)</f>
        <v>1</v>
      </c>
      <c r="H537" s="26">
        <f>IF(J537=1,D537-$C$4,0)</f>
        <v>651.8935546875</v>
      </c>
      <c r="I537" s="26">
        <f t="shared" si="764"/>
        <v>40.083372288223138</v>
      </c>
      <c r="J537" s="24">
        <f t="shared" si="856"/>
        <v>1</v>
      </c>
      <c r="K537" s="26">
        <f>VLOOKUP($C537,COS!$B$8:$H$991,2,FALSE)</f>
        <v>4360.00341796875</v>
      </c>
      <c r="L537" s="24">
        <f t="shared" si="843"/>
        <v>1</v>
      </c>
      <c r="M537" s="24">
        <f t="shared" si="844"/>
        <v>0</v>
      </c>
      <c r="N537" s="26">
        <f>VLOOKUP($C537,COS!$B$8:$H$991,5,FALSE)</f>
        <v>671.396728515625</v>
      </c>
      <c r="O537" s="26">
        <f t="shared" si="859"/>
        <v>41.282575703770661</v>
      </c>
      <c r="P537" s="26">
        <f>VLOOKUP($C537,COS!$B$8:$H$991,6,FALSE)</f>
        <v>2141.340087890625</v>
      </c>
      <c r="Q537" s="26">
        <f t="shared" si="860"/>
        <v>131.6658698669938</v>
      </c>
      <c r="R537" s="26">
        <f>MIN(IF(MONTH($C537)=4,$S$3,IF(MONTH($C537)=5,$S$4,IF(MONTH($C537)=6,$S$5,IF(MONTH($C537)=7,$S$6,"ERROR")))),MAX(VLOOKUP($C537,COS!$B$8:$K$991,10,FALSE)-IF(MONTH($C537)=4,$Y$3,IF(MONTH($C537)=5,$Y$4,IF(MONTH($C537)=6,$Y$5,IF(MONTH($C537)=7,$Y$6,"ERROR")))),0),MAX(VLOOKUP($C537,COS!$B$8:$K$991,9,FALSE)-IF(MONTH($C537)=4,$V$3,IF(MONTH($C537)=5,$V$4,IF(MONTH($C537)=6,$V$5,IF(MONTH($C537)=7,$V$6,"ERROR"))))-VLOOKUP($C537,COS!$B$8:$K$991,6,FALSE)/2,0))</f>
        <v>0</v>
      </c>
      <c r="S537" s="26">
        <f t="shared" si="861"/>
        <v>0</v>
      </c>
      <c r="T537" s="26">
        <f t="shared" si="862"/>
        <v>86.474222785382238</v>
      </c>
      <c r="U537" s="26" t="str">
        <f>IF(VLOOKUP($C537,COS!$B$8:$I$991,8,FALSE)=1,"UWFE","IBU")</f>
        <v>UWFE</v>
      </c>
      <c r="V537" s="26">
        <f t="shared" ref="V537" si="864">MIN(IF(IF($AA$3=2,AND(E537=1,G537=1,L537=1,L541=1,M537=1,U537="IBU"),AND(E537=1,G537=1,L537=1,L541=1,M537=1)),T537,0),I537)</f>
        <v>0</v>
      </c>
      <c r="W537" s="26"/>
      <c r="X537" s="26"/>
      <c r="Y537" s="26"/>
      <c r="Z537" s="26"/>
      <c r="AA537" s="26"/>
      <c r="AB537" s="33"/>
    </row>
    <row r="538" spans="1:28" x14ac:dyDescent="0.3">
      <c r="A538" s="32">
        <f>VLOOKUP(YEAR(C538),Flags!$A$13:$B$95,2,FALSE)</f>
        <v>2</v>
      </c>
      <c r="B538" s="24">
        <f t="shared" si="841"/>
        <v>1980</v>
      </c>
      <c r="C538" s="25">
        <v>29402</v>
      </c>
      <c r="D538" s="26">
        <f>VLOOKUP($C538,COS!$B$8:$H$991,3,FALSE)</f>
        <v>9056.001953125</v>
      </c>
      <c r="E538" s="24">
        <f>IF(D538&gt;=IF(MONTH($C538)=4,$C$3,IF(MONTH($C538)=5,$C$4,IF(MONTH($C538)=6,$C$5,IF(MONTH($C538)=7,$C$6,"ERROR")))),1,0)</f>
        <v>0</v>
      </c>
      <c r="F538" s="26">
        <f>VLOOKUP($C538,COS!$B$8:$H$991,7,FALSE)</f>
        <v>51.123935699462891</v>
      </c>
      <c r="G538" s="24">
        <f>IF(F538&lt;=IF(MONTH($C538)=4,$F$3,IF(MONTH($C538)=5,$F$4,IF(MONTH($C538)=6,$F$5,IF(MONTH($C538)=7,$F$6,"ERROR")))),1,0)</f>
        <v>1</v>
      </c>
      <c r="H538" s="26">
        <f>IF(J538=1,D538-$C$5,0)</f>
        <v>0</v>
      </c>
      <c r="I538" s="26">
        <f t="shared" si="764"/>
        <v>0</v>
      </c>
      <c r="J538" s="24">
        <f t="shared" si="856"/>
        <v>0</v>
      </c>
      <c r="K538" s="26">
        <f>VLOOKUP($C538,COS!$B$8:$H$991,2,FALSE)</f>
        <v>4114.19091796875</v>
      </c>
      <c r="L538" s="24">
        <f t="shared" si="843"/>
        <v>1</v>
      </c>
      <c r="M538" s="24">
        <f t="shared" si="844"/>
        <v>0</v>
      </c>
      <c r="N538" s="26">
        <f>VLOOKUP($C538,COS!$B$8:$H$991,5,FALSE)</f>
        <v>914.7728271484375</v>
      </c>
      <c r="O538" s="26">
        <f t="shared" si="859"/>
        <v>54.432763268336778</v>
      </c>
      <c r="P538" s="26">
        <f>VLOOKUP($C538,COS!$B$8:$H$991,6,FALSE)</f>
        <v>2280.555419921875</v>
      </c>
      <c r="Q538" s="26">
        <f t="shared" si="860"/>
        <v>135.70247126807851</v>
      </c>
      <c r="R538" s="26">
        <f>MIN(IF(MONTH($C538)=4,$S$3,IF(MONTH($C538)=5,$S$4,IF(MONTH($C538)=6,$S$5,IF(MONTH($C538)=7,$S$6,"ERROR")))),MAX(VLOOKUP($C538,COS!$B$8:$K$991,10,FALSE)-IF(MONTH($C538)=4,$Y$3,IF(MONTH($C538)=5,$Y$4,IF(MONTH($C538)=6,$Y$5,IF(MONTH($C538)=7,$Y$6,"ERROR")))),0),MAX(VLOOKUP($C538,COS!$B$8:$K$991,9,FALSE)-IF(MONTH($C538)=4,$V$3,IF(MONTH($C538)=5,$V$4,IF(MONTH($C538)=6,$V$5,IF(MONTH($C538)=7,$V$6,"ERROR"))))-VLOOKUP($C538,COS!$B$8:$K$991,6,FALSE)/2,0))</f>
        <v>0</v>
      </c>
      <c r="S538" s="26">
        <f t="shared" si="861"/>
        <v>0</v>
      </c>
      <c r="T538" s="26">
        <f t="shared" si="862"/>
        <v>95.067617268207641</v>
      </c>
      <c r="U538" s="26" t="str">
        <f>IF(VLOOKUP($C538,COS!$B$8:$I$991,8,FALSE)=1,"UWFE","IBU")</f>
        <v>UWFE</v>
      </c>
      <c r="V538" s="26">
        <f t="shared" ref="V538" si="865">MIN(IF(IF($AA$3=2,AND(E538=1,G538=1,L538=1,L541=1,M538=1,U538="IBU"),AND(E538=1,G538=1,L538=1,L541=1,M538=1)),T538,0),I538)</f>
        <v>0</v>
      </c>
      <c r="W538" s="26"/>
      <c r="X538" s="26"/>
      <c r="Y538" s="26"/>
      <c r="Z538" s="26"/>
      <c r="AA538" s="26"/>
      <c r="AB538" s="33"/>
    </row>
    <row r="539" spans="1:28" x14ac:dyDescent="0.3">
      <c r="A539" s="32">
        <f>VLOOKUP(YEAR(C539),Flags!$A$13:$B$95,2,FALSE)</f>
        <v>2</v>
      </c>
      <c r="B539" s="24">
        <f t="shared" si="841"/>
        <v>1980</v>
      </c>
      <c r="C539" s="25">
        <v>29433</v>
      </c>
      <c r="D539" s="26">
        <f>VLOOKUP($C539,COS!$B$8:$H$991,3,FALSE)</f>
        <v>11086.111328125</v>
      </c>
      <c r="E539" s="24">
        <f>IF(D539&gt;=IF(MONTH($C539)=4,$C$3,IF(MONTH($C539)=5,$C$4,IF(MONTH($C539)=6,$C$5,IF(MONTH($C539)=7,$C$6,"ERROR")))),1,0)</f>
        <v>0</v>
      </c>
      <c r="F539" s="26">
        <f>VLOOKUP($C539,COS!$B$8:$H$991,7,FALSE)</f>
        <v>51.426025390625</v>
      </c>
      <c r="G539" s="24">
        <f>IF(F539&lt;=IF(MONTH($C539)=4,$F$3,IF(MONTH($C539)=5,$F$4,IF(MONTH($C539)=6,$F$5,IF(MONTH($C539)=7,$F$6,"ERROR")))),1,0)</f>
        <v>1</v>
      </c>
      <c r="H539" s="26">
        <f>IF(J539=1,D539-$C$6,0)</f>
        <v>0</v>
      </c>
      <c r="I539" s="26">
        <f t="shared" si="764"/>
        <v>0</v>
      </c>
      <c r="J539" s="24">
        <f t="shared" si="856"/>
        <v>0</v>
      </c>
      <c r="K539" s="26">
        <f>VLOOKUP($C539,COS!$B$8:$H$991,2,FALSE)</f>
        <v>3708.154052734375</v>
      </c>
      <c r="L539" s="24">
        <f t="shared" si="843"/>
        <v>1</v>
      </c>
      <c r="M539" s="24">
        <f t="shared" si="844"/>
        <v>0</v>
      </c>
      <c r="N539" s="26">
        <f>VLOOKUP($C539,COS!$B$8:$H$991,5,FALSE)</f>
        <v>1062.265380859375</v>
      </c>
      <c r="O539" s="26">
        <f t="shared" si="859"/>
        <v>65.316152343750005</v>
      </c>
      <c r="P539" s="26">
        <f>VLOOKUP($C539,COS!$B$8:$H$991,6,FALSE)</f>
        <v>2538.12646484375</v>
      </c>
      <c r="Q539" s="26">
        <f t="shared" si="860"/>
        <v>156.06331321022728</v>
      </c>
      <c r="R539" s="26">
        <f>MIN(IF(MONTH($C539)=4,$S$3,IF(MONTH($C539)=5,$S$4,IF(MONTH($C539)=6,$S$5,IF(MONTH($C539)=7,$S$6,"ERROR")))),MAX(VLOOKUP($C539,COS!$B$8:$K$991,10,FALSE)-IF(MONTH($C539)=4,$Y$3,IF(MONTH($C539)=5,$Y$4,IF(MONTH($C539)=6,$Y$5,IF(MONTH($C539)=7,$Y$6,"ERROR")))),0),MAX(VLOOKUP($C539,COS!$B$8:$K$991,9,FALSE)-IF(MONTH($C539)=4,$V$3,IF(MONTH($C539)=5,$V$4,IF(MONTH($C539)=6,$V$5,IF(MONTH($C539)=7,$V$6,"ERROR"))))-VLOOKUP($C539,COS!$B$8:$K$991,6,FALSE)/2,0))</f>
        <v>0</v>
      </c>
      <c r="S539" s="26">
        <f t="shared" si="861"/>
        <v>0</v>
      </c>
      <c r="T539" s="26">
        <f t="shared" si="862"/>
        <v>110.68973277698865</v>
      </c>
      <c r="U539" s="26" t="str">
        <f>IF(VLOOKUP($C539,COS!$B$8:$I$991,8,FALSE)=1,"UWFE","IBU")</f>
        <v>IBU</v>
      </c>
      <c r="V539" s="26">
        <f t="shared" ref="V539" si="866">MIN(IF(IF($AA$3=2,AND(E539=1,G539=1,L539=1,L541=1,M539=1,U539="IBU"),AND(E539=1,G539=1,L539=1,L541=1,M539=1)),T539,0),I539)</f>
        <v>0</v>
      </c>
      <c r="W539" s="26"/>
      <c r="X539" s="26"/>
      <c r="Y539" s="26"/>
      <c r="Z539" s="26"/>
      <c r="AA539" s="26"/>
      <c r="AB539" s="33"/>
    </row>
    <row r="540" spans="1:28" x14ac:dyDescent="0.3">
      <c r="A540" s="32">
        <f>VLOOKUP(YEAR(C540),Flags!$A$13:$B$95,2,FALSE)</f>
        <v>2</v>
      </c>
      <c r="B540" s="24">
        <f t="shared" si="841"/>
        <v>1980</v>
      </c>
      <c r="C540" s="25">
        <v>29464</v>
      </c>
      <c r="D540" s="26"/>
      <c r="E540" s="24"/>
      <c r="F540" s="26"/>
      <c r="G540" s="24"/>
      <c r="H540" s="24"/>
      <c r="I540" s="26"/>
      <c r="J540" s="24"/>
      <c r="K540" s="26"/>
      <c r="L540" s="24"/>
      <c r="M540" s="24"/>
      <c r="N540" s="26"/>
      <c r="O540" s="26"/>
      <c r="P540" s="26"/>
      <c r="Q540" s="26"/>
      <c r="R540" s="26"/>
      <c r="S540" s="26"/>
      <c r="T540" s="26"/>
      <c r="U540" s="26"/>
      <c r="V540" s="26"/>
      <c r="W540" s="26">
        <f>MAX($C$7-VLOOKUP($C540,COS!$B$8:$H$991,3,FALSE),0)</f>
        <v>90859.5693359375</v>
      </c>
      <c r="X540" s="26">
        <f t="shared" si="769"/>
        <v>5586.7371558626037</v>
      </c>
      <c r="Y540" s="26">
        <f>VLOOKUP($C540,COS!$B$8:$H$991,4,FALSE)</f>
        <v>0</v>
      </c>
      <c r="Z540" s="26">
        <f t="shared" si="770"/>
        <v>0</v>
      </c>
      <c r="AA540" s="26">
        <f t="shared" ref="AA540:AA544" si="867">MIN(W540,Y540)</f>
        <v>0</v>
      </c>
      <c r="AB540" s="33">
        <f t="shared" ref="AB540" si="868">AA540*DAY($C540)*86400/43560/1000*IF(MONTH($C540)=8,$P$3,IF(MONTH($C540)=9,$P$4,IF(MONTH($C540)=10,$P$5,IF(MONTH($C540)=11,$P$6,IF(MONTH($C540)=12,$P$7,NA())))))</f>
        <v>0</v>
      </c>
    </row>
    <row r="541" spans="1:28" x14ac:dyDescent="0.3">
      <c r="A541" s="32">
        <f>VLOOKUP(YEAR(C541),Flags!$A$13:$B$95,2,FALSE)</f>
        <v>2</v>
      </c>
      <c r="B541" s="24">
        <f t="shared" si="841"/>
        <v>1980</v>
      </c>
      <c r="C541" s="25">
        <v>29494</v>
      </c>
      <c r="D541" s="26"/>
      <c r="E541" s="24"/>
      <c r="F541" s="26"/>
      <c r="G541" s="24"/>
      <c r="H541" s="24"/>
      <c r="I541" s="26"/>
      <c r="J541" s="24"/>
      <c r="K541" s="26">
        <f>VLOOKUP($C541,COS!$B$8:$H$991,2,FALSE)</f>
        <v>3161.38623046875</v>
      </c>
      <c r="L541" s="24">
        <f t="shared" ref="L541" si="869">IF(AND(K541&gt;$I$7,K541&lt;$I$8),1,0)</f>
        <v>1</v>
      </c>
      <c r="M541" s="24"/>
      <c r="N541" s="26"/>
      <c r="O541" s="26"/>
      <c r="P541" s="26"/>
      <c r="Q541" s="26"/>
      <c r="R541" s="26"/>
      <c r="S541" s="26"/>
      <c r="T541" s="26"/>
      <c r="U541" s="26"/>
      <c r="V541" s="26"/>
      <c r="W541" s="26">
        <f>MAX($C$8-VLOOKUP($C541,COS!$B$8:$H$991,3,FALSE),0)</f>
        <v>91065.9287109375</v>
      </c>
      <c r="X541" s="26">
        <f t="shared" si="769"/>
        <v>5418.7990637913226</v>
      </c>
      <c r="Y541" s="26">
        <f>VLOOKUP($C541,COS!$B$8:$H$991,4,FALSE)</f>
        <v>103.58695983886719</v>
      </c>
      <c r="Z541" s="26">
        <f t="shared" si="770"/>
        <v>6.1638521557011883</v>
      </c>
      <c r="AA541" s="26">
        <f t="shared" si="867"/>
        <v>103.58695983886719</v>
      </c>
      <c r="AB541" s="33">
        <f t="shared" si="854"/>
        <v>6.1638521557011883</v>
      </c>
    </row>
    <row r="542" spans="1:28" x14ac:dyDescent="0.3">
      <c r="A542" s="32">
        <f>VLOOKUP(YEAR(C542),Flags!$A$13:$B$95,2,FALSE)</f>
        <v>2</v>
      </c>
      <c r="B542" s="24">
        <f t="shared" si="841"/>
        <v>1980</v>
      </c>
      <c r="C542" s="25">
        <v>29525</v>
      </c>
      <c r="D542" s="26"/>
      <c r="E542" s="24"/>
      <c r="F542" s="26"/>
      <c r="G542" s="26"/>
      <c r="H542" s="26"/>
      <c r="I542" s="26"/>
      <c r="J542" s="26"/>
      <c r="K542" s="26"/>
      <c r="L542" s="24"/>
      <c r="M542" s="24"/>
      <c r="N542" s="26"/>
      <c r="O542" s="26"/>
      <c r="P542" s="26"/>
      <c r="Q542" s="26"/>
      <c r="R542" s="26"/>
      <c r="S542" s="26"/>
      <c r="T542" s="26"/>
      <c r="U542" s="26"/>
      <c r="V542" s="26"/>
      <c r="W542" s="26">
        <f>MAX($C$9-VLOOKUP($C542,COS!$B$8:$H$991,3,FALSE),0)</f>
        <v>93740.7666015625</v>
      </c>
      <c r="X542" s="26">
        <f t="shared" si="769"/>
        <v>5763.8950703770661</v>
      </c>
      <c r="Y542" s="26">
        <f>VLOOKUP($C542,COS!$B$8:$H$991,4,FALSE)</f>
        <v>295.8243408203125</v>
      </c>
      <c r="Z542" s="26">
        <f t="shared" si="770"/>
        <v>18.189529716554752</v>
      </c>
      <c r="AA542" s="26">
        <f t="shared" si="867"/>
        <v>295.8243408203125</v>
      </c>
      <c r="AB542" s="33">
        <f t="shared" si="854"/>
        <v>18.189529716554752</v>
      </c>
    </row>
    <row r="543" spans="1:28" x14ac:dyDescent="0.3">
      <c r="A543" s="32">
        <f>VLOOKUP(YEAR(C543),Flags!$A$13:$B$95,2,FALSE)</f>
        <v>2</v>
      </c>
      <c r="B543" s="24">
        <f t="shared" si="841"/>
        <v>1980</v>
      </c>
      <c r="C543" s="25">
        <v>29555</v>
      </c>
      <c r="D543" s="26"/>
      <c r="E543" s="24"/>
      <c r="F543" s="26"/>
      <c r="G543" s="26"/>
      <c r="H543" s="26"/>
      <c r="I543" s="26"/>
      <c r="J543" s="26"/>
      <c r="K543" s="26"/>
      <c r="L543" s="24"/>
      <c r="M543" s="24"/>
      <c r="N543" s="26"/>
      <c r="O543" s="26"/>
      <c r="P543" s="26"/>
      <c r="Q543" s="26"/>
      <c r="R543" s="26"/>
      <c r="S543" s="26"/>
      <c r="T543" s="26"/>
      <c r="U543" s="26"/>
      <c r="V543" s="26"/>
      <c r="W543" s="26">
        <f>MAX($C$10-VLOOKUP($C543,COS!$B$8:$H$991,3,FALSE),0)</f>
        <v>89348.224609375</v>
      </c>
      <c r="X543" s="26">
        <f t="shared" ref="X543:X606" si="870">W543*DAY($C543)*86400/43560/1000</f>
        <v>5316.5885717975207</v>
      </c>
      <c r="Y543" s="26">
        <f>VLOOKUP($C543,COS!$B$8:$H$991,4,FALSE)</f>
        <v>250.89311218261719</v>
      </c>
      <c r="Z543" s="26">
        <f t="shared" ref="Z543:Z606" si="871">Y543*DAY($C543)*86400/43560/1000</f>
        <v>14.929176923263173</v>
      </c>
      <c r="AA543" s="26">
        <f t="shared" si="867"/>
        <v>250.89311218261719</v>
      </c>
      <c r="AB543" s="33">
        <f t="shared" si="854"/>
        <v>7.4645884616315863</v>
      </c>
    </row>
    <row r="544" spans="1:28" x14ac:dyDescent="0.3">
      <c r="A544" s="34">
        <f>VLOOKUP(YEAR(C544),Flags!$A$13:$B$95,2,FALSE)</f>
        <v>2</v>
      </c>
      <c r="B544" s="35">
        <f t="shared" si="841"/>
        <v>1980</v>
      </c>
      <c r="C544" s="36">
        <v>29586</v>
      </c>
      <c r="D544" s="37"/>
      <c r="E544" s="35"/>
      <c r="F544" s="37"/>
      <c r="G544" s="37"/>
      <c r="H544" s="37"/>
      <c r="I544" s="37"/>
      <c r="J544" s="37"/>
      <c r="K544" s="37"/>
      <c r="L544" s="35"/>
      <c r="M544" s="35"/>
      <c r="N544" s="37"/>
      <c r="O544" s="37"/>
      <c r="P544" s="37"/>
      <c r="Q544" s="37"/>
      <c r="R544" s="37"/>
      <c r="S544" s="37"/>
      <c r="T544" s="37"/>
      <c r="U544" s="37"/>
      <c r="V544" s="37"/>
      <c r="W544" s="37">
        <f>MAX($C$11-VLOOKUP($C544,COS!$B$8:$H$991,3,FALSE),0)</f>
        <v>0</v>
      </c>
      <c r="X544" s="37">
        <f t="shared" si="870"/>
        <v>0</v>
      </c>
      <c r="Y544" s="37">
        <f>VLOOKUP($C544,COS!$B$8:$H$991,4,FALSE)</f>
        <v>0</v>
      </c>
      <c r="Z544" s="37">
        <f t="shared" si="871"/>
        <v>0</v>
      </c>
      <c r="AA544" s="37">
        <f t="shared" si="867"/>
        <v>0</v>
      </c>
      <c r="AB544" s="38">
        <f t="shared" si="854"/>
        <v>0</v>
      </c>
    </row>
    <row r="545" spans="1:28" x14ac:dyDescent="0.3">
      <c r="A545" s="27">
        <f>VLOOKUP(YEAR(C545),Flags!$A$13:$B$95,2,FALSE)</f>
        <v>4</v>
      </c>
      <c r="B545" s="28">
        <f t="shared" si="841"/>
        <v>1981</v>
      </c>
      <c r="C545" s="29">
        <v>29706</v>
      </c>
      <c r="D545" s="30">
        <f>VLOOKUP($C545,COS!$B$8:$H$991,3,FALSE)</f>
        <v>3250</v>
      </c>
      <c r="E545" s="28">
        <f>IF(D545&gt;=IF(MONTH($C545)=4,$C$3,IF(MONTH($C545)=5,$C$4,IF(MONTH($C545)=6,$C$5,IF(MONTH($C545)=7,$C$6,"ERROR")))),1,0)</f>
        <v>0</v>
      </c>
      <c r="F545" s="30">
        <f>VLOOKUP($C545,COS!$B$8:$H$991,7,FALSE)</f>
        <v>51.835830688476563</v>
      </c>
      <c r="G545" s="28">
        <f>IF(F545&lt;=IF(MONTH($C545)=4,$F$3,IF(MONTH($C545)=5,$F$4,IF(MONTH($C545)=6,$F$5,IF(MONTH($C545)=7,$F$6,"ERROR")))),1,0)</f>
        <v>1</v>
      </c>
      <c r="H545" s="30">
        <f>IF(J545=1,D545-$C$3,0)</f>
        <v>0</v>
      </c>
      <c r="I545" s="30">
        <f t="shared" ref="I545:I608" si="872">H545*DAY($C545)*86400/43560/1000</f>
        <v>0</v>
      </c>
      <c r="J545" s="28">
        <f t="shared" ref="J545:J548" si="873">IF(AND(E545=1,G545=1),1,0)</f>
        <v>0</v>
      </c>
      <c r="K545" s="30">
        <f>VLOOKUP($C545,COS!$B$8:$H$991,2,FALSE)</f>
        <v>4273.45361328125</v>
      </c>
      <c r="L545" s="28">
        <f t="shared" ref="L545" si="874">IF(K545&lt;=IF(MONTH($C545)=4,$I$3,IF(MONTH($C545)=5,$I$4,IF(MONTH($C545)=6,$I$5,IF(MONTH($C545)=7,$I$6,"ERROR")))),1,0)</f>
        <v>1</v>
      </c>
      <c r="M545" s="28">
        <f t="shared" ref="M545" si="875">VLOOKUP($A545,$L$3:$M$7,2,FALSE)</f>
        <v>1</v>
      </c>
      <c r="N545" s="30">
        <f>VLOOKUP($C545,COS!$B$8:$H$991,5,FALSE)</f>
        <v>216.92788696289063</v>
      </c>
      <c r="O545" s="30">
        <f t="shared" ref="O545:O548" si="876">N545*DAY($C545)*86400/43560/1000</f>
        <v>12.908105670519111</v>
      </c>
      <c r="P545" s="30">
        <f>VLOOKUP($C545,COS!$B$8:$H$991,6,FALSE)</f>
        <v>405.1795654296875</v>
      </c>
      <c r="Q545" s="30">
        <f t="shared" ref="Q545:Q548" si="877">P545*DAY($C545)*86400/43560/1000</f>
        <v>24.109858438791321</v>
      </c>
      <c r="R545" s="30">
        <f>MIN(IF(MONTH($C545)=4,$S$3,IF(MONTH($C545)=5,$S$4,IF(MONTH($C545)=6,$S$5,IF(MONTH($C545)=7,$S$6,"ERROR")))),MAX(VLOOKUP($C545,COS!$B$8:$K$991,10,FALSE)-IF(MONTH($C545)=4,$Y$3,IF(MONTH($C545)=5,$Y$4,IF(MONTH($C545)=6,$Y$5,IF(MONTH($C545)=7,$Y$6,"ERROR")))),0),MAX(VLOOKUP($C545,COS!$B$8:$K$991,9,FALSE)-IF(MONTH($C545)=4,$V$3,IF(MONTH($C545)=5,$V$4,IF(MONTH($C545)=6,$V$5,IF(MONTH($C545)=7,$V$6,"ERROR"))))-VLOOKUP($C545,COS!$B$8:$K$991,6,FALSE)/2,0))</f>
        <v>0</v>
      </c>
      <c r="S545" s="30">
        <f t="shared" ref="S545:S548" si="878">R545*DAY($C545)*86400/43560/1000</f>
        <v>0</v>
      </c>
      <c r="T545" s="30">
        <f t="shared" ref="T545:T548" si="879">(O545+Q545)/2+S545</f>
        <v>18.508982054655217</v>
      </c>
      <c r="U545" s="30" t="str">
        <f>IF(VLOOKUP($C545,COS!$B$8:$I$991,8,FALSE)=1,"UWFE","IBU")</f>
        <v>UWFE</v>
      </c>
      <c r="V545" s="30">
        <f t="shared" ref="V545" si="880">MIN(IF(IF($AA$3=2,AND(E545=1,G545=1,L545=1,L550=1,M545=1,U545="IBU"),AND(E545=1,G545=1,L545=1,L550=1,M545=1)),T545,0),I545)</f>
        <v>0</v>
      </c>
      <c r="W545" s="30"/>
      <c r="X545" s="30"/>
      <c r="Y545" s="30"/>
      <c r="Z545" s="30"/>
      <c r="AA545" s="30"/>
      <c r="AB545" s="31"/>
    </row>
    <row r="546" spans="1:28" x14ac:dyDescent="0.3">
      <c r="A546" s="32">
        <f>VLOOKUP(YEAR(C546),Flags!$A$13:$B$95,2,FALSE)</f>
        <v>4</v>
      </c>
      <c r="B546" s="24">
        <f t="shared" si="841"/>
        <v>1981</v>
      </c>
      <c r="C546" s="25">
        <v>29737</v>
      </c>
      <c r="D546" s="26">
        <f>VLOOKUP($C546,COS!$B$8:$H$991,3,FALSE)</f>
        <v>7636.04248046875</v>
      </c>
      <c r="E546" s="24">
        <f>IF(D546&gt;=IF(MONTH($C546)=4,$C$3,IF(MONTH($C546)=5,$C$4,IF(MONTH($C546)=6,$C$5,IF(MONTH($C546)=7,$C$6,"ERROR")))),1,0)</f>
        <v>1</v>
      </c>
      <c r="F546" s="26">
        <f>VLOOKUP($C546,COS!$B$8:$H$991,7,FALSE)</f>
        <v>50.98291015625</v>
      </c>
      <c r="G546" s="24">
        <f>IF(F546&lt;=IF(MONTH($C546)=4,$F$3,IF(MONTH($C546)=5,$F$4,IF(MONTH($C546)=6,$F$5,IF(MONTH($C546)=7,$F$6,"ERROR")))),1,0)</f>
        <v>1</v>
      </c>
      <c r="H546" s="26">
        <f>IF(J546=1,D546-$C$4,0)</f>
        <v>1636.04248046875</v>
      </c>
      <c r="I546" s="26">
        <f t="shared" si="872"/>
        <v>100.59633103047521</v>
      </c>
      <c r="J546" s="24">
        <f t="shared" si="873"/>
        <v>1</v>
      </c>
      <c r="K546" s="26">
        <f>VLOOKUP($C546,COS!$B$8:$H$991,2,FALSE)</f>
        <v>4072.649658203125</v>
      </c>
      <c r="L546" s="24">
        <f t="shared" si="843"/>
        <v>1</v>
      </c>
      <c r="M546" s="24">
        <f t="shared" si="844"/>
        <v>1</v>
      </c>
      <c r="N546" s="26">
        <f>VLOOKUP($C546,COS!$B$8:$H$991,5,FALSE)</f>
        <v>512.199951171875</v>
      </c>
      <c r="O546" s="26">
        <f t="shared" si="876"/>
        <v>31.493947410898759</v>
      </c>
      <c r="P546" s="26">
        <f>VLOOKUP($C546,COS!$B$8:$H$991,6,FALSE)</f>
        <v>2162.07861328125</v>
      </c>
      <c r="Q546" s="26">
        <f t="shared" si="877"/>
        <v>132.94103208935951</v>
      </c>
      <c r="R546" s="26">
        <f>MIN(IF(MONTH($C546)=4,$S$3,IF(MONTH($C546)=5,$S$4,IF(MONTH($C546)=6,$S$5,IF(MONTH($C546)=7,$S$6,"ERROR")))),MAX(VLOOKUP($C546,COS!$B$8:$K$991,10,FALSE)-IF(MONTH($C546)=4,$Y$3,IF(MONTH($C546)=5,$Y$4,IF(MONTH($C546)=6,$Y$5,IF(MONTH($C546)=7,$Y$6,"ERROR")))),0),MAX(VLOOKUP($C546,COS!$B$8:$K$991,9,FALSE)-IF(MONTH($C546)=4,$V$3,IF(MONTH($C546)=5,$V$4,IF(MONTH($C546)=6,$V$5,IF(MONTH($C546)=7,$V$6,"ERROR"))))-VLOOKUP($C546,COS!$B$8:$K$991,6,FALSE)/2,0))</f>
        <v>0</v>
      </c>
      <c r="S546" s="26">
        <f t="shared" si="878"/>
        <v>0</v>
      </c>
      <c r="T546" s="26">
        <f t="shared" si="879"/>
        <v>82.217489750129133</v>
      </c>
      <c r="U546" s="26" t="str">
        <f>IF(VLOOKUP($C546,COS!$B$8:$I$991,8,FALSE)=1,"UWFE","IBU")</f>
        <v>IBU</v>
      </c>
      <c r="V546" s="26">
        <f t="shared" ref="V546" si="881">MIN(IF(IF($AA$3=2,AND(E546=1,G546=1,L546=1,L550=1,M546=1,U546="IBU"),AND(E546=1,G546=1,L546=1,L550=1,M546=1)),T546,0),I546)</f>
        <v>82.217489750129133</v>
      </c>
      <c r="W546" s="26"/>
      <c r="X546" s="26"/>
      <c r="Y546" s="26"/>
      <c r="Z546" s="26"/>
      <c r="AA546" s="26"/>
      <c r="AB546" s="33"/>
    </row>
    <row r="547" spans="1:28" x14ac:dyDescent="0.3">
      <c r="A547" s="32">
        <f>VLOOKUP(YEAR(C547),Flags!$A$13:$B$95,2,FALSE)</f>
        <v>4</v>
      </c>
      <c r="B547" s="24">
        <f t="shared" si="841"/>
        <v>1981</v>
      </c>
      <c r="C547" s="25">
        <v>29767</v>
      </c>
      <c r="D547" s="26">
        <f>VLOOKUP($C547,COS!$B$8:$H$991,3,FALSE)</f>
        <v>14118.259765625</v>
      </c>
      <c r="E547" s="24">
        <f>IF(D547&gt;=IF(MONTH($C547)=4,$C$3,IF(MONTH($C547)=5,$C$4,IF(MONTH($C547)=6,$C$5,IF(MONTH($C547)=7,$C$6,"ERROR")))),1,0)</f>
        <v>1</v>
      </c>
      <c r="F547" s="26">
        <f>VLOOKUP($C547,COS!$B$8:$H$991,7,FALSE)</f>
        <v>50.939315795898438</v>
      </c>
      <c r="G547" s="24">
        <f>IF(F547&lt;=IF(MONTH($C547)=4,$F$3,IF(MONTH($C547)=5,$F$4,IF(MONTH($C547)=6,$F$5,IF(MONTH($C547)=7,$F$6,"ERROR")))),1,0)</f>
        <v>1</v>
      </c>
      <c r="H547" s="26">
        <f>IF(J547=1,D547-$C$5,0)</f>
        <v>4118.259765625</v>
      </c>
      <c r="I547" s="26">
        <f t="shared" si="872"/>
        <v>245.0534736570248</v>
      </c>
      <c r="J547" s="24">
        <f t="shared" si="873"/>
        <v>1</v>
      </c>
      <c r="K547" s="26">
        <f>VLOOKUP($C547,COS!$B$8:$H$991,2,FALSE)</f>
        <v>3447.17138671875</v>
      </c>
      <c r="L547" s="24">
        <f t="shared" si="843"/>
        <v>1</v>
      </c>
      <c r="M547" s="24">
        <f t="shared" si="844"/>
        <v>1</v>
      </c>
      <c r="N547" s="26">
        <f>VLOOKUP($C547,COS!$B$8:$H$991,5,FALSE)</f>
        <v>824.02752685546875</v>
      </c>
      <c r="O547" s="26">
        <f t="shared" si="876"/>
        <v>49.033042920325407</v>
      </c>
      <c r="P547" s="26">
        <f>VLOOKUP($C547,COS!$B$8:$H$991,6,FALSE)</f>
        <v>2714.961669921875</v>
      </c>
      <c r="Q547" s="26">
        <f t="shared" si="877"/>
        <v>161.55143821022727</v>
      </c>
      <c r="R547" s="26">
        <f>MIN(IF(MONTH($C547)=4,$S$3,IF(MONTH($C547)=5,$S$4,IF(MONTH($C547)=6,$S$5,IF(MONTH($C547)=7,$S$6,"ERROR")))),MAX(VLOOKUP($C547,COS!$B$8:$K$991,10,FALSE)-IF(MONTH($C547)=4,$Y$3,IF(MONTH($C547)=5,$Y$4,IF(MONTH($C547)=6,$Y$5,IF(MONTH($C547)=7,$Y$6,"ERROR")))),0),MAX(VLOOKUP($C547,COS!$B$8:$K$991,9,FALSE)-IF(MONTH($C547)=4,$V$3,IF(MONTH($C547)=5,$V$4,IF(MONTH($C547)=6,$V$5,IF(MONTH($C547)=7,$V$6,"ERROR"))))-VLOOKUP($C547,COS!$B$8:$K$991,6,FALSE)/2,0))</f>
        <v>0</v>
      </c>
      <c r="S547" s="26">
        <f t="shared" si="878"/>
        <v>0</v>
      </c>
      <c r="T547" s="26">
        <f t="shared" si="879"/>
        <v>105.29224056527634</v>
      </c>
      <c r="U547" s="26" t="str">
        <f>IF(VLOOKUP($C547,COS!$B$8:$I$991,8,FALSE)=1,"UWFE","IBU")</f>
        <v>IBU</v>
      </c>
      <c r="V547" s="26">
        <f t="shared" ref="V547" si="882">MIN(IF(IF($AA$3=2,AND(E547=1,G547=1,L547=1,L550=1,M547=1,U547="IBU"),AND(E547=1,G547=1,L547=1,L550=1,M547=1)),T547,0),I547)</f>
        <v>105.29224056527634</v>
      </c>
      <c r="W547" s="26"/>
      <c r="X547" s="26"/>
      <c r="Y547" s="26"/>
      <c r="Z547" s="26"/>
      <c r="AA547" s="26"/>
      <c r="AB547" s="33"/>
    </row>
    <row r="548" spans="1:28" x14ac:dyDescent="0.3">
      <c r="A548" s="32">
        <f>VLOOKUP(YEAR(C548),Flags!$A$13:$B$95,2,FALSE)</f>
        <v>4</v>
      </c>
      <c r="B548" s="24">
        <f t="shared" si="841"/>
        <v>1981</v>
      </c>
      <c r="C548" s="25">
        <v>29798</v>
      </c>
      <c r="D548" s="26">
        <f>VLOOKUP($C548,COS!$B$8:$H$991,3,FALSE)</f>
        <v>16000</v>
      </c>
      <c r="E548" s="24">
        <f>IF(D548&gt;=IF(MONTH($C548)=4,$C$3,IF(MONTH($C548)=5,$C$4,IF(MONTH($C548)=6,$C$5,IF(MONTH($C548)=7,$C$6,"ERROR")))),1,0)</f>
        <v>1</v>
      </c>
      <c r="F548" s="26">
        <f>VLOOKUP($C548,COS!$B$8:$H$991,7,FALSE)</f>
        <v>52.245452880859375</v>
      </c>
      <c r="G548" s="24">
        <f>IF(F548&lt;=IF(MONTH($C548)=4,$F$3,IF(MONTH($C548)=5,$F$4,IF(MONTH($C548)=6,$F$5,IF(MONTH($C548)=7,$F$6,"ERROR")))),1,0)</f>
        <v>1</v>
      </c>
      <c r="H548" s="26">
        <f>IF(J548=1,D548-$C$6,0)</f>
        <v>4000</v>
      </c>
      <c r="I548" s="26">
        <f t="shared" si="872"/>
        <v>245.95041322314049</v>
      </c>
      <c r="J548" s="24">
        <f t="shared" si="873"/>
        <v>1</v>
      </c>
      <c r="K548" s="26">
        <f>VLOOKUP($C548,COS!$B$8:$H$991,2,FALSE)</f>
        <v>2809.813720703125</v>
      </c>
      <c r="L548" s="24">
        <f t="shared" si="843"/>
        <v>1</v>
      </c>
      <c r="M548" s="24">
        <f t="shared" si="844"/>
        <v>1</v>
      </c>
      <c r="N548" s="26">
        <f>VLOOKUP($C548,COS!$B$8:$H$991,5,FALSE)</f>
        <v>902.334716796875</v>
      </c>
      <c r="O548" s="26">
        <f t="shared" si="876"/>
        <v>55.48239911544421</v>
      </c>
      <c r="P548" s="26">
        <f>VLOOKUP($C548,COS!$B$8:$H$991,6,FALSE)</f>
        <v>2538.07568359375</v>
      </c>
      <c r="Q548" s="26">
        <f t="shared" si="877"/>
        <v>156.06019079287191</v>
      </c>
      <c r="R548" s="26">
        <f>MIN(IF(MONTH($C548)=4,$S$3,IF(MONTH($C548)=5,$S$4,IF(MONTH($C548)=6,$S$5,IF(MONTH($C548)=7,$S$6,"ERROR")))),MAX(VLOOKUP($C548,COS!$B$8:$K$991,10,FALSE)-IF(MONTH($C548)=4,$Y$3,IF(MONTH($C548)=5,$Y$4,IF(MONTH($C548)=6,$Y$5,IF(MONTH($C548)=7,$Y$6,"ERROR")))),0),MAX(VLOOKUP($C548,COS!$B$8:$K$991,9,FALSE)-IF(MONTH($C548)=4,$V$3,IF(MONTH($C548)=5,$V$4,IF(MONTH($C548)=6,$V$5,IF(MONTH($C548)=7,$V$6,"ERROR"))))-VLOOKUP($C548,COS!$B$8:$K$991,6,FALSE)/2,0))</f>
        <v>0</v>
      </c>
      <c r="S548" s="26">
        <f t="shared" si="878"/>
        <v>0</v>
      </c>
      <c r="T548" s="26">
        <f t="shared" si="879"/>
        <v>105.77129495415807</v>
      </c>
      <c r="U548" s="26" t="str">
        <f>IF(VLOOKUP($C548,COS!$B$8:$I$991,8,FALSE)=1,"UWFE","IBU")</f>
        <v>IBU</v>
      </c>
      <c r="V548" s="26">
        <f t="shared" ref="V548" si="883">MIN(IF(IF($AA$3=2,AND(E548=1,G548=1,L548=1,L550=1,M548=1,U548="IBU"),AND(E548=1,G548=1,L548=1,L550=1,M548=1)),T548,0),I548)</f>
        <v>105.77129495415807</v>
      </c>
      <c r="W548" s="26"/>
      <c r="X548" s="26"/>
      <c r="Y548" s="26"/>
      <c r="Z548" s="26"/>
      <c r="AA548" s="26"/>
      <c r="AB548" s="33"/>
    </row>
    <row r="549" spans="1:28" x14ac:dyDescent="0.3">
      <c r="A549" s="32">
        <f>VLOOKUP(YEAR(C549),Flags!$A$13:$B$95,2,FALSE)</f>
        <v>4</v>
      </c>
      <c r="B549" s="24">
        <f t="shared" si="841"/>
        <v>1981</v>
      </c>
      <c r="C549" s="25">
        <v>29829</v>
      </c>
      <c r="D549" s="26"/>
      <c r="E549" s="24"/>
      <c r="F549" s="26"/>
      <c r="G549" s="24"/>
      <c r="H549" s="24"/>
      <c r="I549" s="26"/>
      <c r="J549" s="24"/>
      <c r="K549" s="26"/>
      <c r="L549" s="24"/>
      <c r="M549" s="24"/>
      <c r="N549" s="26"/>
      <c r="O549" s="26"/>
      <c r="P549" s="26"/>
      <c r="Q549" s="26"/>
      <c r="R549" s="26"/>
      <c r="S549" s="26"/>
      <c r="T549" s="26"/>
      <c r="U549" s="26"/>
      <c r="V549" s="26"/>
      <c r="W549" s="26">
        <f>MAX($C$7-VLOOKUP($C549,COS!$B$8:$H$991,3,FALSE),0)</f>
        <v>91031.4130859375</v>
      </c>
      <c r="X549" s="26">
        <f t="shared" si="870"/>
        <v>5597.3034161931819</v>
      </c>
      <c r="Y549" s="26">
        <f>VLOOKUP($C549,COS!$B$8:$H$991,4,FALSE)</f>
        <v>3055.62109375</v>
      </c>
      <c r="Z549" s="26">
        <f t="shared" si="871"/>
        <v>187.88281766528925</v>
      </c>
      <c r="AA549" s="26">
        <f t="shared" ref="AA549:AA553" si="884">MIN(W549,Y549)</f>
        <v>3055.62109375</v>
      </c>
      <c r="AB549" s="33">
        <f t="shared" ref="AB549" si="885">AA549*DAY($C549)*86400/43560/1000*IF(MONTH($C549)=8,$P$3,IF(MONTH($C549)=9,$P$4,IF(MONTH($C549)=10,$P$5,IF(MONTH($C549)=11,$P$6,IF(MONTH($C549)=12,$P$7,NA())))))</f>
        <v>187.88281766528925</v>
      </c>
    </row>
    <row r="550" spans="1:28" x14ac:dyDescent="0.3">
      <c r="A550" s="32">
        <f>VLOOKUP(YEAR(C550),Flags!$A$13:$B$95,2,FALSE)</f>
        <v>4</v>
      </c>
      <c r="B550" s="24">
        <f t="shared" si="841"/>
        <v>1981</v>
      </c>
      <c r="C550" s="25">
        <v>29859</v>
      </c>
      <c r="D550" s="26"/>
      <c r="E550" s="24"/>
      <c r="F550" s="26"/>
      <c r="G550" s="24"/>
      <c r="H550" s="24"/>
      <c r="I550" s="26"/>
      <c r="J550" s="24"/>
      <c r="K550" s="26">
        <f>VLOOKUP($C550,COS!$B$8:$H$991,2,FALSE)</f>
        <v>2475.966796875</v>
      </c>
      <c r="L550" s="24">
        <f t="shared" ref="L550" si="886">IF(AND(K550&gt;$I$7,K550&lt;$I$8),1,0)</f>
        <v>1</v>
      </c>
      <c r="M550" s="24"/>
      <c r="N550" s="26"/>
      <c r="O550" s="26"/>
      <c r="P550" s="26"/>
      <c r="Q550" s="26"/>
      <c r="R550" s="26"/>
      <c r="S550" s="26"/>
      <c r="T550" s="26"/>
      <c r="U550" s="26"/>
      <c r="V550" s="26"/>
      <c r="W550" s="26">
        <f>MAX($C$8-VLOOKUP($C550,COS!$B$8:$H$991,3,FALSE),0)</f>
        <v>94645.4052734375</v>
      </c>
      <c r="X550" s="26">
        <f t="shared" si="870"/>
        <v>5631.7927104855371</v>
      </c>
      <c r="Y550" s="26">
        <f>VLOOKUP($C550,COS!$B$8:$H$991,4,FALSE)</f>
        <v>917.53326416015625</v>
      </c>
      <c r="Z550" s="26">
        <f t="shared" si="871"/>
        <v>54.597020677298552</v>
      </c>
      <c r="AA550" s="26">
        <f t="shared" si="884"/>
        <v>917.53326416015625</v>
      </c>
      <c r="AB550" s="33">
        <f t="shared" si="854"/>
        <v>54.597020677298552</v>
      </c>
    </row>
    <row r="551" spans="1:28" x14ac:dyDescent="0.3">
      <c r="A551" s="32">
        <f>VLOOKUP(YEAR(C551),Flags!$A$13:$B$95,2,FALSE)</f>
        <v>4</v>
      </c>
      <c r="B551" s="24">
        <f t="shared" si="841"/>
        <v>1981</v>
      </c>
      <c r="C551" s="25">
        <v>29890</v>
      </c>
      <c r="D551" s="26"/>
      <c r="E551" s="24"/>
      <c r="F551" s="26"/>
      <c r="G551" s="26"/>
      <c r="H551" s="26"/>
      <c r="I551" s="26"/>
      <c r="J551" s="26"/>
      <c r="K551" s="26"/>
      <c r="L551" s="24"/>
      <c r="M551" s="24"/>
      <c r="N551" s="26"/>
      <c r="O551" s="26"/>
      <c r="P551" s="26"/>
      <c r="Q551" s="26"/>
      <c r="R551" s="26"/>
      <c r="S551" s="26"/>
      <c r="T551" s="26"/>
      <c r="U551" s="26"/>
      <c r="V551" s="26"/>
      <c r="W551" s="26">
        <f>MAX($C$9-VLOOKUP($C551,COS!$B$8:$H$991,3,FALSE),0)</f>
        <v>96679.089599609375</v>
      </c>
      <c r="X551" s="26">
        <f t="shared" si="870"/>
        <v>5944.5655092652378</v>
      </c>
      <c r="Y551" s="26">
        <f>VLOOKUP($C551,COS!$B$8:$H$991,4,FALSE)</f>
        <v>1399.4996337890625</v>
      </c>
      <c r="Z551" s="26">
        <f t="shared" si="871"/>
        <v>86.051878309013418</v>
      </c>
      <c r="AA551" s="26">
        <f t="shared" si="884"/>
        <v>1399.4996337890625</v>
      </c>
      <c r="AB551" s="33">
        <f t="shared" si="854"/>
        <v>86.051878309013418</v>
      </c>
    </row>
    <row r="552" spans="1:28" x14ac:dyDescent="0.3">
      <c r="A552" s="32">
        <f>VLOOKUP(YEAR(C552),Flags!$A$13:$B$95,2,FALSE)</f>
        <v>4</v>
      </c>
      <c r="B552" s="24">
        <f t="shared" si="841"/>
        <v>1981</v>
      </c>
      <c r="C552" s="25">
        <v>29920</v>
      </c>
      <c r="D552" s="26"/>
      <c r="E552" s="24"/>
      <c r="F552" s="26"/>
      <c r="G552" s="26"/>
      <c r="H552" s="26"/>
      <c r="I552" s="26"/>
      <c r="J552" s="26"/>
      <c r="K552" s="26"/>
      <c r="L552" s="24"/>
      <c r="M552" s="24"/>
      <c r="N552" s="26"/>
      <c r="O552" s="26"/>
      <c r="P552" s="26"/>
      <c r="Q552" s="26"/>
      <c r="R552" s="26"/>
      <c r="S552" s="26"/>
      <c r="T552" s="26"/>
      <c r="U552" s="26"/>
      <c r="V552" s="26"/>
      <c r="W552" s="26">
        <f>MAX($C$10-VLOOKUP($C552,COS!$B$8:$H$991,3,FALSE),0)</f>
        <v>91684.076171875</v>
      </c>
      <c r="X552" s="26">
        <f t="shared" si="870"/>
        <v>5455.5813920454539</v>
      </c>
      <c r="Y552" s="26">
        <f>VLOOKUP($C552,COS!$B$8:$H$991,4,FALSE)</f>
        <v>0</v>
      </c>
      <c r="Z552" s="26">
        <f t="shared" si="871"/>
        <v>0</v>
      </c>
      <c r="AA552" s="26">
        <f t="shared" si="884"/>
        <v>0</v>
      </c>
      <c r="AB552" s="33">
        <f t="shared" si="854"/>
        <v>0</v>
      </c>
    </row>
    <row r="553" spans="1:28" x14ac:dyDescent="0.3">
      <c r="A553" s="34">
        <f>VLOOKUP(YEAR(C553),Flags!$A$13:$B$95,2,FALSE)</f>
        <v>4</v>
      </c>
      <c r="B553" s="35">
        <f t="shared" si="841"/>
        <v>1981</v>
      </c>
      <c r="C553" s="36">
        <v>29951</v>
      </c>
      <c r="D553" s="37"/>
      <c r="E553" s="35"/>
      <c r="F553" s="37"/>
      <c r="G553" s="37"/>
      <c r="H553" s="37"/>
      <c r="I553" s="37"/>
      <c r="J553" s="37"/>
      <c r="K553" s="37"/>
      <c r="L553" s="35"/>
      <c r="M553" s="35"/>
      <c r="N553" s="37"/>
      <c r="O553" s="37"/>
      <c r="P553" s="37"/>
      <c r="Q553" s="37"/>
      <c r="R553" s="37"/>
      <c r="S553" s="37"/>
      <c r="T553" s="37"/>
      <c r="U553" s="37"/>
      <c r="V553" s="37"/>
      <c r="W553" s="37">
        <f>MAX($C$11-VLOOKUP($C553,COS!$B$8:$H$991,3,FALSE),0)</f>
        <v>0</v>
      </c>
      <c r="X553" s="37">
        <f t="shared" si="870"/>
        <v>0</v>
      </c>
      <c r="Y553" s="37">
        <f>VLOOKUP($C553,COS!$B$8:$H$991,4,FALSE)</f>
        <v>0</v>
      </c>
      <c r="Z553" s="37">
        <f t="shared" si="871"/>
        <v>0</v>
      </c>
      <c r="AA553" s="37">
        <f t="shared" si="884"/>
        <v>0</v>
      </c>
      <c r="AB553" s="38">
        <f t="shared" si="854"/>
        <v>0</v>
      </c>
    </row>
    <row r="554" spans="1:28" x14ac:dyDescent="0.3">
      <c r="A554" s="27">
        <f>VLOOKUP(YEAR(C554),Flags!$A$13:$B$95,2,FALSE)</f>
        <v>1</v>
      </c>
      <c r="B554" s="28">
        <f t="shared" si="841"/>
        <v>1982</v>
      </c>
      <c r="C554" s="29">
        <v>30071</v>
      </c>
      <c r="D554" s="30">
        <f>VLOOKUP($C554,COS!$B$8:$H$991,3,FALSE)</f>
        <v>24913.6875</v>
      </c>
      <c r="E554" s="28">
        <f>IF(D554&gt;=IF(MONTH($C554)=4,$C$3,IF(MONTH($C554)=5,$C$4,IF(MONTH($C554)=6,$C$5,IF(MONTH($C554)=7,$C$6,"ERROR")))),1,0)</f>
        <v>1</v>
      </c>
      <c r="F554" s="30">
        <f>VLOOKUP($C554,COS!$B$8:$H$991,7,FALSE)</f>
        <v>46.657176971435547</v>
      </c>
      <c r="G554" s="28">
        <f>IF(F554&lt;=IF(MONTH($C554)=4,$F$3,IF(MONTH($C554)=5,$F$4,IF(MONTH($C554)=6,$F$5,IF(MONTH($C554)=7,$F$6,"ERROR")))),1,0)</f>
        <v>1</v>
      </c>
      <c r="H554" s="30">
        <f>IF(J554=1,D554-$C$3,0)</f>
        <v>18913.6875</v>
      </c>
      <c r="I554" s="30">
        <f t="shared" si="872"/>
        <v>1125.442561983471</v>
      </c>
      <c r="J554" s="28">
        <f t="shared" ref="J554:J557" si="887">IF(AND(E554=1,G554=1),1,0)</f>
        <v>1</v>
      </c>
      <c r="K554" s="30">
        <f>VLOOKUP($C554,COS!$B$8:$H$991,2,FALSE)</f>
        <v>4094</v>
      </c>
      <c r="L554" s="28">
        <f t="shared" ref="L554" si="888">IF(K554&lt;=IF(MONTH($C554)=4,$I$3,IF(MONTH($C554)=5,$I$4,IF(MONTH($C554)=6,$I$5,IF(MONTH($C554)=7,$I$6,"ERROR")))),1,0)</f>
        <v>1</v>
      </c>
      <c r="M554" s="28">
        <f t="shared" ref="M554" si="889">VLOOKUP($A554,$L$3:$M$7,2,FALSE)</f>
        <v>0</v>
      </c>
      <c r="N554" s="30">
        <f>VLOOKUP($C554,COS!$B$8:$H$991,5,FALSE)</f>
        <v>47.432540893554688</v>
      </c>
      <c r="O554" s="30">
        <f t="shared" ref="O554:O557" si="890">N554*DAY($C554)*86400/43560/1000</f>
        <v>2.8224321854016012</v>
      </c>
      <c r="P554" s="30">
        <f>VLOOKUP($C554,COS!$B$8:$H$991,6,FALSE)</f>
        <v>305.73114013671875</v>
      </c>
      <c r="Q554" s="30">
        <f t="shared" ref="Q554:Q557" si="891">P554*DAY($C554)*86400/43560/1000</f>
        <v>18.192266189953511</v>
      </c>
      <c r="R554" s="30">
        <f>MIN(IF(MONTH($C554)=4,$S$3,IF(MONTH($C554)=5,$S$4,IF(MONTH($C554)=6,$S$5,IF(MONTH($C554)=7,$S$6,"ERROR")))),MAX(VLOOKUP($C554,COS!$B$8:$K$991,10,FALSE)-IF(MONTH($C554)=4,$Y$3,IF(MONTH($C554)=5,$Y$4,IF(MONTH($C554)=6,$Y$5,IF(MONTH($C554)=7,$Y$6,"ERROR")))),0),MAX(VLOOKUP($C554,COS!$B$8:$K$991,9,FALSE)-IF(MONTH($C554)=4,$V$3,IF(MONTH($C554)=5,$V$4,IF(MONTH($C554)=6,$V$5,IF(MONTH($C554)=7,$V$6,"ERROR"))))-VLOOKUP($C554,COS!$B$8:$K$991,6,FALSE)/2,0))</f>
        <v>0</v>
      </c>
      <c r="S554" s="30">
        <f t="shared" ref="S554:S557" si="892">R554*DAY($C554)*86400/43560/1000</f>
        <v>0</v>
      </c>
      <c r="T554" s="30">
        <f t="shared" ref="T554:T557" si="893">(O554+Q554)/2+S554</f>
        <v>10.507349187677557</v>
      </c>
      <c r="U554" s="30" t="str">
        <f>IF(VLOOKUP($C554,COS!$B$8:$I$991,8,FALSE)=1,"UWFE","IBU")</f>
        <v>UWFE</v>
      </c>
      <c r="V554" s="30">
        <f t="shared" ref="V554" si="894">MIN(IF(IF($AA$3=2,AND(E554=1,G554=1,L554=1,L559=1,M554=1,U554="IBU"),AND(E554=1,G554=1,L554=1,L559=1,M554=1)),T554,0),I554)</f>
        <v>0</v>
      </c>
      <c r="W554" s="30"/>
      <c r="X554" s="30"/>
      <c r="Y554" s="30"/>
      <c r="Z554" s="30"/>
      <c r="AA554" s="30"/>
      <c r="AB554" s="31"/>
    </row>
    <row r="555" spans="1:28" x14ac:dyDescent="0.3">
      <c r="A555" s="32">
        <f>VLOOKUP(YEAR(C555),Flags!$A$13:$B$95,2,FALSE)</f>
        <v>1</v>
      </c>
      <c r="B555" s="24">
        <f t="shared" si="841"/>
        <v>1982</v>
      </c>
      <c r="C555" s="25">
        <v>30102</v>
      </c>
      <c r="D555" s="26">
        <f>VLOOKUP($C555,COS!$B$8:$H$991,3,FALSE)</f>
        <v>3472.723876953125</v>
      </c>
      <c r="E555" s="24">
        <f>IF(D555&gt;=IF(MONTH($C555)=4,$C$3,IF(MONTH($C555)=5,$C$4,IF(MONTH($C555)=6,$C$5,IF(MONTH($C555)=7,$C$6,"ERROR")))),1,0)</f>
        <v>0</v>
      </c>
      <c r="F555" s="26">
        <f>VLOOKUP($C555,COS!$B$8:$H$991,7,FALSE)</f>
        <v>53.570789337158203</v>
      </c>
      <c r="G555" s="24">
        <f>IF(F555&lt;=IF(MONTH($C555)=4,$F$3,IF(MONTH($C555)=5,$F$4,IF(MONTH($C555)=6,$F$5,IF(MONTH($C555)=7,$F$6,"ERROR")))),1,0)</f>
        <v>1</v>
      </c>
      <c r="H555" s="26">
        <f>IF(J555=1,D555-$C$4,0)</f>
        <v>0</v>
      </c>
      <c r="I555" s="26">
        <f t="shared" si="872"/>
        <v>0</v>
      </c>
      <c r="J555" s="24">
        <f t="shared" si="887"/>
        <v>0</v>
      </c>
      <c r="K555" s="26">
        <f>VLOOKUP($C555,COS!$B$8:$H$991,2,FALSE)</f>
        <v>4481.19091796875</v>
      </c>
      <c r="L555" s="24">
        <f t="shared" si="843"/>
        <v>1</v>
      </c>
      <c r="M555" s="24">
        <f t="shared" si="844"/>
        <v>0</v>
      </c>
      <c r="N555" s="26">
        <f>VLOOKUP($C555,COS!$B$8:$H$991,5,FALSE)</f>
        <v>674.9888916015625</v>
      </c>
      <c r="O555" s="26">
        <f t="shared" si="890"/>
        <v>41.503449202608472</v>
      </c>
      <c r="P555" s="26">
        <f>VLOOKUP($C555,COS!$B$8:$H$991,6,FALSE)</f>
        <v>2221.702392578125</v>
      </c>
      <c r="Q555" s="26">
        <f t="shared" si="891"/>
        <v>136.60715537835745</v>
      </c>
      <c r="R555" s="26">
        <f>MIN(IF(MONTH($C555)=4,$S$3,IF(MONTH($C555)=5,$S$4,IF(MONTH($C555)=6,$S$5,IF(MONTH($C555)=7,$S$6,"ERROR")))),MAX(VLOOKUP($C555,COS!$B$8:$K$991,10,FALSE)-IF(MONTH($C555)=4,$Y$3,IF(MONTH($C555)=5,$Y$4,IF(MONTH($C555)=6,$Y$5,IF(MONTH($C555)=7,$Y$6,"ERROR")))),0),MAX(VLOOKUP($C555,COS!$B$8:$K$991,9,FALSE)-IF(MONTH($C555)=4,$V$3,IF(MONTH($C555)=5,$V$4,IF(MONTH($C555)=6,$V$5,IF(MONTH($C555)=7,$V$6,"ERROR"))))-VLOOKUP($C555,COS!$B$8:$K$991,6,FALSE)/2,0))</f>
        <v>0</v>
      </c>
      <c r="S555" s="26">
        <f t="shared" si="892"/>
        <v>0</v>
      </c>
      <c r="T555" s="26">
        <f t="shared" si="893"/>
        <v>89.055302290482956</v>
      </c>
      <c r="U555" s="26" t="str">
        <f>IF(VLOOKUP($C555,COS!$B$8:$I$991,8,FALSE)=1,"UWFE","IBU")</f>
        <v>UWFE</v>
      </c>
      <c r="V555" s="26">
        <f t="shared" ref="V555" si="895">MIN(IF(IF($AA$3=2,AND(E555=1,G555=1,L555=1,L559=1,M555=1,U555="IBU"),AND(E555=1,G555=1,L555=1,L559=1,M555=1)),T555,0),I555)</f>
        <v>0</v>
      </c>
      <c r="W555" s="26"/>
      <c r="X555" s="26"/>
      <c r="Y555" s="26"/>
      <c r="Z555" s="26"/>
      <c r="AA555" s="26"/>
      <c r="AB555" s="33"/>
    </row>
    <row r="556" spans="1:28" x14ac:dyDescent="0.3">
      <c r="A556" s="32">
        <f>VLOOKUP(YEAR(C556),Flags!$A$13:$B$95,2,FALSE)</f>
        <v>1</v>
      </c>
      <c r="B556" s="24">
        <f t="shared" si="841"/>
        <v>1982</v>
      </c>
      <c r="C556" s="25">
        <v>30132</v>
      </c>
      <c r="D556" s="26">
        <f>VLOOKUP($C556,COS!$B$8:$H$991,3,FALSE)</f>
        <v>6372.11962890625</v>
      </c>
      <c r="E556" s="24">
        <f>IF(D556&gt;=IF(MONTH($C556)=4,$C$3,IF(MONTH($C556)=5,$C$4,IF(MONTH($C556)=6,$C$5,IF(MONTH($C556)=7,$C$6,"ERROR")))),1,0)</f>
        <v>0</v>
      </c>
      <c r="F556" s="26">
        <f>VLOOKUP($C556,COS!$B$8:$H$991,7,FALSE)</f>
        <v>52.376934051513672</v>
      </c>
      <c r="G556" s="24">
        <f>IF(F556&lt;=IF(MONTH($C556)=4,$F$3,IF(MONTH($C556)=5,$F$4,IF(MONTH($C556)=6,$F$5,IF(MONTH($C556)=7,$F$6,"ERROR")))),1,0)</f>
        <v>1</v>
      </c>
      <c r="H556" s="26">
        <f>IF(J556=1,D556-$C$5,0)</f>
        <v>0</v>
      </c>
      <c r="I556" s="26">
        <f t="shared" si="872"/>
        <v>0</v>
      </c>
      <c r="J556" s="24">
        <f t="shared" si="887"/>
        <v>0</v>
      </c>
      <c r="K556" s="26">
        <f>VLOOKUP($C556,COS!$B$8:$H$991,2,FALSE)</f>
        <v>4397.3564453125</v>
      </c>
      <c r="L556" s="24">
        <f t="shared" si="843"/>
        <v>1</v>
      </c>
      <c r="M556" s="24">
        <f t="shared" si="844"/>
        <v>0</v>
      </c>
      <c r="N556" s="26">
        <f>VLOOKUP($C556,COS!$B$8:$H$991,5,FALSE)</f>
        <v>1084.0577392578125</v>
      </c>
      <c r="O556" s="26">
        <f t="shared" si="890"/>
        <v>64.505915063274784</v>
      </c>
      <c r="P556" s="26">
        <f>VLOOKUP($C556,COS!$B$8:$H$991,6,FALSE)</f>
        <v>2094.6748046875</v>
      </c>
      <c r="Q556" s="26">
        <f t="shared" si="891"/>
        <v>124.64180655991736</v>
      </c>
      <c r="R556" s="26">
        <f>MIN(IF(MONTH($C556)=4,$S$3,IF(MONTH($C556)=5,$S$4,IF(MONTH($C556)=6,$S$5,IF(MONTH($C556)=7,$S$6,"ERROR")))),MAX(VLOOKUP($C556,COS!$B$8:$K$991,10,FALSE)-IF(MONTH($C556)=4,$Y$3,IF(MONTH($C556)=5,$Y$4,IF(MONTH($C556)=6,$Y$5,IF(MONTH($C556)=7,$Y$6,"ERROR")))),0),MAX(VLOOKUP($C556,COS!$B$8:$K$991,9,FALSE)-IF(MONTH($C556)=4,$V$3,IF(MONTH($C556)=5,$V$4,IF(MONTH($C556)=6,$V$5,IF(MONTH($C556)=7,$V$6,"ERROR"))))-VLOOKUP($C556,COS!$B$8:$K$991,6,FALSE)/2,0))</f>
        <v>0</v>
      </c>
      <c r="S556" s="26">
        <f t="shared" si="892"/>
        <v>0</v>
      </c>
      <c r="T556" s="26">
        <f t="shared" si="893"/>
        <v>94.573860811596063</v>
      </c>
      <c r="U556" s="26" t="str">
        <f>IF(VLOOKUP($C556,COS!$B$8:$I$991,8,FALSE)=1,"UWFE","IBU")</f>
        <v>UWFE</v>
      </c>
      <c r="V556" s="26">
        <f t="shared" ref="V556" si="896">MIN(IF(IF($AA$3=2,AND(E556=1,G556=1,L556=1,L559=1,M556=1,U556="IBU"),AND(E556=1,G556=1,L556=1,L559=1,M556=1)),T556,0),I556)</f>
        <v>0</v>
      </c>
      <c r="W556" s="26"/>
      <c r="X556" s="26"/>
      <c r="Y556" s="26"/>
      <c r="Z556" s="26"/>
      <c r="AA556" s="26"/>
      <c r="AB556" s="33"/>
    </row>
    <row r="557" spans="1:28" x14ac:dyDescent="0.3">
      <c r="A557" s="32">
        <f>VLOOKUP(YEAR(C557),Flags!$A$13:$B$95,2,FALSE)</f>
        <v>1</v>
      </c>
      <c r="B557" s="24">
        <f t="shared" si="841"/>
        <v>1982</v>
      </c>
      <c r="C557" s="25">
        <v>30163</v>
      </c>
      <c r="D557" s="26">
        <f>VLOOKUP($C557,COS!$B$8:$H$991,3,FALSE)</f>
        <v>10502.37890625</v>
      </c>
      <c r="E557" s="24">
        <f>IF(D557&gt;=IF(MONTH($C557)=4,$C$3,IF(MONTH($C557)=5,$C$4,IF(MONTH($C557)=6,$C$5,IF(MONTH($C557)=7,$C$6,"ERROR")))),1,0)</f>
        <v>0</v>
      </c>
      <c r="F557" s="26">
        <f>VLOOKUP($C557,COS!$B$8:$H$991,7,FALSE)</f>
        <v>52.655227661132813</v>
      </c>
      <c r="G557" s="24">
        <f>IF(F557&lt;=IF(MONTH($C557)=4,$F$3,IF(MONTH($C557)=5,$F$4,IF(MONTH($C557)=6,$F$5,IF(MONTH($C557)=7,$F$6,"ERROR")))),1,0)</f>
        <v>1</v>
      </c>
      <c r="H557" s="26">
        <f>IF(J557=1,D557-$C$6,0)</f>
        <v>0</v>
      </c>
      <c r="I557" s="26">
        <f t="shared" si="872"/>
        <v>0</v>
      </c>
      <c r="J557" s="24">
        <f t="shared" si="887"/>
        <v>0</v>
      </c>
      <c r="K557" s="26">
        <f>VLOOKUP($C557,COS!$B$8:$H$991,2,FALSE)</f>
        <v>4071.590576171875</v>
      </c>
      <c r="L557" s="24">
        <f t="shared" si="843"/>
        <v>1</v>
      </c>
      <c r="M557" s="24">
        <f t="shared" si="844"/>
        <v>0</v>
      </c>
      <c r="N557" s="26">
        <f>VLOOKUP($C557,COS!$B$8:$H$991,5,FALSE)</f>
        <v>1375.2449951171875</v>
      </c>
      <c r="O557" s="26">
        <f t="shared" si="890"/>
        <v>84.560518708032035</v>
      </c>
      <c r="P557" s="26">
        <f>VLOOKUP($C557,COS!$B$8:$H$991,6,FALSE)</f>
        <v>2616.67822265625</v>
      </c>
      <c r="Q557" s="26">
        <f t="shared" si="891"/>
        <v>160.89327253357436</v>
      </c>
      <c r="R557" s="26">
        <f>MIN(IF(MONTH($C557)=4,$S$3,IF(MONTH($C557)=5,$S$4,IF(MONTH($C557)=6,$S$5,IF(MONTH($C557)=7,$S$6,"ERROR")))),MAX(VLOOKUP($C557,COS!$B$8:$K$991,10,FALSE)-IF(MONTH($C557)=4,$Y$3,IF(MONTH($C557)=5,$Y$4,IF(MONTH($C557)=6,$Y$5,IF(MONTH($C557)=7,$Y$6,"ERROR")))),0),MAX(VLOOKUP($C557,COS!$B$8:$K$991,9,FALSE)-IF(MONTH($C557)=4,$V$3,IF(MONTH($C557)=5,$V$4,IF(MONTH($C557)=6,$V$5,IF(MONTH($C557)=7,$V$6,"ERROR"))))-VLOOKUP($C557,COS!$B$8:$K$991,6,FALSE)/2,0))</f>
        <v>0</v>
      </c>
      <c r="S557" s="26">
        <f t="shared" si="892"/>
        <v>0</v>
      </c>
      <c r="T557" s="26">
        <f t="shared" si="893"/>
        <v>122.72689562080319</v>
      </c>
      <c r="U557" s="26" t="str">
        <f>IF(VLOOKUP($C557,COS!$B$8:$I$991,8,FALSE)=1,"UWFE","IBU")</f>
        <v>IBU</v>
      </c>
      <c r="V557" s="26">
        <f t="shared" ref="V557" si="897">MIN(IF(IF($AA$3=2,AND(E557=1,G557=1,L557=1,L559=1,M557=1,U557="IBU"),AND(E557=1,G557=1,L557=1,L559=1,M557=1)),T557,0),I557)</f>
        <v>0</v>
      </c>
      <c r="W557" s="26"/>
      <c r="X557" s="26"/>
      <c r="Y557" s="26"/>
      <c r="Z557" s="26"/>
      <c r="AA557" s="26"/>
      <c r="AB557" s="33"/>
    </row>
    <row r="558" spans="1:28" x14ac:dyDescent="0.3">
      <c r="A558" s="32">
        <f>VLOOKUP(YEAR(C558),Flags!$A$13:$B$95,2,FALSE)</f>
        <v>1</v>
      </c>
      <c r="B558" s="24">
        <f t="shared" si="841"/>
        <v>1982</v>
      </c>
      <c r="C558" s="25">
        <v>30194</v>
      </c>
      <c r="D558" s="26"/>
      <c r="E558" s="24"/>
      <c r="F558" s="26"/>
      <c r="G558" s="24"/>
      <c r="H558" s="24"/>
      <c r="I558" s="26"/>
      <c r="J558" s="24"/>
      <c r="K558" s="26"/>
      <c r="L558" s="24"/>
      <c r="M558" s="24"/>
      <c r="N558" s="26"/>
      <c r="O558" s="26"/>
      <c r="P558" s="26"/>
      <c r="Q558" s="26"/>
      <c r="R558" s="26"/>
      <c r="S558" s="26"/>
      <c r="T558" s="26"/>
      <c r="U558" s="26"/>
      <c r="V558" s="26"/>
      <c r="W558" s="26">
        <f>MAX($C$7-VLOOKUP($C558,COS!$B$8:$H$991,3,FALSE),0)</f>
        <v>90771.0556640625</v>
      </c>
      <c r="X558" s="26">
        <f t="shared" si="870"/>
        <v>5581.2946623192147</v>
      </c>
      <c r="Y558" s="26">
        <f>VLOOKUP($C558,COS!$B$8:$H$991,4,FALSE)</f>
        <v>0</v>
      </c>
      <c r="Z558" s="26">
        <f t="shared" si="871"/>
        <v>0</v>
      </c>
      <c r="AA558" s="26">
        <f t="shared" ref="AA558:AA562" si="898">MIN(W558,Y558)</f>
        <v>0</v>
      </c>
      <c r="AB558" s="33">
        <f t="shared" ref="AB558" si="899">AA558*DAY($C558)*86400/43560/1000*IF(MONTH($C558)=8,$P$3,IF(MONTH($C558)=9,$P$4,IF(MONTH($C558)=10,$P$5,IF(MONTH($C558)=11,$P$6,IF(MONTH($C558)=12,$P$7,NA())))))</f>
        <v>0</v>
      </c>
    </row>
    <row r="559" spans="1:28" x14ac:dyDescent="0.3">
      <c r="A559" s="32">
        <f>VLOOKUP(YEAR(C559),Flags!$A$13:$B$95,2,FALSE)</f>
        <v>1</v>
      </c>
      <c r="B559" s="24">
        <f t="shared" si="841"/>
        <v>1982</v>
      </c>
      <c r="C559" s="25">
        <v>30224</v>
      </c>
      <c r="D559" s="26"/>
      <c r="E559" s="24"/>
      <c r="F559" s="26"/>
      <c r="G559" s="24"/>
      <c r="H559" s="24"/>
      <c r="I559" s="26"/>
      <c r="J559" s="24"/>
      <c r="K559" s="26">
        <f>VLOOKUP($C559,COS!$B$8:$H$991,2,FALSE)</f>
        <v>3400</v>
      </c>
      <c r="L559" s="24">
        <f t="shared" ref="L559" si="900">IF(AND(K559&gt;$I$7,K559&lt;$I$8),1,0)</f>
        <v>1</v>
      </c>
      <c r="M559" s="24"/>
      <c r="N559" s="26"/>
      <c r="O559" s="26"/>
      <c r="P559" s="26"/>
      <c r="Q559" s="26"/>
      <c r="R559" s="26"/>
      <c r="S559" s="26"/>
      <c r="T559" s="26"/>
      <c r="U559" s="26"/>
      <c r="V559" s="26"/>
      <c r="W559" s="26">
        <f>MAX($C$8-VLOOKUP($C559,COS!$B$8:$H$991,3,FALSE),0)</f>
        <v>90620.83984375</v>
      </c>
      <c r="X559" s="26">
        <f t="shared" si="870"/>
        <v>5392.3144369834708</v>
      </c>
      <c r="Y559" s="26">
        <f>VLOOKUP($C559,COS!$B$8:$H$991,4,FALSE)</f>
        <v>0</v>
      </c>
      <c r="Z559" s="26">
        <f t="shared" si="871"/>
        <v>0</v>
      </c>
      <c r="AA559" s="26">
        <f t="shared" si="898"/>
        <v>0</v>
      </c>
      <c r="AB559" s="33">
        <f t="shared" si="854"/>
        <v>0</v>
      </c>
    </row>
    <row r="560" spans="1:28" x14ac:dyDescent="0.3">
      <c r="A560" s="32">
        <f>VLOOKUP(YEAR(C560),Flags!$A$13:$B$95,2,FALSE)</f>
        <v>1</v>
      </c>
      <c r="B560" s="24">
        <f t="shared" si="841"/>
        <v>1982</v>
      </c>
      <c r="C560" s="25">
        <v>30255</v>
      </c>
      <c r="D560" s="26"/>
      <c r="E560" s="24"/>
      <c r="F560" s="26"/>
      <c r="G560" s="26"/>
      <c r="H560" s="26"/>
      <c r="I560" s="26"/>
      <c r="J560" s="26"/>
      <c r="K560" s="26"/>
      <c r="L560" s="24"/>
      <c r="M560" s="24"/>
      <c r="N560" s="26"/>
      <c r="O560" s="26"/>
      <c r="P560" s="26"/>
      <c r="Q560" s="26"/>
      <c r="R560" s="26"/>
      <c r="S560" s="26"/>
      <c r="T560" s="26"/>
      <c r="U560" s="26"/>
      <c r="V560" s="26"/>
      <c r="W560" s="26">
        <f>MAX($C$9-VLOOKUP($C560,COS!$B$8:$H$991,3,FALSE),0)</f>
        <v>92108.1201171875</v>
      </c>
      <c r="X560" s="26">
        <f t="shared" si="870"/>
        <v>5663.507551007232</v>
      </c>
      <c r="Y560" s="26">
        <f>VLOOKUP($C560,COS!$B$8:$H$991,4,FALSE)</f>
        <v>0</v>
      </c>
      <c r="Z560" s="26">
        <f t="shared" si="871"/>
        <v>0</v>
      </c>
      <c r="AA560" s="26">
        <f t="shared" si="898"/>
        <v>0</v>
      </c>
      <c r="AB560" s="33">
        <f t="shared" si="854"/>
        <v>0</v>
      </c>
    </row>
    <row r="561" spans="1:28" x14ac:dyDescent="0.3">
      <c r="A561" s="32">
        <f>VLOOKUP(YEAR(C561),Flags!$A$13:$B$95,2,FALSE)</f>
        <v>1</v>
      </c>
      <c r="B561" s="24">
        <f t="shared" si="841"/>
        <v>1982</v>
      </c>
      <c r="C561" s="25">
        <v>30285</v>
      </c>
      <c r="D561" s="26"/>
      <c r="E561" s="24"/>
      <c r="F561" s="26"/>
      <c r="G561" s="26"/>
      <c r="H561" s="26"/>
      <c r="I561" s="26"/>
      <c r="J561" s="26"/>
      <c r="K561" s="26"/>
      <c r="L561" s="24"/>
      <c r="M561" s="24"/>
      <c r="N561" s="26"/>
      <c r="O561" s="26"/>
      <c r="P561" s="26"/>
      <c r="Q561" s="26"/>
      <c r="R561" s="26"/>
      <c r="S561" s="26"/>
      <c r="T561" s="26"/>
      <c r="U561" s="26"/>
      <c r="V561" s="26"/>
      <c r="W561" s="26">
        <f>MAX($C$10-VLOOKUP($C561,COS!$B$8:$H$991,3,FALSE),0)</f>
        <v>93024.1962890625</v>
      </c>
      <c r="X561" s="26">
        <f t="shared" si="870"/>
        <v>5535.3240767045463</v>
      </c>
      <c r="Y561" s="26">
        <f>VLOOKUP($C561,COS!$B$8:$H$991,4,FALSE)</f>
        <v>0</v>
      </c>
      <c r="Z561" s="26">
        <f t="shared" si="871"/>
        <v>0</v>
      </c>
      <c r="AA561" s="26">
        <f t="shared" si="898"/>
        <v>0</v>
      </c>
      <c r="AB561" s="33">
        <f t="shared" si="854"/>
        <v>0</v>
      </c>
    </row>
    <row r="562" spans="1:28" x14ac:dyDescent="0.3">
      <c r="A562" s="34">
        <f>VLOOKUP(YEAR(C562),Flags!$A$13:$B$95,2,FALSE)</f>
        <v>1</v>
      </c>
      <c r="B562" s="35">
        <f t="shared" si="841"/>
        <v>1982</v>
      </c>
      <c r="C562" s="36">
        <v>30316</v>
      </c>
      <c r="D562" s="37"/>
      <c r="E562" s="35"/>
      <c r="F562" s="37"/>
      <c r="G562" s="37"/>
      <c r="H562" s="37"/>
      <c r="I562" s="37"/>
      <c r="J562" s="37"/>
      <c r="K562" s="37"/>
      <c r="L562" s="35"/>
      <c r="M562" s="35"/>
      <c r="N562" s="37"/>
      <c r="O562" s="37"/>
      <c r="P562" s="37"/>
      <c r="Q562" s="37"/>
      <c r="R562" s="37"/>
      <c r="S562" s="37"/>
      <c r="T562" s="37"/>
      <c r="U562" s="37"/>
      <c r="V562" s="37"/>
      <c r="W562" s="37">
        <f>MAX($C$11-VLOOKUP($C562,COS!$B$8:$H$991,3,FALSE),0)</f>
        <v>0</v>
      </c>
      <c r="X562" s="37">
        <f t="shared" si="870"/>
        <v>0</v>
      </c>
      <c r="Y562" s="37">
        <f>VLOOKUP($C562,COS!$B$8:$H$991,4,FALSE)</f>
        <v>0</v>
      </c>
      <c r="Z562" s="37">
        <f t="shared" si="871"/>
        <v>0</v>
      </c>
      <c r="AA562" s="37">
        <f t="shared" si="898"/>
        <v>0</v>
      </c>
      <c r="AB562" s="38">
        <f t="shared" si="854"/>
        <v>0</v>
      </c>
    </row>
    <row r="563" spans="1:28" x14ac:dyDescent="0.3">
      <c r="A563" s="27">
        <f>VLOOKUP(YEAR(C563),Flags!$A$13:$B$95,2,FALSE)</f>
        <v>1</v>
      </c>
      <c r="B563" s="28">
        <f t="shared" si="841"/>
        <v>1983</v>
      </c>
      <c r="C563" s="29">
        <v>30436</v>
      </c>
      <c r="D563" s="30">
        <f>VLOOKUP($C563,COS!$B$8:$H$991,3,FALSE)</f>
        <v>21283.287109375</v>
      </c>
      <c r="E563" s="28">
        <f>IF(D563&gt;=IF(MONTH($C563)=4,$C$3,IF(MONTH($C563)=5,$C$4,IF(MONTH($C563)=6,$C$5,IF(MONTH($C563)=7,$C$6,"ERROR")))),1,0)</f>
        <v>1</v>
      </c>
      <c r="F563" s="30">
        <f>VLOOKUP($C563,COS!$B$8:$H$991,7,FALSE)</f>
        <v>47.246109008789063</v>
      </c>
      <c r="G563" s="28">
        <f>IF(F563&lt;=IF(MONTH($C563)=4,$F$3,IF(MONTH($C563)=5,$F$4,IF(MONTH($C563)=6,$F$5,IF(MONTH($C563)=7,$F$6,"ERROR")))),1,0)</f>
        <v>1</v>
      </c>
      <c r="H563" s="30">
        <f>IF(J563=1,D563-$C$3,0)</f>
        <v>15283.287109375</v>
      </c>
      <c r="I563" s="30">
        <f t="shared" si="872"/>
        <v>909.4187370867769</v>
      </c>
      <c r="J563" s="28">
        <f t="shared" ref="J563:J566" si="901">IF(AND(E563=1,G563=1),1,0)</f>
        <v>1</v>
      </c>
      <c r="K563" s="30">
        <f>VLOOKUP($C563,COS!$B$8:$H$991,2,FALSE)</f>
        <v>4074</v>
      </c>
      <c r="L563" s="28">
        <f t="shared" ref="L563" si="902">IF(K563&lt;=IF(MONTH($C563)=4,$I$3,IF(MONTH($C563)=5,$I$4,IF(MONTH($C563)=6,$I$5,IF(MONTH($C563)=7,$I$6,"ERROR")))),1,0)</f>
        <v>1</v>
      </c>
      <c r="M563" s="28">
        <f t="shared" ref="M563" si="903">VLOOKUP($A563,$L$3:$M$7,2,FALSE)</f>
        <v>0</v>
      </c>
      <c r="N563" s="30">
        <f>VLOOKUP($C563,COS!$B$8:$H$991,5,FALSE)</f>
        <v>21.902835845947266</v>
      </c>
      <c r="O563" s="30">
        <f t="shared" ref="O563:O566" si="904">N563*DAY($C563)*86400/43560/1000</f>
        <v>1.3033092404200026</v>
      </c>
      <c r="P563" s="30">
        <f>VLOOKUP($C563,COS!$B$8:$H$991,6,FALSE)</f>
        <v>283.12924194335938</v>
      </c>
      <c r="Q563" s="30">
        <f t="shared" ref="Q563:Q566" si="905">P563*DAY($C563)*86400/43560/1000</f>
        <v>16.847359851175103</v>
      </c>
      <c r="R563" s="30">
        <f>MIN(IF(MONTH($C563)=4,$S$3,IF(MONTH($C563)=5,$S$4,IF(MONTH($C563)=6,$S$5,IF(MONTH($C563)=7,$S$6,"ERROR")))),MAX(VLOOKUP($C563,COS!$B$8:$K$991,10,FALSE)-IF(MONTH($C563)=4,$Y$3,IF(MONTH($C563)=5,$Y$4,IF(MONTH($C563)=6,$Y$5,IF(MONTH($C563)=7,$Y$6,"ERROR")))),0),MAX(VLOOKUP($C563,COS!$B$8:$K$991,9,FALSE)-IF(MONTH($C563)=4,$V$3,IF(MONTH($C563)=5,$V$4,IF(MONTH($C563)=6,$V$5,IF(MONTH($C563)=7,$V$6,"ERROR"))))-VLOOKUP($C563,COS!$B$8:$K$991,6,FALSE)/2,0))</f>
        <v>0</v>
      </c>
      <c r="S563" s="30">
        <f t="shared" ref="S563:S566" si="906">R563*DAY($C563)*86400/43560/1000</f>
        <v>0</v>
      </c>
      <c r="T563" s="30">
        <f t="shared" ref="T563:T566" si="907">(O563+Q563)/2+S563</f>
        <v>9.0753345457975527</v>
      </c>
      <c r="U563" s="30" t="str">
        <f>IF(VLOOKUP($C563,COS!$B$8:$I$991,8,FALSE)=1,"UWFE","IBU")</f>
        <v>UWFE</v>
      </c>
      <c r="V563" s="30">
        <f t="shared" ref="V563" si="908">MIN(IF(IF($AA$3=2,AND(E563=1,G563=1,L563=1,L568=1,M563=1,U563="IBU"),AND(E563=1,G563=1,L563=1,L568=1,M563=1)),T563,0),I563)</f>
        <v>0</v>
      </c>
      <c r="W563" s="30"/>
      <c r="X563" s="30"/>
      <c r="Y563" s="30"/>
      <c r="Z563" s="30"/>
      <c r="AA563" s="30"/>
      <c r="AB563" s="31"/>
    </row>
    <row r="564" spans="1:28" x14ac:dyDescent="0.3">
      <c r="A564" s="32">
        <f>VLOOKUP(YEAR(C564),Flags!$A$13:$B$95,2,FALSE)</f>
        <v>1</v>
      </c>
      <c r="B564" s="24">
        <f t="shared" si="841"/>
        <v>1983</v>
      </c>
      <c r="C564" s="25">
        <v>30467</v>
      </c>
      <c r="D564" s="26">
        <f>VLOOKUP($C564,COS!$B$8:$H$991,3,FALSE)</f>
        <v>9426.208984375</v>
      </c>
      <c r="E564" s="24">
        <f>IF(D564&gt;=IF(MONTH($C564)=4,$C$3,IF(MONTH($C564)=5,$C$4,IF(MONTH($C564)=6,$C$5,IF(MONTH($C564)=7,$C$6,"ERROR")))),1,0)</f>
        <v>1</v>
      </c>
      <c r="F564" s="26">
        <f>VLOOKUP($C564,COS!$B$8:$H$991,7,FALSE)</f>
        <v>51.257026672363281</v>
      </c>
      <c r="G564" s="24">
        <f>IF(F564&lt;=IF(MONTH($C564)=4,$F$3,IF(MONTH($C564)=5,$F$4,IF(MONTH($C564)=6,$F$5,IF(MONTH($C564)=7,$F$6,"ERROR")))),1,0)</f>
        <v>1</v>
      </c>
      <c r="H564" s="26">
        <f>IF(J564=1,D564-$C$4,0)</f>
        <v>3426.208984375</v>
      </c>
      <c r="I564" s="26">
        <f t="shared" si="872"/>
        <v>210.66937887396696</v>
      </c>
      <c r="J564" s="24">
        <f t="shared" si="901"/>
        <v>1</v>
      </c>
      <c r="K564" s="26">
        <f>VLOOKUP($C564,COS!$B$8:$H$991,2,FALSE)</f>
        <v>4552</v>
      </c>
      <c r="L564" s="24">
        <f t="shared" si="843"/>
        <v>1</v>
      </c>
      <c r="M564" s="24">
        <f t="shared" si="844"/>
        <v>0</v>
      </c>
      <c r="N564" s="26">
        <f>VLOOKUP($C564,COS!$B$8:$H$991,5,FALSE)</f>
        <v>574.8585205078125</v>
      </c>
      <c r="O564" s="26">
        <f t="shared" si="904"/>
        <v>35.346672665934918</v>
      </c>
      <c r="P564" s="26">
        <f>VLOOKUP($C564,COS!$B$8:$H$991,6,FALSE)</f>
        <v>2133.038330078125</v>
      </c>
      <c r="Q564" s="26">
        <f t="shared" si="905"/>
        <v>131.15541467587809</v>
      </c>
      <c r="R564" s="26">
        <f>MIN(IF(MONTH($C564)=4,$S$3,IF(MONTH($C564)=5,$S$4,IF(MONTH($C564)=6,$S$5,IF(MONTH($C564)=7,$S$6,"ERROR")))),MAX(VLOOKUP($C564,COS!$B$8:$K$991,10,FALSE)-IF(MONTH($C564)=4,$Y$3,IF(MONTH($C564)=5,$Y$4,IF(MONTH($C564)=6,$Y$5,IF(MONTH($C564)=7,$Y$6,"ERROR")))),0),MAX(VLOOKUP($C564,COS!$B$8:$K$991,9,FALSE)-IF(MONTH($C564)=4,$V$3,IF(MONTH($C564)=5,$V$4,IF(MONTH($C564)=6,$V$5,IF(MONTH($C564)=7,$V$6,"ERROR"))))-VLOOKUP($C564,COS!$B$8:$K$991,6,FALSE)/2,0))</f>
        <v>0</v>
      </c>
      <c r="S564" s="26">
        <f t="shared" si="906"/>
        <v>0</v>
      </c>
      <c r="T564" s="26">
        <f t="shared" si="907"/>
        <v>83.251043670906512</v>
      </c>
      <c r="U564" s="26" t="str">
        <f>IF(VLOOKUP($C564,COS!$B$8:$I$991,8,FALSE)=1,"UWFE","IBU")</f>
        <v>UWFE</v>
      </c>
      <c r="V564" s="26">
        <f t="shared" ref="V564" si="909">MIN(IF(IF($AA$3=2,AND(E564=1,G564=1,L564=1,L568=1,M564=1,U564="IBU"),AND(E564=1,G564=1,L564=1,L568=1,M564=1)),T564,0),I564)</f>
        <v>0</v>
      </c>
      <c r="W564" s="26"/>
      <c r="X564" s="26"/>
      <c r="Y564" s="26"/>
      <c r="Z564" s="26"/>
      <c r="AA564" s="26"/>
      <c r="AB564" s="33"/>
    </row>
    <row r="565" spans="1:28" x14ac:dyDescent="0.3">
      <c r="A565" s="32">
        <f>VLOOKUP(YEAR(C565),Flags!$A$13:$B$95,2,FALSE)</f>
        <v>1</v>
      </c>
      <c r="B565" s="24">
        <f t="shared" si="841"/>
        <v>1983</v>
      </c>
      <c r="C565" s="25">
        <v>30497</v>
      </c>
      <c r="D565" s="26">
        <f>VLOOKUP($C565,COS!$B$8:$H$991,3,FALSE)</f>
        <v>12851.6533203125</v>
      </c>
      <c r="E565" s="24">
        <f>IF(D565&gt;=IF(MONTH($C565)=4,$C$3,IF(MONTH($C565)=5,$C$4,IF(MONTH($C565)=6,$C$5,IF(MONTH($C565)=7,$C$6,"ERROR")))),1,0)</f>
        <v>1</v>
      </c>
      <c r="F565" s="26">
        <f>VLOOKUP($C565,COS!$B$8:$H$991,7,FALSE)</f>
        <v>52.077590942382813</v>
      </c>
      <c r="G565" s="24">
        <f>IF(F565&lt;=IF(MONTH($C565)=4,$F$3,IF(MONTH($C565)=5,$F$4,IF(MONTH($C565)=6,$F$5,IF(MONTH($C565)=7,$F$6,"ERROR")))),1,0)</f>
        <v>1</v>
      </c>
      <c r="H565" s="26">
        <f>IF(J565=1,D565-$C$5,0)</f>
        <v>2851.6533203125</v>
      </c>
      <c r="I565" s="26">
        <f t="shared" si="872"/>
        <v>169.68515625000001</v>
      </c>
      <c r="J565" s="24">
        <f t="shared" si="901"/>
        <v>1</v>
      </c>
      <c r="K565" s="26">
        <f>VLOOKUP($C565,COS!$B$8:$H$991,2,FALSE)</f>
        <v>4500</v>
      </c>
      <c r="L565" s="24">
        <f t="shared" si="843"/>
        <v>1</v>
      </c>
      <c r="M565" s="24">
        <f t="shared" si="844"/>
        <v>0</v>
      </c>
      <c r="N565" s="26">
        <f>VLOOKUP($C565,COS!$B$8:$H$991,5,FALSE)</f>
        <v>1170.465087890625</v>
      </c>
      <c r="O565" s="26">
        <f t="shared" si="904"/>
        <v>69.647509362086765</v>
      </c>
      <c r="P565" s="26">
        <f>VLOOKUP($C565,COS!$B$8:$H$991,6,FALSE)</f>
        <v>2257.964111328125</v>
      </c>
      <c r="Q565" s="26">
        <f t="shared" si="905"/>
        <v>134.35819505423555</v>
      </c>
      <c r="R565" s="26">
        <f>MIN(IF(MONTH($C565)=4,$S$3,IF(MONTH($C565)=5,$S$4,IF(MONTH($C565)=6,$S$5,IF(MONTH($C565)=7,$S$6,"ERROR")))),MAX(VLOOKUP($C565,COS!$B$8:$K$991,10,FALSE)-IF(MONTH($C565)=4,$Y$3,IF(MONTH($C565)=5,$Y$4,IF(MONTH($C565)=6,$Y$5,IF(MONTH($C565)=7,$Y$6,"ERROR")))),0),MAX(VLOOKUP($C565,COS!$B$8:$K$991,9,FALSE)-IF(MONTH($C565)=4,$V$3,IF(MONTH($C565)=5,$V$4,IF(MONTH($C565)=6,$V$5,IF(MONTH($C565)=7,$V$6,"ERROR"))))-VLOOKUP($C565,COS!$B$8:$K$991,6,FALSE)/2,0))</f>
        <v>0</v>
      </c>
      <c r="S565" s="26">
        <f t="shared" si="906"/>
        <v>0</v>
      </c>
      <c r="T565" s="26">
        <f t="shared" si="907"/>
        <v>102.00285220816116</v>
      </c>
      <c r="U565" s="26" t="str">
        <f>IF(VLOOKUP($C565,COS!$B$8:$I$991,8,FALSE)=1,"UWFE","IBU")</f>
        <v>UWFE</v>
      </c>
      <c r="V565" s="26">
        <f t="shared" ref="V565" si="910">MIN(IF(IF($AA$3=2,AND(E565=1,G565=1,L565=1,L568=1,M565=1,U565="IBU"),AND(E565=1,G565=1,L565=1,L568=1,M565=1)),T565,0),I565)</f>
        <v>0</v>
      </c>
      <c r="W565" s="26"/>
      <c r="X565" s="26"/>
      <c r="Y565" s="26"/>
      <c r="Z565" s="26"/>
      <c r="AA565" s="26"/>
      <c r="AB565" s="33"/>
    </row>
    <row r="566" spans="1:28" x14ac:dyDescent="0.3">
      <c r="A566" s="32">
        <f>VLOOKUP(YEAR(C566),Flags!$A$13:$B$95,2,FALSE)</f>
        <v>1</v>
      </c>
      <c r="B566" s="24">
        <f t="shared" si="841"/>
        <v>1983</v>
      </c>
      <c r="C566" s="25">
        <v>30528</v>
      </c>
      <c r="D566" s="26">
        <f>VLOOKUP($C566,COS!$B$8:$H$991,3,FALSE)</f>
        <v>13464.8525390625</v>
      </c>
      <c r="E566" s="24">
        <f>IF(D566&gt;=IF(MONTH($C566)=4,$C$3,IF(MONTH($C566)=5,$C$4,IF(MONTH($C566)=6,$C$5,IF(MONTH($C566)=7,$C$6,"ERROR")))),1,0)</f>
        <v>1</v>
      </c>
      <c r="F566" s="26">
        <f>VLOOKUP($C566,COS!$B$8:$H$991,7,FALSE)</f>
        <v>52.801334381103516</v>
      </c>
      <c r="G566" s="24">
        <f>IF(F566&lt;=IF(MONTH($C566)=4,$F$3,IF(MONTH($C566)=5,$F$4,IF(MONTH($C566)=6,$F$5,IF(MONTH($C566)=7,$F$6,"ERROR")))),1,0)</f>
        <v>1</v>
      </c>
      <c r="H566" s="26">
        <f>IF(J566=1,D566-$C$6,0)</f>
        <v>1464.8525390625</v>
      </c>
      <c r="I566" s="26">
        <f t="shared" si="872"/>
        <v>90.070271823347113</v>
      </c>
      <c r="J566" s="24">
        <f t="shared" si="901"/>
        <v>1</v>
      </c>
      <c r="K566" s="26">
        <f>VLOOKUP($C566,COS!$B$8:$H$991,2,FALSE)</f>
        <v>4150</v>
      </c>
      <c r="L566" s="24">
        <f t="shared" si="843"/>
        <v>1</v>
      </c>
      <c r="M566" s="24">
        <f t="shared" si="844"/>
        <v>0</v>
      </c>
      <c r="N566" s="26">
        <f>VLOOKUP($C566,COS!$B$8:$H$991,5,FALSE)</f>
        <v>1382.7108154296875</v>
      </c>
      <c r="O566" s="26">
        <f t="shared" si="904"/>
        <v>85.01957410575929</v>
      </c>
      <c r="P566" s="26">
        <f>VLOOKUP($C566,COS!$B$8:$H$991,6,FALSE)</f>
        <v>2616.67822265625</v>
      </c>
      <c r="Q566" s="26">
        <f t="shared" si="905"/>
        <v>160.89327253357436</v>
      </c>
      <c r="R566" s="26">
        <f>MIN(IF(MONTH($C566)=4,$S$3,IF(MONTH($C566)=5,$S$4,IF(MONTH($C566)=6,$S$5,IF(MONTH($C566)=7,$S$6,"ERROR")))),MAX(VLOOKUP($C566,COS!$B$8:$K$991,10,FALSE)-IF(MONTH($C566)=4,$Y$3,IF(MONTH($C566)=5,$Y$4,IF(MONTH($C566)=6,$Y$5,IF(MONTH($C566)=7,$Y$6,"ERROR")))),0),MAX(VLOOKUP($C566,COS!$B$8:$K$991,9,FALSE)-IF(MONTH($C566)=4,$V$3,IF(MONTH($C566)=5,$V$4,IF(MONTH($C566)=6,$V$5,IF(MONTH($C566)=7,$V$6,"ERROR"))))-VLOOKUP($C566,COS!$B$8:$K$991,6,FALSE)/2,0))</f>
        <v>0</v>
      </c>
      <c r="S566" s="26">
        <f t="shared" si="906"/>
        <v>0</v>
      </c>
      <c r="T566" s="26">
        <f t="shared" si="907"/>
        <v>122.95642331966683</v>
      </c>
      <c r="U566" s="26" t="str">
        <f>IF(VLOOKUP($C566,COS!$B$8:$I$991,8,FALSE)=1,"UWFE","IBU")</f>
        <v>UWFE</v>
      </c>
      <c r="V566" s="26">
        <f t="shared" ref="V566" si="911">MIN(IF(IF($AA$3=2,AND(E566=1,G566=1,L566=1,L568=1,M566=1,U566="IBU"),AND(E566=1,G566=1,L566=1,L568=1,M566=1)),T566,0),I566)</f>
        <v>0</v>
      </c>
      <c r="W566" s="26"/>
      <c r="X566" s="26"/>
      <c r="Y566" s="26"/>
      <c r="Z566" s="26"/>
      <c r="AA566" s="26"/>
      <c r="AB566" s="33"/>
    </row>
    <row r="567" spans="1:28" x14ac:dyDescent="0.3">
      <c r="A567" s="32">
        <f>VLOOKUP(YEAR(C567),Flags!$A$13:$B$95,2,FALSE)</f>
        <v>1</v>
      </c>
      <c r="B567" s="24">
        <f t="shared" si="841"/>
        <v>1983</v>
      </c>
      <c r="C567" s="25">
        <v>30559</v>
      </c>
      <c r="D567" s="26"/>
      <c r="E567" s="24"/>
      <c r="F567" s="26"/>
      <c r="G567" s="24"/>
      <c r="H567" s="24"/>
      <c r="I567" s="26"/>
      <c r="J567" s="24"/>
      <c r="K567" s="26"/>
      <c r="L567" s="24"/>
      <c r="M567" s="24"/>
      <c r="N567" s="26"/>
      <c r="O567" s="26"/>
      <c r="P567" s="26"/>
      <c r="Q567" s="26"/>
      <c r="R567" s="26"/>
      <c r="S567" s="26"/>
      <c r="T567" s="26"/>
      <c r="U567" s="26"/>
      <c r="V567" s="26"/>
      <c r="W567" s="26">
        <f>MAX($C$7-VLOOKUP($C567,COS!$B$8:$H$991,3,FALSE),0)</f>
        <v>86628.7666015625</v>
      </c>
      <c r="X567" s="26">
        <f t="shared" si="870"/>
        <v>5326.5952356663229</v>
      </c>
      <c r="Y567" s="26">
        <f>VLOOKUP($C567,COS!$B$8:$H$991,4,FALSE)</f>
        <v>0</v>
      </c>
      <c r="Z567" s="26">
        <f t="shared" si="871"/>
        <v>0</v>
      </c>
      <c r="AA567" s="26">
        <f t="shared" ref="AA567:AA571" si="912">MIN(W567,Y567)</f>
        <v>0</v>
      </c>
      <c r="AB567" s="33">
        <f t="shared" ref="AB567" si="913">AA567*DAY($C567)*86400/43560/1000*IF(MONTH($C567)=8,$P$3,IF(MONTH($C567)=9,$P$4,IF(MONTH($C567)=10,$P$5,IF(MONTH($C567)=11,$P$6,IF(MONTH($C567)=12,$P$7,NA())))))</f>
        <v>0</v>
      </c>
    </row>
    <row r="568" spans="1:28" x14ac:dyDescent="0.3">
      <c r="A568" s="32">
        <f>VLOOKUP(YEAR(C568),Flags!$A$13:$B$95,2,FALSE)</f>
        <v>1</v>
      </c>
      <c r="B568" s="24">
        <f t="shared" si="841"/>
        <v>1983</v>
      </c>
      <c r="C568" s="25">
        <v>30589</v>
      </c>
      <c r="D568" s="26"/>
      <c r="E568" s="24"/>
      <c r="F568" s="26"/>
      <c r="G568" s="24"/>
      <c r="H568" s="24"/>
      <c r="I568" s="26"/>
      <c r="J568" s="24"/>
      <c r="K568" s="26">
        <f>VLOOKUP($C568,COS!$B$8:$H$991,2,FALSE)</f>
        <v>3400</v>
      </c>
      <c r="L568" s="24">
        <f t="shared" ref="L568" si="914">IF(AND(K568&gt;$I$7,K568&lt;$I$8),1,0)</f>
        <v>1</v>
      </c>
      <c r="M568" s="24"/>
      <c r="N568" s="26"/>
      <c r="O568" s="26"/>
      <c r="P568" s="26"/>
      <c r="Q568" s="26"/>
      <c r="R568" s="26"/>
      <c r="S568" s="26"/>
      <c r="T568" s="26"/>
      <c r="U568" s="26"/>
      <c r="V568" s="26"/>
      <c r="W568" s="26">
        <f>MAX($C$8-VLOOKUP($C568,COS!$B$8:$H$991,3,FALSE),0)</f>
        <v>87804.103515625</v>
      </c>
      <c r="X568" s="26">
        <f t="shared" si="870"/>
        <v>5224.7069860537194</v>
      </c>
      <c r="Y568" s="26">
        <f>VLOOKUP($C568,COS!$B$8:$H$991,4,FALSE)</f>
        <v>0</v>
      </c>
      <c r="Z568" s="26">
        <f t="shared" si="871"/>
        <v>0</v>
      </c>
      <c r="AA568" s="26">
        <f t="shared" si="912"/>
        <v>0</v>
      </c>
      <c r="AB568" s="33">
        <f t="shared" si="854"/>
        <v>0</v>
      </c>
    </row>
    <row r="569" spans="1:28" x14ac:dyDescent="0.3">
      <c r="A569" s="32">
        <f>VLOOKUP(YEAR(C569),Flags!$A$13:$B$95,2,FALSE)</f>
        <v>1</v>
      </c>
      <c r="B569" s="24">
        <f t="shared" si="841"/>
        <v>1983</v>
      </c>
      <c r="C569" s="25">
        <v>30620</v>
      </c>
      <c r="D569" s="26"/>
      <c r="E569" s="24"/>
      <c r="F569" s="26"/>
      <c r="G569" s="26"/>
      <c r="H569" s="26"/>
      <c r="I569" s="26"/>
      <c r="J569" s="26"/>
      <c r="K569" s="26"/>
      <c r="L569" s="24"/>
      <c r="M569" s="24"/>
      <c r="N569" s="26"/>
      <c r="O569" s="26"/>
      <c r="P569" s="26"/>
      <c r="Q569" s="26"/>
      <c r="R569" s="26"/>
      <c r="S569" s="26"/>
      <c r="T569" s="26"/>
      <c r="U569" s="26"/>
      <c r="V569" s="26"/>
      <c r="W569" s="26">
        <f>MAX($C$9-VLOOKUP($C569,COS!$B$8:$H$991,3,FALSE),0)</f>
        <v>90957.4501953125</v>
      </c>
      <c r="X569" s="26">
        <f t="shared" si="870"/>
        <v>5592.7556153150827</v>
      </c>
      <c r="Y569" s="26">
        <f>VLOOKUP($C569,COS!$B$8:$H$991,4,FALSE)</f>
        <v>322.68313598632813</v>
      </c>
      <c r="Z569" s="26">
        <f t="shared" si="871"/>
        <v>19.84101265899406</v>
      </c>
      <c r="AA569" s="26">
        <f t="shared" si="912"/>
        <v>322.68313598632813</v>
      </c>
      <c r="AB569" s="33">
        <f t="shared" si="854"/>
        <v>19.84101265899406</v>
      </c>
    </row>
    <row r="570" spans="1:28" x14ac:dyDescent="0.3">
      <c r="A570" s="32">
        <f>VLOOKUP(YEAR(C570),Flags!$A$13:$B$95,2,FALSE)</f>
        <v>1</v>
      </c>
      <c r="B570" s="24">
        <f t="shared" si="841"/>
        <v>1983</v>
      </c>
      <c r="C570" s="25">
        <v>30650</v>
      </c>
      <c r="D570" s="26"/>
      <c r="E570" s="24"/>
      <c r="F570" s="26"/>
      <c r="G570" s="26"/>
      <c r="H570" s="26"/>
      <c r="I570" s="26"/>
      <c r="J570" s="26"/>
      <c r="K570" s="26"/>
      <c r="L570" s="24"/>
      <c r="M570" s="24"/>
      <c r="N570" s="26"/>
      <c r="O570" s="26"/>
      <c r="P570" s="26"/>
      <c r="Q570" s="26"/>
      <c r="R570" s="26"/>
      <c r="S570" s="26"/>
      <c r="T570" s="26"/>
      <c r="U570" s="26"/>
      <c r="V570" s="26"/>
      <c r="W570" s="26">
        <f>MAX($C$10-VLOOKUP($C570,COS!$B$8:$H$991,3,FALSE),0)</f>
        <v>86177.234375</v>
      </c>
      <c r="X570" s="26">
        <f t="shared" si="870"/>
        <v>5127.901549586777</v>
      </c>
      <c r="Y570" s="26">
        <f>VLOOKUP($C570,COS!$B$8:$H$991,4,FALSE)</f>
        <v>0</v>
      </c>
      <c r="Z570" s="26">
        <f t="shared" si="871"/>
        <v>0</v>
      </c>
      <c r="AA570" s="26">
        <f t="shared" si="912"/>
        <v>0</v>
      </c>
      <c r="AB570" s="33">
        <f t="shared" si="854"/>
        <v>0</v>
      </c>
    </row>
    <row r="571" spans="1:28" x14ac:dyDescent="0.3">
      <c r="A571" s="34">
        <f>VLOOKUP(YEAR(C571),Flags!$A$13:$B$95,2,FALSE)</f>
        <v>1</v>
      </c>
      <c r="B571" s="35">
        <f t="shared" si="841"/>
        <v>1983</v>
      </c>
      <c r="C571" s="36">
        <v>30681</v>
      </c>
      <c r="D571" s="37"/>
      <c r="E571" s="35"/>
      <c r="F571" s="37"/>
      <c r="G571" s="37"/>
      <c r="H571" s="37"/>
      <c r="I571" s="37"/>
      <c r="J571" s="37"/>
      <c r="K571" s="37"/>
      <c r="L571" s="35"/>
      <c r="M571" s="35"/>
      <c r="N571" s="37"/>
      <c r="O571" s="37"/>
      <c r="P571" s="37"/>
      <c r="Q571" s="37"/>
      <c r="R571" s="37"/>
      <c r="S571" s="37"/>
      <c r="T571" s="37"/>
      <c r="U571" s="37"/>
      <c r="V571" s="37"/>
      <c r="W571" s="37">
        <f>MAX($C$11-VLOOKUP($C571,COS!$B$8:$H$991,3,FALSE),0)</f>
        <v>0</v>
      </c>
      <c r="X571" s="37">
        <f t="shared" si="870"/>
        <v>0</v>
      </c>
      <c r="Y571" s="37">
        <f>VLOOKUP($C571,COS!$B$8:$H$991,4,FALSE)</f>
        <v>0</v>
      </c>
      <c r="Z571" s="37">
        <f t="shared" si="871"/>
        <v>0</v>
      </c>
      <c r="AA571" s="37">
        <f t="shared" si="912"/>
        <v>0</v>
      </c>
      <c r="AB571" s="38">
        <f t="shared" si="854"/>
        <v>0</v>
      </c>
    </row>
    <row r="572" spans="1:28" x14ac:dyDescent="0.3">
      <c r="A572" s="27">
        <f>VLOOKUP(YEAR(C572),Flags!$A$13:$B$95,2,FALSE)</f>
        <v>1</v>
      </c>
      <c r="B572" s="28">
        <f t="shared" si="841"/>
        <v>1984</v>
      </c>
      <c r="C572" s="29">
        <v>30802</v>
      </c>
      <c r="D572" s="30">
        <f>VLOOKUP($C572,COS!$B$8:$H$991,3,FALSE)</f>
        <v>3741.849609375</v>
      </c>
      <c r="E572" s="28">
        <f>IF(D572&gt;=IF(MONTH($C572)=4,$C$3,IF(MONTH($C572)=5,$C$4,IF(MONTH($C572)=6,$C$5,IF(MONTH($C572)=7,$C$6,"ERROR")))),1,0)</f>
        <v>0</v>
      </c>
      <c r="F572" s="30">
        <f>VLOOKUP($C572,COS!$B$8:$H$991,7,FALSE)</f>
        <v>49.945255279541016</v>
      </c>
      <c r="G572" s="28">
        <f>IF(F572&lt;=IF(MONTH($C572)=4,$F$3,IF(MONTH($C572)=5,$F$4,IF(MONTH($C572)=6,$F$5,IF(MONTH($C572)=7,$F$6,"ERROR")))),1,0)</f>
        <v>1</v>
      </c>
      <c r="H572" s="30">
        <f>IF(J572=1,D572-$C$3,0)</f>
        <v>0</v>
      </c>
      <c r="I572" s="30">
        <f t="shared" si="872"/>
        <v>0</v>
      </c>
      <c r="J572" s="28">
        <f t="shared" ref="J572:J575" si="915">IF(AND(E572=1,G572=1),1,0)</f>
        <v>0</v>
      </c>
      <c r="K572" s="30">
        <f>VLOOKUP($C572,COS!$B$8:$H$991,2,FALSE)</f>
        <v>4552</v>
      </c>
      <c r="L572" s="28">
        <f t="shared" ref="L572" si="916">IF(K572&lt;=IF(MONTH($C572)=4,$I$3,IF(MONTH($C572)=5,$I$4,IF(MONTH($C572)=6,$I$5,IF(MONTH($C572)=7,$I$6,"ERROR")))),1,0)</f>
        <v>1</v>
      </c>
      <c r="M572" s="28">
        <f t="shared" ref="M572" si="917">VLOOKUP($A572,$L$3:$M$7,2,FALSE)</f>
        <v>0</v>
      </c>
      <c r="N572" s="30">
        <f>VLOOKUP($C572,COS!$B$8:$H$991,5,FALSE)</f>
        <v>325.60305786132813</v>
      </c>
      <c r="O572" s="30">
        <f t="shared" ref="O572:O575" si="918">N572*DAY($C572)*86400/43560/1000</f>
        <v>19.374727409930269</v>
      </c>
      <c r="P572" s="30">
        <f>VLOOKUP($C572,COS!$B$8:$H$991,6,FALSE)</f>
        <v>551.338623046875</v>
      </c>
      <c r="Q572" s="30">
        <f t="shared" ref="Q572:Q575" si="919">P572*DAY($C572)*86400/43560/1000</f>
        <v>32.806926330061984</v>
      </c>
      <c r="R572" s="30">
        <f>MIN(IF(MONTH($C572)=4,$S$3,IF(MONTH($C572)=5,$S$4,IF(MONTH($C572)=6,$S$5,IF(MONTH($C572)=7,$S$6,"ERROR")))),MAX(VLOOKUP($C572,COS!$B$8:$K$991,10,FALSE)-IF(MONTH($C572)=4,$Y$3,IF(MONTH($C572)=5,$Y$4,IF(MONTH($C572)=6,$Y$5,IF(MONTH($C572)=7,$Y$6,"ERROR")))),0),MAX(VLOOKUP($C572,COS!$B$8:$K$991,9,FALSE)-IF(MONTH($C572)=4,$V$3,IF(MONTH($C572)=5,$V$4,IF(MONTH($C572)=6,$V$5,IF(MONTH($C572)=7,$V$6,"ERROR"))))-VLOOKUP($C572,COS!$B$8:$K$991,6,FALSE)/2,0))</f>
        <v>0</v>
      </c>
      <c r="S572" s="30">
        <f t="shared" ref="S572:S575" si="920">R572*DAY($C572)*86400/43560/1000</f>
        <v>0</v>
      </c>
      <c r="T572" s="30">
        <f t="shared" ref="T572:T575" si="921">(O572+Q572)/2+S572</f>
        <v>26.090826869996128</v>
      </c>
      <c r="U572" s="30" t="str">
        <f>IF(VLOOKUP($C572,COS!$B$8:$I$991,8,FALSE)=1,"UWFE","IBU")</f>
        <v>UWFE</v>
      </c>
      <c r="V572" s="30">
        <f t="shared" ref="V572" si="922">MIN(IF(IF($AA$3=2,AND(E572=1,G572=1,L572=1,L577=1,M572=1,U572="IBU"),AND(E572=1,G572=1,L572=1,L577=1,M572=1)),T572,0),I572)</f>
        <v>0</v>
      </c>
      <c r="W572" s="30"/>
      <c r="X572" s="30"/>
      <c r="Y572" s="30"/>
      <c r="Z572" s="30"/>
      <c r="AA572" s="30"/>
      <c r="AB572" s="31"/>
    </row>
    <row r="573" spans="1:28" x14ac:dyDescent="0.3">
      <c r="A573" s="32">
        <f>VLOOKUP(YEAR(C573),Flags!$A$13:$B$95,2,FALSE)</f>
        <v>1</v>
      </c>
      <c r="B573" s="24">
        <f t="shared" si="841"/>
        <v>1984</v>
      </c>
      <c r="C573" s="25">
        <v>30833</v>
      </c>
      <c r="D573" s="26">
        <f>VLOOKUP($C573,COS!$B$8:$H$991,3,FALSE)</f>
        <v>7339.09130859375</v>
      </c>
      <c r="E573" s="24">
        <f>IF(D573&gt;=IF(MONTH($C573)=4,$C$3,IF(MONTH($C573)=5,$C$4,IF(MONTH($C573)=6,$C$5,IF(MONTH($C573)=7,$C$6,"ERROR")))),1,0)</f>
        <v>1</v>
      </c>
      <c r="F573" s="26">
        <f>VLOOKUP($C573,COS!$B$8:$H$991,7,FALSE)</f>
        <v>50.413700103759766</v>
      </c>
      <c r="G573" s="24">
        <f>IF(F573&lt;=IF(MONTH($C573)=4,$F$3,IF(MONTH($C573)=5,$F$4,IF(MONTH($C573)=6,$F$5,IF(MONTH($C573)=7,$F$6,"ERROR")))),1,0)</f>
        <v>1</v>
      </c>
      <c r="H573" s="26">
        <f>IF(J573=1,D573-$C$4,0)</f>
        <v>1339.09130859375</v>
      </c>
      <c r="I573" s="26">
        <f t="shared" si="872"/>
        <v>82.33751517303719</v>
      </c>
      <c r="J573" s="24">
        <f t="shared" si="915"/>
        <v>1</v>
      </c>
      <c r="K573" s="26">
        <f>VLOOKUP($C573,COS!$B$8:$H$991,2,FALSE)</f>
        <v>4539.20361328125</v>
      </c>
      <c r="L573" s="24">
        <f t="shared" si="843"/>
        <v>1</v>
      </c>
      <c r="M573" s="24">
        <f t="shared" si="844"/>
        <v>0</v>
      </c>
      <c r="N573" s="26">
        <f>VLOOKUP($C573,COS!$B$8:$H$991,5,FALSE)</f>
        <v>787.246337890625</v>
      </c>
      <c r="O573" s="26">
        <f t="shared" si="918"/>
        <v>48.405890528150827</v>
      </c>
      <c r="P573" s="26">
        <f>VLOOKUP($C573,COS!$B$8:$H$991,6,FALSE)</f>
        <v>2330.58056640625</v>
      </c>
      <c r="Q573" s="26">
        <f t="shared" si="919"/>
        <v>143.30181333935951</v>
      </c>
      <c r="R573" s="26">
        <f>MIN(IF(MONTH($C573)=4,$S$3,IF(MONTH($C573)=5,$S$4,IF(MONTH($C573)=6,$S$5,IF(MONTH($C573)=7,$S$6,"ERROR")))),MAX(VLOOKUP($C573,COS!$B$8:$K$991,10,FALSE)-IF(MONTH($C573)=4,$Y$3,IF(MONTH($C573)=5,$Y$4,IF(MONTH($C573)=6,$Y$5,IF(MONTH($C573)=7,$Y$6,"ERROR")))),0),MAX(VLOOKUP($C573,COS!$B$8:$K$991,9,FALSE)-IF(MONTH($C573)=4,$V$3,IF(MONTH($C573)=5,$V$4,IF(MONTH($C573)=6,$V$5,IF(MONTH($C573)=7,$V$6,"ERROR"))))-VLOOKUP($C573,COS!$B$8:$K$991,6,FALSE)/2,0))</f>
        <v>0</v>
      </c>
      <c r="S573" s="26">
        <f t="shared" si="920"/>
        <v>0</v>
      </c>
      <c r="T573" s="26">
        <f t="shared" si="921"/>
        <v>95.853851933755166</v>
      </c>
      <c r="U573" s="26" t="str">
        <f>IF(VLOOKUP($C573,COS!$B$8:$I$991,8,FALSE)=1,"UWFE","IBU")</f>
        <v>UWFE</v>
      </c>
      <c r="V573" s="26">
        <f t="shared" ref="V573" si="923">MIN(IF(IF($AA$3=2,AND(E573=1,G573=1,L573=1,L577=1,M573=1,U573="IBU"),AND(E573=1,G573=1,L573=1,L577=1,M573=1)),T573,0),I573)</f>
        <v>0</v>
      </c>
      <c r="W573" s="26"/>
      <c r="X573" s="26"/>
      <c r="Y573" s="26"/>
      <c r="Z573" s="26"/>
      <c r="AA573" s="26"/>
      <c r="AB573" s="33"/>
    </row>
    <row r="574" spans="1:28" x14ac:dyDescent="0.3">
      <c r="A574" s="32">
        <f>VLOOKUP(YEAR(C574),Flags!$A$13:$B$95,2,FALSE)</f>
        <v>1</v>
      </c>
      <c r="B574" s="24">
        <f t="shared" si="841"/>
        <v>1984</v>
      </c>
      <c r="C574" s="25">
        <v>30863</v>
      </c>
      <c r="D574" s="26">
        <f>VLOOKUP($C574,COS!$B$8:$H$991,3,FALSE)</f>
        <v>11324.5849609375</v>
      </c>
      <c r="E574" s="24">
        <f>IF(D574&gt;=IF(MONTH($C574)=4,$C$3,IF(MONTH($C574)=5,$C$4,IF(MONTH($C574)=6,$C$5,IF(MONTH($C574)=7,$C$6,"ERROR")))),1,0)</f>
        <v>1</v>
      </c>
      <c r="F574" s="26">
        <f>VLOOKUP($C574,COS!$B$8:$H$991,7,FALSE)</f>
        <v>50.518535614013672</v>
      </c>
      <c r="G574" s="24">
        <f>IF(F574&lt;=IF(MONTH($C574)=4,$F$3,IF(MONTH($C574)=5,$F$4,IF(MONTH($C574)=6,$F$5,IF(MONTH($C574)=7,$F$6,"ERROR")))),1,0)</f>
        <v>1</v>
      </c>
      <c r="H574" s="26">
        <f>IF(J574=1,D574-$C$5,0)</f>
        <v>1324.5849609375</v>
      </c>
      <c r="I574" s="26">
        <f t="shared" si="872"/>
        <v>78.818278667355372</v>
      </c>
      <c r="J574" s="24">
        <f t="shared" si="915"/>
        <v>1</v>
      </c>
      <c r="K574" s="26">
        <f>VLOOKUP($C574,COS!$B$8:$H$991,2,FALSE)</f>
        <v>4156.24755859375</v>
      </c>
      <c r="L574" s="24">
        <f t="shared" si="843"/>
        <v>1</v>
      </c>
      <c r="M574" s="24">
        <f t="shared" si="844"/>
        <v>0</v>
      </c>
      <c r="N574" s="26">
        <f>VLOOKUP($C574,COS!$B$8:$H$991,5,FALSE)</f>
        <v>904.4803466796875</v>
      </c>
      <c r="O574" s="26">
        <f t="shared" si="918"/>
        <v>53.820318149535126</v>
      </c>
      <c r="P574" s="26">
        <f>VLOOKUP($C574,COS!$B$8:$H$991,6,FALSE)</f>
        <v>2326.57470703125</v>
      </c>
      <c r="Q574" s="26">
        <f t="shared" si="919"/>
        <v>138.44080901342974</v>
      </c>
      <c r="R574" s="26">
        <f>MIN(IF(MONTH($C574)=4,$S$3,IF(MONTH($C574)=5,$S$4,IF(MONTH($C574)=6,$S$5,IF(MONTH($C574)=7,$S$6,"ERROR")))),MAX(VLOOKUP($C574,COS!$B$8:$K$991,10,FALSE)-IF(MONTH($C574)=4,$Y$3,IF(MONTH($C574)=5,$Y$4,IF(MONTH($C574)=6,$Y$5,IF(MONTH($C574)=7,$Y$6,"ERROR")))),0),MAX(VLOOKUP($C574,COS!$B$8:$K$991,9,FALSE)-IF(MONTH($C574)=4,$V$3,IF(MONTH($C574)=5,$V$4,IF(MONTH($C574)=6,$V$5,IF(MONTH($C574)=7,$V$6,"ERROR"))))-VLOOKUP($C574,COS!$B$8:$K$991,6,FALSE)/2,0))</f>
        <v>0</v>
      </c>
      <c r="S574" s="26">
        <f t="shared" si="920"/>
        <v>0</v>
      </c>
      <c r="T574" s="26">
        <f t="shared" si="921"/>
        <v>96.130563581482434</v>
      </c>
      <c r="U574" s="26" t="str">
        <f>IF(VLOOKUP($C574,COS!$B$8:$I$991,8,FALSE)=1,"UWFE","IBU")</f>
        <v>IBU</v>
      </c>
      <c r="V574" s="26">
        <f t="shared" ref="V574" si="924">MIN(IF(IF($AA$3=2,AND(E574=1,G574=1,L574=1,L577=1,M574=1,U574="IBU"),AND(E574=1,G574=1,L574=1,L577=1,M574=1)),T574,0),I574)</f>
        <v>0</v>
      </c>
      <c r="W574" s="26"/>
      <c r="X574" s="26"/>
      <c r="Y574" s="26"/>
      <c r="Z574" s="26"/>
      <c r="AA574" s="26"/>
      <c r="AB574" s="33"/>
    </row>
    <row r="575" spans="1:28" x14ac:dyDescent="0.3">
      <c r="A575" s="32">
        <f>VLOOKUP(YEAR(C575),Flags!$A$13:$B$95,2,FALSE)</f>
        <v>1</v>
      </c>
      <c r="B575" s="24">
        <f t="shared" si="841"/>
        <v>1984</v>
      </c>
      <c r="C575" s="25">
        <v>30894</v>
      </c>
      <c r="D575" s="26">
        <f>VLOOKUP($C575,COS!$B$8:$H$991,3,FALSE)</f>
        <v>16000</v>
      </c>
      <c r="E575" s="24">
        <f>IF(D575&gt;=IF(MONTH($C575)=4,$C$3,IF(MONTH($C575)=5,$C$4,IF(MONTH($C575)=6,$C$5,IF(MONTH($C575)=7,$C$6,"ERROR")))),1,0)</f>
        <v>1</v>
      </c>
      <c r="F575" s="26">
        <f>VLOOKUP($C575,COS!$B$8:$H$991,7,FALSE)</f>
        <v>51.311916351318359</v>
      </c>
      <c r="G575" s="24">
        <f>IF(F575&lt;=IF(MONTH($C575)=4,$F$3,IF(MONTH($C575)=5,$F$4,IF(MONTH($C575)=6,$F$5,IF(MONTH($C575)=7,$F$6,"ERROR")))),1,0)</f>
        <v>1</v>
      </c>
      <c r="H575" s="26">
        <f>IF(J575=1,D575-$C$6,0)</f>
        <v>4000</v>
      </c>
      <c r="I575" s="26">
        <f t="shared" si="872"/>
        <v>245.95041322314049</v>
      </c>
      <c r="J575" s="24">
        <f t="shared" si="915"/>
        <v>1</v>
      </c>
      <c r="K575" s="26">
        <f>VLOOKUP($C575,COS!$B$8:$H$991,2,FALSE)</f>
        <v>3457.78173828125</v>
      </c>
      <c r="L575" s="24">
        <f t="shared" si="843"/>
        <v>1</v>
      </c>
      <c r="M575" s="24">
        <f t="shared" si="844"/>
        <v>0</v>
      </c>
      <c r="N575" s="26">
        <f>VLOOKUP($C575,COS!$B$8:$H$991,5,FALSE)</f>
        <v>1002.6513061523438</v>
      </c>
      <c r="O575" s="26">
        <f t="shared" si="918"/>
        <v>61.650625766722627</v>
      </c>
      <c r="P575" s="26">
        <f>VLOOKUP($C575,COS!$B$8:$H$991,6,FALSE)</f>
        <v>2616.67822265625</v>
      </c>
      <c r="Q575" s="26">
        <f t="shared" si="919"/>
        <v>160.89327253357436</v>
      </c>
      <c r="R575" s="26">
        <f>MIN(IF(MONTH($C575)=4,$S$3,IF(MONTH($C575)=5,$S$4,IF(MONTH($C575)=6,$S$5,IF(MONTH($C575)=7,$S$6,"ERROR")))),MAX(VLOOKUP($C575,COS!$B$8:$K$991,10,FALSE)-IF(MONTH($C575)=4,$Y$3,IF(MONTH($C575)=5,$Y$4,IF(MONTH($C575)=6,$Y$5,IF(MONTH($C575)=7,$Y$6,"ERROR")))),0),MAX(VLOOKUP($C575,COS!$B$8:$K$991,9,FALSE)-IF(MONTH($C575)=4,$V$3,IF(MONTH($C575)=5,$V$4,IF(MONTH($C575)=6,$V$5,IF(MONTH($C575)=7,$V$6,"ERROR"))))-VLOOKUP($C575,COS!$B$8:$K$991,6,FALSE)/2,0))</f>
        <v>0</v>
      </c>
      <c r="S575" s="26">
        <f t="shared" si="920"/>
        <v>0</v>
      </c>
      <c r="T575" s="26">
        <f t="shared" si="921"/>
        <v>111.27194915014849</v>
      </c>
      <c r="U575" s="26" t="str">
        <f>IF(VLOOKUP($C575,COS!$B$8:$I$991,8,FALSE)=1,"UWFE","IBU")</f>
        <v>IBU</v>
      </c>
      <c r="V575" s="26">
        <f t="shared" ref="V575" si="925">MIN(IF(IF($AA$3=2,AND(E575=1,G575=1,L575=1,L577=1,M575=1,U575="IBU"),AND(E575=1,G575=1,L575=1,L577=1,M575=1)),T575,0),I575)</f>
        <v>0</v>
      </c>
      <c r="W575" s="26"/>
      <c r="X575" s="26"/>
      <c r="Y575" s="26"/>
      <c r="Z575" s="26"/>
      <c r="AA575" s="26"/>
      <c r="AB575" s="33"/>
    </row>
    <row r="576" spans="1:28" x14ac:dyDescent="0.3">
      <c r="A576" s="32">
        <f>VLOOKUP(YEAR(C576),Flags!$A$13:$B$95,2,FALSE)</f>
        <v>1</v>
      </c>
      <c r="B576" s="24">
        <f t="shared" si="841"/>
        <v>1984</v>
      </c>
      <c r="C576" s="25">
        <v>30925</v>
      </c>
      <c r="D576" s="26"/>
      <c r="E576" s="24"/>
      <c r="F576" s="26"/>
      <c r="G576" s="24"/>
      <c r="H576" s="24"/>
      <c r="I576" s="26"/>
      <c r="J576" s="24"/>
      <c r="K576" s="26"/>
      <c r="L576" s="24"/>
      <c r="M576" s="24"/>
      <c r="N576" s="26"/>
      <c r="O576" s="26"/>
      <c r="P576" s="26"/>
      <c r="Q576" s="26"/>
      <c r="R576" s="26"/>
      <c r="S576" s="26"/>
      <c r="T576" s="26"/>
      <c r="U576" s="26"/>
      <c r="V576" s="26"/>
      <c r="W576" s="26">
        <f>MAX($C$7-VLOOKUP($C576,COS!$B$8:$H$991,3,FALSE),0)</f>
        <v>91391.3505859375</v>
      </c>
      <c r="X576" s="26">
        <f t="shared" si="870"/>
        <v>5619.4351104080579</v>
      </c>
      <c r="Y576" s="26">
        <f>VLOOKUP($C576,COS!$B$8:$H$991,4,FALSE)</f>
        <v>0</v>
      </c>
      <c r="Z576" s="26">
        <f t="shared" si="871"/>
        <v>0</v>
      </c>
      <c r="AA576" s="26">
        <f t="shared" ref="AA576:AA580" si="926">MIN(W576,Y576)</f>
        <v>0</v>
      </c>
      <c r="AB576" s="33">
        <f t="shared" ref="AB576" si="927">AA576*DAY($C576)*86400/43560/1000*IF(MONTH($C576)=8,$P$3,IF(MONTH($C576)=9,$P$4,IF(MONTH($C576)=10,$P$5,IF(MONTH($C576)=11,$P$6,IF(MONTH($C576)=12,$P$7,NA())))))</f>
        <v>0</v>
      </c>
    </row>
    <row r="577" spans="1:28" x14ac:dyDescent="0.3">
      <c r="A577" s="32">
        <f>VLOOKUP(YEAR(C577),Flags!$A$13:$B$95,2,FALSE)</f>
        <v>1</v>
      </c>
      <c r="B577" s="24">
        <f t="shared" si="841"/>
        <v>1984</v>
      </c>
      <c r="C577" s="25">
        <v>30955</v>
      </c>
      <c r="D577" s="26"/>
      <c r="E577" s="24"/>
      <c r="F577" s="26"/>
      <c r="G577" s="24"/>
      <c r="H577" s="24"/>
      <c r="I577" s="26"/>
      <c r="J577" s="24"/>
      <c r="K577" s="26">
        <f>VLOOKUP($C577,COS!$B$8:$H$991,2,FALSE)</f>
        <v>2599.457763671875</v>
      </c>
      <c r="L577" s="24">
        <f t="shared" ref="L577" si="928">IF(AND(K577&gt;$I$7,K577&lt;$I$8),1,0)</f>
        <v>1</v>
      </c>
      <c r="M577" s="24"/>
      <c r="N577" s="26"/>
      <c r="O577" s="26"/>
      <c r="P577" s="26"/>
      <c r="Q577" s="26"/>
      <c r="R577" s="26"/>
      <c r="S577" s="26"/>
      <c r="T577" s="26"/>
      <c r="U577" s="26"/>
      <c r="V577" s="26"/>
      <c r="W577" s="26">
        <f>MAX($C$8-VLOOKUP($C577,COS!$B$8:$H$991,3,FALSE),0)</f>
        <v>83999</v>
      </c>
      <c r="X577" s="26">
        <f t="shared" si="870"/>
        <v>4998.2876033057846</v>
      </c>
      <c r="Y577" s="26">
        <f>VLOOKUP($C577,COS!$B$8:$H$991,4,FALSE)</f>
        <v>489.46258544921875</v>
      </c>
      <c r="Z577" s="26">
        <f t="shared" si="871"/>
        <v>29.12504640689566</v>
      </c>
      <c r="AA577" s="26">
        <f t="shared" si="926"/>
        <v>489.46258544921875</v>
      </c>
      <c r="AB577" s="33">
        <f t="shared" si="854"/>
        <v>29.12504640689566</v>
      </c>
    </row>
    <row r="578" spans="1:28" x14ac:dyDescent="0.3">
      <c r="A578" s="32">
        <f>VLOOKUP(YEAR(C578),Flags!$A$13:$B$95,2,FALSE)</f>
        <v>1</v>
      </c>
      <c r="B578" s="24">
        <f t="shared" si="841"/>
        <v>1984</v>
      </c>
      <c r="C578" s="25">
        <v>30986</v>
      </c>
      <c r="D578" s="26"/>
      <c r="E578" s="24"/>
      <c r="F578" s="26"/>
      <c r="G578" s="26"/>
      <c r="H578" s="26"/>
      <c r="I578" s="26"/>
      <c r="J578" s="26"/>
      <c r="K578" s="26"/>
      <c r="L578" s="24"/>
      <c r="M578" s="24"/>
      <c r="N578" s="26"/>
      <c r="O578" s="26"/>
      <c r="P578" s="26"/>
      <c r="Q578" s="26"/>
      <c r="R578" s="26"/>
      <c r="S578" s="26"/>
      <c r="T578" s="26"/>
      <c r="U578" s="26"/>
      <c r="V578" s="26"/>
      <c r="W578" s="26">
        <f>MAX($C$9-VLOOKUP($C578,COS!$B$8:$H$991,3,FALSE),0)</f>
        <v>92538.021484375</v>
      </c>
      <c r="X578" s="26">
        <f t="shared" si="870"/>
        <v>5689.9411557334706</v>
      </c>
      <c r="Y578" s="26">
        <f>VLOOKUP($C578,COS!$B$8:$H$991,4,FALSE)</f>
        <v>692.67999267578125</v>
      </c>
      <c r="Z578" s="26">
        <f t="shared" si="871"/>
        <v>42.591232607502583</v>
      </c>
      <c r="AA578" s="26">
        <f t="shared" si="926"/>
        <v>692.67999267578125</v>
      </c>
      <c r="AB578" s="33">
        <f t="shared" si="854"/>
        <v>42.591232607502583</v>
      </c>
    </row>
    <row r="579" spans="1:28" x14ac:dyDescent="0.3">
      <c r="A579" s="32">
        <f>VLOOKUP(YEAR(C579),Flags!$A$13:$B$95,2,FALSE)</f>
        <v>1</v>
      </c>
      <c r="B579" s="24">
        <f t="shared" si="841"/>
        <v>1984</v>
      </c>
      <c r="C579" s="25">
        <v>31016</v>
      </c>
      <c r="D579" s="26"/>
      <c r="E579" s="24"/>
      <c r="F579" s="26"/>
      <c r="G579" s="26"/>
      <c r="H579" s="26"/>
      <c r="I579" s="26"/>
      <c r="J579" s="26"/>
      <c r="K579" s="26"/>
      <c r="L579" s="24"/>
      <c r="M579" s="24"/>
      <c r="N579" s="26"/>
      <c r="O579" s="26"/>
      <c r="P579" s="26"/>
      <c r="Q579" s="26"/>
      <c r="R579" s="26"/>
      <c r="S579" s="26"/>
      <c r="T579" s="26"/>
      <c r="U579" s="26"/>
      <c r="V579" s="26"/>
      <c r="W579" s="26">
        <f>MAX($C$10-VLOOKUP($C579,COS!$B$8:$H$991,3,FALSE),0)</f>
        <v>96749</v>
      </c>
      <c r="X579" s="26">
        <f t="shared" si="870"/>
        <v>5756.965289256198</v>
      </c>
      <c r="Y579" s="26">
        <f>VLOOKUP($C579,COS!$B$8:$H$991,4,FALSE)</f>
        <v>0</v>
      </c>
      <c r="Z579" s="26">
        <f t="shared" si="871"/>
        <v>0</v>
      </c>
      <c r="AA579" s="26">
        <f t="shared" si="926"/>
        <v>0</v>
      </c>
      <c r="AB579" s="33">
        <f t="shared" si="854"/>
        <v>0</v>
      </c>
    </row>
    <row r="580" spans="1:28" x14ac:dyDescent="0.3">
      <c r="A580" s="34">
        <f>VLOOKUP(YEAR(C580),Flags!$A$13:$B$95,2,FALSE)</f>
        <v>1</v>
      </c>
      <c r="B580" s="35">
        <f t="shared" si="841"/>
        <v>1984</v>
      </c>
      <c r="C580" s="36">
        <v>31047</v>
      </c>
      <c r="D580" s="37"/>
      <c r="E580" s="35"/>
      <c r="F580" s="37"/>
      <c r="G580" s="37"/>
      <c r="H580" s="37"/>
      <c r="I580" s="37"/>
      <c r="J580" s="37"/>
      <c r="K580" s="37"/>
      <c r="L580" s="35"/>
      <c r="M580" s="35"/>
      <c r="N580" s="37"/>
      <c r="O580" s="37"/>
      <c r="P580" s="37"/>
      <c r="Q580" s="37"/>
      <c r="R580" s="37"/>
      <c r="S580" s="37"/>
      <c r="T580" s="37"/>
      <c r="U580" s="37"/>
      <c r="V580" s="37"/>
      <c r="W580" s="37">
        <f>MAX($C$11-VLOOKUP($C580,COS!$B$8:$H$991,3,FALSE),0)</f>
        <v>0</v>
      </c>
      <c r="X580" s="37">
        <f t="shared" si="870"/>
        <v>0</v>
      </c>
      <c r="Y580" s="37">
        <f>VLOOKUP($C580,COS!$B$8:$H$991,4,FALSE)</f>
        <v>0</v>
      </c>
      <c r="Z580" s="37">
        <f t="shared" si="871"/>
        <v>0</v>
      </c>
      <c r="AA580" s="37">
        <f t="shared" si="926"/>
        <v>0</v>
      </c>
      <c r="AB580" s="38">
        <f t="shared" si="854"/>
        <v>0</v>
      </c>
    </row>
    <row r="581" spans="1:28" x14ac:dyDescent="0.3">
      <c r="A581" s="27">
        <f>VLOOKUP(YEAR(C581),Flags!$A$13:$B$95,2,FALSE)</f>
        <v>3</v>
      </c>
      <c r="B581" s="28">
        <f t="shared" si="841"/>
        <v>1985</v>
      </c>
      <c r="C581" s="29">
        <v>31167</v>
      </c>
      <c r="D581" s="30">
        <f>VLOOKUP($C581,COS!$B$8:$H$991,3,FALSE)</f>
        <v>3250</v>
      </c>
      <c r="E581" s="28">
        <f>IF(D581&gt;=IF(MONTH($C581)=4,$C$3,IF(MONTH($C581)=5,$C$4,IF(MONTH($C581)=6,$C$5,IF(MONTH($C581)=7,$C$6,"ERROR")))),1,0)</f>
        <v>0</v>
      </c>
      <c r="F581" s="30">
        <f>VLOOKUP($C581,COS!$B$8:$H$991,7,FALSE)</f>
        <v>52.461292266845703</v>
      </c>
      <c r="G581" s="28">
        <f>IF(F581&lt;=IF(MONTH($C581)=4,$F$3,IF(MONTH($C581)=5,$F$4,IF(MONTH($C581)=6,$F$5,IF(MONTH($C581)=7,$F$6,"ERROR")))),1,0)</f>
        <v>1</v>
      </c>
      <c r="H581" s="30">
        <f>IF(J581=1,D581-$C$3,0)</f>
        <v>0</v>
      </c>
      <c r="I581" s="30">
        <f t="shared" si="872"/>
        <v>0</v>
      </c>
      <c r="J581" s="28">
        <f t="shared" ref="J581:J584" si="929">IF(AND(E581=1,G581=1),1,0)</f>
        <v>0</v>
      </c>
      <c r="K581" s="30">
        <f>VLOOKUP($C581,COS!$B$8:$H$991,2,FALSE)</f>
        <v>3952.674072265625</v>
      </c>
      <c r="L581" s="28">
        <f t="shared" ref="L581" si="930">IF(K581&lt;=IF(MONTH($C581)=4,$I$3,IF(MONTH($C581)=5,$I$4,IF(MONTH($C581)=6,$I$5,IF(MONTH($C581)=7,$I$6,"ERROR")))),1,0)</f>
        <v>1</v>
      </c>
      <c r="M581" s="28">
        <f t="shared" ref="M581" si="931">VLOOKUP($A581,$L$3:$M$7,2,FALSE)</f>
        <v>0</v>
      </c>
      <c r="N581" s="30">
        <f>VLOOKUP($C581,COS!$B$8:$H$991,5,FALSE)</f>
        <v>325.05386352539063</v>
      </c>
      <c r="O581" s="30">
        <f t="shared" ref="O581:O584" si="932">N581*DAY($C581)*86400/43560/1000</f>
        <v>19.342048077543907</v>
      </c>
      <c r="P581" s="30">
        <f>VLOOKUP($C581,COS!$B$8:$H$991,6,FALSE)</f>
        <v>469.97174072265625</v>
      </c>
      <c r="Q581" s="30">
        <f t="shared" ref="Q581:Q584" si="933">P581*DAY($C581)*86400/43560/1000</f>
        <v>27.965260604984504</v>
      </c>
      <c r="R581" s="30">
        <f>MIN(IF(MONTH($C581)=4,$S$3,IF(MONTH($C581)=5,$S$4,IF(MONTH($C581)=6,$S$5,IF(MONTH($C581)=7,$S$6,"ERROR")))),MAX(VLOOKUP($C581,COS!$B$8:$K$991,10,FALSE)-IF(MONTH($C581)=4,$Y$3,IF(MONTH($C581)=5,$Y$4,IF(MONTH($C581)=6,$Y$5,IF(MONTH($C581)=7,$Y$6,"ERROR")))),0),MAX(VLOOKUP($C581,COS!$B$8:$K$991,9,FALSE)-IF(MONTH($C581)=4,$V$3,IF(MONTH($C581)=5,$V$4,IF(MONTH($C581)=6,$V$5,IF(MONTH($C581)=7,$V$6,"ERROR"))))-VLOOKUP($C581,COS!$B$8:$K$991,6,FALSE)/2,0))</f>
        <v>0</v>
      </c>
      <c r="S581" s="30">
        <f t="shared" ref="S581:S584" si="934">R581*DAY($C581)*86400/43560/1000</f>
        <v>0</v>
      </c>
      <c r="T581" s="30">
        <f t="shared" ref="T581:T584" si="935">(O581+Q581)/2+S581</f>
        <v>23.653654341264208</v>
      </c>
      <c r="U581" s="30" t="str">
        <f>IF(VLOOKUP($C581,COS!$B$8:$I$991,8,FALSE)=1,"UWFE","IBU")</f>
        <v>UWFE</v>
      </c>
      <c r="V581" s="30">
        <f t="shared" ref="V581" si="936">MIN(IF(IF($AA$3=2,AND(E581=1,G581=1,L581=1,L586=1,M581=1,U581="IBU"),AND(E581=1,G581=1,L581=1,L586=1,M581=1)),T581,0),I581)</f>
        <v>0</v>
      </c>
      <c r="W581" s="30"/>
      <c r="X581" s="30"/>
      <c r="Y581" s="30"/>
      <c r="Z581" s="30"/>
      <c r="AA581" s="30"/>
      <c r="AB581" s="31"/>
    </row>
    <row r="582" spans="1:28" x14ac:dyDescent="0.3">
      <c r="A582" s="32">
        <f>VLOOKUP(YEAR(C582),Flags!$A$13:$B$95,2,FALSE)</f>
        <v>3</v>
      </c>
      <c r="B582" s="24">
        <f t="shared" si="841"/>
        <v>1985</v>
      </c>
      <c r="C582" s="25">
        <v>31198</v>
      </c>
      <c r="D582" s="26">
        <f>VLOOKUP($C582,COS!$B$8:$H$991,3,FALSE)</f>
        <v>8077.96923828125</v>
      </c>
      <c r="E582" s="24">
        <f>IF(D582&gt;=IF(MONTH($C582)=4,$C$3,IF(MONTH($C582)=5,$C$4,IF(MONTH($C582)=6,$C$5,IF(MONTH($C582)=7,$C$6,"ERROR")))),1,0)</f>
        <v>1</v>
      </c>
      <c r="F582" s="26">
        <f>VLOOKUP($C582,COS!$B$8:$H$991,7,FALSE)</f>
        <v>50.861595153808594</v>
      </c>
      <c r="G582" s="24">
        <f>IF(F582&lt;=IF(MONTH($C582)=4,$F$3,IF(MONTH($C582)=5,$F$4,IF(MONTH($C582)=6,$F$5,IF(MONTH($C582)=7,$F$6,"ERROR")))),1,0)</f>
        <v>1</v>
      </c>
      <c r="H582" s="26">
        <f>IF(J582=1,D582-$C$4,0)</f>
        <v>2077.96923828125</v>
      </c>
      <c r="I582" s="26">
        <f t="shared" si="872"/>
        <v>127.76934820506197</v>
      </c>
      <c r="J582" s="24">
        <f t="shared" si="929"/>
        <v>1</v>
      </c>
      <c r="K582" s="26">
        <f>VLOOKUP($C582,COS!$B$8:$H$991,2,FALSE)</f>
        <v>3694.770751953125</v>
      </c>
      <c r="L582" s="24">
        <f t="shared" si="843"/>
        <v>1</v>
      </c>
      <c r="M582" s="24">
        <f t="shared" si="844"/>
        <v>0</v>
      </c>
      <c r="N582" s="26">
        <f>VLOOKUP($C582,COS!$B$8:$H$991,5,FALSE)</f>
        <v>497.94390869140625</v>
      </c>
      <c r="O582" s="26">
        <f t="shared" si="932"/>
        <v>30.617377526149276</v>
      </c>
      <c r="P582" s="26">
        <f>VLOOKUP($C582,COS!$B$8:$H$991,6,FALSE)</f>
        <v>2340.425048828125</v>
      </c>
      <c r="Q582" s="26">
        <f t="shared" si="933"/>
        <v>143.90712696926653</v>
      </c>
      <c r="R582" s="26">
        <f>MIN(IF(MONTH($C582)=4,$S$3,IF(MONTH($C582)=5,$S$4,IF(MONTH($C582)=6,$S$5,IF(MONTH($C582)=7,$S$6,"ERROR")))),MAX(VLOOKUP($C582,COS!$B$8:$K$991,10,FALSE)-IF(MONTH($C582)=4,$Y$3,IF(MONTH($C582)=5,$Y$4,IF(MONTH($C582)=6,$Y$5,IF(MONTH($C582)=7,$Y$6,"ERROR")))),0),MAX(VLOOKUP($C582,COS!$B$8:$K$991,9,FALSE)-IF(MONTH($C582)=4,$V$3,IF(MONTH($C582)=5,$V$4,IF(MONTH($C582)=6,$V$5,IF(MONTH($C582)=7,$V$6,"ERROR"))))-VLOOKUP($C582,COS!$B$8:$K$991,6,FALSE)/2,0))</f>
        <v>0</v>
      </c>
      <c r="S582" s="26">
        <f t="shared" si="934"/>
        <v>0</v>
      </c>
      <c r="T582" s="26">
        <f t="shared" si="935"/>
        <v>87.262252247707906</v>
      </c>
      <c r="U582" s="26" t="str">
        <f>IF(VLOOKUP($C582,COS!$B$8:$I$991,8,FALSE)=1,"UWFE","IBU")</f>
        <v>IBU</v>
      </c>
      <c r="V582" s="26">
        <f t="shared" ref="V582" si="937">MIN(IF(IF($AA$3=2,AND(E582=1,G582=1,L582=1,L586=1,M582=1,U582="IBU"),AND(E582=1,G582=1,L582=1,L586=1,M582=1)),T582,0),I582)</f>
        <v>0</v>
      </c>
      <c r="W582" s="26"/>
      <c r="X582" s="26"/>
      <c r="Y582" s="26"/>
      <c r="Z582" s="26"/>
      <c r="AA582" s="26"/>
      <c r="AB582" s="33"/>
    </row>
    <row r="583" spans="1:28" x14ac:dyDescent="0.3">
      <c r="A583" s="32">
        <f>VLOOKUP(YEAR(C583),Flags!$A$13:$B$95,2,FALSE)</f>
        <v>3</v>
      </c>
      <c r="B583" s="24">
        <f t="shared" si="841"/>
        <v>1985</v>
      </c>
      <c r="C583" s="25">
        <v>31228</v>
      </c>
      <c r="D583" s="26">
        <f>VLOOKUP($C583,COS!$B$8:$H$991,3,FALSE)</f>
        <v>12637.884765625</v>
      </c>
      <c r="E583" s="24">
        <f>IF(D583&gt;=IF(MONTH($C583)=4,$C$3,IF(MONTH($C583)=5,$C$4,IF(MONTH($C583)=6,$C$5,IF(MONTH($C583)=7,$C$6,"ERROR")))),1,0)</f>
        <v>1</v>
      </c>
      <c r="F583" s="26">
        <f>VLOOKUP($C583,COS!$B$8:$H$991,7,FALSE)</f>
        <v>51.714122772216797</v>
      </c>
      <c r="G583" s="24">
        <f>IF(F583&lt;=IF(MONTH($C583)=4,$F$3,IF(MONTH($C583)=5,$F$4,IF(MONTH($C583)=6,$F$5,IF(MONTH($C583)=7,$F$6,"ERROR")))),1,0)</f>
        <v>1</v>
      </c>
      <c r="H583" s="26">
        <f>IF(J583=1,D583-$C$5,0)</f>
        <v>2637.884765625</v>
      </c>
      <c r="I583" s="26">
        <f t="shared" si="872"/>
        <v>156.96504390495866</v>
      </c>
      <c r="J583" s="24">
        <f t="shared" si="929"/>
        <v>1</v>
      </c>
      <c r="K583" s="26">
        <f>VLOOKUP($C583,COS!$B$8:$H$991,2,FALSE)</f>
        <v>3196.5283203125</v>
      </c>
      <c r="L583" s="24">
        <f t="shared" si="843"/>
        <v>1</v>
      </c>
      <c r="M583" s="24">
        <f t="shared" si="844"/>
        <v>0</v>
      </c>
      <c r="N583" s="26">
        <f>VLOOKUP($C583,COS!$B$8:$H$991,5,FALSE)</f>
        <v>737.8311767578125</v>
      </c>
      <c r="O583" s="26">
        <f t="shared" si="932"/>
        <v>43.904003906249997</v>
      </c>
      <c r="P583" s="26">
        <f>VLOOKUP($C583,COS!$B$8:$H$991,6,FALSE)</f>
        <v>2708.118408203125</v>
      </c>
      <c r="Q583" s="26">
        <f t="shared" si="933"/>
        <v>161.14423586002064</v>
      </c>
      <c r="R583" s="26">
        <f>MIN(IF(MONTH($C583)=4,$S$3,IF(MONTH($C583)=5,$S$4,IF(MONTH($C583)=6,$S$5,IF(MONTH($C583)=7,$S$6,"ERROR")))),MAX(VLOOKUP($C583,COS!$B$8:$K$991,10,FALSE)-IF(MONTH($C583)=4,$Y$3,IF(MONTH($C583)=5,$Y$4,IF(MONTH($C583)=6,$Y$5,IF(MONTH($C583)=7,$Y$6,"ERROR")))),0),MAX(VLOOKUP($C583,COS!$B$8:$K$991,9,FALSE)-IF(MONTH($C583)=4,$V$3,IF(MONTH($C583)=5,$V$4,IF(MONTH($C583)=6,$V$5,IF(MONTH($C583)=7,$V$6,"ERROR"))))-VLOOKUP($C583,COS!$B$8:$K$991,6,FALSE)/2,0))</f>
        <v>0</v>
      </c>
      <c r="S583" s="26">
        <f t="shared" si="934"/>
        <v>0</v>
      </c>
      <c r="T583" s="26">
        <f t="shared" si="935"/>
        <v>102.52411988313531</v>
      </c>
      <c r="U583" s="26" t="str">
        <f>IF(VLOOKUP($C583,COS!$B$8:$I$991,8,FALSE)=1,"UWFE","IBU")</f>
        <v>IBU</v>
      </c>
      <c r="V583" s="26">
        <f t="shared" ref="V583" si="938">MIN(IF(IF($AA$3=2,AND(E583=1,G583=1,L583=1,L586=1,M583=1,U583="IBU"),AND(E583=1,G583=1,L583=1,L586=1,M583=1)),T583,0),I583)</f>
        <v>0</v>
      </c>
      <c r="W583" s="26"/>
      <c r="X583" s="26"/>
      <c r="Y583" s="26"/>
      <c r="Z583" s="26"/>
      <c r="AA583" s="26"/>
      <c r="AB583" s="33"/>
    </row>
    <row r="584" spans="1:28" x14ac:dyDescent="0.3">
      <c r="A584" s="32">
        <f>VLOOKUP(YEAR(C584),Flags!$A$13:$B$95,2,FALSE)</f>
        <v>3</v>
      </c>
      <c r="B584" s="24">
        <f t="shared" si="841"/>
        <v>1985</v>
      </c>
      <c r="C584" s="25">
        <v>31259</v>
      </c>
      <c r="D584" s="26">
        <f>VLOOKUP($C584,COS!$B$8:$H$991,3,FALSE)</f>
        <v>15330.47265625</v>
      </c>
      <c r="E584" s="24">
        <f>IF(D584&gt;=IF(MONTH($C584)=4,$C$3,IF(MONTH($C584)=5,$C$4,IF(MONTH($C584)=6,$C$5,IF(MONTH($C584)=7,$C$6,"ERROR")))),1,0)</f>
        <v>1</v>
      </c>
      <c r="F584" s="26">
        <f>VLOOKUP($C584,COS!$B$8:$H$991,7,FALSE)</f>
        <v>53.327499389648438</v>
      </c>
      <c r="G584" s="24">
        <f>IF(F584&lt;=IF(MONTH($C584)=4,$F$3,IF(MONTH($C584)=5,$F$4,IF(MONTH($C584)=6,$F$5,IF(MONTH($C584)=7,$F$6,"ERROR")))),1,0)</f>
        <v>1</v>
      </c>
      <c r="H584" s="26">
        <f>IF(J584=1,D584-$C$6,0)</f>
        <v>3330.47265625</v>
      </c>
      <c r="I584" s="26">
        <f t="shared" si="872"/>
        <v>204.78278150826446</v>
      </c>
      <c r="J584" s="24">
        <f t="shared" si="929"/>
        <v>1</v>
      </c>
      <c r="K584" s="26">
        <f>VLOOKUP($C584,COS!$B$8:$H$991,2,FALSE)</f>
        <v>2582.746337890625</v>
      </c>
      <c r="L584" s="24">
        <f t="shared" si="843"/>
        <v>1</v>
      </c>
      <c r="M584" s="24">
        <f t="shared" si="844"/>
        <v>0</v>
      </c>
      <c r="N584" s="26">
        <f>VLOOKUP($C584,COS!$B$8:$H$991,5,FALSE)</f>
        <v>805.3907470703125</v>
      </c>
      <c r="O584" s="26">
        <f t="shared" si="932"/>
        <v>49.521546762009294</v>
      </c>
      <c r="P584" s="26">
        <f>VLOOKUP($C584,COS!$B$8:$H$991,6,FALSE)</f>
        <v>2442.872314453125</v>
      </c>
      <c r="Q584" s="26">
        <f t="shared" si="933"/>
        <v>150.20636379777892</v>
      </c>
      <c r="R584" s="26">
        <f>MIN(IF(MONTH($C584)=4,$S$3,IF(MONTH($C584)=5,$S$4,IF(MONTH($C584)=6,$S$5,IF(MONTH($C584)=7,$S$6,"ERROR")))),MAX(VLOOKUP($C584,COS!$B$8:$K$991,10,FALSE)-IF(MONTH($C584)=4,$Y$3,IF(MONTH($C584)=5,$Y$4,IF(MONTH($C584)=6,$Y$5,IF(MONTH($C584)=7,$Y$6,"ERROR")))),0),MAX(VLOOKUP($C584,COS!$B$8:$K$991,9,FALSE)-IF(MONTH($C584)=4,$V$3,IF(MONTH($C584)=5,$V$4,IF(MONTH($C584)=6,$V$5,IF(MONTH($C584)=7,$V$6,"ERROR"))))-VLOOKUP($C584,COS!$B$8:$K$991,6,FALSE)/2,0))</f>
        <v>0</v>
      </c>
      <c r="S584" s="26">
        <f t="shared" si="934"/>
        <v>0</v>
      </c>
      <c r="T584" s="26">
        <f t="shared" si="935"/>
        <v>99.8639552798941</v>
      </c>
      <c r="U584" s="26" t="str">
        <f>IF(VLOOKUP($C584,COS!$B$8:$I$991,8,FALSE)=1,"UWFE","IBU")</f>
        <v>IBU</v>
      </c>
      <c r="V584" s="26">
        <f t="shared" ref="V584" si="939">MIN(IF(IF($AA$3=2,AND(E584=1,G584=1,L584=1,L586=1,M584=1,U584="IBU"),AND(E584=1,G584=1,L584=1,L586=1,M584=1)),T584,0),I584)</f>
        <v>0</v>
      </c>
      <c r="W584" s="26"/>
      <c r="X584" s="26"/>
      <c r="Y584" s="26"/>
      <c r="Z584" s="26"/>
      <c r="AA584" s="26"/>
      <c r="AB584" s="33"/>
    </row>
    <row r="585" spans="1:28" x14ac:dyDescent="0.3">
      <c r="A585" s="32">
        <f>VLOOKUP(YEAR(C585),Flags!$A$13:$B$95,2,FALSE)</f>
        <v>3</v>
      </c>
      <c r="B585" s="24">
        <f t="shared" si="841"/>
        <v>1985</v>
      </c>
      <c r="C585" s="25">
        <v>31290</v>
      </c>
      <c r="D585" s="26"/>
      <c r="E585" s="24"/>
      <c r="F585" s="26"/>
      <c r="G585" s="24"/>
      <c r="H585" s="24"/>
      <c r="I585" s="26"/>
      <c r="J585" s="24"/>
      <c r="K585" s="26"/>
      <c r="L585" s="24"/>
      <c r="M585" s="24"/>
      <c r="N585" s="26"/>
      <c r="O585" s="26"/>
      <c r="P585" s="26"/>
      <c r="Q585" s="26"/>
      <c r="R585" s="26"/>
      <c r="S585" s="26"/>
      <c r="T585" s="26"/>
      <c r="U585" s="26"/>
      <c r="V585" s="26"/>
      <c r="W585" s="26">
        <f>MAX($C$7-VLOOKUP($C585,COS!$B$8:$H$991,3,FALSE),0)</f>
        <v>88180.107421875</v>
      </c>
      <c r="X585" s="26">
        <f t="shared" si="870"/>
        <v>5421.9834646177687</v>
      </c>
      <c r="Y585" s="26">
        <f>VLOOKUP($C585,COS!$B$8:$H$991,4,FALSE)</f>
        <v>2388.483154296875</v>
      </c>
      <c r="Z585" s="26">
        <f t="shared" si="871"/>
        <v>146.86210469395661</v>
      </c>
      <c r="AA585" s="26">
        <f t="shared" ref="AA585:AA589" si="940">MIN(W585,Y585)</f>
        <v>2388.483154296875</v>
      </c>
      <c r="AB585" s="33">
        <f t="shared" ref="AB585" si="941">AA585*DAY($C585)*86400/43560/1000*IF(MONTH($C585)=8,$P$3,IF(MONTH($C585)=9,$P$4,IF(MONTH($C585)=10,$P$5,IF(MONTH($C585)=11,$P$6,IF(MONTH($C585)=12,$P$7,NA())))))</f>
        <v>146.86210469395661</v>
      </c>
    </row>
    <row r="586" spans="1:28" x14ac:dyDescent="0.3">
      <c r="A586" s="32">
        <f>VLOOKUP(YEAR(C586),Flags!$A$13:$B$95,2,FALSE)</f>
        <v>3</v>
      </c>
      <c r="B586" s="24">
        <f t="shared" si="841"/>
        <v>1985</v>
      </c>
      <c r="C586" s="25">
        <v>31320</v>
      </c>
      <c r="D586" s="26"/>
      <c r="E586" s="24"/>
      <c r="F586" s="26"/>
      <c r="G586" s="24"/>
      <c r="H586" s="24"/>
      <c r="I586" s="26"/>
      <c r="J586" s="24"/>
      <c r="K586" s="26">
        <f>VLOOKUP($C586,COS!$B$8:$H$991,2,FALSE)</f>
        <v>2217.799560546875</v>
      </c>
      <c r="L586" s="24">
        <f t="shared" ref="L586" si="942">IF(AND(K586&gt;$I$7,K586&lt;$I$8),1,0)</f>
        <v>1</v>
      </c>
      <c r="M586" s="24"/>
      <c r="N586" s="26"/>
      <c r="O586" s="26"/>
      <c r="P586" s="26"/>
      <c r="Q586" s="26"/>
      <c r="R586" s="26"/>
      <c r="S586" s="26"/>
      <c r="T586" s="26"/>
      <c r="U586" s="26"/>
      <c r="V586" s="26"/>
      <c r="W586" s="26">
        <f>MAX($C$8-VLOOKUP($C586,COS!$B$8:$H$991,3,FALSE),0)</f>
        <v>94424.607421875</v>
      </c>
      <c r="X586" s="26">
        <f t="shared" si="870"/>
        <v>5618.6543259297514</v>
      </c>
      <c r="Y586" s="26">
        <f>VLOOKUP($C586,COS!$B$8:$H$991,4,FALSE)</f>
        <v>202.43043518066406</v>
      </c>
      <c r="Z586" s="26">
        <f t="shared" si="871"/>
        <v>12.045447382651084</v>
      </c>
      <c r="AA586" s="26">
        <f t="shared" si="940"/>
        <v>202.43043518066406</v>
      </c>
      <c r="AB586" s="33">
        <f t="shared" si="854"/>
        <v>12.045447382651084</v>
      </c>
    </row>
    <row r="587" spans="1:28" x14ac:dyDescent="0.3">
      <c r="A587" s="32">
        <f>VLOOKUP(YEAR(C587),Flags!$A$13:$B$95,2,FALSE)</f>
        <v>3</v>
      </c>
      <c r="B587" s="24">
        <f t="shared" si="841"/>
        <v>1985</v>
      </c>
      <c r="C587" s="25">
        <v>31351</v>
      </c>
      <c r="D587" s="26"/>
      <c r="E587" s="24"/>
      <c r="F587" s="26"/>
      <c r="G587" s="26"/>
      <c r="H587" s="26"/>
      <c r="I587" s="26"/>
      <c r="J587" s="26"/>
      <c r="K587" s="26"/>
      <c r="L587" s="24"/>
      <c r="M587" s="24"/>
      <c r="N587" s="26"/>
      <c r="O587" s="26"/>
      <c r="P587" s="26"/>
      <c r="Q587" s="26"/>
      <c r="R587" s="26"/>
      <c r="S587" s="26"/>
      <c r="T587" s="26"/>
      <c r="U587" s="26"/>
      <c r="V587" s="26"/>
      <c r="W587" s="26">
        <f>MAX($C$9-VLOOKUP($C587,COS!$B$8:$H$991,3,FALSE),0)</f>
        <v>95205.248046875</v>
      </c>
      <c r="X587" s="26">
        <f t="shared" si="870"/>
        <v>5853.942524535124</v>
      </c>
      <c r="Y587" s="26">
        <f>VLOOKUP($C587,COS!$B$8:$H$991,4,FALSE)</f>
        <v>1064.7911376953125</v>
      </c>
      <c r="Z587" s="26">
        <f t="shared" si="871"/>
        <v>65.471455078125004</v>
      </c>
      <c r="AA587" s="26">
        <f t="shared" si="940"/>
        <v>1064.7911376953125</v>
      </c>
      <c r="AB587" s="33">
        <f t="shared" si="854"/>
        <v>65.471455078125004</v>
      </c>
    </row>
    <row r="588" spans="1:28" x14ac:dyDescent="0.3">
      <c r="A588" s="32">
        <f>VLOOKUP(YEAR(C588),Flags!$A$13:$B$95,2,FALSE)</f>
        <v>3</v>
      </c>
      <c r="B588" s="24">
        <f t="shared" si="841"/>
        <v>1985</v>
      </c>
      <c r="C588" s="25">
        <v>31381</v>
      </c>
      <c r="D588" s="26"/>
      <c r="E588" s="24"/>
      <c r="F588" s="26"/>
      <c r="G588" s="26"/>
      <c r="H588" s="26"/>
      <c r="I588" s="26"/>
      <c r="J588" s="26"/>
      <c r="K588" s="26"/>
      <c r="L588" s="24"/>
      <c r="M588" s="24"/>
      <c r="N588" s="26"/>
      <c r="O588" s="26"/>
      <c r="P588" s="26"/>
      <c r="Q588" s="26"/>
      <c r="R588" s="26"/>
      <c r="S588" s="26"/>
      <c r="T588" s="26"/>
      <c r="U588" s="26"/>
      <c r="V588" s="26"/>
      <c r="W588" s="26">
        <f>MAX($C$10-VLOOKUP($C588,COS!$B$8:$H$991,3,FALSE),0)</f>
        <v>96373.38037109375</v>
      </c>
      <c r="X588" s="26">
        <f t="shared" si="870"/>
        <v>5734.6143691890502</v>
      </c>
      <c r="Y588" s="26">
        <f>VLOOKUP($C588,COS!$B$8:$H$991,4,FALSE)</f>
        <v>110.72906494140625</v>
      </c>
      <c r="Z588" s="26">
        <f t="shared" si="871"/>
        <v>6.5888369221332646</v>
      </c>
      <c r="AA588" s="26">
        <f t="shared" si="940"/>
        <v>110.72906494140625</v>
      </c>
      <c r="AB588" s="33">
        <f t="shared" si="854"/>
        <v>3.2944184610666323</v>
      </c>
    </row>
    <row r="589" spans="1:28" x14ac:dyDescent="0.3">
      <c r="A589" s="34">
        <f>VLOOKUP(YEAR(C589),Flags!$A$13:$B$95,2,FALSE)</f>
        <v>3</v>
      </c>
      <c r="B589" s="35">
        <f t="shared" si="841"/>
        <v>1985</v>
      </c>
      <c r="C589" s="36">
        <v>31412</v>
      </c>
      <c r="D589" s="37"/>
      <c r="E589" s="35"/>
      <c r="F589" s="37"/>
      <c r="G589" s="37"/>
      <c r="H589" s="37"/>
      <c r="I589" s="37"/>
      <c r="J589" s="37"/>
      <c r="K589" s="37"/>
      <c r="L589" s="35"/>
      <c r="M589" s="35"/>
      <c r="N589" s="37"/>
      <c r="O589" s="37"/>
      <c r="P589" s="37"/>
      <c r="Q589" s="37"/>
      <c r="R589" s="37"/>
      <c r="S589" s="37"/>
      <c r="T589" s="37"/>
      <c r="U589" s="37"/>
      <c r="V589" s="37"/>
      <c r="W589" s="37">
        <f>MAX($C$11-VLOOKUP($C589,COS!$B$8:$H$991,3,FALSE),0)</f>
        <v>0</v>
      </c>
      <c r="X589" s="37">
        <f t="shared" si="870"/>
        <v>0</v>
      </c>
      <c r="Y589" s="37">
        <f>VLOOKUP($C589,COS!$B$8:$H$991,4,FALSE)</f>
        <v>364.45733642578125</v>
      </c>
      <c r="Z589" s="37">
        <f t="shared" si="871"/>
        <v>22.409608124031507</v>
      </c>
      <c r="AA589" s="37">
        <f t="shared" si="940"/>
        <v>0</v>
      </c>
      <c r="AB589" s="38">
        <f t="shared" si="854"/>
        <v>0</v>
      </c>
    </row>
    <row r="590" spans="1:28" x14ac:dyDescent="0.3">
      <c r="A590" s="27">
        <f>VLOOKUP(YEAR(C590),Flags!$A$13:$B$95,2,FALSE)</f>
        <v>1</v>
      </c>
      <c r="B590" s="28">
        <f t="shared" si="841"/>
        <v>1986</v>
      </c>
      <c r="C590" s="29">
        <v>31532</v>
      </c>
      <c r="D590" s="30">
        <f>VLOOKUP($C590,COS!$B$8:$H$991,3,FALSE)</f>
        <v>3250</v>
      </c>
      <c r="E590" s="28">
        <f>IF(D590&gt;=IF(MONTH($C590)=4,$C$3,IF(MONTH($C590)=5,$C$4,IF(MONTH($C590)=6,$C$5,IF(MONTH($C590)=7,$C$6,"ERROR")))),1,0)</f>
        <v>0</v>
      </c>
      <c r="F590" s="30">
        <f>VLOOKUP($C590,COS!$B$8:$H$991,7,FALSE)</f>
        <v>51.891460418701172</v>
      </c>
      <c r="G590" s="28">
        <f>IF(F590&lt;=IF(MONTH($C590)=4,$F$3,IF(MONTH($C590)=5,$F$4,IF(MONTH($C590)=6,$F$5,IF(MONTH($C590)=7,$F$6,"ERROR")))),1,0)</f>
        <v>1</v>
      </c>
      <c r="H590" s="30">
        <f>IF(J590=1,D590-$C$3,0)</f>
        <v>0</v>
      </c>
      <c r="I590" s="30">
        <f t="shared" si="872"/>
        <v>0</v>
      </c>
      <c r="J590" s="28">
        <f t="shared" ref="J590:J593" si="943">IF(AND(E590=1,G590=1),1,0)</f>
        <v>0</v>
      </c>
      <c r="K590" s="30">
        <f>VLOOKUP($C590,COS!$B$8:$H$991,2,FALSE)</f>
        <v>4012.635986328125</v>
      </c>
      <c r="L590" s="28">
        <f t="shared" ref="L590:L647" si="944">IF(K590&lt;=IF(MONTH($C590)=4,$I$3,IF(MONTH($C590)=5,$I$4,IF(MONTH($C590)=6,$I$5,IF(MONTH($C590)=7,$I$6,"ERROR")))),1,0)</f>
        <v>1</v>
      </c>
      <c r="M590" s="28">
        <f t="shared" ref="M590:M647" si="945">VLOOKUP($A590,$L$3:$M$7,2,FALSE)</f>
        <v>0</v>
      </c>
      <c r="N590" s="30">
        <f>VLOOKUP($C590,COS!$B$8:$H$991,5,FALSE)</f>
        <v>174.09121704101563</v>
      </c>
      <c r="O590" s="30">
        <f t="shared" ref="O590:O593" si="946">N590*DAY($C590)*86400/43560/1000</f>
        <v>10.359146799134814</v>
      </c>
      <c r="P590" s="30">
        <f>VLOOKUP($C590,COS!$B$8:$H$991,6,FALSE)</f>
        <v>419.7452392578125</v>
      </c>
      <c r="Q590" s="30">
        <f t="shared" ref="Q590:Q593" si="947">P590*DAY($C590)*86400/43560/1000</f>
        <v>24.976576220299588</v>
      </c>
      <c r="R590" s="30">
        <f>MIN(IF(MONTH($C590)=4,$S$3,IF(MONTH($C590)=5,$S$4,IF(MONTH($C590)=6,$S$5,IF(MONTH($C590)=7,$S$6,"ERROR")))),MAX(VLOOKUP($C590,COS!$B$8:$K$991,10,FALSE)-IF(MONTH($C590)=4,$Y$3,IF(MONTH($C590)=5,$Y$4,IF(MONTH($C590)=6,$Y$5,IF(MONTH($C590)=7,$Y$6,"ERROR")))),0),MAX(VLOOKUP($C590,COS!$B$8:$K$991,9,FALSE)-IF(MONTH($C590)=4,$V$3,IF(MONTH($C590)=5,$V$4,IF(MONTH($C590)=6,$V$5,IF(MONTH($C590)=7,$V$6,"ERROR"))))-VLOOKUP($C590,COS!$B$8:$K$991,6,FALSE)/2,0))</f>
        <v>0</v>
      </c>
      <c r="S590" s="30">
        <f t="shared" ref="S590:S593" si="948">R590*DAY($C590)*86400/43560/1000</f>
        <v>0</v>
      </c>
      <c r="T590" s="30">
        <f t="shared" ref="T590:T593" si="949">(O590+Q590)/2+S590</f>
        <v>17.667861509717202</v>
      </c>
      <c r="U590" s="30" t="str">
        <f>IF(VLOOKUP($C590,COS!$B$8:$I$991,8,FALSE)=1,"UWFE","IBU")</f>
        <v>UWFE</v>
      </c>
      <c r="V590" s="30">
        <f t="shared" ref="V590" si="950">MIN(IF(IF($AA$3=2,AND(E590=1,G590=1,L590=1,L595=1,M590=1,U590="IBU"),AND(E590=1,G590=1,L590=1,L595=1,M590=1)),T590,0),I590)</f>
        <v>0</v>
      </c>
      <c r="W590" s="30"/>
      <c r="X590" s="30"/>
      <c r="Y590" s="30"/>
      <c r="Z590" s="30"/>
      <c r="AA590" s="30"/>
      <c r="AB590" s="31"/>
    </row>
    <row r="591" spans="1:28" x14ac:dyDescent="0.3">
      <c r="A591" s="32">
        <f>VLOOKUP(YEAR(C591),Flags!$A$13:$B$95,2,FALSE)</f>
        <v>1</v>
      </c>
      <c r="B591" s="24">
        <f t="shared" ref="B591:B654" si="951">YEAR(C591)</f>
        <v>1986</v>
      </c>
      <c r="C591" s="25">
        <v>31563</v>
      </c>
      <c r="D591" s="26">
        <f>VLOOKUP($C591,COS!$B$8:$H$991,3,FALSE)</f>
        <v>6404.04443359375</v>
      </c>
      <c r="E591" s="24">
        <f>IF(D591&gt;=IF(MONTH($C591)=4,$C$3,IF(MONTH($C591)=5,$C$4,IF(MONTH($C591)=6,$C$5,IF(MONTH($C591)=7,$C$6,"ERROR")))),1,0)</f>
        <v>1</v>
      </c>
      <c r="F591" s="26">
        <f>VLOOKUP($C591,COS!$B$8:$H$991,7,FALSE)</f>
        <v>50.922679901123047</v>
      </c>
      <c r="G591" s="24">
        <f>IF(F591&lt;=IF(MONTH($C591)=4,$F$3,IF(MONTH($C591)=5,$F$4,IF(MONTH($C591)=6,$F$5,IF(MONTH($C591)=7,$F$6,"ERROR")))),1,0)</f>
        <v>1</v>
      </c>
      <c r="H591" s="26">
        <f>IF(J591=1,D591-$C$4,0)</f>
        <v>404.04443359375</v>
      </c>
      <c r="I591" s="26">
        <f t="shared" si="872"/>
        <v>24.843723850723141</v>
      </c>
      <c r="J591" s="24">
        <f t="shared" si="943"/>
        <v>1</v>
      </c>
      <c r="K591" s="26">
        <f>VLOOKUP($C591,COS!$B$8:$H$991,2,FALSE)</f>
        <v>4026.975341796875</v>
      </c>
      <c r="L591" s="24">
        <f t="shared" si="944"/>
        <v>1</v>
      </c>
      <c r="M591" s="24">
        <f t="shared" si="945"/>
        <v>0</v>
      </c>
      <c r="N591" s="26">
        <f>VLOOKUP($C591,COS!$B$8:$H$991,5,FALSE)</f>
        <v>294.54061889648438</v>
      </c>
      <c r="O591" s="26">
        <f t="shared" si="946"/>
        <v>18.110596732147467</v>
      </c>
      <c r="P591" s="26">
        <f>VLOOKUP($C591,COS!$B$8:$H$991,6,FALSE)</f>
        <v>2245.033447265625</v>
      </c>
      <c r="Q591" s="26">
        <f t="shared" si="947"/>
        <v>138.04172601368802</v>
      </c>
      <c r="R591" s="26">
        <f>MIN(IF(MONTH($C591)=4,$S$3,IF(MONTH($C591)=5,$S$4,IF(MONTH($C591)=6,$S$5,IF(MONTH($C591)=7,$S$6,"ERROR")))),MAX(VLOOKUP($C591,COS!$B$8:$K$991,10,FALSE)-IF(MONTH($C591)=4,$Y$3,IF(MONTH($C591)=5,$Y$4,IF(MONTH($C591)=6,$Y$5,IF(MONTH($C591)=7,$Y$6,"ERROR")))),0),MAX(VLOOKUP($C591,COS!$B$8:$K$991,9,FALSE)-IF(MONTH($C591)=4,$V$3,IF(MONTH($C591)=5,$V$4,IF(MONTH($C591)=6,$V$5,IF(MONTH($C591)=7,$V$6,"ERROR"))))-VLOOKUP($C591,COS!$B$8:$K$991,6,FALSE)/2,0))</f>
        <v>0</v>
      </c>
      <c r="S591" s="26">
        <f t="shared" si="948"/>
        <v>0</v>
      </c>
      <c r="T591" s="26">
        <f t="shared" si="949"/>
        <v>78.076161372917738</v>
      </c>
      <c r="U591" s="26" t="str">
        <f>IF(VLOOKUP($C591,COS!$B$8:$I$991,8,FALSE)=1,"UWFE","IBU")</f>
        <v>UWFE</v>
      </c>
      <c r="V591" s="26">
        <f t="shared" ref="V591" si="952">MIN(IF(IF($AA$3=2,AND(E591=1,G591=1,L591=1,L595=1,M591=1,U591="IBU"),AND(E591=1,G591=1,L591=1,L595=1,M591=1)),T591,0),I591)</f>
        <v>0</v>
      </c>
      <c r="W591" s="26"/>
      <c r="X591" s="26"/>
      <c r="Y591" s="26"/>
      <c r="Z591" s="26"/>
      <c r="AA591" s="26"/>
      <c r="AB591" s="33"/>
    </row>
    <row r="592" spans="1:28" x14ac:dyDescent="0.3">
      <c r="A592" s="32">
        <f>VLOOKUP(YEAR(C592),Flags!$A$13:$B$95,2,FALSE)</f>
        <v>1</v>
      </c>
      <c r="B592" s="24">
        <f t="shared" si="951"/>
        <v>1986</v>
      </c>
      <c r="C592" s="25">
        <v>31593</v>
      </c>
      <c r="D592" s="26">
        <f>VLOOKUP($C592,COS!$B$8:$H$991,3,FALSE)</f>
        <v>8645.5615234375</v>
      </c>
      <c r="E592" s="24">
        <f>IF(D592&gt;=IF(MONTH($C592)=4,$C$3,IF(MONTH($C592)=5,$C$4,IF(MONTH($C592)=6,$C$5,IF(MONTH($C592)=7,$C$6,"ERROR")))),1,0)</f>
        <v>0</v>
      </c>
      <c r="F592" s="26">
        <f>VLOOKUP($C592,COS!$B$8:$H$991,7,FALSE)</f>
        <v>51.637722015380859</v>
      </c>
      <c r="G592" s="24">
        <f>IF(F592&lt;=IF(MONTH($C592)=4,$F$3,IF(MONTH($C592)=5,$F$4,IF(MONTH($C592)=6,$F$5,IF(MONTH($C592)=7,$F$6,"ERROR")))),1,0)</f>
        <v>1</v>
      </c>
      <c r="H592" s="26">
        <f>IF(J592=1,D592-$C$5,0)</f>
        <v>0</v>
      </c>
      <c r="I592" s="26">
        <f t="shared" si="872"/>
        <v>0</v>
      </c>
      <c r="J592" s="24">
        <f t="shared" si="943"/>
        <v>0</v>
      </c>
      <c r="K592" s="26">
        <f>VLOOKUP($C592,COS!$B$8:$H$991,2,FALSE)</f>
        <v>3745.956298828125</v>
      </c>
      <c r="L592" s="24">
        <f t="shared" si="944"/>
        <v>1</v>
      </c>
      <c r="M592" s="24">
        <f t="shared" si="945"/>
        <v>0</v>
      </c>
      <c r="N592" s="26">
        <f>VLOOKUP($C592,COS!$B$8:$H$991,5,FALSE)</f>
        <v>616.0546875</v>
      </c>
      <c r="O592" s="26">
        <f t="shared" si="946"/>
        <v>36.657799586776861</v>
      </c>
      <c r="P592" s="26">
        <f>VLOOKUP($C592,COS!$B$8:$H$991,6,FALSE)</f>
        <v>2278.943359375</v>
      </c>
      <c r="Q592" s="26">
        <f t="shared" si="947"/>
        <v>135.60654700413224</v>
      </c>
      <c r="R592" s="26">
        <f>MIN(IF(MONTH($C592)=4,$S$3,IF(MONTH($C592)=5,$S$4,IF(MONTH($C592)=6,$S$5,IF(MONTH($C592)=7,$S$6,"ERROR")))),MAX(VLOOKUP($C592,COS!$B$8:$K$991,10,FALSE)-IF(MONTH($C592)=4,$Y$3,IF(MONTH($C592)=5,$Y$4,IF(MONTH($C592)=6,$Y$5,IF(MONTH($C592)=7,$Y$6,"ERROR")))),0),MAX(VLOOKUP($C592,COS!$B$8:$K$991,9,FALSE)-IF(MONTH($C592)=4,$V$3,IF(MONTH($C592)=5,$V$4,IF(MONTH($C592)=6,$V$5,IF(MONTH($C592)=7,$V$6,"ERROR"))))-VLOOKUP($C592,COS!$B$8:$K$991,6,FALSE)/2,0))</f>
        <v>0</v>
      </c>
      <c r="S592" s="26">
        <f t="shared" si="948"/>
        <v>0</v>
      </c>
      <c r="T592" s="26">
        <f t="shared" si="949"/>
        <v>86.13217329545455</v>
      </c>
      <c r="U592" s="26" t="str">
        <f>IF(VLOOKUP($C592,COS!$B$8:$I$991,8,FALSE)=1,"UWFE","IBU")</f>
        <v>IBU</v>
      </c>
      <c r="V592" s="26">
        <f t="shared" ref="V592" si="953">MIN(IF(IF($AA$3=2,AND(E592=1,G592=1,L592=1,L595=1,M592=1,U592="IBU"),AND(E592=1,G592=1,L592=1,L595=1,M592=1)),T592,0),I592)</f>
        <v>0</v>
      </c>
      <c r="W592" s="26"/>
      <c r="X592" s="26"/>
      <c r="Y592" s="26"/>
      <c r="Z592" s="26"/>
      <c r="AA592" s="26"/>
      <c r="AB592" s="33"/>
    </row>
    <row r="593" spans="1:28" x14ac:dyDescent="0.3">
      <c r="A593" s="32">
        <f>VLOOKUP(YEAR(C593),Flags!$A$13:$B$95,2,FALSE)</f>
        <v>1</v>
      </c>
      <c r="B593" s="24">
        <f t="shared" si="951"/>
        <v>1986</v>
      </c>
      <c r="C593" s="25">
        <v>31624</v>
      </c>
      <c r="D593" s="26">
        <f>VLOOKUP($C593,COS!$B$8:$H$991,3,FALSE)</f>
        <v>12633.615234375</v>
      </c>
      <c r="E593" s="24">
        <f>IF(D593&gt;=IF(MONTH($C593)=4,$C$3,IF(MONTH($C593)=5,$C$4,IF(MONTH($C593)=6,$C$5,IF(MONTH($C593)=7,$C$6,"ERROR")))),1,0)</f>
        <v>1</v>
      </c>
      <c r="F593" s="26">
        <f>VLOOKUP($C593,COS!$B$8:$H$991,7,FALSE)</f>
        <v>51.914817810058594</v>
      </c>
      <c r="G593" s="24">
        <f>IF(F593&lt;=IF(MONTH($C593)=4,$F$3,IF(MONTH($C593)=5,$F$4,IF(MONTH($C593)=6,$F$5,IF(MONTH($C593)=7,$F$6,"ERROR")))),1,0)</f>
        <v>1</v>
      </c>
      <c r="H593" s="26">
        <f>IF(J593=1,D593-$C$6,0)</f>
        <v>633.615234375</v>
      </c>
      <c r="I593" s="26">
        <f t="shared" si="872"/>
        <v>38.959482179752065</v>
      </c>
      <c r="J593" s="24">
        <f t="shared" si="943"/>
        <v>1</v>
      </c>
      <c r="K593" s="26">
        <f>VLOOKUP($C593,COS!$B$8:$H$991,2,FALSE)</f>
        <v>3301.90478515625</v>
      </c>
      <c r="L593" s="24">
        <f t="shared" si="944"/>
        <v>1</v>
      </c>
      <c r="M593" s="24">
        <f t="shared" si="945"/>
        <v>0</v>
      </c>
      <c r="N593" s="26">
        <f>VLOOKUP($C593,COS!$B$8:$H$991,5,FALSE)</f>
        <v>673.447265625</v>
      </c>
      <c r="O593" s="26">
        <f t="shared" si="946"/>
        <v>41.408658316115705</v>
      </c>
      <c r="P593" s="26">
        <f>VLOOKUP($C593,COS!$B$8:$H$991,6,FALSE)</f>
        <v>2521.474853515625</v>
      </c>
      <c r="Q593" s="26">
        <f t="shared" si="947"/>
        <v>155.0394455384814</v>
      </c>
      <c r="R593" s="26">
        <f>MIN(IF(MONTH($C593)=4,$S$3,IF(MONTH($C593)=5,$S$4,IF(MONTH($C593)=6,$S$5,IF(MONTH($C593)=7,$S$6,"ERROR")))),MAX(VLOOKUP($C593,COS!$B$8:$K$991,10,FALSE)-IF(MONTH($C593)=4,$Y$3,IF(MONTH($C593)=5,$Y$4,IF(MONTH($C593)=6,$Y$5,IF(MONTH($C593)=7,$Y$6,"ERROR")))),0),MAX(VLOOKUP($C593,COS!$B$8:$K$991,9,FALSE)-IF(MONTH($C593)=4,$V$3,IF(MONTH($C593)=5,$V$4,IF(MONTH($C593)=6,$V$5,IF(MONTH($C593)=7,$V$6,"ERROR"))))-VLOOKUP($C593,COS!$B$8:$K$991,6,FALSE)/2,0))</f>
        <v>0</v>
      </c>
      <c r="S593" s="26">
        <f t="shared" si="948"/>
        <v>0</v>
      </c>
      <c r="T593" s="26">
        <f t="shared" si="949"/>
        <v>98.224051927298547</v>
      </c>
      <c r="U593" s="26" t="str">
        <f>IF(VLOOKUP($C593,COS!$B$8:$I$991,8,FALSE)=1,"UWFE","IBU")</f>
        <v>IBU</v>
      </c>
      <c r="V593" s="26">
        <f t="shared" ref="V593" si="954">MIN(IF(IF($AA$3=2,AND(E593=1,G593=1,L593=1,L595=1,M593=1,U593="IBU"),AND(E593=1,G593=1,L593=1,L595=1,M593=1)),T593,0),I593)</f>
        <v>0</v>
      </c>
      <c r="W593" s="26"/>
      <c r="X593" s="26"/>
      <c r="Y593" s="26"/>
      <c r="Z593" s="26"/>
      <c r="AA593" s="26"/>
      <c r="AB593" s="33"/>
    </row>
    <row r="594" spans="1:28" x14ac:dyDescent="0.3">
      <c r="A594" s="32">
        <f>VLOOKUP(YEAR(C594),Flags!$A$13:$B$95,2,FALSE)</f>
        <v>1</v>
      </c>
      <c r="B594" s="24">
        <f t="shared" si="951"/>
        <v>1986</v>
      </c>
      <c r="C594" s="25">
        <v>31655</v>
      </c>
      <c r="D594" s="26"/>
      <c r="E594" s="24"/>
      <c r="F594" s="26"/>
      <c r="G594" s="24"/>
      <c r="H594" s="24"/>
      <c r="I594" s="26"/>
      <c r="J594" s="24"/>
      <c r="K594" s="26"/>
      <c r="L594" s="24"/>
      <c r="M594" s="24"/>
      <c r="N594" s="26"/>
      <c r="O594" s="26"/>
      <c r="P594" s="26"/>
      <c r="Q594" s="26"/>
      <c r="R594" s="26"/>
      <c r="S594" s="26"/>
      <c r="T594" s="26"/>
      <c r="U594" s="26"/>
      <c r="V594" s="26"/>
      <c r="W594" s="26">
        <f>MAX($C$7-VLOOKUP($C594,COS!$B$8:$H$991,3,FALSE),0)</f>
        <v>90769.2431640625</v>
      </c>
      <c r="X594" s="26">
        <f t="shared" si="870"/>
        <v>5581.1832160382237</v>
      </c>
      <c r="Y594" s="26">
        <f>VLOOKUP($C594,COS!$B$8:$H$991,4,FALSE)</f>
        <v>387.97982788085938</v>
      </c>
      <c r="Z594" s="26">
        <f t="shared" si="871"/>
        <v>23.855949747385072</v>
      </c>
      <c r="AA594" s="26">
        <f t="shared" ref="AA594:AA598" si="955">MIN(W594,Y594)</f>
        <v>387.97982788085938</v>
      </c>
      <c r="AB594" s="33">
        <f t="shared" ref="AB594:AB652" si="956">AA594*DAY($C594)*86400/43560/1000*IF(MONTH($C594)=8,$P$3,IF(MONTH($C594)=9,$P$4,IF(MONTH($C594)=10,$P$5,IF(MONTH($C594)=11,$P$6,IF(MONTH($C594)=12,$P$7,NA())))))</f>
        <v>23.855949747385072</v>
      </c>
    </row>
    <row r="595" spans="1:28" x14ac:dyDescent="0.3">
      <c r="A595" s="32">
        <f>VLOOKUP(YEAR(C595),Flags!$A$13:$B$95,2,FALSE)</f>
        <v>1</v>
      </c>
      <c r="B595" s="24">
        <f t="shared" si="951"/>
        <v>1986</v>
      </c>
      <c r="C595" s="25">
        <v>31685</v>
      </c>
      <c r="D595" s="26"/>
      <c r="E595" s="24"/>
      <c r="F595" s="26"/>
      <c r="G595" s="24"/>
      <c r="H595" s="24"/>
      <c r="I595" s="26"/>
      <c r="J595" s="24"/>
      <c r="K595" s="26">
        <f>VLOOKUP($C595,COS!$B$8:$H$991,2,FALSE)</f>
        <v>2914.57763671875</v>
      </c>
      <c r="L595" s="24">
        <f t="shared" ref="L595" si="957">IF(AND(K595&gt;$I$7,K595&lt;$I$8),1,0)</f>
        <v>1</v>
      </c>
      <c r="M595" s="24"/>
      <c r="N595" s="26"/>
      <c r="O595" s="26"/>
      <c r="P595" s="26"/>
      <c r="Q595" s="26"/>
      <c r="R595" s="26"/>
      <c r="S595" s="26"/>
      <c r="T595" s="26"/>
      <c r="U595" s="26"/>
      <c r="V595" s="26"/>
      <c r="W595" s="26">
        <f>MAX($C$8-VLOOKUP($C595,COS!$B$8:$H$991,3,FALSE),0)</f>
        <v>92355.841796875</v>
      </c>
      <c r="X595" s="26">
        <f t="shared" si="870"/>
        <v>5495.5542226239668</v>
      </c>
      <c r="Y595" s="26">
        <f>VLOOKUP($C595,COS!$B$8:$H$991,4,FALSE)</f>
        <v>343.38613891601563</v>
      </c>
      <c r="Z595" s="26">
        <f t="shared" si="871"/>
        <v>20.432894216490187</v>
      </c>
      <c r="AA595" s="26">
        <f t="shared" si="955"/>
        <v>343.38613891601563</v>
      </c>
      <c r="AB595" s="33">
        <f t="shared" si="956"/>
        <v>20.432894216490187</v>
      </c>
    </row>
    <row r="596" spans="1:28" x14ac:dyDescent="0.3">
      <c r="A596" s="32">
        <f>VLOOKUP(YEAR(C596),Flags!$A$13:$B$95,2,FALSE)</f>
        <v>1</v>
      </c>
      <c r="B596" s="24">
        <f t="shared" si="951"/>
        <v>1986</v>
      </c>
      <c r="C596" s="25">
        <v>31716</v>
      </c>
      <c r="D596" s="26"/>
      <c r="E596" s="24"/>
      <c r="F596" s="26"/>
      <c r="G596" s="26"/>
      <c r="H596" s="26"/>
      <c r="I596" s="26"/>
      <c r="J596" s="26"/>
      <c r="K596" s="26"/>
      <c r="L596" s="24"/>
      <c r="M596" s="24"/>
      <c r="N596" s="26"/>
      <c r="O596" s="26"/>
      <c r="P596" s="26"/>
      <c r="Q596" s="26"/>
      <c r="R596" s="26"/>
      <c r="S596" s="26"/>
      <c r="T596" s="26"/>
      <c r="U596" s="26"/>
      <c r="V596" s="26"/>
      <c r="W596" s="26">
        <f>MAX($C$9-VLOOKUP($C596,COS!$B$8:$H$991,3,FALSE),0)</f>
        <v>93664.2392578125</v>
      </c>
      <c r="X596" s="26">
        <f t="shared" si="870"/>
        <v>5759.1895874225211</v>
      </c>
      <c r="Y596" s="26">
        <f>VLOOKUP($C596,COS!$B$8:$H$991,4,FALSE)</f>
        <v>539.67193603515625</v>
      </c>
      <c r="Z596" s="26">
        <f t="shared" si="871"/>
        <v>33.183133918194734</v>
      </c>
      <c r="AA596" s="26">
        <f t="shared" si="955"/>
        <v>539.67193603515625</v>
      </c>
      <c r="AB596" s="33">
        <f t="shared" si="956"/>
        <v>33.183133918194734</v>
      </c>
    </row>
    <row r="597" spans="1:28" x14ac:dyDescent="0.3">
      <c r="A597" s="32">
        <f>VLOOKUP(YEAR(C597),Flags!$A$13:$B$95,2,FALSE)</f>
        <v>1</v>
      </c>
      <c r="B597" s="24">
        <f t="shared" si="951"/>
        <v>1986</v>
      </c>
      <c r="C597" s="25">
        <v>31746</v>
      </c>
      <c r="D597" s="26"/>
      <c r="E597" s="24"/>
      <c r="F597" s="26"/>
      <c r="G597" s="26"/>
      <c r="H597" s="26"/>
      <c r="I597" s="26"/>
      <c r="J597" s="26"/>
      <c r="K597" s="26"/>
      <c r="L597" s="24"/>
      <c r="M597" s="24"/>
      <c r="N597" s="26"/>
      <c r="O597" s="26"/>
      <c r="P597" s="26"/>
      <c r="Q597" s="26"/>
      <c r="R597" s="26"/>
      <c r="S597" s="26"/>
      <c r="T597" s="26"/>
      <c r="U597" s="26"/>
      <c r="V597" s="26"/>
      <c r="W597" s="26">
        <f>MAX($C$10-VLOOKUP($C597,COS!$B$8:$H$991,3,FALSE),0)</f>
        <v>89193.92578125</v>
      </c>
      <c r="X597" s="26">
        <f t="shared" si="870"/>
        <v>5307.4071539256202</v>
      </c>
      <c r="Y597" s="26">
        <f>VLOOKUP($C597,COS!$B$8:$H$991,4,FALSE)</f>
        <v>3081.6455078125</v>
      </c>
      <c r="Z597" s="26">
        <f t="shared" si="871"/>
        <v>183.37064178719007</v>
      </c>
      <c r="AA597" s="26">
        <f t="shared" si="955"/>
        <v>3081.6455078125</v>
      </c>
      <c r="AB597" s="33">
        <f t="shared" si="956"/>
        <v>91.685320893595033</v>
      </c>
    </row>
    <row r="598" spans="1:28" x14ac:dyDescent="0.3">
      <c r="A598" s="34">
        <f>VLOOKUP(YEAR(C598),Flags!$A$13:$B$95,2,FALSE)</f>
        <v>1</v>
      </c>
      <c r="B598" s="35">
        <f t="shared" si="951"/>
        <v>1986</v>
      </c>
      <c r="C598" s="36">
        <v>31777</v>
      </c>
      <c r="D598" s="37"/>
      <c r="E598" s="35"/>
      <c r="F598" s="37"/>
      <c r="G598" s="37"/>
      <c r="H598" s="37"/>
      <c r="I598" s="37"/>
      <c r="J598" s="37"/>
      <c r="K598" s="37"/>
      <c r="L598" s="35"/>
      <c r="M598" s="35"/>
      <c r="N598" s="37"/>
      <c r="O598" s="37"/>
      <c r="P598" s="37"/>
      <c r="Q598" s="37"/>
      <c r="R598" s="37"/>
      <c r="S598" s="37"/>
      <c r="T598" s="37"/>
      <c r="U598" s="37"/>
      <c r="V598" s="37"/>
      <c r="W598" s="37">
        <f>MAX($C$11-VLOOKUP($C598,COS!$B$8:$H$991,3,FALSE),0)</f>
        <v>0</v>
      </c>
      <c r="X598" s="37">
        <f t="shared" si="870"/>
        <v>0</v>
      </c>
      <c r="Y598" s="37">
        <f>VLOOKUP($C598,COS!$B$8:$H$991,4,FALSE)</f>
        <v>442.69561767578125</v>
      </c>
      <c r="Z598" s="37">
        <f t="shared" si="871"/>
        <v>27.220292524857957</v>
      </c>
      <c r="AA598" s="37">
        <f t="shared" si="955"/>
        <v>0</v>
      </c>
      <c r="AB598" s="38">
        <f t="shared" si="956"/>
        <v>0</v>
      </c>
    </row>
    <row r="599" spans="1:28" x14ac:dyDescent="0.3">
      <c r="A599" s="27">
        <f>VLOOKUP(YEAR(C599),Flags!$A$13:$B$95,2,FALSE)</f>
        <v>4</v>
      </c>
      <c r="B599" s="28">
        <f t="shared" si="951"/>
        <v>1987</v>
      </c>
      <c r="C599" s="29">
        <v>31897</v>
      </c>
      <c r="D599" s="30">
        <f>VLOOKUP($C599,COS!$B$8:$H$991,3,FALSE)</f>
        <v>5294.4443359375</v>
      </c>
      <c r="E599" s="28">
        <f>IF(D599&gt;=IF(MONTH($C599)=4,$C$3,IF(MONTH($C599)=5,$C$4,IF(MONTH($C599)=6,$C$5,IF(MONTH($C599)=7,$C$6,"ERROR")))),1,0)</f>
        <v>0</v>
      </c>
      <c r="F599" s="30">
        <f>VLOOKUP($C599,COS!$B$8:$H$991,7,FALSE)</f>
        <v>50.914810180664063</v>
      </c>
      <c r="G599" s="28">
        <f>IF(F599&lt;=IF(MONTH($C599)=4,$F$3,IF(MONTH($C599)=5,$F$4,IF(MONTH($C599)=6,$F$5,IF(MONTH($C599)=7,$F$6,"ERROR")))),1,0)</f>
        <v>1</v>
      </c>
      <c r="H599" s="30">
        <f>IF(J599=1,D599-$C$3,0)</f>
        <v>0</v>
      </c>
      <c r="I599" s="30">
        <f t="shared" si="872"/>
        <v>0</v>
      </c>
      <c r="J599" s="28">
        <f t="shared" ref="J599:J602" si="958">IF(AND(E599=1,G599=1),1,0)</f>
        <v>0</v>
      </c>
      <c r="K599" s="30">
        <f>VLOOKUP($C599,COS!$B$8:$H$991,2,FALSE)</f>
        <v>3623.035888671875</v>
      </c>
      <c r="L599" s="28">
        <f t="shared" ref="L599" si="959">IF(K599&lt;=IF(MONTH($C599)=4,$I$3,IF(MONTH($C599)=5,$I$4,IF(MONTH($C599)=6,$I$5,IF(MONTH($C599)=7,$I$6,"ERROR")))),1,0)</f>
        <v>1</v>
      </c>
      <c r="M599" s="28">
        <f t="shared" ref="M599" si="960">VLOOKUP($A599,$L$3:$M$7,2,FALSE)</f>
        <v>1</v>
      </c>
      <c r="N599" s="30">
        <f>VLOOKUP($C599,COS!$B$8:$H$991,5,FALSE)</f>
        <v>182.17179870605469</v>
      </c>
      <c r="O599" s="30">
        <f t="shared" ref="O599:O602" si="961">N599*DAY($C599)*86400/43560/1000</f>
        <v>10.839974799037966</v>
      </c>
      <c r="P599" s="30">
        <f>VLOOKUP($C599,COS!$B$8:$H$991,6,FALSE)</f>
        <v>465.95361328125</v>
      </c>
      <c r="Q599" s="30">
        <f t="shared" ref="Q599:Q602" si="962">P599*DAY($C599)*86400/43560/1000</f>
        <v>27.72616541838843</v>
      </c>
      <c r="R599" s="30">
        <f>MIN(IF(MONTH($C599)=4,$S$3,IF(MONTH($C599)=5,$S$4,IF(MONTH($C599)=6,$S$5,IF(MONTH($C599)=7,$S$6,"ERROR")))),MAX(VLOOKUP($C599,COS!$B$8:$K$991,10,FALSE)-IF(MONTH($C599)=4,$Y$3,IF(MONTH($C599)=5,$Y$4,IF(MONTH($C599)=6,$Y$5,IF(MONTH($C599)=7,$Y$6,"ERROR")))),0),MAX(VLOOKUP($C599,COS!$B$8:$K$991,9,FALSE)-IF(MONTH($C599)=4,$V$3,IF(MONTH($C599)=5,$V$4,IF(MONTH($C599)=6,$V$5,IF(MONTH($C599)=7,$V$6,"ERROR"))))-VLOOKUP($C599,COS!$B$8:$K$991,6,FALSE)/2,0))</f>
        <v>0</v>
      </c>
      <c r="S599" s="30">
        <f t="shared" ref="S599:S602" si="963">R599*DAY($C599)*86400/43560/1000</f>
        <v>0</v>
      </c>
      <c r="T599" s="30">
        <f t="shared" ref="T599:T602" si="964">(O599+Q599)/2+S599</f>
        <v>19.283070108713197</v>
      </c>
      <c r="U599" s="30" t="str">
        <f>IF(VLOOKUP($C599,COS!$B$8:$I$991,8,FALSE)=1,"UWFE","IBU")</f>
        <v>UWFE</v>
      </c>
      <c r="V599" s="30">
        <f t="shared" ref="V599" si="965">MIN(IF(IF($AA$3=2,AND(E599=1,G599=1,L599=1,L604=1,M599=1,U599="IBU"),AND(E599=1,G599=1,L599=1,L604=1,M599=1)),T599,0),I599)</f>
        <v>0</v>
      </c>
      <c r="W599" s="30"/>
      <c r="X599" s="30"/>
      <c r="Y599" s="30"/>
      <c r="Z599" s="30"/>
      <c r="AA599" s="30"/>
      <c r="AB599" s="31"/>
    </row>
    <row r="600" spans="1:28" x14ac:dyDescent="0.3">
      <c r="A600" s="32">
        <f>VLOOKUP(YEAR(C600),Flags!$A$13:$B$95,2,FALSE)</f>
        <v>4</v>
      </c>
      <c r="B600" s="24">
        <f t="shared" si="951"/>
        <v>1987</v>
      </c>
      <c r="C600" s="25">
        <v>31928</v>
      </c>
      <c r="D600" s="26">
        <f>VLOOKUP($C600,COS!$B$8:$H$991,3,FALSE)</f>
        <v>9427.30078125</v>
      </c>
      <c r="E600" s="24">
        <f>IF(D600&gt;=IF(MONTH($C600)=4,$C$3,IF(MONTH($C600)=5,$C$4,IF(MONTH($C600)=6,$C$5,IF(MONTH($C600)=7,$C$6,"ERROR")))),1,0)</f>
        <v>1</v>
      </c>
      <c r="F600" s="26">
        <f>VLOOKUP($C600,COS!$B$8:$H$991,7,FALSE)</f>
        <v>50.738330841064453</v>
      </c>
      <c r="G600" s="24">
        <f>IF(F600&lt;=IF(MONTH($C600)=4,$F$3,IF(MONTH($C600)=5,$F$4,IF(MONTH($C600)=6,$F$5,IF(MONTH($C600)=7,$F$6,"ERROR")))),1,0)</f>
        <v>1</v>
      </c>
      <c r="H600" s="26">
        <f>IF(J600=1,D600-$C$4,0)</f>
        <v>3427.30078125</v>
      </c>
      <c r="I600" s="26">
        <f t="shared" si="872"/>
        <v>210.73651084710744</v>
      </c>
      <c r="J600" s="24">
        <f t="shared" si="958"/>
        <v>1</v>
      </c>
      <c r="K600" s="26">
        <f>VLOOKUP($C600,COS!$B$8:$H$991,2,FALSE)</f>
        <v>3278.966796875</v>
      </c>
      <c r="L600" s="24">
        <f t="shared" si="944"/>
        <v>1</v>
      </c>
      <c r="M600" s="24">
        <f t="shared" si="945"/>
        <v>1</v>
      </c>
      <c r="N600" s="26">
        <f>VLOOKUP($C600,COS!$B$8:$H$991,5,FALSE)</f>
        <v>250.50456237792969</v>
      </c>
      <c r="O600" s="26">
        <f t="shared" si="961"/>
        <v>15.402925157783447</v>
      </c>
      <c r="P600" s="26">
        <f>VLOOKUP($C600,COS!$B$8:$H$991,6,FALSE)</f>
        <v>2345.609619140625</v>
      </c>
      <c r="Q600" s="26">
        <f t="shared" si="962"/>
        <v>144.22591377195246</v>
      </c>
      <c r="R600" s="26">
        <f>MIN(IF(MONTH($C600)=4,$S$3,IF(MONTH($C600)=5,$S$4,IF(MONTH($C600)=6,$S$5,IF(MONTH($C600)=7,$S$6,"ERROR")))),MAX(VLOOKUP($C600,COS!$B$8:$K$991,10,FALSE)-IF(MONTH($C600)=4,$Y$3,IF(MONTH($C600)=5,$Y$4,IF(MONTH($C600)=6,$Y$5,IF(MONTH($C600)=7,$Y$6,"ERROR")))),0),MAX(VLOOKUP($C600,COS!$B$8:$K$991,9,FALSE)-IF(MONTH($C600)=4,$V$3,IF(MONTH($C600)=5,$V$4,IF(MONTH($C600)=6,$V$5,IF(MONTH($C600)=7,$V$6,"ERROR"))))-VLOOKUP($C600,COS!$B$8:$K$991,6,FALSE)/2,0))</f>
        <v>0</v>
      </c>
      <c r="S600" s="26">
        <f t="shared" si="963"/>
        <v>0</v>
      </c>
      <c r="T600" s="26">
        <f t="shared" si="964"/>
        <v>79.814419464867953</v>
      </c>
      <c r="U600" s="26" t="str">
        <f>IF(VLOOKUP($C600,COS!$B$8:$I$991,8,FALSE)=1,"UWFE","IBU")</f>
        <v>IBU</v>
      </c>
      <c r="V600" s="26">
        <f t="shared" ref="V600" si="966">MIN(IF(IF($AA$3=2,AND(E600=1,G600=1,L600=1,L604=1,M600=1,U600="IBU"),AND(E600=1,G600=1,L600=1,L604=1,M600=1)),T600,0),I600)</f>
        <v>79.814419464867953</v>
      </c>
      <c r="W600" s="26"/>
      <c r="X600" s="26"/>
      <c r="Y600" s="26"/>
      <c r="Z600" s="26"/>
      <c r="AA600" s="26"/>
      <c r="AB600" s="33"/>
    </row>
    <row r="601" spans="1:28" x14ac:dyDescent="0.3">
      <c r="A601" s="32">
        <f>VLOOKUP(YEAR(C601),Flags!$A$13:$B$95,2,FALSE)</f>
        <v>4</v>
      </c>
      <c r="B601" s="24">
        <f t="shared" si="951"/>
        <v>1987</v>
      </c>
      <c r="C601" s="25">
        <v>31958</v>
      </c>
      <c r="D601" s="26">
        <f>VLOOKUP($C601,COS!$B$8:$H$991,3,FALSE)</f>
        <v>12915.80859375</v>
      </c>
      <c r="E601" s="24">
        <f>IF(D601&gt;=IF(MONTH($C601)=4,$C$3,IF(MONTH($C601)=5,$C$4,IF(MONTH($C601)=6,$C$5,IF(MONTH($C601)=7,$C$6,"ERROR")))),1,0)</f>
        <v>1</v>
      </c>
      <c r="F601" s="26">
        <f>VLOOKUP($C601,COS!$B$8:$H$991,7,FALSE)</f>
        <v>52.064525604248047</v>
      </c>
      <c r="G601" s="24">
        <f>IF(F601&lt;=IF(MONTH($C601)=4,$F$3,IF(MONTH($C601)=5,$F$4,IF(MONTH($C601)=6,$F$5,IF(MONTH($C601)=7,$F$6,"ERROR")))),1,0)</f>
        <v>1</v>
      </c>
      <c r="H601" s="26">
        <f>IF(J601=1,D601-$C$5,0)</f>
        <v>2915.80859375</v>
      </c>
      <c r="I601" s="26">
        <f t="shared" si="872"/>
        <v>173.50266012396696</v>
      </c>
      <c r="J601" s="24">
        <f t="shared" si="958"/>
        <v>1</v>
      </c>
      <c r="K601" s="26">
        <f>VLOOKUP($C601,COS!$B$8:$H$991,2,FALSE)</f>
        <v>2849.214111328125</v>
      </c>
      <c r="L601" s="24">
        <f t="shared" si="944"/>
        <v>1</v>
      </c>
      <c r="M601" s="24">
        <f t="shared" si="945"/>
        <v>1</v>
      </c>
      <c r="N601" s="26">
        <f>VLOOKUP($C601,COS!$B$8:$H$991,5,FALSE)</f>
        <v>294.71493530273438</v>
      </c>
      <c r="O601" s="26">
        <f t="shared" si="961"/>
        <v>17.536756480823865</v>
      </c>
      <c r="P601" s="26">
        <f>VLOOKUP($C601,COS!$B$8:$H$991,6,FALSE)</f>
        <v>2714.961669921875</v>
      </c>
      <c r="Q601" s="26">
        <f t="shared" si="962"/>
        <v>161.55143821022727</v>
      </c>
      <c r="R601" s="26">
        <f>MIN(IF(MONTH($C601)=4,$S$3,IF(MONTH($C601)=5,$S$4,IF(MONTH($C601)=6,$S$5,IF(MONTH($C601)=7,$S$6,"ERROR")))),MAX(VLOOKUP($C601,COS!$B$8:$K$991,10,FALSE)-IF(MONTH($C601)=4,$Y$3,IF(MONTH($C601)=5,$Y$4,IF(MONTH($C601)=6,$Y$5,IF(MONTH($C601)=7,$Y$6,"ERROR")))),0),MAX(VLOOKUP($C601,COS!$B$8:$K$991,9,FALSE)-IF(MONTH($C601)=4,$V$3,IF(MONTH($C601)=5,$V$4,IF(MONTH($C601)=6,$V$5,IF(MONTH($C601)=7,$V$6,"ERROR"))))-VLOOKUP($C601,COS!$B$8:$K$991,6,FALSE)/2,0))</f>
        <v>0</v>
      </c>
      <c r="S601" s="26">
        <f t="shared" si="963"/>
        <v>0</v>
      </c>
      <c r="T601" s="26">
        <f t="shared" si="964"/>
        <v>89.544097345525572</v>
      </c>
      <c r="U601" s="26" t="str">
        <f>IF(VLOOKUP($C601,COS!$B$8:$I$991,8,FALSE)=1,"UWFE","IBU")</f>
        <v>IBU</v>
      </c>
      <c r="V601" s="26">
        <f t="shared" ref="V601" si="967">MIN(IF(IF($AA$3=2,AND(E601=1,G601=1,L601=1,L604=1,M601=1,U601="IBU"),AND(E601=1,G601=1,L601=1,L604=1,M601=1)),T601,0),I601)</f>
        <v>89.544097345525572</v>
      </c>
      <c r="W601" s="26"/>
      <c r="X601" s="26"/>
      <c r="Y601" s="26"/>
      <c r="Z601" s="26"/>
      <c r="AA601" s="26"/>
      <c r="AB601" s="33"/>
    </row>
    <row r="602" spans="1:28" x14ac:dyDescent="0.3">
      <c r="A602" s="32">
        <f>VLOOKUP(YEAR(C602),Flags!$A$13:$B$95,2,FALSE)</f>
        <v>4</v>
      </c>
      <c r="B602" s="24">
        <f t="shared" si="951"/>
        <v>1987</v>
      </c>
      <c r="C602" s="25">
        <v>31989</v>
      </c>
      <c r="D602" s="26">
        <f>VLOOKUP($C602,COS!$B$8:$H$991,3,FALSE)</f>
        <v>12279.78515625</v>
      </c>
      <c r="E602" s="24">
        <f>IF(D602&gt;=IF(MONTH($C602)=4,$C$3,IF(MONTH($C602)=5,$C$4,IF(MONTH($C602)=6,$C$5,IF(MONTH($C602)=7,$C$6,"ERROR")))),1,0)</f>
        <v>1</v>
      </c>
      <c r="F602" s="26">
        <f>VLOOKUP($C602,COS!$B$8:$H$991,7,FALSE)</f>
        <v>53.705059051513672</v>
      </c>
      <c r="G602" s="24">
        <f>IF(F602&lt;=IF(MONTH($C602)=4,$F$3,IF(MONTH($C602)=5,$F$4,IF(MONTH($C602)=6,$F$5,IF(MONTH($C602)=7,$F$6,"ERROR")))),1,0)</f>
        <v>0</v>
      </c>
      <c r="H602" s="26">
        <f>IF(J602=1,D602-$C$6,0)</f>
        <v>0</v>
      </c>
      <c r="I602" s="26">
        <f t="shared" si="872"/>
        <v>0</v>
      </c>
      <c r="J602" s="24">
        <f t="shared" si="958"/>
        <v>0</v>
      </c>
      <c r="K602" s="26">
        <f>VLOOKUP($C602,COS!$B$8:$H$991,2,FALSE)</f>
        <v>2473.188232421875</v>
      </c>
      <c r="L602" s="24">
        <f t="shared" si="944"/>
        <v>1</v>
      </c>
      <c r="M602" s="24">
        <f t="shared" si="945"/>
        <v>1</v>
      </c>
      <c r="N602" s="26">
        <f>VLOOKUP($C602,COS!$B$8:$H$991,5,FALSE)</f>
        <v>320.8253173828125</v>
      </c>
      <c r="O602" s="26">
        <f t="shared" si="961"/>
        <v>19.726779845686984</v>
      </c>
      <c r="P602" s="26">
        <f>VLOOKUP($C602,COS!$B$8:$H$991,6,FALSE)</f>
        <v>2538.07568359375</v>
      </c>
      <c r="Q602" s="26">
        <f t="shared" si="962"/>
        <v>156.06019079287191</v>
      </c>
      <c r="R602" s="26">
        <f>MIN(IF(MONTH($C602)=4,$S$3,IF(MONTH($C602)=5,$S$4,IF(MONTH($C602)=6,$S$5,IF(MONTH($C602)=7,$S$6,"ERROR")))),MAX(VLOOKUP($C602,COS!$B$8:$K$991,10,FALSE)-IF(MONTH($C602)=4,$Y$3,IF(MONTH($C602)=5,$Y$4,IF(MONTH($C602)=6,$Y$5,IF(MONTH($C602)=7,$Y$6,"ERROR")))),0),MAX(VLOOKUP($C602,COS!$B$8:$K$991,9,FALSE)-IF(MONTH($C602)=4,$V$3,IF(MONTH($C602)=5,$V$4,IF(MONTH($C602)=6,$V$5,IF(MONTH($C602)=7,$V$6,"ERROR"))))-VLOOKUP($C602,COS!$B$8:$K$991,6,FALSE)/2,0))</f>
        <v>0</v>
      </c>
      <c r="S602" s="26">
        <f t="shared" si="963"/>
        <v>0</v>
      </c>
      <c r="T602" s="26">
        <f t="shared" si="964"/>
        <v>87.893485319279449</v>
      </c>
      <c r="U602" s="26" t="str">
        <f>IF(VLOOKUP($C602,COS!$B$8:$I$991,8,FALSE)=1,"UWFE","IBU")</f>
        <v>IBU</v>
      </c>
      <c r="V602" s="26">
        <f t="shared" ref="V602" si="968">MIN(IF(IF($AA$3=2,AND(E602=1,G602=1,L602=1,L604=1,M602=1,U602="IBU"),AND(E602=1,G602=1,L602=1,L604=1,M602=1)),T602,0),I602)</f>
        <v>0</v>
      </c>
      <c r="W602" s="26"/>
      <c r="X602" s="26"/>
      <c r="Y602" s="26"/>
      <c r="Z602" s="26"/>
      <c r="AA602" s="26"/>
      <c r="AB602" s="33"/>
    </row>
    <row r="603" spans="1:28" x14ac:dyDescent="0.3">
      <c r="A603" s="32">
        <f>VLOOKUP(YEAR(C603),Flags!$A$13:$B$95,2,FALSE)</f>
        <v>4</v>
      </c>
      <c r="B603" s="24">
        <f t="shared" si="951"/>
        <v>1987</v>
      </c>
      <c r="C603" s="25">
        <v>32020</v>
      </c>
      <c r="D603" s="26"/>
      <c r="E603" s="24"/>
      <c r="F603" s="26"/>
      <c r="G603" s="24"/>
      <c r="H603" s="24"/>
      <c r="I603" s="26"/>
      <c r="J603" s="24"/>
      <c r="K603" s="26"/>
      <c r="L603" s="24"/>
      <c r="M603" s="24"/>
      <c r="N603" s="26"/>
      <c r="O603" s="26"/>
      <c r="P603" s="26"/>
      <c r="Q603" s="26"/>
      <c r="R603" s="26"/>
      <c r="S603" s="26"/>
      <c r="T603" s="26"/>
      <c r="U603" s="26"/>
      <c r="V603" s="26"/>
      <c r="W603" s="26">
        <f>MAX($C$7-VLOOKUP($C603,COS!$B$8:$H$991,3,FALSE),0)</f>
        <v>92401.0830078125</v>
      </c>
      <c r="X603" s="26">
        <f t="shared" si="870"/>
        <v>5681.5211370092975</v>
      </c>
      <c r="Y603" s="26">
        <f>VLOOKUP($C603,COS!$B$8:$H$991,4,FALSE)</f>
        <v>2881.91650390625</v>
      </c>
      <c r="Z603" s="26">
        <f t="shared" si="871"/>
        <v>177.20213875258267</v>
      </c>
      <c r="AA603" s="26">
        <f t="shared" ref="AA603:AA607" si="969">MIN(W603,Y603)</f>
        <v>2881.91650390625</v>
      </c>
      <c r="AB603" s="33">
        <f t="shared" ref="AB603" si="970">AA603*DAY($C603)*86400/43560/1000*IF(MONTH($C603)=8,$P$3,IF(MONTH($C603)=9,$P$4,IF(MONTH($C603)=10,$P$5,IF(MONTH($C603)=11,$P$6,IF(MONTH($C603)=12,$P$7,NA())))))</f>
        <v>177.20213875258267</v>
      </c>
    </row>
    <row r="604" spans="1:28" x14ac:dyDescent="0.3">
      <c r="A604" s="32">
        <f>VLOOKUP(YEAR(C604),Flags!$A$13:$B$95,2,FALSE)</f>
        <v>4</v>
      </c>
      <c r="B604" s="24">
        <f t="shared" si="951"/>
        <v>1987</v>
      </c>
      <c r="C604" s="25">
        <v>32050</v>
      </c>
      <c r="D604" s="26"/>
      <c r="E604" s="24"/>
      <c r="F604" s="26"/>
      <c r="G604" s="24"/>
      <c r="H604" s="24"/>
      <c r="I604" s="26"/>
      <c r="J604" s="24"/>
      <c r="K604" s="26">
        <f>VLOOKUP($C604,COS!$B$8:$H$991,2,FALSE)</f>
        <v>2192.67578125</v>
      </c>
      <c r="L604" s="24">
        <f t="shared" ref="L604" si="971">IF(AND(K604&gt;$I$7,K604&lt;$I$8),1,0)</f>
        <v>1</v>
      </c>
      <c r="M604" s="24"/>
      <c r="N604" s="26"/>
      <c r="O604" s="26"/>
      <c r="P604" s="26"/>
      <c r="Q604" s="26"/>
      <c r="R604" s="26"/>
      <c r="S604" s="26"/>
      <c r="T604" s="26"/>
      <c r="U604" s="26"/>
      <c r="V604" s="26"/>
      <c r="W604" s="26">
        <f>MAX($C$8-VLOOKUP($C604,COS!$B$8:$H$991,3,FALSE),0)</f>
        <v>94661.54638671875</v>
      </c>
      <c r="X604" s="26">
        <f t="shared" si="870"/>
        <v>5632.7531734245867</v>
      </c>
      <c r="Y604" s="26">
        <f>VLOOKUP($C604,COS!$B$8:$H$991,4,FALSE)</f>
        <v>1887.955078125</v>
      </c>
      <c r="Z604" s="26">
        <f t="shared" si="871"/>
        <v>112.34112861570247</v>
      </c>
      <c r="AA604" s="26">
        <f t="shared" si="969"/>
        <v>1887.955078125</v>
      </c>
      <c r="AB604" s="33">
        <f t="shared" si="956"/>
        <v>112.34112861570247</v>
      </c>
    </row>
    <row r="605" spans="1:28" x14ac:dyDescent="0.3">
      <c r="A605" s="32">
        <f>VLOOKUP(YEAR(C605),Flags!$A$13:$B$95,2,FALSE)</f>
        <v>4</v>
      </c>
      <c r="B605" s="24">
        <f t="shared" si="951"/>
        <v>1987</v>
      </c>
      <c r="C605" s="25">
        <v>32081</v>
      </c>
      <c r="D605" s="26"/>
      <c r="E605" s="24"/>
      <c r="F605" s="26"/>
      <c r="G605" s="26"/>
      <c r="H605" s="26"/>
      <c r="I605" s="26"/>
      <c r="J605" s="26"/>
      <c r="K605" s="26"/>
      <c r="L605" s="24"/>
      <c r="M605" s="24"/>
      <c r="N605" s="26"/>
      <c r="O605" s="26"/>
      <c r="P605" s="26"/>
      <c r="Q605" s="26"/>
      <c r="R605" s="26"/>
      <c r="S605" s="26"/>
      <c r="T605" s="26"/>
      <c r="U605" s="26"/>
      <c r="V605" s="26"/>
      <c r="W605" s="26">
        <f>MAX($C$9-VLOOKUP($C605,COS!$B$8:$H$991,3,FALSE),0)</f>
        <v>93485.296875</v>
      </c>
      <c r="X605" s="26">
        <f t="shared" si="870"/>
        <v>5748.1868491735531</v>
      </c>
      <c r="Y605" s="26">
        <f>VLOOKUP($C605,COS!$B$8:$H$991,4,FALSE)</f>
        <v>1710.297119140625</v>
      </c>
      <c r="Z605" s="26">
        <f t="shared" si="871"/>
        <v>105.16207079674588</v>
      </c>
      <c r="AA605" s="26">
        <f t="shared" si="969"/>
        <v>1710.297119140625</v>
      </c>
      <c r="AB605" s="33">
        <f t="shared" si="956"/>
        <v>105.16207079674588</v>
      </c>
    </row>
    <row r="606" spans="1:28" x14ac:dyDescent="0.3">
      <c r="A606" s="32">
        <f>VLOOKUP(YEAR(C606),Flags!$A$13:$B$95,2,FALSE)</f>
        <v>4</v>
      </c>
      <c r="B606" s="24">
        <f t="shared" si="951"/>
        <v>1987</v>
      </c>
      <c r="C606" s="25">
        <v>32111</v>
      </c>
      <c r="D606" s="26"/>
      <c r="E606" s="24"/>
      <c r="F606" s="26"/>
      <c r="G606" s="26"/>
      <c r="H606" s="26"/>
      <c r="I606" s="26"/>
      <c r="J606" s="26"/>
      <c r="K606" s="26"/>
      <c r="L606" s="24"/>
      <c r="M606" s="24"/>
      <c r="N606" s="26"/>
      <c r="O606" s="26"/>
      <c r="P606" s="26"/>
      <c r="Q606" s="26"/>
      <c r="R606" s="26"/>
      <c r="S606" s="26"/>
      <c r="T606" s="26"/>
      <c r="U606" s="26"/>
      <c r="V606" s="26"/>
      <c r="W606" s="26">
        <f>MAX($C$10-VLOOKUP($C606,COS!$B$8:$H$991,3,FALSE),0)</f>
        <v>95803.09228515625</v>
      </c>
      <c r="X606" s="26">
        <f t="shared" si="870"/>
        <v>5700.67987151343</v>
      </c>
      <c r="Y606" s="26">
        <f>VLOOKUP($C606,COS!$B$8:$H$991,4,FALSE)</f>
        <v>1824.783935546875</v>
      </c>
      <c r="Z606" s="26">
        <f t="shared" si="871"/>
        <v>108.58218459452479</v>
      </c>
      <c r="AA606" s="26">
        <f t="shared" si="969"/>
        <v>1824.783935546875</v>
      </c>
      <c r="AB606" s="33">
        <f t="shared" si="956"/>
        <v>54.291092297262395</v>
      </c>
    </row>
    <row r="607" spans="1:28" x14ac:dyDescent="0.3">
      <c r="A607" s="34">
        <f>VLOOKUP(YEAR(C607),Flags!$A$13:$B$95,2,FALSE)</f>
        <v>4</v>
      </c>
      <c r="B607" s="35">
        <f t="shared" si="951"/>
        <v>1987</v>
      </c>
      <c r="C607" s="36">
        <v>32142</v>
      </c>
      <c r="D607" s="37"/>
      <c r="E607" s="35"/>
      <c r="F607" s="37"/>
      <c r="G607" s="37"/>
      <c r="H607" s="37"/>
      <c r="I607" s="37"/>
      <c r="J607" s="37"/>
      <c r="K607" s="37"/>
      <c r="L607" s="35"/>
      <c r="M607" s="35"/>
      <c r="N607" s="37"/>
      <c r="O607" s="37"/>
      <c r="P607" s="37"/>
      <c r="Q607" s="37"/>
      <c r="R607" s="37"/>
      <c r="S607" s="37"/>
      <c r="T607" s="37"/>
      <c r="U607" s="37"/>
      <c r="V607" s="37"/>
      <c r="W607" s="37">
        <f>MAX($C$11-VLOOKUP($C607,COS!$B$8:$H$991,3,FALSE),0)</f>
        <v>0</v>
      </c>
      <c r="X607" s="37">
        <f t="shared" ref="X607:X670" si="972">W607*DAY($C607)*86400/43560/1000</f>
        <v>0</v>
      </c>
      <c r="Y607" s="37">
        <f>VLOOKUP($C607,COS!$B$8:$H$991,4,FALSE)</f>
        <v>906.1927490234375</v>
      </c>
      <c r="Z607" s="37">
        <f t="shared" ref="Z607:Z670" si="973">Y607*DAY($C607)*86400/43560/1000</f>
        <v>55.719620270532026</v>
      </c>
      <c r="AA607" s="37">
        <f t="shared" si="969"/>
        <v>0</v>
      </c>
      <c r="AB607" s="38">
        <f t="shared" si="956"/>
        <v>0</v>
      </c>
    </row>
    <row r="608" spans="1:28" x14ac:dyDescent="0.3">
      <c r="A608" s="27">
        <f>VLOOKUP(YEAR(C608),Flags!$A$13:$B$95,2,FALSE)</f>
        <v>5</v>
      </c>
      <c r="B608" s="28">
        <f t="shared" si="951"/>
        <v>1988</v>
      </c>
      <c r="C608" s="29">
        <v>32263</v>
      </c>
      <c r="D608" s="30">
        <f>VLOOKUP($C608,COS!$B$8:$H$991,3,FALSE)</f>
        <v>3250</v>
      </c>
      <c r="E608" s="28">
        <f>IF(D608&gt;=IF(MONTH($C608)=4,$C$3,IF(MONTH($C608)=5,$C$4,IF(MONTH($C608)=6,$C$5,IF(MONTH($C608)=7,$C$6,"ERROR")))),1,0)</f>
        <v>0</v>
      </c>
      <c r="F608" s="30">
        <f>VLOOKUP($C608,COS!$B$8:$H$991,7,FALSE)</f>
        <v>51.376628875732422</v>
      </c>
      <c r="G608" s="28">
        <f>IF(F608&lt;=IF(MONTH($C608)=4,$F$3,IF(MONTH($C608)=5,$F$4,IF(MONTH($C608)=6,$F$5,IF(MONTH($C608)=7,$F$6,"ERROR")))),1,0)</f>
        <v>1</v>
      </c>
      <c r="H608" s="30">
        <f>IF(J608=1,D608-$C$3,0)</f>
        <v>0</v>
      </c>
      <c r="I608" s="30">
        <f t="shared" si="872"/>
        <v>0</v>
      </c>
      <c r="J608" s="28">
        <f t="shared" ref="J608:J611" si="974">IF(AND(E608=1,G608=1),1,0)</f>
        <v>0</v>
      </c>
      <c r="K608" s="30">
        <f>VLOOKUP($C608,COS!$B$8:$H$991,2,FALSE)</f>
        <v>3432.6455078125</v>
      </c>
      <c r="L608" s="28">
        <f t="shared" ref="L608" si="975">IF(K608&lt;=IF(MONTH($C608)=4,$I$3,IF(MONTH($C608)=5,$I$4,IF(MONTH($C608)=6,$I$5,IF(MONTH($C608)=7,$I$6,"ERROR")))),1,0)</f>
        <v>1</v>
      </c>
      <c r="M608" s="28">
        <f t="shared" ref="M608" si="976">VLOOKUP($A608,$L$3:$M$7,2,FALSE)</f>
        <v>1</v>
      </c>
      <c r="N608" s="30">
        <f>VLOOKUP($C608,COS!$B$8:$H$991,5,FALSE)</f>
        <v>119.56303405761719</v>
      </c>
      <c r="O608" s="30">
        <f t="shared" ref="O608:O611" si="977">N608*DAY($C608)*86400/43560/1000</f>
        <v>7.1144945885524278</v>
      </c>
      <c r="P608" s="30">
        <f>VLOOKUP($C608,COS!$B$8:$H$991,6,FALSE)</f>
        <v>472.98532104492188</v>
      </c>
      <c r="Q608" s="30">
        <f t="shared" ref="Q608:Q611" si="978">P608*DAY($C608)*86400/43560/1000</f>
        <v>28.144581086970557</v>
      </c>
      <c r="R608" s="30">
        <f>MIN(IF(MONTH($C608)=4,$S$3,IF(MONTH($C608)=5,$S$4,IF(MONTH($C608)=6,$S$5,IF(MONTH($C608)=7,$S$6,"ERROR")))),MAX(VLOOKUP($C608,COS!$B$8:$K$991,10,FALSE)-IF(MONTH($C608)=4,$Y$3,IF(MONTH($C608)=5,$Y$4,IF(MONTH($C608)=6,$Y$5,IF(MONTH($C608)=7,$Y$6,"ERROR")))),0),MAX(VLOOKUP($C608,COS!$B$8:$K$991,9,FALSE)-IF(MONTH($C608)=4,$V$3,IF(MONTH($C608)=5,$V$4,IF(MONTH($C608)=6,$V$5,IF(MONTH($C608)=7,$V$6,"ERROR"))))-VLOOKUP($C608,COS!$B$8:$K$991,6,FALSE)/2,0))</f>
        <v>0</v>
      </c>
      <c r="S608" s="30">
        <f t="shared" ref="S608:S611" si="979">R608*DAY($C608)*86400/43560/1000</f>
        <v>0</v>
      </c>
      <c r="T608" s="30">
        <f t="shared" ref="T608:T611" si="980">(O608+Q608)/2+S608</f>
        <v>17.629537837761493</v>
      </c>
      <c r="U608" s="30" t="str">
        <f>IF(VLOOKUP($C608,COS!$B$8:$I$991,8,FALSE)=1,"UWFE","IBU")</f>
        <v>UWFE</v>
      </c>
      <c r="V608" s="30">
        <f t="shared" ref="V608" si="981">MIN(IF(IF($AA$3=2,AND(E608=1,G608=1,L608=1,L613=1,M608=1,U608="IBU"),AND(E608=1,G608=1,L608=1,L613=1,M608=1)),T608,0),I608)</f>
        <v>0</v>
      </c>
      <c r="W608" s="30"/>
      <c r="X608" s="30"/>
      <c r="Y608" s="30"/>
      <c r="Z608" s="30"/>
      <c r="AA608" s="30"/>
      <c r="AB608" s="31"/>
    </row>
    <row r="609" spans="1:28" x14ac:dyDescent="0.3">
      <c r="A609" s="32">
        <f>VLOOKUP(YEAR(C609),Flags!$A$13:$B$95,2,FALSE)</f>
        <v>5</v>
      </c>
      <c r="B609" s="24">
        <f t="shared" si="951"/>
        <v>1988</v>
      </c>
      <c r="C609" s="25">
        <v>32294</v>
      </c>
      <c r="D609" s="26">
        <f>VLOOKUP($C609,COS!$B$8:$H$991,3,FALSE)</f>
        <v>6883.46142578125</v>
      </c>
      <c r="E609" s="24">
        <f>IF(D609&gt;=IF(MONTH($C609)=4,$C$3,IF(MONTH($C609)=5,$C$4,IF(MONTH($C609)=6,$C$5,IF(MONTH($C609)=7,$C$6,"ERROR")))),1,0)</f>
        <v>1</v>
      </c>
      <c r="F609" s="26">
        <f>VLOOKUP($C609,COS!$B$8:$H$991,7,FALSE)</f>
        <v>51.008148193359375</v>
      </c>
      <c r="G609" s="24">
        <f>IF(F609&lt;=IF(MONTH($C609)=4,$F$3,IF(MONTH($C609)=5,$F$4,IF(MONTH($C609)=6,$F$5,IF(MONTH($C609)=7,$F$6,"ERROR")))),1,0)</f>
        <v>1</v>
      </c>
      <c r="H609" s="26">
        <f>IF(J609=1,D609-$C$4,0)</f>
        <v>883.46142578125</v>
      </c>
      <c r="I609" s="26">
        <f t="shared" ref="I609:I672" si="982">H609*DAY($C609)*86400/43560/1000</f>
        <v>54.321925684400824</v>
      </c>
      <c r="J609" s="24">
        <f t="shared" si="974"/>
        <v>1</v>
      </c>
      <c r="K609" s="26">
        <f>VLOOKUP($C609,COS!$B$8:$H$991,2,FALSE)</f>
        <v>3330.71044921875</v>
      </c>
      <c r="L609" s="24">
        <f t="shared" si="944"/>
        <v>1</v>
      </c>
      <c r="M609" s="24">
        <f t="shared" si="945"/>
        <v>1</v>
      </c>
      <c r="N609" s="26">
        <f>VLOOKUP($C609,COS!$B$8:$H$991,5,FALSE)</f>
        <v>152.79158020019531</v>
      </c>
      <c r="O609" s="26">
        <f t="shared" si="977"/>
        <v>9.3947880718136627</v>
      </c>
      <c r="P609" s="26">
        <f>VLOOKUP($C609,COS!$B$8:$H$991,6,FALSE)</f>
        <v>2086.376220703125</v>
      </c>
      <c r="Q609" s="26">
        <f t="shared" si="978"/>
        <v>128.28627340521695</v>
      </c>
      <c r="R609" s="26">
        <f>MIN(IF(MONTH($C609)=4,$S$3,IF(MONTH($C609)=5,$S$4,IF(MONTH($C609)=6,$S$5,IF(MONTH($C609)=7,$S$6,"ERROR")))),MAX(VLOOKUP($C609,COS!$B$8:$K$991,10,FALSE)-IF(MONTH($C609)=4,$Y$3,IF(MONTH($C609)=5,$Y$4,IF(MONTH($C609)=6,$Y$5,IF(MONTH($C609)=7,$Y$6,"ERROR")))),0),MAX(VLOOKUP($C609,COS!$B$8:$K$991,9,FALSE)-IF(MONTH($C609)=4,$V$3,IF(MONTH($C609)=5,$V$4,IF(MONTH($C609)=6,$V$5,IF(MONTH($C609)=7,$V$6,"ERROR"))))-VLOOKUP($C609,COS!$B$8:$K$991,6,FALSE)/2,0))</f>
        <v>0</v>
      </c>
      <c r="S609" s="26">
        <f t="shared" si="979"/>
        <v>0</v>
      </c>
      <c r="T609" s="26">
        <f t="shared" si="980"/>
        <v>68.840530738515298</v>
      </c>
      <c r="U609" s="26" t="str">
        <f>IF(VLOOKUP($C609,COS!$B$8:$I$991,8,FALSE)=1,"UWFE","IBU")</f>
        <v>IBU</v>
      </c>
      <c r="V609" s="26">
        <f t="shared" ref="V609" si="983">MIN(IF(IF($AA$3=2,AND(E609=1,G609=1,L609=1,L613=1,M609=1,U609="IBU"),AND(E609=1,G609=1,L609=1,L613=1,M609=1)),T609,0),I609)</f>
        <v>54.321925684400824</v>
      </c>
      <c r="W609" s="26"/>
      <c r="X609" s="26"/>
      <c r="Y609" s="26"/>
      <c r="Z609" s="26"/>
      <c r="AA609" s="26"/>
      <c r="AB609" s="33"/>
    </row>
    <row r="610" spans="1:28" x14ac:dyDescent="0.3">
      <c r="A610" s="32">
        <f>VLOOKUP(YEAR(C610),Flags!$A$13:$B$95,2,FALSE)</f>
        <v>5</v>
      </c>
      <c r="B610" s="24">
        <f t="shared" si="951"/>
        <v>1988</v>
      </c>
      <c r="C610" s="25">
        <v>32324</v>
      </c>
      <c r="D610" s="26">
        <f>VLOOKUP($C610,COS!$B$8:$H$991,3,FALSE)</f>
        <v>10946.3818359375</v>
      </c>
      <c r="E610" s="24">
        <f>IF(D610&gt;=IF(MONTH($C610)=4,$C$3,IF(MONTH($C610)=5,$C$4,IF(MONTH($C610)=6,$C$5,IF(MONTH($C610)=7,$C$6,"ERROR")))),1,0)</f>
        <v>1</v>
      </c>
      <c r="F610" s="26">
        <f>VLOOKUP($C610,COS!$B$8:$H$991,7,FALSE)</f>
        <v>51.772979736328125</v>
      </c>
      <c r="G610" s="24">
        <f>IF(F610&lt;=IF(MONTH($C610)=4,$F$3,IF(MONTH($C610)=5,$F$4,IF(MONTH($C610)=6,$F$5,IF(MONTH($C610)=7,$F$6,"ERROR")))),1,0)</f>
        <v>1</v>
      </c>
      <c r="H610" s="26">
        <f>IF(J610=1,D610-$C$5,0)</f>
        <v>946.3818359375</v>
      </c>
      <c r="I610" s="26">
        <f t="shared" si="982"/>
        <v>56.31362990702479</v>
      </c>
      <c r="J610" s="24">
        <f t="shared" si="974"/>
        <v>1</v>
      </c>
      <c r="K610" s="26">
        <f>VLOOKUP($C610,COS!$B$8:$H$991,2,FALSE)</f>
        <v>2960.935791015625</v>
      </c>
      <c r="L610" s="24">
        <f t="shared" si="944"/>
        <v>1</v>
      </c>
      <c r="M610" s="24">
        <f t="shared" si="945"/>
        <v>1</v>
      </c>
      <c r="N610" s="26">
        <f>VLOOKUP($C610,COS!$B$8:$H$991,5,FALSE)</f>
        <v>203.79988098144531</v>
      </c>
      <c r="O610" s="26">
        <f t="shared" si="977"/>
        <v>12.126935066664515</v>
      </c>
      <c r="P610" s="26">
        <f>VLOOKUP($C610,COS!$B$8:$H$991,6,FALSE)</f>
        <v>2416.343017578125</v>
      </c>
      <c r="Q610" s="26">
        <f t="shared" si="978"/>
        <v>143.78239443440083</v>
      </c>
      <c r="R610" s="26">
        <f>MIN(IF(MONTH($C610)=4,$S$3,IF(MONTH($C610)=5,$S$4,IF(MONTH($C610)=6,$S$5,IF(MONTH($C610)=7,$S$6,"ERROR")))),MAX(VLOOKUP($C610,COS!$B$8:$K$991,10,FALSE)-IF(MONTH($C610)=4,$Y$3,IF(MONTH($C610)=5,$Y$4,IF(MONTH($C610)=6,$Y$5,IF(MONTH($C610)=7,$Y$6,"ERROR")))),0),MAX(VLOOKUP($C610,COS!$B$8:$K$991,9,FALSE)-IF(MONTH($C610)=4,$V$3,IF(MONTH($C610)=5,$V$4,IF(MONTH($C610)=6,$V$5,IF(MONTH($C610)=7,$V$6,"ERROR"))))-VLOOKUP($C610,COS!$B$8:$K$991,6,FALSE)/2,0))</f>
        <v>0</v>
      </c>
      <c r="S610" s="26">
        <f t="shared" si="979"/>
        <v>0</v>
      </c>
      <c r="T610" s="26">
        <f t="shared" si="980"/>
        <v>77.954664750532672</v>
      </c>
      <c r="U610" s="26" t="str">
        <f>IF(VLOOKUP($C610,COS!$B$8:$I$991,8,FALSE)=1,"UWFE","IBU")</f>
        <v>IBU</v>
      </c>
      <c r="V610" s="26">
        <f t="shared" ref="V610" si="984">MIN(IF(IF($AA$3=2,AND(E610=1,G610=1,L610=1,L613=1,M610=1,U610="IBU"),AND(E610=1,G610=1,L610=1,L613=1,M610=1)),T610,0),I610)</f>
        <v>56.31362990702479</v>
      </c>
      <c r="W610" s="26"/>
      <c r="X610" s="26"/>
      <c r="Y610" s="26"/>
      <c r="Z610" s="26"/>
      <c r="AA610" s="26"/>
      <c r="AB610" s="33"/>
    </row>
    <row r="611" spans="1:28" x14ac:dyDescent="0.3">
      <c r="A611" s="32">
        <f>VLOOKUP(YEAR(C611),Flags!$A$13:$B$95,2,FALSE)</f>
        <v>5</v>
      </c>
      <c r="B611" s="24">
        <f t="shared" si="951"/>
        <v>1988</v>
      </c>
      <c r="C611" s="25">
        <v>32355</v>
      </c>
      <c r="D611" s="26">
        <f>VLOOKUP($C611,COS!$B$8:$H$991,3,FALSE)</f>
        <v>11770.708984375</v>
      </c>
      <c r="E611" s="24">
        <f>IF(D611&gt;=IF(MONTH($C611)=4,$C$3,IF(MONTH($C611)=5,$C$4,IF(MONTH($C611)=6,$C$5,IF(MONTH($C611)=7,$C$6,"ERROR")))),1,0)</f>
        <v>0</v>
      </c>
      <c r="F611" s="26">
        <f>VLOOKUP($C611,COS!$B$8:$H$991,7,FALSE)</f>
        <v>53.894107818603516</v>
      </c>
      <c r="G611" s="24">
        <f>IF(F611&lt;=IF(MONTH($C611)=4,$F$3,IF(MONTH($C611)=5,$F$4,IF(MONTH($C611)=6,$F$5,IF(MONTH($C611)=7,$F$6,"ERROR")))),1,0)</f>
        <v>0</v>
      </c>
      <c r="H611" s="26">
        <f>IF(J611=1,D611-$C$6,0)</f>
        <v>0</v>
      </c>
      <c r="I611" s="26">
        <f t="shared" si="982"/>
        <v>0</v>
      </c>
      <c r="J611" s="24">
        <f t="shared" si="974"/>
        <v>0</v>
      </c>
      <c r="K611" s="26">
        <f>VLOOKUP($C611,COS!$B$8:$H$991,2,FALSE)</f>
        <v>2490.652587890625</v>
      </c>
      <c r="L611" s="24">
        <f t="shared" si="944"/>
        <v>1</v>
      </c>
      <c r="M611" s="24">
        <f t="shared" si="945"/>
        <v>1</v>
      </c>
      <c r="N611" s="26">
        <f>VLOOKUP($C611,COS!$B$8:$H$991,5,FALSE)</f>
        <v>242.14094543457031</v>
      </c>
      <c r="O611" s="26">
        <f t="shared" si="977"/>
        <v>14.888666396968622</v>
      </c>
      <c r="P611" s="26">
        <f>VLOOKUP($C611,COS!$B$8:$H$991,6,FALSE)</f>
        <v>2326.644775390625</v>
      </c>
      <c r="Q611" s="26">
        <f t="shared" si="978"/>
        <v>143.05981098269626</v>
      </c>
      <c r="R611" s="26">
        <f>MIN(IF(MONTH($C611)=4,$S$3,IF(MONTH($C611)=5,$S$4,IF(MONTH($C611)=6,$S$5,IF(MONTH($C611)=7,$S$6,"ERROR")))),MAX(VLOOKUP($C611,COS!$B$8:$K$991,10,FALSE)-IF(MONTH($C611)=4,$Y$3,IF(MONTH($C611)=5,$Y$4,IF(MONTH($C611)=6,$Y$5,IF(MONTH($C611)=7,$Y$6,"ERROR")))),0),MAX(VLOOKUP($C611,COS!$B$8:$K$991,9,FALSE)-IF(MONTH($C611)=4,$V$3,IF(MONTH($C611)=5,$V$4,IF(MONTH($C611)=6,$V$5,IF(MONTH($C611)=7,$V$6,"ERROR"))))-VLOOKUP($C611,COS!$B$8:$K$991,6,FALSE)/2,0))</f>
        <v>0</v>
      </c>
      <c r="S611" s="26">
        <f t="shared" si="979"/>
        <v>0</v>
      </c>
      <c r="T611" s="26">
        <f t="shared" si="980"/>
        <v>78.974238689832447</v>
      </c>
      <c r="U611" s="26" t="str">
        <f>IF(VLOOKUP($C611,COS!$B$8:$I$991,8,FALSE)=1,"UWFE","IBU")</f>
        <v>IBU</v>
      </c>
      <c r="V611" s="26">
        <f t="shared" ref="V611" si="985">MIN(IF(IF($AA$3=2,AND(E611=1,G611=1,L611=1,L613=1,M611=1,U611="IBU"),AND(E611=1,G611=1,L611=1,L613=1,M611=1)),T611,0),I611)</f>
        <v>0</v>
      </c>
      <c r="W611" s="26"/>
      <c r="X611" s="26"/>
      <c r="Y611" s="26"/>
      <c r="Z611" s="26"/>
      <c r="AA611" s="26"/>
      <c r="AB611" s="33"/>
    </row>
    <row r="612" spans="1:28" x14ac:dyDescent="0.3">
      <c r="A612" s="32">
        <f>VLOOKUP(YEAR(C612),Flags!$A$13:$B$95,2,FALSE)</f>
        <v>5</v>
      </c>
      <c r="B612" s="24">
        <f t="shared" si="951"/>
        <v>1988</v>
      </c>
      <c r="C612" s="25">
        <v>32386</v>
      </c>
      <c r="D612" s="26"/>
      <c r="E612" s="24"/>
      <c r="F612" s="26"/>
      <c r="G612" s="24"/>
      <c r="H612" s="24"/>
      <c r="I612" s="26"/>
      <c r="J612" s="24"/>
      <c r="K612" s="26"/>
      <c r="L612" s="24"/>
      <c r="M612" s="24"/>
      <c r="N612" s="26"/>
      <c r="O612" s="26"/>
      <c r="P612" s="26"/>
      <c r="Q612" s="26"/>
      <c r="R612" s="26"/>
      <c r="S612" s="26"/>
      <c r="T612" s="26"/>
      <c r="U612" s="26"/>
      <c r="V612" s="26"/>
      <c r="W612" s="26">
        <f>MAX($C$7-VLOOKUP($C612,COS!$B$8:$H$991,3,FALSE),0)</f>
        <v>92407.8330078125</v>
      </c>
      <c r="X612" s="26">
        <f t="shared" si="972"/>
        <v>5681.9361783316117</v>
      </c>
      <c r="Y612" s="26">
        <f>VLOOKUP($C612,COS!$B$8:$H$991,4,FALSE)</f>
        <v>2363.936279296875</v>
      </c>
      <c r="Z612" s="26">
        <f t="shared" si="973"/>
        <v>145.35277618155993</v>
      </c>
      <c r="AA612" s="26">
        <f t="shared" ref="AA612:AA616" si="986">MIN(W612,Y612)</f>
        <v>2363.936279296875</v>
      </c>
      <c r="AB612" s="33">
        <f t="shared" ref="AB612" si="987">AA612*DAY($C612)*86400/43560/1000*IF(MONTH($C612)=8,$P$3,IF(MONTH($C612)=9,$P$4,IF(MONTH($C612)=10,$P$5,IF(MONTH($C612)=11,$P$6,IF(MONTH($C612)=12,$P$7,NA())))))</f>
        <v>145.35277618155993</v>
      </c>
    </row>
    <row r="613" spans="1:28" x14ac:dyDescent="0.3">
      <c r="A613" s="32">
        <f>VLOOKUP(YEAR(C613),Flags!$A$13:$B$95,2,FALSE)</f>
        <v>5</v>
      </c>
      <c r="B613" s="24">
        <f t="shared" si="951"/>
        <v>1988</v>
      </c>
      <c r="C613" s="25">
        <v>32416</v>
      </c>
      <c r="D613" s="26"/>
      <c r="E613" s="24"/>
      <c r="F613" s="26"/>
      <c r="G613" s="24"/>
      <c r="H613" s="24"/>
      <c r="I613" s="26"/>
      <c r="J613" s="24"/>
      <c r="K613" s="26">
        <f>VLOOKUP($C613,COS!$B$8:$H$991,2,FALSE)</f>
        <v>2110.7509765625</v>
      </c>
      <c r="L613" s="24">
        <f t="shared" ref="L613" si="988">IF(AND(K613&gt;$I$7,K613&lt;$I$8),1,0)</f>
        <v>1</v>
      </c>
      <c r="M613" s="24"/>
      <c r="N613" s="26"/>
      <c r="O613" s="26"/>
      <c r="P613" s="26"/>
      <c r="Q613" s="26"/>
      <c r="R613" s="26"/>
      <c r="S613" s="26"/>
      <c r="T613" s="26"/>
      <c r="U613" s="26"/>
      <c r="V613" s="26"/>
      <c r="W613" s="26">
        <f>MAX($C$8-VLOOKUP($C613,COS!$B$8:$H$991,3,FALSE),0)</f>
        <v>94115.951171875</v>
      </c>
      <c r="X613" s="26">
        <f t="shared" si="972"/>
        <v>5600.2880036157021</v>
      </c>
      <c r="Y613" s="26">
        <f>VLOOKUP($C613,COS!$B$8:$H$991,4,FALSE)</f>
        <v>1955.6697998046875</v>
      </c>
      <c r="Z613" s="26">
        <f t="shared" si="973"/>
        <v>116.37043436854339</v>
      </c>
      <c r="AA613" s="26">
        <f t="shared" si="986"/>
        <v>1955.6697998046875</v>
      </c>
      <c r="AB613" s="33">
        <f t="shared" si="956"/>
        <v>116.37043436854339</v>
      </c>
    </row>
    <row r="614" spans="1:28" x14ac:dyDescent="0.3">
      <c r="A614" s="32">
        <f>VLOOKUP(YEAR(C614),Flags!$A$13:$B$95,2,FALSE)</f>
        <v>5</v>
      </c>
      <c r="B614" s="24">
        <f t="shared" si="951"/>
        <v>1988</v>
      </c>
      <c r="C614" s="25">
        <v>32447</v>
      </c>
      <c r="D614" s="26"/>
      <c r="E614" s="24"/>
      <c r="F614" s="26"/>
      <c r="G614" s="26"/>
      <c r="H614" s="26"/>
      <c r="I614" s="26"/>
      <c r="J614" s="26"/>
      <c r="K614" s="26"/>
      <c r="L614" s="24"/>
      <c r="M614" s="24"/>
      <c r="N614" s="26"/>
      <c r="O614" s="26"/>
      <c r="P614" s="26"/>
      <c r="Q614" s="26"/>
      <c r="R614" s="26"/>
      <c r="S614" s="26"/>
      <c r="T614" s="26"/>
      <c r="U614" s="26"/>
      <c r="V614" s="26"/>
      <c r="W614" s="26">
        <f>MAX($C$9-VLOOKUP($C614,COS!$B$8:$H$991,3,FALSE),0)</f>
        <v>94431.38720703125</v>
      </c>
      <c r="X614" s="26">
        <f t="shared" si="972"/>
        <v>5806.3596762009302</v>
      </c>
      <c r="Y614" s="26">
        <f>VLOOKUP($C614,COS!$B$8:$H$991,4,FALSE)</f>
        <v>1615.891357421875</v>
      </c>
      <c r="Z614" s="26">
        <f t="shared" si="973"/>
        <v>99.357286770402894</v>
      </c>
      <c r="AA614" s="26">
        <f t="shared" si="986"/>
        <v>1615.891357421875</v>
      </c>
      <c r="AB614" s="33">
        <f t="shared" si="956"/>
        <v>99.357286770402894</v>
      </c>
    </row>
    <row r="615" spans="1:28" x14ac:dyDescent="0.3">
      <c r="A615" s="32">
        <f>VLOOKUP(YEAR(C615),Flags!$A$13:$B$95,2,FALSE)</f>
        <v>5</v>
      </c>
      <c r="B615" s="24">
        <f t="shared" si="951"/>
        <v>1988</v>
      </c>
      <c r="C615" s="25">
        <v>32477</v>
      </c>
      <c r="D615" s="26"/>
      <c r="E615" s="24"/>
      <c r="F615" s="26"/>
      <c r="G615" s="26"/>
      <c r="H615" s="26"/>
      <c r="I615" s="26"/>
      <c r="J615" s="26"/>
      <c r="K615" s="26"/>
      <c r="L615" s="24"/>
      <c r="M615" s="24"/>
      <c r="N615" s="26"/>
      <c r="O615" s="26"/>
      <c r="P615" s="26"/>
      <c r="Q615" s="26"/>
      <c r="R615" s="26"/>
      <c r="S615" s="26"/>
      <c r="T615" s="26"/>
      <c r="U615" s="26"/>
      <c r="V615" s="26"/>
      <c r="W615" s="26">
        <f>MAX($C$10-VLOOKUP($C615,COS!$B$8:$H$991,3,FALSE),0)</f>
        <v>96749</v>
      </c>
      <c r="X615" s="26">
        <f t="shared" si="972"/>
        <v>5756.965289256198</v>
      </c>
      <c r="Y615" s="26">
        <f>VLOOKUP($C615,COS!$B$8:$H$991,4,FALSE)</f>
        <v>1854.902587890625</v>
      </c>
      <c r="Z615" s="26">
        <f t="shared" si="973"/>
        <v>110.37436886621902</v>
      </c>
      <c r="AA615" s="26">
        <f t="shared" si="986"/>
        <v>1854.902587890625</v>
      </c>
      <c r="AB615" s="33">
        <f t="shared" si="956"/>
        <v>55.187184433109508</v>
      </c>
    </row>
    <row r="616" spans="1:28" x14ac:dyDescent="0.3">
      <c r="A616" s="34">
        <f>VLOOKUP(YEAR(C616),Flags!$A$13:$B$95,2,FALSE)</f>
        <v>5</v>
      </c>
      <c r="B616" s="35">
        <f t="shared" si="951"/>
        <v>1988</v>
      </c>
      <c r="C616" s="36">
        <v>32508</v>
      </c>
      <c r="D616" s="37"/>
      <c r="E616" s="35"/>
      <c r="F616" s="37"/>
      <c r="G616" s="37"/>
      <c r="H616" s="37"/>
      <c r="I616" s="37"/>
      <c r="J616" s="37"/>
      <c r="K616" s="37"/>
      <c r="L616" s="35"/>
      <c r="M616" s="35"/>
      <c r="N616" s="37"/>
      <c r="O616" s="37"/>
      <c r="P616" s="37"/>
      <c r="Q616" s="37"/>
      <c r="R616" s="37"/>
      <c r="S616" s="37"/>
      <c r="T616" s="37"/>
      <c r="U616" s="37"/>
      <c r="V616" s="37"/>
      <c r="W616" s="37">
        <f>MAX($C$11-VLOOKUP($C616,COS!$B$8:$H$991,3,FALSE),0)</f>
        <v>0</v>
      </c>
      <c r="X616" s="37">
        <f t="shared" si="972"/>
        <v>0</v>
      </c>
      <c r="Y616" s="37">
        <f>VLOOKUP($C616,COS!$B$8:$H$991,4,FALSE)</f>
        <v>1030.474853515625</v>
      </c>
      <c r="Z616" s="37">
        <f t="shared" si="973"/>
        <v>63.361429009555785</v>
      </c>
      <c r="AA616" s="37">
        <f t="shared" si="986"/>
        <v>0</v>
      </c>
      <c r="AB616" s="38">
        <f t="shared" si="956"/>
        <v>0</v>
      </c>
    </row>
    <row r="617" spans="1:28" x14ac:dyDescent="0.3">
      <c r="A617" s="27">
        <f>VLOOKUP(YEAR(C617),Flags!$A$13:$B$95,2,FALSE)</f>
        <v>4</v>
      </c>
      <c r="B617" s="28">
        <f t="shared" si="951"/>
        <v>1989</v>
      </c>
      <c r="C617" s="29">
        <v>32628</v>
      </c>
      <c r="D617" s="30">
        <f>VLOOKUP($C617,COS!$B$8:$H$991,3,FALSE)</f>
        <v>3250</v>
      </c>
      <c r="E617" s="28">
        <f>IF(D617&gt;=IF(MONTH($C617)=4,$C$3,IF(MONTH($C617)=5,$C$4,IF(MONTH($C617)=6,$C$5,IF(MONTH($C617)=7,$C$6,"ERROR")))),1,0)</f>
        <v>0</v>
      </c>
      <c r="F617" s="30">
        <f>VLOOKUP($C617,COS!$B$8:$H$991,7,FALSE)</f>
        <v>52.776580810546875</v>
      </c>
      <c r="G617" s="28">
        <f>IF(F617&lt;=IF(MONTH($C617)=4,$F$3,IF(MONTH($C617)=5,$F$4,IF(MONTH($C617)=6,$F$5,IF(MONTH($C617)=7,$F$6,"ERROR")))),1,0)</f>
        <v>1</v>
      </c>
      <c r="H617" s="30">
        <f>IF(J617=1,D617-$C$3,0)</f>
        <v>0</v>
      </c>
      <c r="I617" s="30">
        <f t="shared" si="982"/>
        <v>0</v>
      </c>
      <c r="J617" s="28">
        <f t="shared" ref="J617:J620" si="989">IF(AND(E617=1,G617=1),1,0)</f>
        <v>0</v>
      </c>
      <c r="K617" s="30">
        <f>VLOOKUP($C617,COS!$B$8:$H$991,2,FALSE)</f>
        <v>4257.525390625</v>
      </c>
      <c r="L617" s="28">
        <f t="shared" ref="L617" si="990">IF(K617&lt;=IF(MONTH($C617)=4,$I$3,IF(MONTH($C617)=5,$I$4,IF(MONTH($C617)=6,$I$5,IF(MONTH($C617)=7,$I$6,"ERROR")))),1,0)</f>
        <v>1</v>
      </c>
      <c r="M617" s="28">
        <f t="shared" ref="M617" si="991">VLOOKUP($A617,$L$3:$M$7,2,FALSE)</f>
        <v>1</v>
      </c>
      <c r="N617" s="30">
        <f>VLOOKUP($C617,COS!$B$8:$H$991,5,FALSE)</f>
        <v>278.56231689453125</v>
      </c>
      <c r="O617" s="30">
        <f t="shared" ref="O617:O620" si="992">N617*DAY($C617)*86400/43560/1000</f>
        <v>16.575608939178718</v>
      </c>
      <c r="P617" s="30">
        <f>VLOOKUP($C617,COS!$B$8:$H$991,6,FALSE)</f>
        <v>448.37432861328125</v>
      </c>
      <c r="Q617" s="30">
        <f t="shared" ref="Q617:Q620" si="993">P617*DAY($C617)*86400/43560/1000</f>
        <v>26.680125338972108</v>
      </c>
      <c r="R617" s="30">
        <f>MIN(IF(MONTH($C617)=4,$S$3,IF(MONTH($C617)=5,$S$4,IF(MONTH($C617)=6,$S$5,IF(MONTH($C617)=7,$S$6,"ERROR")))),MAX(VLOOKUP($C617,COS!$B$8:$K$991,10,FALSE)-IF(MONTH($C617)=4,$Y$3,IF(MONTH($C617)=5,$Y$4,IF(MONTH($C617)=6,$Y$5,IF(MONTH($C617)=7,$Y$6,"ERROR")))),0),MAX(VLOOKUP($C617,COS!$B$8:$K$991,9,FALSE)-IF(MONTH($C617)=4,$V$3,IF(MONTH($C617)=5,$V$4,IF(MONTH($C617)=6,$V$5,IF(MONTH($C617)=7,$V$6,"ERROR"))))-VLOOKUP($C617,COS!$B$8:$K$991,6,FALSE)/2,0))</f>
        <v>0</v>
      </c>
      <c r="S617" s="30">
        <f t="shared" ref="S617:S620" si="994">R617*DAY($C617)*86400/43560/1000</f>
        <v>0</v>
      </c>
      <c r="T617" s="30">
        <f t="shared" ref="T617:T620" si="995">(O617+Q617)/2+S617</f>
        <v>21.627867139075413</v>
      </c>
      <c r="U617" s="30" t="str">
        <f>IF(VLOOKUP($C617,COS!$B$8:$I$991,8,FALSE)=1,"UWFE","IBU")</f>
        <v>UWFE</v>
      </c>
      <c r="V617" s="30">
        <f t="shared" ref="V617" si="996">MIN(IF(IF($AA$3=2,AND(E617=1,G617=1,L617=1,L622=1,M617=1,U617="IBU"),AND(E617=1,G617=1,L617=1,L622=1,M617=1)),T617,0),I617)</f>
        <v>0</v>
      </c>
      <c r="W617" s="30"/>
      <c r="X617" s="30"/>
      <c r="Y617" s="30"/>
      <c r="Z617" s="30"/>
      <c r="AA617" s="30"/>
      <c r="AB617" s="31"/>
    </row>
    <row r="618" spans="1:28" x14ac:dyDescent="0.3">
      <c r="A618" s="32">
        <f>VLOOKUP(YEAR(C618),Flags!$A$13:$B$95,2,FALSE)</f>
        <v>4</v>
      </c>
      <c r="B618" s="24">
        <f t="shared" si="951"/>
        <v>1989</v>
      </c>
      <c r="C618" s="25">
        <v>32659</v>
      </c>
      <c r="D618" s="26">
        <f>VLOOKUP($C618,COS!$B$8:$H$991,3,FALSE)</f>
        <v>10011.177734375</v>
      </c>
      <c r="E618" s="24">
        <f>IF(D618&gt;=IF(MONTH($C618)=4,$C$3,IF(MONTH($C618)=5,$C$4,IF(MONTH($C618)=6,$C$5,IF(MONTH($C618)=7,$C$6,"ERROR")))),1,0)</f>
        <v>1</v>
      </c>
      <c r="F618" s="26">
        <f>VLOOKUP($C618,COS!$B$8:$H$991,7,FALSE)</f>
        <v>50.918426513671875</v>
      </c>
      <c r="G618" s="24">
        <f>IF(F618&lt;=IF(MONTH($C618)=4,$F$3,IF(MONTH($C618)=5,$F$4,IF(MONTH($C618)=6,$F$5,IF(MONTH($C618)=7,$F$6,"ERROR")))),1,0)</f>
        <v>1</v>
      </c>
      <c r="H618" s="26">
        <f>IF(J618=1,D618-$C$4,0)</f>
        <v>4011.177734375</v>
      </c>
      <c r="I618" s="26">
        <f t="shared" si="982"/>
        <v>246.63770532024793</v>
      </c>
      <c r="J618" s="24">
        <f t="shared" si="989"/>
        <v>1</v>
      </c>
      <c r="K618" s="26">
        <f>VLOOKUP($C618,COS!$B$8:$H$991,2,FALSE)</f>
        <v>3934.481689453125</v>
      </c>
      <c r="L618" s="24">
        <f t="shared" si="944"/>
        <v>1</v>
      </c>
      <c r="M618" s="24">
        <f t="shared" si="945"/>
        <v>1</v>
      </c>
      <c r="N618" s="26">
        <f>VLOOKUP($C618,COS!$B$8:$H$991,5,FALSE)</f>
        <v>317.6539306640625</v>
      </c>
      <c r="O618" s="26">
        <f t="shared" si="992"/>
        <v>19.531778877195247</v>
      </c>
      <c r="P618" s="26">
        <f>VLOOKUP($C618,COS!$B$8:$H$991,6,FALSE)</f>
        <v>2368.940673828125</v>
      </c>
      <c r="Q618" s="26">
        <f t="shared" si="993"/>
        <v>145.66048440728304</v>
      </c>
      <c r="R618" s="26">
        <f>MIN(IF(MONTH($C618)=4,$S$3,IF(MONTH($C618)=5,$S$4,IF(MONTH($C618)=6,$S$5,IF(MONTH($C618)=7,$S$6,"ERROR")))),MAX(VLOOKUP($C618,COS!$B$8:$K$991,10,FALSE)-IF(MONTH($C618)=4,$Y$3,IF(MONTH($C618)=5,$Y$4,IF(MONTH($C618)=6,$Y$5,IF(MONTH($C618)=7,$Y$6,"ERROR")))),0),MAX(VLOOKUP($C618,COS!$B$8:$K$991,9,FALSE)-IF(MONTH($C618)=4,$V$3,IF(MONTH($C618)=5,$V$4,IF(MONTH($C618)=6,$V$5,IF(MONTH($C618)=7,$V$6,"ERROR"))))-VLOOKUP($C618,COS!$B$8:$K$991,6,FALSE)/2,0))</f>
        <v>0</v>
      </c>
      <c r="S618" s="26">
        <f t="shared" si="994"/>
        <v>0</v>
      </c>
      <c r="T618" s="26">
        <f t="shared" si="995"/>
        <v>82.596131642239143</v>
      </c>
      <c r="U618" s="26" t="str">
        <f>IF(VLOOKUP($C618,COS!$B$8:$I$991,8,FALSE)=1,"UWFE","IBU")</f>
        <v>IBU</v>
      </c>
      <c r="V618" s="26">
        <f t="shared" ref="V618" si="997">MIN(IF(IF($AA$3=2,AND(E618=1,G618=1,L618=1,L622=1,M618=1,U618="IBU"),AND(E618=1,G618=1,L618=1,L622=1,M618=1)),T618,0),I618)</f>
        <v>82.596131642239143</v>
      </c>
      <c r="W618" s="26"/>
      <c r="X618" s="26"/>
      <c r="Y618" s="26"/>
      <c r="Z618" s="26"/>
      <c r="AA618" s="26"/>
      <c r="AB618" s="33"/>
    </row>
    <row r="619" spans="1:28" x14ac:dyDescent="0.3">
      <c r="A619" s="32">
        <f>VLOOKUP(YEAR(C619),Flags!$A$13:$B$95,2,FALSE)</f>
        <v>4</v>
      </c>
      <c r="B619" s="24">
        <f t="shared" si="951"/>
        <v>1989</v>
      </c>
      <c r="C619" s="25">
        <v>32689</v>
      </c>
      <c r="D619" s="26">
        <f>VLOOKUP($C619,COS!$B$8:$H$991,3,FALSE)</f>
        <v>11206.92578125</v>
      </c>
      <c r="E619" s="24">
        <f>IF(D619&gt;=IF(MONTH($C619)=4,$C$3,IF(MONTH($C619)=5,$C$4,IF(MONTH($C619)=6,$C$5,IF(MONTH($C619)=7,$C$6,"ERROR")))),1,0)</f>
        <v>1</v>
      </c>
      <c r="F619" s="26">
        <f>VLOOKUP($C619,COS!$B$8:$H$991,7,FALSE)</f>
        <v>51.800579071044922</v>
      </c>
      <c r="G619" s="24">
        <f>IF(F619&lt;=IF(MONTH($C619)=4,$F$3,IF(MONTH($C619)=5,$F$4,IF(MONTH($C619)=6,$F$5,IF(MONTH($C619)=7,$F$6,"ERROR")))),1,0)</f>
        <v>1</v>
      </c>
      <c r="H619" s="26">
        <f>IF(J619=1,D619-$C$5,0)</f>
        <v>1206.92578125</v>
      </c>
      <c r="I619" s="26">
        <f t="shared" si="982"/>
        <v>71.817071280991726</v>
      </c>
      <c r="J619" s="24">
        <f t="shared" si="989"/>
        <v>1</v>
      </c>
      <c r="K619" s="26">
        <f>VLOOKUP($C619,COS!$B$8:$H$991,2,FALSE)</f>
        <v>3457.87646484375</v>
      </c>
      <c r="L619" s="24">
        <f t="shared" si="944"/>
        <v>1</v>
      </c>
      <c r="M619" s="24">
        <f t="shared" si="945"/>
        <v>1</v>
      </c>
      <c r="N619" s="26">
        <f>VLOOKUP($C619,COS!$B$8:$H$991,5,FALSE)</f>
        <v>517.07537841796875</v>
      </c>
      <c r="O619" s="26">
        <f t="shared" si="992"/>
        <v>30.768121690986568</v>
      </c>
      <c r="P619" s="26">
        <f>VLOOKUP($C619,COS!$B$8:$H$991,6,FALSE)</f>
        <v>2621.433837890625</v>
      </c>
      <c r="Q619" s="26">
        <f t="shared" si="993"/>
        <v>155.98614572572316</v>
      </c>
      <c r="R619" s="26">
        <f>MIN(IF(MONTH($C619)=4,$S$3,IF(MONTH($C619)=5,$S$4,IF(MONTH($C619)=6,$S$5,IF(MONTH($C619)=7,$S$6,"ERROR")))),MAX(VLOOKUP($C619,COS!$B$8:$K$991,10,FALSE)-IF(MONTH($C619)=4,$Y$3,IF(MONTH($C619)=5,$Y$4,IF(MONTH($C619)=6,$Y$5,IF(MONTH($C619)=7,$Y$6,"ERROR")))),0),MAX(VLOOKUP($C619,COS!$B$8:$K$991,9,FALSE)-IF(MONTH($C619)=4,$V$3,IF(MONTH($C619)=5,$V$4,IF(MONTH($C619)=6,$V$5,IF(MONTH($C619)=7,$V$6,"ERROR"))))-VLOOKUP($C619,COS!$B$8:$K$991,6,FALSE)/2,0))</f>
        <v>0</v>
      </c>
      <c r="S619" s="26">
        <f t="shared" si="994"/>
        <v>0</v>
      </c>
      <c r="T619" s="26">
        <f t="shared" si="995"/>
        <v>93.377133708354862</v>
      </c>
      <c r="U619" s="26" t="str">
        <f>IF(VLOOKUP($C619,COS!$B$8:$I$991,8,FALSE)=1,"UWFE","IBU")</f>
        <v>IBU</v>
      </c>
      <c r="V619" s="26">
        <f t="shared" ref="V619" si="998">MIN(IF(IF($AA$3=2,AND(E619=1,G619=1,L619=1,L622=1,M619=1,U619="IBU"),AND(E619=1,G619=1,L619=1,L622=1,M619=1)),T619,0),I619)</f>
        <v>71.817071280991726</v>
      </c>
      <c r="W619" s="26"/>
      <c r="X619" s="26"/>
      <c r="Y619" s="26"/>
      <c r="Z619" s="26"/>
      <c r="AA619" s="26"/>
      <c r="AB619" s="33"/>
    </row>
    <row r="620" spans="1:28" x14ac:dyDescent="0.3">
      <c r="A620" s="32">
        <f>VLOOKUP(YEAR(C620),Flags!$A$13:$B$95,2,FALSE)</f>
        <v>4</v>
      </c>
      <c r="B620" s="24">
        <f t="shared" si="951"/>
        <v>1989</v>
      </c>
      <c r="C620" s="25">
        <v>32720</v>
      </c>
      <c r="D620" s="26">
        <f>VLOOKUP($C620,COS!$B$8:$H$991,3,FALSE)</f>
        <v>12592.146484375</v>
      </c>
      <c r="E620" s="24">
        <f>IF(D620&gt;=IF(MONTH($C620)=4,$C$3,IF(MONTH($C620)=5,$C$4,IF(MONTH($C620)=6,$C$5,IF(MONTH($C620)=7,$C$6,"ERROR")))),1,0)</f>
        <v>1</v>
      </c>
      <c r="F620" s="26">
        <f>VLOOKUP($C620,COS!$B$8:$H$991,7,FALSE)</f>
        <v>53.21966552734375</v>
      </c>
      <c r="G620" s="24">
        <f>IF(F620&lt;=IF(MONTH($C620)=4,$F$3,IF(MONTH($C620)=5,$F$4,IF(MONTH($C620)=6,$F$5,IF(MONTH($C620)=7,$F$6,"ERROR")))),1,0)</f>
        <v>1</v>
      </c>
      <c r="H620" s="26">
        <f>IF(J620=1,D620-$C$6,0)</f>
        <v>592.146484375</v>
      </c>
      <c r="I620" s="26">
        <f t="shared" si="982"/>
        <v>36.409668130165286</v>
      </c>
      <c r="J620" s="24">
        <f t="shared" si="989"/>
        <v>1</v>
      </c>
      <c r="K620" s="26">
        <f>VLOOKUP($C620,COS!$B$8:$H$991,2,FALSE)</f>
        <v>2918.839599609375</v>
      </c>
      <c r="L620" s="24">
        <f t="shared" si="944"/>
        <v>1</v>
      </c>
      <c r="M620" s="24">
        <f t="shared" si="945"/>
        <v>1</v>
      </c>
      <c r="N620" s="26">
        <f>VLOOKUP($C620,COS!$B$8:$H$991,5,FALSE)</f>
        <v>602.97808837890625</v>
      </c>
      <c r="O620" s="26">
        <f t="shared" si="992"/>
        <v>37.075677500322833</v>
      </c>
      <c r="P620" s="26">
        <f>VLOOKUP($C620,COS!$B$8:$H$991,6,FALSE)</f>
        <v>2442.872314453125</v>
      </c>
      <c r="Q620" s="26">
        <f t="shared" si="993"/>
        <v>150.20636379777892</v>
      </c>
      <c r="R620" s="26">
        <f>MIN(IF(MONTH($C620)=4,$S$3,IF(MONTH($C620)=5,$S$4,IF(MONTH($C620)=6,$S$5,IF(MONTH($C620)=7,$S$6,"ERROR")))),MAX(VLOOKUP($C620,COS!$B$8:$K$991,10,FALSE)-IF(MONTH($C620)=4,$Y$3,IF(MONTH($C620)=5,$Y$4,IF(MONTH($C620)=6,$Y$5,IF(MONTH($C620)=7,$Y$6,"ERROR")))),0),MAX(VLOOKUP($C620,COS!$B$8:$K$991,9,FALSE)-IF(MONTH($C620)=4,$V$3,IF(MONTH($C620)=5,$V$4,IF(MONTH($C620)=6,$V$5,IF(MONTH($C620)=7,$V$6,"ERROR"))))-VLOOKUP($C620,COS!$B$8:$K$991,6,FALSE)/2,0))</f>
        <v>0</v>
      </c>
      <c r="S620" s="26">
        <f t="shared" si="994"/>
        <v>0</v>
      </c>
      <c r="T620" s="26">
        <f t="shared" si="995"/>
        <v>93.641020649050873</v>
      </c>
      <c r="U620" s="26" t="str">
        <f>IF(VLOOKUP($C620,COS!$B$8:$I$991,8,FALSE)=1,"UWFE","IBU")</f>
        <v>IBU</v>
      </c>
      <c r="V620" s="26">
        <f t="shared" ref="V620" si="999">MIN(IF(IF($AA$3=2,AND(E620=1,G620=1,L620=1,L622=1,M620=1,U620="IBU"),AND(E620=1,G620=1,L620=1,L622=1,M620=1)),T620,0),I620)</f>
        <v>36.409668130165286</v>
      </c>
      <c r="W620" s="26"/>
      <c r="X620" s="26"/>
      <c r="Y620" s="26"/>
      <c r="Z620" s="26"/>
      <c r="AA620" s="26"/>
      <c r="AB620" s="33"/>
    </row>
    <row r="621" spans="1:28" x14ac:dyDescent="0.3">
      <c r="A621" s="32">
        <f>VLOOKUP(YEAR(C621),Flags!$A$13:$B$95,2,FALSE)</f>
        <v>4</v>
      </c>
      <c r="B621" s="24">
        <f t="shared" si="951"/>
        <v>1989</v>
      </c>
      <c r="C621" s="25">
        <v>32751</v>
      </c>
      <c r="D621" s="26"/>
      <c r="E621" s="24"/>
      <c r="F621" s="26"/>
      <c r="G621" s="24"/>
      <c r="H621" s="24"/>
      <c r="I621" s="26"/>
      <c r="J621" s="24"/>
      <c r="K621" s="26"/>
      <c r="L621" s="24"/>
      <c r="M621" s="24"/>
      <c r="N621" s="26"/>
      <c r="O621" s="26"/>
      <c r="P621" s="26"/>
      <c r="Q621" s="26"/>
      <c r="R621" s="26"/>
      <c r="S621" s="26"/>
      <c r="T621" s="26"/>
      <c r="U621" s="26"/>
      <c r="V621" s="26"/>
      <c r="W621" s="26">
        <f>MAX($C$7-VLOOKUP($C621,COS!$B$8:$H$991,3,FALSE),0)</f>
        <v>91856.2431640625</v>
      </c>
      <c r="X621" s="26">
        <f t="shared" si="972"/>
        <v>5648.0202408316118</v>
      </c>
      <c r="Y621" s="26">
        <f>VLOOKUP($C621,COS!$B$8:$H$991,4,FALSE)</f>
        <v>2140.86328125</v>
      </c>
      <c r="Z621" s="26">
        <f t="shared" si="973"/>
        <v>131.63655216942149</v>
      </c>
      <c r="AA621" s="26">
        <f t="shared" ref="AA621:AA625" si="1000">MIN(W621,Y621)</f>
        <v>2140.86328125</v>
      </c>
      <c r="AB621" s="33">
        <f t="shared" ref="AB621" si="1001">AA621*DAY($C621)*86400/43560/1000*IF(MONTH($C621)=8,$P$3,IF(MONTH($C621)=9,$P$4,IF(MONTH($C621)=10,$P$5,IF(MONTH($C621)=11,$P$6,IF(MONTH($C621)=12,$P$7,NA())))))</f>
        <v>131.63655216942149</v>
      </c>
    </row>
    <row r="622" spans="1:28" x14ac:dyDescent="0.3">
      <c r="A622" s="32">
        <f>VLOOKUP(YEAR(C622),Flags!$A$13:$B$95,2,FALSE)</f>
        <v>4</v>
      </c>
      <c r="B622" s="24">
        <f t="shared" si="951"/>
        <v>1989</v>
      </c>
      <c r="C622" s="25">
        <v>32781</v>
      </c>
      <c r="D622" s="26"/>
      <c r="E622" s="24"/>
      <c r="F622" s="26"/>
      <c r="G622" s="24"/>
      <c r="H622" s="24"/>
      <c r="I622" s="26"/>
      <c r="J622" s="24"/>
      <c r="K622" s="26">
        <f>VLOOKUP($C622,COS!$B$8:$H$991,2,FALSE)</f>
        <v>2659.4970703125</v>
      </c>
      <c r="L622" s="24">
        <f t="shared" ref="L622" si="1002">IF(AND(K622&gt;$I$7,K622&lt;$I$8),1,0)</f>
        <v>1</v>
      </c>
      <c r="M622" s="24"/>
      <c r="N622" s="26"/>
      <c r="O622" s="26"/>
      <c r="P622" s="26"/>
      <c r="Q622" s="26"/>
      <c r="R622" s="26"/>
      <c r="S622" s="26"/>
      <c r="T622" s="26"/>
      <c r="U622" s="26"/>
      <c r="V622" s="26"/>
      <c r="W622" s="26">
        <f>MAX($C$8-VLOOKUP($C622,COS!$B$8:$H$991,3,FALSE),0)</f>
        <v>96571.319580078125</v>
      </c>
      <c r="X622" s="26">
        <f t="shared" si="972"/>
        <v>5746.3925700542359</v>
      </c>
      <c r="Y622" s="26">
        <f>VLOOKUP($C622,COS!$B$8:$H$991,4,FALSE)</f>
        <v>447.037109375</v>
      </c>
      <c r="Z622" s="26">
        <f t="shared" si="973"/>
        <v>26.600555268595041</v>
      </c>
      <c r="AA622" s="26">
        <f t="shared" si="1000"/>
        <v>447.037109375</v>
      </c>
      <c r="AB622" s="33">
        <f t="shared" si="956"/>
        <v>26.600555268595041</v>
      </c>
    </row>
    <row r="623" spans="1:28" x14ac:dyDescent="0.3">
      <c r="A623" s="32">
        <f>VLOOKUP(YEAR(C623),Flags!$A$13:$B$95,2,FALSE)</f>
        <v>4</v>
      </c>
      <c r="B623" s="24">
        <f t="shared" si="951"/>
        <v>1989</v>
      </c>
      <c r="C623" s="25">
        <v>32812</v>
      </c>
      <c r="D623" s="26"/>
      <c r="E623" s="24"/>
      <c r="F623" s="26"/>
      <c r="G623" s="26"/>
      <c r="H623" s="26"/>
      <c r="I623" s="26"/>
      <c r="J623" s="26"/>
      <c r="K623" s="26"/>
      <c r="L623" s="24"/>
      <c r="M623" s="24"/>
      <c r="N623" s="26"/>
      <c r="O623" s="26"/>
      <c r="P623" s="26"/>
      <c r="Q623" s="26"/>
      <c r="R623" s="26"/>
      <c r="S623" s="26"/>
      <c r="T623" s="26"/>
      <c r="U623" s="26"/>
      <c r="V623" s="26"/>
      <c r="W623" s="26">
        <f>MAX($C$9-VLOOKUP($C623,COS!$B$8:$H$991,3,FALSE),0)</f>
        <v>95860.29296875</v>
      </c>
      <c r="X623" s="26">
        <f t="shared" si="972"/>
        <v>5894.2196668388433</v>
      </c>
      <c r="Y623" s="26">
        <f>VLOOKUP($C623,COS!$B$8:$H$991,4,FALSE)</f>
        <v>977.87164306640625</v>
      </c>
      <c r="Z623" s="26">
        <f t="shared" si="973"/>
        <v>60.126983672843487</v>
      </c>
      <c r="AA623" s="26">
        <f t="shared" si="1000"/>
        <v>977.87164306640625</v>
      </c>
      <c r="AB623" s="33">
        <f t="shared" si="956"/>
        <v>60.126983672843487</v>
      </c>
    </row>
    <row r="624" spans="1:28" x14ac:dyDescent="0.3">
      <c r="A624" s="32">
        <f>VLOOKUP(YEAR(C624),Flags!$A$13:$B$95,2,FALSE)</f>
        <v>4</v>
      </c>
      <c r="B624" s="24">
        <f t="shared" si="951"/>
        <v>1989</v>
      </c>
      <c r="C624" s="25">
        <v>32842</v>
      </c>
      <c r="D624" s="26"/>
      <c r="E624" s="24"/>
      <c r="F624" s="26"/>
      <c r="G624" s="26"/>
      <c r="H624" s="26"/>
      <c r="I624" s="26"/>
      <c r="J624" s="26"/>
      <c r="K624" s="26"/>
      <c r="L624" s="24"/>
      <c r="M624" s="24"/>
      <c r="N624" s="26"/>
      <c r="O624" s="26"/>
      <c r="P624" s="26"/>
      <c r="Q624" s="26"/>
      <c r="R624" s="26"/>
      <c r="S624" s="26"/>
      <c r="T624" s="26"/>
      <c r="U624" s="26"/>
      <c r="V624" s="26"/>
      <c r="W624" s="26">
        <f>MAX($C$10-VLOOKUP($C624,COS!$B$8:$H$991,3,FALSE),0)</f>
        <v>94450.890625</v>
      </c>
      <c r="X624" s="26">
        <f t="shared" si="972"/>
        <v>5620.2182851239668</v>
      </c>
      <c r="Y624" s="26">
        <f>VLOOKUP($C624,COS!$B$8:$H$991,4,FALSE)</f>
        <v>1557.039306640625</v>
      </c>
      <c r="Z624" s="26">
        <f t="shared" si="973"/>
        <v>92.650272791838844</v>
      </c>
      <c r="AA624" s="26">
        <f t="shared" si="1000"/>
        <v>1557.039306640625</v>
      </c>
      <c r="AB624" s="33">
        <f t="shared" si="956"/>
        <v>46.325136395919422</v>
      </c>
    </row>
    <row r="625" spans="1:28" x14ac:dyDescent="0.3">
      <c r="A625" s="34">
        <f>VLOOKUP(YEAR(C625),Flags!$A$13:$B$95,2,FALSE)</f>
        <v>4</v>
      </c>
      <c r="B625" s="35">
        <f t="shared" si="951"/>
        <v>1989</v>
      </c>
      <c r="C625" s="36">
        <v>32873</v>
      </c>
      <c r="D625" s="37"/>
      <c r="E625" s="35"/>
      <c r="F625" s="37"/>
      <c r="G625" s="37"/>
      <c r="H625" s="37"/>
      <c r="I625" s="37"/>
      <c r="J625" s="37"/>
      <c r="K625" s="37"/>
      <c r="L625" s="35"/>
      <c r="M625" s="35"/>
      <c r="N625" s="37"/>
      <c r="O625" s="37"/>
      <c r="P625" s="37"/>
      <c r="Q625" s="37"/>
      <c r="R625" s="37"/>
      <c r="S625" s="37"/>
      <c r="T625" s="37"/>
      <c r="U625" s="37"/>
      <c r="V625" s="37"/>
      <c r="W625" s="37">
        <f>MAX($C$11-VLOOKUP($C625,COS!$B$8:$H$991,3,FALSE),0)</f>
        <v>0</v>
      </c>
      <c r="X625" s="37">
        <f t="shared" si="972"/>
        <v>0</v>
      </c>
      <c r="Y625" s="37">
        <f>VLOOKUP($C625,COS!$B$8:$H$991,4,FALSE)</f>
        <v>2009.1300048828125</v>
      </c>
      <c r="Z625" s="37">
        <f t="shared" si="973"/>
        <v>123.5365887299845</v>
      </c>
      <c r="AA625" s="37">
        <f t="shared" si="1000"/>
        <v>0</v>
      </c>
      <c r="AB625" s="38">
        <f t="shared" si="956"/>
        <v>0</v>
      </c>
    </row>
    <row r="626" spans="1:28" x14ac:dyDescent="0.3">
      <c r="A626" s="27">
        <f>VLOOKUP(YEAR(C626),Flags!$A$13:$B$95,2,FALSE)</f>
        <v>5</v>
      </c>
      <c r="B626" s="28">
        <f t="shared" si="951"/>
        <v>1990</v>
      </c>
      <c r="C626" s="29">
        <v>32993</v>
      </c>
      <c r="D626" s="30">
        <f>VLOOKUP($C626,COS!$B$8:$H$991,3,FALSE)</f>
        <v>3250</v>
      </c>
      <c r="E626" s="28">
        <f>IF(D626&gt;=IF(MONTH($C626)=4,$C$3,IF(MONTH($C626)=5,$C$4,IF(MONTH($C626)=6,$C$5,IF(MONTH($C626)=7,$C$6,"ERROR")))),1,0)</f>
        <v>0</v>
      </c>
      <c r="F626" s="30">
        <f>VLOOKUP($C626,COS!$B$8:$H$991,7,FALSE)</f>
        <v>52.837333679199219</v>
      </c>
      <c r="G626" s="28">
        <f>IF(F626&lt;=IF(MONTH($C626)=4,$F$3,IF(MONTH($C626)=5,$F$4,IF(MONTH($C626)=6,$F$5,IF(MONTH($C626)=7,$F$6,"ERROR")))),1,0)</f>
        <v>1</v>
      </c>
      <c r="H626" s="30">
        <f>IF(J626=1,D626-$C$3,0)</f>
        <v>0</v>
      </c>
      <c r="I626" s="30">
        <f t="shared" si="982"/>
        <v>0</v>
      </c>
      <c r="J626" s="28">
        <f t="shared" ref="J626:J629" si="1003">IF(AND(E626=1,G626=1),1,0)</f>
        <v>0</v>
      </c>
      <c r="K626" s="30">
        <f>VLOOKUP($C626,COS!$B$8:$H$991,2,FALSE)</f>
        <v>3255.982421875</v>
      </c>
      <c r="L626" s="28">
        <f t="shared" ref="L626" si="1004">IF(K626&lt;=IF(MONTH($C626)=4,$I$3,IF(MONTH($C626)=5,$I$4,IF(MONTH($C626)=6,$I$5,IF(MONTH($C626)=7,$I$6,"ERROR")))),1,0)</f>
        <v>1</v>
      </c>
      <c r="M626" s="28">
        <f t="shared" ref="M626" si="1005">VLOOKUP($A626,$L$3:$M$7,2,FALSE)</f>
        <v>1</v>
      </c>
      <c r="N626" s="30">
        <f>VLOOKUP($C626,COS!$B$8:$H$991,5,FALSE)</f>
        <v>164.3074951171875</v>
      </c>
      <c r="O626" s="30">
        <f t="shared" ref="O626:O629" si="1006">N626*DAY($C626)*86400/43560/1000</f>
        <v>9.7769749160640487</v>
      </c>
      <c r="P626" s="30">
        <f>VLOOKUP($C626,COS!$B$8:$H$991,6,FALSE)</f>
        <v>546.31597900390625</v>
      </c>
      <c r="Q626" s="30">
        <f t="shared" ref="Q626:Q629" si="1007">P626*DAY($C626)*86400/43560/1000</f>
        <v>32.508058254777893</v>
      </c>
      <c r="R626" s="30">
        <f>MIN(IF(MONTH($C626)=4,$S$3,IF(MONTH($C626)=5,$S$4,IF(MONTH($C626)=6,$S$5,IF(MONTH($C626)=7,$S$6,"ERROR")))),MAX(VLOOKUP($C626,COS!$B$8:$K$991,10,FALSE)-IF(MONTH($C626)=4,$Y$3,IF(MONTH($C626)=5,$Y$4,IF(MONTH($C626)=6,$Y$5,IF(MONTH($C626)=7,$Y$6,"ERROR")))),0),MAX(VLOOKUP($C626,COS!$B$8:$K$991,9,FALSE)-IF(MONTH($C626)=4,$V$3,IF(MONTH($C626)=5,$V$4,IF(MONTH($C626)=6,$V$5,IF(MONTH($C626)=7,$V$6,"ERROR"))))-VLOOKUP($C626,COS!$B$8:$K$991,6,FALSE)/2,0))</f>
        <v>0</v>
      </c>
      <c r="S626" s="30">
        <f t="shared" ref="S626:S629" si="1008">R626*DAY($C626)*86400/43560/1000</f>
        <v>0</v>
      </c>
      <c r="T626" s="30">
        <f t="shared" ref="T626:T629" si="1009">(O626+Q626)/2+S626</f>
        <v>21.142516585420971</v>
      </c>
      <c r="U626" s="30" t="str">
        <f>IF(VLOOKUP($C626,COS!$B$8:$I$991,8,FALSE)=1,"UWFE","IBU")</f>
        <v>UWFE</v>
      </c>
      <c r="V626" s="30">
        <f t="shared" ref="V626" si="1010">MIN(IF(IF($AA$3=2,AND(E626=1,G626=1,L626=1,L631=1,M626=1,U626="IBU"),AND(E626=1,G626=1,L626=1,L631=1,M626=1)),T626,0),I626)</f>
        <v>0</v>
      </c>
      <c r="W626" s="30"/>
      <c r="X626" s="30"/>
      <c r="Y626" s="30"/>
      <c r="Z626" s="30"/>
      <c r="AA626" s="30"/>
      <c r="AB626" s="31"/>
    </row>
    <row r="627" spans="1:28" x14ac:dyDescent="0.3">
      <c r="A627" s="32">
        <f>VLOOKUP(YEAR(C627),Flags!$A$13:$B$95,2,FALSE)</f>
        <v>5</v>
      </c>
      <c r="B627" s="24">
        <f t="shared" si="951"/>
        <v>1990</v>
      </c>
      <c r="C627" s="25">
        <v>33024</v>
      </c>
      <c r="D627" s="26">
        <f>VLOOKUP($C627,COS!$B$8:$H$991,3,FALSE)</f>
        <v>5630.49853515625</v>
      </c>
      <c r="E627" s="24">
        <f>IF(D627&gt;=IF(MONTH($C627)=4,$C$3,IF(MONTH($C627)=5,$C$4,IF(MONTH($C627)=6,$C$5,IF(MONTH($C627)=7,$C$6,"ERROR")))),1,0)</f>
        <v>0</v>
      </c>
      <c r="F627" s="26">
        <f>VLOOKUP($C627,COS!$B$8:$H$991,7,FALSE)</f>
        <v>52.459934234619141</v>
      </c>
      <c r="G627" s="24">
        <f>IF(F627&lt;=IF(MONTH($C627)=4,$F$3,IF(MONTH($C627)=5,$F$4,IF(MONTH($C627)=6,$F$5,IF(MONTH($C627)=7,$F$6,"ERROR")))),1,0)</f>
        <v>1</v>
      </c>
      <c r="H627" s="26">
        <f>IF(J627=1,D627-$C$4,0)</f>
        <v>0</v>
      </c>
      <c r="I627" s="26">
        <f t="shared" si="982"/>
        <v>0</v>
      </c>
      <c r="J627" s="24">
        <f t="shared" si="1003"/>
        <v>0</v>
      </c>
      <c r="K627" s="26">
        <f>VLOOKUP($C627,COS!$B$8:$H$991,2,FALSE)</f>
        <v>3362.06884765625</v>
      </c>
      <c r="L627" s="24">
        <f t="shared" si="944"/>
        <v>1</v>
      </c>
      <c r="M627" s="24">
        <f t="shared" si="945"/>
        <v>1</v>
      </c>
      <c r="N627" s="26">
        <f>VLOOKUP($C627,COS!$B$8:$H$991,5,FALSE)</f>
        <v>102.29715728759766</v>
      </c>
      <c r="O627" s="26">
        <f t="shared" si="1006"/>
        <v>6.2900070266093104</v>
      </c>
      <c r="P627" s="26">
        <f>VLOOKUP($C627,COS!$B$8:$H$991,6,FALSE)</f>
        <v>1666.94287109375</v>
      </c>
      <c r="Q627" s="26">
        <f t="shared" si="1007"/>
        <v>102.49632199121901</v>
      </c>
      <c r="R627" s="26">
        <f>MIN(IF(MONTH($C627)=4,$S$3,IF(MONTH($C627)=5,$S$4,IF(MONTH($C627)=6,$S$5,IF(MONTH($C627)=7,$S$6,"ERROR")))),MAX(VLOOKUP($C627,COS!$B$8:$K$991,10,FALSE)-IF(MONTH($C627)=4,$Y$3,IF(MONTH($C627)=5,$Y$4,IF(MONTH($C627)=6,$Y$5,IF(MONTH($C627)=7,$Y$6,"ERROR")))),0),MAX(VLOOKUP($C627,COS!$B$8:$K$991,9,FALSE)-IF(MONTH($C627)=4,$V$3,IF(MONTH($C627)=5,$V$4,IF(MONTH($C627)=6,$V$5,IF(MONTH($C627)=7,$V$6,"ERROR"))))-VLOOKUP($C627,COS!$B$8:$K$991,6,FALSE)/2,0))</f>
        <v>0</v>
      </c>
      <c r="S627" s="26">
        <f t="shared" si="1008"/>
        <v>0</v>
      </c>
      <c r="T627" s="26">
        <f t="shared" si="1009"/>
        <v>54.393164508914161</v>
      </c>
      <c r="U627" s="26" t="str">
        <f>IF(VLOOKUP($C627,COS!$B$8:$I$991,8,FALSE)=1,"UWFE","IBU")</f>
        <v>UWFE</v>
      </c>
      <c r="V627" s="26">
        <f t="shared" ref="V627" si="1011">MIN(IF(IF($AA$3=2,AND(E627=1,G627=1,L627=1,L631=1,M627=1,U627="IBU"),AND(E627=1,G627=1,L627=1,L631=1,M627=1)),T627,0),I627)</f>
        <v>0</v>
      </c>
      <c r="W627" s="26"/>
      <c r="X627" s="26"/>
      <c r="Y627" s="26"/>
      <c r="Z627" s="26"/>
      <c r="AA627" s="26"/>
      <c r="AB627" s="33"/>
    </row>
    <row r="628" spans="1:28" x14ac:dyDescent="0.3">
      <c r="A628" s="32">
        <f>VLOOKUP(YEAR(C628),Flags!$A$13:$B$95,2,FALSE)</f>
        <v>5</v>
      </c>
      <c r="B628" s="24">
        <f t="shared" si="951"/>
        <v>1990</v>
      </c>
      <c r="C628" s="25">
        <v>33054</v>
      </c>
      <c r="D628" s="26">
        <f>VLOOKUP($C628,COS!$B$8:$H$991,3,FALSE)</f>
        <v>8063.263671875</v>
      </c>
      <c r="E628" s="24">
        <f>IF(D628&gt;=IF(MONTH($C628)=4,$C$3,IF(MONTH($C628)=5,$C$4,IF(MONTH($C628)=6,$C$5,IF(MONTH($C628)=7,$C$6,"ERROR")))),1,0)</f>
        <v>0</v>
      </c>
      <c r="F628" s="26">
        <f>VLOOKUP($C628,COS!$B$8:$H$991,7,FALSE)</f>
        <v>53.181201934814453</v>
      </c>
      <c r="G628" s="24">
        <f>IF(F628&lt;=IF(MONTH($C628)=4,$F$3,IF(MONTH($C628)=5,$F$4,IF(MONTH($C628)=6,$F$5,IF(MONTH($C628)=7,$F$6,"ERROR")))),1,0)</f>
        <v>1</v>
      </c>
      <c r="H628" s="26">
        <f>IF(J628=1,D628-$C$5,0)</f>
        <v>0</v>
      </c>
      <c r="I628" s="26">
        <f t="shared" si="982"/>
        <v>0</v>
      </c>
      <c r="J628" s="24">
        <f t="shared" si="1003"/>
        <v>0</v>
      </c>
      <c r="K628" s="26">
        <f>VLOOKUP($C628,COS!$B$8:$H$991,2,FALSE)</f>
        <v>3180.568359375</v>
      </c>
      <c r="L628" s="24">
        <f t="shared" si="944"/>
        <v>1</v>
      </c>
      <c r="M628" s="24">
        <f t="shared" si="945"/>
        <v>1</v>
      </c>
      <c r="N628" s="26">
        <f>VLOOKUP($C628,COS!$B$8:$H$991,5,FALSE)</f>
        <v>206.65235900878906</v>
      </c>
      <c r="O628" s="26">
        <f t="shared" si="1006"/>
        <v>12.296669296390753</v>
      </c>
      <c r="P628" s="26">
        <f>VLOOKUP($C628,COS!$B$8:$H$991,6,FALSE)</f>
        <v>2506.8408203125</v>
      </c>
      <c r="Q628" s="26">
        <f t="shared" si="1007"/>
        <v>149.16738765495867</v>
      </c>
      <c r="R628" s="26">
        <f>MIN(IF(MONTH($C628)=4,$S$3,IF(MONTH($C628)=5,$S$4,IF(MONTH($C628)=6,$S$5,IF(MONTH($C628)=7,$S$6,"ERROR")))),MAX(VLOOKUP($C628,COS!$B$8:$K$991,10,FALSE)-IF(MONTH($C628)=4,$Y$3,IF(MONTH($C628)=5,$Y$4,IF(MONTH($C628)=6,$Y$5,IF(MONTH($C628)=7,$Y$6,"ERROR")))),0),MAX(VLOOKUP($C628,COS!$B$8:$K$991,9,FALSE)-IF(MONTH($C628)=4,$V$3,IF(MONTH($C628)=5,$V$4,IF(MONTH($C628)=6,$V$5,IF(MONTH($C628)=7,$V$6,"ERROR"))))-VLOOKUP($C628,COS!$B$8:$K$991,6,FALSE)/2,0))</f>
        <v>0</v>
      </c>
      <c r="S628" s="26">
        <f t="shared" si="1008"/>
        <v>0</v>
      </c>
      <c r="T628" s="26">
        <f t="shared" si="1009"/>
        <v>80.73202847567471</v>
      </c>
      <c r="U628" s="26" t="str">
        <f>IF(VLOOKUP($C628,COS!$B$8:$I$991,8,FALSE)=1,"UWFE","IBU")</f>
        <v>IBU</v>
      </c>
      <c r="V628" s="26">
        <f t="shared" ref="V628" si="1012">MIN(IF(IF($AA$3=2,AND(E628=1,G628=1,L628=1,L631=1,M628=1,U628="IBU"),AND(E628=1,G628=1,L628=1,L631=1,M628=1)),T628,0),I628)</f>
        <v>0</v>
      </c>
      <c r="W628" s="26"/>
      <c r="X628" s="26"/>
      <c r="Y628" s="26"/>
      <c r="Z628" s="26"/>
      <c r="AA628" s="26"/>
      <c r="AB628" s="33"/>
    </row>
    <row r="629" spans="1:28" x14ac:dyDescent="0.3">
      <c r="A629" s="32">
        <f>VLOOKUP(YEAR(C629),Flags!$A$13:$B$95,2,FALSE)</f>
        <v>5</v>
      </c>
      <c r="B629" s="24">
        <f t="shared" si="951"/>
        <v>1990</v>
      </c>
      <c r="C629" s="25">
        <v>33085</v>
      </c>
      <c r="D629" s="26">
        <f>VLOOKUP($C629,COS!$B$8:$H$991,3,FALSE)</f>
        <v>12447.279296875</v>
      </c>
      <c r="E629" s="24">
        <f>IF(D629&gt;=IF(MONTH($C629)=4,$C$3,IF(MONTH($C629)=5,$C$4,IF(MONTH($C629)=6,$C$5,IF(MONTH($C629)=7,$C$6,"ERROR")))),1,0)</f>
        <v>1</v>
      </c>
      <c r="F629" s="26">
        <f>VLOOKUP($C629,COS!$B$8:$H$991,7,FALSE)</f>
        <v>53.944061279296875</v>
      </c>
      <c r="G629" s="24">
        <f>IF(F629&lt;=IF(MONTH($C629)=4,$F$3,IF(MONTH($C629)=5,$F$4,IF(MONTH($C629)=6,$F$5,IF(MONTH($C629)=7,$F$6,"ERROR")))),1,0)</f>
        <v>0</v>
      </c>
      <c r="H629" s="26">
        <f>IF(J629=1,D629-$C$6,0)</f>
        <v>0</v>
      </c>
      <c r="I629" s="26">
        <f t="shared" si="982"/>
        <v>0</v>
      </c>
      <c r="J629" s="24">
        <f t="shared" si="1003"/>
        <v>0</v>
      </c>
      <c r="K629" s="26">
        <f>VLOOKUP($C629,COS!$B$8:$H$991,2,FALSE)</f>
        <v>2634.774169921875</v>
      </c>
      <c r="L629" s="24">
        <f t="shared" si="944"/>
        <v>1</v>
      </c>
      <c r="M629" s="24">
        <f t="shared" si="945"/>
        <v>1</v>
      </c>
      <c r="N629" s="26">
        <f>VLOOKUP($C629,COS!$B$8:$H$991,5,FALSE)</f>
        <v>227.43785095214844</v>
      </c>
      <c r="O629" s="26">
        <f t="shared" si="1006"/>
        <v>13.984608356065987</v>
      </c>
      <c r="P629" s="26">
        <f>VLOOKUP($C629,COS!$B$8:$H$991,6,FALSE)</f>
        <v>2326.644775390625</v>
      </c>
      <c r="Q629" s="26">
        <f t="shared" si="1007"/>
        <v>143.05981098269626</v>
      </c>
      <c r="R629" s="26">
        <f>MIN(IF(MONTH($C629)=4,$S$3,IF(MONTH($C629)=5,$S$4,IF(MONTH($C629)=6,$S$5,IF(MONTH($C629)=7,$S$6,"ERROR")))),MAX(VLOOKUP($C629,COS!$B$8:$K$991,10,FALSE)-IF(MONTH($C629)=4,$Y$3,IF(MONTH($C629)=5,$Y$4,IF(MONTH($C629)=6,$Y$5,IF(MONTH($C629)=7,$Y$6,"ERROR")))),0),MAX(VLOOKUP($C629,COS!$B$8:$K$991,9,FALSE)-IF(MONTH($C629)=4,$V$3,IF(MONTH($C629)=5,$V$4,IF(MONTH($C629)=6,$V$5,IF(MONTH($C629)=7,$V$6,"ERROR"))))-VLOOKUP($C629,COS!$B$8:$K$991,6,FALSE)/2,0))</f>
        <v>0</v>
      </c>
      <c r="S629" s="26">
        <f t="shared" si="1008"/>
        <v>0</v>
      </c>
      <c r="T629" s="26">
        <f t="shared" si="1009"/>
        <v>78.522209669381127</v>
      </c>
      <c r="U629" s="26" t="str">
        <f>IF(VLOOKUP($C629,COS!$B$8:$I$991,8,FALSE)=1,"UWFE","IBU")</f>
        <v>IBU</v>
      </c>
      <c r="V629" s="26">
        <f t="shared" ref="V629" si="1013">MIN(IF(IF($AA$3=2,AND(E629=1,G629=1,L629=1,L631=1,M629=1,U629="IBU"),AND(E629=1,G629=1,L629=1,L631=1,M629=1)),T629,0),I629)</f>
        <v>0</v>
      </c>
      <c r="W629" s="26"/>
      <c r="X629" s="26"/>
      <c r="Y629" s="26"/>
      <c r="Z629" s="26"/>
      <c r="AA629" s="26"/>
      <c r="AB629" s="33"/>
    </row>
    <row r="630" spans="1:28" x14ac:dyDescent="0.3">
      <c r="A630" s="32">
        <f>VLOOKUP(YEAR(C630),Flags!$A$13:$B$95,2,FALSE)</f>
        <v>5</v>
      </c>
      <c r="B630" s="24">
        <f t="shared" si="951"/>
        <v>1990</v>
      </c>
      <c r="C630" s="25">
        <v>33116</v>
      </c>
      <c r="D630" s="26"/>
      <c r="E630" s="24"/>
      <c r="F630" s="26"/>
      <c r="G630" s="24"/>
      <c r="H630" s="24"/>
      <c r="I630" s="26"/>
      <c r="J630" s="24"/>
      <c r="K630" s="26"/>
      <c r="L630" s="24"/>
      <c r="M630" s="24"/>
      <c r="N630" s="26"/>
      <c r="O630" s="26"/>
      <c r="P630" s="26"/>
      <c r="Q630" s="26"/>
      <c r="R630" s="26"/>
      <c r="S630" s="26"/>
      <c r="T630" s="26"/>
      <c r="U630" s="26"/>
      <c r="V630" s="26"/>
      <c r="W630" s="26">
        <f>MAX($C$7-VLOOKUP($C630,COS!$B$8:$H$991,3,FALSE),0)</f>
        <v>91987.85546875</v>
      </c>
      <c r="X630" s="26">
        <f t="shared" si="972"/>
        <v>5656.1127660123966</v>
      </c>
      <c r="Y630" s="26">
        <f>VLOOKUP($C630,COS!$B$8:$H$991,4,FALSE)</f>
        <v>3233.810302734375</v>
      </c>
      <c r="Z630" s="26">
        <f t="shared" si="973"/>
        <v>198.83924506069215</v>
      </c>
      <c r="AA630" s="26">
        <f t="shared" ref="AA630:AA634" si="1014">MIN(W630,Y630)</f>
        <v>3233.810302734375</v>
      </c>
      <c r="AB630" s="33">
        <f t="shared" ref="AB630" si="1015">AA630*DAY($C630)*86400/43560/1000*IF(MONTH($C630)=8,$P$3,IF(MONTH($C630)=9,$P$4,IF(MONTH($C630)=10,$P$5,IF(MONTH($C630)=11,$P$6,IF(MONTH($C630)=12,$P$7,NA())))))</f>
        <v>198.83924506069215</v>
      </c>
    </row>
    <row r="631" spans="1:28" x14ac:dyDescent="0.3">
      <c r="A631" s="32">
        <f>VLOOKUP(YEAR(C631),Flags!$A$13:$B$95,2,FALSE)</f>
        <v>5</v>
      </c>
      <c r="B631" s="24">
        <f t="shared" si="951"/>
        <v>1990</v>
      </c>
      <c r="C631" s="25">
        <v>33146</v>
      </c>
      <c r="D631" s="26"/>
      <c r="E631" s="24"/>
      <c r="F631" s="26"/>
      <c r="G631" s="24"/>
      <c r="H631" s="24"/>
      <c r="I631" s="26"/>
      <c r="J631" s="24"/>
      <c r="K631" s="26">
        <f>VLOOKUP($C631,COS!$B$8:$H$991,2,FALSE)</f>
        <v>2239.517822265625</v>
      </c>
      <c r="L631" s="24">
        <f t="shared" ref="L631" si="1016">IF(AND(K631&gt;$I$7,K631&lt;$I$8),1,0)</f>
        <v>1</v>
      </c>
      <c r="M631" s="24"/>
      <c r="N631" s="26"/>
      <c r="O631" s="26"/>
      <c r="P631" s="26"/>
      <c r="Q631" s="26"/>
      <c r="R631" s="26"/>
      <c r="S631" s="26"/>
      <c r="T631" s="26"/>
      <c r="U631" s="26"/>
      <c r="V631" s="26"/>
      <c r="W631" s="26">
        <f>MAX($C$8-VLOOKUP($C631,COS!$B$8:$H$991,3,FALSE),0)</f>
        <v>94345.31689453125</v>
      </c>
      <c r="X631" s="26">
        <f t="shared" si="972"/>
        <v>5613.9362119059915</v>
      </c>
      <c r="Y631" s="26">
        <f>VLOOKUP($C631,COS!$B$8:$H$991,4,FALSE)</f>
        <v>1878.513671875</v>
      </c>
      <c r="Z631" s="26">
        <f t="shared" si="973"/>
        <v>111.77932592975208</v>
      </c>
      <c r="AA631" s="26">
        <f t="shared" si="1014"/>
        <v>1878.513671875</v>
      </c>
      <c r="AB631" s="33">
        <f t="shared" si="956"/>
        <v>111.77932592975208</v>
      </c>
    </row>
    <row r="632" spans="1:28" x14ac:dyDescent="0.3">
      <c r="A632" s="32">
        <f>VLOOKUP(YEAR(C632),Flags!$A$13:$B$95,2,FALSE)</f>
        <v>5</v>
      </c>
      <c r="B632" s="24">
        <f t="shared" si="951"/>
        <v>1990</v>
      </c>
      <c r="C632" s="25">
        <v>33177</v>
      </c>
      <c r="D632" s="26"/>
      <c r="E632" s="24"/>
      <c r="F632" s="26"/>
      <c r="G632" s="26"/>
      <c r="H632" s="26"/>
      <c r="I632" s="26"/>
      <c r="J632" s="26"/>
      <c r="K632" s="26"/>
      <c r="L632" s="24"/>
      <c r="M632" s="24"/>
      <c r="N632" s="26"/>
      <c r="O632" s="26"/>
      <c r="P632" s="26"/>
      <c r="Q632" s="26"/>
      <c r="R632" s="26"/>
      <c r="S632" s="26"/>
      <c r="T632" s="26"/>
      <c r="U632" s="26"/>
      <c r="V632" s="26"/>
      <c r="W632" s="26">
        <f>MAX($C$9-VLOOKUP($C632,COS!$B$8:$H$991,3,FALSE),0)</f>
        <v>94935.169921875</v>
      </c>
      <c r="X632" s="26">
        <f t="shared" si="972"/>
        <v>5837.3360679235529</v>
      </c>
      <c r="Y632" s="26">
        <f>VLOOKUP($C632,COS!$B$8:$H$991,4,FALSE)</f>
        <v>1555.8990478515625</v>
      </c>
      <c r="Z632" s="26">
        <f t="shared" si="973"/>
        <v>95.668503438145663</v>
      </c>
      <c r="AA632" s="26">
        <f t="shared" si="1014"/>
        <v>1555.8990478515625</v>
      </c>
      <c r="AB632" s="33">
        <f t="shared" si="956"/>
        <v>95.668503438145663</v>
      </c>
    </row>
    <row r="633" spans="1:28" x14ac:dyDescent="0.3">
      <c r="A633" s="32">
        <f>VLOOKUP(YEAR(C633),Flags!$A$13:$B$95,2,FALSE)</f>
        <v>5</v>
      </c>
      <c r="B633" s="24">
        <f t="shared" si="951"/>
        <v>1990</v>
      </c>
      <c r="C633" s="25">
        <v>33207</v>
      </c>
      <c r="D633" s="26"/>
      <c r="E633" s="24"/>
      <c r="F633" s="26"/>
      <c r="G633" s="26"/>
      <c r="H633" s="26"/>
      <c r="I633" s="26"/>
      <c r="J633" s="26"/>
      <c r="K633" s="26"/>
      <c r="L633" s="24"/>
      <c r="M633" s="24"/>
      <c r="N633" s="26"/>
      <c r="O633" s="26"/>
      <c r="P633" s="26"/>
      <c r="Q633" s="26"/>
      <c r="R633" s="26"/>
      <c r="S633" s="26"/>
      <c r="T633" s="26"/>
      <c r="U633" s="26"/>
      <c r="V633" s="26"/>
      <c r="W633" s="26">
        <f>MAX($C$10-VLOOKUP($C633,COS!$B$8:$H$991,3,FALSE),0)</f>
        <v>95913.387451171875</v>
      </c>
      <c r="X633" s="26">
        <f t="shared" si="972"/>
        <v>5707.2428896565079</v>
      </c>
      <c r="Y633" s="26">
        <f>VLOOKUP($C633,COS!$B$8:$H$991,4,FALSE)</f>
        <v>1488.062255859375</v>
      </c>
      <c r="Z633" s="26">
        <f t="shared" si="973"/>
        <v>88.545853241219007</v>
      </c>
      <c r="AA633" s="26">
        <f t="shared" si="1014"/>
        <v>1488.062255859375</v>
      </c>
      <c r="AB633" s="33">
        <f t="shared" si="956"/>
        <v>44.272926620609503</v>
      </c>
    </row>
    <row r="634" spans="1:28" x14ac:dyDescent="0.3">
      <c r="A634" s="34">
        <f>VLOOKUP(YEAR(C634),Flags!$A$13:$B$95,2,FALSE)</f>
        <v>5</v>
      </c>
      <c r="B634" s="35">
        <f t="shared" si="951"/>
        <v>1990</v>
      </c>
      <c r="C634" s="36">
        <v>33238</v>
      </c>
      <c r="D634" s="37"/>
      <c r="E634" s="35"/>
      <c r="F634" s="37"/>
      <c r="G634" s="37"/>
      <c r="H634" s="37"/>
      <c r="I634" s="37"/>
      <c r="J634" s="37"/>
      <c r="K634" s="37"/>
      <c r="L634" s="35"/>
      <c r="M634" s="35"/>
      <c r="N634" s="37"/>
      <c r="O634" s="37"/>
      <c r="P634" s="37"/>
      <c r="Q634" s="37"/>
      <c r="R634" s="37"/>
      <c r="S634" s="37"/>
      <c r="T634" s="37"/>
      <c r="U634" s="37"/>
      <c r="V634" s="37"/>
      <c r="W634" s="37">
        <f>MAX($C$11-VLOOKUP($C634,COS!$B$8:$H$991,3,FALSE),0)</f>
        <v>0</v>
      </c>
      <c r="X634" s="37">
        <f t="shared" si="972"/>
        <v>0</v>
      </c>
      <c r="Y634" s="37">
        <f>VLOOKUP($C634,COS!$B$8:$H$991,4,FALSE)</f>
        <v>3086.0771484375</v>
      </c>
      <c r="Z634" s="37">
        <f t="shared" si="973"/>
        <v>189.75548747417355</v>
      </c>
      <c r="AA634" s="37">
        <f t="shared" si="1014"/>
        <v>0</v>
      </c>
      <c r="AB634" s="38">
        <f t="shared" si="956"/>
        <v>0</v>
      </c>
    </row>
    <row r="635" spans="1:28" x14ac:dyDescent="0.3">
      <c r="A635" s="27">
        <f>VLOOKUP(YEAR(C635),Flags!$A$13:$B$95,2,FALSE)</f>
        <v>5</v>
      </c>
      <c r="B635" s="28">
        <f t="shared" si="951"/>
        <v>1991</v>
      </c>
      <c r="C635" s="29">
        <v>33358</v>
      </c>
      <c r="D635" s="30">
        <f>VLOOKUP($C635,COS!$B$8:$H$991,3,FALSE)</f>
        <v>3250</v>
      </c>
      <c r="E635" s="28">
        <f>IF(D635&gt;=IF(MONTH($C635)=4,$C$3,IF(MONTH($C635)=5,$C$4,IF(MONTH($C635)=6,$C$5,IF(MONTH($C635)=7,$C$6,"ERROR")))),1,0)</f>
        <v>0</v>
      </c>
      <c r="F635" s="30">
        <f>VLOOKUP($C635,COS!$B$8:$H$991,7,FALSE)</f>
        <v>52.174777984619141</v>
      </c>
      <c r="G635" s="28">
        <f>IF(F635&lt;=IF(MONTH($C635)=4,$F$3,IF(MONTH($C635)=5,$F$4,IF(MONTH($C635)=6,$F$5,IF(MONTH($C635)=7,$F$6,"ERROR")))),1,0)</f>
        <v>1</v>
      </c>
      <c r="H635" s="30">
        <f>IF(J635=1,D635-$C$3,0)</f>
        <v>0</v>
      </c>
      <c r="I635" s="30">
        <f t="shared" si="982"/>
        <v>0</v>
      </c>
      <c r="J635" s="28">
        <f t="shared" ref="J635:J638" si="1017">IF(AND(E635=1,G635=1),1,0)</f>
        <v>0</v>
      </c>
      <c r="K635" s="30">
        <f>VLOOKUP($C635,COS!$B$8:$H$991,2,FALSE)</f>
        <v>2608.74365234375</v>
      </c>
      <c r="L635" s="28">
        <f t="shared" ref="L635" si="1018">IF(K635&lt;=IF(MONTH($C635)=4,$I$3,IF(MONTH($C635)=5,$I$4,IF(MONTH($C635)=6,$I$5,IF(MONTH($C635)=7,$I$6,"ERROR")))),1,0)</f>
        <v>1</v>
      </c>
      <c r="M635" s="28">
        <f t="shared" ref="M635" si="1019">VLOOKUP($A635,$L$3:$M$7,2,FALSE)</f>
        <v>1</v>
      </c>
      <c r="N635" s="30">
        <f>VLOOKUP($C635,COS!$B$8:$H$991,5,FALSE)</f>
        <v>99.786216735839844</v>
      </c>
      <c r="O635" s="30">
        <f t="shared" ref="O635:O638" si="1020">N635*DAY($C635)*86400/43560/1000</f>
        <v>5.9376922355210482</v>
      </c>
      <c r="P635" s="30">
        <f>VLOOKUP($C635,COS!$B$8:$H$991,6,FALSE)</f>
        <v>390.43963623046875</v>
      </c>
      <c r="Q635" s="30">
        <f t="shared" ref="Q635:Q638" si="1021">P635*DAY($C635)*86400/43560/1000</f>
        <v>23.232771742639464</v>
      </c>
      <c r="R635" s="30">
        <f>MIN(IF(MONTH($C635)=4,$S$3,IF(MONTH($C635)=5,$S$4,IF(MONTH($C635)=6,$S$5,IF(MONTH($C635)=7,$S$6,"ERROR")))),MAX(VLOOKUP($C635,COS!$B$8:$K$991,10,FALSE)-IF(MONTH($C635)=4,$Y$3,IF(MONTH($C635)=5,$Y$4,IF(MONTH($C635)=6,$Y$5,IF(MONTH($C635)=7,$Y$6,"ERROR")))),0),MAX(VLOOKUP($C635,COS!$B$8:$K$991,9,FALSE)-IF(MONTH($C635)=4,$V$3,IF(MONTH($C635)=5,$V$4,IF(MONTH($C635)=6,$V$5,IF(MONTH($C635)=7,$V$6,"ERROR"))))-VLOOKUP($C635,COS!$B$8:$K$991,6,FALSE)/2,0))</f>
        <v>0</v>
      </c>
      <c r="S635" s="30">
        <f t="shared" ref="S635:S638" si="1022">R635*DAY($C635)*86400/43560/1000</f>
        <v>0</v>
      </c>
      <c r="T635" s="30">
        <f t="shared" ref="T635:T638" si="1023">(O635+Q635)/2+S635</f>
        <v>14.585231989080256</v>
      </c>
      <c r="U635" s="30" t="str">
        <f>IF(VLOOKUP($C635,COS!$B$8:$I$991,8,FALSE)=1,"UWFE","IBU")</f>
        <v>UWFE</v>
      </c>
      <c r="V635" s="30">
        <f t="shared" ref="V635" si="1024">MIN(IF(IF($AA$3=2,AND(E635=1,G635=1,L635=1,L640=1,M635=1,U635="IBU"),AND(E635=1,G635=1,L635=1,L640=1,M635=1)),T635,0),I635)</f>
        <v>0</v>
      </c>
      <c r="W635" s="30"/>
      <c r="X635" s="30"/>
      <c r="Y635" s="30"/>
      <c r="Z635" s="30"/>
      <c r="AA635" s="30"/>
      <c r="AB635" s="31"/>
    </row>
    <row r="636" spans="1:28" x14ac:dyDescent="0.3">
      <c r="A636" s="32">
        <f>VLOOKUP(YEAR(C636),Flags!$A$13:$B$95,2,FALSE)</f>
        <v>5</v>
      </c>
      <c r="B636" s="24">
        <f t="shared" si="951"/>
        <v>1991</v>
      </c>
      <c r="C636" s="25">
        <v>33389</v>
      </c>
      <c r="D636" s="26">
        <f>VLOOKUP($C636,COS!$B$8:$H$991,3,FALSE)</f>
        <v>6746.265625</v>
      </c>
      <c r="E636" s="24">
        <f>IF(D636&gt;=IF(MONTH($C636)=4,$C$3,IF(MONTH($C636)=5,$C$4,IF(MONTH($C636)=6,$C$5,IF(MONTH($C636)=7,$C$6,"ERROR")))),1,0)</f>
        <v>1</v>
      </c>
      <c r="F636" s="26">
        <f>VLOOKUP($C636,COS!$B$8:$H$991,7,FALSE)</f>
        <v>52.1820068359375</v>
      </c>
      <c r="G636" s="24">
        <f>IF(F636&lt;=IF(MONTH($C636)=4,$F$3,IF(MONTH($C636)=5,$F$4,IF(MONTH($C636)=6,$F$5,IF(MONTH($C636)=7,$F$6,"ERROR")))),1,0)</f>
        <v>1</v>
      </c>
      <c r="H636" s="26">
        <f>IF(J636=1,D636-$C$4,0)</f>
        <v>746.265625</v>
      </c>
      <c r="I636" s="26">
        <f t="shared" si="982"/>
        <v>45.886084710743802</v>
      </c>
      <c r="J636" s="24">
        <f t="shared" si="1017"/>
        <v>1</v>
      </c>
      <c r="K636" s="26">
        <f>VLOOKUP($C636,COS!$B$8:$H$991,2,FALSE)</f>
        <v>2510.05419921875</v>
      </c>
      <c r="L636" s="24">
        <f t="shared" si="944"/>
        <v>1</v>
      </c>
      <c r="M636" s="24">
        <f t="shared" si="945"/>
        <v>1</v>
      </c>
      <c r="N636" s="26">
        <f>VLOOKUP($C636,COS!$B$8:$H$991,5,FALSE)</f>
        <v>265.20388793945313</v>
      </c>
      <c r="O636" s="26">
        <f t="shared" si="1020"/>
        <v>16.306751456772986</v>
      </c>
      <c r="P636" s="26">
        <f>VLOOKUP($C636,COS!$B$8:$H$991,6,FALSE)</f>
        <v>2166.270751953125</v>
      </c>
      <c r="Q636" s="26">
        <f t="shared" si="1021"/>
        <v>133.19879664901859</v>
      </c>
      <c r="R636" s="26">
        <f>MIN(IF(MONTH($C636)=4,$S$3,IF(MONTH($C636)=5,$S$4,IF(MONTH($C636)=6,$S$5,IF(MONTH($C636)=7,$S$6,"ERROR")))),MAX(VLOOKUP($C636,COS!$B$8:$K$991,10,FALSE)-IF(MONTH($C636)=4,$Y$3,IF(MONTH($C636)=5,$Y$4,IF(MONTH($C636)=6,$Y$5,IF(MONTH($C636)=7,$Y$6,"ERROR")))),0),MAX(VLOOKUP($C636,COS!$B$8:$K$991,9,FALSE)-IF(MONTH($C636)=4,$V$3,IF(MONTH($C636)=5,$V$4,IF(MONTH($C636)=6,$V$5,IF(MONTH($C636)=7,$V$6,"ERROR"))))-VLOOKUP($C636,COS!$B$8:$K$991,6,FALSE)/2,0))</f>
        <v>0</v>
      </c>
      <c r="S636" s="26">
        <f t="shared" si="1022"/>
        <v>0</v>
      </c>
      <c r="T636" s="26">
        <f t="shared" si="1023"/>
        <v>74.752774052895788</v>
      </c>
      <c r="U636" s="26" t="str">
        <f>IF(VLOOKUP($C636,COS!$B$8:$I$991,8,FALSE)=1,"UWFE","IBU")</f>
        <v>UWFE</v>
      </c>
      <c r="V636" s="26">
        <f t="shared" ref="V636" si="1025">MIN(IF(IF($AA$3=2,AND(E636=1,G636=1,L636=1,L640=1,M636=1,U636="IBU"),AND(E636=1,G636=1,L636=1,L640=1,M636=1)),T636,0),I636)</f>
        <v>0</v>
      </c>
      <c r="W636" s="26"/>
      <c r="X636" s="26"/>
      <c r="Y636" s="26"/>
      <c r="Z636" s="26"/>
      <c r="AA636" s="26"/>
      <c r="AB636" s="33"/>
    </row>
    <row r="637" spans="1:28" x14ac:dyDescent="0.3">
      <c r="A637" s="32">
        <f>VLOOKUP(YEAR(C637),Flags!$A$13:$B$95,2,FALSE)</f>
        <v>5</v>
      </c>
      <c r="B637" s="24">
        <f t="shared" si="951"/>
        <v>1991</v>
      </c>
      <c r="C637" s="25">
        <v>33419</v>
      </c>
      <c r="D637" s="26">
        <f>VLOOKUP($C637,COS!$B$8:$H$991,3,FALSE)</f>
        <v>7646.2861328125</v>
      </c>
      <c r="E637" s="24">
        <f>IF(D637&gt;=IF(MONTH($C637)=4,$C$3,IF(MONTH($C637)=5,$C$4,IF(MONTH($C637)=6,$C$5,IF(MONTH($C637)=7,$C$6,"ERROR")))),1,0)</f>
        <v>0</v>
      </c>
      <c r="F637" s="26">
        <f>VLOOKUP($C637,COS!$B$8:$H$991,7,FALSE)</f>
        <v>53.892311096191406</v>
      </c>
      <c r="G637" s="24">
        <f>IF(F637&lt;=IF(MONTH($C637)=4,$F$3,IF(MONTH($C637)=5,$F$4,IF(MONTH($C637)=6,$F$5,IF(MONTH($C637)=7,$F$6,"ERROR")))),1,0)</f>
        <v>1</v>
      </c>
      <c r="H637" s="26">
        <f>IF(J637=1,D637-$C$5,0)</f>
        <v>0</v>
      </c>
      <c r="I637" s="26">
        <f t="shared" si="982"/>
        <v>0</v>
      </c>
      <c r="J637" s="24">
        <f t="shared" si="1017"/>
        <v>0</v>
      </c>
      <c r="K637" s="26">
        <f>VLOOKUP($C637,COS!$B$8:$H$991,2,FALSE)</f>
        <v>2234.704833984375</v>
      </c>
      <c r="L637" s="24">
        <f t="shared" si="944"/>
        <v>1</v>
      </c>
      <c r="M637" s="24">
        <f t="shared" si="945"/>
        <v>1</v>
      </c>
      <c r="N637" s="26">
        <f>VLOOKUP($C637,COS!$B$8:$H$991,5,FALSE)</f>
        <v>362.696044921875</v>
      </c>
      <c r="O637" s="26">
        <f t="shared" si="1020"/>
        <v>21.581913416838844</v>
      </c>
      <c r="P637" s="26">
        <f>VLOOKUP($C637,COS!$B$8:$H$991,6,FALSE)</f>
        <v>2380.910888671875</v>
      </c>
      <c r="Q637" s="26">
        <f t="shared" si="1021"/>
        <v>141.67403635072316</v>
      </c>
      <c r="R637" s="26">
        <f>MIN(IF(MONTH($C637)=4,$S$3,IF(MONTH($C637)=5,$S$4,IF(MONTH($C637)=6,$S$5,IF(MONTH($C637)=7,$S$6,"ERROR")))),MAX(VLOOKUP($C637,COS!$B$8:$K$991,10,FALSE)-IF(MONTH($C637)=4,$Y$3,IF(MONTH($C637)=5,$Y$4,IF(MONTH($C637)=6,$Y$5,IF(MONTH($C637)=7,$Y$6,"ERROR")))),0),MAX(VLOOKUP($C637,COS!$B$8:$K$991,9,FALSE)-IF(MONTH($C637)=4,$V$3,IF(MONTH($C637)=5,$V$4,IF(MONTH($C637)=6,$V$5,IF(MONTH($C637)=7,$V$6,"ERROR"))))-VLOOKUP($C637,COS!$B$8:$K$991,6,FALSE)/2,0))</f>
        <v>0</v>
      </c>
      <c r="S637" s="26">
        <f t="shared" si="1022"/>
        <v>0</v>
      </c>
      <c r="T637" s="26">
        <f t="shared" si="1023"/>
        <v>81.627974883781008</v>
      </c>
      <c r="U637" s="26" t="str">
        <f>IF(VLOOKUP($C637,COS!$B$8:$I$991,8,FALSE)=1,"UWFE","IBU")</f>
        <v>IBU</v>
      </c>
      <c r="V637" s="26">
        <f t="shared" ref="V637" si="1026">MIN(IF(IF($AA$3=2,AND(E637=1,G637=1,L637=1,L640=1,M637=1,U637="IBU"),AND(E637=1,G637=1,L637=1,L640=1,M637=1)),T637,0),I637)</f>
        <v>0</v>
      </c>
      <c r="W637" s="26"/>
      <c r="X637" s="26"/>
      <c r="Y637" s="26"/>
      <c r="Z637" s="26"/>
      <c r="AA637" s="26"/>
      <c r="AB637" s="33"/>
    </row>
    <row r="638" spans="1:28" x14ac:dyDescent="0.3">
      <c r="A638" s="32">
        <f>VLOOKUP(YEAR(C638),Flags!$A$13:$B$95,2,FALSE)</f>
        <v>5</v>
      </c>
      <c r="B638" s="24">
        <f t="shared" si="951"/>
        <v>1991</v>
      </c>
      <c r="C638" s="25">
        <v>33450</v>
      </c>
      <c r="D638" s="26">
        <f>VLOOKUP($C638,COS!$B$8:$H$991,3,FALSE)</f>
        <v>8667.65625</v>
      </c>
      <c r="E638" s="24">
        <f>IF(D638&gt;=IF(MONTH($C638)=4,$C$3,IF(MONTH($C638)=5,$C$4,IF(MONTH($C638)=6,$C$5,IF(MONTH($C638)=7,$C$6,"ERROR")))),1,0)</f>
        <v>0</v>
      </c>
      <c r="F638" s="26">
        <f>VLOOKUP($C638,COS!$B$8:$H$991,7,FALSE)</f>
        <v>56.067035675048828</v>
      </c>
      <c r="G638" s="24">
        <f>IF(F638&lt;=IF(MONTH($C638)=4,$F$3,IF(MONTH($C638)=5,$F$4,IF(MONTH($C638)=6,$F$5,IF(MONTH($C638)=7,$F$6,"ERROR")))),1,0)</f>
        <v>0</v>
      </c>
      <c r="H638" s="26">
        <f>IF(J638=1,D638-$C$6,0)</f>
        <v>0</v>
      </c>
      <c r="I638" s="26">
        <f t="shared" si="982"/>
        <v>0</v>
      </c>
      <c r="J638" s="24">
        <f t="shared" si="1017"/>
        <v>0</v>
      </c>
      <c r="K638" s="26">
        <f>VLOOKUP($C638,COS!$B$8:$H$991,2,FALSE)</f>
        <v>1917.2408447265625</v>
      </c>
      <c r="L638" s="24">
        <f t="shared" si="944"/>
        <v>1</v>
      </c>
      <c r="M638" s="24">
        <f t="shared" si="945"/>
        <v>1</v>
      </c>
      <c r="N638" s="26">
        <f>VLOOKUP($C638,COS!$B$8:$H$991,5,FALSE)</f>
        <v>424.0916748046875</v>
      </c>
      <c r="O638" s="26">
        <f t="shared" si="1020"/>
        <v>26.076380665676655</v>
      </c>
      <c r="P638" s="26">
        <f>VLOOKUP($C638,COS!$B$8:$H$991,6,FALSE)</f>
        <v>2281.4833984375</v>
      </c>
      <c r="Q638" s="26">
        <f t="shared" si="1021"/>
        <v>140.28294615185951</v>
      </c>
      <c r="R638" s="26">
        <f>MIN(IF(MONTH($C638)=4,$S$3,IF(MONTH($C638)=5,$S$4,IF(MONTH($C638)=6,$S$5,IF(MONTH($C638)=7,$S$6,"ERROR")))),MAX(VLOOKUP($C638,COS!$B$8:$K$991,10,FALSE)-IF(MONTH($C638)=4,$Y$3,IF(MONTH($C638)=5,$Y$4,IF(MONTH($C638)=6,$Y$5,IF(MONTH($C638)=7,$Y$6,"ERROR")))),0),MAX(VLOOKUP($C638,COS!$B$8:$K$991,9,FALSE)-IF(MONTH($C638)=4,$V$3,IF(MONTH($C638)=5,$V$4,IF(MONTH($C638)=6,$V$5,IF(MONTH($C638)=7,$V$6,"ERROR"))))-VLOOKUP($C638,COS!$B$8:$K$991,6,FALSE)/2,0))</f>
        <v>0</v>
      </c>
      <c r="S638" s="26">
        <f t="shared" si="1022"/>
        <v>0</v>
      </c>
      <c r="T638" s="26">
        <f t="shared" si="1023"/>
        <v>83.179663408768079</v>
      </c>
      <c r="U638" s="26" t="str">
        <f>IF(VLOOKUP($C638,COS!$B$8:$I$991,8,FALSE)=1,"UWFE","IBU")</f>
        <v>IBU</v>
      </c>
      <c r="V638" s="26">
        <f t="shared" ref="V638" si="1027">MIN(IF(IF($AA$3=2,AND(E638=1,G638=1,L638=1,L640=1,M638=1,U638="IBU"),AND(E638=1,G638=1,L638=1,L640=1,M638=1)),T638,0),I638)</f>
        <v>0</v>
      </c>
      <c r="W638" s="26"/>
      <c r="X638" s="26"/>
      <c r="Y638" s="26"/>
      <c r="Z638" s="26"/>
      <c r="AA638" s="26"/>
      <c r="AB638" s="33"/>
    </row>
    <row r="639" spans="1:28" x14ac:dyDescent="0.3">
      <c r="A639" s="32">
        <f>VLOOKUP(YEAR(C639),Flags!$A$13:$B$95,2,FALSE)</f>
        <v>5</v>
      </c>
      <c r="B639" s="24">
        <f t="shared" si="951"/>
        <v>1991</v>
      </c>
      <c r="C639" s="25">
        <v>33481</v>
      </c>
      <c r="D639" s="26"/>
      <c r="E639" s="24"/>
      <c r="F639" s="26"/>
      <c r="G639" s="24"/>
      <c r="H639" s="24"/>
      <c r="I639" s="26"/>
      <c r="J639" s="24"/>
      <c r="K639" s="26"/>
      <c r="L639" s="24"/>
      <c r="M639" s="24"/>
      <c r="N639" s="26"/>
      <c r="O639" s="26"/>
      <c r="P639" s="26"/>
      <c r="Q639" s="26"/>
      <c r="R639" s="26"/>
      <c r="S639" s="26"/>
      <c r="T639" s="26"/>
      <c r="U639" s="26"/>
      <c r="V639" s="26"/>
      <c r="W639" s="26">
        <f>MAX($C$7-VLOOKUP($C639,COS!$B$8:$H$991,3,FALSE),0)</f>
        <v>93270.849609375</v>
      </c>
      <c r="X639" s="26">
        <f t="shared" si="972"/>
        <v>5735.0010007747933</v>
      </c>
      <c r="Y639" s="26">
        <f>VLOOKUP($C639,COS!$B$8:$H$991,4,FALSE)</f>
        <v>3158.24462890625</v>
      </c>
      <c r="Z639" s="26">
        <f t="shared" si="973"/>
        <v>194.19289288481406</v>
      </c>
      <c r="AA639" s="26">
        <f t="shared" ref="AA639:AA643" si="1028">MIN(W639,Y639)</f>
        <v>3158.24462890625</v>
      </c>
      <c r="AB639" s="33">
        <f t="shared" ref="AB639" si="1029">AA639*DAY($C639)*86400/43560/1000*IF(MONTH($C639)=8,$P$3,IF(MONTH($C639)=9,$P$4,IF(MONTH($C639)=10,$P$5,IF(MONTH($C639)=11,$P$6,IF(MONTH($C639)=12,$P$7,NA())))))</f>
        <v>194.19289288481406</v>
      </c>
    </row>
    <row r="640" spans="1:28" x14ac:dyDescent="0.3">
      <c r="A640" s="32">
        <f>VLOOKUP(YEAR(C640),Flags!$A$13:$B$95,2,FALSE)</f>
        <v>5</v>
      </c>
      <c r="B640" s="24">
        <f t="shared" si="951"/>
        <v>1991</v>
      </c>
      <c r="C640" s="25">
        <v>33511</v>
      </c>
      <c r="D640" s="26"/>
      <c r="E640" s="24"/>
      <c r="F640" s="26"/>
      <c r="G640" s="24"/>
      <c r="H640" s="24"/>
      <c r="I640" s="26"/>
      <c r="J640" s="24"/>
      <c r="K640" s="26">
        <f>VLOOKUP($C640,COS!$B$8:$H$991,2,FALSE)</f>
        <v>1656.5145263671875</v>
      </c>
      <c r="L640" s="24">
        <f t="shared" ref="L640" si="1030">IF(AND(K640&gt;$I$7,K640&lt;$I$8),1,0)</f>
        <v>1</v>
      </c>
      <c r="M640" s="24"/>
      <c r="N640" s="26"/>
      <c r="O640" s="26"/>
      <c r="P640" s="26"/>
      <c r="Q640" s="26"/>
      <c r="R640" s="26"/>
      <c r="S640" s="26"/>
      <c r="T640" s="26"/>
      <c r="U640" s="26"/>
      <c r="V640" s="26"/>
      <c r="W640" s="26">
        <f>MAX($C$8-VLOOKUP($C640,COS!$B$8:$H$991,3,FALSE),0)</f>
        <v>95645.72998046875</v>
      </c>
      <c r="X640" s="26">
        <f t="shared" si="972"/>
        <v>5691.3161641270653</v>
      </c>
      <c r="Y640" s="26">
        <f>VLOOKUP($C640,COS!$B$8:$H$991,4,FALSE)</f>
        <v>2165.95703125</v>
      </c>
      <c r="Z640" s="26">
        <f t="shared" si="973"/>
        <v>128.88339359504133</v>
      </c>
      <c r="AA640" s="26">
        <f t="shared" si="1028"/>
        <v>2165.95703125</v>
      </c>
      <c r="AB640" s="33">
        <f t="shared" si="956"/>
        <v>128.88339359504133</v>
      </c>
    </row>
    <row r="641" spans="1:28" x14ac:dyDescent="0.3">
      <c r="A641" s="32">
        <f>VLOOKUP(YEAR(C641),Flags!$A$13:$B$95,2,FALSE)</f>
        <v>5</v>
      </c>
      <c r="B641" s="24">
        <f t="shared" si="951"/>
        <v>1991</v>
      </c>
      <c r="C641" s="25">
        <v>33542</v>
      </c>
      <c r="D641" s="26"/>
      <c r="E641" s="24"/>
      <c r="F641" s="26"/>
      <c r="G641" s="26"/>
      <c r="H641" s="26"/>
      <c r="I641" s="26"/>
      <c r="J641" s="26"/>
      <c r="K641" s="26"/>
      <c r="L641" s="24"/>
      <c r="M641" s="24"/>
      <c r="N641" s="26"/>
      <c r="O641" s="26"/>
      <c r="P641" s="26"/>
      <c r="Q641" s="26"/>
      <c r="R641" s="26"/>
      <c r="S641" s="26"/>
      <c r="T641" s="26"/>
      <c r="U641" s="26"/>
      <c r="V641" s="26"/>
      <c r="W641" s="26">
        <f>MAX($C$9-VLOOKUP($C641,COS!$B$8:$H$991,3,FALSE),0)</f>
        <v>94862.1748046875</v>
      </c>
      <c r="X641" s="26">
        <f t="shared" si="972"/>
        <v>5832.8477731146695</v>
      </c>
      <c r="Y641" s="26">
        <f>VLOOKUP($C641,COS!$B$8:$H$991,4,FALSE)</f>
        <v>1365.7271728515625</v>
      </c>
      <c r="Z641" s="26">
        <f t="shared" si="973"/>
        <v>83.975290628228308</v>
      </c>
      <c r="AA641" s="26">
        <f t="shared" si="1028"/>
        <v>1365.7271728515625</v>
      </c>
      <c r="AB641" s="33">
        <f t="shared" si="956"/>
        <v>83.975290628228308</v>
      </c>
    </row>
    <row r="642" spans="1:28" x14ac:dyDescent="0.3">
      <c r="A642" s="32">
        <f>VLOOKUP(YEAR(C642),Flags!$A$13:$B$95,2,FALSE)</f>
        <v>5</v>
      </c>
      <c r="B642" s="24">
        <f t="shared" si="951"/>
        <v>1991</v>
      </c>
      <c r="C642" s="25">
        <v>33572</v>
      </c>
      <c r="D642" s="26"/>
      <c r="E642" s="24"/>
      <c r="F642" s="26"/>
      <c r="G642" s="26"/>
      <c r="H642" s="26"/>
      <c r="I642" s="26"/>
      <c r="J642" s="26"/>
      <c r="K642" s="26"/>
      <c r="L642" s="24"/>
      <c r="M642" s="24"/>
      <c r="N642" s="26"/>
      <c r="O642" s="26"/>
      <c r="P642" s="26"/>
      <c r="Q642" s="26"/>
      <c r="R642" s="26"/>
      <c r="S642" s="26"/>
      <c r="T642" s="26"/>
      <c r="U642" s="26"/>
      <c r="V642" s="26"/>
      <c r="W642" s="26">
        <f>MAX($C$10-VLOOKUP($C642,COS!$B$8:$H$991,3,FALSE),0)</f>
        <v>94541.99853515625</v>
      </c>
      <c r="X642" s="26">
        <f t="shared" si="972"/>
        <v>5625.6395822572313</v>
      </c>
      <c r="Y642" s="26">
        <f>VLOOKUP($C642,COS!$B$8:$H$991,4,FALSE)</f>
        <v>1633.0859375</v>
      </c>
      <c r="Z642" s="26">
        <f t="shared" si="973"/>
        <v>97.175361570247929</v>
      </c>
      <c r="AA642" s="26">
        <f t="shared" si="1028"/>
        <v>1633.0859375</v>
      </c>
      <c r="AB642" s="33">
        <f t="shared" si="956"/>
        <v>48.587680785123965</v>
      </c>
    </row>
    <row r="643" spans="1:28" x14ac:dyDescent="0.3">
      <c r="A643" s="34">
        <f>VLOOKUP(YEAR(C643),Flags!$A$13:$B$95,2,FALSE)</f>
        <v>5</v>
      </c>
      <c r="B643" s="35">
        <f t="shared" si="951"/>
        <v>1991</v>
      </c>
      <c r="C643" s="36">
        <v>33603</v>
      </c>
      <c r="D643" s="37"/>
      <c r="E643" s="35"/>
      <c r="F643" s="37"/>
      <c r="G643" s="37"/>
      <c r="H643" s="37"/>
      <c r="I643" s="37"/>
      <c r="J643" s="37"/>
      <c r="K643" s="37"/>
      <c r="L643" s="35"/>
      <c r="M643" s="35"/>
      <c r="N643" s="37"/>
      <c r="O643" s="37"/>
      <c r="P643" s="37"/>
      <c r="Q643" s="37"/>
      <c r="R643" s="37"/>
      <c r="S643" s="37"/>
      <c r="T643" s="37"/>
      <c r="U643" s="37"/>
      <c r="V643" s="37"/>
      <c r="W643" s="37">
        <f>MAX($C$11-VLOOKUP($C643,COS!$B$8:$H$991,3,FALSE),0)</f>
        <v>0</v>
      </c>
      <c r="X643" s="37">
        <f t="shared" si="972"/>
        <v>0</v>
      </c>
      <c r="Y643" s="37">
        <f>VLOOKUP($C643,COS!$B$8:$H$991,4,FALSE)</f>
        <v>3048.85693359375</v>
      </c>
      <c r="Z643" s="37">
        <f t="shared" si="973"/>
        <v>187.46690566890496</v>
      </c>
      <c r="AA643" s="37">
        <f t="shared" si="1028"/>
        <v>0</v>
      </c>
      <c r="AB643" s="38">
        <f t="shared" si="956"/>
        <v>0</v>
      </c>
    </row>
    <row r="644" spans="1:28" x14ac:dyDescent="0.3">
      <c r="A644" s="27">
        <f>VLOOKUP(YEAR(C644),Flags!$A$13:$B$95,2,FALSE)</f>
        <v>5</v>
      </c>
      <c r="B644" s="28">
        <f t="shared" si="951"/>
        <v>1992</v>
      </c>
      <c r="C644" s="29">
        <v>33724</v>
      </c>
      <c r="D644" s="30">
        <f>VLOOKUP($C644,COS!$B$8:$H$991,3,FALSE)</f>
        <v>3250</v>
      </c>
      <c r="E644" s="28">
        <f>IF(D644&gt;=IF(MONTH($C644)=4,$C$3,IF(MONTH($C644)=5,$C$4,IF(MONTH($C644)=6,$C$5,IF(MONTH($C644)=7,$C$6,"ERROR")))),1,0)</f>
        <v>0</v>
      </c>
      <c r="F644" s="30">
        <f>VLOOKUP($C644,COS!$B$8:$H$991,7,FALSE)</f>
        <v>52.492954254150391</v>
      </c>
      <c r="G644" s="28">
        <f>IF(F644&lt;=IF(MONTH($C644)=4,$F$3,IF(MONTH($C644)=5,$F$4,IF(MONTH($C644)=6,$F$5,IF(MONTH($C644)=7,$F$6,"ERROR")))),1,0)</f>
        <v>1</v>
      </c>
      <c r="H644" s="30">
        <f>IF(J644=1,D644-$C$3,0)</f>
        <v>0</v>
      </c>
      <c r="I644" s="30">
        <f t="shared" si="982"/>
        <v>0</v>
      </c>
      <c r="J644" s="28">
        <f t="shared" ref="J644:J647" si="1031">IF(AND(E644=1,G644=1),1,0)</f>
        <v>0</v>
      </c>
      <c r="K644" s="30">
        <f>VLOOKUP($C644,COS!$B$8:$H$991,2,FALSE)</f>
        <v>2746.148681640625</v>
      </c>
      <c r="L644" s="28">
        <f t="shared" ref="L644" si="1032">IF(K644&lt;=IF(MONTH($C644)=4,$I$3,IF(MONTH($C644)=5,$I$4,IF(MONTH($C644)=6,$I$5,IF(MONTH($C644)=7,$I$6,"ERROR")))),1,0)</f>
        <v>1</v>
      </c>
      <c r="M644" s="28">
        <f t="shared" ref="M644" si="1033">VLOOKUP($A644,$L$3:$M$7,2,FALSE)</f>
        <v>1</v>
      </c>
      <c r="N644" s="30">
        <f>VLOOKUP($C644,COS!$B$8:$H$991,5,FALSE)</f>
        <v>32.692440032958984</v>
      </c>
      <c r="O644" s="30">
        <f t="shared" ref="O644:O647" si="1034">N644*DAY($C644)*86400/43560/1000</f>
        <v>1.9453352746884685</v>
      </c>
      <c r="P644" s="30">
        <f>VLOOKUP($C644,COS!$B$8:$H$991,6,FALSE)</f>
        <v>421.25204467773438</v>
      </c>
      <c r="Q644" s="30">
        <f t="shared" ref="Q644:Q647" si="1035">P644*DAY($C644)*86400/43560/1000</f>
        <v>25.066237369253617</v>
      </c>
      <c r="R644" s="30">
        <f>MIN(IF(MONTH($C644)=4,$S$3,IF(MONTH($C644)=5,$S$4,IF(MONTH($C644)=6,$S$5,IF(MONTH($C644)=7,$S$6,"ERROR")))),MAX(VLOOKUP($C644,COS!$B$8:$K$991,10,FALSE)-IF(MONTH($C644)=4,$Y$3,IF(MONTH($C644)=5,$Y$4,IF(MONTH($C644)=6,$Y$5,IF(MONTH($C644)=7,$Y$6,"ERROR")))),0),MAX(VLOOKUP($C644,COS!$B$8:$K$991,9,FALSE)-IF(MONTH($C644)=4,$V$3,IF(MONTH($C644)=5,$V$4,IF(MONTH($C644)=6,$V$5,IF(MONTH($C644)=7,$V$6,"ERROR"))))-VLOOKUP($C644,COS!$B$8:$K$991,6,FALSE)/2,0))</f>
        <v>0</v>
      </c>
      <c r="S644" s="30">
        <f t="shared" ref="S644:S647" si="1036">R644*DAY($C644)*86400/43560/1000</f>
        <v>0</v>
      </c>
      <c r="T644" s="30">
        <f t="shared" ref="T644:T647" si="1037">(O644+Q644)/2+S644</f>
        <v>13.505786321971042</v>
      </c>
      <c r="U644" s="30" t="str">
        <f>IF(VLOOKUP($C644,COS!$B$8:$I$991,8,FALSE)=1,"UWFE","IBU")</f>
        <v>UWFE</v>
      </c>
      <c r="V644" s="30">
        <f t="shared" ref="V644" si="1038">MIN(IF(IF($AA$3=2,AND(E644=1,G644=1,L644=1,L649=1,M644=1,U644="IBU"),AND(E644=1,G644=1,L644=1,L649=1,M644=1)),T644,0),I644)</f>
        <v>0</v>
      </c>
      <c r="W644" s="30"/>
      <c r="X644" s="30"/>
      <c r="Y644" s="30"/>
      <c r="Z644" s="30"/>
      <c r="AA644" s="30"/>
      <c r="AB644" s="31"/>
    </row>
    <row r="645" spans="1:28" x14ac:dyDescent="0.3">
      <c r="A645" s="32">
        <f>VLOOKUP(YEAR(C645),Flags!$A$13:$B$95,2,FALSE)</f>
        <v>5</v>
      </c>
      <c r="B645" s="24">
        <f t="shared" si="951"/>
        <v>1992</v>
      </c>
      <c r="C645" s="25">
        <v>33755</v>
      </c>
      <c r="D645" s="26">
        <f>VLOOKUP($C645,COS!$B$8:$H$991,3,FALSE)</f>
        <v>8644.7744140625</v>
      </c>
      <c r="E645" s="24">
        <f>IF(D645&gt;=IF(MONTH($C645)=4,$C$3,IF(MONTH($C645)=5,$C$4,IF(MONTH($C645)=6,$C$5,IF(MONTH($C645)=7,$C$6,"ERROR")))),1,0)</f>
        <v>1</v>
      </c>
      <c r="F645" s="26">
        <f>VLOOKUP($C645,COS!$B$8:$H$991,7,FALSE)</f>
        <v>52.123382568359375</v>
      </c>
      <c r="G645" s="24">
        <f>IF(F645&lt;=IF(MONTH($C645)=4,$F$3,IF(MONTH($C645)=5,$F$4,IF(MONTH($C645)=6,$F$5,IF(MONTH($C645)=7,$F$6,"ERROR")))),1,0)</f>
        <v>1</v>
      </c>
      <c r="H645" s="26">
        <f>IF(J645=1,D645-$C$4,0)</f>
        <v>2644.7744140625</v>
      </c>
      <c r="I645" s="26">
        <f t="shared" si="982"/>
        <v>162.62084000516529</v>
      </c>
      <c r="J645" s="24">
        <f t="shared" si="1031"/>
        <v>1</v>
      </c>
      <c r="K645" s="26">
        <f>VLOOKUP($C645,COS!$B$8:$H$991,2,FALSE)</f>
        <v>2460.489501953125</v>
      </c>
      <c r="L645" s="24">
        <f t="shared" si="944"/>
        <v>1</v>
      </c>
      <c r="M645" s="24">
        <f t="shared" si="945"/>
        <v>1</v>
      </c>
      <c r="N645" s="26">
        <f>VLOOKUP($C645,COS!$B$8:$H$991,5,FALSE)</f>
        <v>10.813337326049805</v>
      </c>
      <c r="O645" s="26">
        <f t="shared" si="1034"/>
        <v>0.66488619591578968</v>
      </c>
      <c r="P645" s="26">
        <f>VLOOKUP($C645,COS!$B$8:$H$991,6,FALSE)</f>
        <v>2317.093994140625</v>
      </c>
      <c r="Q645" s="26">
        <f t="shared" si="1035"/>
        <v>142.47255633393593</v>
      </c>
      <c r="R645" s="26">
        <f>MIN(IF(MONTH($C645)=4,$S$3,IF(MONTH($C645)=5,$S$4,IF(MONTH($C645)=6,$S$5,IF(MONTH($C645)=7,$S$6,"ERROR")))),MAX(VLOOKUP($C645,COS!$B$8:$K$991,10,FALSE)-IF(MONTH($C645)=4,$Y$3,IF(MONTH($C645)=5,$Y$4,IF(MONTH($C645)=6,$Y$5,IF(MONTH($C645)=7,$Y$6,"ERROR")))),0),MAX(VLOOKUP($C645,COS!$B$8:$K$991,9,FALSE)-IF(MONTH($C645)=4,$V$3,IF(MONTH($C645)=5,$V$4,IF(MONTH($C645)=6,$V$5,IF(MONTH($C645)=7,$V$6,"ERROR"))))-VLOOKUP($C645,COS!$B$8:$K$991,6,FALSE)/2,0))</f>
        <v>0</v>
      </c>
      <c r="S645" s="26">
        <f t="shared" si="1036"/>
        <v>0</v>
      </c>
      <c r="T645" s="26">
        <f t="shared" si="1037"/>
        <v>71.568721264925856</v>
      </c>
      <c r="U645" s="26" t="str">
        <f>IF(VLOOKUP($C645,COS!$B$8:$I$991,8,FALSE)=1,"UWFE","IBU")</f>
        <v>IBU</v>
      </c>
      <c r="V645" s="26">
        <f t="shared" ref="V645" si="1039">MIN(IF(IF($AA$3=2,AND(E645=1,G645=1,L645=1,L649=1,M645=1,U645="IBU"),AND(E645=1,G645=1,L645=1,L649=1,M645=1)),T645,0),I645)</f>
        <v>71.568721264925856</v>
      </c>
      <c r="W645" s="26"/>
      <c r="X645" s="26"/>
      <c r="Y645" s="26"/>
      <c r="Z645" s="26"/>
      <c r="AA645" s="26"/>
      <c r="AB645" s="33"/>
    </row>
    <row r="646" spans="1:28" x14ac:dyDescent="0.3">
      <c r="A646" s="32">
        <f>VLOOKUP(YEAR(C646),Flags!$A$13:$B$95,2,FALSE)</f>
        <v>5</v>
      </c>
      <c r="B646" s="24">
        <f t="shared" si="951"/>
        <v>1992</v>
      </c>
      <c r="C646" s="25">
        <v>33785</v>
      </c>
      <c r="D646" s="26">
        <f>VLOOKUP($C646,COS!$B$8:$H$991,3,FALSE)</f>
        <v>10366.1689453125</v>
      </c>
      <c r="E646" s="24">
        <f>IF(D646&gt;=IF(MONTH($C646)=4,$C$3,IF(MONTH($C646)=5,$C$4,IF(MONTH($C646)=6,$C$5,IF(MONTH($C646)=7,$C$6,"ERROR")))),1,0)</f>
        <v>1</v>
      </c>
      <c r="F646" s="26">
        <f>VLOOKUP($C646,COS!$B$8:$H$991,7,FALSE)</f>
        <v>53.589008331298828</v>
      </c>
      <c r="G646" s="24">
        <f>IF(F646&lt;=IF(MONTH($C646)=4,$F$3,IF(MONTH($C646)=5,$F$4,IF(MONTH($C646)=6,$F$5,IF(MONTH($C646)=7,$F$6,"ERROR")))),1,0)</f>
        <v>1</v>
      </c>
      <c r="H646" s="26">
        <f>IF(J646=1,D646-$C$5,0)</f>
        <v>366.1689453125</v>
      </c>
      <c r="I646" s="26">
        <f t="shared" si="982"/>
        <v>21.788565340909091</v>
      </c>
      <c r="J646" s="24">
        <f t="shared" si="1031"/>
        <v>1</v>
      </c>
      <c r="K646" s="26">
        <f>VLOOKUP($C646,COS!$B$8:$H$991,2,FALSE)</f>
        <v>2027.753173828125</v>
      </c>
      <c r="L646" s="24">
        <f t="shared" si="944"/>
        <v>1</v>
      </c>
      <c r="M646" s="24">
        <f t="shared" si="945"/>
        <v>1</v>
      </c>
      <c r="N646" s="26">
        <f>VLOOKUP($C646,COS!$B$8:$H$991,5,FALSE)</f>
        <v>98.261642456054688</v>
      </c>
      <c r="O646" s="26">
        <f t="shared" si="1034"/>
        <v>5.8469737659801142</v>
      </c>
      <c r="P646" s="26">
        <f>VLOOKUP($C646,COS!$B$8:$H$991,6,FALSE)</f>
        <v>2327.949951171875</v>
      </c>
      <c r="Q646" s="26">
        <f t="shared" si="1035"/>
        <v>138.52264172262394</v>
      </c>
      <c r="R646" s="26">
        <f>MIN(IF(MONTH($C646)=4,$S$3,IF(MONTH($C646)=5,$S$4,IF(MONTH($C646)=6,$S$5,IF(MONTH($C646)=7,$S$6,"ERROR")))),MAX(VLOOKUP($C646,COS!$B$8:$K$991,10,FALSE)-IF(MONTH($C646)=4,$Y$3,IF(MONTH($C646)=5,$Y$4,IF(MONTH($C646)=6,$Y$5,IF(MONTH($C646)=7,$Y$6,"ERROR")))),0),MAX(VLOOKUP($C646,COS!$B$8:$K$991,9,FALSE)-IF(MONTH($C646)=4,$V$3,IF(MONTH($C646)=5,$V$4,IF(MONTH($C646)=6,$V$5,IF(MONTH($C646)=7,$V$6,"ERROR"))))-VLOOKUP($C646,COS!$B$8:$K$991,6,FALSE)/2,0))</f>
        <v>0</v>
      </c>
      <c r="S646" s="26">
        <f t="shared" si="1036"/>
        <v>0</v>
      </c>
      <c r="T646" s="26">
        <f t="shared" si="1037"/>
        <v>72.184807744302034</v>
      </c>
      <c r="U646" s="26" t="str">
        <f>IF(VLOOKUP($C646,COS!$B$8:$I$991,8,FALSE)=1,"UWFE","IBU")</f>
        <v>IBU</v>
      </c>
      <c r="V646" s="26">
        <f t="shared" ref="V646" si="1040">MIN(IF(IF($AA$3=2,AND(E646=1,G646=1,L646=1,L649=1,M646=1,U646="IBU"),AND(E646=1,G646=1,L646=1,L649=1,M646=1)),T646,0),I646)</f>
        <v>21.788565340909091</v>
      </c>
      <c r="W646" s="26"/>
      <c r="X646" s="26"/>
      <c r="Y646" s="26"/>
      <c r="Z646" s="26"/>
      <c r="AA646" s="26"/>
      <c r="AB646" s="33"/>
    </row>
    <row r="647" spans="1:28" x14ac:dyDescent="0.3">
      <c r="A647" s="32">
        <f>VLOOKUP(YEAR(C647),Flags!$A$13:$B$95,2,FALSE)</f>
        <v>5</v>
      </c>
      <c r="B647" s="24">
        <f t="shared" si="951"/>
        <v>1992</v>
      </c>
      <c r="C647" s="25">
        <v>33816</v>
      </c>
      <c r="D647" s="26">
        <f>VLOOKUP($C647,COS!$B$8:$H$991,3,FALSE)</f>
        <v>9934.8115234375</v>
      </c>
      <c r="E647" s="24">
        <f>IF(D647&gt;=IF(MONTH($C647)=4,$C$3,IF(MONTH($C647)=5,$C$4,IF(MONTH($C647)=6,$C$5,IF(MONTH($C647)=7,$C$6,"ERROR")))),1,0)</f>
        <v>0</v>
      </c>
      <c r="F647" s="26">
        <f>VLOOKUP($C647,COS!$B$8:$H$991,7,FALSE)</f>
        <v>55.741245269775391</v>
      </c>
      <c r="G647" s="24">
        <f>IF(F647&lt;=IF(MONTH($C647)=4,$F$3,IF(MONTH($C647)=5,$F$4,IF(MONTH($C647)=6,$F$5,IF(MONTH($C647)=7,$F$6,"ERROR")))),1,0)</f>
        <v>0</v>
      </c>
      <c r="H647" s="26">
        <f>IF(J647=1,D647-$C$6,0)</f>
        <v>0</v>
      </c>
      <c r="I647" s="26">
        <f t="shared" si="982"/>
        <v>0</v>
      </c>
      <c r="J647" s="24">
        <f t="shared" si="1031"/>
        <v>0</v>
      </c>
      <c r="K647" s="26">
        <f>VLOOKUP($C647,COS!$B$8:$H$991,2,FALSE)</f>
        <v>1648.2286376953125</v>
      </c>
      <c r="L647" s="24">
        <f t="shared" si="944"/>
        <v>1</v>
      </c>
      <c r="M647" s="24">
        <f t="shared" si="945"/>
        <v>1</v>
      </c>
      <c r="N647" s="26">
        <f>VLOOKUP($C647,COS!$B$8:$H$991,5,FALSE)</f>
        <v>123.65061187744141</v>
      </c>
      <c r="O647" s="26">
        <f t="shared" si="1034"/>
        <v>7.6029797716377194</v>
      </c>
      <c r="P647" s="26">
        <f>VLOOKUP($C647,COS!$B$8:$H$991,6,FALSE)</f>
        <v>2316.5048828125</v>
      </c>
      <c r="Q647" s="26">
        <f t="shared" si="1035"/>
        <v>142.43633329028924</v>
      </c>
      <c r="R647" s="26">
        <f>MIN(IF(MONTH($C647)=4,$S$3,IF(MONTH($C647)=5,$S$4,IF(MONTH($C647)=6,$S$5,IF(MONTH($C647)=7,$S$6,"ERROR")))),MAX(VLOOKUP($C647,COS!$B$8:$K$991,10,FALSE)-IF(MONTH($C647)=4,$Y$3,IF(MONTH($C647)=5,$Y$4,IF(MONTH($C647)=6,$Y$5,IF(MONTH($C647)=7,$Y$6,"ERROR")))),0),MAX(VLOOKUP($C647,COS!$B$8:$K$991,9,FALSE)-IF(MONTH($C647)=4,$V$3,IF(MONTH($C647)=5,$V$4,IF(MONTH($C647)=6,$V$5,IF(MONTH($C647)=7,$V$6,"ERROR"))))-VLOOKUP($C647,COS!$B$8:$K$991,6,FALSE)/2,0))</f>
        <v>0</v>
      </c>
      <c r="S647" s="26">
        <f t="shared" si="1036"/>
        <v>0</v>
      </c>
      <c r="T647" s="26">
        <f t="shared" si="1037"/>
        <v>75.019656530963474</v>
      </c>
      <c r="U647" s="26" t="str">
        <f>IF(VLOOKUP($C647,COS!$B$8:$I$991,8,FALSE)=1,"UWFE","IBU")</f>
        <v>IBU</v>
      </c>
      <c r="V647" s="26">
        <f t="shared" ref="V647" si="1041">MIN(IF(IF($AA$3=2,AND(E647=1,G647=1,L647=1,L649=1,M647=1,U647="IBU"),AND(E647=1,G647=1,L647=1,L649=1,M647=1)),T647,0),I647)</f>
        <v>0</v>
      </c>
      <c r="W647" s="26"/>
      <c r="X647" s="26"/>
      <c r="Y647" s="26"/>
      <c r="Z647" s="26"/>
      <c r="AA647" s="26"/>
      <c r="AB647" s="33"/>
    </row>
    <row r="648" spans="1:28" x14ac:dyDescent="0.3">
      <c r="A648" s="32">
        <f>VLOOKUP(YEAR(C648),Flags!$A$13:$B$95,2,FALSE)</f>
        <v>5</v>
      </c>
      <c r="B648" s="24">
        <f t="shared" si="951"/>
        <v>1992</v>
      </c>
      <c r="C648" s="25">
        <v>33847</v>
      </c>
      <c r="D648" s="26"/>
      <c r="E648" s="24"/>
      <c r="F648" s="26"/>
      <c r="G648" s="24"/>
      <c r="H648" s="24"/>
      <c r="I648" s="26"/>
      <c r="J648" s="24"/>
      <c r="K648" s="26"/>
      <c r="L648" s="24"/>
      <c r="M648" s="24"/>
      <c r="N648" s="26"/>
      <c r="O648" s="26"/>
      <c r="P648" s="26"/>
      <c r="Q648" s="26"/>
      <c r="R648" s="26"/>
      <c r="S648" s="26"/>
      <c r="T648" s="26"/>
      <c r="U648" s="26"/>
      <c r="V648" s="26"/>
      <c r="W648" s="26">
        <f>MAX($C$7-VLOOKUP($C648,COS!$B$8:$H$991,3,FALSE),0)</f>
        <v>92619.11181640625</v>
      </c>
      <c r="X648" s="26">
        <f t="shared" si="972"/>
        <v>5694.9272059013438</v>
      </c>
      <c r="Y648" s="26">
        <f>VLOOKUP($C648,COS!$B$8:$H$991,4,FALSE)</f>
        <v>2159.716552734375</v>
      </c>
      <c r="Z648" s="26">
        <f t="shared" si="973"/>
        <v>132.79579464746902</v>
      </c>
      <c r="AA648" s="26">
        <f t="shared" ref="AA648:AA652" si="1042">MIN(W648,Y648)</f>
        <v>2159.716552734375</v>
      </c>
      <c r="AB648" s="33">
        <f t="shared" ref="AB648" si="1043">AA648*DAY($C648)*86400/43560/1000*IF(MONTH($C648)=8,$P$3,IF(MONTH($C648)=9,$P$4,IF(MONTH($C648)=10,$P$5,IF(MONTH($C648)=11,$P$6,IF(MONTH($C648)=12,$P$7,NA())))))</f>
        <v>132.79579464746902</v>
      </c>
    </row>
    <row r="649" spans="1:28" x14ac:dyDescent="0.3">
      <c r="A649" s="32">
        <f>VLOOKUP(YEAR(C649),Flags!$A$13:$B$95,2,FALSE)</f>
        <v>5</v>
      </c>
      <c r="B649" s="24">
        <f t="shared" si="951"/>
        <v>1992</v>
      </c>
      <c r="C649" s="25">
        <v>33877</v>
      </c>
      <c r="D649" s="26"/>
      <c r="E649" s="24"/>
      <c r="F649" s="26"/>
      <c r="G649" s="24"/>
      <c r="H649" s="24"/>
      <c r="I649" s="26"/>
      <c r="J649" s="24"/>
      <c r="K649" s="26">
        <f>VLOOKUP($C649,COS!$B$8:$H$991,2,FALSE)</f>
        <v>1352.76123046875</v>
      </c>
      <c r="L649" s="24">
        <f t="shared" ref="L649" si="1044">IF(AND(K649&gt;$I$7,K649&lt;$I$8),1,0)</f>
        <v>1</v>
      </c>
      <c r="M649" s="24"/>
      <c r="N649" s="26"/>
      <c r="O649" s="26"/>
      <c r="P649" s="26"/>
      <c r="Q649" s="26"/>
      <c r="R649" s="26"/>
      <c r="S649" s="26"/>
      <c r="T649" s="26"/>
      <c r="U649" s="26"/>
      <c r="V649" s="26"/>
      <c r="W649" s="26">
        <f>MAX($C$8-VLOOKUP($C649,COS!$B$8:$H$991,3,FALSE),0)</f>
        <v>95768.34130859375</v>
      </c>
      <c r="X649" s="26">
        <f t="shared" si="972"/>
        <v>5698.6120448088841</v>
      </c>
      <c r="Y649" s="26">
        <f>VLOOKUP($C649,COS!$B$8:$H$991,4,FALSE)</f>
        <v>1930.2186279296875</v>
      </c>
      <c r="Z649" s="26">
        <f t="shared" si="973"/>
        <v>114.85598447184918</v>
      </c>
      <c r="AA649" s="26">
        <f t="shared" si="1042"/>
        <v>1930.2186279296875</v>
      </c>
      <c r="AB649" s="33">
        <f t="shared" si="956"/>
        <v>114.85598447184918</v>
      </c>
    </row>
    <row r="650" spans="1:28" x14ac:dyDescent="0.3">
      <c r="A650" s="32">
        <f>VLOOKUP(YEAR(C650),Flags!$A$13:$B$95,2,FALSE)</f>
        <v>5</v>
      </c>
      <c r="B650" s="24">
        <f t="shared" si="951"/>
        <v>1992</v>
      </c>
      <c r="C650" s="25">
        <v>33908</v>
      </c>
      <c r="D650" s="26"/>
      <c r="E650" s="24"/>
      <c r="F650" s="26"/>
      <c r="G650" s="26"/>
      <c r="H650" s="26"/>
      <c r="I650" s="26"/>
      <c r="J650" s="26"/>
      <c r="K650" s="26"/>
      <c r="L650" s="24"/>
      <c r="M650" s="24"/>
      <c r="N650" s="26"/>
      <c r="O650" s="26"/>
      <c r="P650" s="26"/>
      <c r="Q650" s="26"/>
      <c r="R650" s="26"/>
      <c r="S650" s="26"/>
      <c r="T650" s="26"/>
      <c r="U650" s="26"/>
      <c r="V650" s="26"/>
      <c r="W650" s="26">
        <f>MAX($C$9-VLOOKUP($C650,COS!$B$8:$H$991,3,FALSE),0)</f>
        <v>94532.16748046875</v>
      </c>
      <c r="X650" s="26">
        <f t="shared" si="972"/>
        <v>5812.5564136751036</v>
      </c>
      <c r="Y650" s="26">
        <f>VLOOKUP($C650,COS!$B$8:$H$991,4,FALSE)</f>
        <v>1311.4129638671875</v>
      </c>
      <c r="Z650" s="26">
        <f t="shared" si="973"/>
        <v>80.635640092329538</v>
      </c>
      <c r="AA650" s="26">
        <f t="shared" si="1042"/>
        <v>1311.4129638671875</v>
      </c>
      <c r="AB650" s="33">
        <f t="shared" si="956"/>
        <v>80.635640092329538</v>
      </c>
    </row>
    <row r="651" spans="1:28" x14ac:dyDescent="0.3">
      <c r="A651" s="32">
        <f>VLOOKUP(YEAR(C651),Flags!$A$13:$B$95,2,FALSE)</f>
        <v>5</v>
      </c>
      <c r="B651" s="24">
        <f t="shared" si="951"/>
        <v>1992</v>
      </c>
      <c r="C651" s="25">
        <v>33938</v>
      </c>
      <c r="D651" s="26"/>
      <c r="E651" s="24"/>
      <c r="F651" s="26"/>
      <c r="G651" s="26"/>
      <c r="H651" s="26"/>
      <c r="I651" s="26"/>
      <c r="J651" s="26"/>
      <c r="K651" s="26"/>
      <c r="L651" s="24"/>
      <c r="M651" s="24"/>
      <c r="N651" s="26"/>
      <c r="O651" s="26"/>
      <c r="P651" s="26"/>
      <c r="Q651" s="26"/>
      <c r="R651" s="26"/>
      <c r="S651" s="26"/>
      <c r="T651" s="26"/>
      <c r="U651" s="26"/>
      <c r="V651" s="26"/>
      <c r="W651" s="26">
        <f>MAX($C$10-VLOOKUP($C651,COS!$B$8:$H$991,3,FALSE),0)</f>
        <v>95167.818359375</v>
      </c>
      <c r="X651" s="26">
        <f t="shared" si="972"/>
        <v>5662.8784478305779</v>
      </c>
      <c r="Y651" s="26">
        <f>VLOOKUP($C651,COS!$B$8:$H$991,4,FALSE)</f>
        <v>1543.501953125</v>
      </c>
      <c r="Z651" s="26">
        <f t="shared" si="973"/>
        <v>91.844744318181824</v>
      </c>
      <c r="AA651" s="26">
        <f t="shared" si="1042"/>
        <v>1543.501953125</v>
      </c>
      <c r="AB651" s="33">
        <f t="shared" si="956"/>
        <v>45.922372159090912</v>
      </c>
    </row>
    <row r="652" spans="1:28" x14ac:dyDescent="0.3">
      <c r="A652" s="34">
        <f>VLOOKUP(YEAR(C652),Flags!$A$13:$B$95,2,FALSE)</f>
        <v>5</v>
      </c>
      <c r="B652" s="35">
        <f t="shared" si="951"/>
        <v>1992</v>
      </c>
      <c r="C652" s="36">
        <v>33969</v>
      </c>
      <c r="D652" s="37"/>
      <c r="E652" s="35"/>
      <c r="F652" s="37"/>
      <c r="G652" s="37"/>
      <c r="H652" s="37"/>
      <c r="I652" s="37"/>
      <c r="J652" s="37"/>
      <c r="K652" s="37"/>
      <c r="L652" s="35"/>
      <c r="M652" s="35"/>
      <c r="N652" s="37"/>
      <c r="O652" s="37"/>
      <c r="P652" s="37"/>
      <c r="Q652" s="37"/>
      <c r="R652" s="37"/>
      <c r="S652" s="37"/>
      <c r="T652" s="37"/>
      <c r="U652" s="37"/>
      <c r="V652" s="37"/>
      <c r="W652" s="37">
        <f>MAX($C$11-VLOOKUP($C652,COS!$B$8:$H$991,3,FALSE),0)</f>
        <v>0</v>
      </c>
      <c r="X652" s="37">
        <f t="shared" si="972"/>
        <v>0</v>
      </c>
      <c r="Y652" s="37">
        <f>VLOOKUP($C652,COS!$B$8:$H$991,4,FALSE)</f>
        <v>1778.0540771484375</v>
      </c>
      <c r="Z652" s="37">
        <f t="shared" si="973"/>
        <v>109.32828375193698</v>
      </c>
      <c r="AA652" s="37">
        <f t="shared" si="1042"/>
        <v>0</v>
      </c>
      <c r="AB652" s="38">
        <f t="shared" si="956"/>
        <v>0</v>
      </c>
    </row>
    <row r="653" spans="1:28" x14ac:dyDescent="0.3">
      <c r="A653" s="27">
        <f>VLOOKUP(YEAR(C653),Flags!$A$13:$B$95,2,FALSE)</f>
        <v>2</v>
      </c>
      <c r="B653" s="28">
        <f t="shared" si="951"/>
        <v>1993</v>
      </c>
      <c r="C653" s="29">
        <v>34089</v>
      </c>
      <c r="D653" s="30">
        <f>VLOOKUP($C653,COS!$B$8:$H$991,3,FALSE)</f>
        <v>4509.7060546875</v>
      </c>
      <c r="E653" s="28">
        <f>IF(D653&gt;=IF(MONTH($C653)=4,$C$3,IF(MONTH($C653)=5,$C$4,IF(MONTH($C653)=6,$C$5,IF(MONTH($C653)=7,$C$6,"ERROR")))),1,0)</f>
        <v>0</v>
      </c>
      <c r="F653" s="30">
        <f>VLOOKUP($C653,COS!$B$8:$H$991,7,FALSE)</f>
        <v>48.90673828125</v>
      </c>
      <c r="G653" s="28">
        <f>IF(F653&lt;=IF(MONTH($C653)=4,$F$3,IF(MONTH($C653)=5,$F$4,IF(MONTH($C653)=6,$F$5,IF(MONTH($C653)=7,$F$6,"ERROR")))),1,0)</f>
        <v>1</v>
      </c>
      <c r="H653" s="30">
        <f>IF(J653=1,D653-$C$3,0)</f>
        <v>0</v>
      </c>
      <c r="I653" s="30">
        <f t="shared" si="982"/>
        <v>0</v>
      </c>
      <c r="J653" s="28">
        <f t="shared" ref="J653:J656" si="1045">IF(AND(E653=1,G653=1),1,0)</f>
        <v>0</v>
      </c>
      <c r="K653" s="30">
        <f>VLOOKUP($C653,COS!$B$8:$H$991,2,FALSE)</f>
        <v>4552</v>
      </c>
      <c r="L653" s="28">
        <f t="shared" ref="L653:L710" si="1046">IF(K653&lt;=IF(MONTH($C653)=4,$I$3,IF(MONTH($C653)=5,$I$4,IF(MONTH($C653)=6,$I$5,IF(MONTH($C653)=7,$I$6,"ERROR")))),1,0)</f>
        <v>1</v>
      </c>
      <c r="M653" s="28">
        <f t="shared" ref="M653:M710" si="1047">VLOOKUP($A653,$L$3:$M$7,2,FALSE)</f>
        <v>0</v>
      </c>
      <c r="N653" s="30">
        <f>VLOOKUP($C653,COS!$B$8:$H$991,5,FALSE)</f>
        <v>455.07608032226563</v>
      </c>
      <c r="O653" s="30">
        <f t="shared" ref="O653:O656" si="1048">N653*DAY($C653)*86400/43560/1000</f>
        <v>27.078907258845557</v>
      </c>
      <c r="P653" s="30">
        <f>VLOOKUP($C653,COS!$B$8:$H$991,6,FALSE)</f>
        <v>445.36074829101563</v>
      </c>
      <c r="Q653" s="30">
        <f t="shared" ref="Q653:Q656" si="1049">P653*DAY($C653)*86400/43560/1000</f>
        <v>26.500804856986054</v>
      </c>
      <c r="R653" s="30">
        <f>MIN(IF(MONTH($C653)=4,$S$3,IF(MONTH($C653)=5,$S$4,IF(MONTH($C653)=6,$S$5,IF(MONTH($C653)=7,$S$6,"ERROR")))),MAX(VLOOKUP($C653,COS!$B$8:$K$991,10,FALSE)-IF(MONTH($C653)=4,$Y$3,IF(MONTH($C653)=5,$Y$4,IF(MONTH($C653)=6,$Y$5,IF(MONTH($C653)=7,$Y$6,"ERROR")))),0),MAX(VLOOKUP($C653,COS!$B$8:$K$991,9,FALSE)-IF(MONTH($C653)=4,$V$3,IF(MONTH($C653)=5,$V$4,IF(MONTH($C653)=6,$V$5,IF(MONTH($C653)=7,$V$6,"ERROR"))))-VLOOKUP($C653,COS!$B$8:$K$991,6,FALSE)/2,0))</f>
        <v>0</v>
      </c>
      <c r="S653" s="30">
        <f t="shared" ref="S653:S656" si="1050">R653*DAY($C653)*86400/43560/1000</f>
        <v>0</v>
      </c>
      <c r="T653" s="30">
        <f t="shared" ref="T653:T656" si="1051">(O653+Q653)/2+S653</f>
        <v>26.789856057915806</v>
      </c>
      <c r="U653" s="30" t="str">
        <f>IF(VLOOKUP($C653,COS!$B$8:$I$991,8,FALSE)=1,"UWFE","IBU")</f>
        <v>UWFE</v>
      </c>
      <c r="V653" s="30">
        <f t="shared" ref="V653" si="1052">MIN(IF(IF($AA$3=2,AND(E653=1,G653=1,L653=1,L658=1,M653=1,U653="IBU"),AND(E653=1,G653=1,L653=1,L658=1,M653=1)),T653,0),I653)</f>
        <v>0</v>
      </c>
      <c r="W653" s="30"/>
      <c r="X653" s="30"/>
      <c r="Y653" s="30"/>
      <c r="Z653" s="30"/>
      <c r="AA653" s="30"/>
      <c r="AB653" s="31"/>
    </row>
    <row r="654" spans="1:28" x14ac:dyDescent="0.3">
      <c r="A654" s="32">
        <f>VLOOKUP(YEAR(C654),Flags!$A$13:$B$95,2,FALSE)</f>
        <v>2</v>
      </c>
      <c r="B654" s="24">
        <f t="shared" si="951"/>
        <v>1993</v>
      </c>
      <c r="C654" s="25">
        <v>34120</v>
      </c>
      <c r="D654" s="26">
        <f>VLOOKUP($C654,COS!$B$8:$H$991,3,FALSE)</f>
        <v>9188.9970703125</v>
      </c>
      <c r="E654" s="24">
        <f>IF(D654&gt;=IF(MONTH($C654)=4,$C$3,IF(MONTH($C654)=5,$C$4,IF(MONTH($C654)=6,$C$5,IF(MONTH($C654)=7,$C$6,"ERROR")))),1,0)</f>
        <v>1</v>
      </c>
      <c r="F654" s="26">
        <f>VLOOKUP($C654,COS!$B$8:$H$991,7,FALSE)</f>
        <v>49.416866302490234</v>
      </c>
      <c r="G654" s="24">
        <f>IF(F654&lt;=IF(MONTH($C654)=4,$F$3,IF(MONTH($C654)=5,$F$4,IF(MONTH($C654)=6,$F$5,IF(MONTH($C654)=7,$F$6,"ERROR")))),1,0)</f>
        <v>1</v>
      </c>
      <c r="H654" s="26">
        <f>IF(J654=1,D654-$C$4,0)</f>
        <v>3188.9970703125</v>
      </c>
      <c r="I654" s="26">
        <f t="shared" si="982"/>
        <v>196.08378680268595</v>
      </c>
      <c r="J654" s="24">
        <f t="shared" si="1045"/>
        <v>1</v>
      </c>
      <c r="K654" s="26">
        <f>VLOOKUP($C654,COS!$B$8:$H$991,2,FALSE)</f>
        <v>4552</v>
      </c>
      <c r="L654" s="24">
        <f t="shared" si="1046"/>
        <v>1</v>
      </c>
      <c r="M654" s="24">
        <f t="shared" si="1047"/>
        <v>0</v>
      </c>
      <c r="N654" s="26">
        <f>VLOOKUP($C654,COS!$B$8:$H$991,5,FALSE)</f>
        <v>533.46905517578125</v>
      </c>
      <c r="O654" s="26">
        <f t="shared" si="1048"/>
        <v>32.801733640560435</v>
      </c>
      <c r="P654" s="26">
        <f>VLOOKUP($C654,COS!$B$8:$H$991,6,FALSE)</f>
        <v>1840.1044921875</v>
      </c>
      <c r="Q654" s="26">
        <f t="shared" si="1049"/>
        <v>113.14361505681818</v>
      </c>
      <c r="R654" s="26">
        <f>MIN(IF(MONTH($C654)=4,$S$3,IF(MONTH($C654)=5,$S$4,IF(MONTH($C654)=6,$S$5,IF(MONTH($C654)=7,$S$6,"ERROR")))),MAX(VLOOKUP($C654,COS!$B$8:$K$991,10,FALSE)-IF(MONTH($C654)=4,$Y$3,IF(MONTH($C654)=5,$Y$4,IF(MONTH($C654)=6,$Y$5,IF(MONTH($C654)=7,$Y$6,"ERROR")))),0),MAX(VLOOKUP($C654,COS!$B$8:$K$991,9,FALSE)-IF(MONTH($C654)=4,$V$3,IF(MONTH($C654)=5,$V$4,IF(MONTH($C654)=6,$V$5,IF(MONTH($C654)=7,$V$6,"ERROR"))))-VLOOKUP($C654,COS!$B$8:$K$991,6,FALSE)/2,0))</f>
        <v>0</v>
      </c>
      <c r="S654" s="26">
        <f t="shared" si="1050"/>
        <v>0</v>
      </c>
      <c r="T654" s="26">
        <f t="shared" si="1051"/>
        <v>72.97267434868931</v>
      </c>
      <c r="U654" s="26" t="str">
        <f>IF(VLOOKUP($C654,COS!$B$8:$I$991,8,FALSE)=1,"UWFE","IBU")</f>
        <v>UWFE</v>
      </c>
      <c r="V654" s="26">
        <f t="shared" ref="V654" si="1053">MIN(IF(IF($AA$3=2,AND(E654=1,G654=1,L654=1,L658=1,M654=1,U654="IBU"),AND(E654=1,G654=1,L654=1,L658=1,M654=1)),T654,0),I654)</f>
        <v>0</v>
      </c>
      <c r="W654" s="26"/>
      <c r="X654" s="26"/>
      <c r="Y654" s="26"/>
      <c r="Z654" s="26"/>
      <c r="AA654" s="26"/>
      <c r="AB654" s="33"/>
    </row>
    <row r="655" spans="1:28" x14ac:dyDescent="0.3">
      <c r="A655" s="32">
        <f>VLOOKUP(YEAR(C655),Flags!$A$13:$B$95,2,FALSE)</f>
        <v>2</v>
      </c>
      <c r="B655" s="24">
        <f t="shared" ref="B655:B718" si="1054">YEAR(C655)</f>
        <v>1993</v>
      </c>
      <c r="C655" s="25">
        <v>34150</v>
      </c>
      <c r="D655" s="26">
        <f>VLOOKUP($C655,COS!$B$8:$H$991,3,FALSE)</f>
        <v>8366.6103515625</v>
      </c>
      <c r="E655" s="24">
        <f>IF(D655&gt;=IF(MONTH($C655)=4,$C$3,IF(MONTH($C655)=5,$C$4,IF(MONTH($C655)=6,$C$5,IF(MONTH($C655)=7,$C$6,"ERROR")))),1,0)</f>
        <v>0</v>
      </c>
      <c r="F655" s="26">
        <f>VLOOKUP($C655,COS!$B$8:$H$991,7,FALSE)</f>
        <v>51.333587646484375</v>
      </c>
      <c r="G655" s="24">
        <f>IF(F655&lt;=IF(MONTH($C655)=4,$F$3,IF(MONTH($C655)=5,$F$4,IF(MONTH($C655)=6,$F$5,IF(MONTH($C655)=7,$F$6,"ERROR")))),1,0)</f>
        <v>1</v>
      </c>
      <c r="H655" s="26">
        <f>IF(J655=1,D655-$C$5,0)</f>
        <v>0</v>
      </c>
      <c r="I655" s="26">
        <f t="shared" si="982"/>
        <v>0</v>
      </c>
      <c r="J655" s="24">
        <f t="shared" si="1045"/>
        <v>0</v>
      </c>
      <c r="K655" s="26">
        <f>VLOOKUP($C655,COS!$B$8:$H$991,2,FALSE)</f>
        <v>4500</v>
      </c>
      <c r="L655" s="24">
        <f t="shared" si="1046"/>
        <v>1</v>
      </c>
      <c r="M655" s="24">
        <f t="shared" si="1047"/>
        <v>0</v>
      </c>
      <c r="N655" s="26">
        <f>VLOOKUP($C655,COS!$B$8:$H$991,5,FALSE)</f>
        <v>1014.9423828125</v>
      </c>
      <c r="O655" s="26">
        <f t="shared" si="1048"/>
        <v>60.39326575413223</v>
      </c>
      <c r="P655" s="26">
        <f>VLOOKUP($C655,COS!$B$8:$H$991,6,FALSE)</f>
        <v>2171.25048828125</v>
      </c>
      <c r="Q655" s="26">
        <f t="shared" si="1049"/>
        <v>129.19837616219007</v>
      </c>
      <c r="R655" s="26">
        <f>MIN(IF(MONTH($C655)=4,$S$3,IF(MONTH($C655)=5,$S$4,IF(MONTH($C655)=6,$S$5,IF(MONTH($C655)=7,$S$6,"ERROR")))),MAX(VLOOKUP($C655,COS!$B$8:$K$991,10,FALSE)-IF(MONTH($C655)=4,$Y$3,IF(MONTH($C655)=5,$Y$4,IF(MONTH($C655)=6,$Y$5,IF(MONTH($C655)=7,$Y$6,"ERROR")))),0),MAX(VLOOKUP($C655,COS!$B$8:$K$991,9,FALSE)-IF(MONTH($C655)=4,$V$3,IF(MONTH($C655)=5,$V$4,IF(MONTH($C655)=6,$V$5,IF(MONTH($C655)=7,$V$6,"ERROR"))))-VLOOKUP($C655,COS!$B$8:$K$991,6,FALSE)/2,0))</f>
        <v>0</v>
      </c>
      <c r="S655" s="26">
        <f t="shared" si="1050"/>
        <v>0</v>
      </c>
      <c r="T655" s="26">
        <f t="shared" si="1051"/>
        <v>94.795820958161158</v>
      </c>
      <c r="U655" s="26" t="str">
        <f>IF(VLOOKUP($C655,COS!$B$8:$I$991,8,FALSE)=1,"UWFE","IBU")</f>
        <v>UWFE</v>
      </c>
      <c r="V655" s="26">
        <f t="shared" ref="V655" si="1055">MIN(IF(IF($AA$3=2,AND(E655=1,G655=1,L655=1,L658=1,M655=1,U655="IBU"),AND(E655=1,G655=1,L655=1,L658=1,M655=1)),T655,0),I655)</f>
        <v>0</v>
      </c>
      <c r="W655" s="26"/>
      <c r="X655" s="26"/>
      <c r="Y655" s="26"/>
      <c r="Z655" s="26"/>
      <c r="AA655" s="26"/>
      <c r="AB655" s="33"/>
    </row>
    <row r="656" spans="1:28" x14ac:dyDescent="0.3">
      <c r="A656" s="32">
        <f>VLOOKUP(YEAR(C656),Flags!$A$13:$B$95,2,FALSE)</f>
        <v>2</v>
      </c>
      <c r="B656" s="24">
        <f t="shared" si="1054"/>
        <v>1993</v>
      </c>
      <c r="C656" s="25">
        <v>34181</v>
      </c>
      <c r="D656" s="26">
        <f>VLOOKUP($C656,COS!$B$8:$H$991,3,FALSE)</f>
        <v>14804.357421875</v>
      </c>
      <c r="E656" s="24">
        <f>IF(D656&gt;=IF(MONTH($C656)=4,$C$3,IF(MONTH($C656)=5,$C$4,IF(MONTH($C656)=6,$C$5,IF(MONTH($C656)=7,$C$6,"ERROR")))),1,0)</f>
        <v>1</v>
      </c>
      <c r="F656" s="26">
        <f>VLOOKUP($C656,COS!$B$8:$H$991,7,FALSE)</f>
        <v>51.517642974853516</v>
      </c>
      <c r="G656" s="24">
        <f>IF(F656&lt;=IF(MONTH($C656)=4,$F$3,IF(MONTH($C656)=5,$F$4,IF(MONTH($C656)=6,$F$5,IF(MONTH($C656)=7,$F$6,"ERROR")))),1,0)</f>
        <v>1</v>
      </c>
      <c r="H656" s="26">
        <f>IF(J656=1,D656-$C$6,0)</f>
        <v>2804.357421875</v>
      </c>
      <c r="I656" s="26">
        <f t="shared" si="982"/>
        <v>172.4332166838843</v>
      </c>
      <c r="J656" s="24">
        <f t="shared" si="1045"/>
        <v>1</v>
      </c>
      <c r="K656" s="26">
        <f>VLOOKUP($C656,COS!$B$8:$H$991,2,FALSE)</f>
        <v>3787.8994140625</v>
      </c>
      <c r="L656" s="24">
        <f t="shared" si="1046"/>
        <v>1</v>
      </c>
      <c r="M656" s="24">
        <f t="shared" si="1047"/>
        <v>0</v>
      </c>
      <c r="N656" s="26">
        <f>VLOOKUP($C656,COS!$B$8:$H$991,5,FALSE)</f>
        <v>1376.93798828125</v>
      </c>
      <c r="O656" s="26">
        <f t="shared" si="1048"/>
        <v>84.664616800103303</v>
      </c>
      <c r="P656" s="26">
        <f>VLOOKUP($C656,COS!$B$8:$H$991,6,FALSE)</f>
        <v>2562.892822265625</v>
      </c>
      <c r="Q656" s="26">
        <f t="shared" si="1049"/>
        <v>157.58613717071282</v>
      </c>
      <c r="R656" s="26">
        <f>MIN(IF(MONTH($C656)=4,$S$3,IF(MONTH($C656)=5,$S$4,IF(MONTH($C656)=6,$S$5,IF(MONTH($C656)=7,$S$6,"ERROR")))),MAX(VLOOKUP($C656,COS!$B$8:$K$991,10,FALSE)-IF(MONTH($C656)=4,$Y$3,IF(MONTH($C656)=5,$Y$4,IF(MONTH($C656)=6,$Y$5,IF(MONTH($C656)=7,$Y$6,"ERROR")))),0),MAX(VLOOKUP($C656,COS!$B$8:$K$991,9,FALSE)-IF(MONTH($C656)=4,$V$3,IF(MONTH($C656)=5,$V$4,IF(MONTH($C656)=6,$V$5,IF(MONTH($C656)=7,$V$6,"ERROR"))))-VLOOKUP($C656,COS!$B$8:$K$991,6,FALSE)/2,0))</f>
        <v>0</v>
      </c>
      <c r="S656" s="26">
        <f t="shared" si="1050"/>
        <v>0</v>
      </c>
      <c r="T656" s="26">
        <f t="shared" si="1051"/>
        <v>121.12537698540805</v>
      </c>
      <c r="U656" s="26" t="str">
        <f>IF(VLOOKUP($C656,COS!$B$8:$I$991,8,FALSE)=1,"UWFE","IBU")</f>
        <v>IBU</v>
      </c>
      <c r="V656" s="26">
        <f t="shared" ref="V656" si="1056">MIN(IF(IF($AA$3=2,AND(E656=1,G656=1,L656=1,L658=1,M656=1,U656="IBU"),AND(E656=1,G656=1,L656=1,L658=1,M656=1)),T656,0),I656)</f>
        <v>0</v>
      </c>
      <c r="W656" s="26"/>
      <c r="X656" s="26"/>
      <c r="Y656" s="26"/>
      <c r="Z656" s="26"/>
      <c r="AA656" s="26"/>
      <c r="AB656" s="33"/>
    </row>
    <row r="657" spans="1:28" x14ac:dyDescent="0.3">
      <c r="A657" s="32">
        <f>VLOOKUP(YEAR(C657),Flags!$A$13:$B$95,2,FALSE)</f>
        <v>2</v>
      </c>
      <c r="B657" s="24">
        <f t="shared" si="1054"/>
        <v>1993</v>
      </c>
      <c r="C657" s="25">
        <v>34212</v>
      </c>
      <c r="D657" s="26"/>
      <c r="E657" s="24"/>
      <c r="F657" s="26"/>
      <c r="G657" s="24"/>
      <c r="H657" s="24"/>
      <c r="I657" s="26"/>
      <c r="J657" s="24"/>
      <c r="K657" s="26"/>
      <c r="L657" s="24"/>
      <c r="M657" s="24"/>
      <c r="N657" s="26"/>
      <c r="O657" s="26"/>
      <c r="P657" s="26"/>
      <c r="Q657" s="26"/>
      <c r="R657" s="26"/>
      <c r="S657" s="26"/>
      <c r="T657" s="26"/>
      <c r="U657" s="26"/>
      <c r="V657" s="26"/>
      <c r="W657" s="26">
        <f>MAX($C$7-VLOOKUP($C657,COS!$B$8:$H$991,3,FALSE),0)</f>
        <v>90622.63671875</v>
      </c>
      <c r="X657" s="26">
        <f t="shared" si="972"/>
        <v>5572.1687370867767</v>
      </c>
      <c r="Y657" s="26">
        <f>VLOOKUP($C657,COS!$B$8:$H$991,4,FALSE)</f>
        <v>168.43087768554688</v>
      </c>
      <c r="Z657" s="26">
        <f t="shared" si="973"/>
        <v>10.356410991574121</v>
      </c>
      <c r="AA657" s="26">
        <f t="shared" ref="AA657:AA661" si="1057">MIN(W657,Y657)</f>
        <v>168.43087768554688</v>
      </c>
      <c r="AB657" s="33">
        <f t="shared" ref="AB657:AB715" si="1058">AA657*DAY($C657)*86400/43560/1000*IF(MONTH($C657)=8,$P$3,IF(MONTH($C657)=9,$P$4,IF(MONTH($C657)=10,$P$5,IF(MONTH($C657)=11,$P$6,IF(MONTH($C657)=12,$P$7,NA())))))</f>
        <v>10.356410991574121</v>
      </c>
    </row>
    <row r="658" spans="1:28" x14ac:dyDescent="0.3">
      <c r="A658" s="32">
        <f>VLOOKUP(YEAR(C658),Flags!$A$13:$B$95,2,FALSE)</f>
        <v>2</v>
      </c>
      <c r="B658" s="24">
        <f t="shared" si="1054"/>
        <v>1993</v>
      </c>
      <c r="C658" s="25">
        <v>34242</v>
      </c>
      <c r="D658" s="26"/>
      <c r="E658" s="24"/>
      <c r="F658" s="26"/>
      <c r="G658" s="24"/>
      <c r="H658" s="24"/>
      <c r="I658" s="26"/>
      <c r="J658" s="24"/>
      <c r="K658" s="26">
        <f>VLOOKUP($C658,COS!$B$8:$H$991,2,FALSE)</f>
        <v>3136.02685546875</v>
      </c>
      <c r="L658" s="24">
        <f t="shared" ref="L658" si="1059">IF(AND(K658&gt;$I$7,K658&lt;$I$8),1,0)</f>
        <v>1</v>
      </c>
      <c r="M658" s="24"/>
      <c r="N658" s="26"/>
      <c r="O658" s="26"/>
      <c r="P658" s="26"/>
      <c r="Q658" s="26"/>
      <c r="R658" s="26"/>
      <c r="S658" s="26"/>
      <c r="T658" s="26"/>
      <c r="U658" s="26"/>
      <c r="V658" s="26"/>
      <c r="W658" s="26">
        <f>MAX($C$8-VLOOKUP($C658,COS!$B$8:$H$991,3,FALSE),0)</f>
        <v>89617.8046875</v>
      </c>
      <c r="X658" s="26">
        <f t="shared" si="972"/>
        <v>5332.629700413223</v>
      </c>
      <c r="Y658" s="26">
        <f>VLOOKUP($C658,COS!$B$8:$H$991,4,FALSE)</f>
        <v>0</v>
      </c>
      <c r="Z658" s="26">
        <f t="shared" si="973"/>
        <v>0</v>
      </c>
      <c r="AA658" s="26">
        <f t="shared" si="1057"/>
        <v>0</v>
      </c>
      <c r="AB658" s="33">
        <f t="shared" si="1058"/>
        <v>0</v>
      </c>
    </row>
    <row r="659" spans="1:28" x14ac:dyDescent="0.3">
      <c r="A659" s="32">
        <f>VLOOKUP(YEAR(C659),Flags!$A$13:$B$95,2,FALSE)</f>
        <v>2</v>
      </c>
      <c r="B659" s="24">
        <f t="shared" si="1054"/>
        <v>1993</v>
      </c>
      <c r="C659" s="25">
        <v>34273</v>
      </c>
      <c r="D659" s="26"/>
      <c r="E659" s="24"/>
      <c r="F659" s="26"/>
      <c r="G659" s="26"/>
      <c r="H659" s="26"/>
      <c r="I659" s="26"/>
      <c r="J659" s="26"/>
      <c r="K659" s="26"/>
      <c r="L659" s="24"/>
      <c r="M659" s="24"/>
      <c r="N659" s="26"/>
      <c r="O659" s="26"/>
      <c r="P659" s="26"/>
      <c r="Q659" s="26"/>
      <c r="R659" s="26"/>
      <c r="S659" s="26"/>
      <c r="T659" s="26"/>
      <c r="U659" s="26"/>
      <c r="V659" s="26"/>
      <c r="W659" s="26">
        <f>MAX($C$9-VLOOKUP($C659,COS!$B$8:$H$991,3,FALSE),0)</f>
        <v>94269.517578125</v>
      </c>
      <c r="X659" s="26">
        <f t="shared" si="972"/>
        <v>5796.4067006714877</v>
      </c>
      <c r="Y659" s="26">
        <f>VLOOKUP($C659,COS!$B$8:$H$991,4,FALSE)</f>
        <v>766.87762451171875</v>
      </c>
      <c r="Z659" s="26">
        <f t="shared" si="973"/>
        <v>47.1534671600594</v>
      </c>
      <c r="AA659" s="26">
        <f t="shared" si="1057"/>
        <v>766.87762451171875</v>
      </c>
      <c r="AB659" s="33">
        <f t="shared" si="1058"/>
        <v>47.1534671600594</v>
      </c>
    </row>
    <row r="660" spans="1:28" x14ac:dyDescent="0.3">
      <c r="A660" s="32">
        <f>VLOOKUP(YEAR(C660),Flags!$A$13:$B$95,2,FALSE)</f>
        <v>2</v>
      </c>
      <c r="B660" s="24">
        <f t="shared" si="1054"/>
        <v>1993</v>
      </c>
      <c r="C660" s="25">
        <v>34303</v>
      </c>
      <c r="D660" s="26"/>
      <c r="E660" s="24"/>
      <c r="F660" s="26"/>
      <c r="G660" s="26"/>
      <c r="H660" s="26"/>
      <c r="I660" s="26"/>
      <c r="J660" s="26"/>
      <c r="K660" s="26"/>
      <c r="L660" s="24"/>
      <c r="M660" s="24"/>
      <c r="N660" s="26"/>
      <c r="O660" s="26"/>
      <c r="P660" s="26"/>
      <c r="Q660" s="26"/>
      <c r="R660" s="26"/>
      <c r="S660" s="26"/>
      <c r="T660" s="26"/>
      <c r="U660" s="26"/>
      <c r="V660" s="26"/>
      <c r="W660" s="26">
        <f>MAX($C$10-VLOOKUP($C660,COS!$B$8:$H$991,3,FALSE),0)</f>
        <v>89853.9892578125</v>
      </c>
      <c r="X660" s="26">
        <f t="shared" si="972"/>
        <v>5346.6836583161157</v>
      </c>
      <c r="Y660" s="26">
        <f>VLOOKUP($C660,COS!$B$8:$H$991,4,FALSE)</f>
        <v>1359.887451171875</v>
      </c>
      <c r="Z660" s="26">
        <f t="shared" si="973"/>
        <v>80.91892271435951</v>
      </c>
      <c r="AA660" s="26">
        <f t="shared" si="1057"/>
        <v>1359.887451171875</v>
      </c>
      <c r="AB660" s="33">
        <f t="shared" si="1058"/>
        <v>40.459461357179755</v>
      </c>
    </row>
    <row r="661" spans="1:28" x14ac:dyDescent="0.3">
      <c r="A661" s="34">
        <f>VLOOKUP(YEAR(C661),Flags!$A$13:$B$95,2,FALSE)</f>
        <v>2</v>
      </c>
      <c r="B661" s="35">
        <f t="shared" si="1054"/>
        <v>1993</v>
      </c>
      <c r="C661" s="36">
        <v>34334</v>
      </c>
      <c r="D661" s="37"/>
      <c r="E661" s="35"/>
      <c r="F661" s="37"/>
      <c r="G661" s="37"/>
      <c r="H661" s="37"/>
      <c r="I661" s="37"/>
      <c r="J661" s="37"/>
      <c r="K661" s="37"/>
      <c r="L661" s="35"/>
      <c r="M661" s="35"/>
      <c r="N661" s="37"/>
      <c r="O661" s="37"/>
      <c r="P661" s="37"/>
      <c r="Q661" s="37"/>
      <c r="R661" s="37"/>
      <c r="S661" s="37"/>
      <c r="T661" s="37"/>
      <c r="U661" s="37"/>
      <c r="V661" s="37"/>
      <c r="W661" s="37">
        <f>MAX($C$11-VLOOKUP($C661,COS!$B$8:$H$991,3,FALSE),0)</f>
        <v>0</v>
      </c>
      <c r="X661" s="37">
        <f t="shared" si="972"/>
        <v>0</v>
      </c>
      <c r="Y661" s="37">
        <f>VLOOKUP($C661,COS!$B$8:$H$991,4,FALSE)</f>
        <v>188.46723937988281</v>
      </c>
      <c r="Z661" s="37">
        <f t="shared" si="973"/>
        <v>11.588398851126678</v>
      </c>
      <c r="AA661" s="37">
        <f t="shared" si="1057"/>
        <v>0</v>
      </c>
      <c r="AB661" s="38">
        <f t="shared" si="1058"/>
        <v>0</v>
      </c>
    </row>
    <row r="662" spans="1:28" x14ac:dyDescent="0.3">
      <c r="A662" s="27">
        <f>VLOOKUP(YEAR(C662),Flags!$A$13:$B$95,2,FALSE)</f>
        <v>5</v>
      </c>
      <c r="B662" s="28">
        <f t="shared" si="1054"/>
        <v>1994</v>
      </c>
      <c r="C662" s="29">
        <v>34454</v>
      </c>
      <c r="D662" s="30">
        <f>VLOOKUP($C662,COS!$B$8:$H$991,3,FALSE)</f>
        <v>3250</v>
      </c>
      <c r="E662" s="28">
        <f>IF(D662&gt;=IF(MONTH($C662)=4,$C$3,IF(MONTH($C662)=5,$C$4,IF(MONTH($C662)=6,$C$5,IF(MONTH($C662)=7,$C$6,"ERROR")))),1,0)</f>
        <v>0</v>
      </c>
      <c r="F662" s="30">
        <f>VLOOKUP($C662,COS!$B$8:$H$991,7,FALSE)</f>
        <v>52.782566070556641</v>
      </c>
      <c r="G662" s="28">
        <f>IF(F662&lt;=IF(MONTH($C662)=4,$F$3,IF(MONTH($C662)=5,$F$4,IF(MONTH($C662)=6,$F$5,IF(MONTH($C662)=7,$F$6,"ERROR")))),1,0)</f>
        <v>1</v>
      </c>
      <c r="H662" s="30">
        <f>IF(J662=1,D662-$C$3,0)</f>
        <v>0</v>
      </c>
      <c r="I662" s="30">
        <f t="shared" si="982"/>
        <v>0</v>
      </c>
      <c r="J662" s="28">
        <f t="shared" ref="J662:J665" si="1060">IF(AND(E662=1,G662=1),1,0)</f>
        <v>0</v>
      </c>
      <c r="K662" s="30">
        <f>VLOOKUP($C662,COS!$B$8:$H$991,2,FALSE)</f>
        <v>3428.306884765625</v>
      </c>
      <c r="L662" s="28">
        <f t="shared" ref="L662" si="1061">IF(K662&lt;=IF(MONTH($C662)=4,$I$3,IF(MONTH($C662)=5,$I$4,IF(MONTH($C662)=6,$I$5,IF(MONTH($C662)=7,$I$6,"ERROR")))),1,0)</f>
        <v>1</v>
      </c>
      <c r="M662" s="28">
        <f t="shared" ref="M662" si="1062">VLOOKUP($A662,$L$3:$M$7,2,FALSE)</f>
        <v>1</v>
      </c>
      <c r="N662" s="30">
        <f>VLOOKUP($C662,COS!$B$8:$H$991,5,FALSE)</f>
        <v>498.4775390625</v>
      </c>
      <c r="O662" s="30">
        <f t="shared" ref="O662:O665" si="1063">N662*DAY($C662)*86400/43560/1000</f>
        <v>29.661473398760332</v>
      </c>
      <c r="P662" s="30">
        <f>VLOOKUP($C662,COS!$B$8:$H$991,6,FALSE)</f>
        <v>517.51263427734375</v>
      </c>
      <c r="Q662" s="30">
        <f t="shared" ref="Q662:Q665" si="1064">P662*DAY($C662)*86400/43560/1000</f>
        <v>30.794140221461777</v>
      </c>
      <c r="R662" s="30">
        <f>MIN(IF(MONTH($C662)=4,$S$3,IF(MONTH($C662)=5,$S$4,IF(MONTH($C662)=6,$S$5,IF(MONTH($C662)=7,$S$6,"ERROR")))),MAX(VLOOKUP($C662,COS!$B$8:$K$991,10,FALSE)-IF(MONTH($C662)=4,$Y$3,IF(MONTH($C662)=5,$Y$4,IF(MONTH($C662)=6,$Y$5,IF(MONTH($C662)=7,$Y$6,"ERROR")))),0),MAX(VLOOKUP($C662,COS!$B$8:$K$991,9,FALSE)-IF(MONTH($C662)=4,$V$3,IF(MONTH($C662)=5,$V$4,IF(MONTH($C662)=6,$V$5,IF(MONTH($C662)=7,$V$6,"ERROR"))))-VLOOKUP($C662,COS!$B$8:$K$991,6,FALSE)/2,0))</f>
        <v>0</v>
      </c>
      <c r="S662" s="30">
        <f t="shared" ref="S662:S665" si="1065">R662*DAY($C662)*86400/43560/1000</f>
        <v>0</v>
      </c>
      <c r="T662" s="30">
        <f t="shared" ref="T662:T665" si="1066">(O662+Q662)/2+S662</f>
        <v>30.227806810111055</v>
      </c>
      <c r="U662" s="30" t="str">
        <f>IF(VLOOKUP($C662,COS!$B$8:$I$991,8,FALSE)=1,"UWFE","IBU")</f>
        <v>UWFE</v>
      </c>
      <c r="V662" s="30">
        <f t="shared" ref="V662" si="1067">MIN(IF(IF($AA$3=2,AND(E662=1,G662=1,L662=1,L667=1,M662=1,U662="IBU"),AND(E662=1,G662=1,L662=1,L667=1,M662=1)),T662,0),I662)</f>
        <v>0</v>
      </c>
      <c r="W662" s="30"/>
      <c r="X662" s="30"/>
      <c r="Y662" s="30"/>
      <c r="Z662" s="30"/>
      <c r="AA662" s="30"/>
      <c r="AB662" s="31"/>
    </row>
    <row r="663" spans="1:28" x14ac:dyDescent="0.3">
      <c r="A663" s="32">
        <f>VLOOKUP(YEAR(C663),Flags!$A$13:$B$95,2,FALSE)</f>
        <v>5</v>
      </c>
      <c r="B663" s="24">
        <f t="shared" si="1054"/>
        <v>1994</v>
      </c>
      <c r="C663" s="25">
        <v>34485</v>
      </c>
      <c r="D663" s="26">
        <f>VLOOKUP($C663,COS!$B$8:$H$991,3,FALSE)</f>
        <v>5763.49560546875</v>
      </c>
      <c r="E663" s="24">
        <f>IF(D663&gt;=IF(MONTH($C663)=4,$C$3,IF(MONTH($C663)=5,$C$4,IF(MONTH($C663)=6,$C$5,IF(MONTH($C663)=7,$C$6,"ERROR")))),1,0)</f>
        <v>0</v>
      </c>
      <c r="F663" s="26">
        <f>VLOOKUP($C663,COS!$B$8:$H$991,7,FALSE)</f>
        <v>52.981971740722656</v>
      </c>
      <c r="G663" s="24">
        <f>IF(F663&lt;=IF(MONTH($C663)=4,$F$3,IF(MONTH($C663)=5,$F$4,IF(MONTH($C663)=6,$F$5,IF(MONTH($C663)=7,$F$6,"ERROR")))),1,0)</f>
        <v>1</v>
      </c>
      <c r="H663" s="26">
        <f>IF(J663=1,D663-$C$4,0)</f>
        <v>0</v>
      </c>
      <c r="I663" s="26">
        <f t="shared" si="982"/>
        <v>0</v>
      </c>
      <c r="J663" s="24">
        <f t="shared" si="1060"/>
        <v>0</v>
      </c>
      <c r="K663" s="26">
        <f>VLOOKUP($C663,COS!$B$8:$H$991,2,FALSE)</f>
        <v>3315.498291015625</v>
      </c>
      <c r="L663" s="24">
        <f t="shared" si="1046"/>
        <v>1</v>
      </c>
      <c r="M663" s="24">
        <f t="shared" si="1047"/>
        <v>1</v>
      </c>
      <c r="N663" s="26">
        <f>VLOOKUP($C663,COS!$B$8:$H$991,5,FALSE)</f>
        <v>494.24356079101563</v>
      </c>
      <c r="O663" s="26">
        <f t="shared" si="1063"/>
        <v>30.389852002356662</v>
      </c>
      <c r="P663" s="26">
        <f>VLOOKUP($C663,COS!$B$8:$H$991,6,FALSE)</f>
        <v>1839.63671875</v>
      </c>
      <c r="Q663" s="26">
        <f t="shared" si="1064"/>
        <v>113.1148527892562</v>
      </c>
      <c r="R663" s="26">
        <f>MIN(IF(MONTH($C663)=4,$S$3,IF(MONTH($C663)=5,$S$4,IF(MONTH($C663)=6,$S$5,IF(MONTH($C663)=7,$S$6,"ERROR")))),MAX(VLOOKUP($C663,COS!$B$8:$K$991,10,FALSE)-IF(MONTH($C663)=4,$Y$3,IF(MONTH($C663)=5,$Y$4,IF(MONTH($C663)=6,$Y$5,IF(MONTH($C663)=7,$Y$6,"ERROR")))),0),MAX(VLOOKUP($C663,COS!$B$8:$K$991,9,FALSE)-IF(MONTH($C663)=4,$V$3,IF(MONTH($C663)=5,$V$4,IF(MONTH($C663)=6,$V$5,IF(MONTH($C663)=7,$V$6,"ERROR"))))-VLOOKUP($C663,COS!$B$8:$K$991,6,FALSE)/2,0))</f>
        <v>0</v>
      </c>
      <c r="S663" s="26">
        <f t="shared" si="1065"/>
        <v>0</v>
      </c>
      <c r="T663" s="26">
        <f t="shared" si="1066"/>
        <v>71.75235239580644</v>
      </c>
      <c r="U663" s="26" t="str">
        <f>IF(VLOOKUP($C663,COS!$B$8:$I$991,8,FALSE)=1,"UWFE","IBU")</f>
        <v>UWFE</v>
      </c>
      <c r="V663" s="26">
        <f t="shared" ref="V663" si="1068">MIN(IF(IF($AA$3=2,AND(E663=1,G663=1,L663=1,L667=1,M663=1,U663="IBU"),AND(E663=1,G663=1,L663=1,L667=1,M663=1)),T663,0),I663)</f>
        <v>0</v>
      </c>
      <c r="W663" s="26"/>
      <c r="X663" s="26"/>
      <c r="Y663" s="26"/>
      <c r="Z663" s="26"/>
      <c r="AA663" s="26"/>
      <c r="AB663" s="33"/>
    </row>
    <row r="664" spans="1:28" x14ac:dyDescent="0.3">
      <c r="A664" s="32">
        <f>VLOOKUP(YEAR(C664),Flags!$A$13:$B$95,2,FALSE)</f>
        <v>5</v>
      </c>
      <c r="B664" s="24">
        <f t="shared" si="1054"/>
        <v>1994</v>
      </c>
      <c r="C664" s="25">
        <v>34515</v>
      </c>
      <c r="D664" s="26">
        <f>VLOOKUP($C664,COS!$B$8:$H$991,3,FALSE)</f>
        <v>10365.828125</v>
      </c>
      <c r="E664" s="24">
        <f>IF(D664&gt;=IF(MONTH($C664)=4,$C$3,IF(MONTH($C664)=5,$C$4,IF(MONTH($C664)=6,$C$5,IF(MONTH($C664)=7,$C$6,"ERROR")))),1,0)</f>
        <v>1</v>
      </c>
      <c r="F664" s="26">
        <f>VLOOKUP($C664,COS!$B$8:$H$991,7,FALSE)</f>
        <v>52.776744842529297</v>
      </c>
      <c r="G664" s="24">
        <f>IF(F664&lt;=IF(MONTH($C664)=4,$F$3,IF(MONTH($C664)=5,$F$4,IF(MONTH($C664)=6,$F$5,IF(MONTH($C664)=7,$F$6,"ERROR")))),1,0)</f>
        <v>1</v>
      </c>
      <c r="H664" s="26">
        <f>IF(J664=1,D664-$C$5,0)</f>
        <v>365.828125</v>
      </c>
      <c r="I664" s="26">
        <f t="shared" si="982"/>
        <v>21.768285123966944</v>
      </c>
      <c r="J664" s="24">
        <f t="shared" si="1060"/>
        <v>1</v>
      </c>
      <c r="K664" s="26">
        <f>VLOOKUP($C664,COS!$B$8:$H$991,2,FALSE)</f>
        <v>2912.7509765625</v>
      </c>
      <c r="L664" s="24">
        <f t="shared" si="1046"/>
        <v>1</v>
      </c>
      <c r="M664" s="24">
        <f t="shared" si="1047"/>
        <v>1</v>
      </c>
      <c r="N664" s="26">
        <f>VLOOKUP($C664,COS!$B$8:$H$991,5,FALSE)</f>
        <v>825.04803466796875</v>
      </c>
      <c r="O664" s="26">
        <f t="shared" si="1063"/>
        <v>49.093767352143594</v>
      </c>
      <c r="P664" s="26">
        <f>VLOOKUP($C664,COS!$B$8:$H$991,6,FALSE)</f>
        <v>2477.72265625</v>
      </c>
      <c r="Q664" s="26">
        <f t="shared" si="1064"/>
        <v>147.43473657024794</v>
      </c>
      <c r="R664" s="26">
        <f>MIN(IF(MONTH($C664)=4,$S$3,IF(MONTH($C664)=5,$S$4,IF(MONTH($C664)=6,$S$5,IF(MONTH($C664)=7,$S$6,"ERROR")))),MAX(VLOOKUP($C664,COS!$B$8:$K$991,10,FALSE)-IF(MONTH($C664)=4,$Y$3,IF(MONTH($C664)=5,$Y$4,IF(MONTH($C664)=6,$Y$5,IF(MONTH($C664)=7,$Y$6,"ERROR")))),0),MAX(VLOOKUP($C664,COS!$B$8:$K$991,9,FALSE)-IF(MONTH($C664)=4,$V$3,IF(MONTH($C664)=5,$V$4,IF(MONTH($C664)=6,$V$5,IF(MONTH($C664)=7,$V$6,"ERROR"))))-VLOOKUP($C664,COS!$B$8:$K$991,6,FALSE)/2,0))</f>
        <v>0</v>
      </c>
      <c r="S664" s="26">
        <f t="shared" si="1065"/>
        <v>0</v>
      </c>
      <c r="T664" s="26">
        <f t="shared" si="1066"/>
        <v>98.264251961195768</v>
      </c>
      <c r="U664" s="26" t="str">
        <f>IF(VLOOKUP($C664,COS!$B$8:$I$991,8,FALSE)=1,"UWFE","IBU")</f>
        <v>IBU</v>
      </c>
      <c r="V664" s="26">
        <f t="shared" ref="V664" si="1069">MIN(IF(IF($AA$3=2,AND(E664=1,G664=1,L664=1,L667=1,M664=1,U664="IBU"),AND(E664=1,G664=1,L664=1,L667=1,M664=1)),T664,0),I664)</f>
        <v>21.768285123966944</v>
      </c>
      <c r="W664" s="26"/>
      <c r="X664" s="26"/>
      <c r="Y664" s="26"/>
      <c r="Z664" s="26"/>
      <c r="AA664" s="26"/>
      <c r="AB664" s="33"/>
    </row>
    <row r="665" spans="1:28" x14ac:dyDescent="0.3">
      <c r="A665" s="32">
        <f>VLOOKUP(YEAR(C665),Flags!$A$13:$B$95,2,FALSE)</f>
        <v>5</v>
      </c>
      <c r="B665" s="24">
        <f t="shared" si="1054"/>
        <v>1994</v>
      </c>
      <c r="C665" s="25">
        <v>34546</v>
      </c>
      <c r="D665" s="26">
        <f>VLOOKUP($C665,COS!$B$8:$H$991,3,FALSE)</f>
        <v>14755.16796875</v>
      </c>
      <c r="E665" s="24">
        <f>IF(D665&gt;=IF(MONTH($C665)=4,$C$3,IF(MONTH($C665)=5,$C$4,IF(MONTH($C665)=6,$C$5,IF(MONTH($C665)=7,$C$6,"ERROR")))),1,0)</f>
        <v>1</v>
      </c>
      <c r="F665" s="26">
        <f>VLOOKUP($C665,COS!$B$8:$H$991,7,FALSE)</f>
        <v>54.302021026611328</v>
      </c>
      <c r="G665" s="24">
        <f>IF(F665&lt;=IF(MONTH($C665)=4,$F$3,IF(MONTH($C665)=5,$F$4,IF(MONTH($C665)=6,$F$5,IF(MONTH($C665)=7,$F$6,"ERROR")))),1,0)</f>
        <v>0</v>
      </c>
      <c r="H665" s="26">
        <f>IF(J665=1,D665-$C$6,0)</f>
        <v>0</v>
      </c>
      <c r="I665" s="26">
        <f t="shared" si="982"/>
        <v>0</v>
      </c>
      <c r="J665" s="24">
        <f t="shared" si="1060"/>
        <v>0</v>
      </c>
      <c r="K665" s="26">
        <f>VLOOKUP($C665,COS!$B$8:$H$991,2,FALSE)</f>
        <v>2260.914306640625</v>
      </c>
      <c r="L665" s="24">
        <f t="shared" si="1046"/>
        <v>1</v>
      </c>
      <c r="M665" s="24">
        <f t="shared" si="1047"/>
        <v>1</v>
      </c>
      <c r="N665" s="26">
        <f>VLOOKUP($C665,COS!$B$8:$H$991,5,FALSE)</f>
        <v>905.84417724609375</v>
      </c>
      <c r="O665" s="26">
        <f t="shared" si="1063"/>
        <v>55.698187427363116</v>
      </c>
      <c r="P665" s="26">
        <f>VLOOKUP($C665,COS!$B$8:$H$991,6,FALSE)</f>
        <v>2281.4833984375</v>
      </c>
      <c r="Q665" s="26">
        <f t="shared" si="1064"/>
        <v>140.28294615185951</v>
      </c>
      <c r="R665" s="26">
        <f>MIN(IF(MONTH($C665)=4,$S$3,IF(MONTH($C665)=5,$S$4,IF(MONTH($C665)=6,$S$5,IF(MONTH($C665)=7,$S$6,"ERROR")))),MAX(VLOOKUP($C665,COS!$B$8:$K$991,10,FALSE)-IF(MONTH($C665)=4,$Y$3,IF(MONTH($C665)=5,$Y$4,IF(MONTH($C665)=6,$Y$5,IF(MONTH($C665)=7,$Y$6,"ERROR")))),0),MAX(VLOOKUP($C665,COS!$B$8:$K$991,9,FALSE)-IF(MONTH($C665)=4,$V$3,IF(MONTH($C665)=5,$V$4,IF(MONTH($C665)=6,$V$5,IF(MONTH($C665)=7,$V$6,"ERROR"))))-VLOOKUP($C665,COS!$B$8:$K$991,6,FALSE)/2,0))</f>
        <v>0</v>
      </c>
      <c r="S665" s="26">
        <f t="shared" si="1065"/>
        <v>0</v>
      </c>
      <c r="T665" s="26">
        <f t="shared" si="1066"/>
        <v>97.990566789611307</v>
      </c>
      <c r="U665" s="26" t="str">
        <f>IF(VLOOKUP($C665,COS!$B$8:$I$991,8,FALSE)=1,"UWFE","IBU")</f>
        <v>IBU</v>
      </c>
      <c r="V665" s="26">
        <f t="shared" ref="V665" si="1070">MIN(IF(IF($AA$3=2,AND(E665=1,G665=1,L665=1,L667=1,M665=1,U665="IBU"),AND(E665=1,G665=1,L665=1,L667=1,M665=1)),T665,0),I665)</f>
        <v>0</v>
      </c>
      <c r="W665" s="26"/>
      <c r="X665" s="26"/>
      <c r="Y665" s="26"/>
      <c r="Z665" s="26"/>
      <c r="AA665" s="26"/>
      <c r="AB665" s="33"/>
    </row>
    <row r="666" spans="1:28" x14ac:dyDescent="0.3">
      <c r="A666" s="32">
        <f>VLOOKUP(YEAR(C666),Flags!$A$13:$B$95,2,FALSE)</f>
        <v>5</v>
      </c>
      <c r="B666" s="24">
        <f t="shared" si="1054"/>
        <v>1994</v>
      </c>
      <c r="C666" s="25">
        <v>34577</v>
      </c>
      <c r="D666" s="26"/>
      <c r="E666" s="24"/>
      <c r="F666" s="26"/>
      <c r="G666" s="24"/>
      <c r="H666" s="24"/>
      <c r="I666" s="26"/>
      <c r="J666" s="24"/>
      <c r="K666" s="26"/>
      <c r="L666" s="24"/>
      <c r="M666" s="24"/>
      <c r="N666" s="26"/>
      <c r="O666" s="26"/>
      <c r="P666" s="26"/>
      <c r="Q666" s="26"/>
      <c r="R666" s="26"/>
      <c r="S666" s="26"/>
      <c r="T666" s="26"/>
      <c r="U666" s="26"/>
      <c r="V666" s="26"/>
      <c r="W666" s="26">
        <f>MAX($C$7-VLOOKUP($C666,COS!$B$8:$H$991,3,FALSE),0)</f>
        <v>91434.9501953125</v>
      </c>
      <c r="X666" s="26">
        <f t="shared" si="972"/>
        <v>5622.1159458935954</v>
      </c>
      <c r="Y666" s="26">
        <f>VLOOKUP($C666,COS!$B$8:$H$991,4,FALSE)</f>
        <v>3456.213134765625</v>
      </c>
      <c r="Z666" s="26">
        <f t="shared" si="973"/>
        <v>212.51426217071281</v>
      </c>
      <c r="AA666" s="26">
        <f t="shared" ref="AA666:AA670" si="1071">MIN(W666,Y666)</f>
        <v>3456.213134765625</v>
      </c>
      <c r="AB666" s="33">
        <f t="shared" ref="AB666" si="1072">AA666*DAY($C666)*86400/43560/1000*IF(MONTH($C666)=8,$P$3,IF(MONTH($C666)=9,$P$4,IF(MONTH($C666)=10,$P$5,IF(MONTH($C666)=11,$P$6,IF(MONTH($C666)=12,$P$7,NA())))))</f>
        <v>212.51426217071281</v>
      </c>
    </row>
    <row r="667" spans="1:28" x14ac:dyDescent="0.3">
      <c r="A667" s="32">
        <f>VLOOKUP(YEAR(C667),Flags!$A$13:$B$95,2,FALSE)</f>
        <v>5</v>
      </c>
      <c r="B667" s="24">
        <f t="shared" si="1054"/>
        <v>1994</v>
      </c>
      <c r="C667" s="25">
        <v>34607</v>
      </c>
      <c r="D667" s="26"/>
      <c r="E667" s="24"/>
      <c r="F667" s="26"/>
      <c r="G667" s="24"/>
      <c r="H667" s="24"/>
      <c r="I667" s="26"/>
      <c r="J667" s="24"/>
      <c r="K667" s="26">
        <f>VLOOKUP($C667,COS!$B$8:$H$991,2,FALSE)</f>
        <v>1881.7786865234375</v>
      </c>
      <c r="L667" s="24">
        <f t="shared" ref="L667" si="1073">IF(AND(K667&gt;$I$7,K667&lt;$I$8),1,0)</f>
        <v>1</v>
      </c>
      <c r="M667" s="24"/>
      <c r="N667" s="26"/>
      <c r="O667" s="26"/>
      <c r="P667" s="26"/>
      <c r="Q667" s="26"/>
      <c r="R667" s="26"/>
      <c r="S667" s="26"/>
      <c r="T667" s="26"/>
      <c r="U667" s="26"/>
      <c r="V667" s="26"/>
      <c r="W667" s="26">
        <f>MAX($C$8-VLOOKUP($C667,COS!$B$8:$H$991,3,FALSE),0)</f>
        <v>95592.1025390625</v>
      </c>
      <c r="X667" s="26">
        <f t="shared" si="972"/>
        <v>5688.1251097623963</v>
      </c>
      <c r="Y667" s="26">
        <f>VLOOKUP($C667,COS!$B$8:$H$991,4,FALSE)</f>
        <v>676.519775390625</v>
      </c>
      <c r="Z667" s="26">
        <f t="shared" si="973"/>
        <v>40.255722172004134</v>
      </c>
      <c r="AA667" s="26">
        <f t="shared" si="1071"/>
        <v>676.519775390625</v>
      </c>
      <c r="AB667" s="33">
        <f t="shared" si="1058"/>
        <v>40.255722172004134</v>
      </c>
    </row>
    <row r="668" spans="1:28" x14ac:dyDescent="0.3">
      <c r="A668" s="32">
        <f>VLOOKUP(YEAR(C668),Flags!$A$13:$B$95,2,FALSE)</f>
        <v>5</v>
      </c>
      <c r="B668" s="24">
        <f t="shared" si="1054"/>
        <v>1994</v>
      </c>
      <c r="C668" s="25">
        <v>34638</v>
      </c>
      <c r="D668" s="26"/>
      <c r="E668" s="24"/>
      <c r="F668" s="26"/>
      <c r="G668" s="26"/>
      <c r="H668" s="26"/>
      <c r="I668" s="26"/>
      <c r="J668" s="26"/>
      <c r="K668" s="26"/>
      <c r="L668" s="24"/>
      <c r="M668" s="24"/>
      <c r="N668" s="26"/>
      <c r="O668" s="26"/>
      <c r="P668" s="26"/>
      <c r="Q668" s="26"/>
      <c r="R668" s="26"/>
      <c r="S668" s="26"/>
      <c r="T668" s="26"/>
      <c r="U668" s="26"/>
      <c r="V668" s="26"/>
      <c r="W668" s="26">
        <f>MAX($C$9-VLOOKUP($C668,COS!$B$8:$H$991,3,FALSE),0)</f>
        <v>95461.50390625</v>
      </c>
      <c r="X668" s="26">
        <f t="shared" si="972"/>
        <v>5869.6990831611565</v>
      </c>
      <c r="Y668" s="26">
        <f>VLOOKUP($C668,COS!$B$8:$H$991,4,FALSE)</f>
        <v>1343.8326416015625</v>
      </c>
      <c r="Z668" s="26">
        <f t="shared" si="973"/>
        <v>82.629048376162189</v>
      </c>
      <c r="AA668" s="26">
        <f t="shared" si="1071"/>
        <v>1343.8326416015625</v>
      </c>
      <c r="AB668" s="33">
        <f t="shared" si="1058"/>
        <v>82.629048376162189</v>
      </c>
    </row>
    <row r="669" spans="1:28" x14ac:dyDescent="0.3">
      <c r="A669" s="32">
        <f>VLOOKUP(YEAR(C669),Flags!$A$13:$B$95,2,FALSE)</f>
        <v>5</v>
      </c>
      <c r="B669" s="24">
        <f t="shared" si="1054"/>
        <v>1994</v>
      </c>
      <c r="C669" s="25">
        <v>34668</v>
      </c>
      <c r="D669" s="26"/>
      <c r="E669" s="24"/>
      <c r="F669" s="26"/>
      <c r="G669" s="26"/>
      <c r="H669" s="26"/>
      <c r="I669" s="26"/>
      <c r="J669" s="26"/>
      <c r="K669" s="26"/>
      <c r="L669" s="24"/>
      <c r="M669" s="24"/>
      <c r="N669" s="26"/>
      <c r="O669" s="26"/>
      <c r="P669" s="26"/>
      <c r="Q669" s="26"/>
      <c r="R669" s="26"/>
      <c r="S669" s="26"/>
      <c r="T669" s="26"/>
      <c r="U669" s="26"/>
      <c r="V669" s="26"/>
      <c r="W669" s="26">
        <f>MAX($C$10-VLOOKUP($C669,COS!$B$8:$H$991,3,FALSE),0)</f>
        <v>96749</v>
      </c>
      <c r="X669" s="26">
        <f t="shared" si="972"/>
        <v>5756.965289256198</v>
      </c>
      <c r="Y669" s="26">
        <f>VLOOKUP($C669,COS!$B$8:$H$991,4,FALSE)</f>
        <v>1050.6527099609375</v>
      </c>
      <c r="Z669" s="26">
        <f t="shared" si="973"/>
        <v>62.51817778279959</v>
      </c>
      <c r="AA669" s="26">
        <f t="shared" si="1071"/>
        <v>1050.6527099609375</v>
      </c>
      <c r="AB669" s="33">
        <f t="shared" si="1058"/>
        <v>31.259088891399795</v>
      </c>
    </row>
    <row r="670" spans="1:28" x14ac:dyDescent="0.3">
      <c r="A670" s="34">
        <f>VLOOKUP(YEAR(C670),Flags!$A$13:$B$95,2,FALSE)</f>
        <v>5</v>
      </c>
      <c r="B670" s="35">
        <f t="shared" si="1054"/>
        <v>1994</v>
      </c>
      <c r="C670" s="36">
        <v>34699</v>
      </c>
      <c r="D670" s="37"/>
      <c r="E670" s="35"/>
      <c r="F670" s="37"/>
      <c r="G670" s="37"/>
      <c r="H670" s="37"/>
      <c r="I670" s="37"/>
      <c r="J670" s="37"/>
      <c r="K670" s="37"/>
      <c r="L670" s="35"/>
      <c r="M670" s="35"/>
      <c r="N670" s="37"/>
      <c r="O670" s="37"/>
      <c r="P670" s="37"/>
      <c r="Q670" s="37"/>
      <c r="R670" s="37"/>
      <c r="S670" s="37"/>
      <c r="T670" s="37"/>
      <c r="U670" s="37"/>
      <c r="V670" s="37"/>
      <c r="W670" s="37">
        <f>MAX($C$11-VLOOKUP($C670,COS!$B$8:$H$991,3,FALSE),0)</f>
        <v>0</v>
      </c>
      <c r="X670" s="37">
        <f t="shared" si="972"/>
        <v>0</v>
      </c>
      <c r="Y670" s="37">
        <f>VLOOKUP($C670,COS!$B$8:$H$991,4,FALSE)</f>
        <v>2007.343505859375</v>
      </c>
      <c r="Z670" s="37">
        <f t="shared" si="973"/>
        <v>123.42674118672521</v>
      </c>
      <c r="AA670" s="37">
        <f t="shared" si="1071"/>
        <v>0</v>
      </c>
      <c r="AB670" s="38">
        <f t="shared" si="1058"/>
        <v>0</v>
      </c>
    </row>
    <row r="671" spans="1:28" x14ac:dyDescent="0.3">
      <c r="A671" s="27">
        <f>VLOOKUP(YEAR(C671),Flags!$A$13:$B$95,2,FALSE)</f>
        <v>1</v>
      </c>
      <c r="B671" s="28">
        <f t="shared" si="1054"/>
        <v>1995</v>
      </c>
      <c r="C671" s="29">
        <v>34819</v>
      </c>
      <c r="D671" s="30">
        <f>VLOOKUP($C671,COS!$B$8:$H$991,3,FALSE)</f>
        <v>7633.5703125</v>
      </c>
      <c r="E671" s="28">
        <f>IF(D671&gt;=IF(MONTH($C671)=4,$C$3,IF(MONTH($C671)=5,$C$4,IF(MONTH($C671)=6,$C$5,IF(MONTH($C671)=7,$C$6,"ERROR")))),1,0)</f>
        <v>1</v>
      </c>
      <c r="F671" s="30">
        <f>VLOOKUP($C671,COS!$B$8:$H$991,7,FALSE)</f>
        <v>49.096889495849609</v>
      </c>
      <c r="G671" s="28">
        <f>IF(F671&lt;=IF(MONTH($C671)=4,$F$3,IF(MONTH($C671)=5,$F$4,IF(MONTH($C671)=6,$F$5,IF(MONTH($C671)=7,$F$6,"ERROR")))),1,0)</f>
        <v>1</v>
      </c>
      <c r="H671" s="30">
        <f>IF(J671=1,D671-$C$3,0)</f>
        <v>1633.5703125</v>
      </c>
      <c r="I671" s="30">
        <f t="shared" si="982"/>
        <v>97.204183884297521</v>
      </c>
      <c r="J671" s="28">
        <f t="shared" ref="J671:J674" si="1074">IF(AND(E671=1,G671=1),1,0)</f>
        <v>1</v>
      </c>
      <c r="K671" s="30">
        <f>VLOOKUP($C671,COS!$B$8:$H$991,2,FALSE)</f>
        <v>4216.7998046875</v>
      </c>
      <c r="L671" s="28">
        <f t="shared" ref="L671" si="1075">IF(K671&lt;=IF(MONTH($C671)=4,$I$3,IF(MONTH($C671)=5,$I$4,IF(MONTH($C671)=6,$I$5,IF(MONTH($C671)=7,$I$6,"ERROR")))),1,0)</f>
        <v>1</v>
      </c>
      <c r="M671" s="28">
        <f t="shared" ref="M671" si="1076">VLOOKUP($A671,$L$3:$M$7,2,FALSE)</f>
        <v>0</v>
      </c>
      <c r="N671" s="30">
        <f>VLOOKUP($C671,COS!$B$8:$H$991,5,FALSE)</f>
        <v>350.99301147460938</v>
      </c>
      <c r="O671" s="30">
        <f t="shared" ref="O671:O674" si="1077">N671*DAY($C671)*86400/43560/1000</f>
        <v>20.885534567084193</v>
      </c>
      <c r="P671" s="30">
        <f>VLOOKUP($C671,COS!$B$8:$H$991,6,FALSE)</f>
        <v>420.74978637695313</v>
      </c>
      <c r="Q671" s="30">
        <f t="shared" ref="Q671:Q674" si="1078">P671*DAY($C671)*86400/43560/1000</f>
        <v>25.036350924909605</v>
      </c>
      <c r="R671" s="30">
        <f>MIN(IF(MONTH($C671)=4,$S$3,IF(MONTH($C671)=5,$S$4,IF(MONTH($C671)=6,$S$5,IF(MONTH($C671)=7,$S$6,"ERROR")))),MAX(VLOOKUP($C671,COS!$B$8:$K$991,10,FALSE)-IF(MONTH($C671)=4,$Y$3,IF(MONTH($C671)=5,$Y$4,IF(MONTH($C671)=6,$Y$5,IF(MONTH($C671)=7,$Y$6,"ERROR")))),0),MAX(VLOOKUP($C671,COS!$B$8:$K$991,9,FALSE)-IF(MONTH($C671)=4,$V$3,IF(MONTH($C671)=5,$V$4,IF(MONTH($C671)=6,$V$5,IF(MONTH($C671)=7,$V$6,"ERROR"))))-VLOOKUP($C671,COS!$B$8:$K$991,6,FALSE)/2,0))</f>
        <v>0</v>
      </c>
      <c r="S671" s="30">
        <f t="shared" ref="S671:S674" si="1079">R671*DAY($C671)*86400/43560/1000</f>
        <v>0</v>
      </c>
      <c r="T671" s="30">
        <f t="shared" ref="T671:T674" si="1080">(O671+Q671)/2+S671</f>
        <v>22.960942745996899</v>
      </c>
      <c r="U671" s="30" t="str">
        <f>IF(VLOOKUP($C671,COS!$B$8:$I$991,8,FALSE)=1,"UWFE","IBU")</f>
        <v>UWFE</v>
      </c>
      <c r="V671" s="30">
        <f t="shared" ref="V671" si="1081">MIN(IF(IF($AA$3=2,AND(E671=1,G671=1,L671=1,L676=1,M671=1,U671="IBU"),AND(E671=1,G671=1,L671=1,L676=1,M671=1)),T671,0),I671)</f>
        <v>0</v>
      </c>
      <c r="W671" s="30"/>
      <c r="X671" s="30"/>
      <c r="Y671" s="30"/>
      <c r="Z671" s="30"/>
      <c r="AA671" s="30"/>
      <c r="AB671" s="31"/>
    </row>
    <row r="672" spans="1:28" x14ac:dyDescent="0.3">
      <c r="A672" s="32">
        <f>VLOOKUP(YEAR(C672),Flags!$A$13:$B$95,2,FALSE)</f>
        <v>1</v>
      </c>
      <c r="B672" s="24">
        <f t="shared" si="1054"/>
        <v>1995</v>
      </c>
      <c r="C672" s="25">
        <v>34850</v>
      </c>
      <c r="D672" s="26">
        <f>VLOOKUP($C672,COS!$B$8:$H$991,3,FALSE)</f>
        <v>10509.75390625</v>
      </c>
      <c r="E672" s="24">
        <f>IF(D672&gt;=IF(MONTH($C672)=4,$C$3,IF(MONTH($C672)=5,$C$4,IF(MONTH($C672)=6,$C$5,IF(MONTH($C672)=7,$C$6,"ERROR")))),1,0)</f>
        <v>1</v>
      </c>
      <c r="F672" s="26">
        <f>VLOOKUP($C672,COS!$B$8:$H$991,7,FALSE)</f>
        <v>50.252239227294922</v>
      </c>
      <c r="G672" s="24">
        <f>IF(F672&lt;=IF(MONTH($C672)=4,$F$3,IF(MONTH($C672)=5,$F$4,IF(MONTH($C672)=6,$F$5,IF(MONTH($C672)=7,$F$6,"ERROR")))),1,0)</f>
        <v>1</v>
      </c>
      <c r="H672" s="26">
        <f>IF(J672=1,D672-$C$4,0)</f>
        <v>4509.75390625</v>
      </c>
      <c r="I672" s="26">
        <f t="shared" si="982"/>
        <v>277.29395919421489</v>
      </c>
      <c r="J672" s="24">
        <f t="shared" si="1074"/>
        <v>1</v>
      </c>
      <c r="K672" s="26">
        <f>VLOOKUP($C672,COS!$B$8:$H$991,2,FALSE)</f>
        <v>4552</v>
      </c>
      <c r="L672" s="24">
        <f t="shared" si="1046"/>
        <v>1</v>
      </c>
      <c r="M672" s="24">
        <f t="shared" si="1047"/>
        <v>0</v>
      </c>
      <c r="N672" s="26">
        <f>VLOOKUP($C672,COS!$B$8:$H$991,5,FALSE)</f>
        <v>475.432861328125</v>
      </c>
      <c r="O672" s="26">
        <f t="shared" si="1077"/>
        <v>29.233227175878099</v>
      </c>
      <c r="P672" s="26">
        <f>VLOOKUP($C672,COS!$B$8:$H$991,6,FALSE)</f>
        <v>1824.550537109375</v>
      </c>
      <c r="Q672" s="26">
        <f t="shared" si="1078"/>
        <v>112.18723963713842</v>
      </c>
      <c r="R672" s="26">
        <f>MIN(IF(MONTH($C672)=4,$S$3,IF(MONTH($C672)=5,$S$4,IF(MONTH($C672)=6,$S$5,IF(MONTH($C672)=7,$S$6,"ERROR")))),MAX(VLOOKUP($C672,COS!$B$8:$K$991,10,FALSE)-IF(MONTH($C672)=4,$Y$3,IF(MONTH($C672)=5,$Y$4,IF(MONTH($C672)=6,$Y$5,IF(MONTH($C672)=7,$Y$6,"ERROR")))),0),MAX(VLOOKUP($C672,COS!$B$8:$K$991,9,FALSE)-IF(MONTH($C672)=4,$V$3,IF(MONTH($C672)=5,$V$4,IF(MONTH($C672)=6,$V$5,IF(MONTH($C672)=7,$V$6,"ERROR"))))-VLOOKUP($C672,COS!$B$8:$K$991,6,FALSE)/2,0))</f>
        <v>0</v>
      </c>
      <c r="S672" s="26">
        <f t="shared" si="1079"/>
        <v>0</v>
      </c>
      <c r="T672" s="26">
        <f t="shared" si="1080"/>
        <v>70.710233406508252</v>
      </c>
      <c r="U672" s="26" t="str">
        <f>IF(VLOOKUP($C672,COS!$B$8:$I$991,8,FALSE)=1,"UWFE","IBU")</f>
        <v>UWFE</v>
      </c>
      <c r="V672" s="26">
        <f t="shared" ref="V672" si="1082">MIN(IF(IF($AA$3=2,AND(E672=1,G672=1,L672=1,L676=1,M672=1,U672="IBU"),AND(E672=1,G672=1,L672=1,L676=1,M672=1)),T672,0),I672)</f>
        <v>0</v>
      </c>
      <c r="W672" s="26"/>
      <c r="X672" s="26"/>
      <c r="Y672" s="26"/>
      <c r="Z672" s="26"/>
      <c r="AA672" s="26"/>
      <c r="AB672" s="33"/>
    </row>
    <row r="673" spans="1:28" x14ac:dyDescent="0.3">
      <c r="A673" s="32">
        <f>VLOOKUP(YEAR(C673),Flags!$A$13:$B$95,2,FALSE)</f>
        <v>1</v>
      </c>
      <c r="B673" s="24">
        <f t="shared" si="1054"/>
        <v>1995</v>
      </c>
      <c r="C673" s="25">
        <v>34880</v>
      </c>
      <c r="D673" s="26">
        <f>VLOOKUP($C673,COS!$B$8:$H$991,3,FALSE)</f>
        <v>8446.6552734375</v>
      </c>
      <c r="E673" s="24">
        <f>IF(D673&gt;=IF(MONTH($C673)=4,$C$3,IF(MONTH($C673)=5,$C$4,IF(MONTH($C673)=6,$C$5,IF(MONTH($C673)=7,$C$6,"ERROR")))),1,0)</f>
        <v>0</v>
      </c>
      <c r="F673" s="26">
        <f>VLOOKUP($C673,COS!$B$8:$H$991,7,FALSE)</f>
        <v>52.693340301513672</v>
      </c>
      <c r="G673" s="24">
        <f>IF(F673&lt;=IF(MONTH($C673)=4,$F$3,IF(MONTH($C673)=5,$F$4,IF(MONTH($C673)=6,$F$5,IF(MONTH($C673)=7,$F$6,"ERROR")))),1,0)</f>
        <v>1</v>
      </c>
      <c r="H673" s="26">
        <f>IF(J673=1,D673-$C$5,0)</f>
        <v>0</v>
      </c>
      <c r="I673" s="26">
        <f t="shared" ref="I673:I736" si="1083">H673*DAY($C673)*86400/43560/1000</f>
        <v>0</v>
      </c>
      <c r="J673" s="24">
        <f t="shared" si="1074"/>
        <v>0</v>
      </c>
      <c r="K673" s="26">
        <f>VLOOKUP($C673,COS!$B$8:$H$991,2,FALSE)</f>
        <v>4500</v>
      </c>
      <c r="L673" s="24">
        <f t="shared" si="1046"/>
        <v>1</v>
      </c>
      <c r="M673" s="24">
        <f t="shared" si="1047"/>
        <v>0</v>
      </c>
      <c r="N673" s="26">
        <f>VLOOKUP($C673,COS!$B$8:$H$991,5,FALSE)</f>
        <v>1088.7784423828125</v>
      </c>
      <c r="O673" s="26">
        <f t="shared" si="1077"/>
        <v>64.786816406249997</v>
      </c>
      <c r="P673" s="26">
        <f>VLOOKUP($C673,COS!$B$8:$H$991,6,FALSE)</f>
        <v>2195.234619140625</v>
      </c>
      <c r="Q673" s="26">
        <f t="shared" si="1078"/>
        <v>130.62553105630167</v>
      </c>
      <c r="R673" s="26">
        <f>MIN(IF(MONTH($C673)=4,$S$3,IF(MONTH($C673)=5,$S$4,IF(MONTH($C673)=6,$S$5,IF(MONTH($C673)=7,$S$6,"ERROR")))),MAX(VLOOKUP($C673,COS!$B$8:$K$991,10,FALSE)-IF(MONTH($C673)=4,$Y$3,IF(MONTH($C673)=5,$Y$4,IF(MONTH($C673)=6,$Y$5,IF(MONTH($C673)=7,$Y$6,"ERROR")))),0),MAX(VLOOKUP($C673,COS!$B$8:$K$991,9,FALSE)-IF(MONTH($C673)=4,$V$3,IF(MONTH($C673)=5,$V$4,IF(MONTH($C673)=6,$V$5,IF(MONTH($C673)=7,$V$6,"ERROR"))))-VLOOKUP($C673,COS!$B$8:$K$991,6,FALSE)/2,0))</f>
        <v>0</v>
      </c>
      <c r="S673" s="26">
        <f t="shared" si="1079"/>
        <v>0</v>
      </c>
      <c r="T673" s="26">
        <f t="shared" si="1080"/>
        <v>97.70617373127584</v>
      </c>
      <c r="U673" s="26" t="str">
        <f>IF(VLOOKUP($C673,COS!$B$8:$I$991,8,FALSE)=1,"UWFE","IBU")</f>
        <v>UWFE</v>
      </c>
      <c r="V673" s="26">
        <f t="shared" ref="V673" si="1084">MIN(IF(IF($AA$3=2,AND(E673=1,G673=1,L673=1,L676=1,M673=1,U673="IBU"),AND(E673=1,G673=1,L673=1,L676=1,M673=1)),T673,0),I673)</f>
        <v>0</v>
      </c>
      <c r="W673" s="26"/>
      <c r="X673" s="26"/>
      <c r="Y673" s="26"/>
      <c r="Z673" s="26"/>
      <c r="AA673" s="26"/>
      <c r="AB673" s="33"/>
    </row>
    <row r="674" spans="1:28" x14ac:dyDescent="0.3">
      <c r="A674" s="32">
        <f>VLOOKUP(YEAR(C674),Flags!$A$13:$B$95,2,FALSE)</f>
        <v>1</v>
      </c>
      <c r="B674" s="24">
        <f t="shared" si="1054"/>
        <v>1995</v>
      </c>
      <c r="C674" s="25">
        <v>34911</v>
      </c>
      <c r="D674" s="26">
        <f>VLOOKUP($C674,COS!$B$8:$H$991,3,FALSE)</f>
        <v>9700.0400390625</v>
      </c>
      <c r="E674" s="24">
        <f>IF(D674&gt;=IF(MONTH($C674)=4,$C$3,IF(MONTH($C674)=5,$C$4,IF(MONTH($C674)=6,$C$5,IF(MONTH($C674)=7,$C$6,"ERROR")))),1,0)</f>
        <v>0</v>
      </c>
      <c r="F674" s="26">
        <f>VLOOKUP($C674,COS!$B$8:$H$991,7,FALSE)</f>
        <v>53.995834350585938</v>
      </c>
      <c r="G674" s="24">
        <f>IF(F674&lt;=IF(MONTH($C674)=4,$F$3,IF(MONTH($C674)=5,$F$4,IF(MONTH($C674)=6,$F$5,IF(MONTH($C674)=7,$F$6,"ERROR")))),1,0)</f>
        <v>0</v>
      </c>
      <c r="H674" s="26">
        <f>IF(J674=1,D674-$C$6,0)</f>
        <v>0</v>
      </c>
      <c r="I674" s="26">
        <f t="shared" si="1083"/>
        <v>0</v>
      </c>
      <c r="J674" s="24">
        <f t="shared" si="1074"/>
        <v>0</v>
      </c>
      <c r="K674" s="26">
        <f>VLOOKUP($C674,COS!$B$8:$H$991,2,FALSE)</f>
        <v>4150</v>
      </c>
      <c r="L674" s="24">
        <f t="shared" si="1046"/>
        <v>1</v>
      </c>
      <c r="M674" s="24">
        <f t="shared" si="1047"/>
        <v>0</v>
      </c>
      <c r="N674" s="26">
        <f>VLOOKUP($C674,COS!$B$8:$H$991,5,FALSE)</f>
        <v>1360.538818359375</v>
      </c>
      <c r="O674" s="26">
        <f t="shared" si="1077"/>
        <v>83.656271145402897</v>
      </c>
      <c r="P674" s="26">
        <f>VLOOKUP($C674,COS!$B$8:$H$991,6,FALSE)</f>
        <v>2616.67822265625</v>
      </c>
      <c r="Q674" s="26">
        <f t="shared" si="1078"/>
        <v>160.89327253357436</v>
      </c>
      <c r="R674" s="26">
        <f>MIN(IF(MONTH($C674)=4,$S$3,IF(MONTH($C674)=5,$S$4,IF(MONTH($C674)=6,$S$5,IF(MONTH($C674)=7,$S$6,"ERROR")))),MAX(VLOOKUP($C674,COS!$B$8:$K$991,10,FALSE)-IF(MONTH($C674)=4,$Y$3,IF(MONTH($C674)=5,$Y$4,IF(MONTH($C674)=6,$Y$5,IF(MONTH($C674)=7,$Y$6,"ERROR")))),0),MAX(VLOOKUP($C674,COS!$B$8:$K$991,9,FALSE)-IF(MONTH($C674)=4,$V$3,IF(MONTH($C674)=5,$V$4,IF(MONTH($C674)=6,$V$5,IF(MONTH($C674)=7,$V$6,"ERROR"))))-VLOOKUP($C674,COS!$B$8:$K$991,6,FALSE)/2,0))</f>
        <v>0</v>
      </c>
      <c r="S674" s="26">
        <f t="shared" si="1079"/>
        <v>0</v>
      </c>
      <c r="T674" s="26">
        <f t="shared" si="1080"/>
        <v>122.27477183948864</v>
      </c>
      <c r="U674" s="26" t="str">
        <f>IF(VLOOKUP($C674,COS!$B$8:$I$991,8,FALSE)=1,"UWFE","IBU")</f>
        <v>UWFE</v>
      </c>
      <c r="V674" s="26">
        <f t="shared" ref="V674" si="1085">MIN(IF(IF($AA$3=2,AND(E674=1,G674=1,L674=1,L676=1,M674=1,U674="IBU"),AND(E674=1,G674=1,L674=1,L676=1,M674=1)),T674,0),I674)</f>
        <v>0</v>
      </c>
      <c r="W674" s="26"/>
      <c r="X674" s="26"/>
      <c r="Y674" s="26"/>
      <c r="Z674" s="26"/>
      <c r="AA674" s="26"/>
      <c r="AB674" s="33"/>
    </row>
    <row r="675" spans="1:28" x14ac:dyDescent="0.3">
      <c r="A675" s="32">
        <f>VLOOKUP(YEAR(C675),Flags!$A$13:$B$95,2,FALSE)</f>
        <v>1</v>
      </c>
      <c r="B675" s="24">
        <f t="shared" si="1054"/>
        <v>1995</v>
      </c>
      <c r="C675" s="25">
        <v>34942</v>
      </c>
      <c r="D675" s="26"/>
      <c r="E675" s="24"/>
      <c r="F675" s="26"/>
      <c r="G675" s="24"/>
      <c r="H675" s="24"/>
      <c r="I675" s="26"/>
      <c r="J675" s="24"/>
      <c r="K675" s="26"/>
      <c r="L675" s="24"/>
      <c r="M675" s="24"/>
      <c r="N675" s="26"/>
      <c r="O675" s="26"/>
      <c r="P675" s="26"/>
      <c r="Q675" s="26"/>
      <c r="R675" s="26"/>
      <c r="S675" s="26"/>
      <c r="T675" s="26"/>
      <c r="U675" s="26"/>
      <c r="V675" s="26"/>
      <c r="W675" s="26">
        <f>MAX($C$7-VLOOKUP($C675,COS!$B$8:$H$991,3,FALSE),0)</f>
        <v>87744.4052734375</v>
      </c>
      <c r="X675" s="26">
        <f t="shared" ref="X675:X738" si="1086">W675*DAY($C675)*86400/43560/1000</f>
        <v>5395.1931837551647</v>
      </c>
      <c r="Y675" s="26">
        <f>VLOOKUP($C675,COS!$B$8:$H$991,4,FALSE)</f>
        <v>0</v>
      </c>
      <c r="Z675" s="26">
        <f t="shared" ref="Z675:Z738" si="1087">Y675*DAY($C675)*86400/43560/1000</f>
        <v>0</v>
      </c>
      <c r="AA675" s="26">
        <f t="shared" ref="AA675:AA679" si="1088">MIN(W675,Y675)</f>
        <v>0</v>
      </c>
      <c r="AB675" s="33">
        <f t="shared" ref="AB675" si="1089">AA675*DAY($C675)*86400/43560/1000*IF(MONTH($C675)=8,$P$3,IF(MONTH($C675)=9,$P$4,IF(MONTH($C675)=10,$P$5,IF(MONTH($C675)=11,$P$6,IF(MONTH($C675)=12,$P$7,NA())))))</f>
        <v>0</v>
      </c>
    </row>
    <row r="676" spans="1:28" x14ac:dyDescent="0.3">
      <c r="A676" s="32">
        <f>VLOOKUP(YEAR(C676),Flags!$A$13:$B$95,2,FALSE)</f>
        <v>1</v>
      </c>
      <c r="B676" s="24">
        <f t="shared" si="1054"/>
        <v>1995</v>
      </c>
      <c r="C676" s="25">
        <v>34972</v>
      </c>
      <c r="D676" s="26"/>
      <c r="E676" s="24"/>
      <c r="F676" s="26"/>
      <c r="G676" s="24"/>
      <c r="H676" s="24"/>
      <c r="I676" s="26"/>
      <c r="J676" s="24"/>
      <c r="K676" s="26">
        <f>VLOOKUP($C676,COS!$B$8:$H$991,2,FALSE)</f>
        <v>3358.360595703125</v>
      </c>
      <c r="L676" s="24">
        <f t="shared" ref="L676" si="1090">IF(AND(K676&gt;$I$7,K676&lt;$I$8),1,0)</f>
        <v>1</v>
      </c>
      <c r="M676" s="24"/>
      <c r="N676" s="26"/>
      <c r="O676" s="26"/>
      <c r="P676" s="26"/>
      <c r="Q676" s="26"/>
      <c r="R676" s="26"/>
      <c r="S676" s="26"/>
      <c r="T676" s="26"/>
      <c r="U676" s="26"/>
      <c r="V676" s="26"/>
      <c r="W676" s="26">
        <f>MAX($C$8-VLOOKUP($C676,COS!$B$8:$H$991,3,FALSE),0)</f>
        <v>88333.3603515625</v>
      </c>
      <c r="X676" s="26">
        <f t="shared" si="1086"/>
        <v>5256.1999548037193</v>
      </c>
      <c r="Y676" s="26">
        <f>VLOOKUP($C676,COS!$B$8:$H$991,4,FALSE)</f>
        <v>0</v>
      </c>
      <c r="Z676" s="26">
        <f t="shared" si="1087"/>
        <v>0</v>
      </c>
      <c r="AA676" s="26">
        <f t="shared" si="1088"/>
        <v>0</v>
      </c>
      <c r="AB676" s="33">
        <f t="shared" si="1058"/>
        <v>0</v>
      </c>
    </row>
    <row r="677" spans="1:28" x14ac:dyDescent="0.3">
      <c r="A677" s="32">
        <f>VLOOKUP(YEAR(C677),Flags!$A$13:$B$95,2,FALSE)</f>
        <v>1</v>
      </c>
      <c r="B677" s="24">
        <f t="shared" si="1054"/>
        <v>1995</v>
      </c>
      <c r="C677" s="25">
        <v>35003</v>
      </c>
      <c r="D677" s="26"/>
      <c r="E677" s="24"/>
      <c r="F677" s="26"/>
      <c r="G677" s="26"/>
      <c r="H677" s="26"/>
      <c r="I677" s="26"/>
      <c r="J677" s="26"/>
      <c r="K677" s="26"/>
      <c r="L677" s="24"/>
      <c r="M677" s="24"/>
      <c r="N677" s="26"/>
      <c r="O677" s="26"/>
      <c r="P677" s="26"/>
      <c r="Q677" s="26"/>
      <c r="R677" s="26"/>
      <c r="S677" s="26"/>
      <c r="T677" s="26"/>
      <c r="U677" s="26"/>
      <c r="V677" s="26"/>
      <c r="W677" s="26">
        <f>MAX($C$9-VLOOKUP($C677,COS!$B$8:$H$991,3,FALSE),0)</f>
        <v>92444.8486328125</v>
      </c>
      <c r="X677" s="26">
        <f t="shared" si="1086"/>
        <v>5684.2121803977279</v>
      </c>
      <c r="Y677" s="26">
        <f>VLOOKUP($C677,COS!$B$8:$H$991,4,FALSE)</f>
        <v>122.30811309814453</v>
      </c>
      <c r="Z677" s="26">
        <f t="shared" si="1087"/>
        <v>7.5204327392578127</v>
      </c>
      <c r="AA677" s="26">
        <f t="shared" si="1088"/>
        <v>122.30811309814453</v>
      </c>
      <c r="AB677" s="33">
        <f t="shared" si="1058"/>
        <v>7.5204327392578127</v>
      </c>
    </row>
    <row r="678" spans="1:28" x14ac:dyDescent="0.3">
      <c r="A678" s="32">
        <f>VLOOKUP(YEAR(C678),Flags!$A$13:$B$95,2,FALSE)</f>
        <v>1</v>
      </c>
      <c r="B678" s="24">
        <f t="shared" si="1054"/>
        <v>1995</v>
      </c>
      <c r="C678" s="25">
        <v>35033</v>
      </c>
      <c r="D678" s="26"/>
      <c r="E678" s="24"/>
      <c r="F678" s="26"/>
      <c r="G678" s="26"/>
      <c r="H678" s="26"/>
      <c r="I678" s="26"/>
      <c r="J678" s="26"/>
      <c r="K678" s="26"/>
      <c r="L678" s="24"/>
      <c r="M678" s="24"/>
      <c r="N678" s="26"/>
      <c r="O678" s="26"/>
      <c r="P678" s="26"/>
      <c r="Q678" s="26"/>
      <c r="R678" s="26"/>
      <c r="S678" s="26"/>
      <c r="T678" s="26"/>
      <c r="U678" s="26"/>
      <c r="V678" s="26"/>
      <c r="W678" s="26">
        <f>MAX($C$10-VLOOKUP($C678,COS!$B$8:$H$991,3,FALSE),0)</f>
        <v>88843.8232421875</v>
      </c>
      <c r="X678" s="26">
        <f t="shared" si="1086"/>
        <v>5286.5746061466944</v>
      </c>
      <c r="Y678" s="26">
        <f>VLOOKUP($C678,COS!$B$8:$H$991,4,FALSE)</f>
        <v>1767.1361083984375</v>
      </c>
      <c r="Z678" s="26">
        <f t="shared" si="1087"/>
        <v>105.15190066503099</v>
      </c>
      <c r="AA678" s="26">
        <f t="shared" si="1088"/>
        <v>1767.1361083984375</v>
      </c>
      <c r="AB678" s="33">
        <f t="shared" si="1058"/>
        <v>52.575950332515497</v>
      </c>
    </row>
    <row r="679" spans="1:28" x14ac:dyDescent="0.3">
      <c r="A679" s="34">
        <f>VLOOKUP(YEAR(C679),Flags!$A$13:$B$95,2,FALSE)</f>
        <v>1</v>
      </c>
      <c r="B679" s="35">
        <f t="shared" si="1054"/>
        <v>1995</v>
      </c>
      <c r="C679" s="36">
        <v>35064</v>
      </c>
      <c r="D679" s="37"/>
      <c r="E679" s="35"/>
      <c r="F679" s="37"/>
      <c r="G679" s="37"/>
      <c r="H679" s="37"/>
      <c r="I679" s="37"/>
      <c r="J679" s="37"/>
      <c r="K679" s="37"/>
      <c r="L679" s="35"/>
      <c r="M679" s="35"/>
      <c r="N679" s="37"/>
      <c r="O679" s="37"/>
      <c r="P679" s="37"/>
      <c r="Q679" s="37"/>
      <c r="R679" s="37"/>
      <c r="S679" s="37"/>
      <c r="T679" s="37"/>
      <c r="U679" s="37"/>
      <c r="V679" s="37"/>
      <c r="W679" s="37">
        <f>MAX($C$11-VLOOKUP($C679,COS!$B$8:$H$991,3,FALSE),0)</f>
        <v>0</v>
      </c>
      <c r="X679" s="37">
        <f t="shared" si="1086"/>
        <v>0</v>
      </c>
      <c r="Y679" s="37">
        <f>VLOOKUP($C679,COS!$B$8:$H$991,4,FALSE)</f>
        <v>0</v>
      </c>
      <c r="Z679" s="37">
        <f t="shared" si="1087"/>
        <v>0</v>
      </c>
      <c r="AA679" s="37">
        <f t="shared" si="1088"/>
        <v>0</v>
      </c>
      <c r="AB679" s="38">
        <f t="shared" si="1058"/>
        <v>0</v>
      </c>
    </row>
    <row r="680" spans="1:28" x14ac:dyDescent="0.3">
      <c r="A680" s="27">
        <f>VLOOKUP(YEAR(C680),Flags!$A$13:$B$95,2,FALSE)</f>
        <v>1</v>
      </c>
      <c r="B680" s="28">
        <f t="shared" si="1054"/>
        <v>1996</v>
      </c>
      <c r="C680" s="29">
        <v>35185</v>
      </c>
      <c r="D680" s="30">
        <f>VLOOKUP($C680,COS!$B$8:$H$991,3,FALSE)</f>
        <v>3250</v>
      </c>
      <c r="E680" s="28">
        <f>IF(D680&gt;=IF(MONTH($C680)=4,$C$3,IF(MONTH($C680)=5,$C$4,IF(MONTH($C680)=6,$C$5,IF(MONTH($C680)=7,$C$6,"ERROR")))),1,0)</f>
        <v>0</v>
      </c>
      <c r="F680" s="30">
        <f>VLOOKUP($C680,COS!$B$8:$H$991,7,FALSE)</f>
        <v>52.729835510253906</v>
      </c>
      <c r="G680" s="28">
        <f>IF(F680&lt;=IF(MONTH($C680)=4,$F$3,IF(MONTH($C680)=5,$F$4,IF(MONTH($C680)=6,$F$5,IF(MONTH($C680)=7,$F$6,"ERROR")))),1,0)</f>
        <v>1</v>
      </c>
      <c r="H680" s="30">
        <f>IF(J680=1,D680-$C$3,0)</f>
        <v>0</v>
      </c>
      <c r="I680" s="30">
        <f t="shared" si="1083"/>
        <v>0</v>
      </c>
      <c r="J680" s="28">
        <f t="shared" ref="J680:J683" si="1091">IF(AND(E680=1,G680=1),1,0)</f>
        <v>0</v>
      </c>
      <c r="K680" s="30">
        <f>VLOOKUP($C680,COS!$B$8:$H$991,2,FALSE)</f>
        <v>4477.14208984375</v>
      </c>
      <c r="L680" s="28">
        <f t="shared" ref="L680" si="1092">IF(K680&lt;=IF(MONTH($C680)=4,$I$3,IF(MONTH($C680)=5,$I$4,IF(MONTH($C680)=6,$I$5,IF(MONTH($C680)=7,$I$6,"ERROR")))),1,0)</f>
        <v>1</v>
      </c>
      <c r="M680" s="28">
        <f t="shared" ref="M680" si="1093">VLOOKUP($A680,$L$3:$M$7,2,FALSE)</f>
        <v>0</v>
      </c>
      <c r="N680" s="30">
        <f>VLOOKUP($C680,COS!$B$8:$H$991,5,FALSE)</f>
        <v>334.49749755859375</v>
      </c>
      <c r="O680" s="30">
        <f t="shared" ref="O680:O683" si="1094">N680*DAY($C680)*86400/43560/1000</f>
        <v>19.903983325800617</v>
      </c>
      <c r="P680" s="30">
        <f>VLOOKUP($C680,COS!$B$8:$H$991,6,FALSE)</f>
        <v>392.12069702148438</v>
      </c>
      <c r="Q680" s="30">
        <f t="shared" ref="Q680:Q683" si="1095">P680*DAY($C680)*86400/43560/1000</f>
        <v>23.332801806237086</v>
      </c>
      <c r="R680" s="30">
        <f>MIN(IF(MONTH($C680)=4,$S$3,IF(MONTH($C680)=5,$S$4,IF(MONTH($C680)=6,$S$5,IF(MONTH($C680)=7,$S$6,"ERROR")))),MAX(VLOOKUP($C680,COS!$B$8:$K$991,10,FALSE)-IF(MONTH($C680)=4,$Y$3,IF(MONTH($C680)=5,$Y$4,IF(MONTH($C680)=6,$Y$5,IF(MONTH($C680)=7,$Y$6,"ERROR")))),0),MAX(VLOOKUP($C680,COS!$B$8:$K$991,9,FALSE)-IF(MONTH($C680)=4,$V$3,IF(MONTH($C680)=5,$V$4,IF(MONTH($C680)=6,$V$5,IF(MONTH($C680)=7,$V$6,"ERROR"))))-VLOOKUP($C680,COS!$B$8:$K$991,6,FALSE)/2,0))</f>
        <v>0</v>
      </c>
      <c r="S680" s="30">
        <f t="shared" ref="S680:S683" si="1096">R680*DAY($C680)*86400/43560/1000</f>
        <v>0</v>
      </c>
      <c r="T680" s="30">
        <f t="shared" ref="T680:T683" si="1097">(O680+Q680)/2+S680</f>
        <v>21.618392566018851</v>
      </c>
      <c r="U680" s="30" t="str">
        <f>IF(VLOOKUP($C680,COS!$B$8:$I$991,8,FALSE)=1,"UWFE","IBU")</f>
        <v>UWFE</v>
      </c>
      <c r="V680" s="30">
        <f t="shared" ref="V680" si="1098">MIN(IF(IF($AA$3=2,AND(E680=1,G680=1,L680=1,L685=1,M680=1,U680="IBU"),AND(E680=1,G680=1,L680=1,L685=1,M680=1)),T680,0),I680)</f>
        <v>0</v>
      </c>
      <c r="W680" s="30"/>
      <c r="X680" s="30"/>
      <c r="Y680" s="30"/>
      <c r="Z680" s="30"/>
      <c r="AA680" s="30"/>
      <c r="AB680" s="31"/>
    </row>
    <row r="681" spans="1:28" x14ac:dyDescent="0.3">
      <c r="A681" s="32">
        <f>VLOOKUP(YEAR(C681),Flags!$A$13:$B$95,2,FALSE)</f>
        <v>1</v>
      </c>
      <c r="B681" s="24">
        <f t="shared" si="1054"/>
        <v>1996</v>
      </c>
      <c r="C681" s="25">
        <v>35216</v>
      </c>
      <c r="D681" s="26">
        <f>VLOOKUP($C681,COS!$B$8:$H$991,3,FALSE)</f>
        <v>10559.1572265625</v>
      </c>
      <c r="E681" s="24">
        <f>IF(D681&gt;=IF(MONTH($C681)=4,$C$3,IF(MONTH($C681)=5,$C$4,IF(MONTH($C681)=6,$C$5,IF(MONTH($C681)=7,$C$6,"ERROR")))),1,0)</f>
        <v>1</v>
      </c>
      <c r="F681" s="26">
        <f>VLOOKUP($C681,COS!$B$8:$H$991,7,FALSE)</f>
        <v>51.389583587646484</v>
      </c>
      <c r="G681" s="24">
        <f>IF(F681&lt;=IF(MONTH($C681)=4,$F$3,IF(MONTH($C681)=5,$F$4,IF(MONTH($C681)=6,$F$5,IF(MONTH($C681)=7,$F$6,"ERROR")))),1,0)</f>
        <v>1</v>
      </c>
      <c r="H681" s="26">
        <f>IF(J681=1,D681-$C$4,0)</f>
        <v>4559.1572265625</v>
      </c>
      <c r="I681" s="26">
        <f t="shared" si="1083"/>
        <v>280.33165095557848</v>
      </c>
      <c r="J681" s="24">
        <f t="shared" si="1091"/>
        <v>1</v>
      </c>
      <c r="K681" s="26">
        <f>VLOOKUP($C681,COS!$B$8:$H$991,2,FALSE)</f>
        <v>4552</v>
      </c>
      <c r="L681" s="24">
        <f t="shared" si="1046"/>
        <v>1</v>
      </c>
      <c r="M681" s="24">
        <f t="shared" si="1047"/>
        <v>0</v>
      </c>
      <c r="N681" s="26">
        <f>VLOOKUP($C681,COS!$B$8:$H$991,5,FALSE)</f>
        <v>391.34814453125</v>
      </c>
      <c r="O681" s="26">
        <f t="shared" si="1094"/>
        <v>24.063059465392563</v>
      </c>
      <c r="P681" s="26">
        <f>VLOOKUP($C681,COS!$B$8:$H$991,6,FALSE)</f>
        <v>1692.3414306640625</v>
      </c>
      <c r="Q681" s="26">
        <f t="shared" si="1095"/>
        <v>104.05801854661674</v>
      </c>
      <c r="R681" s="26">
        <f>MIN(IF(MONTH($C681)=4,$S$3,IF(MONTH($C681)=5,$S$4,IF(MONTH($C681)=6,$S$5,IF(MONTH($C681)=7,$S$6,"ERROR")))),MAX(VLOOKUP($C681,COS!$B$8:$K$991,10,FALSE)-IF(MONTH($C681)=4,$Y$3,IF(MONTH($C681)=5,$Y$4,IF(MONTH($C681)=6,$Y$5,IF(MONTH($C681)=7,$Y$6,"ERROR")))),0),MAX(VLOOKUP($C681,COS!$B$8:$K$991,9,FALSE)-IF(MONTH($C681)=4,$V$3,IF(MONTH($C681)=5,$V$4,IF(MONTH($C681)=6,$V$5,IF(MONTH($C681)=7,$V$6,"ERROR"))))-VLOOKUP($C681,COS!$B$8:$K$991,6,FALSE)/2,0))</f>
        <v>0</v>
      </c>
      <c r="S681" s="26">
        <f t="shared" si="1096"/>
        <v>0</v>
      </c>
      <c r="T681" s="26">
        <f t="shared" si="1097"/>
        <v>64.060539006004646</v>
      </c>
      <c r="U681" s="26" t="str">
        <f>IF(VLOOKUP($C681,COS!$B$8:$I$991,8,FALSE)=1,"UWFE","IBU")</f>
        <v>UWFE</v>
      </c>
      <c r="V681" s="26">
        <f t="shared" ref="V681" si="1099">MIN(IF(IF($AA$3=2,AND(E681=1,G681=1,L681=1,L685=1,M681=1,U681="IBU"),AND(E681=1,G681=1,L681=1,L685=1,M681=1)),T681,0),I681)</f>
        <v>0</v>
      </c>
      <c r="W681" s="26"/>
      <c r="X681" s="26"/>
      <c r="Y681" s="26"/>
      <c r="Z681" s="26"/>
      <c r="AA681" s="26"/>
      <c r="AB681" s="33"/>
    </row>
    <row r="682" spans="1:28" x14ac:dyDescent="0.3">
      <c r="A682" s="32">
        <f>VLOOKUP(YEAR(C682),Flags!$A$13:$B$95,2,FALSE)</f>
        <v>1</v>
      </c>
      <c r="B682" s="24">
        <f t="shared" si="1054"/>
        <v>1996</v>
      </c>
      <c r="C682" s="25">
        <v>35246</v>
      </c>
      <c r="D682" s="26">
        <f>VLOOKUP($C682,COS!$B$8:$H$991,3,FALSE)</f>
        <v>7585.73583984375</v>
      </c>
      <c r="E682" s="24">
        <f>IF(D682&gt;=IF(MONTH($C682)=4,$C$3,IF(MONTH($C682)=5,$C$4,IF(MONTH($C682)=6,$C$5,IF(MONTH($C682)=7,$C$6,"ERROR")))),1,0)</f>
        <v>0</v>
      </c>
      <c r="F682" s="26">
        <f>VLOOKUP($C682,COS!$B$8:$H$991,7,FALSE)</f>
        <v>53.900276184082031</v>
      </c>
      <c r="G682" s="24">
        <f>IF(F682&lt;=IF(MONTH($C682)=4,$F$3,IF(MONTH($C682)=5,$F$4,IF(MONTH($C682)=6,$F$5,IF(MONTH($C682)=7,$F$6,"ERROR")))),1,0)</f>
        <v>1</v>
      </c>
      <c r="H682" s="26">
        <f>IF(J682=1,D682-$C$5,0)</f>
        <v>0</v>
      </c>
      <c r="I682" s="26">
        <f t="shared" si="1083"/>
        <v>0</v>
      </c>
      <c r="J682" s="24">
        <f t="shared" si="1091"/>
        <v>0</v>
      </c>
      <c r="K682" s="26">
        <f>VLOOKUP($C682,COS!$B$8:$H$991,2,FALSE)</f>
        <v>4421.00390625</v>
      </c>
      <c r="L682" s="24">
        <f t="shared" si="1046"/>
        <v>1</v>
      </c>
      <c r="M682" s="24">
        <f t="shared" si="1047"/>
        <v>0</v>
      </c>
      <c r="N682" s="26">
        <f>VLOOKUP($C682,COS!$B$8:$H$991,5,FALSE)</f>
        <v>1206.450439453125</v>
      </c>
      <c r="O682" s="26">
        <f t="shared" si="1094"/>
        <v>71.788786479855375</v>
      </c>
      <c r="P682" s="26">
        <f>VLOOKUP($C682,COS!$B$8:$H$991,6,FALSE)</f>
        <v>2328.534912109375</v>
      </c>
      <c r="Q682" s="26">
        <f t="shared" si="1095"/>
        <v>138.55744931559917</v>
      </c>
      <c r="R682" s="26">
        <f>MIN(IF(MONTH($C682)=4,$S$3,IF(MONTH($C682)=5,$S$4,IF(MONTH($C682)=6,$S$5,IF(MONTH($C682)=7,$S$6,"ERROR")))),MAX(VLOOKUP($C682,COS!$B$8:$K$991,10,FALSE)-IF(MONTH($C682)=4,$Y$3,IF(MONTH($C682)=5,$Y$4,IF(MONTH($C682)=6,$Y$5,IF(MONTH($C682)=7,$Y$6,"ERROR")))),0),MAX(VLOOKUP($C682,COS!$B$8:$K$991,9,FALSE)-IF(MONTH($C682)=4,$V$3,IF(MONTH($C682)=5,$V$4,IF(MONTH($C682)=6,$V$5,IF(MONTH($C682)=7,$V$6,"ERROR"))))-VLOOKUP($C682,COS!$B$8:$K$991,6,FALSE)/2,0))</f>
        <v>0</v>
      </c>
      <c r="S682" s="26">
        <f t="shared" si="1096"/>
        <v>0</v>
      </c>
      <c r="T682" s="26">
        <f t="shared" si="1097"/>
        <v>105.17311789772728</v>
      </c>
      <c r="U682" s="26" t="str">
        <f>IF(VLOOKUP($C682,COS!$B$8:$I$991,8,FALSE)=1,"UWFE","IBU")</f>
        <v>UWFE</v>
      </c>
      <c r="V682" s="26">
        <f t="shared" ref="V682" si="1100">MIN(IF(IF($AA$3=2,AND(E682=1,G682=1,L682=1,L685=1,M682=1,U682="IBU"),AND(E682=1,G682=1,L682=1,L685=1,M682=1)),T682,0),I682)</f>
        <v>0</v>
      </c>
      <c r="W682" s="26"/>
      <c r="X682" s="26"/>
      <c r="Y682" s="26"/>
      <c r="Z682" s="26"/>
      <c r="AA682" s="26"/>
      <c r="AB682" s="33"/>
    </row>
    <row r="683" spans="1:28" x14ac:dyDescent="0.3">
      <c r="A683" s="32">
        <f>VLOOKUP(YEAR(C683),Flags!$A$13:$B$95,2,FALSE)</f>
        <v>1</v>
      </c>
      <c r="B683" s="24">
        <f t="shared" si="1054"/>
        <v>1996</v>
      </c>
      <c r="C683" s="25">
        <v>35277</v>
      </c>
      <c r="D683" s="26">
        <f>VLOOKUP($C683,COS!$B$8:$H$991,3,FALSE)</f>
        <v>15098.107421875</v>
      </c>
      <c r="E683" s="24">
        <f>IF(D683&gt;=IF(MONTH($C683)=4,$C$3,IF(MONTH($C683)=5,$C$4,IF(MONTH($C683)=6,$C$5,IF(MONTH($C683)=7,$C$6,"ERROR")))),1,0)</f>
        <v>1</v>
      </c>
      <c r="F683" s="26">
        <f>VLOOKUP($C683,COS!$B$8:$H$991,7,FALSE)</f>
        <v>53.102745056152344</v>
      </c>
      <c r="G683" s="24">
        <f>IF(F683&lt;=IF(MONTH($C683)=4,$F$3,IF(MONTH($C683)=5,$F$4,IF(MONTH($C683)=6,$F$5,IF(MONTH($C683)=7,$F$6,"ERROR")))),1,0)</f>
        <v>1</v>
      </c>
      <c r="H683" s="26">
        <f>IF(J683=1,D683-$C$6,0)</f>
        <v>3098.107421875</v>
      </c>
      <c r="I683" s="26">
        <f t="shared" si="1083"/>
        <v>190.49520015495867</v>
      </c>
      <c r="J683" s="24">
        <f t="shared" si="1091"/>
        <v>1</v>
      </c>
      <c r="K683" s="26">
        <f>VLOOKUP($C683,COS!$B$8:$H$991,2,FALSE)</f>
        <v>3708.637451171875</v>
      </c>
      <c r="L683" s="24">
        <f t="shared" si="1046"/>
        <v>1</v>
      </c>
      <c r="M683" s="24">
        <f t="shared" si="1047"/>
        <v>0</v>
      </c>
      <c r="N683" s="26">
        <f>VLOOKUP($C683,COS!$B$8:$H$991,5,FALSE)</f>
        <v>1377.7275390625</v>
      </c>
      <c r="O683" s="26">
        <f t="shared" si="1094"/>
        <v>84.713164385330572</v>
      </c>
      <c r="P683" s="26">
        <f>VLOOKUP($C683,COS!$B$8:$H$991,6,FALSE)</f>
        <v>2521.474853515625</v>
      </c>
      <c r="Q683" s="26">
        <f t="shared" si="1095"/>
        <v>155.0394455384814</v>
      </c>
      <c r="R683" s="26">
        <f>MIN(IF(MONTH($C683)=4,$S$3,IF(MONTH($C683)=5,$S$4,IF(MONTH($C683)=6,$S$5,IF(MONTH($C683)=7,$S$6,"ERROR")))),MAX(VLOOKUP($C683,COS!$B$8:$K$991,10,FALSE)-IF(MONTH($C683)=4,$Y$3,IF(MONTH($C683)=5,$Y$4,IF(MONTH($C683)=6,$Y$5,IF(MONTH($C683)=7,$Y$6,"ERROR")))),0),MAX(VLOOKUP($C683,COS!$B$8:$K$991,9,FALSE)-IF(MONTH($C683)=4,$V$3,IF(MONTH($C683)=5,$V$4,IF(MONTH($C683)=6,$V$5,IF(MONTH($C683)=7,$V$6,"ERROR"))))-VLOOKUP($C683,COS!$B$8:$K$991,6,FALSE)/2,0))</f>
        <v>0</v>
      </c>
      <c r="S683" s="26">
        <f t="shared" si="1096"/>
        <v>0</v>
      </c>
      <c r="T683" s="26">
        <f t="shared" si="1097"/>
        <v>119.87630496190599</v>
      </c>
      <c r="U683" s="26" t="str">
        <f>IF(VLOOKUP($C683,COS!$B$8:$I$991,8,FALSE)=1,"UWFE","IBU")</f>
        <v>IBU</v>
      </c>
      <c r="V683" s="26">
        <f t="shared" ref="V683" si="1101">MIN(IF(IF($AA$3=2,AND(E683=1,G683=1,L683=1,L685=1,M683=1,U683="IBU"),AND(E683=1,G683=1,L683=1,L685=1,M683=1)),T683,0),I683)</f>
        <v>0</v>
      </c>
      <c r="W683" s="26"/>
      <c r="X683" s="26"/>
      <c r="Y683" s="26"/>
      <c r="Z683" s="26"/>
      <c r="AA683" s="26"/>
      <c r="AB683" s="33"/>
    </row>
    <row r="684" spans="1:28" x14ac:dyDescent="0.3">
      <c r="A684" s="32">
        <f>VLOOKUP(YEAR(C684),Flags!$A$13:$B$95,2,FALSE)</f>
        <v>1</v>
      </c>
      <c r="B684" s="24">
        <f t="shared" si="1054"/>
        <v>1996</v>
      </c>
      <c r="C684" s="25">
        <v>35308</v>
      </c>
      <c r="D684" s="26"/>
      <c r="E684" s="24"/>
      <c r="F684" s="26"/>
      <c r="G684" s="24"/>
      <c r="H684" s="24"/>
      <c r="I684" s="26"/>
      <c r="J684" s="24"/>
      <c r="K684" s="26"/>
      <c r="L684" s="24"/>
      <c r="M684" s="24"/>
      <c r="N684" s="26"/>
      <c r="O684" s="26"/>
      <c r="P684" s="26"/>
      <c r="Q684" s="26"/>
      <c r="R684" s="26"/>
      <c r="S684" s="26"/>
      <c r="T684" s="26"/>
      <c r="U684" s="26"/>
      <c r="V684" s="26"/>
      <c r="W684" s="26">
        <f>MAX($C$7-VLOOKUP($C684,COS!$B$8:$H$991,3,FALSE),0)</f>
        <v>90642.01953125</v>
      </c>
      <c r="X684" s="26">
        <f t="shared" si="1086"/>
        <v>5573.3605397727279</v>
      </c>
      <c r="Y684" s="26">
        <f>VLOOKUP($C684,COS!$B$8:$H$991,4,FALSE)</f>
        <v>0</v>
      </c>
      <c r="Z684" s="26">
        <f t="shared" si="1087"/>
        <v>0</v>
      </c>
      <c r="AA684" s="26">
        <f t="shared" ref="AA684:AA688" si="1102">MIN(W684,Y684)</f>
        <v>0</v>
      </c>
      <c r="AB684" s="33">
        <f t="shared" ref="AB684" si="1103">AA684*DAY($C684)*86400/43560/1000*IF(MONTH($C684)=8,$P$3,IF(MONTH($C684)=9,$P$4,IF(MONTH($C684)=10,$P$5,IF(MONTH($C684)=11,$P$6,IF(MONTH($C684)=12,$P$7,NA())))))</f>
        <v>0</v>
      </c>
    </row>
    <row r="685" spans="1:28" x14ac:dyDescent="0.3">
      <c r="A685" s="32">
        <f>VLOOKUP(YEAR(C685),Flags!$A$13:$B$95,2,FALSE)</f>
        <v>1</v>
      </c>
      <c r="B685" s="24">
        <f t="shared" si="1054"/>
        <v>1996</v>
      </c>
      <c r="C685" s="25">
        <v>35338</v>
      </c>
      <c r="D685" s="26"/>
      <c r="E685" s="24"/>
      <c r="F685" s="26"/>
      <c r="G685" s="24"/>
      <c r="H685" s="24"/>
      <c r="I685" s="26"/>
      <c r="J685" s="24"/>
      <c r="K685" s="26">
        <f>VLOOKUP($C685,COS!$B$8:$H$991,2,FALSE)</f>
        <v>3012.986572265625</v>
      </c>
      <c r="L685" s="24">
        <f t="shared" ref="L685" si="1104">IF(AND(K685&gt;$I$7,K685&lt;$I$8),1,0)</f>
        <v>1</v>
      </c>
      <c r="M685" s="24"/>
      <c r="N685" s="26"/>
      <c r="O685" s="26"/>
      <c r="P685" s="26"/>
      <c r="Q685" s="26"/>
      <c r="R685" s="26"/>
      <c r="S685" s="26"/>
      <c r="T685" s="26"/>
      <c r="U685" s="26"/>
      <c r="V685" s="26"/>
      <c r="W685" s="26">
        <f>MAX($C$8-VLOOKUP($C685,COS!$B$8:$H$991,3,FALSE),0)</f>
        <v>87735.287109375</v>
      </c>
      <c r="X685" s="26">
        <f t="shared" si="1086"/>
        <v>5220.612125516529</v>
      </c>
      <c r="Y685" s="26">
        <f>VLOOKUP($C685,COS!$B$8:$H$991,4,FALSE)</f>
        <v>0</v>
      </c>
      <c r="Z685" s="26">
        <f t="shared" si="1087"/>
        <v>0</v>
      </c>
      <c r="AA685" s="26">
        <f t="shared" si="1102"/>
        <v>0</v>
      </c>
      <c r="AB685" s="33">
        <f t="shared" si="1058"/>
        <v>0</v>
      </c>
    </row>
    <row r="686" spans="1:28" x14ac:dyDescent="0.3">
      <c r="A686" s="32">
        <f>VLOOKUP(YEAR(C686),Flags!$A$13:$B$95,2,FALSE)</f>
        <v>1</v>
      </c>
      <c r="B686" s="24">
        <f t="shared" si="1054"/>
        <v>1996</v>
      </c>
      <c r="C686" s="25">
        <v>35369</v>
      </c>
      <c r="D686" s="26"/>
      <c r="E686" s="24"/>
      <c r="F686" s="26"/>
      <c r="G686" s="26"/>
      <c r="H686" s="26"/>
      <c r="I686" s="26"/>
      <c r="J686" s="26"/>
      <c r="K686" s="26"/>
      <c r="L686" s="24"/>
      <c r="M686" s="24"/>
      <c r="N686" s="26"/>
      <c r="O686" s="26"/>
      <c r="P686" s="26"/>
      <c r="Q686" s="26"/>
      <c r="R686" s="26"/>
      <c r="S686" s="26"/>
      <c r="T686" s="26"/>
      <c r="U686" s="26"/>
      <c r="V686" s="26"/>
      <c r="W686" s="26">
        <f>MAX($C$9-VLOOKUP($C686,COS!$B$8:$H$991,3,FALSE),0)</f>
        <v>90257.6123046875</v>
      </c>
      <c r="X686" s="26">
        <f t="shared" si="1086"/>
        <v>5549.7242607179751</v>
      </c>
      <c r="Y686" s="26">
        <f>VLOOKUP($C686,COS!$B$8:$H$991,4,FALSE)</f>
        <v>729.4923095703125</v>
      </c>
      <c r="Z686" s="26">
        <f t="shared" si="1087"/>
        <v>44.854733745480374</v>
      </c>
      <c r="AA686" s="26">
        <f t="shared" si="1102"/>
        <v>729.4923095703125</v>
      </c>
      <c r="AB686" s="33">
        <f t="shared" si="1058"/>
        <v>44.854733745480374</v>
      </c>
    </row>
    <row r="687" spans="1:28" x14ac:dyDescent="0.3">
      <c r="A687" s="32">
        <f>VLOOKUP(YEAR(C687),Flags!$A$13:$B$95,2,FALSE)</f>
        <v>1</v>
      </c>
      <c r="B687" s="24">
        <f t="shared" si="1054"/>
        <v>1996</v>
      </c>
      <c r="C687" s="25">
        <v>35399</v>
      </c>
      <c r="D687" s="26"/>
      <c r="E687" s="24"/>
      <c r="F687" s="26"/>
      <c r="G687" s="26"/>
      <c r="H687" s="26"/>
      <c r="I687" s="26"/>
      <c r="J687" s="26"/>
      <c r="K687" s="26"/>
      <c r="L687" s="24"/>
      <c r="M687" s="24"/>
      <c r="N687" s="26"/>
      <c r="O687" s="26"/>
      <c r="P687" s="26"/>
      <c r="Q687" s="26"/>
      <c r="R687" s="26"/>
      <c r="S687" s="26"/>
      <c r="T687" s="26"/>
      <c r="U687" s="26"/>
      <c r="V687" s="26"/>
      <c r="W687" s="26">
        <f>MAX($C$10-VLOOKUP($C687,COS!$B$8:$H$991,3,FALSE),0)</f>
        <v>89483.75</v>
      </c>
      <c r="X687" s="26">
        <f t="shared" si="1086"/>
        <v>5324.6528925619832</v>
      </c>
      <c r="Y687" s="26">
        <f>VLOOKUP($C687,COS!$B$8:$H$991,4,FALSE)</f>
        <v>1822.423095703125</v>
      </c>
      <c r="Z687" s="26">
        <f t="shared" si="1087"/>
        <v>108.44170486828513</v>
      </c>
      <c r="AA687" s="26">
        <f t="shared" si="1102"/>
        <v>1822.423095703125</v>
      </c>
      <c r="AB687" s="33">
        <f t="shared" si="1058"/>
        <v>54.220852434142564</v>
      </c>
    </row>
    <row r="688" spans="1:28" x14ac:dyDescent="0.3">
      <c r="A688" s="34">
        <f>VLOOKUP(YEAR(C688),Flags!$A$13:$B$95,2,FALSE)</f>
        <v>1</v>
      </c>
      <c r="B688" s="35">
        <f t="shared" si="1054"/>
        <v>1996</v>
      </c>
      <c r="C688" s="36">
        <v>35430</v>
      </c>
      <c r="D688" s="37"/>
      <c r="E688" s="35"/>
      <c r="F688" s="37"/>
      <c r="G688" s="37"/>
      <c r="H688" s="37"/>
      <c r="I688" s="37"/>
      <c r="J688" s="37"/>
      <c r="K688" s="37"/>
      <c r="L688" s="35"/>
      <c r="M688" s="35"/>
      <c r="N688" s="37"/>
      <c r="O688" s="37"/>
      <c r="P688" s="37"/>
      <c r="Q688" s="37"/>
      <c r="R688" s="37"/>
      <c r="S688" s="37"/>
      <c r="T688" s="37"/>
      <c r="U688" s="37"/>
      <c r="V688" s="37"/>
      <c r="W688" s="37">
        <f>MAX($C$11-VLOOKUP($C688,COS!$B$8:$H$991,3,FALSE),0)</f>
        <v>0</v>
      </c>
      <c r="X688" s="37">
        <f t="shared" si="1086"/>
        <v>0</v>
      </c>
      <c r="Y688" s="37">
        <f>VLOOKUP($C688,COS!$B$8:$H$991,4,FALSE)</f>
        <v>0</v>
      </c>
      <c r="Z688" s="37">
        <f t="shared" si="1087"/>
        <v>0</v>
      </c>
      <c r="AA688" s="37">
        <f t="shared" si="1102"/>
        <v>0</v>
      </c>
      <c r="AB688" s="38">
        <f t="shared" si="1058"/>
        <v>0</v>
      </c>
    </row>
    <row r="689" spans="1:28" x14ac:dyDescent="0.3">
      <c r="A689" s="27">
        <f>VLOOKUP(YEAR(C689),Flags!$A$13:$B$95,2,FALSE)</f>
        <v>1</v>
      </c>
      <c r="B689" s="28">
        <f t="shared" si="1054"/>
        <v>1997</v>
      </c>
      <c r="C689" s="29">
        <v>35550</v>
      </c>
      <c r="D689" s="30">
        <f>VLOOKUP($C689,COS!$B$8:$H$991,3,FALSE)</f>
        <v>3250</v>
      </c>
      <c r="E689" s="28">
        <f>IF(D689&gt;=IF(MONTH($C689)=4,$C$3,IF(MONTH($C689)=5,$C$4,IF(MONTH($C689)=6,$C$5,IF(MONTH($C689)=7,$C$6,"ERROR")))),1,0)</f>
        <v>0</v>
      </c>
      <c r="F689" s="30">
        <f>VLOOKUP($C689,COS!$B$8:$H$991,7,FALSE)</f>
        <v>50.800266265869141</v>
      </c>
      <c r="G689" s="28">
        <f>IF(F689&lt;=IF(MONTH($C689)=4,$F$3,IF(MONTH($C689)=5,$F$4,IF(MONTH($C689)=6,$F$5,IF(MONTH($C689)=7,$F$6,"ERROR")))),1,0)</f>
        <v>1</v>
      </c>
      <c r="H689" s="30">
        <f>IF(J689=1,D689-$C$3,0)</f>
        <v>0</v>
      </c>
      <c r="I689" s="30">
        <f t="shared" si="1083"/>
        <v>0</v>
      </c>
      <c r="J689" s="28">
        <f t="shared" ref="J689:J692" si="1105">IF(AND(E689=1,G689=1),1,0)</f>
        <v>0</v>
      </c>
      <c r="K689" s="30">
        <f>VLOOKUP($C689,COS!$B$8:$H$991,2,FALSE)</f>
        <v>4284.2431640625</v>
      </c>
      <c r="L689" s="28">
        <f t="shared" ref="L689" si="1106">IF(K689&lt;=IF(MONTH($C689)=4,$I$3,IF(MONTH($C689)=5,$I$4,IF(MONTH($C689)=6,$I$5,IF(MONTH($C689)=7,$I$6,"ERROR")))),1,0)</f>
        <v>1</v>
      </c>
      <c r="M689" s="28">
        <f t="shared" ref="M689" si="1107">VLOOKUP($A689,$L$3:$M$7,2,FALSE)</f>
        <v>0</v>
      </c>
      <c r="N689" s="30">
        <f>VLOOKUP($C689,COS!$B$8:$H$991,5,FALSE)</f>
        <v>312.31362915039063</v>
      </c>
      <c r="O689" s="30">
        <f t="shared" ref="O689:O692" si="1108">N689*DAY($C689)*86400/43560/1000</f>
        <v>18.583951486634813</v>
      </c>
      <c r="P689" s="30">
        <f>VLOOKUP($C689,COS!$B$8:$H$991,6,FALSE)</f>
        <v>564.39752197265625</v>
      </c>
      <c r="Q689" s="30">
        <f t="shared" ref="Q689:Q692" si="1109">P689*DAY($C689)*86400/43560/1000</f>
        <v>33.583984778538223</v>
      </c>
      <c r="R689" s="30">
        <f>MIN(IF(MONTH($C689)=4,$S$3,IF(MONTH($C689)=5,$S$4,IF(MONTH($C689)=6,$S$5,IF(MONTH($C689)=7,$S$6,"ERROR")))),MAX(VLOOKUP($C689,COS!$B$8:$K$991,10,FALSE)-IF(MONTH($C689)=4,$Y$3,IF(MONTH($C689)=5,$Y$4,IF(MONTH($C689)=6,$Y$5,IF(MONTH($C689)=7,$Y$6,"ERROR")))),0),MAX(VLOOKUP($C689,COS!$B$8:$K$991,9,FALSE)-IF(MONTH($C689)=4,$V$3,IF(MONTH($C689)=5,$V$4,IF(MONTH($C689)=6,$V$5,IF(MONTH($C689)=7,$V$6,"ERROR"))))-VLOOKUP($C689,COS!$B$8:$K$991,6,FALSE)/2,0))</f>
        <v>0</v>
      </c>
      <c r="S689" s="30">
        <f t="shared" ref="S689:S692" si="1110">R689*DAY($C689)*86400/43560/1000</f>
        <v>0</v>
      </c>
      <c r="T689" s="30">
        <f t="shared" ref="T689:T692" si="1111">(O689+Q689)/2+S689</f>
        <v>26.08396813258652</v>
      </c>
      <c r="U689" s="30" t="str">
        <f>IF(VLOOKUP($C689,COS!$B$8:$I$991,8,FALSE)=1,"UWFE","IBU")</f>
        <v>UWFE</v>
      </c>
      <c r="V689" s="30">
        <f t="shared" ref="V689" si="1112">MIN(IF(IF($AA$3=2,AND(E689=1,G689=1,L689=1,L694=1,M689=1,U689="IBU"),AND(E689=1,G689=1,L689=1,L694=1,M689=1)),T689,0),I689)</f>
        <v>0</v>
      </c>
      <c r="W689" s="30"/>
      <c r="X689" s="30"/>
      <c r="Y689" s="30"/>
      <c r="Z689" s="30"/>
      <c r="AA689" s="30"/>
      <c r="AB689" s="31"/>
    </row>
    <row r="690" spans="1:28" x14ac:dyDescent="0.3">
      <c r="A690" s="32">
        <f>VLOOKUP(YEAR(C690),Flags!$A$13:$B$95,2,FALSE)</f>
        <v>1</v>
      </c>
      <c r="B690" s="24">
        <f t="shared" si="1054"/>
        <v>1997</v>
      </c>
      <c r="C690" s="25">
        <v>35581</v>
      </c>
      <c r="D690" s="26">
        <f>VLOOKUP($C690,COS!$B$8:$H$991,3,FALSE)</f>
        <v>8600.0205078125</v>
      </c>
      <c r="E690" s="24">
        <f>IF(D690&gt;=IF(MONTH($C690)=4,$C$3,IF(MONTH($C690)=5,$C$4,IF(MONTH($C690)=6,$C$5,IF(MONTH($C690)=7,$C$6,"ERROR")))),1,0)</f>
        <v>1</v>
      </c>
      <c r="F690" s="26">
        <f>VLOOKUP($C690,COS!$B$8:$H$991,7,FALSE)</f>
        <v>50.114212036132813</v>
      </c>
      <c r="G690" s="24">
        <f>IF(F690&lt;=IF(MONTH($C690)=4,$F$3,IF(MONTH($C690)=5,$F$4,IF(MONTH($C690)=6,$F$5,IF(MONTH($C690)=7,$F$6,"ERROR")))),1,0)</f>
        <v>1</v>
      </c>
      <c r="H690" s="26">
        <f>IF(J690=1,D690-$C$4,0)</f>
        <v>2600.0205078125</v>
      </c>
      <c r="I690" s="26">
        <f t="shared" si="1083"/>
        <v>159.86902957128098</v>
      </c>
      <c r="J690" s="24">
        <f t="shared" si="1105"/>
        <v>1</v>
      </c>
      <c r="K690" s="26">
        <f>VLOOKUP($C690,COS!$B$8:$H$991,2,FALSE)</f>
        <v>4051.203369140625</v>
      </c>
      <c r="L690" s="24">
        <f t="shared" si="1046"/>
        <v>1</v>
      </c>
      <c r="M690" s="24">
        <f t="shared" si="1047"/>
        <v>0</v>
      </c>
      <c r="N690" s="26">
        <f>VLOOKUP($C690,COS!$B$8:$H$991,5,FALSE)</f>
        <v>869.624755859375</v>
      </c>
      <c r="O690" s="26">
        <f t="shared" si="1108"/>
        <v>53.471142013171487</v>
      </c>
      <c r="P690" s="26">
        <f>VLOOKUP($C690,COS!$B$8:$H$991,6,FALSE)</f>
        <v>2219.110107421875</v>
      </c>
      <c r="Q690" s="26">
        <f t="shared" si="1109"/>
        <v>136.44776197701447</v>
      </c>
      <c r="R690" s="26">
        <f>MIN(IF(MONTH($C690)=4,$S$3,IF(MONTH($C690)=5,$S$4,IF(MONTH($C690)=6,$S$5,IF(MONTH($C690)=7,$S$6,"ERROR")))),MAX(VLOOKUP($C690,COS!$B$8:$K$991,10,FALSE)-IF(MONTH($C690)=4,$Y$3,IF(MONTH($C690)=5,$Y$4,IF(MONTH($C690)=6,$Y$5,IF(MONTH($C690)=7,$Y$6,"ERROR")))),0),MAX(VLOOKUP($C690,COS!$B$8:$K$991,9,FALSE)-IF(MONTH($C690)=4,$V$3,IF(MONTH($C690)=5,$V$4,IF(MONTH($C690)=6,$V$5,IF(MONTH($C690)=7,$V$6,"ERROR"))))-VLOOKUP($C690,COS!$B$8:$K$991,6,FALSE)/2,0))</f>
        <v>0</v>
      </c>
      <c r="S690" s="26">
        <f t="shared" si="1110"/>
        <v>0</v>
      </c>
      <c r="T690" s="26">
        <f t="shared" si="1111"/>
        <v>94.959451995092977</v>
      </c>
      <c r="U690" s="26" t="str">
        <f>IF(VLOOKUP($C690,COS!$B$8:$I$991,8,FALSE)=1,"UWFE","IBU")</f>
        <v>UWFE</v>
      </c>
      <c r="V690" s="26">
        <f t="shared" ref="V690" si="1113">MIN(IF(IF($AA$3=2,AND(E690=1,G690=1,L690=1,L694=1,M690=1,U690="IBU"),AND(E690=1,G690=1,L690=1,L694=1,M690=1)),T690,0),I690)</f>
        <v>0</v>
      </c>
      <c r="W690" s="26"/>
      <c r="X690" s="26"/>
      <c r="Y690" s="26"/>
      <c r="Z690" s="26"/>
      <c r="AA690" s="26"/>
      <c r="AB690" s="33"/>
    </row>
    <row r="691" spans="1:28" x14ac:dyDescent="0.3">
      <c r="A691" s="32">
        <f>VLOOKUP(YEAR(C691),Flags!$A$13:$B$95,2,FALSE)</f>
        <v>1</v>
      </c>
      <c r="B691" s="24">
        <f t="shared" si="1054"/>
        <v>1997</v>
      </c>
      <c r="C691" s="25">
        <v>35611</v>
      </c>
      <c r="D691" s="26">
        <f>VLOOKUP($C691,COS!$B$8:$H$991,3,FALSE)</f>
        <v>8785.2919921875</v>
      </c>
      <c r="E691" s="24">
        <f>IF(D691&gt;=IF(MONTH($C691)=4,$C$3,IF(MONTH($C691)=5,$C$4,IF(MONTH($C691)=6,$C$5,IF(MONTH($C691)=7,$C$6,"ERROR")))),1,0)</f>
        <v>0</v>
      </c>
      <c r="F691" s="26">
        <f>VLOOKUP($C691,COS!$B$8:$H$991,7,FALSE)</f>
        <v>50.868202209472656</v>
      </c>
      <c r="G691" s="24">
        <f>IF(F691&lt;=IF(MONTH($C691)=4,$F$3,IF(MONTH($C691)=5,$F$4,IF(MONTH($C691)=6,$F$5,IF(MONTH($C691)=7,$F$6,"ERROR")))),1,0)</f>
        <v>1</v>
      </c>
      <c r="H691" s="26">
        <f>IF(J691=1,D691-$C$5,0)</f>
        <v>0</v>
      </c>
      <c r="I691" s="26">
        <f t="shared" si="1083"/>
        <v>0</v>
      </c>
      <c r="J691" s="24">
        <f t="shared" si="1105"/>
        <v>0</v>
      </c>
      <c r="K691" s="26">
        <f>VLOOKUP($C691,COS!$B$8:$H$991,2,FALSE)</f>
        <v>3776.169677734375</v>
      </c>
      <c r="L691" s="24">
        <f t="shared" si="1046"/>
        <v>1</v>
      </c>
      <c r="M691" s="24">
        <f t="shared" si="1047"/>
        <v>0</v>
      </c>
      <c r="N691" s="26">
        <f>VLOOKUP($C691,COS!$B$8:$H$991,5,FALSE)</f>
        <v>771.67578125</v>
      </c>
      <c r="O691" s="26">
        <f t="shared" si="1108"/>
        <v>45.917897727272731</v>
      </c>
      <c r="P691" s="26">
        <f>VLOOKUP($C691,COS!$B$8:$H$991,6,FALSE)</f>
        <v>2299.130615234375</v>
      </c>
      <c r="Q691" s="26">
        <f t="shared" si="1109"/>
        <v>136.80777214617768</v>
      </c>
      <c r="R691" s="26">
        <f>MIN(IF(MONTH($C691)=4,$S$3,IF(MONTH($C691)=5,$S$4,IF(MONTH($C691)=6,$S$5,IF(MONTH($C691)=7,$S$6,"ERROR")))),MAX(VLOOKUP($C691,COS!$B$8:$K$991,10,FALSE)-IF(MONTH($C691)=4,$Y$3,IF(MONTH($C691)=5,$Y$4,IF(MONTH($C691)=6,$Y$5,IF(MONTH($C691)=7,$Y$6,"ERROR")))),0),MAX(VLOOKUP($C691,COS!$B$8:$K$991,9,FALSE)-IF(MONTH($C691)=4,$V$3,IF(MONTH($C691)=5,$V$4,IF(MONTH($C691)=6,$V$5,IF(MONTH($C691)=7,$V$6,"ERROR"))))-VLOOKUP($C691,COS!$B$8:$K$991,6,FALSE)/2,0))</f>
        <v>0</v>
      </c>
      <c r="S691" s="26">
        <f t="shared" si="1110"/>
        <v>0</v>
      </c>
      <c r="T691" s="26">
        <f t="shared" si="1111"/>
        <v>91.362834936725207</v>
      </c>
      <c r="U691" s="26" t="str">
        <f>IF(VLOOKUP($C691,COS!$B$8:$I$991,8,FALSE)=1,"UWFE","IBU")</f>
        <v>IBU</v>
      </c>
      <c r="V691" s="26">
        <f t="shared" ref="V691" si="1114">MIN(IF(IF($AA$3=2,AND(E691=1,G691=1,L691=1,L694=1,M691=1,U691="IBU"),AND(E691=1,G691=1,L691=1,L694=1,M691=1)),T691,0),I691)</f>
        <v>0</v>
      </c>
      <c r="W691" s="26"/>
      <c r="X691" s="26"/>
      <c r="Y691" s="26"/>
      <c r="Z691" s="26"/>
      <c r="AA691" s="26"/>
      <c r="AB691" s="33"/>
    </row>
    <row r="692" spans="1:28" x14ac:dyDescent="0.3">
      <c r="A692" s="32">
        <f>VLOOKUP(YEAR(C692),Flags!$A$13:$B$95,2,FALSE)</f>
        <v>1</v>
      </c>
      <c r="B692" s="24">
        <f t="shared" si="1054"/>
        <v>1997</v>
      </c>
      <c r="C692" s="25">
        <v>35642</v>
      </c>
      <c r="D692" s="26">
        <f>VLOOKUP($C692,COS!$B$8:$H$991,3,FALSE)</f>
        <v>15565.1083984375</v>
      </c>
      <c r="E692" s="24">
        <f>IF(D692&gt;=IF(MONTH($C692)=4,$C$3,IF(MONTH($C692)=5,$C$4,IF(MONTH($C692)=6,$C$5,IF(MONTH($C692)=7,$C$6,"ERROR")))),1,0)</f>
        <v>1</v>
      </c>
      <c r="F692" s="26">
        <f>VLOOKUP($C692,COS!$B$8:$H$991,7,FALSE)</f>
        <v>51.028911590576172</v>
      </c>
      <c r="G692" s="24">
        <f>IF(F692&lt;=IF(MONTH($C692)=4,$F$3,IF(MONTH($C692)=5,$F$4,IF(MONTH($C692)=6,$F$5,IF(MONTH($C692)=7,$F$6,"ERROR")))),1,0)</f>
        <v>1</v>
      </c>
      <c r="H692" s="26">
        <f>IF(J692=1,D692-$C$6,0)</f>
        <v>3565.1083984375</v>
      </c>
      <c r="I692" s="26">
        <f t="shared" si="1083"/>
        <v>219.20997094524793</v>
      </c>
      <c r="J692" s="24">
        <f t="shared" si="1105"/>
        <v>1</v>
      </c>
      <c r="K692" s="26">
        <f>VLOOKUP($C692,COS!$B$8:$H$991,2,FALSE)</f>
        <v>3132.19189453125</v>
      </c>
      <c r="L692" s="24">
        <f t="shared" si="1046"/>
        <v>1</v>
      </c>
      <c r="M692" s="24">
        <f t="shared" si="1047"/>
        <v>0</v>
      </c>
      <c r="N692" s="26">
        <f>VLOOKUP($C692,COS!$B$8:$H$991,5,FALSE)</f>
        <v>889.0089111328125</v>
      </c>
      <c r="O692" s="26">
        <f t="shared" si="1108"/>
        <v>54.663027263042359</v>
      </c>
      <c r="P692" s="26">
        <f>VLOOKUP($C692,COS!$B$8:$H$991,6,FALSE)</f>
        <v>2607.468505859375</v>
      </c>
      <c r="Q692" s="26">
        <f t="shared" si="1109"/>
        <v>160.32698912060951</v>
      </c>
      <c r="R692" s="26">
        <f>MIN(IF(MONTH($C692)=4,$S$3,IF(MONTH($C692)=5,$S$4,IF(MONTH($C692)=6,$S$5,IF(MONTH($C692)=7,$S$6,"ERROR")))),MAX(VLOOKUP($C692,COS!$B$8:$K$991,10,FALSE)-IF(MONTH($C692)=4,$Y$3,IF(MONTH($C692)=5,$Y$4,IF(MONTH($C692)=6,$Y$5,IF(MONTH($C692)=7,$Y$6,"ERROR")))),0),MAX(VLOOKUP($C692,COS!$B$8:$K$991,9,FALSE)-IF(MONTH($C692)=4,$V$3,IF(MONTH($C692)=5,$V$4,IF(MONTH($C692)=6,$V$5,IF(MONTH($C692)=7,$V$6,"ERROR"))))-VLOOKUP($C692,COS!$B$8:$K$991,6,FALSE)/2,0))</f>
        <v>0</v>
      </c>
      <c r="S692" s="26">
        <f t="shared" si="1110"/>
        <v>0</v>
      </c>
      <c r="T692" s="26">
        <f t="shared" si="1111"/>
        <v>107.49500819182593</v>
      </c>
      <c r="U692" s="26" t="str">
        <f>IF(VLOOKUP($C692,COS!$B$8:$I$991,8,FALSE)=1,"UWFE","IBU")</f>
        <v>IBU</v>
      </c>
      <c r="V692" s="26">
        <f t="shared" ref="V692" si="1115">MIN(IF(IF($AA$3=2,AND(E692=1,G692=1,L692=1,L694=1,M692=1,U692="IBU"),AND(E692=1,G692=1,L692=1,L694=1,M692=1)),T692,0),I692)</f>
        <v>0</v>
      </c>
      <c r="W692" s="26"/>
      <c r="X692" s="26"/>
      <c r="Y692" s="26"/>
      <c r="Z692" s="26"/>
      <c r="AA692" s="26"/>
      <c r="AB692" s="33"/>
    </row>
    <row r="693" spans="1:28" x14ac:dyDescent="0.3">
      <c r="A693" s="32">
        <f>VLOOKUP(YEAR(C693),Flags!$A$13:$B$95,2,FALSE)</f>
        <v>1</v>
      </c>
      <c r="B693" s="24">
        <f t="shared" si="1054"/>
        <v>1997</v>
      </c>
      <c r="C693" s="25">
        <v>35673</v>
      </c>
      <c r="D693" s="26"/>
      <c r="E693" s="24"/>
      <c r="F693" s="26"/>
      <c r="G693" s="24"/>
      <c r="H693" s="24"/>
      <c r="I693" s="26"/>
      <c r="J693" s="24"/>
      <c r="K693" s="26"/>
      <c r="L693" s="24"/>
      <c r="M693" s="24"/>
      <c r="N693" s="26"/>
      <c r="O693" s="26"/>
      <c r="P693" s="26"/>
      <c r="Q693" s="26"/>
      <c r="R693" s="26"/>
      <c r="S693" s="26"/>
      <c r="T693" s="26"/>
      <c r="U693" s="26"/>
      <c r="V693" s="26"/>
      <c r="W693" s="26">
        <f>MAX($C$7-VLOOKUP($C693,COS!$B$8:$H$991,3,FALSE),0)</f>
        <v>91754.5810546875</v>
      </c>
      <c r="X693" s="26">
        <f t="shared" si="1086"/>
        <v>5641.7692813791327</v>
      </c>
      <c r="Y693" s="26">
        <f>VLOOKUP($C693,COS!$B$8:$H$991,4,FALSE)</f>
        <v>0</v>
      </c>
      <c r="Z693" s="26">
        <f t="shared" si="1087"/>
        <v>0</v>
      </c>
      <c r="AA693" s="26">
        <f t="shared" ref="AA693:AA697" si="1116">MIN(W693,Y693)</f>
        <v>0</v>
      </c>
      <c r="AB693" s="33">
        <f t="shared" ref="AB693" si="1117">AA693*DAY($C693)*86400/43560/1000*IF(MONTH($C693)=8,$P$3,IF(MONTH($C693)=9,$P$4,IF(MONTH($C693)=10,$P$5,IF(MONTH($C693)=11,$P$6,IF(MONTH($C693)=12,$P$7,NA())))))</f>
        <v>0</v>
      </c>
    </row>
    <row r="694" spans="1:28" x14ac:dyDescent="0.3">
      <c r="A694" s="32">
        <f>VLOOKUP(YEAR(C694),Flags!$A$13:$B$95,2,FALSE)</f>
        <v>1</v>
      </c>
      <c r="B694" s="24">
        <f t="shared" si="1054"/>
        <v>1997</v>
      </c>
      <c r="C694" s="25">
        <v>35703</v>
      </c>
      <c r="D694" s="26"/>
      <c r="E694" s="24"/>
      <c r="F694" s="26"/>
      <c r="G694" s="24"/>
      <c r="H694" s="24"/>
      <c r="I694" s="26"/>
      <c r="J694" s="24"/>
      <c r="K694" s="26">
        <f>VLOOKUP($C694,COS!$B$8:$H$991,2,FALSE)</f>
        <v>2308.70703125</v>
      </c>
      <c r="L694" s="24">
        <f t="shared" ref="L694" si="1118">IF(AND(K694&gt;$I$7,K694&lt;$I$8),1,0)</f>
        <v>1</v>
      </c>
      <c r="M694" s="24"/>
      <c r="N694" s="26"/>
      <c r="O694" s="26"/>
      <c r="P694" s="26"/>
      <c r="Q694" s="26"/>
      <c r="R694" s="26"/>
      <c r="S694" s="26"/>
      <c r="T694" s="26"/>
      <c r="U694" s="26"/>
      <c r="V694" s="26"/>
      <c r="W694" s="26">
        <f>MAX($C$8-VLOOKUP($C694,COS!$B$8:$H$991,3,FALSE),0)</f>
        <v>84248.9375</v>
      </c>
      <c r="X694" s="26">
        <f t="shared" si="1086"/>
        <v>5013.1599173553714</v>
      </c>
      <c r="Y694" s="26">
        <f>VLOOKUP($C694,COS!$B$8:$H$991,4,FALSE)</f>
        <v>0</v>
      </c>
      <c r="Z694" s="26">
        <f t="shared" si="1087"/>
        <v>0</v>
      </c>
      <c r="AA694" s="26">
        <f t="shared" si="1116"/>
        <v>0</v>
      </c>
      <c r="AB694" s="33">
        <f t="shared" si="1058"/>
        <v>0</v>
      </c>
    </row>
    <row r="695" spans="1:28" x14ac:dyDescent="0.3">
      <c r="A695" s="32">
        <f>VLOOKUP(YEAR(C695),Flags!$A$13:$B$95,2,FALSE)</f>
        <v>1</v>
      </c>
      <c r="B695" s="24">
        <f t="shared" si="1054"/>
        <v>1997</v>
      </c>
      <c r="C695" s="25">
        <v>35734</v>
      </c>
      <c r="D695" s="26"/>
      <c r="E695" s="24"/>
      <c r="F695" s="26"/>
      <c r="G695" s="26"/>
      <c r="H695" s="26"/>
      <c r="I695" s="26"/>
      <c r="J695" s="26"/>
      <c r="K695" s="26"/>
      <c r="L695" s="24"/>
      <c r="M695" s="24"/>
      <c r="N695" s="26"/>
      <c r="O695" s="26"/>
      <c r="P695" s="26"/>
      <c r="Q695" s="26"/>
      <c r="R695" s="26"/>
      <c r="S695" s="26"/>
      <c r="T695" s="26"/>
      <c r="U695" s="26"/>
      <c r="V695" s="26"/>
      <c r="W695" s="26">
        <f>MAX($C$9-VLOOKUP($C695,COS!$B$8:$H$991,3,FALSE),0)</f>
        <v>89158.6005859375</v>
      </c>
      <c r="X695" s="26">
        <f t="shared" si="1086"/>
        <v>5482.1486641270658</v>
      </c>
      <c r="Y695" s="26">
        <f>VLOOKUP($C695,COS!$B$8:$H$991,4,FALSE)</f>
        <v>1005.2962646484375</v>
      </c>
      <c r="Z695" s="26">
        <f t="shared" si="1087"/>
        <v>61.813257925490703</v>
      </c>
      <c r="AA695" s="26">
        <f t="shared" si="1116"/>
        <v>1005.2962646484375</v>
      </c>
      <c r="AB695" s="33">
        <f t="shared" si="1058"/>
        <v>61.813257925490703</v>
      </c>
    </row>
    <row r="696" spans="1:28" x14ac:dyDescent="0.3">
      <c r="A696" s="32">
        <f>VLOOKUP(YEAR(C696),Flags!$A$13:$B$95,2,FALSE)</f>
        <v>1</v>
      </c>
      <c r="B696" s="24">
        <f t="shared" si="1054"/>
        <v>1997</v>
      </c>
      <c r="C696" s="25">
        <v>35764</v>
      </c>
      <c r="D696" s="26"/>
      <c r="E696" s="24"/>
      <c r="F696" s="26"/>
      <c r="G696" s="26"/>
      <c r="H696" s="26"/>
      <c r="I696" s="26"/>
      <c r="J696" s="26"/>
      <c r="K696" s="26"/>
      <c r="L696" s="24"/>
      <c r="M696" s="24"/>
      <c r="N696" s="26"/>
      <c r="O696" s="26"/>
      <c r="P696" s="26"/>
      <c r="Q696" s="26"/>
      <c r="R696" s="26"/>
      <c r="S696" s="26"/>
      <c r="T696" s="26"/>
      <c r="U696" s="26"/>
      <c r="V696" s="26"/>
      <c r="W696" s="26">
        <f>MAX($C$10-VLOOKUP($C696,COS!$B$8:$H$991,3,FALSE),0)</f>
        <v>89428.9970703125</v>
      </c>
      <c r="X696" s="26">
        <f t="shared" si="1086"/>
        <v>5321.3948669938018</v>
      </c>
      <c r="Y696" s="26">
        <f>VLOOKUP($C696,COS!$B$8:$H$991,4,FALSE)</f>
        <v>1155.107177734375</v>
      </c>
      <c r="Z696" s="26">
        <f t="shared" si="1087"/>
        <v>68.733650245351242</v>
      </c>
      <c r="AA696" s="26">
        <f t="shared" si="1116"/>
        <v>1155.107177734375</v>
      </c>
      <c r="AB696" s="33">
        <f t="shared" si="1058"/>
        <v>34.366825122675621</v>
      </c>
    </row>
    <row r="697" spans="1:28" x14ac:dyDescent="0.3">
      <c r="A697" s="34">
        <f>VLOOKUP(YEAR(C697),Flags!$A$13:$B$95,2,FALSE)</f>
        <v>1</v>
      </c>
      <c r="B697" s="35">
        <f t="shared" si="1054"/>
        <v>1997</v>
      </c>
      <c r="C697" s="36">
        <v>35795</v>
      </c>
      <c r="D697" s="37"/>
      <c r="E697" s="35"/>
      <c r="F697" s="37"/>
      <c r="G697" s="37"/>
      <c r="H697" s="37"/>
      <c r="I697" s="37"/>
      <c r="J697" s="37"/>
      <c r="K697" s="37"/>
      <c r="L697" s="35"/>
      <c r="M697" s="35"/>
      <c r="N697" s="37"/>
      <c r="O697" s="37"/>
      <c r="P697" s="37"/>
      <c r="Q697" s="37"/>
      <c r="R697" s="37"/>
      <c r="S697" s="37"/>
      <c r="T697" s="37"/>
      <c r="U697" s="37"/>
      <c r="V697" s="37"/>
      <c r="W697" s="37">
        <f>MAX($C$11-VLOOKUP($C697,COS!$B$8:$H$991,3,FALSE),0)</f>
        <v>0</v>
      </c>
      <c r="X697" s="37">
        <f t="shared" si="1086"/>
        <v>0</v>
      </c>
      <c r="Y697" s="37">
        <f>VLOOKUP($C697,COS!$B$8:$H$991,4,FALSE)</f>
        <v>0</v>
      </c>
      <c r="Z697" s="37">
        <f t="shared" si="1087"/>
        <v>0</v>
      </c>
      <c r="AA697" s="37">
        <f t="shared" si="1116"/>
        <v>0</v>
      </c>
      <c r="AB697" s="38">
        <f t="shared" si="1058"/>
        <v>0</v>
      </c>
    </row>
    <row r="698" spans="1:28" x14ac:dyDescent="0.3">
      <c r="A698" s="27">
        <f>VLOOKUP(YEAR(C698),Flags!$A$13:$B$95,2,FALSE)</f>
        <v>1</v>
      </c>
      <c r="B698" s="28">
        <f t="shared" si="1054"/>
        <v>1998</v>
      </c>
      <c r="C698" s="29">
        <v>35915</v>
      </c>
      <c r="D698" s="30">
        <f>VLOOKUP($C698,COS!$B$8:$H$991,3,FALSE)</f>
        <v>3250</v>
      </c>
      <c r="E698" s="28">
        <f>IF(D698&gt;=IF(MONTH($C698)=4,$C$3,IF(MONTH($C698)=5,$C$4,IF(MONTH($C698)=6,$C$5,IF(MONTH($C698)=7,$C$6,"ERROR")))),1,0)</f>
        <v>0</v>
      </c>
      <c r="F698" s="30">
        <f>VLOOKUP($C698,COS!$B$8:$H$991,7,FALSE)</f>
        <v>51.311630249023438</v>
      </c>
      <c r="G698" s="28">
        <f>IF(F698&lt;=IF(MONTH($C698)=4,$F$3,IF(MONTH($C698)=5,$F$4,IF(MONTH($C698)=6,$F$5,IF(MONTH($C698)=7,$F$6,"ERROR")))),1,0)</f>
        <v>1</v>
      </c>
      <c r="H698" s="30">
        <f>IF(J698=1,D698-$C$3,0)</f>
        <v>0</v>
      </c>
      <c r="I698" s="30">
        <f t="shared" si="1083"/>
        <v>0</v>
      </c>
      <c r="J698" s="28">
        <f t="shared" ref="J698:J701" si="1119">IF(AND(E698=1,G698=1),1,0)</f>
        <v>0</v>
      </c>
      <c r="K698" s="30">
        <f>VLOOKUP($C698,COS!$B$8:$H$991,2,FALSE)</f>
        <v>4367.82666015625</v>
      </c>
      <c r="L698" s="28">
        <f t="shared" ref="L698" si="1120">IF(K698&lt;=IF(MONTH($C698)=4,$I$3,IF(MONTH($C698)=5,$I$4,IF(MONTH($C698)=6,$I$5,IF(MONTH($C698)=7,$I$6,"ERROR")))),1,0)</f>
        <v>1</v>
      </c>
      <c r="M698" s="28">
        <f t="shared" ref="M698" si="1121">VLOOKUP($A698,$L$3:$M$7,2,FALSE)</f>
        <v>0</v>
      </c>
      <c r="N698" s="30">
        <f>VLOOKUP($C698,COS!$B$8:$H$991,5,FALSE)</f>
        <v>36.427017211914063</v>
      </c>
      <c r="O698" s="30">
        <f t="shared" ref="O698:O701" si="1122">N698*DAY($C698)*86400/43560/1000</f>
        <v>2.1675580489733988</v>
      </c>
      <c r="P698" s="30">
        <f>VLOOKUP($C698,COS!$B$8:$H$991,6,FALSE)</f>
        <v>359.47348022460938</v>
      </c>
      <c r="Q698" s="30">
        <f t="shared" ref="Q698:Q701" si="1123">P698*DAY($C698)*86400/43560/1000</f>
        <v>21.390157500968492</v>
      </c>
      <c r="R698" s="30">
        <f>MIN(IF(MONTH($C698)=4,$S$3,IF(MONTH($C698)=5,$S$4,IF(MONTH($C698)=6,$S$5,IF(MONTH($C698)=7,$S$6,"ERROR")))),MAX(VLOOKUP($C698,COS!$B$8:$K$991,10,FALSE)-IF(MONTH($C698)=4,$Y$3,IF(MONTH($C698)=5,$Y$4,IF(MONTH($C698)=6,$Y$5,IF(MONTH($C698)=7,$Y$6,"ERROR")))),0),MAX(VLOOKUP($C698,COS!$B$8:$K$991,9,FALSE)-IF(MONTH($C698)=4,$V$3,IF(MONTH($C698)=5,$V$4,IF(MONTH($C698)=6,$V$5,IF(MONTH($C698)=7,$V$6,"ERROR"))))-VLOOKUP($C698,COS!$B$8:$K$991,6,FALSE)/2,0))</f>
        <v>0</v>
      </c>
      <c r="S698" s="30">
        <f t="shared" ref="S698:S701" si="1124">R698*DAY($C698)*86400/43560/1000</f>
        <v>0</v>
      </c>
      <c r="T698" s="30">
        <f t="shared" ref="T698:T701" si="1125">(O698+Q698)/2+S698</f>
        <v>11.778857774970945</v>
      </c>
      <c r="U698" s="30" t="str">
        <f>IF(VLOOKUP($C698,COS!$B$8:$I$991,8,FALSE)=1,"UWFE","IBU")</f>
        <v>UWFE</v>
      </c>
      <c r="V698" s="30">
        <f t="shared" ref="V698" si="1126">MIN(IF(IF($AA$3=2,AND(E698=1,G698=1,L698=1,L703=1,M698=1,U698="IBU"),AND(E698=1,G698=1,L698=1,L703=1,M698=1)),T698,0),I698)</f>
        <v>0</v>
      </c>
      <c r="W698" s="30"/>
      <c r="X698" s="30"/>
      <c r="Y698" s="30"/>
      <c r="Z698" s="30"/>
      <c r="AA698" s="30"/>
      <c r="AB698" s="31"/>
    </row>
    <row r="699" spans="1:28" x14ac:dyDescent="0.3">
      <c r="A699" s="32">
        <f>VLOOKUP(YEAR(C699),Flags!$A$13:$B$95,2,FALSE)</f>
        <v>1</v>
      </c>
      <c r="B699" s="24">
        <f t="shared" si="1054"/>
        <v>1998</v>
      </c>
      <c r="C699" s="25">
        <v>35946</v>
      </c>
      <c r="D699" s="26">
        <f>VLOOKUP($C699,COS!$B$8:$H$991,3,FALSE)</f>
        <v>14100.6455078125</v>
      </c>
      <c r="E699" s="24">
        <f>IF(D699&gt;=IF(MONTH($C699)=4,$C$3,IF(MONTH($C699)=5,$C$4,IF(MONTH($C699)=6,$C$5,IF(MONTH($C699)=7,$C$6,"ERROR")))),1,0)</f>
        <v>1</v>
      </c>
      <c r="F699" s="26">
        <f>VLOOKUP($C699,COS!$B$8:$H$991,7,FALSE)</f>
        <v>48.434772491455078</v>
      </c>
      <c r="G699" s="24">
        <f>IF(F699&lt;=IF(MONTH($C699)=4,$F$3,IF(MONTH($C699)=5,$F$4,IF(MONTH($C699)=6,$F$5,IF(MONTH($C699)=7,$F$6,"ERROR")))),1,0)</f>
        <v>1</v>
      </c>
      <c r="H699" s="26">
        <f>IF(J699=1,D699-$C$4,0)</f>
        <v>8100.6455078125</v>
      </c>
      <c r="I699" s="26">
        <f t="shared" si="1083"/>
        <v>498.08927750516534</v>
      </c>
      <c r="J699" s="24">
        <f t="shared" si="1119"/>
        <v>1</v>
      </c>
      <c r="K699" s="26">
        <f>VLOOKUP($C699,COS!$B$8:$H$991,2,FALSE)</f>
        <v>4552</v>
      </c>
      <c r="L699" s="24">
        <f t="shared" si="1046"/>
        <v>1</v>
      </c>
      <c r="M699" s="24">
        <f t="shared" si="1047"/>
        <v>0</v>
      </c>
      <c r="N699" s="26">
        <f>VLOOKUP($C699,COS!$B$8:$H$991,5,FALSE)</f>
        <v>95.197517395019531</v>
      </c>
      <c r="O699" s="26">
        <f t="shared" si="1122"/>
        <v>5.8534671852805396</v>
      </c>
      <c r="P699" s="26">
        <f>VLOOKUP($C699,COS!$B$8:$H$991,6,FALSE)</f>
        <v>1202.3902587890625</v>
      </c>
      <c r="Q699" s="26">
        <f t="shared" si="1123"/>
        <v>73.932095251162181</v>
      </c>
      <c r="R699" s="26">
        <f>MIN(IF(MONTH($C699)=4,$S$3,IF(MONTH($C699)=5,$S$4,IF(MONTH($C699)=6,$S$5,IF(MONTH($C699)=7,$S$6,"ERROR")))),MAX(VLOOKUP($C699,COS!$B$8:$K$991,10,FALSE)-IF(MONTH($C699)=4,$Y$3,IF(MONTH($C699)=5,$Y$4,IF(MONTH($C699)=6,$Y$5,IF(MONTH($C699)=7,$Y$6,"ERROR")))),0),MAX(VLOOKUP($C699,COS!$B$8:$K$991,9,FALSE)-IF(MONTH($C699)=4,$V$3,IF(MONTH($C699)=5,$V$4,IF(MONTH($C699)=6,$V$5,IF(MONTH($C699)=7,$V$6,"ERROR"))))-VLOOKUP($C699,COS!$B$8:$K$991,6,FALSE)/2,0))</f>
        <v>0</v>
      </c>
      <c r="S699" s="26">
        <f t="shared" si="1124"/>
        <v>0</v>
      </c>
      <c r="T699" s="26">
        <f t="shared" si="1125"/>
        <v>39.892781218221359</v>
      </c>
      <c r="U699" s="26" t="str">
        <f>IF(VLOOKUP($C699,COS!$B$8:$I$991,8,FALSE)=1,"UWFE","IBU")</f>
        <v>UWFE</v>
      </c>
      <c r="V699" s="26">
        <f t="shared" ref="V699" si="1127">MIN(IF(IF($AA$3=2,AND(E699=1,G699=1,L699=1,L703=1,M699=1,U699="IBU"),AND(E699=1,G699=1,L699=1,L703=1,M699=1)),T699,0),I699)</f>
        <v>0</v>
      </c>
      <c r="W699" s="26"/>
      <c r="X699" s="26"/>
      <c r="Y699" s="26"/>
      <c r="Z699" s="26"/>
      <c r="AA699" s="26"/>
      <c r="AB699" s="33"/>
    </row>
    <row r="700" spans="1:28" x14ac:dyDescent="0.3">
      <c r="A700" s="32">
        <f>VLOOKUP(YEAR(C700),Flags!$A$13:$B$95,2,FALSE)</f>
        <v>1</v>
      </c>
      <c r="B700" s="24">
        <f t="shared" si="1054"/>
        <v>1998</v>
      </c>
      <c r="C700" s="25">
        <v>35976</v>
      </c>
      <c r="D700" s="26">
        <f>VLOOKUP($C700,COS!$B$8:$H$991,3,FALSE)</f>
        <v>16775.65625</v>
      </c>
      <c r="E700" s="24">
        <f>IF(D700&gt;=IF(MONTH($C700)=4,$C$3,IF(MONTH($C700)=5,$C$4,IF(MONTH($C700)=6,$C$5,IF(MONTH($C700)=7,$C$6,"ERROR")))),1,0)</f>
        <v>1</v>
      </c>
      <c r="F700" s="26">
        <f>VLOOKUP($C700,COS!$B$8:$H$991,7,FALSE)</f>
        <v>50.810955047607422</v>
      </c>
      <c r="G700" s="24">
        <f>IF(F700&lt;=IF(MONTH($C700)=4,$F$3,IF(MONTH($C700)=5,$F$4,IF(MONTH($C700)=6,$F$5,IF(MONTH($C700)=7,$F$6,"ERROR")))),1,0)</f>
        <v>1</v>
      </c>
      <c r="H700" s="26">
        <f>IF(J700=1,D700-$C$5,0)</f>
        <v>6775.65625</v>
      </c>
      <c r="I700" s="26">
        <f t="shared" si="1083"/>
        <v>403.17954545454546</v>
      </c>
      <c r="J700" s="24">
        <f t="shared" si="1119"/>
        <v>1</v>
      </c>
      <c r="K700" s="26">
        <f>VLOOKUP($C700,COS!$B$8:$H$991,2,FALSE)</f>
        <v>4500</v>
      </c>
      <c r="L700" s="24">
        <f t="shared" si="1046"/>
        <v>1</v>
      </c>
      <c r="M700" s="24">
        <f t="shared" si="1047"/>
        <v>0</v>
      </c>
      <c r="N700" s="26">
        <f>VLOOKUP($C700,COS!$B$8:$H$991,5,FALSE)</f>
        <v>1109.75537109375</v>
      </c>
      <c r="O700" s="26">
        <f t="shared" si="1122"/>
        <v>66.035030346074379</v>
      </c>
      <c r="P700" s="26">
        <f>VLOOKUP($C700,COS!$B$8:$H$991,6,FALSE)</f>
        <v>2242.28173828125</v>
      </c>
      <c r="Q700" s="26">
        <f t="shared" si="1123"/>
        <v>133.42502905475206</v>
      </c>
      <c r="R700" s="26">
        <f>MIN(IF(MONTH($C700)=4,$S$3,IF(MONTH($C700)=5,$S$4,IF(MONTH($C700)=6,$S$5,IF(MONTH($C700)=7,$S$6,"ERROR")))),MAX(VLOOKUP($C700,COS!$B$8:$K$991,10,FALSE)-IF(MONTH($C700)=4,$Y$3,IF(MONTH($C700)=5,$Y$4,IF(MONTH($C700)=6,$Y$5,IF(MONTH($C700)=7,$Y$6,"ERROR")))),0),MAX(VLOOKUP($C700,COS!$B$8:$K$991,9,FALSE)-IF(MONTH($C700)=4,$V$3,IF(MONTH($C700)=5,$V$4,IF(MONTH($C700)=6,$V$5,IF(MONTH($C700)=7,$V$6,"ERROR"))))-VLOOKUP($C700,COS!$B$8:$K$991,6,FALSE)/2,0))</f>
        <v>0</v>
      </c>
      <c r="S700" s="26">
        <f t="shared" si="1124"/>
        <v>0</v>
      </c>
      <c r="T700" s="26">
        <f t="shared" si="1125"/>
        <v>99.730029700413212</v>
      </c>
      <c r="U700" s="26" t="str">
        <f>IF(VLOOKUP($C700,COS!$B$8:$I$991,8,FALSE)=1,"UWFE","IBU")</f>
        <v>UWFE</v>
      </c>
      <c r="V700" s="26">
        <f t="shared" ref="V700" si="1128">MIN(IF(IF($AA$3=2,AND(E700=1,G700=1,L700=1,L703=1,M700=1,U700="IBU"),AND(E700=1,G700=1,L700=1,L703=1,M700=1)),T700,0),I700)</f>
        <v>0</v>
      </c>
      <c r="W700" s="26"/>
      <c r="X700" s="26"/>
      <c r="Y700" s="26"/>
      <c r="Z700" s="26"/>
      <c r="AA700" s="26"/>
      <c r="AB700" s="33"/>
    </row>
    <row r="701" spans="1:28" x14ac:dyDescent="0.3">
      <c r="A701" s="32">
        <f>VLOOKUP(YEAR(C701),Flags!$A$13:$B$95,2,FALSE)</f>
        <v>1</v>
      </c>
      <c r="B701" s="24">
        <f t="shared" si="1054"/>
        <v>1998</v>
      </c>
      <c r="C701" s="25">
        <v>36007</v>
      </c>
      <c r="D701" s="26">
        <f>VLOOKUP($C701,COS!$B$8:$H$991,3,FALSE)</f>
        <v>14362.4873046875</v>
      </c>
      <c r="E701" s="24">
        <f>IF(D701&gt;=IF(MONTH($C701)=4,$C$3,IF(MONTH($C701)=5,$C$4,IF(MONTH($C701)=6,$C$5,IF(MONTH($C701)=7,$C$6,"ERROR")))),1,0)</f>
        <v>1</v>
      </c>
      <c r="F701" s="26">
        <f>VLOOKUP($C701,COS!$B$8:$H$991,7,FALSE)</f>
        <v>53.361946105957031</v>
      </c>
      <c r="G701" s="24">
        <f>IF(F701&lt;=IF(MONTH($C701)=4,$F$3,IF(MONTH($C701)=5,$F$4,IF(MONTH($C701)=6,$F$5,IF(MONTH($C701)=7,$F$6,"ERROR")))),1,0)</f>
        <v>1</v>
      </c>
      <c r="H701" s="26">
        <f>IF(J701=1,D701-$C$6,0)</f>
        <v>2362.4873046875</v>
      </c>
      <c r="I701" s="26">
        <f t="shared" si="1083"/>
        <v>145.2636822055785</v>
      </c>
      <c r="J701" s="24">
        <f t="shared" si="1119"/>
        <v>1</v>
      </c>
      <c r="K701" s="26">
        <f>VLOOKUP($C701,COS!$B$8:$H$991,2,FALSE)</f>
        <v>4150</v>
      </c>
      <c r="L701" s="24">
        <f t="shared" si="1046"/>
        <v>1</v>
      </c>
      <c r="M701" s="24">
        <f t="shared" si="1047"/>
        <v>0</v>
      </c>
      <c r="N701" s="26">
        <f>VLOOKUP($C701,COS!$B$8:$H$991,5,FALSE)</f>
        <v>1396.974609375</v>
      </c>
      <c r="O701" s="26">
        <f t="shared" si="1122"/>
        <v>85.896620609504126</v>
      </c>
      <c r="P701" s="26">
        <f>VLOOKUP($C701,COS!$B$8:$H$991,6,FALSE)</f>
        <v>2616.67822265625</v>
      </c>
      <c r="Q701" s="26">
        <f t="shared" si="1123"/>
        <v>160.89327253357436</v>
      </c>
      <c r="R701" s="26">
        <f>MIN(IF(MONTH($C701)=4,$S$3,IF(MONTH($C701)=5,$S$4,IF(MONTH($C701)=6,$S$5,IF(MONTH($C701)=7,$S$6,"ERROR")))),MAX(VLOOKUP($C701,COS!$B$8:$K$991,10,FALSE)-IF(MONTH($C701)=4,$Y$3,IF(MONTH($C701)=5,$Y$4,IF(MONTH($C701)=6,$Y$5,IF(MONTH($C701)=7,$Y$6,"ERROR")))),0),MAX(VLOOKUP($C701,COS!$B$8:$K$991,9,FALSE)-IF(MONTH($C701)=4,$V$3,IF(MONTH($C701)=5,$V$4,IF(MONTH($C701)=6,$V$5,IF(MONTH($C701)=7,$V$6,"ERROR"))))-VLOOKUP($C701,COS!$B$8:$K$991,6,FALSE)/2,0))</f>
        <v>0</v>
      </c>
      <c r="S701" s="26">
        <f t="shared" si="1124"/>
        <v>0</v>
      </c>
      <c r="T701" s="26">
        <f t="shared" si="1125"/>
        <v>123.39494657153924</v>
      </c>
      <c r="U701" s="26" t="str">
        <f>IF(VLOOKUP($C701,COS!$B$8:$I$991,8,FALSE)=1,"UWFE","IBU")</f>
        <v>UWFE</v>
      </c>
      <c r="V701" s="26">
        <f t="shared" ref="V701" si="1129">MIN(IF(IF($AA$3=2,AND(E701=1,G701=1,L701=1,L703=1,M701=1,U701="IBU"),AND(E701=1,G701=1,L701=1,L703=1,M701=1)),T701,0),I701)</f>
        <v>0</v>
      </c>
      <c r="W701" s="26"/>
      <c r="X701" s="26"/>
      <c r="Y701" s="26"/>
      <c r="Z701" s="26"/>
      <c r="AA701" s="26"/>
      <c r="AB701" s="33"/>
    </row>
    <row r="702" spans="1:28" x14ac:dyDescent="0.3">
      <c r="A702" s="32">
        <f>VLOOKUP(YEAR(C702),Flags!$A$13:$B$95,2,FALSE)</f>
        <v>1</v>
      </c>
      <c r="B702" s="24">
        <f t="shared" si="1054"/>
        <v>1998</v>
      </c>
      <c r="C702" s="25">
        <v>36038</v>
      </c>
      <c r="D702" s="26"/>
      <c r="E702" s="24"/>
      <c r="F702" s="26"/>
      <c r="G702" s="24"/>
      <c r="H702" s="24"/>
      <c r="I702" s="26"/>
      <c r="J702" s="24"/>
      <c r="K702" s="26"/>
      <c r="L702" s="24"/>
      <c r="M702" s="24"/>
      <c r="N702" s="26"/>
      <c r="O702" s="26"/>
      <c r="P702" s="26"/>
      <c r="Q702" s="26"/>
      <c r="R702" s="26"/>
      <c r="S702" s="26"/>
      <c r="T702" s="26"/>
      <c r="U702" s="26"/>
      <c r="V702" s="26"/>
      <c r="W702" s="26">
        <f>MAX($C$7-VLOOKUP($C702,COS!$B$8:$H$991,3,FALSE),0)</f>
        <v>86468.90625</v>
      </c>
      <c r="X702" s="26">
        <f t="shared" si="1086"/>
        <v>5316.765805785124</v>
      </c>
      <c r="Y702" s="26">
        <f>VLOOKUP($C702,COS!$B$8:$H$991,4,FALSE)</f>
        <v>0</v>
      </c>
      <c r="Z702" s="26">
        <f t="shared" si="1087"/>
        <v>0</v>
      </c>
      <c r="AA702" s="26">
        <f t="shared" ref="AA702:AA706" si="1130">MIN(W702,Y702)</f>
        <v>0</v>
      </c>
      <c r="AB702" s="33">
        <f t="shared" ref="AB702" si="1131">AA702*DAY($C702)*86400/43560/1000*IF(MONTH($C702)=8,$P$3,IF(MONTH($C702)=9,$P$4,IF(MONTH($C702)=10,$P$5,IF(MONTH($C702)=11,$P$6,IF(MONTH($C702)=12,$P$7,NA())))))</f>
        <v>0</v>
      </c>
    </row>
    <row r="703" spans="1:28" x14ac:dyDescent="0.3">
      <c r="A703" s="32">
        <f>VLOOKUP(YEAR(C703),Flags!$A$13:$B$95,2,FALSE)</f>
        <v>1</v>
      </c>
      <c r="B703" s="24">
        <f t="shared" si="1054"/>
        <v>1998</v>
      </c>
      <c r="C703" s="25">
        <v>36068</v>
      </c>
      <c r="D703" s="26"/>
      <c r="E703" s="24"/>
      <c r="F703" s="26"/>
      <c r="G703" s="24"/>
      <c r="H703" s="24"/>
      <c r="I703" s="26"/>
      <c r="J703" s="24"/>
      <c r="K703" s="26">
        <f>VLOOKUP($C703,COS!$B$8:$H$991,2,FALSE)</f>
        <v>3400</v>
      </c>
      <c r="L703" s="24">
        <f t="shared" ref="L703" si="1132">IF(AND(K703&gt;$I$7,K703&lt;$I$8),1,0)</f>
        <v>1</v>
      </c>
      <c r="M703" s="24"/>
      <c r="N703" s="26"/>
      <c r="O703" s="26"/>
      <c r="P703" s="26"/>
      <c r="Q703" s="26"/>
      <c r="R703" s="26"/>
      <c r="S703" s="26"/>
      <c r="T703" s="26"/>
      <c r="U703" s="26"/>
      <c r="V703" s="26"/>
      <c r="W703" s="26">
        <f>MAX($C$8-VLOOKUP($C703,COS!$B$8:$H$991,3,FALSE),0)</f>
        <v>88005.72265625</v>
      </c>
      <c r="X703" s="26">
        <f t="shared" si="1086"/>
        <v>5236.7041580578507</v>
      </c>
      <c r="Y703" s="26">
        <f>VLOOKUP($C703,COS!$B$8:$H$991,4,FALSE)</f>
        <v>0</v>
      </c>
      <c r="Z703" s="26">
        <f t="shared" si="1087"/>
        <v>0</v>
      </c>
      <c r="AA703" s="26">
        <f t="shared" si="1130"/>
        <v>0</v>
      </c>
      <c r="AB703" s="33">
        <f t="shared" si="1058"/>
        <v>0</v>
      </c>
    </row>
    <row r="704" spans="1:28" x14ac:dyDescent="0.3">
      <c r="A704" s="32">
        <f>VLOOKUP(YEAR(C704),Flags!$A$13:$B$95,2,FALSE)</f>
        <v>1</v>
      </c>
      <c r="B704" s="24">
        <f t="shared" si="1054"/>
        <v>1998</v>
      </c>
      <c r="C704" s="25">
        <v>36099</v>
      </c>
      <c r="D704" s="26"/>
      <c r="E704" s="24"/>
      <c r="F704" s="26"/>
      <c r="G704" s="26"/>
      <c r="H704" s="26"/>
      <c r="I704" s="26"/>
      <c r="J704" s="26"/>
      <c r="K704" s="26"/>
      <c r="L704" s="24"/>
      <c r="M704" s="24"/>
      <c r="N704" s="26"/>
      <c r="O704" s="26"/>
      <c r="P704" s="26"/>
      <c r="Q704" s="26"/>
      <c r="R704" s="26"/>
      <c r="S704" s="26"/>
      <c r="T704" s="26"/>
      <c r="U704" s="26"/>
      <c r="V704" s="26"/>
      <c r="W704" s="26">
        <f>MAX($C$9-VLOOKUP($C704,COS!$B$8:$H$991,3,FALSE),0)</f>
        <v>90740.13671875</v>
      </c>
      <c r="X704" s="26">
        <f t="shared" si="1086"/>
        <v>5579.3935304752067</v>
      </c>
      <c r="Y704" s="26">
        <f>VLOOKUP($C704,COS!$B$8:$H$991,4,FALSE)</f>
        <v>53.249282836914063</v>
      </c>
      <c r="Z704" s="26">
        <f t="shared" si="1087"/>
        <v>3.2741707793937245</v>
      </c>
      <c r="AA704" s="26">
        <f t="shared" si="1130"/>
        <v>53.249282836914063</v>
      </c>
      <c r="AB704" s="33">
        <f t="shared" si="1058"/>
        <v>3.2741707793937245</v>
      </c>
    </row>
    <row r="705" spans="1:28" x14ac:dyDescent="0.3">
      <c r="A705" s="32">
        <f>VLOOKUP(YEAR(C705),Flags!$A$13:$B$95,2,FALSE)</f>
        <v>1</v>
      </c>
      <c r="B705" s="24">
        <f t="shared" si="1054"/>
        <v>1998</v>
      </c>
      <c r="C705" s="25">
        <v>36129</v>
      </c>
      <c r="D705" s="26"/>
      <c r="E705" s="24"/>
      <c r="F705" s="26"/>
      <c r="G705" s="26"/>
      <c r="H705" s="26"/>
      <c r="I705" s="26"/>
      <c r="J705" s="26"/>
      <c r="K705" s="26"/>
      <c r="L705" s="24"/>
      <c r="M705" s="24"/>
      <c r="N705" s="26"/>
      <c r="O705" s="26"/>
      <c r="P705" s="26"/>
      <c r="Q705" s="26"/>
      <c r="R705" s="26"/>
      <c r="S705" s="26"/>
      <c r="T705" s="26"/>
      <c r="U705" s="26"/>
      <c r="V705" s="26"/>
      <c r="W705" s="26">
        <f>MAX($C$10-VLOOKUP($C705,COS!$B$8:$H$991,3,FALSE),0)</f>
        <v>88483.4296875</v>
      </c>
      <c r="X705" s="26">
        <f t="shared" si="1086"/>
        <v>5265.129700413223</v>
      </c>
      <c r="Y705" s="26">
        <f>VLOOKUP($C705,COS!$B$8:$H$991,4,FALSE)</f>
        <v>0</v>
      </c>
      <c r="Z705" s="26">
        <f t="shared" si="1087"/>
        <v>0</v>
      </c>
      <c r="AA705" s="26">
        <f t="shared" si="1130"/>
        <v>0</v>
      </c>
      <c r="AB705" s="33">
        <f t="shared" si="1058"/>
        <v>0</v>
      </c>
    </row>
    <row r="706" spans="1:28" x14ac:dyDescent="0.3">
      <c r="A706" s="34">
        <f>VLOOKUP(YEAR(C706),Flags!$A$13:$B$95,2,FALSE)</f>
        <v>1</v>
      </c>
      <c r="B706" s="35">
        <f t="shared" si="1054"/>
        <v>1998</v>
      </c>
      <c r="C706" s="36">
        <v>36160</v>
      </c>
      <c r="D706" s="37"/>
      <c r="E706" s="35"/>
      <c r="F706" s="37"/>
      <c r="G706" s="37"/>
      <c r="H706" s="37"/>
      <c r="I706" s="37"/>
      <c r="J706" s="37"/>
      <c r="K706" s="37"/>
      <c r="L706" s="35"/>
      <c r="M706" s="35"/>
      <c r="N706" s="37"/>
      <c r="O706" s="37"/>
      <c r="P706" s="37"/>
      <c r="Q706" s="37"/>
      <c r="R706" s="37"/>
      <c r="S706" s="37"/>
      <c r="T706" s="37"/>
      <c r="U706" s="37"/>
      <c r="V706" s="37"/>
      <c r="W706" s="37">
        <f>MAX($C$11-VLOOKUP($C706,COS!$B$8:$H$991,3,FALSE),0)</f>
        <v>0</v>
      </c>
      <c r="X706" s="37">
        <f t="shared" si="1086"/>
        <v>0</v>
      </c>
      <c r="Y706" s="37">
        <f>VLOOKUP($C706,COS!$B$8:$H$991,4,FALSE)</f>
        <v>0</v>
      </c>
      <c r="Z706" s="37">
        <f t="shared" si="1087"/>
        <v>0</v>
      </c>
      <c r="AA706" s="37">
        <f t="shared" si="1130"/>
        <v>0</v>
      </c>
      <c r="AB706" s="38">
        <f t="shared" si="1058"/>
        <v>0</v>
      </c>
    </row>
    <row r="707" spans="1:28" x14ac:dyDescent="0.3">
      <c r="A707" s="27">
        <f>VLOOKUP(YEAR(C707),Flags!$A$13:$B$95,2,FALSE)</f>
        <v>1</v>
      </c>
      <c r="B707" s="28">
        <f t="shared" si="1054"/>
        <v>1999</v>
      </c>
      <c r="C707" s="29">
        <v>36280</v>
      </c>
      <c r="D707" s="30">
        <f>VLOOKUP($C707,COS!$B$8:$H$991,3,FALSE)</f>
        <v>3438.072509765625</v>
      </c>
      <c r="E707" s="28">
        <f>IF(D707&gt;=IF(MONTH($C707)=4,$C$3,IF(MONTH($C707)=5,$C$4,IF(MONTH($C707)=6,$C$5,IF(MONTH($C707)=7,$C$6,"ERROR")))),1,0)</f>
        <v>0</v>
      </c>
      <c r="F707" s="30">
        <f>VLOOKUP($C707,COS!$B$8:$H$991,7,FALSE)</f>
        <v>51.189750671386719</v>
      </c>
      <c r="G707" s="28">
        <f>IF(F707&lt;=IF(MONTH($C707)=4,$F$3,IF(MONTH($C707)=5,$F$4,IF(MONTH($C707)=6,$F$5,IF(MONTH($C707)=7,$F$6,"ERROR")))),1,0)</f>
        <v>1</v>
      </c>
      <c r="H707" s="30">
        <f>IF(J707=1,D707-$C$3,0)</f>
        <v>0</v>
      </c>
      <c r="I707" s="30">
        <f t="shared" si="1083"/>
        <v>0</v>
      </c>
      <c r="J707" s="28">
        <f t="shared" ref="J707:J710" si="1133">IF(AND(E707=1,G707=1),1,0)</f>
        <v>0</v>
      </c>
      <c r="K707" s="30">
        <f>VLOOKUP($C707,COS!$B$8:$H$991,2,FALSE)</f>
        <v>4552.10009765625</v>
      </c>
      <c r="L707" s="28">
        <f t="shared" ref="L707" si="1134">IF(K707&lt;=IF(MONTH($C707)=4,$I$3,IF(MONTH($C707)=5,$I$4,IF(MONTH($C707)=6,$I$5,IF(MONTH($C707)=7,$I$6,"ERROR")))),1,0)</f>
        <v>1</v>
      </c>
      <c r="M707" s="28">
        <f t="shared" ref="M707" si="1135">VLOOKUP($A707,$L$3:$M$7,2,FALSE)</f>
        <v>0</v>
      </c>
      <c r="N707" s="30">
        <f>VLOOKUP($C707,COS!$B$8:$H$991,5,FALSE)</f>
        <v>141.06893920898438</v>
      </c>
      <c r="O707" s="30">
        <f t="shared" ref="O707:O710" si="1136">N707*DAY($C707)*86400/43560/1000</f>
        <v>8.3941848124354355</v>
      </c>
      <c r="P707" s="30">
        <f>VLOOKUP($C707,COS!$B$8:$H$991,6,FALSE)</f>
        <v>412.21127319335938</v>
      </c>
      <c r="Q707" s="30">
        <f t="shared" ref="Q707:Q710" si="1137">P707*DAY($C707)*86400/43560/1000</f>
        <v>24.528274107373452</v>
      </c>
      <c r="R707" s="30">
        <f>MIN(IF(MONTH($C707)=4,$S$3,IF(MONTH($C707)=5,$S$4,IF(MONTH($C707)=6,$S$5,IF(MONTH($C707)=7,$S$6,"ERROR")))),MAX(VLOOKUP($C707,COS!$B$8:$K$991,10,FALSE)-IF(MONTH($C707)=4,$Y$3,IF(MONTH($C707)=5,$Y$4,IF(MONTH($C707)=6,$Y$5,IF(MONTH($C707)=7,$Y$6,"ERROR")))),0),MAX(VLOOKUP($C707,COS!$B$8:$K$991,9,FALSE)-IF(MONTH($C707)=4,$V$3,IF(MONTH($C707)=5,$V$4,IF(MONTH($C707)=6,$V$5,IF(MONTH($C707)=7,$V$6,"ERROR"))))-VLOOKUP($C707,COS!$B$8:$K$991,6,FALSE)/2,0))</f>
        <v>0</v>
      </c>
      <c r="S707" s="30">
        <f t="shared" ref="S707:S710" si="1138">R707*DAY($C707)*86400/43560/1000</f>
        <v>0</v>
      </c>
      <c r="T707" s="30">
        <f t="shared" ref="T707:T710" si="1139">(O707+Q707)/2+S707</f>
        <v>16.461229459904445</v>
      </c>
      <c r="U707" s="30" t="str">
        <f>IF(VLOOKUP($C707,COS!$B$8:$I$991,8,FALSE)=1,"UWFE","IBU")</f>
        <v>UWFE</v>
      </c>
      <c r="V707" s="30">
        <f t="shared" ref="V707" si="1140">MIN(IF(IF($AA$3=2,AND(E707=1,G707=1,L707=1,L712=1,M707=1,U707="IBU"),AND(E707=1,G707=1,L707=1,L712=1,M707=1)),T707,0),I707)</f>
        <v>0</v>
      </c>
      <c r="W707" s="30"/>
      <c r="X707" s="30"/>
      <c r="Y707" s="30"/>
      <c r="Z707" s="30"/>
      <c r="AA707" s="30"/>
      <c r="AB707" s="31"/>
    </row>
    <row r="708" spans="1:28" x14ac:dyDescent="0.3">
      <c r="A708" s="32">
        <f>VLOOKUP(YEAR(C708),Flags!$A$13:$B$95,2,FALSE)</f>
        <v>1</v>
      </c>
      <c r="B708" s="24">
        <f t="shared" si="1054"/>
        <v>1999</v>
      </c>
      <c r="C708" s="25">
        <v>36311</v>
      </c>
      <c r="D708" s="26">
        <f>VLOOKUP($C708,COS!$B$8:$H$991,3,FALSE)</f>
        <v>8437.2080078125</v>
      </c>
      <c r="E708" s="24">
        <f>IF(D708&gt;=IF(MONTH($C708)=4,$C$3,IF(MONTH($C708)=5,$C$4,IF(MONTH($C708)=6,$C$5,IF(MONTH($C708)=7,$C$6,"ERROR")))),1,0)</f>
        <v>1</v>
      </c>
      <c r="F708" s="26">
        <f>VLOOKUP($C708,COS!$B$8:$H$991,7,FALSE)</f>
        <v>50.693416595458984</v>
      </c>
      <c r="G708" s="24">
        <f>IF(F708&lt;=IF(MONTH($C708)=4,$F$3,IF(MONTH($C708)=5,$F$4,IF(MONTH($C708)=6,$F$5,IF(MONTH($C708)=7,$F$6,"ERROR")))),1,0)</f>
        <v>1</v>
      </c>
      <c r="H708" s="26">
        <f>IF(J708=1,D708-$C$4,0)</f>
        <v>2437.2080078125</v>
      </c>
      <c r="I708" s="26">
        <f t="shared" si="1083"/>
        <v>149.85807915805785</v>
      </c>
      <c r="J708" s="24">
        <f t="shared" si="1133"/>
        <v>1</v>
      </c>
      <c r="K708" s="26">
        <f>VLOOKUP($C708,COS!$B$8:$H$991,2,FALSE)</f>
        <v>4552</v>
      </c>
      <c r="L708" s="24">
        <f t="shared" si="1046"/>
        <v>1</v>
      </c>
      <c r="M708" s="24">
        <f t="shared" si="1047"/>
        <v>0</v>
      </c>
      <c r="N708" s="26">
        <f>VLOOKUP($C708,COS!$B$8:$H$991,5,FALSE)</f>
        <v>838.45135498046875</v>
      </c>
      <c r="O708" s="26">
        <f t="shared" si="1136"/>
        <v>51.55436430623709</v>
      </c>
      <c r="P708" s="26">
        <f>VLOOKUP($C708,COS!$B$8:$H$991,6,FALSE)</f>
        <v>2288.578369140625</v>
      </c>
      <c r="Q708" s="26">
        <f t="shared" si="1137"/>
        <v>140.71919889591942</v>
      </c>
      <c r="R708" s="26">
        <f>MIN(IF(MONTH($C708)=4,$S$3,IF(MONTH($C708)=5,$S$4,IF(MONTH($C708)=6,$S$5,IF(MONTH($C708)=7,$S$6,"ERROR")))),MAX(VLOOKUP($C708,COS!$B$8:$K$991,10,FALSE)-IF(MONTH($C708)=4,$Y$3,IF(MONTH($C708)=5,$Y$4,IF(MONTH($C708)=6,$Y$5,IF(MONTH($C708)=7,$Y$6,"ERROR")))),0),MAX(VLOOKUP($C708,COS!$B$8:$K$991,9,FALSE)-IF(MONTH($C708)=4,$V$3,IF(MONTH($C708)=5,$V$4,IF(MONTH($C708)=6,$V$5,IF(MONTH($C708)=7,$V$6,"ERROR"))))-VLOOKUP($C708,COS!$B$8:$K$991,6,FALSE)/2,0))</f>
        <v>0</v>
      </c>
      <c r="S708" s="26">
        <f t="shared" si="1138"/>
        <v>0</v>
      </c>
      <c r="T708" s="26">
        <f t="shared" si="1139"/>
        <v>96.136781601078255</v>
      </c>
      <c r="U708" s="26" t="str">
        <f>IF(VLOOKUP($C708,COS!$B$8:$I$991,8,FALSE)=1,"UWFE","IBU")</f>
        <v>UWFE</v>
      </c>
      <c r="V708" s="26">
        <f t="shared" ref="V708" si="1141">MIN(IF(IF($AA$3=2,AND(E708=1,G708=1,L708=1,L712=1,M708=1,U708="IBU"),AND(E708=1,G708=1,L708=1,L712=1,M708=1)),T708,0),I708)</f>
        <v>0</v>
      </c>
      <c r="W708" s="26"/>
      <c r="X708" s="26"/>
      <c r="Y708" s="26"/>
      <c r="Z708" s="26"/>
      <c r="AA708" s="26"/>
      <c r="AB708" s="33"/>
    </row>
    <row r="709" spans="1:28" x14ac:dyDescent="0.3">
      <c r="A709" s="32">
        <f>VLOOKUP(YEAR(C709),Flags!$A$13:$B$95,2,FALSE)</f>
        <v>1</v>
      </c>
      <c r="B709" s="24">
        <f t="shared" si="1054"/>
        <v>1999</v>
      </c>
      <c r="C709" s="25">
        <v>36341</v>
      </c>
      <c r="D709" s="26">
        <f>VLOOKUP($C709,COS!$B$8:$H$991,3,FALSE)</f>
        <v>8144.7666015625</v>
      </c>
      <c r="E709" s="24">
        <f>IF(D709&gt;=IF(MONTH($C709)=4,$C$3,IF(MONTH($C709)=5,$C$4,IF(MONTH($C709)=6,$C$5,IF(MONTH($C709)=7,$C$6,"ERROR")))),1,0)</f>
        <v>0</v>
      </c>
      <c r="F709" s="26">
        <f>VLOOKUP($C709,COS!$B$8:$H$991,7,FALSE)</f>
        <v>51.85150146484375</v>
      </c>
      <c r="G709" s="24">
        <f>IF(F709&lt;=IF(MONTH($C709)=4,$F$3,IF(MONTH($C709)=5,$F$4,IF(MONTH($C709)=6,$F$5,IF(MONTH($C709)=7,$F$6,"ERROR")))),1,0)</f>
        <v>1</v>
      </c>
      <c r="H709" s="26">
        <f>IF(J709=1,D709-$C$5,0)</f>
        <v>0</v>
      </c>
      <c r="I709" s="26">
        <f t="shared" si="1083"/>
        <v>0</v>
      </c>
      <c r="J709" s="24">
        <f t="shared" si="1133"/>
        <v>0</v>
      </c>
      <c r="K709" s="26">
        <f>VLOOKUP($C709,COS!$B$8:$H$991,2,FALSE)</f>
        <v>4382.97265625</v>
      </c>
      <c r="L709" s="24">
        <f t="shared" si="1046"/>
        <v>1</v>
      </c>
      <c r="M709" s="24">
        <f t="shared" si="1047"/>
        <v>0</v>
      </c>
      <c r="N709" s="26">
        <f>VLOOKUP($C709,COS!$B$8:$H$991,5,FALSE)</f>
        <v>1060.0843505859375</v>
      </c>
      <c r="O709" s="26">
        <f t="shared" si="1136"/>
        <v>63.079399373708675</v>
      </c>
      <c r="P709" s="26">
        <f>VLOOKUP($C709,COS!$B$8:$H$991,6,FALSE)</f>
        <v>2226.599365234375</v>
      </c>
      <c r="Q709" s="26">
        <f t="shared" si="1137"/>
        <v>132.4918630552686</v>
      </c>
      <c r="R709" s="26">
        <f>MIN(IF(MONTH($C709)=4,$S$3,IF(MONTH($C709)=5,$S$4,IF(MONTH($C709)=6,$S$5,IF(MONTH($C709)=7,$S$6,"ERROR")))),MAX(VLOOKUP($C709,COS!$B$8:$K$991,10,FALSE)-IF(MONTH($C709)=4,$Y$3,IF(MONTH($C709)=5,$Y$4,IF(MONTH($C709)=6,$Y$5,IF(MONTH($C709)=7,$Y$6,"ERROR")))),0),MAX(VLOOKUP($C709,COS!$B$8:$K$991,9,FALSE)-IF(MONTH($C709)=4,$V$3,IF(MONTH($C709)=5,$V$4,IF(MONTH($C709)=6,$V$5,IF(MONTH($C709)=7,$V$6,"ERROR"))))-VLOOKUP($C709,COS!$B$8:$K$991,6,FALSE)/2,0))</f>
        <v>0</v>
      </c>
      <c r="S709" s="26">
        <f t="shared" si="1138"/>
        <v>0</v>
      </c>
      <c r="T709" s="26">
        <f t="shared" si="1139"/>
        <v>97.785631214488632</v>
      </c>
      <c r="U709" s="26" t="str">
        <f>IF(VLOOKUP($C709,COS!$B$8:$I$991,8,FALSE)=1,"UWFE","IBU")</f>
        <v>UWFE</v>
      </c>
      <c r="V709" s="26">
        <f t="shared" ref="V709" si="1142">MIN(IF(IF($AA$3=2,AND(E709=1,G709=1,L709=1,L712=1,M709=1,U709="IBU"),AND(E709=1,G709=1,L709=1,L712=1,M709=1)),T709,0),I709)</f>
        <v>0</v>
      </c>
      <c r="W709" s="26"/>
      <c r="X709" s="26"/>
      <c r="Y709" s="26"/>
      <c r="Z709" s="26"/>
      <c r="AA709" s="26"/>
      <c r="AB709" s="33"/>
    </row>
    <row r="710" spans="1:28" x14ac:dyDescent="0.3">
      <c r="A710" s="32">
        <f>VLOOKUP(YEAR(C710),Flags!$A$13:$B$95,2,FALSE)</f>
        <v>1</v>
      </c>
      <c r="B710" s="24">
        <f t="shared" si="1054"/>
        <v>1999</v>
      </c>
      <c r="C710" s="25">
        <v>36372</v>
      </c>
      <c r="D710" s="26">
        <f>VLOOKUP($C710,COS!$B$8:$H$991,3,FALSE)</f>
        <v>16000</v>
      </c>
      <c r="E710" s="24">
        <f>IF(D710&gt;=IF(MONTH($C710)=4,$C$3,IF(MONTH($C710)=5,$C$4,IF(MONTH($C710)=6,$C$5,IF(MONTH($C710)=7,$C$6,"ERROR")))),1,0)</f>
        <v>1</v>
      </c>
      <c r="F710" s="26">
        <f>VLOOKUP($C710,COS!$B$8:$H$991,7,FALSE)</f>
        <v>51.293598175048828</v>
      </c>
      <c r="G710" s="24">
        <f>IF(F710&lt;=IF(MONTH($C710)=4,$F$3,IF(MONTH($C710)=5,$F$4,IF(MONTH($C710)=6,$F$5,IF(MONTH($C710)=7,$F$6,"ERROR")))),1,0)</f>
        <v>1</v>
      </c>
      <c r="H710" s="26">
        <f>IF(J710=1,D710-$C$6,0)</f>
        <v>4000</v>
      </c>
      <c r="I710" s="26">
        <f t="shared" si="1083"/>
        <v>245.95041322314049</v>
      </c>
      <c r="J710" s="24">
        <f t="shared" si="1133"/>
        <v>1</v>
      </c>
      <c r="K710" s="26">
        <f>VLOOKUP($C710,COS!$B$8:$H$991,2,FALSE)</f>
        <v>3724.72216796875</v>
      </c>
      <c r="L710" s="24">
        <f t="shared" si="1046"/>
        <v>1</v>
      </c>
      <c r="M710" s="24">
        <f t="shared" si="1047"/>
        <v>0</v>
      </c>
      <c r="N710" s="26">
        <f>VLOOKUP($C710,COS!$B$8:$H$991,5,FALSE)</f>
        <v>1277.9014892578125</v>
      </c>
      <c r="O710" s="26">
        <f t="shared" si="1136"/>
        <v>78.575099835356411</v>
      </c>
      <c r="P710" s="26">
        <f>VLOOKUP($C710,COS!$B$8:$H$991,6,FALSE)</f>
        <v>2616.67822265625</v>
      </c>
      <c r="Q710" s="26">
        <f t="shared" si="1137"/>
        <v>160.89327253357436</v>
      </c>
      <c r="R710" s="26">
        <f>MIN(IF(MONTH($C710)=4,$S$3,IF(MONTH($C710)=5,$S$4,IF(MONTH($C710)=6,$S$5,IF(MONTH($C710)=7,$S$6,"ERROR")))),MAX(VLOOKUP($C710,COS!$B$8:$K$991,10,FALSE)-IF(MONTH($C710)=4,$Y$3,IF(MONTH($C710)=5,$Y$4,IF(MONTH($C710)=6,$Y$5,IF(MONTH($C710)=7,$Y$6,"ERROR")))),0),MAX(VLOOKUP($C710,COS!$B$8:$K$991,9,FALSE)-IF(MONTH($C710)=4,$V$3,IF(MONTH($C710)=5,$V$4,IF(MONTH($C710)=6,$V$5,IF(MONTH($C710)=7,$V$6,"ERROR"))))-VLOOKUP($C710,COS!$B$8:$K$991,6,FALSE)/2,0))</f>
        <v>0</v>
      </c>
      <c r="S710" s="26">
        <f t="shared" si="1138"/>
        <v>0</v>
      </c>
      <c r="T710" s="26">
        <f t="shared" si="1139"/>
        <v>119.73418618446539</v>
      </c>
      <c r="U710" s="26" t="str">
        <f>IF(VLOOKUP($C710,COS!$B$8:$I$991,8,FALSE)=1,"UWFE","IBU")</f>
        <v>IBU</v>
      </c>
      <c r="V710" s="26">
        <f t="shared" ref="V710" si="1143">MIN(IF(IF($AA$3=2,AND(E710=1,G710=1,L710=1,L712=1,M710=1,U710="IBU"),AND(E710=1,G710=1,L710=1,L712=1,M710=1)),T710,0),I710)</f>
        <v>0</v>
      </c>
      <c r="W710" s="26"/>
      <c r="X710" s="26"/>
      <c r="Y710" s="26"/>
      <c r="Z710" s="26"/>
      <c r="AA710" s="26"/>
      <c r="AB710" s="33"/>
    </row>
    <row r="711" spans="1:28" x14ac:dyDescent="0.3">
      <c r="A711" s="32">
        <f>VLOOKUP(YEAR(C711),Flags!$A$13:$B$95,2,FALSE)</f>
        <v>1</v>
      </c>
      <c r="B711" s="24">
        <f t="shared" si="1054"/>
        <v>1999</v>
      </c>
      <c r="C711" s="25">
        <v>36403</v>
      </c>
      <c r="D711" s="26"/>
      <c r="E711" s="24"/>
      <c r="F711" s="26"/>
      <c r="G711" s="24"/>
      <c r="H711" s="24"/>
      <c r="I711" s="26"/>
      <c r="J711" s="24"/>
      <c r="K711" s="26"/>
      <c r="L711" s="24"/>
      <c r="M711" s="24"/>
      <c r="N711" s="26"/>
      <c r="O711" s="26"/>
      <c r="P711" s="26"/>
      <c r="Q711" s="26"/>
      <c r="R711" s="26"/>
      <c r="S711" s="26"/>
      <c r="T711" s="26"/>
      <c r="U711" s="26"/>
      <c r="V711" s="26"/>
      <c r="W711" s="26">
        <f>MAX($C$7-VLOOKUP($C711,COS!$B$8:$H$991,3,FALSE),0)</f>
        <v>90285.5068359375</v>
      </c>
      <c r="X711" s="26">
        <f t="shared" si="1086"/>
        <v>5551.4394285898761</v>
      </c>
      <c r="Y711" s="26">
        <f>VLOOKUP($C711,COS!$B$8:$H$991,4,FALSE)</f>
        <v>0</v>
      </c>
      <c r="Z711" s="26">
        <f t="shared" si="1087"/>
        <v>0</v>
      </c>
      <c r="AA711" s="26">
        <f t="shared" ref="AA711:AA715" si="1144">MIN(W711,Y711)</f>
        <v>0</v>
      </c>
      <c r="AB711" s="33">
        <f t="shared" ref="AB711" si="1145">AA711*DAY($C711)*86400/43560/1000*IF(MONTH($C711)=8,$P$3,IF(MONTH($C711)=9,$P$4,IF(MONTH($C711)=10,$P$5,IF(MONTH($C711)=11,$P$6,IF(MONTH($C711)=12,$P$7,NA())))))</f>
        <v>0</v>
      </c>
    </row>
    <row r="712" spans="1:28" x14ac:dyDescent="0.3">
      <c r="A712" s="32">
        <f>VLOOKUP(YEAR(C712),Flags!$A$13:$B$95,2,FALSE)</f>
        <v>1</v>
      </c>
      <c r="B712" s="24">
        <f t="shared" si="1054"/>
        <v>1999</v>
      </c>
      <c r="C712" s="25">
        <v>36433</v>
      </c>
      <c r="D712" s="26"/>
      <c r="E712" s="24"/>
      <c r="F712" s="26"/>
      <c r="G712" s="24"/>
      <c r="H712" s="24"/>
      <c r="I712" s="26"/>
      <c r="J712" s="24"/>
      <c r="K712" s="26">
        <f>VLOOKUP($C712,COS!$B$8:$H$991,2,FALSE)</f>
        <v>2879.5078125</v>
      </c>
      <c r="L712" s="24">
        <f t="shared" ref="L712" si="1146">IF(AND(K712&gt;$I$7,K712&lt;$I$8),1,0)</f>
        <v>1</v>
      </c>
      <c r="M712" s="24"/>
      <c r="N712" s="26"/>
      <c r="O712" s="26"/>
      <c r="P712" s="26"/>
      <c r="Q712" s="26"/>
      <c r="R712" s="26"/>
      <c r="S712" s="26"/>
      <c r="T712" s="26"/>
      <c r="U712" s="26"/>
      <c r="V712" s="26"/>
      <c r="W712" s="26">
        <f>MAX($C$8-VLOOKUP($C712,COS!$B$8:$H$991,3,FALSE),0)</f>
        <v>85063.7509765625</v>
      </c>
      <c r="X712" s="26">
        <f t="shared" si="1086"/>
        <v>5061.6446862086777</v>
      </c>
      <c r="Y712" s="26">
        <f>VLOOKUP($C712,COS!$B$8:$H$991,4,FALSE)</f>
        <v>0</v>
      </c>
      <c r="Z712" s="26">
        <f t="shared" si="1087"/>
        <v>0</v>
      </c>
      <c r="AA712" s="26">
        <f t="shared" si="1144"/>
        <v>0</v>
      </c>
      <c r="AB712" s="33">
        <f t="shared" si="1058"/>
        <v>0</v>
      </c>
    </row>
    <row r="713" spans="1:28" x14ac:dyDescent="0.3">
      <c r="A713" s="32">
        <f>VLOOKUP(YEAR(C713),Flags!$A$13:$B$95,2,FALSE)</f>
        <v>1</v>
      </c>
      <c r="B713" s="24">
        <f t="shared" si="1054"/>
        <v>1999</v>
      </c>
      <c r="C713" s="25">
        <v>36464</v>
      </c>
      <c r="D713" s="26"/>
      <c r="E713" s="24"/>
      <c r="F713" s="26"/>
      <c r="G713" s="26"/>
      <c r="H713" s="26"/>
      <c r="I713" s="26"/>
      <c r="J713" s="26"/>
      <c r="K713" s="26"/>
      <c r="L713" s="24"/>
      <c r="M713" s="24"/>
      <c r="N713" s="26"/>
      <c r="O713" s="26"/>
      <c r="P713" s="26"/>
      <c r="Q713" s="26"/>
      <c r="R713" s="26"/>
      <c r="S713" s="26"/>
      <c r="T713" s="26"/>
      <c r="U713" s="26"/>
      <c r="V713" s="26"/>
      <c r="W713" s="26">
        <f>MAX($C$9-VLOOKUP($C713,COS!$B$8:$H$991,3,FALSE),0)</f>
        <v>88700.0185546875</v>
      </c>
      <c r="X713" s="26">
        <f t="shared" si="1086"/>
        <v>5453.9515541064047</v>
      </c>
      <c r="Y713" s="26">
        <f>VLOOKUP($C713,COS!$B$8:$H$991,4,FALSE)</f>
        <v>1020.4207763671875</v>
      </c>
      <c r="Z713" s="26">
        <f t="shared" si="1087"/>
        <v>62.7432279022469</v>
      </c>
      <c r="AA713" s="26">
        <f t="shared" si="1144"/>
        <v>1020.4207763671875</v>
      </c>
      <c r="AB713" s="33">
        <f t="shared" si="1058"/>
        <v>62.7432279022469</v>
      </c>
    </row>
    <row r="714" spans="1:28" x14ac:dyDescent="0.3">
      <c r="A714" s="32">
        <f>VLOOKUP(YEAR(C714),Flags!$A$13:$B$95,2,FALSE)</f>
        <v>1</v>
      </c>
      <c r="B714" s="24">
        <f t="shared" si="1054"/>
        <v>1999</v>
      </c>
      <c r="C714" s="25">
        <v>36494</v>
      </c>
      <c r="D714" s="26"/>
      <c r="E714" s="24"/>
      <c r="F714" s="26"/>
      <c r="G714" s="26"/>
      <c r="H714" s="26"/>
      <c r="I714" s="26"/>
      <c r="J714" s="26"/>
      <c r="K714" s="26"/>
      <c r="L714" s="24"/>
      <c r="M714" s="24"/>
      <c r="N714" s="26"/>
      <c r="O714" s="26"/>
      <c r="P714" s="26"/>
      <c r="Q714" s="26"/>
      <c r="R714" s="26"/>
      <c r="S714" s="26"/>
      <c r="T714" s="26"/>
      <c r="U714" s="26"/>
      <c r="V714" s="26"/>
      <c r="W714" s="26">
        <f>MAX($C$10-VLOOKUP($C714,COS!$B$8:$H$991,3,FALSE),0)</f>
        <v>86044.97265625</v>
      </c>
      <c r="X714" s="26">
        <f t="shared" si="1086"/>
        <v>5120.031430785124</v>
      </c>
      <c r="Y714" s="26">
        <f>VLOOKUP($C714,COS!$B$8:$H$991,4,FALSE)</f>
        <v>1214.3294677734375</v>
      </c>
      <c r="Z714" s="26">
        <f t="shared" si="1087"/>
        <v>72.257621222882221</v>
      </c>
      <c r="AA714" s="26">
        <f t="shared" si="1144"/>
        <v>1214.3294677734375</v>
      </c>
      <c r="AB714" s="33">
        <f t="shared" si="1058"/>
        <v>36.128810611441111</v>
      </c>
    </row>
    <row r="715" spans="1:28" x14ac:dyDescent="0.3">
      <c r="A715" s="34">
        <f>VLOOKUP(YEAR(C715),Flags!$A$13:$B$95,2,FALSE)</f>
        <v>1</v>
      </c>
      <c r="B715" s="35">
        <f t="shared" si="1054"/>
        <v>1999</v>
      </c>
      <c r="C715" s="36">
        <v>36525</v>
      </c>
      <c r="D715" s="37"/>
      <c r="E715" s="35"/>
      <c r="F715" s="37"/>
      <c r="G715" s="37"/>
      <c r="H715" s="37"/>
      <c r="I715" s="37"/>
      <c r="J715" s="37"/>
      <c r="K715" s="37"/>
      <c r="L715" s="35"/>
      <c r="M715" s="35"/>
      <c r="N715" s="37"/>
      <c r="O715" s="37"/>
      <c r="P715" s="37"/>
      <c r="Q715" s="37"/>
      <c r="R715" s="37"/>
      <c r="S715" s="37"/>
      <c r="T715" s="37"/>
      <c r="U715" s="37"/>
      <c r="V715" s="37"/>
      <c r="W715" s="37">
        <f>MAX($C$11-VLOOKUP($C715,COS!$B$8:$H$991,3,FALSE),0)</f>
        <v>0</v>
      </c>
      <c r="X715" s="37">
        <f t="shared" si="1086"/>
        <v>0</v>
      </c>
      <c r="Y715" s="37">
        <f>VLOOKUP($C715,COS!$B$8:$H$991,4,FALSE)</f>
        <v>0</v>
      </c>
      <c r="Z715" s="37">
        <f t="shared" si="1087"/>
        <v>0</v>
      </c>
      <c r="AA715" s="37">
        <f t="shared" si="1144"/>
        <v>0</v>
      </c>
      <c r="AB715" s="38">
        <f t="shared" si="1058"/>
        <v>0</v>
      </c>
    </row>
    <row r="716" spans="1:28" x14ac:dyDescent="0.3">
      <c r="A716" s="27">
        <f>VLOOKUP(YEAR(C716),Flags!$A$13:$B$95,2,FALSE)</f>
        <v>2</v>
      </c>
      <c r="B716" s="28">
        <f t="shared" si="1054"/>
        <v>2000</v>
      </c>
      <c r="C716" s="29">
        <v>36646</v>
      </c>
      <c r="D716" s="30">
        <f>VLOOKUP($C716,COS!$B$8:$H$991,3,FALSE)</f>
        <v>3250</v>
      </c>
      <c r="E716" s="28">
        <f>IF(D716&gt;=IF(MONTH($C716)=4,$C$3,IF(MONTH($C716)=5,$C$4,IF(MONTH($C716)=6,$C$5,IF(MONTH($C716)=7,$C$6,"ERROR")))),1,0)</f>
        <v>0</v>
      </c>
      <c r="F716" s="30">
        <f>VLOOKUP($C716,COS!$B$8:$H$991,7,FALSE)</f>
        <v>53.549808502197266</v>
      </c>
      <c r="G716" s="28">
        <f>IF(F716&lt;=IF(MONTH($C716)=4,$F$3,IF(MONTH($C716)=5,$F$4,IF(MONTH($C716)=6,$F$5,IF(MONTH($C716)=7,$F$6,"ERROR")))),1,0)</f>
        <v>1</v>
      </c>
      <c r="H716" s="30">
        <f>IF(J716=1,D716-$C$3,0)</f>
        <v>0</v>
      </c>
      <c r="I716" s="30">
        <f t="shared" si="1083"/>
        <v>0</v>
      </c>
      <c r="J716" s="28">
        <f t="shared" ref="J716:J719" si="1147">IF(AND(E716=1,G716=1),1,0)</f>
        <v>0</v>
      </c>
      <c r="K716" s="30">
        <f>VLOOKUP($C716,COS!$B$8:$H$991,2,FALSE)</f>
        <v>4550.50927734375</v>
      </c>
      <c r="L716" s="28">
        <f t="shared" ref="L716:L737" si="1148">IF(K716&lt;=IF(MONTH($C716)=4,$I$3,IF(MONTH($C716)=5,$I$4,IF(MONTH($C716)=6,$I$5,IF(MONTH($C716)=7,$I$6,"ERROR")))),1,0)</f>
        <v>1</v>
      </c>
      <c r="M716" s="28">
        <f t="shared" ref="M716:M737" si="1149">VLOOKUP($A716,$L$3:$M$7,2,FALSE)</f>
        <v>0</v>
      </c>
      <c r="N716" s="30">
        <f>VLOOKUP($C716,COS!$B$8:$H$991,5,FALSE)</f>
        <v>37.464950561523438</v>
      </c>
      <c r="O716" s="30">
        <f t="shared" ref="O716:O719" si="1150">N716*DAY($C716)*86400/43560/1000</f>
        <v>2.2293193722559401</v>
      </c>
      <c r="P716" s="30">
        <f>VLOOKUP($C716,COS!$B$8:$H$991,6,FALSE)</f>
        <v>403.17050170898438</v>
      </c>
      <c r="Q716" s="30">
        <f t="shared" ref="Q716:Q719" si="1151">P716*DAY($C716)*86400/43560/1000</f>
        <v>23.990310845493283</v>
      </c>
      <c r="R716" s="30">
        <f>MIN(IF(MONTH($C716)=4,$S$3,IF(MONTH($C716)=5,$S$4,IF(MONTH($C716)=6,$S$5,IF(MONTH($C716)=7,$S$6,"ERROR")))),MAX(VLOOKUP($C716,COS!$B$8:$K$991,10,FALSE)-IF(MONTH($C716)=4,$Y$3,IF(MONTH($C716)=5,$Y$4,IF(MONTH($C716)=6,$Y$5,IF(MONTH($C716)=7,$Y$6,"ERROR")))),0),MAX(VLOOKUP($C716,COS!$B$8:$K$991,9,FALSE)-IF(MONTH($C716)=4,$V$3,IF(MONTH($C716)=5,$V$4,IF(MONTH($C716)=6,$V$5,IF(MONTH($C716)=7,$V$6,"ERROR"))))-VLOOKUP($C716,COS!$B$8:$K$991,6,FALSE)/2,0))</f>
        <v>0</v>
      </c>
      <c r="S716" s="30">
        <f t="shared" ref="S716:S719" si="1152">R716*DAY($C716)*86400/43560/1000</f>
        <v>0</v>
      </c>
      <c r="T716" s="30">
        <f t="shared" ref="T716:T719" si="1153">(O716+Q716)/2+S716</f>
        <v>13.109815108874612</v>
      </c>
      <c r="U716" s="30" t="str">
        <f>IF(VLOOKUP($C716,COS!$B$8:$I$991,8,FALSE)=1,"UWFE","IBU")</f>
        <v>UWFE</v>
      </c>
      <c r="V716" s="30">
        <f t="shared" ref="V716" si="1154">MIN(IF(IF($AA$3=2,AND(E716=1,G716=1,L716=1,L721=1,M716=1,U716="IBU"),AND(E716=1,G716=1,L716=1,L721=1,M716=1)),T716,0),I716)</f>
        <v>0</v>
      </c>
      <c r="W716" s="30"/>
      <c r="X716" s="30"/>
      <c r="Y716" s="30"/>
      <c r="Z716" s="30"/>
      <c r="AA716" s="30"/>
      <c r="AB716" s="31"/>
    </row>
    <row r="717" spans="1:28" x14ac:dyDescent="0.3">
      <c r="A717" s="32">
        <f>VLOOKUP(YEAR(C717),Flags!$A$13:$B$95,2,FALSE)</f>
        <v>2</v>
      </c>
      <c r="B717" s="24">
        <f t="shared" si="1054"/>
        <v>2000</v>
      </c>
      <c r="C717" s="25">
        <v>36677</v>
      </c>
      <c r="D717" s="26">
        <f>VLOOKUP($C717,COS!$B$8:$H$991,3,FALSE)</f>
        <v>7298.4775390625</v>
      </c>
      <c r="E717" s="24">
        <f>IF(D717&gt;=IF(MONTH($C717)=4,$C$3,IF(MONTH($C717)=5,$C$4,IF(MONTH($C717)=6,$C$5,IF(MONTH($C717)=7,$C$6,"ERROR")))),1,0)</f>
        <v>1</v>
      </c>
      <c r="F717" s="26">
        <f>VLOOKUP($C717,COS!$B$8:$H$991,7,FALSE)</f>
        <v>51.98187255859375</v>
      </c>
      <c r="G717" s="24">
        <f>IF(F717&lt;=IF(MONTH($C717)=4,$F$3,IF(MONTH($C717)=5,$F$4,IF(MONTH($C717)=6,$F$5,IF(MONTH($C717)=7,$F$6,"ERROR")))),1,0)</f>
        <v>1</v>
      </c>
      <c r="H717" s="26">
        <f>IF(J717=1,D717-$C$4,0)</f>
        <v>1298.4775390625</v>
      </c>
      <c r="I717" s="26">
        <f t="shared" si="1083"/>
        <v>79.840271823347109</v>
      </c>
      <c r="J717" s="24">
        <f t="shared" si="1147"/>
        <v>1</v>
      </c>
      <c r="K717" s="26">
        <f>VLOOKUP($C717,COS!$B$8:$H$991,2,FALSE)</f>
        <v>4552</v>
      </c>
      <c r="L717" s="24">
        <f t="shared" si="1148"/>
        <v>1</v>
      </c>
      <c r="M717" s="24">
        <f t="shared" si="1149"/>
        <v>0</v>
      </c>
      <c r="N717" s="26">
        <f>VLOOKUP($C717,COS!$B$8:$H$991,5,FALSE)</f>
        <v>651.51641845703125</v>
      </c>
      <c r="O717" s="26">
        <f t="shared" si="1150"/>
        <v>40.060183085291833</v>
      </c>
      <c r="P717" s="26">
        <f>VLOOKUP($C717,COS!$B$8:$H$991,6,FALSE)</f>
        <v>1855.6585693359375</v>
      </c>
      <c r="Q717" s="26">
        <f t="shared" si="1151"/>
        <v>114.09999798230888</v>
      </c>
      <c r="R717" s="26">
        <f>MIN(IF(MONTH($C717)=4,$S$3,IF(MONTH($C717)=5,$S$4,IF(MONTH($C717)=6,$S$5,IF(MONTH($C717)=7,$S$6,"ERROR")))),MAX(VLOOKUP($C717,COS!$B$8:$K$991,10,FALSE)-IF(MONTH($C717)=4,$Y$3,IF(MONTH($C717)=5,$Y$4,IF(MONTH($C717)=6,$Y$5,IF(MONTH($C717)=7,$Y$6,"ERROR")))),0),MAX(VLOOKUP($C717,COS!$B$8:$K$991,9,FALSE)-IF(MONTH($C717)=4,$V$3,IF(MONTH($C717)=5,$V$4,IF(MONTH($C717)=6,$V$5,IF(MONTH($C717)=7,$V$6,"ERROR"))))-VLOOKUP($C717,COS!$B$8:$K$991,6,FALSE)/2,0))</f>
        <v>0</v>
      </c>
      <c r="S717" s="26">
        <f t="shared" si="1152"/>
        <v>0</v>
      </c>
      <c r="T717" s="26">
        <f t="shared" si="1153"/>
        <v>77.080090533800359</v>
      </c>
      <c r="U717" s="26" t="str">
        <f>IF(VLOOKUP($C717,COS!$B$8:$I$991,8,FALSE)=1,"UWFE","IBU")</f>
        <v>UWFE</v>
      </c>
      <c r="V717" s="26">
        <f t="shared" ref="V717" si="1155">MIN(IF(IF($AA$3=2,AND(E717=1,G717=1,L717=1,L721=1,M717=1,U717="IBU"),AND(E717=1,G717=1,L717=1,L721=1,M717=1)),T717,0),I717)</f>
        <v>0</v>
      </c>
      <c r="W717" s="26"/>
      <c r="X717" s="26"/>
      <c r="Y717" s="26"/>
      <c r="Z717" s="26"/>
      <c r="AA717" s="26"/>
      <c r="AB717" s="33"/>
    </row>
    <row r="718" spans="1:28" x14ac:dyDescent="0.3">
      <c r="A718" s="32">
        <f>VLOOKUP(YEAR(C718),Flags!$A$13:$B$95,2,FALSE)</f>
        <v>2</v>
      </c>
      <c r="B718" s="24">
        <f t="shared" si="1054"/>
        <v>2000</v>
      </c>
      <c r="C718" s="25">
        <v>36707</v>
      </c>
      <c r="D718" s="26">
        <f>VLOOKUP($C718,COS!$B$8:$H$991,3,FALSE)</f>
        <v>12915.84765625</v>
      </c>
      <c r="E718" s="24">
        <f>IF(D718&gt;=IF(MONTH($C718)=4,$C$3,IF(MONTH($C718)=5,$C$4,IF(MONTH($C718)=6,$C$5,IF(MONTH($C718)=7,$C$6,"ERROR")))),1,0)</f>
        <v>1</v>
      </c>
      <c r="F718" s="26">
        <f>VLOOKUP($C718,COS!$B$8:$H$991,7,FALSE)</f>
        <v>51.933616638183594</v>
      </c>
      <c r="G718" s="24">
        <f>IF(F718&lt;=IF(MONTH($C718)=4,$F$3,IF(MONTH($C718)=5,$F$4,IF(MONTH($C718)=6,$F$5,IF(MONTH($C718)=7,$F$6,"ERROR")))),1,0)</f>
        <v>1</v>
      </c>
      <c r="H718" s="26">
        <f>IF(J718=1,D718-$C$5,0)</f>
        <v>2915.84765625</v>
      </c>
      <c r="I718" s="26">
        <f t="shared" si="1083"/>
        <v>173.50498450413224</v>
      </c>
      <c r="J718" s="24">
        <f t="shared" si="1147"/>
        <v>1</v>
      </c>
      <c r="K718" s="26">
        <f>VLOOKUP($C718,COS!$B$8:$H$991,2,FALSE)</f>
        <v>4064.68359375</v>
      </c>
      <c r="L718" s="24">
        <f t="shared" si="1148"/>
        <v>1</v>
      </c>
      <c r="M718" s="24">
        <f t="shared" si="1149"/>
        <v>0</v>
      </c>
      <c r="N718" s="26">
        <f>VLOOKUP($C718,COS!$B$8:$H$991,5,FALSE)</f>
        <v>1133.98681640625</v>
      </c>
      <c r="O718" s="26">
        <f t="shared" si="1150"/>
        <v>67.476901472107429</v>
      </c>
      <c r="P718" s="26">
        <f>VLOOKUP($C718,COS!$B$8:$H$991,6,FALSE)</f>
        <v>2300.9248046875</v>
      </c>
      <c r="Q718" s="26">
        <f t="shared" si="1151"/>
        <v>136.91453383264462</v>
      </c>
      <c r="R718" s="26">
        <f>MIN(IF(MONTH($C718)=4,$S$3,IF(MONTH($C718)=5,$S$4,IF(MONTH($C718)=6,$S$5,IF(MONTH($C718)=7,$S$6,"ERROR")))),MAX(VLOOKUP($C718,COS!$B$8:$K$991,10,FALSE)-IF(MONTH($C718)=4,$Y$3,IF(MONTH($C718)=5,$Y$4,IF(MONTH($C718)=6,$Y$5,IF(MONTH($C718)=7,$Y$6,"ERROR")))),0),MAX(VLOOKUP($C718,COS!$B$8:$K$991,9,FALSE)-IF(MONTH($C718)=4,$V$3,IF(MONTH($C718)=5,$V$4,IF(MONTH($C718)=6,$V$5,IF(MONTH($C718)=7,$V$6,"ERROR"))))-VLOOKUP($C718,COS!$B$8:$K$991,6,FALSE)/2,0))</f>
        <v>0</v>
      </c>
      <c r="S718" s="26">
        <f t="shared" si="1152"/>
        <v>0</v>
      </c>
      <c r="T718" s="26">
        <f t="shared" si="1153"/>
        <v>102.19571765237603</v>
      </c>
      <c r="U718" s="26" t="str">
        <f>IF(VLOOKUP($C718,COS!$B$8:$I$991,8,FALSE)=1,"UWFE","IBU")</f>
        <v>IBU</v>
      </c>
      <c r="V718" s="26">
        <f t="shared" ref="V718" si="1156">MIN(IF(IF($AA$3=2,AND(E718=1,G718=1,L718=1,L721=1,M718=1,U718="IBU"),AND(E718=1,G718=1,L718=1,L721=1,M718=1)),T718,0),I718)</f>
        <v>0</v>
      </c>
      <c r="W718" s="26"/>
      <c r="X718" s="26"/>
      <c r="Y718" s="26"/>
      <c r="Z718" s="26"/>
      <c r="AA718" s="26"/>
      <c r="AB718" s="33"/>
    </row>
    <row r="719" spans="1:28" x14ac:dyDescent="0.3">
      <c r="A719" s="32">
        <f>VLOOKUP(YEAR(C719),Flags!$A$13:$B$95,2,FALSE)</f>
        <v>2</v>
      </c>
      <c r="B719" s="24">
        <f t="shared" ref="B719:B742" si="1157">YEAR(C719)</f>
        <v>2000</v>
      </c>
      <c r="C719" s="25">
        <v>36738</v>
      </c>
      <c r="D719" s="26">
        <f>VLOOKUP($C719,COS!$B$8:$H$991,3,FALSE)</f>
        <v>16243.5498046875</v>
      </c>
      <c r="E719" s="24">
        <f>IF(D719&gt;=IF(MONTH($C719)=4,$C$3,IF(MONTH($C719)=5,$C$4,IF(MONTH($C719)=6,$C$5,IF(MONTH($C719)=7,$C$6,"ERROR")))),1,0)</f>
        <v>1</v>
      </c>
      <c r="F719" s="26">
        <f>VLOOKUP($C719,COS!$B$8:$H$991,7,FALSE)</f>
        <v>51.968482971191406</v>
      </c>
      <c r="G719" s="24">
        <f>IF(F719&lt;=IF(MONTH($C719)=4,$F$3,IF(MONTH($C719)=5,$F$4,IF(MONTH($C719)=6,$F$5,IF(MONTH($C719)=7,$F$6,"ERROR")))),1,0)</f>
        <v>1</v>
      </c>
      <c r="H719" s="26">
        <f>IF(J719=1,D719-$C$6,0)</f>
        <v>4243.5498046875</v>
      </c>
      <c r="I719" s="26">
        <f t="shared" si="1083"/>
        <v>260.92570699896697</v>
      </c>
      <c r="J719" s="24">
        <f t="shared" si="1147"/>
        <v>1</v>
      </c>
      <c r="K719" s="26">
        <f>VLOOKUP($C719,COS!$B$8:$H$991,2,FALSE)</f>
        <v>3391.262451171875</v>
      </c>
      <c r="L719" s="24">
        <f t="shared" si="1148"/>
        <v>1</v>
      </c>
      <c r="M719" s="24">
        <f t="shared" si="1149"/>
        <v>0</v>
      </c>
      <c r="N719" s="26">
        <f>VLOOKUP($C719,COS!$B$8:$H$991,5,FALSE)</f>
        <v>1372.8363037109375</v>
      </c>
      <c r="O719" s="26">
        <f t="shared" si="1150"/>
        <v>84.412414046358478</v>
      </c>
      <c r="P719" s="26">
        <f>VLOOKUP($C719,COS!$B$8:$H$991,6,FALSE)</f>
        <v>2562.892822265625</v>
      </c>
      <c r="Q719" s="26">
        <f t="shared" si="1151"/>
        <v>157.58613717071282</v>
      </c>
      <c r="R719" s="26">
        <f>MIN(IF(MONTH($C719)=4,$S$3,IF(MONTH($C719)=5,$S$4,IF(MONTH($C719)=6,$S$5,IF(MONTH($C719)=7,$S$6,"ERROR")))),MAX(VLOOKUP($C719,COS!$B$8:$K$991,10,FALSE)-IF(MONTH($C719)=4,$Y$3,IF(MONTH($C719)=5,$Y$4,IF(MONTH($C719)=6,$Y$5,IF(MONTH($C719)=7,$Y$6,"ERROR")))),0),MAX(VLOOKUP($C719,COS!$B$8:$K$991,9,FALSE)-IF(MONTH($C719)=4,$V$3,IF(MONTH($C719)=5,$V$4,IF(MONTH($C719)=6,$V$5,IF(MONTH($C719)=7,$V$6,"ERROR"))))-VLOOKUP($C719,COS!$B$8:$K$991,6,FALSE)/2,0))</f>
        <v>0</v>
      </c>
      <c r="S719" s="26">
        <f t="shared" si="1152"/>
        <v>0</v>
      </c>
      <c r="T719" s="26">
        <f t="shared" si="1153"/>
        <v>120.99927560853564</v>
      </c>
      <c r="U719" s="26" t="str">
        <f>IF(VLOOKUP($C719,COS!$B$8:$I$991,8,FALSE)=1,"UWFE","IBU")</f>
        <v>IBU</v>
      </c>
      <c r="V719" s="26">
        <f t="shared" ref="V719" si="1158">MIN(IF(IF($AA$3=2,AND(E719=1,G719=1,L719=1,L721=1,M719=1,U719="IBU"),AND(E719=1,G719=1,L719=1,L721=1,M719=1)),T719,0),I719)</f>
        <v>0</v>
      </c>
      <c r="W719" s="26"/>
      <c r="X719" s="26"/>
      <c r="Y719" s="26"/>
      <c r="Z719" s="26"/>
      <c r="AA719" s="26"/>
      <c r="AB719" s="33"/>
    </row>
    <row r="720" spans="1:28" x14ac:dyDescent="0.3">
      <c r="A720" s="32">
        <f>VLOOKUP(YEAR(C720),Flags!$A$13:$B$95,2,FALSE)</f>
        <v>2</v>
      </c>
      <c r="B720" s="24">
        <f t="shared" si="1157"/>
        <v>2000</v>
      </c>
      <c r="C720" s="25">
        <v>36769</v>
      </c>
      <c r="D720" s="26"/>
      <c r="E720" s="24"/>
      <c r="F720" s="26"/>
      <c r="G720" s="24"/>
      <c r="H720" s="24"/>
      <c r="I720" s="26"/>
      <c r="J720" s="24"/>
      <c r="K720" s="26"/>
      <c r="L720" s="24"/>
      <c r="M720" s="24"/>
      <c r="N720" s="26"/>
      <c r="O720" s="26"/>
      <c r="P720" s="26"/>
      <c r="Q720" s="26"/>
      <c r="R720" s="26"/>
      <c r="S720" s="26"/>
      <c r="T720" s="26"/>
      <c r="U720" s="26"/>
      <c r="V720" s="26"/>
      <c r="W720" s="26">
        <f>MAX($C$7-VLOOKUP($C720,COS!$B$8:$H$991,3,FALSE),0)</f>
        <v>89268.6640625</v>
      </c>
      <c r="X720" s="26">
        <f t="shared" si="1086"/>
        <v>5488.9162035123964</v>
      </c>
      <c r="Y720" s="26">
        <f>VLOOKUP($C720,COS!$B$8:$H$991,4,FALSE)</f>
        <v>0</v>
      </c>
      <c r="Z720" s="26">
        <f t="shared" si="1087"/>
        <v>0</v>
      </c>
      <c r="AA720" s="26">
        <f t="shared" ref="AA720:AA724" si="1159">MIN(W720,Y720)</f>
        <v>0</v>
      </c>
      <c r="AB720" s="33">
        <f t="shared" ref="AB720:AB742" si="1160">AA720*DAY($C720)*86400/43560/1000*IF(MONTH($C720)=8,$P$3,IF(MONTH($C720)=9,$P$4,IF(MONTH($C720)=10,$P$5,IF(MONTH($C720)=11,$P$6,IF(MONTH($C720)=12,$P$7,NA())))))</f>
        <v>0</v>
      </c>
    </row>
    <row r="721" spans="1:28" x14ac:dyDescent="0.3">
      <c r="A721" s="32">
        <f>VLOOKUP(YEAR(C721),Flags!$A$13:$B$95,2,FALSE)</f>
        <v>2</v>
      </c>
      <c r="B721" s="24">
        <f t="shared" si="1157"/>
        <v>2000</v>
      </c>
      <c r="C721" s="25">
        <v>36799</v>
      </c>
      <c r="D721" s="26"/>
      <c r="E721" s="24"/>
      <c r="F721" s="26"/>
      <c r="G721" s="24"/>
      <c r="H721" s="24"/>
      <c r="I721" s="26"/>
      <c r="J721" s="24"/>
      <c r="K721" s="26">
        <f>VLOOKUP($C721,COS!$B$8:$H$991,2,FALSE)</f>
        <v>2897.057861328125</v>
      </c>
      <c r="L721" s="24">
        <f t="shared" ref="L721" si="1161">IF(AND(K721&gt;$I$7,K721&lt;$I$8),1,0)</f>
        <v>1</v>
      </c>
      <c r="M721" s="24"/>
      <c r="N721" s="26"/>
      <c r="O721" s="26"/>
      <c r="P721" s="26"/>
      <c r="Q721" s="26"/>
      <c r="R721" s="26"/>
      <c r="S721" s="26"/>
      <c r="T721" s="26"/>
      <c r="U721" s="26"/>
      <c r="V721" s="26"/>
      <c r="W721" s="26">
        <f>MAX($C$8-VLOOKUP($C721,COS!$B$8:$H$991,3,FALSE),0)</f>
        <v>89757.765625</v>
      </c>
      <c r="X721" s="26">
        <f t="shared" si="1086"/>
        <v>5340.9579545454544</v>
      </c>
      <c r="Y721" s="26">
        <f>VLOOKUP($C721,COS!$B$8:$H$991,4,FALSE)</f>
        <v>0</v>
      </c>
      <c r="Z721" s="26">
        <f t="shared" si="1087"/>
        <v>0</v>
      </c>
      <c r="AA721" s="26">
        <f t="shared" si="1159"/>
        <v>0</v>
      </c>
      <c r="AB721" s="33">
        <f t="shared" si="1160"/>
        <v>0</v>
      </c>
    </row>
    <row r="722" spans="1:28" x14ac:dyDescent="0.3">
      <c r="A722" s="32">
        <f>VLOOKUP(YEAR(C722),Flags!$A$13:$B$95,2,FALSE)</f>
        <v>2</v>
      </c>
      <c r="B722" s="24">
        <f t="shared" si="1157"/>
        <v>2000</v>
      </c>
      <c r="C722" s="25">
        <v>36830</v>
      </c>
      <c r="D722" s="26"/>
      <c r="E722" s="24"/>
      <c r="F722" s="26"/>
      <c r="G722" s="26"/>
      <c r="H722" s="26"/>
      <c r="I722" s="26"/>
      <c r="J722" s="26"/>
      <c r="K722" s="26"/>
      <c r="L722" s="24"/>
      <c r="M722" s="24"/>
      <c r="N722" s="26"/>
      <c r="O722" s="26"/>
      <c r="P722" s="26"/>
      <c r="Q722" s="26"/>
      <c r="R722" s="26"/>
      <c r="S722" s="26"/>
      <c r="T722" s="26"/>
      <c r="U722" s="26"/>
      <c r="V722" s="26"/>
      <c r="W722" s="26">
        <f>MAX($C$9-VLOOKUP($C722,COS!$B$8:$H$991,3,FALSE),0)</f>
        <v>91791.708984375</v>
      </c>
      <c r="X722" s="26">
        <f t="shared" si="1086"/>
        <v>5644.0521887913228</v>
      </c>
      <c r="Y722" s="26">
        <f>VLOOKUP($C722,COS!$B$8:$H$991,4,FALSE)</f>
        <v>877.78619384765625</v>
      </c>
      <c r="Z722" s="26">
        <f t="shared" si="1087"/>
        <v>53.972969274599684</v>
      </c>
      <c r="AA722" s="26">
        <f t="shared" si="1159"/>
        <v>877.78619384765625</v>
      </c>
      <c r="AB722" s="33">
        <f t="shared" si="1160"/>
        <v>53.972969274599684</v>
      </c>
    </row>
    <row r="723" spans="1:28" x14ac:dyDescent="0.3">
      <c r="A723" s="32">
        <f>VLOOKUP(YEAR(C723),Flags!$A$13:$B$95,2,FALSE)</f>
        <v>2</v>
      </c>
      <c r="B723" s="24">
        <f t="shared" si="1157"/>
        <v>2000</v>
      </c>
      <c r="C723" s="25">
        <v>36860</v>
      </c>
      <c r="D723" s="26"/>
      <c r="E723" s="24"/>
      <c r="F723" s="26"/>
      <c r="G723" s="26"/>
      <c r="H723" s="26"/>
      <c r="I723" s="26"/>
      <c r="J723" s="26"/>
      <c r="K723" s="26"/>
      <c r="L723" s="24"/>
      <c r="M723" s="24"/>
      <c r="N723" s="26"/>
      <c r="O723" s="26"/>
      <c r="P723" s="26"/>
      <c r="Q723" s="26"/>
      <c r="R723" s="26"/>
      <c r="S723" s="26"/>
      <c r="T723" s="26"/>
      <c r="U723" s="26"/>
      <c r="V723" s="26"/>
      <c r="W723" s="26">
        <f>MAX($C$10-VLOOKUP($C723,COS!$B$8:$H$991,3,FALSE),0)</f>
        <v>88170.9169921875</v>
      </c>
      <c r="X723" s="26">
        <f t="shared" si="1086"/>
        <v>5246.5339036673549</v>
      </c>
      <c r="Y723" s="26">
        <f>VLOOKUP($C723,COS!$B$8:$H$991,4,FALSE)</f>
        <v>1047.9903564453125</v>
      </c>
      <c r="Z723" s="26">
        <f t="shared" si="1087"/>
        <v>62.359756747159089</v>
      </c>
      <c r="AA723" s="26">
        <f t="shared" si="1159"/>
        <v>1047.9903564453125</v>
      </c>
      <c r="AB723" s="33">
        <f t="shared" si="1160"/>
        <v>31.179878373579545</v>
      </c>
    </row>
    <row r="724" spans="1:28" x14ac:dyDescent="0.3">
      <c r="A724" s="34">
        <f>VLOOKUP(YEAR(C724),Flags!$A$13:$B$95,2,FALSE)</f>
        <v>2</v>
      </c>
      <c r="B724" s="35">
        <f t="shared" si="1157"/>
        <v>2000</v>
      </c>
      <c r="C724" s="36">
        <v>36891</v>
      </c>
      <c r="D724" s="37"/>
      <c r="E724" s="35"/>
      <c r="F724" s="37"/>
      <c r="G724" s="37"/>
      <c r="H724" s="37"/>
      <c r="I724" s="37"/>
      <c r="J724" s="37"/>
      <c r="K724" s="37"/>
      <c r="L724" s="35"/>
      <c r="M724" s="35"/>
      <c r="N724" s="37"/>
      <c r="O724" s="37"/>
      <c r="P724" s="37"/>
      <c r="Q724" s="37"/>
      <c r="R724" s="37"/>
      <c r="S724" s="37"/>
      <c r="T724" s="37"/>
      <c r="U724" s="37"/>
      <c r="V724" s="37"/>
      <c r="W724" s="37">
        <f>MAX($C$11-VLOOKUP($C724,COS!$B$8:$H$991,3,FALSE),0)</f>
        <v>0</v>
      </c>
      <c r="X724" s="37">
        <f t="shared" si="1086"/>
        <v>0</v>
      </c>
      <c r="Y724" s="37">
        <f>VLOOKUP($C724,COS!$B$8:$H$991,4,FALSE)</f>
        <v>1045.7059326171875</v>
      </c>
      <c r="Z724" s="37">
        <f t="shared" si="1087"/>
        <v>64.297951559271695</v>
      </c>
      <c r="AA724" s="37">
        <f t="shared" si="1159"/>
        <v>0</v>
      </c>
      <c r="AB724" s="38">
        <f t="shared" si="1160"/>
        <v>0</v>
      </c>
    </row>
    <row r="725" spans="1:28" x14ac:dyDescent="0.3">
      <c r="A725" s="27">
        <f>VLOOKUP(YEAR(C725),Flags!$A$13:$B$95,2,FALSE)</f>
        <v>4</v>
      </c>
      <c r="B725" s="28">
        <f t="shared" si="1157"/>
        <v>2001</v>
      </c>
      <c r="C725" s="29">
        <v>37011</v>
      </c>
      <c r="D725" s="30">
        <f>VLOOKUP($C725,COS!$B$8:$H$991,3,FALSE)</f>
        <v>3250</v>
      </c>
      <c r="E725" s="28">
        <f>IF(D725&gt;=IF(MONTH($C725)=4,$C$3,IF(MONTH($C725)=5,$C$4,IF(MONTH($C725)=6,$C$5,IF(MONTH($C725)=7,$C$6,"ERROR")))),1,0)</f>
        <v>0</v>
      </c>
      <c r="F725" s="30">
        <f>VLOOKUP($C725,COS!$B$8:$H$991,7,FALSE)</f>
        <v>51.856029510498047</v>
      </c>
      <c r="G725" s="28">
        <f>IF(F725&lt;=IF(MONTH($C725)=4,$F$3,IF(MONTH($C725)=5,$F$4,IF(MONTH($C725)=6,$F$5,IF(MONTH($C725)=7,$F$6,"ERROR")))),1,0)</f>
        <v>1</v>
      </c>
      <c r="H725" s="30">
        <f>IF(J725=1,D725-$C$3,0)</f>
        <v>0</v>
      </c>
      <c r="I725" s="30">
        <f t="shared" si="1083"/>
        <v>0</v>
      </c>
      <c r="J725" s="28">
        <f t="shared" ref="J725:J728" si="1162">IF(AND(E725=1,G725=1),1,0)</f>
        <v>0</v>
      </c>
      <c r="K725" s="30">
        <f>VLOOKUP($C725,COS!$B$8:$H$991,2,FALSE)</f>
        <v>3754.83837890625</v>
      </c>
      <c r="L725" s="28">
        <f t="shared" ref="L725" si="1163">IF(K725&lt;=IF(MONTH($C725)=4,$I$3,IF(MONTH($C725)=5,$I$4,IF(MONTH($C725)=6,$I$5,IF(MONTH($C725)=7,$I$6,"ERROR")))),1,0)</f>
        <v>1</v>
      </c>
      <c r="M725" s="28">
        <f t="shared" ref="M725" si="1164">VLOOKUP($A725,$L$3:$M$7,2,FALSE)</f>
        <v>1</v>
      </c>
      <c r="N725" s="30">
        <f>VLOOKUP($C725,COS!$B$8:$H$991,5,FALSE)</f>
        <v>153.87185668945313</v>
      </c>
      <c r="O725" s="30">
        <f t="shared" ref="O725:O728" si="1165">N725*DAY($C725)*86400/43560/1000</f>
        <v>9.1560113071410125</v>
      </c>
      <c r="P725" s="30">
        <f>VLOOKUP($C725,COS!$B$8:$H$991,6,FALSE)</f>
        <v>425.27017211914063</v>
      </c>
      <c r="Q725" s="30">
        <f t="shared" ref="Q725:Q728" si="1166">P725*DAY($C725)*86400/43560/1000</f>
        <v>25.305332555849692</v>
      </c>
      <c r="R725" s="30">
        <f>MIN(IF(MONTH($C725)=4,$S$3,IF(MONTH($C725)=5,$S$4,IF(MONTH($C725)=6,$S$5,IF(MONTH($C725)=7,$S$6,"ERROR")))),MAX(VLOOKUP($C725,COS!$B$8:$K$991,10,FALSE)-IF(MONTH($C725)=4,$Y$3,IF(MONTH($C725)=5,$Y$4,IF(MONTH($C725)=6,$Y$5,IF(MONTH($C725)=7,$Y$6,"ERROR")))),0),MAX(VLOOKUP($C725,COS!$B$8:$K$991,9,FALSE)-IF(MONTH($C725)=4,$V$3,IF(MONTH($C725)=5,$V$4,IF(MONTH($C725)=6,$V$5,IF(MONTH($C725)=7,$V$6,"ERROR"))))-VLOOKUP($C725,COS!$B$8:$K$991,6,FALSE)/2,0))</f>
        <v>0</v>
      </c>
      <c r="S725" s="30">
        <f t="shared" ref="S725:S728" si="1167">R725*DAY($C725)*86400/43560/1000</f>
        <v>0</v>
      </c>
      <c r="T725" s="30">
        <f t="shared" ref="T725:T728" si="1168">(O725+Q725)/2+S725</f>
        <v>17.230671931495351</v>
      </c>
      <c r="U725" s="30" t="str">
        <f>IF(VLOOKUP($C725,COS!$B$8:$I$991,8,FALSE)=1,"UWFE","IBU")</f>
        <v>UWFE</v>
      </c>
      <c r="V725" s="30">
        <f t="shared" ref="V725" si="1169">MIN(IF(IF($AA$3=2,AND(E725=1,G725=1,L725=1,L730=1,M725=1,U725="IBU"),AND(E725=1,G725=1,L725=1,L730=1,M725=1)),T725,0),I725)</f>
        <v>0</v>
      </c>
      <c r="W725" s="30"/>
      <c r="X725" s="30"/>
      <c r="Y725" s="30"/>
      <c r="Z725" s="30"/>
      <c r="AA725" s="30"/>
      <c r="AB725" s="31"/>
    </row>
    <row r="726" spans="1:28" x14ac:dyDescent="0.3">
      <c r="A726" s="32">
        <f>VLOOKUP(YEAR(C726),Flags!$A$13:$B$95,2,FALSE)</f>
        <v>4</v>
      </c>
      <c r="B726" s="24">
        <f t="shared" si="1157"/>
        <v>2001</v>
      </c>
      <c r="C726" s="25">
        <v>37042</v>
      </c>
      <c r="D726" s="26">
        <f>VLOOKUP($C726,COS!$B$8:$H$991,3,FALSE)</f>
        <v>9349.091796875</v>
      </c>
      <c r="E726" s="24">
        <f>IF(D726&gt;=IF(MONTH($C726)=4,$C$3,IF(MONTH($C726)=5,$C$4,IF(MONTH($C726)=6,$C$5,IF(MONTH($C726)=7,$C$6,"ERROR")))),1,0)</f>
        <v>1</v>
      </c>
      <c r="F726" s="26">
        <f>VLOOKUP($C726,COS!$B$8:$H$991,7,FALSE)</f>
        <v>51.669788360595703</v>
      </c>
      <c r="G726" s="24">
        <f>IF(F726&lt;=IF(MONTH($C726)=4,$F$3,IF(MONTH($C726)=5,$F$4,IF(MONTH($C726)=6,$F$5,IF(MONTH($C726)=7,$F$6,"ERROR")))),1,0)</f>
        <v>1</v>
      </c>
      <c r="H726" s="26">
        <f>IF(J726=1,D726-$C$4,0)</f>
        <v>3349.091796875</v>
      </c>
      <c r="I726" s="26">
        <f t="shared" si="1083"/>
        <v>205.92762784090908</v>
      </c>
      <c r="J726" s="24">
        <f t="shared" si="1162"/>
        <v>1</v>
      </c>
      <c r="K726" s="26">
        <f>VLOOKUP($C726,COS!$B$8:$H$991,2,FALSE)</f>
        <v>3513.1181640625</v>
      </c>
      <c r="L726" s="24">
        <f t="shared" si="1148"/>
        <v>1</v>
      </c>
      <c r="M726" s="24">
        <f t="shared" si="1149"/>
        <v>1</v>
      </c>
      <c r="N726" s="26">
        <f>VLOOKUP($C726,COS!$B$8:$H$991,5,FALSE)</f>
        <v>131.51080322265625</v>
      </c>
      <c r="O726" s="26">
        <f t="shared" si="1165"/>
        <v>8.0862840989798546</v>
      </c>
      <c r="P726" s="26">
        <f>VLOOKUP($C726,COS!$B$8:$H$991,6,FALSE)</f>
        <v>2330.0556640625</v>
      </c>
      <c r="Q726" s="26">
        <f t="shared" si="1166"/>
        <v>143.26953835227275</v>
      </c>
      <c r="R726" s="26">
        <f>MIN(IF(MONTH($C726)=4,$S$3,IF(MONTH($C726)=5,$S$4,IF(MONTH($C726)=6,$S$5,IF(MONTH($C726)=7,$S$6,"ERROR")))),MAX(VLOOKUP($C726,COS!$B$8:$K$991,10,FALSE)-IF(MONTH($C726)=4,$Y$3,IF(MONTH($C726)=5,$Y$4,IF(MONTH($C726)=6,$Y$5,IF(MONTH($C726)=7,$Y$6,"ERROR")))),0),MAX(VLOOKUP($C726,COS!$B$8:$K$991,9,FALSE)-IF(MONTH($C726)=4,$V$3,IF(MONTH($C726)=5,$V$4,IF(MONTH($C726)=6,$V$5,IF(MONTH($C726)=7,$V$6,"ERROR"))))-VLOOKUP($C726,COS!$B$8:$K$991,6,FALSE)/2,0))</f>
        <v>0</v>
      </c>
      <c r="S726" s="26">
        <f t="shared" si="1167"/>
        <v>0</v>
      </c>
      <c r="T726" s="26">
        <f t="shared" si="1168"/>
        <v>75.677911225626303</v>
      </c>
      <c r="U726" s="26" t="str">
        <f>IF(VLOOKUP($C726,COS!$B$8:$I$991,8,FALSE)=1,"UWFE","IBU")</f>
        <v>IBU</v>
      </c>
      <c r="V726" s="26">
        <f t="shared" ref="V726" si="1170">MIN(IF(IF($AA$3=2,AND(E726=1,G726=1,L726=1,L730=1,M726=1,U726="IBU"),AND(E726=1,G726=1,L726=1,L730=1,M726=1)),T726,0),I726)</f>
        <v>75.677911225626303</v>
      </c>
      <c r="W726" s="26"/>
      <c r="X726" s="26"/>
      <c r="Y726" s="26"/>
      <c r="Z726" s="26"/>
      <c r="AA726" s="26"/>
      <c r="AB726" s="33"/>
    </row>
    <row r="727" spans="1:28" x14ac:dyDescent="0.3">
      <c r="A727" s="32">
        <f>VLOOKUP(YEAR(C727),Flags!$A$13:$B$95,2,FALSE)</f>
        <v>4</v>
      </c>
      <c r="B727" s="24">
        <f t="shared" si="1157"/>
        <v>2001</v>
      </c>
      <c r="C727" s="25">
        <v>37072</v>
      </c>
      <c r="D727" s="26">
        <f>VLOOKUP($C727,COS!$B$8:$H$991,3,FALSE)</f>
        <v>13580.42578125</v>
      </c>
      <c r="E727" s="24">
        <f>IF(D727&gt;=IF(MONTH($C727)=4,$C$3,IF(MONTH($C727)=5,$C$4,IF(MONTH($C727)=6,$C$5,IF(MONTH($C727)=7,$C$6,"ERROR")))),1,0)</f>
        <v>1</v>
      </c>
      <c r="F727" s="26">
        <f>VLOOKUP($C727,COS!$B$8:$H$991,7,FALSE)</f>
        <v>52.129489898681641</v>
      </c>
      <c r="G727" s="24">
        <f>IF(F727&lt;=IF(MONTH($C727)=4,$F$3,IF(MONTH($C727)=5,$F$4,IF(MONTH($C727)=6,$F$5,IF(MONTH($C727)=7,$F$6,"ERROR")))),1,0)</f>
        <v>1</v>
      </c>
      <c r="H727" s="26">
        <f>IF(J727=1,D727-$C$5,0)</f>
        <v>3580.42578125</v>
      </c>
      <c r="I727" s="26">
        <f t="shared" si="1083"/>
        <v>213.0501291322314</v>
      </c>
      <c r="J727" s="24">
        <f t="shared" si="1162"/>
        <v>1</v>
      </c>
      <c r="K727" s="26">
        <f>VLOOKUP($C727,COS!$B$8:$H$991,2,FALSE)</f>
        <v>3084.426025390625</v>
      </c>
      <c r="L727" s="24">
        <f t="shared" si="1148"/>
        <v>1</v>
      </c>
      <c r="M727" s="24">
        <f t="shared" si="1149"/>
        <v>1</v>
      </c>
      <c r="N727" s="26">
        <f>VLOOKUP($C727,COS!$B$8:$H$991,5,FALSE)</f>
        <v>341.73458862304688</v>
      </c>
      <c r="O727" s="26">
        <f t="shared" si="1165"/>
        <v>20.334620149470556</v>
      </c>
      <c r="P727" s="26">
        <f>VLOOKUP($C727,COS!$B$8:$H$991,6,FALSE)</f>
        <v>2635.120849609375</v>
      </c>
      <c r="Q727" s="26">
        <f t="shared" si="1166"/>
        <v>156.80057948088844</v>
      </c>
      <c r="R727" s="26">
        <f>MIN(IF(MONTH($C727)=4,$S$3,IF(MONTH($C727)=5,$S$4,IF(MONTH($C727)=6,$S$5,IF(MONTH($C727)=7,$S$6,"ERROR")))),MAX(VLOOKUP($C727,COS!$B$8:$K$991,10,FALSE)-IF(MONTH($C727)=4,$Y$3,IF(MONTH($C727)=5,$Y$4,IF(MONTH($C727)=6,$Y$5,IF(MONTH($C727)=7,$Y$6,"ERROR")))),0),MAX(VLOOKUP($C727,COS!$B$8:$K$991,9,FALSE)-IF(MONTH($C727)=4,$V$3,IF(MONTH($C727)=5,$V$4,IF(MONTH($C727)=6,$V$5,IF(MONTH($C727)=7,$V$6,"ERROR"))))-VLOOKUP($C727,COS!$B$8:$K$991,6,FALSE)/2,0))</f>
        <v>0</v>
      </c>
      <c r="S727" s="26">
        <f t="shared" si="1167"/>
        <v>0</v>
      </c>
      <c r="T727" s="26">
        <f t="shared" si="1168"/>
        <v>88.567599815179506</v>
      </c>
      <c r="U727" s="26" t="str">
        <f>IF(VLOOKUP($C727,COS!$B$8:$I$991,8,FALSE)=1,"UWFE","IBU")</f>
        <v>IBU</v>
      </c>
      <c r="V727" s="26">
        <f t="shared" ref="V727" si="1171">MIN(IF(IF($AA$3=2,AND(E727=1,G727=1,L727=1,L730=1,M727=1,U727="IBU"),AND(E727=1,G727=1,L727=1,L730=1,M727=1)),T727,0),I727)</f>
        <v>88.567599815179506</v>
      </c>
      <c r="W727" s="26"/>
      <c r="X727" s="26"/>
      <c r="Y727" s="26"/>
      <c r="Z727" s="26"/>
      <c r="AA727" s="26"/>
      <c r="AB727" s="33"/>
    </row>
    <row r="728" spans="1:28" x14ac:dyDescent="0.3">
      <c r="A728" s="32">
        <f>VLOOKUP(YEAR(C728),Flags!$A$13:$B$95,2,FALSE)</f>
        <v>4</v>
      </c>
      <c r="B728" s="24">
        <f t="shared" si="1157"/>
        <v>2001</v>
      </c>
      <c r="C728" s="25">
        <v>37103</v>
      </c>
      <c r="D728" s="26">
        <f>VLOOKUP($C728,COS!$B$8:$H$991,3,FALSE)</f>
        <v>11758.25</v>
      </c>
      <c r="E728" s="24">
        <f>IF(D728&gt;=IF(MONTH($C728)=4,$C$3,IF(MONTH($C728)=5,$C$4,IF(MONTH($C728)=6,$C$5,IF(MONTH($C728)=7,$C$6,"ERROR")))),1,0)</f>
        <v>0</v>
      </c>
      <c r="F728" s="26">
        <f>VLOOKUP($C728,COS!$B$8:$H$991,7,FALSE)</f>
        <v>54.356548309326172</v>
      </c>
      <c r="G728" s="24">
        <f>IF(F728&lt;=IF(MONTH($C728)=4,$F$3,IF(MONTH($C728)=5,$F$4,IF(MONTH($C728)=6,$F$5,IF(MONTH($C728)=7,$F$6,"ERROR")))),1,0)</f>
        <v>0</v>
      </c>
      <c r="H728" s="26">
        <f>IF(J728=1,D728-$C$6,0)</f>
        <v>0</v>
      </c>
      <c r="I728" s="26">
        <f t="shared" si="1083"/>
        <v>0</v>
      </c>
      <c r="J728" s="24">
        <f t="shared" si="1162"/>
        <v>0</v>
      </c>
      <c r="K728" s="26">
        <f>VLOOKUP($C728,COS!$B$8:$H$991,2,FALSE)</f>
        <v>2758.937255859375</v>
      </c>
      <c r="L728" s="24">
        <f t="shared" si="1148"/>
        <v>1</v>
      </c>
      <c r="M728" s="24">
        <f t="shared" si="1149"/>
        <v>1</v>
      </c>
      <c r="N728" s="26">
        <f>VLOOKUP($C728,COS!$B$8:$H$991,5,FALSE)</f>
        <v>395.15768432617188</v>
      </c>
      <c r="O728" s="26">
        <f t="shared" si="1165"/>
        <v>24.297298937080321</v>
      </c>
      <c r="P728" s="26">
        <f>VLOOKUP($C728,COS!$B$8:$H$991,6,FALSE)</f>
        <v>2538.07568359375</v>
      </c>
      <c r="Q728" s="26">
        <f t="shared" si="1166"/>
        <v>156.06019079287191</v>
      </c>
      <c r="R728" s="26">
        <f>MIN(IF(MONTH($C728)=4,$S$3,IF(MONTH($C728)=5,$S$4,IF(MONTH($C728)=6,$S$5,IF(MONTH($C728)=7,$S$6,"ERROR")))),MAX(VLOOKUP($C728,COS!$B$8:$K$991,10,FALSE)-IF(MONTH($C728)=4,$Y$3,IF(MONTH($C728)=5,$Y$4,IF(MONTH($C728)=6,$Y$5,IF(MONTH($C728)=7,$Y$6,"ERROR")))),0),MAX(VLOOKUP($C728,COS!$B$8:$K$991,9,FALSE)-IF(MONTH($C728)=4,$V$3,IF(MONTH($C728)=5,$V$4,IF(MONTH($C728)=6,$V$5,IF(MONTH($C728)=7,$V$6,"ERROR"))))-VLOOKUP($C728,COS!$B$8:$K$991,6,FALSE)/2,0))</f>
        <v>0</v>
      </c>
      <c r="S728" s="26">
        <f t="shared" si="1167"/>
        <v>0</v>
      </c>
      <c r="T728" s="26">
        <f t="shared" si="1168"/>
        <v>90.17874486497611</v>
      </c>
      <c r="U728" s="26" t="str">
        <f>IF(VLOOKUP($C728,COS!$B$8:$I$991,8,FALSE)=1,"UWFE","IBU")</f>
        <v>IBU</v>
      </c>
      <c r="V728" s="26">
        <f t="shared" ref="V728" si="1172">MIN(IF(IF($AA$3=2,AND(E728=1,G728=1,L728=1,L730=1,M728=1,U728="IBU"),AND(E728=1,G728=1,L728=1,L730=1,M728=1)),T728,0),I728)</f>
        <v>0</v>
      </c>
      <c r="W728" s="26"/>
      <c r="X728" s="26"/>
      <c r="Y728" s="26"/>
      <c r="Z728" s="26"/>
      <c r="AA728" s="26"/>
      <c r="AB728" s="33"/>
    </row>
    <row r="729" spans="1:28" x14ac:dyDescent="0.3">
      <c r="A729" s="32">
        <f>VLOOKUP(YEAR(C729),Flags!$A$13:$B$95,2,FALSE)</f>
        <v>4</v>
      </c>
      <c r="B729" s="24">
        <f t="shared" si="1157"/>
        <v>2001</v>
      </c>
      <c r="C729" s="25">
        <v>37134</v>
      </c>
      <c r="D729" s="26"/>
      <c r="E729" s="24"/>
      <c r="F729" s="26"/>
      <c r="G729" s="24"/>
      <c r="H729" s="24"/>
      <c r="I729" s="26"/>
      <c r="J729" s="24"/>
      <c r="K729" s="26"/>
      <c r="L729" s="24"/>
      <c r="M729" s="24"/>
      <c r="N729" s="26"/>
      <c r="O729" s="26"/>
      <c r="P729" s="26"/>
      <c r="Q729" s="26"/>
      <c r="R729" s="26"/>
      <c r="S729" s="26"/>
      <c r="T729" s="26"/>
      <c r="U729" s="26"/>
      <c r="V729" s="26"/>
      <c r="W729" s="26">
        <f>MAX($C$7-VLOOKUP($C729,COS!$B$8:$H$991,3,FALSE),0)</f>
        <v>92242.5517578125</v>
      </c>
      <c r="X729" s="26">
        <f t="shared" si="1086"/>
        <v>5671.7734303977277</v>
      </c>
      <c r="Y729" s="26">
        <f>VLOOKUP($C729,COS!$B$8:$H$991,4,FALSE)</f>
        <v>2668.290283203125</v>
      </c>
      <c r="Z729" s="26">
        <f t="shared" si="1087"/>
        <v>164.06677443827479</v>
      </c>
      <c r="AA729" s="26">
        <f t="shared" ref="AA729:AA733" si="1173">MIN(W729,Y729)</f>
        <v>2668.290283203125</v>
      </c>
      <c r="AB729" s="33">
        <f t="shared" ref="AB729" si="1174">AA729*DAY($C729)*86400/43560/1000*IF(MONTH($C729)=8,$P$3,IF(MONTH($C729)=9,$P$4,IF(MONTH($C729)=10,$P$5,IF(MONTH($C729)=11,$P$6,IF(MONTH($C729)=12,$P$7,NA())))))</f>
        <v>164.06677443827479</v>
      </c>
    </row>
    <row r="730" spans="1:28" x14ac:dyDescent="0.3">
      <c r="A730" s="32">
        <f>VLOOKUP(YEAR(C730),Flags!$A$13:$B$95,2,FALSE)</f>
        <v>4</v>
      </c>
      <c r="B730" s="24">
        <f t="shared" si="1157"/>
        <v>2001</v>
      </c>
      <c r="C730" s="25">
        <v>37164</v>
      </c>
      <c r="D730" s="26"/>
      <c r="E730" s="24"/>
      <c r="F730" s="26"/>
      <c r="G730" s="24"/>
      <c r="H730" s="24"/>
      <c r="I730" s="26"/>
      <c r="J730" s="24"/>
      <c r="K730" s="26">
        <f>VLOOKUP($C730,COS!$B$8:$H$991,2,FALSE)</f>
        <v>2536.139892578125</v>
      </c>
      <c r="L730" s="24">
        <f t="shared" ref="L730" si="1175">IF(AND(K730&gt;$I$7,K730&lt;$I$8),1,0)</f>
        <v>1</v>
      </c>
      <c r="M730" s="24"/>
      <c r="N730" s="26"/>
      <c r="O730" s="26"/>
      <c r="P730" s="26"/>
      <c r="Q730" s="26"/>
      <c r="R730" s="26"/>
      <c r="S730" s="26"/>
      <c r="T730" s="26"/>
      <c r="U730" s="26"/>
      <c r="V730" s="26"/>
      <c r="W730" s="26">
        <f>MAX($C$8-VLOOKUP($C730,COS!$B$8:$H$991,3,FALSE),0)</f>
        <v>94657.2197265625</v>
      </c>
      <c r="X730" s="26">
        <f t="shared" si="1086"/>
        <v>5632.4957192665288</v>
      </c>
      <c r="Y730" s="26">
        <f>VLOOKUP($C730,COS!$B$8:$H$991,4,FALSE)</f>
        <v>1212.2628173828125</v>
      </c>
      <c r="Z730" s="26">
        <f t="shared" si="1087"/>
        <v>72.134646984762398</v>
      </c>
      <c r="AA730" s="26">
        <f t="shared" si="1173"/>
        <v>1212.2628173828125</v>
      </c>
      <c r="AB730" s="33">
        <f t="shared" si="1160"/>
        <v>72.134646984762398</v>
      </c>
    </row>
    <row r="731" spans="1:28" x14ac:dyDescent="0.3">
      <c r="A731" s="32">
        <f>VLOOKUP(YEAR(C731),Flags!$A$13:$B$95,2,FALSE)</f>
        <v>4</v>
      </c>
      <c r="B731" s="24">
        <f t="shared" si="1157"/>
        <v>2001</v>
      </c>
      <c r="C731" s="25">
        <v>37195</v>
      </c>
      <c r="D731" s="26"/>
      <c r="E731" s="24"/>
      <c r="F731" s="26"/>
      <c r="G731" s="26"/>
      <c r="H731" s="26"/>
      <c r="I731" s="26"/>
      <c r="J731" s="26"/>
      <c r="K731" s="26"/>
      <c r="L731" s="24"/>
      <c r="M731" s="24"/>
      <c r="N731" s="26"/>
      <c r="O731" s="26"/>
      <c r="P731" s="26"/>
      <c r="Q731" s="26"/>
      <c r="R731" s="26"/>
      <c r="S731" s="26"/>
      <c r="T731" s="26"/>
      <c r="U731" s="26"/>
      <c r="V731" s="26"/>
      <c r="W731" s="26">
        <f>MAX($C$9-VLOOKUP($C731,COS!$B$8:$H$991,3,FALSE),0)</f>
        <v>91063.4443359375</v>
      </c>
      <c r="X731" s="26">
        <f t="shared" si="1086"/>
        <v>5599.2729409865697</v>
      </c>
      <c r="Y731" s="26">
        <f>VLOOKUP($C731,COS!$B$8:$H$991,4,FALSE)</f>
        <v>1937.2271728515625</v>
      </c>
      <c r="Z731" s="26">
        <f t="shared" si="1087"/>
        <v>119.11545591748451</v>
      </c>
      <c r="AA731" s="26">
        <f t="shared" si="1173"/>
        <v>1937.2271728515625</v>
      </c>
      <c r="AB731" s="33">
        <f t="shared" si="1160"/>
        <v>119.11545591748451</v>
      </c>
    </row>
    <row r="732" spans="1:28" x14ac:dyDescent="0.3">
      <c r="A732" s="32">
        <f>VLOOKUP(YEAR(C732),Flags!$A$13:$B$95,2,FALSE)</f>
        <v>4</v>
      </c>
      <c r="B732" s="24">
        <f t="shared" si="1157"/>
        <v>2001</v>
      </c>
      <c r="C732" s="25">
        <v>37225</v>
      </c>
      <c r="D732" s="26"/>
      <c r="E732" s="24"/>
      <c r="F732" s="26"/>
      <c r="G732" s="26"/>
      <c r="H732" s="26"/>
      <c r="I732" s="26"/>
      <c r="J732" s="26"/>
      <c r="K732" s="26"/>
      <c r="L732" s="24"/>
      <c r="M732" s="24"/>
      <c r="N732" s="26"/>
      <c r="O732" s="26"/>
      <c r="P732" s="26"/>
      <c r="Q732" s="26"/>
      <c r="R732" s="26"/>
      <c r="S732" s="26"/>
      <c r="T732" s="26"/>
      <c r="U732" s="26"/>
      <c r="V732" s="26"/>
      <c r="W732" s="26">
        <f>MAX($C$10-VLOOKUP($C732,COS!$B$8:$H$991,3,FALSE),0)</f>
        <v>96749</v>
      </c>
      <c r="X732" s="26">
        <f t="shared" si="1086"/>
        <v>5756.965289256198</v>
      </c>
      <c r="Y732" s="26">
        <f>VLOOKUP($C732,COS!$B$8:$H$991,4,FALSE)</f>
        <v>1367.04638671875</v>
      </c>
      <c r="Z732" s="26">
        <f t="shared" si="1087"/>
        <v>81.344908961776866</v>
      </c>
      <c r="AA732" s="26">
        <f t="shared" si="1173"/>
        <v>1367.04638671875</v>
      </c>
      <c r="AB732" s="33">
        <f t="shared" si="1160"/>
        <v>40.672454480888433</v>
      </c>
    </row>
    <row r="733" spans="1:28" x14ac:dyDescent="0.3">
      <c r="A733" s="34">
        <f>VLOOKUP(YEAR(C733),Flags!$A$13:$B$95,2,FALSE)</f>
        <v>4</v>
      </c>
      <c r="B733" s="35">
        <f t="shared" si="1157"/>
        <v>2001</v>
      </c>
      <c r="C733" s="36">
        <v>37256</v>
      </c>
      <c r="D733" s="37"/>
      <c r="E733" s="35"/>
      <c r="F733" s="37"/>
      <c r="G733" s="37"/>
      <c r="H733" s="37"/>
      <c r="I733" s="37"/>
      <c r="J733" s="37"/>
      <c r="K733" s="37"/>
      <c r="L733" s="35"/>
      <c r="M733" s="35"/>
      <c r="N733" s="37"/>
      <c r="O733" s="37"/>
      <c r="P733" s="37"/>
      <c r="Q733" s="37"/>
      <c r="R733" s="37"/>
      <c r="S733" s="37"/>
      <c r="T733" s="37"/>
      <c r="U733" s="37"/>
      <c r="V733" s="37"/>
      <c r="W733" s="37">
        <f>MAX($C$11-VLOOKUP($C733,COS!$B$8:$H$991,3,FALSE),0)</f>
        <v>0</v>
      </c>
      <c r="X733" s="37">
        <f t="shared" si="1086"/>
        <v>0</v>
      </c>
      <c r="Y733" s="37">
        <f>VLOOKUP($C733,COS!$B$8:$H$991,4,FALSE)</f>
        <v>0</v>
      </c>
      <c r="Z733" s="37">
        <f t="shared" si="1087"/>
        <v>0</v>
      </c>
      <c r="AA733" s="37">
        <f t="shared" si="1173"/>
        <v>0</v>
      </c>
      <c r="AB733" s="38">
        <f t="shared" si="1160"/>
        <v>0</v>
      </c>
    </row>
    <row r="734" spans="1:28" x14ac:dyDescent="0.3">
      <c r="A734" s="27">
        <f>VLOOKUP(YEAR(C734),Flags!$A$13:$B$95,2,FALSE)</f>
        <v>4</v>
      </c>
      <c r="B734" s="28">
        <f t="shared" si="1157"/>
        <v>2002</v>
      </c>
      <c r="C734" s="29">
        <v>37376</v>
      </c>
      <c r="D734" s="30">
        <f>VLOOKUP($C734,COS!$B$8:$H$991,3,FALSE)</f>
        <v>3790.32568359375</v>
      </c>
      <c r="E734" s="28">
        <f>IF(D734&gt;=IF(MONTH($C734)=4,$C$3,IF(MONTH($C734)=5,$C$4,IF(MONTH($C734)=6,$C$5,IF(MONTH($C734)=7,$C$6,"ERROR")))),1,0)</f>
        <v>0</v>
      </c>
      <c r="F734" s="30">
        <f>VLOOKUP($C734,COS!$B$8:$H$991,7,FALSE)</f>
        <v>51.393619537353516</v>
      </c>
      <c r="G734" s="28">
        <f>IF(F734&lt;=IF(MONTH($C734)=4,$F$3,IF(MONTH($C734)=5,$F$4,IF(MONTH($C734)=6,$F$5,IF(MONTH($C734)=7,$F$6,"ERROR")))),1,0)</f>
        <v>1</v>
      </c>
      <c r="H734" s="30">
        <f>IF(J734=1,D734-$C$3,0)</f>
        <v>0</v>
      </c>
      <c r="I734" s="30">
        <f t="shared" si="1083"/>
        <v>0</v>
      </c>
      <c r="J734" s="28">
        <f t="shared" ref="J734:J737" si="1176">IF(AND(E734=1,G734=1),1,0)</f>
        <v>0</v>
      </c>
      <c r="K734" s="30">
        <f>VLOOKUP($C734,COS!$B$8:$H$991,2,FALSE)</f>
        <v>4552.10009765625</v>
      </c>
      <c r="L734" s="28">
        <f t="shared" ref="L734" si="1177">IF(K734&lt;=IF(MONTH($C734)=4,$I$3,IF(MONTH($C734)=5,$I$4,IF(MONTH($C734)=6,$I$5,IF(MONTH($C734)=7,$I$6,"ERROR")))),1,0)</f>
        <v>1</v>
      </c>
      <c r="M734" s="28">
        <f t="shared" ref="M734" si="1178">VLOOKUP($A734,$L$3:$M$7,2,FALSE)</f>
        <v>1</v>
      </c>
      <c r="N734" s="30">
        <f>VLOOKUP($C734,COS!$B$8:$H$991,5,FALSE)</f>
        <v>592.5997314453125</v>
      </c>
      <c r="O734" s="30">
        <f t="shared" ref="O734:O737" si="1179">N734*DAY($C734)*86400/43560/1000</f>
        <v>35.262132780216938</v>
      </c>
      <c r="P734" s="30">
        <f>VLOOKUP($C734,COS!$B$8:$H$991,6,FALSE)</f>
        <v>570.92694091796875</v>
      </c>
      <c r="Q734" s="30">
        <f t="shared" ref="Q734:Q737" si="1180">P734*DAY($C734)*86400/43560/1000</f>
        <v>33.972512186854338</v>
      </c>
      <c r="R734" s="30">
        <f>MIN(IF(MONTH($C734)=4,$S$3,IF(MONTH($C734)=5,$S$4,IF(MONTH($C734)=6,$S$5,IF(MONTH($C734)=7,$S$6,"ERROR")))),MAX(VLOOKUP($C734,COS!$B$8:$K$991,10,FALSE)-IF(MONTH($C734)=4,$Y$3,IF(MONTH($C734)=5,$Y$4,IF(MONTH($C734)=6,$Y$5,IF(MONTH($C734)=7,$Y$6,"ERROR")))),0),MAX(VLOOKUP($C734,COS!$B$8:$K$991,9,FALSE)-IF(MONTH($C734)=4,$V$3,IF(MONTH($C734)=5,$V$4,IF(MONTH($C734)=6,$V$5,IF(MONTH($C734)=7,$V$6,"ERROR"))))-VLOOKUP($C734,COS!$B$8:$K$991,6,FALSE)/2,0))</f>
        <v>0</v>
      </c>
      <c r="S734" s="30">
        <f t="shared" ref="S734:S737" si="1181">R734*DAY($C734)*86400/43560/1000</f>
        <v>0</v>
      </c>
      <c r="T734" s="30">
        <f t="shared" ref="T734:T737" si="1182">(O734+Q734)/2+S734</f>
        <v>34.617322483535638</v>
      </c>
      <c r="U734" s="30" t="str">
        <f>IF(VLOOKUP($C734,COS!$B$8:$I$991,8,FALSE)=1,"UWFE","IBU")</f>
        <v>UWFE</v>
      </c>
      <c r="V734" s="30">
        <f t="shared" ref="V734" si="1183">MIN(IF(IF($AA$3=2,AND(E734=1,G734=1,L734=1,L739=1,M734=1,U734="IBU"),AND(E734=1,G734=1,L734=1,L739=1,M734=1)),T734,0),I734)</f>
        <v>0</v>
      </c>
      <c r="W734" s="30"/>
      <c r="X734" s="30"/>
      <c r="Y734" s="30"/>
      <c r="Z734" s="30"/>
      <c r="AA734" s="30"/>
      <c r="AB734" s="31"/>
    </row>
    <row r="735" spans="1:28" x14ac:dyDescent="0.3">
      <c r="A735" s="32">
        <f>VLOOKUP(YEAR(C735),Flags!$A$13:$B$95,2,FALSE)</f>
        <v>4</v>
      </c>
      <c r="B735" s="24">
        <f t="shared" si="1157"/>
        <v>2002</v>
      </c>
      <c r="C735" s="25">
        <v>37407</v>
      </c>
      <c r="D735" s="26">
        <f>VLOOKUP($C735,COS!$B$8:$H$991,3,FALSE)</f>
        <v>8129.60498046875</v>
      </c>
      <c r="E735" s="24">
        <f>IF(D735&gt;=IF(MONTH($C735)=4,$C$3,IF(MONTH($C735)=5,$C$4,IF(MONTH($C735)=6,$C$5,IF(MONTH($C735)=7,$C$6,"ERROR")))),1,0)</f>
        <v>1</v>
      </c>
      <c r="F735" s="26">
        <f>VLOOKUP($C735,COS!$B$8:$H$991,7,FALSE)</f>
        <v>50.423126220703125</v>
      </c>
      <c r="G735" s="24">
        <f>IF(F735&lt;=IF(MONTH($C735)=4,$F$3,IF(MONTH($C735)=5,$F$4,IF(MONTH($C735)=6,$F$5,IF(MONTH($C735)=7,$F$6,"ERROR")))),1,0)</f>
        <v>1</v>
      </c>
      <c r="H735" s="26">
        <f>IF(J735=1,D735-$C$4,0)</f>
        <v>2129.60498046875</v>
      </c>
      <c r="I735" s="26">
        <f t="shared" si="1083"/>
        <v>130.94430623708678</v>
      </c>
      <c r="J735" s="24">
        <f t="shared" si="1176"/>
        <v>1</v>
      </c>
      <c r="K735" s="26">
        <f>VLOOKUP($C735,COS!$B$8:$H$991,2,FALSE)</f>
        <v>4345.9794921875</v>
      </c>
      <c r="L735" s="24">
        <f t="shared" si="1148"/>
        <v>1</v>
      </c>
      <c r="M735" s="24">
        <f t="shared" si="1149"/>
        <v>1</v>
      </c>
      <c r="N735" s="26">
        <f>VLOOKUP($C735,COS!$B$8:$H$991,5,FALSE)</f>
        <v>512.00897216796875</v>
      </c>
      <c r="O735" s="26">
        <f t="shared" si="1179"/>
        <v>31.482204569666838</v>
      </c>
      <c r="P735" s="26">
        <f>VLOOKUP($C735,COS!$B$8:$H$991,6,FALSE)</f>
        <v>2032.4620361328125</v>
      </c>
      <c r="Q735" s="26">
        <f t="shared" si="1180"/>
        <v>124.97121941180268</v>
      </c>
      <c r="R735" s="26">
        <f>MIN(IF(MONTH($C735)=4,$S$3,IF(MONTH($C735)=5,$S$4,IF(MONTH($C735)=6,$S$5,IF(MONTH($C735)=7,$S$6,"ERROR")))),MAX(VLOOKUP($C735,COS!$B$8:$K$991,10,FALSE)-IF(MONTH($C735)=4,$Y$3,IF(MONTH($C735)=5,$Y$4,IF(MONTH($C735)=6,$Y$5,IF(MONTH($C735)=7,$Y$6,"ERROR")))),0),MAX(VLOOKUP($C735,COS!$B$8:$K$991,9,FALSE)-IF(MONTH($C735)=4,$V$3,IF(MONTH($C735)=5,$V$4,IF(MONTH($C735)=6,$V$5,IF(MONTH($C735)=7,$V$6,"ERROR"))))-VLOOKUP($C735,COS!$B$8:$K$991,6,FALSE)/2,0))</f>
        <v>0</v>
      </c>
      <c r="S735" s="26">
        <f t="shared" si="1181"/>
        <v>0</v>
      </c>
      <c r="T735" s="26">
        <f t="shared" si="1182"/>
        <v>78.226711990734756</v>
      </c>
      <c r="U735" s="26" t="str">
        <f>IF(VLOOKUP($C735,COS!$B$8:$I$991,8,FALSE)=1,"UWFE","IBU")</f>
        <v>UWFE</v>
      </c>
      <c r="V735" s="26">
        <f t="shared" ref="V735" si="1184">MIN(IF(IF($AA$3=2,AND(E735=1,G735=1,L735=1,L739=1,M735=1,U735="IBU"),AND(E735=1,G735=1,L735=1,L739=1,M735=1)),T735,0),I735)</f>
        <v>0</v>
      </c>
      <c r="W735" s="26"/>
      <c r="X735" s="26"/>
      <c r="Y735" s="26"/>
      <c r="Z735" s="26"/>
      <c r="AA735" s="26"/>
      <c r="AB735" s="33"/>
    </row>
    <row r="736" spans="1:28" x14ac:dyDescent="0.3">
      <c r="A736" s="32">
        <f>VLOOKUP(YEAR(C736),Flags!$A$13:$B$95,2,FALSE)</f>
        <v>4</v>
      </c>
      <c r="B736" s="24">
        <f t="shared" si="1157"/>
        <v>2002</v>
      </c>
      <c r="C736" s="25">
        <v>37437</v>
      </c>
      <c r="D736" s="26">
        <f>VLOOKUP($C736,COS!$B$8:$H$991,3,FALSE)</f>
        <v>11090.05078125</v>
      </c>
      <c r="E736" s="24">
        <f>IF(D736&gt;=IF(MONTH($C736)=4,$C$3,IF(MONTH($C736)=5,$C$4,IF(MONTH($C736)=6,$C$5,IF(MONTH($C736)=7,$C$6,"ERROR")))),1,0)</f>
        <v>1</v>
      </c>
      <c r="F736" s="26">
        <f>VLOOKUP($C736,COS!$B$8:$H$991,7,FALSE)</f>
        <v>51.078281402587891</v>
      </c>
      <c r="G736" s="24">
        <f>IF(F736&lt;=IF(MONTH($C736)=4,$F$3,IF(MONTH($C736)=5,$F$4,IF(MONTH($C736)=6,$F$5,IF(MONTH($C736)=7,$F$6,"ERROR")))),1,0)</f>
        <v>1</v>
      </c>
      <c r="H736" s="26">
        <f>IF(J736=1,D736-$C$5,0)</f>
        <v>1090.05078125</v>
      </c>
      <c r="I736" s="26">
        <f t="shared" si="1083"/>
        <v>64.862525826446287</v>
      </c>
      <c r="J736" s="24">
        <f t="shared" si="1176"/>
        <v>1</v>
      </c>
      <c r="K736" s="26">
        <f>VLOOKUP($C736,COS!$B$8:$H$991,2,FALSE)</f>
        <v>3872.047119140625</v>
      </c>
      <c r="L736" s="24">
        <f t="shared" si="1148"/>
        <v>1</v>
      </c>
      <c r="M736" s="24">
        <f t="shared" si="1149"/>
        <v>1</v>
      </c>
      <c r="N736" s="26">
        <f>VLOOKUP($C736,COS!$B$8:$H$991,5,FALSE)</f>
        <v>765.88287353515625</v>
      </c>
      <c r="O736" s="26">
        <f t="shared" si="1179"/>
        <v>45.573195780604337</v>
      </c>
      <c r="P736" s="26">
        <f>VLOOKUP($C736,COS!$B$8:$H$991,6,FALSE)</f>
        <v>2710.3994140625</v>
      </c>
      <c r="Q736" s="26">
        <f t="shared" si="1180"/>
        <v>161.27996513429753</v>
      </c>
      <c r="R736" s="26">
        <f>MIN(IF(MONTH($C736)=4,$S$3,IF(MONTH($C736)=5,$S$4,IF(MONTH($C736)=6,$S$5,IF(MONTH($C736)=7,$S$6,"ERROR")))),MAX(VLOOKUP($C736,COS!$B$8:$K$991,10,FALSE)-IF(MONTH($C736)=4,$Y$3,IF(MONTH($C736)=5,$Y$4,IF(MONTH($C736)=6,$Y$5,IF(MONTH($C736)=7,$Y$6,"ERROR")))),0),MAX(VLOOKUP($C736,COS!$B$8:$K$991,9,FALSE)-IF(MONTH($C736)=4,$V$3,IF(MONTH($C736)=5,$V$4,IF(MONTH($C736)=6,$V$5,IF(MONTH($C736)=7,$V$6,"ERROR"))))-VLOOKUP($C736,COS!$B$8:$K$991,6,FALSE)/2,0))</f>
        <v>0</v>
      </c>
      <c r="S736" s="26">
        <f t="shared" si="1181"/>
        <v>0</v>
      </c>
      <c r="T736" s="26">
        <f t="shared" si="1182"/>
        <v>103.42658045745094</v>
      </c>
      <c r="U736" s="26" t="str">
        <f>IF(VLOOKUP($C736,COS!$B$8:$I$991,8,FALSE)=1,"UWFE","IBU")</f>
        <v>IBU</v>
      </c>
      <c r="V736" s="26">
        <f t="shared" ref="V736" si="1185">MIN(IF(IF($AA$3=2,AND(E736=1,G736=1,L736=1,L739=1,M736=1,U736="IBU"),AND(E736=1,G736=1,L736=1,L739=1,M736=1)),T736,0),I736)</f>
        <v>64.862525826446287</v>
      </c>
      <c r="W736" s="26"/>
      <c r="X736" s="26"/>
      <c r="Y736" s="26"/>
      <c r="Z736" s="26"/>
      <c r="AA736" s="26"/>
      <c r="AB736" s="33"/>
    </row>
    <row r="737" spans="1:28" x14ac:dyDescent="0.3">
      <c r="A737" s="32">
        <f>VLOOKUP(YEAR(C737),Flags!$A$13:$B$95,2,FALSE)</f>
        <v>4</v>
      </c>
      <c r="B737" s="24">
        <f t="shared" si="1157"/>
        <v>2002</v>
      </c>
      <c r="C737" s="25">
        <v>37468</v>
      </c>
      <c r="D737" s="26">
        <f>VLOOKUP($C737,COS!$B$8:$H$991,3,FALSE)</f>
        <v>14797.642578125</v>
      </c>
      <c r="E737" s="24">
        <f>IF(D737&gt;=IF(MONTH($C737)=4,$C$3,IF(MONTH($C737)=5,$C$4,IF(MONTH($C737)=6,$C$5,IF(MONTH($C737)=7,$C$6,"ERROR")))),1,0)</f>
        <v>1</v>
      </c>
      <c r="F737" s="26">
        <f>VLOOKUP($C737,COS!$B$8:$H$991,7,FALSE)</f>
        <v>51.499664306640625</v>
      </c>
      <c r="G737" s="24">
        <f>IF(F737&lt;=IF(MONTH($C737)=4,$F$3,IF(MONTH($C737)=5,$F$4,IF(MONTH($C737)=6,$F$5,IF(MONTH($C737)=7,$F$6,"ERROR")))),1,0)</f>
        <v>1</v>
      </c>
      <c r="H737" s="26">
        <f>IF(J737=1,D737-$C$6,0)</f>
        <v>2797.642578125</v>
      </c>
      <c r="I737" s="26">
        <f t="shared" ref="I737" si="1186">H737*DAY($C737)*86400/43560/1000</f>
        <v>172.02033703512396</v>
      </c>
      <c r="J737" s="24">
        <f t="shared" si="1176"/>
        <v>1</v>
      </c>
      <c r="K737" s="26">
        <f>VLOOKUP($C737,COS!$B$8:$H$991,2,FALSE)</f>
        <v>3213.63134765625</v>
      </c>
      <c r="L737" s="24">
        <f t="shared" si="1148"/>
        <v>1</v>
      </c>
      <c r="M737" s="24">
        <f t="shared" si="1149"/>
        <v>1</v>
      </c>
      <c r="N737" s="26">
        <f>VLOOKUP($C737,COS!$B$8:$H$991,5,FALSE)</f>
        <v>838.20123291015625</v>
      </c>
      <c r="O737" s="26">
        <f t="shared" si="1179"/>
        <v>51.53898489959969</v>
      </c>
      <c r="P737" s="26">
        <f>VLOOKUP($C737,COS!$B$8:$H$991,6,FALSE)</f>
        <v>2538.07568359375</v>
      </c>
      <c r="Q737" s="26">
        <f t="shared" si="1180"/>
        <v>156.06019079287191</v>
      </c>
      <c r="R737" s="26">
        <f>MIN(IF(MONTH($C737)=4,$S$3,IF(MONTH($C737)=5,$S$4,IF(MONTH($C737)=6,$S$5,IF(MONTH($C737)=7,$S$6,"ERROR")))),MAX(VLOOKUP($C737,COS!$B$8:$K$991,10,FALSE)-IF(MONTH($C737)=4,$Y$3,IF(MONTH($C737)=5,$Y$4,IF(MONTH($C737)=6,$Y$5,IF(MONTH($C737)=7,$Y$6,"ERROR")))),0),MAX(VLOOKUP($C737,COS!$B$8:$K$991,9,FALSE)-IF(MONTH($C737)=4,$V$3,IF(MONTH($C737)=5,$V$4,IF(MONTH($C737)=6,$V$5,IF(MONTH($C737)=7,$V$6,"ERROR"))))-VLOOKUP($C737,COS!$B$8:$K$991,6,FALSE)/2,0))</f>
        <v>0</v>
      </c>
      <c r="S737" s="26">
        <f t="shared" si="1181"/>
        <v>0</v>
      </c>
      <c r="T737" s="26">
        <f t="shared" si="1182"/>
        <v>103.7995878462358</v>
      </c>
      <c r="U737" s="26" t="str">
        <f>IF(VLOOKUP($C737,COS!$B$8:$I$991,8,FALSE)=1,"UWFE","IBU")</f>
        <v>IBU</v>
      </c>
      <c r="V737" s="26">
        <f t="shared" ref="V737" si="1187">MIN(IF(IF($AA$3=2,AND(E737=1,G737=1,L737=1,L739=1,M737=1,U737="IBU"),AND(E737=1,G737=1,L737=1,L739=1,M737=1)),T737,0),I737)</f>
        <v>103.7995878462358</v>
      </c>
      <c r="W737" s="26"/>
      <c r="X737" s="26"/>
      <c r="Y737" s="26"/>
      <c r="Z737" s="26"/>
      <c r="AA737" s="26"/>
      <c r="AB737" s="33"/>
    </row>
    <row r="738" spans="1:28" x14ac:dyDescent="0.3">
      <c r="A738" s="32">
        <f>VLOOKUP(YEAR(C738),Flags!$A$13:$B$95,2,FALSE)</f>
        <v>4</v>
      </c>
      <c r="B738" s="24">
        <f t="shared" si="1157"/>
        <v>2002</v>
      </c>
      <c r="C738" s="25">
        <v>37499</v>
      </c>
      <c r="D738" s="26"/>
      <c r="E738" s="24"/>
      <c r="F738" s="26"/>
      <c r="G738" s="24"/>
      <c r="H738" s="24"/>
      <c r="I738" s="26"/>
      <c r="J738" s="24"/>
      <c r="K738" s="26"/>
      <c r="L738" s="24"/>
      <c r="M738" s="24"/>
      <c r="N738" s="26"/>
      <c r="O738" s="26"/>
      <c r="P738" s="26"/>
      <c r="Q738" s="26"/>
      <c r="R738" s="26"/>
      <c r="S738" s="26"/>
      <c r="T738" s="26"/>
      <c r="U738" s="26"/>
      <c r="V738" s="26"/>
      <c r="W738" s="26">
        <f>MAX($C$7-VLOOKUP($C738,COS!$B$8:$H$991,3,FALSE),0)</f>
        <v>92011.7978515625</v>
      </c>
      <c r="X738" s="26">
        <f t="shared" si="1086"/>
        <v>5657.5849257489663</v>
      </c>
      <c r="Y738" s="26">
        <f>VLOOKUP($C738,COS!$B$8:$H$991,4,FALSE)</f>
        <v>1265.3411865234375</v>
      </c>
      <c r="Z738" s="26">
        <f t="shared" si="1087"/>
        <v>77.80279692342458</v>
      </c>
      <c r="AA738" s="26">
        <f t="shared" ref="AA738:AA742" si="1188">MIN(W738,Y738)</f>
        <v>1265.3411865234375</v>
      </c>
      <c r="AB738" s="33">
        <f t="shared" ref="AB738" si="1189">AA738*DAY($C738)*86400/43560/1000*IF(MONTH($C738)=8,$P$3,IF(MONTH($C738)=9,$P$4,IF(MONTH($C738)=10,$P$5,IF(MONTH($C738)=11,$P$6,IF(MONTH($C738)=12,$P$7,NA())))))</f>
        <v>77.80279692342458</v>
      </c>
    </row>
    <row r="739" spans="1:28" x14ac:dyDescent="0.3">
      <c r="A739" s="32">
        <f>VLOOKUP(YEAR(C739),Flags!$A$13:$B$95,2,FALSE)</f>
        <v>4</v>
      </c>
      <c r="B739" s="24">
        <f t="shared" si="1157"/>
        <v>2002</v>
      </c>
      <c r="C739" s="25">
        <v>37529</v>
      </c>
      <c r="D739" s="26"/>
      <c r="E739" s="24"/>
      <c r="F739" s="26"/>
      <c r="G739" s="24"/>
      <c r="H739" s="24"/>
      <c r="I739" s="26"/>
      <c r="J739" s="24"/>
      <c r="K739" s="26">
        <f>VLOOKUP($C739,COS!$B$8:$H$991,2,FALSE)</f>
        <v>2964.52880859375</v>
      </c>
      <c r="L739" s="24">
        <f t="shared" ref="L739" si="1190">IF(AND(K739&gt;$I$7,K739&lt;$I$8),1,0)</f>
        <v>1</v>
      </c>
      <c r="M739" s="24"/>
      <c r="N739" s="26"/>
      <c r="O739" s="26"/>
      <c r="P739" s="26"/>
      <c r="Q739" s="26"/>
      <c r="R739" s="26"/>
      <c r="S739" s="26"/>
      <c r="T739" s="26"/>
      <c r="U739" s="26"/>
      <c r="V739" s="26"/>
      <c r="W739" s="26">
        <f>MAX($C$8-VLOOKUP($C739,COS!$B$8:$H$991,3,FALSE),0)</f>
        <v>95016.09326171875</v>
      </c>
      <c r="X739" s="26">
        <f t="shared" ref="X739:X742" si="1191">W739*DAY($C739)*86400/43560/1000</f>
        <v>5653.8501775568184</v>
      </c>
      <c r="Y739" s="26">
        <f>VLOOKUP($C739,COS!$B$8:$H$991,4,FALSE)</f>
        <v>1150.0072021484375</v>
      </c>
      <c r="Z739" s="26">
        <f t="shared" ref="Z739:Z742" si="1192">Y739*DAY($C739)*86400/43560/1000</f>
        <v>68.430180623708665</v>
      </c>
      <c r="AA739" s="26">
        <f t="shared" si="1188"/>
        <v>1150.0072021484375</v>
      </c>
      <c r="AB739" s="33">
        <f t="shared" si="1160"/>
        <v>68.430180623708665</v>
      </c>
    </row>
    <row r="740" spans="1:28" x14ac:dyDescent="0.3">
      <c r="A740" s="32">
        <f>VLOOKUP(YEAR(C740),Flags!$A$13:$B$95,2,FALSE)</f>
        <v>4</v>
      </c>
      <c r="B740" s="24">
        <f t="shared" si="1157"/>
        <v>2002</v>
      </c>
      <c r="C740" s="25">
        <v>37560</v>
      </c>
      <c r="D740" s="26"/>
      <c r="E740" s="24"/>
      <c r="F740" s="26"/>
      <c r="G740" s="26"/>
      <c r="H740" s="26"/>
      <c r="I740" s="26"/>
      <c r="J740" s="26"/>
      <c r="K740" s="26"/>
      <c r="L740" s="24"/>
      <c r="M740" s="24"/>
      <c r="N740" s="26"/>
      <c r="O740" s="26"/>
      <c r="P740" s="26"/>
      <c r="Q740" s="26"/>
      <c r="R740" s="26"/>
      <c r="S740" s="26"/>
      <c r="T740" s="26"/>
      <c r="U740" s="26"/>
      <c r="V740" s="26"/>
      <c r="W740" s="26">
        <f>MAX($C$9-VLOOKUP($C740,COS!$B$8:$H$991,3,FALSE),0)</f>
        <v>92889.2216796875</v>
      </c>
      <c r="X740" s="26">
        <f t="shared" si="1191"/>
        <v>5711.53561402376</v>
      </c>
      <c r="Y740" s="26">
        <f>VLOOKUP($C740,COS!$B$8:$H$991,4,FALSE)</f>
        <v>1966.750244140625</v>
      </c>
      <c r="Z740" s="26">
        <f t="shared" si="1192"/>
        <v>120.93075881327479</v>
      </c>
      <c r="AA740" s="26">
        <f t="shared" si="1188"/>
        <v>1966.750244140625</v>
      </c>
      <c r="AB740" s="33">
        <f t="shared" si="1160"/>
        <v>120.93075881327479</v>
      </c>
    </row>
    <row r="741" spans="1:28" x14ac:dyDescent="0.3">
      <c r="A741" s="32">
        <f>VLOOKUP(YEAR(C741),Flags!$A$13:$B$95,2,FALSE)</f>
        <v>4</v>
      </c>
      <c r="B741" s="24">
        <f t="shared" si="1157"/>
        <v>2002</v>
      </c>
      <c r="C741" s="25">
        <v>37590</v>
      </c>
      <c r="D741" s="26"/>
      <c r="E741" s="24"/>
      <c r="F741" s="26"/>
      <c r="G741" s="26"/>
      <c r="H741" s="26"/>
      <c r="I741" s="26"/>
      <c r="J741" s="26"/>
      <c r="K741" s="26"/>
      <c r="L741" s="24"/>
      <c r="M741" s="24"/>
      <c r="N741" s="26"/>
      <c r="O741" s="26"/>
      <c r="P741" s="26"/>
      <c r="Q741" s="26"/>
      <c r="R741" s="26"/>
      <c r="S741" s="26"/>
      <c r="T741" s="26"/>
      <c r="U741" s="26"/>
      <c r="V741" s="26"/>
      <c r="W741" s="26">
        <f>MAX($C$10-VLOOKUP($C741,COS!$B$8:$H$991,3,FALSE),0)</f>
        <v>93899.3330078125</v>
      </c>
      <c r="X741" s="26">
        <f t="shared" si="1191"/>
        <v>5587.3983277376037</v>
      </c>
      <c r="Y741" s="26">
        <f>VLOOKUP($C741,COS!$B$8:$H$991,4,FALSE)</f>
        <v>797.55865478515625</v>
      </c>
      <c r="Z741" s="26">
        <f t="shared" si="1192"/>
        <v>47.458035656637392</v>
      </c>
      <c r="AA741" s="26">
        <f t="shared" si="1188"/>
        <v>797.55865478515625</v>
      </c>
      <c r="AB741" s="33">
        <f t="shared" si="1160"/>
        <v>23.729017828318696</v>
      </c>
    </row>
    <row r="742" spans="1:28" x14ac:dyDescent="0.3">
      <c r="A742" s="34">
        <f>VLOOKUP(YEAR(C742),Flags!$A$13:$B$95,2,FALSE)</f>
        <v>4</v>
      </c>
      <c r="B742" s="35">
        <f t="shared" si="1157"/>
        <v>2002</v>
      </c>
      <c r="C742" s="36">
        <v>37621</v>
      </c>
      <c r="D742" s="37"/>
      <c r="E742" s="35"/>
      <c r="F742" s="37"/>
      <c r="G742" s="37"/>
      <c r="H742" s="37"/>
      <c r="I742" s="37"/>
      <c r="J742" s="37"/>
      <c r="K742" s="37"/>
      <c r="L742" s="35"/>
      <c r="M742" s="35"/>
      <c r="N742" s="37"/>
      <c r="O742" s="37"/>
      <c r="P742" s="37"/>
      <c r="Q742" s="37"/>
      <c r="R742" s="37"/>
      <c r="S742" s="37"/>
      <c r="T742" s="37"/>
      <c r="U742" s="37"/>
      <c r="V742" s="37"/>
      <c r="W742" s="37">
        <f>MAX($C$11-VLOOKUP($C742,COS!$B$8:$H$991,3,FALSE),0)</f>
        <v>0</v>
      </c>
      <c r="X742" s="37">
        <f t="shared" si="1191"/>
        <v>0</v>
      </c>
      <c r="Y742" s="37">
        <f>VLOOKUP($C742,COS!$B$8:$H$991,4,FALSE)</f>
        <v>0</v>
      </c>
      <c r="Z742" s="37">
        <f t="shared" si="1192"/>
        <v>0</v>
      </c>
      <c r="AA742" s="37">
        <f t="shared" si="1188"/>
        <v>0</v>
      </c>
      <c r="AB742" s="38">
        <f t="shared" si="1160"/>
        <v>0</v>
      </c>
    </row>
  </sheetData>
  <mergeCells count="20">
    <mergeCell ref="P12:Q12"/>
    <mergeCell ref="R12:S12"/>
    <mergeCell ref="A2:A11"/>
    <mergeCell ref="B2:C2"/>
    <mergeCell ref="E2:F2"/>
    <mergeCell ref="H2:I2"/>
    <mergeCell ref="K2:M2"/>
    <mergeCell ref="O2:P2"/>
    <mergeCell ref="D12:E12"/>
    <mergeCell ref="F12:G12"/>
    <mergeCell ref="H12:J12"/>
    <mergeCell ref="K12:L12"/>
    <mergeCell ref="N12:O12"/>
    <mergeCell ref="W12:X12"/>
    <mergeCell ref="Y12:Z12"/>
    <mergeCell ref="AA12:AB12"/>
    <mergeCell ref="AN14:AO14"/>
    <mergeCell ref="R2:S2"/>
    <mergeCell ref="U2:V2"/>
    <mergeCell ref="X2:Y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Option Button 1">
              <controlPr defaultSize="0" autoFill="0" autoLine="0" autoPict="0">
                <anchor moveWithCells="1">
                  <from>
                    <xdr:col>25</xdr:col>
                    <xdr:colOff>792480</xdr:colOff>
                    <xdr:row>1</xdr:row>
                    <xdr:rowOff>175260</xdr:rowOff>
                  </from>
                  <to>
                    <xdr:col>26</xdr:col>
                    <xdr:colOff>868680</xdr:colOff>
                    <xdr:row>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5" name="Option Button 2">
              <controlPr defaultSize="0" autoFill="0" autoLine="0" autoPict="0">
                <anchor moveWithCells="1">
                  <from>
                    <xdr:col>25</xdr:col>
                    <xdr:colOff>800100</xdr:colOff>
                    <xdr:row>2</xdr:row>
                    <xdr:rowOff>175260</xdr:rowOff>
                  </from>
                  <to>
                    <xdr:col>26</xdr:col>
                    <xdr:colOff>876300</xdr:colOff>
                    <xdr:row>4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962F5-ED0F-4CBA-9DAD-30D23F91A4C9}">
  <dimension ref="A1:AP742"/>
  <sheetViews>
    <sheetView topLeftCell="M1" workbookViewId="0">
      <selection activeCell="N17" sqref="N17"/>
    </sheetView>
  </sheetViews>
  <sheetFormatPr defaultRowHeight="14.4" x14ac:dyDescent="0.3"/>
  <cols>
    <col min="1" max="1" width="9.109375" bestFit="1" customWidth="1"/>
    <col min="3" max="3" width="10.5546875" bestFit="1" customWidth="1"/>
    <col min="4" max="4" width="11.77734375" style="6" bestFit="1" customWidth="1"/>
    <col min="5" max="5" width="8" customWidth="1"/>
    <col min="6" max="6" width="8.5546875" bestFit="1" customWidth="1"/>
    <col min="7" max="8" width="8.5546875" customWidth="1"/>
    <col min="9" max="9" width="8.5546875" style="6" customWidth="1"/>
    <col min="10" max="10" width="10.33203125" customWidth="1"/>
    <col min="11" max="11" width="8.5546875" bestFit="1" customWidth="1"/>
    <col min="12" max="13" width="8.5546875" customWidth="1"/>
    <col min="14" max="14" width="11" customWidth="1"/>
    <col min="15" max="15" width="12.6640625" customWidth="1"/>
    <col min="16" max="16" width="10.33203125" customWidth="1"/>
    <col min="17" max="17" width="13.109375" bestFit="1" customWidth="1"/>
    <col min="18" max="21" width="13.109375" customWidth="1"/>
    <col min="22" max="26" width="12.109375" customWidth="1"/>
    <col min="27" max="28" width="13.109375" customWidth="1"/>
    <col min="33" max="33" width="11.44140625" bestFit="1" customWidth="1"/>
    <col min="34" max="34" width="12.109375" bestFit="1" customWidth="1"/>
    <col min="35" max="36" width="12.109375" customWidth="1"/>
    <col min="41" max="41" width="12.109375" bestFit="1" customWidth="1"/>
  </cols>
  <sheetData>
    <row r="1" spans="1:41" x14ac:dyDescent="0.3">
      <c r="D1"/>
      <c r="F1" s="6"/>
      <c r="I1"/>
    </row>
    <row r="2" spans="1:41" ht="14.4" customHeight="1" x14ac:dyDescent="0.3">
      <c r="A2" s="124" t="s">
        <v>45</v>
      </c>
      <c r="B2" s="126" t="s">
        <v>58</v>
      </c>
      <c r="C2" s="127"/>
      <c r="D2"/>
      <c r="E2" s="126" t="s">
        <v>49</v>
      </c>
      <c r="F2" s="127"/>
      <c r="H2" s="126" t="s">
        <v>36</v>
      </c>
      <c r="I2" s="127"/>
      <c r="K2" s="126" t="s">
        <v>88</v>
      </c>
      <c r="L2" s="128"/>
      <c r="M2" s="127"/>
      <c r="N2" s="51"/>
      <c r="O2" s="126" t="s">
        <v>89</v>
      </c>
      <c r="P2" s="127"/>
      <c r="R2" s="122" t="s">
        <v>121</v>
      </c>
      <c r="S2" s="122"/>
      <c r="U2" s="122" t="s">
        <v>129</v>
      </c>
      <c r="V2" s="122"/>
      <c r="X2" s="122" t="s">
        <v>130</v>
      </c>
      <c r="Y2" s="122"/>
      <c r="AA2" s="20" t="s">
        <v>132</v>
      </c>
    </row>
    <row r="3" spans="1:41" x14ac:dyDescent="0.3">
      <c r="A3" s="124"/>
      <c r="B3" s="21" t="s">
        <v>46</v>
      </c>
      <c r="C3" s="22">
        <v>6000</v>
      </c>
      <c r="D3" t="s">
        <v>71</v>
      </c>
      <c r="E3" s="48" t="s">
        <v>46</v>
      </c>
      <c r="F3" s="20">
        <v>99999</v>
      </c>
      <c r="G3" t="s">
        <v>67</v>
      </c>
      <c r="H3" s="21" t="s">
        <v>46</v>
      </c>
      <c r="I3" s="20">
        <v>99999</v>
      </c>
      <c r="J3" t="s">
        <v>67</v>
      </c>
      <c r="K3" s="20" t="s">
        <v>30</v>
      </c>
      <c r="L3" s="20">
        <v>1</v>
      </c>
      <c r="M3" s="20">
        <v>0</v>
      </c>
      <c r="N3" s="52"/>
      <c r="O3" s="48" t="s">
        <v>62</v>
      </c>
      <c r="P3" s="20">
        <v>1</v>
      </c>
      <c r="R3" s="21" t="s">
        <v>46</v>
      </c>
      <c r="S3" s="20">
        <v>750</v>
      </c>
      <c r="U3" s="21" t="s">
        <v>46</v>
      </c>
      <c r="V3" s="20">
        <v>3250</v>
      </c>
      <c r="X3" s="21" t="s">
        <v>46</v>
      </c>
      <c r="Y3" s="20">
        <v>4000</v>
      </c>
      <c r="AA3" s="90">
        <v>2</v>
      </c>
    </row>
    <row r="4" spans="1:41" ht="14.4" customHeight="1" x14ac:dyDescent="0.3">
      <c r="A4" s="124"/>
      <c r="B4" s="20" t="s">
        <v>37</v>
      </c>
      <c r="C4" s="20">
        <v>6000</v>
      </c>
      <c r="D4" t="s">
        <v>71</v>
      </c>
      <c r="E4" s="49" t="s">
        <v>37</v>
      </c>
      <c r="F4" s="20">
        <v>56</v>
      </c>
      <c r="G4" t="s">
        <v>70</v>
      </c>
      <c r="H4" s="20" t="s">
        <v>37</v>
      </c>
      <c r="I4" s="20">
        <v>99999</v>
      </c>
      <c r="J4" t="s">
        <v>67</v>
      </c>
      <c r="K4" s="20" t="s">
        <v>42</v>
      </c>
      <c r="L4" s="20">
        <v>2</v>
      </c>
      <c r="M4" s="20">
        <v>0</v>
      </c>
      <c r="N4" s="52"/>
      <c r="O4" s="48" t="s">
        <v>63</v>
      </c>
      <c r="P4" s="20">
        <v>1</v>
      </c>
      <c r="R4" s="20" t="s">
        <v>37</v>
      </c>
      <c r="S4" s="20">
        <v>750</v>
      </c>
      <c r="U4" s="20" t="s">
        <v>37</v>
      </c>
      <c r="V4" s="20">
        <v>3250</v>
      </c>
      <c r="X4" s="20" t="s">
        <v>37</v>
      </c>
      <c r="Y4" s="20">
        <v>4000</v>
      </c>
      <c r="AA4" s="20"/>
    </row>
    <row r="5" spans="1:41" x14ac:dyDescent="0.3">
      <c r="A5" s="124"/>
      <c r="B5" s="20" t="s">
        <v>38</v>
      </c>
      <c r="C5" s="20">
        <v>10000</v>
      </c>
      <c r="D5" t="s">
        <v>71</v>
      </c>
      <c r="E5" s="49" t="s">
        <v>38</v>
      </c>
      <c r="F5" s="20">
        <v>56</v>
      </c>
      <c r="G5" t="s">
        <v>70</v>
      </c>
      <c r="H5" s="20" t="s">
        <v>38</v>
      </c>
      <c r="I5" s="20">
        <v>99999</v>
      </c>
      <c r="J5" t="s">
        <v>67</v>
      </c>
      <c r="K5" s="20" t="s">
        <v>32</v>
      </c>
      <c r="L5" s="20">
        <v>3</v>
      </c>
      <c r="M5" s="20">
        <v>0</v>
      </c>
      <c r="N5" s="52"/>
      <c r="O5" s="48" t="s">
        <v>64</v>
      </c>
      <c r="P5" s="20">
        <v>1</v>
      </c>
      <c r="R5" s="20" t="s">
        <v>38</v>
      </c>
      <c r="S5" s="20">
        <v>750</v>
      </c>
      <c r="U5" s="20" t="s">
        <v>38</v>
      </c>
      <c r="V5" s="20">
        <v>3250</v>
      </c>
      <c r="X5" s="20" t="s">
        <v>38</v>
      </c>
      <c r="Y5" s="20">
        <v>4000</v>
      </c>
    </row>
    <row r="6" spans="1:41" x14ac:dyDescent="0.3">
      <c r="A6" s="124"/>
      <c r="B6" s="20" t="s">
        <v>39</v>
      </c>
      <c r="C6" s="20">
        <v>12000</v>
      </c>
      <c r="D6" t="s">
        <v>71</v>
      </c>
      <c r="E6" s="49" t="s">
        <v>39</v>
      </c>
      <c r="F6" s="20">
        <v>53.5</v>
      </c>
      <c r="G6" t="s">
        <v>69</v>
      </c>
      <c r="H6" s="20" t="s">
        <v>39</v>
      </c>
      <c r="I6" s="20">
        <v>99999</v>
      </c>
      <c r="J6" t="s">
        <v>67</v>
      </c>
      <c r="K6" s="20" t="s">
        <v>33</v>
      </c>
      <c r="L6" s="20">
        <v>4</v>
      </c>
      <c r="M6" s="20">
        <v>1</v>
      </c>
      <c r="N6" s="52"/>
      <c r="O6" s="48" t="s">
        <v>65</v>
      </c>
      <c r="P6" s="20">
        <v>0.5</v>
      </c>
      <c r="R6" s="20" t="s">
        <v>39</v>
      </c>
      <c r="S6" s="20">
        <v>750</v>
      </c>
      <c r="U6" s="20" t="s">
        <v>39</v>
      </c>
      <c r="V6" s="20">
        <v>3250</v>
      </c>
      <c r="X6" s="20" t="s">
        <v>39</v>
      </c>
      <c r="Y6" s="20">
        <v>4000</v>
      </c>
    </row>
    <row r="7" spans="1:41" x14ac:dyDescent="0.3">
      <c r="A7" s="124"/>
      <c r="B7" s="47" t="s">
        <v>62</v>
      </c>
      <c r="C7" s="47">
        <v>99999</v>
      </c>
      <c r="D7" t="s">
        <v>86</v>
      </c>
      <c r="E7" s="6"/>
      <c r="H7" s="20" t="s">
        <v>136</v>
      </c>
      <c r="I7" s="20">
        <v>0</v>
      </c>
      <c r="J7" t="s">
        <v>67</v>
      </c>
      <c r="K7" s="20" t="s">
        <v>10</v>
      </c>
      <c r="L7" s="20">
        <v>5</v>
      </c>
      <c r="M7" s="20">
        <v>1</v>
      </c>
      <c r="N7" s="52"/>
      <c r="O7" s="48" t="s">
        <v>66</v>
      </c>
      <c r="P7" s="20">
        <v>0</v>
      </c>
    </row>
    <row r="8" spans="1:41" x14ac:dyDescent="0.3">
      <c r="A8" s="124"/>
      <c r="B8" s="47" t="s">
        <v>63</v>
      </c>
      <c r="C8" s="47">
        <v>99999</v>
      </c>
      <c r="D8" t="s">
        <v>86</v>
      </c>
      <c r="E8" s="6"/>
      <c r="H8" s="20" t="s">
        <v>137</v>
      </c>
      <c r="I8" s="20">
        <v>99999</v>
      </c>
    </row>
    <row r="9" spans="1:41" x14ac:dyDescent="0.3">
      <c r="A9" s="124"/>
      <c r="B9" s="47" t="s">
        <v>64</v>
      </c>
      <c r="C9" s="47">
        <v>99999</v>
      </c>
      <c r="D9" t="s">
        <v>86</v>
      </c>
      <c r="E9" s="6"/>
      <c r="H9" s="46"/>
      <c r="I9" s="46"/>
    </row>
    <row r="10" spans="1:41" x14ac:dyDescent="0.3">
      <c r="A10" s="124"/>
      <c r="B10" s="47" t="s">
        <v>65</v>
      </c>
      <c r="C10" s="47">
        <v>99999</v>
      </c>
      <c r="D10" t="s">
        <v>86</v>
      </c>
      <c r="E10" s="6"/>
      <c r="H10" s="46"/>
      <c r="I10" s="46"/>
    </row>
    <row r="11" spans="1:41" x14ac:dyDescent="0.3">
      <c r="A11" s="125"/>
      <c r="B11" s="47" t="s">
        <v>66</v>
      </c>
      <c r="C11" s="47">
        <v>0</v>
      </c>
      <c r="D11" t="s">
        <v>87</v>
      </c>
      <c r="E11" s="6"/>
      <c r="I11"/>
      <c r="AF11" t="s">
        <v>83</v>
      </c>
      <c r="AG11" t="s">
        <v>83</v>
      </c>
      <c r="AH11" t="s">
        <v>83</v>
      </c>
      <c r="AI11" t="s">
        <v>84</v>
      </c>
      <c r="AJ11" t="s">
        <v>84</v>
      </c>
      <c r="AK11" t="s">
        <v>84</v>
      </c>
      <c r="AL11" t="s">
        <v>85</v>
      </c>
    </row>
    <row r="12" spans="1:41" s="23" customFormat="1" ht="28.8" x14ac:dyDescent="0.3">
      <c r="A12" s="80"/>
      <c r="B12" s="81"/>
      <c r="C12" s="81"/>
      <c r="D12" s="129" t="s">
        <v>34</v>
      </c>
      <c r="E12" s="129"/>
      <c r="F12" s="123" t="s">
        <v>49</v>
      </c>
      <c r="G12" s="123"/>
      <c r="H12" s="123" t="s">
        <v>76</v>
      </c>
      <c r="I12" s="123"/>
      <c r="J12" s="123"/>
      <c r="K12" s="123" t="s">
        <v>36</v>
      </c>
      <c r="L12" s="123"/>
      <c r="M12" s="83" t="s">
        <v>88</v>
      </c>
      <c r="N12" s="130" t="s">
        <v>47</v>
      </c>
      <c r="O12" s="130"/>
      <c r="P12" s="123" t="s">
        <v>48</v>
      </c>
      <c r="Q12" s="123"/>
      <c r="R12" s="123" t="s">
        <v>131</v>
      </c>
      <c r="S12" s="123"/>
      <c r="T12" s="83" t="s">
        <v>122</v>
      </c>
      <c r="U12" s="83" t="s">
        <v>126</v>
      </c>
      <c r="V12" s="83" t="s">
        <v>61</v>
      </c>
      <c r="W12" s="116" t="s">
        <v>74</v>
      </c>
      <c r="X12" s="117"/>
      <c r="Y12" s="118" t="s">
        <v>35</v>
      </c>
      <c r="Z12" s="119"/>
      <c r="AA12" s="120" t="s">
        <v>75</v>
      </c>
      <c r="AB12" s="118"/>
      <c r="AC12" s="19"/>
      <c r="AF12" s="23">
        <v>1</v>
      </c>
      <c r="AG12" s="23">
        <v>2</v>
      </c>
      <c r="AH12" s="23" t="s">
        <v>80</v>
      </c>
      <c r="AI12" s="23">
        <v>3</v>
      </c>
      <c r="AJ12" s="23">
        <v>4</v>
      </c>
      <c r="AK12" s="23" t="s">
        <v>81</v>
      </c>
      <c r="AL12" s="50" t="s">
        <v>82</v>
      </c>
    </row>
    <row r="13" spans="1:41" s="84" customFormat="1" ht="28.8" x14ac:dyDescent="0.3">
      <c r="A13" s="39" t="s">
        <v>44</v>
      </c>
      <c r="B13" s="40"/>
      <c r="C13" s="40"/>
      <c r="D13" s="41" t="s">
        <v>18</v>
      </c>
      <c r="E13" s="40" t="s">
        <v>59</v>
      </c>
      <c r="F13" s="40" t="s">
        <v>15</v>
      </c>
      <c r="G13" s="40" t="s">
        <v>59</v>
      </c>
      <c r="H13" s="40" t="s">
        <v>18</v>
      </c>
      <c r="I13" s="41" t="s">
        <v>2</v>
      </c>
      <c r="J13" s="41" t="s">
        <v>59</v>
      </c>
      <c r="K13" s="40" t="s">
        <v>2</v>
      </c>
      <c r="L13" s="40" t="s">
        <v>59</v>
      </c>
      <c r="M13" s="40" t="s">
        <v>59</v>
      </c>
      <c r="N13" s="40" t="s">
        <v>18</v>
      </c>
      <c r="O13" s="40" t="s">
        <v>2</v>
      </c>
      <c r="P13" s="40" t="s">
        <v>18</v>
      </c>
      <c r="Q13" s="40" t="s">
        <v>2</v>
      </c>
      <c r="R13" s="40" t="s">
        <v>18</v>
      </c>
      <c r="S13" s="40" t="s">
        <v>2</v>
      </c>
      <c r="T13" s="40" t="s">
        <v>2</v>
      </c>
      <c r="U13" s="40"/>
      <c r="V13" s="40" t="s">
        <v>2</v>
      </c>
      <c r="W13" s="40" t="s">
        <v>18</v>
      </c>
      <c r="X13" s="40" t="s">
        <v>2</v>
      </c>
      <c r="Y13" s="40" t="s">
        <v>18</v>
      </c>
      <c r="Z13" s="40" t="s">
        <v>2</v>
      </c>
      <c r="AA13" s="40" t="s">
        <v>18</v>
      </c>
      <c r="AB13" s="42" t="s">
        <v>2</v>
      </c>
      <c r="AD13" s="82"/>
      <c r="AE13" s="82" t="s">
        <v>40</v>
      </c>
      <c r="AF13" s="82" t="s">
        <v>77</v>
      </c>
      <c r="AG13" s="82" t="s">
        <v>79</v>
      </c>
      <c r="AH13" s="82" t="s">
        <v>61</v>
      </c>
      <c r="AI13" s="82" t="s">
        <v>78</v>
      </c>
      <c r="AJ13" s="82" t="s">
        <v>35</v>
      </c>
      <c r="AK13" s="82" t="s">
        <v>75</v>
      </c>
      <c r="AL13" s="82" t="s">
        <v>60</v>
      </c>
    </row>
    <row r="14" spans="1:41" x14ac:dyDescent="0.3">
      <c r="A14" s="27">
        <f>VLOOKUP(YEAR(C14),Flags!$A$13:$B$95,2,FALSE)</f>
        <v>1</v>
      </c>
      <c r="B14" s="28">
        <f>YEAR(C14)</f>
        <v>1922</v>
      </c>
      <c r="C14" s="29">
        <v>8156</v>
      </c>
      <c r="D14" s="30">
        <f>VLOOKUP($C14,COS!$B$8:$H$991,3,FALSE)</f>
        <v>4490.92138671875</v>
      </c>
      <c r="E14" s="28">
        <f>IF(D14&gt;=IF(MONTH($C14)=4,$C$3,IF(MONTH($C14)=5,$C$4,IF(MONTH($C14)=6,$C$5,IF(MONTH($C14)=7,$C$6,"ERROR")))),1,0)</f>
        <v>0</v>
      </c>
      <c r="F14" s="30">
        <f>VLOOKUP($C14,COS!$B$8:$H$991,7,FALSE)</f>
        <v>53.804779052734375</v>
      </c>
      <c r="G14" s="28">
        <f>IF(F14&lt;=IF(MONTH($C14)=4,$F$3,IF(MONTH($C14)=5,$F$4,IF(MONTH($C14)=6,$F$5,IF(MONTH($C14)=7,$F$6,"ERROR")))),1,0)</f>
        <v>1</v>
      </c>
      <c r="H14" s="30">
        <f>IF(J14=1,D14-$C$3,0)</f>
        <v>0</v>
      </c>
      <c r="I14" s="30">
        <f t="shared" ref="I14:I17" si="0">H14*DAY($C14)*86400/43560/1000</f>
        <v>0</v>
      </c>
      <c r="J14" s="28">
        <f>IF(AND(E14=1,G14=1),1,0)</f>
        <v>0</v>
      </c>
      <c r="K14" s="30">
        <f>VLOOKUP($C14,COS!$B$8:$H$991,2,FALSE)</f>
        <v>4552</v>
      </c>
      <c r="L14" s="28">
        <f>IF(K14&lt;=IF(MONTH($C14)=4,$I$3,IF(MONTH($C14)=5,$I$4,IF(MONTH($C14)=6,$I$5,IF(MONTH($C14)=7,$I$6,"ERROR")))),1,0)</f>
        <v>1</v>
      </c>
      <c r="M14" s="28">
        <f>VLOOKUP($A14,$L$3:$M$7,2,FALSE)</f>
        <v>0</v>
      </c>
      <c r="N14" s="30">
        <f>VLOOKUP($C14,COS!$B$8:$H$991,5,FALSE)</f>
        <v>373.61062622070313</v>
      </c>
      <c r="O14" s="30">
        <f>N14*DAY($C14)*86400/43560/1000</f>
        <v>22.231376105694729</v>
      </c>
      <c r="P14" s="30">
        <f>VLOOKUP($C14,COS!$B$8:$H$991,6,FALSE)</f>
        <v>533.257080078125</v>
      </c>
      <c r="Q14" s="30">
        <f>P14*DAY($C14)*86400/43560/1000</f>
        <v>31.730999806301654</v>
      </c>
      <c r="R14" s="30">
        <f>MIN(IF(MONTH($C14)=4,$S$3,IF(MONTH($C14)=5,$S$4,IF(MONTH($C14)=6,$S$5,IF(MONTH($C14)=7,$S$6,"ERROR")))),MAX(VLOOKUP($C14,COS!$B$8:$K$991,10,FALSE)-IF(MONTH($C14)=4,$Y$3,IF(MONTH($C14)=5,$Y$4,IF(MONTH($C14)=6,$Y$5,IF(MONTH($C14)=7,$Y$6,"ERROR")))),0),MAX(VLOOKUP($C14,COS!$B$8:$K$991,9,FALSE)-IF(MONTH($C14)=4,$V$3,IF(MONTH($C14)=5,$V$4,IF(MONTH($C14)=6,$V$5,IF(MONTH($C14)=7,$V$6,"ERROR"))))-VLOOKUP($C14,COS!$B$8:$K$991,6,FALSE)/2,0))</f>
        <v>750</v>
      </c>
      <c r="S14" s="30">
        <f>R14*DAY($C14)*86400/43560/1000</f>
        <v>44.628099173553714</v>
      </c>
      <c r="T14" s="30">
        <f>(O14+Q14)/2+S14</f>
        <v>71.609287129551902</v>
      </c>
      <c r="U14" s="30" t="str">
        <f>IF(VLOOKUP($C14,COS!$B$8:$I$991,8,FALSE)=1,"UWFE","IBU")</f>
        <v>UWFE</v>
      </c>
      <c r="V14" s="30">
        <f>MIN(IF(IF($AA$3=2,AND(E14=1,G14=1,L14=1,L19=1,M14=1,U14="IBU"),AND(E14=1,G14=1,L14=1,L19=1,M14=1)),T14,0),I14)</f>
        <v>0</v>
      </c>
      <c r="W14" s="30"/>
      <c r="X14" s="30"/>
      <c r="Y14" s="30"/>
      <c r="Z14" s="30"/>
      <c r="AA14" s="30"/>
      <c r="AB14" s="31"/>
      <c r="AC14" s="6"/>
      <c r="AD14" s="43">
        <v>1922</v>
      </c>
      <c r="AE14" s="1">
        <f>VLOOKUP(AD14,Flags!$A$13:$B$95,2,FALSE)</f>
        <v>1</v>
      </c>
      <c r="AF14" s="43">
        <f>SUMIF($B$14:$B$742,$AD14,$I$14:$I$742)</f>
        <v>375.87902827995867</v>
      </c>
      <c r="AG14" s="43">
        <f>SUMIF($B$14:$B$742,$AD14,$T$14:$T$742)</f>
        <v>522.88219524793385</v>
      </c>
      <c r="AH14" s="43">
        <f>SUMIF($B$14:$B$742,$AD14,$V$14:$V$742)</f>
        <v>0</v>
      </c>
      <c r="AI14" s="43">
        <f>SUMIF($B$14:$B$742,$AD14,$X$14:$X$742)</f>
        <v>21762.281993801651</v>
      </c>
      <c r="AJ14" s="43">
        <f>SUMIF($B$14:$B$742,$AD14,$Z$14:$Z$742)</f>
        <v>131.72308775342202</v>
      </c>
      <c r="AK14" s="43">
        <f t="shared" ref="AK14:AK77" si="1">SUMIF($B$14:$B$742,$AD14,$AB$14:$AB$742)</f>
        <v>98.847432407347625</v>
      </c>
      <c r="AL14" s="43">
        <f>MIN(AH14,AK14)</f>
        <v>0</v>
      </c>
      <c r="AN14" s="121" t="s">
        <v>60</v>
      </c>
      <c r="AO14" s="121"/>
    </row>
    <row r="15" spans="1:41" x14ac:dyDescent="0.3">
      <c r="A15" s="32">
        <f>VLOOKUP(YEAR(C15),Flags!$A$13:$B$95,2,FALSE)</f>
        <v>1</v>
      </c>
      <c r="B15" s="24">
        <f t="shared" ref="B15:B78" si="2">YEAR(C15)</f>
        <v>1922</v>
      </c>
      <c r="C15" s="25">
        <v>8187</v>
      </c>
      <c r="D15" s="26">
        <f>VLOOKUP($C15,COS!$B$8:$H$991,3,FALSE)</f>
        <v>11232.6396484375</v>
      </c>
      <c r="E15" s="24">
        <f>IF(D15&gt;=IF(MONTH($C15)=4,$C$3,IF(MONTH($C15)=5,$C$4,IF(MONTH($C15)=6,$C$5,IF(MONTH($C15)=7,$C$6,"ERROR")))),1,0)</f>
        <v>1</v>
      </c>
      <c r="F15" s="26">
        <f>VLOOKUP($C15,COS!$B$8:$H$991,7,FALSE)</f>
        <v>55.40838623046875</v>
      </c>
      <c r="G15" s="24">
        <f>IF(F15&lt;=IF(MONTH($C15)=4,$F$3,IF(MONTH($C15)=5,$F$4,IF(MONTH($C15)=6,$F$5,IF(MONTH($C15)=7,$F$6,"ERROR")))),1,0)</f>
        <v>1</v>
      </c>
      <c r="H15" s="26">
        <f>IF(J15=1,D15-$C$4,0)</f>
        <v>5232.6396484375</v>
      </c>
      <c r="I15" s="26">
        <f t="shared" si="0"/>
        <v>321.74247094524793</v>
      </c>
      <c r="J15" s="24">
        <f t="shared" ref="J15:J17" si="3">IF(AND(E15=1,G15=1),1,0)</f>
        <v>1</v>
      </c>
      <c r="K15" s="26">
        <f>VLOOKUP($C15,COS!$B$8:$H$991,2,FALSE)</f>
        <v>4552</v>
      </c>
      <c r="L15" s="24">
        <f t="shared" ref="L15:L17" si="4">IF(K15&lt;=IF(MONTH($C15)=4,$I$3,IF(MONTH($C15)=5,$I$4,IF(MONTH($C15)=6,$I$5,IF(MONTH($C15)=7,$I$6,"ERROR")))),1,0)</f>
        <v>1</v>
      </c>
      <c r="M15" s="24">
        <f t="shared" ref="M15:M17" si="5">VLOOKUP($A15,$L$3:$M$7,2,FALSE)</f>
        <v>0</v>
      </c>
      <c r="N15" s="26">
        <f>VLOOKUP($C15,COS!$B$8:$H$991,5,FALSE)</f>
        <v>868.27056884765625</v>
      </c>
      <c r="O15" s="26">
        <f>N15*DAY($C15)*86400/43560/1000</f>
        <v>53.387876299393078</v>
      </c>
      <c r="P15" s="26">
        <f>VLOOKUP($C15,COS!$B$8:$H$991,6,FALSE)</f>
        <v>2241.916259765625</v>
      </c>
      <c r="Q15" s="26">
        <f>P15*DAY($C15)*86400/43560/1000</f>
        <v>137.85005762525824</v>
      </c>
      <c r="R15" s="26">
        <f>MIN(IF(MONTH($C15)=4,$S$3,IF(MONTH($C15)=5,$S$4,IF(MONTH($C15)=6,$S$5,IF(MONTH($C15)=7,$S$6,"ERROR")))),MAX(VLOOKUP($C15,COS!$B$8:$K$991,10,FALSE)-IF(MONTH($C15)=4,$Y$3,IF(MONTH($C15)=5,$Y$4,IF(MONTH($C15)=6,$Y$5,IF(MONTH($C15)=7,$Y$6,"ERROR")))),0),MAX(VLOOKUP($C15,COS!$B$8:$K$991,9,FALSE)-IF(MONTH($C15)=4,$V$3,IF(MONTH($C15)=5,$V$4,IF(MONTH($C15)=6,$V$5,IF(MONTH($C15)=7,$V$6,"ERROR"))))-VLOOKUP($C15,COS!$B$8:$K$991,6,FALSE)/2,0))</f>
        <v>750</v>
      </c>
      <c r="S15" s="26">
        <f>R15*DAY($C15)*86400/43560/1000</f>
        <v>46.115702479338843</v>
      </c>
      <c r="T15" s="26">
        <f>(O15+Q15)/2+S15</f>
        <v>141.73466944166449</v>
      </c>
      <c r="U15" s="26" t="str">
        <f>IF(VLOOKUP($C15,COS!$B$8:$I$991,8,FALSE)=1,"UWFE","IBU")</f>
        <v>UWFE</v>
      </c>
      <c r="V15" s="26">
        <f>MIN(IF(IF($AA$3=2,AND(E15=1,G15=1,L15=1,L19=1,M15=1,U15="IBU"),AND(E15=1,G15=1,L15=1,L19=1,M15=1)),T15,0),I15)</f>
        <v>0</v>
      </c>
      <c r="W15" s="26"/>
      <c r="X15" s="26"/>
      <c r="Y15" s="26"/>
      <c r="Z15" s="26"/>
      <c r="AA15" s="26"/>
      <c r="AB15" s="33"/>
      <c r="AC15" s="6"/>
      <c r="AD15" s="43">
        <v>1923</v>
      </c>
      <c r="AE15" s="1">
        <f>VLOOKUP(AD15,Flags!$A$13:$B$95,2,FALSE)</f>
        <v>3</v>
      </c>
      <c r="AF15" s="43">
        <f t="shared" ref="AF15:AF78" si="6">SUMIF($B$14:$B$742,$AD15,$I$14:$I$742)</f>
        <v>198.67443246384298</v>
      </c>
      <c r="AG15" s="43">
        <f t="shared" ref="AG15:AG78" si="7">SUMIF($B$14:$B$742,$AD15,$T$14:$T$742)</f>
        <v>471.04687415256967</v>
      </c>
      <c r="AH15" s="43">
        <f t="shared" ref="AH15:AH78" si="8">SUMIF($B$14:$B$742,$AD15,$V$14:$V$742)</f>
        <v>0</v>
      </c>
      <c r="AI15" s="43">
        <f t="shared" ref="AI15:AI78" si="9">SUMIF($B$14:$B$742,$AD15,$X$14:$X$742)</f>
        <v>22757.685081353306</v>
      </c>
      <c r="AJ15" s="43">
        <f t="shared" ref="AJ15:AJ78" si="10">SUMIF($B$14:$B$742,$AD15,$Z$14:$Z$742)</f>
        <v>218.30497927831226</v>
      </c>
      <c r="AK15" s="43">
        <f t="shared" si="1"/>
        <v>104.62114994269757</v>
      </c>
      <c r="AL15" s="43">
        <f t="shared" ref="AL15:AL78" si="11">MIN(AH15,AK15)</f>
        <v>0</v>
      </c>
      <c r="AN15" s="1" t="s">
        <v>41</v>
      </c>
      <c r="AO15" s="43">
        <f>AVERAGE($AL$14:$AL$94)</f>
        <v>44.838846146741488</v>
      </c>
    </row>
    <row r="16" spans="1:41" x14ac:dyDescent="0.3">
      <c r="A16" s="32">
        <f>VLOOKUP(YEAR(C16),Flags!$A$13:$B$95,2,FALSE)</f>
        <v>1</v>
      </c>
      <c r="B16" s="24">
        <f t="shared" si="2"/>
        <v>1922</v>
      </c>
      <c r="C16" s="25">
        <v>8217</v>
      </c>
      <c r="D16" s="26">
        <f>VLOOKUP($C16,COS!$B$8:$H$991,3,FALSE)</f>
        <v>10909.794921875</v>
      </c>
      <c r="E16" s="24">
        <f>IF(D16&gt;=IF(MONTH($C16)=4,$C$3,IF(MONTH($C16)=5,$C$4,IF(MONTH($C16)=6,$C$5,IF(MONTH($C16)=7,$C$6,"ERROR")))),1,0)</f>
        <v>1</v>
      </c>
      <c r="F16" s="26">
        <f>VLOOKUP($C16,COS!$B$8:$H$991,7,FALSE)</f>
        <v>53.329750061035156</v>
      </c>
      <c r="G16" s="24">
        <f>IF(F16&lt;=IF(MONTH($C16)=4,$F$3,IF(MONTH($C16)=5,$F$4,IF(MONTH($C16)=6,$F$5,IF(MONTH($C16)=7,$F$6,"ERROR")))),1,0)</f>
        <v>1</v>
      </c>
      <c r="H16" s="26">
        <f>IF(J16=1,D16-$C$5,0)</f>
        <v>909.794921875</v>
      </c>
      <c r="I16" s="26">
        <f t="shared" si="0"/>
        <v>54.136557334710744</v>
      </c>
      <c r="J16" s="24">
        <f t="shared" si="3"/>
        <v>1</v>
      </c>
      <c r="K16" s="26">
        <f>VLOOKUP($C16,COS!$B$8:$H$991,2,FALSE)</f>
        <v>4241.47265625</v>
      </c>
      <c r="L16" s="24">
        <f t="shared" si="4"/>
        <v>1</v>
      </c>
      <c r="M16" s="24">
        <f t="shared" si="5"/>
        <v>0</v>
      </c>
      <c r="N16" s="26">
        <f>VLOOKUP($C16,COS!$B$8:$H$991,5,FALSE)</f>
        <v>1108.1929931640625</v>
      </c>
      <c r="O16" s="26">
        <f>N16*DAY($C16)*86400/43560/1000</f>
        <v>65.942062403150814</v>
      </c>
      <c r="P16" s="26">
        <f>VLOOKUP($C16,COS!$B$8:$H$991,6,FALSE)</f>
        <v>2347.418701171875</v>
      </c>
      <c r="Q16" s="26">
        <f>P16*DAY($C16)*86400/43560/1000</f>
        <v>139.68111279700415</v>
      </c>
      <c r="R16" s="26">
        <f>MIN(IF(MONTH($C16)=4,$S$3,IF(MONTH($C16)=5,$S$4,IF(MONTH($C16)=6,$S$5,IF(MONTH($C16)=7,$S$6,"ERROR")))),MAX(VLOOKUP($C16,COS!$B$8:$K$991,10,FALSE)-IF(MONTH($C16)=4,$Y$3,IF(MONTH($C16)=5,$Y$4,IF(MONTH($C16)=6,$Y$5,IF(MONTH($C16)=7,$Y$6,"ERROR")))),0),MAX(VLOOKUP($C16,COS!$B$8:$K$991,9,FALSE)-IF(MONTH($C16)=4,$V$3,IF(MONTH($C16)=5,$V$4,IF(MONTH($C16)=6,$V$5,IF(MONTH($C16)=7,$V$6,"ERROR"))))-VLOOKUP($C16,COS!$B$8:$K$991,6,FALSE)/2,0))</f>
        <v>750</v>
      </c>
      <c r="S16" s="26">
        <f>R16*DAY($C16)*86400/43560/1000</f>
        <v>44.628099173553714</v>
      </c>
      <c r="T16" s="26">
        <f t="shared" ref="T16:T17" si="12">(O16+Q16)/2+S16</f>
        <v>147.43968677363119</v>
      </c>
      <c r="U16" s="26" t="str">
        <f>IF(VLOOKUP($C16,COS!$B$8:$I$991,8,FALSE)=1,"UWFE","IBU")</f>
        <v>UWFE</v>
      </c>
      <c r="V16" s="26">
        <f>MIN(IF(IF($AA$3=2,AND(E16=1,G16=1,L16=1,L19=1,M16=1,U16="IBU"),AND(E16=1,G16=1,L16=1,L19=1,M16=1)),T16,0),I16)</f>
        <v>0</v>
      </c>
      <c r="W16" s="26"/>
      <c r="X16" s="26"/>
      <c r="Y16" s="26"/>
      <c r="Z16" s="26"/>
      <c r="AA16" s="26"/>
      <c r="AB16" s="33"/>
      <c r="AC16" s="6"/>
      <c r="AD16" s="43">
        <v>1924</v>
      </c>
      <c r="AE16" s="1">
        <f>VLOOKUP(AD16,Flags!$A$13:$B$95,2,FALSE)</f>
        <v>5</v>
      </c>
      <c r="AF16" s="43">
        <f t="shared" si="6"/>
        <v>161.14381650309917</v>
      </c>
      <c r="AG16" s="43">
        <f t="shared" si="7"/>
        <v>441.66967562588781</v>
      </c>
      <c r="AH16" s="43">
        <f t="shared" si="8"/>
        <v>124.3431209545293</v>
      </c>
      <c r="AI16" s="43">
        <f t="shared" si="9"/>
        <v>22888.106491154442</v>
      </c>
      <c r="AJ16" s="43">
        <f t="shared" si="10"/>
        <v>598.65797722430273</v>
      </c>
      <c r="AK16" s="43">
        <f t="shared" si="1"/>
        <v>365.60456700348664</v>
      </c>
      <c r="AL16" s="43">
        <f t="shared" si="11"/>
        <v>124.3431209545293</v>
      </c>
      <c r="AN16" s="1" t="s">
        <v>43</v>
      </c>
      <c r="AO16" s="43">
        <f>AVERAGEIF(Flags!$G$14:$G$94,1,$AL$14:$AL$94)</f>
        <v>100.93705878981734</v>
      </c>
    </row>
    <row r="17" spans="1:42" x14ac:dyDescent="0.3">
      <c r="A17" s="32">
        <f>VLOOKUP(YEAR(C17),Flags!$A$13:$B$95,2,FALSE)</f>
        <v>1</v>
      </c>
      <c r="B17" s="24">
        <f t="shared" si="2"/>
        <v>1922</v>
      </c>
      <c r="C17" s="25">
        <v>8248</v>
      </c>
      <c r="D17" s="26">
        <f>VLOOKUP($C17,COS!$B$8:$H$991,3,FALSE)</f>
        <v>12170.349609375</v>
      </c>
      <c r="E17" s="24">
        <f>IF(D17&gt;=IF(MONTH($C17)=4,$C$3,IF(MONTH($C17)=5,$C$4,IF(MONTH($C17)=6,$C$5,IF(MONTH($C17)=7,$C$6,"ERROR")))),1,0)</f>
        <v>1</v>
      </c>
      <c r="F17" s="26">
        <f>VLOOKUP($C17,COS!$B$8:$H$991,7,FALSE)</f>
        <v>54.132045745849609</v>
      </c>
      <c r="G17" s="24">
        <f>IF(F17&lt;=IF(MONTH($C17)=4,$F$3,IF(MONTH($C17)=5,$F$4,IF(MONTH($C17)=6,$F$5,IF(MONTH($C17)=7,$F$6,"ERROR")))),1,0)</f>
        <v>0</v>
      </c>
      <c r="H17" s="26">
        <f>IF(J17=1,D17-$C$6,0)</f>
        <v>0</v>
      </c>
      <c r="I17" s="26">
        <f t="shared" si="0"/>
        <v>0</v>
      </c>
      <c r="J17" s="24">
        <f t="shared" si="3"/>
        <v>0</v>
      </c>
      <c r="K17" s="26">
        <f>VLOOKUP($C17,COS!$B$8:$H$991,2,FALSE)</f>
        <v>3788.69091796875</v>
      </c>
      <c r="L17" s="24">
        <f t="shared" si="4"/>
        <v>1</v>
      </c>
      <c r="M17" s="24">
        <f t="shared" si="5"/>
        <v>0</v>
      </c>
      <c r="N17" s="26">
        <f>VLOOKUP($C17,COS!$B$8:$H$991,5,FALSE)</f>
        <v>1209.6676025390625</v>
      </c>
      <c r="O17" s="26">
        <f>N17*DAY($C17)*86400/43560/1000</f>
        <v>74.379561676782032</v>
      </c>
      <c r="P17" s="26">
        <f>VLOOKUP($C17,COS!$B$8:$H$991,6,FALSE)</f>
        <v>2562.892822265625</v>
      </c>
      <c r="Q17" s="26">
        <f>P17*DAY($C17)*86400/43560/1000</f>
        <v>157.58613717071282</v>
      </c>
      <c r="R17" s="26">
        <f>MIN(IF(MONTH($C17)=4,$S$3,IF(MONTH($C17)=5,$S$4,IF(MONTH($C17)=6,$S$5,IF(MONTH($C17)=7,$S$6,"ERROR")))),MAX(VLOOKUP($C17,COS!$B$8:$K$991,10,FALSE)-IF(MONTH($C17)=4,$Y$3,IF(MONTH($C17)=5,$Y$4,IF(MONTH($C17)=6,$Y$5,IF(MONTH($C17)=7,$Y$6,"ERROR")))),0),MAX(VLOOKUP($C17,COS!$B$8:$K$991,9,FALSE)-IF(MONTH($C17)=4,$V$3,IF(MONTH($C17)=5,$V$4,IF(MONTH($C17)=6,$V$5,IF(MONTH($C17)=7,$V$6,"ERROR"))))-VLOOKUP($C17,COS!$B$8:$K$991,6,FALSE)/2,0))</f>
        <v>750</v>
      </c>
      <c r="S17" s="26">
        <f>R17*DAY($C17)*86400/43560/1000</f>
        <v>46.115702479338843</v>
      </c>
      <c r="T17" s="26">
        <f t="shared" si="12"/>
        <v>162.09855190308627</v>
      </c>
      <c r="U17" s="26" t="str">
        <f>IF(VLOOKUP($C17,COS!$B$8:$I$991,8,FALSE)=1,"UWFE","IBU")</f>
        <v>IBU</v>
      </c>
      <c r="V17" s="26">
        <f>MIN(IF(IF($AA$3=2,AND(E17=1,G17=1,L17=1,L19=1,M17=1,U17="IBU"),AND(E17=1,G17=1,L17=1,L19=1,M17=1)),T17,0),I17)</f>
        <v>0</v>
      </c>
      <c r="W17" s="26"/>
      <c r="X17" s="26"/>
      <c r="Y17" s="26"/>
      <c r="Z17" s="26"/>
      <c r="AA17" s="26"/>
      <c r="AB17" s="33"/>
      <c r="AC17" s="6"/>
      <c r="AD17" s="43">
        <v>1925</v>
      </c>
      <c r="AE17" s="1">
        <f>VLOOKUP(AD17,Flags!$A$13:$B$95,2,FALSE)</f>
        <v>4</v>
      </c>
      <c r="AF17" s="43">
        <f t="shared" si="6"/>
        <v>43.79148308367769</v>
      </c>
      <c r="AG17" s="43">
        <f t="shared" si="7"/>
        <v>472.99935760750259</v>
      </c>
      <c r="AH17" s="43">
        <f t="shared" si="8"/>
        <v>42.764748192148765</v>
      </c>
      <c r="AI17" s="43">
        <f t="shared" si="9"/>
        <v>22582.151480501034</v>
      </c>
      <c r="AJ17" s="43">
        <f t="shared" si="10"/>
        <v>376.96743043001032</v>
      </c>
      <c r="AK17" s="43">
        <f t="shared" si="1"/>
        <v>267.38984334646182</v>
      </c>
      <c r="AL17" s="43">
        <f>MIN(AH17,AK17)</f>
        <v>42.764748192148765</v>
      </c>
      <c r="AN17" s="1" t="s">
        <v>30</v>
      </c>
      <c r="AO17" s="43">
        <f>AVERAGEIF($AE$14:$AE$94,1,$AL$14:$AL$94)</f>
        <v>0</v>
      </c>
    </row>
    <row r="18" spans="1:42" x14ac:dyDescent="0.3">
      <c r="A18" s="32">
        <f>VLOOKUP(YEAR(C18),Flags!$A$13:$B$95,2,FALSE)</f>
        <v>1</v>
      </c>
      <c r="B18" s="24">
        <f t="shared" si="2"/>
        <v>1922</v>
      </c>
      <c r="C18" s="25">
        <v>8279</v>
      </c>
      <c r="D18" s="26"/>
      <c r="E18" s="24"/>
      <c r="F18" s="26"/>
      <c r="G18" s="24"/>
      <c r="H18" s="24"/>
      <c r="I18" s="26"/>
      <c r="J18" s="24"/>
      <c r="K18" s="26"/>
      <c r="L18" s="24"/>
      <c r="M18" s="24"/>
      <c r="N18" s="26"/>
      <c r="O18" s="26"/>
      <c r="P18" s="26"/>
      <c r="Q18" s="26"/>
      <c r="R18" s="26"/>
      <c r="S18" s="26"/>
      <c r="T18" s="26"/>
      <c r="U18" s="26"/>
      <c r="V18" s="26"/>
      <c r="W18" s="26">
        <f>MAX($C$7-VLOOKUP($C18,COS!$B$8:$H$991,3,FALSE),0)</f>
        <v>89237.1474609375</v>
      </c>
      <c r="X18" s="26">
        <f t="shared" ref="X18:X22" si="13">W18*DAY($C18)*86400/43560/1000</f>
        <v>5486.9783232179752</v>
      </c>
      <c r="Y18" s="26">
        <f>VLOOKUP($C18,COS!$B$8:$H$991,4,FALSE)</f>
        <v>0</v>
      </c>
      <c r="Z18" s="26">
        <f t="shared" ref="Z18:Z22" si="14">Y18*DAY($C18)*86400/43560/1000</f>
        <v>0</v>
      </c>
      <c r="AA18" s="26">
        <f>MIN(W18,Y18)</f>
        <v>0</v>
      </c>
      <c r="AB18" s="33">
        <f>AA18*DAY($C18)*86400/43560/1000*IF(MONTH($C18)=8,$P$3,IF(MONTH($C18)=9,$P$4,IF(MONTH($C18)=10,$P$5,IF(MONTH($C18)=11,$P$6,IF(MONTH($C18)=12,$P$7,NA())))))</f>
        <v>0</v>
      </c>
      <c r="AC18" s="6"/>
      <c r="AD18" s="43">
        <v>1926</v>
      </c>
      <c r="AE18" s="1">
        <f>VLOOKUP(AD18,Flags!$A$13:$B$95,2,FALSE)</f>
        <v>4</v>
      </c>
      <c r="AF18" s="43">
        <f t="shared" si="6"/>
        <v>194.10762009297522</v>
      </c>
      <c r="AG18" s="43">
        <f t="shared" si="7"/>
        <v>447.26173063167857</v>
      </c>
      <c r="AH18" s="43">
        <f t="shared" si="8"/>
        <v>127.24763830768177</v>
      </c>
      <c r="AI18" s="43">
        <f t="shared" si="9"/>
        <v>22920.123877840906</v>
      </c>
      <c r="AJ18" s="43">
        <f t="shared" si="10"/>
        <v>222.87584847946798</v>
      </c>
      <c r="AK18" s="43">
        <f t="shared" si="1"/>
        <v>222.87584847946798</v>
      </c>
      <c r="AL18" s="43">
        <f t="shared" si="11"/>
        <v>127.24763830768177</v>
      </c>
      <c r="AN18" s="1" t="s">
        <v>42</v>
      </c>
      <c r="AO18" s="43">
        <f>AVERAGEIF($AE$14:$AE$94,2,$AL$14:$AL$94)</f>
        <v>0</v>
      </c>
    </row>
    <row r="19" spans="1:42" x14ac:dyDescent="0.3">
      <c r="A19" s="32">
        <f>VLOOKUP(YEAR(C19),Flags!$A$13:$B$95,2,FALSE)</f>
        <v>1</v>
      </c>
      <c r="B19" s="24">
        <f t="shared" si="2"/>
        <v>1922</v>
      </c>
      <c r="C19" s="25">
        <v>8309</v>
      </c>
      <c r="D19" s="26"/>
      <c r="E19" s="24"/>
      <c r="F19" s="26"/>
      <c r="G19" s="24"/>
      <c r="H19" s="24"/>
      <c r="I19" s="26"/>
      <c r="J19" s="24"/>
      <c r="K19" s="26">
        <f>VLOOKUP($C19,COS!$B$8:$H$991,2,FALSE)</f>
        <v>2693.51513671875</v>
      </c>
      <c r="L19" s="24">
        <f>IF(AND(K19&gt;$I$7,K19&lt;$I$8),1,0)</f>
        <v>1</v>
      </c>
      <c r="M19" s="24"/>
      <c r="N19" s="26"/>
      <c r="O19" s="26"/>
      <c r="P19" s="26"/>
      <c r="Q19" s="26"/>
      <c r="R19" s="26"/>
      <c r="S19" s="26"/>
      <c r="T19" s="26"/>
      <c r="U19" s="26"/>
      <c r="V19" s="26"/>
      <c r="W19" s="26">
        <f>MAX($C$8-VLOOKUP($C19,COS!$B$8:$H$991,3,FALSE),0)</f>
        <v>82918.25390625</v>
      </c>
      <c r="X19" s="26">
        <f t="shared" si="13"/>
        <v>4933.9787448347106</v>
      </c>
      <c r="Y19" s="26">
        <f>VLOOKUP($C19,COS!$B$8:$H$991,4,FALSE)</f>
        <v>136.41513061523438</v>
      </c>
      <c r="Z19" s="26">
        <f t="shared" si="14"/>
        <v>8.1172639704932852</v>
      </c>
      <c r="AA19" s="26">
        <f t="shared" ref="AA19:AA22" si="15">MIN(W19,Y19)</f>
        <v>136.41513061523438</v>
      </c>
      <c r="AB19" s="33">
        <f t="shared" ref="AB19:AB22" si="16">AA19*DAY($C19)*86400/43560/1000*IF(MONTH($C19)=8,$P$3,IF(MONTH($C19)=9,$P$4,IF(MONTH($C19)=10,$P$5,IF(MONTH($C19)=11,$P$6,IF(MONTH($C19)=12,$P$7,NA())))))</f>
        <v>8.1172639704932852</v>
      </c>
      <c r="AC19" s="6"/>
      <c r="AD19" s="43">
        <v>1927</v>
      </c>
      <c r="AE19" s="1">
        <f>VLOOKUP(AD19,Flags!$A$13:$B$95,2,FALSE)</f>
        <v>2</v>
      </c>
      <c r="AF19" s="43">
        <f t="shared" si="6"/>
        <v>577.17067019628098</v>
      </c>
      <c r="AG19" s="43">
        <f t="shared" si="7"/>
        <v>520.91470822168776</v>
      </c>
      <c r="AH19" s="43">
        <f t="shared" si="8"/>
        <v>0</v>
      </c>
      <c r="AI19" s="43">
        <f t="shared" si="9"/>
        <v>22032.42545841942</v>
      </c>
      <c r="AJ19" s="43">
        <f t="shared" si="10"/>
        <v>102.32853633659931</v>
      </c>
      <c r="AK19" s="43">
        <f t="shared" si="1"/>
        <v>84.665892878760985</v>
      </c>
      <c r="AL19" s="43">
        <f t="shared" si="11"/>
        <v>0</v>
      </c>
      <c r="AN19" s="1" t="s">
        <v>32</v>
      </c>
      <c r="AO19" s="43">
        <f>AVERAGEIF($AE$14:$AE$94,3,$AL$14:$AL$94)</f>
        <v>0</v>
      </c>
    </row>
    <row r="20" spans="1:42" x14ac:dyDescent="0.3">
      <c r="A20" s="32">
        <f>VLOOKUP(YEAR(C20),Flags!$A$13:$B$95,2,FALSE)</f>
        <v>1</v>
      </c>
      <c r="B20" s="24">
        <f t="shared" si="2"/>
        <v>1922</v>
      </c>
      <c r="C20" s="25">
        <v>8340</v>
      </c>
      <c r="D20" s="26"/>
      <c r="E20" s="24"/>
      <c r="F20" s="26"/>
      <c r="G20" s="26"/>
      <c r="H20" s="26"/>
      <c r="I20" s="26"/>
      <c r="J20" s="26"/>
      <c r="K20" s="26"/>
      <c r="L20" s="24"/>
      <c r="M20" s="24"/>
      <c r="N20" s="26"/>
      <c r="O20" s="26"/>
      <c r="P20" s="26"/>
      <c r="Q20" s="26"/>
      <c r="R20" s="26"/>
      <c r="S20" s="26"/>
      <c r="T20" s="26"/>
      <c r="U20" s="26"/>
      <c r="V20" s="26"/>
      <c r="W20" s="26">
        <f>MAX($C$9-VLOOKUP($C20,COS!$B$8:$H$991,3,FALSE),0)</f>
        <v>95405.1708984375</v>
      </c>
      <c r="X20" s="26">
        <f t="shared" si="13"/>
        <v>5866.2353015237595</v>
      </c>
      <c r="Y20" s="26">
        <f>VLOOKUP($C20,COS!$B$8:$H$991,4,FALSE)</f>
        <v>940.9134521484375</v>
      </c>
      <c r="Z20" s="26">
        <f t="shared" si="14"/>
        <v>57.85451309077996</v>
      </c>
      <c r="AA20" s="26">
        <f t="shared" si="15"/>
        <v>940.9134521484375</v>
      </c>
      <c r="AB20" s="33">
        <f t="shared" si="16"/>
        <v>57.85451309077996</v>
      </c>
      <c r="AC20" s="6"/>
      <c r="AD20" s="44">
        <v>1928</v>
      </c>
      <c r="AE20" s="45">
        <f>VLOOKUP(AD20,Flags!$A$13:$B$95,2,FALSE)</f>
        <v>2</v>
      </c>
      <c r="AF20" s="44">
        <f t="shared" si="6"/>
        <v>530.64339456353309</v>
      </c>
      <c r="AG20" s="44">
        <f t="shared" si="7"/>
        <v>471.78464860900374</v>
      </c>
      <c r="AH20" s="44">
        <f t="shared" si="8"/>
        <v>0</v>
      </c>
      <c r="AI20" s="44">
        <f t="shared" si="9"/>
        <v>21821.997559400828</v>
      </c>
      <c r="AJ20" s="44">
        <f t="shared" si="10"/>
        <v>112.69071519394552</v>
      </c>
      <c r="AK20" s="44">
        <f t="shared" si="1"/>
        <v>81.927064302933118</v>
      </c>
      <c r="AL20" s="44">
        <f t="shared" si="11"/>
        <v>0</v>
      </c>
      <c r="AN20" s="1" t="s">
        <v>33</v>
      </c>
      <c r="AO20" s="43">
        <f>AVERAGEIF($AE$14:$AE$94,4,$AL$14:$AL$94)</f>
        <v>134.78279446461573</v>
      </c>
    </row>
    <row r="21" spans="1:42" x14ac:dyDescent="0.3">
      <c r="A21" s="32">
        <f>VLOOKUP(YEAR(C21),Flags!$A$13:$B$95,2,FALSE)</f>
        <v>1</v>
      </c>
      <c r="B21" s="24">
        <f t="shared" si="2"/>
        <v>1922</v>
      </c>
      <c r="C21" s="25">
        <v>8370</v>
      </c>
      <c r="D21" s="26"/>
      <c r="E21" s="24"/>
      <c r="F21" s="26"/>
      <c r="G21" s="26"/>
      <c r="H21" s="26"/>
      <c r="I21" s="26"/>
      <c r="J21" s="26"/>
      <c r="K21" s="26"/>
      <c r="L21" s="24"/>
      <c r="M21" s="24"/>
      <c r="N21" s="26"/>
      <c r="O21" s="26"/>
      <c r="P21" s="26"/>
      <c r="Q21" s="26"/>
      <c r="R21" s="26"/>
      <c r="S21" s="26"/>
      <c r="T21" s="26"/>
      <c r="U21" s="26"/>
      <c r="V21" s="26"/>
      <c r="W21" s="26">
        <f>MAX($C$10-VLOOKUP($C21,COS!$B$8:$H$991,3,FALSE),0)</f>
        <v>92011.9228515625</v>
      </c>
      <c r="X21" s="26">
        <f t="shared" si="13"/>
        <v>5475.0896242252065</v>
      </c>
      <c r="Y21" s="26">
        <f>VLOOKUP($C21,COS!$B$8:$H$991,4,FALSE)</f>
        <v>1104.9873046875</v>
      </c>
      <c r="Z21" s="26">
        <f t="shared" si="14"/>
        <v>65.751310692148763</v>
      </c>
      <c r="AA21" s="26">
        <f t="shared" si="15"/>
        <v>1104.9873046875</v>
      </c>
      <c r="AB21" s="33">
        <f t="shared" si="16"/>
        <v>32.875655346074382</v>
      </c>
      <c r="AC21" s="6"/>
      <c r="AD21" s="44">
        <v>1929</v>
      </c>
      <c r="AE21" s="45">
        <f>VLOOKUP(AD21,Flags!$A$13:$B$95,2,FALSE)</f>
        <v>5</v>
      </c>
      <c r="AF21" s="44">
        <f t="shared" si="6"/>
        <v>127.9222265625</v>
      </c>
      <c r="AG21" s="44">
        <f t="shared" si="7"/>
        <v>441.17803913715454</v>
      </c>
      <c r="AH21" s="44">
        <f t="shared" si="8"/>
        <v>127.9222265625</v>
      </c>
      <c r="AI21" s="44">
        <f t="shared" si="9"/>
        <v>22823.152223979851</v>
      </c>
      <c r="AJ21" s="44">
        <f t="shared" si="10"/>
        <v>547.35015011621897</v>
      </c>
      <c r="AK21" s="44">
        <f t="shared" si="1"/>
        <v>406.43818238313537</v>
      </c>
      <c r="AL21" s="44">
        <f t="shared" si="11"/>
        <v>127.9222265625</v>
      </c>
      <c r="AN21" s="1" t="s">
        <v>10</v>
      </c>
      <c r="AO21" s="43">
        <f>AVERAGEIF($AE$14:$AE$94,5,$AL$14:$AL$94)</f>
        <v>78.024220716145422</v>
      </c>
    </row>
    <row r="22" spans="1:42" x14ac:dyDescent="0.3">
      <c r="A22" s="34">
        <f>VLOOKUP(YEAR(C22),Flags!$A$13:$B$95,2,FALSE)</f>
        <v>1</v>
      </c>
      <c r="B22" s="35">
        <f t="shared" si="2"/>
        <v>1922</v>
      </c>
      <c r="C22" s="36">
        <v>8401</v>
      </c>
      <c r="D22" s="37"/>
      <c r="E22" s="35"/>
      <c r="F22" s="37"/>
      <c r="G22" s="37"/>
      <c r="H22" s="37"/>
      <c r="I22" s="37"/>
      <c r="J22" s="37"/>
      <c r="K22" s="37"/>
      <c r="L22" s="35"/>
      <c r="M22" s="35"/>
      <c r="N22" s="37"/>
      <c r="O22" s="37"/>
      <c r="P22" s="37"/>
      <c r="Q22" s="37"/>
      <c r="R22" s="37"/>
      <c r="S22" s="37"/>
      <c r="T22" s="37"/>
      <c r="U22" s="37"/>
      <c r="V22" s="37"/>
      <c r="W22" s="37">
        <f>MAX($C$11-VLOOKUP($C22,COS!$B$8:$H$991,3,FALSE),0)</f>
        <v>0</v>
      </c>
      <c r="X22" s="37">
        <f t="shared" si="13"/>
        <v>0</v>
      </c>
      <c r="Y22" s="37">
        <f>VLOOKUP($C22,COS!$B$8:$H$991,4,FALSE)</f>
        <v>0</v>
      </c>
      <c r="Z22" s="37">
        <f t="shared" si="14"/>
        <v>0</v>
      </c>
      <c r="AA22" s="37">
        <f t="shared" si="15"/>
        <v>0</v>
      </c>
      <c r="AB22" s="38">
        <f t="shared" si="16"/>
        <v>0</v>
      </c>
      <c r="AC22" s="6"/>
      <c r="AD22" s="44">
        <v>1930</v>
      </c>
      <c r="AE22" s="45">
        <f>VLOOKUP(AD22,Flags!$A$13:$B$95,2,FALSE)</f>
        <v>4</v>
      </c>
      <c r="AF22" s="44">
        <f t="shared" si="6"/>
        <v>0</v>
      </c>
      <c r="AG22" s="44">
        <f t="shared" si="7"/>
        <v>432.39541456112192</v>
      </c>
      <c r="AH22" s="44">
        <f t="shared" si="8"/>
        <v>0</v>
      </c>
      <c r="AI22" s="44">
        <f t="shared" si="9"/>
        <v>22966.413810046488</v>
      </c>
      <c r="AJ22" s="44">
        <f t="shared" si="10"/>
        <v>529.99753042678208</v>
      </c>
      <c r="AK22" s="44">
        <f t="shared" si="1"/>
        <v>359.26877881262914</v>
      </c>
      <c r="AL22" s="44">
        <f t="shared" si="11"/>
        <v>0</v>
      </c>
    </row>
    <row r="23" spans="1:42" x14ac:dyDescent="0.3">
      <c r="A23" s="27">
        <f>VLOOKUP(YEAR(C23),Flags!$A$13:$B$95,2,FALSE)</f>
        <v>3</v>
      </c>
      <c r="B23" s="28">
        <f t="shared" si="2"/>
        <v>1923</v>
      </c>
      <c r="C23" s="29">
        <v>8521</v>
      </c>
      <c r="D23" s="30">
        <f>VLOOKUP($C23,COS!$B$8:$H$991,3,FALSE)</f>
        <v>3250</v>
      </c>
      <c r="E23" s="28">
        <f>IF(D23&gt;=IF(MONTH($C23)=4,$C$3,IF(MONTH($C23)=5,$C$4,IF(MONTH($C23)=6,$C$5,IF(MONTH($C23)=7,$C$6,"ERROR")))),1,0)</f>
        <v>0</v>
      </c>
      <c r="F23" s="30">
        <f>VLOOKUP($C23,COS!$B$8:$H$991,7,FALSE)</f>
        <v>52.349773406982422</v>
      </c>
      <c r="G23" s="28">
        <f>IF(F23&lt;=IF(MONTH($C23)=4,$F$3,IF(MONTH($C23)=5,$F$4,IF(MONTH($C23)=6,$F$5,IF(MONTH($C23)=7,$F$6,"ERROR")))),1,0)</f>
        <v>1</v>
      </c>
      <c r="H23" s="30">
        <f>IF(J23=1,D23-$C$3,0)</f>
        <v>0</v>
      </c>
      <c r="I23" s="30">
        <f t="shared" ref="I23:I86" si="17">H23*DAY($C23)*86400/43560/1000</f>
        <v>0</v>
      </c>
      <c r="J23" s="28">
        <f t="shared" ref="J23:J26" si="18">IF(AND(E23=1,G23=1),1,0)</f>
        <v>0</v>
      </c>
      <c r="K23" s="30">
        <f>VLOOKUP($C23,COS!$B$8:$H$991,2,FALSE)</f>
        <v>3743.0517578125</v>
      </c>
      <c r="L23" s="28">
        <f t="shared" ref="L23:L80" si="19">IF(K23&lt;=IF(MONTH($C23)=4,$I$3,IF(MONTH($C23)=5,$I$4,IF(MONTH($C23)=6,$I$5,IF(MONTH($C23)=7,$I$6,"ERROR")))),1,0)</f>
        <v>1</v>
      </c>
      <c r="M23" s="28">
        <f t="shared" ref="M23:M80" si="20">VLOOKUP($A23,$L$3:$M$7,2,FALSE)</f>
        <v>0</v>
      </c>
      <c r="N23" s="30">
        <f>VLOOKUP($C23,COS!$B$8:$H$991,5,FALSE)</f>
        <v>244.48347473144531</v>
      </c>
      <c r="O23" s="30">
        <f t="shared" ref="O23:O26" si="21">N23*DAY($C23)*86400/43560/1000</f>
        <v>14.547777008813275</v>
      </c>
      <c r="P23" s="30">
        <f>VLOOKUP($C23,COS!$B$8:$H$991,6,FALSE)</f>
        <v>427.781494140625</v>
      </c>
      <c r="Q23" s="30">
        <f t="shared" ref="Q23:Q26" si="22">P23*DAY($C23)*86400/43560/1000</f>
        <v>25.454766593491733</v>
      </c>
      <c r="R23" s="30">
        <f>MIN(IF(MONTH($C23)=4,$S$3,IF(MONTH($C23)=5,$S$4,IF(MONTH($C23)=6,$S$5,IF(MONTH($C23)=7,$S$6,"ERROR")))),MAX(VLOOKUP($C23,COS!$B$8:$K$991,10,FALSE)-IF(MONTH($C23)=4,$Y$3,IF(MONTH($C23)=5,$Y$4,IF(MONTH($C23)=6,$Y$5,IF(MONTH($C23)=7,$Y$6,"ERROR")))),0),MAX(VLOOKUP($C23,COS!$B$8:$K$991,9,FALSE)-IF(MONTH($C23)=4,$V$3,IF(MONTH($C23)=5,$V$4,IF(MONTH($C23)=6,$V$5,IF(MONTH($C23)=7,$V$6,"ERROR"))))-VLOOKUP($C23,COS!$B$8:$K$991,6,FALSE)/2,0))</f>
        <v>750</v>
      </c>
      <c r="S23" s="30">
        <f t="shared" ref="S23:S26" si="23">R23*DAY($C23)*86400/43560/1000</f>
        <v>44.628099173553714</v>
      </c>
      <c r="T23" s="30">
        <f t="shared" ref="T23:T26" si="24">(O23+Q23)/2+S23</f>
        <v>64.629370974706219</v>
      </c>
      <c r="U23" s="30" t="str">
        <f>IF(VLOOKUP($C23,COS!$B$8:$I$991,8,FALSE)=1,"UWFE","IBU")</f>
        <v>UWFE</v>
      </c>
      <c r="V23" s="30">
        <f t="shared" ref="V23" si="25">MIN(IF(IF($AA$3=2,AND(E23=1,G23=1,L23=1,L28=1,M23=1,U23="IBU"),AND(E23=1,G23=1,L23=1,L28=1,M23=1)),T23,0),I23)</f>
        <v>0</v>
      </c>
      <c r="W23" s="30"/>
      <c r="X23" s="30"/>
      <c r="Y23" s="30"/>
      <c r="Z23" s="30"/>
      <c r="AA23" s="30"/>
      <c r="AB23" s="31"/>
      <c r="AC23" s="6"/>
      <c r="AD23" s="44">
        <v>1931</v>
      </c>
      <c r="AE23" s="45">
        <f>VLOOKUP(AD23,Flags!$A$13:$B$95,2,FALSE)</f>
        <v>5</v>
      </c>
      <c r="AF23" s="44">
        <f t="shared" si="6"/>
        <v>174.23468879132233</v>
      </c>
      <c r="AG23" s="44">
        <f t="shared" si="7"/>
        <v>418.57390557407348</v>
      </c>
      <c r="AH23" s="44">
        <f t="shared" si="8"/>
        <v>162.48389609092524</v>
      </c>
      <c r="AI23" s="44">
        <f t="shared" si="9"/>
        <v>22998.790061660642</v>
      </c>
      <c r="AJ23" s="44">
        <f t="shared" si="10"/>
        <v>417.20645168840394</v>
      </c>
      <c r="AK23" s="44">
        <f t="shared" si="1"/>
        <v>377.63865161738124</v>
      </c>
      <c r="AL23" s="44">
        <f t="shared" si="11"/>
        <v>162.48389609092524</v>
      </c>
      <c r="AN23" s="6">
        <f>AO15</f>
        <v>44.838846146741488</v>
      </c>
      <c r="AO23">
        <f t="shared" ref="AO23:AO33" si="26">COUNTIF($AL$14:$AL$94,"&gt;"&amp;AN23)</f>
        <v>20</v>
      </c>
      <c r="AP23">
        <f>AVERAGEIF($AL$14:$AL$94,"&gt;"&amp;AN23)</f>
        <v>176.62679448211293</v>
      </c>
    </row>
    <row r="24" spans="1:42" x14ac:dyDescent="0.3">
      <c r="A24" s="32">
        <f>VLOOKUP(YEAR(C24),Flags!$A$13:$B$95,2,FALSE)</f>
        <v>3</v>
      </c>
      <c r="B24" s="24">
        <f t="shared" si="2"/>
        <v>1923</v>
      </c>
      <c r="C24" s="25">
        <v>8552</v>
      </c>
      <c r="D24" s="26">
        <f>VLOOKUP($C24,COS!$B$8:$H$991,3,FALSE)</f>
        <v>9231.1298828125</v>
      </c>
      <c r="E24" s="24">
        <f>IF(D24&gt;=IF(MONTH($C24)=4,$C$3,IF(MONTH($C24)=5,$C$4,IF(MONTH($C24)=6,$C$5,IF(MONTH($C24)=7,$C$6,"ERROR")))),1,0)</f>
        <v>1</v>
      </c>
      <c r="F24" s="26">
        <f>VLOOKUP($C24,COS!$B$8:$H$991,7,FALSE)</f>
        <v>55.448532104492188</v>
      </c>
      <c r="G24" s="24">
        <f>IF(F24&lt;=IF(MONTH($C24)=4,$F$3,IF(MONTH($C24)=5,$F$4,IF(MONTH($C24)=6,$F$5,IF(MONTH($C24)=7,$F$6,"ERROR")))),1,0)</f>
        <v>1</v>
      </c>
      <c r="H24" s="26">
        <f>IF(J24=1,D24-$C$4,0)</f>
        <v>3231.1298828125</v>
      </c>
      <c r="I24" s="26">
        <f t="shared" si="17"/>
        <v>198.67443246384298</v>
      </c>
      <c r="J24" s="24">
        <f t="shared" si="18"/>
        <v>1</v>
      </c>
      <c r="K24" s="26">
        <f>VLOOKUP($C24,COS!$B$8:$H$991,2,FALSE)</f>
        <v>3524.205322265625</v>
      </c>
      <c r="L24" s="24">
        <f t="shared" si="19"/>
        <v>1</v>
      </c>
      <c r="M24" s="24">
        <f t="shared" si="20"/>
        <v>0</v>
      </c>
      <c r="N24" s="26">
        <f>VLOOKUP($C24,COS!$B$8:$H$991,5,FALSE)</f>
        <v>301.41696166992188</v>
      </c>
      <c r="O24" s="26">
        <f t="shared" si="21"/>
        <v>18.533406568795193</v>
      </c>
      <c r="P24" s="26">
        <f>VLOOKUP($C24,COS!$B$8:$H$991,6,FALSE)</f>
        <v>2265.772216796875</v>
      </c>
      <c r="Q24" s="26">
        <f t="shared" si="22"/>
        <v>139.31690324767561</v>
      </c>
      <c r="R24" s="26">
        <f>MIN(IF(MONTH($C24)=4,$S$3,IF(MONTH($C24)=5,$S$4,IF(MONTH($C24)=6,$S$5,IF(MONTH($C24)=7,$S$6,"ERROR")))),MAX(VLOOKUP($C24,COS!$B$8:$K$991,10,FALSE)-IF(MONTH($C24)=4,$Y$3,IF(MONTH($C24)=5,$Y$4,IF(MONTH($C24)=6,$Y$5,IF(MONTH($C24)=7,$Y$6,"ERROR")))),0),MAX(VLOOKUP($C24,COS!$B$8:$K$991,9,FALSE)-IF(MONTH($C24)=4,$V$3,IF(MONTH($C24)=5,$V$4,IF(MONTH($C24)=6,$V$5,IF(MONTH($C24)=7,$V$6,"ERROR"))))-VLOOKUP($C24,COS!$B$8:$K$991,6,FALSE)/2,0))</f>
        <v>750</v>
      </c>
      <c r="S24" s="26">
        <f t="shared" si="23"/>
        <v>46.115702479338843</v>
      </c>
      <c r="T24" s="26">
        <f t="shared" si="24"/>
        <v>125.04085738757425</v>
      </c>
      <c r="U24" s="26" t="str">
        <f>IF(VLOOKUP($C24,COS!$B$8:$I$991,8,FALSE)=1,"UWFE","IBU")</f>
        <v>UWFE</v>
      </c>
      <c r="V24" s="26">
        <f t="shared" ref="V24" si="27">MIN(IF(IF($AA$3=2,AND(E24=1,G24=1,L24=1,L28=1,M24=1,U24="IBU"),AND(E24=1,G24=1,L24=1,L28=1,M24=1)),T24,0),I24)</f>
        <v>0</v>
      </c>
      <c r="W24" s="26"/>
      <c r="X24" s="26"/>
      <c r="Y24" s="26"/>
      <c r="Z24" s="26"/>
      <c r="AA24" s="26"/>
      <c r="AB24" s="33"/>
      <c r="AC24" s="6"/>
      <c r="AD24" s="44">
        <v>1932</v>
      </c>
      <c r="AE24" s="45">
        <f>VLOOKUP(AD24,Flags!$A$13:$B$95,2,FALSE)</f>
        <v>5</v>
      </c>
      <c r="AF24" s="44">
        <f t="shared" si="6"/>
        <v>0</v>
      </c>
      <c r="AG24" s="44">
        <f t="shared" si="7"/>
        <v>413.60829012784092</v>
      </c>
      <c r="AH24" s="44">
        <f t="shared" si="8"/>
        <v>0</v>
      </c>
      <c r="AI24" s="44">
        <f t="shared" si="9"/>
        <v>22993.963981146695</v>
      </c>
      <c r="AJ24" s="44">
        <f t="shared" si="10"/>
        <v>468.21170793517558</v>
      </c>
      <c r="AK24" s="44">
        <f t="shared" si="1"/>
        <v>269.78905911027891</v>
      </c>
      <c r="AL24" s="44">
        <f t="shared" si="11"/>
        <v>0</v>
      </c>
      <c r="AN24" s="6">
        <v>15</v>
      </c>
      <c r="AO24">
        <f t="shared" si="26"/>
        <v>23</v>
      </c>
      <c r="AP24">
        <f>AVERAGEIF($AL$14:$AL$94,"&gt;"&amp;AN24)</f>
        <v>157.91071903852438</v>
      </c>
    </row>
    <row r="25" spans="1:42" x14ac:dyDescent="0.3">
      <c r="A25" s="32">
        <f>VLOOKUP(YEAR(C25),Flags!$A$13:$B$95,2,FALSE)</f>
        <v>3</v>
      </c>
      <c r="B25" s="24">
        <f t="shared" si="2"/>
        <v>1923</v>
      </c>
      <c r="C25" s="25">
        <v>8582</v>
      </c>
      <c r="D25" s="26">
        <f>VLOOKUP($C25,COS!$B$8:$H$991,3,FALSE)</f>
        <v>9187.771484375</v>
      </c>
      <c r="E25" s="24">
        <f>IF(D25&gt;=IF(MONTH($C25)=4,$C$3,IF(MONTH($C25)=5,$C$4,IF(MONTH($C25)=6,$C$5,IF(MONTH($C25)=7,$C$6,"ERROR")))),1,0)</f>
        <v>0</v>
      </c>
      <c r="F25" s="26">
        <f>VLOOKUP($C25,COS!$B$8:$H$991,7,FALSE)</f>
        <v>53.151496887207031</v>
      </c>
      <c r="G25" s="24">
        <f>IF(F25&lt;=IF(MONTH($C25)=4,$F$3,IF(MONTH($C25)=5,$F$4,IF(MONTH($C25)=6,$F$5,IF(MONTH($C25)=7,$F$6,"ERROR")))),1,0)</f>
        <v>1</v>
      </c>
      <c r="H25" s="26">
        <f>IF(J25=1,D25-$C$5,0)</f>
        <v>0</v>
      </c>
      <c r="I25" s="26">
        <f t="shared" si="17"/>
        <v>0</v>
      </c>
      <c r="J25" s="24">
        <f t="shared" si="18"/>
        <v>0</v>
      </c>
      <c r="K25" s="26">
        <f>VLOOKUP($C25,COS!$B$8:$H$991,2,FALSE)</f>
        <v>3273.186279296875</v>
      </c>
      <c r="L25" s="24">
        <f t="shared" si="19"/>
        <v>1</v>
      </c>
      <c r="M25" s="24">
        <f t="shared" si="20"/>
        <v>0</v>
      </c>
      <c r="N25" s="26">
        <f>VLOOKUP($C25,COS!$B$8:$H$991,5,FALSE)</f>
        <v>530.37872314453125</v>
      </c>
      <c r="O25" s="26">
        <f t="shared" si="21"/>
        <v>31.559725674715907</v>
      </c>
      <c r="P25" s="26">
        <f>VLOOKUP($C25,COS!$B$8:$H$991,6,FALSE)</f>
        <v>2621.187744140625</v>
      </c>
      <c r="Q25" s="26">
        <f t="shared" si="22"/>
        <v>155.97150213068181</v>
      </c>
      <c r="R25" s="26">
        <f>MIN(IF(MONTH($C25)=4,$S$3,IF(MONTH($C25)=5,$S$4,IF(MONTH($C25)=6,$S$5,IF(MONTH($C25)=7,$S$6,"ERROR")))),MAX(VLOOKUP($C25,COS!$B$8:$K$991,10,FALSE)-IF(MONTH($C25)=4,$Y$3,IF(MONTH($C25)=5,$Y$4,IF(MONTH($C25)=6,$Y$5,IF(MONTH($C25)=7,$Y$6,"ERROR")))),0),MAX(VLOOKUP($C25,COS!$B$8:$K$991,9,FALSE)-IF(MONTH($C25)=4,$V$3,IF(MONTH($C25)=5,$V$4,IF(MONTH($C25)=6,$V$5,IF(MONTH($C25)=7,$V$6,"ERROR"))))-VLOOKUP($C25,COS!$B$8:$K$991,6,FALSE)/2,0))</f>
        <v>750</v>
      </c>
      <c r="S25" s="26">
        <f t="shared" si="23"/>
        <v>44.628099173553714</v>
      </c>
      <c r="T25" s="26">
        <f t="shared" si="24"/>
        <v>138.39371307625257</v>
      </c>
      <c r="U25" s="26" t="str">
        <f>IF(VLOOKUP($C25,COS!$B$8:$I$991,8,FALSE)=1,"UWFE","IBU")</f>
        <v>IBU</v>
      </c>
      <c r="V25" s="26">
        <f t="shared" ref="V25" si="28">MIN(IF(IF($AA$3=2,AND(E25=1,G25=1,L25=1,L28=1,M25=1,U25="IBU"),AND(E25=1,G25=1,L25=1,L28=1,M25=1)),T25,0),I25)</f>
        <v>0</v>
      </c>
      <c r="W25" s="26"/>
      <c r="X25" s="26"/>
      <c r="Y25" s="26"/>
      <c r="Z25" s="26"/>
      <c r="AA25" s="26"/>
      <c r="AB25" s="33"/>
      <c r="AC25" s="6"/>
      <c r="AD25" s="44">
        <v>1933</v>
      </c>
      <c r="AE25" s="45">
        <f>VLOOKUP(AD25,Flags!$A$13:$B$95,2,FALSE)</f>
        <v>5</v>
      </c>
      <c r="AF25" s="44">
        <f t="shared" si="6"/>
        <v>30.825164643595041</v>
      </c>
      <c r="AG25" s="44">
        <f t="shared" si="7"/>
        <v>433.86579873833773</v>
      </c>
      <c r="AH25" s="44">
        <f t="shared" si="8"/>
        <v>0</v>
      </c>
      <c r="AI25" s="44">
        <f t="shared" si="9"/>
        <v>22995.803822959708</v>
      </c>
      <c r="AJ25" s="44">
        <f t="shared" si="10"/>
        <v>364.82492195570762</v>
      </c>
      <c r="AK25" s="44">
        <f t="shared" si="1"/>
        <v>284.78267457063532</v>
      </c>
      <c r="AL25" s="44">
        <f t="shared" si="11"/>
        <v>0</v>
      </c>
      <c r="AN25" s="6">
        <v>30</v>
      </c>
      <c r="AO25">
        <f t="shared" si="26"/>
        <v>22</v>
      </c>
      <c r="AP25">
        <f t="shared" ref="AP25:AP33" si="29">AVERAGEIF($AL$14:$AL$94,"&gt;"&amp;AN25)</f>
        <v>164.09901148918607</v>
      </c>
    </row>
    <row r="26" spans="1:42" x14ac:dyDescent="0.3">
      <c r="A26" s="32">
        <f>VLOOKUP(YEAR(C26),Flags!$A$13:$B$95,2,FALSE)</f>
        <v>3</v>
      </c>
      <c r="B26" s="24">
        <f t="shared" si="2"/>
        <v>1923</v>
      </c>
      <c r="C26" s="25">
        <v>8613</v>
      </c>
      <c r="D26" s="26">
        <f>VLOOKUP($C26,COS!$B$8:$H$991,3,FALSE)</f>
        <v>11611.94921875</v>
      </c>
      <c r="E26" s="24">
        <f>IF(D26&gt;=IF(MONTH($C26)=4,$C$3,IF(MONTH($C26)=5,$C$4,IF(MONTH($C26)=6,$C$5,IF(MONTH($C26)=7,$C$6,"ERROR")))),1,0)</f>
        <v>0</v>
      </c>
      <c r="F26" s="26">
        <f>VLOOKUP($C26,COS!$B$8:$H$991,7,FALSE)</f>
        <v>55.377204895019531</v>
      </c>
      <c r="G26" s="24">
        <f>IF(F26&lt;=IF(MONTH($C26)=4,$F$3,IF(MONTH($C26)=5,$F$4,IF(MONTH($C26)=6,$F$5,IF(MONTH($C26)=7,$F$6,"ERROR")))),1,0)</f>
        <v>0</v>
      </c>
      <c r="H26" s="26">
        <f>IF(J26=1,D26-$C$6,0)</f>
        <v>0</v>
      </c>
      <c r="I26" s="26">
        <f t="shared" si="17"/>
        <v>0</v>
      </c>
      <c r="J26" s="24">
        <f t="shared" si="18"/>
        <v>0</v>
      </c>
      <c r="K26" s="26">
        <f>VLOOKUP($C26,COS!$B$8:$H$991,2,FALSE)</f>
        <v>2867.132080078125</v>
      </c>
      <c r="L26" s="24">
        <f t="shared" si="19"/>
        <v>1</v>
      </c>
      <c r="M26" s="24">
        <f t="shared" si="20"/>
        <v>0</v>
      </c>
      <c r="N26" s="26">
        <f>VLOOKUP($C26,COS!$B$8:$H$991,5,FALSE)</f>
        <v>613.4034423828125</v>
      </c>
      <c r="O26" s="26">
        <f t="shared" si="21"/>
        <v>37.716707531637397</v>
      </c>
      <c r="P26" s="26">
        <f>VLOOKUP($C26,COS!$B$8:$H$991,6,FALSE)</f>
        <v>2537.385498046875</v>
      </c>
      <c r="Q26" s="26">
        <f t="shared" si="22"/>
        <v>156.01775293775825</v>
      </c>
      <c r="R26" s="26">
        <f>MIN(IF(MONTH($C26)=4,$S$3,IF(MONTH($C26)=5,$S$4,IF(MONTH($C26)=6,$S$5,IF(MONTH($C26)=7,$S$6,"ERROR")))),MAX(VLOOKUP($C26,COS!$B$8:$K$991,10,FALSE)-IF(MONTH($C26)=4,$Y$3,IF(MONTH($C26)=5,$Y$4,IF(MONTH($C26)=6,$Y$5,IF(MONTH($C26)=7,$Y$6,"ERROR")))),0),MAX(VLOOKUP($C26,COS!$B$8:$K$991,9,FALSE)-IF(MONTH($C26)=4,$V$3,IF(MONTH($C26)=5,$V$4,IF(MONTH($C26)=6,$V$5,IF(MONTH($C26)=7,$V$6,"ERROR"))))-VLOOKUP($C26,COS!$B$8:$K$991,6,FALSE)/2,0))</f>
        <v>750</v>
      </c>
      <c r="S26" s="26">
        <f t="shared" si="23"/>
        <v>46.115702479338843</v>
      </c>
      <c r="T26" s="26">
        <f t="shared" si="24"/>
        <v>142.98293271403665</v>
      </c>
      <c r="U26" s="26" t="str">
        <f>IF(VLOOKUP($C26,COS!$B$8:$I$991,8,FALSE)=1,"UWFE","IBU")</f>
        <v>IBU</v>
      </c>
      <c r="V26" s="26">
        <f t="shared" ref="V26" si="30">MIN(IF(IF($AA$3=2,AND(E26=1,G26=1,L26=1,L28=1,M26=1,U26="IBU"),AND(E26=1,G26=1,L26=1,L28=1,M26=1)),T26,0),I26)</f>
        <v>0</v>
      </c>
      <c r="W26" s="26"/>
      <c r="X26" s="26"/>
      <c r="Y26" s="26"/>
      <c r="Z26" s="26"/>
      <c r="AA26" s="26"/>
      <c r="AB26" s="33"/>
      <c r="AC26" s="6"/>
      <c r="AD26" s="44">
        <v>1934</v>
      </c>
      <c r="AE26" s="45">
        <f>VLOOKUP(AD26,Flags!$A$13:$B$95,2,FALSE)</f>
        <v>5</v>
      </c>
      <c r="AF26" s="44">
        <f t="shared" si="6"/>
        <v>61.140804816632233</v>
      </c>
      <c r="AG26" s="44">
        <f t="shared" si="7"/>
        <v>437.14556387404764</v>
      </c>
      <c r="AH26" s="44">
        <f t="shared" si="8"/>
        <v>61.140804816632233</v>
      </c>
      <c r="AI26" s="44">
        <f t="shared" si="9"/>
        <v>23163.341852886104</v>
      </c>
      <c r="AJ26" s="44">
        <f t="shared" si="10"/>
        <v>541.70656306495357</v>
      </c>
      <c r="AK26" s="44">
        <f t="shared" si="1"/>
        <v>464.95812314372415</v>
      </c>
      <c r="AL26" s="44">
        <f t="shared" si="11"/>
        <v>61.140804816632233</v>
      </c>
      <c r="AN26" s="6">
        <v>60</v>
      </c>
      <c r="AO26">
        <f t="shared" si="26"/>
        <v>20</v>
      </c>
      <c r="AP26">
        <f t="shared" si="29"/>
        <v>176.62679448211293</v>
      </c>
    </row>
    <row r="27" spans="1:42" x14ac:dyDescent="0.3">
      <c r="A27" s="32">
        <f>VLOOKUP(YEAR(C27),Flags!$A$13:$B$95,2,FALSE)</f>
        <v>3</v>
      </c>
      <c r="B27" s="24">
        <f t="shared" si="2"/>
        <v>1923</v>
      </c>
      <c r="C27" s="25">
        <v>8644</v>
      </c>
      <c r="D27" s="26"/>
      <c r="E27" s="24"/>
      <c r="F27" s="26"/>
      <c r="G27" s="24"/>
      <c r="H27" s="24"/>
      <c r="I27" s="26"/>
      <c r="J27" s="24"/>
      <c r="K27" s="26"/>
      <c r="L27" s="24"/>
      <c r="M27" s="24"/>
      <c r="N27" s="26"/>
      <c r="O27" s="26"/>
      <c r="P27" s="26"/>
      <c r="Q27" s="26"/>
      <c r="R27" s="26"/>
      <c r="S27" s="26"/>
      <c r="T27" s="26"/>
      <c r="U27" s="26"/>
      <c r="V27" s="26"/>
      <c r="W27" s="26">
        <f>MAX($C$7-VLOOKUP($C27,COS!$B$8:$H$991,3,FALSE),0)</f>
        <v>90980.109375</v>
      </c>
      <c r="X27" s="26">
        <f t="shared" ref="X27:X90" si="31">W27*DAY($C27)*86400/43560/1000</f>
        <v>5594.1488739669421</v>
      </c>
      <c r="Y27" s="26">
        <f>VLOOKUP($C27,COS!$B$8:$H$991,4,FALSE)</f>
        <v>223.26168823242188</v>
      </c>
      <c r="Z27" s="26">
        <f t="shared" ref="Z27:Z90" si="32">Y27*DAY($C27)*86400/43560/1000</f>
        <v>13.727826119415031</v>
      </c>
      <c r="AA27" s="26">
        <f t="shared" ref="AA27:AA31" si="33">MIN(W27,Y27)</f>
        <v>223.26168823242188</v>
      </c>
      <c r="AB27" s="33">
        <f t="shared" ref="AB27:AB85" si="34">AA27*DAY($C27)*86400/43560/1000*IF(MONTH($C27)=8,$P$3,IF(MONTH($C27)=9,$P$4,IF(MONTH($C27)=10,$P$5,IF(MONTH($C27)=11,$P$6,IF(MONTH($C27)=12,$P$7,NA())))))</f>
        <v>13.727826119415031</v>
      </c>
      <c r="AC27" s="6"/>
      <c r="AD27" s="43">
        <v>1935</v>
      </c>
      <c r="AE27" s="1">
        <f>VLOOKUP(AD27,Flags!$A$13:$B$95,2,FALSE)</f>
        <v>4</v>
      </c>
      <c r="AF27" s="43">
        <f t="shared" si="6"/>
        <v>0</v>
      </c>
      <c r="AG27" s="43">
        <f t="shared" si="7"/>
        <v>440.41639449379659</v>
      </c>
      <c r="AH27" s="43">
        <f t="shared" si="8"/>
        <v>0</v>
      </c>
      <c r="AI27" s="43">
        <f t="shared" si="9"/>
        <v>23012.192735989156</v>
      </c>
      <c r="AJ27" s="43">
        <f t="shared" si="10"/>
        <v>121.23425982388584</v>
      </c>
      <c r="AK27" s="43">
        <f t="shared" si="1"/>
        <v>106.91905838391013</v>
      </c>
      <c r="AL27" s="43">
        <f t="shared" si="11"/>
        <v>0</v>
      </c>
      <c r="AN27" s="6">
        <v>90</v>
      </c>
      <c r="AO27">
        <f t="shared" si="26"/>
        <v>19</v>
      </c>
      <c r="AP27">
        <f t="shared" si="29"/>
        <v>182.70500446450666</v>
      </c>
    </row>
    <row r="28" spans="1:42" x14ac:dyDescent="0.3">
      <c r="A28" s="32">
        <f>VLOOKUP(YEAR(C28),Flags!$A$13:$B$95,2,FALSE)</f>
        <v>3</v>
      </c>
      <c r="B28" s="24">
        <f t="shared" si="2"/>
        <v>1923</v>
      </c>
      <c r="C28" s="25">
        <v>8674</v>
      </c>
      <c r="D28" s="26"/>
      <c r="E28" s="24"/>
      <c r="F28" s="26"/>
      <c r="G28" s="24"/>
      <c r="H28" s="24"/>
      <c r="I28" s="26"/>
      <c r="J28" s="24"/>
      <c r="K28" s="26">
        <f>VLOOKUP($C28,COS!$B$8:$H$991,2,FALSE)</f>
        <v>2596.2392578125</v>
      </c>
      <c r="L28" s="24">
        <f t="shared" ref="L28" si="35">IF(AND(K28&gt;$I$7,K28&lt;$I$8),1,0)</f>
        <v>1</v>
      </c>
      <c r="M28" s="24"/>
      <c r="N28" s="26"/>
      <c r="O28" s="26"/>
      <c r="P28" s="26"/>
      <c r="Q28" s="26"/>
      <c r="R28" s="26"/>
      <c r="S28" s="26"/>
      <c r="T28" s="26"/>
      <c r="U28" s="26"/>
      <c r="V28" s="26"/>
      <c r="W28" s="26">
        <f>MAX($C$8-VLOOKUP($C28,COS!$B$8:$H$991,3,FALSE),0)</f>
        <v>95583.35595703125</v>
      </c>
      <c r="X28" s="26">
        <f t="shared" si="31"/>
        <v>5687.6046519886368</v>
      </c>
      <c r="Y28" s="26">
        <f>VLOOKUP($C28,COS!$B$8:$H$991,4,FALSE)</f>
        <v>0</v>
      </c>
      <c r="Z28" s="26">
        <f t="shared" si="32"/>
        <v>0</v>
      </c>
      <c r="AA28" s="26">
        <f t="shared" si="33"/>
        <v>0</v>
      </c>
      <c r="AB28" s="33">
        <f t="shared" si="34"/>
        <v>0</v>
      </c>
      <c r="AC28" s="6"/>
      <c r="AD28" s="43">
        <v>1936</v>
      </c>
      <c r="AE28" s="1">
        <f>VLOOKUP(AD28,Flags!$A$13:$B$95,2,FALSE)</f>
        <v>3</v>
      </c>
      <c r="AF28" s="43">
        <f t="shared" si="6"/>
        <v>0</v>
      </c>
      <c r="AG28" s="43">
        <f t="shared" si="7"/>
        <v>458.57821461575088</v>
      </c>
      <c r="AH28" s="43">
        <f t="shared" si="8"/>
        <v>0</v>
      </c>
      <c r="AI28" s="43">
        <f t="shared" si="9"/>
        <v>22674.993048811983</v>
      </c>
      <c r="AJ28" s="43">
        <f t="shared" si="10"/>
        <v>178.08673882602659</v>
      </c>
      <c r="AK28" s="43">
        <f t="shared" si="1"/>
        <v>107.09379299699768</v>
      </c>
      <c r="AL28" s="43">
        <f t="shared" si="11"/>
        <v>0</v>
      </c>
      <c r="AN28" s="6">
        <v>100</v>
      </c>
      <c r="AO28">
        <f t="shared" si="26"/>
        <v>19</v>
      </c>
      <c r="AP28">
        <f t="shared" si="29"/>
        <v>182.70500446450666</v>
      </c>
    </row>
    <row r="29" spans="1:42" x14ac:dyDescent="0.3">
      <c r="A29" s="32">
        <f>VLOOKUP(YEAR(C29),Flags!$A$13:$B$95,2,FALSE)</f>
        <v>3</v>
      </c>
      <c r="B29" s="24">
        <f t="shared" si="2"/>
        <v>1923</v>
      </c>
      <c r="C29" s="25">
        <v>8705</v>
      </c>
      <c r="D29" s="26"/>
      <c r="E29" s="24"/>
      <c r="F29" s="26"/>
      <c r="G29" s="26"/>
      <c r="H29" s="26"/>
      <c r="I29" s="26"/>
      <c r="J29" s="26"/>
      <c r="K29" s="26"/>
      <c r="L29" s="24"/>
      <c r="M29" s="24"/>
      <c r="N29" s="26"/>
      <c r="O29" s="26"/>
      <c r="P29" s="26"/>
      <c r="Q29" s="26"/>
      <c r="R29" s="26"/>
      <c r="S29" s="26"/>
      <c r="T29" s="26"/>
      <c r="U29" s="26"/>
      <c r="V29" s="26"/>
      <c r="W29" s="26">
        <f>MAX($C$9-VLOOKUP($C29,COS!$B$8:$H$991,3,FALSE),0)</f>
        <v>95392.662109375</v>
      </c>
      <c r="X29" s="26">
        <f t="shared" si="31"/>
        <v>5865.4661660640504</v>
      </c>
      <c r="Y29" s="26">
        <f>VLOOKUP($C29,COS!$B$8:$H$991,4,FALSE)</f>
        <v>906.51263427734375</v>
      </c>
      <c r="Z29" s="26">
        <f t="shared" si="32"/>
        <v>55.739289248127584</v>
      </c>
      <c r="AA29" s="26">
        <f t="shared" si="33"/>
        <v>906.51263427734375</v>
      </c>
      <c r="AB29" s="33">
        <f t="shared" si="34"/>
        <v>55.739289248127584</v>
      </c>
      <c r="AC29" s="6"/>
      <c r="AD29" s="43">
        <v>1937</v>
      </c>
      <c r="AE29" s="1">
        <f>VLOOKUP(AD29,Flags!$A$13:$B$95,2,FALSE)</f>
        <v>4</v>
      </c>
      <c r="AF29" s="43">
        <f t="shared" si="6"/>
        <v>0</v>
      </c>
      <c r="AG29" s="43">
        <f t="shared" si="7"/>
        <v>463.36772512766936</v>
      </c>
      <c r="AH29" s="43">
        <f t="shared" si="8"/>
        <v>0</v>
      </c>
      <c r="AI29" s="43">
        <f t="shared" si="9"/>
        <v>22514.116536996382</v>
      </c>
      <c r="AJ29" s="43">
        <f t="shared" si="10"/>
        <v>104.74674873288998</v>
      </c>
      <c r="AK29" s="43">
        <f t="shared" si="1"/>
        <v>104.74674873288998</v>
      </c>
      <c r="AL29" s="43">
        <f t="shared" si="11"/>
        <v>0</v>
      </c>
      <c r="AN29" s="6">
        <v>120</v>
      </c>
      <c r="AO29">
        <f t="shared" si="26"/>
        <v>18</v>
      </c>
      <c r="AP29">
        <f t="shared" si="29"/>
        <v>186.70886273523334</v>
      </c>
    </row>
    <row r="30" spans="1:42" x14ac:dyDescent="0.3">
      <c r="A30" s="32">
        <f>VLOOKUP(YEAR(C30),Flags!$A$13:$B$95,2,FALSE)</f>
        <v>3</v>
      </c>
      <c r="B30" s="24">
        <f t="shared" si="2"/>
        <v>1923</v>
      </c>
      <c r="C30" s="25">
        <v>8735</v>
      </c>
      <c r="D30" s="26"/>
      <c r="E30" s="24"/>
      <c r="F30" s="26"/>
      <c r="G30" s="26"/>
      <c r="H30" s="26"/>
      <c r="I30" s="26"/>
      <c r="J30" s="26"/>
      <c r="K30" s="26"/>
      <c r="L30" s="24"/>
      <c r="M30" s="24"/>
      <c r="N30" s="26"/>
      <c r="O30" s="26"/>
      <c r="P30" s="26"/>
      <c r="Q30" s="26"/>
      <c r="R30" s="26"/>
      <c r="S30" s="26"/>
      <c r="T30" s="26"/>
      <c r="U30" s="26"/>
      <c r="V30" s="26"/>
      <c r="W30" s="26">
        <f>MAX($C$10-VLOOKUP($C30,COS!$B$8:$H$991,3,FALSE),0)</f>
        <v>94286.98779296875</v>
      </c>
      <c r="X30" s="26">
        <f t="shared" si="31"/>
        <v>5610.4653893336772</v>
      </c>
      <c r="Y30" s="26">
        <f>VLOOKUP($C30,COS!$B$8:$H$991,4,FALSE)</f>
        <v>1181.566162109375</v>
      </c>
      <c r="Z30" s="26">
        <f t="shared" si="32"/>
        <v>70.308069150309919</v>
      </c>
      <c r="AA30" s="26">
        <f t="shared" si="33"/>
        <v>1181.566162109375</v>
      </c>
      <c r="AB30" s="33">
        <f>AA30*DAY($C30)*86400/43560/1000*IF(MONTH($C30)=8,$P$3,IF(MONTH($C30)=9,$P$4,IF(MONTH($C30)=10,$P$5,IF(MONTH($C30)=11,$P$6,IF(MONTH($C30)=12,$P$7,NA())))))</f>
        <v>35.154034575154959</v>
      </c>
      <c r="AC30" s="6"/>
      <c r="AD30" s="43">
        <v>1938</v>
      </c>
      <c r="AE30" s="1">
        <f>VLOOKUP(AD30,Flags!$A$13:$B$95,2,FALSE)</f>
        <v>1</v>
      </c>
      <c r="AF30" s="43">
        <f t="shared" si="6"/>
        <v>467.85146435950412</v>
      </c>
      <c r="AG30" s="43">
        <f t="shared" si="7"/>
        <v>503.81098636847878</v>
      </c>
      <c r="AH30" s="43">
        <f t="shared" si="8"/>
        <v>0</v>
      </c>
      <c r="AI30" s="43">
        <f t="shared" si="9"/>
        <v>21785.538172778928</v>
      </c>
      <c r="AJ30" s="43">
        <f t="shared" si="10"/>
        <v>2.9732576581466295</v>
      </c>
      <c r="AK30" s="43">
        <f t="shared" si="1"/>
        <v>2.9732576581466295</v>
      </c>
      <c r="AL30" s="43">
        <f t="shared" si="11"/>
        <v>0</v>
      </c>
      <c r="AN30" s="6">
        <v>150</v>
      </c>
      <c r="AO30">
        <f t="shared" si="26"/>
        <v>9</v>
      </c>
      <c r="AP30">
        <f t="shared" si="29"/>
        <v>238.39098964218269</v>
      </c>
    </row>
    <row r="31" spans="1:42" x14ac:dyDescent="0.3">
      <c r="A31" s="34">
        <f>VLOOKUP(YEAR(C31),Flags!$A$13:$B$95,2,FALSE)</f>
        <v>3</v>
      </c>
      <c r="B31" s="35">
        <f t="shared" si="2"/>
        <v>1923</v>
      </c>
      <c r="C31" s="36">
        <v>8766</v>
      </c>
      <c r="D31" s="37"/>
      <c r="E31" s="35"/>
      <c r="F31" s="37"/>
      <c r="G31" s="37"/>
      <c r="H31" s="37"/>
      <c r="I31" s="37"/>
      <c r="J31" s="37"/>
      <c r="K31" s="37"/>
      <c r="L31" s="35"/>
      <c r="M31" s="35"/>
      <c r="N31" s="37"/>
      <c r="O31" s="37"/>
      <c r="P31" s="37"/>
      <c r="Q31" s="37"/>
      <c r="R31" s="37"/>
      <c r="S31" s="37"/>
      <c r="T31" s="37"/>
      <c r="U31" s="37"/>
      <c r="V31" s="37"/>
      <c r="W31" s="37">
        <f>MAX($C$11-VLOOKUP($C31,COS!$B$8:$H$991,3,FALSE),0)</f>
        <v>0</v>
      </c>
      <c r="X31" s="37">
        <f t="shared" si="31"/>
        <v>0</v>
      </c>
      <c r="Y31" s="37">
        <f>VLOOKUP($C31,COS!$B$8:$H$991,4,FALSE)</f>
        <v>1277.1646728515625</v>
      </c>
      <c r="Z31" s="37">
        <f t="shared" si="32"/>
        <v>78.529794760459708</v>
      </c>
      <c r="AA31" s="37">
        <f t="shared" si="33"/>
        <v>0</v>
      </c>
      <c r="AB31" s="38">
        <f t="shared" si="34"/>
        <v>0</v>
      </c>
      <c r="AC31" s="6"/>
      <c r="AD31" s="43">
        <v>1939</v>
      </c>
      <c r="AE31" s="1">
        <f>VLOOKUP(AD31,Flags!$A$13:$B$95,2,FALSE)</f>
        <v>3</v>
      </c>
      <c r="AF31" s="43">
        <f t="shared" si="6"/>
        <v>397.28989733987601</v>
      </c>
      <c r="AG31" s="43">
        <f t="shared" si="7"/>
        <v>495.32168643667683</v>
      </c>
      <c r="AH31" s="43">
        <f t="shared" si="8"/>
        <v>0</v>
      </c>
      <c r="AI31" s="43">
        <f t="shared" si="9"/>
        <v>22291.087903861051</v>
      </c>
      <c r="AJ31" s="43">
        <f t="shared" si="10"/>
        <v>623.40796705513947</v>
      </c>
      <c r="AK31" s="43">
        <f t="shared" si="1"/>
        <v>458.50778029764984</v>
      </c>
      <c r="AL31" s="43">
        <f t="shared" si="11"/>
        <v>0</v>
      </c>
      <c r="AN31" s="6">
        <v>180</v>
      </c>
      <c r="AO31">
        <f t="shared" si="26"/>
        <v>8</v>
      </c>
      <c r="AP31">
        <f t="shared" si="29"/>
        <v>247.87937633608985</v>
      </c>
    </row>
    <row r="32" spans="1:42" x14ac:dyDescent="0.3">
      <c r="A32" s="27">
        <f>VLOOKUP(YEAR(C32),Flags!$A$13:$B$95,2,FALSE)</f>
        <v>5</v>
      </c>
      <c r="B32" s="28">
        <f t="shared" si="2"/>
        <v>1924</v>
      </c>
      <c r="C32" s="29">
        <v>8887</v>
      </c>
      <c r="D32" s="30">
        <f>VLOOKUP($C32,COS!$B$8:$H$991,3,FALSE)</f>
        <v>5624.3779296875</v>
      </c>
      <c r="E32" s="28">
        <f>IF(D32&gt;=IF(MONTH($C32)=4,$C$3,IF(MONTH($C32)=5,$C$4,IF(MONTH($C32)=6,$C$5,IF(MONTH($C32)=7,$C$6,"ERROR")))),1,0)</f>
        <v>0</v>
      </c>
      <c r="F32" s="30">
        <f>VLOOKUP($C32,COS!$B$8:$H$991,7,FALSE)</f>
        <v>51.900558471679688</v>
      </c>
      <c r="G32" s="28">
        <f>IF(F32&lt;=IF(MONTH($C32)=4,$F$3,IF(MONTH($C32)=5,$F$4,IF(MONTH($C32)=6,$F$5,IF(MONTH($C32)=7,$F$6,"ERROR")))),1,0)</f>
        <v>1</v>
      </c>
      <c r="H32" s="30">
        <f>IF(J32=1,D32-$C$3,0)</f>
        <v>0</v>
      </c>
      <c r="I32" s="30">
        <f t="shared" si="17"/>
        <v>0</v>
      </c>
      <c r="J32" s="28">
        <f t="shared" ref="J32:J35" si="36">IF(AND(E32=1,G32=1),1,0)</f>
        <v>0</v>
      </c>
      <c r="K32" s="30">
        <f>VLOOKUP($C32,COS!$B$8:$H$991,2,FALSE)</f>
        <v>2500</v>
      </c>
      <c r="L32" s="28">
        <f t="shared" ref="L32" si="37">IF(K32&lt;=IF(MONTH($C32)=4,$I$3,IF(MONTH($C32)=5,$I$4,IF(MONTH($C32)=6,$I$5,IF(MONTH($C32)=7,$I$6,"ERROR")))),1,0)</f>
        <v>1</v>
      </c>
      <c r="M32" s="28">
        <f t="shared" ref="M32" si="38">VLOOKUP($A32,$L$3:$M$7,2,FALSE)</f>
        <v>1</v>
      </c>
      <c r="N32" s="30">
        <f>VLOOKUP($C32,COS!$B$8:$H$991,5,FALSE)</f>
        <v>202.00408935546875</v>
      </c>
      <c r="O32" s="30">
        <f t="shared" ref="O32:O35" si="39">N32*DAY($C32)*86400/43560/1000</f>
        <v>12.020078044292354</v>
      </c>
      <c r="P32" s="30">
        <f>VLOOKUP($C32,COS!$B$8:$H$991,6,FALSE)</f>
        <v>537.10101318359375</v>
      </c>
      <c r="Q32" s="30">
        <f t="shared" ref="Q32:Q35" si="40">P32*DAY($C32)*86400/43560/1000</f>
        <v>31.959729710098141</v>
      </c>
      <c r="R32" s="30">
        <f>MIN(IF(MONTH($C32)=4,$S$3,IF(MONTH($C32)=5,$S$4,IF(MONTH($C32)=6,$S$5,IF(MONTH($C32)=7,$S$6,"ERROR")))),MAX(VLOOKUP($C32,COS!$B$8:$K$991,10,FALSE)-IF(MONTH($C32)=4,$Y$3,IF(MONTH($C32)=5,$Y$4,IF(MONTH($C32)=6,$Y$5,IF(MONTH($C32)=7,$Y$6,"ERROR")))),0),MAX(VLOOKUP($C32,COS!$B$8:$K$991,9,FALSE)-IF(MONTH($C32)=4,$V$3,IF(MONTH($C32)=5,$V$4,IF(MONTH($C32)=6,$V$5,IF(MONTH($C32)=7,$V$6,"ERROR"))))-VLOOKUP($C32,COS!$B$8:$K$991,6,FALSE)/2,0))</f>
        <v>750</v>
      </c>
      <c r="S32" s="30">
        <f t="shared" ref="S32:S35" si="41">R32*DAY($C32)*86400/43560/1000</f>
        <v>44.628099173553714</v>
      </c>
      <c r="T32" s="30">
        <f t="shared" ref="T32:T35" si="42">(O32+Q32)/2+S32</f>
        <v>66.618003050748968</v>
      </c>
      <c r="U32" s="30" t="str">
        <f>IF(VLOOKUP($C32,COS!$B$8:$I$991,8,FALSE)=1,"UWFE","IBU")</f>
        <v>IBU</v>
      </c>
      <c r="V32" s="30">
        <f t="shared" ref="V32" si="43">MIN(IF(IF($AA$3=2,AND(E32=1,G32=1,L32=1,L37=1,M32=1,U32="IBU"),AND(E32=1,G32=1,L32=1,L37=1,M32=1)),T32,0),I32)</f>
        <v>0</v>
      </c>
      <c r="W32" s="30"/>
      <c r="X32" s="30"/>
      <c r="Y32" s="30"/>
      <c r="Z32" s="30"/>
      <c r="AA32" s="30"/>
      <c r="AB32" s="31"/>
      <c r="AC32" s="6"/>
      <c r="AD32" s="43">
        <v>1940</v>
      </c>
      <c r="AE32" s="1">
        <f>VLOOKUP(AD32,Flags!$A$13:$B$95,2,FALSE)</f>
        <v>2</v>
      </c>
      <c r="AF32" s="43">
        <f t="shared" si="6"/>
        <v>229.39817858987604</v>
      </c>
      <c r="AG32" s="43">
        <f t="shared" si="7"/>
        <v>482.28678918759681</v>
      </c>
      <c r="AH32" s="43">
        <f t="shared" si="8"/>
        <v>0</v>
      </c>
      <c r="AI32" s="43">
        <f t="shared" si="9"/>
        <v>22070.347577479341</v>
      </c>
      <c r="AJ32" s="43">
        <f t="shared" si="10"/>
        <v>129.20468558319345</v>
      </c>
      <c r="AK32" s="43">
        <f t="shared" si="1"/>
        <v>96.313467785543651</v>
      </c>
      <c r="AL32" s="43">
        <f t="shared" si="11"/>
        <v>0</v>
      </c>
      <c r="AN32" s="6">
        <v>210</v>
      </c>
      <c r="AO32">
        <f t="shared" si="26"/>
        <v>7</v>
      </c>
      <c r="AP32">
        <f t="shared" si="29"/>
        <v>256.35874861716098</v>
      </c>
    </row>
    <row r="33" spans="1:42" x14ac:dyDescent="0.3">
      <c r="A33" s="32">
        <f>VLOOKUP(YEAR(C33),Flags!$A$13:$B$95,2,FALSE)</f>
        <v>5</v>
      </c>
      <c r="B33" s="24">
        <f t="shared" si="2"/>
        <v>1924</v>
      </c>
      <c r="C33" s="25">
        <v>8918</v>
      </c>
      <c r="D33" s="26">
        <f>VLOOKUP($C33,COS!$B$8:$H$991,3,FALSE)</f>
        <v>8620.7529296875</v>
      </c>
      <c r="E33" s="24">
        <f>IF(D33&gt;=IF(MONTH($C33)=4,$C$3,IF(MONTH($C33)=5,$C$4,IF(MONTH($C33)=6,$C$5,IF(MONTH($C33)=7,$C$6,"ERROR")))),1,0)</f>
        <v>1</v>
      </c>
      <c r="F33" s="26">
        <f>VLOOKUP($C33,COS!$B$8:$H$991,7,FALSE)</f>
        <v>55.089752197265625</v>
      </c>
      <c r="G33" s="24">
        <f>IF(F33&lt;=IF(MONTH($C33)=4,$F$3,IF(MONTH($C33)=5,$F$4,IF(MONTH($C33)=6,$F$5,IF(MONTH($C33)=7,$F$6,"ERROR")))),1,0)</f>
        <v>1</v>
      </c>
      <c r="H33" s="26">
        <f>IF(J33=1,D33-$C$4,0)</f>
        <v>2620.7529296875</v>
      </c>
      <c r="I33" s="26">
        <f t="shared" si="17"/>
        <v>161.14381650309917</v>
      </c>
      <c r="J33" s="24">
        <f t="shared" si="36"/>
        <v>1</v>
      </c>
      <c r="K33" s="26">
        <f>VLOOKUP($C33,COS!$B$8:$H$991,2,FALSE)</f>
        <v>2135.375732421875</v>
      </c>
      <c r="L33" s="24">
        <f t="shared" si="19"/>
        <v>1</v>
      </c>
      <c r="M33" s="24">
        <f t="shared" si="20"/>
        <v>1</v>
      </c>
      <c r="N33" s="26">
        <f>VLOOKUP($C33,COS!$B$8:$H$991,5,FALSE)</f>
        <v>220.09066772460938</v>
      </c>
      <c r="O33" s="26">
        <f t="shared" si="39"/>
        <v>13.532847668356148</v>
      </c>
      <c r="P33" s="26">
        <f>VLOOKUP($C33,COS!$B$8:$H$991,6,FALSE)</f>
        <v>2324.4033203125</v>
      </c>
      <c r="Q33" s="26">
        <f t="shared" si="40"/>
        <v>142.92198928202478</v>
      </c>
      <c r="R33" s="26">
        <f>MIN(IF(MONTH($C33)=4,$S$3,IF(MONTH($C33)=5,$S$4,IF(MONTH($C33)=6,$S$5,IF(MONTH($C33)=7,$S$6,"ERROR")))),MAX(VLOOKUP($C33,COS!$B$8:$K$991,10,FALSE)-IF(MONTH($C33)=4,$Y$3,IF(MONTH($C33)=5,$Y$4,IF(MONTH($C33)=6,$Y$5,IF(MONTH($C33)=7,$Y$6,"ERROR")))),0),MAX(VLOOKUP($C33,COS!$B$8:$K$991,9,FALSE)-IF(MONTH($C33)=4,$V$3,IF(MONTH($C33)=5,$V$4,IF(MONTH($C33)=6,$V$5,IF(MONTH($C33)=7,$V$6,"ERROR"))))-VLOOKUP($C33,COS!$B$8:$K$991,6,FALSE)/2,0))</f>
        <v>750</v>
      </c>
      <c r="S33" s="26">
        <f t="shared" si="41"/>
        <v>46.115702479338843</v>
      </c>
      <c r="T33" s="26">
        <f t="shared" si="42"/>
        <v>124.3431209545293</v>
      </c>
      <c r="U33" s="26" t="str">
        <f>IF(VLOOKUP($C33,COS!$B$8:$I$991,8,FALSE)=1,"UWFE","IBU")</f>
        <v>IBU</v>
      </c>
      <c r="V33" s="26">
        <f t="shared" ref="V33" si="44">MIN(IF(IF($AA$3=2,AND(E33=1,G33=1,L33=1,L37=1,M33=1,U33="IBU"),AND(E33=1,G33=1,L33=1,L37=1,M33=1)),T33,0),I33)</f>
        <v>124.3431209545293</v>
      </c>
      <c r="W33" s="26"/>
      <c r="X33" s="26"/>
      <c r="Y33" s="26"/>
      <c r="Z33" s="26"/>
      <c r="AA33" s="26"/>
      <c r="AB33" s="33"/>
      <c r="AC33" s="6"/>
      <c r="AD33" s="43">
        <v>1941</v>
      </c>
      <c r="AE33" s="1">
        <f>VLOOKUP(AD33,Flags!$A$13:$B$95,2,FALSE)</f>
        <v>1</v>
      </c>
      <c r="AF33" s="43">
        <f t="shared" si="6"/>
        <v>840.21232050619835</v>
      </c>
      <c r="AG33" s="43">
        <f t="shared" si="7"/>
        <v>485.63226319242114</v>
      </c>
      <c r="AH33" s="43">
        <f t="shared" si="8"/>
        <v>0</v>
      </c>
      <c r="AI33" s="43">
        <f t="shared" si="9"/>
        <v>21450.978354855375</v>
      </c>
      <c r="AJ33" s="43">
        <f t="shared" si="10"/>
        <v>62.00514242377163</v>
      </c>
      <c r="AK33" s="43">
        <f t="shared" si="1"/>
        <v>48.449239264874421</v>
      </c>
      <c r="AL33" s="43">
        <f t="shared" si="11"/>
        <v>0</v>
      </c>
      <c r="AN33" s="6">
        <v>240</v>
      </c>
      <c r="AO33">
        <f t="shared" si="26"/>
        <v>4</v>
      </c>
      <c r="AP33">
        <f t="shared" si="29"/>
        <v>276.31961292991957</v>
      </c>
    </row>
    <row r="34" spans="1:42" x14ac:dyDescent="0.3">
      <c r="A34" s="32">
        <f>VLOOKUP(YEAR(C34),Flags!$A$13:$B$95,2,FALSE)</f>
        <v>5</v>
      </c>
      <c r="B34" s="24">
        <f t="shared" si="2"/>
        <v>1924</v>
      </c>
      <c r="C34" s="25">
        <v>8948</v>
      </c>
      <c r="D34" s="26">
        <f>VLOOKUP($C34,COS!$B$8:$H$991,3,FALSE)</f>
        <v>8906.197265625</v>
      </c>
      <c r="E34" s="24">
        <f>IF(D34&gt;=IF(MONTH($C34)=4,$C$3,IF(MONTH($C34)=5,$C$4,IF(MONTH($C34)=6,$C$5,IF(MONTH($C34)=7,$C$6,"ERROR")))),1,0)</f>
        <v>0</v>
      </c>
      <c r="F34" s="26">
        <f>VLOOKUP($C34,COS!$B$8:$H$991,7,FALSE)</f>
        <v>56.186325073242188</v>
      </c>
      <c r="G34" s="24">
        <f>IF(F34&lt;=IF(MONTH($C34)=4,$F$3,IF(MONTH($C34)=5,$F$4,IF(MONTH($C34)=6,$F$5,IF(MONTH($C34)=7,$F$6,"ERROR")))),1,0)</f>
        <v>0</v>
      </c>
      <c r="H34" s="26">
        <f>IF(J34=1,D34-$C$5,0)</f>
        <v>0</v>
      </c>
      <c r="I34" s="26">
        <f t="shared" si="17"/>
        <v>0</v>
      </c>
      <c r="J34" s="24">
        <f t="shared" si="36"/>
        <v>0</v>
      </c>
      <c r="K34" s="26">
        <f>VLOOKUP($C34,COS!$B$8:$H$991,2,FALSE)</f>
        <v>1764.862060546875</v>
      </c>
      <c r="L34" s="24">
        <f t="shared" si="19"/>
        <v>1</v>
      </c>
      <c r="M34" s="24">
        <f t="shared" si="20"/>
        <v>1</v>
      </c>
      <c r="N34" s="26">
        <f>VLOOKUP($C34,COS!$B$8:$H$991,5,FALSE)</f>
        <v>251.78248596191406</v>
      </c>
      <c r="O34" s="26">
        <f t="shared" si="39"/>
        <v>14.982098338229596</v>
      </c>
      <c r="P34" s="26">
        <f>VLOOKUP($C34,COS!$B$8:$H$991,6,FALSE)</f>
        <v>2484.036376953125</v>
      </c>
      <c r="Q34" s="26">
        <f t="shared" si="40"/>
        <v>147.81042904183886</v>
      </c>
      <c r="R34" s="26">
        <f>MIN(IF(MONTH($C34)=4,$S$3,IF(MONTH($C34)=5,$S$4,IF(MONTH($C34)=6,$S$5,IF(MONTH($C34)=7,$S$6,"ERROR")))),MAX(VLOOKUP($C34,COS!$B$8:$K$991,10,FALSE)-IF(MONTH($C34)=4,$Y$3,IF(MONTH($C34)=5,$Y$4,IF(MONTH($C34)=6,$Y$5,IF(MONTH($C34)=7,$Y$6,"ERROR")))),0),MAX(VLOOKUP($C34,COS!$B$8:$K$991,9,FALSE)-IF(MONTH($C34)=4,$V$3,IF(MONTH($C34)=5,$V$4,IF(MONTH($C34)=6,$V$5,IF(MONTH($C34)=7,$V$6,"ERROR"))))-VLOOKUP($C34,COS!$B$8:$K$991,6,FALSE)/2,0))</f>
        <v>750</v>
      </c>
      <c r="S34" s="26">
        <f t="shared" si="41"/>
        <v>44.628099173553714</v>
      </c>
      <c r="T34" s="26">
        <f t="shared" si="42"/>
        <v>126.02436286358795</v>
      </c>
      <c r="U34" s="26" t="str">
        <f>IF(VLOOKUP($C34,COS!$B$8:$I$991,8,FALSE)=1,"UWFE","IBU")</f>
        <v>IBU</v>
      </c>
      <c r="V34" s="26">
        <f t="shared" ref="V34" si="45">MIN(IF(IF($AA$3=2,AND(E34=1,G34=1,L34=1,L37=1,M34=1,U34="IBU"),AND(E34=1,G34=1,L34=1,L37=1,M34=1)),T34,0),I34)</f>
        <v>0</v>
      </c>
      <c r="W34" s="26"/>
      <c r="X34" s="26"/>
      <c r="Y34" s="26"/>
      <c r="Z34" s="26"/>
      <c r="AA34" s="26"/>
      <c r="AB34" s="33"/>
      <c r="AC34" s="6"/>
      <c r="AD34" s="43">
        <v>1942</v>
      </c>
      <c r="AE34" s="1">
        <f>VLOOKUP(AD34,Flags!$A$13:$B$95,2,FALSE)</f>
        <v>1</v>
      </c>
      <c r="AF34" s="43">
        <f t="shared" si="6"/>
        <v>277.68167936466938</v>
      </c>
      <c r="AG34" s="43">
        <f t="shared" si="7"/>
        <v>499.9757400285705</v>
      </c>
      <c r="AH34" s="43">
        <f t="shared" si="8"/>
        <v>0</v>
      </c>
      <c r="AI34" s="43">
        <f t="shared" si="9"/>
        <v>21514.893252195248</v>
      </c>
      <c r="AJ34" s="43">
        <f t="shared" si="10"/>
        <v>142.97065114927688</v>
      </c>
      <c r="AK34" s="43">
        <f t="shared" si="1"/>
        <v>106.14138857502583</v>
      </c>
      <c r="AL34" s="43">
        <f t="shared" si="11"/>
        <v>0</v>
      </c>
      <c r="AN34" s="6"/>
    </row>
    <row r="35" spans="1:42" x14ac:dyDescent="0.3">
      <c r="A35" s="32">
        <f>VLOOKUP(YEAR(C35),Flags!$A$13:$B$95,2,FALSE)</f>
        <v>5</v>
      </c>
      <c r="B35" s="24">
        <f t="shared" si="2"/>
        <v>1924</v>
      </c>
      <c r="C35" s="25">
        <v>8979</v>
      </c>
      <c r="D35" s="26">
        <f>VLOOKUP($C35,COS!$B$8:$H$991,3,FALSE)</f>
        <v>9371.8037109375</v>
      </c>
      <c r="E35" s="24">
        <f>IF(D35&gt;=IF(MONTH($C35)=4,$C$3,IF(MONTH($C35)=5,$C$4,IF(MONTH($C35)=6,$C$5,IF(MONTH($C35)=7,$C$6,"ERROR")))),1,0)</f>
        <v>0</v>
      </c>
      <c r="F35" s="26">
        <f>VLOOKUP($C35,COS!$B$8:$H$991,7,FALSE)</f>
        <v>55.104015350341797</v>
      </c>
      <c r="G35" s="24">
        <f>IF(F35&lt;=IF(MONTH($C35)=4,$F$3,IF(MONTH($C35)=5,$F$4,IF(MONTH($C35)=6,$F$5,IF(MONTH($C35)=7,$F$6,"ERROR")))),1,0)</f>
        <v>0</v>
      </c>
      <c r="H35" s="26">
        <f>IF(J35=1,D35-$C$6,0)</f>
        <v>0</v>
      </c>
      <c r="I35" s="26">
        <f t="shared" si="17"/>
        <v>0</v>
      </c>
      <c r="J35" s="24">
        <f t="shared" si="36"/>
        <v>0</v>
      </c>
      <c r="K35" s="26">
        <f>VLOOKUP($C35,COS!$B$8:$H$991,2,FALSE)</f>
        <v>1413.5540771484375</v>
      </c>
      <c r="L35" s="24">
        <f t="shared" si="19"/>
        <v>1</v>
      </c>
      <c r="M35" s="24">
        <f t="shared" si="20"/>
        <v>1</v>
      </c>
      <c r="N35" s="26">
        <f>VLOOKUP($C35,COS!$B$8:$H$991,5,FALSE)</f>
        <v>274.10446166992188</v>
      </c>
      <c r="O35" s="26">
        <f t="shared" si="39"/>
        <v>16.854026403505941</v>
      </c>
      <c r="P35" s="26">
        <f>VLOOKUP($C35,COS!$B$8:$H$991,6,FALSE)</f>
        <v>2281.4833984375</v>
      </c>
      <c r="Q35" s="26">
        <f t="shared" si="40"/>
        <v>140.28294615185951</v>
      </c>
      <c r="R35" s="26">
        <f>MIN(IF(MONTH($C35)=4,$S$3,IF(MONTH($C35)=5,$S$4,IF(MONTH($C35)=6,$S$5,IF(MONTH($C35)=7,$S$6,"ERROR")))),MAX(VLOOKUP($C35,COS!$B$8:$K$991,10,FALSE)-IF(MONTH($C35)=4,$Y$3,IF(MONTH($C35)=5,$Y$4,IF(MONTH($C35)=6,$Y$5,IF(MONTH($C35)=7,$Y$6,"ERROR")))),0),MAX(VLOOKUP($C35,COS!$B$8:$K$991,9,FALSE)-IF(MONTH($C35)=4,$V$3,IF(MONTH($C35)=5,$V$4,IF(MONTH($C35)=6,$V$5,IF(MONTH($C35)=7,$V$6,"ERROR"))))-VLOOKUP($C35,COS!$B$8:$K$991,6,FALSE)/2,0))</f>
        <v>750</v>
      </c>
      <c r="S35" s="26">
        <f t="shared" si="41"/>
        <v>46.115702479338843</v>
      </c>
      <c r="T35" s="26">
        <f t="shared" si="42"/>
        <v>124.68418875702156</v>
      </c>
      <c r="U35" s="26" t="str">
        <f>IF(VLOOKUP($C35,COS!$B$8:$I$991,8,FALSE)=1,"UWFE","IBU")</f>
        <v>IBU</v>
      </c>
      <c r="V35" s="26">
        <f t="shared" ref="V35" si="46">MIN(IF(IF($AA$3=2,AND(E35=1,G35=1,L35=1,L37=1,M35=1,U35="IBU"),AND(E35=1,G35=1,L35=1,L37=1,M35=1)),T35,0),I35)</f>
        <v>0</v>
      </c>
      <c r="W35" s="26"/>
      <c r="X35" s="26"/>
      <c r="Y35" s="26"/>
      <c r="Z35" s="26"/>
      <c r="AA35" s="26"/>
      <c r="AB35" s="33"/>
      <c r="AC35" s="6"/>
      <c r="AD35" s="43">
        <v>1943</v>
      </c>
      <c r="AE35" s="1">
        <f>VLOOKUP(AD35,Flags!$A$13:$B$95,2,FALSE)</f>
        <v>1</v>
      </c>
      <c r="AF35" s="43">
        <f t="shared" si="6"/>
        <v>317.65369544163224</v>
      </c>
      <c r="AG35" s="43">
        <f t="shared" si="7"/>
        <v>496.44766294873455</v>
      </c>
      <c r="AH35" s="43">
        <f t="shared" si="8"/>
        <v>0</v>
      </c>
      <c r="AI35" s="43">
        <f t="shared" si="9"/>
        <v>21355.303961776859</v>
      </c>
      <c r="AJ35" s="43">
        <f t="shared" si="10"/>
        <v>283.83824287855919</v>
      </c>
      <c r="AK35" s="43">
        <f t="shared" si="1"/>
        <v>197.60666820683753</v>
      </c>
      <c r="AL35" s="43">
        <f t="shared" si="11"/>
        <v>0</v>
      </c>
    </row>
    <row r="36" spans="1:42" x14ac:dyDescent="0.3">
      <c r="A36" s="32">
        <f>VLOOKUP(YEAR(C36),Flags!$A$13:$B$95,2,FALSE)</f>
        <v>5</v>
      </c>
      <c r="B36" s="24">
        <f t="shared" si="2"/>
        <v>1924</v>
      </c>
      <c r="C36" s="25">
        <v>9010</v>
      </c>
      <c r="D36" s="26"/>
      <c r="E36" s="24"/>
      <c r="F36" s="26"/>
      <c r="G36" s="24"/>
      <c r="H36" s="24"/>
      <c r="I36" s="26"/>
      <c r="J36" s="24"/>
      <c r="K36" s="26"/>
      <c r="L36" s="24"/>
      <c r="M36" s="24"/>
      <c r="N36" s="26"/>
      <c r="O36" s="26"/>
      <c r="P36" s="26"/>
      <c r="Q36" s="26"/>
      <c r="R36" s="26"/>
      <c r="S36" s="26"/>
      <c r="T36" s="26"/>
      <c r="U36" s="26"/>
      <c r="V36" s="26"/>
      <c r="W36" s="26">
        <f>MAX($C$7-VLOOKUP($C36,COS!$B$8:$H$991,3,FALSE),0)</f>
        <v>91864.53125</v>
      </c>
      <c r="X36" s="26">
        <f t="shared" si="31"/>
        <v>5648.5298553719012</v>
      </c>
      <c r="Y36" s="26">
        <f>VLOOKUP($C36,COS!$B$8:$H$991,4,FALSE)</f>
        <v>3013.011474609375</v>
      </c>
      <c r="Z36" s="26">
        <f t="shared" si="32"/>
        <v>185.26285430655992</v>
      </c>
      <c r="AA36" s="26">
        <f t="shared" ref="AA36:AA40" si="47">MIN(W36,Y36)</f>
        <v>3013.011474609375</v>
      </c>
      <c r="AB36" s="33">
        <f t="shared" ref="AB36" si="48">AA36*DAY($C36)*86400/43560/1000*IF(MONTH($C36)=8,$P$3,IF(MONTH($C36)=9,$P$4,IF(MONTH($C36)=10,$P$5,IF(MONTH($C36)=11,$P$6,IF(MONTH($C36)=12,$P$7,NA())))))</f>
        <v>185.26285430655992</v>
      </c>
      <c r="AC36" s="6"/>
      <c r="AD36" s="43">
        <v>1944</v>
      </c>
      <c r="AE36" s="1">
        <f>VLOOKUP(AD36,Flags!$A$13:$B$95,2,FALSE)</f>
        <v>4</v>
      </c>
      <c r="AF36" s="43">
        <f t="shared" si="6"/>
        <v>0</v>
      </c>
      <c r="AG36" s="43">
        <f t="shared" si="7"/>
        <v>427.7253267940805</v>
      </c>
      <c r="AH36" s="43">
        <f t="shared" si="8"/>
        <v>0</v>
      </c>
      <c r="AI36" s="43">
        <f t="shared" si="9"/>
        <v>22830.62372707903</v>
      </c>
      <c r="AJ36" s="43">
        <f t="shared" si="10"/>
        <v>425.35607502582639</v>
      </c>
      <c r="AK36" s="43">
        <f t="shared" si="1"/>
        <v>270.94423537577478</v>
      </c>
      <c r="AL36" s="43">
        <f t="shared" si="11"/>
        <v>0</v>
      </c>
    </row>
    <row r="37" spans="1:42" x14ac:dyDescent="0.3">
      <c r="A37" s="32">
        <f>VLOOKUP(YEAR(C37),Flags!$A$13:$B$95,2,FALSE)</f>
        <v>5</v>
      </c>
      <c r="B37" s="24">
        <f t="shared" si="2"/>
        <v>1924</v>
      </c>
      <c r="C37" s="25">
        <v>9040</v>
      </c>
      <c r="D37" s="26"/>
      <c r="E37" s="24"/>
      <c r="F37" s="26"/>
      <c r="G37" s="24"/>
      <c r="H37" s="24"/>
      <c r="I37" s="26"/>
      <c r="J37" s="24"/>
      <c r="K37" s="26">
        <f>VLOOKUP($C37,COS!$B$8:$H$991,2,FALSE)</f>
        <v>953.81658935546875</v>
      </c>
      <c r="L37" s="24">
        <f t="shared" ref="L37" si="49">IF(AND(K37&gt;$I$7,K37&lt;$I$8),1,0)</f>
        <v>1</v>
      </c>
      <c r="M37" s="24"/>
      <c r="N37" s="26"/>
      <c r="O37" s="26"/>
      <c r="P37" s="26"/>
      <c r="Q37" s="26"/>
      <c r="R37" s="26"/>
      <c r="S37" s="26"/>
      <c r="T37" s="26"/>
      <c r="U37" s="26"/>
      <c r="V37" s="26"/>
      <c r="W37" s="26">
        <f>MAX($C$8-VLOOKUP($C37,COS!$B$8:$H$991,3,FALSE),0)</f>
        <v>93796.91650390625</v>
      </c>
      <c r="X37" s="26">
        <f t="shared" si="31"/>
        <v>5581.3041225464876</v>
      </c>
      <c r="Y37" s="26">
        <f>VLOOKUP($C37,COS!$B$8:$H$991,4,FALSE)</f>
        <v>1832.2586669921875</v>
      </c>
      <c r="Z37" s="26">
        <f t="shared" si="32"/>
        <v>109.02696200284092</v>
      </c>
      <c r="AA37" s="26">
        <f t="shared" si="47"/>
        <v>1832.2586669921875</v>
      </c>
      <c r="AB37" s="33">
        <f t="shared" si="34"/>
        <v>109.02696200284092</v>
      </c>
      <c r="AC37" s="6"/>
      <c r="AD37" s="43">
        <v>1945</v>
      </c>
      <c r="AE37" s="1">
        <f>VLOOKUP(AD37,Flags!$A$13:$B$95,2,FALSE)</f>
        <v>3</v>
      </c>
      <c r="AF37" s="43">
        <f t="shared" si="6"/>
        <v>114.73130423553718</v>
      </c>
      <c r="AG37" s="43">
        <f t="shared" si="7"/>
        <v>471.50210833588909</v>
      </c>
      <c r="AH37" s="43">
        <f t="shared" si="8"/>
        <v>0</v>
      </c>
      <c r="AI37" s="43">
        <f t="shared" si="9"/>
        <v>22557.930937500001</v>
      </c>
      <c r="AJ37" s="43">
        <f t="shared" si="10"/>
        <v>122.39421326188017</v>
      </c>
      <c r="AK37" s="43">
        <f t="shared" si="1"/>
        <v>101.6310337035124</v>
      </c>
      <c r="AL37" s="43">
        <f t="shared" si="11"/>
        <v>0</v>
      </c>
    </row>
    <row r="38" spans="1:42" x14ac:dyDescent="0.3">
      <c r="A38" s="32">
        <f>VLOOKUP(YEAR(C38),Flags!$A$13:$B$95,2,FALSE)</f>
        <v>5</v>
      </c>
      <c r="B38" s="24">
        <f t="shared" si="2"/>
        <v>1924</v>
      </c>
      <c r="C38" s="25">
        <v>9071</v>
      </c>
      <c r="D38" s="26"/>
      <c r="E38" s="24"/>
      <c r="F38" s="26"/>
      <c r="G38" s="26"/>
      <c r="H38" s="26"/>
      <c r="I38" s="26"/>
      <c r="J38" s="26"/>
      <c r="K38" s="26"/>
      <c r="L38" s="24"/>
      <c r="M38" s="24"/>
      <c r="N38" s="26"/>
      <c r="O38" s="26"/>
      <c r="P38" s="26"/>
      <c r="Q38" s="26"/>
      <c r="R38" s="26"/>
      <c r="S38" s="26"/>
      <c r="T38" s="26"/>
      <c r="U38" s="26"/>
      <c r="V38" s="26"/>
      <c r="W38" s="26">
        <f>MAX($C$9-VLOOKUP($C38,COS!$B$8:$H$991,3,FALSE),0)</f>
        <v>95975.56103515625</v>
      </c>
      <c r="X38" s="26">
        <f t="shared" si="31"/>
        <v>5901.3072239798548</v>
      </c>
      <c r="Y38" s="26">
        <f>VLOOKUP($C38,COS!$B$8:$H$991,4,FALSE)</f>
        <v>661.1058349609375</v>
      </c>
      <c r="Z38" s="26">
        <f t="shared" si="32"/>
        <v>40.649813323217977</v>
      </c>
      <c r="AA38" s="26">
        <f t="shared" si="47"/>
        <v>661.1058349609375</v>
      </c>
      <c r="AB38" s="33">
        <f t="shared" si="34"/>
        <v>40.649813323217977</v>
      </c>
      <c r="AC38" s="6"/>
      <c r="AD38" s="43">
        <v>1946</v>
      </c>
      <c r="AE38" s="1">
        <f>VLOOKUP(AD38,Flags!$A$13:$B$95,2,FALSE)</f>
        <v>2</v>
      </c>
      <c r="AF38" s="43">
        <f t="shared" si="6"/>
        <v>407.88433400051656</v>
      </c>
      <c r="AG38" s="43">
        <f t="shared" si="7"/>
        <v>522.16090061660634</v>
      </c>
      <c r="AH38" s="43">
        <f t="shared" si="8"/>
        <v>0</v>
      </c>
      <c r="AI38" s="43">
        <f t="shared" si="9"/>
        <v>21810.774801136362</v>
      </c>
      <c r="AJ38" s="43">
        <f t="shared" si="10"/>
        <v>168.4989415192407</v>
      </c>
      <c r="AK38" s="43">
        <f t="shared" si="1"/>
        <v>119.56327923230889</v>
      </c>
      <c r="AL38" s="43">
        <f t="shared" si="11"/>
        <v>0</v>
      </c>
    </row>
    <row r="39" spans="1:42" x14ac:dyDescent="0.3">
      <c r="A39" s="32">
        <f>VLOOKUP(YEAR(C39),Flags!$A$13:$B$95,2,FALSE)</f>
        <v>5</v>
      </c>
      <c r="B39" s="24">
        <f t="shared" si="2"/>
        <v>1924</v>
      </c>
      <c r="C39" s="25">
        <v>9101</v>
      </c>
      <c r="D39" s="26"/>
      <c r="E39" s="24"/>
      <c r="F39" s="26"/>
      <c r="G39" s="26"/>
      <c r="H39" s="26"/>
      <c r="I39" s="26"/>
      <c r="J39" s="26"/>
      <c r="K39" s="26"/>
      <c r="L39" s="24"/>
      <c r="M39" s="24"/>
      <c r="N39" s="26"/>
      <c r="O39" s="26"/>
      <c r="P39" s="26"/>
      <c r="Q39" s="26"/>
      <c r="R39" s="26"/>
      <c r="S39" s="26"/>
      <c r="T39" s="26"/>
      <c r="U39" s="26"/>
      <c r="V39" s="26"/>
      <c r="W39" s="26">
        <f>MAX($C$10-VLOOKUP($C39,COS!$B$8:$H$991,3,FALSE),0)</f>
        <v>96749</v>
      </c>
      <c r="X39" s="26">
        <f t="shared" si="31"/>
        <v>5756.965289256198</v>
      </c>
      <c r="Y39" s="26">
        <f>VLOOKUP($C39,COS!$B$8:$H$991,4,FALSE)</f>
        <v>1030.6826171875</v>
      </c>
      <c r="Z39" s="26">
        <f t="shared" si="32"/>
        <v>61.329874741735537</v>
      </c>
      <c r="AA39" s="26">
        <f t="shared" si="47"/>
        <v>1030.6826171875</v>
      </c>
      <c r="AB39" s="33">
        <f t="shared" si="34"/>
        <v>30.664937370867769</v>
      </c>
      <c r="AC39" s="6"/>
      <c r="AD39" s="43">
        <v>1947</v>
      </c>
      <c r="AE39" s="1">
        <f>VLOOKUP(AD39,Flags!$A$13:$B$95,2,FALSE)</f>
        <v>4</v>
      </c>
      <c r="AF39" s="43">
        <f t="shared" si="6"/>
        <v>277.55906249999998</v>
      </c>
      <c r="AG39" s="43">
        <f t="shared" si="7"/>
        <v>456.35458616146371</v>
      </c>
      <c r="AH39" s="43">
        <f t="shared" si="8"/>
        <v>237.51639891569278</v>
      </c>
      <c r="AI39" s="43">
        <f t="shared" si="9"/>
        <v>22894.272137138429</v>
      </c>
      <c r="AJ39" s="43">
        <f t="shared" si="10"/>
        <v>397.17103701252586</v>
      </c>
      <c r="AK39" s="43">
        <f t="shared" si="1"/>
        <v>267.69855565599175</v>
      </c>
      <c r="AL39" s="43">
        <f t="shared" si="11"/>
        <v>237.51639891569278</v>
      </c>
    </row>
    <row r="40" spans="1:42" x14ac:dyDescent="0.3">
      <c r="A40" s="34">
        <f>VLOOKUP(YEAR(C40),Flags!$A$13:$B$95,2,FALSE)</f>
        <v>5</v>
      </c>
      <c r="B40" s="35">
        <f t="shared" si="2"/>
        <v>1924</v>
      </c>
      <c r="C40" s="36">
        <v>9132</v>
      </c>
      <c r="D40" s="37"/>
      <c r="E40" s="35"/>
      <c r="F40" s="37"/>
      <c r="G40" s="37"/>
      <c r="H40" s="37"/>
      <c r="I40" s="37"/>
      <c r="J40" s="37"/>
      <c r="K40" s="37"/>
      <c r="L40" s="35"/>
      <c r="M40" s="35"/>
      <c r="N40" s="37"/>
      <c r="O40" s="37"/>
      <c r="P40" s="37"/>
      <c r="Q40" s="37"/>
      <c r="R40" s="37"/>
      <c r="S40" s="37"/>
      <c r="T40" s="37"/>
      <c r="U40" s="37"/>
      <c r="V40" s="37"/>
      <c r="W40" s="37">
        <f>MAX($C$11-VLOOKUP($C40,COS!$B$8:$H$991,3,FALSE),0)</f>
        <v>0</v>
      </c>
      <c r="X40" s="37">
        <f t="shared" si="31"/>
        <v>0</v>
      </c>
      <c r="Y40" s="37">
        <f>VLOOKUP($C40,COS!$B$8:$H$991,4,FALSE)</f>
        <v>3291.532958984375</v>
      </c>
      <c r="Z40" s="37">
        <f t="shared" si="32"/>
        <v>202.38847284994836</v>
      </c>
      <c r="AA40" s="37">
        <f t="shared" si="47"/>
        <v>0</v>
      </c>
      <c r="AB40" s="38">
        <f t="shared" si="34"/>
        <v>0</v>
      </c>
      <c r="AC40" s="6"/>
      <c r="AD40" s="43">
        <v>1948</v>
      </c>
      <c r="AE40" s="1">
        <f>VLOOKUP(AD40,Flags!$A$13:$B$95,2,FALSE)</f>
        <v>3</v>
      </c>
      <c r="AF40" s="43">
        <f t="shared" si="6"/>
        <v>208.57675878099175</v>
      </c>
      <c r="AG40" s="43">
        <f t="shared" si="7"/>
        <v>455.10897377959952</v>
      </c>
      <c r="AH40" s="43">
        <f t="shared" si="8"/>
        <v>0</v>
      </c>
      <c r="AI40" s="43">
        <f t="shared" si="9"/>
        <v>22611.16150277634</v>
      </c>
      <c r="AJ40" s="43">
        <f t="shared" si="10"/>
        <v>206.49819967474818</v>
      </c>
      <c r="AK40" s="43">
        <f t="shared" si="1"/>
        <v>88.672343043808098</v>
      </c>
      <c r="AL40" s="43">
        <f t="shared" si="11"/>
        <v>0</v>
      </c>
    </row>
    <row r="41" spans="1:42" x14ac:dyDescent="0.3">
      <c r="A41" s="27">
        <f>VLOOKUP(YEAR(C41),Flags!$A$13:$B$95,2,FALSE)</f>
        <v>4</v>
      </c>
      <c r="B41" s="28">
        <f t="shared" si="2"/>
        <v>1925</v>
      </c>
      <c r="C41" s="29">
        <v>9252</v>
      </c>
      <c r="D41" s="30">
        <f>VLOOKUP($C41,COS!$B$8:$H$991,3,FALSE)</f>
        <v>3250</v>
      </c>
      <c r="E41" s="28">
        <f>IF(D41&gt;=IF(MONTH($C41)=4,$C$3,IF(MONTH($C41)=5,$C$4,IF(MONTH($C41)=6,$C$5,IF(MONTH($C41)=7,$C$6,"ERROR")))),1,0)</f>
        <v>0</v>
      </c>
      <c r="F41" s="30">
        <f>VLOOKUP($C41,COS!$B$8:$H$991,7,FALSE)</f>
        <v>49.611015319824219</v>
      </c>
      <c r="G41" s="28">
        <f>IF(F41&lt;=IF(MONTH($C41)=4,$F$3,IF(MONTH($C41)=5,$F$4,IF(MONTH($C41)=6,$F$5,IF(MONTH($C41)=7,$F$6,"ERROR")))),1,0)</f>
        <v>1</v>
      </c>
      <c r="H41" s="30">
        <f>IF(J41=1,D41-$C$3,0)</f>
        <v>0</v>
      </c>
      <c r="I41" s="30">
        <f t="shared" si="17"/>
        <v>0</v>
      </c>
      <c r="J41" s="28">
        <f t="shared" ref="J41:J44" si="50">IF(AND(E41=1,G41=1),1,0)</f>
        <v>0</v>
      </c>
      <c r="K41" s="30">
        <f>VLOOKUP($C41,COS!$B$8:$H$991,2,FALSE)</f>
        <v>4202.82470703125</v>
      </c>
      <c r="L41" s="28">
        <f t="shared" ref="L41" si="51">IF(K41&lt;=IF(MONTH($C41)=4,$I$3,IF(MONTH($C41)=5,$I$4,IF(MONTH($C41)=6,$I$5,IF(MONTH($C41)=7,$I$6,"ERROR")))),1,0)</f>
        <v>1</v>
      </c>
      <c r="M41" s="28">
        <f t="shared" ref="M41" si="52">VLOOKUP($A41,$L$3:$M$7,2,FALSE)</f>
        <v>1</v>
      </c>
      <c r="N41" s="30">
        <f>VLOOKUP($C41,COS!$B$8:$H$991,5,FALSE)</f>
        <v>154.96903991699219</v>
      </c>
      <c r="O41" s="30">
        <f t="shared" ref="O41:O44" si="53">N41*DAY($C41)*86400/43560/1000</f>
        <v>9.2212982429945765</v>
      </c>
      <c r="P41" s="30">
        <f>VLOOKUP($C41,COS!$B$8:$H$991,6,FALSE)</f>
        <v>375.54595947265625</v>
      </c>
      <c r="Q41" s="30">
        <f t="shared" ref="Q41:Q44" si="54">P41*DAY($C41)*86400/43560/1000</f>
        <v>22.346536431430785</v>
      </c>
      <c r="R41" s="30">
        <f>MIN(IF(MONTH($C41)=4,$S$3,IF(MONTH($C41)=5,$S$4,IF(MONTH($C41)=6,$S$5,IF(MONTH($C41)=7,$S$6,"ERROR")))),MAX(VLOOKUP($C41,COS!$B$8:$K$991,10,FALSE)-IF(MONTH($C41)=4,$Y$3,IF(MONTH($C41)=5,$Y$4,IF(MONTH($C41)=6,$Y$5,IF(MONTH($C41)=7,$Y$6,"ERROR")))),0),MAX(VLOOKUP($C41,COS!$B$8:$K$991,9,FALSE)-IF(MONTH($C41)=4,$V$3,IF(MONTH($C41)=5,$V$4,IF(MONTH($C41)=6,$V$5,IF(MONTH($C41)=7,$V$6,"ERROR"))))-VLOOKUP($C41,COS!$B$8:$K$991,6,FALSE)/2,0))</f>
        <v>750</v>
      </c>
      <c r="S41" s="30">
        <f t="shared" ref="S41:S44" si="55">R41*DAY($C41)*86400/43560/1000</f>
        <v>44.628099173553714</v>
      </c>
      <c r="T41" s="30">
        <f t="shared" ref="T41:T44" si="56">(O41+Q41)/2+S41</f>
        <v>60.412016510766392</v>
      </c>
      <c r="U41" s="30" t="str">
        <f>IF(VLOOKUP($C41,COS!$B$8:$I$991,8,FALSE)=1,"UWFE","IBU")</f>
        <v>UWFE</v>
      </c>
      <c r="V41" s="30">
        <f t="shared" ref="V41" si="57">MIN(IF(IF($AA$3=2,AND(E41=1,G41=1,L41=1,L46=1,M41=1,U41="IBU"),AND(E41=1,G41=1,L41=1,L46=1,M41=1)),T41,0),I41)</f>
        <v>0</v>
      </c>
      <c r="W41" s="30"/>
      <c r="X41" s="30"/>
      <c r="Y41" s="30"/>
      <c r="Z41" s="30"/>
      <c r="AA41" s="30"/>
      <c r="AB41" s="31"/>
      <c r="AC41" s="6"/>
      <c r="AD41" s="43">
        <v>1949</v>
      </c>
      <c r="AE41" s="1">
        <f>VLOOKUP(AD41,Flags!$A$13:$B$95,2,FALSE)</f>
        <v>4</v>
      </c>
      <c r="AF41" s="43">
        <f t="shared" si="6"/>
        <v>193.31074993543388</v>
      </c>
      <c r="AG41" s="43">
        <f t="shared" si="7"/>
        <v>486.60114324396307</v>
      </c>
      <c r="AH41" s="43">
        <f t="shared" si="8"/>
        <v>147.56899258700284</v>
      </c>
      <c r="AI41" s="43">
        <f t="shared" si="9"/>
        <v>22604.710092652374</v>
      </c>
      <c r="AJ41" s="43">
        <f t="shared" si="10"/>
        <v>433.91744003422002</v>
      </c>
      <c r="AK41" s="43">
        <f t="shared" si="1"/>
        <v>315.70640600787704</v>
      </c>
      <c r="AL41" s="43">
        <f t="shared" si="11"/>
        <v>147.56899258700284</v>
      </c>
    </row>
    <row r="42" spans="1:42" x14ac:dyDescent="0.3">
      <c r="A42" s="32">
        <f>VLOOKUP(YEAR(C42),Flags!$A$13:$B$95,2,FALSE)</f>
        <v>4</v>
      </c>
      <c r="B42" s="24">
        <f t="shared" si="2"/>
        <v>1925</v>
      </c>
      <c r="C42" s="25">
        <v>9283</v>
      </c>
      <c r="D42" s="26">
        <f>VLOOKUP($C42,COS!$B$8:$H$991,3,FALSE)</f>
        <v>6016.6982421875</v>
      </c>
      <c r="E42" s="24">
        <f>IF(D42&gt;=IF(MONTH($C42)=4,$C$3,IF(MONTH($C42)=5,$C$4,IF(MONTH($C42)=6,$C$5,IF(MONTH($C42)=7,$C$6,"ERROR")))),1,0)</f>
        <v>1</v>
      </c>
      <c r="F42" s="26">
        <f>VLOOKUP($C42,COS!$B$8:$H$991,7,FALSE)</f>
        <v>50.364429473876953</v>
      </c>
      <c r="G42" s="24">
        <f>IF(F42&lt;=IF(MONTH($C42)=4,$F$3,IF(MONTH($C42)=5,$F$4,IF(MONTH($C42)=6,$F$5,IF(MONTH($C42)=7,$F$6,"ERROR")))),1,0)</f>
        <v>1</v>
      </c>
      <c r="H42" s="26">
        <f>IF(J42=1,D42-$C$4,0)</f>
        <v>16.6982421875</v>
      </c>
      <c r="I42" s="26">
        <f t="shared" si="17"/>
        <v>1.0267348915289256</v>
      </c>
      <c r="J42" s="24">
        <f t="shared" si="50"/>
        <v>1</v>
      </c>
      <c r="K42" s="26">
        <f>VLOOKUP($C42,COS!$B$8:$H$991,2,FALSE)</f>
        <v>4282.16650390625</v>
      </c>
      <c r="L42" s="24">
        <f t="shared" si="19"/>
        <v>1</v>
      </c>
      <c r="M42" s="24">
        <f t="shared" si="20"/>
        <v>1</v>
      </c>
      <c r="N42" s="26">
        <f>VLOOKUP($C42,COS!$B$8:$H$991,5,FALSE)</f>
        <v>377.79129028320313</v>
      </c>
      <c r="O42" s="26">
        <f t="shared" si="53"/>
        <v>23.229480989314307</v>
      </c>
      <c r="P42" s="26">
        <f>VLOOKUP($C42,COS!$B$8:$H$991,6,FALSE)</f>
        <v>1796.5595703125</v>
      </c>
      <c r="Q42" s="26">
        <f t="shared" si="54"/>
        <v>110.46614217458676</v>
      </c>
      <c r="R42" s="26">
        <f>MIN(IF(MONTH($C42)=4,$S$3,IF(MONTH($C42)=5,$S$4,IF(MONTH($C42)=6,$S$5,IF(MONTH($C42)=7,$S$6,"ERROR")))),MAX(VLOOKUP($C42,COS!$B$8:$K$991,10,FALSE)-IF(MONTH($C42)=4,$Y$3,IF(MONTH($C42)=5,$Y$4,IF(MONTH($C42)=6,$Y$5,IF(MONTH($C42)=7,$Y$6,"ERROR")))),0),MAX(VLOOKUP($C42,COS!$B$8:$K$991,9,FALSE)-IF(MONTH($C42)=4,$V$3,IF(MONTH($C42)=5,$V$4,IF(MONTH($C42)=6,$V$5,IF(MONTH($C42)=7,$V$6,"ERROR"))))-VLOOKUP($C42,COS!$B$8:$K$991,6,FALSE)/2,0))</f>
        <v>750</v>
      </c>
      <c r="S42" s="26">
        <f t="shared" si="55"/>
        <v>46.115702479338843</v>
      </c>
      <c r="T42" s="26">
        <f t="shared" si="56"/>
        <v>112.96351406128937</v>
      </c>
      <c r="U42" s="26" t="str">
        <f>IF(VLOOKUP($C42,COS!$B$8:$I$991,8,FALSE)=1,"UWFE","IBU")</f>
        <v>UWFE</v>
      </c>
      <c r="V42" s="26">
        <f t="shared" ref="V42" si="58">MIN(IF(IF($AA$3=2,AND(E42=1,G42=1,L42=1,L46=1,M42=1,U42="IBU"),AND(E42=1,G42=1,L42=1,L46=1,M42=1)),T42,0),I42)</f>
        <v>0</v>
      </c>
      <c r="W42" s="26"/>
      <c r="X42" s="26"/>
      <c r="Y42" s="26"/>
      <c r="Z42" s="26"/>
      <c r="AA42" s="26"/>
      <c r="AB42" s="33"/>
      <c r="AC42" s="6"/>
      <c r="AD42" s="43">
        <v>1950</v>
      </c>
      <c r="AE42" s="1">
        <f>VLOOKUP(AD42,Flags!$A$13:$B$95,2,FALSE)</f>
        <v>4</v>
      </c>
      <c r="AF42" s="43">
        <f t="shared" si="6"/>
        <v>24.391813985020661</v>
      </c>
      <c r="AG42" s="43">
        <f t="shared" si="7"/>
        <v>467.2211175032686</v>
      </c>
      <c r="AH42" s="43">
        <f t="shared" si="8"/>
        <v>0</v>
      </c>
      <c r="AI42" s="43">
        <f t="shared" si="9"/>
        <v>22157.016136363636</v>
      </c>
      <c r="AJ42" s="43">
        <f t="shared" si="10"/>
        <v>112.07308938775182</v>
      </c>
      <c r="AK42" s="43">
        <f t="shared" si="1"/>
        <v>112.07308938775182</v>
      </c>
      <c r="AL42" s="43">
        <f t="shared" si="11"/>
        <v>0</v>
      </c>
    </row>
    <row r="43" spans="1:42" x14ac:dyDescent="0.3">
      <c r="A43" s="32">
        <f>VLOOKUP(YEAR(C43),Flags!$A$13:$B$95,2,FALSE)</f>
        <v>4</v>
      </c>
      <c r="B43" s="24">
        <f t="shared" si="2"/>
        <v>1925</v>
      </c>
      <c r="C43" s="25">
        <v>9313</v>
      </c>
      <c r="D43" s="26">
        <f>VLOOKUP($C43,COS!$B$8:$H$991,3,FALSE)</f>
        <v>9612.4140625</v>
      </c>
      <c r="E43" s="24">
        <f>IF(D43&gt;=IF(MONTH($C43)=4,$C$3,IF(MONTH($C43)=5,$C$4,IF(MONTH($C43)=6,$C$5,IF(MONTH($C43)=7,$C$6,"ERROR")))),1,0)</f>
        <v>0</v>
      </c>
      <c r="F43" s="26">
        <f>VLOOKUP($C43,COS!$B$8:$H$991,7,FALSE)</f>
        <v>50.799709320068359</v>
      </c>
      <c r="G43" s="24">
        <f>IF(F43&lt;=IF(MONTH($C43)=4,$F$3,IF(MONTH($C43)=5,$F$4,IF(MONTH($C43)=6,$F$5,IF(MONTH($C43)=7,$F$6,"ERROR")))),1,0)</f>
        <v>1</v>
      </c>
      <c r="H43" s="26">
        <f>IF(J43=1,D43-$C$5,0)</f>
        <v>0</v>
      </c>
      <c r="I43" s="26">
        <f t="shared" si="17"/>
        <v>0</v>
      </c>
      <c r="J43" s="24">
        <f t="shared" si="50"/>
        <v>0</v>
      </c>
      <c r="K43" s="26">
        <f>VLOOKUP($C43,COS!$B$8:$H$991,2,FALSE)</f>
        <v>3989.940673828125</v>
      </c>
      <c r="L43" s="24">
        <f t="shared" si="19"/>
        <v>1</v>
      </c>
      <c r="M43" s="24">
        <f t="shared" si="20"/>
        <v>1</v>
      </c>
      <c r="N43" s="26">
        <f>VLOOKUP($C43,COS!$B$8:$H$991,5,FALSE)</f>
        <v>794.0576171875</v>
      </c>
      <c r="O43" s="26">
        <f t="shared" si="53"/>
        <v>47.249709452479337</v>
      </c>
      <c r="P43" s="26">
        <f>VLOOKUP($C43,COS!$B$8:$H$991,6,FALSE)</f>
        <v>2591.778564453125</v>
      </c>
      <c r="Q43" s="26">
        <f t="shared" si="54"/>
        <v>154.22153441373965</v>
      </c>
      <c r="R43" s="26">
        <f>MIN(IF(MONTH($C43)=4,$S$3,IF(MONTH($C43)=5,$S$4,IF(MONTH($C43)=6,$S$5,IF(MONTH($C43)=7,$S$6,"ERROR")))),MAX(VLOOKUP($C43,COS!$B$8:$K$991,10,FALSE)-IF(MONTH($C43)=4,$Y$3,IF(MONTH($C43)=5,$Y$4,IF(MONTH($C43)=6,$Y$5,IF(MONTH($C43)=7,$Y$6,"ERROR")))),0),MAX(VLOOKUP($C43,COS!$B$8:$K$991,9,FALSE)-IF(MONTH($C43)=4,$V$3,IF(MONTH($C43)=5,$V$4,IF(MONTH($C43)=6,$V$5,IF(MONTH($C43)=7,$V$6,"ERROR"))))-VLOOKUP($C43,COS!$B$8:$K$991,6,FALSE)/2,0))</f>
        <v>750</v>
      </c>
      <c r="S43" s="26">
        <f t="shared" si="55"/>
        <v>44.628099173553714</v>
      </c>
      <c r="T43" s="26">
        <f t="shared" si="56"/>
        <v>145.36372110666321</v>
      </c>
      <c r="U43" s="26" t="str">
        <f>IF(VLOOKUP($C43,COS!$B$8:$I$991,8,FALSE)=1,"UWFE","IBU")</f>
        <v>IBU</v>
      </c>
      <c r="V43" s="26">
        <f t="shared" ref="V43" si="59">MIN(IF(IF($AA$3=2,AND(E43=1,G43=1,L43=1,L46=1,M43=1,U43="IBU"),AND(E43=1,G43=1,L43=1,L46=1,M43=1)),T43,0),I43)</f>
        <v>0</v>
      </c>
      <c r="W43" s="26"/>
      <c r="X43" s="26"/>
      <c r="Y43" s="26"/>
      <c r="Z43" s="26"/>
      <c r="AA43" s="26"/>
      <c r="AB43" s="33"/>
      <c r="AC43" s="6"/>
      <c r="AD43" s="43">
        <v>1951</v>
      </c>
      <c r="AE43" s="1">
        <f>VLOOKUP(AD43,Flags!$A$13:$B$95,2,FALSE)</f>
        <v>2</v>
      </c>
      <c r="AF43" s="43">
        <f t="shared" si="6"/>
        <v>318.2121345557851</v>
      </c>
      <c r="AG43" s="43">
        <f t="shared" si="7"/>
        <v>501.18488458806814</v>
      </c>
      <c r="AH43" s="43">
        <f t="shared" si="8"/>
        <v>0</v>
      </c>
      <c r="AI43" s="43">
        <f t="shared" si="9"/>
        <v>21976.45691470816</v>
      </c>
      <c r="AJ43" s="43">
        <f t="shared" si="10"/>
        <v>123.98751945054235</v>
      </c>
      <c r="AK43" s="43">
        <f t="shared" si="1"/>
        <v>91.261757570377057</v>
      </c>
      <c r="AL43" s="43">
        <f t="shared" si="11"/>
        <v>0</v>
      </c>
    </row>
    <row r="44" spans="1:42" x14ac:dyDescent="0.3">
      <c r="A44" s="32">
        <f>VLOOKUP(YEAR(C44),Flags!$A$13:$B$95,2,FALSE)</f>
        <v>4</v>
      </c>
      <c r="B44" s="24">
        <f t="shared" si="2"/>
        <v>1925</v>
      </c>
      <c r="C44" s="25">
        <v>9344</v>
      </c>
      <c r="D44" s="26">
        <f>VLOOKUP($C44,COS!$B$8:$H$991,3,FALSE)</f>
        <v>12695.501953125</v>
      </c>
      <c r="E44" s="24">
        <f>IF(D44&gt;=IF(MONTH($C44)=4,$C$3,IF(MONTH($C44)=5,$C$4,IF(MONTH($C44)=6,$C$5,IF(MONTH($C44)=7,$C$6,"ERROR")))),1,0)</f>
        <v>1</v>
      </c>
      <c r="F44" s="26">
        <f>VLOOKUP($C44,COS!$B$8:$H$991,7,FALSE)</f>
        <v>51.456871032714844</v>
      </c>
      <c r="G44" s="24">
        <f>IF(F44&lt;=IF(MONTH($C44)=4,$F$3,IF(MONTH($C44)=5,$F$4,IF(MONTH($C44)=6,$F$5,IF(MONTH($C44)=7,$F$6,"ERROR")))),1,0)</f>
        <v>1</v>
      </c>
      <c r="H44" s="26">
        <f>IF(J44=1,D44-$C$6,0)</f>
        <v>695.501953125</v>
      </c>
      <c r="I44" s="26">
        <f t="shared" si="17"/>
        <v>42.764748192148765</v>
      </c>
      <c r="J44" s="24">
        <f t="shared" si="50"/>
        <v>1</v>
      </c>
      <c r="K44" s="26">
        <f>VLOOKUP($C44,COS!$B$8:$H$991,2,FALSE)</f>
        <v>3437.54150390625</v>
      </c>
      <c r="L44" s="24">
        <f t="shared" si="19"/>
        <v>1</v>
      </c>
      <c r="M44" s="24">
        <f t="shared" si="20"/>
        <v>1</v>
      </c>
      <c r="N44" s="26">
        <f>VLOOKUP($C44,COS!$B$8:$H$991,5,FALSE)</f>
        <v>979.5245361328125</v>
      </c>
      <c r="O44" s="26">
        <f t="shared" si="53"/>
        <v>60.228616106017569</v>
      </c>
      <c r="P44" s="26">
        <f>VLOOKUP($C44,COS!$B$8:$H$991,6,FALSE)</f>
        <v>2538.07568359375</v>
      </c>
      <c r="Q44" s="26">
        <f t="shared" si="54"/>
        <v>156.06019079287191</v>
      </c>
      <c r="R44" s="26">
        <f>MIN(IF(MONTH($C44)=4,$S$3,IF(MONTH($C44)=5,$S$4,IF(MONTH($C44)=6,$S$5,IF(MONTH($C44)=7,$S$6,"ERROR")))),MAX(VLOOKUP($C44,COS!$B$8:$K$991,10,FALSE)-IF(MONTH($C44)=4,$Y$3,IF(MONTH($C44)=5,$Y$4,IF(MONTH($C44)=6,$Y$5,IF(MONTH($C44)=7,$Y$6,"ERROR")))),0),MAX(VLOOKUP($C44,COS!$B$8:$K$991,9,FALSE)-IF(MONTH($C44)=4,$V$3,IF(MONTH($C44)=5,$V$4,IF(MONTH($C44)=6,$V$5,IF(MONTH($C44)=7,$V$6,"ERROR"))))-VLOOKUP($C44,COS!$B$8:$K$991,6,FALSE)/2,0))</f>
        <v>750</v>
      </c>
      <c r="S44" s="26">
        <f t="shared" si="55"/>
        <v>46.115702479338843</v>
      </c>
      <c r="T44" s="26">
        <f t="shared" si="56"/>
        <v>154.26010592878359</v>
      </c>
      <c r="U44" s="26" t="str">
        <f>IF(VLOOKUP($C44,COS!$B$8:$I$991,8,FALSE)=1,"UWFE","IBU")</f>
        <v>IBU</v>
      </c>
      <c r="V44" s="26">
        <f t="shared" ref="V44" si="60">MIN(IF(IF($AA$3=2,AND(E44=1,G44=1,L44=1,L46=1,M44=1,U44="IBU"),AND(E44=1,G44=1,L44=1,L46=1,M44=1)),T44,0),I44)</f>
        <v>42.764748192148765</v>
      </c>
      <c r="W44" s="26"/>
      <c r="X44" s="26"/>
      <c r="Y44" s="26"/>
      <c r="Z44" s="26"/>
      <c r="AA44" s="26"/>
      <c r="AB44" s="33"/>
      <c r="AC44" s="6"/>
      <c r="AD44" s="43">
        <v>1952</v>
      </c>
      <c r="AE44" s="1">
        <f>VLOOKUP(AD44,Flags!$A$13:$B$95,2,FALSE)</f>
        <v>1</v>
      </c>
      <c r="AF44" s="43">
        <f t="shared" si="6"/>
        <v>697.78984633264463</v>
      </c>
      <c r="AG44" s="43">
        <f t="shared" si="7"/>
        <v>504.24142446975077</v>
      </c>
      <c r="AH44" s="43">
        <f t="shared" si="8"/>
        <v>0</v>
      </c>
      <c r="AI44" s="43">
        <f t="shared" si="9"/>
        <v>21660.340667936467</v>
      </c>
      <c r="AJ44" s="43">
        <f t="shared" si="10"/>
        <v>58.610078891722623</v>
      </c>
      <c r="AK44" s="43">
        <f t="shared" si="1"/>
        <v>36.686122038029438</v>
      </c>
      <c r="AL44" s="43">
        <f t="shared" si="11"/>
        <v>0</v>
      </c>
    </row>
    <row r="45" spans="1:42" x14ac:dyDescent="0.3">
      <c r="A45" s="32">
        <f>VLOOKUP(YEAR(C45),Flags!$A$13:$B$95,2,FALSE)</f>
        <v>4</v>
      </c>
      <c r="B45" s="24">
        <f t="shared" si="2"/>
        <v>1925</v>
      </c>
      <c r="C45" s="25">
        <v>9375</v>
      </c>
      <c r="D45" s="26"/>
      <c r="E45" s="24"/>
      <c r="F45" s="26"/>
      <c r="G45" s="24"/>
      <c r="H45" s="24"/>
      <c r="I45" s="26"/>
      <c r="J45" s="24"/>
      <c r="K45" s="26"/>
      <c r="L45" s="24"/>
      <c r="M45" s="24"/>
      <c r="N45" s="26"/>
      <c r="O45" s="26"/>
      <c r="P45" s="26"/>
      <c r="Q45" s="26"/>
      <c r="R45" s="26"/>
      <c r="S45" s="26"/>
      <c r="T45" s="26"/>
      <c r="U45" s="26"/>
      <c r="V45" s="26"/>
      <c r="W45" s="26">
        <f>MAX($C$7-VLOOKUP($C45,COS!$B$8:$H$991,3,FALSE),0)</f>
        <v>90169.4140625</v>
      </c>
      <c r="X45" s="26">
        <f t="shared" si="31"/>
        <v>5544.3011621900823</v>
      </c>
      <c r="Y45" s="26">
        <f>VLOOKUP($C45,COS!$B$8:$H$991,4,FALSE)</f>
        <v>1755.4483642578125</v>
      </c>
      <c r="Z45" s="26">
        <f t="shared" si="32"/>
        <v>107.93831264527377</v>
      </c>
      <c r="AA45" s="26">
        <f t="shared" ref="AA45:AA49" si="61">MIN(W45,Y45)</f>
        <v>1755.4483642578125</v>
      </c>
      <c r="AB45" s="33">
        <f t="shared" ref="AB45" si="62">AA45*DAY($C45)*86400/43560/1000*IF(MONTH($C45)=8,$P$3,IF(MONTH($C45)=9,$P$4,IF(MONTH($C45)=10,$P$5,IF(MONTH($C45)=11,$P$6,IF(MONTH($C45)=12,$P$7,NA())))))</f>
        <v>107.93831264527377</v>
      </c>
      <c r="AC45" s="6"/>
      <c r="AD45" s="43">
        <v>1953</v>
      </c>
      <c r="AE45" s="1">
        <f>VLOOKUP(AD45,Flags!$A$13:$B$95,2,FALSE)</f>
        <v>1</v>
      </c>
      <c r="AF45" s="43">
        <f t="shared" si="6"/>
        <v>393.94290805785124</v>
      </c>
      <c r="AG45" s="43">
        <f t="shared" si="7"/>
        <v>518.31581234262012</v>
      </c>
      <c r="AH45" s="43">
        <f t="shared" si="8"/>
        <v>0</v>
      </c>
      <c r="AI45" s="43">
        <f t="shared" si="9"/>
        <v>21378.207919679749</v>
      </c>
      <c r="AJ45" s="43">
        <f t="shared" si="10"/>
        <v>184.16609680806309</v>
      </c>
      <c r="AK45" s="43">
        <f t="shared" si="1"/>
        <v>127.2990606752506</v>
      </c>
      <c r="AL45" s="43">
        <f t="shared" si="11"/>
        <v>0</v>
      </c>
    </row>
    <row r="46" spans="1:42" x14ac:dyDescent="0.3">
      <c r="A46" s="32">
        <f>VLOOKUP(YEAR(C46),Flags!$A$13:$B$95,2,FALSE)</f>
        <v>4</v>
      </c>
      <c r="B46" s="24">
        <f t="shared" si="2"/>
        <v>1925</v>
      </c>
      <c r="C46" s="25">
        <v>9405</v>
      </c>
      <c r="D46" s="26"/>
      <c r="E46" s="24"/>
      <c r="F46" s="26"/>
      <c r="G46" s="24"/>
      <c r="H46" s="24"/>
      <c r="I46" s="26"/>
      <c r="J46" s="24"/>
      <c r="K46" s="26">
        <f>VLOOKUP($C46,COS!$B$8:$H$991,2,FALSE)</f>
        <v>2972.557373046875</v>
      </c>
      <c r="L46" s="24">
        <f t="shared" ref="L46" si="63">IF(AND(K46&gt;$I$7,K46&lt;$I$8),1,0)</f>
        <v>1</v>
      </c>
      <c r="M46" s="24"/>
      <c r="N46" s="26"/>
      <c r="O46" s="26"/>
      <c r="P46" s="26"/>
      <c r="Q46" s="26"/>
      <c r="R46" s="26"/>
      <c r="S46" s="26"/>
      <c r="T46" s="26"/>
      <c r="U46" s="26"/>
      <c r="V46" s="26"/>
      <c r="W46" s="26">
        <f>MAX($C$8-VLOOKUP($C46,COS!$B$8:$H$991,3,FALSE),0)</f>
        <v>94122.39599609375</v>
      </c>
      <c r="X46" s="26">
        <f t="shared" si="31"/>
        <v>5600.6714972882237</v>
      </c>
      <c r="Y46" s="26">
        <f>VLOOKUP($C46,COS!$B$8:$H$991,4,FALSE)</f>
        <v>601.609375</v>
      </c>
      <c r="Z46" s="26">
        <f t="shared" si="32"/>
        <v>35.798243801652887</v>
      </c>
      <c r="AA46" s="26">
        <f t="shared" si="61"/>
        <v>601.609375</v>
      </c>
      <c r="AB46" s="33">
        <f t="shared" si="34"/>
        <v>35.798243801652887</v>
      </c>
      <c r="AC46" s="6"/>
      <c r="AD46" s="43">
        <v>1954</v>
      </c>
      <c r="AE46" s="1">
        <f>VLOOKUP(AD46,Flags!$A$13:$B$95,2,FALSE)</f>
        <v>2</v>
      </c>
      <c r="AF46" s="43">
        <f t="shared" si="6"/>
        <v>628.75953060433881</v>
      </c>
      <c r="AG46" s="43">
        <f t="shared" si="7"/>
        <v>501.51130104758522</v>
      </c>
      <c r="AH46" s="43">
        <f t="shared" si="8"/>
        <v>0</v>
      </c>
      <c r="AI46" s="43">
        <f t="shared" si="9"/>
        <v>22009.53607728564</v>
      </c>
      <c r="AJ46" s="43">
        <f t="shared" si="10"/>
        <v>98.616977740831601</v>
      </c>
      <c r="AK46" s="43">
        <f t="shared" si="1"/>
        <v>73.855744447314038</v>
      </c>
      <c r="AL46" s="43">
        <f t="shared" si="11"/>
        <v>0</v>
      </c>
    </row>
    <row r="47" spans="1:42" x14ac:dyDescent="0.3">
      <c r="A47" s="32">
        <f>VLOOKUP(YEAR(C47),Flags!$A$13:$B$95,2,FALSE)</f>
        <v>4</v>
      </c>
      <c r="B47" s="24">
        <f t="shared" si="2"/>
        <v>1925</v>
      </c>
      <c r="C47" s="25">
        <v>9436</v>
      </c>
      <c r="D47" s="26"/>
      <c r="E47" s="24"/>
      <c r="F47" s="26"/>
      <c r="G47" s="26"/>
      <c r="H47" s="26"/>
      <c r="I47" s="26"/>
      <c r="J47" s="26"/>
      <c r="K47" s="26"/>
      <c r="L47" s="24"/>
      <c r="M47" s="24"/>
      <c r="N47" s="26"/>
      <c r="O47" s="26"/>
      <c r="P47" s="26"/>
      <c r="Q47" s="26"/>
      <c r="R47" s="26"/>
      <c r="S47" s="26"/>
      <c r="T47" s="26"/>
      <c r="U47" s="26"/>
      <c r="V47" s="26"/>
      <c r="W47" s="26">
        <f>MAX($C$9-VLOOKUP($C47,COS!$B$8:$H$991,3,FALSE),0)</f>
        <v>94097.9453125</v>
      </c>
      <c r="X47" s="26">
        <f t="shared" si="31"/>
        <v>5785.8571332644624</v>
      </c>
      <c r="Y47" s="26">
        <f>VLOOKUP($C47,COS!$B$8:$H$991,4,FALSE)</f>
        <v>1509.1988525390625</v>
      </c>
      <c r="Z47" s="26">
        <f t="shared" si="32"/>
        <v>92.797020354467975</v>
      </c>
      <c r="AA47" s="26">
        <f t="shared" si="61"/>
        <v>1509.1988525390625</v>
      </c>
      <c r="AB47" s="33">
        <f t="shared" si="34"/>
        <v>92.797020354467975</v>
      </c>
      <c r="AC47" s="6"/>
      <c r="AD47" s="43">
        <v>1955</v>
      </c>
      <c r="AE47" s="1">
        <f>VLOOKUP(AD47,Flags!$A$13:$B$95,2,FALSE)</f>
        <v>4</v>
      </c>
      <c r="AF47" s="43">
        <f t="shared" si="6"/>
        <v>146.39928137913225</v>
      </c>
      <c r="AG47" s="43">
        <f t="shared" si="7"/>
        <v>469.84783144611959</v>
      </c>
      <c r="AH47" s="43">
        <f t="shared" si="8"/>
        <v>139.1317180034543</v>
      </c>
      <c r="AI47" s="43">
        <f t="shared" si="9"/>
        <v>22858.056631262913</v>
      </c>
      <c r="AJ47" s="43">
        <f t="shared" si="10"/>
        <v>316.76745553008783</v>
      </c>
      <c r="AK47" s="43">
        <f t="shared" si="1"/>
        <v>274.17800482631719</v>
      </c>
      <c r="AL47" s="43">
        <f t="shared" si="11"/>
        <v>139.1317180034543</v>
      </c>
    </row>
    <row r="48" spans="1:42" x14ac:dyDescent="0.3">
      <c r="A48" s="32">
        <f>VLOOKUP(YEAR(C48),Flags!$A$13:$B$95,2,FALSE)</f>
        <v>4</v>
      </c>
      <c r="B48" s="24">
        <f t="shared" si="2"/>
        <v>1925</v>
      </c>
      <c r="C48" s="25">
        <v>9466</v>
      </c>
      <c r="D48" s="26"/>
      <c r="E48" s="24"/>
      <c r="F48" s="26"/>
      <c r="G48" s="26"/>
      <c r="H48" s="26"/>
      <c r="I48" s="26"/>
      <c r="J48" s="26"/>
      <c r="K48" s="26"/>
      <c r="L48" s="24"/>
      <c r="M48" s="24"/>
      <c r="N48" s="26"/>
      <c r="O48" s="26"/>
      <c r="P48" s="26"/>
      <c r="Q48" s="26"/>
      <c r="R48" s="26"/>
      <c r="S48" s="26"/>
      <c r="T48" s="26"/>
      <c r="U48" s="26"/>
      <c r="V48" s="26"/>
      <c r="W48" s="26">
        <f>MAX($C$10-VLOOKUP($C48,COS!$B$8:$H$991,3,FALSE),0)</f>
        <v>94973.6005859375</v>
      </c>
      <c r="X48" s="26">
        <f t="shared" si="31"/>
        <v>5651.3216877582645</v>
      </c>
      <c r="Y48" s="26">
        <f>VLOOKUP($C48,COS!$B$8:$H$991,4,FALSE)</f>
        <v>1037.1134033203125</v>
      </c>
      <c r="Z48" s="26">
        <f t="shared" si="32"/>
        <v>61.712533090134293</v>
      </c>
      <c r="AA48" s="26">
        <f t="shared" si="61"/>
        <v>1037.1134033203125</v>
      </c>
      <c r="AB48" s="33">
        <f t="shared" si="34"/>
        <v>30.856266545067147</v>
      </c>
      <c r="AC48" s="6"/>
      <c r="AD48" s="43">
        <v>1956</v>
      </c>
      <c r="AE48" s="1">
        <f>VLOOKUP(AD48,Flags!$A$13:$B$95,2,FALSE)</f>
        <v>1</v>
      </c>
      <c r="AF48" s="43">
        <f t="shared" si="6"/>
        <v>238.41283768078512</v>
      </c>
      <c r="AG48" s="43">
        <f t="shared" si="7"/>
        <v>506.64722767223009</v>
      </c>
      <c r="AH48" s="43">
        <f t="shared" si="8"/>
        <v>0</v>
      </c>
      <c r="AI48" s="43">
        <f t="shared" si="9"/>
        <v>21520.017618478825</v>
      </c>
      <c r="AJ48" s="43">
        <f t="shared" si="10"/>
        <v>69.803219589359514</v>
      </c>
      <c r="AK48" s="43">
        <f t="shared" si="1"/>
        <v>51.04191426426911</v>
      </c>
      <c r="AL48" s="43">
        <f t="shared" si="11"/>
        <v>0</v>
      </c>
    </row>
    <row r="49" spans="1:38" x14ac:dyDescent="0.3">
      <c r="A49" s="34">
        <f>VLOOKUP(YEAR(C49),Flags!$A$13:$B$95,2,FALSE)</f>
        <v>4</v>
      </c>
      <c r="B49" s="35">
        <f t="shared" si="2"/>
        <v>1925</v>
      </c>
      <c r="C49" s="36">
        <v>9497</v>
      </c>
      <c r="D49" s="37"/>
      <c r="E49" s="35"/>
      <c r="F49" s="37"/>
      <c r="G49" s="37"/>
      <c r="H49" s="37"/>
      <c r="I49" s="37"/>
      <c r="J49" s="37"/>
      <c r="K49" s="37"/>
      <c r="L49" s="35"/>
      <c r="M49" s="35"/>
      <c r="N49" s="37"/>
      <c r="O49" s="37"/>
      <c r="P49" s="37"/>
      <c r="Q49" s="37"/>
      <c r="R49" s="37"/>
      <c r="S49" s="37"/>
      <c r="T49" s="37"/>
      <c r="U49" s="37"/>
      <c r="V49" s="37"/>
      <c r="W49" s="37">
        <f>MAX($C$11-VLOOKUP($C49,COS!$B$8:$H$991,3,FALSE),0)</f>
        <v>0</v>
      </c>
      <c r="X49" s="37">
        <f t="shared" si="31"/>
        <v>0</v>
      </c>
      <c r="Y49" s="37">
        <f>VLOOKUP($C49,COS!$B$8:$H$991,4,FALSE)</f>
        <v>1280.279541015625</v>
      </c>
      <c r="Z49" s="37">
        <f t="shared" si="32"/>
        <v>78.721320538481407</v>
      </c>
      <c r="AA49" s="37">
        <f t="shared" si="61"/>
        <v>0</v>
      </c>
      <c r="AB49" s="38">
        <f t="shared" si="34"/>
        <v>0</v>
      </c>
      <c r="AC49" s="6"/>
      <c r="AD49" s="43">
        <v>1957</v>
      </c>
      <c r="AE49" s="1">
        <f>VLOOKUP(AD49,Flags!$A$13:$B$95,2,FALSE)</f>
        <v>2</v>
      </c>
      <c r="AF49" s="43">
        <f t="shared" si="6"/>
        <v>515.49969653925621</v>
      </c>
      <c r="AG49" s="43">
        <f t="shared" si="7"/>
        <v>497.04689977724684</v>
      </c>
      <c r="AH49" s="43">
        <f t="shared" si="8"/>
        <v>0</v>
      </c>
      <c r="AI49" s="43">
        <f t="shared" si="9"/>
        <v>22125.812749548037</v>
      </c>
      <c r="AJ49" s="43">
        <f t="shared" si="10"/>
        <v>311.10799308335481</v>
      </c>
      <c r="AK49" s="43">
        <f t="shared" si="1"/>
        <v>242.92148740153667</v>
      </c>
      <c r="AL49" s="43">
        <f t="shared" si="11"/>
        <v>0</v>
      </c>
    </row>
    <row r="50" spans="1:38" x14ac:dyDescent="0.3">
      <c r="A50" s="27">
        <f>VLOOKUP(YEAR(C50),Flags!$A$13:$B$95,2,FALSE)</f>
        <v>4</v>
      </c>
      <c r="B50" s="28">
        <f t="shared" si="2"/>
        <v>1926</v>
      </c>
      <c r="C50" s="29">
        <v>9617</v>
      </c>
      <c r="D50" s="30">
        <f>VLOOKUP($C50,COS!$B$8:$H$991,3,FALSE)</f>
        <v>3250</v>
      </c>
      <c r="E50" s="28">
        <f>IF(D50&gt;=IF(MONTH($C50)=4,$C$3,IF(MONTH($C50)=5,$C$4,IF(MONTH($C50)=6,$C$5,IF(MONTH($C50)=7,$C$6,"ERROR")))),1,0)</f>
        <v>0</v>
      </c>
      <c r="F50" s="30">
        <f>VLOOKUP($C50,COS!$B$8:$H$991,7,FALSE)</f>
        <v>51.212348937988281</v>
      </c>
      <c r="G50" s="28">
        <f>IF(F50&lt;=IF(MONTH($C50)=4,$F$3,IF(MONTH($C50)=5,$F$4,IF(MONTH($C50)=6,$F$5,IF(MONTH($C50)=7,$F$6,"ERROR")))),1,0)</f>
        <v>1</v>
      </c>
      <c r="H50" s="30">
        <f>IF(J50=1,D50-$C$3,0)</f>
        <v>0</v>
      </c>
      <c r="I50" s="30">
        <f t="shared" si="17"/>
        <v>0</v>
      </c>
      <c r="J50" s="28">
        <f t="shared" ref="J50:J53" si="64">IF(AND(E50=1,G50=1),1,0)</f>
        <v>0</v>
      </c>
      <c r="K50" s="30">
        <f>VLOOKUP($C50,COS!$B$8:$H$991,2,FALSE)</f>
        <v>3896.73193359375</v>
      </c>
      <c r="L50" s="28">
        <f t="shared" ref="L50" si="65">IF(K50&lt;=IF(MONTH($C50)=4,$I$3,IF(MONTH($C50)=5,$I$4,IF(MONTH($C50)=6,$I$5,IF(MONTH($C50)=7,$I$6,"ERROR")))),1,0)</f>
        <v>1</v>
      </c>
      <c r="M50" s="28">
        <f t="shared" ref="M50" si="66">VLOOKUP($A50,$L$3:$M$7,2,FALSE)</f>
        <v>1</v>
      </c>
      <c r="N50" s="30">
        <f>VLOOKUP($C50,COS!$B$8:$H$991,5,FALSE)</f>
        <v>52.222553253173828</v>
      </c>
      <c r="O50" s="30">
        <f t="shared" ref="O50:O53" si="67">N50*DAY($C50)*86400/43560/1000</f>
        <v>3.1074577142384427</v>
      </c>
      <c r="P50" s="30">
        <f>VLOOKUP($C50,COS!$B$8:$H$991,6,FALSE)</f>
        <v>311.75833129882813</v>
      </c>
      <c r="Q50" s="30">
        <f t="shared" ref="Q50:Q53" si="68">P50*DAY($C50)*86400/43560/1000</f>
        <v>18.550908969847622</v>
      </c>
      <c r="R50" s="30">
        <f>MIN(IF(MONTH($C50)=4,$S$3,IF(MONTH($C50)=5,$S$4,IF(MONTH($C50)=6,$S$5,IF(MONTH($C50)=7,$S$6,"ERROR")))),MAX(VLOOKUP($C50,COS!$B$8:$K$991,10,FALSE)-IF(MONTH($C50)=4,$Y$3,IF(MONTH($C50)=5,$Y$4,IF(MONTH($C50)=6,$Y$5,IF(MONTH($C50)=7,$Y$6,"ERROR")))),0),MAX(VLOOKUP($C50,COS!$B$8:$K$991,9,FALSE)-IF(MONTH($C50)=4,$V$3,IF(MONTH($C50)=5,$V$4,IF(MONTH($C50)=6,$V$5,IF(MONTH($C50)=7,$V$6,"ERROR"))))-VLOOKUP($C50,COS!$B$8:$K$991,6,FALSE)/2,0))</f>
        <v>750</v>
      </c>
      <c r="S50" s="30">
        <f t="shared" ref="S50:S53" si="69">R50*DAY($C50)*86400/43560/1000</f>
        <v>44.628099173553714</v>
      </c>
      <c r="T50" s="30">
        <f t="shared" ref="T50:T53" si="70">(O50+Q50)/2+S50</f>
        <v>55.457282515596745</v>
      </c>
      <c r="U50" s="30" t="str">
        <f>IF(VLOOKUP($C50,COS!$B$8:$I$991,8,FALSE)=1,"UWFE","IBU")</f>
        <v>UWFE</v>
      </c>
      <c r="V50" s="30">
        <f t="shared" ref="V50" si="71">MIN(IF(IF($AA$3=2,AND(E50=1,G50=1,L50=1,L55=1,M50=1,U50="IBU"),AND(E50=1,G50=1,L50=1,L55=1,M50=1)),T50,0),I50)</f>
        <v>0</v>
      </c>
      <c r="W50" s="30"/>
      <c r="X50" s="30"/>
      <c r="Y50" s="30"/>
      <c r="Z50" s="30"/>
      <c r="AA50" s="30"/>
      <c r="AB50" s="31"/>
      <c r="AC50" s="6"/>
      <c r="AD50" s="43">
        <v>1958</v>
      </c>
      <c r="AE50" s="1">
        <f>VLOOKUP(AD50,Flags!$A$13:$B$95,2,FALSE)</f>
        <v>1</v>
      </c>
      <c r="AF50" s="43">
        <f t="shared" si="6"/>
        <v>412.32285705061986</v>
      </c>
      <c r="AG50" s="43">
        <f t="shared" si="7"/>
        <v>485.79567745744691</v>
      </c>
      <c r="AH50" s="43">
        <f t="shared" si="8"/>
        <v>0</v>
      </c>
      <c r="AI50" s="43">
        <f t="shared" si="9"/>
        <v>21442.499119641012</v>
      </c>
      <c r="AJ50" s="43">
        <f t="shared" si="10"/>
        <v>93.370713062128743</v>
      </c>
      <c r="AK50" s="43">
        <f t="shared" si="1"/>
        <v>48.244034343120475</v>
      </c>
      <c r="AL50" s="43">
        <f t="shared" si="11"/>
        <v>0</v>
      </c>
    </row>
    <row r="51" spans="1:38" x14ac:dyDescent="0.3">
      <c r="A51" s="32">
        <f>VLOOKUP(YEAR(C51),Flags!$A$13:$B$95,2,FALSE)</f>
        <v>4</v>
      </c>
      <c r="B51" s="24">
        <f t="shared" si="2"/>
        <v>1926</v>
      </c>
      <c r="C51" s="25">
        <v>9648</v>
      </c>
      <c r="D51" s="26">
        <f>VLOOKUP($C51,COS!$B$8:$H$991,3,FALSE)</f>
        <v>8995.443359375</v>
      </c>
      <c r="E51" s="24">
        <f>IF(D51&gt;=IF(MONTH($C51)=4,$C$3,IF(MONTH($C51)=5,$C$4,IF(MONTH($C51)=6,$C$5,IF(MONTH($C51)=7,$C$6,"ERROR")))),1,0)</f>
        <v>1</v>
      </c>
      <c r="F51" s="26">
        <f>VLOOKUP($C51,COS!$B$8:$H$991,7,FALSE)</f>
        <v>50.193782806396484</v>
      </c>
      <c r="G51" s="24">
        <f>IF(F51&lt;=IF(MONTH($C51)=4,$F$3,IF(MONTH($C51)=5,$F$4,IF(MONTH($C51)=6,$F$5,IF(MONTH($C51)=7,$F$6,"ERROR")))),1,0)</f>
        <v>1</v>
      </c>
      <c r="H51" s="26">
        <f>IF(J51=1,D51-$C$4,0)</f>
        <v>2995.443359375</v>
      </c>
      <c r="I51" s="26">
        <f t="shared" si="17"/>
        <v>184.18263300619836</v>
      </c>
      <c r="J51" s="24">
        <f t="shared" si="64"/>
        <v>1</v>
      </c>
      <c r="K51" s="26">
        <f>VLOOKUP($C51,COS!$B$8:$H$991,2,FALSE)</f>
        <v>3570.763671875</v>
      </c>
      <c r="L51" s="24">
        <f t="shared" si="19"/>
        <v>1</v>
      </c>
      <c r="M51" s="24">
        <f t="shared" si="20"/>
        <v>1</v>
      </c>
      <c r="N51" s="26">
        <f>VLOOKUP($C51,COS!$B$8:$H$991,5,FALSE)</f>
        <v>105.33164978027344</v>
      </c>
      <c r="O51" s="26">
        <f t="shared" si="67"/>
        <v>6.476590697233342</v>
      </c>
      <c r="P51" s="26">
        <f>VLOOKUP($C51,COS!$B$8:$H$991,6,FALSE)</f>
        <v>2210.808349609375</v>
      </c>
      <c r="Q51" s="26">
        <f t="shared" si="68"/>
        <v>135.93730678589876</v>
      </c>
      <c r="R51" s="26">
        <f>MIN(IF(MONTH($C51)=4,$S$3,IF(MONTH($C51)=5,$S$4,IF(MONTH($C51)=6,$S$5,IF(MONTH($C51)=7,$S$6,"ERROR")))),MAX(VLOOKUP($C51,COS!$B$8:$K$991,10,FALSE)-IF(MONTH($C51)=4,$Y$3,IF(MONTH($C51)=5,$Y$4,IF(MONTH($C51)=6,$Y$5,IF(MONTH($C51)=7,$Y$6,"ERROR")))),0),MAX(VLOOKUP($C51,COS!$B$8:$K$991,9,FALSE)-IF(MONTH($C51)=4,$V$3,IF(MONTH($C51)=5,$V$4,IF(MONTH($C51)=6,$V$5,IF(MONTH($C51)=7,$V$6,"ERROR"))))-VLOOKUP($C51,COS!$B$8:$K$991,6,FALSE)/2,0))</f>
        <v>750</v>
      </c>
      <c r="S51" s="26">
        <f t="shared" si="69"/>
        <v>46.115702479338843</v>
      </c>
      <c r="T51" s="26">
        <f t="shared" si="70"/>
        <v>117.3226512209049</v>
      </c>
      <c r="U51" s="26" t="str">
        <f>IF(VLOOKUP($C51,COS!$B$8:$I$991,8,FALSE)=1,"UWFE","IBU")</f>
        <v>IBU</v>
      </c>
      <c r="V51" s="26">
        <f t="shared" ref="V51" si="72">MIN(IF(IF($AA$3=2,AND(E51=1,G51=1,L51=1,L55=1,M51=1,U51="IBU"),AND(E51=1,G51=1,L51=1,L55=1,M51=1)),T51,0),I51)</f>
        <v>117.3226512209049</v>
      </c>
      <c r="W51" s="26"/>
      <c r="X51" s="26"/>
      <c r="Y51" s="26"/>
      <c r="Z51" s="26"/>
      <c r="AA51" s="26"/>
      <c r="AB51" s="33"/>
      <c r="AC51" s="6"/>
      <c r="AD51" s="43">
        <v>1959</v>
      </c>
      <c r="AE51" s="1">
        <f>VLOOKUP(AD51,Flags!$A$13:$B$95,2,FALSE)</f>
        <v>3</v>
      </c>
      <c r="AF51" s="43">
        <f t="shared" si="6"/>
        <v>504.12418001033052</v>
      </c>
      <c r="AG51" s="43">
        <f t="shared" si="7"/>
        <v>501.47386902359887</v>
      </c>
      <c r="AH51" s="43">
        <f t="shared" si="8"/>
        <v>0</v>
      </c>
      <c r="AI51" s="43">
        <f t="shared" si="9"/>
        <v>22296.30887913223</v>
      </c>
      <c r="AJ51" s="43">
        <f t="shared" si="10"/>
        <v>344.76315813048814</v>
      </c>
      <c r="AK51" s="43">
        <f t="shared" si="1"/>
        <v>180.16086248224431</v>
      </c>
      <c r="AL51" s="43">
        <f t="shared" si="11"/>
        <v>0</v>
      </c>
    </row>
    <row r="52" spans="1:38" x14ac:dyDescent="0.3">
      <c r="A52" s="32">
        <f>VLOOKUP(YEAR(C52),Flags!$A$13:$B$95,2,FALSE)</f>
        <v>4</v>
      </c>
      <c r="B52" s="24">
        <f t="shared" si="2"/>
        <v>1926</v>
      </c>
      <c r="C52" s="25">
        <v>9678</v>
      </c>
      <c r="D52" s="26">
        <f>VLOOKUP($C52,COS!$B$8:$H$991,3,FALSE)</f>
        <v>10166.794921875</v>
      </c>
      <c r="E52" s="24">
        <f>IF(D52&gt;=IF(MONTH($C52)=4,$C$3,IF(MONTH($C52)=5,$C$4,IF(MONTH($C52)=6,$C$5,IF(MONTH($C52)=7,$C$6,"ERROR")))),1,0)</f>
        <v>1</v>
      </c>
      <c r="F52" s="26">
        <f>VLOOKUP($C52,COS!$B$8:$H$991,7,FALSE)</f>
        <v>51.801841735839844</v>
      </c>
      <c r="G52" s="24">
        <f>IF(F52&lt;=IF(MONTH($C52)=4,$F$3,IF(MONTH($C52)=5,$F$4,IF(MONTH($C52)=6,$F$5,IF(MONTH($C52)=7,$F$6,"ERROR")))),1,0)</f>
        <v>1</v>
      </c>
      <c r="H52" s="26">
        <f>IF(J52=1,D52-$C$5,0)</f>
        <v>166.794921875</v>
      </c>
      <c r="I52" s="26">
        <f t="shared" si="17"/>
        <v>9.9249870867768593</v>
      </c>
      <c r="J52" s="24">
        <f t="shared" si="64"/>
        <v>1</v>
      </c>
      <c r="K52" s="26">
        <f>VLOOKUP($C52,COS!$B$8:$H$991,2,FALSE)</f>
        <v>3144.499267578125</v>
      </c>
      <c r="L52" s="24">
        <f t="shared" si="19"/>
        <v>1</v>
      </c>
      <c r="M52" s="24">
        <f t="shared" si="20"/>
        <v>1</v>
      </c>
      <c r="N52" s="26">
        <f>VLOOKUP($C52,COS!$B$8:$H$991,5,FALSE)</f>
        <v>393.1129150390625</v>
      </c>
      <c r="O52" s="26">
        <f t="shared" si="67"/>
        <v>23.391842878357437</v>
      </c>
      <c r="P52" s="26">
        <f>VLOOKUP($C52,COS!$B$8:$H$991,6,FALSE)</f>
        <v>2714.961669921875</v>
      </c>
      <c r="Q52" s="26">
        <f t="shared" si="68"/>
        <v>161.55143821022727</v>
      </c>
      <c r="R52" s="26">
        <f>MIN(IF(MONTH($C52)=4,$S$3,IF(MONTH($C52)=5,$S$4,IF(MONTH($C52)=6,$S$5,IF(MONTH($C52)=7,$S$6,"ERROR")))),MAX(VLOOKUP($C52,COS!$B$8:$K$991,10,FALSE)-IF(MONTH($C52)=4,$Y$3,IF(MONTH($C52)=5,$Y$4,IF(MONTH($C52)=6,$Y$5,IF(MONTH($C52)=7,$Y$6,"ERROR")))),0),MAX(VLOOKUP($C52,COS!$B$8:$K$991,9,FALSE)-IF(MONTH($C52)=4,$V$3,IF(MONTH($C52)=5,$V$4,IF(MONTH($C52)=6,$V$5,IF(MONTH($C52)=7,$V$6,"ERROR"))))-VLOOKUP($C52,COS!$B$8:$K$991,6,FALSE)/2,0))</f>
        <v>750</v>
      </c>
      <c r="S52" s="26">
        <f t="shared" si="69"/>
        <v>44.628099173553714</v>
      </c>
      <c r="T52" s="26">
        <f t="shared" si="70"/>
        <v>137.09973971784606</v>
      </c>
      <c r="U52" s="26" t="str">
        <f>IF(VLOOKUP($C52,COS!$B$8:$I$991,8,FALSE)=1,"UWFE","IBU")</f>
        <v>IBU</v>
      </c>
      <c r="V52" s="26">
        <f t="shared" ref="V52" si="73">MIN(IF(IF($AA$3=2,AND(E52=1,G52=1,L52=1,L55=1,M52=1,U52="IBU"),AND(E52=1,G52=1,L52=1,L55=1,M52=1)),T52,0),I52)</f>
        <v>9.9249870867768593</v>
      </c>
      <c r="W52" s="26"/>
      <c r="X52" s="26"/>
      <c r="Y52" s="26"/>
      <c r="Z52" s="26"/>
      <c r="AA52" s="26"/>
      <c r="AB52" s="33"/>
      <c r="AC52" s="6"/>
      <c r="AD52" s="43">
        <v>1960</v>
      </c>
      <c r="AE52" s="1">
        <f>VLOOKUP(AD52,Flags!$A$13:$B$95,2,FALSE)</f>
        <v>4</v>
      </c>
      <c r="AF52" s="43">
        <f t="shared" si="6"/>
        <v>382.20118737086773</v>
      </c>
      <c r="AG52" s="43">
        <f t="shared" si="7"/>
        <v>454.97998623682446</v>
      </c>
      <c r="AH52" s="43">
        <f t="shared" si="8"/>
        <v>261.65510391109245</v>
      </c>
      <c r="AI52" s="43">
        <f t="shared" si="9"/>
        <v>22673.423001678719</v>
      </c>
      <c r="AJ52" s="43">
        <f t="shared" si="10"/>
        <v>422.76635379003096</v>
      </c>
      <c r="AK52" s="43">
        <f t="shared" si="1"/>
        <v>263.79778449444728</v>
      </c>
      <c r="AL52" s="43">
        <f t="shared" si="11"/>
        <v>261.65510391109245</v>
      </c>
    </row>
    <row r="53" spans="1:38" x14ac:dyDescent="0.3">
      <c r="A53" s="32">
        <f>VLOOKUP(YEAR(C53),Flags!$A$13:$B$95,2,FALSE)</f>
        <v>4</v>
      </c>
      <c r="B53" s="24">
        <f t="shared" si="2"/>
        <v>1926</v>
      </c>
      <c r="C53" s="25">
        <v>9709</v>
      </c>
      <c r="D53" s="26">
        <f>VLOOKUP($C53,COS!$B$8:$H$991,3,FALSE)</f>
        <v>11392.6767578125</v>
      </c>
      <c r="E53" s="24">
        <f>IF(D53&gt;=IF(MONTH($C53)=4,$C$3,IF(MONTH($C53)=5,$C$4,IF(MONTH($C53)=6,$C$5,IF(MONTH($C53)=7,$C$6,"ERROR")))),1,0)</f>
        <v>0</v>
      </c>
      <c r="F53" s="26">
        <f>VLOOKUP($C53,COS!$B$8:$H$991,7,FALSE)</f>
        <v>53.78912353515625</v>
      </c>
      <c r="G53" s="24">
        <f>IF(F53&lt;=IF(MONTH($C53)=4,$F$3,IF(MONTH($C53)=5,$F$4,IF(MONTH($C53)=6,$F$5,IF(MONTH($C53)=7,$F$6,"ERROR")))),1,0)</f>
        <v>0</v>
      </c>
      <c r="H53" s="26">
        <f>IF(J53=1,D53-$C$6,0)</f>
        <v>0</v>
      </c>
      <c r="I53" s="26">
        <f t="shared" si="17"/>
        <v>0</v>
      </c>
      <c r="J53" s="24">
        <f t="shared" si="64"/>
        <v>0</v>
      </c>
      <c r="K53" s="26">
        <f>VLOOKUP($C53,COS!$B$8:$H$991,2,FALSE)</f>
        <v>2700.429443359375</v>
      </c>
      <c r="L53" s="24">
        <f t="shared" si="19"/>
        <v>1</v>
      </c>
      <c r="M53" s="24">
        <f t="shared" si="20"/>
        <v>1</v>
      </c>
      <c r="N53" s="26">
        <f>VLOOKUP($C53,COS!$B$8:$H$991,5,FALSE)</f>
        <v>430.53424072265625</v>
      </c>
      <c r="O53" s="26">
        <f t="shared" si="67"/>
        <v>26.472518603112086</v>
      </c>
      <c r="P53" s="26">
        <f>VLOOKUP($C53,COS!$B$8:$H$991,6,FALSE)</f>
        <v>2538.07568359375</v>
      </c>
      <c r="Q53" s="26">
        <f t="shared" si="68"/>
        <v>156.06019079287191</v>
      </c>
      <c r="R53" s="26">
        <f>MIN(IF(MONTH($C53)=4,$S$3,IF(MONTH($C53)=5,$S$4,IF(MONTH($C53)=6,$S$5,IF(MONTH($C53)=7,$S$6,"ERROR")))),MAX(VLOOKUP($C53,COS!$B$8:$K$991,10,FALSE)-IF(MONTH($C53)=4,$Y$3,IF(MONTH($C53)=5,$Y$4,IF(MONTH($C53)=6,$Y$5,IF(MONTH($C53)=7,$Y$6,"ERROR")))),0),MAX(VLOOKUP($C53,COS!$B$8:$K$991,9,FALSE)-IF(MONTH($C53)=4,$V$3,IF(MONTH($C53)=5,$V$4,IF(MONTH($C53)=6,$V$5,IF(MONTH($C53)=7,$V$6,"ERROR"))))-VLOOKUP($C53,COS!$B$8:$K$991,6,FALSE)/2,0))</f>
        <v>750</v>
      </c>
      <c r="S53" s="26">
        <f t="shared" si="69"/>
        <v>46.115702479338843</v>
      </c>
      <c r="T53" s="26">
        <f t="shared" si="70"/>
        <v>137.38205717733084</v>
      </c>
      <c r="U53" s="26" t="str">
        <f>IF(VLOOKUP($C53,COS!$B$8:$I$991,8,FALSE)=1,"UWFE","IBU")</f>
        <v>IBU</v>
      </c>
      <c r="V53" s="26">
        <f t="shared" ref="V53" si="74">MIN(IF(IF($AA$3=2,AND(E53=1,G53=1,L53=1,L55=1,M53=1,U53="IBU"),AND(E53=1,G53=1,L53=1,L55=1,M53=1)),T53,0),I53)</f>
        <v>0</v>
      </c>
      <c r="W53" s="26"/>
      <c r="X53" s="26"/>
      <c r="Y53" s="26"/>
      <c r="Z53" s="26"/>
      <c r="AA53" s="26"/>
      <c r="AB53" s="33"/>
      <c r="AC53" s="6"/>
      <c r="AD53" s="43">
        <v>1961</v>
      </c>
      <c r="AE53" s="1">
        <f>VLOOKUP(AD53,Flags!$A$13:$B$95,2,FALSE)</f>
        <v>4</v>
      </c>
      <c r="AF53" s="43">
        <f t="shared" si="6"/>
        <v>359.59358406508261</v>
      </c>
      <c r="AG53" s="43">
        <f t="shared" si="7"/>
        <v>468.92242724205829</v>
      </c>
      <c r="AH53" s="43">
        <f t="shared" si="8"/>
        <v>146.65816521258392</v>
      </c>
      <c r="AI53" s="43">
        <f t="shared" si="9"/>
        <v>22564.776231275828</v>
      </c>
      <c r="AJ53" s="43">
        <f t="shared" si="10"/>
        <v>593.48291451446278</v>
      </c>
      <c r="AK53" s="43">
        <f t="shared" si="1"/>
        <v>456.66467248837802</v>
      </c>
      <c r="AL53" s="43">
        <f t="shared" si="11"/>
        <v>146.65816521258392</v>
      </c>
    </row>
    <row r="54" spans="1:38" x14ac:dyDescent="0.3">
      <c r="A54" s="32">
        <f>VLOOKUP(YEAR(C54),Flags!$A$13:$B$95,2,FALSE)</f>
        <v>4</v>
      </c>
      <c r="B54" s="24">
        <f t="shared" si="2"/>
        <v>1926</v>
      </c>
      <c r="C54" s="25">
        <v>9740</v>
      </c>
      <c r="D54" s="26"/>
      <c r="E54" s="24"/>
      <c r="F54" s="26"/>
      <c r="G54" s="24"/>
      <c r="H54" s="24"/>
      <c r="I54" s="26"/>
      <c r="J54" s="24"/>
      <c r="K54" s="26"/>
      <c r="L54" s="24"/>
      <c r="M54" s="24"/>
      <c r="N54" s="26"/>
      <c r="O54" s="26"/>
      <c r="P54" s="26"/>
      <c r="Q54" s="26"/>
      <c r="R54" s="26"/>
      <c r="S54" s="26"/>
      <c r="T54" s="26"/>
      <c r="U54" s="26"/>
      <c r="V54" s="26"/>
      <c r="W54" s="26">
        <f>MAX($C$7-VLOOKUP($C54,COS!$B$8:$H$991,3,FALSE),0)</f>
        <v>91690.6279296875</v>
      </c>
      <c r="X54" s="26">
        <f t="shared" si="31"/>
        <v>5637.8369569989663</v>
      </c>
      <c r="Y54" s="26">
        <f>VLOOKUP($C54,COS!$B$8:$H$991,4,FALSE)</f>
        <v>1075.45947265625</v>
      </c>
      <c r="Z54" s="26">
        <f t="shared" si="32"/>
        <v>66.127425426136369</v>
      </c>
      <c r="AA54" s="26">
        <f t="shared" ref="AA54:AA58" si="75">MIN(W54,Y54)</f>
        <v>1075.45947265625</v>
      </c>
      <c r="AB54" s="33">
        <f t="shared" ref="AB54" si="76">AA54*DAY($C54)*86400/43560/1000*IF(MONTH($C54)=8,$P$3,IF(MONTH($C54)=9,$P$4,IF(MONTH($C54)=10,$P$5,IF(MONTH($C54)=11,$P$6,IF(MONTH($C54)=12,$P$7,NA())))))</f>
        <v>66.127425426136369</v>
      </c>
      <c r="AC54" s="6"/>
      <c r="AD54" s="43">
        <v>1962</v>
      </c>
      <c r="AE54" s="1">
        <f>VLOOKUP(AD54,Flags!$A$13:$B$95,2,FALSE)</f>
        <v>3</v>
      </c>
      <c r="AF54" s="43">
        <f t="shared" si="6"/>
        <v>350.84847462551647</v>
      </c>
      <c r="AG54" s="43">
        <f t="shared" si="7"/>
        <v>504.75903850965256</v>
      </c>
      <c r="AH54" s="43">
        <f t="shared" si="8"/>
        <v>0</v>
      </c>
      <c r="AI54" s="43">
        <f t="shared" si="9"/>
        <v>22412.439996771696</v>
      </c>
      <c r="AJ54" s="43">
        <f t="shared" si="10"/>
        <v>20.045821845945248</v>
      </c>
      <c r="AK54" s="43">
        <f t="shared" si="1"/>
        <v>20.045821845945248</v>
      </c>
      <c r="AL54" s="43">
        <f t="shared" si="11"/>
        <v>0</v>
      </c>
    </row>
    <row r="55" spans="1:38" x14ac:dyDescent="0.3">
      <c r="A55" s="32">
        <f>VLOOKUP(YEAR(C55),Flags!$A$13:$B$95,2,FALSE)</f>
        <v>4</v>
      </c>
      <c r="B55" s="24">
        <f t="shared" si="2"/>
        <v>1926</v>
      </c>
      <c r="C55" s="25">
        <v>9770</v>
      </c>
      <c r="D55" s="26"/>
      <c r="E55" s="24"/>
      <c r="F55" s="26"/>
      <c r="G55" s="24"/>
      <c r="H55" s="24"/>
      <c r="I55" s="26"/>
      <c r="J55" s="24"/>
      <c r="K55" s="26">
        <f>VLOOKUP($C55,COS!$B$8:$H$991,2,FALSE)</f>
        <v>2281.95703125</v>
      </c>
      <c r="L55" s="24">
        <f t="shared" ref="L55" si="77">IF(AND(K55&gt;$I$7,K55&lt;$I$8),1,0)</f>
        <v>1</v>
      </c>
      <c r="M55" s="24"/>
      <c r="N55" s="26"/>
      <c r="O55" s="26"/>
      <c r="P55" s="26"/>
      <c r="Q55" s="26"/>
      <c r="R55" s="26"/>
      <c r="S55" s="26"/>
      <c r="T55" s="26"/>
      <c r="U55" s="26"/>
      <c r="V55" s="26"/>
      <c r="W55" s="26">
        <f>MAX($C$8-VLOOKUP($C55,COS!$B$8:$H$991,3,FALSE),0)</f>
        <v>95112.1767578125</v>
      </c>
      <c r="X55" s="26">
        <f t="shared" si="31"/>
        <v>5659.5675426136368</v>
      </c>
      <c r="Y55" s="26">
        <f>VLOOKUP($C55,COS!$B$8:$H$991,4,FALSE)</f>
        <v>1022.280029296875</v>
      </c>
      <c r="Z55" s="26">
        <f t="shared" si="32"/>
        <v>60.829886040805789</v>
      </c>
      <c r="AA55" s="26">
        <f t="shared" si="75"/>
        <v>1022.280029296875</v>
      </c>
      <c r="AB55" s="33">
        <f t="shared" si="34"/>
        <v>60.829886040805789</v>
      </c>
      <c r="AD55" s="43">
        <v>1963</v>
      </c>
      <c r="AE55" s="1">
        <f>VLOOKUP(AD55,Flags!$A$13:$B$95,2,FALSE)</f>
        <v>1</v>
      </c>
      <c r="AF55" s="43">
        <f t="shared" si="6"/>
        <v>1727.2135072314047</v>
      </c>
      <c r="AG55" s="43">
        <f t="shared" si="7"/>
        <v>495.63774844461238</v>
      </c>
      <c r="AH55" s="43">
        <f t="shared" si="8"/>
        <v>0</v>
      </c>
      <c r="AI55" s="43">
        <f t="shared" si="9"/>
        <v>21820.52690760589</v>
      </c>
      <c r="AJ55" s="43">
        <f t="shared" si="10"/>
        <v>160.53308410140107</v>
      </c>
      <c r="AK55" s="43">
        <f t="shared" si="1"/>
        <v>106.14043001033058</v>
      </c>
      <c r="AL55" s="43">
        <f t="shared" si="11"/>
        <v>0</v>
      </c>
    </row>
    <row r="56" spans="1:38" x14ac:dyDescent="0.3">
      <c r="A56" s="32">
        <f>VLOOKUP(YEAR(C56),Flags!$A$13:$B$95,2,FALSE)</f>
        <v>4</v>
      </c>
      <c r="B56" s="24">
        <f t="shared" si="2"/>
        <v>1926</v>
      </c>
      <c r="C56" s="25">
        <v>9801</v>
      </c>
      <c r="D56" s="26"/>
      <c r="E56" s="24"/>
      <c r="F56" s="26"/>
      <c r="G56" s="26"/>
      <c r="H56" s="26"/>
      <c r="I56" s="26"/>
      <c r="J56" s="26"/>
      <c r="K56" s="26"/>
      <c r="L56" s="24"/>
      <c r="M56" s="24"/>
      <c r="N56" s="26"/>
      <c r="O56" s="26"/>
      <c r="P56" s="26"/>
      <c r="Q56" s="26"/>
      <c r="R56" s="26"/>
      <c r="S56" s="26"/>
      <c r="T56" s="26"/>
      <c r="U56" s="26"/>
      <c r="V56" s="26"/>
      <c r="W56" s="26">
        <f>MAX($C$9-VLOOKUP($C56,COS!$B$8:$H$991,3,FALSE),0)</f>
        <v>95397.3447265625</v>
      </c>
      <c r="X56" s="26">
        <f t="shared" si="31"/>
        <v>5865.7540889721076</v>
      </c>
      <c r="Y56" s="26">
        <f>VLOOKUP($C56,COS!$B$8:$H$991,4,FALSE)</f>
        <v>1559.9654541015625</v>
      </c>
      <c r="Z56" s="26">
        <f t="shared" si="32"/>
        <v>95.918537012525817</v>
      </c>
      <c r="AA56" s="26">
        <f t="shared" si="75"/>
        <v>1559.9654541015625</v>
      </c>
      <c r="AB56" s="33">
        <f t="shared" si="34"/>
        <v>95.918537012525817</v>
      </c>
      <c r="AD56" s="43">
        <v>1964</v>
      </c>
      <c r="AE56" s="1">
        <f>VLOOKUP(AD56,Flags!$A$13:$B$95,2,FALSE)</f>
        <v>4</v>
      </c>
      <c r="AF56" s="43">
        <f t="shared" si="6"/>
        <v>202.95327447055786</v>
      </c>
      <c r="AG56" s="43">
        <f t="shared" si="7"/>
        <v>468.11432167242378</v>
      </c>
      <c r="AH56" s="43">
        <f t="shared" si="8"/>
        <v>136.99708319545778</v>
      </c>
      <c r="AI56" s="43">
        <f t="shared" si="9"/>
        <v>22854.937322766011</v>
      </c>
      <c r="AJ56" s="43">
        <f t="shared" si="10"/>
        <v>318.52011081159606</v>
      </c>
      <c r="AK56" s="43">
        <f t="shared" si="1"/>
        <v>259.26403715779958</v>
      </c>
      <c r="AL56" s="43">
        <f t="shared" si="11"/>
        <v>136.99708319545778</v>
      </c>
    </row>
    <row r="57" spans="1:38" x14ac:dyDescent="0.3">
      <c r="A57" s="32">
        <f>VLOOKUP(YEAR(C57),Flags!$A$13:$B$95,2,FALSE)</f>
        <v>4</v>
      </c>
      <c r="B57" s="24">
        <f t="shared" si="2"/>
        <v>1926</v>
      </c>
      <c r="C57" s="25">
        <v>9831</v>
      </c>
      <c r="D57" s="26"/>
      <c r="E57" s="24"/>
      <c r="F57" s="26"/>
      <c r="G57" s="26"/>
      <c r="H57" s="26"/>
      <c r="I57" s="26"/>
      <c r="J57" s="26"/>
      <c r="K57" s="26"/>
      <c r="L57" s="24"/>
      <c r="M57" s="24"/>
      <c r="N57" s="26"/>
      <c r="O57" s="26"/>
      <c r="P57" s="26"/>
      <c r="Q57" s="26"/>
      <c r="R57" s="26"/>
      <c r="S57" s="26"/>
      <c r="T57" s="26"/>
      <c r="U57" s="26"/>
      <c r="V57" s="26"/>
      <c r="W57" s="26">
        <f>MAX($C$10-VLOOKUP($C57,COS!$B$8:$H$991,3,FALSE),0)</f>
        <v>96749</v>
      </c>
      <c r="X57" s="26">
        <f t="shared" si="31"/>
        <v>5756.965289256198</v>
      </c>
      <c r="Y57" s="26">
        <f>VLOOKUP($C57,COS!$B$8:$H$991,4,FALSE)</f>
        <v>0</v>
      </c>
      <c r="Z57" s="26">
        <f t="shared" si="32"/>
        <v>0</v>
      </c>
      <c r="AA57" s="26">
        <f t="shared" si="75"/>
        <v>0</v>
      </c>
      <c r="AB57" s="33">
        <f t="shared" si="34"/>
        <v>0</v>
      </c>
      <c r="AD57" s="43">
        <v>1965</v>
      </c>
      <c r="AE57" s="1">
        <f>VLOOKUP(AD57,Flags!$A$13:$B$95,2,FALSE)</f>
        <v>1</v>
      </c>
      <c r="AF57" s="43">
        <f t="shared" si="6"/>
        <v>332.63346364927685</v>
      </c>
      <c r="AG57" s="43">
        <f t="shared" si="7"/>
        <v>486.11234971164669</v>
      </c>
      <c r="AH57" s="43">
        <f t="shared" si="8"/>
        <v>0</v>
      </c>
      <c r="AI57" s="43">
        <f t="shared" si="9"/>
        <v>21882.578600206609</v>
      </c>
      <c r="AJ57" s="43">
        <f t="shared" si="10"/>
        <v>84.214305308948866</v>
      </c>
      <c r="AK57" s="43">
        <f t="shared" si="1"/>
        <v>71.566032654313005</v>
      </c>
      <c r="AL57" s="43">
        <f t="shared" si="11"/>
        <v>0</v>
      </c>
    </row>
    <row r="58" spans="1:38" x14ac:dyDescent="0.3">
      <c r="A58" s="34">
        <f>VLOOKUP(YEAR(C58),Flags!$A$13:$B$95,2,FALSE)</f>
        <v>4</v>
      </c>
      <c r="B58" s="35">
        <f t="shared" si="2"/>
        <v>1926</v>
      </c>
      <c r="C58" s="36">
        <v>9862</v>
      </c>
      <c r="D58" s="37"/>
      <c r="E58" s="35"/>
      <c r="F58" s="37"/>
      <c r="G58" s="37"/>
      <c r="H58" s="37"/>
      <c r="I58" s="37"/>
      <c r="J58" s="37"/>
      <c r="K58" s="37"/>
      <c r="L58" s="35"/>
      <c r="M58" s="35"/>
      <c r="N58" s="37"/>
      <c r="O58" s="37"/>
      <c r="P58" s="37"/>
      <c r="Q58" s="37"/>
      <c r="R58" s="37"/>
      <c r="S58" s="37"/>
      <c r="T58" s="37"/>
      <c r="U58" s="37"/>
      <c r="V58" s="37"/>
      <c r="W58" s="37">
        <f>MAX($C$11-VLOOKUP($C58,COS!$B$8:$H$991,3,FALSE),0)</f>
        <v>0</v>
      </c>
      <c r="X58" s="37">
        <f t="shared" si="31"/>
        <v>0</v>
      </c>
      <c r="Y58" s="37">
        <f>VLOOKUP($C58,COS!$B$8:$H$991,4,FALSE)</f>
        <v>0</v>
      </c>
      <c r="Z58" s="37">
        <f t="shared" si="32"/>
        <v>0</v>
      </c>
      <c r="AA58" s="37">
        <f t="shared" si="75"/>
        <v>0</v>
      </c>
      <c r="AB58" s="38">
        <f t="shared" si="34"/>
        <v>0</v>
      </c>
      <c r="AD58" s="43">
        <v>1966</v>
      </c>
      <c r="AE58" s="1">
        <f>VLOOKUP(AD58,Flags!$A$13:$B$95,2,FALSE)</f>
        <v>3</v>
      </c>
      <c r="AF58" s="43">
        <f t="shared" si="6"/>
        <v>622.64396629648752</v>
      </c>
      <c r="AG58" s="43">
        <f t="shared" si="7"/>
        <v>510.75563256634166</v>
      </c>
      <c r="AH58" s="43">
        <f t="shared" si="8"/>
        <v>0</v>
      </c>
      <c r="AI58" s="43">
        <f t="shared" si="9"/>
        <v>22397.089360149792</v>
      </c>
      <c r="AJ58" s="43">
        <f t="shared" si="10"/>
        <v>202.35919891609635</v>
      </c>
      <c r="AK58" s="43">
        <f t="shared" si="1"/>
        <v>167.80600934998063</v>
      </c>
      <c r="AL58" s="43">
        <f t="shared" si="11"/>
        <v>0</v>
      </c>
    </row>
    <row r="59" spans="1:38" x14ac:dyDescent="0.3">
      <c r="A59" s="27">
        <f>VLOOKUP(YEAR(C59),Flags!$A$13:$B$95,2,FALSE)</f>
        <v>2</v>
      </c>
      <c r="B59" s="28">
        <f t="shared" si="2"/>
        <v>1927</v>
      </c>
      <c r="C59" s="29">
        <v>9982</v>
      </c>
      <c r="D59" s="30">
        <f>VLOOKUP($C59,COS!$B$8:$H$991,3,FALSE)</f>
        <v>9794.8115234375</v>
      </c>
      <c r="E59" s="28">
        <f>IF(D59&gt;=IF(MONTH($C59)=4,$C$3,IF(MONTH($C59)=5,$C$4,IF(MONTH($C59)=6,$C$5,IF(MONTH($C59)=7,$C$6,"ERROR")))),1,0)</f>
        <v>1</v>
      </c>
      <c r="F59" s="30">
        <f>VLOOKUP($C59,COS!$B$8:$H$991,7,FALSE)</f>
        <v>47.578723907470703</v>
      </c>
      <c r="G59" s="28">
        <f>IF(F59&lt;=IF(MONTH($C59)=4,$F$3,IF(MONTH($C59)=5,$F$4,IF(MONTH($C59)=6,$F$5,IF(MONTH($C59)=7,$F$6,"ERROR")))),1,0)</f>
        <v>1</v>
      </c>
      <c r="H59" s="30">
        <f>IF(J59=1,D59-$C$3,0)</f>
        <v>3794.8115234375</v>
      </c>
      <c r="I59" s="30">
        <f t="shared" si="17"/>
        <v>225.8069666838843</v>
      </c>
      <c r="J59" s="28">
        <f t="shared" ref="J59:J62" si="78">IF(AND(E59=1,G59=1),1,0)</f>
        <v>1</v>
      </c>
      <c r="K59" s="30">
        <f>VLOOKUP($C59,COS!$B$8:$H$991,2,FALSE)</f>
        <v>4552</v>
      </c>
      <c r="L59" s="28">
        <f t="shared" ref="L59" si="79">IF(K59&lt;=IF(MONTH($C59)=4,$I$3,IF(MONTH($C59)=5,$I$4,IF(MONTH($C59)=6,$I$5,IF(MONTH($C59)=7,$I$6,"ERROR")))),1,0)</f>
        <v>1</v>
      </c>
      <c r="M59" s="28">
        <f t="shared" ref="M59" si="80">VLOOKUP($A59,$L$3:$M$7,2,FALSE)</f>
        <v>0</v>
      </c>
      <c r="N59" s="30">
        <f>VLOOKUP($C59,COS!$B$8:$H$991,5,FALSE)</f>
        <v>550.79229736328125</v>
      </c>
      <c r="O59" s="30">
        <f t="shared" ref="O59:O62" si="81">N59*DAY($C59)*86400/43560/1000</f>
        <v>32.77441769434401</v>
      </c>
      <c r="P59" s="30">
        <f>VLOOKUP($C59,COS!$B$8:$H$991,6,FALSE)</f>
        <v>486.04421997070313</v>
      </c>
      <c r="Q59" s="30">
        <f t="shared" ref="Q59:Q62" si="82">P59*DAY($C59)*86400/43560/1000</f>
        <v>28.921639535446797</v>
      </c>
      <c r="R59" s="30">
        <f>MIN(IF(MONTH($C59)=4,$S$3,IF(MONTH($C59)=5,$S$4,IF(MONTH($C59)=6,$S$5,IF(MONTH($C59)=7,$S$6,"ERROR")))),MAX(VLOOKUP($C59,COS!$B$8:$K$991,10,FALSE)-IF(MONTH($C59)=4,$Y$3,IF(MONTH($C59)=5,$Y$4,IF(MONTH($C59)=6,$Y$5,IF(MONTH($C59)=7,$Y$6,"ERROR")))),0),MAX(VLOOKUP($C59,COS!$B$8:$K$991,9,FALSE)-IF(MONTH($C59)=4,$V$3,IF(MONTH($C59)=5,$V$4,IF(MONTH($C59)=6,$V$5,IF(MONTH($C59)=7,$V$6,"ERROR"))))-VLOOKUP($C59,COS!$B$8:$K$991,6,FALSE)/2,0))</f>
        <v>750</v>
      </c>
      <c r="S59" s="30">
        <f t="shared" ref="S59:S62" si="83">R59*DAY($C59)*86400/43560/1000</f>
        <v>44.628099173553714</v>
      </c>
      <c r="T59" s="30">
        <f t="shared" ref="T59:T62" si="84">(O59+Q59)/2+S59</f>
        <v>75.476127788449119</v>
      </c>
      <c r="U59" s="30" t="str">
        <f>IF(VLOOKUP($C59,COS!$B$8:$I$991,8,FALSE)=1,"UWFE","IBU")</f>
        <v>UWFE</v>
      </c>
      <c r="V59" s="30">
        <f t="shared" ref="V59" si="85">MIN(IF(IF($AA$3=2,AND(E59=1,G59=1,L59=1,L64=1,M59=1,U59="IBU"),AND(E59=1,G59=1,L59=1,L64=1,M59=1)),T59,0),I59)</f>
        <v>0</v>
      </c>
      <c r="W59" s="30"/>
      <c r="X59" s="30"/>
      <c r="Y59" s="30"/>
      <c r="Z59" s="30"/>
      <c r="AA59" s="30"/>
      <c r="AB59" s="31"/>
      <c r="AD59" s="43">
        <v>1967</v>
      </c>
      <c r="AE59" s="1">
        <f>VLOOKUP(AD59,Flags!$A$13:$B$95,2,FALSE)</f>
        <v>1</v>
      </c>
      <c r="AF59" s="43">
        <f t="shared" si="6"/>
        <v>650.62075025826448</v>
      </c>
      <c r="AG59" s="43">
        <f t="shared" si="7"/>
        <v>485.33995646326991</v>
      </c>
      <c r="AH59" s="43">
        <f t="shared" si="8"/>
        <v>0</v>
      </c>
      <c r="AI59" s="43">
        <f t="shared" si="9"/>
        <v>21797.730382554237</v>
      </c>
      <c r="AJ59" s="43">
        <f t="shared" si="10"/>
        <v>121.2366370133329</v>
      </c>
      <c r="AK59" s="43">
        <f t="shared" si="1"/>
        <v>69.908479326736824</v>
      </c>
      <c r="AL59" s="43">
        <f t="shared" si="11"/>
        <v>0</v>
      </c>
    </row>
    <row r="60" spans="1:38" x14ac:dyDescent="0.3">
      <c r="A60" s="32">
        <f>VLOOKUP(YEAR(C60),Flags!$A$13:$B$95,2,FALSE)</f>
        <v>2</v>
      </c>
      <c r="B60" s="24">
        <f t="shared" si="2"/>
        <v>1927</v>
      </c>
      <c r="C60" s="25">
        <v>10013</v>
      </c>
      <c r="D60" s="26">
        <f>VLOOKUP($C60,COS!$B$8:$H$991,3,FALSE)</f>
        <v>7714.3828125</v>
      </c>
      <c r="E60" s="24">
        <f>IF(D60&gt;=IF(MONTH($C60)=4,$C$3,IF(MONTH($C60)=5,$C$4,IF(MONTH($C60)=6,$C$5,IF(MONTH($C60)=7,$C$6,"ERROR")))),1,0)</f>
        <v>1</v>
      </c>
      <c r="F60" s="26">
        <f>VLOOKUP($C60,COS!$B$8:$H$991,7,FALSE)</f>
        <v>50.201419830322266</v>
      </c>
      <c r="G60" s="24">
        <f>IF(F60&lt;=IF(MONTH($C60)=4,$F$3,IF(MONTH($C60)=5,$F$4,IF(MONTH($C60)=6,$F$5,IF(MONTH($C60)=7,$F$6,"ERROR")))),1,0)</f>
        <v>1</v>
      </c>
      <c r="H60" s="26">
        <f>IF(J60=1,D60-$C$4,0)</f>
        <v>1714.3828125</v>
      </c>
      <c r="I60" s="26">
        <f t="shared" si="17"/>
        <v>105.4132902892562</v>
      </c>
      <c r="J60" s="24">
        <f t="shared" si="78"/>
        <v>1</v>
      </c>
      <c r="K60" s="26">
        <f>VLOOKUP($C60,COS!$B$8:$H$991,2,FALSE)</f>
        <v>4552</v>
      </c>
      <c r="L60" s="24">
        <f t="shared" si="19"/>
        <v>1</v>
      </c>
      <c r="M60" s="24">
        <f t="shared" si="20"/>
        <v>0</v>
      </c>
      <c r="N60" s="26">
        <f>VLOOKUP($C60,COS!$B$8:$H$991,5,FALSE)</f>
        <v>894.1383056640625</v>
      </c>
      <c r="O60" s="26">
        <f t="shared" si="81"/>
        <v>54.978421439178717</v>
      </c>
      <c r="P60" s="26">
        <f>VLOOKUP($C60,COS!$B$8:$H$991,6,FALSE)</f>
        <v>2249.693359375</v>
      </c>
      <c r="Q60" s="26">
        <f t="shared" si="82"/>
        <v>138.3282528409091</v>
      </c>
      <c r="R60" s="26">
        <f>MIN(IF(MONTH($C60)=4,$S$3,IF(MONTH($C60)=5,$S$4,IF(MONTH($C60)=6,$S$5,IF(MONTH($C60)=7,$S$6,"ERROR")))),MAX(VLOOKUP($C60,COS!$B$8:$K$991,10,FALSE)-IF(MONTH($C60)=4,$Y$3,IF(MONTH($C60)=5,$Y$4,IF(MONTH($C60)=6,$Y$5,IF(MONTH($C60)=7,$Y$6,"ERROR")))),0),MAX(VLOOKUP($C60,COS!$B$8:$K$991,9,FALSE)-IF(MONTH($C60)=4,$V$3,IF(MONTH($C60)=5,$V$4,IF(MONTH($C60)=6,$V$5,IF(MONTH($C60)=7,$V$6,"ERROR"))))-VLOOKUP($C60,COS!$B$8:$K$991,6,FALSE)/2,0))</f>
        <v>750</v>
      </c>
      <c r="S60" s="26">
        <f t="shared" si="83"/>
        <v>46.115702479338843</v>
      </c>
      <c r="T60" s="26">
        <f t="shared" si="84"/>
        <v>142.76903961938274</v>
      </c>
      <c r="U60" s="26" t="str">
        <f>IF(VLOOKUP($C60,COS!$B$8:$I$991,8,FALSE)=1,"UWFE","IBU")</f>
        <v>UWFE</v>
      </c>
      <c r="V60" s="26">
        <f t="shared" ref="V60" si="86">MIN(IF(IF($AA$3=2,AND(E60=1,G60=1,L60=1,L64=1,M60=1,U60="IBU"),AND(E60=1,G60=1,L60=1,L64=1,M60=1)),T60,0),I60)</f>
        <v>0</v>
      </c>
      <c r="W60" s="26"/>
      <c r="X60" s="26"/>
      <c r="Y60" s="26"/>
      <c r="Z60" s="26"/>
      <c r="AA60" s="26"/>
      <c r="AB60" s="33"/>
      <c r="AD60" s="43">
        <v>1968</v>
      </c>
      <c r="AE60" s="1">
        <f>VLOOKUP(AD60,Flags!$A$13:$B$95,2,FALSE)</f>
        <v>3</v>
      </c>
      <c r="AF60" s="43">
        <f t="shared" si="6"/>
        <v>497.01562403150825</v>
      </c>
      <c r="AG60" s="43">
        <f t="shared" si="7"/>
        <v>492.35920468669286</v>
      </c>
      <c r="AH60" s="43">
        <f t="shared" si="8"/>
        <v>0</v>
      </c>
      <c r="AI60" s="43">
        <f t="shared" si="9"/>
        <v>22802.487009297522</v>
      </c>
      <c r="AJ60" s="43">
        <f t="shared" si="10"/>
        <v>131.14432005827092</v>
      </c>
      <c r="AK60" s="43">
        <f t="shared" si="1"/>
        <v>117.78686721171229</v>
      </c>
      <c r="AL60" s="43">
        <f t="shared" si="11"/>
        <v>0</v>
      </c>
    </row>
    <row r="61" spans="1:38" x14ac:dyDescent="0.3">
      <c r="A61" s="32">
        <f>VLOOKUP(YEAR(C61),Flags!$A$13:$B$95,2,FALSE)</f>
        <v>2</v>
      </c>
      <c r="B61" s="24">
        <f t="shared" si="2"/>
        <v>1927</v>
      </c>
      <c r="C61" s="25">
        <v>10043</v>
      </c>
      <c r="D61" s="26">
        <f>VLOOKUP($C61,COS!$B$8:$H$991,3,FALSE)</f>
        <v>8988.9208984375</v>
      </c>
      <c r="E61" s="24">
        <f>IF(D61&gt;=IF(MONTH($C61)=4,$C$3,IF(MONTH($C61)=5,$C$4,IF(MONTH($C61)=6,$C$5,IF(MONTH($C61)=7,$C$6,"ERROR")))),1,0)</f>
        <v>0</v>
      </c>
      <c r="F61" s="26">
        <f>VLOOKUP($C61,COS!$B$8:$H$991,7,FALSE)</f>
        <v>51.129753112792969</v>
      </c>
      <c r="G61" s="24">
        <f>IF(F61&lt;=IF(MONTH($C61)=4,$F$3,IF(MONTH($C61)=5,$F$4,IF(MONTH($C61)=6,$F$5,IF(MONTH($C61)=7,$F$6,"ERROR")))),1,0)</f>
        <v>1</v>
      </c>
      <c r="H61" s="26">
        <f>IF(J61=1,D61-$C$5,0)</f>
        <v>0</v>
      </c>
      <c r="I61" s="26">
        <f t="shared" si="17"/>
        <v>0</v>
      </c>
      <c r="J61" s="24">
        <f t="shared" si="78"/>
        <v>0</v>
      </c>
      <c r="K61" s="26">
        <f>VLOOKUP($C61,COS!$B$8:$H$991,2,FALSE)</f>
        <v>4290.38525390625</v>
      </c>
      <c r="L61" s="24">
        <f t="shared" si="19"/>
        <v>1</v>
      </c>
      <c r="M61" s="24">
        <f t="shared" si="20"/>
        <v>0</v>
      </c>
      <c r="N61" s="26">
        <f>VLOOKUP($C61,COS!$B$8:$H$991,5,FALSE)</f>
        <v>1054.7291259765625</v>
      </c>
      <c r="O61" s="26">
        <f t="shared" si="81"/>
        <v>62.760741380423553</v>
      </c>
      <c r="P61" s="26">
        <f>VLOOKUP($C61,COS!$B$8:$H$991,6,FALSE)</f>
        <v>2141.721923828125</v>
      </c>
      <c r="Q61" s="26">
        <f t="shared" si="82"/>
        <v>127.44130455836778</v>
      </c>
      <c r="R61" s="26">
        <f>MIN(IF(MONTH($C61)=4,$S$3,IF(MONTH($C61)=5,$S$4,IF(MONTH($C61)=6,$S$5,IF(MONTH($C61)=7,$S$6,"ERROR")))),MAX(VLOOKUP($C61,COS!$B$8:$K$991,10,FALSE)-IF(MONTH($C61)=4,$Y$3,IF(MONTH($C61)=5,$Y$4,IF(MONTH($C61)=6,$Y$5,IF(MONTH($C61)=7,$Y$6,"ERROR")))),0),MAX(VLOOKUP($C61,COS!$B$8:$K$991,9,FALSE)-IF(MONTH($C61)=4,$V$3,IF(MONTH($C61)=5,$V$4,IF(MONTH($C61)=6,$V$5,IF(MONTH($C61)=7,$V$6,"ERROR"))))-VLOOKUP($C61,COS!$B$8:$K$991,6,FALSE)/2,0))</f>
        <v>750</v>
      </c>
      <c r="S61" s="26">
        <f t="shared" si="83"/>
        <v>44.628099173553714</v>
      </c>
      <c r="T61" s="26">
        <f t="shared" si="84"/>
        <v>139.72912214294939</v>
      </c>
      <c r="U61" s="26" t="str">
        <f>IF(VLOOKUP($C61,COS!$B$8:$I$991,8,FALSE)=1,"UWFE","IBU")</f>
        <v>UWFE</v>
      </c>
      <c r="V61" s="26">
        <f t="shared" ref="V61" si="87">MIN(IF(IF($AA$3=2,AND(E61=1,G61=1,L61=1,L64=1,M61=1,U61="IBU"),AND(E61=1,G61=1,L61=1,L64=1,M61=1)),T61,0),I61)</f>
        <v>0</v>
      </c>
      <c r="W61" s="26"/>
      <c r="X61" s="26"/>
      <c r="Y61" s="26"/>
      <c r="Z61" s="26"/>
      <c r="AA61" s="26"/>
      <c r="AB61" s="33"/>
      <c r="AD61" s="43">
        <v>1969</v>
      </c>
      <c r="AE61" s="1">
        <f>VLOOKUP(AD61,Flags!$A$13:$B$95,2,FALSE)</f>
        <v>1</v>
      </c>
      <c r="AF61" s="43">
        <f t="shared" si="6"/>
        <v>438.45833871384298</v>
      </c>
      <c r="AG61" s="43">
        <f t="shared" si="7"/>
        <v>511.29891714553196</v>
      </c>
      <c r="AH61" s="43">
        <f t="shared" si="8"/>
        <v>0</v>
      </c>
      <c r="AI61" s="43">
        <f t="shared" si="9"/>
        <v>22009.915055849688</v>
      </c>
      <c r="AJ61" s="43">
        <f t="shared" si="10"/>
        <v>17.674964503769047</v>
      </c>
      <c r="AK61" s="43">
        <f t="shared" si="1"/>
        <v>17.674964503769047</v>
      </c>
      <c r="AL61" s="43">
        <f t="shared" si="11"/>
        <v>0</v>
      </c>
    </row>
    <row r="62" spans="1:38" x14ac:dyDescent="0.3">
      <c r="A62" s="32">
        <f>VLOOKUP(YEAR(C62),Flags!$A$13:$B$95,2,FALSE)</f>
        <v>2</v>
      </c>
      <c r="B62" s="24">
        <f t="shared" si="2"/>
        <v>1927</v>
      </c>
      <c r="C62" s="25">
        <v>10074</v>
      </c>
      <c r="D62" s="26">
        <f>VLOOKUP($C62,COS!$B$8:$H$991,3,FALSE)</f>
        <v>16000</v>
      </c>
      <c r="E62" s="24">
        <f>IF(D62&gt;=IF(MONTH($C62)=4,$C$3,IF(MONTH($C62)=5,$C$4,IF(MONTH($C62)=6,$C$5,IF(MONTH($C62)=7,$C$6,"ERROR")))),1,0)</f>
        <v>1</v>
      </c>
      <c r="F62" s="26">
        <f>VLOOKUP($C62,COS!$B$8:$H$991,7,FALSE)</f>
        <v>51.332504272460938</v>
      </c>
      <c r="G62" s="24">
        <f>IF(F62&lt;=IF(MONTH($C62)=4,$F$3,IF(MONTH($C62)=5,$F$4,IF(MONTH($C62)=6,$F$5,IF(MONTH($C62)=7,$F$6,"ERROR")))),1,0)</f>
        <v>1</v>
      </c>
      <c r="H62" s="26">
        <f>IF(J62=1,D62-$C$6,0)</f>
        <v>4000</v>
      </c>
      <c r="I62" s="26">
        <f t="shared" si="17"/>
        <v>245.95041322314049</v>
      </c>
      <c r="J62" s="24">
        <f t="shared" si="78"/>
        <v>1</v>
      </c>
      <c r="K62" s="26">
        <f>VLOOKUP($C62,COS!$B$8:$H$991,2,FALSE)</f>
        <v>3557.699462890625</v>
      </c>
      <c r="L62" s="24">
        <f t="shared" si="19"/>
        <v>1</v>
      </c>
      <c r="M62" s="24">
        <f t="shared" si="20"/>
        <v>0</v>
      </c>
      <c r="N62" s="26">
        <f>VLOOKUP($C62,COS!$B$8:$H$991,5,FALSE)</f>
        <v>1278.4688720703125</v>
      </c>
      <c r="O62" s="26">
        <f t="shared" si="81"/>
        <v>78.609986844653918</v>
      </c>
      <c r="P62" s="26">
        <f>VLOOKUP($C62,COS!$B$8:$H$991,6,FALSE)</f>
        <v>2521.474853515625</v>
      </c>
      <c r="Q62" s="26">
        <f t="shared" si="82"/>
        <v>155.0394455384814</v>
      </c>
      <c r="R62" s="26">
        <f>MIN(IF(MONTH($C62)=4,$S$3,IF(MONTH($C62)=5,$S$4,IF(MONTH($C62)=6,$S$5,IF(MONTH($C62)=7,$S$6,"ERROR")))),MAX(VLOOKUP($C62,COS!$B$8:$K$991,10,FALSE)-IF(MONTH($C62)=4,$Y$3,IF(MONTH($C62)=5,$Y$4,IF(MONTH($C62)=6,$Y$5,IF(MONTH($C62)=7,$Y$6,"ERROR")))),0),MAX(VLOOKUP($C62,COS!$B$8:$K$991,9,FALSE)-IF(MONTH($C62)=4,$V$3,IF(MONTH($C62)=5,$V$4,IF(MONTH($C62)=6,$V$5,IF(MONTH($C62)=7,$V$6,"ERROR"))))-VLOOKUP($C62,COS!$B$8:$K$991,6,FALSE)/2,0))</f>
        <v>750</v>
      </c>
      <c r="S62" s="26">
        <f t="shared" si="83"/>
        <v>46.115702479338843</v>
      </c>
      <c r="T62" s="26">
        <f t="shared" si="84"/>
        <v>162.9404186709065</v>
      </c>
      <c r="U62" s="26" t="str">
        <f>IF(VLOOKUP($C62,COS!$B$8:$I$991,8,FALSE)=1,"UWFE","IBU")</f>
        <v>IBU</v>
      </c>
      <c r="V62" s="26">
        <f t="shared" ref="V62" si="88">MIN(IF(IF($AA$3=2,AND(E62=1,G62=1,L62=1,L64=1,M62=1,U62="IBU"),AND(E62=1,G62=1,L62=1,L64=1,M62=1)),T62,0),I62)</f>
        <v>0</v>
      </c>
      <c r="W62" s="26"/>
      <c r="X62" s="26"/>
      <c r="Y62" s="26"/>
      <c r="Z62" s="26"/>
      <c r="AA62" s="26"/>
      <c r="AB62" s="33"/>
      <c r="AD62" s="43">
        <v>1970</v>
      </c>
      <c r="AE62" s="1">
        <f>VLOOKUP(AD62,Flags!$A$13:$B$95,2,FALSE)</f>
        <v>1</v>
      </c>
      <c r="AF62" s="43">
        <f t="shared" si="6"/>
        <v>344.98198799070246</v>
      </c>
      <c r="AG62" s="43">
        <f t="shared" si="7"/>
        <v>476.66825411205446</v>
      </c>
      <c r="AH62" s="43">
        <f t="shared" si="8"/>
        <v>0</v>
      </c>
      <c r="AI62" s="43">
        <f t="shared" si="9"/>
        <v>21656.512585227272</v>
      </c>
      <c r="AJ62" s="43">
        <f t="shared" si="10"/>
        <v>170.52140419195507</v>
      </c>
      <c r="AK62" s="43">
        <f t="shared" si="1"/>
        <v>137.42072342297263</v>
      </c>
      <c r="AL62" s="43">
        <f t="shared" si="11"/>
        <v>0</v>
      </c>
    </row>
    <row r="63" spans="1:38" x14ac:dyDescent="0.3">
      <c r="A63" s="32">
        <f>VLOOKUP(YEAR(C63),Flags!$A$13:$B$95,2,FALSE)</f>
        <v>2</v>
      </c>
      <c r="B63" s="24">
        <f t="shared" si="2"/>
        <v>1927</v>
      </c>
      <c r="C63" s="25">
        <v>10105</v>
      </c>
      <c r="D63" s="26"/>
      <c r="E63" s="24"/>
      <c r="F63" s="26"/>
      <c r="G63" s="24"/>
      <c r="H63" s="24"/>
      <c r="I63" s="26"/>
      <c r="J63" s="24"/>
      <c r="K63" s="26"/>
      <c r="L63" s="24"/>
      <c r="M63" s="24"/>
      <c r="N63" s="26"/>
      <c r="O63" s="26"/>
      <c r="P63" s="26"/>
      <c r="Q63" s="26"/>
      <c r="R63" s="26"/>
      <c r="S63" s="26"/>
      <c r="T63" s="26"/>
      <c r="U63" s="26"/>
      <c r="V63" s="26"/>
      <c r="W63" s="26">
        <f>MAX($C$7-VLOOKUP($C63,COS!$B$8:$H$991,3,FALSE),0)</f>
        <v>88882.072265625</v>
      </c>
      <c r="X63" s="26">
        <f t="shared" si="31"/>
        <v>5465.1456004648762</v>
      </c>
      <c r="Y63" s="26">
        <f>VLOOKUP($C63,COS!$B$8:$H$991,4,FALSE)</f>
        <v>131.21571350097656</v>
      </c>
      <c r="Z63" s="26">
        <f t="shared" si="32"/>
        <v>8.0681397392336009</v>
      </c>
      <c r="AA63" s="26">
        <f t="shared" ref="AA63:AA67" si="89">MIN(W63,Y63)</f>
        <v>131.21571350097656</v>
      </c>
      <c r="AB63" s="33">
        <f t="shared" ref="AB63" si="90">AA63*DAY($C63)*86400/43560/1000*IF(MONTH($C63)=8,$P$3,IF(MONTH($C63)=9,$P$4,IF(MONTH($C63)=10,$P$5,IF(MONTH($C63)=11,$P$6,IF(MONTH($C63)=12,$P$7,NA())))))</f>
        <v>8.0681397392336009</v>
      </c>
      <c r="AD63" s="43">
        <v>1971</v>
      </c>
      <c r="AE63" s="1">
        <f>VLOOKUP(AD63,Flags!$A$13:$B$95,2,FALSE)</f>
        <v>1</v>
      </c>
      <c r="AF63" s="43">
        <f t="shared" si="6"/>
        <v>413.69826252582646</v>
      </c>
      <c r="AG63" s="43">
        <f t="shared" si="7"/>
        <v>503.97124354338843</v>
      </c>
      <c r="AH63" s="43">
        <f t="shared" si="8"/>
        <v>0</v>
      </c>
      <c r="AI63" s="43">
        <f t="shared" si="9"/>
        <v>21546.728224431819</v>
      </c>
      <c r="AJ63" s="43">
        <f t="shared" si="10"/>
        <v>198.7760154434078</v>
      </c>
      <c r="AK63" s="43">
        <f t="shared" si="1"/>
        <v>148.09176917210098</v>
      </c>
      <c r="AL63" s="43">
        <f t="shared" si="11"/>
        <v>0</v>
      </c>
    </row>
    <row r="64" spans="1:38" x14ac:dyDescent="0.3">
      <c r="A64" s="32">
        <f>VLOOKUP(YEAR(C64),Flags!$A$13:$B$95,2,FALSE)</f>
        <v>2</v>
      </c>
      <c r="B64" s="24">
        <f t="shared" si="2"/>
        <v>1927</v>
      </c>
      <c r="C64" s="25">
        <v>10135</v>
      </c>
      <c r="D64" s="26"/>
      <c r="E64" s="24"/>
      <c r="F64" s="26"/>
      <c r="G64" s="24"/>
      <c r="H64" s="24"/>
      <c r="I64" s="26"/>
      <c r="J64" s="24"/>
      <c r="K64" s="26">
        <f>VLOOKUP($C64,COS!$B$8:$H$991,2,FALSE)</f>
        <v>2812.22802734375</v>
      </c>
      <c r="L64" s="24">
        <f t="shared" ref="L64" si="91">IF(AND(K64&gt;$I$7,K64&lt;$I$8),1,0)</f>
        <v>1</v>
      </c>
      <c r="M64" s="24"/>
      <c r="N64" s="26"/>
      <c r="O64" s="26"/>
      <c r="P64" s="26"/>
      <c r="Q64" s="26"/>
      <c r="R64" s="26"/>
      <c r="S64" s="26"/>
      <c r="T64" s="26"/>
      <c r="U64" s="26"/>
      <c r="V64" s="26"/>
      <c r="W64" s="26">
        <f>MAX($C$8-VLOOKUP($C64,COS!$B$8:$H$991,3,FALSE),0)</f>
        <v>89196.4267578125</v>
      </c>
      <c r="X64" s="26">
        <f t="shared" si="31"/>
        <v>5307.5559723657025</v>
      </c>
      <c r="Y64" s="26">
        <f>VLOOKUP($C64,COS!$B$8:$H$991,4,FALSE)</f>
        <v>0</v>
      </c>
      <c r="Z64" s="26">
        <f t="shared" si="32"/>
        <v>0</v>
      </c>
      <c r="AA64" s="26">
        <f t="shared" si="89"/>
        <v>0</v>
      </c>
      <c r="AB64" s="33">
        <f t="shared" si="34"/>
        <v>0</v>
      </c>
      <c r="AD64" s="43">
        <v>1972</v>
      </c>
      <c r="AE64" s="1">
        <f>VLOOKUP(AD64,Flags!$A$13:$B$95,2,FALSE)</f>
        <v>3</v>
      </c>
      <c r="AF64" s="43">
        <f t="shared" si="6"/>
        <v>529.18486247417354</v>
      </c>
      <c r="AG64" s="43">
        <f t="shared" si="7"/>
        <v>466.0073622421391</v>
      </c>
      <c r="AH64" s="43">
        <f t="shared" si="8"/>
        <v>0</v>
      </c>
      <c r="AI64" s="43">
        <f t="shared" si="9"/>
        <v>22769.86642271436</v>
      </c>
      <c r="AJ64" s="43">
        <f t="shared" si="10"/>
        <v>297.71753264624226</v>
      </c>
      <c r="AK64" s="43">
        <f t="shared" si="1"/>
        <v>229.24088621029185</v>
      </c>
      <c r="AL64" s="43">
        <f t="shared" si="11"/>
        <v>0</v>
      </c>
    </row>
    <row r="65" spans="1:38" x14ac:dyDescent="0.3">
      <c r="A65" s="32">
        <f>VLOOKUP(YEAR(C65),Flags!$A$13:$B$95,2,FALSE)</f>
        <v>2</v>
      </c>
      <c r="B65" s="24">
        <f t="shared" si="2"/>
        <v>1927</v>
      </c>
      <c r="C65" s="25">
        <v>10166</v>
      </c>
      <c r="D65" s="26"/>
      <c r="E65" s="24"/>
      <c r="F65" s="26"/>
      <c r="G65" s="26"/>
      <c r="H65" s="26"/>
      <c r="I65" s="26"/>
      <c r="J65" s="26"/>
      <c r="K65" s="26"/>
      <c r="L65" s="24"/>
      <c r="M65" s="24"/>
      <c r="N65" s="26"/>
      <c r="O65" s="26"/>
      <c r="P65" s="26"/>
      <c r="Q65" s="26"/>
      <c r="R65" s="26"/>
      <c r="S65" s="26"/>
      <c r="T65" s="26"/>
      <c r="U65" s="26"/>
      <c r="V65" s="26"/>
      <c r="W65" s="26">
        <f>MAX($C$9-VLOOKUP($C65,COS!$B$8:$H$991,3,FALSE),0)</f>
        <v>92950.994140625</v>
      </c>
      <c r="X65" s="26">
        <f t="shared" si="31"/>
        <v>5715.3338545971073</v>
      </c>
      <c r="Y65" s="26">
        <f>VLOOKUP($C65,COS!$B$8:$H$991,4,FALSE)</f>
        <v>958.4876708984375</v>
      </c>
      <c r="Z65" s="26">
        <f t="shared" si="32"/>
        <v>58.935109681689049</v>
      </c>
      <c r="AA65" s="26">
        <f t="shared" si="89"/>
        <v>958.4876708984375</v>
      </c>
      <c r="AB65" s="33">
        <f t="shared" si="34"/>
        <v>58.935109681689049</v>
      </c>
      <c r="AD65" s="43">
        <v>1973</v>
      </c>
      <c r="AE65" s="1">
        <f>VLOOKUP(AD65,Flags!$A$13:$B$95,2,FALSE)</f>
        <v>2</v>
      </c>
      <c r="AF65" s="43">
        <f t="shared" si="6"/>
        <v>456.36225174328513</v>
      </c>
      <c r="AG65" s="43">
        <f t="shared" si="7"/>
        <v>515.86266333209574</v>
      </c>
      <c r="AH65" s="43">
        <f t="shared" si="8"/>
        <v>0</v>
      </c>
      <c r="AI65" s="43">
        <f t="shared" si="9"/>
        <v>21090.299418904957</v>
      </c>
      <c r="AJ65" s="43">
        <f t="shared" si="10"/>
        <v>104.91092460695377</v>
      </c>
      <c r="AK65" s="43">
        <f t="shared" si="1"/>
        <v>104.91092460695377</v>
      </c>
      <c r="AL65" s="43">
        <f t="shared" si="11"/>
        <v>0</v>
      </c>
    </row>
    <row r="66" spans="1:38" x14ac:dyDescent="0.3">
      <c r="A66" s="32">
        <f>VLOOKUP(YEAR(C66),Flags!$A$13:$B$95,2,FALSE)</f>
        <v>2</v>
      </c>
      <c r="B66" s="24">
        <f t="shared" si="2"/>
        <v>1927</v>
      </c>
      <c r="C66" s="25">
        <v>10196</v>
      </c>
      <c r="D66" s="26"/>
      <c r="E66" s="24"/>
      <c r="F66" s="26"/>
      <c r="G66" s="26"/>
      <c r="H66" s="26"/>
      <c r="I66" s="26"/>
      <c r="J66" s="26"/>
      <c r="K66" s="26"/>
      <c r="L66" s="24"/>
      <c r="M66" s="24"/>
      <c r="N66" s="26"/>
      <c r="O66" s="26"/>
      <c r="P66" s="26"/>
      <c r="Q66" s="26"/>
      <c r="R66" s="26"/>
      <c r="S66" s="26"/>
      <c r="T66" s="26"/>
      <c r="U66" s="26"/>
      <c r="V66" s="26"/>
      <c r="W66" s="26">
        <f>MAX($C$10-VLOOKUP($C66,COS!$B$8:$H$991,3,FALSE),0)</f>
        <v>93176.5546875</v>
      </c>
      <c r="X66" s="26">
        <f t="shared" si="31"/>
        <v>5544.3900309917362</v>
      </c>
      <c r="Y66" s="26">
        <f>VLOOKUP($C66,COS!$B$8:$H$991,4,FALSE)</f>
        <v>593.66107177734375</v>
      </c>
      <c r="Z66" s="26">
        <f t="shared" si="32"/>
        <v>35.325286915676656</v>
      </c>
      <c r="AA66" s="26">
        <f t="shared" si="89"/>
        <v>593.66107177734375</v>
      </c>
      <c r="AB66" s="33">
        <f t="shared" si="34"/>
        <v>17.662643457838328</v>
      </c>
      <c r="AD66" s="43">
        <v>1974</v>
      </c>
      <c r="AE66" s="1">
        <f>VLOOKUP(AD66,Flags!$A$13:$B$95,2,FALSE)</f>
        <v>1</v>
      </c>
      <c r="AF66" s="43">
        <f t="shared" si="6"/>
        <v>37.038895273760332</v>
      </c>
      <c r="AG66" s="43">
        <f t="shared" si="7"/>
        <v>498.47444440605227</v>
      </c>
      <c r="AH66" s="43">
        <f t="shared" si="8"/>
        <v>0</v>
      </c>
      <c r="AI66" s="43">
        <f t="shared" si="9"/>
        <v>21548.975072959711</v>
      </c>
      <c r="AJ66" s="43">
        <f t="shared" si="10"/>
        <v>158.65327051588326</v>
      </c>
      <c r="AK66" s="43">
        <f t="shared" si="1"/>
        <v>117.24351901472107</v>
      </c>
      <c r="AL66" s="43">
        <f t="shared" si="11"/>
        <v>0</v>
      </c>
    </row>
    <row r="67" spans="1:38" x14ac:dyDescent="0.3">
      <c r="A67" s="34">
        <f>VLOOKUP(YEAR(C67),Flags!$A$13:$B$95,2,FALSE)</f>
        <v>2</v>
      </c>
      <c r="B67" s="35">
        <f t="shared" si="2"/>
        <v>1927</v>
      </c>
      <c r="C67" s="36">
        <v>10227</v>
      </c>
      <c r="D67" s="37"/>
      <c r="E67" s="35"/>
      <c r="F67" s="37"/>
      <c r="G67" s="37"/>
      <c r="H67" s="37"/>
      <c r="I67" s="37"/>
      <c r="J67" s="37"/>
      <c r="K67" s="37"/>
      <c r="L67" s="35"/>
      <c r="M67" s="35"/>
      <c r="N67" s="37"/>
      <c r="O67" s="37"/>
      <c r="P67" s="37"/>
      <c r="Q67" s="37"/>
      <c r="R67" s="37"/>
      <c r="S67" s="37"/>
      <c r="T67" s="37"/>
      <c r="U67" s="37"/>
      <c r="V67" s="37"/>
      <c r="W67" s="37">
        <f>MAX($C$11-VLOOKUP($C67,COS!$B$8:$H$991,3,FALSE),0)</f>
        <v>0</v>
      </c>
      <c r="X67" s="37">
        <f t="shared" si="31"/>
        <v>0</v>
      </c>
      <c r="Y67" s="37">
        <f>VLOOKUP($C67,COS!$B$8:$H$991,4,FALSE)</f>
        <v>0</v>
      </c>
      <c r="Z67" s="37">
        <f t="shared" si="32"/>
        <v>0</v>
      </c>
      <c r="AA67" s="37">
        <f t="shared" si="89"/>
        <v>0</v>
      </c>
      <c r="AB67" s="38">
        <f t="shared" si="34"/>
        <v>0</v>
      </c>
      <c r="AD67" s="43">
        <v>1975</v>
      </c>
      <c r="AE67" s="1">
        <f>VLOOKUP(AD67,Flags!$A$13:$B$95,2,FALSE)</f>
        <v>1</v>
      </c>
      <c r="AF67" s="43">
        <f t="shared" si="6"/>
        <v>358.21987151342972</v>
      </c>
      <c r="AG67" s="43">
        <f t="shared" si="7"/>
        <v>523.49814594363374</v>
      </c>
      <c r="AH67" s="43">
        <f t="shared" si="8"/>
        <v>0</v>
      </c>
      <c r="AI67" s="43">
        <f t="shared" si="9"/>
        <v>21731.605349302685</v>
      </c>
      <c r="AJ67" s="43">
        <f t="shared" si="10"/>
        <v>123.33492744382747</v>
      </c>
      <c r="AK67" s="43">
        <f t="shared" si="1"/>
        <v>90.435229290418391</v>
      </c>
      <c r="AL67" s="43">
        <f t="shared" si="11"/>
        <v>0</v>
      </c>
    </row>
    <row r="68" spans="1:38" x14ac:dyDescent="0.3">
      <c r="A68" s="27">
        <f>VLOOKUP(YEAR(C68),Flags!$A$13:$B$95,2,FALSE)</f>
        <v>2</v>
      </c>
      <c r="B68" s="28">
        <f t="shared" si="2"/>
        <v>1928</v>
      </c>
      <c r="C68" s="29">
        <v>10348</v>
      </c>
      <c r="D68" s="30">
        <f>VLOOKUP($C68,COS!$B$8:$H$991,3,FALSE)</f>
        <v>3250</v>
      </c>
      <c r="E68" s="28">
        <f>IF(D68&gt;=IF(MONTH($C68)=4,$C$3,IF(MONTH($C68)=5,$C$4,IF(MONTH($C68)=6,$C$5,IF(MONTH($C68)=7,$C$6,"ERROR")))),1,0)</f>
        <v>0</v>
      </c>
      <c r="F68" s="30">
        <f>VLOOKUP($C68,COS!$B$8:$H$991,7,FALSE)</f>
        <v>51.280696868896484</v>
      </c>
      <c r="G68" s="28">
        <f>IF(F68&lt;=IF(MONTH($C68)=4,$F$3,IF(MONTH($C68)=5,$F$4,IF(MONTH($C68)=6,$F$5,IF(MONTH($C68)=7,$F$6,"ERROR")))),1,0)</f>
        <v>1</v>
      </c>
      <c r="H68" s="30">
        <f>IF(J68=1,D68-$C$3,0)</f>
        <v>0</v>
      </c>
      <c r="I68" s="30">
        <f t="shared" si="17"/>
        <v>0</v>
      </c>
      <c r="J68" s="28">
        <f t="shared" ref="J68:J71" si="92">IF(AND(E68=1,G68=1),1,0)</f>
        <v>0</v>
      </c>
      <c r="K68" s="30">
        <f>VLOOKUP($C68,COS!$B$8:$H$991,2,FALSE)</f>
        <v>4536.6591796875</v>
      </c>
      <c r="L68" s="28">
        <f t="shared" ref="L68" si="93">IF(K68&lt;=IF(MONTH($C68)=4,$I$3,IF(MONTH($C68)=5,$I$4,IF(MONTH($C68)=6,$I$5,IF(MONTH($C68)=7,$I$6,"ERROR")))),1,0)</f>
        <v>1</v>
      </c>
      <c r="M68" s="28">
        <f t="shared" ref="M68" si="94">VLOOKUP($A68,$L$3:$M$7,2,FALSE)</f>
        <v>0</v>
      </c>
      <c r="N68" s="30">
        <f>VLOOKUP($C68,COS!$B$8:$H$991,5,FALSE)</f>
        <v>195.05795288085938</v>
      </c>
      <c r="O68" s="30">
        <f t="shared" ref="O68:O71" si="95">N68*DAY($C68)*86400/43560/1000</f>
        <v>11.606754221009815</v>
      </c>
      <c r="P68" s="30">
        <f>VLOOKUP($C68,COS!$B$8:$H$991,6,FALSE)</f>
        <v>419.7452392578125</v>
      </c>
      <c r="Q68" s="30">
        <f t="shared" ref="Q68:Q71" si="96">P68*DAY($C68)*86400/43560/1000</f>
        <v>24.976576220299588</v>
      </c>
      <c r="R68" s="30">
        <f>MIN(IF(MONTH($C68)=4,$S$3,IF(MONTH($C68)=5,$S$4,IF(MONTH($C68)=6,$S$5,IF(MONTH($C68)=7,$S$6,"ERROR")))),MAX(VLOOKUP($C68,COS!$B$8:$K$991,10,FALSE)-IF(MONTH($C68)=4,$Y$3,IF(MONTH($C68)=5,$Y$4,IF(MONTH($C68)=6,$Y$5,IF(MONTH($C68)=7,$Y$6,"ERROR")))),0),MAX(VLOOKUP($C68,COS!$B$8:$K$991,9,FALSE)-IF(MONTH($C68)=4,$V$3,IF(MONTH($C68)=5,$V$4,IF(MONTH($C68)=6,$V$5,IF(MONTH($C68)=7,$V$6,"ERROR"))))-VLOOKUP($C68,COS!$B$8:$K$991,6,FALSE)/2,0))</f>
        <v>750</v>
      </c>
      <c r="S68" s="30">
        <f t="shared" ref="S68:S71" si="97">R68*DAY($C68)*86400/43560/1000</f>
        <v>44.628099173553714</v>
      </c>
      <c r="T68" s="30">
        <f t="shared" ref="T68:T71" si="98">(O68+Q68)/2+S68</f>
        <v>62.919764394208414</v>
      </c>
      <c r="U68" s="30" t="str">
        <f>IF(VLOOKUP($C68,COS!$B$8:$I$991,8,FALSE)=1,"UWFE","IBU")</f>
        <v>UWFE</v>
      </c>
      <c r="V68" s="30">
        <f t="shared" ref="V68" si="99">MIN(IF(IF($AA$3=2,AND(E68=1,G68=1,L68=1,L73=1,M68=1,U68="IBU"),AND(E68=1,G68=1,L68=1,L73=1,M68=1)),T68,0),I68)</f>
        <v>0</v>
      </c>
      <c r="W68" s="30"/>
      <c r="X68" s="30"/>
      <c r="Y68" s="30"/>
      <c r="Z68" s="30"/>
      <c r="AA68" s="30"/>
      <c r="AB68" s="31"/>
      <c r="AD68" s="44">
        <v>1976</v>
      </c>
      <c r="AE68" s="45">
        <f>VLOOKUP(AD68,Flags!$A$13:$B$95,2,FALSE)</f>
        <v>4</v>
      </c>
      <c r="AF68" s="44">
        <f t="shared" si="6"/>
        <v>250.9674774018595</v>
      </c>
      <c r="AG68" s="44">
        <f t="shared" si="7"/>
        <v>441.57931056503418</v>
      </c>
      <c r="AH68" s="44">
        <f t="shared" si="8"/>
        <v>125.89868854617285</v>
      </c>
      <c r="AI68" s="44">
        <f t="shared" si="9"/>
        <v>22584.217981340393</v>
      </c>
      <c r="AJ68" s="44">
        <f t="shared" si="10"/>
        <v>561.13268578899783</v>
      </c>
      <c r="AK68" s="44">
        <f t="shared" si="1"/>
        <v>367.72266545067146</v>
      </c>
      <c r="AL68" s="44">
        <f t="shared" si="11"/>
        <v>125.89868854617285</v>
      </c>
    </row>
    <row r="69" spans="1:38" x14ac:dyDescent="0.3">
      <c r="A69" s="32">
        <f>VLOOKUP(YEAR(C69),Flags!$A$13:$B$95,2,FALSE)</f>
        <v>2</v>
      </c>
      <c r="B69" s="24">
        <f t="shared" si="2"/>
        <v>1928</v>
      </c>
      <c r="C69" s="25">
        <v>10379</v>
      </c>
      <c r="D69" s="26">
        <f>VLOOKUP($C69,COS!$B$8:$H$991,3,FALSE)</f>
        <v>7197.19873046875</v>
      </c>
      <c r="E69" s="24">
        <f>IF(D69&gt;=IF(MONTH($C69)=4,$C$3,IF(MONTH($C69)=5,$C$4,IF(MONTH($C69)=6,$C$5,IF(MONTH($C69)=7,$C$6,"ERROR")))),1,0)</f>
        <v>1</v>
      </c>
      <c r="F69" s="26">
        <f>VLOOKUP($C69,COS!$B$8:$H$991,7,FALSE)</f>
        <v>51.672935485839844</v>
      </c>
      <c r="G69" s="24">
        <f>IF(F69&lt;=IF(MONTH($C69)=4,$F$3,IF(MONTH($C69)=5,$F$4,IF(MONTH($C69)=6,$F$5,IF(MONTH($C69)=7,$F$6,"ERROR")))),1,0)</f>
        <v>1</v>
      </c>
      <c r="H69" s="26">
        <f>IF(J69=1,D69-$C$4,0)</f>
        <v>1197.19873046875</v>
      </c>
      <c r="I69" s="26">
        <f t="shared" si="17"/>
        <v>73.612880617252074</v>
      </c>
      <c r="J69" s="24">
        <f t="shared" si="92"/>
        <v>1</v>
      </c>
      <c r="K69" s="26">
        <f>VLOOKUP($C69,COS!$B$8:$H$991,2,FALSE)</f>
        <v>4435.58349609375</v>
      </c>
      <c r="L69" s="24">
        <f t="shared" si="19"/>
        <v>1</v>
      </c>
      <c r="M69" s="24">
        <f t="shared" si="20"/>
        <v>0</v>
      </c>
      <c r="N69" s="26">
        <f>VLOOKUP($C69,COS!$B$8:$H$991,5,FALSE)</f>
        <v>357.50259399414063</v>
      </c>
      <c r="O69" s="26">
        <f t="shared" si="95"/>
        <v>21.981977680300879</v>
      </c>
      <c r="P69" s="26">
        <f>VLOOKUP($C69,COS!$B$8:$H$991,6,FALSE)</f>
        <v>2314.501708984375</v>
      </c>
      <c r="Q69" s="26">
        <f t="shared" si="96"/>
        <v>142.31316293259297</v>
      </c>
      <c r="R69" s="26">
        <f>MIN(IF(MONTH($C69)=4,$S$3,IF(MONTH($C69)=5,$S$4,IF(MONTH($C69)=6,$S$5,IF(MONTH($C69)=7,$S$6,"ERROR")))),MAX(VLOOKUP($C69,COS!$B$8:$K$991,10,FALSE)-IF(MONTH($C69)=4,$Y$3,IF(MONTH($C69)=5,$Y$4,IF(MONTH($C69)=6,$Y$5,IF(MONTH($C69)=7,$Y$6,"ERROR")))),0),MAX(VLOOKUP($C69,COS!$B$8:$K$991,9,FALSE)-IF(MONTH($C69)=4,$V$3,IF(MONTH($C69)=5,$V$4,IF(MONTH($C69)=6,$V$5,IF(MONTH($C69)=7,$V$6,"ERROR"))))-VLOOKUP($C69,COS!$B$8:$K$991,6,FALSE)/2,0))</f>
        <v>750</v>
      </c>
      <c r="S69" s="26">
        <f t="shared" si="97"/>
        <v>46.115702479338843</v>
      </c>
      <c r="T69" s="26">
        <f t="shared" si="98"/>
        <v>128.26327278578577</v>
      </c>
      <c r="U69" s="26" t="str">
        <f>IF(VLOOKUP($C69,COS!$B$8:$I$991,8,FALSE)=1,"UWFE","IBU")</f>
        <v>UWFE</v>
      </c>
      <c r="V69" s="26">
        <f t="shared" ref="V69" si="100">MIN(IF(IF($AA$3=2,AND(E69=1,G69=1,L69=1,L73=1,M69=1,U69="IBU"),AND(E69=1,G69=1,L69=1,L73=1,M69=1)),T69,0),I69)</f>
        <v>0</v>
      </c>
      <c r="W69" s="26"/>
      <c r="X69" s="26"/>
      <c r="Y69" s="26"/>
      <c r="Z69" s="26"/>
      <c r="AA69" s="26"/>
      <c r="AB69" s="33"/>
      <c r="AD69" s="44">
        <v>1977</v>
      </c>
      <c r="AE69" s="45">
        <f>VLOOKUP(AD69,Flags!$A$13:$B$95,2,FALSE)</f>
        <v>5</v>
      </c>
      <c r="AF69" s="44">
        <f t="shared" si="6"/>
        <v>196.3267368285124</v>
      </c>
      <c r="AG69" s="44">
        <f t="shared" si="7"/>
        <v>420.43481657674499</v>
      </c>
      <c r="AH69" s="44">
        <f t="shared" si="8"/>
        <v>188.52377036859181</v>
      </c>
      <c r="AI69" s="44">
        <f t="shared" si="9"/>
        <v>22792.24397727273</v>
      </c>
      <c r="AJ69" s="44">
        <f t="shared" si="10"/>
        <v>635.35222042871908</v>
      </c>
      <c r="AK69" s="44">
        <f t="shared" si="1"/>
        <v>469.61289998708685</v>
      </c>
      <c r="AL69" s="44">
        <f t="shared" si="11"/>
        <v>188.52377036859181</v>
      </c>
    </row>
    <row r="70" spans="1:38" x14ac:dyDescent="0.3">
      <c r="A70" s="32">
        <f>VLOOKUP(YEAR(C70),Flags!$A$13:$B$95,2,FALSE)</f>
        <v>2</v>
      </c>
      <c r="B70" s="24">
        <f t="shared" si="2"/>
        <v>1928</v>
      </c>
      <c r="C70" s="25">
        <v>10409</v>
      </c>
      <c r="D70" s="26">
        <f>VLOOKUP($C70,COS!$B$8:$H$991,3,FALSE)</f>
        <v>13547.318359375</v>
      </c>
      <c r="E70" s="24">
        <f>IF(D70&gt;=IF(MONTH($C70)=4,$C$3,IF(MONTH($C70)=5,$C$4,IF(MONTH($C70)=6,$C$5,IF(MONTH($C70)=7,$C$6,"ERROR")))),1,0)</f>
        <v>1</v>
      </c>
      <c r="F70" s="26">
        <f>VLOOKUP($C70,COS!$B$8:$H$991,7,FALSE)</f>
        <v>51.193431854248047</v>
      </c>
      <c r="G70" s="24">
        <f>IF(F70&lt;=IF(MONTH($C70)=4,$F$3,IF(MONTH($C70)=5,$F$4,IF(MONTH($C70)=6,$F$5,IF(MONTH($C70)=7,$F$6,"ERROR")))),1,0)</f>
        <v>1</v>
      </c>
      <c r="H70" s="26">
        <f>IF(J70=1,D70-$C$5,0)</f>
        <v>3547.318359375</v>
      </c>
      <c r="I70" s="26">
        <f t="shared" si="17"/>
        <v>211.0801007231405</v>
      </c>
      <c r="J70" s="24">
        <f t="shared" si="92"/>
        <v>1</v>
      </c>
      <c r="K70" s="26">
        <f>VLOOKUP($C70,COS!$B$8:$H$991,2,FALSE)</f>
        <v>3819.055419921875</v>
      </c>
      <c r="L70" s="24">
        <f t="shared" si="19"/>
        <v>1</v>
      </c>
      <c r="M70" s="24">
        <f t="shared" si="20"/>
        <v>0</v>
      </c>
      <c r="N70" s="26">
        <f>VLOOKUP($C70,COS!$B$8:$H$991,5,FALSE)</f>
        <v>655.33172607421875</v>
      </c>
      <c r="O70" s="26">
        <f t="shared" si="95"/>
        <v>38.994945683755162</v>
      </c>
      <c r="P70" s="26">
        <f>VLOOKUP($C70,COS!$B$8:$H$991,6,FALSE)</f>
        <v>2329.183349609375</v>
      </c>
      <c r="Q70" s="26">
        <f t="shared" si="96"/>
        <v>138.59603402634298</v>
      </c>
      <c r="R70" s="26">
        <f>MIN(IF(MONTH($C70)=4,$S$3,IF(MONTH($C70)=5,$S$4,IF(MONTH($C70)=6,$S$5,IF(MONTH($C70)=7,$S$6,"ERROR")))),MAX(VLOOKUP($C70,COS!$B$8:$K$991,10,FALSE)-IF(MONTH($C70)=4,$Y$3,IF(MONTH($C70)=5,$Y$4,IF(MONTH($C70)=6,$Y$5,IF(MONTH($C70)=7,$Y$6,"ERROR")))),0),MAX(VLOOKUP($C70,COS!$B$8:$K$991,9,FALSE)-IF(MONTH($C70)=4,$V$3,IF(MONTH($C70)=5,$V$4,IF(MONTH($C70)=6,$V$5,IF(MONTH($C70)=7,$V$6,"ERROR"))))-VLOOKUP($C70,COS!$B$8:$K$991,6,FALSE)/2,0))</f>
        <v>750</v>
      </c>
      <c r="S70" s="26">
        <f t="shared" si="97"/>
        <v>44.628099173553714</v>
      </c>
      <c r="T70" s="26">
        <f t="shared" si="98"/>
        <v>133.42358902860278</v>
      </c>
      <c r="U70" s="26" t="str">
        <f>IF(VLOOKUP($C70,COS!$B$8:$I$991,8,FALSE)=1,"UWFE","IBU")</f>
        <v>IBU</v>
      </c>
      <c r="V70" s="26">
        <f t="shared" ref="V70" si="101">MIN(IF(IF($AA$3=2,AND(E70=1,G70=1,L70=1,L73=1,M70=1,U70="IBU"),AND(E70=1,G70=1,L70=1,L73=1,M70=1)),T70,0),I70)</f>
        <v>0</v>
      </c>
      <c r="W70" s="26"/>
      <c r="X70" s="26"/>
      <c r="Y70" s="26"/>
      <c r="Z70" s="26"/>
      <c r="AA70" s="26"/>
      <c r="AB70" s="33"/>
      <c r="AD70" s="43">
        <v>1978</v>
      </c>
      <c r="AE70" s="1">
        <f>VLOOKUP(AD70,Flags!$A$13:$B$95,2,FALSE)</f>
        <v>2</v>
      </c>
      <c r="AF70" s="43">
        <f t="shared" si="6"/>
        <v>217.96352595557852</v>
      </c>
      <c r="AG70" s="43">
        <f t="shared" si="7"/>
        <v>513.76760978446509</v>
      </c>
      <c r="AH70" s="43">
        <f t="shared" si="8"/>
        <v>0</v>
      </c>
      <c r="AI70" s="43">
        <f t="shared" si="9"/>
        <v>22304.191515689567</v>
      </c>
      <c r="AJ70" s="43">
        <f t="shared" si="10"/>
        <v>86.702932471913741</v>
      </c>
      <c r="AK70" s="43">
        <f t="shared" si="1"/>
        <v>43.28008670018724</v>
      </c>
      <c r="AL70" s="43">
        <f t="shared" si="11"/>
        <v>0</v>
      </c>
    </row>
    <row r="71" spans="1:38" x14ac:dyDescent="0.3">
      <c r="A71" s="32">
        <f>VLOOKUP(YEAR(C71),Flags!$A$13:$B$95,2,FALSE)</f>
        <v>2</v>
      </c>
      <c r="B71" s="24">
        <f t="shared" si="2"/>
        <v>1928</v>
      </c>
      <c r="C71" s="25">
        <v>10440</v>
      </c>
      <c r="D71" s="26">
        <f>VLOOKUP($C71,COS!$B$8:$H$991,3,FALSE)</f>
        <v>16000</v>
      </c>
      <c r="E71" s="24">
        <f>IF(D71&gt;=IF(MONTH($C71)=4,$C$3,IF(MONTH($C71)=5,$C$4,IF(MONTH($C71)=6,$C$5,IF(MONTH($C71)=7,$C$6,"ERROR")))),1,0)</f>
        <v>1</v>
      </c>
      <c r="F71" s="26">
        <f>VLOOKUP($C71,COS!$B$8:$H$991,7,FALSE)</f>
        <v>52.268638610839844</v>
      </c>
      <c r="G71" s="24">
        <f>IF(F71&lt;=IF(MONTH($C71)=4,$F$3,IF(MONTH($C71)=5,$F$4,IF(MONTH($C71)=6,$F$5,IF(MONTH($C71)=7,$F$6,"ERROR")))),1,0)</f>
        <v>1</v>
      </c>
      <c r="H71" s="26">
        <f>IF(J71=1,D71-$C$6,0)</f>
        <v>4000</v>
      </c>
      <c r="I71" s="26">
        <f t="shared" si="17"/>
        <v>245.95041322314049</v>
      </c>
      <c r="J71" s="24">
        <f t="shared" si="92"/>
        <v>1</v>
      </c>
      <c r="K71" s="26">
        <f>VLOOKUP($C71,COS!$B$8:$H$991,2,FALSE)</f>
        <v>3098.602294921875</v>
      </c>
      <c r="L71" s="24">
        <f t="shared" si="19"/>
        <v>1</v>
      </c>
      <c r="M71" s="24">
        <f t="shared" si="20"/>
        <v>0</v>
      </c>
      <c r="N71" s="26">
        <f>VLOOKUP($C71,COS!$B$8:$H$991,5,FALSE)</f>
        <v>724.34930419921875</v>
      </c>
      <c r="O71" s="26">
        <f t="shared" si="95"/>
        <v>44.538502671423039</v>
      </c>
      <c r="P71" s="26">
        <f>VLOOKUP($C71,COS!$B$8:$H$991,6,FALSE)</f>
        <v>2562.892822265625</v>
      </c>
      <c r="Q71" s="26">
        <f t="shared" si="96"/>
        <v>157.58613717071282</v>
      </c>
      <c r="R71" s="26">
        <f>MIN(IF(MONTH($C71)=4,$S$3,IF(MONTH($C71)=5,$S$4,IF(MONTH($C71)=6,$S$5,IF(MONTH($C71)=7,$S$6,"ERROR")))),MAX(VLOOKUP($C71,COS!$B$8:$K$991,10,FALSE)-IF(MONTH($C71)=4,$Y$3,IF(MONTH($C71)=5,$Y$4,IF(MONTH($C71)=6,$Y$5,IF(MONTH($C71)=7,$Y$6,"ERROR")))),0),MAX(VLOOKUP($C71,COS!$B$8:$K$991,9,FALSE)-IF(MONTH($C71)=4,$V$3,IF(MONTH($C71)=5,$V$4,IF(MONTH($C71)=6,$V$5,IF(MONTH($C71)=7,$V$6,"ERROR"))))-VLOOKUP($C71,COS!$B$8:$K$991,6,FALSE)/2,0))</f>
        <v>750</v>
      </c>
      <c r="S71" s="26">
        <f t="shared" si="97"/>
        <v>46.115702479338843</v>
      </c>
      <c r="T71" s="26">
        <f t="shared" si="98"/>
        <v>147.17802240040677</v>
      </c>
      <c r="U71" s="26" t="str">
        <f>IF(VLOOKUP($C71,COS!$B$8:$I$991,8,FALSE)=1,"UWFE","IBU")</f>
        <v>IBU</v>
      </c>
      <c r="V71" s="26">
        <f t="shared" ref="V71" si="102">MIN(IF(IF($AA$3=2,AND(E71=1,G71=1,L71=1,L73=1,M71=1,U71="IBU"),AND(E71=1,G71=1,L71=1,L73=1,M71=1)),T71,0),I71)</f>
        <v>0</v>
      </c>
      <c r="W71" s="26"/>
      <c r="X71" s="26"/>
      <c r="Y71" s="26"/>
      <c r="Z71" s="26"/>
      <c r="AA71" s="26"/>
      <c r="AB71" s="33"/>
      <c r="AD71" s="43">
        <v>1979</v>
      </c>
      <c r="AE71" s="1">
        <f>VLOOKUP(AD71,Flags!$A$13:$B$95,2,FALSE)</f>
        <v>4</v>
      </c>
      <c r="AF71" s="43">
        <f t="shared" si="6"/>
        <v>34.877614927685947</v>
      </c>
      <c r="AG71" s="43">
        <f t="shared" si="7"/>
        <v>480.00895879067662</v>
      </c>
      <c r="AH71" s="43">
        <f t="shared" si="8"/>
        <v>34.877614927685947</v>
      </c>
      <c r="AI71" s="43">
        <f t="shared" si="9"/>
        <v>22800.976620286674</v>
      </c>
      <c r="AJ71" s="43">
        <f t="shared" si="10"/>
        <v>125.50075800619835</v>
      </c>
      <c r="AK71" s="43">
        <f t="shared" si="1"/>
        <v>89.011875484245877</v>
      </c>
      <c r="AL71" s="43">
        <f t="shared" si="11"/>
        <v>34.877614927685947</v>
      </c>
    </row>
    <row r="72" spans="1:38" x14ac:dyDescent="0.3">
      <c r="A72" s="32">
        <f>VLOOKUP(YEAR(C72),Flags!$A$13:$B$95,2,FALSE)</f>
        <v>2</v>
      </c>
      <c r="B72" s="24">
        <f t="shared" si="2"/>
        <v>1928</v>
      </c>
      <c r="C72" s="25">
        <v>10471</v>
      </c>
      <c r="D72" s="26"/>
      <c r="E72" s="24"/>
      <c r="F72" s="26"/>
      <c r="G72" s="24"/>
      <c r="H72" s="24"/>
      <c r="I72" s="26"/>
      <c r="J72" s="24"/>
      <c r="K72" s="26"/>
      <c r="L72" s="24"/>
      <c r="M72" s="24"/>
      <c r="N72" s="26"/>
      <c r="O72" s="26"/>
      <c r="P72" s="26"/>
      <c r="Q72" s="26"/>
      <c r="R72" s="26"/>
      <c r="S72" s="26"/>
      <c r="T72" s="26"/>
      <c r="U72" s="26"/>
      <c r="V72" s="26"/>
      <c r="W72" s="26">
        <f>MAX($C$7-VLOOKUP($C72,COS!$B$8:$H$991,3,FALSE),0)</f>
        <v>87836.8740234375</v>
      </c>
      <c r="X72" s="26">
        <f t="shared" si="31"/>
        <v>5400.8788655733479</v>
      </c>
      <c r="Y72" s="26">
        <f>VLOOKUP($C72,COS!$B$8:$H$991,4,FALSE)</f>
        <v>4.0736780166625977</v>
      </c>
      <c r="Z72" s="26">
        <f t="shared" si="32"/>
        <v>0.25048069788404731</v>
      </c>
      <c r="AA72" s="26">
        <f t="shared" ref="AA72:AA76" si="103">MIN(W72,Y72)</f>
        <v>4.0736780166625977</v>
      </c>
      <c r="AB72" s="33">
        <f t="shared" ref="AB72" si="104">AA72*DAY($C72)*86400/43560/1000*IF(MONTH($C72)=8,$P$3,IF(MONTH($C72)=9,$P$4,IF(MONTH($C72)=10,$P$5,IF(MONTH($C72)=11,$P$6,IF(MONTH($C72)=12,$P$7,NA())))))</f>
        <v>0.25048069788404731</v>
      </c>
      <c r="AD72" s="43">
        <v>1980</v>
      </c>
      <c r="AE72" s="1">
        <f>VLOOKUP(AD72,Flags!$A$13:$B$95,2,FALSE)</f>
        <v>2</v>
      </c>
      <c r="AF72" s="43">
        <f t="shared" si="6"/>
        <v>40.083372288223138</v>
      </c>
      <c r="AG72" s="43">
        <f t="shared" si="7"/>
        <v>496.91600715069734</v>
      </c>
      <c r="AH72" s="43">
        <f t="shared" si="8"/>
        <v>0</v>
      </c>
      <c r="AI72" s="43">
        <f t="shared" si="9"/>
        <v>22086.019861828514</v>
      </c>
      <c r="AJ72" s="43">
        <f t="shared" si="10"/>
        <v>39.282558795519115</v>
      </c>
      <c r="AK72" s="43">
        <f t="shared" si="1"/>
        <v>31.817970333887526</v>
      </c>
      <c r="AL72" s="43">
        <f t="shared" si="11"/>
        <v>0</v>
      </c>
    </row>
    <row r="73" spans="1:38" x14ac:dyDescent="0.3">
      <c r="A73" s="32">
        <f>VLOOKUP(YEAR(C73),Flags!$A$13:$B$95,2,FALSE)</f>
        <v>2</v>
      </c>
      <c r="B73" s="24">
        <f t="shared" si="2"/>
        <v>1928</v>
      </c>
      <c r="C73" s="25">
        <v>10501</v>
      </c>
      <c r="D73" s="26"/>
      <c r="E73" s="24"/>
      <c r="F73" s="26"/>
      <c r="G73" s="24"/>
      <c r="H73" s="24"/>
      <c r="I73" s="26"/>
      <c r="J73" s="24"/>
      <c r="K73" s="26">
        <f>VLOOKUP($C73,COS!$B$8:$H$991,2,FALSE)</f>
        <v>2247.118896484375</v>
      </c>
      <c r="L73" s="24">
        <f t="shared" ref="L73" si="105">IF(AND(K73&gt;$I$7,K73&lt;$I$8),1,0)</f>
        <v>1</v>
      </c>
      <c r="M73" s="24"/>
      <c r="N73" s="26"/>
      <c r="O73" s="26"/>
      <c r="P73" s="26"/>
      <c r="Q73" s="26"/>
      <c r="R73" s="26"/>
      <c r="S73" s="26"/>
      <c r="T73" s="26"/>
      <c r="U73" s="26"/>
      <c r="V73" s="26"/>
      <c r="W73" s="26">
        <f>MAX($C$8-VLOOKUP($C73,COS!$B$8:$H$991,3,FALSE),0)</f>
        <v>87919.5517578125</v>
      </c>
      <c r="X73" s="26">
        <f t="shared" si="31"/>
        <v>5231.5766335227272</v>
      </c>
      <c r="Y73" s="26">
        <f>VLOOKUP($C73,COS!$B$8:$H$991,4,FALSE)</f>
        <v>0</v>
      </c>
      <c r="Z73" s="26">
        <f t="shared" si="32"/>
        <v>0</v>
      </c>
      <c r="AA73" s="26">
        <f t="shared" si="103"/>
        <v>0</v>
      </c>
      <c r="AB73" s="33">
        <f t="shared" si="34"/>
        <v>0</v>
      </c>
      <c r="AD73" s="43">
        <v>1981</v>
      </c>
      <c r="AE73" s="1">
        <f>VLOOKUP(AD73,Flags!$A$13:$B$95,2,FALSE)</f>
        <v>4</v>
      </c>
      <c r="AF73" s="43">
        <f t="shared" si="6"/>
        <v>591.60021791064048</v>
      </c>
      <c r="AG73" s="43">
        <f t="shared" si="7"/>
        <v>493.27761063000384</v>
      </c>
      <c r="AH73" s="43">
        <f t="shared" si="8"/>
        <v>402.40366820280218</v>
      </c>
      <c r="AI73" s="43">
        <f t="shared" si="9"/>
        <v>22629.243027989411</v>
      </c>
      <c r="AJ73" s="43">
        <f t="shared" si="10"/>
        <v>328.53171665160124</v>
      </c>
      <c r="AK73" s="43">
        <f t="shared" si="1"/>
        <v>328.53171665160124</v>
      </c>
      <c r="AL73" s="43">
        <f t="shared" si="11"/>
        <v>328.53171665160124</v>
      </c>
    </row>
    <row r="74" spans="1:38" x14ac:dyDescent="0.3">
      <c r="A74" s="32">
        <f>VLOOKUP(YEAR(C74),Flags!$A$13:$B$95,2,FALSE)</f>
        <v>2</v>
      </c>
      <c r="B74" s="24">
        <f t="shared" si="2"/>
        <v>1928</v>
      </c>
      <c r="C74" s="25">
        <v>10532</v>
      </c>
      <c r="D74" s="26"/>
      <c r="E74" s="24"/>
      <c r="F74" s="26"/>
      <c r="G74" s="26"/>
      <c r="H74" s="26"/>
      <c r="I74" s="26"/>
      <c r="J74" s="26"/>
      <c r="K74" s="26"/>
      <c r="L74" s="24"/>
      <c r="M74" s="24"/>
      <c r="N74" s="26"/>
      <c r="O74" s="26"/>
      <c r="P74" s="26"/>
      <c r="Q74" s="26"/>
      <c r="R74" s="26"/>
      <c r="S74" s="26"/>
      <c r="T74" s="26"/>
      <c r="U74" s="26"/>
      <c r="V74" s="26"/>
      <c r="W74" s="26">
        <f>MAX($C$9-VLOOKUP($C74,COS!$B$8:$H$991,3,FALSE),0)</f>
        <v>91149.44921875</v>
      </c>
      <c r="X74" s="26">
        <f t="shared" si="31"/>
        <v>5604.5611751033057</v>
      </c>
      <c r="Y74" s="26">
        <f>VLOOKUP($C74,COS!$B$8:$H$991,4,FALSE)</f>
        <v>828.01947021484375</v>
      </c>
      <c r="Z74" s="26">
        <f t="shared" si="32"/>
        <v>50.912932714036671</v>
      </c>
      <c r="AA74" s="26">
        <f t="shared" si="103"/>
        <v>828.01947021484375</v>
      </c>
      <c r="AB74" s="33">
        <f t="shared" si="34"/>
        <v>50.912932714036671</v>
      </c>
      <c r="AD74" s="43">
        <v>1982</v>
      </c>
      <c r="AE74" s="1">
        <f>VLOOKUP(AD74,Flags!$A$13:$B$95,2,FALSE)</f>
        <v>1</v>
      </c>
      <c r="AF74" s="43">
        <f t="shared" si="6"/>
        <v>1125.442561983471</v>
      </c>
      <c r="AG74" s="43">
        <f t="shared" si="7"/>
        <v>498.35101121634489</v>
      </c>
      <c r="AH74" s="43">
        <f t="shared" si="8"/>
        <v>0</v>
      </c>
      <c r="AI74" s="43">
        <f t="shared" si="9"/>
        <v>22172.440727014462</v>
      </c>
      <c r="AJ74" s="43">
        <f t="shared" si="10"/>
        <v>0</v>
      </c>
      <c r="AK74" s="43">
        <f t="shared" si="1"/>
        <v>0</v>
      </c>
      <c r="AL74" s="43">
        <f t="shared" si="11"/>
        <v>0</v>
      </c>
    </row>
    <row r="75" spans="1:38" x14ac:dyDescent="0.3">
      <c r="A75" s="32">
        <f>VLOOKUP(YEAR(C75),Flags!$A$13:$B$95,2,FALSE)</f>
        <v>2</v>
      </c>
      <c r="B75" s="24">
        <f t="shared" si="2"/>
        <v>1928</v>
      </c>
      <c r="C75" s="25">
        <v>10562</v>
      </c>
      <c r="D75" s="26"/>
      <c r="E75" s="24"/>
      <c r="F75" s="26"/>
      <c r="G75" s="26"/>
      <c r="H75" s="26"/>
      <c r="I75" s="26"/>
      <c r="J75" s="26"/>
      <c r="K75" s="26"/>
      <c r="L75" s="24"/>
      <c r="M75" s="24"/>
      <c r="N75" s="26"/>
      <c r="O75" s="26"/>
      <c r="P75" s="26"/>
      <c r="Q75" s="26"/>
      <c r="R75" s="26"/>
      <c r="S75" s="26"/>
      <c r="T75" s="26"/>
      <c r="U75" s="26"/>
      <c r="V75" s="26"/>
      <c r="W75" s="26">
        <f>MAX($C$10-VLOOKUP($C75,COS!$B$8:$H$991,3,FALSE),0)</f>
        <v>93858.70654296875</v>
      </c>
      <c r="X75" s="26">
        <f t="shared" si="31"/>
        <v>5584.9808852014467</v>
      </c>
      <c r="Y75" s="26">
        <f>VLOOKUP($C75,COS!$B$8:$H$991,4,FALSE)</f>
        <v>1034.00048828125</v>
      </c>
      <c r="Z75" s="26">
        <f t="shared" si="32"/>
        <v>61.527301782024793</v>
      </c>
      <c r="AA75" s="26">
        <f t="shared" si="103"/>
        <v>1034.00048828125</v>
      </c>
      <c r="AB75" s="33">
        <f t="shared" si="34"/>
        <v>30.763650891012396</v>
      </c>
      <c r="AD75" s="43">
        <v>1983</v>
      </c>
      <c r="AE75" s="1">
        <f>VLOOKUP(AD75,Flags!$A$13:$B$95,2,FALSE)</f>
        <v>1</v>
      </c>
      <c r="AF75" s="43">
        <f t="shared" si="6"/>
        <v>1379.8435440340911</v>
      </c>
      <c r="AG75" s="43">
        <f t="shared" si="7"/>
        <v>498.77325705031717</v>
      </c>
      <c r="AH75" s="43">
        <f t="shared" si="8"/>
        <v>0</v>
      </c>
      <c r="AI75" s="43">
        <f t="shared" si="9"/>
        <v>21271.9593866219</v>
      </c>
      <c r="AJ75" s="43">
        <f t="shared" si="10"/>
        <v>19.84101265899406</v>
      </c>
      <c r="AK75" s="43">
        <f t="shared" si="1"/>
        <v>19.84101265899406</v>
      </c>
      <c r="AL75" s="43">
        <f t="shared" si="11"/>
        <v>0</v>
      </c>
    </row>
    <row r="76" spans="1:38" x14ac:dyDescent="0.3">
      <c r="A76" s="34">
        <f>VLOOKUP(YEAR(C76),Flags!$A$13:$B$95,2,FALSE)</f>
        <v>2</v>
      </c>
      <c r="B76" s="35">
        <f t="shared" si="2"/>
        <v>1928</v>
      </c>
      <c r="C76" s="36">
        <v>10593</v>
      </c>
      <c r="D76" s="37"/>
      <c r="E76" s="35"/>
      <c r="F76" s="37"/>
      <c r="G76" s="37"/>
      <c r="H76" s="37"/>
      <c r="I76" s="37"/>
      <c r="J76" s="37"/>
      <c r="K76" s="37"/>
      <c r="L76" s="35"/>
      <c r="M76" s="35"/>
      <c r="N76" s="37"/>
      <c r="O76" s="37"/>
      <c r="P76" s="37"/>
      <c r="Q76" s="37"/>
      <c r="R76" s="37"/>
      <c r="S76" s="37"/>
      <c r="T76" s="37"/>
      <c r="U76" s="37"/>
      <c r="V76" s="37"/>
      <c r="W76" s="37">
        <f>MAX($C$11-VLOOKUP($C76,COS!$B$8:$H$991,3,FALSE),0)</f>
        <v>0</v>
      </c>
      <c r="X76" s="37">
        <f t="shared" si="31"/>
        <v>0</v>
      </c>
      <c r="Y76" s="37">
        <f>VLOOKUP($C76,COS!$B$8:$H$991,4,FALSE)</f>
        <v>0</v>
      </c>
      <c r="Z76" s="37">
        <f t="shared" si="32"/>
        <v>0</v>
      </c>
      <c r="AA76" s="37">
        <f t="shared" si="103"/>
        <v>0</v>
      </c>
      <c r="AB76" s="38">
        <f t="shared" si="34"/>
        <v>0</v>
      </c>
      <c r="AD76" s="43">
        <v>1984</v>
      </c>
      <c r="AE76" s="1">
        <f>VLOOKUP(AD76,Flags!$A$13:$B$95,2,FALSE)</f>
        <v>1</v>
      </c>
      <c r="AF76" s="43">
        <f t="shared" si="6"/>
        <v>407.10620706353302</v>
      </c>
      <c r="AG76" s="43">
        <f t="shared" si="7"/>
        <v>510.83479484116731</v>
      </c>
      <c r="AH76" s="43">
        <f t="shared" si="8"/>
        <v>0</v>
      </c>
      <c r="AI76" s="43">
        <f t="shared" si="9"/>
        <v>22064.629158703512</v>
      </c>
      <c r="AJ76" s="43">
        <f t="shared" si="10"/>
        <v>71.716279014398239</v>
      </c>
      <c r="AK76" s="43">
        <f t="shared" si="1"/>
        <v>71.716279014398239</v>
      </c>
      <c r="AL76" s="43">
        <f t="shared" si="11"/>
        <v>0</v>
      </c>
    </row>
    <row r="77" spans="1:38" x14ac:dyDescent="0.3">
      <c r="A77" s="27">
        <f>VLOOKUP(YEAR(C77),Flags!$A$13:$B$95,2,FALSE)</f>
        <v>5</v>
      </c>
      <c r="B77" s="28">
        <f t="shared" si="2"/>
        <v>1929</v>
      </c>
      <c r="C77" s="29">
        <v>10713</v>
      </c>
      <c r="D77" s="30">
        <f>VLOOKUP($C77,COS!$B$8:$H$991,3,FALSE)</f>
        <v>3250</v>
      </c>
      <c r="E77" s="28">
        <f>IF(D77&gt;=IF(MONTH($C77)=4,$C$3,IF(MONTH($C77)=5,$C$4,IF(MONTH($C77)=6,$C$5,IF(MONTH($C77)=7,$C$6,"ERROR")))),1,0)</f>
        <v>0</v>
      </c>
      <c r="F77" s="30">
        <f>VLOOKUP($C77,COS!$B$8:$H$991,7,FALSE)</f>
        <v>51.192344665527344</v>
      </c>
      <c r="G77" s="28">
        <f>IF(F77&lt;=IF(MONTH($C77)=4,$F$3,IF(MONTH($C77)=5,$F$4,IF(MONTH($C77)=6,$F$5,IF(MONTH($C77)=7,$F$6,"ERROR")))),1,0)</f>
        <v>1</v>
      </c>
      <c r="H77" s="30">
        <f>IF(J77=1,D77-$C$3,0)</f>
        <v>0</v>
      </c>
      <c r="I77" s="30">
        <f t="shared" si="17"/>
        <v>0</v>
      </c>
      <c r="J77" s="28">
        <f t="shared" ref="J77:J80" si="106">IF(AND(E77=1,G77=1),1,0)</f>
        <v>0</v>
      </c>
      <c r="K77" s="30">
        <f>VLOOKUP($C77,COS!$B$8:$H$991,2,FALSE)</f>
        <v>2771.09326171875</v>
      </c>
      <c r="L77" s="28">
        <f t="shared" ref="L77" si="107">IF(K77&lt;=IF(MONTH($C77)=4,$I$3,IF(MONTH($C77)=5,$I$4,IF(MONTH($C77)=6,$I$5,IF(MONTH($C77)=7,$I$6,"ERROR")))),1,0)</f>
        <v>1</v>
      </c>
      <c r="M77" s="28">
        <f t="shared" ref="M77" si="108">VLOOKUP($A77,$L$3:$M$7,2,FALSE)</f>
        <v>1</v>
      </c>
      <c r="N77" s="30">
        <f>VLOOKUP($C77,COS!$B$8:$H$991,5,FALSE)</f>
        <v>223.38325500488281</v>
      </c>
      <c r="O77" s="30">
        <f t="shared" ref="O77:O80" si="109">N77*DAY($C77)*86400/43560/1000</f>
        <v>13.292226744092201</v>
      </c>
      <c r="P77" s="30">
        <f>VLOOKUP($C77,COS!$B$8:$H$991,6,FALSE)</f>
        <v>516.50811767578125</v>
      </c>
      <c r="Q77" s="30">
        <f t="shared" ref="Q77:Q80" si="110">P77*DAY($C77)*86400/43560/1000</f>
        <v>30.734367332773761</v>
      </c>
      <c r="R77" s="30">
        <f>MIN(IF(MONTH($C77)=4,$S$3,IF(MONTH($C77)=5,$S$4,IF(MONTH($C77)=6,$S$5,IF(MONTH($C77)=7,$S$6,"ERROR")))),MAX(VLOOKUP($C77,COS!$B$8:$K$991,10,FALSE)-IF(MONTH($C77)=4,$Y$3,IF(MONTH($C77)=5,$Y$4,IF(MONTH($C77)=6,$Y$5,IF(MONTH($C77)=7,$Y$6,"ERROR")))),0),MAX(VLOOKUP($C77,COS!$B$8:$K$991,9,FALSE)-IF(MONTH($C77)=4,$V$3,IF(MONTH($C77)=5,$V$4,IF(MONTH($C77)=6,$V$5,IF(MONTH($C77)=7,$V$6,"ERROR"))))-VLOOKUP($C77,COS!$B$8:$K$991,6,FALSE)/2,0))</f>
        <v>750</v>
      </c>
      <c r="S77" s="30">
        <f t="shared" ref="S77:S80" si="111">R77*DAY($C77)*86400/43560/1000</f>
        <v>44.628099173553714</v>
      </c>
      <c r="T77" s="30">
        <f t="shared" ref="T77:T80" si="112">(O77+Q77)/2+S77</f>
        <v>66.641396211986688</v>
      </c>
      <c r="U77" s="30" t="str">
        <f>IF(VLOOKUP($C77,COS!$B$8:$I$991,8,FALSE)=1,"UWFE","IBU")</f>
        <v>UWFE</v>
      </c>
      <c r="V77" s="30">
        <f t="shared" ref="V77" si="113">MIN(IF(IF($AA$3=2,AND(E77=1,G77=1,L77=1,L82=1,M77=1,U77="IBU"),AND(E77=1,G77=1,L77=1,L82=1,M77=1)),T77,0),I77)</f>
        <v>0</v>
      </c>
      <c r="W77" s="30"/>
      <c r="X77" s="30"/>
      <c r="Y77" s="30"/>
      <c r="Z77" s="30"/>
      <c r="AA77" s="30"/>
      <c r="AB77" s="31"/>
      <c r="AD77" s="43">
        <v>1985</v>
      </c>
      <c r="AE77" s="1">
        <f>VLOOKUP(AD77,Flags!$A$13:$B$95,2,FALSE)</f>
        <v>3</v>
      </c>
      <c r="AF77" s="43">
        <f t="shared" si="6"/>
        <v>489.51717361828509</v>
      </c>
      <c r="AG77" s="43">
        <f t="shared" si="7"/>
        <v>494.79158505778662</v>
      </c>
      <c r="AH77" s="43">
        <f t="shared" si="8"/>
        <v>0</v>
      </c>
      <c r="AI77" s="43">
        <f t="shared" si="9"/>
        <v>22629.194684271693</v>
      </c>
      <c r="AJ77" s="43">
        <f t="shared" si="10"/>
        <v>253.37745220089744</v>
      </c>
      <c r="AK77" s="43">
        <f t="shared" si="1"/>
        <v>227.67342561579932</v>
      </c>
      <c r="AL77" s="43">
        <f t="shared" si="11"/>
        <v>0</v>
      </c>
    </row>
    <row r="78" spans="1:38" x14ac:dyDescent="0.3">
      <c r="A78" s="32">
        <f>VLOOKUP(YEAR(C78),Flags!$A$13:$B$95,2,FALSE)</f>
        <v>5</v>
      </c>
      <c r="B78" s="24">
        <f t="shared" si="2"/>
        <v>1929</v>
      </c>
      <c r="C78" s="25">
        <v>10744</v>
      </c>
      <c r="D78" s="26">
        <f>VLOOKUP($C78,COS!$B$8:$H$991,3,FALSE)</f>
        <v>8080.45556640625</v>
      </c>
      <c r="E78" s="24">
        <f>IF(D78&gt;=IF(MONTH($C78)=4,$C$3,IF(MONTH($C78)=5,$C$4,IF(MONTH($C78)=6,$C$5,IF(MONTH($C78)=7,$C$6,"ERROR")))),1,0)</f>
        <v>1</v>
      </c>
      <c r="F78" s="26">
        <f>VLOOKUP($C78,COS!$B$8:$H$991,7,FALSE)</f>
        <v>51.678050994873047</v>
      </c>
      <c r="G78" s="24">
        <f>IF(F78&lt;=IF(MONTH($C78)=4,$F$3,IF(MONTH($C78)=5,$F$4,IF(MONTH($C78)=6,$F$5,IF(MONTH($C78)=7,$F$6,"ERROR")))),1,0)</f>
        <v>1</v>
      </c>
      <c r="H78" s="26">
        <f>IF(J78=1,D78-$C$4,0)</f>
        <v>2080.45556640625</v>
      </c>
      <c r="I78" s="26">
        <f t="shared" si="17"/>
        <v>127.9222265625</v>
      </c>
      <c r="J78" s="24">
        <f t="shared" si="106"/>
        <v>1</v>
      </c>
      <c r="K78" s="26">
        <f>VLOOKUP($C78,COS!$B$8:$H$991,2,FALSE)</f>
        <v>2547.78955078125</v>
      </c>
      <c r="L78" s="24">
        <f t="shared" si="19"/>
        <v>1</v>
      </c>
      <c r="M78" s="24">
        <f t="shared" si="20"/>
        <v>1</v>
      </c>
      <c r="N78" s="26">
        <f>VLOOKUP($C78,COS!$B$8:$H$991,5,FALSE)</f>
        <v>306.94467163085938</v>
      </c>
      <c r="O78" s="26">
        <f t="shared" si="109"/>
        <v>18.873292206062757</v>
      </c>
      <c r="P78" s="26">
        <f>VLOOKUP($C78,COS!$B$8:$H$991,6,FALSE)</f>
        <v>2370.671630859375</v>
      </c>
      <c r="Q78" s="26">
        <f t="shared" si="110"/>
        <v>145.76691680655992</v>
      </c>
      <c r="R78" s="26">
        <f>MIN(IF(MONTH($C78)=4,$S$3,IF(MONTH($C78)=5,$S$4,IF(MONTH($C78)=6,$S$5,IF(MONTH($C78)=7,$S$6,"ERROR")))),MAX(VLOOKUP($C78,COS!$B$8:$K$991,10,FALSE)-IF(MONTH($C78)=4,$Y$3,IF(MONTH($C78)=5,$Y$4,IF(MONTH($C78)=6,$Y$5,IF(MONTH($C78)=7,$Y$6,"ERROR")))),0),MAX(VLOOKUP($C78,COS!$B$8:$K$991,9,FALSE)-IF(MONTH($C78)=4,$V$3,IF(MONTH($C78)=5,$V$4,IF(MONTH($C78)=6,$V$5,IF(MONTH($C78)=7,$V$6,"ERROR"))))-VLOOKUP($C78,COS!$B$8:$K$991,6,FALSE)/2,0))</f>
        <v>750</v>
      </c>
      <c r="S78" s="26">
        <f t="shared" si="111"/>
        <v>46.115702479338843</v>
      </c>
      <c r="T78" s="26">
        <f t="shared" si="112"/>
        <v>128.43580698565017</v>
      </c>
      <c r="U78" s="26" t="str">
        <f>IF(VLOOKUP($C78,COS!$B$8:$I$991,8,FALSE)=1,"UWFE","IBU")</f>
        <v>IBU</v>
      </c>
      <c r="V78" s="26">
        <f t="shared" ref="V78" si="114">MIN(IF(IF($AA$3=2,AND(E78=1,G78=1,L78=1,L82=1,M78=1,U78="IBU"),AND(E78=1,G78=1,L78=1,L82=1,M78=1)),T78,0),I78)</f>
        <v>127.9222265625</v>
      </c>
      <c r="W78" s="26"/>
      <c r="X78" s="26"/>
      <c r="Y78" s="26"/>
      <c r="Z78" s="26"/>
      <c r="AA78" s="26"/>
      <c r="AB78" s="33"/>
      <c r="AD78" s="44">
        <v>1986</v>
      </c>
      <c r="AE78" s="45">
        <f>VLOOKUP(AD78,Flags!$A$13:$B$95,2,FALSE)</f>
        <v>1</v>
      </c>
      <c r="AF78" s="44">
        <f t="shared" si="6"/>
        <v>63.803206030475209</v>
      </c>
      <c r="AG78" s="44">
        <f t="shared" si="7"/>
        <v>461.58785141117318</v>
      </c>
      <c r="AH78" s="44">
        <f t="shared" si="8"/>
        <v>0</v>
      </c>
      <c r="AI78" s="44">
        <f t="shared" si="9"/>
        <v>22143.33418001033</v>
      </c>
      <c r="AJ78" s="44">
        <f t="shared" si="10"/>
        <v>288.06291219411798</v>
      </c>
      <c r="AK78" s="44">
        <f t="shared" ref="AK78:AK94" si="115">SUMIF($B$14:$B$742,$AD78,$AB$14:$AB$742)</f>
        <v>169.15729877566503</v>
      </c>
      <c r="AL78" s="44">
        <f t="shared" si="11"/>
        <v>0</v>
      </c>
    </row>
    <row r="79" spans="1:38" x14ac:dyDescent="0.3">
      <c r="A79" s="32">
        <f>VLOOKUP(YEAR(C79),Flags!$A$13:$B$95,2,FALSE)</f>
        <v>5</v>
      </c>
      <c r="B79" s="24">
        <f t="shared" ref="B79:B142" si="116">YEAR(C79)</f>
        <v>1929</v>
      </c>
      <c r="C79" s="25">
        <v>10774</v>
      </c>
      <c r="D79" s="26">
        <f>VLOOKUP($C79,COS!$B$8:$H$991,3,FALSE)</f>
        <v>8416.89453125</v>
      </c>
      <c r="E79" s="24">
        <f>IF(D79&gt;=IF(MONTH($C79)=4,$C$3,IF(MONTH($C79)=5,$C$4,IF(MONTH($C79)=6,$C$5,IF(MONTH($C79)=7,$C$6,"ERROR")))),1,0)</f>
        <v>0</v>
      </c>
      <c r="F79" s="26">
        <f>VLOOKUP($C79,COS!$B$8:$H$991,7,FALSE)</f>
        <v>54.286209106445313</v>
      </c>
      <c r="G79" s="24">
        <f>IF(F79&lt;=IF(MONTH($C79)=4,$F$3,IF(MONTH($C79)=5,$F$4,IF(MONTH($C79)=6,$F$5,IF(MONTH($C79)=7,$F$6,"ERROR")))),1,0)</f>
        <v>1</v>
      </c>
      <c r="H79" s="26">
        <f>IF(J79=1,D79-$C$5,0)</f>
        <v>0</v>
      </c>
      <c r="I79" s="26">
        <f t="shared" si="17"/>
        <v>0</v>
      </c>
      <c r="J79" s="24">
        <f t="shared" si="106"/>
        <v>0</v>
      </c>
      <c r="K79" s="26">
        <f>VLOOKUP($C79,COS!$B$8:$H$991,2,FALSE)</f>
        <v>2247.309814453125</v>
      </c>
      <c r="L79" s="24">
        <f t="shared" si="19"/>
        <v>1</v>
      </c>
      <c r="M79" s="24">
        <f t="shared" si="20"/>
        <v>1</v>
      </c>
      <c r="N79" s="26">
        <f>VLOOKUP($C79,COS!$B$8:$H$991,5,FALSE)</f>
        <v>280.00125122070313</v>
      </c>
      <c r="O79" s="26">
        <f t="shared" si="109"/>
        <v>16.661231477595557</v>
      </c>
      <c r="P79" s="26">
        <f>VLOOKUP($C79,COS!$B$8:$H$991,6,FALSE)</f>
        <v>2189.392578125</v>
      </c>
      <c r="Q79" s="26">
        <f t="shared" si="110"/>
        <v>130.27790547520661</v>
      </c>
      <c r="R79" s="26">
        <f>MIN(IF(MONTH($C79)=4,$S$3,IF(MONTH($C79)=5,$S$4,IF(MONTH($C79)=6,$S$5,IF(MONTH($C79)=7,$S$6,"ERROR")))),MAX(VLOOKUP($C79,COS!$B$8:$K$991,10,FALSE)-IF(MONTH($C79)=4,$Y$3,IF(MONTH($C79)=5,$Y$4,IF(MONTH($C79)=6,$Y$5,IF(MONTH($C79)=7,$Y$6,"ERROR")))),0),MAX(VLOOKUP($C79,COS!$B$8:$K$991,9,FALSE)-IF(MONTH($C79)=4,$V$3,IF(MONTH($C79)=5,$V$4,IF(MONTH($C79)=6,$V$5,IF(MONTH($C79)=7,$V$6,"ERROR"))))-VLOOKUP($C79,COS!$B$8:$K$991,6,FALSE)/2,0))</f>
        <v>750</v>
      </c>
      <c r="S79" s="26">
        <f t="shared" si="111"/>
        <v>44.628099173553714</v>
      </c>
      <c r="T79" s="26">
        <f t="shared" si="112"/>
        <v>118.09766764995479</v>
      </c>
      <c r="U79" s="26" t="str">
        <f>IF(VLOOKUP($C79,COS!$B$8:$I$991,8,FALSE)=1,"UWFE","IBU")</f>
        <v>IBU</v>
      </c>
      <c r="V79" s="26">
        <f t="shared" ref="V79" si="117">MIN(IF(IF($AA$3=2,AND(E79=1,G79=1,L79=1,L82=1,M79=1,U79="IBU"),AND(E79=1,G79=1,L79=1,L82=1,M79=1)),T79,0),I79)</f>
        <v>0</v>
      </c>
      <c r="W79" s="26"/>
      <c r="X79" s="26"/>
      <c r="Y79" s="26"/>
      <c r="Z79" s="26"/>
      <c r="AA79" s="26"/>
      <c r="AB79" s="33"/>
      <c r="AD79" s="44">
        <v>1987</v>
      </c>
      <c r="AE79" s="45">
        <f>VLOOKUP(AD79,Flags!$A$13:$B$95,2,FALSE)</f>
        <v>4</v>
      </c>
      <c r="AF79" s="44">
        <f t="shared" ref="AF79:AF94" si="118">SUMIF($B$14:$B$742,$AD79,$I$14:$I$742)</f>
        <v>384.23917097107437</v>
      </c>
      <c r="AG79" s="44">
        <f t="shared" ref="AG79:AG94" si="119">SUMIF($B$14:$B$742,$AD79,$T$14:$T$742)</f>
        <v>458.02267554417131</v>
      </c>
      <c r="AH79" s="44">
        <f t="shared" ref="AH79:AH94" si="120">SUMIF($B$14:$B$742,$AD79,$V$14:$V$742)</f>
        <v>260.10231846328611</v>
      </c>
      <c r="AI79" s="44">
        <f t="shared" ref="AI79:AI94" si="121">SUMIF($B$14:$B$742,$AD79,$X$14:$X$742)</f>
        <v>22763.141031120867</v>
      </c>
      <c r="AJ79" s="44">
        <f t="shared" ref="AJ79:AJ94" si="122">SUMIF($B$14:$B$742,$AD79,$Z$14:$Z$742)</f>
        <v>559.00714303008783</v>
      </c>
      <c r="AK79" s="44">
        <f t="shared" si="115"/>
        <v>448.99643046229335</v>
      </c>
      <c r="AL79" s="44">
        <f t="shared" ref="AL79:AL94" si="123">MIN(AH79,AK79)</f>
        <v>260.10231846328611</v>
      </c>
    </row>
    <row r="80" spans="1:38" x14ac:dyDescent="0.3">
      <c r="A80" s="32">
        <f>VLOOKUP(YEAR(C80),Flags!$A$13:$B$95,2,FALSE)</f>
        <v>5</v>
      </c>
      <c r="B80" s="24">
        <f t="shared" si="116"/>
        <v>1929</v>
      </c>
      <c r="C80" s="25">
        <v>10805</v>
      </c>
      <c r="D80" s="26">
        <f>VLOOKUP($C80,COS!$B$8:$H$991,3,FALSE)</f>
        <v>12141.1708984375</v>
      </c>
      <c r="E80" s="24">
        <f>IF(D80&gt;=IF(MONTH($C80)=4,$C$3,IF(MONTH($C80)=5,$C$4,IF(MONTH($C80)=6,$C$5,IF(MONTH($C80)=7,$C$6,"ERROR")))),1,0)</f>
        <v>1</v>
      </c>
      <c r="F80" s="26">
        <f>VLOOKUP($C80,COS!$B$8:$H$991,7,FALSE)</f>
        <v>55.623313903808594</v>
      </c>
      <c r="G80" s="24">
        <f>IF(F80&lt;=IF(MONTH($C80)=4,$F$3,IF(MONTH($C80)=5,$F$4,IF(MONTH($C80)=6,$F$5,IF(MONTH($C80)=7,$F$6,"ERROR")))),1,0)</f>
        <v>0</v>
      </c>
      <c r="H80" s="26">
        <f>IF(J80=1,D80-$C$6,0)</f>
        <v>0</v>
      </c>
      <c r="I80" s="26">
        <f t="shared" si="17"/>
        <v>0</v>
      </c>
      <c r="J80" s="24">
        <f t="shared" si="106"/>
        <v>0</v>
      </c>
      <c r="K80" s="26">
        <f>VLOOKUP($C80,COS!$B$8:$H$991,2,FALSE)</f>
        <v>1718.207763671875</v>
      </c>
      <c r="L80" s="24">
        <f t="shared" si="19"/>
        <v>1</v>
      </c>
      <c r="M80" s="24">
        <f t="shared" si="20"/>
        <v>1</v>
      </c>
      <c r="N80" s="26">
        <f>VLOOKUP($C80,COS!$B$8:$H$991,5,FALSE)</f>
        <v>382.06051635742188</v>
      </c>
      <c r="O80" s="26">
        <f t="shared" si="109"/>
        <v>23.491985468588584</v>
      </c>
      <c r="P80" s="26">
        <f>VLOOKUP($C80,COS!$B$8:$H$991,6,FALSE)</f>
        <v>2281.4833984375</v>
      </c>
      <c r="Q80" s="26">
        <f t="shared" si="110"/>
        <v>140.28294615185951</v>
      </c>
      <c r="R80" s="26">
        <f>MIN(IF(MONTH($C80)=4,$S$3,IF(MONTH($C80)=5,$S$4,IF(MONTH($C80)=6,$S$5,IF(MONTH($C80)=7,$S$6,"ERROR")))),MAX(VLOOKUP($C80,COS!$B$8:$K$991,10,FALSE)-IF(MONTH($C80)=4,$Y$3,IF(MONTH($C80)=5,$Y$4,IF(MONTH($C80)=6,$Y$5,IF(MONTH($C80)=7,$Y$6,"ERROR")))),0),MAX(VLOOKUP($C80,COS!$B$8:$K$991,9,FALSE)-IF(MONTH($C80)=4,$V$3,IF(MONTH($C80)=5,$V$4,IF(MONTH($C80)=6,$V$5,IF(MONTH($C80)=7,$V$6,"ERROR"))))-VLOOKUP($C80,COS!$B$8:$K$991,6,FALSE)/2,0))</f>
        <v>750</v>
      </c>
      <c r="S80" s="26">
        <f t="shared" si="111"/>
        <v>46.115702479338843</v>
      </c>
      <c r="T80" s="26">
        <f t="shared" si="112"/>
        <v>128.00316828956289</v>
      </c>
      <c r="U80" s="26" t="str">
        <f>IF(VLOOKUP($C80,COS!$B$8:$I$991,8,FALSE)=1,"UWFE","IBU")</f>
        <v>IBU</v>
      </c>
      <c r="V80" s="26">
        <f t="shared" ref="V80" si="124">MIN(IF(IF($AA$3=2,AND(E80=1,G80=1,L80=1,L82=1,M80=1,U80="IBU"),AND(E80=1,G80=1,L80=1,L82=1,M80=1)),T80,0),I80)</f>
        <v>0</v>
      </c>
      <c r="W80" s="26"/>
      <c r="X80" s="26"/>
      <c r="Y80" s="26"/>
      <c r="Z80" s="26"/>
      <c r="AA80" s="26"/>
      <c r="AB80" s="33"/>
      <c r="AD80" s="44">
        <v>1988</v>
      </c>
      <c r="AE80" s="45">
        <f>VLOOKUP(AD80,Flags!$A$13:$B$95,2,FALSE)</f>
        <v>5</v>
      </c>
      <c r="AF80" s="44">
        <f t="shared" si="118"/>
        <v>110.63555559142561</v>
      </c>
      <c r="AG80" s="44">
        <f t="shared" si="119"/>
        <v>424.88657532242701</v>
      </c>
      <c r="AH80" s="44">
        <f t="shared" si="120"/>
        <v>110.63555559142561</v>
      </c>
      <c r="AI80" s="44">
        <f t="shared" si="121"/>
        <v>22845.549147404439</v>
      </c>
      <c r="AJ80" s="44">
        <f t="shared" si="122"/>
        <v>534.81629519628098</v>
      </c>
      <c r="AK80" s="44">
        <f t="shared" si="115"/>
        <v>416.2676817536157</v>
      </c>
      <c r="AL80" s="44">
        <f t="shared" si="123"/>
        <v>110.63555559142561</v>
      </c>
    </row>
    <row r="81" spans="1:38" x14ac:dyDescent="0.3">
      <c r="A81" s="32">
        <f>VLOOKUP(YEAR(C81),Flags!$A$13:$B$95,2,FALSE)</f>
        <v>5</v>
      </c>
      <c r="B81" s="24">
        <f t="shared" si="116"/>
        <v>1929</v>
      </c>
      <c r="C81" s="25">
        <v>10836</v>
      </c>
      <c r="D81" s="26"/>
      <c r="E81" s="24"/>
      <c r="F81" s="26"/>
      <c r="G81" s="24"/>
      <c r="H81" s="24"/>
      <c r="I81" s="26"/>
      <c r="J81" s="24"/>
      <c r="K81" s="26"/>
      <c r="L81" s="24"/>
      <c r="M81" s="24"/>
      <c r="N81" s="26"/>
      <c r="O81" s="26"/>
      <c r="P81" s="26"/>
      <c r="Q81" s="26"/>
      <c r="R81" s="26"/>
      <c r="S81" s="26"/>
      <c r="T81" s="26"/>
      <c r="U81" s="26"/>
      <c r="V81" s="26"/>
      <c r="W81" s="26">
        <f>MAX($C$7-VLOOKUP($C81,COS!$B$8:$H$991,3,FALSE),0)</f>
        <v>92112.06689453125</v>
      </c>
      <c r="X81" s="26">
        <f t="shared" si="31"/>
        <v>5663.75022888688</v>
      </c>
      <c r="Y81" s="26">
        <f>VLOOKUP($C81,COS!$B$8:$H$991,4,FALSE)</f>
        <v>2623.390625</v>
      </c>
      <c r="Z81" s="26">
        <f t="shared" si="32"/>
        <v>161.3060020661157</v>
      </c>
      <c r="AA81" s="26">
        <f t="shared" ref="AA81:AA85" si="125">MIN(W81,Y81)</f>
        <v>2623.390625</v>
      </c>
      <c r="AB81" s="33">
        <f t="shared" ref="AB81" si="126">AA81*DAY($C81)*86400/43560/1000*IF(MONTH($C81)=8,$P$3,IF(MONTH($C81)=9,$P$4,IF(MONTH($C81)=10,$P$5,IF(MONTH($C81)=11,$P$6,IF(MONTH($C81)=12,$P$7,NA())))))</f>
        <v>161.3060020661157</v>
      </c>
      <c r="AD81" s="44">
        <v>1989</v>
      </c>
      <c r="AE81" s="45">
        <f>VLOOKUP(AD81,Flags!$A$13:$B$95,2,FALSE)</f>
        <v>4</v>
      </c>
      <c r="AF81" s="44">
        <f t="shared" si="118"/>
        <v>354.86444473140494</v>
      </c>
      <c r="AG81" s="44">
        <f t="shared" si="119"/>
        <v>472.72975644450537</v>
      </c>
      <c r="AH81" s="44">
        <f t="shared" si="120"/>
        <v>236.93857353273501</v>
      </c>
      <c r="AI81" s="44">
        <f t="shared" si="121"/>
        <v>22908.850762848659</v>
      </c>
      <c r="AJ81" s="44">
        <f t="shared" si="122"/>
        <v>434.55095263268333</v>
      </c>
      <c r="AK81" s="44">
        <f t="shared" si="115"/>
        <v>264.68922750677945</v>
      </c>
      <c r="AL81" s="44">
        <f t="shared" si="123"/>
        <v>236.93857353273501</v>
      </c>
    </row>
    <row r="82" spans="1:38" x14ac:dyDescent="0.3">
      <c r="A82" s="32">
        <f>VLOOKUP(YEAR(C82),Flags!$A$13:$B$95,2,FALSE)</f>
        <v>5</v>
      </c>
      <c r="B82" s="24">
        <f t="shared" si="116"/>
        <v>1929</v>
      </c>
      <c r="C82" s="25">
        <v>10866</v>
      </c>
      <c r="D82" s="26"/>
      <c r="E82" s="24"/>
      <c r="F82" s="26"/>
      <c r="G82" s="24"/>
      <c r="H82" s="24"/>
      <c r="I82" s="26"/>
      <c r="J82" s="24"/>
      <c r="K82" s="26">
        <f>VLOOKUP($C82,COS!$B$8:$H$991,2,FALSE)</f>
        <v>1326.92724609375</v>
      </c>
      <c r="L82" s="24">
        <f t="shared" ref="L82" si="127">IF(AND(K82&gt;$I$7,K82&lt;$I$8),1,0)</f>
        <v>1</v>
      </c>
      <c r="M82" s="24"/>
      <c r="N82" s="26"/>
      <c r="O82" s="26"/>
      <c r="P82" s="26"/>
      <c r="Q82" s="26"/>
      <c r="R82" s="26"/>
      <c r="S82" s="26"/>
      <c r="T82" s="26"/>
      <c r="U82" s="26"/>
      <c r="V82" s="26"/>
      <c r="W82" s="26">
        <f>MAX($C$8-VLOOKUP($C82,COS!$B$8:$H$991,3,FALSE),0)</f>
        <v>94693.32568359375</v>
      </c>
      <c r="X82" s="26">
        <f t="shared" si="31"/>
        <v>5634.644172908057</v>
      </c>
      <c r="Y82" s="26">
        <f>VLOOKUP($C82,COS!$B$8:$H$991,4,FALSE)</f>
        <v>1966.5052490234375</v>
      </c>
      <c r="Z82" s="26">
        <f t="shared" si="32"/>
        <v>117.01518837164257</v>
      </c>
      <c r="AA82" s="26">
        <f t="shared" si="125"/>
        <v>1966.5052490234375</v>
      </c>
      <c r="AB82" s="33">
        <f t="shared" si="34"/>
        <v>117.01518837164257</v>
      </c>
      <c r="AD82" s="44">
        <v>1990</v>
      </c>
      <c r="AE82" s="45">
        <f>VLOOKUP(AD82,Flags!$A$13:$B$95,2,FALSE)</f>
        <v>5</v>
      </c>
      <c r="AF82" s="44">
        <f t="shared" si="118"/>
        <v>0</v>
      </c>
      <c r="AG82" s="44">
        <f t="shared" si="119"/>
        <v>371.64942337162233</v>
      </c>
      <c r="AH82" s="44">
        <f t="shared" si="120"/>
        <v>0</v>
      </c>
      <c r="AI82" s="44">
        <f t="shared" si="121"/>
        <v>22814.627935498447</v>
      </c>
      <c r="AJ82" s="44">
        <f t="shared" si="122"/>
        <v>684.5884151439825</v>
      </c>
      <c r="AK82" s="44">
        <f t="shared" si="115"/>
        <v>450.5600010491994</v>
      </c>
      <c r="AL82" s="44">
        <f t="shared" si="123"/>
        <v>0</v>
      </c>
    </row>
    <row r="83" spans="1:38" x14ac:dyDescent="0.3">
      <c r="A83" s="32">
        <f>VLOOKUP(YEAR(C83),Flags!$A$13:$B$95,2,FALSE)</f>
        <v>5</v>
      </c>
      <c r="B83" s="24">
        <f t="shared" si="116"/>
        <v>1929</v>
      </c>
      <c r="C83" s="25">
        <v>10897</v>
      </c>
      <c r="D83" s="26"/>
      <c r="E83" s="24"/>
      <c r="F83" s="26"/>
      <c r="G83" s="26"/>
      <c r="H83" s="26"/>
      <c r="I83" s="26"/>
      <c r="J83" s="26"/>
      <c r="K83" s="26"/>
      <c r="L83" s="24"/>
      <c r="M83" s="24"/>
      <c r="N83" s="26"/>
      <c r="O83" s="26"/>
      <c r="P83" s="26"/>
      <c r="Q83" s="26"/>
      <c r="R83" s="26"/>
      <c r="S83" s="26"/>
      <c r="T83" s="26"/>
      <c r="U83" s="26"/>
      <c r="V83" s="26"/>
      <c r="W83" s="26">
        <f>MAX($C$9-VLOOKUP($C83,COS!$B$8:$H$991,3,FALSE),0)</f>
        <v>94798.603515625</v>
      </c>
      <c r="X83" s="26">
        <f t="shared" si="31"/>
        <v>5828.9389269111571</v>
      </c>
      <c r="Y83" s="26">
        <f>VLOOKUP($C83,COS!$B$8:$H$991,4,FALSE)</f>
        <v>1369.061767578125</v>
      </c>
      <c r="Z83" s="26">
        <f t="shared" si="32"/>
        <v>84.180326865960737</v>
      </c>
      <c r="AA83" s="26">
        <f t="shared" si="125"/>
        <v>1369.061767578125</v>
      </c>
      <c r="AB83" s="33">
        <f t="shared" si="34"/>
        <v>84.180326865960737</v>
      </c>
      <c r="AD83" s="44">
        <v>1991</v>
      </c>
      <c r="AE83" s="45">
        <f>VLOOKUP(AD83,Flags!$A$13:$B$95,2,FALSE)</f>
        <v>5</v>
      </c>
      <c r="AF83" s="44">
        <f t="shared" si="118"/>
        <v>45.886084710743802</v>
      </c>
      <c r="AG83" s="44">
        <f t="shared" si="119"/>
        <v>435.63324764031023</v>
      </c>
      <c r="AH83" s="44">
        <f t="shared" si="120"/>
        <v>0</v>
      </c>
      <c r="AI83" s="44">
        <f t="shared" si="121"/>
        <v>22884.804520273759</v>
      </c>
      <c r="AJ83" s="44">
        <f t="shared" si="122"/>
        <v>691.69384434723656</v>
      </c>
      <c r="AK83" s="44">
        <f t="shared" si="115"/>
        <v>455.63925789320768</v>
      </c>
      <c r="AL83" s="44">
        <f t="shared" si="123"/>
        <v>0</v>
      </c>
    </row>
    <row r="84" spans="1:38" x14ac:dyDescent="0.3">
      <c r="A84" s="32">
        <f>VLOOKUP(YEAR(C84),Flags!$A$13:$B$95,2,FALSE)</f>
        <v>5</v>
      </c>
      <c r="B84" s="24">
        <f t="shared" si="116"/>
        <v>1929</v>
      </c>
      <c r="C84" s="25">
        <v>10927</v>
      </c>
      <c r="D84" s="26"/>
      <c r="E84" s="24"/>
      <c r="F84" s="26"/>
      <c r="G84" s="26"/>
      <c r="H84" s="26"/>
      <c r="I84" s="26"/>
      <c r="J84" s="26"/>
      <c r="K84" s="26"/>
      <c r="L84" s="24"/>
      <c r="M84" s="24"/>
      <c r="N84" s="26"/>
      <c r="O84" s="26"/>
      <c r="P84" s="26"/>
      <c r="Q84" s="26"/>
      <c r="R84" s="26"/>
      <c r="S84" s="26"/>
      <c r="T84" s="26"/>
      <c r="U84" s="26"/>
      <c r="V84" s="26"/>
      <c r="W84" s="26">
        <f>MAX($C$10-VLOOKUP($C84,COS!$B$8:$H$991,3,FALSE),0)</f>
        <v>95721.40087890625</v>
      </c>
      <c r="X84" s="26">
        <f t="shared" si="31"/>
        <v>5695.8188952737601</v>
      </c>
      <c r="Y84" s="26">
        <f>VLOOKUP($C84,COS!$B$8:$H$991,4,FALSE)</f>
        <v>1476.7601318359375</v>
      </c>
      <c r="Z84" s="26">
        <f t="shared" si="32"/>
        <v>87.873330158832644</v>
      </c>
      <c r="AA84" s="26">
        <f t="shared" si="125"/>
        <v>1476.7601318359375</v>
      </c>
      <c r="AB84" s="33">
        <f t="shared" si="34"/>
        <v>43.936665079416322</v>
      </c>
      <c r="AD84" s="43">
        <v>1992</v>
      </c>
      <c r="AE84" s="1">
        <f>VLOOKUP(AD84,Flags!$A$13:$B$95,2,FALSE)</f>
        <v>5</v>
      </c>
      <c r="AF84" s="43">
        <f t="shared" si="118"/>
        <v>184.40940534607438</v>
      </c>
      <c r="AG84" s="43">
        <f t="shared" si="119"/>
        <v>413.76657516794751</v>
      </c>
      <c r="AH84" s="43">
        <f t="shared" si="120"/>
        <v>139.47298908517379</v>
      </c>
      <c r="AI84" s="43">
        <f t="shared" si="121"/>
        <v>22868.97411221591</v>
      </c>
      <c r="AJ84" s="43">
        <f t="shared" si="122"/>
        <v>529.46044728176651</v>
      </c>
      <c r="AK84" s="43">
        <f t="shared" si="115"/>
        <v>374.20979137073863</v>
      </c>
      <c r="AL84" s="43">
        <f t="shared" si="123"/>
        <v>139.47298908517379</v>
      </c>
    </row>
    <row r="85" spans="1:38" x14ac:dyDescent="0.3">
      <c r="A85" s="34">
        <f>VLOOKUP(YEAR(C85),Flags!$A$13:$B$95,2,FALSE)</f>
        <v>5</v>
      </c>
      <c r="B85" s="35">
        <f t="shared" si="116"/>
        <v>1929</v>
      </c>
      <c r="C85" s="36">
        <v>10958</v>
      </c>
      <c r="D85" s="37"/>
      <c r="E85" s="35"/>
      <c r="F85" s="37"/>
      <c r="G85" s="37"/>
      <c r="H85" s="37"/>
      <c r="I85" s="37"/>
      <c r="J85" s="37"/>
      <c r="K85" s="37"/>
      <c r="L85" s="35"/>
      <c r="M85" s="35"/>
      <c r="N85" s="37"/>
      <c r="O85" s="37"/>
      <c r="P85" s="37"/>
      <c r="Q85" s="37"/>
      <c r="R85" s="37"/>
      <c r="S85" s="37"/>
      <c r="T85" s="37"/>
      <c r="U85" s="37"/>
      <c r="V85" s="37"/>
      <c r="W85" s="37">
        <f>MAX($C$11-VLOOKUP($C85,COS!$B$8:$H$991,3,FALSE),0)</f>
        <v>0</v>
      </c>
      <c r="X85" s="37">
        <f t="shared" si="31"/>
        <v>0</v>
      </c>
      <c r="Y85" s="37">
        <f>VLOOKUP($C85,COS!$B$8:$H$991,4,FALSE)</f>
        <v>1577.152099609375</v>
      </c>
      <c r="Z85" s="37">
        <f t="shared" si="32"/>
        <v>96.975302653667356</v>
      </c>
      <c r="AA85" s="37">
        <f t="shared" si="125"/>
        <v>0</v>
      </c>
      <c r="AB85" s="38">
        <f t="shared" si="34"/>
        <v>0</v>
      </c>
      <c r="AD85" s="43">
        <v>1993</v>
      </c>
      <c r="AE85" s="1">
        <f>VLOOKUP(AD85,Flags!$A$13:$B$95,2,FALSE)</f>
        <v>2</v>
      </c>
      <c r="AF85" s="43">
        <f t="shared" si="118"/>
        <v>368.51700348657027</v>
      </c>
      <c r="AG85" s="43">
        <f t="shared" si="119"/>
        <v>497.17133165595942</v>
      </c>
      <c r="AH85" s="43">
        <f t="shared" si="120"/>
        <v>0</v>
      </c>
      <c r="AI85" s="43">
        <f t="shared" si="121"/>
        <v>22047.888796487605</v>
      </c>
      <c r="AJ85" s="43">
        <f t="shared" si="122"/>
        <v>150.01719971711969</v>
      </c>
      <c r="AK85" s="43">
        <f t="shared" si="115"/>
        <v>97.969339508813277</v>
      </c>
      <c r="AL85" s="43">
        <f t="shared" si="123"/>
        <v>0</v>
      </c>
    </row>
    <row r="86" spans="1:38" x14ac:dyDescent="0.3">
      <c r="A86" s="27">
        <f>VLOOKUP(YEAR(C86),Flags!$A$13:$B$95,2,FALSE)</f>
        <v>4</v>
      </c>
      <c r="B86" s="28">
        <f t="shared" si="116"/>
        <v>1930</v>
      </c>
      <c r="C86" s="29">
        <v>11078</v>
      </c>
      <c r="D86" s="30">
        <f>VLOOKUP($C86,COS!$B$8:$H$991,3,FALSE)</f>
        <v>3250</v>
      </c>
      <c r="E86" s="28">
        <f>IF(D86&gt;=IF(MONTH($C86)=4,$C$3,IF(MONTH($C86)=5,$C$4,IF(MONTH($C86)=6,$C$5,IF(MONTH($C86)=7,$C$6,"ERROR")))),1,0)</f>
        <v>0</v>
      </c>
      <c r="F86" s="30">
        <f>VLOOKUP($C86,COS!$B$8:$H$991,7,FALSE)</f>
        <v>51.239517211914063</v>
      </c>
      <c r="G86" s="28">
        <f>IF(F86&lt;=IF(MONTH($C86)=4,$F$3,IF(MONTH($C86)=5,$F$4,IF(MONTH($C86)=6,$F$5,IF(MONTH($C86)=7,$F$6,"ERROR")))),1,0)</f>
        <v>1</v>
      </c>
      <c r="H86" s="30">
        <f>IF(J86=1,D86-$C$3,0)</f>
        <v>0</v>
      </c>
      <c r="I86" s="30">
        <f t="shared" si="17"/>
        <v>0</v>
      </c>
      <c r="J86" s="28">
        <f t="shared" ref="J86:J89" si="128">IF(AND(E86=1,G86=1),1,0)</f>
        <v>0</v>
      </c>
      <c r="K86" s="30">
        <f>VLOOKUP($C86,COS!$B$8:$H$991,2,FALSE)</f>
        <v>2916.82275390625</v>
      </c>
      <c r="L86" s="28">
        <f t="shared" ref="L86:L143" si="129">IF(K86&lt;=IF(MONTH($C86)=4,$I$3,IF(MONTH($C86)=5,$I$4,IF(MONTH($C86)=6,$I$5,IF(MONTH($C86)=7,$I$6,"ERROR")))),1,0)</f>
        <v>1</v>
      </c>
      <c r="M86" s="28">
        <f t="shared" ref="M86:M143" si="130">VLOOKUP($A86,$L$3:$M$7,2,FALSE)</f>
        <v>1</v>
      </c>
      <c r="N86" s="30">
        <f>VLOOKUP($C86,COS!$B$8:$H$991,5,FALSE)</f>
        <v>44.508659362792969</v>
      </c>
      <c r="O86" s="30">
        <f t="shared" ref="O86:O89" si="131">N86*DAY($C86)*86400/43560/1000</f>
        <v>2.6484491521661928</v>
      </c>
      <c r="P86" s="30">
        <f>VLOOKUP($C86,COS!$B$8:$H$991,6,FALSE)</f>
        <v>392.62295532226563</v>
      </c>
      <c r="Q86" s="30">
        <f t="shared" ref="Q86:Q89" si="132">P86*DAY($C86)*86400/43560/1000</f>
        <v>23.362688250581094</v>
      </c>
      <c r="R86" s="30">
        <f>MIN(IF(MONTH($C86)=4,$S$3,IF(MONTH($C86)=5,$S$4,IF(MONTH($C86)=6,$S$5,IF(MONTH($C86)=7,$S$6,"ERROR")))),MAX(VLOOKUP($C86,COS!$B$8:$K$991,10,FALSE)-IF(MONTH($C86)=4,$Y$3,IF(MONTH($C86)=5,$Y$4,IF(MONTH($C86)=6,$Y$5,IF(MONTH($C86)=7,$Y$6,"ERROR")))),0),MAX(VLOOKUP($C86,COS!$B$8:$K$991,9,FALSE)-IF(MONTH($C86)=4,$V$3,IF(MONTH($C86)=5,$V$4,IF(MONTH($C86)=6,$V$5,IF(MONTH($C86)=7,$V$6,"ERROR"))))-VLOOKUP($C86,COS!$B$8:$K$991,6,FALSE)/2,0))</f>
        <v>750</v>
      </c>
      <c r="S86" s="30">
        <f t="shared" ref="S86:S89" si="133">R86*DAY($C86)*86400/43560/1000</f>
        <v>44.628099173553714</v>
      </c>
      <c r="T86" s="30">
        <f t="shared" ref="T86:T89" si="134">(O86+Q86)/2+S86</f>
        <v>57.633667874927355</v>
      </c>
      <c r="U86" s="30" t="str">
        <f>IF(VLOOKUP($C86,COS!$B$8:$I$991,8,FALSE)=1,"UWFE","IBU")</f>
        <v>UWFE</v>
      </c>
      <c r="V86" s="30">
        <f t="shared" ref="V86" si="135">MIN(IF(IF($AA$3=2,AND(E86=1,G86=1,L86=1,L91=1,M86=1,U86="IBU"),AND(E86=1,G86=1,L86=1,L91=1,M86=1)),T86,0),I86)</f>
        <v>0</v>
      </c>
      <c r="W86" s="30"/>
      <c r="X86" s="30"/>
      <c r="Y86" s="30"/>
      <c r="Z86" s="30"/>
      <c r="AA86" s="30"/>
      <c r="AB86" s="31"/>
      <c r="AD86" s="43">
        <v>1994</v>
      </c>
      <c r="AE86" s="1">
        <f>VLOOKUP(AD86,Flags!$A$13:$B$95,2,FALSE)</f>
        <v>5</v>
      </c>
      <c r="AF86" s="43">
        <f t="shared" si="118"/>
        <v>21.768285123966944</v>
      </c>
      <c r="AG86" s="43">
        <f t="shared" si="119"/>
        <v>440.1307747025923</v>
      </c>
      <c r="AH86" s="43">
        <f t="shared" si="120"/>
        <v>21.768285123966944</v>
      </c>
      <c r="AI86" s="43">
        <f t="shared" si="121"/>
        <v>22936.905428073344</v>
      </c>
      <c r="AJ86" s="43">
        <f t="shared" si="122"/>
        <v>521.34395168840388</v>
      </c>
      <c r="AK86" s="43">
        <f t="shared" si="115"/>
        <v>366.65812161027895</v>
      </c>
      <c r="AL86" s="43">
        <f t="shared" si="123"/>
        <v>21.768285123966944</v>
      </c>
    </row>
    <row r="87" spans="1:38" x14ac:dyDescent="0.3">
      <c r="A87" s="32">
        <f>VLOOKUP(YEAR(C87),Flags!$A$13:$B$95,2,FALSE)</f>
        <v>4</v>
      </c>
      <c r="B87" s="24">
        <f t="shared" si="116"/>
        <v>1930</v>
      </c>
      <c r="C87" s="25">
        <v>11109</v>
      </c>
      <c r="D87" s="26">
        <f>VLOOKUP($C87,COS!$B$8:$H$991,3,FALSE)</f>
        <v>5412.98681640625</v>
      </c>
      <c r="E87" s="24">
        <f>IF(D87&gt;=IF(MONTH($C87)=4,$C$3,IF(MONTH($C87)=5,$C$4,IF(MONTH($C87)=6,$C$5,IF(MONTH($C87)=7,$C$6,"ERROR")))),1,0)</f>
        <v>0</v>
      </c>
      <c r="F87" s="26">
        <f>VLOOKUP($C87,COS!$B$8:$H$991,7,FALSE)</f>
        <v>51.472103118896484</v>
      </c>
      <c r="G87" s="24">
        <f>IF(F87&lt;=IF(MONTH($C87)=4,$F$3,IF(MONTH($C87)=5,$F$4,IF(MONTH($C87)=6,$F$5,IF(MONTH($C87)=7,$F$6,"ERROR")))),1,0)</f>
        <v>1</v>
      </c>
      <c r="H87" s="26">
        <f>IF(J87=1,D87-$C$4,0)</f>
        <v>0</v>
      </c>
      <c r="I87" s="26">
        <f t="shared" ref="I87:I150" si="136">H87*DAY($C87)*86400/43560/1000</f>
        <v>0</v>
      </c>
      <c r="J87" s="24">
        <f t="shared" si="128"/>
        <v>0</v>
      </c>
      <c r="K87" s="26">
        <f>VLOOKUP($C87,COS!$B$8:$H$991,2,FALSE)</f>
        <v>2856.510986328125</v>
      </c>
      <c r="L87" s="24">
        <f t="shared" si="129"/>
        <v>1</v>
      </c>
      <c r="M87" s="24">
        <f t="shared" si="130"/>
        <v>1</v>
      </c>
      <c r="N87" s="26">
        <f>VLOOKUP($C87,COS!$B$8:$H$991,5,FALSE)</f>
        <v>14.996692657470703</v>
      </c>
      <c r="O87" s="26">
        <f t="shared" si="131"/>
        <v>0.92211068902133908</v>
      </c>
      <c r="P87" s="26">
        <f>VLOOKUP($C87,COS!$B$8:$H$991,6,FALSE)</f>
        <v>2146.524658203125</v>
      </c>
      <c r="Q87" s="26">
        <f t="shared" si="132"/>
        <v>131.98465666967974</v>
      </c>
      <c r="R87" s="26">
        <f>MIN(IF(MONTH($C87)=4,$S$3,IF(MONTH($C87)=5,$S$4,IF(MONTH($C87)=6,$S$5,IF(MONTH($C87)=7,$S$6,"ERROR")))),MAX(VLOOKUP($C87,COS!$B$8:$K$991,10,FALSE)-IF(MONTH($C87)=4,$Y$3,IF(MONTH($C87)=5,$Y$4,IF(MONTH($C87)=6,$Y$5,IF(MONTH($C87)=7,$Y$6,"ERROR")))),0),MAX(VLOOKUP($C87,COS!$B$8:$K$991,9,FALSE)-IF(MONTH($C87)=4,$V$3,IF(MONTH($C87)=5,$V$4,IF(MONTH($C87)=6,$V$5,IF(MONTH($C87)=7,$V$6,"ERROR"))))-VLOOKUP($C87,COS!$B$8:$K$991,6,FALSE)/2,0))</f>
        <v>750</v>
      </c>
      <c r="S87" s="26">
        <f t="shared" si="133"/>
        <v>46.115702479338843</v>
      </c>
      <c r="T87" s="26">
        <f t="shared" si="134"/>
        <v>112.56908615868937</v>
      </c>
      <c r="U87" s="26" t="str">
        <f>IF(VLOOKUP($C87,COS!$B$8:$I$991,8,FALSE)=1,"UWFE","IBU")</f>
        <v>UWFE</v>
      </c>
      <c r="V87" s="26">
        <f t="shared" ref="V87" si="137">MIN(IF(IF($AA$3=2,AND(E87=1,G87=1,L87=1,L91=1,M87=1,U87="IBU"),AND(E87=1,G87=1,L87=1,L91=1,M87=1)),T87,0),I87)</f>
        <v>0</v>
      </c>
      <c r="W87" s="26"/>
      <c r="X87" s="26"/>
      <c r="Y87" s="26"/>
      <c r="Z87" s="26"/>
      <c r="AA87" s="26"/>
      <c r="AB87" s="33"/>
      <c r="AD87" s="43">
        <v>1995</v>
      </c>
      <c r="AE87" s="1">
        <f>VLOOKUP(AD87,Flags!$A$13:$B$95,2,FALSE)</f>
        <v>1</v>
      </c>
      <c r="AF87" s="43">
        <f t="shared" si="118"/>
        <v>374.49814307851238</v>
      </c>
      <c r="AG87" s="43">
        <f t="shared" si="119"/>
        <v>495.13972502905472</v>
      </c>
      <c r="AH87" s="43">
        <f t="shared" si="120"/>
        <v>0</v>
      </c>
      <c r="AI87" s="43">
        <f t="shared" si="121"/>
        <v>21622.179925103308</v>
      </c>
      <c r="AJ87" s="43">
        <f t="shared" si="122"/>
        <v>112.67233340428881</v>
      </c>
      <c r="AK87" s="43">
        <f t="shared" si="115"/>
        <v>60.09638307177331</v>
      </c>
      <c r="AL87" s="43">
        <f t="shared" si="123"/>
        <v>0</v>
      </c>
    </row>
    <row r="88" spans="1:38" x14ac:dyDescent="0.3">
      <c r="A88" s="32">
        <f>VLOOKUP(YEAR(C88),Flags!$A$13:$B$95,2,FALSE)</f>
        <v>4</v>
      </c>
      <c r="B88" s="24">
        <f t="shared" si="116"/>
        <v>1930</v>
      </c>
      <c r="C88" s="25">
        <v>11139</v>
      </c>
      <c r="D88" s="26">
        <f>VLOOKUP($C88,COS!$B$8:$H$991,3,FALSE)</f>
        <v>8881.8974609375</v>
      </c>
      <c r="E88" s="24">
        <f>IF(D88&gt;=IF(MONTH($C88)=4,$C$3,IF(MONTH($C88)=5,$C$4,IF(MONTH($C88)=6,$C$5,IF(MONTH($C88)=7,$C$6,"ERROR")))),1,0)</f>
        <v>0</v>
      </c>
      <c r="F88" s="26">
        <f>VLOOKUP($C88,COS!$B$8:$H$991,7,FALSE)</f>
        <v>52.899250030517578</v>
      </c>
      <c r="G88" s="24">
        <f>IF(F88&lt;=IF(MONTH($C88)=4,$F$3,IF(MONTH($C88)=5,$F$4,IF(MONTH($C88)=6,$F$5,IF(MONTH($C88)=7,$F$6,"ERROR")))),1,0)</f>
        <v>1</v>
      </c>
      <c r="H88" s="26">
        <f>IF(J88=1,D88-$C$5,0)</f>
        <v>0</v>
      </c>
      <c r="I88" s="26">
        <f t="shared" si="136"/>
        <v>0</v>
      </c>
      <c r="J88" s="24">
        <f t="shared" si="128"/>
        <v>0</v>
      </c>
      <c r="K88" s="26">
        <f>VLOOKUP($C88,COS!$B$8:$H$991,2,FALSE)</f>
        <v>2536.044189453125</v>
      </c>
      <c r="L88" s="24">
        <f t="shared" si="129"/>
        <v>1</v>
      </c>
      <c r="M88" s="24">
        <f t="shared" si="130"/>
        <v>1</v>
      </c>
      <c r="N88" s="26">
        <f>VLOOKUP($C88,COS!$B$8:$H$991,5,FALSE)</f>
        <v>199.59013366699219</v>
      </c>
      <c r="O88" s="26">
        <f t="shared" si="131"/>
        <v>11.876437705804493</v>
      </c>
      <c r="P88" s="26">
        <f>VLOOKUP($C88,COS!$B$8:$H$991,6,FALSE)</f>
        <v>2714.961669921875</v>
      </c>
      <c r="Q88" s="26">
        <f t="shared" si="132"/>
        <v>161.55143821022727</v>
      </c>
      <c r="R88" s="26">
        <f>MIN(IF(MONTH($C88)=4,$S$3,IF(MONTH($C88)=5,$S$4,IF(MONTH($C88)=6,$S$5,IF(MONTH($C88)=7,$S$6,"ERROR")))),MAX(VLOOKUP($C88,COS!$B$8:$K$991,10,FALSE)-IF(MONTH($C88)=4,$Y$3,IF(MONTH($C88)=5,$Y$4,IF(MONTH($C88)=6,$Y$5,IF(MONTH($C88)=7,$Y$6,"ERROR")))),0),MAX(VLOOKUP($C88,COS!$B$8:$K$991,9,FALSE)-IF(MONTH($C88)=4,$V$3,IF(MONTH($C88)=5,$V$4,IF(MONTH($C88)=6,$V$5,IF(MONTH($C88)=7,$V$6,"ERROR"))))-VLOOKUP($C88,COS!$B$8:$K$991,6,FALSE)/2,0))</f>
        <v>750</v>
      </c>
      <c r="S88" s="26">
        <f t="shared" si="133"/>
        <v>44.628099173553714</v>
      </c>
      <c r="T88" s="26">
        <f t="shared" si="134"/>
        <v>131.34203713156961</v>
      </c>
      <c r="U88" s="26" t="str">
        <f>IF(VLOOKUP($C88,COS!$B$8:$I$991,8,FALSE)=1,"UWFE","IBU")</f>
        <v>IBU</v>
      </c>
      <c r="V88" s="26">
        <f t="shared" ref="V88" si="138">MIN(IF(IF($AA$3=2,AND(E88=1,G88=1,L88=1,L91=1,M88=1,U88="IBU"),AND(E88=1,G88=1,L88=1,L91=1,M88=1)),T88,0),I88)</f>
        <v>0</v>
      </c>
      <c r="W88" s="26"/>
      <c r="X88" s="26"/>
      <c r="Y88" s="26"/>
      <c r="Z88" s="26"/>
      <c r="AA88" s="26"/>
      <c r="AB88" s="33"/>
      <c r="AD88" s="43">
        <v>1996</v>
      </c>
      <c r="AE88" s="1">
        <f>VLOOKUP(AD88,Flags!$A$13:$B$95,2,FALSE)</f>
        <v>1</v>
      </c>
      <c r="AF88" s="43">
        <f t="shared" si="118"/>
        <v>470.82685111053718</v>
      </c>
      <c r="AG88" s="43">
        <f t="shared" si="119"/>
        <v>492.21595773744184</v>
      </c>
      <c r="AH88" s="43">
        <f t="shared" si="120"/>
        <v>0</v>
      </c>
      <c r="AI88" s="43">
        <f t="shared" si="121"/>
        <v>21668.349818569215</v>
      </c>
      <c r="AJ88" s="43">
        <f t="shared" si="122"/>
        <v>153.2964386137655</v>
      </c>
      <c r="AK88" s="43">
        <f t="shared" si="115"/>
        <v>99.075586179622945</v>
      </c>
      <c r="AL88" s="43">
        <f t="shared" si="123"/>
        <v>0</v>
      </c>
    </row>
    <row r="89" spans="1:38" x14ac:dyDescent="0.3">
      <c r="A89" s="32">
        <f>VLOOKUP(YEAR(C89),Flags!$A$13:$B$95,2,FALSE)</f>
        <v>4</v>
      </c>
      <c r="B89" s="24">
        <f t="shared" si="116"/>
        <v>1930</v>
      </c>
      <c r="C89" s="25">
        <v>11170</v>
      </c>
      <c r="D89" s="26">
        <f>VLOOKUP($C89,COS!$B$8:$H$991,3,FALSE)</f>
        <v>9171.2353515625</v>
      </c>
      <c r="E89" s="24">
        <f>IF(D89&gt;=IF(MONTH($C89)=4,$C$3,IF(MONTH($C89)=5,$C$4,IF(MONTH($C89)=6,$C$5,IF(MONTH($C89)=7,$C$6,"ERROR")))),1,0)</f>
        <v>0</v>
      </c>
      <c r="F89" s="26">
        <f>VLOOKUP($C89,COS!$B$8:$H$991,7,FALSE)</f>
        <v>55.481464385986328</v>
      </c>
      <c r="G89" s="24">
        <f>IF(F89&lt;=IF(MONTH($C89)=4,$F$3,IF(MONTH($C89)=5,$F$4,IF(MONTH($C89)=6,$F$5,IF(MONTH($C89)=7,$F$6,"ERROR")))),1,0)</f>
        <v>0</v>
      </c>
      <c r="H89" s="26">
        <f>IF(J89=1,D89-$C$6,0)</f>
        <v>0</v>
      </c>
      <c r="I89" s="26">
        <f t="shared" si="136"/>
        <v>0</v>
      </c>
      <c r="J89" s="24">
        <f t="shared" si="128"/>
        <v>0</v>
      </c>
      <c r="K89" s="26">
        <f>VLOOKUP($C89,COS!$B$8:$H$991,2,FALSE)</f>
        <v>2214.108642578125</v>
      </c>
      <c r="L89" s="24">
        <f t="shared" si="129"/>
        <v>1</v>
      </c>
      <c r="M89" s="24">
        <f t="shared" si="130"/>
        <v>1</v>
      </c>
      <c r="N89" s="26">
        <f>VLOOKUP($C89,COS!$B$8:$H$991,5,FALSE)</f>
        <v>218.08706665039063</v>
      </c>
      <c r="O89" s="26">
        <f t="shared" si="131"/>
        <v>13.40965104032154</v>
      </c>
      <c r="P89" s="26">
        <f>VLOOKUP($C89,COS!$B$8:$H$991,6,FALSE)</f>
        <v>2538.07568359375</v>
      </c>
      <c r="Q89" s="26">
        <f t="shared" si="132"/>
        <v>156.06019079287191</v>
      </c>
      <c r="R89" s="26">
        <f>MIN(IF(MONTH($C89)=4,$S$3,IF(MONTH($C89)=5,$S$4,IF(MONTH($C89)=6,$S$5,IF(MONTH($C89)=7,$S$6,"ERROR")))),MAX(VLOOKUP($C89,COS!$B$8:$K$991,10,FALSE)-IF(MONTH($C89)=4,$Y$3,IF(MONTH($C89)=5,$Y$4,IF(MONTH($C89)=6,$Y$5,IF(MONTH($C89)=7,$Y$6,"ERROR")))),0),MAX(VLOOKUP($C89,COS!$B$8:$K$991,9,FALSE)-IF(MONTH($C89)=4,$V$3,IF(MONTH($C89)=5,$V$4,IF(MONTH($C89)=6,$V$5,IF(MONTH($C89)=7,$V$6,"ERROR"))))-VLOOKUP($C89,COS!$B$8:$K$991,6,FALSE)/2,0))</f>
        <v>750</v>
      </c>
      <c r="S89" s="26">
        <f t="shared" si="133"/>
        <v>46.115702479338843</v>
      </c>
      <c r="T89" s="26">
        <f t="shared" si="134"/>
        <v>130.85062339593557</v>
      </c>
      <c r="U89" s="26" t="str">
        <f>IF(VLOOKUP($C89,COS!$B$8:$I$991,8,FALSE)=1,"UWFE","IBU")</f>
        <v>IBU</v>
      </c>
      <c r="V89" s="26">
        <f t="shared" ref="V89" si="139">MIN(IF(IF($AA$3=2,AND(E89=1,G89=1,L89=1,L91=1,M89=1,U89="IBU"),AND(E89=1,G89=1,L89=1,L91=1,M89=1)),T89,0),I89)</f>
        <v>0</v>
      </c>
      <c r="W89" s="26"/>
      <c r="X89" s="26"/>
      <c r="Y89" s="26"/>
      <c r="Z89" s="26"/>
      <c r="AA89" s="26"/>
      <c r="AB89" s="33"/>
      <c r="AD89" s="43">
        <v>1997</v>
      </c>
      <c r="AE89" s="1">
        <f>VLOOKUP(AD89,Flags!$A$13:$B$95,2,FALSE)</f>
        <v>1</v>
      </c>
      <c r="AF89" s="43">
        <f t="shared" si="118"/>
        <v>379.07900051652894</v>
      </c>
      <c r="AG89" s="43">
        <f t="shared" si="119"/>
        <v>501.38886656201572</v>
      </c>
      <c r="AH89" s="43">
        <f t="shared" si="120"/>
        <v>0</v>
      </c>
      <c r="AI89" s="43">
        <f t="shared" si="121"/>
        <v>21458.47272985537</v>
      </c>
      <c r="AJ89" s="43">
        <f t="shared" si="122"/>
        <v>130.54690817084196</v>
      </c>
      <c r="AK89" s="43">
        <f t="shared" si="115"/>
        <v>96.180083048166324</v>
      </c>
      <c r="AL89" s="43">
        <f t="shared" si="123"/>
        <v>0</v>
      </c>
    </row>
    <row r="90" spans="1:38" x14ac:dyDescent="0.3">
      <c r="A90" s="32">
        <f>VLOOKUP(YEAR(C90),Flags!$A$13:$B$95,2,FALSE)</f>
        <v>4</v>
      </c>
      <c r="B90" s="24">
        <f t="shared" si="116"/>
        <v>1930</v>
      </c>
      <c r="C90" s="25">
        <v>11201</v>
      </c>
      <c r="D90" s="26"/>
      <c r="E90" s="24"/>
      <c r="F90" s="26"/>
      <c r="G90" s="24"/>
      <c r="H90" s="24"/>
      <c r="I90" s="26"/>
      <c r="J90" s="24"/>
      <c r="K90" s="26"/>
      <c r="L90" s="24"/>
      <c r="M90" s="24"/>
      <c r="N90" s="26"/>
      <c r="O90" s="26"/>
      <c r="P90" s="26"/>
      <c r="Q90" s="26"/>
      <c r="R90" s="26"/>
      <c r="S90" s="26"/>
      <c r="T90" s="26"/>
      <c r="U90" s="26"/>
      <c r="V90" s="26"/>
      <c r="W90" s="26">
        <f>MAX($C$7-VLOOKUP($C90,COS!$B$8:$H$991,3,FALSE),0)</f>
        <v>92245.44091796875</v>
      </c>
      <c r="X90" s="26">
        <f t="shared" si="31"/>
        <v>5671.9510779313014</v>
      </c>
      <c r="Y90" s="26">
        <f>VLOOKUP($C90,COS!$B$8:$H$991,4,FALSE)</f>
        <v>2140.212646484375</v>
      </c>
      <c r="Z90" s="26">
        <f t="shared" si="32"/>
        <v>131.59654619705577</v>
      </c>
      <c r="AA90" s="26">
        <f t="shared" ref="AA90:AA94" si="140">MIN(W90,Y90)</f>
        <v>2140.212646484375</v>
      </c>
      <c r="AB90" s="33">
        <f t="shared" ref="AB90:AB148" si="141">AA90*DAY($C90)*86400/43560/1000*IF(MONTH($C90)=8,$P$3,IF(MONTH($C90)=9,$P$4,IF(MONTH($C90)=10,$P$5,IF(MONTH($C90)=11,$P$6,IF(MONTH($C90)=12,$P$7,NA())))))</f>
        <v>131.59654619705577</v>
      </c>
      <c r="AD90" s="43">
        <v>1998</v>
      </c>
      <c r="AE90" s="1">
        <f>VLOOKUP(AD90,Flags!$A$13:$B$95,2,FALSE)</f>
        <v>1</v>
      </c>
      <c r="AF90" s="43">
        <f t="shared" si="118"/>
        <v>1046.5325051652894</v>
      </c>
      <c r="AG90" s="43">
        <f t="shared" si="119"/>
        <v>456.28421857092985</v>
      </c>
      <c r="AH90" s="43">
        <f t="shared" si="120"/>
        <v>0</v>
      </c>
      <c r="AI90" s="43">
        <f t="shared" si="121"/>
        <v>21397.993194731403</v>
      </c>
      <c r="AJ90" s="43">
        <f t="shared" si="122"/>
        <v>3.2741707793937245</v>
      </c>
      <c r="AK90" s="43">
        <f t="shared" si="115"/>
        <v>3.2741707793937245</v>
      </c>
      <c r="AL90" s="43">
        <f t="shared" si="123"/>
        <v>0</v>
      </c>
    </row>
    <row r="91" spans="1:38" x14ac:dyDescent="0.3">
      <c r="A91" s="32">
        <f>VLOOKUP(YEAR(C91),Flags!$A$13:$B$95,2,FALSE)</f>
        <v>4</v>
      </c>
      <c r="B91" s="24">
        <f t="shared" si="116"/>
        <v>1930</v>
      </c>
      <c r="C91" s="25">
        <v>11231</v>
      </c>
      <c r="D91" s="26"/>
      <c r="E91" s="24"/>
      <c r="F91" s="26"/>
      <c r="G91" s="24"/>
      <c r="H91" s="24"/>
      <c r="I91" s="26"/>
      <c r="J91" s="24"/>
      <c r="K91" s="26">
        <f>VLOOKUP($C91,COS!$B$8:$H$991,2,FALSE)</f>
        <v>1915.04248046875</v>
      </c>
      <c r="L91" s="24">
        <f t="shared" ref="L91" si="142">IF(AND(K91&gt;$I$7,K91&lt;$I$8),1,0)</f>
        <v>1</v>
      </c>
      <c r="M91" s="24"/>
      <c r="N91" s="26"/>
      <c r="O91" s="26"/>
      <c r="P91" s="26"/>
      <c r="Q91" s="26"/>
      <c r="R91" s="26"/>
      <c r="S91" s="26"/>
      <c r="T91" s="26"/>
      <c r="U91" s="26"/>
      <c r="V91" s="26"/>
      <c r="W91" s="26">
        <f>MAX($C$8-VLOOKUP($C91,COS!$B$8:$H$991,3,FALSE),0)</f>
        <v>95941.968505859375</v>
      </c>
      <c r="X91" s="26">
        <f t="shared" ref="X91:X154" si="143">W91*DAY($C91)*86400/43560/1000</f>
        <v>5708.9435805139465</v>
      </c>
      <c r="Y91" s="26">
        <f>VLOOKUP($C91,COS!$B$8:$H$991,4,FALSE)</f>
        <v>1280.4638671875</v>
      </c>
      <c r="Z91" s="26">
        <f t="shared" ref="Z91:Z154" si="144">Y91*DAY($C91)*86400/43560/1000</f>
        <v>76.192891270661164</v>
      </c>
      <c r="AA91" s="26">
        <f t="shared" si="140"/>
        <v>1280.4638671875</v>
      </c>
      <c r="AB91" s="33">
        <f t="shared" si="141"/>
        <v>76.192891270661164</v>
      </c>
      <c r="AD91" s="43">
        <v>1999</v>
      </c>
      <c r="AE91" s="1">
        <f>VLOOKUP(AD91,Flags!$A$13:$B$95,2,FALSE)</f>
        <v>1</v>
      </c>
      <c r="AF91" s="43">
        <f t="shared" si="118"/>
        <v>395.80849238119833</v>
      </c>
      <c r="AG91" s="43">
        <f t="shared" si="119"/>
        <v>511.60543176572185</v>
      </c>
      <c r="AH91" s="43">
        <f t="shared" si="120"/>
        <v>0</v>
      </c>
      <c r="AI91" s="43">
        <f t="shared" si="121"/>
        <v>21187.067099690081</v>
      </c>
      <c r="AJ91" s="43">
        <f t="shared" si="122"/>
        <v>135.00084912512912</v>
      </c>
      <c r="AK91" s="43">
        <f t="shared" si="115"/>
        <v>98.872038513688011</v>
      </c>
      <c r="AL91" s="43">
        <f t="shared" si="123"/>
        <v>0</v>
      </c>
    </row>
    <row r="92" spans="1:38" x14ac:dyDescent="0.3">
      <c r="A92" s="32">
        <f>VLOOKUP(YEAR(C92),Flags!$A$13:$B$95,2,FALSE)</f>
        <v>4</v>
      </c>
      <c r="B92" s="24">
        <f t="shared" si="116"/>
        <v>1930</v>
      </c>
      <c r="C92" s="25">
        <v>11262</v>
      </c>
      <c r="D92" s="26"/>
      <c r="E92" s="24"/>
      <c r="F92" s="26"/>
      <c r="G92" s="26"/>
      <c r="H92" s="26"/>
      <c r="I92" s="26"/>
      <c r="J92" s="26"/>
      <c r="K92" s="26"/>
      <c r="L92" s="24"/>
      <c r="M92" s="24"/>
      <c r="N92" s="26"/>
      <c r="O92" s="26"/>
      <c r="P92" s="26"/>
      <c r="Q92" s="26"/>
      <c r="R92" s="26"/>
      <c r="S92" s="26"/>
      <c r="T92" s="26"/>
      <c r="U92" s="26"/>
      <c r="V92" s="26"/>
      <c r="W92" s="26">
        <f>MAX($C$9-VLOOKUP($C92,COS!$B$8:$H$991,3,FALSE),0)</f>
        <v>95080.65087890625</v>
      </c>
      <c r="X92" s="26">
        <f t="shared" si="143"/>
        <v>5846.2813432980374</v>
      </c>
      <c r="Y92" s="26">
        <f>VLOOKUP($C92,COS!$B$8:$H$991,4,FALSE)</f>
        <v>1605.8980712890625</v>
      </c>
      <c r="Z92" s="26">
        <f t="shared" si="144"/>
        <v>98.742823556947315</v>
      </c>
      <c r="AA92" s="26">
        <f t="shared" si="140"/>
        <v>1605.8980712890625</v>
      </c>
      <c r="AB92" s="33">
        <f t="shared" si="141"/>
        <v>98.742823556947315</v>
      </c>
      <c r="AD92" s="43">
        <v>2000</v>
      </c>
      <c r="AE92" s="1">
        <f>VLOOKUP(AD92,Flags!$A$13:$B$95,2,FALSE)</f>
        <v>2</v>
      </c>
      <c r="AF92" s="43">
        <f t="shared" si="118"/>
        <v>514.27096332644635</v>
      </c>
      <c r="AG92" s="43">
        <f t="shared" si="119"/>
        <v>494.87250220937176</v>
      </c>
      <c r="AH92" s="43">
        <f t="shared" si="120"/>
        <v>0</v>
      </c>
      <c r="AI92" s="43">
        <f t="shared" si="121"/>
        <v>21720.460250516528</v>
      </c>
      <c r="AJ92" s="43">
        <f t="shared" si="122"/>
        <v>180.63067758103045</v>
      </c>
      <c r="AK92" s="43">
        <f t="shared" si="115"/>
        <v>85.152847648179232</v>
      </c>
      <c r="AL92" s="43">
        <f t="shared" si="123"/>
        <v>0</v>
      </c>
    </row>
    <row r="93" spans="1:38" x14ac:dyDescent="0.3">
      <c r="A93" s="32">
        <f>VLOOKUP(YEAR(C93),Flags!$A$13:$B$95,2,FALSE)</f>
        <v>4</v>
      </c>
      <c r="B93" s="24">
        <f t="shared" si="116"/>
        <v>1930</v>
      </c>
      <c r="C93" s="25">
        <v>11292</v>
      </c>
      <c r="D93" s="26"/>
      <c r="E93" s="24"/>
      <c r="F93" s="26"/>
      <c r="G93" s="26"/>
      <c r="H93" s="26"/>
      <c r="I93" s="26"/>
      <c r="J93" s="26"/>
      <c r="K93" s="26"/>
      <c r="L93" s="24"/>
      <c r="M93" s="24"/>
      <c r="N93" s="26"/>
      <c r="O93" s="26"/>
      <c r="P93" s="26"/>
      <c r="Q93" s="26"/>
      <c r="R93" s="26"/>
      <c r="S93" s="26"/>
      <c r="T93" s="26"/>
      <c r="U93" s="26"/>
      <c r="V93" s="26"/>
      <c r="W93" s="26">
        <f>MAX($C$10-VLOOKUP($C93,COS!$B$8:$H$991,3,FALSE),0)</f>
        <v>96451.079833984375</v>
      </c>
      <c r="X93" s="26">
        <f t="shared" si="143"/>
        <v>5739.2378083032027</v>
      </c>
      <c r="Y93" s="26">
        <f>VLOOKUP($C93,COS!$B$8:$H$991,4,FALSE)</f>
        <v>1772.532958984375</v>
      </c>
      <c r="Z93" s="26">
        <f t="shared" si="144"/>
        <v>105.47303557592976</v>
      </c>
      <c r="AA93" s="26">
        <f t="shared" si="140"/>
        <v>1772.532958984375</v>
      </c>
      <c r="AB93" s="33">
        <f t="shared" si="141"/>
        <v>52.736517787964878</v>
      </c>
      <c r="AD93" s="43">
        <v>2001</v>
      </c>
      <c r="AE93" s="1">
        <f>VLOOKUP(AD93,Flags!$A$13:$B$95,2,FALSE)</f>
        <v>4</v>
      </c>
      <c r="AF93" s="43">
        <f t="shared" si="118"/>
        <v>418.97775697314046</v>
      </c>
      <c r="AG93" s="43">
        <f t="shared" si="119"/>
        <v>453.1425311430624</v>
      </c>
      <c r="AH93" s="43">
        <f t="shared" si="120"/>
        <v>254.98931269369837</v>
      </c>
      <c r="AI93" s="43">
        <f t="shared" si="121"/>
        <v>22660.507379907023</v>
      </c>
      <c r="AJ93" s="43">
        <f t="shared" si="122"/>
        <v>436.66178630229854</v>
      </c>
      <c r="AK93" s="43">
        <f t="shared" si="115"/>
        <v>395.98933182141013</v>
      </c>
      <c r="AL93" s="43">
        <f t="shared" si="123"/>
        <v>254.98931269369837</v>
      </c>
    </row>
    <row r="94" spans="1:38" x14ac:dyDescent="0.3">
      <c r="A94" s="34">
        <f>VLOOKUP(YEAR(C94),Flags!$A$13:$B$95,2,FALSE)</f>
        <v>4</v>
      </c>
      <c r="B94" s="35">
        <f t="shared" si="116"/>
        <v>1930</v>
      </c>
      <c r="C94" s="36">
        <v>11323</v>
      </c>
      <c r="D94" s="37"/>
      <c r="E94" s="35"/>
      <c r="F94" s="37"/>
      <c r="G94" s="37"/>
      <c r="H94" s="37"/>
      <c r="I94" s="37"/>
      <c r="J94" s="37"/>
      <c r="K94" s="37"/>
      <c r="L94" s="35"/>
      <c r="M94" s="35"/>
      <c r="N94" s="37"/>
      <c r="O94" s="37"/>
      <c r="P94" s="37"/>
      <c r="Q94" s="37"/>
      <c r="R94" s="37"/>
      <c r="S94" s="37"/>
      <c r="T94" s="37"/>
      <c r="U94" s="37"/>
      <c r="V94" s="37"/>
      <c r="W94" s="37">
        <f>MAX($C$11-VLOOKUP($C94,COS!$B$8:$H$991,3,FALSE),0)</f>
        <v>0</v>
      </c>
      <c r="X94" s="37">
        <f t="shared" si="143"/>
        <v>0</v>
      </c>
      <c r="Y94" s="37">
        <f>VLOOKUP($C94,COS!$B$8:$H$991,4,FALSE)</f>
        <v>1918.959716796875</v>
      </c>
      <c r="Z94" s="37">
        <f t="shared" si="144"/>
        <v>117.99223382618803</v>
      </c>
      <c r="AA94" s="37">
        <f t="shared" si="140"/>
        <v>0</v>
      </c>
      <c r="AB94" s="38">
        <f t="shared" si="141"/>
        <v>0</v>
      </c>
      <c r="AD94" s="43">
        <v>2002</v>
      </c>
      <c r="AE94" s="1">
        <f>VLOOKUP(AD94,Flags!$A$13:$B$95,2,FALSE)</f>
        <v>4</v>
      </c>
      <c r="AF94" s="43">
        <f t="shared" si="118"/>
        <v>367.82716909865701</v>
      </c>
      <c r="AG94" s="43">
        <f t="shared" si="119"/>
        <v>501.55780608374226</v>
      </c>
      <c r="AH94" s="43">
        <f t="shared" si="120"/>
        <v>214.77781615202093</v>
      </c>
      <c r="AI94" s="43">
        <f t="shared" si="121"/>
        <v>22610.369045067149</v>
      </c>
      <c r="AJ94" s="43">
        <f t="shared" si="122"/>
        <v>314.62177201704543</v>
      </c>
      <c r="AK94" s="43">
        <f t="shared" si="115"/>
        <v>290.89275418872677</v>
      </c>
      <c r="AL94" s="43">
        <f t="shared" si="123"/>
        <v>214.77781615202093</v>
      </c>
    </row>
    <row r="95" spans="1:38" x14ac:dyDescent="0.3">
      <c r="A95" s="27">
        <f>VLOOKUP(YEAR(C95),Flags!$A$13:$B$95,2,FALSE)</f>
        <v>5</v>
      </c>
      <c r="B95" s="28">
        <f t="shared" si="116"/>
        <v>1931</v>
      </c>
      <c r="C95" s="29">
        <v>11443</v>
      </c>
      <c r="D95" s="30">
        <f>VLOOKUP($C95,COS!$B$8:$H$991,3,FALSE)</f>
        <v>6839.51904296875</v>
      </c>
      <c r="E95" s="28">
        <f>IF(D95&gt;=IF(MONTH($C95)=4,$C$3,IF(MONTH($C95)=5,$C$4,IF(MONTH($C95)=6,$C$5,IF(MONTH($C95)=7,$C$6,"ERROR")))),1,0)</f>
        <v>1</v>
      </c>
      <c r="F95" s="30">
        <f>VLOOKUP($C95,COS!$B$8:$H$991,7,FALSE)</f>
        <v>50.956645965576172</v>
      </c>
      <c r="G95" s="28">
        <f>IF(F95&lt;=IF(MONTH($C95)=4,$F$3,IF(MONTH($C95)=5,$F$4,IF(MONTH($C95)=6,$F$5,IF(MONTH($C95)=7,$F$6,"ERROR")))),1,0)</f>
        <v>1</v>
      </c>
      <c r="H95" s="30">
        <f>IF(J95=1,D95-$C$3,0)</f>
        <v>839.51904296875</v>
      </c>
      <c r="I95" s="30">
        <f t="shared" si="136"/>
        <v>49.954852143595041</v>
      </c>
      <c r="J95" s="28">
        <f t="shared" ref="J95:J98" si="145">IF(AND(E95=1,G95=1),1,0)</f>
        <v>1</v>
      </c>
      <c r="K95" s="30">
        <f>VLOOKUP($C95,COS!$B$8:$H$991,2,FALSE)</f>
        <v>1860.261474609375</v>
      </c>
      <c r="L95" s="28">
        <f t="shared" ref="L95" si="146">IF(K95&lt;=IF(MONTH($C95)=4,$I$3,IF(MONTH($C95)=5,$I$4,IF(MONTH($C95)=6,$I$5,IF(MONTH($C95)=7,$I$6,"ERROR")))),1,0)</f>
        <v>1</v>
      </c>
      <c r="M95" s="28">
        <f t="shared" ref="M95" si="147">VLOOKUP($A95,$L$3:$M$7,2,FALSE)</f>
        <v>1</v>
      </c>
      <c r="N95" s="30">
        <f>VLOOKUP($C95,COS!$B$8:$H$991,5,FALSE)</f>
        <v>166.208740234375</v>
      </c>
      <c r="O95" s="30">
        <f t="shared" ref="O95:O98" si="148">N95*DAY($C95)*86400/43560/1000</f>
        <v>9.8901068569214878</v>
      </c>
      <c r="P95" s="30">
        <f>VLOOKUP($C95,COS!$B$8:$H$991,6,FALSE)</f>
        <v>541.11907958984375</v>
      </c>
      <c r="Q95" s="30">
        <f t="shared" ref="Q95:Q98" si="149">P95*DAY($C95)*86400/43560/1000</f>
        <v>32.198821264850203</v>
      </c>
      <c r="R95" s="30">
        <f>MIN(IF(MONTH($C95)=4,$S$3,IF(MONTH($C95)=5,$S$4,IF(MONTH($C95)=6,$S$5,IF(MONTH($C95)=7,$S$6,"ERROR")))),MAX(VLOOKUP($C95,COS!$B$8:$K$991,10,FALSE)-IF(MONTH($C95)=4,$Y$3,IF(MONTH($C95)=5,$Y$4,IF(MONTH($C95)=6,$Y$5,IF(MONTH($C95)=7,$Y$6,"ERROR")))),0),MAX(VLOOKUP($C95,COS!$B$8:$K$991,9,FALSE)-IF(MONTH($C95)=4,$V$3,IF(MONTH($C95)=5,$V$4,IF(MONTH($C95)=6,$V$5,IF(MONTH($C95)=7,$V$6,"ERROR"))))-VLOOKUP($C95,COS!$B$8:$K$991,6,FALSE)/2,0))</f>
        <v>750</v>
      </c>
      <c r="S95" s="30">
        <f t="shared" ref="S95:S98" si="150">R95*DAY($C95)*86400/43560/1000</f>
        <v>44.628099173553714</v>
      </c>
      <c r="T95" s="30">
        <f t="shared" ref="T95:T98" si="151">(O95+Q95)/2+S95</f>
        <v>65.672563234439565</v>
      </c>
      <c r="U95" s="30" t="str">
        <f>IF(VLOOKUP($C95,COS!$B$8:$I$991,8,FALSE)=1,"UWFE","IBU")</f>
        <v>IBU</v>
      </c>
      <c r="V95" s="30">
        <f t="shared" ref="V95" si="152">MIN(IF(IF($AA$3=2,AND(E95=1,G95=1,L95=1,L100=1,M95=1,U95="IBU"),AND(E95=1,G95=1,L95=1,L100=1,M95=1)),T95,0),I95)</f>
        <v>49.954852143595041</v>
      </c>
      <c r="W95" s="30"/>
      <c r="X95" s="30"/>
      <c r="Y95" s="30"/>
      <c r="Z95" s="30"/>
      <c r="AA95" s="30"/>
      <c r="AB95" s="31"/>
      <c r="AD95" s="6"/>
      <c r="AE95" s="6"/>
      <c r="AF95" s="6"/>
      <c r="AG95" s="6"/>
    </row>
    <row r="96" spans="1:38" x14ac:dyDescent="0.3">
      <c r="A96" s="32">
        <f>VLOOKUP(YEAR(C96),Flags!$A$13:$B$95,2,FALSE)</f>
        <v>5</v>
      </c>
      <c r="B96" s="24">
        <f t="shared" si="116"/>
        <v>1931</v>
      </c>
      <c r="C96" s="25">
        <v>11474</v>
      </c>
      <c r="D96" s="26">
        <f>VLOOKUP($C96,COS!$B$8:$H$991,3,FALSE)</f>
        <v>8021.2177734375</v>
      </c>
      <c r="E96" s="24">
        <f>IF(D96&gt;=IF(MONTH($C96)=4,$C$3,IF(MONTH($C96)=5,$C$4,IF(MONTH($C96)=6,$C$5,IF(MONTH($C96)=7,$C$6,"ERROR")))),1,0)</f>
        <v>1</v>
      </c>
      <c r="F96" s="26">
        <f>VLOOKUP($C96,COS!$B$8:$H$991,7,FALSE)</f>
        <v>54.440109252929688</v>
      </c>
      <c r="G96" s="24">
        <f>IF(F96&lt;=IF(MONTH($C96)=4,$F$3,IF(MONTH($C96)=5,$F$4,IF(MONTH($C96)=6,$F$5,IF(MONTH($C96)=7,$F$6,"ERROR")))),1,0)</f>
        <v>1</v>
      </c>
      <c r="H96" s="26">
        <f>IF(J96=1,D96-$C$4,0)</f>
        <v>2021.2177734375</v>
      </c>
      <c r="I96" s="26">
        <f t="shared" si="136"/>
        <v>124.27983664772728</v>
      </c>
      <c r="J96" s="24">
        <f t="shared" si="145"/>
        <v>1</v>
      </c>
      <c r="K96" s="26">
        <f>VLOOKUP($C96,COS!$B$8:$H$991,2,FALSE)</f>
        <v>1533.49609375</v>
      </c>
      <c r="L96" s="24">
        <f t="shared" si="129"/>
        <v>1</v>
      </c>
      <c r="M96" s="24">
        <f t="shared" si="130"/>
        <v>1</v>
      </c>
      <c r="N96" s="26">
        <f>VLOOKUP($C96,COS!$B$8:$H$991,5,FALSE)</f>
        <v>149.48806762695313</v>
      </c>
      <c r="O96" s="26">
        <f t="shared" si="148"/>
        <v>9.1916630011944722</v>
      </c>
      <c r="P96" s="26">
        <f>VLOOKUP($C96,COS!$B$8:$H$991,6,FALSE)</f>
        <v>2010.7308349609375</v>
      </c>
      <c r="Q96" s="26">
        <f t="shared" si="149"/>
        <v>123.63501993478823</v>
      </c>
      <c r="R96" s="26">
        <f>MIN(IF(MONTH($C96)=4,$S$3,IF(MONTH($C96)=5,$S$4,IF(MONTH($C96)=6,$S$5,IF(MONTH($C96)=7,$S$6,"ERROR")))),MAX(VLOOKUP($C96,COS!$B$8:$K$991,10,FALSE)-IF(MONTH($C96)=4,$Y$3,IF(MONTH($C96)=5,$Y$4,IF(MONTH($C96)=6,$Y$5,IF(MONTH($C96)=7,$Y$6,"ERROR")))),0),MAX(VLOOKUP($C96,COS!$B$8:$K$991,9,FALSE)-IF(MONTH($C96)=4,$V$3,IF(MONTH($C96)=5,$V$4,IF(MONTH($C96)=6,$V$5,IF(MONTH($C96)=7,$V$6,"ERROR"))))-VLOOKUP($C96,COS!$B$8:$K$991,6,FALSE)/2,0))</f>
        <v>750</v>
      </c>
      <c r="S96" s="26">
        <f t="shared" si="150"/>
        <v>46.115702479338843</v>
      </c>
      <c r="T96" s="26">
        <f t="shared" si="151"/>
        <v>112.52904394733019</v>
      </c>
      <c r="U96" s="26" t="str">
        <f>IF(VLOOKUP($C96,COS!$B$8:$I$991,8,FALSE)=1,"UWFE","IBU")</f>
        <v>IBU</v>
      </c>
      <c r="V96" s="26">
        <f t="shared" ref="V96" si="153">MIN(IF(IF($AA$3=2,AND(E96=1,G96=1,L96=1,L100=1,M96=1,U96="IBU"),AND(E96=1,G96=1,L96=1,L100=1,M96=1)),T96,0),I96)</f>
        <v>112.52904394733019</v>
      </c>
      <c r="W96" s="26"/>
      <c r="X96" s="26"/>
      <c r="Y96" s="26"/>
      <c r="Z96" s="26"/>
      <c r="AA96" s="26"/>
      <c r="AB96" s="33"/>
    </row>
    <row r="97" spans="1:28" x14ac:dyDescent="0.3">
      <c r="A97" s="32">
        <f>VLOOKUP(YEAR(C97),Flags!$A$13:$B$95,2,FALSE)</f>
        <v>5</v>
      </c>
      <c r="B97" s="24">
        <f t="shared" si="116"/>
        <v>1931</v>
      </c>
      <c r="C97" s="25">
        <v>11504</v>
      </c>
      <c r="D97" s="26">
        <f>VLOOKUP($C97,COS!$B$8:$H$991,3,FALSE)</f>
        <v>8236.236328125</v>
      </c>
      <c r="E97" s="24">
        <f>IF(D97&gt;=IF(MONTH($C97)=4,$C$3,IF(MONTH($C97)=5,$C$4,IF(MONTH($C97)=6,$C$5,IF(MONTH($C97)=7,$C$6,"ERROR")))),1,0)</f>
        <v>0</v>
      </c>
      <c r="F97" s="26">
        <f>VLOOKUP($C97,COS!$B$8:$H$991,7,FALSE)</f>
        <v>53.915287017822266</v>
      </c>
      <c r="G97" s="24">
        <f>IF(F97&lt;=IF(MONTH($C97)=4,$F$3,IF(MONTH($C97)=5,$F$4,IF(MONTH($C97)=6,$F$5,IF(MONTH($C97)=7,$F$6,"ERROR")))),1,0)</f>
        <v>1</v>
      </c>
      <c r="H97" s="26">
        <f>IF(J97=1,D97-$C$5,0)</f>
        <v>0</v>
      </c>
      <c r="I97" s="26">
        <f t="shared" si="136"/>
        <v>0</v>
      </c>
      <c r="J97" s="24">
        <f t="shared" si="145"/>
        <v>0</v>
      </c>
      <c r="K97" s="26">
        <f>VLOOKUP($C97,COS!$B$8:$H$991,2,FALSE)</f>
        <v>1203.680419921875</v>
      </c>
      <c r="L97" s="24">
        <f t="shared" si="129"/>
        <v>1</v>
      </c>
      <c r="M97" s="24">
        <f t="shared" si="130"/>
        <v>1</v>
      </c>
      <c r="N97" s="26">
        <f>VLOOKUP($C97,COS!$B$8:$H$991,5,FALSE)</f>
        <v>183.68203735351563</v>
      </c>
      <c r="O97" s="26">
        <f t="shared" si="148"/>
        <v>10.929840239217459</v>
      </c>
      <c r="P97" s="26">
        <f>VLOOKUP($C97,COS!$B$8:$H$991,6,FALSE)</f>
        <v>2250.943115234375</v>
      </c>
      <c r="Q97" s="26">
        <f t="shared" si="149"/>
        <v>133.94041677427685</v>
      </c>
      <c r="R97" s="26">
        <f>MIN(IF(MONTH($C97)=4,$S$3,IF(MONTH($C97)=5,$S$4,IF(MONTH($C97)=6,$S$5,IF(MONTH($C97)=7,$S$6,"ERROR")))),MAX(VLOOKUP($C97,COS!$B$8:$K$991,10,FALSE)-IF(MONTH($C97)=4,$Y$3,IF(MONTH($C97)=5,$Y$4,IF(MONTH($C97)=6,$Y$5,IF(MONTH($C97)=7,$Y$6,"ERROR")))),0),MAX(VLOOKUP($C97,COS!$B$8:$K$991,9,FALSE)-IF(MONTH($C97)=4,$V$3,IF(MONTH($C97)=5,$V$4,IF(MONTH($C97)=6,$V$5,IF(MONTH($C97)=7,$V$6,"ERROR"))))-VLOOKUP($C97,COS!$B$8:$K$991,6,FALSE)/2,0))</f>
        <v>750</v>
      </c>
      <c r="S97" s="26">
        <f t="shared" si="150"/>
        <v>44.628099173553714</v>
      </c>
      <c r="T97" s="26">
        <f t="shared" si="151"/>
        <v>117.06322768030088</v>
      </c>
      <c r="U97" s="26" t="str">
        <f>IF(VLOOKUP($C97,COS!$B$8:$I$991,8,FALSE)=1,"UWFE","IBU")</f>
        <v>IBU</v>
      </c>
      <c r="V97" s="26">
        <f t="shared" ref="V97" si="154">MIN(IF(IF($AA$3=2,AND(E97=1,G97=1,L97=1,L100=1,M97=1,U97="IBU"),AND(E97=1,G97=1,L97=1,L100=1,M97=1)),T97,0),I97)</f>
        <v>0</v>
      </c>
      <c r="W97" s="26"/>
      <c r="X97" s="26"/>
      <c r="Y97" s="26"/>
      <c r="Z97" s="26"/>
      <c r="AA97" s="26"/>
      <c r="AB97" s="33"/>
    </row>
    <row r="98" spans="1:28" x14ac:dyDescent="0.3">
      <c r="A98" s="32">
        <f>VLOOKUP(YEAR(C98),Flags!$A$13:$B$95,2,FALSE)</f>
        <v>5</v>
      </c>
      <c r="B98" s="24">
        <f t="shared" si="116"/>
        <v>1931</v>
      </c>
      <c r="C98" s="25">
        <v>11535</v>
      </c>
      <c r="D98" s="26">
        <f>VLOOKUP($C98,COS!$B$8:$H$991,3,FALSE)</f>
        <v>9719.40234375</v>
      </c>
      <c r="E98" s="24">
        <f>IF(D98&gt;=IF(MONTH($C98)=4,$C$3,IF(MONTH($C98)=5,$C$4,IF(MONTH($C98)=6,$C$5,IF(MONTH($C98)=7,$C$6,"ERROR")))),1,0)</f>
        <v>0</v>
      </c>
      <c r="F98" s="26">
        <f>VLOOKUP($C98,COS!$B$8:$H$991,7,FALSE)</f>
        <v>56.554588317871094</v>
      </c>
      <c r="G98" s="24">
        <f>IF(F98&lt;=IF(MONTH($C98)=4,$F$3,IF(MONTH($C98)=5,$F$4,IF(MONTH($C98)=6,$F$5,IF(MONTH($C98)=7,$F$6,"ERROR")))),1,0)</f>
        <v>0</v>
      </c>
      <c r="H98" s="26">
        <f>IF(J98=1,D98-$C$6,0)</f>
        <v>0</v>
      </c>
      <c r="I98" s="26">
        <f t="shared" si="136"/>
        <v>0</v>
      </c>
      <c r="J98" s="24">
        <f t="shared" si="145"/>
        <v>0</v>
      </c>
      <c r="K98" s="26">
        <f>VLOOKUP($C98,COS!$B$8:$H$991,2,FALSE)</f>
        <v>751.55364990234375</v>
      </c>
      <c r="L98" s="24">
        <f t="shared" si="129"/>
        <v>1</v>
      </c>
      <c r="M98" s="24">
        <f t="shared" si="130"/>
        <v>1</v>
      </c>
      <c r="N98" s="26">
        <f>VLOOKUP($C98,COS!$B$8:$H$991,5,FALSE)</f>
        <v>229.37615966796875</v>
      </c>
      <c r="O98" s="26">
        <f t="shared" si="148"/>
        <v>14.10379031346849</v>
      </c>
      <c r="P98" s="26">
        <f>VLOOKUP($C98,COS!$B$8:$H$991,6,FALSE)</f>
        <v>2281.4833984375</v>
      </c>
      <c r="Q98" s="26">
        <f t="shared" si="149"/>
        <v>140.28294615185951</v>
      </c>
      <c r="R98" s="26">
        <f>MIN(IF(MONTH($C98)=4,$S$3,IF(MONTH($C98)=5,$S$4,IF(MONTH($C98)=6,$S$5,IF(MONTH($C98)=7,$S$6,"ERROR")))),MAX(VLOOKUP($C98,COS!$B$8:$K$991,10,FALSE)-IF(MONTH($C98)=4,$Y$3,IF(MONTH($C98)=5,$Y$4,IF(MONTH($C98)=6,$Y$5,IF(MONTH($C98)=7,$Y$6,"ERROR")))),0),MAX(VLOOKUP($C98,COS!$B$8:$K$991,9,FALSE)-IF(MONTH($C98)=4,$V$3,IF(MONTH($C98)=5,$V$4,IF(MONTH($C98)=6,$V$5,IF(MONTH($C98)=7,$V$6,"ERROR"))))-VLOOKUP($C98,COS!$B$8:$K$991,6,FALSE)/2,0))</f>
        <v>750</v>
      </c>
      <c r="S98" s="26">
        <f t="shared" si="150"/>
        <v>46.115702479338843</v>
      </c>
      <c r="T98" s="26">
        <f t="shared" si="151"/>
        <v>123.30907071200284</v>
      </c>
      <c r="U98" s="26" t="str">
        <f>IF(VLOOKUP($C98,COS!$B$8:$I$991,8,FALSE)=1,"UWFE","IBU")</f>
        <v>IBU</v>
      </c>
      <c r="V98" s="26">
        <f t="shared" ref="V98" si="155">MIN(IF(IF($AA$3=2,AND(E98=1,G98=1,L98=1,L100=1,M98=1,U98="IBU"),AND(E98=1,G98=1,L98=1,L100=1,M98=1)),T98,0),I98)</f>
        <v>0</v>
      </c>
      <c r="W98" s="26"/>
      <c r="X98" s="26"/>
      <c r="Y98" s="26"/>
      <c r="Z98" s="26"/>
      <c r="AA98" s="26"/>
      <c r="AB98" s="33"/>
    </row>
    <row r="99" spans="1:28" x14ac:dyDescent="0.3">
      <c r="A99" s="32">
        <f>VLOOKUP(YEAR(C99),Flags!$A$13:$B$95,2,FALSE)</f>
        <v>5</v>
      </c>
      <c r="B99" s="24">
        <f t="shared" si="116"/>
        <v>1931</v>
      </c>
      <c r="C99" s="25">
        <v>11566</v>
      </c>
      <c r="D99" s="26"/>
      <c r="E99" s="24"/>
      <c r="F99" s="26"/>
      <c r="G99" s="24"/>
      <c r="H99" s="24"/>
      <c r="I99" s="26"/>
      <c r="J99" s="24"/>
      <c r="K99" s="26"/>
      <c r="L99" s="24"/>
      <c r="M99" s="24"/>
      <c r="N99" s="26"/>
      <c r="O99" s="26"/>
      <c r="P99" s="26"/>
      <c r="Q99" s="26"/>
      <c r="R99" s="26"/>
      <c r="S99" s="26"/>
      <c r="T99" s="26"/>
      <c r="U99" s="26"/>
      <c r="V99" s="26"/>
      <c r="W99" s="26">
        <f>MAX($C$7-VLOOKUP($C99,COS!$B$8:$H$991,3,FALSE),0)</f>
        <v>92453.15478515625</v>
      </c>
      <c r="X99" s="26">
        <f t="shared" si="143"/>
        <v>5684.7229057980376</v>
      </c>
      <c r="Y99" s="26">
        <f>VLOOKUP($C99,COS!$B$8:$H$991,4,FALSE)</f>
        <v>1954.847412109375</v>
      </c>
      <c r="Z99" s="26">
        <f t="shared" si="144"/>
        <v>120.1988821991219</v>
      </c>
      <c r="AA99" s="26">
        <f t="shared" ref="AA99:AA103" si="156">MIN(W99,Y99)</f>
        <v>1954.847412109375</v>
      </c>
      <c r="AB99" s="33">
        <f t="shared" ref="AB99" si="157">AA99*DAY($C99)*86400/43560/1000*IF(MONTH($C99)=8,$P$3,IF(MONTH($C99)=9,$P$4,IF(MONTH($C99)=10,$P$5,IF(MONTH($C99)=11,$P$6,IF(MONTH($C99)=12,$P$7,NA())))))</f>
        <v>120.1988821991219</v>
      </c>
    </row>
    <row r="100" spans="1:28" x14ac:dyDescent="0.3">
      <c r="A100" s="32">
        <f>VLOOKUP(YEAR(C100),Flags!$A$13:$B$95,2,FALSE)</f>
        <v>5</v>
      </c>
      <c r="B100" s="24">
        <f t="shared" si="116"/>
        <v>1931</v>
      </c>
      <c r="C100" s="25">
        <v>11596</v>
      </c>
      <c r="D100" s="26"/>
      <c r="E100" s="24"/>
      <c r="F100" s="26"/>
      <c r="G100" s="24"/>
      <c r="H100" s="24"/>
      <c r="I100" s="26"/>
      <c r="J100" s="24"/>
      <c r="K100" s="26">
        <f>VLOOKUP($C100,COS!$B$8:$H$991,2,FALSE)</f>
        <v>558.61627197265625</v>
      </c>
      <c r="L100" s="24">
        <f t="shared" ref="L100" si="158">IF(AND(K100&gt;$I$7,K100&lt;$I$8),1,0)</f>
        <v>1</v>
      </c>
      <c r="M100" s="24"/>
      <c r="N100" s="26"/>
      <c r="O100" s="26"/>
      <c r="P100" s="26"/>
      <c r="Q100" s="26"/>
      <c r="R100" s="26"/>
      <c r="S100" s="26"/>
      <c r="T100" s="26"/>
      <c r="U100" s="26"/>
      <c r="V100" s="26"/>
      <c r="W100" s="26">
        <f>MAX($C$8-VLOOKUP($C100,COS!$B$8:$H$991,3,FALSE),0)</f>
        <v>95634.48095703125</v>
      </c>
      <c r="X100" s="26">
        <f t="shared" si="143"/>
        <v>5690.6468007489666</v>
      </c>
      <c r="Y100" s="26">
        <f>VLOOKUP($C100,COS!$B$8:$H$991,4,FALSE)</f>
        <v>2060.603515625</v>
      </c>
      <c r="Z100" s="26">
        <f t="shared" si="144"/>
        <v>122.61442407024794</v>
      </c>
      <c r="AA100" s="26">
        <f t="shared" si="156"/>
        <v>2060.603515625</v>
      </c>
      <c r="AB100" s="33">
        <f t="shared" si="141"/>
        <v>122.61442407024794</v>
      </c>
    </row>
    <row r="101" spans="1:28" x14ac:dyDescent="0.3">
      <c r="A101" s="32">
        <f>VLOOKUP(YEAR(C101),Flags!$A$13:$B$95,2,FALSE)</f>
        <v>5</v>
      </c>
      <c r="B101" s="24">
        <f t="shared" si="116"/>
        <v>1931</v>
      </c>
      <c r="C101" s="25">
        <v>11627</v>
      </c>
      <c r="D101" s="26"/>
      <c r="E101" s="24"/>
      <c r="F101" s="26"/>
      <c r="G101" s="26"/>
      <c r="H101" s="26"/>
      <c r="I101" s="26"/>
      <c r="J101" s="26"/>
      <c r="K101" s="26"/>
      <c r="L101" s="24"/>
      <c r="M101" s="24"/>
      <c r="N101" s="26"/>
      <c r="O101" s="26"/>
      <c r="P101" s="26"/>
      <c r="Q101" s="26"/>
      <c r="R101" s="26"/>
      <c r="S101" s="26"/>
      <c r="T101" s="26"/>
      <c r="U101" s="26"/>
      <c r="V101" s="26"/>
      <c r="W101" s="26">
        <f>MAX($C$9-VLOOKUP($C101,COS!$B$8:$H$991,3,FALSE),0)</f>
        <v>95356.61572265625</v>
      </c>
      <c r="X101" s="26">
        <f t="shared" si="143"/>
        <v>5863.2497601368796</v>
      </c>
      <c r="Y101" s="26">
        <f>VLOOKUP($C101,COS!$B$8:$H$991,4,FALSE)</f>
        <v>1549.2154541015625</v>
      </c>
      <c r="Z101" s="26">
        <f t="shared" si="144"/>
        <v>95.257545276988637</v>
      </c>
      <c r="AA101" s="26">
        <f t="shared" si="156"/>
        <v>1549.2154541015625</v>
      </c>
      <c r="AB101" s="33">
        <f t="shared" si="141"/>
        <v>95.257545276988637</v>
      </c>
    </row>
    <row r="102" spans="1:28" x14ac:dyDescent="0.3">
      <c r="A102" s="32">
        <f>VLOOKUP(YEAR(C102),Flags!$A$13:$B$95,2,FALSE)</f>
        <v>5</v>
      </c>
      <c r="B102" s="24">
        <f t="shared" si="116"/>
        <v>1931</v>
      </c>
      <c r="C102" s="25">
        <v>11657</v>
      </c>
      <c r="D102" s="26"/>
      <c r="E102" s="24"/>
      <c r="F102" s="26"/>
      <c r="G102" s="26"/>
      <c r="H102" s="26"/>
      <c r="I102" s="26"/>
      <c r="J102" s="26"/>
      <c r="K102" s="26"/>
      <c r="L102" s="24"/>
      <c r="M102" s="24"/>
      <c r="N102" s="26"/>
      <c r="O102" s="26"/>
      <c r="P102" s="26"/>
      <c r="Q102" s="26"/>
      <c r="R102" s="26"/>
      <c r="S102" s="26"/>
      <c r="T102" s="26"/>
      <c r="U102" s="26"/>
      <c r="V102" s="26"/>
      <c r="W102" s="26">
        <f>MAX($C$10-VLOOKUP($C102,COS!$B$8:$H$991,3,FALSE),0)</f>
        <v>96802.866943359375</v>
      </c>
      <c r="X102" s="26">
        <f t="shared" si="143"/>
        <v>5760.1705949767556</v>
      </c>
      <c r="Y102" s="26">
        <f>VLOOKUP($C102,COS!$B$8:$H$991,4,FALSE)</f>
        <v>1329.917724609375</v>
      </c>
      <c r="Z102" s="26">
        <f t="shared" si="144"/>
        <v>79.135600142045462</v>
      </c>
      <c r="AA102" s="26">
        <f t="shared" si="156"/>
        <v>1329.917724609375</v>
      </c>
      <c r="AB102" s="33">
        <f t="shared" si="141"/>
        <v>39.567800071022731</v>
      </c>
    </row>
    <row r="103" spans="1:28" x14ac:dyDescent="0.3">
      <c r="A103" s="34">
        <f>VLOOKUP(YEAR(C103),Flags!$A$13:$B$95,2,FALSE)</f>
        <v>5</v>
      </c>
      <c r="B103" s="35">
        <f t="shared" si="116"/>
        <v>1931</v>
      </c>
      <c r="C103" s="36">
        <v>11688</v>
      </c>
      <c r="D103" s="37"/>
      <c r="E103" s="35"/>
      <c r="F103" s="37"/>
      <c r="G103" s="37"/>
      <c r="H103" s="37"/>
      <c r="I103" s="37"/>
      <c r="J103" s="37"/>
      <c r="K103" s="37"/>
      <c r="L103" s="35"/>
      <c r="M103" s="35"/>
      <c r="N103" s="37"/>
      <c r="O103" s="37"/>
      <c r="P103" s="37"/>
      <c r="Q103" s="37"/>
      <c r="R103" s="37"/>
      <c r="S103" s="37"/>
      <c r="T103" s="37"/>
      <c r="U103" s="37"/>
      <c r="V103" s="37"/>
      <c r="W103" s="37">
        <f>MAX($C$11-VLOOKUP($C103,COS!$B$8:$H$991,3,FALSE),0)</f>
        <v>0</v>
      </c>
      <c r="X103" s="37">
        <f t="shared" si="143"/>
        <v>0</v>
      </c>
      <c r="Y103" s="37">
        <f>VLOOKUP($C103,COS!$B$8:$H$991,4,FALSE)</f>
        <v>0</v>
      </c>
      <c r="Z103" s="37">
        <f t="shared" si="144"/>
        <v>0</v>
      </c>
      <c r="AA103" s="37">
        <f t="shared" si="156"/>
        <v>0</v>
      </c>
      <c r="AB103" s="38">
        <f t="shared" si="141"/>
        <v>0</v>
      </c>
    </row>
    <row r="104" spans="1:28" x14ac:dyDescent="0.3">
      <c r="A104" s="27">
        <f>VLOOKUP(YEAR(C104),Flags!$A$13:$B$95,2,FALSE)</f>
        <v>5</v>
      </c>
      <c r="B104" s="28">
        <f t="shared" si="116"/>
        <v>1932</v>
      </c>
      <c r="C104" s="29">
        <v>11809</v>
      </c>
      <c r="D104" s="30">
        <f>VLOOKUP($C104,COS!$B$8:$H$991,3,FALSE)</f>
        <v>3250</v>
      </c>
      <c r="E104" s="28">
        <f>IF(D104&gt;=IF(MONTH($C104)=4,$C$3,IF(MONTH($C104)=5,$C$4,IF(MONTH($C104)=6,$C$5,IF(MONTH($C104)=7,$C$6,"ERROR")))),1,0)</f>
        <v>0</v>
      </c>
      <c r="F104" s="30">
        <f>VLOOKUP($C104,COS!$B$8:$H$991,7,FALSE)</f>
        <v>49.347862243652344</v>
      </c>
      <c r="G104" s="28">
        <f>IF(F104&lt;=IF(MONTH($C104)=4,$F$3,IF(MONTH($C104)=5,$F$4,IF(MONTH($C104)=6,$F$5,IF(MONTH($C104)=7,$F$6,"ERROR")))),1,0)</f>
        <v>1</v>
      </c>
      <c r="H104" s="30">
        <f>IF(J104=1,D104-$C$3,0)</f>
        <v>0</v>
      </c>
      <c r="I104" s="30">
        <f t="shared" si="136"/>
        <v>0</v>
      </c>
      <c r="J104" s="28">
        <f t="shared" ref="J104:J107" si="159">IF(AND(E104=1,G104=1),1,0)</f>
        <v>0</v>
      </c>
      <c r="K104" s="30">
        <f>VLOOKUP($C104,COS!$B$8:$H$991,2,FALSE)</f>
        <v>1787.3011474609375</v>
      </c>
      <c r="L104" s="28">
        <f t="shared" ref="L104" si="160">IF(K104&lt;=IF(MONTH($C104)=4,$I$3,IF(MONTH($C104)=5,$I$4,IF(MONTH($C104)=6,$I$5,IF(MONTH($C104)=7,$I$6,"ERROR")))),1,0)</f>
        <v>1</v>
      </c>
      <c r="M104" s="28">
        <f t="shared" ref="M104" si="161">VLOOKUP($A104,$L$3:$M$7,2,FALSE)</f>
        <v>1</v>
      </c>
      <c r="N104" s="30">
        <f>VLOOKUP($C104,COS!$B$8:$H$991,5,FALSE)</f>
        <v>0</v>
      </c>
      <c r="O104" s="30">
        <f t="shared" ref="O104:O107" si="162">N104*DAY($C104)*86400/43560/1000</f>
        <v>0</v>
      </c>
      <c r="P104" s="30">
        <f>VLOOKUP($C104,COS!$B$8:$H$991,6,FALSE)</f>
        <v>527.22991943359375</v>
      </c>
      <c r="Q104" s="30">
        <f t="shared" ref="Q104:Q107" si="163">P104*DAY($C104)*86400/43560/1000</f>
        <v>31.372358842329543</v>
      </c>
      <c r="R104" s="30">
        <f>MIN(IF(MONTH($C104)=4,$S$3,IF(MONTH($C104)=5,$S$4,IF(MONTH($C104)=6,$S$5,IF(MONTH($C104)=7,$S$6,"ERROR")))),MAX(VLOOKUP($C104,COS!$B$8:$K$991,10,FALSE)-IF(MONTH($C104)=4,$Y$3,IF(MONTH($C104)=5,$Y$4,IF(MONTH($C104)=6,$Y$5,IF(MONTH($C104)=7,$Y$6,"ERROR")))),0),MAX(VLOOKUP($C104,COS!$B$8:$K$991,9,FALSE)-IF(MONTH($C104)=4,$V$3,IF(MONTH($C104)=5,$V$4,IF(MONTH($C104)=6,$V$5,IF(MONTH($C104)=7,$V$6,"ERROR"))))-VLOOKUP($C104,COS!$B$8:$K$991,6,FALSE)/2,0))</f>
        <v>750</v>
      </c>
      <c r="S104" s="30">
        <f t="shared" ref="S104:S107" si="164">R104*DAY($C104)*86400/43560/1000</f>
        <v>44.628099173553714</v>
      </c>
      <c r="T104" s="30">
        <f t="shared" ref="T104:T107" si="165">(O104+Q104)/2+S104</f>
        <v>60.314278594718488</v>
      </c>
      <c r="U104" s="30" t="str">
        <f>IF(VLOOKUP($C104,COS!$B$8:$I$991,8,FALSE)=1,"UWFE","IBU")</f>
        <v>UWFE</v>
      </c>
      <c r="V104" s="30">
        <f t="shared" ref="V104" si="166">MIN(IF(IF($AA$3=2,AND(E104=1,G104=1,L104=1,L109=1,M104=1,U104="IBU"),AND(E104=1,G104=1,L104=1,L109=1,M104=1)),T104,0),I104)</f>
        <v>0</v>
      </c>
      <c r="W104" s="30"/>
      <c r="X104" s="30"/>
      <c r="Y104" s="30"/>
      <c r="Z104" s="30"/>
      <c r="AA104" s="30"/>
      <c r="AB104" s="31"/>
    </row>
    <row r="105" spans="1:28" x14ac:dyDescent="0.3">
      <c r="A105" s="32">
        <f>VLOOKUP(YEAR(C105),Flags!$A$13:$B$95,2,FALSE)</f>
        <v>5</v>
      </c>
      <c r="B105" s="24">
        <f t="shared" si="116"/>
        <v>1932</v>
      </c>
      <c r="C105" s="25">
        <v>11840</v>
      </c>
      <c r="D105" s="26">
        <f>VLOOKUP($C105,COS!$B$8:$H$991,3,FALSE)</f>
        <v>4951.02978515625</v>
      </c>
      <c r="E105" s="24">
        <f>IF(D105&gt;=IF(MONTH($C105)=4,$C$3,IF(MONTH($C105)=5,$C$4,IF(MONTH($C105)=6,$C$5,IF(MONTH($C105)=7,$C$6,"ERROR")))),1,0)</f>
        <v>0</v>
      </c>
      <c r="F105" s="26">
        <f>VLOOKUP($C105,COS!$B$8:$H$991,7,FALSE)</f>
        <v>51.659408569335938</v>
      </c>
      <c r="G105" s="24">
        <f>IF(F105&lt;=IF(MONTH($C105)=4,$F$3,IF(MONTH($C105)=5,$F$4,IF(MONTH($C105)=6,$F$5,IF(MONTH($C105)=7,$F$6,"ERROR")))),1,0)</f>
        <v>1</v>
      </c>
      <c r="H105" s="26">
        <f>IF(J105=1,D105-$C$4,0)</f>
        <v>0</v>
      </c>
      <c r="I105" s="26">
        <f t="shared" si="136"/>
        <v>0</v>
      </c>
      <c r="J105" s="24">
        <f t="shared" si="159"/>
        <v>0</v>
      </c>
      <c r="K105" s="26">
        <f>VLOOKUP($C105,COS!$B$8:$H$991,2,FALSE)</f>
        <v>1880.785400390625</v>
      </c>
      <c r="L105" s="24">
        <f t="shared" si="129"/>
        <v>1</v>
      </c>
      <c r="M105" s="24">
        <f t="shared" si="130"/>
        <v>1</v>
      </c>
      <c r="N105" s="26">
        <f>VLOOKUP($C105,COS!$B$8:$H$991,5,FALSE)</f>
        <v>0</v>
      </c>
      <c r="O105" s="26">
        <f t="shared" si="162"/>
        <v>0</v>
      </c>
      <c r="P105" s="26">
        <f>VLOOKUP($C105,COS!$B$8:$H$991,6,FALSE)</f>
        <v>2037.6466064453125</v>
      </c>
      <c r="Q105" s="26">
        <f t="shared" si="163"/>
        <v>125.29000621448863</v>
      </c>
      <c r="R105" s="26">
        <f>MIN(IF(MONTH($C105)=4,$S$3,IF(MONTH($C105)=5,$S$4,IF(MONTH($C105)=6,$S$5,IF(MONTH($C105)=7,$S$6,"ERROR")))),MAX(VLOOKUP($C105,COS!$B$8:$K$991,10,FALSE)-IF(MONTH($C105)=4,$Y$3,IF(MONTH($C105)=5,$Y$4,IF(MONTH($C105)=6,$Y$5,IF(MONTH($C105)=7,$Y$6,"ERROR")))),0),MAX(VLOOKUP($C105,COS!$B$8:$K$991,9,FALSE)-IF(MONTH($C105)=4,$V$3,IF(MONTH($C105)=5,$V$4,IF(MONTH($C105)=6,$V$5,IF(MONTH($C105)=7,$V$6,"ERROR"))))-VLOOKUP($C105,COS!$B$8:$K$991,6,FALSE)/2,0))</f>
        <v>750</v>
      </c>
      <c r="S105" s="26">
        <f t="shared" si="164"/>
        <v>46.115702479338843</v>
      </c>
      <c r="T105" s="26">
        <f t="shared" si="165"/>
        <v>108.76070558658316</v>
      </c>
      <c r="U105" s="26" t="str">
        <f>IF(VLOOKUP($C105,COS!$B$8:$I$991,8,FALSE)=1,"UWFE","IBU")</f>
        <v>UWFE</v>
      </c>
      <c r="V105" s="26">
        <f t="shared" ref="V105" si="167">MIN(IF(IF($AA$3=2,AND(E105=1,G105=1,L105=1,L109=1,M105=1,U105="IBU"),AND(E105=1,G105=1,L105=1,L109=1,M105=1)),T105,0),I105)</f>
        <v>0</v>
      </c>
      <c r="W105" s="26"/>
      <c r="X105" s="26"/>
      <c r="Y105" s="26"/>
      <c r="Z105" s="26"/>
      <c r="AA105" s="26"/>
      <c r="AB105" s="33"/>
    </row>
    <row r="106" spans="1:28" x14ac:dyDescent="0.3">
      <c r="A106" s="32">
        <f>VLOOKUP(YEAR(C106),Flags!$A$13:$B$95,2,FALSE)</f>
        <v>5</v>
      </c>
      <c r="B106" s="24">
        <f t="shared" si="116"/>
        <v>1932</v>
      </c>
      <c r="C106" s="25">
        <v>11870</v>
      </c>
      <c r="D106" s="26">
        <f>VLOOKUP($C106,COS!$B$8:$H$991,3,FALSE)</f>
        <v>7197.30029296875</v>
      </c>
      <c r="E106" s="24">
        <f>IF(D106&gt;=IF(MONTH($C106)=4,$C$3,IF(MONTH($C106)=5,$C$4,IF(MONTH($C106)=6,$C$5,IF(MONTH($C106)=7,$C$6,"ERROR")))),1,0)</f>
        <v>0</v>
      </c>
      <c r="F106" s="26">
        <f>VLOOKUP($C106,COS!$B$8:$H$991,7,FALSE)</f>
        <v>54.089519500732422</v>
      </c>
      <c r="G106" s="24">
        <f>IF(F106&lt;=IF(MONTH($C106)=4,$F$3,IF(MONTH($C106)=5,$F$4,IF(MONTH($C106)=6,$F$5,IF(MONTH($C106)=7,$F$6,"ERROR")))),1,0)</f>
        <v>1</v>
      </c>
      <c r="H106" s="26">
        <f>IF(J106=1,D106-$C$5,0)</f>
        <v>0</v>
      </c>
      <c r="I106" s="26">
        <f t="shared" si="136"/>
        <v>0</v>
      </c>
      <c r="J106" s="24">
        <f t="shared" si="159"/>
        <v>0</v>
      </c>
      <c r="K106" s="26">
        <f>VLOOKUP($C106,COS!$B$8:$H$991,2,FALSE)</f>
        <v>1657.180419921875</v>
      </c>
      <c r="L106" s="24">
        <f t="shared" si="129"/>
        <v>1</v>
      </c>
      <c r="M106" s="24">
        <f t="shared" si="130"/>
        <v>1</v>
      </c>
      <c r="N106" s="26">
        <f>VLOOKUP($C106,COS!$B$8:$H$991,5,FALSE)</f>
        <v>0</v>
      </c>
      <c r="O106" s="26">
        <f t="shared" si="162"/>
        <v>0</v>
      </c>
      <c r="P106" s="26">
        <f>VLOOKUP($C106,COS!$B$8:$H$991,6,FALSE)</f>
        <v>2546.35791015625</v>
      </c>
      <c r="Q106" s="26">
        <f t="shared" si="163"/>
        <v>151.51881779442149</v>
      </c>
      <c r="R106" s="26">
        <f>MIN(IF(MONTH($C106)=4,$S$3,IF(MONTH($C106)=5,$S$4,IF(MONTH($C106)=6,$S$5,IF(MONTH($C106)=7,$S$6,"ERROR")))),MAX(VLOOKUP($C106,COS!$B$8:$K$991,10,FALSE)-IF(MONTH($C106)=4,$Y$3,IF(MONTH($C106)=5,$Y$4,IF(MONTH($C106)=6,$Y$5,IF(MONTH($C106)=7,$Y$6,"ERROR")))),0),MAX(VLOOKUP($C106,COS!$B$8:$K$991,9,FALSE)-IF(MONTH($C106)=4,$V$3,IF(MONTH($C106)=5,$V$4,IF(MONTH($C106)=6,$V$5,IF(MONTH($C106)=7,$V$6,"ERROR"))))-VLOOKUP($C106,COS!$B$8:$K$991,6,FALSE)/2,0))</f>
        <v>750</v>
      </c>
      <c r="S106" s="26">
        <f t="shared" si="164"/>
        <v>44.628099173553714</v>
      </c>
      <c r="T106" s="26">
        <f t="shared" si="165"/>
        <v>120.38750807076445</v>
      </c>
      <c r="U106" s="26" t="str">
        <f>IF(VLOOKUP($C106,COS!$B$8:$I$991,8,FALSE)=1,"UWFE","IBU")</f>
        <v>IBU</v>
      </c>
      <c r="V106" s="26">
        <f t="shared" ref="V106" si="168">MIN(IF(IF($AA$3=2,AND(E106=1,G106=1,L106=1,L109=1,M106=1,U106="IBU"),AND(E106=1,G106=1,L106=1,L109=1,M106=1)),T106,0),I106)</f>
        <v>0</v>
      </c>
      <c r="W106" s="26"/>
      <c r="X106" s="26"/>
      <c r="Y106" s="26"/>
      <c r="Z106" s="26"/>
      <c r="AA106" s="26"/>
      <c r="AB106" s="33"/>
    </row>
    <row r="107" spans="1:28" x14ac:dyDescent="0.3">
      <c r="A107" s="32">
        <f>VLOOKUP(YEAR(C107),Flags!$A$13:$B$95,2,FALSE)</f>
        <v>5</v>
      </c>
      <c r="B107" s="24">
        <f t="shared" si="116"/>
        <v>1932</v>
      </c>
      <c r="C107" s="25">
        <v>11901</v>
      </c>
      <c r="D107" s="26">
        <f>VLOOKUP($C107,COS!$B$8:$H$991,3,FALSE)</f>
        <v>8582.53125</v>
      </c>
      <c r="E107" s="24">
        <f>IF(D107&gt;=IF(MONTH($C107)=4,$C$3,IF(MONTH($C107)=5,$C$4,IF(MONTH($C107)=6,$C$5,IF(MONTH($C107)=7,$C$6,"ERROR")))),1,0)</f>
        <v>0</v>
      </c>
      <c r="F107" s="26">
        <f>VLOOKUP($C107,COS!$B$8:$H$991,7,FALSE)</f>
        <v>55.753875732421875</v>
      </c>
      <c r="G107" s="24">
        <f>IF(F107&lt;=IF(MONTH($C107)=4,$F$3,IF(MONTH($C107)=5,$F$4,IF(MONTH($C107)=6,$F$5,IF(MONTH($C107)=7,$F$6,"ERROR")))),1,0)</f>
        <v>0</v>
      </c>
      <c r="H107" s="26">
        <f>IF(J107=1,D107-$C$6,0)</f>
        <v>0</v>
      </c>
      <c r="I107" s="26">
        <f t="shared" si="136"/>
        <v>0</v>
      </c>
      <c r="J107" s="24">
        <f t="shared" si="159"/>
        <v>0</v>
      </c>
      <c r="K107" s="26">
        <f>VLOOKUP($C107,COS!$B$8:$H$991,2,FALSE)</f>
        <v>1286.91845703125</v>
      </c>
      <c r="L107" s="24">
        <f t="shared" si="129"/>
        <v>1</v>
      </c>
      <c r="M107" s="24">
        <f t="shared" si="130"/>
        <v>1</v>
      </c>
      <c r="N107" s="26">
        <f>VLOOKUP($C107,COS!$B$8:$H$991,5,FALSE)</f>
        <v>0</v>
      </c>
      <c r="O107" s="26">
        <f t="shared" si="162"/>
        <v>0</v>
      </c>
      <c r="P107" s="26">
        <f>VLOOKUP($C107,COS!$B$8:$H$991,6,FALSE)</f>
        <v>2538.07568359375</v>
      </c>
      <c r="Q107" s="26">
        <f t="shared" si="163"/>
        <v>156.06019079287191</v>
      </c>
      <c r="R107" s="26">
        <f>MIN(IF(MONTH($C107)=4,$S$3,IF(MONTH($C107)=5,$S$4,IF(MONTH($C107)=6,$S$5,IF(MONTH($C107)=7,$S$6,"ERROR")))),MAX(VLOOKUP($C107,COS!$B$8:$K$991,10,FALSE)-IF(MONTH($C107)=4,$Y$3,IF(MONTH($C107)=5,$Y$4,IF(MONTH($C107)=6,$Y$5,IF(MONTH($C107)=7,$Y$6,"ERROR")))),0),MAX(VLOOKUP($C107,COS!$B$8:$K$991,9,FALSE)-IF(MONTH($C107)=4,$V$3,IF(MONTH($C107)=5,$V$4,IF(MONTH($C107)=6,$V$5,IF(MONTH($C107)=7,$V$6,"ERROR"))))-VLOOKUP($C107,COS!$B$8:$K$991,6,FALSE)/2,0))</f>
        <v>750</v>
      </c>
      <c r="S107" s="26">
        <f t="shared" si="164"/>
        <v>46.115702479338843</v>
      </c>
      <c r="T107" s="26">
        <f t="shared" si="165"/>
        <v>124.1457978757748</v>
      </c>
      <c r="U107" s="26" t="str">
        <f>IF(VLOOKUP($C107,COS!$B$8:$I$991,8,FALSE)=1,"UWFE","IBU")</f>
        <v>IBU</v>
      </c>
      <c r="V107" s="26">
        <f t="shared" ref="V107" si="169">MIN(IF(IF($AA$3=2,AND(E107=1,G107=1,L107=1,L109=1,M107=1,U107="IBU"),AND(E107=1,G107=1,L107=1,L109=1,M107=1)),T107,0),I107)</f>
        <v>0</v>
      </c>
      <c r="W107" s="26"/>
      <c r="X107" s="26"/>
      <c r="Y107" s="26"/>
      <c r="Z107" s="26"/>
      <c r="AA107" s="26"/>
      <c r="AB107" s="33"/>
    </row>
    <row r="108" spans="1:28" x14ac:dyDescent="0.3">
      <c r="A108" s="32">
        <f>VLOOKUP(YEAR(C108),Flags!$A$13:$B$95,2,FALSE)</f>
        <v>5</v>
      </c>
      <c r="B108" s="24">
        <f t="shared" si="116"/>
        <v>1932</v>
      </c>
      <c r="C108" s="25">
        <v>11932</v>
      </c>
      <c r="D108" s="26"/>
      <c r="E108" s="24"/>
      <c r="F108" s="26"/>
      <c r="G108" s="24"/>
      <c r="H108" s="24"/>
      <c r="I108" s="26"/>
      <c r="J108" s="24"/>
      <c r="K108" s="26"/>
      <c r="L108" s="24"/>
      <c r="M108" s="24"/>
      <c r="N108" s="26"/>
      <c r="O108" s="26"/>
      <c r="P108" s="26"/>
      <c r="Q108" s="26"/>
      <c r="R108" s="26"/>
      <c r="S108" s="26"/>
      <c r="T108" s="26"/>
      <c r="U108" s="26"/>
      <c r="V108" s="26"/>
      <c r="W108" s="26">
        <f>MAX($C$7-VLOOKUP($C108,COS!$B$8:$H$991,3,FALSE),0)</f>
        <v>92726.396484375</v>
      </c>
      <c r="X108" s="26">
        <f t="shared" si="143"/>
        <v>5701.523883006198</v>
      </c>
      <c r="Y108" s="26">
        <f>VLOOKUP($C108,COS!$B$8:$H$991,4,FALSE)</f>
        <v>1881.437744140625</v>
      </c>
      <c r="Z108" s="26">
        <f t="shared" si="144"/>
        <v>115.68509765624999</v>
      </c>
      <c r="AA108" s="26">
        <f t="shared" ref="AA108:AA112" si="170">MIN(W108,Y108)</f>
        <v>1881.437744140625</v>
      </c>
      <c r="AB108" s="33">
        <f t="shared" ref="AB108" si="171">AA108*DAY($C108)*86400/43560/1000*IF(MONTH($C108)=8,$P$3,IF(MONTH($C108)=9,$P$4,IF(MONTH($C108)=10,$P$5,IF(MONTH($C108)=11,$P$6,IF(MONTH($C108)=12,$P$7,NA())))))</f>
        <v>115.68509765624999</v>
      </c>
    </row>
    <row r="109" spans="1:28" x14ac:dyDescent="0.3">
      <c r="A109" s="32">
        <f>VLOOKUP(YEAR(C109),Flags!$A$13:$B$95,2,FALSE)</f>
        <v>5</v>
      </c>
      <c r="B109" s="24">
        <f t="shared" si="116"/>
        <v>1932</v>
      </c>
      <c r="C109" s="25">
        <v>11962</v>
      </c>
      <c r="D109" s="26"/>
      <c r="E109" s="24"/>
      <c r="F109" s="26"/>
      <c r="G109" s="24"/>
      <c r="H109" s="24"/>
      <c r="I109" s="26"/>
      <c r="J109" s="24"/>
      <c r="K109" s="26">
        <f>VLOOKUP($C109,COS!$B$8:$H$991,2,FALSE)</f>
        <v>902.0557861328125</v>
      </c>
      <c r="L109" s="24">
        <f t="shared" ref="L109" si="172">IF(AND(K109&gt;$I$7,K109&lt;$I$8),1,0)</f>
        <v>1</v>
      </c>
      <c r="M109" s="24"/>
      <c r="N109" s="26"/>
      <c r="O109" s="26"/>
      <c r="P109" s="26"/>
      <c r="Q109" s="26"/>
      <c r="R109" s="26"/>
      <c r="S109" s="26"/>
      <c r="T109" s="26"/>
      <c r="U109" s="26"/>
      <c r="V109" s="26"/>
      <c r="W109" s="26">
        <f>MAX($C$8-VLOOKUP($C109,COS!$B$8:$H$991,3,FALSE),0)</f>
        <v>95768.7431640625</v>
      </c>
      <c r="X109" s="26">
        <f t="shared" si="143"/>
        <v>5698.6359568698354</v>
      </c>
      <c r="Y109" s="26">
        <f>VLOOKUP($C109,COS!$B$8:$H$991,4,FALSE)</f>
        <v>909.056396484375</v>
      </c>
      <c r="Z109" s="26">
        <f t="shared" si="144"/>
        <v>54.092612022210744</v>
      </c>
      <c r="AA109" s="26">
        <f t="shared" si="170"/>
        <v>909.056396484375</v>
      </c>
      <c r="AB109" s="33">
        <f t="shared" si="141"/>
        <v>54.092612022210744</v>
      </c>
    </row>
    <row r="110" spans="1:28" x14ac:dyDescent="0.3">
      <c r="A110" s="32">
        <f>VLOOKUP(YEAR(C110),Flags!$A$13:$B$95,2,FALSE)</f>
        <v>5</v>
      </c>
      <c r="B110" s="24">
        <f t="shared" si="116"/>
        <v>1932</v>
      </c>
      <c r="C110" s="25">
        <v>11993</v>
      </c>
      <c r="D110" s="26"/>
      <c r="E110" s="24"/>
      <c r="F110" s="26"/>
      <c r="G110" s="26"/>
      <c r="H110" s="26"/>
      <c r="I110" s="26"/>
      <c r="J110" s="26"/>
      <c r="K110" s="26"/>
      <c r="L110" s="24"/>
      <c r="M110" s="24"/>
      <c r="N110" s="26"/>
      <c r="O110" s="26"/>
      <c r="P110" s="26"/>
      <c r="Q110" s="26"/>
      <c r="R110" s="26"/>
      <c r="S110" s="26"/>
      <c r="T110" s="26"/>
      <c r="U110" s="26"/>
      <c r="V110" s="26"/>
      <c r="W110" s="26">
        <f>MAX($C$9-VLOOKUP($C110,COS!$B$8:$H$991,3,FALSE),0)</f>
        <v>95267.88623046875</v>
      </c>
      <c r="X110" s="26">
        <f t="shared" si="143"/>
        <v>5857.7939963197314</v>
      </c>
      <c r="Y110" s="26">
        <f>VLOOKUP($C110,COS!$B$8:$H$991,4,FALSE)</f>
        <v>1075.1279296875</v>
      </c>
      <c r="Z110" s="26">
        <f t="shared" si="144"/>
        <v>66.107039643595044</v>
      </c>
      <c r="AA110" s="26">
        <f t="shared" si="170"/>
        <v>1075.1279296875</v>
      </c>
      <c r="AB110" s="33">
        <f t="shared" si="141"/>
        <v>66.107039643595044</v>
      </c>
    </row>
    <row r="111" spans="1:28" x14ac:dyDescent="0.3">
      <c r="A111" s="32">
        <f>VLOOKUP(YEAR(C111),Flags!$A$13:$B$95,2,FALSE)</f>
        <v>5</v>
      </c>
      <c r="B111" s="24">
        <f t="shared" si="116"/>
        <v>1932</v>
      </c>
      <c r="C111" s="25">
        <v>12023</v>
      </c>
      <c r="D111" s="26"/>
      <c r="E111" s="24"/>
      <c r="F111" s="26"/>
      <c r="G111" s="26"/>
      <c r="H111" s="26"/>
      <c r="I111" s="26"/>
      <c r="J111" s="26"/>
      <c r="K111" s="26"/>
      <c r="L111" s="24"/>
      <c r="M111" s="24"/>
      <c r="N111" s="26"/>
      <c r="O111" s="26"/>
      <c r="P111" s="26"/>
      <c r="Q111" s="26"/>
      <c r="R111" s="26"/>
      <c r="S111" s="26"/>
      <c r="T111" s="26"/>
      <c r="U111" s="26"/>
      <c r="V111" s="26"/>
      <c r="W111" s="26">
        <f>MAX($C$10-VLOOKUP($C111,COS!$B$8:$H$991,3,FALSE),0)</f>
        <v>96396.837158203125</v>
      </c>
      <c r="X111" s="26">
        <f t="shared" si="143"/>
        <v>5736.0101449509302</v>
      </c>
      <c r="Y111" s="26">
        <f>VLOOKUP($C111,COS!$B$8:$H$991,4,FALSE)</f>
        <v>1139.5615234375</v>
      </c>
      <c r="Z111" s="26">
        <f t="shared" si="144"/>
        <v>67.808619576446276</v>
      </c>
      <c r="AA111" s="26">
        <f t="shared" si="170"/>
        <v>1139.5615234375</v>
      </c>
      <c r="AB111" s="33">
        <f t="shared" si="141"/>
        <v>33.904309788223138</v>
      </c>
    </row>
    <row r="112" spans="1:28" x14ac:dyDescent="0.3">
      <c r="A112" s="34">
        <f>VLOOKUP(YEAR(C112),Flags!$A$13:$B$95,2,FALSE)</f>
        <v>5</v>
      </c>
      <c r="B112" s="35">
        <f t="shared" si="116"/>
        <v>1932</v>
      </c>
      <c r="C112" s="36">
        <v>12054</v>
      </c>
      <c r="D112" s="37"/>
      <c r="E112" s="35"/>
      <c r="F112" s="37"/>
      <c r="G112" s="37"/>
      <c r="H112" s="37"/>
      <c r="I112" s="37"/>
      <c r="J112" s="37"/>
      <c r="K112" s="37"/>
      <c r="L112" s="35"/>
      <c r="M112" s="35"/>
      <c r="N112" s="37"/>
      <c r="O112" s="37"/>
      <c r="P112" s="37"/>
      <c r="Q112" s="37"/>
      <c r="R112" s="37"/>
      <c r="S112" s="37"/>
      <c r="T112" s="37"/>
      <c r="U112" s="37"/>
      <c r="V112" s="37"/>
      <c r="W112" s="37">
        <f>MAX($C$11-VLOOKUP($C112,COS!$B$8:$H$991,3,FALSE),0)</f>
        <v>0</v>
      </c>
      <c r="X112" s="37">
        <f t="shared" si="143"/>
        <v>0</v>
      </c>
      <c r="Y112" s="37">
        <f>VLOOKUP($C112,COS!$B$8:$H$991,4,FALSE)</f>
        <v>2675.63427734375</v>
      </c>
      <c r="Z112" s="37">
        <f t="shared" si="144"/>
        <v>164.51833903667355</v>
      </c>
      <c r="AA112" s="37">
        <f t="shared" si="170"/>
        <v>0</v>
      </c>
      <c r="AB112" s="38">
        <f t="shared" si="141"/>
        <v>0</v>
      </c>
    </row>
    <row r="113" spans="1:28" x14ac:dyDescent="0.3">
      <c r="A113" s="27">
        <f>VLOOKUP(YEAR(C113),Flags!$A$13:$B$95,2,FALSE)</f>
        <v>5</v>
      </c>
      <c r="B113" s="28">
        <f t="shared" si="116"/>
        <v>1933</v>
      </c>
      <c r="C113" s="29">
        <v>12174</v>
      </c>
      <c r="D113" s="30">
        <f>VLOOKUP($C113,COS!$B$8:$H$991,3,FALSE)</f>
        <v>3250</v>
      </c>
      <c r="E113" s="28">
        <f>IF(D113&gt;=IF(MONTH($C113)=4,$C$3,IF(MONTH($C113)=5,$C$4,IF(MONTH($C113)=6,$C$5,IF(MONTH($C113)=7,$C$6,"ERROR")))),1,0)</f>
        <v>0</v>
      </c>
      <c r="F113" s="30">
        <f>VLOOKUP($C113,COS!$B$8:$H$991,7,FALSE)</f>
        <v>51.034336090087891</v>
      </c>
      <c r="G113" s="28">
        <f>IF(F113&lt;=IF(MONTH($C113)=4,$F$3,IF(MONTH($C113)=5,$F$4,IF(MONTH($C113)=6,$F$5,IF(MONTH($C113)=7,$F$6,"ERROR")))),1,0)</f>
        <v>1</v>
      </c>
      <c r="H113" s="30">
        <f>IF(J113=1,D113-$C$3,0)</f>
        <v>0</v>
      </c>
      <c r="I113" s="30">
        <f t="shared" si="136"/>
        <v>0</v>
      </c>
      <c r="J113" s="28">
        <f t="shared" ref="J113:J116" si="173">IF(AND(E113=1,G113=1),1,0)</f>
        <v>0</v>
      </c>
      <c r="K113" s="30">
        <f>VLOOKUP($C113,COS!$B$8:$H$991,2,FALSE)</f>
        <v>1716.4488525390625</v>
      </c>
      <c r="L113" s="28">
        <f t="shared" ref="L113" si="174">IF(K113&lt;=IF(MONTH($C113)=4,$I$3,IF(MONTH($C113)=5,$I$4,IF(MONTH($C113)=6,$I$5,IF(MONTH($C113)=7,$I$6,"ERROR")))),1,0)</f>
        <v>1</v>
      </c>
      <c r="M113" s="28">
        <f t="shared" ref="M113" si="175">VLOOKUP($A113,$L$3:$M$7,2,FALSE)</f>
        <v>1</v>
      </c>
      <c r="N113" s="30">
        <f>VLOOKUP($C113,COS!$B$8:$H$991,5,FALSE)</f>
        <v>180.99517822265625</v>
      </c>
      <c r="O113" s="30">
        <f t="shared" ref="O113:O116" si="176">N113*DAY($C113)*86400/43560/1000</f>
        <v>10.769961018207646</v>
      </c>
      <c r="P113" s="30">
        <f>VLOOKUP($C113,COS!$B$8:$H$991,6,FALSE)</f>
        <v>566.2322998046875</v>
      </c>
      <c r="Q113" s="30">
        <f t="shared" ref="Q113:Q116" si="177">P113*DAY($C113)*86400/43560/1000</f>
        <v>33.693161641270663</v>
      </c>
      <c r="R113" s="30">
        <f>MIN(IF(MONTH($C113)=4,$S$3,IF(MONTH($C113)=5,$S$4,IF(MONTH($C113)=6,$S$5,IF(MONTH($C113)=7,$S$6,"ERROR")))),MAX(VLOOKUP($C113,COS!$B$8:$K$991,10,FALSE)-IF(MONTH($C113)=4,$Y$3,IF(MONTH($C113)=5,$Y$4,IF(MONTH($C113)=6,$Y$5,IF(MONTH($C113)=7,$Y$6,"ERROR")))),0),MAX(VLOOKUP($C113,COS!$B$8:$K$991,9,FALSE)-IF(MONTH($C113)=4,$V$3,IF(MONTH($C113)=5,$V$4,IF(MONTH($C113)=6,$V$5,IF(MONTH($C113)=7,$V$6,"ERROR"))))-VLOOKUP($C113,COS!$B$8:$K$991,6,FALSE)/2,0))</f>
        <v>750</v>
      </c>
      <c r="S113" s="30">
        <f t="shared" ref="S113:S116" si="178">R113*DAY($C113)*86400/43560/1000</f>
        <v>44.628099173553714</v>
      </c>
      <c r="T113" s="30">
        <f t="shared" ref="T113:T116" si="179">(O113+Q113)/2+S113</f>
        <v>66.859660503292872</v>
      </c>
      <c r="U113" s="30" t="str">
        <f>IF(VLOOKUP($C113,COS!$B$8:$I$991,8,FALSE)=1,"UWFE","IBU")</f>
        <v>UWFE</v>
      </c>
      <c r="V113" s="30">
        <f t="shared" ref="V113" si="180">MIN(IF(IF($AA$3=2,AND(E113=1,G113=1,L113=1,L118=1,M113=1,U113="IBU"),AND(E113=1,G113=1,L113=1,L118=1,M113=1)),T113,0),I113)</f>
        <v>0</v>
      </c>
      <c r="W113" s="30"/>
      <c r="X113" s="30"/>
      <c r="Y113" s="30"/>
      <c r="Z113" s="30"/>
      <c r="AA113" s="30"/>
      <c r="AB113" s="31"/>
    </row>
    <row r="114" spans="1:28" x14ac:dyDescent="0.3">
      <c r="A114" s="32">
        <f>VLOOKUP(YEAR(C114),Flags!$A$13:$B$95,2,FALSE)</f>
        <v>5</v>
      </c>
      <c r="B114" s="24">
        <f t="shared" si="116"/>
        <v>1933</v>
      </c>
      <c r="C114" s="25">
        <v>12205</v>
      </c>
      <c r="D114" s="26">
        <f>VLOOKUP($C114,COS!$B$8:$H$991,3,FALSE)</f>
        <v>6501.3232421875</v>
      </c>
      <c r="E114" s="24">
        <f>IF(D114&gt;=IF(MONTH($C114)=4,$C$3,IF(MONTH($C114)=5,$C$4,IF(MONTH($C114)=6,$C$5,IF(MONTH($C114)=7,$C$6,"ERROR")))),1,0)</f>
        <v>1</v>
      </c>
      <c r="F114" s="26">
        <f>VLOOKUP($C114,COS!$B$8:$H$991,7,FALSE)</f>
        <v>51.829986572265625</v>
      </c>
      <c r="G114" s="24">
        <f>IF(F114&lt;=IF(MONTH($C114)=4,$F$3,IF(MONTH($C114)=5,$F$4,IF(MONTH($C114)=6,$F$5,IF(MONTH($C114)=7,$F$6,"ERROR")))),1,0)</f>
        <v>1</v>
      </c>
      <c r="H114" s="26">
        <f>IF(J114=1,D114-$C$4,0)</f>
        <v>501.3232421875</v>
      </c>
      <c r="I114" s="26">
        <f t="shared" si="136"/>
        <v>30.825164643595041</v>
      </c>
      <c r="J114" s="24">
        <f t="shared" si="173"/>
        <v>1</v>
      </c>
      <c r="K114" s="26">
        <f>VLOOKUP($C114,COS!$B$8:$H$991,2,FALSE)</f>
        <v>1691.36767578125</v>
      </c>
      <c r="L114" s="24">
        <f t="shared" si="129"/>
        <v>1</v>
      </c>
      <c r="M114" s="24">
        <f t="shared" si="130"/>
        <v>1</v>
      </c>
      <c r="N114" s="26">
        <f>VLOOKUP($C114,COS!$B$8:$H$991,5,FALSE)</f>
        <v>170.30894470214844</v>
      </c>
      <c r="O114" s="26">
        <f t="shared" si="176"/>
        <v>10.471888831272597</v>
      </c>
      <c r="P114" s="26">
        <f>VLOOKUP($C114,COS!$B$8:$H$991,6,FALSE)</f>
        <v>2197.37890625</v>
      </c>
      <c r="Q114" s="26">
        <f t="shared" si="177"/>
        <v>135.11156249999999</v>
      </c>
      <c r="R114" s="26">
        <f>MIN(IF(MONTH($C114)=4,$S$3,IF(MONTH($C114)=5,$S$4,IF(MONTH($C114)=6,$S$5,IF(MONTH($C114)=7,$S$6,"ERROR")))),MAX(VLOOKUP($C114,COS!$B$8:$K$991,10,FALSE)-IF(MONTH($C114)=4,$Y$3,IF(MONTH($C114)=5,$Y$4,IF(MONTH($C114)=6,$Y$5,IF(MONTH($C114)=7,$Y$6,"ERROR")))),0),MAX(VLOOKUP($C114,COS!$B$8:$K$991,9,FALSE)-IF(MONTH($C114)=4,$V$3,IF(MONTH($C114)=5,$V$4,IF(MONTH($C114)=6,$V$5,IF(MONTH($C114)=7,$V$6,"ERROR"))))-VLOOKUP($C114,COS!$B$8:$K$991,6,FALSE)/2,0))</f>
        <v>750</v>
      </c>
      <c r="S114" s="26">
        <f t="shared" si="178"/>
        <v>46.115702479338843</v>
      </c>
      <c r="T114" s="26">
        <f t="shared" si="179"/>
        <v>118.90742814497514</v>
      </c>
      <c r="U114" s="26" t="str">
        <f>IF(VLOOKUP($C114,COS!$B$8:$I$991,8,FALSE)=1,"UWFE","IBU")</f>
        <v>UWFE</v>
      </c>
      <c r="V114" s="26">
        <f t="shared" ref="V114" si="181">MIN(IF(IF($AA$3=2,AND(E114=1,G114=1,L114=1,L118=1,M114=1,U114="IBU"),AND(E114=1,G114=1,L114=1,L118=1,M114=1)),T114,0),I114)</f>
        <v>0</v>
      </c>
      <c r="W114" s="26"/>
      <c r="X114" s="26"/>
      <c r="Y114" s="26"/>
      <c r="Z114" s="26"/>
      <c r="AA114" s="26"/>
      <c r="AB114" s="33"/>
    </row>
    <row r="115" spans="1:28" x14ac:dyDescent="0.3">
      <c r="A115" s="32">
        <f>VLOOKUP(YEAR(C115),Flags!$A$13:$B$95,2,FALSE)</f>
        <v>5</v>
      </c>
      <c r="B115" s="24">
        <f t="shared" si="116"/>
        <v>1933</v>
      </c>
      <c r="C115" s="25">
        <v>12235</v>
      </c>
      <c r="D115" s="26">
        <f>VLOOKUP($C115,COS!$B$8:$H$991,3,FALSE)</f>
        <v>7378.09228515625</v>
      </c>
      <c r="E115" s="24">
        <f>IF(D115&gt;=IF(MONTH($C115)=4,$C$3,IF(MONTH($C115)=5,$C$4,IF(MONTH($C115)=6,$C$5,IF(MONTH($C115)=7,$C$6,"ERROR")))),1,0)</f>
        <v>0</v>
      </c>
      <c r="F115" s="26">
        <f>VLOOKUP($C115,COS!$B$8:$H$991,7,FALSE)</f>
        <v>54.679584503173828</v>
      </c>
      <c r="G115" s="24">
        <f>IF(F115&lt;=IF(MONTH($C115)=4,$F$3,IF(MONTH($C115)=5,$F$4,IF(MONTH($C115)=6,$F$5,IF(MONTH($C115)=7,$F$6,"ERROR")))),1,0)</f>
        <v>1</v>
      </c>
      <c r="H115" s="26">
        <f>IF(J115=1,D115-$C$5,0)</f>
        <v>0</v>
      </c>
      <c r="I115" s="26">
        <f t="shared" si="136"/>
        <v>0</v>
      </c>
      <c r="J115" s="24">
        <f t="shared" si="173"/>
        <v>0</v>
      </c>
      <c r="K115" s="26">
        <f>VLOOKUP($C115,COS!$B$8:$H$991,2,FALSE)</f>
        <v>1503.1099853515625</v>
      </c>
      <c r="L115" s="24">
        <f t="shared" si="129"/>
        <v>1</v>
      </c>
      <c r="M115" s="24">
        <f t="shared" si="130"/>
        <v>1</v>
      </c>
      <c r="N115" s="26">
        <f>VLOOKUP($C115,COS!$B$8:$H$991,5,FALSE)</f>
        <v>210.99021911621094</v>
      </c>
      <c r="O115" s="26">
        <f t="shared" si="176"/>
        <v>12.55478989782412</v>
      </c>
      <c r="P115" s="26">
        <f>VLOOKUP($C115,COS!$B$8:$H$991,6,FALSE)</f>
        <v>2481.931884765625</v>
      </c>
      <c r="Q115" s="26">
        <f t="shared" si="177"/>
        <v>147.68520306043388</v>
      </c>
      <c r="R115" s="26">
        <f>MIN(IF(MONTH($C115)=4,$S$3,IF(MONTH($C115)=5,$S$4,IF(MONTH($C115)=6,$S$5,IF(MONTH($C115)=7,$S$6,"ERROR")))),MAX(VLOOKUP($C115,COS!$B$8:$K$991,10,FALSE)-IF(MONTH($C115)=4,$Y$3,IF(MONTH($C115)=5,$Y$4,IF(MONTH($C115)=6,$Y$5,IF(MONTH($C115)=7,$Y$6,"ERROR")))),0),MAX(VLOOKUP($C115,COS!$B$8:$K$991,9,FALSE)-IF(MONTH($C115)=4,$V$3,IF(MONTH($C115)=5,$V$4,IF(MONTH($C115)=6,$V$5,IF(MONTH($C115)=7,$V$6,"ERROR"))))-VLOOKUP($C115,COS!$B$8:$K$991,6,FALSE)/2,0))</f>
        <v>750</v>
      </c>
      <c r="S115" s="26">
        <f t="shared" si="178"/>
        <v>44.628099173553714</v>
      </c>
      <c r="T115" s="26">
        <f t="shared" si="179"/>
        <v>124.74809565268271</v>
      </c>
      <c r="U115" s="26" t="str">
        <f>IF(VLOOKUP($C115,COS!$B$8:$I$991,8,FALSE)=1,"UWFE","IBU")</f>
        <v>IBU</v>
      </c>
      <c r="V115" s="26">
        <f t="shared" ref="V115" si="182">MIN(IF(IF($AA$3=2,AND(E115=1,G115=1,L115=1,L118=1,M115=1,U115="IBU"),AND(E115=1,G115=1,L115=1,L118=1,M115=1)),T115,0),I115)</f>
        <v>0</v>
      </c>
      <c r="W115" s="26"/>
      <c r="X115" s="26"/>
      <c r="Y115" s="26"/>
      <c r="Z115" s="26"/>
      <c r="AA115" s="26"/>
      <c r="AB115" s="33"/>
    </row>
    <row r="116" spans="1:28" x14ac:dyDescent="0.3">
      <c r="A116" s="32">
        <f>VLOOKUP(YEAR(C116),Flags!$A$13:$B$95,2,FALSE)</f>
        <v>5</v>
      </c>
      <c r="B116" s="24">
        <f t="shared" si="116"/>
        <v>1933</v>
      </c>
      <c r="C116" s="25">
        <v>12266</v>
      </c>
      <c r="D116" s="26">
        <f>VLOOKUP($C116,COS!$B$8:$H$991,3,FALSE)</f>
        <v>10174.720703125</v>
      </c>
      <c r="E116" s="24">
        <f>IF(D116&gt;=IF(MONTH($C116)=4,$C$3,IF(MONTH($C116)=5,$C$4,IF(MONTH($C116)=6,$C$5,IF(MONTH($C116)=7,$C$6,"ERROR")))),1,0)</f>
        <v>0</v>
      </c>
      <c r="F116" s="26">
        <f>VLOOKUP($C116,COS!$B$8:$H$991,7,FALSE)</f>
        <v>55.866065979003906</v>
      </c>
      <c r="G116" s="24">
        <f>IF(F116&lt;=IF(MONTH($C116)=4,$F$3,IF(MONTH($C116)=5,$F$4,IF(MONTH($C116)=6,$F$5,IF(MONTH($C116)=7,$F$6,"ERROR")))),1,0)</f>
        <v>0</v>
      </c>
      <c r="H116" s="26">
        <f>IF(J116=1,D116-$C$6,0)</f>
        <v>0</v>
      </c>
      <c r="I116" s="26">
        <f t="shared" si="136"/>
        <v>0</v>
      </c>
      <c r="J116" s="24">
        <f t="shared" si="173"/>
        <v>0</v>
      </c>
      <c r="K116" s="26">
        <f>VLOOKUP($C116,COS!$B$8:$H$991,2,FALSE)</f>
        <v>1036.812744140625</v>
      </c>
      <c r="L116" s="24">
        <f t="shared" si="129"/>
        <v>1</v>
      </c>
      <c r="M116" s="24">
        <f t="shared" si="130"/>
        <v>1</v>
      </c>
      <c r="N116" s="26">
        <f>VLOOKUP($C116,COS!$B$8:$H$991,5,FALSE)</f>
        <v>230.72744750976563</v>
      </c>
      <c r="O116" s="26">
        <f t="shared" si="176"/>
        <v>14.186877764236828</v>
      </c>
      <c r="P116" s="26">
        <f>VLOOKUP($C116,COS!$B$8:$H$991,6,FALSE)</f>
        <v>2281.4833984375</v>
      </c>
      <c r="Q116" s="26">
        <f t="shared" si="177"/>
        <v>140.28294615185951</v>
      </c>
      <c r="R116" s="26">
        <f>MIN(IF(MONTH($C116)=4,$S$3,IF(MONTH($C116)=5,$S$4,IF(MONTH($C116)=6,$S$5,IF(MONTH($C116)=7,$S$6,"ERROR")))),MAX(VLOOKUP($C116,COS!$B$8:$K$991,10,FALSE)-IF(MONTH($C116)=4,$Y$3,IF(MONTH($C116)=5,$Y$4,IF(MONTH($C116)=6,$Y$5,IF(MONTH($C116)=7,$Y$6,"ERROR")))),0),MAX(VLOOKUP($C116,COS!$B$8:$K$991,9,FALSE)-IF(MONTH($C116)=4,$V$3,IF(MONTH($C116)=5,$V$4,IF(MONTH($C116)=6,$V$5,IF(MONTH($C116)=7,$V$6,"ERROR"))))-VLOOKUP($C116,COS!$B$8:$K$991,6,FALSE)/2,0))</f>
        <v>750</v>
      </c>
      <c r="S116" s="26">
        <f t="shared" si="178"/>
        <v>46.115702479338843</v>
      </c>
      <c r="T116" s="26">
        <f t="shared" si="179"/>
        <v>123.35061443738701</v>
      </c>
      <c r="U116" s="26" t="str">
        <f>IF(VLOOKUP($C116,COS!$B$8:$I$991,8,FALSE)=1,"UWFE","IBU")</f>
        <v>IBU</v>
      </c>
      <c r="V116" s="26">
        <f t="shared" ref="V116" si="183">MIN(IF(IF($AA$3=2,AND(E116=1,G116=1,L116=1,L118=1,M116=1,U116="IBU"),AND(E116=1,G116=1,L116=1,L118=1,M116=1)),T116,0),I116)</f>
        <v>0</v>
      </c>
      <c r="W116" s="26"/>
      <c r="X116" s="26"/>
      <c r="Y116" s="26"/>
      <c r="Z116" s="26"/>
      <c r="AA116" s="26"/>
      <c r="AB116" s="33"/>
    </row>
    <row r="117" spans="1:28" x14ac:dyDescent="0.3">
      <c r="A117" s="32">
        <f>VLOOKUP(YEAR(C117),Flags!$A$13:$B$95,2,FALSE)</f>
        <v>5</v>
      </c>
      <c r="B117" s="24">
        <f t="shared" si="116"/>
        <v>1933</v>
      </c>
      <c r="C117" s="25">
        <v>12297</v>
      </c>
      <c r="D117" s="26"/>
      <c r="E117" s="24"/>
      <c r="F117" s="26"/>
      <c r="G117" s="24"/>
      <c r="H117" s="24"/>
      <c r="I117" s="26"/>
      <c r="J117" s="24"/>
      <c r="K117" s="26"/>
      <c r="L117" s="24"/>
      <c r="M117" s="24"/>
      <c r="N117" s="26"/>
      <c r="O117" s="26"/>
      <c r="P117" s="26"/>
      <c r="Q117" s="26"/>
      <c r="R117" s="26"/>
      <c r="S117" s="26"/>
      <c r="T117" s="26"/>
      <c r="U117" s="26"/>
      <c r="V117" s="26"/>
      <c r="W117" s="26">
        <f>MAX($C$7-VLOOKUP($C117,COS!$B$8:$H$991,3,FALSE),0)</f>
        <v>91960.78125</v>
      </c>
      <c r="X117" s="26">
        <f t="shared" si="143"/>
        <v>5654.4480371900827</v>
      </c>
      <c r="Y117" s="26">
        <f>VLOOKUP($C117,COS!$B$8:$H$991,4,FALSE)</f>
        <v>1026.3896484375</v>
      </c>
      <c r="Z117" s="26">
        <f t="shared" si="144"/>
        <v>63.110239540289257</v>
      </c>
      <c r="AA117" s="26">
        <f t="shared" ref="AA117:AA121" si="184">MIN(W117,Y117)</f>
        <v>1026.3896484375</v>
      </c>
      <c r="AB117" s="33">
        <f t="shared" ref="AB117" si="185">AA117*DAY($C117)*86400/43560/1000*IF(MONTH($C117)=8,$P$3,IF(MONTH($C117)=9,$P$4,IF(MONTH($C117)=10,$P$5,IF(MONTH($C117)=11,$P$6,IF(MONTH($C117)=12,$P$7,NA())))))</f>
        <v>63.110239540289257</v>
      </c>
    </row>
    <row r="118" spans="1:28" x14ac:dyDescent="0.3">
      <c r="A118" s="32">
        <f>VLOOKUP(YEAR(C118),Flags!$A$13:$B$95,2,FALSE)</f>
        <v>5</v>
      </c>
      <c r="B118" s="24">
        <f t="shared" si="116"/>
        <v>1933</v>
      </c>
      <c r="C118" s="25">
        <v>12327</v>
      </c>
      <c r="D118" s="26"/>
      <c r="E118" s="24"/>
      <c r="F118" s="26"/>
      <c r="G118" s="24"/>
      <c r="H118" s="24"/>
      <c r="I118" s="26"/>
      <c r="J118" s="24"/>
      <c r="K118" s="26">
        <f>VLOOKUP($C118,COS!$B$8:$H$991,2,FALSE)</f>
        <v>614.1947021484375</v>
      </c>
      <c r="L118" s="24">
        <f t="shared" ref="L118" si="186">IF(AND(K118&gt;$I$7,K118&lt;$I$8),1,0)</f>
        <v>1</v>
      </c>
      <c r="M118" s="24"/>
      <c r="N118" s="26"/>
      <c r="O118" s="26"/>
      <c r="P118" s="26"/>
      <c r="Q118" s="26"/>
      <c r="R118" s="26"/>
      <c r="S118" s="26"/>
      <c r="T118" s="26"/>
      <c r="U118" s="26"/>
      <c r="V118" s="26"/>
      <c r="W118" s="26">
        <f>MAX($C$8-VLOOKUP($C118,COS!$B$8:$H$991,3,FALSE),0)</f>
        <v>95805.57763671875</v>
      </c>
      <c r="X118" s="26">
        <f t="shared" si="143"/>
        <v>5700.8277602014468</v>
      </c>
      <c r="Y118" s="26">
        <f>VLOOKUP($C118,COS!$B$8:$H$991,4,FALSE)</f>
        <v>1631.19287109375</v>
      </c>
      <c r="Z118" s="26">
        <f t="shared" si="144"/>
        <v>97.062716296487608</v>
      </c>
      <c r="AA118" s="26">
        <f t="shared" si="184"/>
        <v>1631.19287109375</v>
      </c>
      <c r="AB118" s="33">
        <f t="shared" si="141"/>
        <v>97.062716296487608</v>
      </c>
    </row>
    <row r="119" spans="1:28" x14ac:dyDescent="0.3">
      <c r="A119" s="32">
        <f>VLOOKUP(YEAR(C119),Flags!$A$13:$B$95,2,FALSE)</f>
        <v>5</v>
      </c>
      <c r="B119" s="24">
        <f t="shared" si="116"/>
        <v>1933</v>
      </c>
      <c r="C119" s="25">
        <v>12358</v>
      </c>
      <c r="D119" s="26"/>
      <c r="E119" s="24"/>
      <c r="F119" s="26"/>
      <c r="G119" s="26"/>
      <c r="H119" s="26"/>
      <c r="I119" s="26"/>
      <c r="J119" s="26"/>
      <c r="K119" s="26"/>
      <c r="L119" s="24"/>
      <c r="M119" s="24"/>
      <c r="N119" s="26"/>
      <c r="O119" s="26"/>
      <c r="P119" s="26"/>
      <c r="Q119" s="26"/>
      <c r="R119" s="26"/>
      <c r="S119" s="26"/>
      <c r="T119" s="26"/>
      <c r="U119" s="26"/>
      <c r="V119" s="26"/>
      <c r="W119" s="26">
        <f>MAX($C$9-VLOOKUP($C119,COS!$B$8:$H$991,3,FALSE),0)</f>
        <v>95686.974609375</v>
      </c>
      <c r="X119" s="26">
        <f t="shared" si="143"/>
        <v>5883.5627363119829</v>
      </c>
      <c r="Y119" s="26">
        <f>VLOOKUP($C119,COS!$B$8:$H$991,4,FALSE)</f>
        <v>1357.4503173828125</v>
      </c>
      <c r="Z119" s="26">
        <f t="shared" si="144"/>
        <v>83.466366622546488</v>
      </c>
      <c r="AA119" s="26">
        <f t="shared" si="184"/>
        <v>1357.4503173828125</v>
      </c>
      <c r="AB119" s="33">
        <f t="shared" si="141"/>
        <v>83.466366622546488</v>
      </c>
    </row>
    <row r="120" spans="1:28" x14ac:dyDescent="0.3">
      <c r="A120" s="32">
        <f>VLOOKUP(YEAR(C120),Flags!$A$13:$B$95,2,FALSE)</f>
        <v>5</v>
      </c>
      <c r="B120" s="24">
        <f t="shared" si="116"/>
        <v>1933</v>
      </c>
      <c r="C120" s="25">
        <v>12388</v>
      </c>
      <c r="D120" s="26"/>
      <c r="E120" s="24"/>
      <c r="F120" s="26"/>
      <c r="G120" s="26"/>
      <c r="H120" s="26"/>
      <c r="I120" s="26"/>
      <c r="J120" s="26"/>
      <c r="K120" s="26"/>
      <c r="L120" s="24"/>
      <c r="M120" s="24"/>
      <c r="N120" s="26"/>
      <c r="O120" s="26"/>
      <c r="P120" s="26"/>
      <c r="Q120" s="26"/>
      <c r="R120" s="26"/>
      <c r="S120" s="26"/>
      <c r="T120" s="26"/>
      <c r="U120" s="26"/>
      <c r="V120" s="26"/>
      <c r="W120" s="26">
        <f>MAX($C$10-VLOOKUP($C120,COS!$B$8:$H$991,3,FALSE),0)</f>
        <v>96749</v>
      </c>
      <c r="X120" s="26">
        <f t="shared" si="143"/>
        <v>5756.965289256198</v>
      </c>
      <c r="Y120" s="26">
        <f>VLOOKUP($C120,COS!$B$8:$H$991,4,FALSE)</f>
        <v>1382.873779296875</v>
      </c>
      <c r="Z120" s="26">
        <f t="shared" si="144"/>
        <v>82.286704222623968</v>
      </c>
      <c r="AA120" s="26">
        <f t="shared" si="184"/>
        <v>1382.873779296875</v>
      </c>
      <c r="AB120" s="33">
        <f t="shared" si="141"/>
        <v>41.143352111311984</v>
      </c>
    </row>
    <row r="121" spans="1:28" x14ac:dyDescent="0.3">
      <c r="A121" s="34">
        <f>VLOOKUP(YEAR(C121),Flags!$A$13:$B$95,2,FALSE)</f>
        <v>5</v>
      </c>
      <c r="B121" s="35">
        <f t="shared" si="116"/>
        <v>1933</v>
      </c>
      <c r="C121" s="36">
        <v>12419</v>
      </c>
      <c r="D121" s="37"/>
      <c r="E121" s="35"/>
      <c r="F121" s="37"/>
      <c r="G121" s="37"/>
      <c r="H121" s="37"/>
      <c r="I121" s="37"/>
      <c r="J121" s="37"/>
      <c r="K121" s="37"/>
      <c r="L121" s="35"/>
      <c r="M121" s="35"/>
      <c r="N121" s="37"/>
      <c r="O121" s="37"/>
      <c r="P121" s="37"/>
      <c r="Q121" s="37"/>
      <c r="R121" s="37"/>
      <c r="S121" s="37"/>
      <c r="T121" s="37"/>
      <c r="U121" s="37"/>
      <c r="V121" s="37"/>
      <c r="W121" s="37">
        <f>MAX($C$11-VLOOKUP($C121,COS!$B$8:$H$991,3,FALSE),0)</f>
        <v>0</v>
      </c>
      <c r="X121" s="37">
        <f t="shared" si="143"/>
        <v>0</v>
      </c>
      <c r="Y121" s="37">
        <f>VLOOKUP($C121,COS!$B$8:$H$991,4,FALSE)</f>
        <v>632.6298828125</v>
      </c>
      <c r="Z121" s="37">
        <f t="shared" si="144"/>
        <v>38.898895273760331</v>
      </c>
      <c r="AA121" s="37">
        <f t="shared" si="184"/>
        <v>0</v>
      </c>
      <c r="AB121" s="38">
        <f t="shared" si="141"/>
        <v>0</v>
      </c>
    </row>
    <row r="122" spans="1:28" x14ac:dyDescent="0.3">
      <c r="A122" s="27">
        <f>VLOOKUP(YEAR(C122),Flags!$A$13:$B$95,2,FALSE)</f>
        <v>5</v>
      </c>
      <c r="B122" s="28">
        <f t="shared" si="116"/>
        <v>1934</v>
      </c>
      <c r="C122" s="29">
        <v>12539</v>
      </c>
      <c r="D122" s="30">
        <f>VLOOKUP($C122,COS!$B$8:$H$991,3,FALSE)</f>
        <v>3250</v>
      </c>
      <c r="E122" s="28">
        <f>IF(D122&gt;=IF(MONTH($C122)=4,$C$3,IF(MONTH($C122)=5,$C$4,IF(MONTH($C122)=6,$C$5,IF(MONTH($C122)=7,$C$6,"ERROR")))),1,0)</f>
        <v>0</v>
      </c>
      <c r="F122" s="30">
        <f>VLOOKUP($C122,COS!$B$8:$H$991,7,FALSE)</f>
        <v>50.49676513671875</v>
      </c>
      <c r="G122" s="28">
        <f>IF(F122&lt;=IF(MONTH($C122)=4,$F$3,IF(MONTH($C122)=5,$F$4,IF(MONTH($C122)=6,$F$5,IF(MONTH($C122)=7,$F$6,"ERROR")))),1,0)</f>
        <v>1</v>
      </c>
      <c r="H122" s="30">
        <f>IF(J122=1,D122-$C$3,0)</f>
        <v>0</v>
      </c>
      <c r="I122" s="30">
        <f t="shared" si="136"/>
        <v>0</v>
      </c>
      <c r="J122" s="28">
        <f t="shared" ref="J122:J125" si="187">IF(AND(E122=1,G122=1),1,0)</f>
        <v>0</v>
      </c>
      <c r="K122" s="30">
        <f>VLOOKUP($C122,COS!$B$8:$H$991,2,FALSE)</f>
        <v>1640.1229248046875</v>
      </c>
      <c r="L122" s="28">
        <f t="shared" ref="L122" si="188">IF(K122&lt;=IF(MONTH($C122)=4,$I$3,IF(MONTH($C122)=5,$I$4,IF(MONTH($C122)=6,$I$5,IF(MONTH($C122)=7,$I$6,"ERROR")))),1,0)</f>
        <v>1</v>
      </c>
      <c r="M122" s="28">
        <f t="shared" ref="M122" si="189">VLOOKUP($A122,$L$3:$M$7,2,FALSE)</f>
        <v>1</v>
      </c>
      <c r="N122" s="30">
        <f>VLOOKUP($C122,COS!$B$8:$H$991,5,FALSE)</f>
        <v>162.71662902832031</v>
      </c>
      <c r="O122" s="30">
        <f t="shared" ref="O122:O125" si="190">N122*DAY($C122)*86400/43560/1000</f>
        <v>9.6823118099496384</v>
      </c>
      <c r="P122" s="30">
        <f>VLOOKUP($C122,COS!$B$8:$H$991,6,FALSE)</f>
        <v>521.53076171875</v>
      </c>
      <c r="Q122" s="30">
        <f t="shared" ref="Q122:Q125" si="191">P122*DAY($C122)*86400/43560/1000</f>
        <v>31.033235408057852</v>
      </c>
      <c r="R122" s="30">
        <f>MIN(IF(MONTH($C122)=4,$S$3,IF(MONTH($C122)=5,$S$4,IF(MONTH($C122)=6,$S$5,IF(MONTH($C122)=7,$S$6,"ERROR")))),MAX(VLOOKUP($C122,COS!$B$8:$K$991,10,FALSE)-IF(MONTH($C122)=4,$Y$3,IF(MONTH($C122)=5,$Y$4,IF(MONTH($C122)=6,$Y$5,IF(MONTH($C122)=7,$Y$6,"ERROR")))),0),MAX(VLOOKUP($C122,COS!$B$8:$K$991,9,FALSE)-IF(MONTH($C122)=4,$V$3,IF(MONTH($C122)=5,$V$4,IF(MONTH($C122)=6,$V$5,IF(MONTH($C122)=7,$V$6,"ERROR"))))-VLOOKUP($C122,COS!$B$8:$K$991,6,FALSE)/2,0))</f>
        <v>750</v>
      </c>
      <c r="S122" s="30">
        <f t="shared" ref="S122:S125" si="192">R122*DAY($C122)*86400/43560/1000</f>
        <v>44.628099173553714</v>
      </c>
      <c r="T122" s="30">
        <f t="shared" ref="T122:T125" si="193">(O122+Q122)/2+S122</f>
        <v>64.985872782557465</v>
      </c>
      <c r="U122" s="30" t="str">
        <f>IF(VLOOKUP($C122,COS!$B$8:$I$991,8,FALSE)=1,"UWFE","IBU")</f>
        <v>UWFE</v>
      </c>
      <c r="V122" s="30">
        <f t="shared" ref="V122" si="194">MIN(IF(IF($AA$3=2,AND(E122=1,G122=1,L122=1,L127=1,M122=1,U122="IBU"),AND(E122=1,G122=1,L122=1,L127=1,M122=1)),T122,0),I122)</f>
        <v>0</v>
      </c>
      <c r="W122" s="30"/>
      <c r="X122" s="30"/>
      <c r="Y122" s="30"/>
      <c r="Z122" s="30"/>
      <c r="AA122" s="30"/>
      <c r="AB122" s="31"/>
    </row>
    <row r="123" spans="1:28" x14ac:dyDescent="0.3">
      <c r="A123" s="32">
        <f>VLOOKUP(YEAR(C123),Flags!$A$13:$B$95,2,FALSE)</f>
        <v>5</v>
      </c>
      <c r="B123" s="24">
        <f t="shared" si="116"/>
        <v>1934</v>
      </c>
      <c r="C123" s="25">
        <v>12570</v>
      </c>
      <c r="D123" s="26">
        <f>VLOOKUP($C123,COS!$B$8:$H$991,3,FALSE)</f>
        <v>6994.35986328125</v>
      </c>
      <c r="E123" s="24">
        <f>IF(D123&gt;=IF(MONTH($C123)=4,$C$3,IF(MONTH($C123)=5,$C$4,IF(MONTH($C123)=6,$C$5,IF(MONTH($C123)=7,$C$6,"ERROR")))),1,0)</f>
        <v>1</v>
      </c>
      <c r="F123" s="26">
        <f>VLOOKUP($C123,COS!$B$8:$H$991,7,FALSE)</f>
        <v>51.022247314453125</v>
      </c>
      <c r="G123" s="24">
        <f>IF(F123&lt;=IF(MONTH($C123)=4,$F$3,IF(MONTH($C123)=5,$F$4,IF(MONTH($C123)=6,$F$5,IF(MONTH($C123)=7,$F$6,"ERROR")))),1,0)</f>
        <v>1</v>
      </c>
      <c r="H123" s="26">
        <f>IF(J123=1,D123-$C$4,0)</f>
        <v>994.35986328125</v>
      </c>
      <c r="I123" s="26">
        <f t="shared" si="136"/>
        <v>61.140804816632233</v>
      </c>
      <c r="J123" s="24">
        <f t="shared" si="187"/>
        <v>1</v>
      </c>
      <c r="K123" s="26">
        <f>VLOOKUP($C123,COS!$B$8:$H$991,2,FALSE)</f>
        <v>1420.9012451171875</v>
      </c>
      <c r="L123" s="24">
        <f t="shared" si="129"/>
        <v>1</v>
      </c>
      <c r="M123" s="24">
        <f t="shared" si="130"/>
        <v>1</v>
      </c>
      <c r="N123" s="26">
        <f>VLOOKUP($C123,COS!$B$8:$H$991,5,FALSE)</f>
        <v>222.39739990234375</v>
      </c>
      <c r="O123" s="26">
        <f t="shared" si="190"/>
        <v>13.674683101433368</v>
      </c>
      <c r="P123" s="26">
        <f>VLOOKUP($C123,COS!$B$8:$H$991,6,FALSE)</f>
        <v>2243.647216796875</v>
      </c>
      <c r="Q123" s="26">
        <f t="shared" si="191"/>
        <v>137.95649002453513</v>
      </c>
      <c r="R123" s="26">
        <f>MIN(IF(MONTH($C123)=4,$S$3,IF(MONTH($C123)=5,$S$4,IF(MONTH($C123)=6,$S$5,IF(MONTH($C123)=7,$S$6,"ERROR")))),MAX(VLOOKUP($C123,COS!$B$8:$K$991,10,FALSE)-IF(MONTH($C123)=4,$Y$3,IF(MONTH($C123)=5,$Y$4,IF(MONTH($C123)=6,$Y$5,IF(MONTH($C123)=7,$Y$6,"ERROR")))),0),MAX(VLOOKUP($C123,COS!$B$8:$K$991,9,FALSE)-IF(MONTH($C123)=4,$V$3,IF(MONTH($C123)=5,$V$4,IF(MONTH($C123)=6,$V$5,IF(MONTH($C123)=7,$V$6,"ERROR"))))-VLOOKUP($C123,COS!$B$8:$K$991,6,FALSE)/2,0))</f>
        <v>750</v>
      </c>
      <c r="S123" s="26">
        <f t="shared" si="192"/>
        <v>46.115702479338843</v>
      </c>
      <c r="T123" s="26">
        <f t="shared" si="193"/>
        <v>121.9312890423231</v>
      </c>
      <c r="U123" s="26" t="str">
        <f>IF(VLOOKUP($C123,COS!$B$8:$I$991,8,FALSE)=1,"UWFE","IBU")</f>
        <v>IBU</v>
      </c>
      <c r="V123" s="26">
        <f t="shared" ref="V123" si="195">MIN(IF(IF($AA$3=2,AND(E123=1,G123=1,L123=1,L127=1,M123=1,U123="IBU"),AND(E123=1,G123=1,L123=1,L127=1,M123=1)),T123,0),I123)</f>
        <v>61.140804816632233</v>
      </c>
      <c r="W123" s="26"/>
      <c r="X123" s="26"/>
      <c r="Y123" s="26"/>
      <c r="Z123" s="26"/>
      <c r="AA123" s="26"/>
      <c r="AB123" s="33"/>
    </row>
    <row r="124" spans="1:28" x14ac:dyDescent="0.3">
      <c r="A124" s="32">
        <f>VLOOKUP(YEAR(C124),Flags!$A$13:$B$95,2,FALSE)</f>
        <v>5</v>
      </c>
      <c r="B124" s="24">
        <f t="shared" si="116"/>
        <v>1934</v>
      </c>
      <c r="C124" s="25">
        <v>12600</v>
      </c>
      <c r="D124" s="26">
        <f>VLOOKUP($C124,COS!$B$8:$H$991,3,FALSE)</f>
        <v>8056.033203125</v>
      </c>
      <c r="E124" s="24">
        <f>IF(D124&gt;=IF(MONTH($C124)=4,$C$3,IF(MONTH($C124)=5,$C$4,IF(MONTH($C124)=6,$C$5,IF(MONTH($C124)=7,$C$6,"ERROR")))),1,0)</f>
        <v>0</v>
      </c>
      <c r="F124" s="26">
        <f>VLOOKUP($C124,COS!$B$8:$H$991,7,FALSE)</f>
        <v>54.752338409423828</v>
      </c>
      <c r="G124" s="24">
        <f>IF(F124&lt;=IF(MONTH($C124)=4,$F$3,IF(MONTH($C124)=5,$F$4,IF(MONTH($C124)=6,$F$5,IF(MONTH($C124)=7,$F$6,"ERROR")))),1,0)</f>
        <v>1</v>
      </c>
      <c r="H124" s="26">
        <f>IF(J124=1,D124-$C$5,0)</f>
        <v>0</v>
      </c>
      <c r="I124" s="26">
        <f t="shared" si="136"/>
        <v>0</v>
      </c>
      <c r="J124" s="24">
        <f t="shared" si="187"/>
        <v>0</v>
      </c>
      <c r="K124" s="26">
        <f>VLOOKUP($C124,COS!$B$8:$H$991,2,FALSE)</f>
        <v>1102.0863037109375</v>
      </c>
      <c r="L124" s="24">
        <f t="shared" si="129"/>
        <v>1</v>
      </c>
      <c r="M124" s="24">
        <f t="shared" si="130"/>
        <v>1</v>
      </c>
      <c r="N124" s="26">
        <f>VLOOKUP($C124,COS!$B$8:$H$991,5,FALSE)</f>
        <v>267.839599609375</v>
      </c>
      <c r="O124" s="26">
        <f t="shared" si="190"/>
        <v>15.937562951962809</v>
      </c>
      <c r="P124" s="26">
        <f>VLOOKUP($C124,COS!$B$8:$H$991,6,FALSE)</f>
        <v>2418.7939453125</v>
      </c>
      <c r="Q124" s="26">
        <f t="shared" si="191"/>
        <v>143.9282347623967</v>
      </c>
      <c r="R124" s="26">
        <f>MIN(IF(MONTH($C124)=4,$S$3,IF(MONTH($C124)=5,$S$4,IF(MONTH($C124)=6,$S$5,IF(MONTH($C124)=7,$S$6,"ERROR")))),MAX(VLOOKUP($C124,COS!$B$8:$K$991,10,FALSE)-IF(MONTH($C124)=4,$Y$3,IF(MONTH($C124)=5,$Y$4,IF(MONTH($C124)=6,$Y$5,IF(MONTH($C124)=7,$Y$6,"ERROR")))),0),MAX(VLOOKUP($C124,COS!$B$8:$K$991,9,FALSE)-IF(MONTH($C124)=4,$V$3,IF(MONTH($C124)=5,$V$4,IF(MONTH($C124)=6,$V$5,IF(MONTH($C124)=7,$V$6,"ERROR"))))-VLOOKUP($C124,COS!$B$8:$K$991,6,FALSE)/2,0))</f>
        <v>750</v>
      </c>
      <c r="S124" s="26">
        <f t="shared" si="192"/>
        <v>44.628099173553714</v>
      </c>
      <c r="T124" s="26">
        <f t="shared" si="193"/>
        <v>124.56099803073346</v>
      </c>
      <c r="U124" s="26" t="str">
        <f>IF(VLOOKUP($C124,COS!$B$8:$I$991,8,FALSE)=1,"UWFE","IBU")</f>
        <v>IBU</v>
      </c>
      <c r="V124" s="26">
        <f t="shared" ref="V124" si="196">MIN(IF(IF($AA$3=2,AND(E124=1,G124=1,L124=1,L127=1,M124=1,U124="IBU"),AND(E124=1,G124=1,L124=1,L127=1,M124=1)),T124,0),I124)</f>
        <v>0</v>
      </c>
      <c r="W124" s="26"/>
      <c r="X124" s="26"/>
      <c r="Y124" s="26"/>
      <c r="Z124" s="26"/>
      <c r="AA124" s="26"/>
      <c r="AB124" s="33"/>
    </row>
    <row r="125" spans="1:28" x14ac:dyDescent="0.3">
      <c r="A125" s="32">
        <f>VLOOKUP(YEAR(C125),Flags!$A$13:$B$95,2,FALSE)</f>
        <v>5</v>
      </c>
      <c r="B125" s="24">
        <f t="shared" si="116"/>
        <v>1934</v>
      </c>
      <c r="C125" s="25">
        <v>12631</v>
      </c>
      <c r="D125" s="26">
        <f>VLOOKUP($C125,COS!$B$8:$H$991,3,FALSE)</f>
        <v>10945.8583984375</v>
      </c>
      <c r="E125" s="24">
        <f>IF(D125&gt;=IF(MONTH($C125)=4,$C$3,IF(MONTH($C125)=5,$C$4,IF(MONTH($C125)=6,$C$5,IF(MONTH($C125)=7,$C$6,"ERROR")))),1,0)</f>
        <v>0</v>
      </c>
      <c r="F125" s="26">
        <f>VLOOKUP($C125,COS!$B$8:$H$991,7,FALSE)</f>
        <v>56.054607391357422</v>
      </c>
      <c r="G125" s="24">
        <f>IF(F125&lt;=IF(MONTH($C125)=4,$F$3,IF(MONTH($C125)=5,$F$4,IF(MONTH($C125)=6,$F$5,IF(MONTH($C125)=7,$F$6,"ERROR")))),1,0)</f>
        <v>0</v>
      </c>
      <c r="H125" s="26">
        <f>IF(J125=1,D125-$C$6,0)</f>
        <v>0</v>
      </c>
      <c r="I125" s="26">
        <f t="shared" si="136"/>
        <v>0</v>
      </c>
      <c r="J125" s="24">
        <f t="shared" si="187"/>
        <v>0</v>
      </c>
      <c r="K125" s="26">
        <f>VLOOKUP($C125,COS!$B$8:$H$991,2,FALSE)</f>
        <v>650</v>
      </c>
      <c r="L125" s="24">
        <f t="shared" si="129"/>
        <v>1</v>
      </c>
      <c r="M125" s="24">
        <f t="shared" si="130"/>
        <v>1</v>
      </c>
      <c r="N125" s="26">
        <f>VLOOKUP($C125,COS!$B$8:$H$991,5,FALSE)</f>
        <v>306.08538818359375</v>
      </c>
      <c r="O125" s="26">
        <f t="shared" si="190"/>
        <v>18.820456926330063</v>
      </c>
      <c r="P125" s="26">
        <f>VLOOKUP($C125,COS!$B$8:$H$991,6,FALSE)</f>
        <v>2281.4833984375</v>
      </c>
      <c r="Q125" s="26">
        <f t="shared" si="191"/>
        <v>140.28294615185951</v>
      </c>
      <c r="R125" s="26">
        <f>MIN(IF(MONTH($C125)=4,$S$3,IF(MONTH($C125)=5,$S$4,IF(MONTH($C125)=6,$S$5,IF(MONTH($C125)=7,$S$6,"ERROR")))),MAX(VLOOKUP($C125,COS!$B$8:$K$991,10,FALSE)-IF(MONTH($C125)=4,$Y$3,IF(MONTH($C125)=5,$Y$4,IF(MONTH($C125)=6,$Y$5,IF(MONTH($C125)=7,$Y$6,"ERROR")))),0),MAX(VLOOKUP($C125,COS!$B$8:$K$991,9,FALSE)-IF(MONTH($C125)=4,$V$3,IF(MONTH($C125)=5,$V$4,IF(MONTH($C125)=6,$V$5,IF(MONTH($C125)=7,$V$6,"ERROR"))))-VLOOKUP($C125,COS!$B$8:$K$991,6,FALSE)/2,0))</f>
        <v>750</v>
      </c>
      <c r="S125" s="26">
        <f t="shared" si="192"/>
        <v>46.115702479338843</v>
      </c>
      <c r="T125" s="26">
        <f t="shared" si="193"/>
        <v>125.66740401843361</v>
      </c>
      <c r="U125" s="26" t="str">
        <f>IF(VLOOKUP($C125,COS!$B$8:$I$991,8,FALSE)=1,"UWFE","IBU")</f>
        <v>IBU</v>
      </c>
      <c r="V125" s="26">
        <f t="shared" ref="V125" si="197">MIN(IF(IF($AA$3=2,AND(E125=1,G125=1,L125=1,L127=1,M125=1,U125="IBU"),AND(E125=1,G125=1,L125=1,L127=1,M125=1)),T125,0),I125)</f>
        <v>0</v>
      </c>
      <c r="W125" s="26"/>
      <c r="X125" s="26"/>
      <c r="Y125" s="26"/>
      <c r="Z125" s="26"/>
      <c r="AA125" s="26"/>
      <c r="AB125" s="33"/>
    </row>
    <row r="126" spans="1:28" x14ac:dyDescent="0.3">
      <c r="A126" s="32">
        <f>VLOOKUP(YEAR(C126),Flags!$A$13:$B$95,2,FALSE)</f>
        <v>5</v>
      </c>
      <c r="B126" s="24">
        <f t="shared" si="116"/>
        <v>1934</v>
      </c>
      <c r="C126" s="25">
        <v>12662</v>
      </c>
      <c r="D126" s="26"/>
      <c r="E126" s="24"/>
      <c r="F126" s="26"/>
      <c r="G126" s="24"/>
      <c r="H126" s="24"/>
      <c r="I126" s="26"/>
      <c r="J126" s="24"/>
      <c r="K126" s="26"/>
      <c r="L126" s="24"/>
      <c r="M126" s="24"/>
      <c r="N126" s="26"/>
      <c r="O126" s="26"/>
      <c r="P126" s="26"/>
      <c r="Q126" s="26"/>
      <c r="R126" s="26"/>
      <c r="S126" s="26"/>
      <c r="T126" s="26"/>
      <c r="U126" s="26"/>
      <c r="V126" s="26"/>
      <c r="W126" s="26">
        <f>MAX($C$7-VLOOKUP($C126,COS!$B$8:$H$991,3,FALSE),0)</f>
        <v>92824.48193359375</v>
      </c>
      <c r="X126" s="26">
        <f t="shared" si="143"/>
        <v>5707.5549221978308</v>
      </c>
      <c r="Y126" s="26">
        <f>VLOOKUP($C126,COS!$B$8:$H$991,4,FALSE)</f>
        <v>3029.425537109375</v>
      </c>
      <c r="Z126" s="26">
        <f t="shared" si="144"/>
        <v>186.27211567019629</v>
      </c>
      <c r="AA126" s="26">
        <f t="shared" ref="AA126:AA130" si="198">MIN(W126,Y126)</f>
        <v>3029.425537109375</v>
      </c>
      <c r="AB126" s="33">
        <f t="shared" ref="AB126" si="199">AA126*DAY($C126)*86400/43560/1000*IF(MONTH($C126)=8,$P$3,IF(MONTH($C126)=9,$P$4,IF(MONTH($C126)=10,$P$5,IF(MONTH($C126)=11,$P$6,IF(MONTH($C126)=12,$P$7,NA())))))</f>
        <v>186.27211567019629</v>
      </c>
    </row>
    <row r="127" spans="1:28" x14ac:dyDescent="0.3">
      <c r="A127" s="32">
        <f>VLOOKUP(YEAR(C127),Flags!$A$13:$B$95,2,FALSE)</f>
        <v>5</v>
      </c>
      <c r="B127" s="24">
        <f t="shared" si="116"/>
        <v>1934</v>
      </c>
      <c r="C127" s="25">
        <v>12692</v>
      </c>
      <c r="D127" s="26"/>
      <c r="E127" s="24"/>
      <c r="F127" s="26"/>
      <c r="G127" s="24"/>
      <c r="H127" s="24"/>
      <c r="I127" s="26"/>
      <c r="J127" s="24"/>
      <c r="K127" s="26">
        <f>VLOOKUP($C127,COS!$B$8:$H$991,2,FALSE)</f>
        <v>550</v>
      </c>
      <c r="L127" s="24">
        <f t="shared" ref="L127" si="200">IF(AND(K127&gt;$I$7,K127&lt;$I$8),1,0)</f>
        <v>1</v>
      </c>
      <c r="M127" s="24"/>
      <c r="N127" s="26"/>
      <c r="O127" s="26"/>
      <c r="P127" s="26"/>
      <c r="Q127" s="26"/>
      <c r="R127" s="26"/>
      <c r="S127" s="26"/>
      <c r="T127" s="26"/>
      <c r="U127" s="26"/>
      <c r="V127" s="26"/>
      <c r="W127" s="26">
        <f>MAX($C$8-VLOOKUP($C127,COS!$B$8:$H$991,3,FALSE),0)</f>
        <v>96065.62744140625</v>
      </c>
      <c r="X127" s="26">
        <f t="shared" si="143"/>
        <v>5716.3017981663224</v>
      </c>
      <c r="Y127" s="26">
        <f>VLOOKUP($C127,COS!$B$8:$H$991,4,FALSE)</f>
        <v>1900.230224609375</v>
      </c>
      <c r="Z127" s="26">
        <f t="shared" si="144"/>
        <v>113.07155055526859</v>
      </c>
      <c r="AA127" s="26">
        <f t="shared" si="198"/>
        <v>1900.230224609375</v>
      </c>
      <c r="AB127" s="33">
        <f t="shared" si="141"/>
        <v>113.07155055526859</v>
      </c>
    </row>
    <row r="128" spans="1:28" x14ac:dyDescent="0.3">
      <c r="A128" s="32">
        <f>VLOOKUP(YEAR(C128),Flags!$A$13:$B$95,2,FALSE)</f>
        <v>5</v>
      </c>
      <c r="B128" s="24">
        <f t="shared" si="116"/>
        <v>1934</v>
      </c>
      <c r="C128" s="25">
        <v>12723</v>
      </c>
      <c r="D128" s="26"/>
      <c r="E128" s="24"/>
      <c r="F128" s="26"/>
      <c r="G128" s="26"/>
      <c r="H128" s="26"/>
      <c r="I128" s="26"/>
      <c r="J128" s="26"/>
      <c r="K128" s="26"/>
      <c r="L128" s="24"/>
      <c r="M128" s="24"/>
      <c r="N128" s="26"/>
      <c r="O128" s="26"/>
      <c r="P128" s="26"/>
      <c r="Q128" s="26"/>
      <c r="R128" s="26"/>
      <c r="S128" s="26"/>
      <c r="T128" s="26"/>
      <c r="U128" s="26"/>
      <c r="V128" s="26"/>
      <c r="W128" s="26">
        <f>MAX($C$9-VLOOKUP($C128,COS!$B$8:$H$991,3,FALSE),0)</f>
        <v>97296.357666015625</v>
      </c>
      <c r="X128" s="26">
        <f t="shared" si="143"/>
        <v>5982.5198432657544</v>
      </c>
      <c r="Y128" s="26">
        <f>VLOOKUP($C128,COS!$B$8:$H$991,4,FALSE)</f>
        <v>1445.2672119140625</v>
      </c>
      <c r="Z128" s="26">
        <f t="shared" si="144"/>
        <v>88.866016997029959</v>
      </c>
      <c r="AA128" s="26">
        <f t="shared" si="198"/>
        <v>1445.2672119140625</v>
      </c>
      <c r="AB128" s="33">
        <f t="shared" si="141"/>
        <v>88.866016997029959</v>
      </c>
    </row>
    <row r="129" spans="1:28" x14ac:dyDescent="0.3">
      <c r="A129" s="32">
        <f>VLOOKUP(YEAR(C129),Flags!$A$13:$B$95,2,FALSE)</f>
        <v>5</v>
      </c>
      <c r="B129" s="24">
        <f t="shared" si="116"/>
        <v>1934</v>
      </c>
      <c r="C129" s="25">
        <v>12753</v>
      </c>
      <c r="D129" s="26"/>
      <c r="E129" s="24"/>
      <c r="F129" s="26"/>
      <c r="G129" s="26"/>
      <c r="H129" s="26"/>
      <c r="I129" s="26"/>
      <c r="J129" s="26"/>
      <c r="K129" s="26"/>
      <c r="L129" s="24"/>
      <c r="M129" s="24"/>
      <c r="N129" s="26"/>
      <c r="O129" s="26"/>
      <c r="P129" s="26"/>
      <c r="Q129" s="26"/>
      <c r="R129" s="26"/>
      <c r="S129" s="26"/>
      <c r="T129" s="26"/>
      <c r="U129" s="26"/>
      <c r="V129" s="26"/>
      <c r="W129" s="26">
        <f>MAX($C$10-VLOOKUP($C129,COS!$B$8:$H$991,3,FALSE),0)</f>
        <v>96749</v>
      </c>
      <c r="X129" s="26">
        <f t="shared" si="143"/>
        <v>5756.965289256198</v>
      </c>
      <c r="Y129" s="26">
        <f>VLOOKUP($C129,COS!$B$8:$H$991,4,FALSE)</f>
        <v>2579.600341796875</v>
      </c>
      <c r="Z129" s="26">
        <f t="shared" si="144"/>
        <v>153.49687984245867</v>
      </c>
      <c r="AA129" s="26">
        <f t="shared" si="198"/>
        <v>2579.600341796875</v>
      </c>
      <c r="AB129" s="33">
        <f t="shared" si="141"/>
        <v>76.748439921229334</v>
      </c>
    </row>
    <row r="130" spans="1:28" x14ac:dyDescent="0.3">
      <c r="A130" s="34">
        <f>VLOOKUP(YEAR(C130),Flags!$A$13:$B$95,2,FALSE)</f>
        <v>5</v>
      </c>
      <c r="B130" s="35">
        <f t="shared" si="116"/>
        <v>1934</v>
      </c>
      <c r="C130" s="36">
        <v>12784</v>
      </c>
      <c r="D130" s="37"/>
      <c r="E130" s="35"/>
      <c r="F130" s="37"/>
      <c r="G130" s="37"/>
      <c r="H130" s="37"/>
      <c r="I130" s="37"/>
      <c r="J130" s="37"/>
      <c r="K130" s="37"/>
      <c r="L130" s="35"/>
      <c r="M130" s="35"/>
      <c r="N130" s="37"/>
      <c r="O130" s="37"/>
      <c r="P130" s="37"/>
      <c r="Q130" s="37"/>
      <c r="R130" s="37"/>
      <c r="S130" s="37"/>
      <c r="T130" s="37"/>
      <c r="U130" s="37"/>
      <c r="V130" s="37"/>
      <c r="W130" s="37">
        <f>MAX($C$11-VLOOKUP($C130,COS!$B$8:$H$991,3,FALSE),0)</f>
        <v>0</v>
      </c>
      <c r="X130" s="37">
        <f t="shared" si="143"/>
        <v>0</v>
      </c>
      <c r="Y130" s="37">
        <f>VLOOKUP($C130,COS!$B$8:$H$991,4,FALSE)</f>
        <v>0</v>
      </c>
      <c r="Z130" s="37">
        <f t="shared" si="144"/>
        <v>0</v>
      </c>
      <c r="AA130" s="37">
        <f t="shared" si="198"/>
        <v>0</v>
      </c>
      <c r="AB130" s="38">
        <f t="shared" si="141"/>
        <v>0</v>
      </c>
    </row>
    <row r="131" spans="1:28" x14ac:dyDescent="0.3">
      <c r="A131" s="27">
        <f>VLOOKUP(YEAR(C131),Flags!$A$13:$B$95,2,FALSE)</f>
        <v>4</v>
      </c>
      <c r="B131" s="28">
        <f t="shared" si="116"/>
        <v>1935</v>
      </c>
      <c r="C131" s="29">
        <v>12904</v>
      </c>
      <c r="D131" s="30">
        <f>VLOOKUP($C131,COS!$B$8:$H$991,3,FALSE)</f>
        <v>3250</v>
      </c>
      <c r="E131" s="28">
        <f>IF(D131&gt;=IF(MONTH($C131)=4,$C$3,IF(MONTH($C131)=5,$C$4,IF(MONTH($C131)=6,$C$5,IF(MONTH($C131)=7,$C$6,"ERROR")))),1,0)</f>
        <v>0</v>
      </c>
      <c r="F131" s="30">
        <f>VLOOKUP($C131,COS!$B$8:$H$991,7,FALSE)</f>
        <v>49.358055114746094</v>
      </c>
      <c r="G131" s="28">
        <f>IF(F131&lt;=IF(MONTH($C131)=4,$F$3,IF(MONTH($C131)=5,$F$4,IF(MONTH($C131)=6,$F$5,IF(MONTH($C131)=7,$F$6,"ERROR")))),1,0)</f>
        <v>1</v>
      </c>
      <c r="H131" s="30">
        <f>IF(J131=1,D131-$C$3,0)</f>
        <v>0</v>
      </c>
      <c r="I131" s="30">
        <f t="shared" si="136"/>
        <v>0</v>
      </c>
      <c r="J131" s="28">
        <f t="shared" ref="J131:J134" si="201">IF(AND(E131=1,G131=1),1,0)</f>
        <v>0</v>
      </c>
      <c r="K131" s="30">
        <f>VLOOKUP($C131,COS!$B$8:$H$991,2,FALSE)</f>
        <v>2701.329833984375</v>
      </c>
      <c r="L131" s="28">
        <f t="shared" ref="L131" si="202">IF(K131&lt;=IF(MONTH($C131)=4,$I$3,IF(MONTH($C131)=5,$I$4,IF(MONTH($C131)=6,$I$5,IF(MONTH($C131)=7,$I$6,"ERROR")))),1,0)</f>
        <v>1</v>
      </c>
      <c r="M131" s="28">
        <f t="shared" ref="M131" si="203">VLOOKUP($A131,$L$3:$M$7,2,FALSE)</f>
        <v>1</v>
      </c>
      <c r="N131" s="30">
        <f>VLOOKUP($C131,COS!$B$8:$H$991,5,FALSE)</f>
        <v>1.3366308212280273</v>
      </c>
      <c r="O131" s="30">
        <f t="shared" ref="O131:O134" si="204">N131*DAY($C131)*86400/43560/1000</f>
        <v>7.9535057130923945E-2</v>
      </c>
      <c r="P131" s="30">
        <f>VLOOKUP($C131,COS!$B$8:$H$991,6,FALSE)</f>
        <v>295.18359375</v>
      </c>
      <c r="Q131" s="30">
        <f t="shared" ref="Q131:Q134" si="205">P131*DAY($C131)*86400/43560/1000</f>
        <v>17.564643595041321</v>
      </c>
      <c r="R131" s="30">
        <f>MIN(IF(MONTH($C131)=4,$S$3,IF(MONTH($C131)=5,$S$4,IF(MONTH($C131)=6,$S$5,IF(MONTH($C131)=7,$S$6,"ERROR")))),MAX(VLOOKUP($C131,COS!$B$8:$K$991,10,FALSE)-IF(MONTH($C131)=4,$Y$3,IF(MONTH($C131)=5,$Y$4,IF(MONTH($C131)=6,$Y$5,IF(MONTH($C131)=7,$Y$6,"ERROR")))),0),MAX(VLOOKUP($C131,COS!$B$8:$K$991,9,FALSE)-IF(MONTH($C131)=4,$V$3,IF(MONTH($C131)=5,$V$4,IF(MONTH($C131)=6,$V$5,IF(MONTH($C131)=7,$V$6,"ERROR"))))-VLOOKUP($C131,COS!$B$8:$K$991,6,FALSE)/2,0))</f>
        <v>750</v>
      </c>
      <c r="S131" s="30">
        <f t="shared" ref="S131:S134" si="206">R131*DAY($C131)*86400/43560/1000</f>
        <v>44.628099173553714</v>
      </c>
      <c r="T131" s="30">
        <f t="shared" ref="T131:T134" si="207">(O131+Q131)/2+S131</f>
        <v>53.450188499639836</v>
      </c>
      <c r="U131" s="30" t="str">
        <f>IF(VLOOKUP($C131,COS!$B$8:$I$991,8,FALSE)=1,"UWFE","IBU")</f>
        <v>UWFE</v>
      </c>
      <c r="V131" s="30">
        <f t="shared" ref="V131" si="208">MIN(IF(IF($AA$3=2,AND(E131=1,G131=1,L131=1,L136=1,M131=1,U131="IBU"),AND(E131=1,G131=1,L131=1,L136=1,M131=1)),T131,0),I131)</f>
        <v>0</v>
      </c>
      <c r="W131" s="30"/>
      <c r="X131" s="30"/>
      <c r="Y131" s="30"/>
      <c r="Z131" s="30"/>
      <c r="AA131" s="30"/>
      <c r="AB131" s="31"/>
    </row>
    <row r="132" spans="1:28" x14ac:dyDescent="0.3">
      <c r="A132" s="32">
        <f>VLOOKUP(YEAR(C132),Flags!$A$13:$B$95,2,FALSE)</f>
        <v>4</v>
      </c>
      <c r="B132" s="24">
        <f t="shared" si="116"/>
        <v>1935</v>
      </c>
      <c r="C132" s="25">
        <v>12935</v>
      </c>
      <c r="D132" s="26">
        <f>VLOOKUP($C132,COS!$B$8:$H$991,3,FALSE)</f>
        <v>3785.33349609375</v>
      </c>
      <c r="E132" s="24">
        <f>IF(D132&gt;=IF(MONTH($C132)=4,$C$3,IF(MONTH($C132)=5,$C$4,IF(MONTH($C132)=6,$C$5,IF(MONTH($C132)=7,$C$6,"ERROR")))),1,0)</f>
        <v>0</v>
      </c>
      <c r="F132" s="26">
        <f>VLOOKUP($C132,COS!$B$8:$H$991,7,FALSE)</f>
        <v>51.774246215820313</v>
      </c>
      <c r="G132" s="24">
        <f>IF(F132&lt;=IF(MONTH($C132)=4,$F$3,IF(MONTH($C132)=5,$F$4,IF(MONTH($C132)=6,$F$5,IF(MONTH($C132)=7,$F$6,"ERROR")))),1,0)</f>
        <v>1</v>
      </c>
      <c r="H132" s="26">
        <f>IF(J132=1,D132-$C$4,0)</f>
        <v>0</v>
      </c>
      <c r="I132" s="26">
        <f t="shared" si="136"/>
        <v>0</v>
      </c>
      <c r="J132" s="24">
        <f t="shared" si="201"/>
        <v>0</v>
      </c>
      <c r="K132" s="26">
        <f>VLOOKUP($C132,COS!$B$8:$H$991,2,FALSE)</f>
        <v>2993.270751953125</v>
      </c>
      <c r="L132" s="24">
        <f t="shared" si="129"/>
        <v>1</v>
      </c>
      <c r="M132" s="24">
        <f t="shared" si="130"/>
        <v>1</v>
      </c>
      <c r="N132" s="26">
        <f>VLOOKUP($C132,COS!$B$8:$H$991,5,FALSE)</f>
        <v>70.798858642578125</v>
      </c>
      <c r="O132" s="26">
        <f t="shared" si="204"/>
        <v>4.3532521347172004</v>
      </c>
      <c r="P132" s="26">
        <f>VLOOKUP($C132,COS!$B$8:$H$991,6,FALSE)</f>
        <v>2185.40966796875</v>
      </c>
      <c r="Q132" s="26">
        <f t="shared" si="205"/>
        <v>134.37560272469008</v>
      </c>
      <c r="R132" s="26">
        <f>MIN(IF(MONTH($C132)=4,$S$3,IF(MONTH($C132)=5,$S$4,IF(MONTH($C132)=6,$S$5,IF(MONTH($C132)=7,$S$6,"ERROR")))),MAX(VLOOKUP($C132,COS!$B$8:$K$991,10,FALSE)-IF(MONTH($C132)=4,$Y$3,IF(MONTH($C132)=5,$Y$4,IF(MONTH($C132)=6,$Y$5,IF(MONTH($C132)=7,$Y$6,"ERROR")))),0),MAX(VLOOKUP($C132,COS!$B$8:$K$991,9,FALSE)-IF(MONTH($C132)=4,$V$3,IF(MONTH($C132)=5,$V$4,IF(MONTH($C132)=6,$V$5,IF(MONTH($C132)=7,$V$6,"ERROR"))))-VLOOKUP($C132,COS!$B$8:$K$991,6,FALSE)/2,0))</f>
        <v>750</v>
      </c>
      <c r="S132" s="26">
        <f t="shared" si="206"/>
        <v>46.115702479338843</v>
      </c>
      <c r="T132" s="26">
        <f t="shared" si="207"/>
        <v>115.48012990904249</v>
      </c>
      <c r="U132" s="26" t="str">
        <f>IF(VLOOKUP($C132,COS!$B$8:$I$991,8,FALSE)=1,"UWFE","IBU")</f>
        <v>UWFE</v>
      </c>
      <c r="V132" s="26">
        <f t="shared" ref="V132" si="209">MIN(IF(IF($AA$3=2,AND(E132=1,G132=1,L132=1,L136=1,M132=1,U132="IBU"),AND(E132=1,G132=1,L132=1,L136=1,M132=1)),T132,0),I132)</f>
        <v>0</v>
      </c>
      <c r="W132" s="26"/>
      <c r="X132" s="26"/>
      <c r="Y132" s="26"/>
      <c r="Z132" s="26"/>
      <c r="AA132" s="26"/>
      <c r="AB132" s="33"/>
    </row>
    <row r="133" spans="1:28" x14ac:dyDescent="0.3">
      <c r="A133" s="32">
        <f>VLOOKUP(YEAR(C133),Flags!$A$13:$B$95,2,FALSE)</f>
        <v>4</v>
      </c>
      <c r="B133" s="24">
        <f t="shared" si="116"/>
        <v>1935</v>
      </c>
      <c r="C133" s="25">
        <v>12965</v>
      </c>
      <c r="D133" s="26">
        <f>VLOOKUP($C133,COS!$B$8:$H$991,3,FALSE)</f>
        <v>8129.7919921875</v>
      </c>
      <c r="E133" s="24">
        <f>IF(D133&gt;=IF(MONTH($C133)=4,$C$3,IF(MONTH($C133)=5,$C$4,IF(MONTH($C133)=6,$C$5,IF(MONTH($C133)=7,$C$6,"ERROR")))),1,0)</f>
        <v>0</v>
      </c>
      <c r="F133" s="26">
        <f>VLOOKUP($C133,COS!$B$8:$H$991,7,FALSE)</f>
        <v>51.700939178466797</v>
      </c>
      <c r="G133" s="24">
        <f>IF(F133&lt;=IF(MONTH($C133)=4,$F$3,IF(MONTH($C133)=5,$F$4,IF(MONTH($C133)=6,$F$5,IF(MONTH($C133)=7,$F$6,"ERROR")))),1,0)</f>
        <v>1</v>
      </c>
      <c r="H133" s="26">
        <f>IF(J133=1,D133-$C$5,0)</f>
        <v>0</v>
      </c>
      <c r="I133" s="26">
        <f t="shared" si="136"/>
        <v>0</v>
      </c>
      <c r="J133" s="24">
        <f t="shared" si="201"/>
        <v>0</v>
      </c>
      <c r="K133" s="26">
        <f>VLOOKUP($C133,COS!$B$8:$H$991,2,FALSE)</f>
        <v>2742.553466796875</v>
      </c>
      <c r="L133" s="24">
        <f t="shared" si="129"/>
        <v>1</v>
      </c>
      <c r="M133" s="24">
        <f t="shared" si="130"/>
        <v>1</v>
      </c>
      <c r="N133" s="26">
        <f>VLOOKUP($C133,COS!$B$8:$H$991,5,FALSE)</f>
        <v>355.03094482421875</v>
      </c>
      <c r="O133" s="26">
        <f t="shared" si="204"/>
        <v>21.125808287060952</v>
      </c>
      <c r="P133" s="26">
        <f>VLOOKUP($C133,COS!$B$8:$H$991,6,FALSE)</f>
        <v>2600.013916015625</v>
      </c>
      <c r="Q133" s="26">
        <f t="shared" si="205"/>
        <v>154.71157186208677</v>
      </c>
      <c r="R133" s="26">
        <f>MIN(IF(MONTH($C133)=4,$S$3,IF(MONTH($C133)=5,$S$4,IF(MONTH($C133)=6,$S$5,IF(MONTH($C133)=7,$S$6,"ERROR")))),MAX(VLOOKUP($C133,COS!$B$8:$K$991,10,FALSE)-IF(MONTH($C133)=4,$Y$3,IF(MONTH($C133)=5,$Y$4,IF(MONTH($C133)=6,$Y$5,IF(MONTH($C133)=7,$Y$6,"ERROR")))),0),MAX(VLOOKUP($C133,COS!$B$8:$K$991,9,FALSE)-IF(MONTH($C133)=4,$V$3,IF(MONTH($C133)=5,$V$4,IF(MONTH($C133)=6,$V$5,IF(MONTH($C133)=7,$V$6,"ERROR"))))-VLOOKUP($C133,COS!$B$8:$K$991,6,FALSE)/2,0))</f>
        <v>750</v>
      </c>
      <c r="S133" s="26">
        <f t="shared" si="206"/>
        <v>44.628099173553714</v>
      </c>
      <c r="T133" s="26">
        <f t="shared" si="207"/>
        <v>132.54678924812757</v>
      </c>
      <c r="U133" s="26" t="str">
        <f>IF(VLOOKUP($C133,COS!$B$8:$I$991,8,FALSE)=1,"UWFE","IBU")</f>
        <v>IBU</v>
      </c>
      <c r="V133" s="26">
        <f t="shared" ref="V133" si="210">MIN(IF(IF($AA$3=2,AND(E133=1,G133=1,L133=1,L136=1,M133=1,U133="IBU"),AND(E133=1,G133=1,L133=1,L136=1,M133=1)),T133,0),I133)</f>
        <v>0</v>
      </c>
      <c r="W133" s="26"/>
      <c r="X133" s="26"/>
      <c r="Y133" s="26"/>
      <c r="Z133" s="26"/>
      <c r="AA133" s="26"/>
      <c r="AB133" s="33"/>
    </row>
    <row r="134" spans="1:28" x14ac:dyDescent="0.3">
      <c r="A134" s="32">
        <f>VLOOKUP(YEAR(C134),Flags!$A$13:$B$95,2,FALSE)</f>
        <v>4</v>
      </c>
      <c r="B134" s="24">
        <f t="shared" si="116"/>
        <v>1935</v>
      </c>
      <c r="C134" s="25">
        <v>12996</v>
      </c>
      <c r="D134" s="26">
        <f>VLOOKUP($C134,COS!$B$8:$H$991,3,FALSE)</f>
        <v>9552.029296875</v>
      </c>
      <c r="E134" s="24">
        <f>IF(D134&gt;=IF(MONTH($C134)=4,$C$3,IF(MONTH($C134)=5,$C$4,IF(MONTH($C134)=6,$C$5,IF(MONTH($C134)=7,$C$6,"ERROR")))),1,0)</f>
        <v>0</v>
      </c>
      <c r="F134" s="26">
        <f>VLOOKUP($C134,COS!$B$8:$H$991,7,FALSE)</f>
        <v>53.422840118408203</v>
      </c>
      <c r="G134" s="24">
        <f>IF(F134&lt;=IF(MONTH($C134)=4,$F$3,IF(MONTH($C134)=5,$F$4,IF(MONTH($C134)=6,$F$5,IF(MONTH($C134)=7,$F$6,"ERROR")))),1,0)</f>
        <v>1</v>
      </c>
      <c r="H134" s="26">
        <f>IF(J134=1,D134-$C$6,0)</f>
        <v>0</v>
      </c>
      <c r="I134" s="26">
        <f t="shared" si="136"/>
        <v>0</v>
      </c>
      <c r="J134" s="24">
        <f t="shared" si="201"/>
        <v>0</v>
      </c>
      <c r="K134" s="26">
        <f>VLOOKUP($C134,COS!$B$8:$H$991,2,FALSE)</f>
        <v>2381.828857421875</v>
      </c>
      <c r="L134" s="24">
        <f t="shared" si="129"/>
        <v>1</v>
      </c>
      <c r="M134" s="24">
        <f t="shared" si="130"/>
        <v>1</v>
      </c>
      <c r="N134" s="26">
        <f>VLOOKUP($C134,COS!$B$8:$H$991,5,FALSE)</f>
        <v>386.67288208007813</v>
      </c>
      <c r="O134" s="26">
        <f t="shared" si="204"/>
        <v>23.775588782444473</v>
      </c>
      <c r="P134" s="26">
        <f>VLOOKUP($C134,COS!$B$8:$H$991,6,FALSE)</f>
        <v>2632.5888671875</v>
      </c>
      <c r="Q134" s="26">
        <f t="shared" si="205"/>
        <v>161.87157993285126</v>
      </c>
      <c r="R134" s="26">
        <f>MIN(IF(MONTH($C134)=4,$S$3,IF(MONTH($C134)=5,$S$4,IF(MONTH($C134)=6,$S$5,IF(MONTH($C134)=7,$S$6,"ERROR")))),MAX(VLOOKUP($C134,COS!$B$8:$K$991,10,FALSE)-IF(MONTH($C134)=4,$Y$3,IF(MONTH($C134)=5,$Y$4,IF(MONTH($C134)=6,$Y$5,IF(MONTH($C134)=7,$Y$6,"ERROR")))),0),MAX(VLOOKUP($C134,COS!$B$8:$K$991,9,FALSE)-IF(MONTH($C134)=4,$V$3,IF(MONTH($C134)=5,$V$4,IF(MONTH($C134)=6,$V$5,IF(MONTH($C134)=7,$V$6,"ERROR"))))-VLOOKUP($C134,COS!$B$8:$K$991,6,FALSE)/2,0))</f>
        <v>750</v>
      </c>
      <c r="S134" s="26">
        <f t="shared" si="206"/>
        <v>46.115702479338843</v>
      </c>
      <c r="T134" s="26">
        <f t="shared" si="207"/>
        <v>138.9392868369867</v>
      </c>
      <c r="U134" s="26" t="str">
        <f>IF(VLOOKUP($C134,COS!$B$8:$I$991,8,FALSE)=1,"UWFE","IBU")</f>
        <v>IBU</v>
      </c>
      <c r="V134" s="26">
        <f t="shared" ref="V134" si="211">MIN(IF(IF($AA$3=2,AND(E134=1,G134=1,L134=1,L136=1,M134=1,U134="IBU"),AND(E134=1,G134=1,L134=1,L136=1,M134=1)),T134,0),I134)</f>
        <v>0</v>
      </c>
      <c r="W134" s="26"/>
      <c r="X134" s="26"/>
      <c r="Y134" s="26"/>
      <c r="Z134" s="26"/>
      <c r="AA134" s="26"/>
      <c r="AB134" s="33"/>
    </row>
    <row r="135" spans="1:28" x14ac:dyDescent="0.3">
      <c r="A135" s="32">
        <f>VLOOKUP(YEAR(C135),Flags!$A$13:$B$95,2,FALSE)</f>
        <v>4</v>
      </c>
      <c r="B135" s="24">
        <f t="shared" si="116"/>
        <v>1935</v>
      </c>
      <c r="C135" s="25">
        <v>13027</v>
      </c>
      <c r="D135" s="26"/>
      <c r="E135" s="24"/>
      <c r="F135" s="26"/>
      <c r="G135" s="24"/>
      <c r="H135" s="24"/>
      <c r="I135" s="26"/>
      <c r="J135" s="24"/>
      <c r="K135" s="26"/>
      <c r="L135" s="24"/>
      <c r="M135" s="24"/>
      <c r="N135" s="26"/>
      <c r="O135" s="26"/>
      <c r="P135" s="26"/>
      <c r="Q135" s="26"/>
      <c r="R135" s="26"/>
      <c r="S135" s="26"/>
      <c r="T135" s="26"/>
      <c r="U135" s="26"/>
      <c r="V135" s="26"/>
      <c r="W135" s="26">
        <f>MAX($C$7-VLOOKUP($C135,COS!$B$8:$H$991,3,FALSE),0)</f>
        <v>91777.314453125</v>
      </c>
      <c r="X135" s="26">
        <f t="shared" si="143"/>
        <v>5643.1671035640502</v>
      </c>
      <c r="Y135" s="26">
        <f>VLOOKUP($C135,COS!$B$8:$H$991,4,FALSE)</f>
        <v>311.4095458984375</v>
      </c>
      <c r="Z135" s="26">
        <f t="shared" si="144"/>
        <v>19.147826623837808</v>
      </c>
      <c r="AA135" s="26">
        <f t="shared" ref="AA135:AA139" si="212">MIN(W135,Y135)</f>
        <v>311.4095458984375</v>
      </c>
      <c r="AB135" s="33">
        <f t="shared" ref="AB135" si="213">AA135*DAY($C135)*86400/43560/1000*IF(MONTH($C135)=8,$P$3,IF(MONTH($C135)=9,$P$4,IF(MONTH($C135)=10,$P$5,IF(MONTH($C135)=11,$P$6,IF(MONTH($C135)=12,$P$7,NA())))))</f>
        <v>19.147826623837808</v>
      </c>
    </row>
    <row r="136" spans="1:28" x14ac:dyDescent="0.3">
      <c r="A136" s="32">
        <f>VLOOKUP(YEAR(C136),Flags!$A$13:$B$95,2,FALSE)</f>
        <v>4</v>
      </c>
      <c r="B136" s="24">
        <f t="shared" si="116"/>
        <v>1935</v>
      </c>
      <c r="C136" s="25">
        <v>13057</v>
      </c>
      <c r="D136" s="26"/>
      <c r="E136" s="24"/>
      <c r="F136" s="26"/>
      <c r="G136" s="24"/>
      <c r="H136" s="24"/>
      <c r="I136" s="26"/>
      <c r="J136" s="24"/>
      <c r="K136" s="26">
        <f>VLOOKUP($C136,COS!$B$8:$H$991,2,FALSE)</f>
        <v>1958.6934814453125</v>
      </c>
      <c r="L136" s="24">
        <f t="shared" ref="L136" si="214">IF(AND(K136&gt;$I$7,K136&lt;$I$8),1,0)</f>
        <v>1</v>
      </c>
      <c r="M136" s="24"/>
      <c r="N136" s="26"/>
      <c r="O136" s="26"/>
      <c r="P136" s="26"/>
      <c r="Q136" s="26"/>
      <c r="R136" s="26"/>
      <c r="S136" s="26"/>
      <c r="T136" s="26"/>
      <c r="U136" s="26"/>
      <c r="V136" s="26"/>
      <c r="W136" s="26">
        <f>MAX($C$8-VLOOKUP($C136,COS!$B$8:$H$991,3,FALSE),0)</f>
        <v>95974.235595703125</v>
      </c>
      <c r="X136" s="26">
        <f t="shared" si="143"/>
        <v>5710.8636056947316</v>
      </c>
      <c r="Y136" s="26">
        <f>VLOOKUP($C136,COS!$B$8:$H$991,4,FALSE)</f>
        <v>386.73208618164063</v>
      </c>
      <c r="Z136" s="26">
        <f t="shared" si="144"/>
        <v>23.012157194279443</v>
      </c>
      <c r="AA136" s="26">
        <f t="shared" si="212"/>
        <v>386.73208618164063</v>
      </c>
      <c r="AB136" s="33">
        <f t="shared" si="141"/>
        <v>23.012157194279443</v>
      </c>
    </row>
    <row r="137" spans="1:28" x14ac:dyDescent="0.3">
      <c r="A137" s="32">
        <f>VLOOKUP(YEAR(C137),Flags!$A$13:$B$95,2,FALSE)</f>
        <v>4</v>
      </c>
      <c r="B137" s="24">
        <f t="shared" si="116"/>
        <v>1935</v>
      </c>
      <c r="C137" s="25">
        <v>13088</v>
      </c>
      <c r="D137" s="26"/>
      <c r="E137" s="24"/>
      <c r="F137" s="26"/>
      <c r="G137" s="26"/>
      <c r="H137" s="26"/>
      <c r="I137" s="26"/>
      <c r="J137" s="26"/>
      <c r="K137" s="26"/>
      <c r="L137" s="24"/>
      <c r="M137" s="24"/>
      <c r="N137" s="26"/>
      <c r="O137" s="26"/>
      <c r="P137" s="26"/>
      <c r="Q137" s="26"/>
      <c r="R137" s="26"/>
      <c r="S137" s="26"/>
      <c r="T137" s="26"/>
      <c r="U137" s="26"/>
      <c r="V137" s="26"/>
      <c r="W137" s="26">
        <f>MAX($C$9-VLOOKUP($C137,COS!$B$8:$H$991,3,FALSE),0)</f>
        <v>96108.80029296875</v>
      </c>
      <c r="X137" s="26">
        <f t="shared" si="143"/>
        <v>5909.4997866089871</v>
      </c>
      <c r="Y137" s="26">
        <f>VLOOKUP($C137,COS!$B$8:$H$991,4,FALSE)</f>
        <v>839.30419921875</v>
      </c>
      <c r="Z137" s="26">
        <f t="shared" si="144"/>
        <v>51.606803654442146</v>
      </c>
      <c r="AA137" s="26">
        <f t="shared" si="212"/>
        <v>839.30419921875</v>
      </c>
      <c r="AB137" s="33">
        <f t="shared" si="141"/>
        <v>51.606803654442146</v>
      </c>
    </row>
    <row r="138" spans="1:28" x14ac:dyDescent="0.3">
      <c r="A138" s="32">
        <f>VLOOKUP(YEAR(C138),Flags!$A$13:$B$95,2,FALSE)</f>
        <v>4</v>
      </c>
      <c r="B138" s="24">
        <f t="shared" si="116"/>
        <v>1935</v>
      </c>
      <c r="C138" s="25">
        <v>13118</v>
      </c>
      <c r="D138" s="26"/>
      <c r="E138" s="24"/>
      <c r="F138" s="26"/>
      <c r="G138" s="26"/>
      <c r="H138" s="26"/>
      <c r="I138" s="26"/>
      <c r="J138" s="26"/>
      <c r="K138" s="26"/>
      <c r="L138" s="24"/>
      <c r="M138" s="24"/>
      <c r="N138" s="26"/>
      <c r="O138" s="26"/>
      <c r="P138" s="26"/>
      <c r="Q138" s="26"/>
      <c r="R138" s="26"/>
      <c r="S138" s="26"/>
      <c r="T138" s="26"/>
      <c r="U138" s="26"/>
      <c r="V138" s="26"/>
      <c r="W138" s="26">
        <f>MAX($C$10-VLOOKUP($C138,COS!$B$8:$H$991,3,FALSE),0)</f>
        <v>96609.462646484375</v>
      </c>
      <c r="X138" s="26">
        <f t="shared" si="143"/>
        <v>5748.6622401213845</v>
      </c>
      <c r="Y138" s="26">
        <f>VLOOKUP($C138,COS!$B$8:$H$991,4,FALSE)</f>
        <v>442.06243896484375</v>
      </c>
      <c r="Z138" s="26">
        <f t="shared" si="144"/>
        <v>26.304541822701445</v>
      </c>
      <c r="AA138" s="26">
        <f t="shared" si="212"/>
        <v>442.06243896484375</v>
      </c>
      <c r="AB138" s="33">
        <f t="shared" si="141"/>
        <v>13.152270911350723</v>
      </c>
    </row>
    <row r="139" spans="1:28" x14ac:dyDescent="0.3">
      <c r="A139" s="34">
        <f>VLOOKUP(YEAR(C139),Flags!$A$13:$B$95,2,FALSE)</f>
        <v>4</v>
      </c>
      <c r="B139" s="35">
        <f t="shared" si="116"/>
        <v>1935</v>
      </c>
      <c r="C139" s="36">
        <v>13149</v>
      </c>
      <c r="D139" s="37"/>
      <c r="E139" s="35"/>
      <c r="F139" s="37"/>
      <c r="G139" s="37"/>
      <c r="H139" s="37"/>
      <c r="I139" s="37"/>
      <c r="J139" s="37"/>
      <c r="K139" s="37"/>
      <c r="L139" s="35"/>
      <c r="M139" s="35"/>
      <c r="N139" s="37"/>
      <c r="O139" s="37"/>
      <c r="P139" s="37"/>
      <c r="Q139" s="37"/>
      <c r="R139" s="37"/>
      <c r="S139" s="37"/>
      <c r="T139" s="37"/>
      <c r="U139" s="37"/>
      <c r="V139" s="37"/>
      <c r="W139" s="37">
        <f>MAX($C$11-VLOOKUP($C139,COS!$B$8:$H$991,3,FALSE),0)</f>
        <v>0</v>
      </c>
      <c r="X139" s="37">
        <f t="shared" si="143"/>
        <v>0</v>
      </c>
      <c r="Y139" s="37">
        <f>VLOOKUP($C139,COS!$B$8:$H$991,4,FALSE)</f>
        <v>18.913251876831055</v>
      </c>
      <c r="Z139" s="37">
        <f t="shared" si="144"/>
        <v>1.162930528624984</v>
      </c>
      <c r="AA139" s="37">
        <f t="shared" si="212"/>
        <v>0</v>
      </c>
      <c r="AB139" s="38">
        <f t="shared" si="141"/>
        <v>0</v>
      </c>
    </row>
    <row r="140" spans="1:28" x14ac:dyDescent="0.3">
      <c r="A140" s="27">
        <f>VLOOKUP(YEAR(C140),Flags!$A$13:$B$95,2,FALSE)</f>
        <v>3</v>
      </c>
      <c r="B140" s="28">
        <f t="shared" si="116"/>
        <v>1936</v>
      </c>
      <c r="C140" s="29">
        <v>13270</v>
      </c>
      <c r="D140" s="30">
        <f>VLOOKUP($C140,COS!$B$8:$H$991,3,FALSE)</f>
        <v>3250</v>
      </c>
      <c r="E140" s="28">
        <f>IF(D140&gt;=IF(MONTH($C140)=4,$C$3,IF(MONTH($C140)=5,$C$4,IF(MONTH($C140)=6,$C$5,IF(MONTH($C140)=7,$C$6,"ERROR")))),1,0)</f>
        <v>0</v>
      </c>
      <c r="F140" s="30">
        <f>VLOOKUP($C140,COS!$B$8:$H$991,7,FALSE)</f>
        <v>49.935798645019531</v>
      </c>
      <c r="G140" s="28">
        <f>IF(F140&lt;=IF(MONTH($C140)=4,$F$3,IF(MONTH($C140)=5,$F$4,IF(MONTH($C140)=6,$F$5,IF(MONTH($C140)=7,$F$6,"ERROR")))),1,0)</f>
        <v>1</v>
      </c>
      <c r="H140" s="30">
        <f>IF(J140=1,D140-$C$3,0)</f>
        <v>0</v>
      </c>
      <c r="I140" s="30">
        <f t="shared" si="136"/>
        <v>0</v>
      </c>
      <c r="J140" s="28">
        <f t="shared" ref="J140:J143" si="215">IF(AND(E140=1,G140=1),1,0)</f>
        <v>0</v>
      </c>
      <c r="K140" s="30">
        <f>VLOOKUP($C140,COS!$B$8:$H$991,2,FALSE)</f>
        <v>4126.388671875</v>
      </c>
      <c r="L140" s="28">
        <f t="shared" ref="L140" si="216">IF(K140&lt;=IF(MONTH($C140)=4,$I$3,IF(MONTH($C140)=5,$I$4,IF(MONTH($C140)=6,$I$5,IF(MONTH($C140)=7,$I$6,"ERROR")))),1,0)</f>
        <v>1</v>
      </c>
      <c r="M140" s="28">
        <f t="shared" ref="M140" si="217">VLOOKUP($A140,$L$3:$M$7,2,FALSE)</f>
        <v>0</v>
      </c>
      <c r="N140" s="30">
        <f>VLOOKUP($C140,COS!$B$8:$H$991,5,FALSE)</f>
        <v>205.43023681640625</v>
      </c>
      <c r="O140" s="30">
        <f t="shared" ref="O140:O143" si="218">N140*DAY($C140)*86400/43560/1000</f>
        <v>12.223947975852273</v>
      </c>
      <c r="P140" s="30">
        <f>VLOOKUP($C140,COS!$B$8:$H$991,6,FALSE)</f>
        <v>427.27923583984375</v>
      </c>
      <c r="Q140" s="30">
        <f t="shared" ref="Q140:Q143" si="219">P140*DAY($C140)*86400/43560/1000</f>
        <v>25.424880149147729</v>
      </c>
      <c r="R140" s="30">
        <f>MIN(IF(MONTH($C140)=4,$S$3,IF(MONTH($C140)=5,$S$4,IF(MONTH($C140)=6,$S$5,IF(MONTH($C140)=7,$S$6,"ERROR")))),MAX(VLOOKUP($C140,COS!$B$8:$K$991,10,FALSE)-IF(MONTH($C140)=4,$Y$3,IF(MONTH($C140)=5,$Y$4,IF(MONTH($C140)=6,$Y$5,IF(MONTH($C140)=7,$Y$6,"ERROR")))),0),MAX(VLOOKUP($C140,COS!$B$8:$K$991,9,FALSE)-IF(MONTH($C140)=4,$V$3,IF(MONTH($C140)=5,$V$4,IF(MONTH($C140)=6,$V$5,IF(MONTH($C140)=7,$V$6,"ERROR"))))-VLOOKUP($C140,COS!$B$8:$K$991,6,FALSE)/2,0))</f>
        <v>750</v>
      </c>
      <c r="S140" s="30">
        <f t="shared" ref="S140:S143" si="220">R140*DAY($C140)*86400/43560/1000</f>
        <v>44.628099173553714</v>
      </c>
      <c r="T140" s="30">
        <f t="shared" ref="T140:T143" si="221">(O140+Q140)/2+S140</f>
        <v>63.452513236053719</v>
      </c>
      <c r="U140" s="30" t="str">
        <f>IF(VLOOKUP($C140,COS!$B$8:$I$991,8,FALSE)=1,"UWFE","IBU")</f>
        <v>UWFE</v>
      </c>
      <c r="V140" s="30">
        <f t="shared" ref="V140" si="222">MIN(IF(IF($AA$3=2,AND(E140=1,G140=1,L140=1,L145=1,M140=1,U140="IBU"),AND(E140=1,G140=1,L140=1,L145=1,M140=1)),T140,0),I140)</f>
        <v>0</v>
      </c>
      <c r="W140" s="30"/>
      <c r="X140" s="30"/>
      <c r="Y140" s="30"/>
      <c r="Z140" s="30"/>
      <c r="AA140" s="30"/>
      <c r="AB140" s="31"/>
    </row>
    <row r="141" spans="1:28" x14ac:dyDescent="0.3">
      <c r="A141" s="32">
        <f>VLOOKUP(YEAR(C141),Flags!$A$13:$B$95,2,FALSE)</f>
        <v>3</v>
      </c>
      <c r="B141" s="24">
        <f t="shared" si="116"/>
        <v>1936</v>
      </c>
      <c r="C141" s="25">
        <v>13301</v>
      </c>
      <c r="D141" s="26">
        <f>VLOOKUP($C141,COS!$B$8:$H$991,3,FALSE)</f>
        <v>5730.4501953125</v>
      </c>
      <c r="E141" s="24">
        <f>IF(D141&gt;=IF(MONTH($C141)=4,$C$3,IF(MONTH($C141)=5,$C$4,IF(MONTH($C141)=6,$C$5,IF(MONTH($C141)=7,$C$6,"ERROR")))),1,0)</f>
        <v>0</v>
      </c>
      <c r="F141" s="26">
        <f>VLOOKUP($C141,COS!$B$8:$H$991,7,FALSE)</f>
        <v>50.767982482910156</v>
      </c>
      <c r="G141" s="24">
        <f>IF(F141&lt;=IF(MONTH($C141)=4,$F$3,IF(MONTH($C141)=5,$F$4,IF(MONTH($C141)=6,$F$5,IF(MONTH($C141)=7,$F$6,"ERROR")))),1,0)</f>
        <v>1</v>
      </c>
      <c r="H141" s="26">
        <f>IF(J141=1,D141-$C$4,0)</f>
        <v>0</v>
      </c>
      <c r="I141" s="26">
        <f t="shared" si="136"/>
        <v>0</v>
      </c>
      <c r="J141" s="24">
        <f t="shared" si="215"/>
        <v>0</v>
      </c>
      <c r="K141" s="26">
        <f>VLOOKUP($C141,COS!$B$8:$H$991,2,FALSE)</f>
        <v>4065.37890625</v>
      </c>
      <c r="L141" s="24">
        <f t="shared" si="129"/>
        <v>1</v>
      </c>
      <c r="M141" s="24">
        <f t="shared" si="130"/>
        <v>0</v>
      </c>
      <c r="N141" s="26">
        <f>VLOOKUP($C141,COS!$B$8:$H$991,5,FALSE)</f>
        <v>284.62387084960938</v>
      </c>
      <c r="O141" s="26">
        <f t="shared" si="218"/>
        <v>17.500839662157798</v>
      </c>
      <c r="P141" s="26">
        <f>VLOOKUP($C141,COS!$B$8:$H$991,6,FALSE)</f>
        <v>2118.009033203125</v>
      </c>
      <c r="Q141" s="26">
        <f t="shared" si="219"/>
        <v>130.23129923166323</v>
      </c>
      <c r="R141" s="26">
        <f>MIN(IF(MONTH($C141)=4,$S$3,IF(MONTH($C141)=5,$S$4,IF(MONTH($C141)=6,$S$5,IF(MONTH($C141)=7,$S$6,"ERROR")))),MAX(VLOOKUP($C141,COS!$B$8:$K$991,10,FALSE)-IF(MONTH($C141)=4,$Y$3,IF(MONTH($C141)=5,$Y$4,IF(MONTH($C141)=6,$Y$5,IF(MONTH($C141)=7,$Y$6,"ERROR")))),0),MAX(VLOOKUP($C141,COS!$B$8:$K$991,9,FALSE)-IF(MONTH($C141)=4,$V$3,IF(MONTH($C141)=5,$V$4,IF(MONTH($C141)=6,$V$5,IF(MONTH($C141)=7,$V$6,"ERROR"))))-VLOOKUP($C141,COS!$B$8:$K$991,6,FALSE)/2,0))</f>
        <v>750</v>
      </c>
      <c r="S141" s="26">
        <f t="shared" si="220"/>
        <v>46.115702479338843</v>
      </c>
      <c r="T141" s="26">
        <f t="shared" si="221"/>
        <v>119.98177192624937</v>
      </c>
      <c r="U141" s="26" t="str">
        <f>IF(VLOOKUP($C141,COS!$B$8:$I$991,8,FALSE)=1,"UWFE","IBU")</f>
        <v>UWFE</v>
      </c>
      <c r="V141" s="26">
        <f t="shared" ref="V141" si="223">MIN(IF(IF($AA$3=2,AND(E141=1,G141=1,L141=1,L145=1,M141=1,U141="IBU"),AND(E141=1,G141=1,L141=1,L145=1,M141=1)),T141,0),I141)</f>
        <v>0</v>
      </c>
      <c r="W141" s="26"/>
      <c r="X141" s="26"/>
      <c r="Y141" s="26"/>
      <c r="Z141" s="26"/>
      <c r="AA141" s="26"/>
      <c r="AB141" s="33"/>
    </row>
    <row r="142" spans="1:28" x14ac:dyDescent="0.3">
      <c r="A142" s="32">
        <f>VLOOKUP(YEAR(C142),Flags!$A$13:$B$95,2,FALSE)</f>
        <v>3</v>
      </c>
      <c r="B142" s="24">
        <f t="shared" si="116"/>
        <v>1936</v>
      </c>
      <c r="C142" s="25">
        <v>13331</v>
      </c>
      <c r="D142" s="26">
        <f>VLOOKUP($C142,COS!$B$8:$H$991,3,FALSE)</f>
        <v>7140.05078125</v>
      </c>
      <c r="E142" s="24">
        <f>IF(D142&gt;=IF(MONTH($C142)=4,$C$3,IF(MONTH($C142)=5,$C$4,IF(MONTH($C142)=6,$C$5,IF(MONTH($C142)=7,$C$6,"ERROR")))),1,0)</f>
        <v>0</v>
      </c>
      <c r="F142" s="26">
        <f>VLOOKUP($C142,COS!$B$8:$H$991,7,FALSE)</f>
        <v>50.706310272216797</v>
      </c>
      <c r="G142" s="24">
        <f>IF(F142&lt;=IF(MONTH($C142)=4,$F$3,IF(MONTH($C142)=5,$F$4,IF(MONTH($C142)=6,$F$5,IF(MONTH($C142)=7,$F$6,"ERROR")))),1,0)</f>
        <v>1</v>
      </c>
      <c r="H142" s="26">
        <f>IF(J142=1,D142-$C$5,0)</f>
        <v>0</v>
      </c>
      <c r="I142" s="26">
        <f t="shared" si="136"/>
        <v>0</v>
      </c>
      <c r="J142" s="24">
        <f t="shared" si="215"/>
        <v>0</v>
      </c>
      <c r="K142" s="26">
        <f>VLOOKUP($C142,COS!$B$8:$H$991,2,FALSE)</f>
        <v>3872.543701171875</v>
      </c>
      <c r="L142" s="24">
        <f t="shared" si="129"/>
        <v>1</v>
      </c>
      <c r="M142" s="24">
        <f t="shared" si="130"/>
        <v>0</v>
      </c>
      <c r="N142" s="26">
        <f>VLOOKUP($C142,COS!$B$8:$H$991,5,FALSE)</f>
        <v>523.20947265625</v>
      </c>
      <c r="O142" s="26">
        <f t="shared" si="218"/>
        <v>31.133125645661156</v>
      </c>
      <c r="P142" s="26">
        <f>VLOOKUP($C142,COS!$B$8:$H$991,6,FALSE)</f>
        <v>2337.24169921875</v>
      </c>
      <c r="Q142" s="26">
        <f t="shared" si="219"/>
        <v>139.07553912706612</v>
      </c>
      <c r="R142" s="26">
        <f>MIN(IF(MONTH($C142)=4,$S$3,IF(MONTH($C142)=5,$S$4,IF(MONTH($C142)=6,$S$5,IF(MONTH($C142)=7,$S$6,"ERROR")))),MAX(VLOOKUP($C142,COS!$B$8:$K$991,10,FALSE)-IF(MONTH($C142)=4,$Y$3,IF(MONTH($C142)=5,$Y$4,IF(MONTH($C142)=6,$Y$5,IF(MONTH($C142)=7,$Y$6,"ERROR")))),0),MAX(VLOOKUP($C142,COS!$B$8:$K$991,9,FALSE)-IF(MONTH($C142)=4,$V$3,IF(MONTH($C142)=5,$V$4,IF(MONTH($C142)=6,$V$5,IF(MONTH($C142)=7,$V$6,"ERROR"))))-VLOOKUP($C142,COS!$B$8:$K$991,6,FALSE)/2,0))</f>
        <v>750</v>
      </c>
      <c r="S142" s="26">
        <f t="shared" si="220"/>
        <v>44.628099173553714</v>
      </c>
      <c r="T142" s="26">
        <f t="shared" si="221"/>
        <v>129.73243155991736</v>
      </c>
      <c r="U142" s="26" t="str">
        <f>IF(VLOOKUP($C142,COS!$B$8:$I$991,8,FALSE)=1,"UWFE","IBU")</f>
        <v>UWFE</v>
      </c>
      <c r="V142" s="26">
        <f t="shared" ref="V142" si="224">MIN(IF(IF($AA$3=2,AND(E142=1,G142=1,L142=1,L145=1,M142=1,U142="IBU"),AND(E142=1,G142=1,L142=1,L145=1,M142=1)),T142,0),I142)</f>
        <v>0</v>
      </c>
      <c r="W142" s="26"/>
      <c r="X142" s="26"/>
      <c r="Y142" s="26"/>
      <c r="Z142" s="26"/>
      <c r="AA142" s="26"/>
      <c r="AB142" s="33"/>
    </row>
    <row r="143" spans="1:28" x14ac:dyDescent="0.3">
      <c r="A143" s="32">
        <f>VLOOKUP(YEAR(C143),Flags!$A$13:$B$95,2,FALSE)</f>
        <v>3</v>
      </c>
      <c r="B143" s="24">
        <f t="shared" ref="B143:B206" si="225">YEAR(C143)</f>
        <v>1936</v>
      </c>
      <c r="C143" s="25">
        <v>13362</v>
      </c>
      <c r="D143" s="26">
        <f>VLOOKUP($C143,COS!$B$8:$H$991,3,FALSE)</f>
        <v>10100.955078125</v>
      </c>
      <c r="E143" s="24">
        <f>IF(D143&gt;=IF(MONTH($C143)=4,$C$3,IF(MONTH($C143)=5,$C$4,IF(MONTH($C143)=6,$C$5,IF(MONTH($C143)=7,$C$6,"ERROR")))),1,0)</f>
        <v>0</v>
      </c>
      <c r="F143" s="26">
        <f>VLOOKUP($C143,COS!$B$8:$H$991,7,FALSE)</f>
        <v>50.784397125244141</v>
      </c>
      <c r="G143" s="24">
        <f>IF(F143&lt;=IF(MONTH($C143)=4,$F$3,IF(MONTH($C143)=5,$F$4,IF(MONTH($C143)=6,$F$5,IF(MONTH($C143)=7,$F$6,"ERROR")))),1,0)</f>
        <v>1</v>
      </c>
      <c r="H143" s="26">
        <f>IF(J143=1,D143-$C$6,0)</f>
        <v>0</v>
      </c>
      <c r="I143" s="26">
        <f t="shared" si="136"/>
        <v>0</v>
      </c>
      <c r="J143" s="24">
        <f t="shared" si="215"/>
        <v>0</v>
      </c>
      <c r="K143" s="26">
        <f>VLOOKUP($C143,COS!$B$8:$H$991,2,FALSE)</f>
        <v>3405.32080078125</v>
      </c>
      <c r="L143" s="24">
        <f t="shared" si="129"/>
        <v>1</v>
      </c>
      <c r="M143" s="24">
        <f t="shared" si="130"/>
        <v>0</v>
      </c>
      <c r="N143" s="26">
        <f>VLOOKUP($C143,COS!$B$8:$H$991,5,FALSE)</f>
        <v>692.3970947265625</v>
      </c>
      <c r="O143" s="26">
        <f t="shared" si="218"/>
        <v>42.573837890625001</v>
      </c>
      <c r="P143" s="26">
        <f>VLOOKUP($C143,COS!$B$8:$H$991,6,FALSE)</f>
        <v>2537.385498046875</v>
      </c>
      <c r="Q143" s="26">
        <f t="shared" si="219"/>
        <v>156.01775293775825</v>
      </c>
      <c r="R143" s="26">
        <f>MIN(IF(MONTH($C143)=4,$S$3,IF(MONTH($C143)=5,$S$4,IF(MONTH($C143)=6,$S$5,IF(MONTH($C143)=7,$S$6,"ERROR")))),MAX(VLOOKUP($C143,COS!$B$8:$K$991,10,FALSE)-IF(MONTH($C143)=4,$Y$3,IF(MONTH($C143)=5,$Y$4,IF(MONTH($C143)=6,$Y$5,IF(MONTH($C143)=7,$Y$6,"ERROR")))),0),MAX(VLOOKUP($C143,COS!$B$8:$K$991,9,FALSE)-IF(MONTH($C143)=4,$V$3,IF(MONTH($C143)=5,$V$4,IF(MONTH($C143)=6,$V$5,IF(MONTH($C143)=7,$V$6,"ERROR"))))-VLOOKUP($C143,COS!$B$8:$K$991,6,FALSE)/2,0))</f>
        <v>750</v>
      </c>
      <c r="S143" s="26">
        <f t="shared" si="220"/>
        <v>46.115702479338843</v>
      </c>
      <c r="T143" s="26">
        <f t="shared" si="221"/>
        <v>145.41149789353045</v>
      </c>
      <c r="U143" s="26" t="str">
        <f>IF(VLOOKUP($C143,COS!$B$8:$I$991,8,FALSE)=1,"UWFE","IBU")</f>
        <v>IBU</v>
      </c>
      <c r="V143" s="26">
        <f t="shared" ref="V143" si="226">MIN(IF(IF($AA$3=2,AND(E143=1,G143=1,L143=1,L145=1,M143=1,U143="IBU"),AND(E143=1,G143=1,L143=1,L145=1,M143=1)),T143,0),I143)</f>
        <v>0</v>
      </c>
      <c r="W143" s="26"/>
      <c r="X143" s="26"/>
      <c r="Y143" s="26"/>
      <c r="Z143" s="26"/>
      <c r="AA143" s="26"/>
      <c r="AB143" s="33"/>
    </row>
    <row r="144" spans="1:28" x14ac:dyDescent="0.3">
      <c r="A144" s="32">
        <f>VLOOKUP(YEAR(C144),Flags!$A$13:$B$95,2,FALSE)</f>
        <v>3</v>
      </c>
      <c r="B144" s="24">
        <f t="shared" si="225"/>
        <v>1936</v>
      </c>
      <c r="C144" s="25">
        <v>13393</v>
      </c>
      <c r="D144" s="26"/>
      <c r="E144" s="24"/>
      <c r="F144" s="26"/>
      <c r="G144" s="24"/>
      <c r="H144" s="24"/>
      <c r="I144" s="26"/>
      <c r="J144" s="24"/>
      <c r="K144" s="26"/>
      <c r="L144" s="24"/>
      <c r="M144" s="24"/>
      <c r="N144" s="26"/>
      <c r="O144" s="26"/>
      <c r="P144" s="26"/>
      <c r="Q144" s="26"/>
      <c r="R144" s="26"/>
      <c r="S144" s="26"/>
      <c r="T144" s="26"/>
      <c r="U144" s="26"/>
      <c r="V144" s="26"/>
      <c r="W144" s="26">
        <f>MAX($C$7-VLOOKUP($C144,COS!$B$8:$H$991,3,FALSE),0)</f>
        <v>90321.0078125</v>
      </c>
      <c r="X144" s="26">
        <f t="shared" si="143"/>
        <v>5553.6222985537188</v>
      </c>
      <c r="Y144" s="26">
        <f>VLOOKUP($C144,COS!$B$8:$H$991,4,FALSE)</f>
        <v>354.93222045898438</v>
      </c>
      <c r="Z144" s="26">
        <f t="shared" si="144"/>
        <v>21.823931572023504</v>
      </c>
      <c r="AA144" s="26">
        <f t="shared" ref="AA144:AA148" si="227">MIN(W144,Y144)</f>
        <v>354.93222045898438</v>
      </c>
      <c r="AB144" s="33">
        <f t="shared" ref="AB144" si="228">AA144*DAY($C144)*86400/43560/1000*IF(MONTH($C144)=8,$P$3,IF(MONTH($C144)=9,$P$4,IF(MONTH($C144)=10,$P$5,IF(MONTH($C144)=11,$P$6,IF(MONTH($C144)=12,$P$7,NA())))))</f>
        <v>21.823931572023504</v>
      </c>
    </row>
    <row r="145" spans="1:28" x14ac:dyDescent="0.3">
      <c r="A145" s="32">
        <f>VLOOKUP(YEAR(C145),Flags!$A$13:$B$95,2,FALSE)</f>
        <v>3</v>
      </c>
      <c r="B145" s="24">
        <f t="shared" si="225"/>
        <v>1936</v>
      </c>
      <c r="C145" s="25">
        <v>13423</v>
      </c>
      <c r="D145" s="26"/>
      <c r="E145" s="24"/>
      <c r="F145" s="26"/>
      <c r="G145" s="24"/>
      <c r="H145" s="24"/>
      <c r="I145" s="26"/>
      <c r="J145" s="24"/>
      <c r="K145" s="26">
        <f>VLOOKUP($C145,COS!$B$8:$H$991,2,FALSE)</f>
        <v>2909.572509765625</v>
      </c>
      <c r="L145" s="24">
        <f t="shared" ref="L145" si="229">IF(AND(K145&gt;$I$7,K145&lt;$I$8),1,0)</f>
        <v>1</v>
      </c>
      <c r="M145" s="24"/>
      <c r="N145" s="26"/>
      <c r="O145" s="26"/>
      <c r="P145" s="26"/>
      <c r="Q145" s="26"/>
      <c r="R145" s="26"/>
      <c r="S145" s="26"/>
      <c r="T145" s="26"/>
      <c r="U145" s="26"/>
      <c r="V145" s="26"/>
      <c r="W145" s="26">
        <f>MAX($C$8-VLOOKUP($C145,COS!$B$8:$H$991,3,FALSE),0)</f>
        <v>95795.64453125</v>
      </c>
      <c r="X145" s="26">
        <f t="shared" si="143"/>
        <v>5700.2366993801652</v>
      </c>
      <c r="Y145" s="26">
        <f>VLOOKUP($C145,COS!$B$8:$H$991,4,FALSE)</f>
        <v>0</v>
      </c>
      <c r="Z145" s="26">
        <f t="shared" si="144"/>
        <v>0</v>
      </c>
      <c r="AA145" s="26">
        <f t="shared" si="227"/>
        <v>0</v>
      </c>
      <c r="AB145" s="33">
        <f t="shared" si="141"/>
        <v>0</v>
      </c>
    </row>
    <row r="146" spans="1:28" x14ac:dyDescent="0.3">
      <c r="A146" s="32">
        <f>VLOOKUP(YEAR(C146),Flags!$A$13:$B$95,2,FALSE)</f>
        <v>3</v>
      </c>
      <c r="B146" s="24">
        <f t="shared" si="225"/>
        <v>1936</v>
      </c>
      <c r="C146" s="25">
        <v>13454</v>
      </c>
      <c r="D146" s="26"/>
      <c r="E146" s="24"/>
      <c r="F146" s="26"/>
      <c r="G146" s="26"/>
      <c r="H146" s="26"/>
      <c r="I146" s="26"/>
      <c r="J146" s="26"/>
      <c r="K146" s="26"/>
      <c r="L146" s="24"/>
      <c r="M146" s="24"/>
      <c r="N146" s="26"/>
      <c r="O146" s="26"/>
      <c r="P146" s="26"/>
      <c r="Q146" s="26"/>
      <c r="R146" s="26"/>
      <c r="S146" s="26"/>
      <c r="T146" s="26"/>
      <c r="U146" s="26"/>
      <c r="V146" s="26"/>
      <c r="W146" s="26">
        <f>MAX($C$9-VLOOKUP($C146,COS!$B$8:$H$991,3,FALSE),0)</f>
        <v>94201.28515625</v>
      </c>
      <c r="X146" s="26">
        <f t="shared" si="143"/>
        <v>5792.2112525826451</v>
      </c>
      <c r="Y146" s="26">
        <f>VLOOKUP($C146,COS!$B$8:$H$991,4,FALSE)</f>
        <v>840.8681640625</v>
      </c>
      <c r="Z146" s="26">
        <f t="shared" si="144"/>
        <v>51.702968104338844</v>
      </c>
      <c r="AA146" s="26">
        <f t="shared" si="227"/>
        <v>840.8681640625</v>
      </c>
      <c r="AB146" s="33">
        <f t="shared" si="141"/>
        <v>51.702968104338844</v>
      </c>
    </row>
    <row r="147" spans="1:28" x14ac:dyDescent="0.3">
      <c r="A147" s="32">
        <f>VLOOKUP(YEAR(C147),Flags!$A$13:$B$95,2,FALSE)</f>
        <v>3</v>
      </c>
      <c r="B147" s="24">
        <f t="shared" si="225"/>
        <v>1936</v>
      </c>
      <c r="C147" s="25">
        <v>13484</v>
      </c>
      <c r="D147" s="26"/>
      <c r="E147" s="24"/>
      <c r="F147" s="26"/>
      <c r="G147" s="26"/>
      <c r="H147" s="26"/>
      <c r="I147" s="26"/>
      <c r="J147" s="26"/>
      <c r="K147" s="26"/>
      <c r="L147" s="24"/>
      <c r="M147" s="24"/>
      <c r="N147" s="26"/>
      <c r="O147" s="26"/>
      <c r="P147" s="26"/>
      <c r="Q147" s="26"/>
      <c r="R147" s="26"/>
      <c r="S147" s="26"/>
      <c r="T147" s="26"/>
      <c r="U147" s="26"/>
      <c r="V147" s="26"/>
      <c r="W147" s="26">
        <f>MAX($C$10-VLOOKUP($C147,COS!$B$8:$H$991,3,FALSE),0)</f>
        <v>94597.1748046875</v>
      </c>
      <c r="X147" s="26">
        <f t="shared" si="143"/>
        <v>5628.9227982954544</v>
      </c>
      <c r="Y147" s="26">
        <f>VLOOKUP($C147,COS!$B$8:$H$991,4,FALSE)</f>
        <v>1128.2205810546875</v>
      </c>
      <c r="Z147" s="26">
        <f t="shared" si="144"/>
        <v>67.13378664127066</v>
      </c>
      <c r="AA147" s="26">
        <f t="shared" si="227"/>
        <v>1128.2205810546875</v>
      </c>
      <c r="AB147" s="33">
        <f t="shared" si="141"/>
        <v>33.56689332063533</v>
      </c>
    </row>
    <row r="148" spans="1:28" x14ac:dyDescent="0.3">
      <c r="A148" s="34">
        <f>VLOOKUP(YEAR(C148),Flags!$A$13:$B$95,2,FALSE)</f>
        <v>3</v>
      </c>
      <c r="B148" s="35">
        <f t="shared" si="225"/>
        <v>1936</v>
      </c>
      <c r="C148" s="36">
        <v>13515</v>
      </c>
      <c r="D148" s="37"/>
      <c r="E148" s="35"/>
      <c r="F148" s="37"/>
      <c r="G148" s="37"/>
      <c r="H148" s="37"/>
      <c r="I148" s="37"/>
      <c r="J148" s="37"/>
      <c r="K148" s="37"/>
      <c r="L148" s="35"/>
      <c r="M148" s="35"/>
      <c r="N148" s="37"/>
      <c r="O148" s="37"/>
      <c r="P148" s="37"/>
      <c r="Q148" s="37"/>
      <c r="R148" s="37"/>
      <c r="S148" s="37"/>
      <c r="T148" s="37"/>
      <c r="U148" s="37"/>
      <c r="V148" s="37"/>
      <c r="W148" s="37">
        <f>MAX($C$11-VLOOKUP($C148,COS!$B$8:$H$991,3,FALSE),0)</f>
        <v>0</v>
      </c>
      <c r="X148" s="37">
        <f t="shared" si="143"/>
        <v>0</v>
      </c>
      <c r="Y148" s="37">
        <f>VLOOKUP($C148,COS!$B$8:$H$991,4,FALSE)</f>
        <v>608.6763916015625</v>
      </c>
      <c r="Z148" s="37">
        <f t="shared" si="144"/>
        <v>37.426052508393596</v>
      </c>
      <c r="AA148" s="37">
        <f t="shared" si="227"/>
        <v>0</v>
      </c>
      <c r="AB148" s="38">
        <f t="shared" si="141"/>
        <v>0</v>
      </c>
    </row>
    <row r="149" spans="1:28" x14ac:dyDescent="0.3">
      <c r="A149" s="27">
        <f>VLOOKUP(YEAR(C149),Flags!$A$13:$B$95,2,FALSE)</f>
        <v>4</v>
      </c>
      <c r="B149" s="28">
        <f t="shared" si="225"/>
        <v>1937</v>
      </c>
      <c r="C149" s="29">
        <v>13635</v>
      </c>
      <c r="D149" s="30">
        <f>VLOOKUP($C149,COS!$B$8:$H$991,3,FALSE)</f>
        <v>3250</v>
      </c>
      <c r="E149" s="28">
        <f>IF(D149&gt;=IF(MONTH($C149)=4,$C$3,IF(MONTH($C149)=5,$C$4,IF(MONTH($C149)=6,$C$5,IF(MONTH($C149)=7,$C$6,"ERROR")))),1,0)</f>
        <v>0</v>
      </c>
      <c r="F149" s="30">
        <f>VLOOKUP($C149,COS!$B$8:$H$991,7,FALSE)</f>
        <v>51.161907196044922</v>
      </c>
      <c r="G149" s="28">
        <f>IF(F149&lt;=IF(MONTH($C149)=4,$F$3,IF(MONTH($C149)=5,$F$4,IF(MONTH($C149)=6,$F$5,IF(MONTH($C149)=7,$F$6,"ERROR")))),1,0)</f>
        <v>1</v>
      </c>
      <c r="H149" s="30">
        <f>IF(J149=1,D149-$C$3,0)</f>
        <v>0</v>
      </c>
      <c r="I149" s="30">
        <f t="shared" si="136"/>
        <v>0</v>
      </c>
      <c r="J149" s="28">
        <f t="shared" ref="J149:J152" si="230">IF(AND(E149=1,G149=1),1,0)</f>
        <v>0</v>
      </c>
      <c r="K149" s="30">
        <f>VLOOKUP($C149,COS!$B$8:$H$991,2,FALSE)</f>
        <v>4047.59912109375</v>
      </c>
      <c r="L149" s="28">
        <f t="shared" ref="L149:L206" si="231">IF(K149&lt;=IF(MONTH($C149)=4,$I$3,IF(MONTH($C149)=5,$I$4,IF(MONTH($C149)=6,$I$5,IF(MONTH($C149)=7,$I$6,"ERROR")))),1,0)</f>
        <v>1</v>
      </c>
      <c r="M149" s="28">
        <f t="shared" ref="M149:M206" si="232">VLOOKUP($A149,$L$3:$M$7,2,FALSE)</f>
        <v>1</v>
      </c>
      <c r="N149" s="30">
        <f>VLOOKUP($C149,COS!$B$8:$H$991,5,FALSE)</f>
        <v>21.622846603393555</v>
      </c>
      <c r="O149" s="30">
        <f t="shared" ref="O149:O152" si="233">N149*DAY($C149)*86400/43560/1000</f>
        <v>1.2866487235077158</v>
      </c>
      <c r="P149" s="30">
        <f>VLOOKUP($C149,COS!$B$8:$H$991,6,FALSE)</f>
        <v>433.80865478515625</v>
      </c>
      <c r="Q149" s="30">
        <f t="shared" ref="Q149:Q152" si="234">P149*DAY($C149)*86400/43560/1000</f>
        <v>25.813407557463844</v>
      </c>
      <c r="R149" s="30">
        <f>MIN(IF(MONTH($C149)=4,$S$3,IF(MONTH($C149)=5,$S$4,IF(MONTH($C149)=6,$S$5,IF(MONTH($C149)=7,$S$6,"ERROR")))),MAX(VLOOKUP($C149,COS!$B$8:$K$991,10,FALSE)-IF(MONTH($C149)=4,$Y$3,IF(MONTH($C149)=5,$Y$4,IF(MONTH($C149)=6,$Y$5,IF(MONTH($C149)=7,$Y$6,"ERROR")))),0),MAX(VLOOKUP($C149,COS!$B$8:$K$991,9,FALSE)-IF(MONTH($C149)=4,$V$3,IF(MONTH($C149)=5,$V$4,IF(MONTH($C149)=6,$V$5,IF(MONTH($C149)=7,$V$6,"ERROR"))))-VLOOKUP($C149,COS!$B$8:$K$991,6,FALSE)/2,0))</f>
        <v>750</v>
      </c>
      <c r="S149" s="30">
        <f t="shared" ref="S149:S152" si="235">R149*DAY($C149)*86400/43560/1000</f>
        <v>44.628099173553714</v>
      </c>
      <c r="T149" s="30">
        <f t="shared" ref="T149:T152" si="236">(O149+Q149)/2+S149</f>
        <v>58.178127314039493</v>
      </c>
      <c r="U149" s="30" t="str">
        <f>IF(VLOOKUP($C149,COS!$B$8:$I$991,8,FALSE)=1,"UWFE","IBU")</f>
        <v>UWFE</v>
      </c>
      <c r="V149" s="30">
        <f t="shared" ref="V149" si="237">MIN(IF(IF($AA$3=2,AND(E149=1,G149=1,L149=1,L154=1,M149=1,U149="IBU"),AND(E149=1,G149=1,L149=1,L154=1,M149=1)),T149,0),I149)</f>
        <v>0</v>
      </c>
      <c r="W149" s="30"/>
      <c r="X149" s="30"/>
      <c r="Y149" s="30"/>
      <c r="Z149" s="30"/>
      <c r="AA149" s="30"/>
      <c r="AB149" s="31"/>
    </row>
    <row r="150" spans="1:28" x14ac:dyDescent="0.3">
      <c r="A150" s="32">
        <f>VLOOKUP(YEAR(C150),Flags!$A$13:$B$95,2,FALSE)</f>
        <v>4</v>
      </c>
      <c r="B150" s="24">
        <f t="shared" si="225"/>
        <v>1937</v>
      </c>
      <c r="C150" s="25">
        <v>13666</v>
      </c>
      <c r="D150" s="26">
        <f>VLOOKUP($C150,COS!$B$8:$H$991,3,FALSE)</f>
        <v>5043.80322265625</v>
      </c>
      <c r="E150" s="24">
        <f>IF(D150&gt;=IF(MONTH($C150)=4,$C$3,IF(MONTH($C150)=5,$C$4,IF(MONTH($C150)=6,$C$5,IF(MONTH($C150)=7,$C$6,"ERROR")))),1,0)</f>
        <v>0</v>
      </c>
      <c r="F150" s="26">
        <f>VLOOKUP($C150,COS!$B$8:$H$991,7,FALSE)</f>
        <v>52.362800598144531</v>
      </c>
      <c r="G150" s="24">
        <f>IF(F150&lt;=IF(MONTH($C150)=4,$F$3,IF(MONTH($C150)=5,$F$4,IF(MONTH($C150)=6,$F$5,IF(MONTH($C150)=7,$F$6,"ERROR")))),1,0)</f>
        <v>1</v>
      </c>
      <c r="H150" s="26">
        <f>IF(J150=1,D150-$C$4,0)</f>
        <v>0</v>
      </c>
      <c r="I150" s="26">
        <f t="shared" si="136"/>
        <v>0</v>
      </c>
      <c r="J150" s="24">
        <f t="shared" si="230"/>
        <v>0</v>
      </c>
      <c r="K150" s="26">
        <f>VLOOKUP($C150,COS!$B$8:$H$991,2,FALSE)</f>
        <v>4246.3125</v>
      </c>
      <c r="L150" s="24">
        <f t="shared" si="231"/>
        <v>1</v>
      </c>
      <c r="M150" s="24">
        <f t="shared" si="232"/>
        <v>1</v>
      </c>
      <c r="N150" s="26">
        <f>VLOOKUP($C150,COS!$B$8:$H$991,5,FALSE)</f>
        <v>298.0838623046875</v>
      </c>
      <c r="O150" s="26">
        <f t="shared" si="233"/>
        <v>18.328462277246903</v>
      </c>
      <c r="P150" s="26">
        <f>VLOOKUP($C150,COS!$B$8:$H$991,6,FALSE)</f>
        <v>2283.91845703125</v>
      </c>
      <c r="Q150" s="26">
        <f t="shared" si="234"/>
        <v>140.43267206869837</v>
      </c>
      <c r="R150" s="26">
        <f>MIN(IF(MONTH($C150)=4,$S$3,IF(MONTH($C150)=5,$S$4,IF(MONTH($C150)=6,$S$5,IF(MONTH($C150)=7,$S$6,"ERROR")))),MAX(VLOOKUP($C150,COS!$B$8:$K$991,10,FALSE)-IF(MONTH($C150)=4,$Y$3,IF(MONTH($C150)=5,$Y$4,IF(MONTH($C150)=6,$Y$5,IF(MONTH($C150)=7,$Y$6,"ERROR")))),0),MAX(VLOOKUP($C150,COS!$B$8:$K$991,9,FALSE)-IF(MONTH($C150)=4,$V$3,IF(MONTH($C150)=5,$V$4,IF(MONTH($C150)=6,$V$5,IF(MONTH($C150)=7,$V$6,"ERROR"))))-VLOOKUP($C150,COS!$B$8:$K$991,6,FALSE)/2,0))</f>
        <v>750</v>
      </c>
      <c r="S150" s="26">
        <f t="shared" si="235"/>
        <v>46.115702479338843</v>
      </c>
      <c r="T150" s="26">
        <f t="shared" si="236"/>
        <v>125.49626965231147</v>
      </c>
      <c r="U150" s="26" t="str">
        <f>IF(VLOOKUP($C150,COS!$B$8:$I$991,8,FALSE)=1,"UWFE","IBU")</f>
        <v>UWFE</v>
      </c>
      <c r="V150" s="26">
        <f t="shared" ref="V150" si="238">MIN(IF(IF($AA$3=2,AND(E150=1,G150=1,L150=1,L154=1,M150=1,U150="IBU"),AND(E150=1,G150=1,L150=1,L154=1,M150=1)),T150,0),I150)</f>
        <v>0</v>
      </c>
      <c r="W150" s="26"/>
      <c r="X150" s="26"/>
      <c r="Y150" s="26"/>
      <c r="Z150" s="26"/>
      <c r="AA150" s="26"/>
      <c r="AB150" s="33"/>
    </row>
    <row r="151" spans="1:28" x14ac:dyDescent="0.3">
      <c r="A151" s="32">
        <f>VLOOKUP(YEAR(C151),Flags!$A$13:$B$95,2,FALSE)</f>
        <v>4</v>
      </c>
      <c r="B151" s="24">
        <f t="shared" si="225"/>
        <v>1937</v>
      </c>
      <c r="C151" s="25">
        <v>13696</v>
      </c>
      <c r="D151" s="26">
        <f>VLOOKUP($C151,COS!$B$8:$H$991,3,FALSE)</f>
        <v>7479.65771484375</v>
      </c>
      <c r="E151" s="24">
        <f>IF(D151&gt;=IF(MONTH($C151)=4,$C$3,IF(MONTH($C151)=5,$C$4,IF(MONTH($C151)=6,$C$5,IF(MONTH($C151)=7,$C$6,"ERROR")))),1,0)</f>
        <v>0</v>
      </c>
      <c r="F151" s="26">
        <f>VLOOKUP($C151,COS!$B$8:$H$991,7,FALSE)</f>
        <v>52.658245086669922</v>
      </c>
      <c r="G151" s="24">
        <f>IF(F151&lt;=IF(MONTH($C151)=4,$F$3,IF(MONTH($C151)=5,$F$4,IF(MONTH($C151)=6,$F$5,IF(MONTH($C151)=7,$F$6,"ERROR")))),1,0)</f>
        <v>1</v>
      </c>
      <c r="H151" s="26">
        <f>IF(J151=1,D151-$C$5,0)</f>
        <v>0</v>
      </c>
      <c r="I151" s="26">
        <f t="shared" ref="I151:I214" si="239">H151*DAY($C151)*86400/43560/1000</f>
        <v>0</v>
      </c>
      <c r="J151" s="24">
        <f t="shared" si="230"/>
        <v>0</v>
      </c>
      <c r="K151" s="26">
        <f>VLOOKUP($C151,COS!$B$8:$H$991,2,FALSE)</f>
        <v>4074.04931640625</v>
      </c>
      <c r="L151" s="24">
        <f t="shared" si="231"/>
        <v>1</v>
      </c>
      <c r="M151" s="24">
        <f t="shared" si="232"/>
        <v>1</v>
      </c>
      <c r="N151" s="26">
        <f>VLOOKUP($C151,COS!$B$8:$H$991,5,FALSE)</f>
        <v>523.22735595703125</v>
      </c>
      <c r="O151" s="26">
        <f t="shared" si="233"/>
        <v>31.13418977595558</v>
      </c>
      <c r="P151" s="26">
        <f>VLOOKUP($C151,COS!$B$8:$H$991,6,FALSE)</f>
        <v>2560.548095703125</v>
      </c>
      <c r="Q151" s="26">
        <f t="shared" si="234"/>
        <v>152.36319247159091</v>
      </c>
      <c r="R151" s="26">
        <f>MIN(IF(MONTH($C151)=4,$S$3,IF(MONTH($C151)=5,$S$4,IF(MONTH($C151)=6,$S$5,IF(MONTH($C151)=7,$S$6,"ERROR")))),MAX(VLOOKUP($C151,COS!$B$8:$K$991,10,FALSE)-IF(MONTH($C151)=4,$Y$3,IF(MONTH($C151)=5,$Y$4,IF(MONTH($C151)=6,$Y$5,IF(MONTH($C151)=7,$Y$6,"ERROR")))),0),MAX(VLOOKUP($C151,COS!$B$8:$K$991,9,FALSE)-IF(MONTH($C151)=4,$V$3,IF(MONTH($C151)=5,$V$4,IF(MONTH($C151)=6,$V$5,IF(MONTH($C151)=7,$V$6,"ERROR"))))-VLOOKUP($C151,COS!$B$8:$K$991,6,FALSE)/2,0))</f>
        <v>750</v>
      </c>
      <c r="S151" s="26">
        <f t="shared" si="235"/>
        <v>44.628099173553714</v>
      </c>
      <c r="T151" s="26">
        <f t="shared" si="236"/>
        <v>136.37679029732695</v>
      </c>
      <c r="U151" s="26" t="str">
        <f>IF(VLOOKUP($C151,COS!$B$8:$I$991,8,FALSE)=1,"UWFE","IBU")</f>
        <v>IBU</v>
      </c>
      <c r="V151" s="26">
        <f t="shared" ref="V151" si="240">MIN(IF(IF($AA$3=2,AND(E151=1,G151=1,L151=1,L154=1,M151=1,U151="IBU"),AND(E151=1,G151=1,L151=1,L154=1,M151=1)),T151,0),I151)</f>
        <v>0</v>
      </c>
      <c r="W151" s="26"/>
      <c r="X151" s="26"/>
      <c r="Y151" s="26"/>
      <c r="Z151" s="26"/>
      <c r="AA151" s="26"/>
      <c r="AB151" s="33"/>
    </row>
    <row r="152" spans="1:28" x14ac:dyDescent="0.3">
      <c r="A152" s="32">
        <f>VLOOKUP(YEAR(C152),Flags!$A$13:$B$95,2,FALSE)</f>
        <v>4</v>
      </c>
      <c r="B152" s="24">
        <f t="shared" si="225"/>
        <v>1937</v>
      </c>
      <c r="C152" s="25">
        <v>13727</v>
      </c>
      <c r="D152" s="26">
        <f>VLOOKUP($C152,COS!$B$8:$H$991,3,FALSE)</f>
        <v>10615.4677734375</v>
      </c>
      <c r="E152" s="24">
        <f>IF(D152&gt;=IF(MONTH($C152)=4,$C$3,IF(MONTH($C152)=5,$C$4,IF(MONTH($C152)=6,$C$5,IF(MONTH($C152)=7,$C$6,"ERROR")))),1,0)</f>
        <v>0</v>
      </c>
      <c r="F152" s="26">
        <f>VLOOKUP($C152,COS!$B$8:$H$991,7,FALSE)</f>
        <v>52.404350280761719</v>
      </c>
      <c r="G152" s="24">
        <f>IF(F152&lt;=IF(MONTH($C152)=4,$F$3,IF(MONTH($C152)=5,$F$4,IF(MONTH($C152)=6,$F$5,IF(MONTH($C152)=7,$F$6,"ERROR")))),1,0)</f>
        <v>1</v>
      </c>
      <c r="H152" s="26">
        <f>IF(J152=1,D152-$C$6,0)</f>
        <v>0</v>
      </c>
      <c r="I152" s="26">
        <f t="shared" si="239"/>
        <v>0</v>
      </c>
      <c r="J152" s="24">
        <f t="shared" si="230"/>
        <v>0</v>
      </c>
      <c r="K152" s="26">
        <f>VLOOKUP($C152,COS!$B$8:$H$991,2,FALSE)</f>
        <v>3583.887451171875</v>
      </c>
      <c r="L152" s="24">
        <f t="shared" si="231"/>
        <v>1</v>
      </c>
      <c r="M152" s="24">
        <f t="shared" si="232"/>
        <v>1</v>
      </c>
      <c r="N152" s="26">
        <f>VLOOKUP($C152,COS!$B$8:$H$991,5,FALSE)</f>
        <v>624.25457763671875</v>
      </c>
      <c r="O152" s="26">
        <f t="shared" si="233"/>
        <v>38.383917831547002</v>
      </c>
      <c r="P152" s="26">
        <f>VLOOKUP($C152,COS!$B$8:$H$991,6,FALSE)</f>
        <v>2537.385498046875</v>
      </c>
      <c r="Q152" s="26">
        <f t="shared" si="234"/>
        <v>156.01775293775825</v>
      </c>
      <c r="R152" s="26">
        <f>MIN(IF(MONTH($C152)=4,$S$3,IF(MONTH($C152)=5,$S$4,IF(MONTH($C152)=6,$S$5,IF(MONTH($C152)=7,$S$6,"ERROR")))),MAX(VLOOKUP($C152,COS!$B$8:$K$991,10,FALSE)-IF(MONTH($C152)=4,$Y$3,IF(MONTH($C152)=5,$Y$4,IF(MONTH($C152)=6,$Y$5,IF(MONTH($C152)=7,$Y$6,"ERROR")))),0),MAX(VLOOKUP($C152,COS!$B$8:$K$991,9,FALSE)-IF(MONTH($C152)=4,$V$3,IF(MONTH($C152)=5,$V$4,IF(MONTH($C152)=6,$V$5,IF(MONTH($C152)=7,$V$6,"ERROR"))))-VLOOKUP($C152,COS!$B$8:$K$991,6,FALSE)/2,0))</f>
        <v>750</v>
      </c>
      <c r="S152" s="26">
        <f t="shared" si="235"/>
        <v>46.115702479338843</v>
      </c>
      <c r="T152" s="26">
        <f t="shared" si="236"/>
        <v>143.31653786399147</v>
      </c>
      <c r="U152" s="26" t="str">
        <f>IF(VLOOKUP($C152,COS!$B$8:$I$991,8,FALSE)=1,"UWFE","IBU")</f>
        <v>IBU</v>
      </c>
      <c r="V152" s="26">
        <f t="shared" ref="V152" si="241">MIN(IF(IF($AA$3=2,AND(E152=1,G152=1,L152=1,L154=1,M152=1,U152="IBU"),AND(E152=1,G152=1,L152=1,L154=1,M152=1)),T152,0),I152)</f>
        <v>0</v>
      </c>
      <c r="W152" s="26"/>
      <c r="X152" s="26"/>
      <c r="Y152" s="26"/>
      <c r="Z152" s="26"/>
      <c r="AA152" s="26"/>
      <c r="AB152" s="33"/>
    </row>
    <row r="153" spans="1:28" x14ac:dyDescent="0.3">
      <c r="A153" s="32">
        <f>VLOOKUP(YEAR(C153),Flags!$A$13:$B$95,2,FALSE)</f>
        <v>4</v>
      </c>
      <c r="B153" s="24">
        <f t="shared" si="225"/>
        <v>1937</v>
      </c>
      <c r="C153" s="25">
        <v>13758</v>
      </c>
      <c r="D153" s="26"/>
      <c r="E153" s="24"/>
      <c r="F153" s="26"/>
      <c r="G153" s="24"/>
      <c r="H153" s="24"/>
      <c r="I153" s="26"/>
      <c r="J153" s="24"/>
      <c r="K153" s="26"/>
      <c r="L153" s="24"/>
      <c r="M153" s="24"/>
      <c r="N153" s="26"/>
      <c r="O153" s="26"/>
      <c r="P153" s="26"/>
      <c r="Q153" s="26"/>
      <c r="R153" s="26"/>
      <c r="S153" s="26"/>
      <c r="T153" s="26"/>
      <c r="U153" s="26"/>
      <c r="V153" s="26"/>
      <c r="W153" s="26">
        <f>MAX($C$7-VLOOKUP($C153,COS!$B$8:$H$991,3,FALSE),0)</f>
        <v>90408.666015625</v>
      </c>
      <c r="X153" s="26">
        <f t="shared" si="143"/>
        <v>5559.0121913739667</v>
      </c>
      <c r="Y153" s="26">
        <f>VLOOKUP($C153,COS!$B$8:$H$991,4,FALSE)</f>
        <v>565.9937744140625</v>
      </c>
      <c r="Z153" s="26">
        <f t="shared" si="144"/>
        <v>34.801600674715914</v>
      </c>
      <c r="AA153" s="26">
        <f t="shared" ref="AA153:AA157" si="242">MIN(W153,Y153)</f>
        <v>565.9937744140625</v>
      </c>
      <c r="AB153" s="33">
        <f t="shared" ref="AB153:AB211" si="243">AA153*DAY($C153)*86400/43560/1000*IF(MONTH($C153)=8,$P$3,IF(MONTH($C153)=9,$P$4,IF(MONTH($C153)=10,$P$5,IF(MONTH($C153)=11,$P$6,IF(MONTH($C153)=12,$P$7,NA())))))</f>
        <v>34.801600674715914</v>
      </c>
    </row>
    <row r="154" spans="1:28" x14ac:dyDescent="0.3">
      <c r="A154" s="32">
        <f>VLOOKUP(YEAR(C154),Flags!$A$13:$B$95,2,FALSE)</f>
        <v>4</v>
      </c>
      <c r="B154" s="24">
        <f t="shared" si="225"/>
        <v>1937</v>
      </c>
      <c r="C154" s="25">
        <v>13788</v>
      </c>
      <c r="D154" s="26"/>
      <c r="E154" s="24"/>
      <c r="F154" s="26"/>
      <c r="G154" s="24"/>
      <c r="H154" s="24"/>
      <c r="I154" s="26"/>
      <c r="J154" s="24"/>
      <c r="K154" s="26">
        <f>VLOOKUP($C154,COS!$B$8:$H$991,2,FALSE)</f>
        <v>3016.538330078125</v>
      </c>
      <c r="L154" s="24">
        <f t="shared" ref="L154" si="244">IF(AND(K154&gt;$I$7,K154&lt;$I$8),1,0)</f>
        <v>1</v>
      </c>
      <c r="M154" s="24"/>
      <c r="N154" s="26"/>
      <c r="O154" s="26"/>
      <c r="P154" s="26"/>
      <c r="Q154" s="26"/>
      <c r="R154" s="26"/>
      <c r="S154" s="26"/>
      <c r="T154" s="26"/>
      <c r="U154" s="26"/>
      <c r="V154" s="26"/>
      <c r="W154" s="26">
        <f>MAX($C$8-VLOOKUP($C154,COS!$B$8:$H$991,3,FALSE),0)</f>
        <v>94463.15234375</v>
      </c>
      <c r="X154" s="26">
        <f t="shared" si="143"/>
        <v>5620.9479080578512</v>
      </c>
      <c r="Y154" s="26">
        <f>VLOOKUP($C154,COS!$B$8:$H$991,4,FALSE)</f>
        <v>479.2886962890625</v>
      </c>
      <c r="Z154" s="26">
        <f t="shared" si="144"/>
        <v>28.519657961002068</v>
      </c>
      <c r="AA154" s="26">
        <f t="shared" si="242"/>
        <v>479.2886962890625</v>
      </c>
      <c r="AB154" s="33">
        <f t="shared" si="243"/>
        <v>28.519657961002068</v>
      </c>
    </row>
    <row r="155" spans="1:28" x14ac:dyDescent="0.3">
      <c r="A155" s="32">
        <f>VLOOKUP(YEAR(C155),Flags!$A$13:$B$95,2,FALSE)</f>
        <v>4</v>
      </c>
      <c r="B155" s="24">
        <f t="shared" si="225"/>
        <v>1937</v>
      </c>
      <c r="C155" s="25">
        <v>13819</v>
      </c>
      <c r="D155" s="26"/>
      <c r="E155" s="24"/>
      <c r="F155" s="26"/>
      <c r="G155" s="26"/>
      <c r="H155" s="26"/>
      <c r="I155" s="26"/>
      <c r="J155" s="26"/>
      <c r="K155" s="26"/>
      <c r="L155" s="24"/>
      <c r="M155" s="24"/>
      <c r="N155" s="26"/>
      <c r="O155" s="26"/>
      <c r="P155" s="26"/>
      <c r="Q155" s="26"/>
      <c r="R155" s="26"/>
      <c r="S155" s="26"/>
      <c r="T155" s="26"/>
      <c r="U155" s="26"/>
      <c r="V155" s="26"/>
      <c r="W155" s="26">
        <f>MAX($C$9-VLOOKUP($C155,COS!$B$8:$H$991,3,FALSE),0)</f>
        <v>95507.43994140625</v>
      </c>
      <c r="X155" s="26">
        <f t="shared" ref="X155:X218" si="245">W155*DAY($C155)*86400/43560/1000</f>
        <v>5872.5235798682852</v>
      </c>
      <c r="Y155" s="26">
        <f>VLOOKUP($C155,COS!$B$8:$H$991,4,FALSE)</f>
        <v>673.72100830078125</v>
      </c>
      <c r="Z155" s="26">
        <f t="shared" ref="Z155:Z218" si="246">Y155*DAY($C155)*86400/43560/1000</f>
        <v>41.425490097172002</v>
      </c>
      <c r="AA155" s="26">
        <f t="shared" si="242"/>
        <v>673.72100830078125</v>
      </c>
      <c r="AB155" s="33">
        <f t="shared" si="243"/>
        <v>41.425490097172002</v>
      </c>
    </row>
    <row r="156" spans="1:28" x14ac:dyDescent="0.3">
      <c r="A156" s="32">
        <f>VLOOKUP(YEAR(C156),Flags!$A$13:$B$95,2,FALSE)</f>
        <v>4</v>
      </c>
      <c r="B156" s="24">
        <f t="shared" si="225"/>
        <v>1937</v>
      </c>
      <c r="C156" s="25">
        <v>13849</v>
      </c>
      <c r="D156" s="26"/>
      <c r="E156" s="24"/>
      <c r="F156" s="26"/>
      <c r="G156" s="26"/>
      <c r="H156" s="26"/>
      <c r="I156" s="26"/>
      <c r="J156" s="26"/>
      <c r="K156" s="26"/>
      <c r="L156" s="24"/>
      <c r="M156" s="24"/>
      <c r="N156" s="26"/>
      <c r="O156" s="26"/>
      <c r="P156" s="26"/>
      <c r="Q156" s="26"/>
      <c r="R156" s="26"/>
      <c r="S156" s="26"/>
      <c r="T156" s="26"/>
      <c r="U156" s="26"/>
      <c r="V156" s="26"/>
      <c r="W156" s="26">
        <f>MAX($C$10-VLOOKUP($C156,COS!$B$8:$H$991,3,FALSE),0)</f>
        <v>91785.7744140625</v>
      </c>
      <c r="X156" s="26">
        <f t="shared" si="245"/>
        <v>5461.6328576962806</v>
      </c>
      <c r="Y156" s="26">
        <f>VLOOKUP($C156,COS!$B$8:$H$991,4,FALSE)</f>
        <v>0</v>
      </c>
      <c r="Z156" s="26">
        <f t="shared" si="246"/>
        <v>0</v>
      </c>
      <c r="AA156" s="26">
        <f t="shared" si="242"/>
        <v>0</v>
      </c>
      <c r="AB156" s="33">
        <f t="shared" si="243"/>
        <v>0</v>
      </c>
    </row>
    <row r="157" spans="1:28" x14ac:dyDescent="0.3">
      <c r="A157" s="34">
        <f>VLOOKUP(YEAR(C157),Flags!$A$13:$B$95,2,FALSE)</f>
        <v>4</v>
      </c>
      <c r="B157" s="35">
        <f t="shared" si="225"/>
        <v>1937</v>
      </c>
      <c r="C157" s="36">
        <v>13880</v>
      </c>
      <c r="D157" s="37"/>
      <c r="E157" s="35"/>
      <c r="F157" s="37"/>
      <c r="G157" s="37"/>
      <c r="H157" s="37"/>
      <c r="I157" s="37"/>
      <c r="J157" s="37"/>
      <c r="K157" s="37"/>
      <c r="L157" s="35"/>
      <c r="M157" s="35"/>
      <c r="N157" s="37"/>
      <c r="O157" s="37"/>
      <c r="P157" s="37"/>
      <c r="Q157" s="37"/>
      <c r="R157" s="37"/>
      <c r="S157" s="37"/>
      <c r="T157" s="37"/>
      <c r="U157" s="37"/>
      <c r="V157" s="37"/>
      <c r="W157" s="37">
        <f>MAX($C$11-VLOOKUP($C157,COS!$B$8:$H$991,3,FALSE),0)</f>
        <v>0</v>
      </c>
      <c r="X157" s="37">
        <f t="shared" si="245"/>
        <v>0</v>
      </c>
      <c r="Y157" s="37">
        <f>VLOOKUP($C157,COS!$B$8:$H$991,4,FALSE)</f>
        <v>0</v>
      </c>
      <c r="Z157" s="37">
        <f t="shared" si="246"/>
        <v>0</v>
      </c>
      <c r="AA157" s="37">
        <f t="shared" si="242"/>
        <v>0</v>
      </c>
      <c r="AB157" s="38">
        <f t="shared" si="243"/>
        <v>0</v>
      </c>
    </row>
    <row r="158" spans="1:28" x14ac:dyDescent="0.3">
      <c r="A158" s="27">
        <f>VLOOKUP(YEAR(C158),Flags!$A$13:$B$95,2,FALSE)</f>
        <v>1</v>
      </c>
      <c r="B158" s="28">
        <f t="shared" si="225"/>
        <v>1938</v>
      </c>
      <c r="C158" s="29">
        <v>14000</v>
      </c>
      <c r="D158" s="30">
        <f>VLOOKUP($C158,COS!$B$8:$H$991,3,FALSE)</f>
        <v>11215.0048828125</v>
      </c>
      <c r="E158" s="28">
        <f>IF(D158&gt;=IF(MONTH($C158)=4,$C$3,IF(MONTH($C158)=5,$C$4,IF(MONTH($C158)=6,$C$5,IF(MONTH($C158)=7,$C$6,"ERROR")))),1,0)</f>
        <v>1</v>
      </c>
      <c r="F158" s="30">
        <f>VLOOKUP($C158,COS!$B$8:$H$991,7,FALSE)</f>
        <v>47.354358673095703</v>
      </c>
      <c r="G158" s="28">
        <f>IF(F158&lt;=IF(MONTH($C158)=4,$F$3,IF(MONTH($C158)=5,$F$4,IF(MONTH($C158)=6,$F$5,IF(MONTH($C158)=7,$F$6,"ERROR")))),1,0)</f>
        <v>1</v>
      </c>
      <c r="H158" s="30">
        <f>IF(J158=1,D158-$C$3,0)</f>
        <v>5215.0048828125</v>
      </c>
      <c r="I158" s="30">
        <f t="shared" si="239"/>
        <v>310.31434013429748</v>
      </c>
      <c r="J158" s="28">
        <f t="shared" ref="J158:J161" si="247">IF(AND(E158=1,G158=1),1,0)</f>
        <v>1</v>
      </c>
      <c r="K158" s="30">
        <f>VLOOKUP($C158,COS!$B$8:$H$991,2,FALSE)</f>
        <v>4058</v>
      </c>
      <c r="L158" s="28">
        <f t="shared" ref="L158" si="248">IF(K158&lt;=IF(MONTH($C158)=4,$I$3,IF(MONTH($C158)=5,$I$4,IF(MONTH($C158)=6,$I$5,IF(MONTH($C158)=7,$I$6,"ERROR")))),1,0)</f>
        <v>1</v>
      </c>
      <c r="M158" s="28">
        <f t="shared" ref="M158" si="249">VLOOKUP($A158,$L$3:$M$7,2,FALSE)</f>
        <v>0</v>
      </c>
      <c r="N158" s="30">
        <f>VLOOKUP($C158,COS!$B$8:$H$991,5,FALSE)</f>
        <v>40.17889404296875</v>
      </c>
      <c r="O158" s="30">
        <f t="shared" ref="O158:O161" si="250">N158*DAY($C158)*86400/43560/1000</f>
        <v>2.3908102240444213</v>
      </c>
      <c r="P158" s="30">
        <f>VLOOKUP($C158,COS!$B$8:$H$991,6,FALSE)</f>
        <v>377.05276489257813</v>
      </c>
      <c r="Q158" s="30">
        <f t="shared" ref="Q158:Q161" si="251">P158*DAY($C158)*86400/43560/1000</f>
        <v>22.436197580384814</v>
      </c>
      <c r="R158" s="30">
        <f>MIN(IF(MONTH($C158)=4,$S$3,IF(MONTH($C158)=5,$S$4,IF(MONTH($C158)=6,$S$5,IF(MONTH($C158)=7,$S$6,"ERROR")))),MAX(VLOOKUP($C158,COS!$B$8:$K$991,10,FALSE)-IF(MONTH($C158)=4,$Y$3,IF(MONTH($C158)=5,$Y$4,IF(MONTH($C158)=6,$Y$5,IF(MONTH($C158)=7,$Y$6,"ERROR")))),0),MAX(VLOOKUP($C158,COS!$B$8:$K$991,9,FALSE)-IF(MONTH($C158)=4,$V$3,IF(MONTH($C158)=5,$V$4,IF(MONTH($C158)=6,$V$5,IF(MONTH($C158)=7,$V$6,"ERROR"))))-VLOOKUP($C158,COS!$B$8:$K$991,6,FALSE)/2,0))</f>
        <v>750</v>
      </c>
      <c r="S158" s="30">
        <f t="shared" ref="S158:S161" si="252">R158*DAY($C158)*86400/43560/1000</f>
        <v>44.628099173553714</v>
      </c>
      <c r="T158" s="30">
        <f t="shared" ref="T158:T161" si="253">(O158+Q158)/2+S158</f>
        <v>57.041603075768336</v>
      </c>
      <c r="U158" s="30" t="str">
        <f>IF(VLOOKUP($C158,COS!$B$8:$I$991,8,FALSE)=1,"UWFE","IBU")</f>
        <v>UWFE</v>
      </c>
      <c r="V158" s="30">
        <f t="shared" ref="V158" si="254">MIN(IF(IF($AA$3=2,AND(E158=1,G158=1,L158=1,L163=1,M158=1,U158="IBU"),AND(E158=1,G158=1,L158=1,L163=1,M158=1)),T158,0),I158)</f>
        <v>0</v>
      </c>
      <c r="W158" s="30"/>
      <c r="X158" s="30"/>
      <c r="Y158" s="30"/>
      <c r="Z158" s="30"/>
      <c r="AA158" s="30"/>
      <c r="AB158" s="31"/>
    </row>
    <row r="159" spans="1:28" x14ac:dyDescent="0.3">
      <c r="A159" s="32">
        <f>VLOOKUP(YEAR(C159),Flags!$A$13:$B$95,2,FALSE)</f>
        <v>1</v>
      </c>
      <c r="B159" s="24">
        <f t="shared" si="225"/>
        <v>1938</v>
      </c>
      <c r="C159" s="25">
        <v>14031</v>
      </c>
      <c r="D159" s="26">
        <f>VLOOKUP($C159,COS!$B$8:$H$991,3,FALSE)</f>
        <v>8562.095703125</v>
      </c>
      <c r="E159" s="24">
        <f>IF(D159&gt;=IF(MONTH($C159)=4,$C$3,IF(MONTH($C159)=5,$C$4,IF(MONTH($C159)=6,$C$5,IF(MONTH($C159)=7,$C$6,"ERROR")))),1,0)</f>
        <v>1</v>
      </c>
      <c r="F159" s="26">
        <f>VLOOKUP($C159,COS!$B$8:$H$991,7,FALSE)</f>
        <v>50.241443634033203</v>
      </c>
      <c r="G159" s="24">
        <f>IF(F159&lt;=IF(MONTH($C159)=4,$F$3,IF(MONTH($C159)=5,$F$4,IF(MONTH($C159)=6,$F$5,IF(MONTH($C159)=7,$F$6,"ERROR")))),1,0)</f>
        <v>1</v>
      </c>
      <c r="H159" s="26">
        <f>IF(J159=1,D159-$C$4,0)</f>
        <v>2562.095703125</v>
      </c>
      <c r="I159" s="26">
        <f t="shared" si="239"/>
        <v>157.53712422520661</v>
      </c>
      <c r="J159" s="24">
        <f t="shared" si="247"/>
        <v>1</v>
      </c>
      <c r="K159" s="26">
        <f>VLOOKUP($C159,COS!$B$8:$H$991,2,FALSE)</f>
        <v>4488.45849609375</v>
      </c>
      <c r="L159" s="24">
        <f t="shared" si="231"/>
        <v>1</v>
      </c>
      <c r="M159" s="24">
        <f t="shared" si="232"/>
        <v>0</v>
      </c>
      <c r="N159" s="26">
        <f>VLOOKUP($C159,COS!$B$8:$H$991,5,FALSE)</f>
        <v>664.77288818359375</v>
      </c>
      <c r="O159" s="26">
        <f t="shared" si="250"/>
        <v>40.875291637073857</v>
      </c>
      <c r="P159" s="26">
        <f>VLOOKUP($C159,COS!$B$8:$H$991,6,FALSE)</f>
        <v>2143.932373046875</v>
      </c>
      <c r="Q159" s="26">
        <f t="shared" si="251"/>
        <v>131.82526326833678</v>
      </c>
      <c r="R159" s="26">
        <f>MIN(IF(MONTH($C159)=4,$S$3,IF(MONTH($C159)=5,$S$4,IF(MONTH($C159)=6,$S$5,IF(MONTH($C159)=7,$S$6,"ERROR")))),MAX(VLOOKUP($C159,COS!$B$8:$K$991,10,FALSE)-IF(MONTH($C159)=4,$Y$3,IF(MONTH($C159)=5,$Y$4,IF(MONTH($C159)=6,$Y$5,IF(MONTH($C159)=7,$Y$6,"ERROR")))),0),MAX(VLOOKUP($C159,COS!$B$8:$K$991,9,FALSE)-IF(MONTH($C159)=4,$V$3,IF(MONTH($C159)=5,$V$4,IF(MONTH($C159)=6,$V$5,IF(MONTH($C159)=7,$V$6,"ERROR"))))-VLOOKUP($C159,COS!$B$8:$K$991,6,FALSE)/2,0))</f>
        <v>750</v>
      </c>
      <c r="S159" s="26">
        <f t="shared" si="252"/>
        <v>46.115702479338843</v>
      </c>
      <c r="T159" s="26">
        <f t="shared" si="253"/>
        <v>132.46597993204415</v>
      </c>
      <c r="U159" s="26" t="str">
        <f>IF(VLOOKUP($C159,COS!$B$8:$I$991,8,FALSE)=1,"UWFE","IBU")</f>
        <v>UWFE</v>
      </c>
      <c r="V159" s="26">
        <f t="shared" ref="V159" si="255">MIN(IF(IF($AA$3=2,AND(E159=1,G159=1,L159=1,L163=1,M159=1,U159="IBU"),AND(E159=1,G159=1,L159=1,L163=1,M159=1)),T159,0),I159)</f>
        <v>0</v>
      </c>
      <c r="W159" s="26"/>
      <c r="X159" s="26"/>
      <c r="Y159" s="26"/>
      <c r="Z159" s="26"/>
      <c r="AA159" s="26"/>
      <c r="AB159" s="33"/>
    </row>
    <row r="160" spans="1:28" x14ac:dyDescent="0.3">
      <c r="A160" s="32">
        <f>VLOOKUP(YEAR(C160),Flags!$A$13:$B$95,2,FALSE)</f>
        <v>1</v>
      </c>
      <c r="B160" s="24">
        <f t="shared" si="225"/>
        <v>1938</v>
      </c>
      <c r="C160" s="25">
        <v>14061</v>
      </c>
      <c r="D160" s="26">
        <f>VLOOKUP($C160,COS!$B$8:$H$991,3,FALSE)</f>
        <v>7901.6748046875</v>
      </c>
      <c r="E160" s="24">
        <f>IF(D160&gt;=IF(MONTH($C160)=4,$C$3,IF(MONTH($C160)=5,$C$4,IF(MONTH($C160)=6,$C$5,IF(MONTH($C160)=7,$C$6,"ERROR")))),1,0)</f>
        <v>0</v>
      </c>
      <c r="F160" s="26">
        <f>VLOOKUP($C160,COS!$B$8:$H$991,7,FALSE)</f>
        <v>52.2984619140625</v>
      </c>
      <c r="G160" s="24">
        <f>IF(F160&lt;=IF(MONTH($C160)=4,$F$3,IF(MONTH($C160)=5,$F$4,IF(MONTH($C160)=6,$F$5,IF(MONTH($C160)=7,$F$6,"ERROR")))),1,0)</f>
        <v>1</v>
      </c>
      <c r="H160" s="26">
        <f>IF(J160=1,D160-$C$5,0)</f>
        <v>0</v>
      </c>
      <c r="I160" s="26">
        <f t="shared" si="239"/>
        <v>0</v>
      </c>
      <c r="J160" s="24">
        <f t="shared" si="247"/>
        <v>0</v>
      </c>
      <c r="K160" s="26">
        <f>VLOOKUP($C160,COS!$B$8:$H$991,2,FALSE)</f>
        <v>4435.94384765625</v>
      </c>
      <c r="L160" s="24">
        <f t="shared" si="231"/>
        <v>1</v>
      </c>
      <c r="M160" s="24">
        <f t="shared" si="232"/>
        <v>0</v>
      </c>
      <c r="N160" s="26">
        <f>VLOOKUP($C160,COS!$B$8:$H$991,5,FALSE)</f>
        <v>1236.6031494140625</v>
      </c>
      <c r="O160" s="26">
        <f t="shared" si="250"/>
        <v>73.582997320506195</v>
      </c>
      <c r="P160" s="26">
        <f>VLOOKUP($C160,COS!$B$8:$H$991,6,FALSE)</f>
        <v>2276.98291015625</v>
      </c>
      <c r="Q160" s="26">
        <f t="shared" si="251"/>
        <v>135.48989217458677</v>
      </c>
      <c r="R160" s="26">
        <f>MIN(IF(MONTH($C160)=4,$S$3,IF(MONTH($C160)=5,$S$4,IF(MONTH($C160)=6,$S$5,IF(MONTH($C160)=7,$S$6,"ERROR")))),MAX(VLOOKUP($C160,COS!$B$8:$K$991,10,FALSE)-IF(MONTH($C160)=4,$Y$3,IF(MONTH($C160)=5,$Y$4,IF(MONTH($C160)=6,$Y$5,IF(MONTH($C160)=7,$Y$6,"ERROR")))),0),MAX(VLOOKUP($C160,COS!$B$8:$K$991,9,FALSE)-IF(MONTH($C160)=4,$V$3,IF(MONTH($C160)=5,$V$4,IF(MONTH($C160)=6,$V$5,IF(MONTH($C160)=7,$V$6,"ERROR"))))-VLOOKUP($C160,COS!$B$8:$K$991,6,FALSE)/2,0))</f>
        <v>750</v>
      </c>
      <c r="S160" s="26">
        <f t="shared" si="252"/>
        <v>44.628099173553714</v>
      </c>
      <c r="T160" s="26">
        <f t="shared" si="253"/>
        <v>149.1645439211002</v>
      </c>
      <c r="U160" s="26" t="str">
        <f>IF(VLOOKUP($C160,COS!$B$8:$I$991,8,FALSE)=1,"UWFE","IBU")</f>
        <v>UWFE</v>
      </c>
      <c r="V160" s="26">
        <f t="shared" ref="V160" si="256">MIN(IF(IF($AA$3=2,AND(E160=1,G160=1,L160=1,L163=1,M160=1,U160="IBU"),AND(E160=1,G160=1,L160=1,L163=1,M160=1)),T160,0),I160)</f>
        <v>0</v>
      </c>
      <c r="W160" s="26"/>
      <c r="X160" s="26"/>
      <c r="Y160" s="26"/>
      <c r="Z160" s="26"/>
      <c r="AA160" s="26"/>
      <c r="AB160" s="33"/>
    </row>
    <row r="161" spans="1:28" x14ac:dyDescent="0.3">
      <c r="A161" s="32">
        <f>VLOOKUP(YEAR(C161),Flags!$A$13:$B$95,2,FALSE)</f>
        <v>1</v>
      </c>
      <c r="B161" s="24">
        <f t="shared" si="225"/>
        <v>1938</v>
      </c>
      <c r="C161" s="25">
        <v>14092</v>
      </c>
      <c r="D161" s="26">
        <f>VLOOKUP($C161,COS!$B$8:$H$991,3,FALSE)</f>
        <v>10626.4931640625</v>
      </c>
      <c r="E161" s="24">
        <f>IF(D161&gt;=IF(MONTH($C161)=4,$C$3,IF(MONTH($C161)=5,$C$4,IF(MONTH($C161)=6,$C$5,IF(MONTH($C161)=7,$C$6,"ERROR")))),1,0)</f>
        <v>0</v>
      </c>
      <c r="F161" s="26">
        <f>VLOOKUP($C161,COS!$B$8:$H$991,7,FALSE)</f>
        <v>52.414962768554688</v>
      </c>
      <c r="G161" s="24">
        <f>IF(F161&lt;=IF(MONTH($C161)=4,$F$3,IF(MONTH($C161)=5,$F$4,IF(MONTH($C161)=6,$F$5,IF(MONTH($C161)=7,$F$6,"ERROR")))),1,0)</f>
        <v>1</v>
      </c>
      <c r="H161" s="26">
        <f>IF(J161=1,D161-$C$6,0)</f>
        <v>0</v>
      </c>
      <c r="I161" s="26">
        <f t="shared" si="239"/>
        <v>0</v>
      </c>
      <c r="J161" s="24">
        <f t="shared" si="247"/>
        <v>0</v>
      </c>
      <c r="K161" s="26">
        <f>VLOOKUP($C161,COS!$B$8:$H$991,2,FALSE)</f>
        <v>4015.395751953125</v>
      </c>
      <c r="L161" s="24">
        <f t="shared" si="231"/>
        <v>1</v>
      </c>
      <c r="M161" s="24">
        <f t="shared" si="232"/>
        <v>0</v>
      </c>
      <c r="N161" s="26">
        <f>VLOOKUP($C161,COS!$B$8:$H$991,5,FALSE)</f>
        <v>1349.977294921875</v>
      </c>
      <c r="O161" s="26">
        <f t="shared" si="250"/>
        <v>83.006868381973135</v>
      </c>
      <c r="P161" s="26">
        <f>VLOOKUP($C161,COS!$B$8:$H$991,6,FALSE)</f>
        <v>2521.474853515625</v>
      </c>
      <c r="Q161" s="26">
        <f t="shared" si="251"/>
        <v>155.0394455384814</v>
      </c>
      <c r="R161" s="26">
        <f>MIN(IF(MONTH($C161)=4,$S$3,IF(MONTH($C161)=5,$S$4,IF(MONTH($C161)=6,$S$5,IF(MONTH($C161)=7,$S$6,"ERROR")))),MAX(VLOOKUP($C161,COS!$B$8:$K$991,10,FALSE)-IF(MONTH($C161)=4,$Y$3,IF(MONTH($C161)=5,$Y$4,IF(MONTH($C161)=6,$Y$5,IF(MONTH($C161)=7,$Y$6,"ERROR")))),0),MAX(VLOOKUP($C161,COS!$B$8:$K$991,9,FALSE)-IF(MONTH($C161)=4,$V$3,IF(MONTH($C161)=5,$V$4,IF(MONTH($C161)=6,$V$5,IF(MONTH($C161)=7,$V$6,"ERROR"))))-VLOOKUP($C161,COS!$B$8:$K$991,6,FALSE)/2,0))</f>
        <v>750</v>
      </c>
      <c r="S161" s="26">
        <f t="shared" si="252"/>
        <v>46.115702479338843</v>
      </c>
      <c r="T161" s="26">
        <f t="shared" si="253"/>
        <v>165.13885943956612</v>
      </c>
      <c r="U161" s="26" t="str">
        <f>IF(VLOOKUP($C161,COS!$B$8:$I$991,8,FALSE)=1,"UWFE","IBU")</f>
        <v>IBU</v>
      </c>
      <c r="V161" s="26">
        <f t="shared" ref="V161" si="257">MIN(IF(IF($AA$3=2,AND(E161=1,G161=1,L161=1,L163=1,M161=1,U161="IBU"),AND(E161=1,G161=1,L161=1,L163=1,M161=1)),T161,0),I161)</f>
        <v>0</v>
      </c>
      <c r="W161" s="26"/>
      <c r="X161" s="26"/>
      <c r="Y161" s="26"/>
      <c r="Z161" s="26"/>
      <c r="AA161" s="26"/>
      <c r="AB161" s="33"/>
    </row>
    <row r="162" spans="1:28" x14ac:dyDescent="0.3">
      <c r="A162" s="32">
        <f>VLOOKUP(YEAR(C162),Flags!$A$13:$B$95,2,FALSE)</f>
        <v>1</v>
      </c>
      <c r="B162" s="24">
        <f t="shared" si="225"/>
        <v>1938</v>
      </c>
      <c r="C162" s="25">
        <v>14123</v>
      </c>
      <c r="D162" s="26"/>
      <c r="E162" s="24"/>
      <c r="F162" s="26"/>
      <c r="G162" s="24"/>
      <c r="H162" s="24"/>
      <c r="I162" s="26"/>
      <c r="J162" s="24"/>
      <c r="K162" s="26"/>
      <c r="L162" s="24"/>
      <c r="M162" s="24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f>MAX($C$7-VLOOKUP($C162,COS!$B$8:$H$991,3,FALSE),0)</f>
        <v>89530.1455078125</v>
      </c>
      <c r="X162" s="26">
        <f t="shared" si="245"/>
        <v>5504.9940708935947</v>
      </c>
      <c r="Y162" s="26">
        <f>VLOOKUP($C162,COS!$B$8:$H$991,4,FALSE)</f>
        <v>0</v>
      </c>
      <c r="Z162" s="26">
        <f t="shared" si="246"/>
        <v>0</v>
      </c>
      <c r="AA162" s="26">
        <f t="shared" ref="AA162:AA166" si="258">MIN(W162,Y162)</f>
        <v>0</v>
      </c>
      <c r="AB162" s="33">
        <f t="shared" ref="AB162" si="259">AA162*DAY($C162)*86400/43560/1000*IF(MONTH($C162)=8,$P$3,IF(MONTH($C162)=9,$P$4,IF(MONTH($C162)=10,$P$5,IF(MONTH($C162)=11,$P$6,IF(MONTH($C162)=12,$P$7,NA())))))</f>
        <v>0</v>
      </c>
    </row>
    <row r="163" spans="1:28" x14ac:dyDescent="0.3">
      <c r="A163" s="32">
        <f>VLOOKUP(YEAR(C163),Flags!$A$13:$B$95,2,FALSE)</f>
        <v>1</v>
      </c>
      <c r="B163" s="24">
        <f t="shared" si="225"/>
        <v>1938</v>
      </c>
      <c r="C163" s="25">
        <v>14153</v>
      </c>
      <c r="D163" s="26"/>
      <c r="E163" s="24"/>
      <c r="F163" s="26"/>
      <c r="G163" s="24"/>
      <c r="H163" s="24"/>
      <c r="I163" s="26"/>
      <c r="J163" s="24"/>
      <c r="K163" s="26">
        <f>VLOOKUP($C163,COS!$B$8:$H$991,2,FALSE)</f>
        <v>3067.66845703125</v>
      </c>
      <c r="L163" s="24">
        <f t="shared" ref="L163" si="260">IF(AND(K163&gt;$I$7,K163&lt;$I$8),1,0)</f>
        <v>1</v>
      </c>
      <c r="M163" s="24"/>
      <c r="N163" s="26"/>
      <c r="O163" s="26"/>
      <c r="P163" s="26"/>
      <c r="Q163" s="26"/>
      <c r="R163" s="26"/>
      <c r="S163" s="26"/>
      <c r="T163" s="26"/>
      <c r="U163" s="26"/>
      <c r="V163" s="26"/>
      <c r="W163" s="26">
        <f>MAX($C$8-VLOOKUP($C163,COS!$B$8:$H$991,3,FALSE),0)</f>
        <v>84308.306640625</v>
      </c>
      <c r="X163" s="26">
        <f t="shared" si="245"/>
        <v>5016.6926265495867</v>
      </c>
      <c r="Y163" s="26">
        <f>VLOOKUP($C163,COS!$B$8:$H$991,4,FALSE)</f>
        <v>0</v>
      </c>
      <c r="Z163" s="26">
        <f t="shared" si="246"/>
        <v>0</v>
      </c>
      <c r="AA163" s="26">
        <f t="shared" si="258"/>
        <v>0</v>
      </c>
      <c r="AB163" s="33">
        <f t="shared" si="243"/>
        <v>0</v>
      </c>
    </row>
    <row r="164" spans="1:28" x14ac:dyDescent="0.3">
      <c r="A164" s="32">
        <f>VLOOKUP(YEAR(C164),Flags!$A$13:$B$95,2,FALSE)</f>
        <v>1</v>
      </c>
      <c r="B164" s="24">
        <f t="shared" si="225"/>
        <v>1938</v>
      </c>
      <c r="C164" s="25">
        <v>14184</v>
      </c>
      <c r="D164" s="26"/>
      <c r="E164" s="24"/>
      <c r="F164" s="26"/>
      <c r="G164" s="26"/>
      <c r="H164" s="26"/>
      <c r="I164" s="26"/>
      <c r="J164" s="26"/>
      <c r="K164" s="26"/>
      <c r="L164" s="24"/>
      <c r="M164" s="24"/>
      <c r="N164" s="26"/>
      <c r="O164" s="26"/>
      <c r="P164" s="26"/>
      <c r="Q164" s="26"/>
      <c r="R164" s="26"/>
      <c r="S164" s="26"/>
      <c r="T164" s="26"/>
      <c r="U164" s="26"/>
      <c r="V164" s="26"/>
      <c r="W164" s="26">
        <f>MAX($C$9-VLOOKUP($C164,COS!$B$8:$H$991,3,FALSE),0)</f>
        <v>94842.9638671875</v>
      </c>
      <c r="X164" s="26">
        <f t="shared" si="245"/>
        <v>5831.6665386105378</v>
      </c>
      <c r="Y164" s="26">
        <f>VLOOKUP($C164,COS!$B$8:$H$991,4,FALSE)</f>
        <v>48.355400085449219</v>
      </c>
      <c r="Z164" s="26">
        <f t="shared" si="246"/>
        <v>2.9732576581466295</v>
      </c>
      <c r="AA164" s="26">
        <f t="shared" si="258"/>
        <v>48.355400085449219</v>
      </c>
      <c r="AB164" s="33">
        <f t="shared" si="243"/>
        <v>2.9732576581466295</v>
      </c>
    </row>
    <row r="165" spans="1:28" x14ac:dyDescent="0.3">
      <c r="A165" s="32">
        <f>VLOOKUP(YEAR(C165),Flags!$A$13:$B$95,2,FALSE)</f>
        <v>1</v>
      </c>
      <c r="B165" s="24">
        <f t="shared" si="225"/>
        <v>1938</v>
      </c>
      <c r="C165" s="25">
        <v>14214</v>
      </c>
      <c r="D165" s="26"/>
      <c r="E165" s="24"/>
      <c r="F165" s="26"/>
      <c r="G165" s="26"/>
      <c r="H165" s="26"/>
      <c r="I165" s="26"/>
      <c r="J165" s="26"/>
      <c r="K165" s="26"/>
      <c r="L165" s="24"/>
      <c r="M165" s="24"/>
      <c r="N165" s="26"/>
      <c r="O165" s="26"/>
      <c r="P165" s="26"/>
      <c r="Q165" s="26"/>
      <c r="R165" s="26"/>
      <c r="S165" s="26"/>
      <c r="T165" s="26"/>
      <c r="U165" s="26"/>
      <c r="V165" s="26"/>
      <c r="W165" s="26">
        <f>MAX($C$10-VLOOKUP($C165,COS!$B$8:$H$991,3,FALSE),0)</f>
        <v>91290.8857421875</v>
      </c>
      <c r="X165" s="26">
        <f t="shared" si="245"/>
        <v>5432.1849367252071</v>
      </c>
      <c r="Y165" s="26">
        <f>VLOOKUP($C165,COS!$B$8:$H$991,4,FALSE)</f>
        <v>0</v>
      </c>
      <c r="Z165" s="26">
        <f t="shared" si="246"/>
        <v>0</v>
      </c>
      <c r="AA165" s="26">
        <f t="shared" si="258"/>
        <v>0</v>
      </c>
      <c r="AB165" s="33">
        <f t="shared" si="243"/>
        <v>0</v>
      </c>
    </row>
    <row r="166" spans="1:28" x14ac:dyDescent="0.3">
      <c r="A166" s="34">
        <f>VLOOKUP(YEAR(C166),Flags!$A$13:$B$95,2,FALSE)</f>
        <v>1</v>
      </c>
      <c r="B166" s="35">
        <f t="shared" si="225"/>
        <v>1938</v>
      </c>
      <c r="C166" s="36">
        <v>14245</v>
      </c>
      <c r="D166" s="37"/>
      <c r="E166" s="35"/>
      <c r="F166" s="37"/>
      <c r="G166" s="37"/>
      <c r="H166" s="37"/>
      <c r="I166" s="37"/>
      <c r="J166" s="37"/>
      <c r="K166" s="37"/>
      <c r="L166" s="35"/>
      <c r="M166" s="35"/>
      <c r="N166" s="37"/>
      <c r="O166" s="37"/>
      <c r="P166" s="37"/>
      <c r="Q166" s="37"/>
      <c r="R166" s="37"/>
      <c r="S166" s="37"/>
      <c r="T166" s="37"/>
      <c r="U166" s="37"/>
      <c r="V166" s="37"/>
      <c r="W166" s="37">
        <f>MAX($C$11-VLOOKUP($C166,COS!$B$8:$H$991,3,FALSE),0)</f>
        <v>0</v>
      </c>
      <c r="X166" s="37">
        <f t="shared" si="245"/>
        <v>0</v>
      </c>
      <c r="Y166" s="37">
        <f>VLOOKUP($C166,COS!$B$8:$H$991,4,FALSE)</f>
        <v>0</v>
      </c>
      <c r="Z166" s="37">
        <f t="shared" si="246"/>
        <v>0</v>
      </c>
      <c r="AA166" s="37">
        <f t="shared" si="258"/>
        <v>0</v>
      </c>
      <c r="AB166" s="38">
        <f t="shared" si="243"/>
        <v>0</v>
      </c>
    </row>
    <row r="167" spans="1:28" x14ac:dyDescent="0.3">
      <c r="A167" s="27">
        <f>VLOOKUP(YEAR(C167),Flags!$A$13:$B$95,2,FALSE)</f>
        <v>3</v>
      </c>
      <c r="B167" s="28">
        <f t="shared" si="225"/>
        <v>1939</v>
      </c>
      <c r="C167" s="29">
        <v>14365</v>
      </c>
      <c r="D167" s="30">
        <f>VLOOKUP($C167,COS!$B$8:$H$991,3,FALSE)</f>
        <v>5639.22900390625</v>
      </c>
      <c r="E167" s="28">
        <f>IF(D167&gt;=IF(MONTH($C167)=4,$C$3,IF(MONTH($C167)=5,$C$4,IF(MONTH($C167)=6,$C$5,IF(MONTH($C167)=7,$C$6,"ERROR")))),1,0)</f>
        <v>0</v>
      </c>
      <c r="F167" s="30">
        <f>VLOOKUP($C167,COS!$B$8:$H$991,7,FALSE)</f>
        <v>50.994121551513672</v>
      </c>
      <c r="G167" s="28">
        <f>IF(F167&lt;=IF(MONTH($C167)=4,$F$3,IF(MONTH($C167)=5,$F$4,IF(MONTH($C167)=6,$F$5,IF(MONTH($C167)=7,$F$6,"ERROR")))),1,0)</f>
        <v>1</v>
      </c>
      <c r="H167" s="30">
        <f>IF(J167=1,D167-$C$3,0)</f>
        <v>0</v>
      </c>
      <c r="I167" s="30">
        <f t="shared" si="239"/>
        <v>0</v>
      </c>
      <c r="J167" s="28">
        <f t="shared" ref="J167:J170" si="261">IF(AND(E167=1,G167=1),1,0)</f>
        <v>0</v>
      </c>
      <c r="K167" s="30">
        <f>VLOOKUP($C167,COS!$B$8:$H$991,2,FALSE)</f>
        <v>3617.388427734375</v>
      </c>
      <c r="L167" s="28">
        <f t="shared" ref="L167" si="262">IF(K167&lt;=IF(MONTH($C167)=4,$I$3,IF(MONTH($C167)=5,$I$4,IF(MONTH($C167)=6,$I$5,IF(MONTH($C167)=7,$I$6,"ERROR")))),1,0)</f>
        <v>1</v>
      </c>
      <c r="M167" s="28">
        <f t="shared" ref="M167" si="263">VLOOKUP($A167,$L$3:$M$7,2,FALSE)</f>
        <v>0</v>
      </c>
      <c r="N167" s="30">
        <f>VLOOKUP($C167,COS!$B$8:$H$991,5,FALSE)</f>
        <v>605.5399169921875</v>
      </c>
      <c r="O167" s="30">
        <f t="shared" ref="O167:O170" si="264">N167*DAY($C167)*86400/43560/1000</f>
        <v>36.032127292097108</v>
      </c>
      <c r="P167" s="30">
        <f>VLOOKUP($C167,COS!$B$8:$H$991,6,FALSE)</f>
        <v>578.7889404296875</v>
      </c>
      <c r="Q167" s="30">
        <f t="shared" ref="Q167:Q170" si="265">P167*DAY($C167)*86400/43560/1000</f>
        <v>34.440333645402887</v>
      </c>
      <c r="R167" s="30">
        <f>MIN(IF(MONTH($C167)=4,$S$3,IF(MONTH($C167)=5,$S$4,IF(MONTH($C167)=6,$S$5,IF(MONTH($C167)=7,$S$6,"ERROR")))),MAX(VLOOKUP($C167,COS!$B$8:$K$991,10,FALSE)-IF(MONTH($C167)=4,$Y$3,IF(MONTH($C167)=5,$Y$4,IF(MONTH($C167)=6,$Y$5,IF(MONTH($C167)=7,$Y$6,"ERROR")))),0),MAX(VLOOKUP($C167,COS!$B$8:$K$991,9,FALSE)-IF(MONTH($C167)=4,$V$3,IF(MONTH($C167)=5,$V$4,IF(MONTH($C167)=6,$V$5,IF(MONTH($C167)=7,$V$6,"ERROR"))))-VLOOKUP($C167,COS!$B$8:$K$991,6,FALSE)/2,0))</f>
        <v>750</v>
      </c>
      <c r="S167" s="30">
        <f t="shared" ref="S167:S170" si="266">R167*DAY($C167)*86400/43560/1000</f>
        <v>44.628099173553714</v>
      </c>
      <c r="T167" s="30">
        <f t="shared" ref="T167:T170" si="267">(O167+Q167)/2+S167</f>
        <v>79.864329642303716</v>
      </c>
      <c r="U167" s="30" t="str">
        <f>IF(VLOOKUP($C167,COS!$B$8:$I$991,8,FALSE)=1,"UWFE","IBU")</f>
        <v>UWFE</v>
      </c>
      <c r="V167" s="30">
        <f t="shared" ref="V167" si="268">MIN(IF(IF($AA$3=2,AND(E167=1,G167=1,L167=1,L172=1,M167=1,U167="IBU"),AND(E167=1,G167=1,L167=1,L172=1,M167=1)),T167,0),I167)</f>
        <v>0</v>
      </c>
      <c r="W167" s="30"/>
      <c r="X167" s="30"/>
      <c r="Y167" s="30"/>
      <c r="Z167" s="30"/>
      <c r="AA167" s="30"/>
      <c r="AB167" s="31"/>
    </row>
    <row r="168" spans="1:28" x14ac:dyDescent="0.3">
      <c r="A168" s="32">
        <f>VLOOKUP(YEAR(C168),Flags!$A$13:$B$95,2,FALSE)</f>
        <v>3</v>
      </c>
      <c r="B168" s="24">
        <f t="shared" si="225"/>
        <v>1939</v>
      </c>
      <c r="C168" s="25">
        <v>14396</v>
      </c>
      <c r="D168" s="26">
        <f>VLOOKUP($C168,COS!$B$8:$H$991,3,FALSE)</f>
        <v>10183.0283203125</v>
      </c>
      <c r="E168" s="24">
        <f>IF(D168&gt;=IF(MONTH($C168)=4,$C$3,IF(MONTH($C168)=5,$C$4,IF(MONTH($C168)=6,$C$5,IF(MONTH($C168)=7,$C$6,"ERROR")))),1,0)</f>
        <v>1</v>
      </c>
      <c r="F168" s="26">
        <f>VLOOKUP($C168,COS!$B$8:$H$991,7,FALSE)</f>
        <v>50.974002838134766</v>
      </c>
      <c r="G168" s="24">
        <f>IF(F168&lt;=IF(MONTH($C168)=4,$F$3,IF(MONTH($C168)=5,$F$4,IF(MONTH($C168)=6,$F$5,IF(MONTH($C168)=7,$F$6,"ERROR")))),1,0)</f>
        <v>1</v>
      </c>
      <c r="H168" s="26">
        <f>IF(J168=1,D168-$C$4,0)</f>
        <v>4183.0283203125</v>
      </c>
      <c r="I168" s="26">
        <f t="shared" si="239"/>
        <v>257.20438597623968</v>
      </c>
      <c r="J168" s="24">
        <f t="shared" si="261"/>
        <v>1</v>
      </c>
      <c r="K168" s="26">
        <f>VLOOKUP($C168,COS!$B$8:$H$991,2,FALSE)</f>
        <v>3339.732177734375</v>
      </c>
      <c r="L168" s="24">
        <f t="shared" si="231"/>
        <v>1</v>
      </c>
      <c r="M168" s="24">
        <f t="shared" si="232"/>
        <v>0</v>
      </c>
      <c r="N168" s="26">
        <f>VLOOKUP($C168,COS!$B$8:$H$991,5,FALSE)</f>
        <v>507.59902954101563</v>
      </c>
      <c r="O168" s="26">
        <f t="shared" si="264"/>
        <v>31.211047766819473</v>
      </c>
      <c r="P168" s="26">
        <f>VLOOKUP($C168,COS!$B$8:$H$991,6,FALSE)</f>
        <v>2184.023681640625</v>
      </c>
      <c r="Q168" s="26">
        <f t="shared" si="265"/>
        <v>134.29038174715907</v>
      </c>
      <c r="R168" s="26">
        <f>MIN(IF(MONTH($C168)=4,$S$3,IF(MONTH($C168)=5,$S$4,IF(MONTH($C168)=6,$S$5,IF(MONTH($C168)=7,$S$6,"ERROR")))),MAX(VLOOKUP($C168,COS!$B$8:$K$991,10,FALSE)-IF(MONTH($C168)=4,$Y$3,IF(MONTH($C168)=5,$Y$4,IF(MONTH($C168)=6,$Y$5,IF(MONTH($C168)=7,$Y$6,"ERROR")))),0),MAX(VLOOKUP($C168,COS!$B$8:$K$991,9,FALSE)-IF(MONTH($C168)=4,$V$3,IF(MONTH($C168)=5,$V$4,IF(MONTH($C168)=6,$V$5,IF(MONTH($C168)=7,$V$6,"ERROR"))))-VLOOKUP($C168,COS!$B$8:$K$991,6,FALSE)/2,0))</f>
        <v>750</v>
      </c>
      <c r="S168" s="26">
        <f t="shared" si="266"/>
        <v>46.115702479338843</v>
      </c>
      <c r="T168" s="26">
        <f t="shared" si="267"/>
        <v>128.86641723632812</v>
      </c>
      <c r="U168" s="26" t="str">
        <f>IF(VLOOKUP($C168,COS!$B$8:$I$991,8,FALSE)=1,"UWFE","IBU")</f>
        <v>IBU</v>
      </c>
      <c r="V168" s="26">
        <f t="shared" ref="V168" si="269">MIN(IF(IF($AA$3=2,AND(E168=1,G168=1,L168=1,L172=1,M168=1,U168="IBU"),AND(E168=1,G168=1,L168=1,L172=1,M168=1)),T168,0),I168)</f>
        <v>0</v>
      </c>
      <c r="W168" s="26"/>
      <c r="X168" s="26"/>
      <c r="Y168" s="26"/>
      <c r="Z168" s="26"/>
      <c r="AA168" s="26"/>
      <c r="AB168" s="33"/>
    </row>
    <row r="169" spans="1:28" x14ac:dyDescent="0.3">
      <c r="A169" s="32">
        <f>VLOOKUP(YEAR(C169),Flags!$A$13:$B$95,2,FALSE)</f>
        <v>3</v>
      </c>
      <c r="B169" s="24">
        <f t="shared" si="225"/>
        <v>1939</v>
      </c>
      <c r="C169" s="25">
        <v>14426</v>
      </c>
      <c r="D169" s="26">
        <f>VLOOKUP($C169,COS!$B$8:$H$991,3,FALSE)</f>
        <v>12354.21484375</v>
      </c>
      <c r="E169" s="24">
        <f>IF(D169&gt;=IF(MONTH($C169)=4,$C$3,IF(MONTH($C169)=5,$C$4,IF(MONTH($C169)=6,$C$5,IF(MONTH($C169)=7,$C$6,"ERROR")))),1,0)</f>
        <v>1</v>
      </c>
      <c r="F169" s="26">
        <f>VLOOKUP($C169,COS!$B$8:$H$991,7,FALSE)</f>
        <v>52.385540008544922</v>
      </c>
      <c r="G169" s="24">
        <f>IF(F169&lt;=IF(MONTH($C169)=4,$F$3,IF(MONTH($C169)=5,$F$4,IF(MONTH($C169)=6,$F$5,IF(MONTH($C169)=7,$F$6,"ERROR")))),1,0)</f>
        <v>1</v>
      </c>
      <c r="H169" s="26">
        <f>IF(J169=1,D169-$C$5,0)</f>
        <v>2354.21484375</v>
      </c>
      <c r="I169" s="26">
        <f t="shared" si="239"/>
        <v>140.08551136363636</v>
      </c>
      <c r="J169" s="24">
        <f t="shared" si="261"/>
        <v>1</v>
      </c>
      <c r="K169" s="26">
        <f>VLOOKUP($C169,COS!$B$8:$H$991,2,FALSE)</f>
        <v>2944.504150390625</v>
      </c>
      <c r="L169" s="24">
        <f t="shared" si="231"/>
        <v>1</v>
      </c>
      <c r="M169" s="24">
        <f t="shared" si="232"/>
        <v>0</v>
      </c>
      <c r="N169" s="26">
        <f>VLOOKUP($C169,COS!$B$8:$H$991,5,FALSE)</f>
        <v>658.92901611328125</v>
      </c>
      <c r="O169" s="26">
        <f t="shared" si="264"/>
        <v>39.208999305914261</v>
      </c>
      <c r="P169" s="26">
        <f>VLOOKUP($C169,COS!$B$8:$H$991,6,FALSE)</f>
        <v>2679.353271484375</v>
      </c>
      <c r="Q169" s="26">
        <f t="shared" si="265"/>
        <v>159.43259136105374</v>
      </c>
      <c r="R169" s="26">
        <f>MIN(IF(MONTH($C169)=4,$S$3,IF(MONTH($C169)=5,$S$4,IF(MONTH($C169)=6,$S$5,IF(MONTH($C169)=7,$S$6,"ERROR")))),MAX(VLOOKUP($C169,COS!$B$8:$K$991,10,FALSE)-IF(MONTH($C169)=4,$Y$3,IF(MONTH($C169)=5,$Y$4,IF(MONTH($C169)=6,$Y$5,IF(MONTH($C169)=7,$Y$6,"ERROR")))),0),MAX(VLOOKUP($C169,COS!$B$8:$K$991,9,FALSE)-IF(MONTH($C169)=4,$V$3,IF(MONTH($C169)=5,$V$4,IF(MONTH($C169)=6,$V$5,IF(MONTH($C169)=7,$V$6,"ERROR"))))-VLOOKUP($C169,COS!$B$8:$K$991,6,FALSE)/2,0))</f>
        <v>750</v>
      </c>
      <c r="S169" s="26">
        <f t="shared" si="266"/>
        <v>44.628099173553714</v>
      </c>
      <c r="T169" s="26">
        <f t="shared" si="267"/>
        <v>143.94889450703772</v>
      </c>
      <c r="U169" s="26" t="str">
        <f>IF(VLOOKUP($C169,COS!$B$8:$I$991,8,FALSE)=1,"UWFE","IBU")</f>
        <v>IBU</v>
      </c>
      <c r="V169" s="26">
        <f t="shared" ref="V169" si="270">MIN(IF(IF($AA$3=2,AND(E169=1,G169=1,L169=1,L172=1,M169=1,U169="IBU"),AND(E169=1,G169=1,L169=1,L172=1,M169=1)),T169,0),I169)</f>
        <v>0</v>
      </c>
      <c r="W169" s="26"/>
      <c r="X169" s="26"/>
      <c r="Y169" s="26"/>
      <c r="Z169" s="26"/>
      <c r="AA169" s="26"/>
      <c r="AB169" s="33"/>
    </row>
    <row r="170" spans="1:28" x14ac:dyDescent="0.3">
      <c r="A170" s="32">
        <f>VLOOKUP(YEAR(C170),Flags!$A$13:$B$95,2,FALSE)</f>
        <v>3</v>
      </c>
      <c r="B170" s="24">
        <f t="shared" si="225"/>
        <v>1939</v>
      </c>
      <c r="C170" s="25">
        <v>14457</v>
      </c>
      <c r="D170" s="26">
        <f>VLOOKUP($C170,COS!$B$8:$H$991,3,FALSE)</f>
        <v>16000</v>
      </c>
      <c r="E170" s="24">
        <f>IF(D170&gt;=IF(MONTH($C170)=4,$C$3,IF(MONTH($C170)=5,$C$4,IF(MONTH($C170)=6,$C$5,IF(MONTH($C170)=7,$C$6,"ERROR")))),1,0)</f>
        <v>1</v>
      </c>
      <c r="F170" s="26">
        <f>VLOOKUP($C170,COS!$B$8:$H$991,7,FALSE)</f>
        <v>53.516410827636719</v>
      </c>
      <c r="G170" s="24">
        <f>IF(F170&lt;=IF(MONTH($C170)=4,$F$3,IF(MONTH($C170)=5,$F$4,IF(MONTH($C170)=6,$F$5,IF(MONTH($C170)=7,$F$6,"ERROR")))),1,0)</f>
        <v>0</v>
      </c>
      <c r="H170" s="26">
        <f>IF(J170=1,D170-$C$6,0)</f>
        <v>0</v>
      </c>
      <c r="I170" s="26">
        <f t="shared" si="239"/>
        <v>0</v>
      </c>
      <c r="J170" s="24">
        <f t="shared" si="261"/>
        <v>0</v>
      </c>
      <c r="K170" s="26">
        <f>VLOOKUP($C170,COS!$B$8:$H$991,2,FALSE)</f>
        <v>2319.410888671875</v>
      </c>
      <c r="L170" s="24">
        <f t="shared" si="231"/>
        <v>1</v>
      </c>
      <c r="M170" s="24">
        <f t="shared" si="232"/>
        <v>0</v>
      </c>
      <c r="N170" s="26">
        <f>VLOOKUP($C170,COS!$B$8:$H$991,5,FALSE)</f>
        <v>718.189208984375</v>
      </c>
      <c r="O170" s="26">
        <f t="shared" si="264"/>
        <v>44.159733180526864</v>
      </c>
      <c r="P170" s="26">
        <f>VLOOKUP($C170,COS!$B$8:$H$991,6,FALSE)</f>
        <v>2421.51171875</v>
      </c>
      <c r="Q170" s="26">
        <f t="shared" si="265"/>
        <v>148.89295196280992</v>
      </c>
      <c r="R170" s="26">
        <f>MIN(IF(MONTH($C170)=4,$S$3,IF(MONTH($C170)=5,$S$4,IF(MONTH($C170)=6,$S$5,IF(MONTH($C170)=7,$S$6,"ERROR")))),MAX(VLOOKUP($C170,COS!$B$8:$K$991,10,FALSE)-IF(MONTH($C170)=4,$Y$3,IF(MONTH($C170)=5,$Y$4,IF(MONTH($C170)=6,$Y$5,IF(MONTH($C170)=7,$Y$6,"ERROR")))),0),MAX(VLOOKUP($C170,COS!$B$8:$K$991,9,FALSE)-IF(MONTH($C170)=4,$V$3,IF(MONTH($C170)=5,$V$4,IF(MONTH($C170)=6,$V$5,IF(MONTH($C170)=7,$V$6,"ERROR"))))-VLOOKUP($C170,COS!$B$8:$K$991,6,FALSE)/2,0))</f>
        <v>750</v>
      </c>
      <c r="S170" s="26">
        <f t="shared" si="266"/>
        <v>46.115702479338843</v>
      </c>
      <c r="T170" s="26">
        <f t="shared" si="267"/>
        <v>142.64204505100724</v>
      </c>
      <c r="U170" s="26" t="str">
        <f>IF(VLOOKUP($C170,COS!$B$8:$I$991,8,FALSE)=1,"UWFE","IBU")</f>
        <v>IBU</v>
      </c>
      <c r="V170" s="26">
        <f t="shared" ref="V170" si="271">MIN(IF(IF($AA$3=2,AND(E170=1,G170=1,L170=1,L172=1,M170=1,U170="IBU"),AND(E170=1,G170=1,L170=1,L172=1,M170=1)),T170,0),I170)</f>
        <v>0</v>
      </c>
      <c r="W170" s="26"/>
      <c r="X170" s="26"/>
      <c r="Y170" s="26"/>
      <c r="Z170" s="26"/>
      <c r="AA170" s="26"/>
      <c r="AB170" s="33"/>
    </row>
    <row r="171" spans="1:28" x14ac:dyDescent="0.3">
      <c r="A171" s="32">
        <f>VLOOKUP(YEAR(C171),Flags!$A$13:$B$95,2,FALSE)</f>
        <v>3</v>
      </c>
      <c r="B171" s="24">
        <f t="shared" si="225"/>
        <v>1939</v>
      </c>
      <c r="C171" s="25">
        <v>14488</v>
      </c>
      <c r="D171" s="26"/>
      <c r="E171" s="24"/>
      <c r="F171" s="26"/>
      <c r="G171" s="24"/>
      <c r="H171" s="24"/>
      <c r="I171" s="26"/>
      <c r="J171" s="24"/>
      <c r="K171" s="26"/>
      <c r="L171" s="24"/>
      <c r="M171" s="24"/>
      <c r="N171" s="26"/>
      <c r="O171" s="26"/>
      <c r="P171" s="26"/>
      <c r="Q171" s="26"/>
      <c r="R171" s="26"/>
      <c r="S171" s="26"/>
      <c r="T171" s="26"/>
      <c r="U171" s="26"/>
      <c r="V171" s="26"/>
      <c r="W171" s="26">
        <f>MAX($C$7-VLOOKUP($C171,COS!$B$8:$H$991,3,FALSE),0)</f>
        <v>85997.9140625</v>
      </c>
      <c r="X171" s="26">
        <f t="shared" si="245"/>
        <v>5287.805625</v>
      </c>
      <c r="Y171" s="26">
        <f>VLOOKUP($C171,COS!$B$8:$H$991,4,FALSE)</f>
        <v>3226.453125</v>
      </c>
      <c r="Z171" s="26">
        <f t="shared" si="246"/>
        <v>198.38686983471075</v>
      </c>
      <c r="AA171" s="26">
        <f t="shared" ref="AA171:AA175" si="272">MIN(W171,Y171)</f>
        <v>3226.453125</v>
      </c>
      <c r="AB171" s="33">
        <f t="shared" ref="AB171" si="273">AA171*DAY($C171)*86400/43560/1000*IF(MONTH($C171)=8,$P$3,IF(MONTH($C171)=9,$P$4,IF(MONTH($C171)=10,$P$5,IF(MONTH($C171)=11,$P$6,IF(MONTH($C171)=12,$P$7,NA())))))</f>
        <v>198.38686983471075</v>
      </c>
    </row>
    <row r="172" spans="1:28" x14ac:dyDescent="0.3">
      <c r="A172" s="32">
        <f>VLOOKUP(YEAR(C172),Flags!$A$13:$B$95,2,FALSE)</f>
        <v>3</v>
      </c>
      <c r="B172" s="24">
        <f t="shared" si="225"/>
        <v>1939</v>
      </c>
      <c r="C172" s="25">
        <v>14518</v>
      </c>
      <c r="D172" s="26"/>
      <c r="E172" s="24"/>
      <c r="F172" s="26"/>
      <c r="G172" s="24"/>
      <c r="H172" s="24"/>
      <c r="I172" s="26"/>
      <c r="J172" s="24"/>
      <c r="K172" s="26">
        <f>VLOOKUP($C172,COS!$B$8:$H$991,2,FALSE)</f>
        <v>1819.920654296875</v>
      </c>
      <c r="L172" s="24">
        <f t="shared" ref="L172" si="274">IF(AND(K172&gt;$I$7,K172&lt;$I$8),1,0)</f>
        <v>1</v>
      </c>
      <c r="M172" s="24"/>
      <c r="N172" s="26"/>
      <c r="O172" s="26"/>
      <c r="P172" s="26"/>
      <c r="Q172" s="26"/>
      <c r="R172" s="26"/>
      <c r="S172" s="26"/>
      <c r="T172" s="26"/>
      <c r="U172" s="26"/>
      <c r="V172" s="26"/>
      <c r="W172" s="26">
        <f>MAX($C$8-VLOOKUP($C172,COS!$B$8:$H$991,3,FALSE),0)</f>
        <v>94525.0498046875</v>
      </c>
      <c r="X172" s="26">
        <f t="shared" si="245"/>
        <v>5624.6310627582643</v>
      </c>
      <c r="Y172" s="26">
        <f>VLOOKUP($C172,COS!$B$8:$H$991,4,FALSE)</f>
        <v>1628.006103515625</v>
      </c>
      <c r="Z172" s="26">
        <f t="shared" si="246"/>
        <v>96.8730904571281</v>
      </c>
      <c r="AA172" s="26">
        <f t="shared" si="272"/>
        <v>1628.006103515625</v>
      </c>
      <c r="AB172" s="33">
        <f t="shared" si="243"/>
        <v>96.8730904571281</v>
      </c>
    </row>
    <row r="173" spans="1:28" x14ac:dyDescent="0.3">
      <c r="A173" s="32">
        <f>VLOOKUP(YEAR(C173),Flags!$A$13:$B$95,2,FALSE)</f>
        <v>3</v>
      </c>
      <c r="B173" s="24">
        <f t="shared" si="225"/>
        <v>1939</v>
      </c>
      <c r="C173" s="25">
        <v>14549</v>
      </c>
      <c r="D173" s="26"/>
      <c r="E173" s="24"/>
      <c r="F173" s="26"/>
      <c r="G173" s="26"/>
      <c r="H173" s="26"/>
      <c r="I173" s="26"/>
      <c r="J173" s="26"/>
      <c r="K173" s="26"/>
      <c r="L173" s="24"/>
      <c r="M173" s="24"/>
      <c r="N173" s="26"/>
      <c r="O173" s="26"/>
      <c r="P173" s="26"/>
      <c r="Q173" s="26"/>
      <c r="R173" s="26"/>
      <c r="S173" s="26"/>
      <c r="T173" s="26"/>
      <c r="U173" s="26"/>
      <c r="V173" s="26"/>
      <c r="W173" s="26">
        <f>MAX($C$9-VLOOKUP($C173,COS!$B$8:$H$991,3,FALSE),0)</f>
        <v>94233.89599609375</v>
      </c>
      <c r="X173" s="26">
        <f t="shared" si="245"/>
        <v>5794.2164149664259</v>
      </c>
      <c r="Y173" s="26">
        <f>VLOOKUP($C173,COS!$B$8:$H$991,4,FALSE)</f>
        <v>1678.0692138671875</v>
      </c>
      <c r="Z173" s="26">
        <f t="shared" si="246"/>
        <v>103.18045414191633</v>
      </c>
      <c r="AA173" s="26">
        <f t="shared" si="272"/>
        <v>1678.0692138671875</v>
      </c>
      <c r="AB173" s="33">
        <f t="shared" si="243"/>
        <v>103.18045414191633</v>
      </c>
    </row>
    <row r="174" spans="1:28" x14ac:dyDescent="0.3">
      <c r="A174" s="32">
        <f>VLOOKUP(YEAR(C174),Flags!$A$13:$B$95,2,FALSE)</f>
        <v>3</v>
      </c>
      <c r="B174" s="24">
        <f t="shared" si="225"/>
        <v>1939</v>
      </c>
      <c r="C174" s="25">
        <v>14579</v>
      </c>
      <c r="D174" s="26"/>
      <c r="E174" s="24"/>
      <c r="F174" s="26"/>
      <c r="G174" s="26"/>
      <c r="H174" s="26"/>
      <c r="I174" s="26"/>
      <c r="J174" s="26"/>
      <c r="K174" s="26"/>
      <c r="L174" s="24"/>
      <c r="M174" s="24"/>
      <c r="N174" s="26"/>
      <c r="O174" s="26"/>
      <c r="P174" s="26"/>
      <c r="Q174" s="26"/>
      <c r="R174" s="26"/>
      <c r="S174" s="26"/>
      <c r="T174" s="26"/>
      <c r="U174" s="26"/>
      <c r="V174" s="26"/>
      <c r="W174" s="26">
        <f>MAX($C$10-VLOOKUP($C174,COS!$B$8:$H$991,3,FALSE),0)</f>
        <v>93849.529296875</v>
      </c>
      <c r="X174" s="26">
        <f t="shared" si="245"/>
        <v>5584.4348011363636</v>
      </c>
      <c r="Y174" s="26">
        <f>VLOOKUP($C174,COS!$B$8:$H$991,4,FALSE)</f>
        <v>2018.930908203125</v>
      </c>
      <c r="Z174" s="26">
        <f t="shared" si="246"/>
        <v>120.13473172778926</v>
      </c>
      <c r="AA174" s="26">
        <f t="shared" si="272"/>
        <v>2018.930908203125</v>
      </c>
      <c r="AB174" s="33">
        <f t="shared" si="243"/>
        <v>60.067365863894629</v>
      </c>
    </row>
    <row r="175" spans="1:28" x14ac:dyDescent="0.3">
      <c r="A175" s="34">
        <f>VLOOKUP(YEAR(C175),Flags!$A$13:$B$95,2,FALSE)</f>
        <v>3</v>
      </c>
      <c r="B175" s="35">
        <f t="shared" si="225"/>
        <v>1939</v>
      </c>
      <c r="C175" s="36">
        <v>14610</v>
      </c>
      <c r="D175" s="37"/>
      <c r="E175" s="35"/>
      <c r="F175" s="37"/>
      <c r="G175" s="37"/>
      <c r="H175" s="37"/>
      <c r="I175" s="37"/>
      <c r="J175" s="37"/>
      <c r="K175" s="37"/>
      <c r="L175" s="35"/>
      <c r="M175" s="35"/>
      <c r="N175" s="37"/>
      <c r="O175" s="37"/>
      <c r="P175" s="37"/>
      <c r="Q175" s="37"/>
      <c r="R175" s="37"/>
      <c r="S175" s="37"/>
      <c r="T175" s="37"/>
      <c r="U175" s="37"/>
      <c r="V175" s="37"/>
      <c r="W175" s="37">
        <f>MAX($C$11-VLOOKUP($C175,COS!$B$8:$H$991,3,FALSE),0)</f>
        <v>0</v>
      </c>
      <c r="X175" s="37">
        <f t="shared" si="245"/>
        <v>0</v>
      </c>
      <c r="Y175" s="37">
        <f>VLOOKUP($C175,COS!$B$8:$H$991,4,FALSE)</f>
        <v>1704.9423828125</v>
      </c>
      <c r="Z175" s="37">
        <f t="shared" si="246"/>
        <v>104.83282089359504</v>
      </c>
      <c r="AA175" s="37">
        <f t="shared" si="272"/>
        <v>0</v>
      </c>
      <c r="AB175" s="38">
        <f t="shared" si="243"/>
        <v>0</v>
      </c>
    </row>
    <row r="176" spans="1:28" x14ac:dyDescent="0.3">
      <c r="A176" s="27">
        <f>VLOOKUP(YEAR(C176),Flags!$A$13:$B$95,2,FALSE)</f>
        <v>2</v>
      </c>
      <c r="B176" s="28">
        <f t="shared" si="225"/>
        <v>1940</v>
      </c>
      <c r="C176" s="29">
        <v>14731</v>
      </c>
      <c r="D176" s="30">
        <f>VLOOKUP($C176,COS!$B$8:$H$991,3,FALSE)</f>
        <v>3250</v>
      </c>
      <c r="E176" s="28">
        <f>IF(D176&gt;=IF(MONTH($C176)=4,$C$3,IF(MONTH($C176)=5,$C$4,IF(MONTH($C176)=6,$C$5,IF(MONTH($C176)=7,$C$6,"ERROR")))),1,0)</f>
        <v>0</v>
      </c>
      <c r="F176" s="30">
        <f>VLOOKUP($C176,COS!$B$8:$H$991,7,FALSE)</f>
        <v>50.942607879638672</v>
      </c>
      <c r="G176" s="28">
        <f>IF(F176&lt;=IF(MONTH($C176)=4,$F$3,IF(MONTH($C176)=5,$F$4,IF(MONTH($C176)=6,$F$5,IF(MONTH($C176)=7,$F$6,"ERROR")))),1,0)</f>
        <v>1</v>
      </c>
      <c r="H176" s="30">
        <f>IF(J176=1,D176-$C$3,0)</f>
        <v>0</v>
      </c>
      <c r="I176" s="30">
        <f t="shared" si="239"/>
        <v>0</v>
      </c>
      <c r="J176" s="28">
        <f t="shared" ref="J176:J179" si="275">IF(AND(E176=1,G176=1),1,0)</f>
        <v>0</v>
      </c>
      <c r="K176" s="30">
        <f>VLOOKUP($C176,COS!$B$8:$H$991,2,FALSE)</f>
        <v>4211.595703125</v>
      </c>
      <c r="L176" s="28">
        <f t="shared" ref="L176" si="276">IF(K176&lt;=IF(MONTH($C176)=4,$I$3,IF(MONTH($C176)=5,$I$4,IF(MONTH($C176)=6,$I$5,IF(MONTH($C176)=7,$I$6,"ERROR")))),1,0)</f>
        <v>1</v>
      </c>
      <c r="M176" s="28">
        <f t="shared" ref="M176" si="277">VLOOKUP($A176,$L$3:$M$7,2,FALSE)</f>
        <v>0</v>
      </c>
      <c r="N176" s="30">
        <f>VLOOKUP($C176,COS!$B$8:$H$991,5,FALSE)</f>
        <v>253.27787780761719</v>
      </c>
      <c r="O176" s="30">
        <f t="shared" ref="O176:O179" si="278">N176*DAY($C176)*86400/43560/1000</f>
        <v>15.071080332354081</v>
      </c>
      <c r="P176" s="30">
        <f>VLOOKUP($C176,COS!$B$8:$H$991,6,FALSE)</f>
        <v>410.20220947265625</v>
      </c>
      <c r="Q176" s="30">
        <f t="shared" ref="Q176:Q179" si="279">P176*DAY($C176)*86400/43560/1000</f>
        <v>24.408726514075415</v>
      </c>
      <c r="R176" s="30">
        <f>MIN(IF(MONTH($C176)=4,$S$3,IF(MONTH($C176)=5,$S$4,IF(MONTH($C176)=6,$S$5,IF(MONTH($C176)=7,$S$6,"ERROR")))),MAX(VLOOKUP($C176,COS!$B$8:$K$991,10,FALSE)-IF(MONTH($C176)=4,$Y$3,IF(MONTH($C176)=5,$Y$4,IF(MONTH($C176)=6,$Y$5,IF(MONTH($C176)=7,$Y$6,"ERROR")))),0),MAX(VLOOKUP($C176,COS!$B$8:$K$991,9,FALSE)-IF(MONTH($C176)=4,$V$3,IF(MONTH($C176)=5,$V$4,IF(MONTH($C176)=6,$V$5,IF(MONTH($C176)=7,$V$6,"ERROR"))))-VLOOKUP($C176,COS!$B$8:$K$991,6,FALSE)/2,0))</f>
        <v>750</v>
      </c>
      <c r="S176" s="30">
        <f t="shared" ref="S176:S179" si="280">R176*DAY($C176)*86400/43560/1000</f>
        <v>44.628099173553714</v>
      </c>
      <c r="T176" s="30">
        <f t="shared" ref="T176:T179" si="281">(O176+Q176)/2+S176</f>
        <v>64.368002596768463</v>
      </c>
      <c r="U176" s="30" t="str">
        <f>IF(VLOOKUP($C176,COS!$B$8:$I$991,8,FALSE)=1,"UWFE","IBU")</f>
        <v>UWFE</v>
      </c>
      <c r="V176" s="30">
        <f t="shared" ref="V176" si="282">MIN(IF(IF($AA$3=2,AND(E176=1,G176=1,L176=1,L181=1,M176=1,U176="IBU"),AND(E176=1,G176=1,L176=1,L181=1,M176=1)),T176,0),I176)</f>
        <v>0</v>
      </c>
      <c r="W176" s="30"/>
      <c r="X176" s="30"/>
      <c r="Y176" s="30"/>
      <c r="Z176" s="30"/>
      <c r="AA176" s="30"/>
      <c r="AB176" s="31"/>
    </row>
    <row r="177" spans="1:28" x14ac:dyDescent="0.3">
      <c r="A177" s="32">
        <f>VLOOKUP(YEAR(C177),Flags!$A$13:$B$95,2,FALSE)</f>
        <v>2</v>
      </c>
      <c r="B177" s="24">
        <f t="shared" si="225"/>
        <v>1940</v>
      </c>
      <c r="C177" s="25">
        <v>14762</v>
      </c>
      <c r="D177" s="26">
        <f>VLOOKUP($C177,COS!$B$8:$H$991,3,FALSE)</f>
        <v>5750.91845703125</v>
      </c>
      <c r="E177" s="24">
        <f>IF(D177&gt;=IF(MONTH($C177)=4,$C$3,IF(MONTH($C177)=5,$C$4,IF(MONTH($C177)=6,$C$5,IF(MONTH($C177)=7,$C$6,"ERROR")))),1,0)</f>
        <v>0</v>
      </c>
      <c r="F177" s="26">
        <f>VLOOKUP($C177,COS!$B$8:$H$991,7,FALSE)</f>
        <v>51.514625549316406</v>
      </c>
      <c r="G177" s="24">
        <f>IF(F177&lt;=IF(MONTH($C177)=4,$F$3,IF(MONTH($C177)=5,$F$4,IF(MONTH($C177)=6,$F$5,IF(MONTH($C177)=7,$F$6,"ERROR")))),1,0)</f>
        <v>1</v>
      </c>
      <c r="H177" s="26">
        <f>IF(J177=1,D177-$C$4,0)</f>
        <v>0</v>
      </c>
      <c r="I177" s="26">
        <f t="shared" si="239"/>
        <v>0</v>
      </c>
      <c r="J177" s="24">
        <f t="shared" si="275"/>
        <v>0</v>
      </c>
      <c r="K177" s="26">
        <f>VLOOKUP($C177,COS!$B$8:$H$991,2,FALSE)</f>
        <v>4218.22314453125</v>
      </c>
      <c r="L177" s="24">
        <f t="shared" si="231"/>
        <v>1</v>
      </c>
      <c r="M177" s="24">
        <f t="shared" si="232"/>
        <v>0</v>
      </c>
      <c r="N177" s="26">
        <f>VLOOKUP($C177,COS!$B$8:$H$991,5,FALSE)</f>
        <v>465.70071411132813</v>
      </c>
      <c r="O177" s="26">
        <f t="shared" si="278"/>
        <v>28.634820768498194</v>
      </c>
      <c r="P177" s="26">
        <f>VLOOKUP($C177,COS!$B$8:$H$991,6,FALSE)</f>
        <v>1936.545654296875</v>
      </c>
      <c r="Q177" s="26">
        <f t="shared" si="279"/>
        <v>119.07355097494835</v>
      </c>
      <c r="R177" s="26">
        <f>MIN(IF(MONTH($C177)=4,$S$3,IF(MONTH($C177)=5,$S$4,IF(MONTH($C177)=6,$S$5,IF(MONTH($C177)=7,$S$6,"ERROR")))),MAX(VLOOKUP($C177,COS!$B$8:$K$991,10,FALSE)-IF(MONTH($C177)=4,$Y$3,IF(MONTH($C177)=5,$Y$4,IF(MONTH($C177)=6,$Y$5,IF(MONTH($C177)=7,$Y$6,"ERROR")))),0),MAX(VLOOKUP($C177,COS!$B$8:$K$991,9,FALSE)-IF(MONTH($C177)=4,$V$3,IF(MONTH($C177)=5,$V$4,IF(MONTH($C177)=6,$V$5,IF(MONTH($C177)=7,$V$6,"ERROR"))))-VLOOKUP($C177,COS!$B$8:$K$991,6,FALSE)/2,0))</f>
        <v>750</v>
      </c>
      <c r="S177" s="26">
        <f t="shared" si="280"/>
        <v>46.115702479338843</v>
      </c>
      <c r="T177" s="26">
        <f t="shared" si="281"/>
        <v>119.96988835106211</v>
      </c>
      <c r="U177" s="26" t="str">
        <f>IF(VLOOKUP($C177,COS!$B$8:$I$991,8,FALSE)=1,"UWFE","IBU")</f>
        <v>UWFE</v>
      </c>
      <c r="V177" s="26">
        <f t="shared" ref="V177" si="283">MIN(IF(IF($AA$3=2,AND(E177=1,G177=1,L177=1,L181=1,M177=1,U177="IBU"),AND(E177=1,G177=1,L177=1,L181=1,M177=1)),T177,0),I177)</f>
        <v>0</v>
      </c>
      <c r="W177" s="26"/>
      <c r="X177" s="26"/>
      <c r="Y177" s="26"/>
      <c r="Z177" s="26"/>
      <c r="AA177" s="26"/>
      <c r="AB177" s="33"/>
    </row>
    <row r="178" spans="1:28" x14ac:dyDescent="0.3">
      <c r="A178" s="32">
        <f>VLOOKUP(YEAR(C178),Flags!$A$13:$B$95,2,FALSE)</f>
        <v>2</v>
      </c>
      <c r="B178" s="24">
        <f t="shared" si="225"/>
        <v>1940</v>
      </c>
      <c r="C178" s="25">
        <v>14792</v>
      </c>
      <c r="D178" s="26">
        <f>VLOOKUP($C178,COS!$B$8:$H$991,3,FALSE)</f>
        <v>9764.62109375</v>
      </c>
      <c r="E178" s="24">
        <f>IF(D178&gt;=IF(MONTH($C178)=4,$C$3,IF(MONTH($C178)=5,$C$4,IF(MONTH($C178)=6,$C$5,IF(MONTH($C178)=7,$C$6,"ERROR")))),1,0)</f>
        <v>0</v>
      </c>
      <c r="F178" s="26">
        <f>VLOOKUP($C178,COS!$B$8:$H$991,7,FALSE)</f>
        <v>51.442054748535156</v>
      </c>
      <c r="G178" s="24">
        <f>IF(F178&lt;=IF(MONTH($C178)=4,$F$3,IF(MONTH($C178)=5,$F$4,IF(MONTH($C178)=6,$F$5,IF(MONTH($C178)=7,$F$6,"ERROR")))),1,0)</f>
        <v>1</v>
      </c>
      <c r="H178" s="26">
        <f>IF(J178=1,D178-$C$5,0)</f>
        <v>0</v>
      </c>
      <c r="I178" s="26">
        <f t="shared" si="239"/>
        <v>0</v>
      </c>
      <c r="J178" s="24">
        <f t="shared" si="275"/>
        <v>0</v>
      </c>
      <c r="K178" s="26">
        <f>VLOOKUP($C178,COS!$B$8:$H$991,2,FALSE)</f>
        <v>3893.91650390625</v>
      </c>
      <c r="L178" s="24">
        <f t="shared" si="231"/>
        <v>1</v>
      </c>
      <c r="M178" s="24">
        <f t="shared" si="232"/>
        <v>0</v>
      </c>
      <c r="N178" s="26">
        <f>VLOOKUP($C178,COS!$B$8:$H$991,5,FALSE)</f>
        <v>885.69073486328125</v>
      </c>
      <c r="O178" s="26">
        <f t="shared" si="278"/>
        <v>52.702258603434913</v>
      </c>
      <c r="P178" s="26">
        <f>VLOOKUP($C178,COS!$B$8:$H$991,6,FALSE)</f>
        <v>2416.416259765625</v>
      </c>
      <c r="Q178" s="26">
        <f t="shared" si="279"/>
        <v>143.78675264721076</v>
      </c>
      <c r="R178" s="26">
        <f>MIN(IF(MONTH($C178)=4,$S$3,IF(MONTH($C178)=5,$S$4,IF(MONTH($C178)=6,$S$5,IF(MONTH($C178)=7,$S$6,"ERROR")))),MAX(VLOOKUP($C178,COS!$B$8:$K$991,10,FALSE)-IF(MONTH($C178)=4,$Y$3,IF(MONTH($C178)=5,$Y$4,IF(MONTH($C178)=6,$Y$5,IF(MONTH($C178)=7,$Y$6,"ERROR")))),0),MAX(VLOOKUP($C178,COS!$B$8:$K$991,9,FALSE)-IF(MONTH($C178)=4,$V$3,IF(MONTH($C178)=5,$V$4,IF(MONTH($C178)=6,$V$5,IF(MONTH($C178)=7,$V$6,"ERROR"))))-VLOOKUP($C178,COS!$B$8:$K$991,6,FALSE)/2,0))</f>
        <v>750</v>
      </c>
      <c r="S178" s="26">
        <f t="shared" si="280"/>
        <v>44.628099173553714</v>
      </c>
      <c r="T178" s="26">
        <f t="shared" si="281"/>
        <v>142.87260479887655</v>
      </c>
      <c r="U178" s="26" t="str">
        <f>IF(VLOOKUP($C178,COS!$B$8:$I$991,8,FALSE)=1,"UWFE","IBU")</f>
        <v>IBU</v>
      </c>
      <c r="V178" s="26">
        <f t="shared" ref="V178" si="284">MIN(IF(IF($AA$3=2,AND(E178=1,G178=1,L178=1,L181=1,M178=1,U178="IBU"),AND(E178=1,G178=1,L178=1,L181=1,M178=1)),T178,0),I178)</f>
        <v>0</v>
      </c>
      <c r="W178" s="26"/>
      <c r="X178" s="26"/>
      <c r="Y178" s="26"/>
      <c r="Z178" s="26"/>
      <c r="AA178" s="26"/>
      <c r="AB178" s="33"/>
    </row>
    <row r="179" spans="1:28" x14ac:dyDescent="0.3">
      <c r="A179" s="32">
        <f>VLOOKUP(YEAR(C179),Flags!$A$13:$B$95,2,FALSE)</f>
        <v>2</v>
      </c>
      <c r="B179" s="24">
        <f t="shared" si="225"/>
        <v>1940</v>
      </c>
      <c r="C179" s="25">
        <v>14823</v>
      </c>
      <c r="D179" s="26">
        <f>VLOOKUP($C179,COS!$B$8:$H$991,3,FALSE)</f>
        <v>15730.8037109375</v>
      </c>
      <c r="E179" s="24">
        <f>IF(D179&gt;=IF(MONTH($C179)=4,$C$3,IF(MONTH($C179)=5,$C$4,IF(MONTH($C179)=6,$C$5,IF(MONTH($C179)=7,$C$6,"ERROR")))),1,0)</f>
        <v>1</v>
      </c>
      <c r="F179" s="26">
        <f>VLOOKUP($C179,COS!$B$8:$H$991,7,FALSE)</f>
        <v>51.379985809326172</v>
      </c>
      <c r="G179" s="24">
        <f>IF(F179&lt;=IF(MONTH($C179)=4,$F$3,IF(MONTH($C179)=5,$F$4,IF(MONTH($C179)=6,$F$5,IF(MONTH($C179)=7,$F$6,"ERROR")))),1,0)</f>
        <v>1</v>
      </c>
      <c r="H179" s="26">
        <f>IF(J179=1,D179-$C$6,0)</f>
        <v>3730.8037109375</v>
      </c>
      <c r="I179" s="26">
        <f t="shared" si="239"/>
        <v>229.39817858987604</v>
      </c>
      <c r="J179" s="24">
        <f t="shared" si="275"/>
        <v>1</v>
      </c>
      <c r="K179" s="26">
        <f>VLOOKUP($C179,COS!$B$8:$H$991,2,FALSE)</f>
        <v>3200</v>
      </c>
      <c r="L179" s="24">
        <f t="shared" si="231"/>
        <v>1</v>
      </c>
      <c r="M179" s="24">
        <f t="shared" si="232"/>
        <v>0</v>
      </c>
      <c r="N179" s="26">
        <f>VLOOKUP($C179,COS!$B$8:$H$991,5,FALSE)</f>
        <v>981.25543212890625</v>
      </c>
      <c r="O179" s="26">
        <f t="shared" si="278"/>
        <v>60.335044752388946</v>
      </c>
      <c r="P179" s="26">
        <f>VLOOKUP($C179,COS!$B$8:$H$991,6,FALSE)</f>
        <v>2562.892822265625</v>
      </c>
      <c r="Q179" s="26">
        <f t="shared" si="279"/>
        <v>157.58613717071282</v>
      </c>
      <c r="R179" s="26">
        <f>MIN(IF(MONTH($C179)=4,$S$3,IF(MONTH($C179)=5,$S$4,IF(MONTH($C179)=6,$S$5,IF(MONTH($C179)=7,$S$6,"ERROR")))),MAX(VLOOKUP($C179,COS!$B$8:$K$991,10,FALSE)-IF(MONTH($C179)=4,$Y$3,IF(MONTH($C179)=5,$Y$4,IF(MONTH($C179)=6,$Y$5,IF(MONTH($C179)=7,$Y$6,"ERROR")))),0),MAX(VLOOKUP($C179,COS!$B$8:$K$991,9,FALSE)-IF(MONTH($C179)=4,$V$3,IF(MONTH($C179)=5,$V$4,IF(MONTH($C179)=6,$V$5,IF(MONTH($C179)=7,$V$6,"ERROR"))))-VLOOKUP($C179,COS!$B$8:$K$991,6,FALSE)/2,0))</f>
        <v>750</v>
      </c>
      <c r="S179" s="26">
        <f t="shared" si="280"/>
        <v>46.115702479338843</v>
      </c>
      <c r="T179" s="26">
        <f t="shared" si="281"/>
        <v>155.07629344088971</v>
      </c>
      <c r="U179" s="26" t="str">
        <f>IF(VLOOKUP($C179,COS!$B$8:$I$991,8,FALSE)=1,"UWFE","IBU")</f>
        <v>IBU</v>
      </c>
      <c r="V179" s="26">
        <f t="shared" ref="V179" si="285">MIN(IF(IF($AA$3=2,AND(E179=1,G179=1,L179=1,L181=1,M179=1,U179="IBU"),AND(E179=1,G179=1,L179=1,L181=1,M179=1)),T179,0),I179)</f>
        <v>0</v>
      </c>
      <c r="W179" s="26"/>
      <c r="X179" s="26"/>
      <c r="Y179" s="26"/>
      <c r="Z179" s="26"/>
      <c r="AA179" s="26"/>
      <c r="AB179" s="33"/>
    </row>
    <row r="180" spans="1:28" x14ac:dyDescent="0.3">
      <c r="A180" s="32">
        <f>VLOOKUP(YEAR(C180),Flags!$A$13:$B$95,2,FALSE)</f>
        <v>2</v>
      </c>
      <c r="B180" s="24">
        <f t="shared" si="225"/>
        <v>1940</v>
      </c>
      <c r="C180" s="25">
        <v>14854</v>
      </c>
      <c r="D180" s="26"/>
      <c r="E180" s="24"/>
      <c r="F180" s="26"/>
      <c r="G180" s="24"/>
      <c r="H180" s="24"/>
      <c r="I180" s="26"/>
      <c r="J180" s="24"/>
      <c r="K180" s="26"/>
      <c r="L180" s="24"/>
      <c r="M180" s="24"/>
      <c r="N180" s="26"/>
      <c r="O180" s="26"/>
      <c r="P180" s="26"/>
      <c r="Q180" s="26"/>
      <c r="R180" s="26"/>
      <c r="S180" s="26"/>
      <c r="T180" s="26"/>
      <c r="U180" s="26"/>
      <c r="V180" s="26"/>
      <c r="W180" s="26">
        <f>MAX($C$7-VLOOKUP($C180,COS!$B$8:$H$991,3,FALSE),0)</f>
        <v>88462.974609375</v>
      </c>
      <c r="X180" s="26">
        <f t="shared" si="245"/>
        <v>5439.3762900309921</v>
      </c>
      <c r="Y180" s="26">
        <f>VLOOKUP($C180,COS!$B$8:$H$991,4,FALSE)</f>
        <v>0</v>
      </c>
      <c r="Z180" s="26">
        <f t="shared" si="246"/>
        <v>0</v>
      </c>
      <c r="AA180" s="26">
        <f t="shared" ref="AA180:AA184" si="286">MIN(W180,Y180)</f>
        <v>0</v>
      </c>
      <c r="AB180" s="33">
        <f t="shared" ref="AB180" si="287">AA180*DAY($C180)*86400/43560/1000*IF(MONTH($C180)=8,$P$3,IF(MONTH($C180)=9,$P$4,IF(MONTH($C180)=10,$P$5,IF(MONTH($C180)=11,$P$6,IF(MONTH($C180)=12,$P$7,NA())))))</f>
        <v>0</v>
      </c>
    </row>
    <row r="181" spans="1:28" x14ac:dyDescent="0.3">
      <c r="A181" s="32">
        <f>VLOOKUP(YEAR(C181),Flags!$A$13:$B$95,2,FALSE)</f>
        <v>2</v>
      </c>
      <c r="B181" s="24">
        <f t="shared" si="225"/>
        <v>1940</v>
      </c>
      <c r="C181" s="25">
        <v>14884</v>
      </c>
      <c r="D181" s="26"/>
      <c r="E181" s="24"/>
      <c r="F181" s="26"/>
      <c r="G181" s="24"/>
      <c r="H181" s="24"/>
      <c r="I181" s="26"/>
      <c r="J181" s="24"/>
      <c r="K181" s="26">
        <f>VLOOKUP($C181,COS!$B$8:$H$991,2,FALSE)</f>
        <v>2472.069580078125</v>
      </c>
      <c r="L181" s="24">
        <f t="shared" ref="L181" si="288">IF(AND(K181&gt;$I$7,K181&lt;$I$8),1,0)</f>
        <v>1</v>
      </c>
      <c r="M181" s="24"/>
      <c r="N181" s="26"/>
      <c r="O181" s="26"/>
      <c r="P181" s="26"/>
      <c r="Q181" s="26"/>
      <c r="R181" s="26"/>
      <c r="S181" s="26"/>
      <c r="T181" s="26"/>
      <c r="U181" s="26"/>
      <c r="V181" s="26"/>
      <c r="W181" s="26">
        <f>MAX($C$8-VLOOKUP($C181,COS!$B$8:$H$991,3,FALSE),0)</f>
        <v>90576.14453125</v>
      </c>
      <c r="X181" s="26">
        <f t="shared" si="245"/>
        <v>5389.6548811983475</v>
      </c>
      <c r="Y181" s="26">
        <f>VLOOKUP($C181,COS!$B$8:$H$991,4,FALSE)</f>
        <v>254.33448791503906</v>
      </c>
      <c r="Z181" s="26">
        <f t="shared" si="246"/>
        <v>15.133952999903151</v>
      </c>
      <c r="AA181" s="26">
        <f t="shared" si="286"/>
        <v>254.33448791503906</v>
      </c>
      <c r="AB181" s="33">
        <f t="shared" si="243"/>
        <v>15.133952999903151</v>
      </c>
    </row>
    <row r="182" spans="1:28" x14ac:dyDescent="0.3">
      <c r="A182" s="32">
        <f>VLOOKUP(YEAR(C182),Flags!$A$13:$B$95,2,FALSE)</f>
        <v>2</v>
      </c>
      <c r="B182" s="24">
        <f t="shared" si="225"/>
        <v>1940</v>
      </c>
      <c r="C182" s="25">
        <v>14915</v>
      </c>
      <c r="D182" s="26"/>
      <c r="E182" s="24"/>
      <c r="F182" s="26"/>
      <c r="G182" s="26"/>
      <c r="H182" s="26"/>
      <c r="I182" s="26"/>
      <c r="J182" s="26"/>
      <c r="K182" s="26"/>
      <c r="L182" s="24"/>
      <c r="M182" s="24"/>
      <c r="N182" s="26"/>
      <c r="O182" s="26"/>
      <c r="P182" s="26"/>
      <c r="Q182" s="26"/>
      <c r="R182" s="26"/>
      <c r="S182" s="26"/>
      <c r="T182" s="26"/>
      <c r="U182" s="26"/>
      <c r="V182" s="26"/>
      <c r="W182" s="26">
        <f>MAX($C$9-VLOOKUP($C182,COS!$B$8:$H$991,3,FALSE),0)</f>
        <v>93346.93359375</v>
      </c>
      <c r="X182" s="26">
        <f t="shared" si="245"/>
        <v>5739.6792226239668</v>
      </c>
      <c r="Y182" s="26">
        <f>VLOOKUP($C182,COS!$B$8:$H$991,4,FALSE)</f>
        <v>785.3338623046875</v>
      </c>
      <c r="Z182" s="26">
        <f t="shared" si="246"/>
        <v>48.288296987990705</v>
      </c>
      <c r="AA182" s="26">
        <f t="shared" si="286"/>
        <v>785.3338623046875</v>
      </c>
      <c r="AB182" s="33">
        <f t="shared" si="243"/>
        <v>48.288296987990705</v>
      </c>
    </row>
    <row r="183" spans="1:28" x14ac:dyDescent="0.3">
      <c r="A183" s="32">
        <f>VLOOKUP(YEAR(C183),Flags!$A$13:$B$95,2,FALSE)</f>
        <v>2</v>
      </c>
      <c r="B183" s="24">
        <f t="shared" si="225"/>
        <v>1940</v>
      </c>
      <c r="C183" s="25">
        <v>14945</v>
      </c>
      <c r="D183" s="26"/>
      <c r="E183" s="24"/>
      <c r="F183" s="26"/>
      <c r="G183" s="26"/>
      <c r="H183" s="26"/>
      <c r="I183" s="26"/>
      <c r="J183" s="26"/>
      <c r="K183" s="26"/>
      <c r="L183" s="24"/>
      <c r="M183" s="24"/>
      <c r="N183" s="26"/>
      <c r="O183" s="26"/>
      <c r="P183" s="26"/>
      <c r="Q183" s="26"/>
      <c r="R183" s="26"/>
      <c r="S183" s="26"/>
      <c r="T183" s="26"/>
      <c r="U183" s="26"/>
      <c r="V183" s="26"/>
      <c r="W183" s="26">
        <f>MAX($C$10-VLOOKUP($C183,COS!$B$8:$H$991,3,FALSE),0)</f>
        <v>92458.0693359375</v>
      </c>
      <c r="X183" s="26">
        <f t="shared" si="245"/>
        <v>5501.6371836260332</v>
      </c>
      <c r="Y183" s="26">
        <f>VLOOKUP($C183,COS!$B$8:$H$991,4,FALSE)</f>
        <v>1105.5103759765625</v>
      </c>
      <c r="Z183" s="26">
        <f t="shared" si="246"/>
        <v>65.782435595299589</v>
      </c>
      <c r="AA183" s="26">
        <f t="shared" si="286"/>
        <v>1105.5103759765625</v>
      </c>
      <c r="AB183" s="33">
        <f t="shared" si="243"/>
        <v>32.891217797649794</v>
      </c>
    </row>
    <row r="184" spans="1:28" x14ac:dyDescent="0.3">
      <c r="A184" s="34">
        <f>VLOOKUP(YEAR(C184),Flags!$A$13:$B$95,2,FALSE)</f>
        <v>2</v>
      </c>
      <c r="B184" s="35">
        <f t="shared" si="225"/>
        <v>1940</v>
      </c>
      <c r="C184" s="36">
        <v>14976</v>
      </c>
      <c r="D184" s="37"/>
      <c r="E184" s="35"/>
      <c r="F184" s="37"/>
      <c r="G184" s="37"/>
      <c r="H184" s="37"/>
      <c r="I184" s="37"/>
      <c r="J184" s="37"/>
      <c r="K184" s="37"/>
      <c r="L184" s="35"/>
      <c r="M184" s="35"/>
      <c r="N184" s="37"/>
      <c r="O184" s="37"/>
      <c r="P184" s="37"/>
      <c r="Q184" s="37"/>
      <c r="R184" s="37"/>
      <c r="S184" s="37"/>
      <c r="T184" s="37"/>
      <c r="U184" s="37"/>
      <c r="V184" s="37"/>
      <c r="W184" s="37">
        <f>MAX($C$11-VLOOKUP($C184,COS!$B$8:$H$991,3,FALSE),0)</f>
        <v>0</v>
      </c>
      <c r="X184" s="37">
        <f t="shared" si="245"/>
        <v>0</v>
      </c>
      <c r="Y184" s="37">
        <f>VLOOKUP($C184,COS!$B$8:$H$991,4,FALSE)</f>
        <v>0</v>
      </c>
      <c r="Z184" s="37">
        <f t="shared" si="246"/>
        <v>0</v>
      </c>
      <c r="AA184" s="37">
        <f t="shared" si="286"/>
        <v>0</v>
      </c>
      <c r="AB184" s="38">
        <f t="shared" si="243"/>
        <v>0</v>
      </c>
    </row>
    <row r="185" spans="1:28" x14ac:dyDescent="0.3">
      <c r="A185" s="27">
        <f>VLOOKUP(YEAR(C185),Flags!$A$13:$B$95,2,FALSE)</f>
        <v>1</v>
      </c>
      <c r="B185" s="28">
        <f t="shared" si="225"/>
        <v>1941</v>
      </c>
      <c r="C185" s="29">
        <v>15096</v>
      </c>
      <c r="D185" s="30">
        <f>VLOOKUP($C185,COS!$B$8:$H$991,3,FALSE)</f>
        <v>13347.38671875</v>
      </c>
      <c r="E185" s="28">
        <f>IF(D185&gt;=IF(MONTH($C185)=4,$C$3,IF(MONTH($C185)=5,$C$4,IF(MONTH($C185)=6,$C$5,IF(MONTH($C185)=7,$C$6,"ERROR")))),1,0)</f>
        <v>1</v>
      </c>
      <c r="F185" s="30">
        <f>VLOOKUP($C185,COS!$B$8:$H$991,7,FALSE)</f>
        <v>47.10235595703125</v>
      </c>
      <c r="G185" s="28">
        <f>IF(F185&lt;=IF(MONTH($C185)=4,$F$3,IF(MONTH($C185)=5,$F$4,IF(MONTH($C185)=6,$F$5,IF(MONTH($C185)=7,$F$6,"ERROR")))),1,0)</f>
        <v>1</v>
      </c>
      <c r="H185" s="30">
        <f>IF(J185=1,D185-$C$3,0)</f>
        <v>7347.38671875</v>
      </c>
      <c r="I185" s="30">
        <f t="shared" si="239"/>
        <v>437.1998708677686</v>
      </c>
      <c r="J185" s="28">
        <f t="shared" ref="J185:J188" si="289">IF(AND(E185=1,G185=1),1,0)</f>
        <v>1</v>
      </c>
      <c r="K185" s="30">
        <f>VLOOKUP($C185,COS!$B$8:$H$991,2,FALSE)</f>
        <v>4456</v>
      </c>
      <c r="L185" s="28">
        <f t="shared" ref="L185" si="290">IF(K185&lt;=IF(MONTH($C185)=4,$I$3,IF(MONTH($C185)=5,$I$4,IF(MONTH($C185)=6,$I$5,IF(MONTH($C185)=7,$I$6,"ERROR")))),1,0)</f>
        <v>1</v>
      </c>
      <c r="M185" s="28">
        <f t="shared" ref="M185" si="291">VLOOKUP($A185,$L$3:$M$7,2,FALSE)</f>
        <v>0</v>
      </c>
      <c r="N185" s="30">
        <f>VLOOKUP($C185,COS!$B$8:$H$991,5,FALSE)</f>
        <v>23.296117782592773</v>
      </c>
      <c r="O185" s="30">
        <f t="shared" ref="O185:O188" si="292">N185*DAY($C185)*86400/43560/1000</f>
        <v>1.3862152730137849</v>
      </c>
      <c r="P185" s="30">
        <f>VLOOKUP($C185,COS!$B$8:$H$991,6,FALSE)</f>
        <v>258.51828002929688</v>
      </c>
      <c r="Q185" s="30">
        <f t="shared" ref="Q185:Q188" si="293">P185*DAY($C185)*86400/43560/1000</f>
        <v>15.382905919098658</v>
      </c>
      <c r="R185" s="30">
        <f>MIN(IF(MONTH($C185)=4,$S$3,IF(MONTH($C185)=5,$S$4,IF(MONTH($C185)=6,$S$5,IF(MONTH($C185)=7,$S$6,"ERROR")))),MAX(VLOOKUP($C185,COS!$B$8:$K$991,10,FALSE)-IF(MONTH($C185)=4,$Y$3,IF(MONTH($C185)=5,$Y$4,IF(MONTH($C185)=6,$Y$5,IF(MONTH($C185)=7,$Y$6,"ERROR")))),0),MAX(VLOOKUP($C185,COS!$B$8:$K$991,9,FALSE)-IF(MONTH($C185)=4,$V$3,IF(MONTH($C185)=5,$V$4,IF(MONTH($C185)=6,$V$5,IF(MONTH($C185)=7,$V$6,"ERROR"))))-VLOOKUP($C185,COS!$B$8:$K$991,6,FALSE)/2,0))</f>
        <v>750</v>
      </c>
      <c r="S185" s="30">
        <f t="shared" ref="S185:S188" si="294">R185*DAY($C185)*86400/43560/1000</f>
        <v>44.628099173553714</v>
      </c>
      <c r="T185" s="30">
        <f t="shared" ref="T185:T188" si="295">(O185+Q185)/2+S185</f>
        <v>53.01265976960994</v>
      </c>
      <c r="U185" s="30" t="str">
        <f>IF(VLOOKUP($C185,COS!$B$8:$I$991,8,FALSE)=1,"UWFE","IBU")</f>
        <v>UWFE</v>
      </c>
      <c r="V185" s="30">
        <f t="shared" ref="V185" si="296">MIN(IF(IF($AA$3=2,AND(E185=1,G185=1,L185=1,L190=1,M185=1,U185="IBU"),AND(E185=1,G185=1,L185=1,L190=1,M185=1)),T185,0),I185)</f>
        <v>0</v>
      </c>
      <c r="W185" s="30"/>
      <c r="X185" s="30"/>
      <c r="Y185" s="30"/>
      <c r="Z185" s="30"/>
      <c r="AA185" s="30"/>
      <c r="AB185" s="31"/>
    </row>
    <row r="186" spans="1:28" x14ac:dyDescent="0.3">
      <c r="A186" s="32">
        <f>VLOOKUP(YEAR(C186),Flags!$A$13:$B$95,2,FALSE)</f>
        <v>1</v>
      </c>
      <c r="B186" s="24">
        <f t="shared" si="225"/>
        <v>1941</v>
      </c>
      <c r="C186" s="25">
        <v>15127</v>
      </c>
      <c r="D186" s="26">
        <f>VLOOKUP($C186,COS!$B$8:$H$991,3,FALSE)</f>
        <v>11196.62890625</v>
      </c>
      <c r="E186" s="24">
        <f>IF(D186&gt;=IF(MONTH($C186)=4,$C$3,IF(MONTH($C186)=5,$C$4,IF(MONTH($C186)=6,$C$5,IF(MONTH($C186)=7,$C$6,"ERROR")))),1,0)</f>
        <v>1</v>
      </c>
      <c r="F186" s="26">
        <f>VLOOKUP($C186,COS!$B$8:$H$991,7,FALSE)</f>
        <v>49.271575927734375</v>
      </c>
      <c r="G186" s="24">
        <f>IF(F186&lt;=IF(MONTH($C186)=4,$F$3,IF(MONTH($C186)=5,$F$4,IF(MONTH($C186)=6,$F$5,IF(MONTH($C186)=7,$F$6,"ERROR")))),1,0)</f>
        <v>1</v>
      </c>
      <c r="H186" s="26">
        <f>IF(J186=1,D186-$C$4,0)</f>
        <v>5196.62890625</v>
      </c>
      <c r="I186" s="26">
        <f t="shared" si="239"/>
        <v>319.52825671487602</v>
      </c>
      <c r="J186" s="24">
        <f t="shared" si="289"/>
        <v>1</v>
      </c>
      <c r="K186" s="26">
        <f>VLOOKUP($C186,COS!$B$8:$H$991,2,FALSE)</f>
        <v>4552</v>
      </c>
      <c r="L186" s="24">
        <f t="shared" si="231"/>
        <v>1</v>
      </c>
      <c r="M186" s="24">
        <f t="shared" si="232"/>
        <v>0</v>
      </c>
      <c r="N186" s="26">
        <f>VLOOKUP($C186,COS!$B$8:$H$991,5,FALSE)</f>
        <v>416.04388427734375</v>
      </c>
      <c r="O186" s="26">
        <f t="shared" si="292"/>
        <v>25.581541314243285</v>
      </c>
      <c r="P186" s="26">
        <f>VLOOKUP($C186,COS!$B$8:$H$991,6,FALSE)</f>
        <v>1881.5819091796875</v>
      </c>
      <c r="Q186" s="26">
        <f t="shared" si="293"/>
        <v>115.69396201898243</v>
      </c>
      <c r="R186" s="26">
        <f>MIN(IF(MONTH($C186)=4,$S$3,IF(MONTH($C186)=5,$S$4,IF(MONTH($C186)=6,$S$5,IF(MONTH($C186)=7,$S$6,"ERROR")))),MAX(VLOOKUP($C186,COS!$B$8:$K$991,10,FALSE)-IF(MONTH($C186)=4,$Y$3,IF(MONTH($C186)=5,$Y$4,IF(MONTH($C186)=6,$Y$5,IF(MONTH($C186)=7,$Y$6,"ERROR")))),0),MAX(VLOOKUP($C186,COS!$B$8:$K$991,9,FALSE)-IF(MONTH($C186)=4,$V$3,IF(MONTH($C186)=5,$V$4,IF(MONTH($C186)=6,$V$5,IF(MONTH($C186)=7,$V$6,"ERROR"))))-VLOOKUP($C186,COS!$B$8:$K$991,6,FALSE)/2,0))</f>
        <v>750</v>
      </c>
      <c r="S186" s="26">
        <f t="shared" si="294"/>
        <v>46.115702479338843</v>
      </c>
      <c r="T186" s="26">
        <f t="shared" si="295"/>
        <v>116.75345414595171</v>
      </c>
      <c r="U186" s="26" t="str">
        <f>IF(VLOOKUP($C186,COS!$B$8:$I$991,8,FALSE)=1,"UWFE","IBU")</f>
        <v>UWFE</v>
      </c>
      <c r="V186" s="26">
        <f t="shared" ref="V186" si="297">MIN(IF(IF($AA$3=2,AND(E186=1,G186=1,L186=1,L190=1,M186=1,U186="IBU"),AND(E186=1,G186=1,L186=1,L190=1,M186=1)),T186,0),I186)</f>
        <v>0</v>
      </c>
      <c r="W186" s="26"/>
      <c r="X186" s="26"/>
      <c r="Y186" s="26"/>
      <c r="Z186" s="26"/>
      <c r="AA186" s="26"/>
      <c r="AB186" s="33"/>
    </row>
    <row r="187" spans="1:28" x14ac:dyDescent="0.3">
      <c r="A187" s="32">
        <f>VLOOKUP(YEAR(C187),Flags!$A$13:$B$95,2,FALSE)</f>
        <v>1</v>
      </c>
      <c r="B187" s="24">
        <f t="shared" si="225"/>
        <v>1941</v>
      </c>
      <c r="C187" s="25">
        <v>15157</v>
      </c>
      <c r="D187" s="26">
        <f>VLOOKUP($C187,COS!$B$8:$H$991,3,FALSE)</f>
        <v>7959.45068359375</v>
      </c>
      <c r="E187" s="24">
        <f>IF(D187&gt;=IF(MONTH($C187)=4,$C$3,IF(MONTH($C187)=5,$C$4,IF(MONTH($C187)=6,$C$5,IF(MONTH($C187)=7,$C$6,"ERROR")))),1,0)</f>
        <v>0</v>
      </c>
      <c r="F187" s="26">
        <f>VLOOKUP($C187,COS!$B$8:$H$991,7,FALSE)</f>
        <v>51.485713958740234</v>
      </c>
      <c r="G187" s="24">
        <f>IF(F187&lt;=IF(MONTH($C187)=4,$F$3,IF(MONTH($C187)=5,$F$4,IF(MONTH($C187)=6,$F$5,IF(MONTH($C187)=7,$F$6,"ERROR")))),1,0)</f>
        <v>1</v>
      </c>
      <c r="H187" s="26">
        <f>IF(J187=1,D187-$C$5,0)</f>
        <v>0</v>
      </c>
      <c r="I187" s="26">
        <f t="shared" si="239"/>
        <v>0</v>
      </c>
      <c r="J187" s="24">
        <f t="shared" si="289"/>
        <v>0</v>
      </c>
      <c r="K187" s="26">
        <f>VLOOKUP($C187,COS!$B$8:$H$991,2,FALSE)</f>
        <v>4473.59912109375</v>
      </c>
      <c r="L187" s="24">
        <f t="shared" si="231"/>
        <v>1</v>
      </c>
      <c r="M187" s="24">
        <f t="shared" si="232"/>
        <v>0</v>
      </c>
      <c r="N187" s="26">
        <f>VLOOKUP($C187,COS!$B$8:$H$991,5,FALSE)</f>
        <v>1200.7138671875</v>
      </c>
      <c r="O187" s="26">
        <f t="shared" si="292"/>
        <v>71.447436725206614</v>
      </c>
      <c r="P187" s="26">
        <f>VLOOKUP($C187,COS!$B$8:$H$991,6,FALSE)</f>
        <v>2235.81640625</v>
      </c>
      <c r="Q187" s="26">
        <f t="shared" si="293"/>
        <v>133.04031508264464</v>
      </c>
      <c r="R187" s="26">
        <f>MIN(IF(MONTH($C187)=4,$S$3,IF(MONTH($C187)=5,$S$4,IF(MONTH($C187)=6,$S$5,IF(MONTH($C187)=7,$S$6,"ERROR")))),MAX(VLOOKUP($C187,COS!$B$8:$K$991,10,FALSE)-IF(MONTH($C187)=4,$Y$3,IF(MONTH($C187)=5,$Y$4,IF(MONTH($C187)=6,$Y$5,IF(MONTH($C187)=7,$Y$6,"ERROR")))),0),MAX(VLOOKUP($C187,COS!$B$8:$K$991,9,FALSE)-IF(MONTH($C187)=4,$V$3,IF(MONTH($C187)=5,$V$4,IF(MONTH($C187)=6,$V$5,IF(MONTH($C187)=7,$V$6,"ERROR"))))-VLOOKUP($C187,COS!$B$8:$K$991,6,FALSE)/2,0))</f>
        <v>750</v>
      </c>
      <c r="S187" s="26">
        <f t="shared" si="294"/>
        <v>44.628099173553714</v>
      </c>
      <c r="T187" s="26">
        <f t="shared" si="295"/>
        <v>146.87197507747933</v>
      </c>
      <c r="U187" s="26" t="str">
        <f>IF(VLOOKUP($C187,COS!$B$8:$I$991,8,FALSE)=1,"UWFE","IBU")</f>
        <v>UWFE</v>
      </c>
      <c r="V187" s="26">
        <f t="shared" ref="V187" si="298">MIN(IF(IF($AA$3=2,AND(E187=1,G187=1,L187=1,L190=1,M187=1,U187="IBU"),AND(E187=1,G187=1,L187=1,L190=1,M187=1)),T187,0),I187)</f>
        <v>0</v>
      </c>
      <c r="W187" s="26"/>
      <c r="X187" s="26"/>
      <c r="Y187" s="26"/>
      <c r="Z187" s="26"/>
      <c r="AA187" s="26"/>
      <c r="AB187" s="33"/>
    </row>
    <row r="188" spans="1:28" x14ac:dyDescent="0.3">
      <c r="A188" s="32">
        <f>VLOOKUP(YEAR(C188),Flags!$A$13:$B$95,2,FALSE)</f>
        <v>1</v>
      </c>
      <c r="B188" s="24">
        <f t="shared" si="225"/>
        <v>1941</v>
      </c>
      <c r="C188" s="25">
        <v>15188</v>
      </c>
      <c r="D188" s="26">
        <f>VLOOKUP($C188,COS!$B$8:$H$991,3,FALSE)</f>
        <v>13357.740234375</v>
      </c>
      <c r="E188" s="24">
        <f>IF(D188&gt;=IF(MONTH($C188)=4,$C$3,IF(MONTH($C188)=5,$C$4,IF(MONTH($C188)=6,$C$5,IF(MONTH($C188)=7,$C$6,"ERROR")))),1,0)</f>
        <v>1</v>
      </c>
      <c r="F188" s="26">
        <f>VLOOKUP($C188,COS!$B$8:$H$991,7,FALSE)</f>
        <v>52.457145690917969</v>
      </c>
      <c r="G188" s="24">
        <f>IF(F188&lt;=IF(MONTH($C188)=4,$F$3,IF(MONTH($C188)=5,$F$4,IF(MONTH($C188)=6,$F$5,IF(MONTH($C188)=7,$F$6,"ERROR")))),1,0)</f>
        <v>1</v>
      </c>
      <c r="H188" s="26">
        <f>IF(J188=1,D188-$C$6,0)</f>
        <v>1357.740234375</v>
      </c>
      <c r="I188" s="26">
        <f t="shared" si="239"/>
        <v>83.484192923553721</v>
      </c>
      <c r="J188" s="24">
        <f t="shared" si="289"/>
        <v>1</v>
      </c>
      <c r="K188" s="26">
        <f>VLOOKUP($C188,COS!$B$8:$H$991,2,FALSE)</f>
        <v>4107.0615234375</v>
      </c>
      <c r="L188" s="24">
        <f t="shared" si="231"/>
        <v>1</v>
      </c>
      <c r="M188" s="24">
        <f t="shared" si="232"/>
        <v>0</v>
      </c>
      <c r="N188" s="26">
        <f>VLOOKUP($C188,COS!$B$8:$H$991,5,FALSE)</f>
        <v>1380.17529296875</v>
      </c>
      <c r="O188" s="26">
        <f t="shared" si="292"/>
        <v>84.863670906508275</v>
      </c>
      <c r="P188" s="26">
        <f>VLOOKUP($C188,COS!$B$8:$H$991,6,FALSE)</f>
        <v>2616.67822265625</v>
      </c>
      <c r="Q188" s="26">
        <f t="shared" si="293"/>
        <v>160.89327253357436</v>
      </c>
      <c r="R188" s="26">
        <f>MIN(IF(MONTH($C188)=4,$S$3,IF(MONTH($C188)=5,$S$4,IF(MONTH($C188)=6,$S$5,IF(MONTH($C188)=7,$S$6,"ERROR")))),MAX(VLOOKUP($C188,COS!$B$8:$K$991,10,FALSE)-IF(MONTH($C188)=4,$Y$3,IF(MONTH($C188)=5,$Y$4,IF(MONTH($C188)=6,$Y$5,IF(MONTH($C188)=7,$Y$6,"ERROR")))),0),MAX(VLOOKUP($C188,COS!$B$8:$K$991,9,FALSE)-IF(MONTH($C188)=4,$V$3,IF(MONTH($C188)=5,$V$4,IF(MONTH($C188)=6,$V$5,IF(MONTH($C188)=7,$V$6,"ERROR"))))-VLOOKUP($C188,COS!$B$8:$K$991,6,FALSE)/2,0))</f>
        <v>750</v>
      </c>
      <c r="S188" s="26">
        <f t="shared" si="294"/>
        <v>46.115702479338843</v>
      </c>
      <c r="T188" s="26">
        <f t="shared" si="295"/>
        <v>168.99417419938015</v>
      </c>
      <c r="U188" s="26" t="str">
        <f>IF(VLOOKUP($C188,COS!$B$8:$I$991,8,FALSE)=1,"UWFE","IBU")</f>
        <v>IBU</v>
      </c>
      <c r="V188" s="26">
        <f t="shared" ref="V188" si="299">MIN(IF(IF($AA$3=2,AND(E188=1,G188=1,L188=1,L190=1,M188=1,U188="IBU"),AND(E188=1,G188=1,L188=1,L190=1,M188=1)),T188,0),I188)</f>
        <v>0</v>
      </c>
      <c r="W188" s="26"/>
      <c r="X188" s="26"/>
      <c r="Y188" s="26"/>
      <c r="Z188" s="26"/>
      <c r="AA188" s="26"/>
      <c r="AB188" s="33"/>
    </row>
    <row r="189" spans="1:28" x14ac:dyDescent="0.3">
      <c r="A189" s="32">
        <f>VLOOKUP(YEAR(C189),Flags!$A$13:$B$95,2,FALSE)</f>
        <v>1</v>
      </c>
      <c r="B189" s="24">
        <f t="shared" si="225"/>
        <v>1941</v>
      </c>
      <c r="C189" s="25">
        <v>15219</v>
      </c>
      <c r="D189" s="26"/>
      <c r="E189" s="24"/>
      <c r="F189" s="26"/>
      <c r="G189" s="24"/>
      <c r="H189" s="24"/>
      <c r="I189" s="26"/>
      <c r="J189" s="24"/>
      <c r="K189" s="26"/>
      <c r="L189" s="24"/>
      <c r="M189" s="24"/>
      <c r="N189" s="26"/>
      <c r="O189" s="26"/>
      <c r="P189" s="26"/>
      <c r="Q189" s="26"/>
      <c r="R189" s="26"/>
      <c r="S189" s="26"/>
      <c r="T189" s="26"/>
      <c r="U189" s="26"/>
      <c r="V189" s="26"/>
      <c r="W189" s="26">
        <f>MAX($C$7-VLOOKUP($C189,COS!$B$8:$H$991,3,FALSE),0)</f>
        <v>88126.173828125</v>
      </c>
      <c r="X189" s="26">
        <f t="shared" si="245"/>
        <v>5418.6672172004137</v>
      </c>
      <c r="Y189" s="26">
        <f>VLOOKUP($C189,COS!$B$8:$H$991,4,FALSE)</f>
        <v>41.871162414550781</v>
      </c>
      <c r="Z189" s="26">
        <f t="shared" si="246"/>
        <v>2.5745574244979985</v>
      </c>
      <c r="AA189" s="26">
        <f t="shared" ref="AA189:AA193" si="300">MIN(W189,Y189)</f>
        <v>41.871162414550781</v>
      </c>
      <c r="AB189" s="33">
        <f t="shared" ref="AB189" si="301">AA189*DAY($C189)*86400/43560/1000*IF(MONTH($C189)=8,$P$3,IF(MONTH($C189)=9,$P$4,IF(MONTH($C189)=10,$P$5,IF(MONTH($C189)=11,$P$6,IF(MONTH($C189)=12,$P$7,NA())))))</f>
        <v>2.5745574244979985</v>
      </c>
    </row>
    <row r="190" spans="1:28" x14ac:dyDescent="0.3">
      <c r="A190" s="32">
        <f>VLOOKUP(YEAR(C190),Flags!$A$13:$B$95,2,FALSE)</f>
        <v>1</v>
      </c>
      <c r="B190" s="24">
        <f t="shared" si="225"/>
        <v>1941</v>
      </c>
      <c r="C190" s="25">
        <v>15249</v>
      </c>
      <c r="D190" s="26"/>
      <c r="E190" s="24"/>
      <c r="F190" s="26"/>
      <c r="G190" s="24"/>
      <c r="H190" s="24"/>
      <c r="I190" s="26"/>
      <c r="J190" s="24"/>
      <c r="K190" s="26">
        <f>VLOOKUP($C190,COS!$B$8:$H$991,2,FALSE)</f>
        <v>3115.0087890625</v>
      </c>
      <c r="L190" s="24">
        <f t="shared" ref="L190" si="302">IF(AND(K190&gt;$I$7,K190&lt;$I$8),1,0)</f>
        <v>1</v>
      </c>
      <c r="M190" s="24"/>
      <c r="N190" s="26"/>
      <c r="O190" s="26"/>
      <c r="P190" s="26"/>
      <c r="Q190" s="26"/>
      <c r="R190" s="26"/>
      <c r="S190" s="26"/>
      <c r="T190" s="26"/>
      <c r="U190" s="26"/>
      <c r="V190" s="26"/>
      <c r="W190" s="26">
        <f>MAX($C$8-VLOOKUP($C190,COS!$B$8:$H$991,3,FALSE),0)</f>
        <v>83265.279296875</v>
      </c>
      <c r="X190" s="26">
        <f t="shared" si="245"/>
        <v>4954.6281895661159</v>
      </c>
      <c r="Y190" s="26">
        <f>VLOOKUP($C190,COS!$B$8:$H$991,4,FALSE)</f>
        <v>125.05797576904297</v>
      </c>
      <c r="Z190" s="26">
        <f t="shared" si="246"/>
        <v>7.4414663267529706</v>
      </c>
      <c r="AA190" s="26">
        <f t="shared" si="300"/>
        <v>125.05797576904297</v>
      </c>
      <c r="AB190" s="33">
        <f t="shared" si="243"/>
        <v>7.4414663267529706</v>
      </c>
    </row>
    <row r="191" spans="1:28" x14ac:dyDescent="0.3">
      <c r="A191" s="32">
        <f>VLOOKUP(YEAR(C191),Flags!$A$13:$B$95,2,FALSE)</f>
        <v>1</v>
      </c>
      <c r="B191" s="24">
        <f t="shared" si="225"/>
        <v>1941</v>
      </c>
      <c r="C191" s="25">
        <v>15280</v>
      </c>
      <c r="D191" s="26"/>
      <c r="E191" s="24"/>
      <c r="F191" s="26"/>
      <c r="G191" s="26"/>
      <c r="H191" s="26"/>
      <c r="I191" s="26"/>
      <c r="J191" s="26"/>
      <c r="K191" s="26"/>
      <c r="L191" s="24"/>
      <c r="M191" s="24"/>
      <c r="N191" s="26"/>
      <c r="O191" s="26"/>
      <c r="P191" s="26"/>
      <c r="Q191" s="26"/>
      <c r="R191" s="26"/>
      <c r="S191" s="26"/>
      <c r="T191" s="26"/>
      <c r="U191" s="26"/>
      <c r="V191" s="26"/>
      <c r="W191" s="26">
        <f>MAX($C$9-VLOOKUP($C191,COS!$B$8:$H$991,3,FALSE),0)</f>
        <v>93057.919921875</v>
      </c>
      <c r="X191" s="26">
        <f t="shared" si="245"/>
        <v>5721.908464617768</v>
      </c>
      <c r="Y191" s="26">
        <f>VLOOKUP($C191,COS!$B$8:$H$991,4,FALSE)</f>
        <v>404.5906982421875</v>
      </c>
      <c r="Z191" s="26">
        <f t="shared" si="246"/>
        <v>24.877312354726239</v>
      </c>
      <c r="AA191" s="26">
        <f t="shared" si="300"/>
        <v>404.5906982421875</v>
      </c>
      <c r="AB191" s="33">
        <f t="shared" si="243"/>
        <v>24.877312354726239</v>
      </c>
    </row>
    <row r="192" spans="1:28" x14ac:dyDescent="0.3">
      <c r="A192" s="32">
        <f>VLOOKUP(YEAR(C192),Flags!$A$13:$B$95,2,FALSE)</f>
        <v>1</v>
      </c>
      <c r="B192" s="24">
        <f t="shared" si="225"/>
        <v>1941</v>
      </c>
      <c r="C192" s="25">
        <v>15310</v>
      </c>
      <c r="D192" s="26"/>
      <c r="E192" s="24"/>
      <c r="F192" s="26"/>
      <c r="G192" s="26"/>
      <c r="H192" s="26"/>
      <c r="I192" s="26"/>
      <c r="J192" s="26"/>
      <c r="K192" s="26"/>
      <c r="L192" s="24"/>
      <c r="M192" s="24"/>
      <c r="N192" s="26"/>
      <c r="O192" s="26"/>
      <c r="P192" s="26"/>
      <c r="Q192" s="26"/>
      <c r="R192" s="26"/>
      <c r="S192" s="26"/>
      <c r="T192" s="26"/>
      <c r="U192" s="26"/>
      <c r="V192" s="26"/>
      <c r="W192" s="26">
        <f>MAX($C$10-VLOOKUP($C192,COS!$B$8:$H$991,3,FALSE),0)</f>
        <v>90006.765625</v>
      </c>
      <c r="X192" s="26">
        <f t="shared" si="245"/>
        <v>5355.7744834710738</v>
      </c>
      <c r="Y192" s="26">
        <f>VLOOKUP($C192,COS!$B$8:$H$991,4,FALSE)</f>
        <v>455.62896728515625</v>
      </c>
      <c r="Z192" s="26">
        <f t="shared" si="246"/>
        <v>27.111806317794422</v>
      </c>
      <c r="AA192" s="26">
        <f t="shared" si="300"/>
        <v>455.62896728515625</v>
      </c>
      <c r="AB192" s="33">
        <f t="shared" si="243"/>
        <v>13.555903158897211</v>
      </c>
    </row>
    <row r="193" spans="1:28" x14ac:dyDescent="0.3">
      <c r="A193" s="34">
        <f>VLOOKUP(YEAR(C193),Flags!$A$13:$B$95,2,FALSE)</f>
        <v>1</v>
      </c>
      <c r="B193" s="35">
        <f t="shared" si="225"/>
        <v>1941</v>
      </c>
      <c r="C193" s="36">
        <v>15341</v>
      </c>
      <c r="D193" s="37"/>
      <c r="E193" s="35"/>
      <c r="F193" s="37"/>
      <c r="G193" s="37"/>
      <c r="H193" s="37"/>
      <c r="I193" s="37"/>
      <c r="J193" s="37"/>
      <c r="K193" s="37"/>
      <c r="L193" s="35"/>
      <c r="M193" s="35"/>
      <c r="N193" s="37"/>
      <c r="O193" s="37"/>
      <c r="P193" s="37"/>
      <c r="Q193" s="37"/>
      <c r="R193" s="37"/>
      <c r="S193" s="37"/>
      <c r="T193" s="37"/>
      <c r="U193" s="37"/>
      <c r="V193" s="37"/>
      <c r="W193" s="37">
        <f>MAX($C$11-VLOOKUP($C193,COS!$B$8:$H$991,3,FALSE),0)</f>
        <v>0</v>
      </c>
      <c r="X193" s="37">
        <f t="shared" si="245"/>
        <v>0</v>
      </c>
      <c r="Y193" s="37">
        <f>VLOOKUP($C193,COS!$B$8:$H$991,4,FALSE)</f>
        <v>0</v>
      </c>
      <c r="Z193" s="37">
        <f t="shared" si="246"/>
        <v>0</v>
      </c>
      <c r="AA193" s="37">
        <f t="shared" si="300"/>
        <v>0</v>
      </c>
      <c r="AB193" s="38">
        <f t="shared" si="243"/>
        <v>0</v>
      </c>
    </row>
    <row r="194" spans="1:28" x14ac:dyDescent="0.3">
      <c r="A194" s="27">
        <f>VLOOKUP(YEAR(C194),Flags!$A$13:$B$95,2,FALSE)</f>
        <v>1</v>
      </c>
      <c r="B194" s="28">
        <f t="shared" si="225"/>
        <v>1942</v>
      </c>
      <c r="C194" s="29">
        <v>15461</v>
      </c>
      <c r="D194" s="30">
        <f>VLOOKUP($C194,COS!$B$8:$H$991,3,FALSE)</f>
        <v>3250</v>
      </c>
      <c r="E194" s="28">
        <f>IF(D194&gt;=IF(MONTH($C194)=4,$C$3,IF(MONTH($C194)=5,$C$4,IF(MONTH($C194)=6,$C$5,IF(MONTH($C194)=7,$C$6,"ERROR")))),1,0)</f>
        <v>0</v>
      </c>
      <c r="F194" s="30">
        <f>VLOOKUP($C194,COS!$B$8:$H$991,7,FALSE)</f>
        <v>49.696609497070313</v>
      </c>
      <c r="G194" s="28">
        <f>IF(F194&lt;=IF(MONTH($C194)=4,$F$3,IF(MONTH($C194)=5,$F$4,IF(MONTH($C194)=6,$F$5,IF(MONTH($C194)=7,$F$6,"ERROR")))),1,0)</f>
        <v>1</v>
      </c>
      <c r="H194" s="30">
        <f>IF(J194=1,D194-$C$3,0)</f>
        <v>0</v>
      </c>
      <c r="I194" s="30">
        <f t="shared" si="239"/>
        <v>0</v>
      </c>
      <c r="J194" s="28">
        <f t="shared" ref="J194:J197" si="303">IF(AND(E194=1,G194=1),1,0)</f>
        <v>0</v>
      </c>
      <c r="K194" s="30">
        <f>VLOOKUP($C194,COS!$B$8:$H$991,2,FALSE)</f>
        <v>4509.97900390625</v>
      </c>
      <c r="L194" s="28">
        <f t="shared" ref="L194" si="304">IF(K194&lt;=IF(MONTH($C194)=4,$I$3,IF(MONTH($C194)=5,$I$4,IF(MONTH($C194)=6,$I$5,IF(MONTH($C194)=7,$I$6,"ERROR")))),1,0)</f>
        <v>1</v>
      </c>
      <c r="M194" s="28">
        <f t="shared" ref="M194" si="305">VLOOKUP($A194,$L$3:$M$7,2,FALSE)</f>
        <v>0</v>
      </c>
      <c r="N194" s="30">
        <f>VLOOKUP($C194,COS!$B$8:$H$991,5,FALSE)</f>
        <v>20.96923828125</v>
      </c>
      <c r="O194" s="30">
        <f t="shared" ref="O194:O197" si="306">N194*DAY($C194)*86400/43560/1000</f>
        <v>1.2477563274793388</v>
      </c>
      <c r="P194" s="30">
        <f>VLOOKUP($C194,COS!$B$8:$H$991,6,FALSE)</f>
        <v>278.10659790039063</v>
      </c>
      <c r="Q194" s="30">
        <f t="shared" ref="Q194:Q197" si="307">P194*DAY($C194)*86400/43560/1000</f>
        <v>16.548491775891012</v>
      </c>
      <c r="R194" s="30">
        <f>MIN(IF(MONTH($C194)=4,$S$3,IF(MONTH($C194)=5,$S$4,IF(MONTH($C194)=6,$S$5,IF(MONTH($C194)=7,$S$6,"ERROR")))),MAX(VLOOKUP($C194,COS!$B$8:$K$991,10,FALSE)-IF(MONTH($C194)=4,$Y$3,IF(MONTH($C194)=5,$Y$4,IF(MONTH($C194)=6,$Y$5,IF(MONTH($C194)=7,$Y$6,"ERROR")))),0),MAX(VLOOKUP($C194,COS!$B$8:$K$991,9,FALSE)-IF(MONTH($C194)=4,$V$3,IF(MONTH($C194)=5,$V$4,IF(MONTH($C194)=6,$V$5,IF(MONTH($C194)=7,$V$6,"ERROR"))))-VLOOKUP($C194,COS!$B$8:$K$991,6,FALSE)/2,0))</f>
        <v>750</v>
      </c>
      <c r="S194" s="30">
        <f t="shared" ref="S194:S197" si="308">R194*DAY($C194)*86400/43560/1000</f>
        <v>44.628099173553714</v>
      </c>
      <c r="T194" s="30">
        <f t="shared" ref="T194:T197" si="309">(O194+Q194)/2+S194</f>
        <v>53.526223225238894</v>
      </c>
      <c r="U194" s="30" t="str">
        <f>IF(VLOOKUP($C194,COS!$B$8:$I$991,8,FALSE)=1,"UWFE","IBU")</f>
        <v>UWFE</v>
      </c>
      <c r="V194" s="30">
        <f t="shared" ref="V194" si="310">MIN(IF(IF($AA$3=2,AND(E194=1,G194=1,L194=1,L199=1,M194=1,U194="IBU"),AND(E194=1,G194=1,L194=1,L199=1,M194=1)),T194,0),I194)</f>
        <v>0</v>
      </c>
      <c r="W194" s="30"/>
      <c r="X194" s="30"/>
      <c r="Y194" s="30"/>
      <c r="Z194" s="30"/>
      <c r="AA194" s="30"/>
      <c r="AB194" s="31"/>
    </row>
    <row r="195" spans="1:28" x14ac:dyDescent="0.3">
      <c r="A195" s="32">
        <f>VLOOKUP(YEAR(C195),Flags!$A$13:$B$95,2,FALSE)</f>
        <v>1</v>
      </c>
      <c r="B195" s="24">
        <f t="shared" si="225"/>
        <v>1942</v>
      </c>
      <c r="C195" s="25">
        <v>15492</v>
      </c>
      <c r="D195" s="26">
        <f>VLOOKUP($C195,COS!$B$8:$H$991,3,FALSE)</f>
        <v>10224.1552734375</v>
      </c>
      <c r="E195" s="24">
        <f>IF(D195&gt;=IF(MONTH($C195)=4,$C$3,IF(MONTH($C195)=5,$C$4,IF(MONTH($C195)=6,$C$5,IF(MONTH($C195)=7,$C$6,"ERROR")))),1,0)</f>
        <v>1</v>
      </c>
      <c r="F195" s="26">
        <f>VLOOKUP($C195,COS!$B$8:$H$991,7,FALSE)</f>
        <v>48.257987976074219</v>
      </c>
      <c r="G195" s="24">
        <f>IF(F195&lt;=IF(MONTH($C195)=4,$F$3,IF(MONTH($C195)=5,$F$4,IF(MONTH($C195)=6,$F$5,IF(MONTH($C195)=7,$F$6,"ERROR")))),1,0)</f>
        <v>1</v>
      </c>
      <c r="H195" s="26">
        <f>IF(J195=1,D195-$C$4,0)</f>
        <v>4224.1552734375</v>
      </c>
      <c r="I195" s="26">
        <f t="shared" si="239"/>
        <v>259.73318375516527</v>
      </c>
      <c r="J195" s="24">
        <f t="shared" si="303"/>
        <v>1</v>
      </c>
      <c r="K195" s="26">
        <f>VLOOKUP($C195,COS!$B$8:$H$991,2,FALSE)</f>
        <v>4552</v>
      </c>
      <c r="L195" s="24">
        <f t="shared" si="231"/>
        <v>1</v>
      </c>
      <c r="M195" s="24">
        <f t="shared" si="232"/>
        <v>0</v>
      </c>
      <c r="N195" s="26">
        <f>VLOOKUP($C195,COS!$B$8:$H$991,5,FALSE)</f>
        <v>528.735595703125</v>
      </c>
      <c r="O195" s="26">
        <f t="shared" si="306"/>
        <v>32.510684562241735</v>
      </c>
      <c r="P195" s="26">
        <f>VLOOKUP($C195,COS!$B$8:$H$991,6,FALSE)</f>
        <v>2076.0068359375</v>
      </c>
      <c r="Q195" s="26">
        <f t="shared" si="307"/>
        <v>127.64868478822314</v>
      </c>
      <c r="R195" s="26">
        <f>MIN(IF(MONTH($C195)=4,$S$3,IF(MONTH($C195)=5,$S$4,IF(MONTH($C195)=6,$S$5,IF(MONTH($C195)=7,$S$6,"ERROR")))),MAX(VLOOKUP($C195,COS!$B$8:$K$991,10,FALSE)-IF(MONTH($C195)=4,$Y$3,IF(MONTH($C195)=5,$Y$4,IF(MONTH($C195)=6,$Y$5,IF(MONTH($C195)=7,$Y$6,"ERROR")))),0),MAX(VLOOKUP($C195,COS!$B$8:$K$991,9,FALSE)-IF(MONTH($C195)=4,$V$3,IF(MONTH($C195)=5,$V$4,IF(MONTH($C195)=6,$V$5,IF(MONTH($C195)=7,$V$6,"ERROR"))))-VLOOKUP($C195,COS!$B$8:$K$991,6,FALSE)/2,0))</f>
        <v>750</v>
      </c>
      <c r="S195" s="26">
        <f t="shared" si="308"/>
        <v>46.115702479338843</v>
      </c>
      <c r="T195" s="26">
        <f t="shared" si="309"/>
        <v>126.19538715457128</v>
      </c>
      <c r="U195" s="26" t="str">
        <f>IF(VLOOKUP($C195,COS!$B$8:$I$991,8,FALSE)=1,"UWFE","IBU")</f>
        <v>UWFE</v>
      </c>
      <c r="V195" s="26">
        <f t="shared" ref="V195" si="311">MIN(IF(IF($AA$3=2,AND(E195=1,G195=1,L195=1,L199=1,M195=1,U195="IBU"),AND(E195=1,G195=1,L195=1,L199=1,M195=1)),T195,0),I195)</f>
        <v>0</v>
      </c>
      <c r="W195" s="26"/>
      <c r="X195" s="26"/>
      <c r="Y195" s="26"/>
      <c r="Z195" s="26"/>
      <c r="AA195" s="26"/>
      <c r="AB195" s="33"/>
    </row>
    <row r="196" spans="1:28" x14ac:dyDescent="0.3">
      <c r="A196" s="32">
        <f>VLOOKUP(YEAR(C196),Flags!$A$13:$B$95,2,FALSE)</f>
        <v>1</v>
      </c>
      <c r="B196" s="24">
        <f t="shared" si="225"/>
        <v>1942</v>
      </c>
      <c r="C196" s="25">
        <v>15522</v>
      </c>
      <c r="D196" s="26">
        <f>VLOOKUP($C196,COS!$B$8:$H$991,3,FALSE)</f>
        <v>7711.70703125</v>
      </c>
      <c r="E196" s="24">
        <f>IF(D196&gt;=IF(MONTH($C196)=4,$C$3,IF(MONTH($C196)=5,$C$4,IF(MONTH($C196)=6,$C$5,IF(MONTH($C196)=7,$C$6,"ERROR")))),1,0)</f>
        <v>0</v>
      </c>
      <c r="F196" s="26">
        <f>VLOOKUP($C196,COS!$B$8:$H$991,7,FALSE)</f>
        <v>50.720790863037109</v>
      </c>
      <c r="G196" s="24">
        <f>IF(F196&lt;=IF(MONTH($C196)=4,$F$3,IF(MONTH($C196)=5,$F$4,IF(MONTH($C196)=6,$F$5,IF(MONTH($C196)=7,$F$6,"ERROR")))),1,0)</f>
        <v>1</v>
      </c>
      <c r="H196" s="26">
        <f>IF(J196=1,D196-$C$5,0)</f>
        <v>0</v>
      </c>
      <c r="I196" s="26">
        <f t="shared" si="239"/>
        <v>0</v>
      </c>
      <c r="J196" s="24">
        <f t="shared" si="303"/>
        <v>0</v>
      </c>
      <c r="K196" s="26">
        <f>VLOOKUP($C196,COS!$B$8:$H$991,2,FALSE)</f>
        <v>4500</v>
      </c>
      <c r="L196" s="24">
        <f t="shared" si="231"/>
        <v>1</v>
      </c>
      <c r="M196" s="24">
        <f t="shared" si="232"/>
        <v>0</v>
      </c>
      <c r="N196" s="26">
        <f>VLOOKUP($C196,COS!$B$8:$H$991,5,FALSE)</f>
        <v>1239.5582275390625</v>
      </c>
      <c r="O196" s="26">
        <f t="shared" si="306"/>
        <v>73.758836680010319</v>
      </c>
      <c r="P196" s="26">
        <f>VLOOKUP($C196,COS!$B$8:$H$991,6,FALSE)</f>
        <v>2346.177734375</v>
      </c>
      <c r="Q196" s="26">
        <f t="shared" si="307"/>
        <v>139.6072701446281</v>
      </c>
      <c r="R196" s="26">
        <f>MIN(IF(MONTH($C196)=4,$S$3,IF(MONTH($C196)=5,$S$4,IF(MONTH($C196)=6,$S$5,IF(MONTH($C196)=7,$S$6,"ERROR")))),MAX(VLOOKUP($C196,COS!$B$8:$K$991,10,FALSE)-IF(MONTH($C196)=4,$Y$3,IF(MONTH($C196)=5,$Y$4,IF(MONTH($C196)=6,$Y$5,IF(MONTH($C196)=7,$Y$6,"ERROR")))),0),MAX(VLOOKUP($C196,COS!$B$8:$K$991,9,FALSE)-IF(MONTH($C196)=4,$V$3,IF(MONTH($C196)=5,$V$4,IF(MONTH($C196)=6,$V$5,IF(MONTH($C196)=7,$V$6,"ERROR"))))-VLOOKUP($C196,COS!$B$8:$K$991,6,FALSE)/2,0))</f>
        <v>750</v>
      </c>
      <c r="S196" s="26">
        <f t="shared" si="308"/>
        <v>44.628099173553714</v>
      </c>
      <c r="T196" s="26">
        <f t="shared" si="309"/>
        <v>151.31115258587292</v>
      </c>
      <c r="U196" s="26" t="str">
        <f>IF(VLOOKUP($C196,COS!$B$8:$I$991,8,FALSE)=1,"UWFE","IBU")</f>
        <v>UWFE</v>
      </c>
      <c r="V196" s="26">
        <f t="shared" ref="V196" si="312">MIN(IF(IF($AA$3=2,AND(E196=1,G196=1,L196=1,L199=1,M196=1,U196="IBU"),AND(E196=1,G196=1,L196=1,L199=1,M196=1)),T196,0),I196)</f>
        <v>0</v>
      </c>
      <c r="W196" s="26"/>
      <c r="X196" s="26"/>
      <c r="Y196" s="26"/>
      <c r="Z196" s="26"/>
      <c r="AA196" s="26"/>
      <c r="AB196" s="33"/>
    </row>
    <row r="197" spans="1:28" x14ac:dyDescent="0.3">
      <c r="A197" s="32">
        <f>VLOOKUP(YEAR(C197),Flags!$A$13:$B$95,2,FALSE)</f>
        <v>1</v>
      </c>
      <c r="B197" s="24">
        <f t="shared" si="225"/>
        <v>1942</v>
      </c>
      <c r="C197" s="25">
        <v>15553</v>
      </c>
      <c r="D197" s="26">
        <f>VLOOKUP($C197,COS!$B$8:$H$991,3,FALSE)</f>
        <v>12291.904296875</v>
      </c>
      <c r="E197" s="24">
        <f>IF(D197&gt;=IF(MONTH($C197)=4,$C$3,IF(MONTH($C197)=5,$C$4,IF(MONTH($C197)=6,$C$5,IF(MONTH($C197)=7,$C$6,"ERROR")))),1,0)</f>
        <v>1</v>
      </c>
      <c r="F197" s="26">
        <f>VLOOKUP($C197,COS!$B$8:$H$991,7,FALSE)</f>
        <v>51.129238128662109</v>
      </c>
      <c r="G197" s="24">
        <f>IF(F197&lt;=IF(MONTH($C197)=4,$F$3,IF(MONTH($C197)=5,$F$4,IF(MONTH($C197)=6,$F$5,IF(MONTH($C197)=7,$F$6,"ERROR")))),1,0)</f>
        <v>1</v>
      </c>
      <c r="H197" s="26">
        <f>IF(J197=1,D197-$C$6,0)</f>
        <v>291.904296875</v>
      </c>
      <c r="I197" s="26">
        <f t="shared" si="239"/>
        <v>17.948495609504132</v>
      </c>
      <c r="J197" s="24">
        <f t="shared" si="303"/>
        <v>1</v>
      </c>
      <c r="K197" s="26">
        <f>VLOOKUP($C197,COS!$B$8:$H$991,2,FALSE)</f>
        <v>3968.421142578125</v>
      </c>
      <c r="L197" s="24">
        <f t="shared" si="231"/>
        <v>1</v>
      </c>
      <c r="M197" s="24">
        <f t="shared" si="232"/>
        <v>0</v>
      </c>
      <c r="N197" s="26">
        <f>VLOOKUP($C197,COS!$B$8:$H$991,5,FALSE)</f>
        <v>1378.510009765625</v>
      </c>
      <c r="O197" s="26">
        <f t="shared" si="306"/>
        <v>84.761276633522726</v>
      </c>
      <c r="P197" s="26">
        <f>VLOOKUP($C197,COS!$B$8:$H$991,6,FALSE)</f>
        <v>2616.67822265625</v>
      </c>
      <c r="Q197" s="26">
        <f t="shared" si="307"/>
        <v>160.89327253357436</v>
      </c>
      <c r="R197" s="26">
        <f>MIN(IF(MONTH($C197)=4,$S$3,IF(MONTH($C197)=5,$S$4,IF(MONTH($C197)=6,$S$5,IF(MONTH($C197)=7,$S$6,"ERROR")))),MAX(VLOOKUP($C197,COS!$B$8:$K$991,10,FALSE)-IF(MONTH($C197)=4,$Y$3,IF(MONTH($C197)=5,$Y$4,IF(MONTH($C197)=6,$Y$5,IF(MONTH($C197)=7,$Y$6,"ERROR")))),0),MAX(VLOOKUP($C197,COS!$B$8:$K$991,9,FALSE)-IF(MONTH($C197)=4,$V$3,IF(MONTH($C197)=5,$V$4,IF(MONTH($C197)=6,$V$5,IF(MONTH($C197)=7,$V$6,"ERROR"))))-VLOOKUP($C197,COS!$B$8:$K$991,6,FALSE)/2,0))</f>
        <v>750</v>
      </c>
      <c r="S197" s="26">
        <f t="shared" si="308"/>
        <v>46.115702479338843</v>
      </c>
      <c r="T197" s="26">
        <f t="shared" si="309"/>
        <v>168.94297706288739</v>
      </c>
      <c r="U197" s="26" t="str">
        <f>IF(VLOOKUP($C197,COS!$B$8:$I$991,8,FALSE)=1,"UWFE","IBU")</f>
        <v>IBU</v>
      </c>
      <c r="V197" s="26">
        <f t="shared" ref="V197" si="313">MIN(IF(IF($AA$3=2,AND(E197=1,G197=1,L197=1,L199=1,M197=1,U197="IBU"),AND(E197=1,G197=1,L197=1,L199=1,M197=1)),T197,0),I197)</f>
        <v>0</v>
      </c>
      <c r="W197" s="26"/>
      <c r="X197" s="26"/>
      <c r="Y197" s="26"/>
      <c r="Z197" s="26"/>
      <c r="AA197" s="26"/>
      <c r="AB197" s="33"/>
    </row>
    <row r="198" spans="1:28" x14ac:dyDescent="0.3">
      <c r="A198" s="32">
        <f>VLOOKUP(YEAR(C198),Flags!$A$13:$B$95,2,FALSE)</f>
        <v>1</v>
      </c>
      <c r="B198" s="24">
        <f t="shared" si="225"/>
        <v>1942</v>
      </c>
      <c r="C198" s="25">
        <v>15584</v>
      </c>
      <c r="D198" s="26"/>
      <c r="E198" s="24"/>
      <c r="F198" s="26"/>
      <c r="G198" s="24"/>
      <c r="H198" s="24"/>
      <c r="I198" s="26"/>
      <c r="J198" s="24"/>
      <c r="K198" s="26"/>
      <c r="L198" s="24"/>
      <c r="M198" s="24"/>
      <c r="N198" s="26"/>
      <c r="O198" s="26"/>
      <c r="P198" s="26"/>
      <c r="Q198" s="26"/>
      <c r="R198" s="26"/>
      <c r="S198" s="26"/>
      <c r="T198" s="26"/>
      <c r="U198" s="26"/>
      <c r="V198" s="26"/>
      <c r="W198" s="26">
        <f>MAX($C$7-VLOOKUP($C198,COS!$B$8:$H$991,3,FALSE),0)</f>
        <v>89122.767578125</v>
      </c>
      <c r="X198" s="26">
        <f t="shared" si="245"/>
        <v>5479.9453783574381</v>
      </c>
      <c r="Y198" s="26">
        <f>VLOOKUP($C198,COS!$B$8:$H$991,4,FALSE)</f>
        <v>0</v>
      </c>
      <c r="Z198" s="26">
        <f t="shared" si="246"/>
        <v>0</v>
      </c>
      <c r="AA198" s="26">
        <f t="shared" ref="AA198:AA202" si="314">MIN(W198,Y198)</f>
        <v>0</v>
      </c>
      <c r="AB198" s="33">
        <f t="shared" ref="AB198" si="315">AA198*DAY($C198)*86400/43560/1000*IF(MONTH($C198)=8,$P$3,IF(MONTH($C198)=9,$P$4,IF(MONTH($C198)=10,$P$5,IF(MONTH($C198)=11,$P$6,IF(MONTH($C198)=12,$P$7,NA())))))</f>
        <v>0</v>
      </c>
    </row>
    <row r="199" spans="1:28" x14ac:dyDescent="0.3">
      <c r="A199" s="32">
        <f>VLOOKUP(YEAR(C199),Flags!$A$13:$B$95,2,FALSE)</f>
        <v>1</v>
      </c>
      <c r="B199" s="24">
        <f t="shared" si="225"/>
        <v>1942</v>
      </c>
      <c r="C199" s="25">
        <v>15614</v>
      </c>
      <c r="D199" s="26"/>
      <c r="E199" s="24"/>
      <c r="F199" s="26"/>
      <c r="G199" s="24"/>
      <c r="H199" s="24"/>
      <c r="I199" s="26"/>
      <c r="J199" s="24"/>
      <c r="K199" s="26">
        <f>VLOOKUP($C199,COS!$B$8:$H$991,2,FALSE)</f>
        <v>2988.85791015625</v>
      </c>
      <c r="L199" s="24">
        <f t="shared" ref="L199" si="316">IF(AND(K199&gt;$I$7,K199&lt;$I$8),1,0)</f>
        <v>1</v>
      </c>
      <c r="M199" s="24"/>
      <c r="N199" s="26"/>
      <c r="O199" s="26"/>
      <c r="P199" s="26"/>
      <c r="Q199" s="26"/>
      <c r="R199" s="26"/>
      <c r="S199" s="26"/>
      <c r="T199" s="26"/>
      <c r="U199" s="26"/>
      <c r="V199" s="26"/>
      <c r="W199" s="26">
        <f>MAX($C$8-VLOOKUP($C199,COS!$B$8:$H$991,3,FALSE),0)</f>
        <v>83557.9609375</v>
      </c>
      <c r="X199" s="26">
        <f t="shared" si="245"/>
        <v>4972.0439566115701</v>
      </c>
      <c r="Y199" s="26">
        <f>VLOOKUP($C199,COS!$B$8:$H$991,4,FALSE)</f>
        <v>0</v>
      </c>
      <c r="Z199" s="26">
        <f t="shared" si="246"/>
        <v>0</v>
      </c>
      <c r="AA199" s="26">
        <f t="shared" si="314"/>
        <v>0</v>
      </c>
      <c r="AB199" s="33">
        <f t="shared" si="243"/>
        <v>0</v>
      </c>
    </row>
    <row r="200" spans="1:28" x14ac:dyDescent="0.3">
      <c r="A200" s="32">
        <f>VLOOKUP(YEAR(C200),Flags!$A$13:$B$95,2,FALSE)</f>
        <v>1</v>
      </c>
      <c r="B200" s="24">
        <f t="shared" si="225"/>
        <v>1942</v>
      </c>
      <c r="C200" s="25">
        <v>15645</v>
      </c>
      <c r="D200" s="26"/>
      <c r="E200" s="24"/>
      <c r="F200" s="26"/>
      <c r="G200" s="26"/>
      <c r="H200" s="26"/>
      <c r="I200" s="26"/>
      <c r="J200" s="26"/>
      <c r="K200" s="26"/>
      <c r="L200" s="24"/>
      <c r="M200" s="24"/>
      <c r="N200" s="26"/>
      <c r="O200" s="26"/>
      <c r="P200" s="26"/>
      <c r="Q200" s="26"/>
      <c r="R200" s="26"/>
      <c r="S200" s="26"/>
      <c r="T200" s="26"/>
      <c r="U200" s="26"/>
      <c r="V200" s="26"/>
      <c r="W200" s="26">
        <f>MAX($C$9-VLOOKUP($C200,COS!$B$8:$H$991,3,FALSE),0)</f>
        <v>91981.8251953125</v>
      </c>
      <c r="X200" s="26">
        <f t="shared" si="245"/>
        <v>5655.741978951447</v>
      </c>
      <c r="Y200" s="26">
        <f>VLOOKUP($C200,COS!$B$8:$H$991,4,FALSE)</f>
        <v>1127.253662109375</v>
      </c>
      <c r="Z200" s="26">
        <f t="shared" si="246"/>
        <v>69.312126000774796</v>
      </c>
      <c r="AA200" s="26">
        <f t="shared" si="314"/>
        <v>1127.253662109375</v>
      </c>
      <c r="AB200" s="33">
        <f t="shared" si="243"/>
        <v>69.312126000774796</v>
      </c>
    </row>
    <row r="201" spans="1:28" x14ac:dyDescent="0.3">
      <c r="A201" s="32">
        <f>VLOOKUP(YEAR(C201),Flags!$A$13:$B$95,2,FALSE)</f>
        <v>1</v>
      </c>
      <c r="B201" s="24">
        <f t="shared" si="225"/>
        <v>1942</v>
      </c>
      <c r="C201" s="25">
        <v>15675</v>
      </c>
      <c r="D201" s="26"/>
      <c r="E201" s="24"/>
      <c r="F201" s="26"/>
      <c r="G201" s="26"/>
      <c r="H201" s="26"/>
      <c r="I201" s="26"/>
      <c r="J201" s="26"/>
      <c r="K201" s="26"/>
      <c r="L201" s="24"/>
      <c r="M201" s="24"/>
      <c r="N201" s="26"/>
      <c r="O201" s="26"/>
      <c r="P201" s="26"/>
      <c r="Q201" s="26"/>
      <c r="R201" s="26"/>
      <c r="S201" s="26"/>
      <c r="T201" s="26"/>
      <c r="U201" s="26"/>
      <c r="V201" s="26"/>
      <c r="W201" s="26">
        <f>MAX($C$10-VLOOKUP($C201,COS!$B$8:$H$991,3,FALSE),0)</f>
        <v>90870.3603515625</v>
      </c>
      <c r="X201" s="26">
        <f t="shared" si="245"/>
        <v>5407.1619382747931</v>
      </c>
      <c r="Y201" s="26">
        <f>VLOOKUP($C201,COS!$B$8:$H$991,4,FALSE)</f>
        <v>1237.8724365234375</v>
      </c>
      <c r="Z201" s="26">
        <f t="shared" si="246"/>
        <v>73.658525148502065</v>
      </c>
      <c r="AA201" s="26">
        <f t="shared" si="314"/>
        <v>1237.8724365234375</v>
      </c>
      <c r="AB201" s="33">
        <f t="shared" si="243"/>
        <v>36.829262574251032</v>
      </c>
    </row>
    <row r="202" spans="1:28" x14ac:dyDescent="0.3">
      <c r="A202" s="34">
        <f>VLOOKUP(YEAR(C202),Flags!$A$13:$B$95,2,FALSE)</f>
        <v>1</v>
      </c>
      <c r="B202" s="35">
        <f t="shared" si="225"/>
        <v>1942</v>
      </c>
      <c r="C202" s="36">
        <v>15706</v>
      </c>
      <c r="D202" s="37"/>
      <c r="E202" s="35"/>
      <c r="F202" s="37"/>
      <c r="G202" s="37"/>
      <c r="H202" s="37"/>
      <c r="I202" s="37"/>
      <c r="J202" s="37"/>
      <c r="K202" s="37"/>
      <c r="L202" s="35"/>
      <c r="M202" s="35"/>
      <c r="N202" s="37"/>
      <c r="O202" s="37"/>
      <c r="P202" s="37"/>
      <c r="Q202" s="37"/>
      <c r="R202" s="37"/>
      <c r="S202" s="37"/>
      <c r="T202" s="37"/>
      <c r="U202" s="37"/>
      <c r="V202" s="37"/>
      <c r="W202" s="37">
        <f>MAX($C$11-VLOOKUP($C202,COS!$B$8:$H$991,3,FALSE),0)</f>
        <v>0</v>
      </c>
      <c r="X202" s="37">
        <f t="shared" si="245"/>
        <v>0</v>
      </c>
      <c r="Y202" s="37">
        <f>VLOOKUP($C202,COS!$B$8:$H$991,4,FALSE)</f>
        <v>0</v>
      </c>
      <c r="Z202" s="37">
        <f t="shared" si="246"/>
        <v>0</v>
      </c>
      <c r="AA202" s="37">
        <f t="shared" si="314"/>
        <v>0</v>
      </c>
      <c r="AB202" s="38">
        <f t="shared" si="243"/>
        <v>0</v>
      </c>
    </row>
    <row r="203" spans="1:28" x14ac:dyDescent="0.3">
      <c r="A203" s="27">
        <f>VLOOKUP(YEAR(C203),Flags!$A$13:$B$95,2,FALSE)</f>
        <v>1</v>
      </c>
      <c r="B203" s="28">
        <f t="shared" si="225"/>
        <v>1943</v>
      </c>
      <c r="C203" s="29">
        <v>15826</v>
      </c>
      <c r="D203" s="30">
        <f>VLOOKUP($C203,COS!$B$8:$H$991,3,FALSE)</f>
        <v>3750.597900390625</v>
      </c>
      <c r="E203" s="28">
        <f>IF(D203&gt;=IF(MONTH($C203)=4,$C$3,IF(MONTH($C203)=5,$C$4,IF(MONTH($C203)=6,$C$5,IF(MONTH($C203)=7,$C$6,"ERROR")))),1,0)</f>
        <v>0</v>
      </c>
      <c r="F203" s="30">
        <f>VLOOKUP($C203,COS!$B$8:$H$991,7,FALSE)</f>
        <v>50.021923065185547</v>
      </c>
      <c r="G203" s="28">
        <f>IF(F203&lt;=IF(MONTH($C203)=4,$F$3,IF(MONTH($C203)=5,$F$4,IF(MONTH($C203)=6,$F$5,IF(MONTH($C203)=7,$F$6,"ERROR")))),1,0)</f>
        <v>1</v>
      </c>
      <c r="H203" s="30">
        <f>IF(J203=1,D203-$C$3,0)</f>
        <v>0</v>
      </c>
      <c r="I203" s="30">
        <f t="shared" si="239"/>
        <v>0</v>
      </c>
      <c r="J203" s="28">
        <f t="shared" ref="J203:J206" si="317">IF(AND(E203=1,G203=1),1,0)</f>
        <v>0</v>
      </c>
      <c r="K203" s="30">
        <f>VLOOKUP($C203,COS!$B$8:$H$991,2,FALSE)</f>
        <v>4552</v>
      </c>
      <c r="L203" s="28">
        <f t="shared" ref="L203" si="318">IF(K203&lt;=IF(MONTH($C203)=4,$I$3,IF(MONTH($C203)=5,$I$4,IF(MONTH($C203)=6,$I$5,IF(MONTH($C203)=7,$I$6,"ERROR")))),1,0)</f>
        <v>1</v>
      </c>
      <c r="M203" s="28">
        <f t="shared" ref="M203" si="319">VLOOKUP($A203,$L$3:$M$7,2,FALSE)</f>
        <v>0</v>
      </c>
      <c r="N203" s="30">
        <f>VLOOKUP($C203,COS!$B$8:$H$991,5,FALSE)</f>
        <v>242.15982055664063</v>
      </c>
      <c r="O203" s="30">
        <f t="shared" ref="O203:O206" si="320">N203*DAY($C203)*86400/43560/1000</f>
        <v>14.409509983535642</v>
      </c>
      <c r="P203" s="30">
        <f>VLOOKUP($C203,COS!$B$8:$H$991,6,FALSE)</f>
        <v>409.699951171875</v>
      </c>
      <c r="Q203" s="30">
        <f t="shared" ref="Q203:Q206" si="321">P203*DAY($C203)*86400/43560/1000</f>
        <v>24.378840069731407</v>
      </c>
      <c r="R203" s="30">
        <f>MIN(IF(MONTH($C203)=4,$S$3,IF(MONTH($C203)=5,$S$4,IF(MONTH($C203)=6,$S$5,IF(MONTH($C203)=7,$S$6,"ERROR")))),MAX(VLOOKUP($C203,COS!$B$8:$K$991,10,FALSE)-IF(MONTH($C203)=4,$Y$3,IF(MONTH($C203)=5,$Y$4,IF(MONTH($C203)=6,$Y$5,IF(MONTH($C203)=7,$Y$6,"ERROR")))),0),MAX(VLOOKUP($C203,COS!$B$8:$K$991,9,FALSE)-IF(MONTH($C203)=4,$V$3,IF(MONTH($C203)=5,$V$4,IF(MONTH($C203)=6,$V$5,IF(MONTH($C203)=7,$V$6,"ERROR"))))-VLOOKUP($C203,COS!$B$8:$K$991,6,FALSE)/2,0))</f>
        <v>750</v>
      </c>
      <c r="S203" s="30">
        <f t="shared" ref="S203:S206" si="322">R203*DAY($C203)*86400/43560/1000</f>
        <v>44.628099173553714</v>
      </c>
      <c r="T203" s="30">
        <f t="shared" ref="T203:T206" si="323">(O203+Q203)/2+S203</f>
        <v>64.02227420018724</v>
      </c>
      <c r="U203" s="30" t="str">
        <f>IF(VLOOKUP($C203,COS!$B$8:$I$991,8,FALSE)=1,"UWFE","IBU")</f>
        <v>UWFE</v>
      </c>
      <c r="V203" s="30">
        <f t="shared" ref="V203" si="324">MIN(IF(IF($AA$3=2,AND(E203=1,G203=1,L203=1,L208=1,M203=1,U203="IBU"),AND(E203=1,G203=1,L203=1,L208=1,M203=1)),T203,0),I203)</f>
        <v>0</v>
      </c>
      <c r="W203" s="30"/>
      <c r="X203" s="30"/>
      <c r="Y203" s="30"/>
      <c r="Z203" s="30"/>
      <c r="AA203" s="30"/>
      <c r="AB203" s="31"/>
    </row>
    <row r="204" spans="1:28" x14ac:dyDescent="0.3">
      <c r="A204" s="32">
        <f>VLOOKUP(YEAR(C204),Flags!$A$13:$B$95,2,FALSE)</f>
        <v>1</v>
      </c>
      <c r="B204" s="24">
        <f t="shared" si="225"/>
        <v>1943</v>
      </c>
      <c r="C204" s="25">
        <v>15857</v>
      </c>
      <c r="D204" s="26">
        <f>VLOOKUP($C204,COS!$B$8:$H$991,3,FALSE)</f>
        <v>7166.14208984375</v>
      </c>
      <c r="E204" s="24">
        <f>IF(D204&gt;=IF(MONTH($C204)=4,$C$3,IF(MONTH($C204)=5,$C$4,IF(MONTH($C204)=6,$C$5,IF(MONTH($C204)=7,$C$6,"ERROR")))),1,0)</f>
        <v>1</v>
      </c>
      <c r="F204" s="26">
        <f>VLOOKUP($C204,COS!$B$8:$H$991,7,FALSE)</f>
        <v>50.632198333740234</v>
      </c>
      <c r="G204" s="24">
        <f>IF(F204&lt;=IF(MONTH($C204)=4,$F$3,IF(MONTH($C204)=5,$F$4,IF(MONTH($C204)=6,$F$5,IF(MONTH($C204)=7,$F$6,"ERROR")))),1,0)</f>
        <v>1</v>
      </c>
      <c r="H204" s="26">
        <f>IF(J204=1,D204-$C$4,0)</f>
        <v>1166.14208984375</v>
      </c>
      <c r="I204" s="26">
        <f t="shared" si="239"/>
        <v>71.703282218491736</v>
      </c>
      <c r="J204" s="24">
        <f t="shared" si="317"/>
        <v>1</v>
      </c>
      <c r="K204" s="26">
        <f>VLOOKUP($C204,COS!$B$8:$H$991,2,FALSE)</f>
        <v>4552</v>
      </c>
      <c r="L204" s="24">
        <f t="shared" si="231"/>
        <v>1</v>
      </c>
      <c r="M204" s="24">
        <f t="shared" si="232"/>
        <v>0</v>
      </c>
      <c r="N204" s="26">
        <f>VLOOKUP($C204,COS!$B$8:$H$991,5,FALSE)</f>
        <v>758.106201171875</v>
      </c>
      <c r="O204" s="26">
        <f t="shared" si="320"/>
        <v>46.614133361311985</v>
      </c>
      <c r="P204" s="26">
        <f>VLOOKUP($C204,COS!$B$8:$H$991,6,FALSE)</f>
        <v>2288.578369140625</v>
      </c>
      <c r="Q204" s="26">
        <f t="shared" si="321"/>
        <v>140.71919889591942</v>
      </c>
      <c r="R204" s="26">
        <f>MIN(IF(MONTH($C204)=4,$S$3,IF(MONTH($C204)=5,$S$4,IF(MONTH($C204)=6,$S$5,IF(MONTH($C204)=7,$S$6,"ERROR")))),MAX(VLOOKUP($C204,COS!$B$8:$K$991,10,FALSE)-IF(MONTH($C204)=4,$Y$3,IF(MONTH($C204)=5,$Y$4,IF(MONTH($C204)=6,$Y$5,IF(MONTH($C204)=7,$Y$6,"ERROR")))),0),MAX(VLOOKUP($C204,COS!$B$8:$K$991,9,FALSE)-IF(MONTH($C204)=4,$V$3,IF(MONTH($C204)=5,$V$4,IF(MONTH($C204)=6,$V$5,IF(MONTH($C204)=7,$V$6,"ERROR"))))-VLOOKUP($C204,COS!$B$8:$K$991,6,FALSE)/2,0))</f>
        <v>750</v>
      </c>
      <c r="S204" s="26">
        <f t="shared" si="322"/>
        <v>46.115702479338843</v>
      </c>
      <c r="T204" s="26">
        <f t="shared" si="323"/>
        <v>139.78236860795454</v>
      </c>
      <c r="U204" s="26" t="str">
        <f>IF(VLOOKUP($C204,COS!$B$8:$I$991,8,FALSE)=1,"UWFE","IBU")</f>
        <v>UWFE</v>
      </c>
      <c r="V204" s="26">
        <f t="shared" ref="V204" si="325">MIN(IF(IF($AA$3=2,AND(E204=1,G204=1,L204=1,L208=1,M204=1,U204="IBU"),AND(E204=1,G204=1,L204=1,L208=1,M204=1)),T204,0),I204)</f>
        <v>0</v>
      </c>
      <c r="W204" s="26"/>
      <c r="X204" s="26"/>
      <c r="Y204" s="26"/>
      <c r="Z204" s="26"/>
      <c r="AA204" s="26"/>
      <c r="AB204" s="33"/>
    </row>
    <row r="205" spans="1:28" x14ac:dyDescent="0.3">
      <c r="A205" s="32">
        <f>VLOOKUP(YEAR(C205),Flags!$A$13:$B$95,2,FALSE)</f>
        <v>1</v>
      </c>
      <c r="B205" s="24">
        <f t="shared" si="225"/>
        <v>1943</v>
      </c>
      <c r="C205" s="25">
        <v>15887</v>
      </c>
      <c r="D205" s="26">
        <f>VLOOKUP($C205,COS!$B$8:$H$991,3,FALSE)</f>
        <v>8327.544921875</v>
      </c>
      <c r="E205" s="24">
        <f>IF(D205&gt;=IF(MONTH($C205)=4,$C$3,IF(MONTH($C205)=5,$C$4,IF(MONTH($C205)=6,$C$5,IF(MONTH($C205)=7,$C$6,"ERROR")))),1,0)</f>
        <v>0</v>
      </c>
      <c r="F205" s="26">
        <f>VLOOKUP($C205,COS!$B$8:$H$991,7,FALSE)</f>
        <v>50.935405731201172</v>
      </c>
      <c r="G205" s="24">
        <f>IF(F205&lt;=IF(MONTH($C205)=4,$F$3,IF(MONTH($C205)=5,$F$4,IF(MONTH($C205)=6,$F$5,IF(MONTH($C205)=7,$F$6,"ERROR")))),1,0)</f>
        <v>1</v>
      </c>
      <c r="H205" s="26">
        <f>IF(J205=1,D205-$C$5,0)</f>
        <v>0</v>
      </c>
      <c r="I205" s="26">
        <f t="shared" si="239"/>
        <v>0</v>
      </c>
      <c r="J205" s="24">
        <f t="shared" si="317"/>
        <v>0</v>
      </c>
      <c r="K205" s="26">
        <f>VLOOKUP($C205,COS!$B$8:$H$991,2,FALSE)</f>
        <v>4340.33056640625</v>
      </c>
      <c r="L205" s="24">
        <f t="shared" si="231"/>
        <v>1</v>
      </c>
      <c r="M205" s="24">
        <f t="shared" si="232"/>
        <v>0</v>
      </c>
      <c r="N205" s="26">
        <f>VLOOKUP($C205,COS!$B$8:$H$991,5,FALSE)</f>
        <v>855.91656494140625</v>
      </c>
      <c r="O205" s="26">
        <f t="shared" si="320"/>
        <v>50.930572459323344</v>
      </c>
      <c r="P205" s="26">
        <f>VLOOKUP($C205,COS!$B$8:$H$991,6,FALSE)</f>
        <v>2263.260986328125</v>
      </c>
      <c r="Q205" s="26">
        <f t="shared" si="321"/>
        <v>134.67338100464875</v>
      </c>
      <c r="R205" s="26">
        <f>MIN(IF(MONTH($C205)=4,$S$3,IF(MONTH($C205)=5,$S$4,IF(MONTH($C205)=6,$S$5,IF(MONTH($C205)=7,$S$6,"ERROR")))),MAX(VLOOKUP($C205,COS!$B$8:$K$991,10,FALSE)-IF(MONTH($C205)=4,$Y$3,IF(MONTH($C205)=5,$Y$4,IF(MONTH($C205)=6,$Y$5,IF(MONTH($C205)=7,$Y$6,"ERROR")))),0),MAX(VLOOKUP($C205,COS!$B$8:$K$991,9,FALSE)-IF(MONTH($C205)=4,$V$3,IF(MONTH($C205)=5,$V$4,IF(MONTH($C205)=6,$V$5,IF(MONTH($C205)=7,$V$6,"ERROR"))))-VLOOKUP($C205,COS!$B$8:$K$991,6,FALSE)/2,0))</f>
        <v>750</v>
      </c>
      <c r="S205" s="26">
        <f t="shared" si="322"/>
        <v>44.628099173553714</v>
      </c>
      <c r="T205" s="26">
        <f t="shared" si="323"/>
        <v>137.43007590553975</v>
      </c>
      <c r="U205" s="26" t="str">
        <f>IF(VLOOKUP($C205,COS!$B$8:$I$991,8,FALSE)=1,"UWFE","IBU")</f>
        <v>UWFE</v>
      </c>
      <c r="V205" s="26">
        <f t="shared" ref="V205" si="326">MIN(IF(IF($AA$3=2,AND(E205=1,G205=1,L205=1,L208=1,M205=1,U205="IBU"),AND(E205=1,G205=1,L205=1,L208=1,M205=1)),T205,0),I205)</f>
        <v>0</v>
      </c>
      <c r="W205" s="26"/>
      <c r="X205" s="26"/>
      <c r="Y205" s="26"/>
      <c r="Z205" s="26"/>
      <c r="AA205" s="26"/>
      <c r="AB205" s="33"/>
    </row>
    <row r="206" spans="1:28" x14ac:dyDescent="0.3">
      <c r="A206" s="32">
        <f>VLOOKUP(YEAR(C206),Flags!$A$13:$B$95,2,FALSE)</f>
        <v>1</v>
      </c>
      <c r="B206" s="24">
        <f t="shared" si="225"/>
        <v>1943</v>
      </c>
      <c r="C206" s="25">
        <v>15918</v>
      </c>
      <c r="D206" s="26">
        <f>VLOOKUP($C206,COS!$B$8:$H$991,3,FALSE)</f>
        <v>16000</v>
      </c>
      <c r="E206" s="24">
        <f>IF(D206&gt;=IF(MONTH($C206)=4,$C$3,IF(MONTH($C206)=5,$C$4,IF(MONTH($C206)=6,$C$5,IF(MONTH($C206)=7,$C$6,"ERROR")))),1,0)</f>
        <v>1</v>
      </c>
      <c r="F206" s="26">
        <f>VLOOKUP($C206,COS!$B$8:$H$991,7,FALSE)</f>
        <v>50.874599456787109</v>
      </c>
      <c r="G206" s="24">
        <f>IF(F206&lt;=IF(MONTH($C206)=4,$F$3,IF(MONTH($C206)=5,$F$4,IF(MONTH($C206)=6,$F$5,IF(MONTH($C206)=7,$F$6,"ERROR")))),1,0)</f>
        <v>1</v>
      </c>
      <c r="H206" s="26">
        <f>IF(J206=1,D206-$C$6,0)</f>
        <v>4000</v>
      </c>
      <c r="I206" s="26">
        <f t="shared" si="239"/>
        <v>245.95041322314049</v>
      </c>
      <c r="J206" s="24">
        <f t="shared" si="317"/>
        <v>1</v>
      </c>
      <c r="K206" s="26">
        <f>VLOOKUP($C206,COS!$B$8:$H$991,2,FALSE)</f>
        <v>3628.526611328125</v>
      </c>
      <c r="L206" s="24">
        <f t="shared" si="231"/>
        <v>1</v>
      </c>
      <c r="M206" s="24">
        <f t="shared" si="232"/>
        <v>0</v>
      </c>
      <c r="N206" s="26">
        <f>VLOOKUP($C206,COS!$B$8:$H$991,5,FALSE)</f>
        <v>941.12457275390625</v>
      </c>
      <c r="O206" s="26">
        <f t="shared" si="320"/>
        <v>57.867494390818699</v>
      </c>
      <c r="P206" s="26">
        <f>VLOOKUP($C206,COS!$B$8:$H$991,6,FALSE)</f>
        <v>2607.468505859375</v>
      </c>
      <c r="Q206" s="26">
        <f t="shared" si="321"/>
        <v>160.32698912060951</v>
      </c>
      <c r="R206" s="26">
        <f>MIN(IF(MONTH($C206)=4,$S$3,IF(MONTH($C206)=5,$S$4,IF(MONTH($C206)=6,$S$5,IF(MONTH($C206)=7,$S$6,"ERROR")))),MAX(VLOOKUP($C206,COS!$B$8:$K$991,10,FALSE)-IF(MONTH($C206)=4,$Y$3,IF(MONTH($C206)=5,$Y$4,IF(MONTH($C206)=6,$Y$5,IF(MONTH($C206)=7,$Y$6,"ERROR")))),0),MAX(VLOOKUP($C206,COS!$B$8:$K$991,9,FALSE)-IF(MONTH($C206)=4,$V$3,IF(MONTH($C206)=5,$V$4,IF(MONTH($C206)=6,$V$5,IF(MONTH($C206)=7,$V$6,"ERROR"))))-VLOOKUP($C206,COS!$B$8:$K$991,6,FALSE)/2,0))</f>
        <v>750</v>
      </c>
      <c r="S206" s="26">
        <f t="shared" si="322"/>
        <v>46.115702479338843</v>
      </c>
      <c r="T206" s="26">
        <f t="shared" si="323"/>
        <v>155.21294423505296</v>
      </c>
      <c r="U206" s="26" t="str">
        <f>IF(VLOOKUP($C206,COS!$B$8:$I$991,8,FALSE)=1,"UWFE","IBU")</f>
        <v>IBU</v>
      </c>
      <c r="V206" s="26">
        <f t="shared" ref="V206" si="327">MIN(IF(IF($AA$3=2,AND(E206=1,G206=1,L206=1,L208=1,M206=1,U206="IBU"),AND(E206=1,G206=1,L206=1,L208=1,M206=1)),T206,0),I206)</f>
        <v>0</v>
      </c>
      <c r="W206" s="26"/>
      <c r="X206" s="26"/>
      <c r="Y206" s="26"/>
      <c r="Z206" s="26"/>
      <c r="AA206" s="26"/>
      <c r="AB206" s="33"/>
    </row>
    <row r="207" spans="1:28" x14ac:dyDescent="0.3">
      <c r="A207" s="32">
        <f>VLOOKUP(YEAR(C207),Flags!$A$13:$B$95,2,FALSE)</f>
        <v>1</v>
      </c>
      <c r="B207" s="24">
        <f t="shared" ref="B207:B270" si="328">YEAR(C207)</f>
        <v>1943</v>
      </c>
      <c r="C207" s="25">
        <v>15949</v>
      </c>
      <c r="D207" s="26"/>
      <c r="E207" s="24"/>
      <c r="F207" s="26"/>
      <c r="G207" s="24"/>
      <c r="H207" s="24"/>
      <c r="I207" s="26"/>
      <c r="J207" s="24"/>
      <c r="K207" s="26"/>
      <c r="L207" s="24"/>
      <c r="M207" s="24"/>
      <c r="N207" s="26"/>
      <c r="O207" s="26"/>
      <c r="P207" s="26"/>
      <c r="Q207" s="26"/>
      <c r="R207" s="26"/>
      <c r="S207" s="26"/>
      <c r="T207" s="26"/>
      <c r="U207" s="26"/>
      <c r="V207" s="26"/>
      <c r="W207" s="26">
        <f>MAX($C$7-VLOOKUP($C207,COS!$B$8:$H$991,3,FALSE),0)</f>
        <v>88574.7412109375</v>
      </c>
      <c r="X207" s="26">
        <f t="shared" si="245"/>
        <v>5446.2485504907027</v>
      </c>
      <c r="Y207" s="26">
        <f>VLOOKUP($C207,COS!$B$8:$H$991,4,FALSE)</f>
        <v>301.35446166992188</v>
      </c>
      <c r="Z207" s="26">
        <f t="shared" si="246"/>
        <v>18.529563593588584</v>
      </c>
      <c r="AA207" s="26">
        <f t="shared" ref="AA207:AA211" si="329">MIN(W207,Y207)</f>
        <v>301.35446166992188</v>
      </c>
      <c r="AB207" s="33">
        <f t="shared" ref="AB207" si="330">AA207*DAY($C207)*86400/43560/1000*IF(MONTH($C207)=8,$P$3,IF(MONTH($C207)=9,$P$4,IF(MONTH($C207)=10,$P$5,IF(MONTH($C207)=11,$P$6,IF(MONTH($C207)=12,$P$7,NA())))))</f>
        <v>18.529563593588584</v>
      </c>
    </row>
    <row r="208" spans="1:28" x14ac:dyDescent="0.3">
      <c r="A208" s="32">
        <f>VLOOKUP(YEAR(C208),Flags!$A$13:$B$95,2,FALSE)</f>
        <v>1</v>
      </c>
      <c r="B208" s="24">
        <f t="shared" si="328"/>
        <v>1943</v>
      </c>
      <c r="C208" s="25">
        <v>15979</v>
      </c>
      <c r="D208" s="26"/>
      <c r="E208" s="24"/>
      <c r="F208" s="26"/>
      <c r="G208" s="24"/>
      <c r="H208" s="24"/>
      <c r="I208" s="26"/>
      <c r="J208" s="24"/>
      <c r="K208" s="26">
        <f>VLOOKUP($C208,COS!$B$8:$H$991,2,FALSE)</f>
        <v>2551.45654296875</v>
      </c>
      <c r="L208" s="24">
        <f t="shared" ref="L208" si="331">IF(AND(K208&gt;$I$7,K208&lt;$I$8),1,0)</f>
        <v>1</v>
      </c>
      <c r="M208" s="24"/>
      <c r="N208" s="26"/>
      <c r="O208" s="26"/>
      <c r="P208" s="26"/>
      <c r="Q208" s="26"/>
      <c r="R208" s="26"/>
      <c r="S208" s="26"/>
      <c r="T208" s="26"/>
      <c r="U208" s="26"/>
      <c r="V208" s="26"/>
      <c r="W208" s="26">
        <f>MAX($C$8-VLOOKUP($C208,COS!$B$8:$H$991,3,FALSE),0)</f>
        <v>83754.365234375</v>
      </c>
      <c r="X208" s="26">
        <f t="shared" si="245"/>
        <v>4983.7308238636369</v>
      </c>
      <c r="Y208" s="26">
        <f>VLOOKUP($C208,COS!$B$8:$H$991,4,FALSE)</f>
        <v>0</v>
      </c>
      <c r="Z208" s="26">
        <f t="shared" si="246"/>
        <v>0</v>
      </c>
      <c r="AA208" s="26">
        <f t="shared" si="329"/>
        <v>0</v>
      </c>
      <c r="AB208" s="33">
        <f t="shared" si="243"/>
        <v>0</v>
      </c>
    </row>
    <row r="209" spans="1:28" x14ac:dyDescent="0.3">
      <c r="A209" s="32">
        <f>VLOOKUP(YEAR(C209),Flags!$A$13:$B$95,2,FALSE)</f>
        <v>1</v>
      </c>
      <c r="B209" s="24">
        <f t="shared" si="328"/>
        <v>1943</v>
      </c>
      <c r="C209" s="25">
        <v>16010</v>
      </c>
      <c r="D209" s="26"/>
      <c r="E209" s="24"/>
      <c r="F209" s="26"/>
      <c r="G209" s="26"/>
      <c r="H209" s="26"/>
      <c r="I209" s="26"/>
      <c r="J209" s="26"/>
      <c r="K209" s="26"/>
      <c r="L209" s="24"/>
      <c r="M209" s="24"/>
      <c r="N209" s="26"/>
      <c r="O209" s="26"/>
      <c r="P209" s="26"/>
      <c r="Q209" s="26"/>
      <c r="R209" s="26"/>
      <c r="S209" s="26"/>
      <c r="T209" s="26"/>
      <c r="U209" s="26"/>
      <c r="V209" s="26"/>
      <c r="W209" s="26">
        <f>MAX($C$9-VLOOKUP($C209,COS!$B$8:$H$991,3,FALSE),0)</f>
        <v>91470.8173828125</v>
      </c>
      <c r="X209" s="26">
        <f t="shared" si="245"/>
        <v>5624.3213332902887</v>
      </c>
      <c r="Y209" s="26">
        <f>VLOOKUP($C209,COS!$B$8:$H$991,4,FALSE)</f>
        <v>1550.2403564453125</v>
      </c>
      <c r="Z209" s="26">
        <f t="shared" si="246"/>
        <v>95.320564065728306</v>
      </c>
      <c r="AA209" s="26">
        <f t="shared" si="329"/>
        <v>1550.2403564453125</v>
      </c>
      <c r="AB209" s="33">
        <f t="shared" si="243"/>
        <v>95.320564065728306</v>
      </c>
    </row>
    <row r="210" spans="1:28" x14ac:dyDescent="0.3">
      <c r="A210" s="32">
        <f>VLOOKUP(YEAR(C210),Flags!$A$13:$B$95,2,FALSE)</f>
        <v>1</v>
      </c>
      <c r="B210" s="24">
        <f t="shared" si="328"/>
        <v>1943</v>
      </c>
      <c r="C210" s="25">
        <v>16040</v>
      </c>
      <c r="D210" s="26"/>
      <c r="E210" s="24"/>
      <c r="F210" s="26"/>
      <c r="G210" s="26"/>
      <c r="H210" s="26"/>
      <c r="I210" s="26"/>
      <c r="J210" s="26"/>
      <c r="K210" s="26"/>
      <c r="L210" s="24"/>
      <c r="M210" s="24"/>
      <c r="N210" s="26"/>
      <c r="O210" s="26"/>
      <c r="P210" s="26"/>
      <c r="Q210" s="26"/>
      <c r="R210" s="26"/>
      <c r="S210" s="26"/>
      <c r="T210" s="26"/>
      <c r="U210" s="26"/>
      <c r="V210" s="26"/>
      <c r="W210" s="26">
        <f>MAX($C$10-VLOOKUP($C210,COS!$B$8:$H$991,3,FALSE),0)</f>
        <v>89086.3046875</v>
      </c>
      <c r="X210" s="26">
        <f t="shared" si="245"/>
        <v>5301.0032541322316</v>
      </c>
      <c r="Y210" s="26">
        <f>VLOOKUP($C210,COS!$B$8:$H$991,4,FALSE)</f>
        <v>2815.150390625</v>
      </c>
      <c r="Z210" s="26">
        <f t="shared" si="246"/>
        <v>167.51308109504131</v>
      </c>
      <c r="AA210" s="26">
        <f t="shared" si="329"/>
        <v>2815.150390625</v>
      </c>
      <c r="AB210" s="33">
        <f t="shared" si="243"/>
        <v>83.756540547520657</v>
      </c>
    </row>
    <row r="211" spans="1:28" x14ac:dyDescent="0.3">
      <c r="A211" s="34">
        <f>VLOOKUP(YEAR(C211),Flags!$A$13:$B$95,2,FALSE)</f>
        <v>1</v>
      </c>
      <c r="B211" s="35">
        <f t="shared" si="328"/>
        <v>1943</v>
      </c>
      <c r="C211" s="36">
        <v>16071</v>
      </c>
      <c r="D211" s="37"/>
      <c r="E211" s="35"/>
      <c r="F211" s="37"/>
      <c r="G211" s="37"/>
      <c r="H211" s="37"/>
      <c r="I211" s="37"/>
      <c r="J211" s="37"/>
      <c r="K211" s="37"/>
      <c r="L211" s="35"/>
      <c r="M211" s="35"/>
      <c r="N211" s="37"/>
      <c r="O211" s="37"/>
      <c r="P211" s="37"/>
      <c r="Q211" s="37"/>
      <c r="R211" s="37"/>
      <c r="S211" s="37"/>
      <c r="T211" s="37"/>
      <c r="U211" s="37"/>
      <c r="V211" s="37"/>
      <c r="W211" s="37">
        <f>MAX($C$11-VLOOKUP($C211,COS!$B$8:$H$991,3,FALSE),0)</f>
        <v>0</v>
      </c>
      <c r="X211" s="37">
        <f t="shared" si="245"/>
        <v>0</v>
      </c>
      <c r="Y211" s="37">
        <f>VLOOKUP($C211,COS!$B$8:$H$991,4,FALSE)</f>
        <v>40.252571105957031</v>
      </c>
      <c r="Z211" s="37">
        <f t="shared" si="246"/>
        <v>2.4750341242009943</v>
      </c>
      <c r="AA211" s="37">
        <f t="shared" si="329"/>
        <v>0</v>
      </c>
      <c r="AB211" s="38">
        <f t="shared" si="243"/>
        <v>0</v>
      </c>
    </row>
    <row r="212" spans="1:28" x14ac:dyDescent="0.3">
      <c r="A212" s="27">
        <f>VLOOKUP(YEAR(C212),Flags!$A$13:$B$95,2,FALSE)</f>
        <v>4</v>
      </c>
      <c r="B212" s="28">
        <f t="shared" si="328"/>
        <v>1944</v>
      </c>
      <c r="C212" s="29">
        <v>16192</v>
      </c>
      <c r="D212" s="30">
        <f>VLOOKUP($C212,COS!$B$8:$H$991,3,FALSE)</f>
        <v>3250</v>
      </c>
      <c r="E212" s="28">
        <f>IF(D212&gt;=IF(MONTH($C212)=4,$C$3,IF(MONTH($C212)=5,$C$4,IF(MONTH($C212)=6,$C$5,IF(MONTH($C212)=7,$C$6,"ERROR")))),1,0)</f>
        <v>0</v>
      </c>
      <c r="F212" s="30">
        <f>VLOOKUP($C212,COS!$B$8:$H$991,7,FALSE)</f>
        <v>50.606151580810547</v>
      </c>
      <c r="G212" s="28">
        <f>IF(F212&lt;=IF(MONTH($C212)=4,$F$3,IF(MONTH($C212)=5,$F$4,IF(MONTH($C212)=6,$F$5,IF(MONTH($C212)=7,$F$6,"ERROR")))),1,0)</f>
        <v>1</v>
      </c>
      <c r="H212" s="30">
        <f>IF(J212=1,D212-$C$3,0)</f>
        <v>0</v>
      </c>
      <c r="I212" s="30">
        <f t="shared" si="239"/>
        <v>0</v>
      </c>
      <c r="J212" s="28">
        <f t="shared" ref="J212:J215" si="332">IF(AND(E212=1,G212=1),1,0)</f>
        <v>0</v>
      </c>
      <c r="K212" s="30">
        <f>VLOOKUP($C212,COS!$B$8:$H$991,2,FALSE)</f>
        <v>3187.75537109375</v>
      </c>
      <c r="L212" s="28">
        <f t="shared" ref="L212:L269" si="333">IF(K212&lt;=IF(MONTH($C212)=4,$I$3,IF(MONTH($C212)=5,$I$4,IF(MONTH($C212)=6,$I$5,IF(MONTH($C212)=7,$I$6,"ERROR")))),1,0)</f>
        <v>1</v>
      </c>
      <c r="M212" s="28">
        <f t="shared" ref="M212:M269" si="334">VLOOKUP($A212,$L$3:$M$7,2,FALSE)</f>
        <v>1</v>
      </c>
      <c r="N212" s="30">
        <f>VLOOKUP($C212,COS!$B$8:$H$991,5,FALSE)</f>
        <v>104.06297302246094</v>
      </c>
      <c r="O212" s="30">
        <f t="shared" ref="O212:O215" si="335">N212*DAY($C212)*86400/43560/1000</f>
        <v>6.1921769071216426</v>
      </c>
      <c r="P212" s="30">
        <f>VLOOKUP($C212,COS!$B$8:$H$991,6,FALSE)</f>
        <v>468.96719360351563</v>
      </c>
      <c r="Q212" s="30">
        <f t="shared" ref="Q212:Q215" si="336">P212*DAY($C212)*86400/43560/1000</f>
        <v>27.905485900374483</v>
      </c>
      <c r="R212" s="30">
        <f>MIN(IF(MONTH($C212)=4,$S$3,IF(MONTH($C212)=5,$S$4,IF(MONTH($C212)=6,$S$5,IF(MONTH($C212)=7,$S$6,"ERROR")))),MAX(VLOOKUP($C212,COS!$B$8:$K$991,10,FALSE)-IF(MONTH($C212)=4,$Y$3,IF(MONTH($C212)=5,$Y$4,IF(MONTH($C212)=6,$Y$5,IF(MONTH($C212)=7,$Y$6,"ERROR")))),0),MAX(VLOOKUP($C212,COS!$B$8:$K$991,9,FALSE)-IF(MONTH($C212)=4,$V$3,IF(MONTH($C212)=5,$V$4,IF(MONTH($C212)=6,$V$5,IF(MONTH($C212)=7,$V$6,"ERROR"))))-VLOOKUP($C212,COS!$B$8:$K$991,6,FALSE)/2,0))</f>
        <v>653.14990234375</v>
      </c>
      <c r="S212" s="30">
        <f t="shared" ref="S212:S215" si="337">R212*DAY($C212)*86400/43560/1000</f>
        <v>38.865118155991738</v>
      </c>
      <c r="T212" s="30">
        <f t="shared" ref="T212:T215" si="338">(O212+Q212)/2+S212</f>
        <v>55.913949559739805</v>
      </c>
      <c r="U212" s="30" t="str">
        <f>IF(VLOOKUP($C212,COS!$B$8:$I$991,8,FALSE)=1,"UWFE","IBU")</f>
        <v>UWFE</v>
      </c>
      <c r="V212" s="30">
        <f t="shared" ref="V212" si="339">MIN(IF(IF($AA$3=2,AND(E212=1,G212=1,L212=1,L217=1,M212=1,U212="IBU"),AND(E212=1,G212=1,L212=1,L217=1,M212=1)),T212,0),I212)</f>
        <v>0</v>
      </c>
      <c r="W212" s="30"/>
      <c r="X212" s="30"/>
      <c r="Y212" s="30"/>
      <c r="Z212" s="30"/>
      <c r="AA212" s="30"/>
      <c r="AB212" s="31"/>
    </row>
    <row r="213" spans="1:28" x14ac:dyDescent="0.3">
      <c r="A213" s="32">
        <f>VLOOKUP(YEAR(C213),Flags!$A$13:$B$95,2,FALSE)</f>
        <v>4</v>
      </c>
      <c r="B213" s="24">
        <f t="shared" si="328"/>
        <v>1944</v>
      </c>
      <c r="C213" s="25">
        <v>16223</v>
      </c>
      <c r="D213" s="26">
        <f>VLOOKUP($C213,COS!$B$8:$H$991,3,FALSE)</f>
        <v>5285.6044921875</v>
      </c>
      <c r="E213" s="24">
        <f>IF(D213&gt;=IF(MONTH($C213)=4,$C$3,IF(MONTH($C213)=5,$C$4,IF(MONTH($C213)=6,$C$5,IF(MONTH($C213)=7,$C$6,"ERROR")))),1,0)</f>
        <v>0</v>
      </c>
      <c r="F213" s="26">
        <f>VLOOKUP($C213,COS!$B$8:$H$991,7,FALSE)</f>
        <v>51.930629730224609</v>
      </c>
      <c r="G213" s="24">
        <f>IF(F213&lt;=IF(MONTH($C213)=4,$F$3,IF(MONTH($C213)=5,$F$4,IF(MONTH($C213)=6,$F$5,IF(MONTH($C213)=7,$F$6,"ERROR")))),1,0)</f>
        <v>1</v>
      </c>
      <c r="H213" s="26">
        <f>IF(J213=1,D213-$C$4,0)</f>
        <v>0</v>
      </c>
      <c r="I213" s="26">
        <f t="shared" si="239"/>
        <v>0</v>
      </c>
      <c r="J213" s="24">
        <f t="shared" si="332"/>
        <v>0</v>
      </c>
      <c r="K213" s="26">
        <f>VLOOKUP($C213,COS!$B$8:$H$991,2,FALSE)</f>
        <v>3183.985107421875</v>
      </c>
      <c r="L213" s="24">
        <f t="shared" si="333"/>
        <v>1</v>
      </c>
      <c r="M213" s="24">
        <f t="shared" si="334"/>
        <v>1</v>
      </c>
      <c r="N213" s="26">
        <f>VLOOKUP($C213,COS!$B$8:$H$991,5,FALSE)</f>
        <v>20.680736541748047</v>
      </c>
      <c r="O213" s="26">
        <f t="shared" si="335"/>
        <v>1.2716089245504583</v>
      </c>
      <c r="P213" s="26">
        <f>VLOOKUP($C213,COS!$B$8:$H$991,6,FALSE)</f>
        <v>2024.68505859375</v>
      </c>
      <c r="Q213" s="26">
        <f t="shared" si="336"/>
        <v>124.49303170196281</v>
      </c>
      <c r="R213" s="26">
        <f>MIN(IF(MONTH($C213)=4,$S$3,IF(MONTH($C213)=5,$S$4,IF(MONTH($C213)=6,$S$5,IF(MONTH($C213)=7,$S$6,"ERROR")))),MAX(VLOOKUP($C213,COS!$B$8:$K$991,10,FALSE)-IF(MONTH($C213)=4,$Y$3,IF(MONTH($C213)=5,$Y$4,IF(MONTH($C213)=6,$Y$5,IF(MONTH($C213)=7,$Y$6,"ERROR")))),0),MAX(VLOOKUP($C213,COS!$B$8:$K$991,9,FALSE)-IF(MONTH($C213)=4,$V$3,IF(MONTH($C213)=5,$V$4,IF(MONTH($C213)=6,$V$5,IF(MONTH($C213)=7,$V$6,"ERROR"))))-VLOOKUP($C213,COS!$B$8:$K$991,6,FALSE)/2,0))</f>
        <v>750</v>
      </c>
      <c r="S213" s="26">
        <f t="shared" si="337"/>
        <v>46.115702479338843</v>
      </c>
      <c r="T213" s="26">
        <f t="shared" si="338"/>
        <v>108.99802279259548</v>
      </c>
      <c r="U213" s="26" t="str">
        <f>IF(VLOOKUP($C213,COS!$B$8:$I$991,8,FALSE)=1,"UWFE","IBU")</f>
        <v>UWFE</v>
      </c>
      <c r="V213" s="26">
        <f t="shared" ref="V213" si="340">MIN(IF(IF($AA$3=2,AND(E213=1,G213=1,L213=1,L217=1,M213=1,U213="IBU"),AND(E213=1,G213=1,L213=1,L217=1,M213=1)),T213,0),I213)</f>
        <v>0</v>
      </c>
      <c r="W213" s="26"/>
      <c r="X213" s="26"/>
      <c r="Y213" s="26"/>
      <c r="Z213" s="26"/>
      <c r="AA213" s="26"/>
      <c r="AB213" s="33"/>
    </row>
    <row r="214" spans="1:28" x14ac:dyDescent="0.3">
      <c r="A214" s="32">
        <f>VLOOKUP(YEAR(C214),Flags!$A$13:$B$95,2,FALSE)</f>
        <v>4</v>
      </c>
      <c r="B214" s="24">
        <f t="shared" si="328"/>
        <v>1944</v>
      </c>
      <c r="C214" s="25">
        <v>16253</v>
      </c>
      <c r="D214" s="26">
        <f>VLOOKUP($C214,COS!$B$8:$H$991,3,FALSE)</f>
        <v>9979.68359375</v>
      </c>
      <c r="E214" s="24">
        <f>IF(D214&gt;=IF(MONTH($C214)=4,$C$3,IF(MONTH($C214)=5,$C$4,IF(MONTH($C214)=6,$C$5,IF(MONTH($C214)=7,$C$6,"ERROR")))),1,0)</f>
        <v>0</v>
      </c>
      <c r="F214" s="26">
        <f>VLOOKUP($C214,COS!$B$8:$H$991,7,FALSE)</f>
        <v>51.431163787841797</v>
      </c>
      <c r="G214" s="24">
        <f>IF(F214&lt;=IF(MONTH($C214)=4,$F$3,IF(MONTH($C214)=5,$F$4,IF(MONTH($C214)=6,$F$5,IF(MONTH($C214)=7,$F$6,"ERROR")))),1,0)</f>
        <v>1</v>
      </c>
      <c r="H214" s="26">
        <f>IF(J214=1,D214-$C$5,0)</f>
        <v>0</v>
      </c>
      <c r="I214" s="26">
        <f t="shared" si="239"/>
        <v>0</v>
      </c>
      <c r="J214" s="24">
        <f t="shared" si="332"/>
        <v>0</v>
      </c>
      <c r="K214" s="26">
        <f>VLOOKUP($C214,COS!$B$8:$H$991,2,FALSE)</f>
        <v>2883.628662109375</v>
      </c>
      <c r="L214" s="24">
        <f t="shared" si="333"/>
        <v>1</v>
      </c>
      <c r="M214" s="24">
        <f t="shared" si="334"/>
        <v>1</v>
      </c>
      <c r="N214" s="26">
        <f>VLOOKUP($C214,COS!$B$8:$H$991,5,FALSE)</f>
        <v>231.61277770996094</v>
      </c>
      <c r="O214" s="26">
        <f t="shared" si="335"/>
        <v>13.781917351336519</v>
      </c>
      <c r="P214" s="26">
        <f>VLOOKUP($C214,COS!$B$8:$H$991,6,FALSE)</f>
        <v>2655.6513671875</v>
      </c>
      <c r="Q214" s="26">
        <f t="shared" si="336"/>
        <v>158.02223011363634</v>
      </c>
      <c r="R214" s="26">
        <f>MIN(IF(MONTH($C214)=4,$S$3,IF(MONTH($C214)=5,$S$4,IF(MONTH($C214)=6,$S$5,IF(MONTH($C214)=7,$S$6,"ERROR")))),MAX(VLOOKUP($C214,COS!$B$8:$K$991,10,FALSE)-IF(MONTH($C214)=4,$Y$3,IF(MONTH($C214)=5,$Y$4,IF(MONTH($C214)=6,$Y$5,IF(MONTH($C214)=7,$Y$6,"ERROR")))),0),MAX(VLOOKUP($C214,COS!$B$8:$K$991,9,FALSE)-IF(MONTH($C214)=4,$V$3,IF(MONTH($C214)=5,$V$4,IF(MONTH($C214)=6,$V$5,IF(MONTH($C214)=7,$V$6,"ERROR"))))-VLOOKUP($C214,COS!$B$8:$K$991,6,FALSE)/2,0))</f>
        <v>750</v>
      </c>
      <c r="S214" s="26">
        <f t="shared" si="337"/>
        <v>44.628099173553714</v>
      </c>
      <c r="T214" s="26">
        <f t="shared" si="338"/>
        <v>130.53017290604015</v>
      </c>
      <c r="U214" s="26" t="str">
        <f>IF(VLOOKUP($C214,COS!$B$8:$I$991,8,FALSE)=1,"UWFE","IBU")</f>
        <v>IBU</v>
      </c>
      <c r="V214" s="26">
        <f t="shared" ref="V214" si="341">MIN(IF(IF($AA$3=2,AND(E214=1,G214=1,L214=1,L217=1,M214=1,U214="IBU"),AND(E214=1,G214=1,L214=1,L217=1,M214=1)),T214,0),I214)</f>
        <v>0</v>
      </c>
      <c r="W214" s="26"/>
      <c r="X214" s="26"/>
      <c r="Y214" s="26"/>
      <c r="Z214" s="26"/>
      <c r="AA214" s="26"/>
      <c r="AB214" s="33"/>
    </row>
    <row r="215" spans="1:28" x14ac:dyDescent="0.3">
      <c r="A215" s="32">
        <f>VLOOKUP(YEAR(C215),Flags!$A$13:$B$95,2,FALSE)</f>
        <v>4</v>
      </c>
      <c r="B215" s="24">
        <f t="shared" si="328"/>
        <v>1944</v>
      </c>
      <c r="C215" s="25">
        <v>16284</v>
      </c>
      <c r="D215" s="26">
        <f>VLOOKUP($C215,COS!$B$8:$H$991,3,FALSE)</f>
        <v>11936.8037109375</v>
      </c>
      <c r="E215" s="24">
        <f>IF(D215&gt;=IF(MONTH($C215)=4,$C$3,IF(MONTH($C215)=5,$C$4,IF(MONTH($C215)=6,$C$5,IF(MONTH($C215)=7,$C$6,"ERROR")))),1,0)</f>
        <v>0</v>
      </c>
      <c r="F215" s="26">
        <f>VLOOKUP($C215,COS!$B$8:$H$991,7,FALSE)</f>
        <v>53.474411010742188</v>
      </c>
      <c r="G215" s="24">
        <f>IF(F215&lt;=IF(MONTH($C215)=4,$F$3,IF(MONTH($C215)=5,$F$4,IF(MONTH($C215)=6,$F$5,IF(MONTH($C215)=7,$F$6,"ERROR")))),1,0)</f>
        <v>1</v>
      </c>
      <c r="H215" s="26">
        <f>IF(J215=1,D215-$C$6,0)</f>
        <v>0</v>
      </c>
      <c r="I215" s="26">
        <f t="shared" ref="I215:I278" si="342">H215*DAY($C215)*86400/43560/1000</f>
        <v>0</v>
      </c>
      <c r="J215" s="24">
        <f t="shared" si="332"/>
        <v>0</v>
      </c>
      <c r="K215" s="26">
        <f>VLOOKUP($C215,COS!$B$8:$H$991,2,FALSE)</f>
        <v>2455.531494140625</v>
      </c>
      <c r="L215" s="24">
        <f t="shared" si="333"/>
        <v>1</v>
      </c>
      <c r="M215" s="24">
        <f t="shared" si="334"/>
        <v>1</v>
      </c>
      <c r="N215" s="26">
        <f>VLOOKUP($C215,COS!$B$8:$H$991,5,FALSE)</f>
        <v>264.6837158203125</v>
      </c>
      <c r="O215" s="26">
        <f t="shared" si="335"/>
        <v>16.274767319860537</v>
      </c>
      <c r="P215" s="26">
        <f>VLOOKUP($C215,COS!$B$8:$H$991,6,FALSE)</f>
        <v>2538.07568359375</v>
      </c>
      <c r="Q215" s="26">
        <f t="shared" si="336"/>
        <v>156.06019079287191</v>
      </c>
      <c r="R215" s="26">
        <f>MIN(IF(MONTH($C215)=4,$S$3,IF(MONTH($C215)=5,$S$4,IF(MONTH($C215)=6,$S$5,IF(MONTH($C215)=7,$S$6,"ERROR")))),MAX(VLOOKUP($C215,COS!$B$8:$K$991,10,FALSE)-IF(MONTH($C215)=4,$Y$3,IF(MONTH($C215)=5,$Y$4,IF(MONTH($C215)=6,$Y$5,IF(MONTH($C215)=7,$Y$6,"ERROR")))),0),MAX(VLOOKUP($C215,COS!$B$8:$K$991,9,FALSE)-IF(MONTH($C215)=4,$V$3,IF(MONTH($C215)=5,$V$4,IF(MONTH($C215)=6,$V$5,IF(MONTH($C215)=7,$V$6,"ERROR"))))-VLOOKUP($C215,COS!$B$8:$K$991,6,FALSE)/2,0))</f>
        <v>750</v>
      </c>
      <c r="S215" s="26">
        <f t="shared" si="337"/>
        <v>46.115702479338843</v>
      </c>
      <c r="T215" s="26">
        <f t="shared" si="338"/>
        <v>132.28318153570507</v>
      </c>
      <c r="U215" s="26" t="str">
        <f>IF(VLOOKUP($C215,COS!$B$8:$I$991,8,FALSE)=1,"UWFE","IBU")</f>
        <v>IBU</v>
      </c>
      <c r="V215" s="26">
        <f t="shared" ref="V215" si="343">MIN(IF(IF($AA$3=2,AND(E215=1,G215=1,L215=1,L217=1,M215=1,U215="IBU"),AND(E215=1,G215=1,L215=1,L217=1,M215=1)),T215,0),I215)</f>
        <v>0</v>
      </c>
      <c r="W215" s="26"/>
      <c r="X215" s="26"/>
      <c r="Y215" s="26"/>
      <c r="Z215" s="26"/>
      <c r="AA215" s="26"/>
      <c r="AB215" s="33"/>
    </row>
    <row r="216" spans="1:28" x14ac:dyDescent="0.3">
      <c r="A216" s="32">
        <f>VLOOKUP(YEAR(C216),Flags!$A$13:$B$95,2,FALSE)</f>
        <v>4</v>
      </c>
      <c r="B216" s="24">
        <f t="shared" si="328"/>
        <v>1944</v>
      </c>
      <c r="C216" s="25">
        <v>16315</v>
      </c>
      <c r="D216" s="26"/>
      <c r="E216" s="24"/>
      <c r="F216" s="26"/>
      <c r="G216" s="24"/>
      <c r="H216" s="24"/>
      <c r="I216" s="26"/>
      <c r="J216" s="24"/>
      <c r="K216" s="26"/>
      <c r="L216" s="24"/>
      <c r="M216" s="24"/>
      <c r="N216" s="26"/>
      <c r="O216" s="26"/>
      <c r="P216" s="26"/>
      <c r="Q216" s="26"/>
      <c r="R216" s="26"/>
      <c r="S216" s="26"/>
      <c r="T216" s="26"/>
      <c r="U216" s="26"/>
      <c r="V216" s="26"/>
      <c r="W216" s="26">
        <f>MAX($C$7-VLOOKUP($C216,COS!$B$8:$H$991,3,FALSE),0)</f>
        <v>91194.1171875</v>
      </c>
      <c r="X216" s="26">
        <f t="shared" si="245"/>
        <v>5607.3077014462806</v>
      </c>
      <c r="Y216" s="26">
        <f>VLOOKUP($C216,COS!$B$8:$H$991,4,FALSE)</f>
        <v>1479.651123046875</v>
      </c>
      <c r="Z216" s="26">
        <f t="shared" si="246"/>
        <v>90.9802012848657</v>
      </c>
      <c r="AA216" s="26">
        <f t="shared" ref="AA216:AA220" si="344">MIN(W216,Y216)</f>
        <v>1479.651123046875</v>
      </c>
      <c r="AB216" s="33">
        <f t="shared" ref="AB216:AB274" si="345">AA216*DAY($C216)*86400/43560/1000*IF(MONTH($C216)=8,$P$3,IF(MONTH($C216)=9,$P$4,IF(MONTH($C216)=10,$P$5,IF(MONTH($C216)=11,$P$6,IF(MONTH($C216)=12,$P$7,NA())))))</f>
        <v>90.9802012848657</v>
      </c>
    </row>
    <row r="217" spans="1:28" x14ac:dyDescent="0.3">
      <c r="A217" s="32">
        <f>VLOOKUP(YEAR(C217),Flags!$A$13:$B$95,2,FALSE)</f>
        <v>4</v>
      </c>
      <c r="B217" s="24">
        <f t="shared" si="328"/>
        <v>1944</v>
      </c>
      <c r="C217" s="25">
        <v>16345</v>
      </c>
      <c r="D217" s="26"/>
      <c r="E217" s="24"/>
      <c r="F217" s="26"/>
      <c r="G217" s="24"/>
      <c r="H217" s="24"/>
      <c r="I217" s="26"/>
      <c r="J217" s="24"/>
      <c r="K217" s="26">
        <f>VLOOKUP($C217,COS!$B$8:$H$991,2,FALSE)</f>
        <v>2136.83203125</v>
      </c>
      <c r="L217" s="24">
        <f t="shared" ref="L217" si="346">IF(AND(K217&gt;$I$7,K217&lt;$I$8),1,0)</f>
        <v>1</v>
      </c>
      <c r="M217" s="24"/>
      <c r="N217" s="26"/>
      <c r="O217" s="26"/>
      <c r="P217" s="26"/>
      <c r="Q217" s="26"/>
      <c r="R217" s="26"/>
      <c r="S217" s="26"/>
      <c r="T217" s="26"/>
      <c r="U217" s="26"/>
      <c r="V217" s="26"/>
      <c r="W217" s="26">
        <f>MAX($C$8-VLOOKUP($C217,COS!$B$8:$H$991,3,FALSE),0)</f>
        <v>95026.63427734375</v>
      </c>
      <c r="X217" s="26">
        <f t="shared" si="245"/>
        <v>5654.4774115444216</v>
      </c>
      <c r="Y217" s="26">
        <f>VLOOKUP($C217,COS!$B$8:$H$991,4,FALSE)</f>
        <v>1451.7376708984375</v>
      </c>
      <c r="Z217" s="26">
        <f t="shared" si="246"/>
        <v>86.384390334452476</v>
      </c>
      <c r="AA217" s="26">
        <f t="shared" si="344"/>
        <v>1451.7376708984375</v>
      </c>
      <c r="AB217" s="33">
        <f t="shared" si="345"/>
        <v>86.384390334452476</v>
      </c>
    </row>
    <row r="218" spans="1:28" x14ac:dyDescent="0.3">
      <c r="A218" s="32">
        <f>VLOOKUP(YEAR(C218),Flags!$A$13:$B$95,2,FALSE)</f>
        <v>4</v>
      </c>
      <c r="B218" s="24">
        <f t="shared" si="328"/>
        <v>1944</v>
      </c>
      <c r="C218" s="25">
        <v>16376</v>
      </c>
      <c r="D218" s="26"/>
      <c r="E218" s="24"/>
      <c r="F218" s="26"/>
      <c r="G218" s="26"/>
      <c r="H218" s="26"/>
      <c r="I218" s="26"/>
      <c r="J218" s="26"/>
      <c r="K218" s="26"/>
      <c r="L218" s="24"/>
      <c r="M218" s="24"/>
      <c r="N218" s="26"/>
      <c r="O218" s="26"/>
      <c r="P218" s="26"/>
      <c r="Q218" s="26"/>
      <c r="R218" s="26"/>
      <c r="S218" s="26"/>
      <c r="T218" s="26"/>
      <c r="U218" s="26"/>
      <c r="V218" s="26"/>
      <c r="W218" s="26">
        <f>MAX($C$9-VLOOKUP($C218,COS!$B$8:$H$991,3,FALSE),0)</f>
        <v>94521.05810546875</v>
      </c>
      <c r="X218" s="26">
        <f t="shared" si="245"/>
        <v>5811.8733248321287</v>
      </c>
      <c r="Y218" s="26">
        <f>VLOOKUP($C218,COS!$B$8:$H$991,4,FALSE)</f>
        <v>1521.927001953125</v>
      </c>
      <c r="Z218" s="26">
        <f t="shared" si="246"/>
        <v>93.579643756456619</v>
      </c>
      <c r="AA218" s="26">
        <f t="shared" si="344"/>
        <v>1521.927001953125</v>
      </c>
      <c r="AB218" s="33">
        <f t="shared" si="345"/>
        <v>93.579643756456619</v>
      </c>
    </row>
    <row r="219" spans="1:28" x14ac:dyDescent="0.3">
      <c r="A219" s="32">
        <f>VLOOKUP(YEAR(C219),Flags!$A$13:$B$95,2,FALSE)</f>
        <v>4</v>
      </c>
      <c r="B219" s="24">
        <f t="shared" si="328"/>
        <v>1944</v>
      </c>
      <c r="C219" s="25">
        <v>16406</v>
      </c>
      <c r="D219" s="26"/>
      <c r="E219" s="24"/>
      <c r="F219" s="26"/>
      <c r="G219" s="26"/>
      <c r="H219" s="26"/>
      <c r="I219" s="26"/>
      <c r="J219" s="26"/>
      <c r="K219" s="26"/>
      <c r="L219" s="24"/>
      <c r="M219" s="24"/>
      <c r="N219" s="26"/>
      <c r="O219" s="26"/>
      <c r="P219" s="26"/>
      <c r="Q219" s="26"/>
      <c r="R219" s="26"/>
      <c r="S219" s="26"/>
      <c r="T219" s="26"/>
      <c r="U219" s="26"/>
      <c r="V219" s="26"/>
      <c r="W219" s="26">
        <f>MAX($C$10-VLOOKUP($C219,COS!$B$8:$H$991,3,FALSE),0)</f>
        <v>96749</v>
      </c>
      <c r="X219" s="26">
        <f t="shared" ref="X219:X282" si="347">W219*DAY($C219)*86400/43560/1000</f>
        <v>5756.965289256198</v>
      </c>
      <c r="Y219" s="26">
        <f>VLOOKUP($C219,COS!$B$8:$H$991,4,FALSE)</f>
        <v>0</v>
      </c>
      <c r="Z219" s="26">
        <f t="shared" ref="Z219:Z282" si="348">Y219*DAY($C219)*86400/43560/1000</f>
        <v>0</v>
      </c>
      <c r="AA219" s="26">
        <f t="shared" si="344"/>
        <v>0</v>
      </c>
      <c r="AB219" s="33">
        <f t="shared" si="345"/>
        <v>0</v>
      </c>
    </row>
    <row r="220" spans="1:28" x14ac:dyDescent="0.3">
      <c r="A220" s="34">
        <f>VLOOKUP(YEAR(C220),Flags!$A$13:$B$95,2,FALSE)</f>
        <v>4</v>
      </c>
      <c r="B220" s="35">
        <f t="shared" si="328"/>
        <v>1944</v>
      </c>
      <c r="C220" s="36">
        <v>16437</v>
      </c>
      <c r="D220" s="37"/>
      <c r="E220" s="35"/>
      <c r="F220" s="37"/>
      <c r="G220" s="37"/>
      <c r="H220" s="37"/>
      <c r="I220" s="37"/>
      <c r="J220" s="37"/>
      <c r="K220" s="37"/>
      <c r="L220" s="35"/>
      <c r="M220" s="35"/>
      <c r="N220" s="37"/>
      <c r="O220" s="37"/>
      <c r="P220" s="37"/>
      <c r="Q220" s="37"/>
      <c r="R220" s="37"/>
      <c r="S220" s="37"/>
      <c r="T220" s="37"/>
      <c r="U220" s="37"/>
      <c r="V220" s="37"/>
      <c r="W220" s="37">
        <f>MAX($C$11-VLOOKUP($C220,COS!$B$8:$H$991,3,FALSE),0)</f>
        <v>0</v>
      </c>
      <c r="X220" s="37">
        <f t="shared" si="347"/>
        <v>0</v>
      </c>
      <c r="Y220" s="37">
        <f>VLOOKUP($C220,COS!$B$8:$H$991,4,FALSE)</f>
        <v>2511.267822265625</v>
      </c>
      <c r="Z220" s="37">
        <f t="shared" si="348"/>
        <v>154.41183965005163</v>
      </c>
      <c r="AA220" s="37">
        <f t="shared" si="344"/>
        <v>0</v>
      </c>
      <c r="AB220" s="38">
        <f t="shared" si="345"/>
        <v>0</v>
      </c>
    </row>
    <row r="221" spans="1:28" x14ac:dyDescent="0.3">
      <c r="A221" s="27">
        <f>VLOOKUP(YEAR(C221),Flags!$A$13:$B$95,2,FALSE)</f>
        <v>3</v>
      </c>
      <c r="B221" s="28">
        <f t="shared" si="328"/>
        <v>1945</v>
      </c>
      <c r="C221" s="29">
        <v>16557</v>
      </c>
      <c r="D221" s="30">
        <f>VLOOKUP($C221,COS!$B$8:$H$991,3,FALSE)</f>
        <v>3250</v>
      </c>
      <c r="E221" s="28">
        <f>IF(D221&gt;=IF(MONTH($C221)=4,$C$3,IF(MONTH($C221)=5,$C$4,IF(MONTH($C221)=6,$C$5,IF(MONTH($C221)=7,$C$6,"ERROR")))),1,0)</f>
        <v>0</v>
      </c>
      <c r="F221" s="30">
        <f>VLOOKUP($C221,COS!$B$8:$H$991,7,FALSE)</f>
        <v>50.669651031494141</v>
      </c>
      <c r="G221" s="28">
        <f>IF(F221&lt;=IF(MONTH($C221)=4,$F$3,IF(MONTH($C221)=5,$F$4,IF(MONTH($C221)=6,$F$5,IF(MONTH($C221)=7,$F$6,"ERROR")))),1,0)</f>
        <v>1</v>
      </c>
      <c r="H221" s="30">
        <f>IF(J221=1,D221-$C$3,0)</f>
        <v>0</v>
      </c>
      <c r="I221" s="30">
        <f t="shared" si="342"/>
        <v>0</v>
      </c>
      <c r="J221" s="28">
        <f t="shared" ref="J221:J224" si="349">IF(AND(E221=1,G221=1),1,0)</f>
        <v>0</v>
      </c>
      <c r="K221" s="30">
        <f>VLOOKUP($C221,COS!$B$8:$H$991,2,FALSE)</f>
        <v>4155.40673828125</v>
      </c>
      <c r="L221" s="28">
        <f t="shared" ref="L221" si="350">IF(K221&lt;=IF(MONTH($C221)=4,$I$3,IF(MONTH($C221)=5,$I$4,IF(MONTH($C221)=6,$I$5,IF(MONTH($C221)=7,$I$6,"ERROR")))),1,0)</f>
        <v>1</v>
      </c>
      <c r="M221" s="28">
        <f t="shared" ref="M221" si="351">VLOOKUP($A221,$L$3:$M$7,2,FALSE)</f>
        <v>0</v>
      </c>
      <c r="N221" s="30">
        <f>VLOOKUP($C221,COS!$B$8:$H$991,5,FALSE)</f>
        <v>245.70526123046875</v>
      </c>
      <c r="O221" s="30">
        <f t="shared" ref="O221:O224" si="352">N221*DAY($C221)*86400/43560/1000</f>
        <v>14.620478354209711</v>
      </c>
      <c r="P221" s="30">
        <f>VLOOKUP($C221,COS!$B$8:$H$991,6,FALSE)</f>
        <v>453.39697265625</v>
      </c>
      <c r="Q221" s="30">
        <f t="shared" ref="Q221:Q224" si="353">P221*DAY($C221)*86400/43560/1000</f>
        <v>26.978993414256198</v>
      </c>
      <c r="R221" s="30">
        <f>MIN(IF(MONTH($C221)=4,$S$3,IF(MONTH($C221)=5,$S$4,IF(MONTH($C221)=6,$S$5,IF(MONTH($C221)=7,$S$6,"ERROR")))),MAX(VLOOKUP($C221,COS!$B$8:$K$991,10,FALSE)-IF(MONTH($C221)=4,$Y$3,IF(MONTH($C221)=5,$Y$4,IF(MONTH($C221)=6,$Y$5,IF(MONTH($C221)=7,$Y$6,"ERROR")))),0),MAX(VLOOKUP($C221,COS!$B$8:$K$991,9,FALSE)-IF(MONTH($C221)=4,$V$3,IF(MONTH($C221)=5,$V$4,IF(MONTH($C221)=6,$V$5,IF(MONTH($C221)=7,$V$6,"ERROR"))))-VLOOKUP($C221,COS!$B$8:$K$991,6,FALSE)/2,0))</f>
        <v>750</v>
      </c>
      <c r="S221" s="30">
        <f t="shared" ref="S221:S224" si="354">R221*DAY($C221)*86400/43560/1000</f>
        <v>44.628099173553714</v>
      </c>
      <c r="T221" s="30">
        <f t="shared" ref="T221:T224" si="355">(O221+Q221)/2+S221</f>
        <v>65.427835057786666</v>
      </c>
      <c r="U221" s="30" t="str">
        <f>IF(VLOOKUP($C221,COS!$B$8:$I$991,8,FALSE)=1,"UWFE","IBU")</f>
        <v>UWFE</v>
      </c>
      <c r="V221" s="30">
        <f t="shared" ref="V221" si="356">MIN(IF(IF($AA$3=2,AND(E221=1,G221=1,L221=1,L226=1,M221=1,U221="IBU"),AND(E221=1,G221=1,L221=1,L226=1,M221=1)),T221,0),I221)</f>
        <v>0</v>
      </c>
      <c r="W221" s="30"/>
      <c r="X221" s="30"/>
      <c r="Y221" s="30"/>
      <c r="Z221" s="30"/>
      <c r="AA221" s="30"/>
      <c r="AB221" s="31"/>
    </row>
    <row r="222" spans="1:28" x14ac:dyDescent="0.3">
      <c r="A222" s="32">
        <f>VLOOKUP(YEAR(C222),Flags!$A$13:$B$95,2,FALSE)</f>
        <v>3</v>
      </c>
      <c r="B222" s="24">
        <f t="shared" si="328"/>
        <v>1945</v>
      </c>
      <c r="C222" s="25">
        <v>16588</v>
      </c>
      <c r="D222" s="26">
        <f>VLOOKUP($C222,COS!$B$8:$H$991,3,FALSE)</f>
        <v>4815.7119140625</v>
      </c>
      <c r="E222" s="24">
        <f>IF(D222&gt;=IF(MONTH($C222)=4,$C$3,IF(MONTH($C222)=5,$C$4,IF(MONTH($C222)=6,$C$5,IF(MONTH($C222)=7,$C$6,"ERROR")))),1,0)</f>
        <v>0</v>
      </c>
      <c r="F222" s="26">
        <f>VLOOKUP($C222,COS!$B$8:$H$991,7,FALSE)</f>
        <v>50.982772827148438</v>
      </c>
      <c r="G222" s="24">
        <f>IF(F222&lt;=IF(MONTH($C222)=4,$F$3,IF(MONTH($C222)=5,$F$4,IF(MONTH($C222)=6,$F$5,IF(MONTH($C222)=7,$F$6,"ERROR")))),1,0)</f>
        <v>1</v>
      </c>
      <c r="H222" s="26">
        <f>IF(J222=1,D222-$C$4,0)</f>
        <v>0</v>
      </c>
      <c r="I222" s="26">
        <f t="shared" si="342"/>
        <v>0</v>
      </c>
      <c r="J222" s="24">
        <f t="shared" si="349"/>
        <v>0</v>
      </c>
      <c r="K222" s="26">
        <f>VLOOKUP($C222,COS!$B$8:$H$991,2,FALSE)</f>
        <v>4312.3994140625</v>
      </c>
      <c r="L222" s="24">
        <f t="shared" si="333"/>
        <v>1</v>
      </c>
      <c r="M222" s="24">
        <f t="shared" si="334"/>
        <v>0</v>
      </c>
      <c r="N222" s="26">
        <f>VLOOKUP($C222,COS!$B$8:$H$991,5,FALSE)</f>
        <v>419.08834838867188</v>
      </c>
      <c r="O222" s="26">
        <f t="shared" si="352"/>
        <v>25.76873811579933</v>
      </c>
      <c r="P222" s="26">
        <f>VLOOKUP($C222,COS!$B$8:$H$991,6,FALSE)</f>
        <v>2006.53857421875</v>
      </c>
      <c r="Q222" s="26">
        <f t="shared" si="353"/>
        <v>123.37724786931818</v>
      </c>
      <c r="R222" s="26">
        <f>MIN(IF(MONTH($C222)=4,$S$3,IF(MONTH($C222)=5,$S$4,IF(MONTH($C222)=6,$S$5,IF(MONTH($C222)=7,$S$6,"ERROR")))),MAX(VLOOKUP($C222,COS!$B$8:$K$991,10,FALSE)-IF(MONTH($C222)=4,$Y$3,IF(MONTH($C222)=5,$Y$4,IF(MONTH($C222)=6,$Y$5,IF(MONTH($C222)=7,$Y$6,"ERROR")))),0),MAX(VLOOKUP($C222,COS!$B$8:$K$991,9,FALSE)-IF(MONTH($C222)=4,$V$3,IF(MONTH($C222)=5,$V$4,IF(MONTH($C222)=6,$V$5,IF(MONTH($C222)=7,$V$6,"ERROR"))))-VLOOKUP($C222,COS!$B$8:$K$991,6,FALSE)/2,0))</f>
        <v>750</v>
      </c>
      <c r="S222" s="26">
        <f t="shared" si="354"/>
        <v>46.115702479338843</v>
      </c>
      <c r="T222" s="26">
        <f t="shared" si="355"/>
        <v>120.6886954718976</v>
      </c>
      <c r="U222" s="26" t="str">
        <f>IF(VLOOKUP($C222,COS!$B$8:$I$991,8,FALSE)=1,"UWFE","IBU")</f>
        <v>UWFE</v>
      </c>
      <c r="V222" s="26">
        <f t="shared" ref="V222" si="357">MIN(IF(IF($AA$3=2,AND(E222=1,G222=1,L222=1,L226=1,M222=1,U222="IBU"),AND(E222=1,G222=1,L222=1,L226=1,M222=1)),T222,0),I222)</f>
        <v>0</v>
      </c>
      <c r="W222" s="26"/>
      <c r="X222" s="26"/>
      <c r="Y222" s="26"/>
      <c r="Z222" s="26"/>
      <c r="AA222" s="26"/>
      <c r="AB222" s="33"/>
    </row>
    <row r="223" spans="1:28" x14ac:dyDescent="0.3">
      <c r="A223" s="32">
        <f>VLOOKUP(YEAR(C223),Flags!$A$13:$B$95,2,FALSE)</f>
        <v>3</v>
      </c>
      <c r="B223" s="24">
        <f t="shared" si="328"/>
        <v>1945</v>
      </c>
      <c r="C223" s="25">
        <v>16618</v>
      </c>
      <c r="D223" s="26">
        <f>VLOOKUP($C223,COS!$B$8:$H$991,3,FALSE)</f>
        <v>8762.8173828125</v>
      </c>
      <c r="E223" s="24">
        <f>IF(D223&gt;=IF(MONTH($C223)=4,$C$3,IF(MONTH($C223)=5,$C$4,IF(MONTH($C223)=6,$C$5,IF(MONTH($C223)=7,$C$6,"ERROR")))),1,0)</f>
        <v>0</v>
      </c>
      <c r="F223" s="26">
        <f>VLOOKUP($C223,COS!$B$8:$H$991,7,FALSE)</f>
        <v>50.982040405273438</v>
      </c>
      <c r="G223" s="24">
        <f>IF(F223&lt;=IF(MONTH($C223)=4,$F$3,IF(MONTH($C223)=5,$F$4,IF(MONTH($C223)=6,$F$5,IF(MONTH($C223)=7,$F$6,"ERROR")))),1,0)</f>
        <v>1</v>
      </c>
      <c r="H223" s="26">
        <f>IF(J223=1,D223-$C$5,0)</f>
        <v>0</v>
      </c>
      <c r="I223" s="26">
        <f t="shared" si="342"/>
        <v>0</v>
      </c>
      <c r="J223" s="24">
        <f t="shared" si="349"/>
        <v>0</v>
      </c>
      <c r="K223" s="26">
        <f>VLOOKUP($C223,COS!$B$8:$H$991,2,FALSE)</f>
        <v>4079.3798828125</v>
      </c>
      <c r="L223" s="24">
        <f t="shared" si="333"/>
        <v>1</v>
      </c>
      <c r="M223" s="24">
        <f t="shared" si="334"/>
        <v>0</v>
      </c>
      <c r="N223" s="26">
        <f>VLOOKUP($C223,COS!$B$8:$H$991,5,FALSE)</f>
        <v>584.35906982421875</v>
      </c>
      <c r="O223" s="26">
        <f t="shared" si="352"/>
        <v>34.771779361441112</v>
      </c>
      <c r="P223" s="26">
        <f>VLOOKUP($C223,COS!$B$8:$H$991,6,FALSE)</f>
        <v>2486.4326171875</v>
      </c>
      <c r="Q223" s="26">
        <f t="shared" si="353"/>
        <v>147.9530152376033</v>
      </c>
      <c r="R223" s="26">
        <f>MIN(IF(MONTH($C223)=4,$S$3,IF(MONTH($C223)=5,$S$4,IF(MONTH($C223)=6,$S$5,IF(MONTH($C223)=7,$S$6,"ERROR")))),MAX(VLOOKUP($C223,COS!$B$8:$K$991,10,FALSE)-IF(MONTH($C223)=4,$Y$3,IF(MONTH($C223)=5,$Y$4,IF(MONTH($C223)=6,$Y$5,IF(MONTH($C223)=7,$Y$6,"ERROR")))),0),MAX(VLOOKUP($C223,COS!$B$8:$K$991,9,FALSE)-IF(MONTH($C223)=4,$V$3,IF(MONTH($C223)=5,$V$4,IF(MONTH($C223)=6,$V$5,IF(MONTH($C223)=7,$V$6,"ERROR"))))-VLOOKUP($C223,COS!$B$8:$K$991,6,FALSE)/2,0))</f>
        <v>750</v>
      </c>
      <c r="S223" s="26">
        <f t="shared" si="354"/>
        <v>44.628099173553714</v>
      </c>
      <c r="T223" s="26">
        <f t="shared" si="355"/>
        <v>135.99049647307592</v>
      </c>
      <c r="U223" s="26" t="str">
        <f>IF(VLOOKUP($C223,COS!$B$8:$I$991,8,FALSE)=1,"UWFE","IBU")</f>
        <v>IBU</v>
      </c>
      <c r="V223" s="26">
        <f t="shared" ref="V223" si="358">MIN(IF(IF($AA$3=2,AND(E223=1,G223=1,L223=1,L226=1,M223=1,U223="IBU"),AND(E223=1,G223=1,L223=1,L226=1,M223=1)),T223,0),I223)</f>
        <v>0</v>
      </c>
      <c r="W223" s="26"/>
      <c r="X223" s="26"/>
      <c r="Y223" s="26"/>
      <c r="Z223" s="26"/>
      <c r="AA223" s="26"/>
      <c r="AB223" s="33"/>
    </row>
    <row r="224" spans="1:28" x14ac:dyDescent="0.3">
      <c r="A224" s="32">
        <f>VLOOKUP(YEAR(C224),Flags!$A$13:$B$95,2,FALSE)</f>
        <v>3</v>
      </c>
      <c r="B224" s="24">
        <f t="shared" si="328"/>
        <v>1945</v>
      </c>
      <c r="C224" s="25">
        <v>16649</v>
      </c>
      <c r="D224" s="26">
        <f>VLOOKUP($C224,COS!$B$8:$H$991,3,FALSE)</f>
        <v>13865.92578125</v>
      </c>
      <c r="E224" s="24">
        <f>IF(D224&gt;=IF(MONTH($C224)=4,$C$3,IF(MONTH($C224)=5,$C$4,IF(MONTH($C224)=6,$C$5,IF(MONTH($C224)=7,$C$6,"ERROR")))),1,0)</f>
        <v>1</v>
      </c>
      <c r="F224" s="26">
        <f>VLOOKUP($C224,COS!$B$8:$H$991,7,FALSE)</f>
        <v>50.834716796875</v>
      </c>
      <c r="G224" s="24">
        <f>IF(F224&lt;=IF(MONTH($C224)=4,$F$3,IF(MONTH($C224)=5,$F$4,IF(MONTH($C224)=6,$F$5,IF(MONTH($C224)=7,$F$6,"ERROR")))),1,0)</f>
        <v>1</v>
      </c>
      <c r="H224" s="26">
        <f>IF(J224=1,D224-$C$6,0)</f>
        <v>1865.92578125</v>
      </c>
      <c r="I224" s="26">
        <f t="shared" si="342"/>
        <v>114.73130423553718</v>
      </c>
      <c r="J224" s="24">
        <f t="shared" si="349"/>
        <v>1</v>
      </c>
      <c r="K224" s="26">
        <f>VLOOKUP($C224,COS!$B$8:$H$991,2,FALSE)</f>
        <v>3470.729248046875</v>
      </c>
      <c r="L224" s="24">
        <f t="shared" si="333"/>
        <v>1</v>
      </c>
      <c r="M224" s="24">
        <f t="shared" si="334"/>
        <v>0</v>
      </c>
      <c r="N224" s="26">
        <f>VLOOKUP($C224,COS!$B$8:$H$991,5,FALSE)</f>
        <v>726.76727294921875</v>
      </c>
      <c r="O224" s="26">
        <f t="shared" si="352"/>
        <v>44.687177774728823</v>
      </c>
      <c r="P224" s="26">
        <f>VLOOKUP($C224,COS!$B$8:$H$991,6,FALSE)</f>
        <v>2632.5888671875</v>
      </c>
      <c r="Q224" s="26">
        <f t="shared" si="353"/>
        <v>161.87157993285126</v>
      </c>
      <c r="R224" s="26">
        <f>MIN(IF(MONTH($C224)=4,$S$3,IF(MONTH($C224)=5,$S$4,IF(MONTH($C224)=6,$S$5,IF(MONTH($C224)=7,$S$6,"ERROR")))),MAX(VLOOKUP($C224,COS!$B$8:$K$991,10,FALSE)-IF(MONTH($C224)=4,$Y$3,IF(MONTH($C224)=5,$Y$4,IF(MONTH($C224)=6,$Y$5,IF(MONTH($C224)=7,$Y$6,"ERROR")))),0),MAX(VLOOKUP($C224,COS!$B$8:$K$991,9,FALSE)-IF(MONTH($C224)=4,$V$3,IF(MONTH($C224)=5,$V$4,IF(MONTH($C224)=6,$V$5,IF(MONTH($C224)=7,$V$6,"ERROR"))))-VLOOKUP($C224,COS!$B$8:$K$991,6,FALSE)/2,0))</f>
        <v>750</v>
      </c>
      <c r="S224" s="26">
        <f t="shared" si="354"/>
        <v>46.115702479338843</v>
      </c>
      <c r="T224" s="26">
        <f t="shared" si="355"/>
        <v>149.39508133312887</v>
      </c>
      <c r="U224" s="26" t="str">
        <f>IF(VLOOKUP($C224,COS!$B$8:$I$991,8,FALSE)=1,"UWFE","IBU")</f>
        <v>IBU</v>
      </c>
      <c r="V224" s="26">
        <f t="shared" ref="V224" si="359">MIN(IF(IF($AA$3=2,AND(E224=1,G224=1,L224=1,L226=1,M224=1,U224="IBU"),AND(E224=1,G224=1,L224=1,L226=1,M224=1)),T224,0),I224)</f>
        <v>0</v>
      </c>
      <c r="W224" s="26"/>
      <c r="X224" s="26"/>
      <c r="Y224" s="26"/>
      <c r="Z224" s="26"/>
      <c r="AA224" s="26"/>
      <c r="AB224" s="33"/>
    </row>
    <row r="225" spans="1:28" x14ac:dyDescent="0.3">
      <c r="A225" s="32">
        <f>VLOOKUP(YEAR(C225),Flags!$A$13:$B$95,2,FALSE)</f>
        <v>3</v>
      </c>
      <c r="B225" s="24">
        <f t="shared" si="328"/>
        <v>1945</v>
      </c>
      <c r="C225" s="25">
        <v>16680</v>
      </c>
      <c r="D225" s="26"/>
      <c r="E225" s="24"/>
      <c r="F225" s="26"/>
      <c r="G225" s="24"/>
      <c r="H225" s="24"/>
      <c r="I225" s="26"/>
      <c r="J225" s="24"/>
      <c r="K225" s="26"/>
      <c r="L225" s="24"/>
      <c r="M225" s="24"/>
      <c r="N225" s="26"/>
      <c r="O225" s="26"/>
      <c r="P225" s="26"/>
      <c r="Q225" s="26"/>
      <c r="R225" s="26"/>
      <c r="S225" s="26"/>
      <c r="T225" s="26"/>
      <c r="U225" s="26"/>
      <c r="V225" s="26"/>
      <c r="W225" s="26">
        <f>MAX($C$7-VLOOKUP($C225,COS!$B$8:$H$991,3,FALSE),0)</f>
        <v>90106.1162109375</v>
      </c>
      <c r="X225" s="26">
        <f t="shared" si="347"/>
        <v>5540.4091290030992</v>
      </c>
      <c r="Y225" s="26">
        <f>VLOOKUP($C225,COS!$B$8:$H$991,4,FALSE)</f>
        <v>465.335205078125</v>
      </c>
      <c r="Z225" s="26">
        <f t="shared" si="348"/>
        <v>28.612346494059917</v>
      </c>
      <c r="AA225" s="26">
        <f t="shared" ref="AA225:AA229" si="360">MIN(W225,Y225)</f>
        <v>465.335205078125</v>
      </c>
      <c r="AB225" s="33">
        <f t="shared" ref="AB225" si="361">AA225*DAY($C225)*86400/43560/1000*IF(MONTH($C225)=8,$P$3,IF(MONTH($C225)=9,$P$4,IF(MONTH($C225)=10,$P$5,IF(MONTH($C225)=11,$P$6,IF(MONTH($C225)=12,$P$7,NA())))))</f>
        <v>28.612346494059917</v>
      </c>
    </row>
    <row r="226" spans="1:28" x14ac:dyDescent="0.3">
      <c r="A226" s="32">
        <f>VLOOKUP(YEAR(C226),Flags!$A$13:$B$95,2,FALSE)</f>
        <v>3</v>
      </c>
      <c r="B226" s="24">
        <f t="shared" si="328"/>
        <v>1945</v>
      </c>
      <c r="C226" s="25">
        <v>16710</v>
      </c>
      <c r="D226" s="26"/>
      <c r="E226" s="24"/>
      <c r="F226" s="26"/>
      <c r="G226" s="24"/>
      <c r="H226" s="24"/>
      <c r="I226" s="26"/>
      <c r="J226" s="24"/>
      <c r="K226" s="26">
        <f>VLOOKUP($C226,COS!$B$8:$H$991,2,FALSE)</f>
        <v>2950.834716796875</v>
      </c>
      <c r="L226" s="24">
        <f t="shared" ref="L226" si="362">IF(AND(K226&gt;$I$7,K226&lt;$I$8),1,0)</f>
        <v>1</v>
      </c>
      <c r="M226" s="24"/>
      <c r="N226" s="26"/>
      <c r="O226" s="26"/>
      <c r="P226" s="26"/>
      <c r="Q226" s="26"/>
      <c r="R226" s="26"/>
      <c r="S226" s="26"/>
      <c r="T226" s="26"/>
      <c r="U226" s="26"/>
      <c r="V226" s="26"/>
      <c r="W226" s="26">
        <f>MAX($C$8-VLOOKUP($C226,COS!$B$8:$H$991,3,FALSE),0)</f>
        <v>94362.61474609375</v>
      </c>
      <c r="X226" s="26">
        <f t="shared" si="347"/>
        <v>5614.9655055526855</v>
      </c>
      <c r="Y226" s="26">
        <f>VLOOKUP($C226,COS!$B$8:$H$991,4,FALSE)</f>
        <v>334.24276733398438</v>
      </c>
      <c r="Z226" s="26">
        <f t="shared" si="348"/>
        <v>19.888825824832129</v>
      </c>
      <c r="AA226" s="26">
        <f t="shared" si="360"/>
        <v>334.24276733398438</v>
      </c>
      <c r="AB226" s="33">
        <f t="shared" si="345"/>
        <v>19.888825824832129</v>
      </c>
    </row>
    <row r="227" spans="1:28" x14ac:dyDescent="0.3">
      <c r="A227" s="32">
        <f>VLOOKUP(YEAR(C227),Flags!$A$13:$B$95,2,FALSE)</f>
        <v>3</v>
      </c>
      <c r="B227" s="24">
        <f t="shared" si="328"/>
        <v>1945</v>
      </c>
      <c r="C227" s="25">
        <v>16741</v>
      </c>
      <c r="D227" s="26"/>
      <c r="E227" s="24"/>
      <c r="F227" s="26"/>
      <c r="G227" s="26"/>
      <c r="H227" s="26"/>
      <c r="I227" s="26"/>
      <c r="J227" s="26"/>
      <c r="K227" s="26"/>
      <c r="L227" s="24"/>
      <c r="M227" s="24"/>
      <c r="N227" s="26"/>
      <c r="O227" s="26"/>
      <c r="P227" s="26"/>
      <c r="Q227" s="26"/>
      <c r="R227" s="26"/>
      <c r="S227" s="26"/>
      <c r="T227" s="26"/>
      <c r="U227" s="26"/>
      <c r="V227" s="26"/>
      <c r="W227" s="26">
        <f>MAX($C$9-VLOOKUP($C227,COS!$B$8:$H$991,3,FALSE),0)</f>
        <v>94737.2158203125</v>
      </c>
      <c r="X227" s="26">
        <f t="shared" si="347"/>
        <v>5825.1643446539256</v>
      </c>
      <c r="Y227" s="26">
        <f>VLOOKUP($C227,COS!$B$8:$H$991,4,FALSE)</f>
        <v>526.39361572265625</v>
      </c>
      <c r="Z227" s="26">
        <f t="shared" si="348"/>
        <v>32.366681826252581</v>
      </c>
      <c r="AA227" s="26">
        <f t="shared" si="360"/>
        <v>526.39361572265625</v>
      </c>
      <c r="AB227" s="33">
        <f t="shared" si="345"/>
        <v>32.366681826252581</v>
      </c>
    </row>
    <row r="228" spans="1:28" x14ac:dyDescent="0.3">
      <c r="A228" s="32">
        <f>VLOOKUP(YEAR(C228),Flags!$A$13:$B$95,2,FALSE)</f>
        <v>3</v>
      </c>
      <c r="B228" s="24">
        <f t="shared" si="328"/>
        <v>1945</v>
      </c>
      <c r="C228" s="25">
        <v>16771</v>
      </c>
      <c r="D228" s="26"/>
      <c r="E228" s="24"/>
      <c r="F228" s="26"/>
      <c r="G228" s="26"/>
      <c r="H228" s="26"/>
      <c r="I228" s="26"/>
      <c r="J228" s="26"/>
      <c r="K228" s="26"/>
      <c r="L228" s="24"/>
      <c r="M228" s="24"/>
      <c r="N228" s="26"/>
      <c r="O228" s="26"/>
      <c r="P228" s="26"/>
      <c r="Q228" s="26"/>
      <c r="R228" s="26"/>
      <c r="S228" s="26"/>
      <c r="T228" s="26"/>
      <c r="U228" s="26"/>
      <c r="V228" s="26"/>
      <c r="W228" s="26">
        <f>MAX($C$10-VLOOKUP($C228,COS!$B$8:$H$991,3,FALSE),0)</f>
        <v>93731.17041015625</v>
      </c>
      <c r="X228" s="26">
        <f t="shared" si="347"/>
        <v>5577.391958290289</v>
      </c>
      <c r="Y228" s="26">
        <f>VLOOKUP($C228,COS!$B$8:$H$991,4,FALSE)</f>
        <v>697.87353515625</v>
      </c>
      <c r="Z228" s="26">
        <f t="shared" si="348"/>
        <v>41.526359116735541</v>
      </c>
      <c r="AA228" s="26">
        <f t="shared" si="360"/>
        <v>697.87353515625</v>
      </c>
      <c r="AB228" s="33">
        <f t="shared" si="345"/>
        <v>20.763179558367771</v>
      </c>
    </row>
    <row r="229" spans="1:28" x14ac:dyDescent="0.3">
      <c r="A229" s="34">
        <f>VLOOKUP(YEAR(C229),Flags!$A$13:$B$95,2,FALSE)</f>
        <v>3</v>
      </c>
      <c r="B229" s="35">
        <f t="shared" si="328"/>
        <v>1945</v>
      </c>
      <c r="C229" s="36">
        <v>16802</v>
      </c>
      <c r="D229" s="37"/>
      <c r="E229" s="35"/>
      <c r="F229" s="37"/>
      <c r="G229" s="37"/>
      <c r="H229" s="37"/>
      <c r="I229" s="37"/>
      <c r="J229" s="37"/>
      <c r="K229" s="37"/>
      <c r="L229" s="35"/>
      <c r="M229" s="35"/>
      <c r="N229" s="37"/>
      <c r="O229" s="37"/>
      <c r="P229" s="37"/>
      <c r="Q229" s="37"/>
      <c r="R229" s="37"/>
      <c r="S229" s="37"/>
      <c r="T229" s="37"/>
      <c r="U229" s="37"/>
      <c r="V229" s="37"/>
      <c r="W229" s="37">
        <f>MAX($C$11-VLOOKUP($C229,COS!$B$8:$H$991,3,FALSE),0)</f>
        <v>0</v>
      </c>
      <c r="X229" s="37">
        <f t="shared" si="347"/>
        <v>0</v>
      </c>
      <c r="Y229" s="37">
        <f>VLOOKUP($C229,COS!$B$8:$H$991,4,FALSE)</f>
        <v>0</v>
      </c>
      <c r="Z229" s="37">
        <f t="shared" si="348"/>
        <v>0</v>
      </c>
      <c r="AA229" s="37">
        <f t="shared" si="360"/>
        <v>0</v>
      </c>
      <c r="AB229" s="38">
        <f t="shared" si="345"/>
        <v>0</v>
      </c>
    </row>
    <row r="230" spans="1:28" x14ac:dyDescent="0.3">
      <c r="A230" s="27">
        <f>VLOOKUP(YEAR(C230),Flags!$A$13:$B$95,2,FALSE)</f>
        <v>2</v>
      </c>
      <c r="B230" s="28">
        <f t="shared" si="328"/>
        <v>1946</v>
      </c>
      <c r="C230" s="29">
        <v>16922</v>
      </c>
      <c r="D230" s="30">
        <f>VLOOKUP($C230,COS!$B$8:$H$991,3,FALSE)</f>
        <v>4076.084716796875</v>
      </c>
      <c r="E230" s="28">
        <f>IF(D230&gt;=IF(MONTH($C230)=4,$C$3,IF(MONTH($C230)=5,$C$4,IF(MONTH($C230)=6,$C$5,IF(MONTH($C230)=7,$C$6,"ERROR")))),1,0)</f>
        <v>0</v>
      </c>
      <c r="F230" s="30">
        <f>VLOOKUP($C230,COS!$B$8:$H$991,7,FALSE)</f>
        <v>48.838871002197266</v>
      </c>
      <c r="G230" s="28">
        <f>IF(F230&lt;=IF(MONTH($C230)=4,$F$3,IF(MONTH($C230)=5,$F$4,IF(MONTH($C230)=6,$F$5,IF(MONTH($C230)=7,$F$6,"ERROR")))),1,0)</f>
        <v>1</v>
      </c>
      <c r="H230" s="30">
        <f>IF(J230=1,D230-$C$3,0)</f>
        <v>0</v>
      </c>
      <c r="I230" s="30">
        <f t="shared" si="342"/>
        <v>0</v>
      </c>
      <c r="J230" s="28">
        <f t="shared" ref="J230:J233" si="363">IF(AND(E230=1,G230=1),1,0)</f>
        <v>0</v>
      </c>
      <c r="K230" s="30">
        <f>VLOOKUP($C230,COS!$B$8:$H$991,2,FALSE)</f>
        <v>4552</v>
      </c>
      <c r="L230" s="28">
        <f t="shared" ref="L230" si="364">IF(K230&lt;=IF(MONTH($C230)=4,$I$3,IF(MONTH($C230)=5,$I$4,IF(MONTH($C230)=6,$I$5,IF(MONTH($C230)=7,$I$6,"ERROR")))),1,0)</f>
        <v>1</v>
      </c>
      <c r="M230" s="28">
        <f t="shared" ref="M230" si="365">VLOOKUP($A230,$L$3:$M$7,2,FALSE)</f>
        <v>0</v>
      </c>
      <c r="N230" s="30">
        <f>VLOOKUP($C230,COS!$B$8:$H$991,5,FALSE)</f>
        <v>571.77276611328125</v>
      </c>
      <c r="O230" s="30">
        <f t="shared" ref="O230:O233" si="366">N230*DAY($C230)*86400/43560/1000</f>
        <v>34.022842281120866</v>
      </c>
      <c r="P230" s="30">
        <f>VLOOKUP($C230,COS!$B$8:$H$991,6,FALSE)</f>
        <v>546.8182373046875</v>
      </c>
      <c r="Q230" s="30">
        <f t="shared" ref="Q230:Q233" si="367">P230*DAY($C230)*86400/43560/1000</f>
        <v>32.537944699121901</v>
      </c>
      <c r="R230" s="30">
        <f>MIN(IF(MONTH($C230)=4,$S$3,IF(MONTH($C230)=5,$S$4,IF(MONTH($C230)=6,$S$5,IF(MONTH($C230)=7,$S$6,"ERROR")))),MAX(VLOOKUP($C230,COS!$B$8:$K$991,10,FALSE)-IF(MONTH($C230)=4,$Y$3,IF(MONTH($C230)=5,$Y$4,IF(MONTH($C230)=6,$Y$5,IF(MONTH($C230)=7,$Y$6,"ERROR")))),0),MAX(VLOOKUP($C230,COS!$B$8:$K$991,9,FALSE)-IF(MONTH($C230)=4,$V$3,IF(MONTH($C230)=5,$V$4,IF(MONTH($C230)=6,$V$5,IF(MONTH($C230)=7,$V$6,"ERROR"))))-VLOOKUP($C230,COS!$B$8:$K$991,6,FALSE)/2,0))</f>
        <v>750</v>
      </c>
      <c r="S230" s="30">
        <f t="shared" ref="S230:S233" si="368">R230*DAY($C230)*86400/43560/1000</f>
        <v>44.628099173553714</v>
      </c>
      <c r="T230" s="30">
        <f t="shared" ref="T230:T233" si="369">(O230+Q230)/2+S230</f>
        <v>77.908492663675105</v>
      </c>
      <c r="U230" s="30" t="str">
        <f>IF(VLOOKUP($C230,COS!$B$8:$I$991,8,FALSE)=1,"UWFE","IBU")</f>
        <v>UWFE</v>
      </c>
      <c r="V230" s="30">
        <f t="shared" ref="V230" si="370">MIN(IF(IF($AA$3=2,AND(E230=1,G230=1,L230=1,L235=1,M230=1,U230="IBU"),AND(E230=1,G230=1,L230=1,L235=1,M230=1)),T230,0),I230)</f>
        <v>0</v>
      </c>
      <c r="W230" s="30"/>
      <c r="X230" s="30"/>
      <c r="Y230" s="30"/>
      <c r="Z230" s="30"/>
      <c r="AA230" s="30"/>
      <c r="AB230" s="31"/>
    </row>
    <row r="231" spans="1:28" x14ac:dyDescent="0.3">
      <c r="A231" s="32">
        <f>VLOOKUP(YEAR(C231),Flags!$A$13:$B$95,2,FALSE)</f>
        <v>2</v>
      </c>
      <c r="B231" s="24">
        <f t="shared" si="328"/>
        <v>1946</v>
      </c>
      <c r="C231" s="25">
        <v>16953</v>
      </c>
      <c r="D231" s="26">
        <f>VLOOKUP($C231,COS!$B$8:$H$991,3,FALSE)</f>
        <v>7674.50244140625</v>
      </c>
      <c r="E231" s="24">
        <f>IF(D231&gt;=IF(MONTH($C231)=4,$C$3,IF(MONTH($C231)=5,$C$4,IF(MONTH($C231)=6,$C$5,IF(MONTH($C231)=7,$C$6,"ERROR")))),1,0)</f>
        <v>1</v>
      </c>
      <c r="F231" s="26">
        <f>VLOOKUP($C231,COS!$B$8:$H$991,7,FALSE)</f>
        <v>48.690444946289063</v>
      </c>
      <c r="G231" s="24">
        <f>IF(F231&lt;=IF(MONTH($C231)=4,$F$3,IF(MONTH($C231)=5,$F$4,IF(MONTH($C231)=6,$F$5,IF(MONTH($C231)=7,$F$6,"ERROR")))),1,0)</f>
        <v>1</v>
      </c>
      <c r="H231" s="26">
        <f>IF(J231=1,D231-$C$4,0)</f>
        <v>1674.50244140625</v>
      </c>
      <c r="I231" s="26">
        <f t="shared" si="342"/>
        <v>102.9611418517562</v>
      </c>
      <c r="J231" s="24">
        <f t="shared" si="363"/>
        <v>1</v>
      </c>
      <c r="K231" s="26">
        <f>VLOOKUP($C231,COS!$B$8:$H$991,2,FALSE)</f>
        <v>4470.89013671875</v>
      </c>
      <c r="L231" s="24">
        <f t="shared" si="333"/>
        <v>1</v>
      </c>
      <c r="M231" s="24">
        <f t="shared" si="334"/>
        <v>0</v>
      </c>
      <c r="N231" s="26">
        <f>VLOOKUP($C231,COS!$B$8:$H$991,5,FALSE)</f>
        <v>870.65301513671875</v>
      </c>
      <c r="O231" s="26">
        <f t="shared" si="366"/>
        <v>53.534367211712294</v>
      </c>
      <c r="P231" s="26">
        <f>VLOOKUP($C231,COS!$B$8:$H$991,6,FALSE)</f>
        <v>2245.033447265625</v>
      </c>
      <c r="Q231" s="26">
        <f t="shared" si="367"/>
        <v>138.04172601368802</v>
      </c>
      <c r="R231" s="26">
        <f>MIN(IF(MONTH($C231)=4,$S$3,IF(MONTH($C231)=5,$S$4,IF(MONTH($C231)=6,$S$5,IF(MONTH($C231)=7,$S$6,"ERROR")))),MAX(VLOOKUP($C231,COS!$B$8:$K$991,10,FALSE)-IF(MONTH($C231)=4,$Y$3,IF(MONTH($C231)=5,$Y$4,IF(MONTH($C231)=6,$Y$5,IF(MONTH($C231)=7,$Y$6,"ERROR")))),0),MAX(VLOOKUP($C231,COS!$B$8:$K$991,9,FALSE)-IF(MONTH($C231)=4,$V$3,IF(MONTH($C231)=5,$V$4,IF(MONTH($C231)=6,$V$5,IF(MONTH($C231)=7,$V$6,"ERROR"))))-VLOOKUP($C231,COS!$B$8:$K$991,6,FALSE)/2,0))</f>
        <v>750</v>
      </c>
      <c r="S231" s="26">
        <f t="shared" si="368"/>
        <v>46.115702479338843</v>
      </c>
      <c r="T231" s="26">
        <f t="shared" si="369"/>
        <v>141.90374909203899</v>
      </c>
      <c r="U231" s="26" t="str">
        <f>IF(VLOOKUP($C231,COS!$B$8:$I$991,8,FALSE)=1,"UWFE","IBU")</f>
        <v>UWFE</v>
      </c>
      <c r="V231" s="26">
        <f t="shared" ref="V231" si="371">MIN(IF(IF($AA$3=2,AND(E231=1,G231=1,L231=1,L235=1,M231=1,U231="IBU"),AND(E231=1,G231=1,L231=1,L235=1,M231=1)),T231,0),I231)</f>
        <v>0</v>
      </c>
      <c r="W231" s="26"/>
      <c r="X231" s="26"/>
      <c r="Y231" s="26"/>
      <c r="Z231" s="26"/>
      <c r="AA231" s="26"/>
      <c r="AB231" s="33"/>
    </row>
    <row r="232" spans="1:28" x14ac:dyDescent="0.3">
      <c r="A232" s="32">
        <f>VLOOKUP(YEAR(C232),Flags!$A$13:$B$95,2,FALSE)</f>
        <v>2</v>
      </c>
      <c r="B232" s="24">
        <f t="shared" si="328"/>
        <v>1946</v>
      </c>
      <c r="C232" s="25">
        <v>16983</v>
      </c>
      <c r="D232" s="26">
        <f>VLOOKUP($C232,COS!$B$8:$H$991,3,FALSE)</f>
        <v>10991.0703125</v>
      </c>
      <c r="E232" s="24">
        <f>IF(D232&gt;=IF(MONTH($C232)=4,$C$3,IF(MONTH($C232)=5,$C$4,IF(MONTH($C232)=6,$C$5,IF(MONTH($C232)=7,$C$6,"ERROR")))),1,0)</f>
        <v>1</v>
      </c>
      <c r="F232" s="26">
        <f>VLOOKUP($C232,COS!$B$8:$H$991,7,FALSE)</f>
        <v>49.001594543457031</v>
      </c>
      <c r="G232" s="24">
        <f>IF(F232&lt;=IF(MONTH($C232)=4,$F$3,IF(MONTH($C232)=5,$F$4,IF(MONTH($C232)=6,$F$5,IF(MONTH($C232)=7,$F$6,"ERROR")))),1,0)</f>
        <v>1</v>
      </c>
      <c r="H232" s="26">
        <f>IF(J232=1,D232-$C$5,0)</f>
        <v>991.0703125</v>
      </c>
      <c r="I232" s="26">
        <f t="shared" si="342"/>
        <v>58.972778925619835</v>
      </c>
      <c r="J232" s="24">
        <f t="shared" si="363"/>
        <v>1</v>
      </c>
      <c r="K232" s="26">
        <f>VLOOKUP($C232,COS!$B$8:$H$991,2,FALSE)</f>
        <v>4054.78515625</v>
      </c>
      <c r="L232" s="24">
        <f t="shared" si="333"/>
        <v>1</v>
      </c>
      <c r="M232" s="24">
        <f t="shared" si="334"/>
        <v>0</v>
      </c>
      <c r="N232" s="26">
        <f>VLOOKUP($C232,COS!$B$8:$H$991,5,FALSE)</f>
        <v>864.298095703125</v>
      </c>
      <c r="O232" s="26">
        <f t="shared" si="366"/>
        <v>51.42930817407025</v>
      </c>
      <c r="P232" s="26">
        <f>VLOOKUP($C232,COS!$B$8:$H$991,6,FALSE)</f>
        <v>2675.089599609375</v>
      </c>
      <c r="Q232" s="26">
        <f t="shared" si="367"/>
        <v>159.1788852660124</v>
      </c>
      <c r="R232" s="26">
        <f>MIN(IF(MONTH($C232)=4,$S$3,IF(MONTH($C232)=5,$S$4,IF(MONTH($C232)=6,$S$5,IF(MONTH($C232)=7,$S$6,"ERROR")))),MAX(VLOOKUP($C232,COS!$B$8:$K$991,10,FALSE)-IF(MONTH($C232)=4,$Y$3,IF(MONTH($C232)=5,$Y$4,IF(MONTH($C232)=6,$Y$5,IF(MONTH($C232)=7,$Y$6,"ERROR")))),0),MAX(VLOOKUP($C232,COS!$B$8:$K$991,9,FALSE)-IF(MONTH($C232)=4,$V$3,IF(MONTH($C232)=5,$V$4,IF(MONTH($C232)=6,$V$5,IF(MONTH($C232)=7,$V$6,"ERROR"))))-VLOOKUP($C232,COS!$B$8:$K$991,6,FALSE)/2,0))</f>
        <v>750</v>
      </c>
      <c r="S232" s="26">
        <f t="shared" si="368"/>
        <v>44.628099173553714</v>
      </c>
      <c r="T232" s="26">
        <f t="shared" si="369"/>
        <v>149.93219589359504</v>
      </c>
      <c r="U232" s="26" t="str">
        <f>IF(VLOOKUP($C232,COS!$B$8:$I$991,8,FALSE)=1,"UWFE","IBU")</f>
        <v>IBU</v>
      </c>
      <c r="V232" s="26">
        <f t="shared" ref="V232" si="372">MIN(IF(IF($AA$3=2,AND(E232=1,G232=1,L232=1,L235=1,M232=1,U232="IBU"),AND(E232=1,G232=1,L232=1,L235=1,M232=1)),T232,0),I232)</f>
        <v>0</v>
      </c>
      <c r="W232" s="26"/>
      <c r="X232" s="26"/>
      <c r="Y232" s="26"/>
      <c r="Z232" s="26"/>
      <c r="AA232" s="26"/>
      <c r="AB232" s="33"/>
    </row>
    <row r="233" spans="1:28" x14ac:dyDescent="0.3">
      <c r="A233" s="32">
        <f>VLOOKUP(YEAR(C233),Flags!$A$13:$B$95,2,FALSE)</f>
        <v>2</v>
      </c>
      <c r="B233" s="24">
        <f t="shared" si="328"/>
        <v>1946</v>
      </c>
      <c r="C233" s="25">
        <v>17014</v>
      </c>
      <c r="D233" s="26">
        <f>VLOOKUP($C233,COS!$B$8:$H$991,3,FALSE)</f>
        <v>16000</v>
      </c>
      <c r="E233" s="24">
        <f>IF(D233&gt;=IF(MONTH($C233)=4,$C$3,IF(MONTH($C233)=5,$C$4,IF(MONTH($C233)=6,$C$5,IF(MONTH($C233)=7,$C$6,"ERROR")))),1,0)</f>
        <v>1</v>
      </c>
      <c r="F233" s="26">
        <f>VLOOKUP($C233,COS!$B$8:$H$991,7,FALSE)</f>
        <v>49.493640899658203</v>
      </c>
      <c r="G233" s="24">
        <f>IF(F233&lt;=IF(MONTH($C233)=4,$F$3,IF(MONTH($C233)=5,$F$4,IF(MONTH($C233)=6,$F$5,IF(MONTH($C233)=7,$F$6,"ERROR")))),1,0)</f>
        <v>1</v>
      </c>
      <c r="H233" s="26">
        <f>IF(J233=1,D233-$C$6,0)</f>
        <v>4000</v>
      </c>
      <c r="I233" s="26">
        <f t="shared" si="342"/>
        <v>245.95041322314049</v>
      </c>
      <c r="J233" s="24">
        <f t="shared" si="363"/>
        <v>1</v>
      </c>
      <c r="K233" s="26">
        <f>VLOOKUP($C233,COS!$B$8:$H$991,2,FALSE)</f>
        <v>3315.635498046875</v>
      </c>
      <c r="L233" s="24">
        <f t="shared" si="333"/>
        <v>1</v>
      </c>
      <c r="M233" s="24">
        <f t="shared" si="334"/>
        <v>0</v>
      </c>
      <c r="N233" s="26">
        <f>VLOOKUP($C233,COS!$B$8:$H$991,5,FALSE)</f>
        <v>929.87835693359375</v>
      </c>
      <c r="O233" s="26">
        <f t="shared" si="366"/>
        <v>57.175991533768077</v>
      </c>
      <c r="P233" s="26">
        <f>VLOOKUP($C233,COS!$B$8:$H$991,6,FALSE)</f>
        <v>2527.75390625</v>
      </c>
      <c r="Q233" s="26">
        <f t="shared" si="367"/>
        <v>155.42552944214876</v>
      </c>
      <c r="R233" s="26">
        <f>MIN(IF(MONTH($C233)=4,$S$3,IF(MONTH($C233)=5,$S$4,IF(MONTH($C233)=6,$S$5,IF(MONTH($C233)=7,$S$6,"ERROR")))),MAX(VLOOKUP($C233,COS!$B$8:$K$991,10,FALSE)-IF(MONTH($C233)=4,$Y$3,IF(MONTH($C233)=5,$Y$4,IF(MONTH($C233)=6,$Y$5,IF(MONTH($C233)=7,$Y$6,"ERROR")))),0),MAX(VLOOKUP($C233,COS!$B$8:$K$991,9,FALSE)-IF(MONTH($C233)=4,$V$3,IF(MONTH($C233)=5,$V$4,IF(MONTH($C233)=6,$V$5,IF(MONTH($C233)=7,$V$6,"ERROR"))))-VLOOKUP($C233,COS!$B$8:$K$991,6,FALSE)/2,0))</f>
        <v>750</v>
      </c>
      <c r="S233" s="26">
        <f t="shared" si="368"/>
        <v>46.115702479338843</v>
      </c>
      <c r="T233" s="26">
        <f t="shared" si="369"/>
        <v>152.41646296729726</v>
      </c>
      <c r="U233" s="26" t="str">
        <f>IF(VLOOKUP($C233,COS!$B$8:$I$991,8,FALSE)=1,"UWFE","IBU")</f>
        <v>IBU</v>
      </c>
      <c r="V233" s="26">
        <f t="shared" ref="V233" si="373">MIN(IF(IF($AA$3=2,AND(E233=1,G233=1,L233=1,L235=1,M233=1,U233="IBU"),AND(E233=1,G233=1,L233=1,L235=1,M233=1)),T233,0),I233)</f>
        <v>0</v>
      </c>
      <c r="W233" s="26"/>
      <c r="X233" s="26"/>
      <c r="Y233" s="26"/>
      <c r="Z233" s="26"/>
      <c r="AA233" s="26"/>
      <c r="AB233" s="33"/>
    </row>
    <row r="234" spans="1:28" x14ac:dyDescent="0.3">
      <c r="A234" s="32">
        <f>VLOOKUP(YEAR(C234),Flags!$A$13:$B$95,2,FALSE)</f>
        <v>2</v>
      </c>
      <c r="B234" s="24">
        <f t="shared" si="328"/>
        <v>1946</v>
      </c>
      <c r="C234" s="25">
        <v>17045</v>
      </c>
      <c r="D234" s="26"/>
      <c r="E234" s="24"/>
      <c r="F234" s="26"/>
      <c r="G234" s="24"/>
      <c r="H234" s="24"/>
      <c r="I234" s="26"/>
      <c r="J234" s="24"/>
      <c r="K234" s="26"/>
      <c r="L234" s="24"/>
      <c r="M234" s="24"/>
      <c r="N234" s="26"/>
      <c r="O234" s="26"/>
      <c r="P234" s="26"/>
      <c r="Q234" s="26"/>
      <c r="R234" s="26"/>
      <c r="S234" s="26"/>
      <c r="T234" s="26"/>
      <c r="U234" s="26"/>
      <c r="V234" s="26"/>
      <c r="W234" s="26">
        <f>MAX($C$7-VLOOKUP($C234,COS!$B$8:$H$991,3,FALSE),0)</f>
        <v>88284.59765625</v>
      </c>
      <c r="X234" s="26">
        <f t="shared" si="347"/>
        <v>5428.4083186983471</v>
      </c>
      <c r="Y234" s="26">
        <f>VLOOKUP($C234,COS!$B$8:$H$991,4,FALSE)</f>
        <v>0</v>
      </c>
      <c r="Z234" s="26">
        <f t="shared" si="348"/>
        <v>0</v>
      </c>
      <c r="AA234" s="26">
        <f t="shared" ref="AA234:AA238" si="374">MIN(W234,Y234)</f>
        <v>0</v>
      </c>
      <c r="AB234" s="33">
        <f t="shared" ref="AB234" si="375">AA234*DAY($C234)*86400/43560/1000*IF(MONTH($C234)=8,$P$3,IF(MONTH($C234)=9,$P$4,IF(MONTH($C234)=10,$P$5,IF(MONTH($C234)=11,$P$6,IF(MONTH($C234)=12,$P$7,NA())))))</f>
        <v>0</v>
      </c>
    </row>
    <row r="235" spans="1:28" x14ac:dyDescent="0.3">
      <c r="A235" s="32">
        <f>VLOOKUP(YEAR(C235),Flags!$A$13:$B$95,2,FALSE)</f>
        <v>2</v>
      </c>
      <c r="B235" s="24">
        <f t="shared" si="328"/>
        <v>1946</v>
      </c>
      <c r="C235" s="25">
        <v>17075</v>
      </c>
      <c r="D235" s="26"/>
      <c r="E235" s="24"/>
      <c r="F235" s="26"/>
      <c r="G235" s="24"/>
      <c r="H235" s="24"/>
      <c r="I235" s="26"/>
      <c r="J235" s="24"/>
      <c r="K235" s="26">
        <f>VLOOKUP($C235,COS!$B$8:$H$991,2,FALSE)</f>
        <v>2524.6171875</v>
      </c>
      <c r="L235" s="24">
        <f t="shared" ref="L235" si="376">IF(AND(K235&gt;$I$7,K235&lt;$I$8),1,0)</f>
        <v>1</v>
      </c>
      <c r="M235" s="24"/>
      <c r="N235" s="26"/>
      <c r="O235" s="26"/>
      <c r="P235" s="26"/>
      <c r="Q235" s="26"/>
      <c r="R235" s="26"/>
      <c r="S235" s="26"/>
      <c r="T235" s="26"/>
      <c r="U235" s="26"/>
      <c r="V235" s="26"/>
      <c r="W235" s="26">
        <f>MAX($C$8-VLOOKUP($C235,COS!$B$8:$H$991,3,FALSE),0)</f>
        <v>88618.8271484375</v>
      </c>
      <c r="X235" s="26">
        <f t="shared" si="347"/>
        <v>5273.1864088326447</v>
      </c>
      <c r="Y235" s="26">
        <f>VLOOKUP($C235,COS!$B$8:$H$991,4,FALSE)</f>
        <v>0</v>
      </c>
      <c r="Z235" s="26">
        <f t="shared" si="348"/>
        <v>0</v>
      </c>
      <c r="AA235" s="26">
        <f t="shared" si="374"/>
        <v>0</v>
      </c>
      <c r="AB235" s="33">
        <f t="shared" si="345"/>
        <v>0</v>
      </c>
    </row>
    <row r="236" spans="1:28" x14ac:dyDescent="0.3">
      <c r="A236" s="32">
        <f>VLOOKUP(YEAR(C236),Flags!$A$13:$B$95,2,FALSE)</f>
        <v>2</v>
      </c>
      <c r="B236" s="24">
        <f t="shared" si="328"/>
        <v>1946</v>
      </c>
      <c r="C236" s="25">
        <v>17106</v>
      </c>
      <c r="D236" s="26"/>
      <c r="E236" s="24"/>
      <c r="F236" s="26"/>
      <c r="G236" s="26"/>
      <c r="H236" s="26"/>
      <c r="I236" s="26"/>
      <c r="J236" s="26"/>
      <c r="K236" s="26"/>
      <c r="L236" s="24"/>
      <c r="M236" s="24"/>
      <c r="N236" s="26"/>
      <c r="O236" s="26"/>
      <c r="P236" s="26"/>
      <c r="Q236" s="26"/>
      <c r="R236" s="26"/>
      <c r="S236" s="26"/>
      <c r="T236" s="26"/>
      <c r="U236" s="26"/>
      <c r="V236" s="26"/>
      <c r="W236" s="26">
        <f>MAX($C$9-VLOOKUP($C236,COS!$B$8:$H$991,3,FALSE),0)</f>
        <v>91926.40234375</v>
      </c>
      <c r="X236" s="26">
        <f t="shared" si="347"/>
        <v>5652.3341606404956</v>
      </c>
      <c r="Y236" s="26">
        <f>VLOOKUP($C236,COS!$B$8:$H$991,4,FALSE)</f>
        <v>1148.6480712890625</v>
      </c>
      <c r="Z236" s="26">
        <f t="shared" si="348"/>
        <v>70.627616945377071</v>
      </c>
      <c r="AA236" s="26">
        <f t="shared" si="374"/>
        <v>1148.6480712890625</v>
      </c>
      <c r="AB236" s="33">
        <f t="shared" si="345"/>
        <v>70.627616945377071</v>
      </c>
    </row>
    <row r="237" spans="1:28" x14ac:dyDescent="0.3">
      <c r="A237" s="32">
        <f>VLOOKUP(YEAR(C237),Flags!$A$13:$B$95,2,FALSE)</f>
        <v>2</v>
      </c>
      <c r="B237" s="24">
        <f t="shared" si="328"/>
        <v>1946</v>
      </c>
      <c r="C237" s="25">
        <v>17136</v>
      </c>
      <c r="D237" s="26"/>
      <c r="E237" s="24"/>
      <c r="F237" s="26"/>
      <c r="G237" s="26"/>
      <c r="H237" s="26"/>
      <c r="I237" s="26"/>
      <c r="J237" s="26"/>
      <c r="K237" s="26"/>
      <c r="L237" s="24"/>
      <c r="M237" s="24"/>
      <c r="N237" s="26"/>
      <c r="O237" s="26"/>
      <c r="P237" s="26"/>
      <c r="Q237" s="26"/>
      <c r="R237" s="26"/>
      <c r="S237" s="26"/>
      <c r="T237" s="26"/>
      <c r="U237" s="26"/>
      <c r="V237" s="26"/>
      <c r="W237" s="26">
        <f>MAX($C$10-VLOOKUP($C237,COS!$B$8:$H$991,3,FALSE),0)</f>
        <v>91705.3271484375</v>
      </c>
      <c r="X237" s="26">
        <f t="shared" si="347"/>
        <v>5456.8459129648754</v>
      </c>
      <c r="Y237" s="26">
        <f>VLOOKUP($C237,COS!$B$8:$H$991,4,FALSE)</f>
        <v>1644.781982421875</v>
      </c>
      <c r="Z237" s="26">
        <f t="shared" si="348"/>
        <v>97.871324573863632</v>
      </c>
      <c r="AA237" s="26">
        <f t="shared" si="374"/>
        <v>1644.781982421875</v>
      </c>
      <c r="AB237" s="33">
        <f t="shared" si="345"/>
        <v>48.935662286931816</v>
      </c>
    </row>
    <row r="238" spans="1:28" x14ac:dyDescent="0.3">
      <c r="A238" s="34">
        <f>VLOOKUP(YEAR(C238),Flags!$A$13:$B$95,2,FALSE)</f>
        <v>2</v>
      </c>
      <c r="B238" s="35">
        <f t="shared" si="328"/>
        <v>1946</v>
      </c>
      <c r="C238" s="36">
        <v>17167</v>
      </c>
      <c r="D238" s="37"/>
      <c r="E238" s="35"/>
      <c r="F238" s="37"/>
      <c r="G238" s="37"/>
      <c r="H238" s="37"/>
      <c r="I238" s="37"/>
      <c r="J238" s="37"/>
      <c r="K238" s="37"/>
      <c r="L238" s="35"/>
      <c r="M238" s="35"/>
      <c r="N238" s="37"/>
      <c r="O238" s="37"/>
      <c r="P238" s="37"/>
      <c r="Q238" s="37"/>
      <c r="R238" s="37"/>
      <c r="S238" s="37"/>
      <c r="T238" s="37"/>
      <c r="U238" s="37"/>
      <c r="V238" s="37"/>
      <c r="W238" s="37">
        <f>MAX($C$11-VLOOKUP($C238,COS!$B$8:$H$991,3,FALSE),0)</f>
        <v>0</v>
      </c>
      <c r="X238" s="37">
        <f t="shared" si="347"/>
        <v>0</v>
      </c>
      <c r="Y238" s="37">
        <f>VLOOKUP($C238,COS!$B$8:$H$991,4,FALSE)</f>
        <v>0</v>
      </c>
      <c r="Z238" s="37">
        <f t="shared" si="348"/>
        <v>0</v>
      </c>
      <c r="AA238" s="37">
        <f t="shared" si="374"/>
        <v>0</v>
      </c>
      <c r="AB238" s="38">
        <f t="shared" si="345"/>
        <v>0</v>
      </c>
    </row>
    <row r="239" spans="1:28" x14ac:dyDescent="0.3">
      <c r="A239" s="27">
        <f>VLOOKUP(YEAR(C239),Flags!$A$13:$B$95,2,FALSE)</f>
        <v>4</v>
      </c>
      <c r="B239" s="28">
        <f t="shared" si="328"/>
        <v>1947</v>
      </c>
      <c r="C239" s="29">
        <v>17287</v>
      </c>
      <c r="D239" s="30">
        <f>VLOOKUP($C239,COS!$B$8:$H$991,3,FALSE)</f>
        <v>3250</v>
      </c>
      <c r="E239" s="28">
        <f>IF(D239&gt;=IF(MONTH($C239)=4,$C$3,IF(MONTH($C239)=5,$C$4,IF(MONTH($C239)=6,$C$5,IF(MONTH($C239)=7,$C$6,"ERROR")))),1,0)</f>
        <v>0</v>
      </c>
      <c r="F239" s="30">
        <f>VLOOKUP($C239,COS!$B$8:$H$991,7,FALSE)</f>
        <v>51.992382049560547</v>
      </c>
      <c r="G239" s="28">
        <f>IF(F239&lt;=IF(MONTH($C239)=4,$F$3,IF(MONTH($C239)=5,$F$4,IF(MONTH($C239)=6,$F$5,IF(MONTH($C239)=7,$F$6,"ERROR")))),1,0)</f>
        <v>1</v>
      </c>
      <c r="H239" s="30">
        <f>IF(J239=1,D239-$C$3,0)</f>
        <v>0</v>
      </c>
      <c r="I239" s="30">
        <f t="shared" si="342"/>
        <v>0</v>
      </c>
      <c r="J239" s="28">
        <f t="shared" ref="J239:J242" si="377">IF(AND(E239=1,G239=1),1,0)</f>
        <v>0</v>
      </c>
      <c r="K239" s="30">
        <f>VLOOKUP($C239,COS!$B$8:$H$991,2,FALSE)</f>
        <v>3389.9931640625</v>
      </c>
      <c r="L239" s="28">
        <f t="shared" ref="L239" si="378">IF(K239&lt;=IF(MONTH($C239)=4,$I$3,IF(MONTH($C239)=5,$I$4,IF(MONTH($C239)=6,$I$5,IF(MONTH($C239)=7,$I$6,"ERROR")))),1,0)</f>
        <v>1</v>
      </c>
      <c r="M239" s="28">
        <f t="shared" ref="M239" si="379">VLOOKUP($A239,$L$3:$M$7,2,FALSE)</f>
        <v>1</v>
      </c>
      <c r="N239" s="30">
        <f>VLOOKUP($C239,COS!$B$8:$H$991,5,FALSE)</f>
        <v>210.8018798828125</v>
      </c>
      <c r="O239" s="30">
        <f t="shared" ref="O239:O242" si="380">N239*DAY($C239)*86400/43560/1000</f>
        <v>12.543582935175619</v>
      </c>
      <c r="P239" s="30">
        <f>VLOOKUP($C239,COS!$B$8:$H$991,6,FALSE)</f>
        <v>467.46041870117188</v>
      </c>
      <c r="Q239" s="30">
        <f t="shared" ref="Q239:Q242" si="381">P239*DAY($C239)*86400/43560/1000</f>
        <v>27.815826567342459</v>
      </c>
      <c r="R239" s="30">
        <f>MIN(IF(MONTH($C239)=4,$S$3,IF(MONTH($C239)=5,$S$4,IF(MONTH($C239)=6,$S$5,IF(MONTH($C239)=7,$S$6,"ERROR")))),MAX(VLOOKUP($C239,COS!$B$8:$K$991,10,FALSE)-IF(MONTH($C239)=4,$Y$3,IF(MONTH($C239)=5,$Y$4,IF(MONTH($C239)=6,$Y$5,IF(MONTH($C239)=7,$Y$6,"ERROR")))),0),MAX(VLOOKUP($C239,COS!$B$8:$K$991,9,FALSE)-IF(MONTH($C239)=4,$V$3,IF(MONTH($C239)=5,$V$4,IF(MONTH($C239)=6,$V$5,IF(MONTH($C239)=7,$V$6,"ERROR"))))-VLOOKUP($C239,COS!$B$8:$K$991,6,FALSE)/2,0))</f>
        <v>750</v>
      </c>
      <c r="S239" s="30">
        <f t="shared" ref="S239:S242" si="382">R239*DAY($C239)*86400/43560/1000</f>
        <v>44.628099173553714</v>
      </c>
      <c r="T239" s="30">
        <f t="shared" ref="T239:T242" si="383">(O239+Q239)/2+S239</f>
        <v>64.80780392481276</v>
      </c>
      <c r="U239" s="30" t="str">
        <f>IF(VLOOKUP($C239,COS!$B$8:$I$991,8,FALSE)=1,"UWFE","IBU")</f>
        <v>UWFE</v>
      </c>
      <c r="V239" s="30">
        <f t="shared" ref="V239" si="384">MIN(IF(IF($AA$3=2,AND(E239=1,G239=1,L239=1,L244=1,M239=1,U239="IBU"),AND(E239=1,G239=1,L239=1,L244=1,M239=1)),T239,0),I239)</f>
        <v>0</v>
      </c>
      <c r="W239" s="30"/>
      <c r="X239" s="30"/>
      <c r="Y239" s="30"/>
      <c r="Z239" s="30"/>
      <c r="AA239" s="30"/>
      <c r="AB239" s="31"/>
    </row>
    <row r="240" spans="1:28" x14ac:dyDescent="0.3">
      <c r="A240" s="32">
        <f>VLOOKUP(YEAR(C240),Flags!$A$13:$B$95,2,FALSE)</f>
        <v>4</v>
      </c>
      <c r="B240" s="24">
        <f t="shared" si="328"/>
        <v>1947</v>
      </c>
      <c r="C240" s="25">
        <v>17318</v>
      </c>
      <c r="D240" s="26">
        <f>VLOOKUP($C240,COS!$B$8:$H$991,3,FALSE)</f>
        <v>8656.3466796875</v>
      </c>
      <c r="E240" s="24">
        <f>IF(D240&gt;=IF(MONTH($C240)=4,$C$3,IF(MONTH($C240)=5,$C$4,IF(MONTH($C240)=6,$C$5,IF(MONTH($C240)=7,$C$6,"ERROR")))),1,0)</f>
        <v>1</v>
      </c>
      <c r="F240" s="26">
        <f>VLOOKUP($C240,COS!$B$8:$H$991,7,FALSE)</f>
        <v>50.687347412109375</v>
      </c>
      <c r="G240" s="24">
        <f>IF(F240&lt;=IF(MONTH($C240)=4,$F$3,IF(MONTH($C240)=5,$F$4,IF(MONTH($C240)=6,$F$5,IF(MONTH($C240)=7,$F$6,"ERROR")))),1,0)</f>
        <v>1</v>
      </c>
      <c r="H240" s="26">
        <f>IF(J240=1,D240-$C$4,0)</f>
        <v>2656.3466796875</v>
      </c>
      <c r="I240" s="26">
        <f t="shared" si="342"/>
        <v>163.33239088326445</v>
      </c>
      <c r="J240" s="24">
        <f t="shared" si="377"/>
        <v>1</v>
      </c>
      <c r="K240" s="26">
        <f>VLOOKUP($C240,COS!$B$8:$H$991,2,FALSE)</f>
        <v>3099.48974609375</v>
      </c>
      <c r="L240" s="24">
        <f t="shared" si="333"/>
        <v>1</v>
      </c>
      <c r="M240" s="24">
        <f t="shared" si="334"/>
        <v>1</v>
      </c>
      <c r="N240" s="26">
        <f>VLOOKUP($C240,COS!$B$8:$H$991,5,FALSE)</f>
        <v>304.60684204101563</v>
      </c>
      <c r="O240" s="26">
        <f t="shared" si="380"/>
        <v>18.729544667645918</v>
      </c>
      <c r="P240" s="26">
        <f>VLOOKUP($C240,COS!$B$8:$H$991,6,FALSE)</f>
        <v>2205.62353515625</v>
      </c>
      <c r="Q240" s="26">
        <f t="shared" si="381"/>
        <v>135.61850497159091</v>
      </c>
      <c r="R240" s="26">
        <f>MIN(IF(MONTH($C240)=4,$S$3,IF(MONTH($C240)=5,$S$4,IF(MONTH($C240)=6,$S$5,IF(MONTH($C240)=7,$S$6,"ERROR")))),MAX(VLOOKUP($C240,COS!$B$8:$K$991,10,FALSE)-IF(MONTH($C240)=4,$Y$3,IF(MONTH($C240)=5,$Y$4,IF(MONTH($C240)=6,$Y$5,IF(MONTH($C240)=7,$Y$6,"ERROR")))),0),MAX(VLOOKUP($C240,COS!$B$8:$K$991,9,FALSE)-IF(MONTH($C240)=4,$V$3,IF(MONTH($C240)=5,$V$4,IF(MONTH($C240)=6,$V$5,IF(MONTH($C240)=7,$V$6,"ERROR"))))-VLOOKUP($C240,COS!$B$8:$K$991,6,FALSE)/2,0))</f>
        <v>750</v>
      </c>
      <c r="S240" s="26">
        <f t="shared" si="382"/>
        <v>46.115702479338843</v>
      </c>
      <c r="T240" s="26">
        <f t="shared" si="383"/>
        <v>123.28972729895725</v>
      </c>
      <c r="U240" s="26" t="str">
        <f>IF(VLOOKUP($C240,COS!$B$8:$I$991,8,FALSE)=1,"UWFE","IBU")</f>
        <v>IBU</v>
      </c>
      <c r="V240" s="26">
        <f t="shared" ref="V240" si="385">MIN(IF(IF($AA$3=2,AND(E240=1,G240=1,L240=1,L244=1,M240=1,U240="IBU"),AND(E240=1,G240=1,L240=1,L244=1,M240=1)),T240,0),I240)</f>
        <v>123.28972729895725</v>
      </c>
      <c r="W240" s="26"/>
      <c r="X240" s="26"/>
      <c r="Y240" s="26"/>
      <c r="Z240" s="26"/>
      <c r="AA240" s="26"/>
      <c r="AB240" s="33"/>
    </row>
    <row r="241" spans="1:28" x14ac:dyDescent="0.3">
      <c r="A241" s="32">
        <f>VLOOKUP(YEAR(C241),Flags!$A$13:$B$95,2,FALSE)</f>
        <v>4</v>
      </c>
      <c r="B241" s="24">
        <f t="shared" si="328"/>
        <v>1947</v>
      </c>
      <c r="C241" s="25">
        <v>17348</v>
      </c>
      <c r="D241" s="26">
        <f>VLOOKUP($C241,COS!$B$8:$H$991,3,FALSE)</f>
        <v>10092.3349609375</v>
      </c>
      <c r="E241" s="24">
        <f>IF(D241&gt;=IF(MONTH($C241)=4,$C$3,IF(MONTH($C241)=5,$C$4,IF(MONTH($C241)=6,$C$5,IF(MONTH($C241)=7,$C$6,"ERROR")))),1,0)</f>
        <v>1</v>
      </c>
      <c r="F241" s="26">
        <f>VLOOKUP($C241,COS!$B$8:$H$991,7,FALSE)</f>
        <v>51.895301818847656</v>
      </c>
      <c r="G241" s="24">
        <f>IF(F241&lt;=IF(MONTH($C241)=4,$F$3,IF(MONTH($C241)=5,$F$4,IF(MONTH($C241)=6,$F$5,IF(MONTH($C241)=7,$F$6,"ERROR")))),1,0)</f>
        <v>1</v>
      </c>
      <c r="H241" s="26">
        <f>IF(J241=1,D241-$C$5,0)</f>
        <v>92.3349609375</v>
      </c>
      <c r="I241" s="26">
        <f t="shared" si="342"/>
        <v>5.4943117252066109</v>
      </c>
      <c r="J241" s="24">
        <f t="shared" si="377"/>
        <v>1</v>
      </c>
      <c r="K241" s="26">
        <f>VLOOKUP($C241,COS!$B$8:$H$991,2,FALSE)</f>
        <v>2880.829833984375</v>
      </c>
      <c r="L241" s="24">
        <f t="shared" si="333"/>
        <v>1</v>
      </c>
      <c r="M241" s="24">
        <f t="shared" si="334"/>
        <v>1</v>
      </c>
      <c r="N241" s="26">
        <f>VLOOKUP($C241,COS!$B$8:$H$991,5,FALSE)</f>
        <v>355.63311767578125</v>
      </c>
      <c r="O241" s="26">
        <f t="shared" si="380"/>
        <v>21.161640060046487</v>
      </c>
      <c r="P241" s="26">
        <f>VLOOKUP($C241,COS!$B$8:$H$991,6,FALSE)</f>
        <v>2534.749267578125</v>
      </c>
      <c r="Q241" s="26">
        <f t="shared" si="381"/>
        <v>150.82805559142562</v>
      </c>
      <c r="R241" s="26">
        <f>MIN(IF(MONTH($C241)=4,$S$3,IF(MONTH($C241)=5,$S$4,IF(MONTH($C241)=6,$S$5,IF(MONTH($C241)=7,$S$6,"ERROR")))),MAX(VLOOKUP($C241,COS!$B$8:$K$991,10,FALSE)-IF(MONTH($C241)=4,$Y$3,IF(MONTH($C241)=5,$Y$4,IF(MONTH($C241)=6,$Y$5,IF(MONTH($C241)=7,$Y$6,"ERROR")))),0),MAX(VLOOKUP($C241,COS!$B$8:$K$991,9,FALSE)-IF(MONTH($C241)=4,$V$3,IF(MONTH($C241)=5,$V$4,IF(MONTH($C241)=6,$V$5,IF(MONTH($C241)=7,$V$6,"ERROR"))))-VLOOKUP($C241,COS!$B$8:$K$991,6,FALSE)/2,0))</f>
        <v>750</v>
      </c>
      <c r="S241" s="26">
        <f t="shared" si="382"/>
        <v>44.628099173553714</v>
      </c>
      <c r="T241" s="26">
        <f t="shared" si="383"/>
        <v>130.62294699928978</v>
      </c>
      <c r="U241" s="26" t="str">
        <f>IF(VLOOKUP($C241,COS!$B$8:$I$991,8,FALSE)=1,"UWFE","IBU")</f>
        <v>IBU</v>
      </c>
      <c r="V241" s="26">
        <f t="shared" ref="V241" si="386">MIN(IF(IF($AA$3=2,AND(E241=1,G241=1,L241=1,L244=1,M241=1,U241="IBU"),AND(E241=1,G241=1,L241=1,L244=1,M241=1)),T241,0),I241)</f>
        <v>5.4943117252066109</v>
      </c>
      <c r="W241" s="26"/>
      <c r="X241" s="26"/>
      <c r="Y241" s="26"/>
      <c r="Z241" s="26"/>
      <c r="AA241" s="26"/>
      <c r="AB241" s="33"/>
    </row>
    <row r="242" spans="1:28" x14ac:dyDescent="0.3">
      <c r="A242" s="32">
        <f>VLOOKUP(YEAR(C242),Flags!$A$13:$B$95,2,FALSE)</f>
        <v>4</v>
      </c>
      <c r="B242" s="24">
        <f t="shared" si="328"/>
        <v>1947</v>
      </c>
      <c r="C242" s="25">
        <v>17379</v>
      </c>
      <c r="D242" s="26">
        <f>VLOOKUP($C242,COS!$B$8:$H$991,3,FALSE)</f>
        <v>13768.3623046875</v>
      </c>
      <c r="E242" s="24">
        <f>IF(D242&gt;=IF(MONTH($C242)=4,$C$3,IF(MONTH($C242)=5,$C$4,IF(MONTH($C242)=6,$C$5,IF(MONTH($C242)=7,$C$6,"ERROR")))),1,0)</f>
        <v>1</v>
      </c>
      <c r="F242" s="26">
        <f>VLOOKUP($C242,COS!$B$8:$H$991,7,FALSE)</f>
        <v>53.452518463134766</v>
      </c>
      <c r="G242" s="24">
        <f>IF(F242&lt;=IF(MONTH($C242)=4,$F$3,IF(MONTH($C242)=5,$F$4,IF(MONTH($C242)=6,$F$5,IF(MONTH($C242)=7,$F$6,"ERROR")))),1,0)</f>
        <v>1</v>
      </c>
      <c r="H242" s="26">
        <f>IF(J242=1,D242-$C$6,0)</f>
        <v>1768.3623046875</v>
      </c>
      <c r="I242" s="26">
        <f t="shared" si="342"/>
        <v>108.73235989152892</v>
      </c>
      <c r="J242" s="24">
        <f t="shared" si="377"/>
        <v>1</v>
      </c>
      <c r="K242" s="26">
        <f>VLOOKUP($C242,COS!$B$8:$H$991,2,FALSE)</f>
        <v>2415.119140625</v>
      </c>
      <c r="L242" s="24">
        <f t="shared" si="333"/>
        <v>1</v>
      </c>
      <c r="M242" s="24">
        <f t="shared" si="334"/>
        <v>1</v>
      </c>
      <c r="N242" s="26">
        <f>VLOOKUP($C242,COS!$B$8:$H$991,5,FALSE)</f>
        <v>438.732666015625</v>
      </c>
      <c r="O242" s="26">
        <f t="shared" si="380"/>
        <v>26.976620125258265</v>
      </c>
      <c r="P242" s="26">
        <f>VLOOKUP($C242,COS!$B$8:$H$991,6,FALSE)</f>
        <v>2538.07568359375</v>
      </c>
      <c r="Q242" s="26">
        <f t="shared" si="381"/>
        <v>156.06019079287191</v>
      </c>
      <c r="R242" s="26">
        <f>MIN(IF(MONTH($C242)=4,$S$3,IF(MONTH($C242)=5,$S$4,IF(MONTH($C242)=6,$S$5,IF(MONTH($C242)=7,$S$6,"ERROR")))),MAX(VLOOKUP($C242,COS!$B$8:$K$991,10,FALSE)-IF(MONTH($C242)=4,$Y$3,IF(MONTH($C242)=5,$Y$4,IF(MONTH($C242)=6,$Y$5,IF(MONTH($C242)=7,$Y$6,"ERROR")))),0),MAX(VLOOKUP($C242,COS!$B$8:$K$991,9,FALSE)-IF(MONTH($C242)=4,$V$3,IF(MONTH($C242)=5,$V$4,IF(MONTH($C242)=6,$V$5,IF(MONTH($C242)=7,$V$6,"ERROR"))))-VLOOKUP($C242,COS!$B$8:$K$991,6,FALSE)/2,0))</f>
        <v>750</v>
      </c>
      <c r="S242" s="26">
        <f t="shared" si="382"/>
        <v>46.115702479338843</v>
      </c>
      <c r="T242" s="26">
        <f t="shared" si="383"/>
        <v>137.63410793840393</v>
      </c>
      <c r="U242" s="26" t="str">
        <f>IF(VLOOKUP($C242,COS!$B$8:$I$991,8,FALSE)=1,"UWFE","IBU")</f>
        <v>IBU</v>
      </c>
      <c r="V242" s="26">
        <f t="shared" ref="V242" si="387">MIN(IF(IF($AA$3=2,AND(E242=1,G242=1,L242=1,L244=1,M242=1,U242="IBU"),AND(E242=1,G242=1,L242=1,L244=1,M242=1)),T242,0),I242)</f>
        <v>108.73235989152892</v>
      </c>
      <c r="W242" s="26"/>
      <c r="X242" s="26"/>
      <c r="Y242" s="26"/>
      <c r="Z242" s="26"/>
      <c r="AA242" s="26"/>
      <c r="AB242" s="33"/>
    </row>
    <row r="243" spans="1:28" x14ac:dyDescent="0.3">
      <c r="A243" s="32">
        <f>VLOOKUP(YEAR(C243),Flags!$A$13:$B$95,2,FALSE)</f>
        <v>4</v>
      </c>
      <c r="B243" s="24">
        <f t="shared" si="328"/>
        <v>1947</v>
      </c>
      <c r="C243" s="25">
        <v>17410</v>
      </c>
      <c r="D243" s="26"/>
      <c r="E243" s="24"/>
      <c r="F243" s="26"/>
      <c r="G243" s="24"/>
      <c r="H243" s="24"/>
      <c r="I243" s="26"/>
      <c r="J243" s="24"/>
      <c r="K243" s="26"/>
      <c r="L243" s="24"/>
      <c r="M243" s="24"/>
      <c r="N243" s="26"/>
      <c r="O243" s="26"/>
      <c r="P243" s="26"/>
      <c r="Q243" s="26"/>
      <c r="R243" s="26"/>
      <c r="S243" s="26"/>
      <c r="T243" s="26"/>
      <c r="U243" s="26"/>
      <c r="V243" s="26"/>
      <c r="W243" s="26">
        <f>MAX($C$7-VLOOKUP($C243,COS!$B$8:$H$991,3,FALSE),0)</f>
        <v>90847.5517578125</v>
      </c>
      <c r="X243" s="26">
        <f t="shared" si="347"/>
        <v>5585.9982237861568</v>
      </c>
      <c r="Y243" s="26">
        <f>VLOOKUP($C243,COS!$B$8:$H$991,4,FALSE)</f>
        <v>1509.713623046875</v>
      </c>
      <c r="Z243" s="26">
        <f t="shared" si="348"/>
        <v>92.828672359245871</v>
      </c>
      <c r="AA243" s="26">
        <f t="shared" ref="AA243:AA247" si="388">MIN(W243,Y243)</f>
        <v>1509.713623046875</v>
      </c>
      <c r="AB243" s="33">
        <f t="shared" ref="AB243" si="389">AA243*DAY($C243)*86400/43560/1000*IF(MONTH($C243)=8,$P$3,IF(MONTH($C243)=9,$P$4,IF(MONTH($C243)=10,$P$5,IF(MONTH($C243)=11,$P$6,IF(MONTH($C243)=12,$P$7,NA())))))</f>
        <v>92.828672359245871</v>
      </c>
    </row>
    <row r="244" spans="1:28" x14ac:dyDescent="0.3">
      <c r="A244" s="32">
        <f>VLOOKUP(YEAR(C244),Flags!$A$13:$B$95,2,FALSE)</f>
        <v>4</v>
      </c>
      <c r="B244" s="24">
        <f t="shared" si="328"/>
        <v>1947</v>
      </c>
      <c r="C244" s="25">
        <v>17440</v>
      </c>
      <c r="D244" s="26"/>
      <c r="E244" s="24"/>
      <c r="F244" s="26"/>
      <c r="G244" s="24"/>
      <c r="H244" s="24"/>
      <c r="I244" s="26"/>
      <c r="J244" s="24"/>
      <c r="K244" s="26">
        <f>VLOOKUP($C244,COS!$B$8:$H$991,2,FALSE)</f>
        <v>1968.9127197265625</v>
      </c>
      <c r="L244" s="24">
        <f t="shared" ref="L244" si="390">IF(AND(K244&gt;$I$7,K244&lt;$I$8),1,0)</f>
        <v>1</v>
      </c>
      <c r="M244" s="24"/>
      <c r="N244" s="26"/>
      <c r="O244" s="26"/>
      <c r="P244" s="26"/>
      <c r="Q244" s="26"/>
      <c r="R244" s="26"/>
      <c r="S244" s="26"/>
      <c r="T244" s="26"/>
      <c r="U244" s="26"/>
      <c r="V244" s="26"/>
      <c r="W244" s="26">
        <f>MAX($C$8-VLOOKUP($C244,COS!$B$8:$H$991,3,FALSE),0)</f>
        <v>94272.12744140625</v>
      </c>
      <c r="X244" s="26">
        <f t="shared" si="347"/>
        <v>5609.5811370092979</v>
      </c>
      <c r="Y244" s="26">
        <f>VLOOKUP($C244,COS!$B$8:$H$991,4,FALSE)</f>
        <v>1350.30224609375</v>
      </c>
      <c r="Z244" s="26">
        <f t="shared" si="348"/>
        <v>80.348563403925624</v>
      </c>
      <c r="AA244" s="26">
        <f t="shared" si="388"/>
        <v>1350.30224609375</v>
      </c>
      <c r="AB244" s="33">
        <f t="shared" si="345"/>
        <v>80.348563403925624</v>
      </c>
    </row>
    <row r="245" spans="1:28" x14ac:dyDescent="0.3">
      <c r="A245" s="32">
        <f>VLOOKUP(YEAR(C245),Flags!$A$13:$B$95,2,FALSE)</f>
        <v>4</v>
      </c>
      <c r="B245" s="24">
        <f t="shared" si="328"/>
        <v>1947</v>
      </c>
      <c r="C245" s="25">
        <v>17471</v>
      </c>
      <c r="D245" s="26"/>
      <c r="E245" s="24"/>
      <c r="F245" s="26"/>
      <c r="G245" s="26"/>
      <c r="H245" s="26"/>
      <c r="I245" s="26"/>
      <c r="J245" s="26"/>
      <c r="K245" s="26"/>
      <c r="L245" s="24"/>
      <c r="M245" s="24"/>
      <c r="N245" s="26"/>
      <c r="O245" s="26"/>
      <c r="P245" s="26"/>
      <c r="Q245" s="26"/>
      <c r="R245" s="26"/>
      <c r="S245" s="26"/>
      <c r="T245" s="26"/>
      <c r="U245" s="26"/>
      <c r="V245" s="26"/>
      <c r="W245" s="26">
        <f>MAX($C$9-VLOOKUP($C245,COS!$B$8:$H$991,3,FALSE),0)</f>
        <v>96632.93359375</v>
      </c>
      <c r="X245" s="26">
        <f t="shared" si="347"/>
        <v>5941.7274870867768</v>
      </c>
      <c r="Y245" s="26">
        <f>VLOOKUP($C245,COS!$B$8:$H$991,4,FALSE)</f>
        <v>1046.6112060546875</v>
      </c>
      <c r="Z245" s="26">
        <f t="shared" si="348"/>
        <v>64.353614653279962</v>
      </c>
      <c r="AA245" s="26">
        <f t="shared" si="388"/>
        <v>1046.6112060546875</v>
      </c>
      <c r="AB245" s="33">
        <f t="shared" si="345"/>
        <v>64.353614653279962</v>
      </c>
    </row>
    <row r="246" spans="1:28" x14ac:dyDescent="0.3">
      <c r="A246" s="32">
        <f>VLOOKUP(YEAR(C246),Flags!$A$13:$B$95,2,FALSE)</f>
        <v>4</v>
      </c>
      <c r="B246" s="24">
        <f t="shared" si="328"/>
        <v>1947</v>
      </c>
      <c r="C246" s="25">
        <v>17501</v>
      </c>
      <c r="D246" s="26"/>
      <c r="E246" s="24"/>
      <c r="F246" s="26"/>
      <c r="G246" s="26"/>
      <c r="H246" s="26"/>
      <c r="I246" s="26"/>
      <c r="J246" s="26"/>
      <c r="K246" s="26"/>
      <c r="L246" s="24"/>
      <c r="M246" s="24"/>
      <c r="N246" s="26"/>
      <c r="O246" s="26"/>
      <c r="P246" s="26"/>
      <c r="Q246" s="26"/>
      <c r="R246" s="26"/>
      <c r="S246" s="26"/>
      <c r="T246" s="26"/>
      <c r="U246" s="26"/>
      <c r="V246" s="26"/>
      <c r="W246" s="26">
        <f>MAX($C$10-VLOOKUP($C246,COS!$B$8:$H$991,3,FALSE),0)</f>
        <v>96749</v>
      </c>
      <c r="X246" s="26">
        <f t="shared" si="347"/>
        <v>5756.965289256198</v>
      </c>
      <c r="Y246" s="26">
        <f>VLOOKUP($C246,COS!$B$8:$H$991,4,FALSE)</f>
        <v>1013.9700927734375</v>
      </c>
      <c r="Z246" s="26">
        <f t="shared" si="348"/>
        <v>60.335410479080579</v>
      </c>
      <c r="AA246" s="26">
        <f t="shared" si="388"/>
        <v>1013.9700927734375</v>
      </c>
      <c r="AB246" s="33">
        <f t="shared" si="345"/>
        <v>30.16770523954029</v>
      </c>
    </row>
    <row r="247" spans="1:28" x14ac:dyDescent="0.3">
      <c r="A247" s="34">
        <f>VLOOKUP(YEAR(C247),Flags!$A$13:$B$95,2,FALSE)</f>
        <v>4</v>
      </c>
      <c r="B247" s="35">
        <f t="shared" si="328"/>
        <v>1947</v>
      </c>
      <c r="C247" s="36">
        <v>17532</v>
      </c>
      <c r="D247" s="37"/>
      <c r="E247" s="35"/>
      <c r="F247" s="37"/>
      <c r="G247" s="37"/>
      <c r="H247" s="37"/>
      <c r="I247" s="37"/>
      <c r="J247" s="37"/>
      <c r="K247" s="37"/>
      <c r="L247" s="35"/>
      <c r="M247" s="35"/>
      <c r="N247" s="37"/>
      <c r="O247" s="37"/>
      <c r="P247" s="37"/>
      <c r="Q247" s="37"/>
      <c r="R247" s="37"/>
      <c r="S247" s="37"/>
      <c r="T247" s="37"/>
      <c r="U247" s="37"/>
      <c r="V247" s="37"/>
      <c r="W247" s="37">
        <f>MAX($C$11-VLOOKUP($C247,COS!$B$8:$H$991,3,FALSE),0)</f>
        <v>0</v>
      </c>
      <c r="X247" s="37">
        <f t="shared" si="347"/>
        <v>0</v>
      </c>
      <c r="Y247" s="37">
        <f>VLOOKUP($C247,COS!$B$8:$H$991,4,FALSE)</f>
        <v>1615.037353515625</v>
      </c>
      <c r="Z247" s="37">
        <f t="shared" si="348"/>
        <v>99.304776116993807</v>
      </c>
      <c r="AA247" s="37">
        <f t="shared" si="388"/>
        <v>0</v>
      </c>
      <c r="AB247" s="38">
        <f t="shared" si="345"/>
        <v>0</v>
      </c>
    </row>
    <row r="248" spans="1:28" x14ac:dyDescent="0.3">
      <c r="A248" s="27">
        <f>VLOOKUP(YEAR(C248),Flags!$A$13:$B$95,2,FALSE)</f>
        <v>3</v>
      </c>
      <c r="B248" s="28">
        <f t="shared" si="328"/>
        <v>1948</v>
      </c>
      <c r="C248" s="29">
        <v>17653</v>
      </c>
      <c r="D248" s="30">
        <f>VLOOKUP($C248,COS!$B$8:$H$991,3,FALSE)</f>
        <v>3250</v>
      </c>
      <c r="E248" s="28">
        <f>IF(D248&gt;=IF(MONTH($C248)=4,$C$3,IF(MONTH($C248)=5,$C$4,IF(MONTH($C248)=6,$C$5,IF(MONTH($C248)=7,$C$6,"ERROR")))),1,0)</f>
        <v>0</v>
      </c>
      <c r="F248" s="30">
        <f>VLOOKUP($C248,COS!$B$8:$H$991,7,FALSE)</f>
        <v>49.87957763671875</v>
      </c>
      <c r="G248" s="28">
        <f>IF(F248&lt;=IF(MONTH($C248)=4,$F$3,IF(MONTH($C248)=5,$F$4,IF(MONTH($C248)=6,$F$5,IF(MONTH($C248)=7,$F$6,"ERROR")))),1,0)</f>
        <v>1</v>
      </c>
      <c r="H248" s="30">
        <f>IF(J248=1,D248-$C$3,0)</f>
        <v>0</v>
      </c>
      <c r="I248" s="30">
        <f t="shared" si="342"/>
        <v>0</v>
      </c>
      <c r="J248" s="28">
        <f t="shared" ref="J248:J251" si="391">IF(AND(E248=1,G248=1),1,0)</f>
        <v>0</v>
      </c>
      <c r="K248" s="30">
        <f>VLOOKUP($C248,COS!$B$8:$H$991,2,FALSE)</f>
        <v>4304.84423828125</v>
      </c>
      <c r="L248" s="28">
        <f t="shared" ref="L248" si="392">IF(K248&lt;=IF(MONTH($C248)=4,$I$3,IF(MONTH($C248)=5,$I$4,IF(MONTH($C248)=6,$I$5,IF(MONTH($C248)=7,$I$6,"ERROR")))),1,0)</f>
        <v>1</v>
      </c>
      <c r="M248" s="28">
        <f t="shared" ref="M248" si="393">VLOOKUP($A248,$L$3:$M$7,2,FALSE)</f>
        <v>0</v>
      </c>
      <c r="N248" s="30">
        <f>VLOOKUP($C248,COS!$B$8:$H$991,5,FALSE)</f>
        <v>46.918926239013672</v>
      </c>
      <c r="O248" s="30">
        <f t="shared" ref="O248:O251" si="394">N248*DAY($C248)*86400/43560/1000</f>
        <v>2.7918699910818052</v>
      </c>
      <c r="P248" s="30">
        <f>VLOOKUP($C248,COS!$B$8:$H$991,6,FALSE)</f>
        <v>211.80764770507813</v>
      </c>
      <c r="Q248" s="30">
        <f t="shared" ref="Q248:Q251" si="395">P248*DAY($C248)*86400/43560/1000</f>
        <v>12.603430276665806</v>
      </c>
      <c r="R248" s="30">
        <f>MIN(IF(MONTH($C248)=4,$S$3,IF(MONTH($C248)=5,$S$4,IF(MONTH($C248)=6,$S$5,IF(MONTH($C248)=7,$S$6,"ERROR")))),MAX(VLOOKUP($C248,COS!$B$8:$K$991,10,FALSE)-IF(MONTH($C248)=4,$Y$3,IF(MONTH($C248)=5,$Y$4,IF(MONTH($C248)=6,$Y$5,IF(MONTH($C248)=7,$Y$6,"ERROR")))),0),MAX(VLOOKUP($C248,COS!$B$8:$K$991,9,FALSE)-IF(MONTH($C248)=4,$V$3,IF(MONTH($C248)=5,$V$4,IF(MONTH($C248)=6,$V$5,IF(MONTH($C248)=7,$V$6,"ERROR"))))-VLOOKUP($C248,COS!$B$8:$K$991,6,FALSE)/2,0))</f>
        <v>750</v>
      </c>
      <c r="S248" s="30">
        <f t="shared" ref="S248:S251" si="396">R248*DAY($C248)*86400/43560/1000</f>
        <v>44.628099173553714</v>
      </c>
      <c r="T248" s="30">
        <f t="shared" ref="T248:T251" si="397">(O248+Q248)/2+S248</f>
        <v>52.325749307427522</v>
      </c>
      <c r="U248" s="30" t="str">
        <f>IF(VLOOKUP($C248,COS!$B$8:$I$991,8,FALSE)=1,"UWFE","IBU")</f>
        <v>UWFE</v>
      </c>
      <c r="V248" s="30">
        <f t="shared" ref="V248" si="398">MIN(IF(IF($AA$3=2,AND(E248=1,G248=1,L248=1,L253=1,M248=1,U248="IBU"),AND(E248=1,G248=1,L248=1,L253=1,M248=1)),T248,0),I248)</f>
        <v>0</v>
      </c>
      <c r="W248" s="30"/>
      <c r="X248" s="30"/>
      <c r="Y248" s="30"/>
      <c r="Z248" s="30"/>
      <c r="AA248" s="30"/>
      <c r="AB248" s="31"/>
    </row>
    <row r="249" spans="1:28" x14ac:dyDescent="0.3">
      <c r="A249" s="32">
        <f>VLOOKUP(YEAR(C249),Flags!$A$13:$B$95,2,FALSE)</f>
        <v>3</v>
      </c>
      <c r="B249" s="24">
        <f t="shared" si="328"/>
        <v>1948</v>
      </c>
      <c r="C249" s="25">
        <v>17684</v>
      </c>
      <c r="D249" s="26">
        <f>VLOOKUP($C249,COS!$B$8:$H$991,3,FALSE)</f>
        <v>9188.48046875</v>
      </c>
      <c r="E249" s="24">
        <f>IF(D249&gt;=IF(MONTH($C249)=4,$C$3,IF(MONTH($C249)=5,$C$4,IF(MONTH($C249)=6,$C$5,IF(MONTH($C249)=7,$C$6,"ERROR")))),1,0)</f>
        <v>1</v>
      </c>
      <c r="F249" s="26">
        <f>VLOOKUP($C249,COS!$B$8:$H$991,7,FALSE)</f>
        <v>49.27020263671875</v>
      </c>
      <c r="G249" s="24">
        <f>IF(F249&lt;=IF(MONTH($C249)=4,$F$3,IF(MONTH($C249)=5,$F$4,IF(MONTH($C249)=6,$F$5,IF(MONTH($C249)=7,$F$6,"ERROR")))),1,0)</f>
        <v>1</v>
      </c>
      <c r="H249" s="26">
        <f>IF(J249=1,D249-$C$4,0)</f>
        <v>3188.48046875</v>
      </c>
      <c r="I249" s="26">
        <f t="shared" si="342"/>
        <v>196.05202221074381</v>
      </c>
      <c r="J249" s="24">
        <f t="shared" si="391"/>
        <v>1</v>
      </c>
      <c r="K249" s="26">
        <f>VLOOKUP($C249,COS!$B$8:$H$991,2,FALSE)</f>
        <v>4552</v>
      </c>
      <c r="L249" s="24">
        <f t="shared" si="333"/>
        <v>1</v>
      </c>
      <c r="M249" s="24">
        <f t="shared" si="334"/>
        <v>0</v>
      </c>
      <c r="N249" s="26">
        <f>VLOOKUP($C249,COS!$B$8:$H$991,5,FALSE)</f>
        <v>414.791748046875</v>
      </c>
      <c r="O249" s="26">
        <f t="shared" si="394"/>
        <v>25.50455045841942</v>
      </c>
      <c r="P249" s="26">
        <f>VLOOKUP($C249,COS!$B$8:$H$991,6,FALSE)</f>
        <v>1547.1707763671875</v>
      </c>
      <c r="Q249" s="26">
        <f t="shared" si="395"/>
        <v>95.131822943569219</v>
      </c>
      <c r="R249" s="26">
        <f>MIN(IF(MONTH($C249)=4,$S$3,IF(MONTH($C249)=5,$S$4,IF(MONTH($C249)=6,$S$5,IF(MONTH($C249)=7,$S$6,"ERROR")))),MAX(VLOOKUP($C249,COS!$B$8:$K$991,10,FALSE)-IF(MONTH($C249)=4,$Y$3,IF(MONTH($C249)=5,$Y$4,IF(MONTH($C249)=6,$Y$5,IF(MONTH($C249)=7,$Y$6,"ERROR")))),0),MAX(VLOOKUP($C249,COS!$B$8:$K$991,9,FALSE)-IF(MONTH($C249)=4,$V$3,IF(MONTH($C249)=5,$V$4,IF(MONTH($C249)=6,$V$5,IF(MONTH($C249)=7,$V$6,"ERROR"))))-VLOOKUP($C249,COS!$B$8:$K$991,6,FALSE)/2,0))</f>
        <v>750</v>
      </c>
      <c r="S249" s="26">
        <f t="shared" si="396"/>
        <v>46.115702479338843</v>
      </c>
      <c r="T249" s="26">
        <f t="shared" si="397"/>
        <v>106.43388918033315</v>
      </c>
      <c r="U249" s="26" t="str">
        <f>IF(VLOOKUP($C249,COS!$B$8:$I$991,8,FALSE)=1,"UWFE","IBU")</f>
        <v>UWFE</v>
      </c>
      <c r="V249" s="26">
        <f t="shared" ref="V249" si="399">MIN(IF(IF($AA$3=2,AND(E249=1,G249=1,L249=1,L253=1,M249=1,U249="IBU"),AND(E249=1,G249=1,L249=1,L253=1,M249=1)),T249,0),I249)</f>
        <v>0</v>
      </c>
      <c r="W249" s="26"/>
      <c r="X249" s="26"/>
      <c r="Y249" s="26"/>
      <c r="Z249" s="26"/>
      <c r="AA249" s="26"/>
      <c r="AB249" s="33"/>
    </row>
    <row r="250" spans="1:28" x14ac:dyDescent="0.3">
      <c r="A250" s="32">
        <f>VLOOKUP(YEAR(C250),Flags!$A$13:$B$95,2,FALSE)</f>
        <v>3</v>
      </c>
      <c r="B250" s="24">
        <f t="shared" si="328"/>
        <v>1948</v>
      </c>
      <c r="C250" s="25">
        <v>17714</v>
      </c>
      <c r="D250" s="26">
        <f>VLOOKUP($C250,COS!$B$8:$H$991,3,FALSE)</f>
        <v>8322.865234375</v>
      </c>
      <c r="E250" s="24">
        <f>IF(D250&gt;=IF(MONTH($C250)=4,$C$3,IF(MONTH($C250)=5,$C$4,IF(MONTH($C250)=6,$C$5,IF(MONTH($C250)=7,$C$6,"ERROR")))),1,0)</f>
        <v>0</v>
      </c>
      <c r="F250" s="26">
        <f>VLOOKUP($C250,COS!$B$8:$H$991,7,FALSE)</f>
        <v>51.372959136962891</v>
      </c>
      <c r="G250" s="24">
        <f>IF(F250&lt;=IF(MONTH($C250)=4,$F$3,IF(MONTH($C250)=5,$F$4,IF(MONTH($C250)=6,$F$5,IF(MONTH($C250)=7,$F$6,"ERROR")))),1,0)</f>
        <v>1</v>
      </c>
      <c r="H250" s="26">
        <f>IF(J250=1,D250-$C$5,0)</f>
        <v>0</v>
      </c>
      <c r="I250" s="26">
        <f t="shared" si="342"/>
        <v>0</v>
      </c>
      <c r="J250" s="24">
        <f t="shared" si="391"/>
        <v>0</v>
      </c>
      <c r="K250" s="26">
        <f>VLOOKUP($C250,COS!$B$8:$H$991,2,FALSE)</f>
        <v>4500</v>
      </c>
      <c r="L250" s="24">
        <f t="shared" si="333"/>
        <v>1</v>
      </c>
      <c r="M250" s="24">
        <f t="shared" si="334"/>
        <v>0</v>
      </c>
      <c r="N250" s="26">
        <f>VLOOKUP($C250,COS!$B$8:$H$991,5,FALSE)</f>
        <v>739.47967529296875</v>
      </c>
      <c r="O250" s="26">
        <f t="shared" si="394"/>
        <v>44.002096381069215</v>
      </c>
      <c r="P250" s="26">
        <f>VLOOKUP($C250,COS!$B$8:$H$991,6,FALSE)</f>
        <v>2358.41552734375</v>
      </c>
      <c r="Q250" s="26">
        <f t="shared" si="395"/>
        <v>140.33546939566114</v>
      </c>
      <c r="R250" s="26">
        <f>MIN(IF(MONTH($C250)=4,$S$3,IF(MONTH($C250)=5,$S$4,IF(MONTH($C250)=6,$S$5,IF(MONTH($C250)=7,$S$6,"ERROR")))),MAX(VLOOKUP($C250,COS!$B$8:$K$991,10,FALSE)-IF(MONTH($C250)=4,$Y$3,IF(MONTH($C250)=5,$Y$4,IF(MONTH($C250)=6,$Y$5,IF(MONTH($C250)=7,$Y$6,"ERROR")))),0),MAX(VLOOKUP($C250,COS!$B$8:$K$991,9,FALSE)-IF(MONTH($C250)=4,$V$3,IF(MONTH($C250)=5,$V$4,IF(MONTH($C250)=6,$V$5,IF(MONTH($C250)=7,$V$6,"ERROR"))))-VLOOKUP($C250,COS!$B$8:$K$991,6,FALSE)/2,0))</f>
        <v>750</v>
      </c>
      <c r="S250" s="26">
        <f t="shared" si="396"/>
        <v>44.628099173553714</v>
      </c>
      <c r="T250" s="26">
        <f t="shared" si="397"/>
        <v>136.79688206191889</v>
      </c>
      <c r="U250" s="26" t="str">
        <f>IF(VLOOKUP($C250,COS!$B$8:$I$991,8,FALSE)=1,"UWFE","IBU")</f>
        <v>UWFE</v>
      </c>
      <c r="V250" s="26">
        <f t="shared" ref="V250" si="400">MIN(IF(IF($AA$3=2,AND(E250=1,G250=1,L250=1,L253=1,M250=1,U250="IBU"),AND(E250=1,G250=1,L250=1,L253=1,M250=1)),T250,0),I250)</f>
        <v>0</v>
      </c>
      <c r="W250" s="26"/>
      <c r="X250" s="26"/>
      <c r="Y250" s="26"/>
      <c r="Z250" s="26"/>
      <c r="AA250" s="26"/>
      <c r="AB250" s="33"/>
    </row>
    <row r="251" spans="1:28" x14ac:dyDescent="0.3">
      <c r="A251" s="32">
        <f>VLOOKUP(YEAR(C251),Flags!$A$13:$B$95,2,FALSE)</f>
        <v>3</v>
      </c>
      <c r="B251" s="24">
        <f t="shared" si="328"/>
        <v>1948</v>
      </c>
      <c r="C251" s="25">
        <v>17745</v>
      </c>
      <c r="D251" s="26">
        <f>VLOOKUP($C251,COS!$B$8:$H$991,3,FALSE)</f>
        <v>12203.6953125</v>
      </c>
      <c r="E251" s="24">
        <f>IF(D251&gt;=IF(MONTH($C251)=4,$C$3,IF(MONTH($C251)=5,$C$4,IF(MONTH($C251)=6,$C$5,IF(MONTH($C251)=7,$C$6,"ERROR")))),1,0)</f>
        <v>1</v>
      </c>
      <c r="F251" s="26">
        <f>VLOOKUP($C251,COS!$B$8:$H$991,7,FALSE)</f>
        <v>51.679328918457031</v>
      </c>
      <c r="G251" s="24">
        <f>IF(F251&lt;=IF(MONTH($C251)=4,$F$3,IF(MONTH($C251)=5,$F$4,IF(MONTH($C251)=6,$F$5,IF(MONTH($C251)=7,$F$6,"ERROR")))),1,0)</f>
        <v>1</v>
      </c>
      <c r="H251" s="26">
        <f>IF(J251=1,D251-$C$6,0)</f>
        <v>203.6953125</v>
      </c>
      <c r="I251" s="26">
        <f t="shared" si="342"/>
        <v>12.524736570247935</v>
      </c>
      <c r="J251" s="24">
        <f t="shared" si="391"/>
        <v>1</v>
      </c>
      <c r="K251" s="26">
        <f>VLOOKUP($C251,COS!$B$8:$H$991,2,FALSE)</f>
        <v>3932.43017578125</v>
      </c>
      <c r="L251" s="24">
        <f t="shared" si="333"/>
        <v>1</v>
      </c>
      <c r="M251" s="24">
        <f t="shared" si="334"/>
        <v>0</v>
      </c>
      <c r="N251" s="26">
        <f>VLOOKUP($C251,COS!$B$8:$H$991,5,FALSE)</f>
        <v>1057.1549072265625</v>
      </c>
      <c r="O251" s="26">
        <f t="shared" si="394"/>
        <v>65.001921568310948</v>
      </c>
      <c r="P251" s="26">
        <f>VLOOKUP($C251,COS!$B$8:$H$991,6,FALSE)</f>
        <v>2632.5888671875</v>
      </c>
      <c r="Q251" s="26">
        <f t="shared" si="395"/>
        <v>161.87157993285126</v>
      </c>
      <c r="R251" s="26">
        <f>MIN(IF(MONTH($C251)=4,$S$3,IF(MONTH($C251)=5,$S$4,IF(MONTH($C251)=6,$S$5,IF(MONTH($C251)=7,$S$6,"ERROR")))),MAX(VLOOKUP($C251,COS!$B$8:$K$991,10,FALSE)-IF(MONTH($C251)=4,$Y$3,IF(MONTH($C251)=5,$Y$4,IF(MONTH($C251)=6,$Y$5,IF(MONTH($C251)=7,$Y$6,"ERROR")))),0),MAX(VLOOKUP($C251,COS!$B$8:$K$991,9,FALSE)-IF(MONTH($C251)=4,$V$3,IF(MONTH($C251)=5,$V$4,IF(MONTH($C251)=6,$V$5,IF(MONTH($C251)=7,$V$6,"ERROR"))))-VLOOKUP($C251,COS!$B$8:$K$991,6,FALSE)/2,0))</f>
        <v>750</v>
      </c>
      <c r="S251" s="26">
        <f t="shared" si="396"/>
        <v>46.115702479338843</v>
      </c>
      <c r="T251" s="26">
        <f t="shared" si="397"/>
        <v>159.55245322991993</v>
      </c>
      <c r="U251" s="26" t="str">
        <f>IF(VLOOKUP($C251,COS!$B$8:$I$991,8,FALSE)=1,"UWFE","IBU")</f>
        <v>IBU</v>
      </c>
      <c r="V251" s="26">
        <f t="shared" ref="V251" si="401">MIN(IF(IF($AA$3=2,AND(E251=1,G251=1,L251=1,L253=1,M251=1,U251="IBU"),AND(E251=1,G251=1,L251=1,L253=1,M251=1)),T251,0),I251)</f>
        <v>0</v>
      </c>
      <c r="W251" s="26"/>
      <c r="X251" s="26"/>
      <c r="Y251" s="26"/>
      <c r="Z251" s="26"/>
      <c r="AA251" s="26"/>
      <c r="AB251" s="33"/>
    </row>
    <row r="252" spans="1:28" x14ac:dyDescent="0.3">
      <c r="A252" s="32">
        <f>VLOOKUP(YEAR(C252),Flags!$A$13:$B$95,2,FALSE)</f>
        <v>3</v>
      </c>
      <c r="B252" s="24">
        <f t="shared" si="328"/>
        <v>1948</v>
      </c>
      <c r="C252" s="25">
        <v>17776</v>
      </c>
      <c r="D252" s="26"/>
      <c r="E252" s="24"/>
      <c r="F252" s="26"/>
      <c r="G252" s="24"/>
      <c r="H252" s="24"/>
      <c r="I252" s="26"/>
      <c r="J252" s="24"/>
      <c r="K252" s="26"/>
      <c r="L252" s="24"/>
      <c r="M252" s="24"/>
      <c r="N252" s="26"/>
      <c r="O252" s="26"/>
      <c r="P252" s="26"/>
      <c r="Q252" s="26"/>
      <c r="R252" s="26"/>
      <c r="S252" s="26"/>
      <c r="T252" s="26"/>
      <c r="U252" s="26"/>
      <c r="V252" s="26"/>
      <c r="W252" s="26">
        <f>MAX($C$7-VLOOKUP($C252,COS!$B$8:$H$991,3,FALSE),0)</f>
        <v>90274.7529296875</v>
      </c>
      <c r="X252" s="26">
        <f t="shared" si="347"/>
        <v>5550.7781966683888</v>
      </c>
      <c r="Y252" s="26">
        <f>VLOOKUP($C252,COS!$B$8:$H$991,4,FALSE)</f>
        <v>181.02853393554688</v>
      </c>
      <c r="Z252" s="26">
        <f t="shared" si="348"/>
        <v>11.131010681656766</v>
      </c>
      <c r="AA252" s="26">
        <f t="shared" ref="AA252:AA256" si="402">MIN(W252,Y252)</f>
        <v>181.02853393554688</v>
      </c>
      <c r="AB252" s="33">
        <f t="shared" ref="AB252" si="403">AA252*DAY($C252)*86400/43560/1000*IF(MONTH($C252)=8,$P$3,IF(MONTH($C252)=9,$P$4,IF(MONTH($C252)=10,$P$5,IF(MONTH($C252)=11,$P$6,IF(MONTH($C252)=12,$P$7,NA())))))</f>
        <v>11.131010681656766</v>
      </c>
    </row>
    <row r="253" spans="1:28" x14ac:dyDescent="0.3">
      <c r="A253" s="32">
        <f>VLOOKUP(YEAR(C253),Flags!$A$13:$B$95,2,FALSE)</f>
        <v>3</v>
      </c>
      <c r="B253" s="24">
        <f t="shared" si="328"/>
        <v>1948</v>
      </c>
      <c r="C253" s="25">
        <v>17806</v>
      </c>
      <c r="D253" s="26"/>
      <c r="E253" s="24"/>
      <c r="F253" s="26"/>
      <c r="G253" s="24"/>
      <c r="H253" s="24"/>
      <c r="I253" s="26"/>
      <c r="J253" s="24"/>
      <c r="K253" s="26">
        <f>VLOOKUP($C253,COS!$B$8:$H$991,2,FALSE)</f>
        <v>3400</v>
      </c>
      <c r="L253" s="24">
        <f t="shared" ref="L253" si="404">IF(AND(K253&gt;$I$7,K253&lt;$I$8),1,0)</f>
        <v>1</v>
      </c>
      <c r="M253" s="24"/>
      <c r="N253" s="26"/>
      <c r="O253" s="26"/>
      <c r="P253" s="26"/>
      <c r="Q253" s="26"/>
      <c r="R253" s="26"/>
      <c r="S253" s="26"/>
      <c r="T253" s="26"/>
      <c r="U253" s="26"/>
      <c r="V253" s="26"/>
      <c r="W253" s="26">
        <f>MAX($C$8-VLOOKUP($C253,COS!$B$8:$H$991,3,FALSE),0)</f>
        <v>94375.82568359375</v>
      </c>
      <c r="X253" s="26">
        <f t="shared" si="347"/>
        <v>5615.7516109245862</v>
      </c>
      <c r="Y253" s="26">
        <f>VLOOKUP($C253,COS!$B$8:$H$991,4,FALSE)</f>
        <v>0</v>
      </c>
      <c r="Z253" s="26">
        <f t="shared" si="348"/>
        <v>0</v>
      </c>
      <c r="AA253" s="26">
        <f t="shared" si="402"/>
        <v>0</v>
      </c>
      <c r="AB253" s="33">
        <f t="shared" si="345"/>
        <v>0</v>
      </c>
    </row>
    <row r="254" spans="1:28" x14ac:dyDescent="0.3">
      <c r="A254" s="32">
        <f>VLOOKUP(YEAR(C254),Flags!$A$13:$B$95,2,FALSE)</f>
        <v>3</v>
      </c>
      <c r="B254" s="24">
        <f t="shared" si="328"/>
        <v>1948</v>
      </c>
      <c r="C254" s="25">
        <v>17837</v>
      </c>
      <c r="D254" s="26"/>
      <c r="E254" s="24"/>
      <c r="F254" s="26"/>
      <c r="G254" s="26"/>
      <c r="H254" s="26"/>
      <c r="I254" s="26"/>
      <c r="J254" s="26"/>
      <c r="K254" s="26"/>
      <c r="L254" s="24"/>
      <c r="M254" s="24"/>
      <c r="N254" s="26"/>
      <c r="O254" s="26"/>
      <c r="P254" s="26"/>
      <c r="Q254" s="26"/>
      <c r="R254" s="26"/>
      <c r="S254" s="26"/>
      <c r="T254" s="26"/>
      <c r="U254" s="26"/>
      <c r="V254" s="26"/>
      <c r="W254" s="26">
        <f>MAX($C$9-VLOOKUP($C254,COS!$B$8:$H$991,3,FALSE),0)</f>
        <v>93532.60888671875</v>
      </c>
      <c r="X254" s="26">
        <f t="shared" si="347"/>
        <v>5751.0959513817152</v>
      </c>
      <c r="Y254" s="26">
        <f>VLOOKUP($C254,COS!$B$8:$H$991,4,FALSE)</f>
        <v>756.62615966796875</v>
      </c>
      <c r="Z254" s="26">
        <f t="shared" si="348"/>
        <v>46.523129156443694</v>
      </c>
      <c r="AA254" s="26">
        <f t="shared" si="402"/>
        <v>756.62615966796875</v>
      </c>
      <c r="AB254" s="33">
        <f t="shared" si="345"/>
        <v>46.523129156443694</v>
      </c>
    </row>
    <row r="255" spans="1:28" x14ac:dyDescent="0.3">
      <c r="A255" s="32">
        <f>VLOOKUP(YEAR(C255),Flags!$A$13:$B$95,2,FALSE)</f>
        <v>3</v>
      </c>
      <c r="B255" s="24">
        <f t="shared" si="328"/>
        <v>1948</v>
      </c>
      <c r="C255" s="25">
        <v>17867</v>
      </c>
      <c r="D255" s="26"/>
      <c r="E255" s="24"/>
      <c r="F255" s="26"/>
      <c r="G255" s="26"/>
      <c r="H255" s="26"/>
      <c r="I255" s="26"/>
      <c r="J255" s="26"/>
      <c r="K255" s="26"/>
      <c r="L255" s="24"/>
      <c r="M255" s="24"/>
      <c r="N255" s="26"/>
      <c r="O255" s="26"/>
      <c r="P255" s="26"/>
      <c r="Q255" s="26"/>
      <c r="R255" s="26"/>
      <c r="S255" s="26"/>
      <c r="T255" s="26"/>
      <c r="U255" s="26"/>
      <c r="V255" s="26"/>
      <c r="W255" s="26">
        <f>MAX($C$10-VLOOKUP($C255,COS!$B$8:$H$991,3,FALSE),0)</f>
        <v>95683.03125</v>
      </c>
      <c r="X255" s="26">
        <f t="shared" si="347"/>
        <v>5693.5357438016526</v>
      </c>
      <c r="Y255" s="26">
        <f>VLOOKUP($C255,COS!$B$8:$H$991,4,FALSE)</f>
        <v>1042.5562744140625</v>
      </c>
      <c r="Z255" s="26">
        <f t="shared" si="348"/>
        <v>62.036406411415285</v>
      </c>
      <c r="AA255" s="26">
        <f t="shared" si="402"/>
        <v>1042.5562744140625</v>
      </c>
      <c r="AB255" s="33">
        <f t="shared" si="345"/>
        <v>31.018203205707643</v>
      </c>
    </row>
    <row r="256" spans="1:28" x14ac:dyDescent="0.3">
      <c r="A256" s="34">
        <f>VLOOKUP(YEAR(C256),Flags!$A$13:$B$95,2,FALSE)</f>
        <v>3</v>
      </c>
      <c r="B256" s="35">
        <f t="shared" si="328"/>
        <v>1948</v>
      </c>
      <c r="C256" s="36">
        <v>17898</v>
      </c>
      <c r="D256" s="37"/>
      <c r="E256" s="35"/>
      <c r="F256" s="37"/>
      <c r="G256" s="37"/>
      <c r="H256" s="37"/>
      <c r="I256" s="37"/>
      <c r="J256" s="37"/>
      <c r="K256" s="37"/>
      <c r="L256" s="35"/>
      <c r="M256" s="35"/>
      <c r="N256" s="37"/>
      <c r="O256" s="37"/>
      <c r="P256" s="37"/>
      <c r="Q256" s="37"/>
      <c r="R256" s="37"/>
      <c r="S256" s="37"/>
      <c r="T256" s="37"/>
      <c r="U256" s="37"/>
      <c r="V256" s="37"/>
      <c r="W256" s="37">
        <f>MAX($C$11-VLOOKUP($C256,COS!$B$8:$H$991,3,FALSE),0)</f>
        <v>0</v>
      </c>
      <c r="X256" s="37">
        <f t="shared" si="347"/>
        <v>0</v>
      </c>
      <c r="Y256" s="37">
        <f>VLOOKUP($C256,COS!$B$8:$H$991,4,FALSE)</f>
        <v>1411.7911376953125</v>
      </c>
      <c r="Z256" s="37">
        <f t="shared" si="348"/>
        <v>86.807653425232431</v>
      </c>
      <c r="AA256" s="37">
        <f t="shared" si="402"/>
        <v>0</v>
      </c>
      <c r="AB256" s="38">
        <f t="shared" si="345"/>
        <v>0</v>
      </c>
    </row>
    <row r="257" spans="1:28" x14ac:dyDescent="0.3">
      <c r="A257" s="27">
        <f>VLOOKUP(YEAR(C257),Flags!$A$13:$B$95,2,FALSE)</f>
        <v>4</v>
      </c>
      <c r="B257" s="28">
        <f t="shared" si="328"/>
        <v>1949</v>
      </c>
      <c r="C257" s="29">
        <v>18018</v>
      </c>
      <c r="D257" s="30">
        <f>VLOOKUP($C257,COS!$B$8:$H$991,3,FALSE)</f>
        <v>3250</v>
      </c>
      <c r="E257" s="28">
        <f>IF(D257&gt;=IF(MONTH($C257)=4,$C$3,IF(MONTH($C257)=5,$C$4,IF(MONTH($C257)=6,$C$5,IF(MONTH($C257)=7,$C$6,"ERROR")))),1,0)</f>
        <v>0</v>
      </c>
      <c r="F257" s="30">
        <f>VLOOKUP($C257,COS!$B$8:$H$991,7,FALSE)</f>
        <v>51.698932647705078</v>
      </c>
      <c r="G257" s="28">
        <f>IF(F257&lt;=IF(MONTH($C257)=4,$F$3,IF(MONTH($C257)=5,$F$4,IF(MONTH($C257)=6,$F$5,IF(MONTH($C257)=7,$F$6,"ERROR")))),1,0)</f>
        <v>1</v>
      </c>
      <c r="H257" s="30">
        <f>IF(J257=1,D257-$C$3,0)</f>
        <v>0</v>
      </c>
      <c r="I257" s="30">
        <f t="shared" si="342"/>
        <v>0</v>
      </c>
      <c r="J257" s="28">
        <f t="shared" ref="J257:J260" si="405">IF(AND(E257=1,G257=1),1,0)</f>
        <v>0</v>
      </c>
      <c r="K257" s="30">
        <f>VLOOKUP($C257,COS!$B$8:$H$991,2,FALSE)</f>
        <v>4435.89990234375</v>
      </c>
      <c r="L257" s="28">
        <f t="shared" ref="L257" si="406">IF(K257&lt;=IF(MONTH($C257)=4,$I$3,IF(MONTH($C257)=5,$I$4,IF(MONTH($C257)=6,$I$5,IF(MONTH($C257)=7,$I$6,"ERROR")))),1,0)</f>
        <v>1</v>
      </c>
      <c r="M257" s="28">
        <f t="shared" ref="M257" si="407">VLOOKUP($A257,$L$3:$M$7,2,FALSE)</f>
        <v>1</v>
      </c>
      <c r="N257" s="30">
        <f>VLOOKUP($C257,COS!$B$8:$H$991,5,FALSE)</f>
        <v>261.805908203125</v>
      </c>
      <c r="O257" s="30">
        <f t="shared" ref="O257:O260" si="408">N257*DAY($C257)*86400/43560/1000</f>
        <v>15.578533380681819</v>
      </c>
      <c r="P257" s="30">
        <f>VLOOKUP($C257,COS!$B$8:$H$991,6,FALSE)</f>
        <v>454.90377807617188</v>
      </c>
      <c r="Q257" s="30">
        <f t="shared" ref="Q257:Q260" si="409">P257*DAY($C257)*86400/43560/1000</f>
        <v>27.068654563210227</v>
      </c>
      <c r="R257" s="30">
        <f>MIN(IF(MONTH($C257)=4,$S$3,IF(MONTH($C257)=5,$S$4,IF(MONTH($C257)=6,$S$5,IF(MONTH($C257)=7,$S$6,"ERROR")))),MAX(VLOOKUP($C257,COS!$B$8:$K$991,10,FALSE)-IF(MONTH($C257)=4,$Y$3,IF(MONTH($C257)=5,$Y$4,IF(MONTH($C257)=6,$Y$5,IF(MONTH($C257)=7,$Y$6,"ERROR")))),0),MAX(VLOOKUP($C257,COS!$B$8:$K$991,9,FALSE)-IF(MONTH($C257)=4,$V$3,IF(MONTH($C257)=5,$V$4,IF(MONTH($C257)=6,$V$5,IF(MONTH($C257)=7,$V$6,"ERROR"))))-VLOOKUP($C257,COS!$B$8:$K$991,6,FALSE)/2,0))</f>
        <v>750</v>
      </c>
      <c r="S257" s="30">
        <f t="shared" ref="S257:S260" si="410">R257*DAY($C257)*86400/43560/1000</f>
        <v>44.628099173553714</v>
      </c>
      <c r="T257" s="30">
        <f t="shared" ref="T257:T260" si="411">(O257+Q257)/2+S257</f>
        <v>65.951693145499746</v>
      </c>
      <c r="U257" s="30" t="str">
        <f>IF(VLOOKUP($C257,COS!$B$8:$I$991,8,FALSE)=1,"UWFE","IBU")</f>
        <v>UWFE</v>
      </c>
      <c r="V257" s="30">
        <f t="shared" ref="V257" si="412">MIN(IF(IF($AA$3=2,AND(E257=1,G257=1,L257=1,L262=1,M257=1,U257="IBU"),AND(E257=1,G257=1,L257=1,L262=1,M257=1)),T257,0),I257)</f>
        <v>0</v>
      </c>
      <c r="W257" s="30"/>
      <c r="X257" s="30"/>
      <c r="Y257" s="30"/>
      <c r="Z257" s="30"/>
      <c r="AA257" s="30"/>
      <c r="AB257" s="31"/>
    </row>
    <row r="258" spans="1:28" x14ac:dyDescent="0.3">
      <c r="A258" s="32">
        <f>VLOOKUP(YEAR(C258),Flags!$A$13:$B$95,2,FALSE)</f>
        <v>4</v>
      </c>
      <c r="B258" s="24">
        <f t="shared" si="328"/>
        <v>1949</v>
      </c>
      <c r="C258" s="25">
        <v>18049</v>
      </c>
      <c r="D258" s="26">
        <f>VLOOKUP($C258,COS!$B$8:$H$991,3,FALSE)</f>
        <v>6600.49267578125</v>
      </c>
      <c r="E258" s="24">
        <f>IF(D258&gt;=IF(MONTH($C258)=4,$C$3,IF(MONTH($C258)=5,$C$4,IF(MONTH($C258)=6,$C$5,IF(MONTH($C258)=7,$C$6,"ERROR")))),1,0)</f>
        <v>1</v>
      </c>
      <c r="F258" s="26">
        <f>VLOOKUP($C258,COS!$B$8:$H$991,7,FALSE)</f>
        <v>50.530754089355469</v>
      </c>
      <c r="G258" s="24">
        <f>IF(F258&lt;=IF(MONTH($C258)=4,$F$3,IF(MONTH($C258)=5,$F$4,IF(MONTH($C258)=6,$F$5,IF(MONTH($C258)=7,$F$6,"ERROR")))),1,0)</f>
        <v>1</v>
      </c>
      <c r="H258" s="26">
        <f>IF(J258=1,D258-$C$4,0)</f>
        <v>600.49267578125</v>
      </c>
      <c r="I258" s="26">
        <f t="shared" si="342"/>
        <v>36.922855436466939</v>
      </c>
      <c r="J258" s="24">
        <f t="shared" si="405"/>
        <v>1</v>
      </c>
      <c r="K258" s="26">
        <f>VLOOKUP($C258,COS!$B$8:$H$991,2,FALSE)</f>
        <v>4429.88037109375</v>
      </c>
      <c r="L258" s="24">
        <f t="shared" si="333"/>
        <v>1</v>
      </c>
      <c r="M258" s="24">
        <f t="shared" si="334"/>
        <v>1</v>
      </c>
      <c r="N258" s="26">
        <f>VLOOKUP($C258,COS!$B$8:$H$991,5,FALSE)</f>
        <v>565.04315185546875</v>
      </c>
      <c r="O258" s="26">
        <f t="shared" si="408"/>
        <v>34.743149171939564</v>
      </c>
      <c r="P258" s="26">
        <f>VLOOKUP($C258,COS!$B$8:$H$991,6,FALSE)</f>
        <v>2066.162353515625</v>
      </c>
      <c r="Q258" s="26">
        <f t="shared" si="409"/>
        <v>127.04337115831612</v>
      </c>
      <c r="R258" s="26">
        <f>MIN(IF(MONTH($C258)=4,$S$3,IF(MONTH($C258)=5,$S$4,IF(MONTH($C258)=6,$S$5,IF(MONTH($C258)=7,$S$6,"ERROR")))),MAX(VLOOKUP($C258,COS!$B$8:$K$991,10,FALSE)-IF(MONTH($C258)=4,$Y$3,IF(MONTH($C258)=5,$Y$4,IF(MONTH($C258)=6,$Y$5,IF(MONTH($C258)=7,$Y$6,"ERROR")))),0),MAX(VLOOKUP($C258,COS!$B$8:$K$991,9,FALSE)-IF(MONTH($C258)=4,$V$3,IF(MONTH($C258)=5,$V$4,IF(MONTH($C258)=6,$V$5,IF(MONTH($C258)=7,$V$6,"ERROR"))))-VLOOKUP($C258,COS!$B$8:$K$991,6,FALSE)/2,0))</f>
        <v>750</v>
      </c>
      <c r="S258" s="26">
        <f t="shared" si="410"/>
        <v>46.115702479338843</v>
      </c>
      <c r="T258" s="26">
        <f t="shared" si="411"/>
        <v>127.00896264446669</v>
      </c>
      <c r="U258" s="26" t="str">
        <f>IF(VLOOKUP($C258,COS!$B$8:$I$991,8,FALSE)=1,"UWFE","IBU")</f>
        <v>UWFE</v>
      </c>
      <c r="V258" s="26">
        <f t="shared" ref="V258" si="413">MIN(IF(IF($AA$3=2,AND(E258=1,G258=1,L258=1,L262=1,M258=1,U258="IBU"),AND(E258=1,G258=1,L258=1,L262=1,M258=1)),T258,0),I258)</f>
        <v>0</v>
      </c>
      <c r="W258" s="26"/>
      <c r="X258" s="26"/>
      <c r="Y258" s="26"/>
      <c r="Z258" s="26"/>
      <c r="AA258" s="26"/>
      <c r="AB258" s="33"/>
    </row>
    <row r="259" spans="1:28" x14ac:dyDescent="0.3">
      <c r="A259" s="32">
        <f>VLOOKUP(YEAR(C259),Flags!$A$13:$B$95,2,FALSE)</f>
        <v>4</v>
      </c>
      <c r="B259" s="24">
        <f t="shared" si="328"/>
        <v>1949</v>
      </c>
      <c r="C259" s="25">
        <v>18079</v>
      </c>
      <c r="D259" s="26">
        <f>VLOOKUP($C259,COS!$B$8:$H$991,3,FALSE)</f>
        <v>9891.2216796875</v>
      </c>
      <c r="E259" s="24">
        <f>IF(D259&gt;=IF(MONTH($C259)=4,$C$3,IF(MONTH($C259)=5,$C$4,IF(MONTH($C259)=6,$C$5,IF(MONTH($C259)=7,$C$6,"ERROR")))),1,0)</f>
        <v>0</v>
      </c>
      <c r="F259" s="26">
        <f>VLOOKUP($C259,COS!$B$8:$H$991,7,FALSE)</f>
        <v>51.359127044677734</v>
      </c>
      <c r="G259" s="24">
        <f>IF(F259&lt;=IF(MONTH($C259)=4,$F$3,IF(MONTH($C259)=5,$F$4,IF(MONTH($C259)=6,$F$5,IF(MONTH($C259)=7,$F$6,"ERROR")))),1,0)</f>
        <v>1</v>
      </c>
      <c r="H259" s="26">
        <f>IF(J259=1,D259-$C$5,0)</f>
        <v>0</v>
      </c>
      <c r="I259" s="26">
        <f t="shared" si="342"/>
        <v>0</v>
      </c>
      <c r="J259" s="24">
        <f t="shared" si="405"/>
        <v>0</v>
      </c>
      <c r="K259" s="26">
        <f>VLOOKUP($C259,COS!$B$8:$H$991,2,FALSE)</f>
        <v>4039.34130859375</v>
      </c>
      <c r="L259" s="24">
        <f t="shared" si="333"/>
        <v>1</v>
      </c>
      <c r="M259" s="24">
        <f t="shared" si="334"/>
        <v>1</v>
      </c>
      <c r="N259" s="26">
        <f>VLOOKUP($C259,COS!$B$8:$H$991,5,FALSE)</f>
        <v>696.944580078125</v>
      </c>
      <c r="O259" s="26">
        <f t="shared" si="408"/>
        <v>41.47108245092975</v>
      </c>
      <c r="P259" s="26">
        <f>VLOOKUP($C259,COS!$B$8:$H$991,6,FALSE)</f>
        <v>2712.6806640625</v>
      </c>
      <c r="Q259" s="26">
        <f t="shared" si="409"/>
        <v>161.41570893595042</v>
      </c>
      <c r="R259" s="26">
        <f>MIN(IF(MONTH($C259)=4,$S$3,IF(MONTH($C259)=5,$S$4,IF(MONTH($C259)=6,$S$5,IF(MONTH($C259)=7,$S$6,"ERROR")))),MAX(VLOOKUP($C259,COS!$B$8:$K$991,10,FALSE)-IF(MONTH($C259)=4,$Y$3,IF(MONTH($C259)=5,$Y$4,IF(MONTH($C259)=6,$Y$5,IF(MONTH($C259)=7,$Y$6,"ERROR")))),0),MAX(VLOOKUP($C259,COS!$B$8:$K$991,9,FALSE)-IF(MONTH($C259)=4,$V$3,IF(MONTH($C259)=5,$V$4,IF(MONTH($C259)=6,$V$5,IF(MONTH($C259)=7,$V$6,"ERROR"))))-VLOOKUP($C259,COS!$B$8:$K$991,6,FALSE)/2,0))</f>
        <v>750</v>
      </c>
      <c r="S259" s="26">
        <f t="shared" si="410"/>
        <v>44.628099173553714</v>
      </c>
      <c r="T259" s="26">
        <f t="shared" si="411"/>
        <v>146.07149486699379</v>
      </c>
      <c r="U259" s="26" t="str">
        <f>IF(VLOOKUP($C259,COS!$B$8:$I$991,8,FALSE)=1,"UWFE","IBU")</f>
        <v>IBU</v>
      </c>
      <c r="V259" s="26">
        <f t="shared" ref="V259" si="414">MIN(IF(IF($AA$3=2,AND(E259=1,G259=1,L259=1,L262=1,M259=1,U259="IBU"),AND(E259=1,G259=1,L259=1,L262=1,M259=1)),T259,0),I259)</f>
        <v>0</v>
      </c>
      <c r="W259" s="26"/>
      <c r="X259" s="26"/>
      <c r="Y259" s="26"/>
      <c r="Z259" s="26"/>
      <c r="AA259" s="26"/>
      <c r="AB259" s="33"/>
    </row>
    <row r="260" spans="1:28" x14ac:dyDescent="0.3">
      <c r="A260" s="32">
        <f>VLOOKUP(YEAR(C260),Flags!$A$13:$B$95,2,FALSE)</f>
        <v>4</v>
      </c>
      <c r="B260" s="24">
        <f t="shared" si="328"/>
        <v>1949</v>
      </c>
      <c r="C260" s="25">
        <v>18110</v>
      </c>
      <c r="D260" s="26">
        <f>VLOOKUP($C260,COS!$B$8:$H$991,3,FALSE)</f>
        <v>14543.4052734375</v>
      </c>
      <c r="E260" s="24">
        <f>IF(D260&gt;=IF(MONTH($C260)=4,$C$3,IF(MONTH($C260)=5,$C$4,IF(MONTH($C260)=6,$C$5,IF(MONTH($C260)=7,$C$6,"ERROR")))),1,0)</f>
        <v>1</v>
      </c>
      <c r="F260" s="26">
        <f>VLOOKUP($C260,COS!$B$8:$H$991,7,FALSE)</f>
        <v>50.889629364013672</v>
      </c>
      <c r="G260" s="24">
        <f>IF(F260&lt;=IF(MONTH($C260)=4,$F$3,IF(MONTH($C260)=5,$F$4,IF(MONTH($C260)=6,$F$5,IF(MONTH($C260)=7,$F$6,"ERROR")))),1,0)</f>
        <v>1</v>
      </c>
      <c r="H260" s="26">
        <f>IF(J260=1,D260-$C$6,0)</f>
        <v>2543.4052734375</v>
      </c>
      <c r="I260" s="26">
        <f t="shared" si="342"/>
        <v>156.38789449896694</v>
      </c>
      <c r="J260" s="24">
        <f t="shared" si="405"/>
        <v>1</v>
      </c>
      <c r="K260" s="26">
        <f>VLOOKUP($C260,COS!$B$8:$H$991,2,FALSE)</f>
        <v>3385.65673828125</v>
      </c>
      <c r="L260" s="24">
        <f t="shared" si="333"/>
        <v>1</v>
      </c>
      <c r="M260" s="24">
        <f t="shared" si="334"/>
        <v>1</v>
      </c>
      <c r="N260" s="26">
        <f>VLOOKUP($C260,COS!$B$8:$H$991,5,FALSE)</f>
        <v>761.88348388671875</v>
      </c>
      <c r="O260" s="26">
        <f t="shared" si="408"/>
        <v>46.846389422456092</v>
      </c>
      <c r="P260" s="26">
        <f>VLOOKUP($C260,COS!$B$8:$H$991,6,FALSE)</f>
        <v>2538.07568359375</v>
      </c>
      <c r="Q260" s="26">
        <f t="shared" si="409"/>
        <v>156.06019079287191</v>
      </c>
      <c r="R260" s="26">
        <f>MIN(IF(MONTH($C260)=4,$S$3,IF(MONTH($C260)=5,$S$4,IF(MONTH($C260)=6,$S$5,IF(MONTH($C260)=7,$S$6,"ERROR")))),MAX(VLOOKUP($C260,COS!$B$8:$K$991,10,FALSE)-IF(MONTH($C260)=4,$Y$3,IF(MONTH($C260)=5,$Y$4,IF(MONTH($C260)=6,$Y$5,IF(MONTH($C260)=7,$Y$6,"ERROR")))),0),MAX(VLOOKUP($C260,COS!$B$8:$K$991,9,FALSE)-IF(MONTH($C260)=4,$V$3,IF(MONTH($C260)=5,$V$4,IF(MONTH($C260)=6,$V$5,IF(MONTH($C260)=7,$V$6,"ERROR"))))-VLOOKUP($C260,COS!$B$8:$K$991,6,FALSE)/2,0))</f>
        <v>750</v>
      </c>
      <c r="S260" s="26">
        <f t="shared" si="410"/>
        <v>46.115702479338843</v>
      </c>
      <c r="T260" s="26">
        <f t="shared" si="411"/>
        <v>147.56899258700284</v>
      </c>
      <c r="U260" s="26" t="str">
        <f>IF(VLOOKUP($C260,COS!$B$8:$I$991,8,FALSE)=1,"UWFE","IBU")</f>
        <v>IBU</v>
      </c>
      <c r="V260" s="26">
        <f t="shared" ref="V260" si="415">MIN(IF(IF($AA$3=2,AND(E260=1,G260=1,L260=1,L262=1,M260=1,U260="IBU"),AND(E260=1,G260=1,L260=1,L262=1,M260=1)),T260,0),I260)</f>
        <v>147.56899258700284</v>
      </c>
      <c r="W260" s="26"/>
      <c r="X260" s="26"/>
      <c r="Y260" s="26"/>
      <c r="Z260" s="26"/>
      <c r="AA260" s="26"/>
      <c r="AB260" s="33"/>
    </row>
    <row r="261" spans="1:28" x14ac:dyDescent="0.3">
      <c r="A261" s="32">
        <f>VLOOKUP(YEAR(C261),Flags!$A$13:$B$95,2,FALSE)</f>
        <v>4</v>
      </c>
      <c r="B261" s="24">
        <f t="shared" si="328"/>
        <v>1949</v>
      </c>
      <c r="C261" s="25">
        <v>18141</v>
      </c>
      <c r="D261" s="26"/>
      <c r="E261" s="24"/>
      <c r="F261" s="26"/>
      <c r="G261" s="24"/>
      <c r="H261" s="24"/>
      <c r="I261" s="26"/>
      <c r="J261" s="24"/>
      <c r="K261" s="26"/>
      <c r="L261" s="24"/>
      <c r="M261" s="24"/>
      <c r="N261" s="26"/>
      <c r="O261" s="26"/>
      <c r="P261" s="26"/>
      <c r="Q261" s="26"/>
      <c r="R261" s="26"/>
      <c r="S261" s="26"/>
      <c r="T261" s="26"/>
      <c r="U261" s="26"/>
      <c r="V261" s="26"/>
      <c r="W261" s="26">
        <f>MAX($C$7-VLOOKUP($C261,COS!$B$8:$H$991,3,FALSE),0)</f>
        <v>90977.3701171875</v>
      </c>
      <c r="X261" s="26">
        <f t="shared" si="347"/>
        <v>5593.9804435692149</v>
      </c>
      <c r="Y261" s="26">
        <f>VLOOKUP($C261,COS!$B$8:$H$991,4,FALSE)</f>
        <v>2030.735107421875</v>
      </c>
      <c r="Z261" s="26">
        <f t="shared" si="348"/>
        <v>124.86503470428718</v>
      </c>
      <c r="AA261" s="26">
        <f t="shared" ref="AA261:AA265" si="416">MIN(W261,Y261)</f>
        <v>2030.735107421875</v>
      </c>
      <c r="AB261" s="33">
        <f t="shared" ref="AB261" si="417">AA261*DAY($C261)*86400/43560/1000*IF(MONTH($C261)=8,$P$3,IF(MONTH($C261)=9,$P$4,IF(MONTH($C261)=10,$P$5,IF(MONTH($C261)=11,$P$6,IF(MONTH($C261)=12,$P$7,NA())))))</f>
        <v>124.86503470428718</v>
      </c>
    </row>
    <row r="262" spans="1:28" x14ac:dyDescent="0.3">
      <c r="A262" s="32">
        <f>VLOOKUP(YEAR(C262),Flags!$A$13:$B$95,2,FALSE)</f>
        <v>4</v>
      </c>
      <c r="B262" s="24">
        <f t="shared" si="328"/>
        <v>1949</v>
      </c>
      <c r="C262" s="25">
        <v>18171</v>
      </c>
      <c r="D262" s="26"/>
      <c r="E262" s="24"/>
      <c r="F262" s="26"/>
      <c r="G262" s="24"/>
      <c r="H262" s="24"/>
      <c r="I262" s="26"/>
      <c r="J262" s="24"/>
      <c r="K262" s="26">
        <f>VLOOKUP($C262,COS!$B$8:$H$991,2,FALSE)</f>
        <v>3001.73291015625</v>
      </c>
      <c r="L262" s="24">
        <f t="shared" ref="L262" si="418">IF(AND(K262&gt;$I$7,K262&lt;$I$8),1,0)</f>
        <v>1</v>
      </c>
      <c r="M262" s="24"/>
      <c r="N262" s="26"/>
      <c r="O262" s="26"/>
      <c r="P262" s="26"/>
      <c r="Q262" s="26"/>
      <c r="R262" s="26"/>
      <c r="S262" s="26"/>
      <c r="T262" s="26"/>
      <c r="U262" s="26"/>
      <c r="V262" s="26"/>
      <c r="W262" s="26">
        <f>MAX($C$8-VLOOKUP($C262,COS!$B$8:$H$991,3,FALSE),0)</f>
        <v>94939.001953125</v>
      </c>
      <c r="X262" s="26">
        <f t="shared" si="347"/>
        <v>5649.2629261363636</v>
      </c>
      <c r="Y262" s="26">
        <f>VLOOKUP($C262,COS!$B$8:$H$991,4,FALSE)</f>
        <v>1015.7754516601563</v>
      </c>
      <c r="Z262" s="26">
        <f t="shared" si="348"/>
        <v>60.442836793001035</v>
      </c>
      <c r="AA262" s="26">
        <f t="shared" si="416"/>
        <v>1015.7754516601563</v>
      </c>
      <c r="AB262" s="33">
        <f t="shared" si="345"/>
        <v>60.442836793001035</v>
      </c>
    </row>
    <row r="263" spans="1:28" x14ac:dyDescent="0.3">
      <c r="A263" s="32">
        <f>VLOOKUP(YEAR(C263),Flags!$A$13:$B$95,2,FALSE)</f>
        <v>4</v>
      </c>
      <c r="B263" s="24">
        <f t="shared" si="328"/>
        <v>1949</v>
      </c>
      <c r="C263" s="25">
        <v>18202</v>
      </c>
      <c r="D263" s="26"/>
      <c r="E263" s="24"/>
      <c r="F263" s="26"/>
      <c r="G263" s="26"/>
      <c r="H263" s="26"/>
      <c r="I263" s="26"/>
      <c r="J263" s="26"/>
      <c r="K263" s="26"/>
      <c r="L263" s="24"/>
      <c r="M263" s="24"/>
      <c r="N263" s="26"/>
      <c r="O263" s="26"/>
      <c r="P263" s="26"/>
      <c r="Q263" s="26"/>
      <c r="R263" s="26"/>
      <c r="S263" s="26"/>
      <c r="T263" s="26"/>
      <c r="U263" s="26"/>
      <c r="V263" s="26"/>
      <c r="W263" s="26">
        <f>MAX($C$9-VLOOKUP($C263,COS!$B$8:$H$991,3,FALSE),0)</f>
        <v>93926.57080078125</v>
      </c>
      <c r="X263" s="26">
        <f t="shared" si="347"/>
        <v>5775.319725271177</v>
      </c>
      <c r="Y263" s="26">
        <f>VLOOKUP($C263,COS!$B$8:$H$991,4,FALSE)</f>
        <v>1726.75830078125</v>
      </c>
      <c r="Z263" s="26">
        <f t="shared" si="348"/>
        <v>106.17422940340909</v>
      </c>
      <c r="AA263" s="26">
        <f t="shared" si="416"/>
        <v>1726.75830078125</v>
      </c>
      <c r="AB263" s="33">
        <f t="shared" si="345"/>
        <v>106.17422940340909</v>
      </c>
    </row>
    <row r="264" spans="1:28" x14ac:dyDescent="0.3">
      <c r="A264" s="32">
        <f>VLOOKUP(YEAR(C264),Flags!$A$13:$B$95,2,FALSE)</f>
        <v>4</v>
      </c>
      <c r="B264" s="24">
        <f t="shared" si="328"/>
        <v>1949</v>
      </c>
      <c r="C264" s="25">
        <v>18232</v>
      </c>
      <c r="D264" s="26"/>
      <c r="E264" s="24"/>
      <c r="F264" s="26"/>
      <c r="G264" s="26"/>
      <c r="H264" s="26"/>
      <c r="I264" s="26"/>
      <c r="J264" s="26"/>
      <c r="K264" s="26"/>
      <c r="L264" s="24"/>
      <c r="M264" s="24"/>
      <c r="N264" s="26"/>
      <c r="O264" s="26"/>
      <c r="P264" s="26"/>
      <c r="Q264" s="26"/>
      <c r="R264" s="26"/>
      <c r="S264" s="26"/>
      <c r="T264" s="26"/>
      <c r="U264" s="26"/>
      <c r="V264" s="26"/>
      <c r="W264" s="26">
        <f>MAX($C$10-VLOOKUP($C264,COS!$B$8:$H$991,3,FALSE),0)</f>
        <v>93878.3037109375</v>
      </c>
      <c r="X264" s="26">
        <f t="shared" si="347"/>
        <v>5586.1469976756198</v>
      </c>
      <c r="Y264" s="26">
        <f>VLOOKUP($C264,COS!$B$8:$H$991,4,FALSE)</f>
        <v>814.205810546875</v>
      </c>
      <c r="Z264" s="26">
        <f t="shared" si="348"/>
        <v>48.448610214359505</v>
      </c>
      <c r="AA264" s="26">
        <f t="shared" si="416"/>
        <v>814.205810546875</v>
      </c>
      <c r="AB264" s="33">
        <f t="shared" si="345"/>
        <v>24.224305107179752</v>
      </c>
    </row>
    <row r="265" spans="1:28" x14ac:dyDescent="0.3">
      <c r="A265" s="34">
        <f>VLOOKUP(YEAR(C265),Flags!$A$13:$B$95,2,FALSE)</f>
        <v>4</v>
      </c>
      <c r="B265" s="35">
        <f t="shared" si="328"/>
        <v>1949</v>
      </c>
      <c r="C265" s="36">
        <v>18263</v>
      </c>
      <c r="D265" s="37"/>
      <c r="E265" s="35"/>
      <c r="F265" s="37"/>
      <c r="G265" s="37"/>
      <c r="H265" s="37"/>
      <c r="I265" s="37"/>
      <c r="J265" s="37"/>
      <c r="K265" s="37"/>
      <c r="L265" s="35"/>
      <c r="M265" s="35"/>
      <c r="N265" s="37"/>
      <c r="O265" s="37"/>
      <c r="P265" s="37"/>
      <c r="Q265" s="37"/>
      <c r="R265" s="37"/>
      <c r="S265" s="37"/>
      <c r="T265" s="37"/>
      <c r="U265" s="37"/>
      <c r="V265" s="37"/>
      <c r="W265" s="37">
        <f>MAX($C$11-VLOOKUP($C265,COS!$B$8:$H$991,3,FALSE),0)</f>
        <v>0</v>
      </c>
      <c r="X265" s="37">
        <f t="shared" si="347"/>
        <v>0</v>
      </c>
      <c r="Y265" s="37">
        <f>VLOOKUP($C265,COS!$B$8:$H$991,4,FALSE)</f>
        <v>1528.547607421875</v>
      </c>
      <c r="Z265" s="37">
        <f t="shared" si="348"/>
        <v>93.986728919163227</v>
      </c>
      <c r="AA265" s="37">
        <f t="shared" si="416"/>
        <v>0</v>
      </c>
      <c r="AB265" s="38">
        <f t="shared" si="345"/>
        <v>0</v>
      </c>
    </row>
    <row r="266" spans="1:28" x14ac:dyDescent="0.3">
      <c r="A266" s="27">
        <f>VLOOKUP(YEAR(C266),Flags!$A$13:$B$95,2,FALSE)</f>
        <v>4</v>
      </c>
      <c r="B266" s="28">
        <f t="shared" si="328"/>
        <v>1950</v>
      </c>
      <c r="C266" s="29">
        <v>18383</v>
      </c>
      <c r="D266" s="30">
        <f>VLOOKUP($C266,COS!$B$8:$H$991,3,FALSE)</f>
        <v>3250</v>
      </c>
      <c r="E266" s="28">
        <f>IF(D266&gt;=IF(MONTH($C266)=4,$C$3,IF(MONTH($C266)=5,$C$4,IF(MONTH($C266)=6,$C$5,IF(MONTH($C266)=7,$C$6,"ERROR")))),1,0)</f>
        <v>0</v>
      </c>
      <c r="F266" s="30">
        <f>VLOOKUP($C266,COS!$B$8:$H$991,7,FALSE)</f>
        <v>51.198993682861328</v>
      </c>
      <c r="G266" s="28">
        <f>IF(F266&lt;=IF(MONTH($C266)=4,$F$3,IF(MONTH($C266)=5,$F$4,IF(MONTH($C266)=6,$F$5,IF(MONTH($C266)=7,$F$6,"ERROR")))),1,0)</f>
        <v>1</v>
      </c>
      <c r="H266" s="30">
        <f>IF(J266=1,D266-$C$3,0)</f>
        <v>0</v>
      </c>
      <c r="I266" s="30">
        <f t="shared" si="342"/>
        <v>0</v>
      </c>
      <c r="J266" s="28">
        <f t="shared" ref="J266:J269" si="419">IF(AND(E266=1,G266=1),1,0)</f>
        <v>0</v>
      </c>
      <c r="K266" s="30">
        <f>VLOOKUP($C266,COS!$B$8:$H$991,2,FALSE)</f>
        <v>4233.70751953125</v>
      </c>
      <c r="L266" s="28">
        <f t="shared" ref="L266" si="420">IF(K266&lt;=IF(MONTH($C266)=4,$I$3,IF(MONTH($C266)=5,$I$4,IF(MONTH($C266)=6,$I$5,IF(MONTH($C266)=7,$I$6,"ERROR")))),1,0)</f>
        <v>1</v>
      </c>
      <c r="M266" s="28">
        <f t="shared" ref="M266" si="421">VLOOKUP($A266,$L$3:$M$7,2,FALSE)</f>
        <v>1</v>
      </c>
      <c r="N266" s="30">
        <f>VLOOKUP($C266,COS!$B$8:$H$991,5,FALSE)</f>
        <v>269.705322265625</v>
      </c>
      <c r="O266" s="30">
        <f t="shared" ref="O266:O269" si="422">N266*DAY($C266)*86400/43560/1000</f>
        <v>16.048581159607437</v>
      </c>
      <c r="P266" s="30">
        <f>VLOOKUP($C266,COS!$B$8:$H$991,6,FALSE)</f>
        <v>500.60986328125</v>
      </c>
      <c r="Q266" s="30">
        <f t="shared" ref="Q266:Q269" si="423">P266*DAY($C266)*86400/43560/1000</f>
        <v>29.788355501033056</v>
      </c>
      <c r="R266" s="30">
        <f>MIN(IF(MONTH($C266)=4,$S$3,IF(MONTH($C266)=5,$S$4,IF(MONTH($C266)=6,$S$5,IF(MONTH($C266)=7,$S$6,"ERROR")))),MAX(VLOOKUP($C266,COS!$B$8:$K$991,10,FALSE)-IF(MONTH($C266)=4,$Y$3,IF(MONTH($C266)=5,$Y$4,IF(MONTH($C266)=6,$Y$5,IF(MONTH($C266)=7,$Y$6,"ERROR")))),0),MAX(VLOOKUP($C266,COS!$B$8:$K$991,9,FALSE)-IF(MONTH($C266)=4,$V$3,IF(MONTH($C266)=5,$V$4,IF(MONTH($C266)=6,$V$5,IF(MONTH($C266)=7,$V$6,"ERROR"))))-VLOOKUP($C266,COS!$B$8:$K$991,6,FALSE)/2,0))</f>
        <v>750</v>
      </c>
      <c r="S266" s="30">
        <f t="shared" ref="S266:S269" si="424">R266*DAY($C266)*86400/43560/1000</f>
        <v>44.628099173553714</v>
      </c>
      <c r="T266" s="30">
        <f t="shared" ref="T266:T269" si="425">(O266+Q266)/2+S266</f>
        <v>67.546567503873959</v>
      </c>
      <c r="U266" s="30" t="str">
        <f>IF(VLOOKUP($C266,COS!$B$8:$I$991,8,FALSE)=1,"UWFE","IBU")</f>
        <v>UWFE</v>
      </c>
      <c r="V266" s="30">
        <f t="shared" ref="V266" si="426">MIN(IF(IF($AA$3=2,AND(E266=1,G266=1,L266=1,L271=1,M266=1,U266="IBU"),AND(E266=1,G266=1,L266=1,L271=1,M266=1)),T266,0),I266)</f>
        <v>0</v>
      </c>
      <c r="W266" s="30"/>
      <c r="X266" s="30"/>
      <c r="Y266" s="30"/>
      <c r="Z266" s="30"/>
      <c r="AA266" s="30"/>
      <c r="AB266" s="31"/>
    </row>
    <row r="267" spans="1:28" x14ac:dyDescent="0.3">
      <c r="A267" s="32">
        <f>VLOOKUP(YEAR(C267),Flags!$A$13:$B$95,2,FALSE)</f>
        <v>4</v>
      </c>
      <c r="B267" s="24">
        <f t="shared" si="328"/>
        <v>1950</v>
      </c>
      <c r="C267" s="25">
        <v>18414</v>
      </c>
      <c r="D267" s="26">
        <f>VLOOKUP($C267,COS!$B$8:$H$991,3,FALSE)</f>
        <v>6396.69482421875</v>
      </c>
      <c r="E267" s="24">
        <f>IF(D267&gt;=IF(MONTH($C267)=4,$C$3,IF(MONTH($C267)=5,$C$4,IF(MONTH($C267)=6,$C$5,IF(MONTH($C267)=7,$C$6,"ERROR")))),1,0)</f>
        <v>1</v>
      </c>
      <c r="F267" s="26">
        <f>VLOOKUP($C267,COS!$B$8:$H$991,7,FALSE)</f>
        <v>50.986736297607422</v>
      </c>
      <c r="G267" s="24">
        <f>IF(F267&lt;=IF(MONTH($C267)=4,$F$3,IF(MONTH($C267)=5,$F$4,IF(MONTH($C267)=6,$F$5,IF(MONTH($C267)=7,$F$6,"ERROR")))),1,0)</f>
        <v>1</v>
      </c>
      <c r="H267" s="26">
        <f>IF(J267=1,D267-$C$4,0)</f>
        <v>396.69482421875</v>
      </c>
      <c r="I267" s="26">
        <f t="shared" si="342"/>
        <v>24.391813985020661</v>
      </c>
      <c r="J267" s="24">
        <f t="shared" si="419"/>
        <v>1</v>
      </c>
      <c r="K267" s="26">
        <f>VLOOKUP($C267,COS!$B$8:$H$991,2,FALSE)</f>
        <v>4172.81884765625</v>
      </c>
      <c r="L267" s="24">
        <f t="shared" si="333"/>
        <v>1</v>
      </c>
      <c r="M267" s="24">
        <f t="shared" si="334"/>
        <v>1</v>
      </c>
      <c r="N267" s="26">
        <f>VLOOKUP($C267,COS!$B$8:$H$991,5,FALSE)</f>
        <v>221.03926086425781</v>
      </c>
      <c r="O267" s="26">
        <f t="shared" si="422"/>
        <v>13.59117438702544</v>
      </c>
      <c r="P267" s="26">
        <f>VLOOKUP($C267,COS!$B$8:$H$991,6,FALSE)</f>
        <v>2273.549072265625</v>
      </c>
      <c r="Q267" s="26">
        <f t="shared" si="423"/>
        <v>139.79508345170456</v>
      </c>
      <c r="R267" s="26">
        <f>MIN(IF(MONTH($C267)=4,$S$3,IF(MONTH($C267)=5,$S$4,IF(MONTH($C267)=6,$S$5,IF(MONTH($C267)=7,$S$6,"ERROR")))),MAX(VLOOKUP($C267,COS!$B$8:$K$991,10,FALSE)-IF(MONTH($C267)=4,$Y$3,IF(MONTH($C267)=5,$Y$4,IF(MONTH($C267)=6,$Y$5,IF(MONTH($C267)=7,$Y$6,"ERROR")))),0),MAX(VLOOKUP($C267,COS!$B$8:$K$991,9,FALSE)-IF(MONTH($C267)=4,$V$3,IF(MONTH($C267)=5,$V$4,IF(MONTH($C267)=6,$V$5,IF(MONTH($C267)=7,$V$6,"ERROR"))))-VLOOKUP($C267,COS!$B$8:$K$991,6,FALSE)/2,0))</f>
        <v>750</v>
      </c>
      <c r="S267" s="26">
        <f t="shared" si="424"/>
        <v>46.115702479338843</v>
      </c>
      <c r="T267" s="26">
        <f t="shared" si="425"/>
        <v>122.80883139870383</v>
      </c>
      <c r="U267" s="26" t="str">
        <f>IF(VLOOKUP($C267,COS!$B$8:$I$991,8,FALSE)=1,"UWFE","IBU")</f>
        <v>UWFE</v>
      </c>
      <c r="V267" s="26">
        <f t="shared" ref="V267" si="427">MIN(IF(IF($AA$3=2,AND(E267=1,G267=1,L267=1,L271=1,M267=1,U267="IBU"),AND(E267=1,G267=1,L267=1,L271=1,M267=1)),T267,0),I267)</f>
        <v>0</v>
      </c>
      <c r="W267" s="26"/>
      <c r="X267" s="26"/>
      <c r="Y267" s="26"/>
      <c r="Z267" s="26"/>
      <c r="AA267" s="26"/>
      <c r="AB267" s="33"/>
    </row>
    <row r="268" spans="1:28" x14ac:dyDescent="0.3">
      <c r="A268" s="32">
        <f>VLOOKUP(YEAR(C268),Flags!$A$13:$B$95,2,FALSE)</f>
        <v>4</v>
      </c>
      <c r="B268" s="24">
        <f t="shared" si="328"/>
        <v>1950</v>
      </c>
      <c r="C268" s="25">
        <v>18444</v>
      </c>
      <c r="D268" s="26">
        <f>VLOOKUP($C268,COS!$B$8:$H$991,3,FALSE)</f>
        <v>8106.11865234375</v>
      </c>
      <c r="E268" s="24">
        <f>IF(D268&gt;=IF(MONTH($C268)=4,$C$3,IF(MONTH($C268)=5,$C$4,IF(MONTH($C268)=6,$C$5,IF(MONTH($C268)=7,$C$6,"ERROR")))),1,0)</f>
        <v>0</v>
      </c>
      <c r="F268" s="26">
        <f>VLOOKUP($C268,COS!$B$8:$H$991,7,FALSE)</f>
        <v>51.396080017089844</v>
      </c>
      <c r="G268" s="24">
        <f>IF(F268&lt;=IF(MONTH($C268)=4,$F$3,IF(MONTH($C268)=5,$F$4,IF(MONTH($C268)=6,$F$5,IF(MONTH($C268)=7,$F$6,"ERROR")))),1,0)</f>
        <v>1</v>
      </c>
      <c r="H268" s="26">
        <f>IF(J268=1,D268-$C$5,0)</f>
        <v>0</v>
      </c>
      <c r="I268" s="26">
        <f t="shared" si="342"/>
        <v>0</v>
      </c>
      <c r="J268" s="24">
        <f t="shared" si="419"/>
        <v>0</v>
      </c>
      <c r="K268" s="26">
        <f>VLOOKUP($C268,COS!$B$8:$H$991,2,FALSE)</f>
        <v>3898.8837890625</v>
      </c>
      <c r="L268" s="24">
        <f t="shared" si="333"/>
        <v>1</v>
      </c>
      <c r="M268" s="24">
        <f t="shared" si="334"/>
        <v>1</v>
      </c>
      <c r="N268" s="26">
        <f>VLOOKUP($C268,COS!$B$8:$H$991,5,FALSE)</f>
        <v>433.48184204101563</v>
      </c>
      <c r="O268" s="26">
        <f t="shared" si="422"/>
        <v>25.793960848721593</v>
      </c>
      <c r="P268" s="26">
        <f>VLOOKUP($C268,COS!$B$8:$H$991,6,FALSE)</f>
        <v>2603.512451171875</v>
      </c>
      <c r="Q268" s="26">
        <f t="shared" si="423"/>
        <v>154.91974916064049</v>
      </c>
      <c r="R268" s="26">
        <f>MIN(IF(MONTH($C268)=4,$S$3,IF(MONTH($C268)=5,$S$4,IF(MONTH($C268)=6,$S$5,IF(MONTH($C268)=7,$S$6,"ERROR")))),MAX(VLOOKUP($C268,COS!$B$8:$K$991,10,FALSE)-IF(MONTH($C268)=4,$Y$3,IF(MONTH($C268)=5,$Y$4,IF(MONTH($C268)=6,$Y$5,IF(MONTH($C268)=7,$Y$6,"ERROR")))),0),MAX(VLOOKUP($C268,COS!$B$8:$K$991,9,FALSE)-IF(MONTH($C268)=4,$V$3,IF(MONTH($C268)=5,$V$4,IF(MONTH($C268)=6,$V$5,IF(MONTH($C268)=7,$V$6,"ERROR"))))-VLOOKUP($C268,COS!$B$8:$K$991,6,FALSE)/2,0))</f>
        <v>750</v>
      </c>
      <c r="S268" s="26">
        <f t="shared" si="424"/>
        <v>44.628099173553714</v>
      </c>
      <c r="T268" s="26">
        <f t="shared" si="425"/>
        <v>134.98495417823474</v>
      </c>
      <c r="U268" s="26" t="str">
        <f>IF(VLOOKUP($C268,COS!$B$8:$I$991,8,FALSE)=1,"UWFE","IBU")</f>
        <v>IBU</v>
      </c>
      <c r="V268" s="26">
        <f t="shared" ref="V268" si="428">MIN(IF(IF($AA$3=2,AND(E268=1,G268=1,L268=1,L271=1,M268=1,U268="IBU"),AND(E268=1,G268=1,L268=1,L271=1,M268=1)),T268,0),I268)</f>
        <v>0</v>
      </c>
      <c r="W268" s="26"/>
      <c r="X268" s="26"/>
      <c r="Y268" s="26"/>
      <c r="Z268" s="26"/>
      <c r="AA268" s="26"/>
      <c r="AB268" s="33"/>
    </row>
    <row r="269" spans="1:28" x14ac:dyDescent="0.3">
      <c r="A269" s="32">
        <f>VLOOKUP(YEAR(C269),Flags!$A$13:$B$95,2,FALSE)</f>
        <v>4</v>
      </c>
      <c r="B269" s="24">
        <f t="shared" si="328"/>
        <v>1950</v>
      </c>
      <c r="C269" s="25">
        <v>18475</v>
      </c>
      <c r="D269" s="26">
        <f>VLOOKUP($C269,COS!$B$8:$H$991,3,FALSE)</f>
        <v>9670.4365234375</v>
      </c>
      <c r="E269" s="24">
        <f>IF(D269&gt;=IF(MONTH($C269)=4,$C$3,IF(MONTH($C269)=5,$C$4,IF(MONTH($C269)=6,$C$5,IF(MONTH($C269)=7,$C$6,"ERROR")))),1,0)</f>
        <v>0</v>
      </c>
      <c r="F269" s="26">
        <f>VLOOKUP($C269,COS!$B$8:$H$991,7,FALSE)</f>
        <v>52.254299163818359</v>
      </c>
      <c r="G269" s="24">
        <f>IF(F269&lt;=IF(MONTH($C269)=4,$F$3,IF(MONTH($C269)=5,$F$4,IF(MONTH($C269)=6,$F$5,IF(MONTH($C269)=7,$F$6,"ERROR")))),1,0)</f>
        <v>1</v>
      </c>
      <c r="H269" s="26">
        <f>IF(J269=1,D269-$C$6,0)</f>
        <v>0</v>
      </c>
      <c r="I269" s="26">
        <f t="shared" si="342"/>
        <v>0</v>
      </c>
      <c r="J269" s="24">
        <f t="shared" si="419"/>
        <v>0</v>
      </c>
      <c r="K269" s="26">
        <f>VLOOKUP($C269,COS!$B$8:$H$991,2,FALSE)</f>
        <v>3515.872314453125</v>
      </c>
      <c r="L269" s="24">
        <f t="shared" si="333"/>
        <v>1</v>
      </c>
      <c r="M269" s="24">
        <f t="shared" si="334"/>
        <v>1</v>
      </c>
      <c r="N269" s="26">
        <f>VLOOKUP($C269,COS!$B$8:$H$991,5,FALSE)</f>
        <v>482.3499755859375</v>
      </c>
      <c r="O269" s="26">
        <f t="shared" si="422"/>
        <v>29.658543953383266</v>
      </c>
      <c r="P269" s="26">
        <f>VLOOKUP($C269,COS!$B$8:$H$991,6,FALSE)</f>
        <v>2632.5888671875</v>
      </c>
      <c r="Q269" s="26">
        <f t="shared" si="423"/>
        <v>161.87157993285126</v>
      </c>
      <c r="R269" s="26">
        <f>MIN(IF(MONTH($C269)=4,$S$3,IF(MONTH($C269)=5,$S$4,IF(MONTH($C269)=6,$S$5,IF(MONTH($C269)=7,$S$6,"ERROR")))),MAX(VLOOKUP($C269,COS!$B$8:$K$991,10,FALSE)-IF(MONTH($C269)=4,$Y$3,IF(MONTH($C269)=5,$Y$4,IF(MONTH($C269)=6,$Y$5,IF(MONTH($C269)=7,$Y$6,"ERROR")))),0),MAX(VLOOKUP($C269,COS!$B$8:$K$991,9,FALSE)-IF(MONTH($C269)=4,$V$3,IF(MONTH($C269)=5,$V$4,IF(MONTH($C269)=6,$V$5,IF(MONTH($C269)=7,$V$6,"ERROR"))))-VLOOKUP($C269,COS!$B$8:$K$991,6,FALSE)/2,0))</f>
        <v>750</v>
      </c>
      <c r="S269" s="26">
        <f t="shared" si="424"/>
        <v>46.115702479338843</v>
      </c>
      <c r="T269" s="26">
        <f t="shared" si="425"/>
        <v>141.88076442245611</v>
      </c>
      <c r="U269" s="26" t="str">
        <f>IF(VLOOKUP($C269,COS!$B$8:$I$991,8,FALSE)=1,"UWFE","IBU")</f>
        <v>IBU</v>
      </c>
      <c r="V269" s="26">
        <f t="shared" ref="V269" si="429">MIN(IF(IF($AA$3=2,AND(E269=1,G269=1,L269=1,L271=1,M269=1,U269="IBU"),AND(E269=1,G269=1,L269=1,L271=1,M269=1)),T269,0),I269)</f>
        <v>0</v>
      </c>
      <c r="W269" s="26"/>
      <c r="X269" s="26"/>
      <c r="Y269" s="26"/>
      <c r="Z269" s="26"/>
      <c r="AA269" s="26"/>
      <c r="AB269" s="33"/>
    </row>
    <row r="270" spans="1:28" x14ac:dyDescent="0.3">
      <c r="A270" s="32">
        <f>VLOOKUP(YEAR(C270),Flags!$A$13:$B$95,2,FALSE)</f>
        <v>4</v>
      </c>
      <c r="B270" s="24">
        <f t="shared" si="328"/>
        <v>1950</v>
      </c>
      <c r="C270" s="25">
        <v>18506</v>
      </c>
      <c r="D270" s="26"/>
      <c r="E270" s="24"/>
      <c r="F270" s="26"/>
      <c r="G270" s="24"/>
      <c r="H270" s="24"/>
      <c r="I270" s="26"/>
      <c r="J270" s="24"/>
      <c r="K270" s="26"/>
      <c r="L270" s="24"/>
      <c r="M270" s="24"/>
      <c r="N270" s="26"/>
      <c r="O270" s="26"/>
      <c r="P270" s="26"/>
      <c r="Q270" s="26"/>
      <c r="R270" s="26"/>
      <c r="S270" s="26"/>
      <c r="T270" s="26"/>
      <c r="U270" s="26"/>
      <c r="V270" s="26"/>
      <c r="W270" s="26">
        <f>MAX($C$7-VLOOKUP($C270,COS!$B$8:$H$991,3,FALSE),0)</f>
        <v>90741.2333984375</v>
      </c>
      <c r="X270" s="26">
        <f t="shared" si="347"/>
        <v>5579.4609626807851</v>
      </c>
      <c r="Y270" s="26">
        <f>VLOOKUP($C270,COS!$B$8:$H$991,4,FALSE)</f>
        <v>437.07077026367188</v>
      </c>
      <c r="Z270" s="26">
        <f t="shared" si="348"/>
        <v>26.874434138526603</v>
      </c>
      <c r="AA270" s="26">
        <f t="shared" ref="AA270:AA274" si="430">MIN(W270,Y270)</f>
        <v>437.07077026367188</v>
      </c>
      <c r="AB270" s="33">
        <f t="shared" ref="AB270" si="431">AA270*DAY($C270)*86400/43560/1000*IF(MONTH($C270)=8,$P$3,IF(MONTH($C270)=9,$P$4,IF(MONTH($C270)=10,$P$5,IF(MONTH($C270)=11,$P$6,IF(MONTH($C270)=12,$P$7,NA())))))</f>
        <v>26.874434138526603</v>
      </c>
    </row>
    <row r="271" spans="1:28" x14ac:dyDescent="0.3">
      <c r="A271" s="32">
        <f>VLOOKUP(YEAR(C271),Flags!$A$13:$B$95,2,FALSE)</f>
        <v>4</v>
      </c>
      <c r="B271" s="24">
        <f t="shared" ref="B271:B334" si="432">YEAR(C271)</f>
        <v>1950</v>
      </c>
      <c r="C271" s="25">
        <v>18536</v>
      </c>
      <c r="D271" s="26"/>
      <c r="E271" s="24"/>
      <c r="F271" s="26"/>
      <c r="G271" s="24"/>
      <c r="H271" s="24"/>
      <c r="I271" s="26"/>
      <c r="J271" s="24"/>
      <c r="K271" s="26">
        <f>VLOOKUP($C271,COS!$B$8:$H$991,2,FALSE)</f>
        <v>3133.93603515625</v>
      </c>
      <c r="L271" s="24">
        <f t="shared" ref="L271" si="433">IF(AND(K271&gt;$I$7,K271&lt;$I$8),1,0)</f>
        <v>1</v>
      </c>
      <c r="M271" s="24"/>
      <c r="N271" s="26"/>
      <c r="O271" s="26"/>
      <c r="P271" s="26"/>
      <c r="Q271" s="26"/>
      <c r="R271" s="26"/>
      <c r="S271" s="26"/>
      <c r="T271" s="26"/>
      <c r="U271" s="26"/>
      <c r="V271" s="26"/>
      <c r="W271" s="26">
        <f>MAX($C$8-VLOOKUP($C271,COS!$B$8:$H$991,3,FALSE),0)</f>
        <v>95235.51904296875</v>
      </c>
      <c r="X271" s="26">
        <f t="shared" si="347"/>
        <v>5666.9069182592975</v>
      </c>
      <c r="Y271" s="26">
        <f>VLOOKUP($C271,COS!$B$8:$H$991,4,FALSE)</f>
        <v>0</v>
      </c>
      <c r="Z271" s="26">
        <f t="shared" si="348"/>
        <v>0</v>
      </c>
      <c r="AA271" s="26">
        <f t="shared" si="430"/>
        <v>0</v>
      </c>
      <c r="AB271" s="33">
        <f t="shared" si="345"/>
        <v>0</v>
      </c>
    </row>
    <row r="272" spans="1:28" x14ac:dyDescent="0.3">
      <c r="A272" s="32">
        <f>VLOOKUP(YEAR(C272),Flags!$A$13:$B$95,2,FALSE)</f>
        <v>4</v>
      </c>
      <c r="B272" s="24">
        <f t="shared" si="432"/>
        <v>1950</v>
      </c>
      <c r="C272" s="25">
        <v>18567</v>
      </c>
      <c r="D272" s="26"/>
      <c r="E272" s="24"/>
      <c r="F272" s="26"/>
      <c r="G272" s="26"/>
      <c r="H272" s="26"/>
      <c r="I272" s="26"/>
      <c r="J272" s="26"/>
      <c r="K272" s="26"/>
      <c r="L272" s="24"/>
      <c r="M272" s="24"/>
      <c r="N272" s="26"/>
      <c r="O272" s="26"/>
      <c r="P272" s="26"/>
      <c r="Q272" s="26"/>
      <c r="R272" s="26"/>
      <c r="S272" s="26"/>
      <c r="T272" s="26"/>
      <c r="U272" s="26"/>
      <c r="V272" s="26"/>
      <c r="W272" s="26">
        <f>MAX($C$9-VLOOKUP($C272,COS!$B$8:$H$991,3,FALSE),0)</f>
        <v>91664.693359375</v>
      </c>
      <c r="X272" s="26">
        <f t="shared" si="347"/>
        <v>5636.2423024276859</v>
      </c>
      <c r="Y272" s="26">
        <f>VLOOKUP($C272,COS!$B$8:$H$991,4,FALSE)</f>
        <v>1385.623291015625</v>
      </c>
      <c r="Z272" s="26">
        <f t="shared" si="348"/>
        <v>85.198655249225212</v>
      </c>
      <c r="AA272" s="26">
        <f t="shared" si="430"/>
        <v>1385.623291015625</v>
      </c>
      <c r="AB272" s="33">
        <f t="shared" si="345"/>
        <v>85.198655249225212</v>
      </c>
    </row>
    <row r="273" spans="1:28" x14ac:dyDescent="0.3">
      <c r="A273" s="32">
        <f>VLOOKUP(YEAR(C273),Flags!$A$13:$B$95,2,FALSE)</f>
        <v>4</v>
      </c>
      <c r="B273" s="24">
        <f t="shared" si="432"/>
        <v>1950</v>
      </c>
      <c r="C273" s="25">
        <v>18597</v>
      </c>
      <c r="D273" s="26"/>
      <c r="E273" s="24"/>
      <c r="F273" s="26"/>
      <c r="G273" s="26"/>
      <c r="H273" s="26"/>
      <c r="I273" s="26"/>
      <c r="J273" s="26"/>
      <c r="K273" s="26"/>
      <c r="L273" s="24"/>
      <c r="M273" s="24"/>
      <c r="N273" s="26"/>
      <c r="O273" s="26"/>
      <c r="P273" s="26"/>
      <c r="Q273" s="26"/>
      <c r="R273" s="26"/>
      <c r="S273" s="26"/>
      <c r="T273" s="26"/>
      <c r="U273" s="26"/>
      <c r="V273" s="26"/>
      <c r="W273" s="26">
        <f>MAX($C$10-VLOOKUP($C273,COS!$B$8:$H$991,3,FALSE),0)</f>
        <v>88639.322265625</v>
      </c>
      <c r="X273" s="26">
        <f t="shared" si="347"/>
        <v>5274.4059529958677</v>
      </c>
      <c r="Y273" s="26">
        <f>VLOOKUP($C273,COS!$B$8:$H$991,4,FALSE)</f>
        <v>0</v>
      </c>
      <c r="Z273" s="26">
        <f t="shared" si="348"/>
        <v>0</v>
      </c>
      <c r="AA273" s="26">
        <f t="shared" si="430"/>
        <v>0</v>
      </c>
      <c r="AB273" s="33">
        <f t="shared" si="345"/>
        <v>0</v>
      </c>
    </row>
    <row r="274" spans="1:28" x14ac:dyDescent="0.3">
      <c r="A274" s="34">
        <f>VLOOKUP(YEAR(C274),Flags!$A$13:$B$95,2,FALSE)</f>
        <v>4</v>
      </c>
      <c r="B274" s="35">
        <f t="shared" si="432"/>
        <v>1950</v>
      </c>
      <c r="C274" s="36">
        <v>18628</v>
      </c>
      <c r="D274" s="37"/>
      <c r="E274" s="35"/>
      <c r="F274" s="37"/>
      <c r="G274" s="37"/>
      <c r="H274" s="37"/>
      <c r="I274" s="37"/>
      <c r="J274" s="37"/>
      <c r="K274" s="37"/>
      <c r="L274" s="35"/>
      <c r="M274" s="35"/>
      <c r="N274" s="37"/>
      <c r="O274" s="37"/>
      <c r="P274" s="37"/>
      <c r="Q274" s="37"/>
      <c r="R274" s="37"/>
      <c r="S274" s="37"/>
      <c r="T274" s="37"/>
      <c r="U274" s="37"/>
      <c r="V274" s="37"/>
      <c r="W274" s="37">
        <f>MAX($C$11-VLOOKUP($C274,COS!$B$8:$H$991,3,FALSE),0)</f>
        <v>0</v>
      </c>
      <c r="X274" s="37">
        <f t="shared" si="347"/>
        <v>0</v>
      </c>
      <c r="Y274" s="37">
        <f>VLOOKUP($C274,COS!$B$8:$H$991,4,FALSE)</f>
        <v>0</v>
      </c>
      <c r="Z274" s="37">
        <f t="shared" si="348"/>
        <v>0</v>
      </c>
      <c r="AA274" s="37">
        <f t="shared" si="430"/>
        <v>0</v>
      </c>
      <c r="AB274" s="38">
        <f t="shared" si="345"/>
        <v>0</v>
      </c>
    </row>
    <row r="275" spans="1:28" x14ac:dyDescent="0.3">
      <c r="A275" s="27">
        <f>VLOOKUP(YEAR(C275),Flags!$A$13:$B$95,2,FALSE)</f>
        <v>2</v>
      </c>
      <c r="B275" s="28">
        <f t="shared" si="432"/>
        <v>1951</v>
      </c>
      <c r="C275" s="29">
        <v>18748</v>
      </c>
      <c r="D275" s="30">
        <f>VLOOKUP($C275,COS!$B$8:$H$991,3,FALSE)</f>
        <v>3250</v>
      </c>
      <c r="E275" s="28">
        <f>IF(D275&gt;=IF(MONTH($C275)=4,$C$3,IF(MONTH($C275)=5,$C$4,IF(MONTH($C275)=6,$C$5,IF(MONTH($C275)=7,$C$6,"ERROR")))),1,0)</f>
        <v>0</v>
      </c>
      <c r="F275" s="30">
        <f>VLOOKUP($C275,COS!$B$8:$H$991,7,FALSE)</f>
        <v>50.026283264160156</v>
      </c>
      <c r="G275" s="28">
        <f>IF(F275&lt;=IF(MONTH($C275)=4,$F$3,IF(MONTH($C275)=5,$F$4,IF(MONTH($C275)=6,$F$5,IF(MONTH($C275)=7,$F$6,"ERROR")))),1,0)</f>
        <v>1</v>
      </c>
      <c r="H275" s="30">
        <f>IF(J275=1,D275-$C$3,0)</f>
        <v>0</v>
      </c>
      <c r="I275" s="30">
        <f t="shared" si="342"/>
        <v>0</v>
      </c>
      <c r="J275" s="28">
        <f t="shared" ref="J275:J278" si="434">IF(AND(E275=1,G275=1),1,0)</f>
        <v>0</v>
      </c>
      <c r="K275" s="30">
        <f>VLOOKUP($C275,COS!$B$8:$H$991,2,FALSE)</f>
        <v>4516.4619140625</v>
      </c>
      <c r="L275" s="28">
        <f t="shared" ref="L275:L332" si="435">IF(K275&lt;=IF(MONTH($C275)=4,$I$3,IF(MONTH($C275)=5,$I$4,IF(MONTH($C275)=6,$I$5,IF(MONTH($C275)=7,$I$6,"ERROR")))),1,0)</f>
        <v>1</v>
      </c>
      <c r="M275" s="28">
        <f t="shared" ref="M275:M332" si="436">VLOOKUP($A275,$L$3:$M$7,2,FALSE)</f>
        <v>0</v>
      </c>
      <c r="N275" s="30">
        <f>VLOOKUP($C275,COS!$B$8:$H$991,5,FALSE)</f>
        <v>285.89596557617188</v>
      </c>
      <c r="O275" s="30">
        <f t="shared" ref="O275:O278" si="437">N275*DAY($C275)*86400/43560/1000</f>
        <v>17.011991340069731</v>
      </c>
      <c r="P275" s="30">
        <f>VLOOKUP($C275,COS!$B$8:$H$991,6,FALSE)</f>
        <v>523.71405029296875</v>
      </c>
      <c r="Q275" s="30">
        <f t="shared" ref="Q275:Q278" si="438">P275*DAY($C275)*86400/43560/1000</f>
        <v>31.16315010007748</v>
      </c>
      <c r="R275" s="30">
        <f>MIN(IF(MONTH($C275)=4,$S$3,IF(MONTH($C275)=5,$S$4,IF(MONTH($C275)=6,$S$5,IF(MONTH($C275)=7,$S$6,"ERROR")))),MAX(VLOOKUP($C275,COS!$B$8:$K$991,10,FALSE)-IF(MONTH($C275)=4,$Y$3,IF(MONTH($C275)=5,$Y$4,IF(MONTH($C275)=6,$Y$5,IF(MONTH($C275)=7,$Y$6,"ERROR")))),0),MAX(VLOOKUP($C275,COS!$B$8:$K$991,9,FALSE)-IF(MONTH($C275)=4,$V$3,IF(MONTH($C275)=5,$V$4,IF(MONTH($C275)=6,$V$5,IF(MONTH($C275)=7,$V$6,"ERROR"))))-VLOOKUP($C275,COS!$B$8:$K$991,6,FALSE)/2,0))</f>
        <v>750</v>
      </c>
      <c r="S275" s="30">
        <f t="shared" ref="S275:S278" si="439">R275*DAY($C275)*86400/43560/1000</f>
        <v>44.628099173553714</v>
      </c>
      <c r="T275" s="30">
        <f t="shared" ref="T275:T278" si="440">(O275+Q275)/2+S275</f>
        <v>68.715669893627322</v>
      </c>
      <c r="U275" s="30" t="str">
        <f>IF(VLOOKUP($C275,COS!$B$8:$I$991,8,FALSE)=1,"UWFE","IBU")</f>
        <v>UWFE</v>
      </c>
      <c r="V275" s="30">
        <f t="shared" ref="V275" si="441">MIN(IF(IF($AA$3=2,AND(E275=1,G275=1,L275=1,L280=1,M275=1,U275="IBU"),AND(E275=1,G275=1,L275=1,L280=1,M275=1)),T275,0),I275)</f>
        <v>0</v>
      </c>
      <c r="W275" s="30"/>
      <c r="X275" s="30"/>
      <c r="Y275" s="30"/>
      <c r="Z275" s="30"/>
      <c r="AA275" s="30"/>
      <c r="AB275" s="31"/>
    </row>
    <row r="276" spans="1:28" x14ac:dyDescent="0.3">
      <c r="A276" s="32">
        <f>VLOOKUP(YEAR(C276),Flags!$A$13:$B$95,2,FALSE)</f>
        <v>2</v>
      </c>
      <c r="B276" s="24">
        <f t="shared" si="432"/>
        <v>1951</v>
      </c>
      <c r="C276" s="25">
        <v>18779</v>
      </c>
      <c r="D276" s="26">
        <f>VLOOKUP($C276,COS!$B$8:$H$991,3,FALSE)</f>
        <v>6537.244140625</v>
      </c>
      <c r="E276" s="24">
        <f>IF(D276&gt;=IF(MONTH($C276)=4,$C$3,IF(MONTH($C276)=5,$C$4,IF(MONTH($C276)=6,$C$5,IF(MONTH($C276)=7,$C$6,"ERROR")))),1,0)</f>
        <v>1</v>
      </c>
      <c r="F276" s="26">
        <f>VLOOKUP($C276,COS!$B$8:$H$991,7,FALSE)</f>
        <v>50.078166961669922</v>
      </c>
      <c r="G276" s="24">
        <f>IF(F276&lt;=IF(MONTH($C276)=4,$F$3,IF(MONTH($C276)=5,$F$4,IF(MONTH($C276)=6,$F$5,IF(MONTH($C276)=7,$F$6,"ERROR")))),1,0)</f>
        <v>1</v>
      </c>
      <c r="H276" s="26">
        <f>IF(J276=1,D276-$C$4,0)</f>
        <v>537.244140625</v>
      </c>
      <c r="I276" s="26">
        <f t="shared" si="342"/>
        <v>33.033854597107435</v>
      </c>
      <c r="J276" s="24">
        <f t="shared" si="434"/>
        <v>1</v>
      </c>
      <c r="K276" s="26">
        <f>VLOOKUP($C276,COS!$B$8:$H$991,2,FALSE)</f>
        <v>4552</v>
      </c>
      <c r="L276" s="24">
        <f t="shared" si="435"/>
        <v>1</v>
      </c>
      <c r="M276" s="24">
        <f t="shared" si="436"/>
        <v>0</v>
      </c>
      <c r="N276" s="26">
        <f>VLOOKUP($C276,COS!$B$8:$H$991,5,FALSE)</f>
        <v>725.94110107421875</v>
      </c>
      <c r="O276" s="26">
        <f t="shared" si="437"/>
        <v>44.636378446216426</v>
      </c>
      <c r="P276" s="26">
        <f>VLOOKUP($C276,COS!$B$8:$H$991,6,FALSE)</f>
        <v>1961.9442138671875</v>
      </c>
      <c r="Q276" s="26">
        <f t="shared" si="438"/>
        <v>120.63524753034608</v>
      </c>
      <c r="R276" s="26">
        <f>MIN(IF(MONTH($C276)=4,$S$3,IF(MONTH($C276)=5,$S$4,IF(MONTH($C276)=6,$S$5,IF(MONTH($C276)=7,$S$6,"ERROR")))),MAX(VLOOKUP($C276,COS!$B$8:$K$991,10,FALSE)-IF(MONTH($C276)=4,$Y$3,IF(MONTH($C276)=5,$Y$4,IF(MONTH($C276)=6,$Y$5,IF(MONTH($C276)=7,$Y$6,"ERROR")))),0),MAX(VLOOKUP($C276,COS!$B$8:$K$991,9,FALSE)-IF(MONTH($C276)=4,$V$3,IF(MONTH($C276)=5,$V$4,IF(MONTH($C276)=6,$V$5,IF(MONTH($C276)=7,$V$6,"ERROR"))))-VLOOKUP($C276,COS!$B$8:$K$991,6,FALSE)/2,0))</f>
        <v>750</v>
      </c>
      <c r="S276" s="26">
        <f t="shared" si="439"/>
        <v>46.115702479338843</v>
      </c>
      <c r="T276" s="26">
        <f t="shared" si="440"/>
        <v>128.7515154676201</v>
      </c>
      <c r="U276" s="26" t="str">
        <f>IF(VLOOKUP($C276,COS!$B$8:$I$991,8,FALSE)=1,"UWFE","IBU")</f>
        <v>UWFE</v>
      </c>
      <c r="V276" s="26">
        <f t="shared" ref="V276" si="442">MIN(IF(IF($AA$3=2,AND(E276=1,G276=1,L276=1,L280=1,M276=1,U276="IBU"),AND(E276=1,G276=1,L276=1,L280=1,M276=1)),T276,0),I276)</f>
        <v>0</v>
      </c>
      <c r="W276" s="26"/>
      <c r="X276" s="26"/>
      <c r="Y276" s="26"/>
      <c r="Z276" s="26"/>
      <c r="AA276" s="26"/>
      <c r="AB276" s="33"/>
    </row>
    <row r="277" spans="1:28" x14ac:dyDescent="0.3">
      <c r="A277" s="32">
        <f>VLOOKUP(YEAR(C277),Flags!$A$13:$B$95,2,FALSE)</f>
        <v>2</v>
      </c>
      <c r="B277" s="24">
        <f t="shared" si="432"/>
        <v>1951</v>
      </c>
      <c r="C277" s="25">
        <v>18809</v>
      </c>
      <c r="D277" s="26">
        <f>VLOOKUP($C277,COS!$B$8:$H$991,3,FALSE)</f>
        <v>10659.24609375</v>
      </c>
      <c r="E277" s="24">
        <f>IF(D277&gt;=IF(MONTH($C277)=4,$C$3,IF(MONTH($C277)=5,$C$4,IF(MONTH($C277)=6,$C$5,IF(MONTH($C277)=7,$C$6,"ERROR")))),1,0)</f>
        <v>1</v>
      </c>
      <c r="F277" s="26">
        <f>VLOOKUP($C277,COS!$B$8:$H$991,7,FALSE)</f>
        <v>49.92681884765625</v>
      </c>
      <c r="G277" s="24">
        <f>IF(F277&lt;=IF(MONTH($C277)=4,$F$3,IF(MONTH($C277)=5,$F$4,IF(MONTH($C277)=6,$F$5,IF(MONTH($C277)=7,$F$6,"ERROR")))),1,0)</f>
        <v>1</v>
      </c>
      <c r="H277" s="26">
        <f>IF(J277=1,D277-$C$5,0)</f>
        <v>659.24609375</v>
      </c>
      <c r="I277" s="26">
        <f t="shared" si="342"/>
        <v>39.227866735537184</v>
      </c>
      <c r="J277" s="24">
        <f t="shared" si="434"/>
        <v>1</v>
      </c>
      <c r="K277" s="26">
        <f>VLOOKUP($C277,COS!$B$8:$H$991,2,FALSE)</f>
        <v>4123.96142578125</v>
      </c>
      <c r="L277" s="24">
        <f t="shared" si="435"/>
        <v>1</v>
      </c>
      <c r="M277" s="24">
        <f t="shared" si="436"/>
        <v>0</v>
      </c>
      <c r="N277" s="26">
        <f>VLOOKUP($C277,COS!$B$8:$H$991,5,FALSE)</f>
        <v>977.7628173828125</v>
      </c>
      <c r="O277" s="26">
        <f t="shared" si="437"/>
        <v>58.180927976497934</v>
      </c>
      <c r="P277" s="26">
        <f>VLOOKUP($C277,COS!$B$8:$H$991,6,FALSE)</f>
        <v>2422.49462890625</v>
      </c>
      <c r="Q277" s="26">
        <f t="shared" si="438"/>
        <v>144.14844072830579</v>
      </c>
      <c r="R277" s="26">
        <f>MIN(IF(MONTH($C277)=4,$S$3,IF(MONTH($C277)=5,$S$4,IF(MONTH($C277)=6,$S$5,IF(MONTH($C277)=7,$S$6,"ERROR")))),MAX(VLOOKUP($C277,COS!$B$8:$K$991,10,FALSE)-IF(MONTH($C277)=4,$Y$3,IF(MONTH($C277)=5,$Y$4,IF(MONTH($C277)=6,$Y$5,IF(MONTH($C277)=7,$Y$6,"ERROR")))),0),MAX(VLOOKUP($C277,COS!$B$8:$K$991,9,FALSE)-IF(MONTH($C277)=4,$V$3,IF(MONTH($C277)=5,$V$4,IF(MONTH($C277)=6,$V$5,IF(MONTH($C277)=7,$V$6,"ERROR"))))-VLOOKUP($C277,COS!$B$8:$K$991,6,FALSE)/2,0))</f>
        <v>750</v>
      </c>
      <c r="S277" s="26">
        <f t="shared" si="439"/>
        <v>44.628099173553714</v>
      </c>
      <c r="T277" s="26">
        <f t="shared" si="440"/>
        <v>145.79278352595557</v>
      </c>
      <c r="U277" s="26" t="str">
        <f>IF(VLOOKUP($C277,COS!$B$8:$I$991,8,FALSE)=1,"UWFE","IBU")</f>
        <v>IBU</v>
      </c>
      <c r="V277" s="26">
        <f t="shared" ref="V277" si="443">MIN(IF(IF($AA$3=2,AND(E277=1,G277=1,L277=1,L280=1,M277=1,U277="IBU"),AND(E277=1,G277=1,L277=1,L280=1,M277=1)),T277,0),I277)</f>
        <v>0</v>
      </c>
      <c r="W277" s="26"/>
      <c r="X277" s="26"/>
      <c r="Y277" s="26"/>
      <c r="Z277" s="26"/>
      <c r="AA277" s="26"/>
      <c r="AB277" s="33"/>
    </row>
    <row r="278" spans="1:28" x14ac:dyDescent="0.3">
      <c r="A278" s="32">
        <f>VLOOKUP(YEAR(C278),Flags!$A$13:$B$95,2,FALSE)</f>
        <v>2</v>
      </c>
      <c r="B278" s="24">
        <f t="shared" si="432"/>
        <v>1951</v>
      </c>
      <c r="C278" s="25">
        <v>18840</v>
      </c>
      <c r="D278" s="26">
        <f>VLOOKUP($C278,COS!$B$8:$H$991,3,FALSE)</f>
        <v>16000</v>
      </c>
      <c r="E278" s="24">
        <f>IF(D278&gt;=IF(MONTH($C278)=4,$C$3,IF(MONTH($C278)=5,$C$4,IF(MONTH($C278)=6,$C$5,IF(MONTH($C278)=7,$C$6,"ERROR")))),1,0)</f>
        <v>1</v>
      </c>
      <c r="F278" s="26">
        <f>VLOOKUP($C278,COS!$B$8:$H$991,7,FALSE)</f>
        <v>50.000553131103516</v>
      </c>
      <c r="G278" s="24">
        <f>IF(F278&lt;=IF(MONTH($C278)=4,$F$3,IF(MONTH($C278)=5,$F$4,IF(MONTH($C278)=6,$F$5,IF(MONTH($C278)=7,$F$6,"ERROR")))),1,0)</f>
        <v>1</v>
      </c>
      <c r="H278" s="26">
        <f>IF(J278=1,D278-$C$6,0)</f>
        <v>4000</v>
      </c>
      <c r="I278" s="26">
        <f t="shared" si="342"/>
        <v>245.95041322314049</v>
      </c>
      <c r="J278" s="24">
        <f t="shared" si="434"/>
        <v>1</v>
      </c>
      <c r="K278" s="26">
        <f>VLOOKUP($C278,COS!$B$8:$H$991,2,FALSE)</f>
        <v>3378.982666015625</v>
      </c>
      <c r="L278" s="24">
        <f t="shared" si="435"/>
        <v>1</v>
      </c>
      <c r="M278" s="24">
        <f t="shared" si="436"/>
        <v>0</v>
      </c>
      <c r="N278" s="26">
        <f>VLOOKUP($C278,COS!$B$8:$H$991,5,FALSE)</f>
        <v>1073.9122314453125</v>
      </c>
      <c r="O278" s="26">
        <f t="shared" si="437"/>
        <v>66.032289272339867</v>
      </c>
      <c r="P278" s="26">
        <f>VLOOKUP($C278,COS!$B$8:$H$991,6,FALSE)</f>
        <v>2562.892822265625</v>
      </c>
      <c r="Q278" s="26">
        <f t="shared" si="438"/>
        <v>157.58613717071282</v>
      </c>
      <c r="R278" s="26">
        <f>MIN(IF(MONTH($C278)=4,$S$3,IF(MONTH($C278)=5,$S$4,IF(MONTH($C278)=6,$S$5,IF(MONTH($C278)=7,$S$6,"ERROR")))),MAX(VLOOKUP($C278,COS!$B$8:$K$991,10,FALSE)-IF(MONTH($C278)=4,$Y$3,IF(MONTH($C278)=5,$Y$4,IF(MONTH($C278)=6,$Y$5,IF(MONTH($C278)=7,$Y$6,"ERROR")))),0),MAX(VLOOKUP($C278,COS!$B$8:$K$991,9,FALSE)-IF(MONTH($C278)=4,$V$3,IF(MONTH($C278)=5,$V$4,IF(MONTH($C278)=6,$V$5,IF(MONTH($C278)=7,$V$6,"ERROR"))))-VLOOKUP($C278,COS!$B$8:$K$991,6,FALSE)/2,0))</f>
        <v>750</v>
      </c>
      <c r="S278" s="26">
        <f t="shared" si="439"/>
        <v>46.115702479338843</v>
      </c>
      <c r="T278" s="26">
        <f t="shared" si="440"/>
        <v>157.92491570086517</v>
      </c>
      <c r="U278" s="26" t="str">
        <f>IF(VLOOKUP($C278,COS!$B$8:$I$991,8,FALSE)=1,"UWFE","IBU")</f>
        <v>IBU</v>
      </c>
      <c r="V278" s="26">
        <f t="shared" ref="V278" si="444">MIN(IF(IF($AA$3=2,AND(E278=1,G278=1,L278=1,L280=1,M278=1,U278="IBU"),AND(E278=1,G278=1,L278=1,L280=1,M278=1)),T278,0),I278)</f>
        <v>0</v>
      </c>
      <c r="W278" s="26"/>
      <c r="X278" s="26"/>
      <c r="Y278" s="26"/>
      <c r="Z278" s="26"/>
      <c r="AA278" s="26"/>
      <c r="AB278" s="33"/>
    </row>
    <row r="279" spans="1:28" x14ac:dyDescent="0.3">
      <c r="A279" s="32">
        <f>VLOOKUP(YEAR(C279),Flags!$A$13:$B$95,2,FALSE)</f>
        <v>2</v>
      </c>
      <c r="B279" s="24">
        <f t="shared" si="432"/>
        <v>1951</v>
      </c>
      <c r="C279" s="25">
        <v>18871</v>
      </c>
      <c r="D279" s="26"/>
      <c r="E279" s="24"/>
      <c r="F279" s="26"/>
      <c r="G279" s="24"/>
      <c r="H279" s="24"/>
      <c r="I279" s="26"/>
      <c r="J279" s="24"/>
      <c r="K279" s="26"/>
      <c r="L279" s="24"/>
      <c r="M279" s="24"/>
      <c r="N279" s="26"/>
      <c r="O279" s="26"/>
      <c r="P279" s="26"/>
      <c r="Q279" s="26"/>
      <c r="R279" s="26"/>
      <c r="S279" s="26"/>
      <c r="T279" s="26"/>
      <c r="U279" s="26"/>
      <c r="V279" s="26"/>
      <c r="W279" s="26">
        <f>MAX($C$7-VLOOKUP($C279,COS!$B$8:$H$991,3,FALSE),0)</f>
        <v>88694.990234375</v>
      </c>
      <c r="X279" s="26">
        <f t="shared" si="347"/>
        <v>5453.6423747417357</v>
      </c>
      <c r="Y279" s="26">
        <f>VLOOKUP($C279,COS!$B$8:$H$991,4,FALSE)</f>
        <v>0</v>
      </c>
      <c r="Z279" s="26">
        <f t="shared" si="348"/>
        <v>0</v>
      </c>
      <c r="AA279" s="26">
        <f t="shared" ref="AA279:AA283" si="445">MIN(W279,Y279)</f>
        <v>0</v>
      </c>
      <c r="AB279" s="33">
        <f t="shared" ref="AB279:AB337" si="446">AA279*DAY($C279)*86400/43560/1000*IF(MONTH($C279)=8,$P$3,IF(MONTH($C279)=9,$P$4,IF(MONTH($C279)=10,$P$5,IF(MONTH($C279)=11,$P$6,IF(MONTH($C279)=12,$P$7,NA())))))</f>
        <v>0</v>
      </c>
    </row>
    <row r="280" spans="1:28" x14ac:dyDescent="0.3">
      <c r="A280" s="32">
        <f>VLOOKUP(YEAR(C280),Flags!$A$13:$B$95,2,FALSE)</f>
        <v>2</v>
      </c>
      <c r="B280" s="24">
        <f t="shared" si="432"/>
        <v>1951</v>
      </c>
      <c r="C280" s="25">
        <v>18901</v>
      </c>
      <c r="D280" s="26"/>
      <c r="E280" s="24"/>
      <c r="F280" s="26"/>
      <c r="G280" s="24"/>
      <c r="H280" s="24"/>
      <c r="I280" s="26"/>
      <c r="J280" s="24"/>
      <c r="K280" s="26">
        <f>VLOOKUP($C280,COS!$B$8:$H$991,2,FALSE)</f>
        <v>2661.90625</v>
      </c>
      <c r="L280" s="24">
        <f t="shared" ref="L280" si="447">IF(AND(K280&gt;$I$7,K280&lt;$I$8),1,0)</f>
        <v>1</v>
      </c>
      <c r="M280" s="24"/>
      <c r="N280" s="26"/>
      <c r="O280" s="26"/>
      <c r="P280" s="26"/>
      <c r="Q280" s="26"/>
      <c r="R280" s="26"/>
      <c r="S280" s="26"/>
      <c r="T280" s="26"/>
      <c r="U280" s="26"/>
      <c r="V280" s="26"/>
      <c r="W280" s="26">
        <f>MAX($C$8-VLOOKUP($C280,COS!$B$8:$H$991,3,FALSE),0)</f>
        <v>90025.66796875</v>
      </c>
      <c r="X280" s="26">
        <f t="shared" si="347"/>
        <v>5356.8992510330572</v>
      </c>
      <c r="Y280" s="26">
        <f>VLOOKUP($C280,COS!$B$8:$H$991,4,FALSE)</f>
        <v>0</v>
      </c>
      <c r="Z280" s="26">
        <f t="shared" si="348"/>
        <v>0</v>
      </c>
      <c r="AA280" s="26">
        <f t="shared" si="445"/>
        <v>0</v>
      </c>
      <c r="AB280" s="33">
        <f t="shared" si="446"/>
        <v>0</v>
      </c>
    </row>
    <row r="281" spans="1:28" x14ac:dyDescent="0.3">
      <c r="A281" s="32">
        <f>VLOOKUP(YEAR(C281),Flags!$A$13:$B$95,2,FALSE)</f>
        <v>2</v>
      </c>
      <c r="B281" s="24">
        <f t="shared" si="432"/>
        <v>1951</v>
      </c>
      <c r="C281" s="25">
        <v>18932</v>
      </c>
      <c r="D281" s="26"/>
      <c r="E281" s="24"/>
      <c r="F281" s="26"/>
      <c r="G281" s="26"/>
      <c r="H281" s="26"/>
      <c r="I281" s="26"/>
      <c r="J281" s="26"/>
      <c r="K281" s="26"/>
      <c r="L281" s="24"/>
      <c r="M281" s="24"/>
      <c r="N281" s="26"/>
      <c r="O281" s="26"/>
      <c r="P281" s="26"/>
      <c r="Q281" s="26"/>
      <c r="R281" s="26"/>
      <c r="S281" s="26"/>
      <c r="T281" s="26"/>
      <c r="U281" s="26"/>
      <c r="V281" s="26"/>
      <c r="W281" s="26">
        <f>MAX($C$9-VLOOKUP($C281,COS!$B$8:$H$991,3,FALSE),0)</f>
        <v>92899.10302734375</v>
      </c>
      <c r="X281" s="26">
        <f t="shared" si="347"/>
        <v>5712.1431944085743</v>
      </c>
      <c r="Y281" s="26">
        <f>VLOOKUP($C281,COS!$B$8:$H$991,4,FALSE)</f>
        <v>951.9967041015625</v>
      </c>
      <c r="Z281" s="26">
        <f t="shared" si="348"/>
        <v>58.535995690211777</v>
      </c>
      <c r="AA281" s="26">
        <f t="shared" si="445"/>
        <v>951.9967041015625</v>
      </c>
      <c r="AB281" s="33">
        <f t="shared" si="446"/>
        <v>58.535995690211777</v>
      </c>
    </row>
    <row r="282" spans="1:28" x14ac:dyDescent="0.3">
      <c r="A282" s="32">
        <f>VLOOKUP(YEAR(C282),Flags!$A$13:$B$95,2,FALSE)</f>
        <v>2</v>
      </c>
      <c r="B282" s="24">
        <f t="shared" si="432"/>
        <v>1951</v>
      </c>
      <c r="C282" s="25">
        <v>18962</v>
      </c>
      <c r="D282" s="26"/>
      <c r="E282" s="24"/>
      <c r="F282" s="26"/>
      <c r="G282" s="26"/>
      <c r="H282" s="26"/>
      <c r="I282" s="26"/>
      <c r="J282" s="26"/>
      <c r="K282" s="26"/>
      <c r="L282" s="24"/>
      <c r="M282" s="24"/>
      <c r="N282" s="26"/>
      <c r="O282" s="26"/>
      <c r="P282" s="26"/>
      <c r="Q282" s="26"/>
      <c r="R282" s="26"/>
      <c r="S282" s="26"/>
      <c r="T282" s="26"/>
      <c r="U282" s="26"/>
      <c r="V282" s="26"/>
      <c r="W282" s="26">
        <f>MAX($C$10-VLOOKUP($C282,COS!$B$8:$H$991,3,FALSE),0)</f>
        <v>91653.669921875</v>
      </c>
      <c r="X282" s="26">
        <f t="shared" si="347"/>
        <v>5453.7720945247929</v>
      </c>
      <c r="Y282" s="26">
        <f>VLOOKUP($C282,COS!$B$8:$H$991,4,FALSE)</f>
        <v>1099.94921875</v>
      </c>
      <c r="Z282" s="26">
        <f t="shared" si="348"/>
        <v>65.451523760330574</v>
      </c>
      <c r="AA282" s="26">
        <f t="shared" si="445"/>
        <v>1099.94921875</v>
      </c>
      <c r="AB282" s="33">
        <f t="shared" si="446"/>
        <v>32.725761880165287</v>
      </c>
    </row>
    <row r="283" spans="1:28" x14ac:dyDescent="0.3">
      <c r="A283" s="34">
        <f>VLOOKUP(YEAR(C283),Flags!$A$13:$B$95,2,FALSE)</f>
        <v>2</v>
      </c>
      <c r="B283" s="35">
        <f t="shared" si="432"/>
        <v>1951</v>
      </c>
      <c r="C283" s="36">
        <v>18993</v>
      </c>
      <c r="D283" s="37"/>
      <c r="E283" s="35"/>
      <c r="F283" s="37"/>
      <c r="G283" s="37"/>
      <c r="H283" s="37"/>
      <c r="I283" s="37"/>
      <c r="J283" s="37"/>
      <c r="K283" s="37"/>
      <c r="L283" s="35"/>
      <c r="M283" s="35"/>
      <c r="N283" s="37"/>
      <c r="O283" s="37"/>
      <c r="P283" s="37"/>
      <c r="Q283" s="37"/>
      <c r="R283" s="37"/>
      <c r="S283" s="37"/>
      <c r="T283" s="37"/>
      <c r="U283" s="37"/>
      <c r="V283" s="37"/>
      <c r="W283" s="37">
        <f>MAX($C$11-VLOOKUP($C283,COS!$B$8:$H$991,3,FALSE),0)</f>
        <v>0</v>
      </c>
      <c r="X283" s="37">
        <f t="shared" ref="X283:X346" si="448">W283*DAY($C283)*86400/43560/1000</f>
        <v>0</v>
      </c>
      <c r="Y283" s="37">
        <f>VLOOKUP($C283,COS!$B$8:$H$991,4,FALSE)</f>
        <v>0</v>
      </c>
      <c r="Z283" s="37">
        <f t="shared" ref="Z283:Z346" si="449">Y283*DAY($C283)*86400/43560/1000</f>
        <v>0</v>
      </c>
      <c r="AA283" s="37">
        <f t="shared" si="445"/>
        <v>0</v>
      </c>
      <c r="AB283" s="38">
        <f t="shared" si="446"/>
        <v>0</v>
      </c>
    </row>
    <row r="284" spans="1:28" x14ac:dyDescent="0.3">
      <c r="A284" s="27">
        <f>VLOOKUP(YEAR(C284),Flags!$A$13:$B$95,2,FALSE)</f>
        <v>1</v>
      </c>
      <c r="B284" s="28">
        <f t="shared" si="432"/>
        <v>1952</v>
      </c>
      <c r="C284" s="29">
        <v>19114</v>
      </c>
      <c r="D284" s="30">
        <f>VLOOKUP($C284,COS!$B$8:$H$991,3,FALSE)</f>
        <v>16481.419921875</v>
      </c>
      <c r="E284" s="28">
        <f>IF(D284&gt;=IF(MONTH($C284)=4,$C$3,IF(MONTH($C284)=5,$C$4,IF(MONTH($C284)=6,$C$5,IF(MONTH($C284)=7,$C$6,"ERROR")))),1,0)</f>
        <v>1</v>
      </c>
      <c r="F284" s="30">
        <f>VLOOKUP($C284,COS!$B$8:$H$991,7,FALSE)</f>
        <v>46.811973571777344</v>
      </c>
      <c r="G284" s="28">
        <f>IF(F284&lt;=IF(MONTH($C284)=4,$F$3,IF(MONTH($C284)=5,$F$4,IF(MONTH($C284)=6,$F$5,IF(MONTH($C284)=7,$F$6,"ERROR")))),1,0)</f>
        <v>1</v>
      </c>
      <c r="H284" s="30">
        <f>IF(J284=1,D284-$C$3,0)</f>
        <v>10481.419921875</v>
      </c>
      <c r="I284" s="30">
        <f t="shared" ref="I284:I347" si="450">H284*DAY($C284)*86400/43560/1000</f>
        <v>623.68779700413222</v>
      </c>
      <c r="J284" s="28">
        <f t="shared" ref="J284:J287" si="451">IF(AND(E284=1,G284=1),1,0)</f>
        <v>1</v>
      </c>
      <c r="K284" s="30">
        <f>VLOOKUP($C284,COS!$B$8:$H$991,2,FALSE)</f>
        <v>4290</v>
      </c>
      <c r="L284" s="28">
        <f t="shared" ref="L284" si="452">IF(K284&lt;=IF(MONTH($C284)=4,$I$3,IF(MONTH($C284)=5,$I$4,IF(MONTH($C284)=6,$I$5,IF(MONTH($C284)=7,$I$6,"ERROR")))),1,0)</f>
        <v>1</v>
      </c>
      <c r="M284" s="28">
        <f t="shared" ref="M284" si="453">VLOOKUP($A284,$L$3:$M$7,2,FALSE)</f>
        <v>0</v>
      </c>
      <c r="N284" s="30">
        <f>VLOOKUP($C284,COS!$B$8:$H$991,5,FALSE)</f>
        <v>93.1021728515625</v>
      </c>
      <c r="O284" s="30">
        <f t="shared" ref="O284:O287" si="454">N284*DAY($C284)*86400/43560/1000</f>
        <v>5.5399640043904954</v>
      </c>
      <c r="P284" s="30">
        <f>VLOOKUP($C284,COS!$B$8:$H$991,6,FALSE)</f>
        <v>430.79507446289063</v>
      </c>
      <c r="Q284" s="30">
        <f t="shared" ref="Q284:Q287" si="455">P284*DAY($C284)*86400/43560/1000</f>
        <v>25.63408707547779</v>
      </c>
      <c r="R284" s="30">
        <f>MIN(IF(MONTH($C284)=4,$S$3,IF(MONTH($C284)=5,$S$4,IF(MONTH($C284)=6,$S$5,IF(MONTH($C284)=7,$S$6,"ERROR")))),MAX(VLOOKUP($C284,COS!$B$8:$K$991,10,FALSE)-IF(MONTH($C284)=4,$Y$3,IF(MONTH($C284)=5,$Y$4,IF(MONTH($C284)=6,$Y$5,IF(MONTH($C284)=7,$Y$6,"ERROR")))),0),MAX(VLOOKUP($C284,COS!$B$8:$K$991,9,FALSE)-IF(MONTH($C284)=4,$V$3,IF(MONTH($C284)=5,$V$4,IF(MONTH($C284)=6,$V$5,IF(MONTH($C284)=7,$V$6,"ERROR"))))-VLOOKUP($C284,COS!$B$8:$K$991,6,FALSE)/2,0))</f>
        <v>750</v>
      </c>
      <c r="S284" s="30">
        <f t="shared" ref="S284:S287" si="456">R284*DAY($C284)*86400/43560/1000</f>
        <v>44.628099173553714</v>
      </c>
      <c r="T284" s="30">
        <f t="shared" ref="T284:T287" si="457">(O284+Q284)/2+S284</f>
        <v>60.215124713487853</v>
      </c>
      <c r="U284" s="30" t="str">
        <f>IF(VLOOKUP($C284,COS!$B$8:$I$991,8,FALSE)=1,"UWFE","IBU")</f>
        <v>UWFE</v>
      </c>
      <c r="V284" s="30">
        <f t="shared" ref="V284" si="458">MIN(IF(IF($AA$3=2,AND(E284=1,G284=1,L284=1,L289=1,M284=1,U284="IBU"),AND(E284=1,G284=1,L284=1,L289=1,M284=1)),T284,0),I284)</f>
        <v>0</v>
      </c>
      <c r="W284" s="30"/>
      <c r="X284" s="30"/>
      <c r="Y284" s="30"/>
      <c r="Z284" s="30"/>
      <c r="AA284" s="30"/>
      <c r="AB284" s="31"/>
    </row>
    <row r="285" spans="1:28" x14ac:dyDescent="0.3">
      <c r="A285" s="32">
        <f>VLOOKUP(YEAR(C285),Flags!$A$13:$B$95,2,FALSE)</f>
        <v>1</v>
      </c>
      <c r="B285" s="24">
        <f t="shared" si="432"/>
        <v>1952</v>
      </c>
      <c r="C285" s="25">
        <v>19145</v>
      </c>
      <c r="D285" s="26">
        <f>VLOOKUP($C285,COS!$B$8:$H$991,3,FALSE)</f>
        <v>7205.154296875</v>
      </c>
      <c r="E285" s="24">
        <f>IF(D285&gt;=IF(MONTH($C285)=4,$C$3,IF(MONTH($C285)=5,$C$4,IF(MONTH($C285)=6,$C$5,IF(MONTH($C285)=7,$C$6,"ERROR")))),1,0)</f>
        <v>1</v>
      </c>
      <c r="F285" s="26">
        <f>VLOOKUP($C285,COS!$B$8:$H$991,7,FALSE)</f>
        <v>49.908802032470703</v>
      </c>
      <c r="G285" s="24">
        <f>IF(F285&lt;=IF(MONTH($C285)=4,$F$3,IF(MONTH($C285)=5,$F$4,IF(MONTH($C285)=6,$F$5,IF(MONTH($C285)=7,$F$6,"ERROR")))),1,0)</f>
        <v>1</v>
      </c>
      <c r="H285" s="26">
        <f>IF(J285=1,D285-$C$4,0)</f>
        <v>1205.154296875</v>
      </c>
      <c r="I285" s="26">
        <f t="shared" si="450"/>
        <v>74.102049328512393</v>
      </c>
      <c r="J285" s="24">
        <f t="shared" si="451"/>
        <v>1</v>
      </c>
      <c r="K285" s="26">
        <f>VLOOKUP($C285,COS!$B$8:$H$991,2,FALSE)</f>
        <v>4552</v>
      </c>
      <c r="L285" s="24">
        <f t="shared" si="435"/>
        <v>1</v>
      </c>
      <c r="M285" s="24">
        <f t="shared" si="436"/>
        <v>0</v>
      </c>
      <c r="N285" s="26">
        <f>VLOOKUP($C285,COS!$B$8:$H$991,5,FALSE)</f>
        <v>740.753662109375</v>
      </c>
      <c r="O285" s="26">
        <f t="shared" si="454"/>
        <v>45.547167323088843</v>
      </c>
      <c r="P285" s="26">
        <f>VLOOKUP($C285,COS!$B$8:$H$991,6,FALSE)</f>
        <v>2298.94775390625</v>
      </c>
      <c r="Q285" s="26">
        <f t="shared" si="455"/>
        <v>141.35678751291323</v>
      </c>
      <c r="R285" s="26">
        <f>MIN(IF(MONTH($C285)=4,$S$3,IF(MONTH($C285)=5,$S$4,IF(MONTH($C285)=6,$S$5,IF(MONTH($C285)=7,$S$6,"ERROR")))),MAX(VLOOKUP($C285,COS!$B$8:$K$991,10,FALSE)-IF(MONTH($C285)=4,$Y$3,IF(MONTH($C285)=5,$Y$4,IF(MONTH($C285)=6,$Y$5,IF(MONTH($C285)=7,$Y$6,"ERROR")))),0),MAX(VLOOKUP($C285,COS!$B$8:$K$991,9,FALSE)-IF(MONTH($C285)=4,$V$3,IF(MONTH($C285)=5,$V$4,IF(MONTH($C285)=6,$V$5,IF(MONTH($C285)=7,$V$6,"ERROR"))))-VLOOKUP($C285,COS!$B$8:$K$991,6,FALSE)/2,0))</f>
        <v>750</v>
      </c>
      <c r="S285" s="26">
        <f t="shared" si="456"/>
        <v>46.115702479338843</v>
      </c>
      <c r="T285" s="26">
        <f t="shared" si="457"/>
        <v>139.56767989733987</v>
      </c>
      <c r="U285" s="26" t="str">
        <f>IF(VLOOKUP($C285,COS!$B$8:$I$991,8,FALSE)=1,"UWFE","IBU")</f>
        <v>UWFE</v>
      </c>
      <c r="V285" s="26">
        <f t="shared" ref="V285" si="459">MIN(IF(IF($AA$3=2,AND(E285=1,G285=1,L285=1,L289=1,M285=1,U285="IBU"),AND(E285=1,G285=1,L285=1,L289=1,M285=1)),T285,0),I285)</f>
        <v>0</v>
      </c>
      <c r="W285" s="26"/>
      <c r="X285" s="26"/>
      <c r="Y285" s="26"/>
      <c r="Z285" s="26"/>
      <c r="AA285" s="26"/>
      <c r="AB285" s="33"/>
    </row>
    <row r="286" spans="1:28" x14ac:dyDescent="0.3">
      <c r="A286" s="32">
        <f>VLOOKUP(YEAR(C286),Flags!$A$13:$B$95,2,FALSE)</f>
        <v>1</v>
      </c>
      <c r="B286" s="24">
        <f t="shared" si="432"/>
        <v>1952</v>
      </c>
      <c r="C286" s="25">
        <v>19175</v>
      </c>
      <c r="D286" s="26">
        <f>VLOOKUP($C286,COS!$B$8:$H$991,3,FALSE)</f>
        <v>6688.24560546875</v>
      </c>
      <c r="E286" s="24">
        <f>IF(D286&gt;=IF(MONTH($C286)=4,$C$3,IF(MONTH($C286)=5,$C$4,IF(MONTH($C286)=6,$C$5,IF(MONTH($C286)=7,$C$6,"ERROR")))),1,0)</f>
        <v>0</v>
      </c>
      <c r="F286" s="26">
        <f>VLOOKUP($C286,COS!$B$8:$H$991,7,FALSE)</f>
        <v>51.496559143066406</v>
      </c>
      <c r="G286" s="24">
        <f>IF(F286&lt;=IF(MONTH($C286)=4,$F$3,IF(MONTH($C286)=5,$F$4,IF(MONTH($C286)=6,$F$5,IF(MONTH($C286)=7,$F$6,"ERROR")))),1,0)</f>
        <v>1</v>
      </c>
      <c r="H286" s="26">
        <f>IF(J286=1,D286-$C$5,0)</f>
        <v>0</v>
      </c>
      <c r="I286" s="26">
        <f t="shared" si="450"/>
        <v>0</v>
      </c>
      <c r="J286" s="24">
        <f t="shared" si="451"/>
        <v>0</v>
      </c>
      <c r="K286" s="26">
        <f>VLOOKUP($C286,COS!$B$8:$H$991,2,FALSE)</f>
        <v>4500</v>
      </c>
      <c r="L286" s="24">
        <f t="shared" si="435"/>
        <v>1</v>
      </c>
      <c r="M286" s="24">
        <f t="shared" si="436"/>
        <v>0</v>
      </c>
      <c r="N286" s="26">
        <f>VLOOKUP($C286,COS!$B$8:$H$991,5,FALSE)</f>
        <v>1056.9393310546875</v>
      </c>
      <c r="O286" s="26">
        <f t="shared" si="454"/>
        <v>62.892257715650828</v>
      </c>
      <c r="P286" s="26">
        <f>VLOOKUP($C286,COS!$B$8:$H$991,6,FALSE)</f>
        <v>2224.63916015625</v>
      </c>
      <c r="Q286" s="26">
        <f t="shared" si="455"/>
        <v>132.37522275309917</v>
      </c>
      <c r="R286" s="26">
        <f>MIN(IF(MONTH($C286)=4,$S$3,IF(MONTH($C286)=5,$S$4,IF(MONTH($C286)=6,$S$5,IF(MONTH($C286)=7,$S$6,"ERROR")))),MAX(VLOOKUP($C286,COS!$B$8:$K$991,10,FALSE)-IF(MONTH($C286)=4,$Y$3,IF(MONTH($C286)=5,$Y$4,IF(MONTH($C286)=6,$Y$5,IF(MONTH($C286)=7,$Y$6,"ERROR")))),0),MAX(VLOOKUP($C286,COS!$B$8:$K$991,9,FALSE)-IF(MONTH($C286)=4,$V$3,IF(MONTH($C286)=5,$V$4,IF(MONTH($C286)=6,$V$5,IF(MONTH($C286)=7,$V$6,"ERROR"))))-VLOOKUP($C286,COS!$B$8:$K$991,6,FALSE)/2,0))</f>
        <v>750</v>
      </c>
      <c r="S286" s="26">
        <f t="shared" si="456"/>
        <v>44.628099173553714</v>
      </c>
      <c r="T286" s="26">
        <f t="shared" si="457"/>
        <v>142.2618394079287</v>
      </c>
      <c r="U286" s="26" t="str">
        <f>IF(VLOOKUP($C286,COS!$B$8:$I$991,8,FALSE)=1,"UWFE","IBU")</f>
        <v>UWFE</v>
      </c>
      <c r="V286" s="26">
        <f t="shared" ref="V286" si="460">MIN(IF(IF($AA$3=2,AND(E286=1,G286=1,L286=1,L289=1,M286=1,U286="IBU"),AND(E286=1,G286=1,L286=1,L289=1,M286=1)),T286,0),I286)</f>
        <v>0</v>
      </c>
      <c r="W286" s="26"/>
      <c r="X286" s="26"/>
      <c r="Y286" s="26"/>
      <c r="Z286" s="26"/>
      <c r="AA286" s="26"/>
      <c r="AB286" s="33"/>
    </row>
    <row r="287" spans="1:28" x14ac:dyDescent="0.3">
      <c r="A287" s="32">
        <f>VLOOKUP(YEAR(C287),Flags!$A$13:$B$95,2,FALSE)</f>
        <v>1</v>
      </c>
      <c r="B287" s="24">
        <f t="shared" si="432"/>
        <v>1952</v>
      </c>
      <c r="C287" s="25">
        <v>19206</v>
      </c>
      <c r="D287" s="26">
        <f>VLOOKUP($C287,COS!$B$8:$H$991,3,FALSE)</f>
        <v>9808.591796875</v>
      </c>
      <c r="E287" s="24">
        <f>IF(D287&gt;=IF(MONTH($C287)=4,$C$3,IF(MONTH($C287)=5,$C$4,IF(MONTH($C287)=6,$C$5,IF(MONTH($C287)=7,$C$6,"ERROR")))),1,0)</f>
        <v>0</v>
      </c>
      <c r="F287" s="26">
        <f>VLOOKUP($C287,COS!$B$8:$H$991,7,FALSE)</f>
        <v>52.452281951904297</v>
      </c>
      <c r="G287" s="24">
        <f>IF(F287&lt;=IF(MONTH($C287)=4,$F$3,IF(MONTH($C287)=5,$F$4,IF(MONTH($C287)=6,$F$5,IF(MONTH($C287)=7,$F$6,"ERROR")))),1,0)</f>
        <v>1</v>
      </c>
      <c r="H287" s="26">
        <f>IF(J287=1,D287-$C$6,0)</f>
        <v>0</v>
      </c>
      <c r="I287" s="26">
        <f t="shared" si="450"/>
        <v>0</v>
      </c>
      <c r="J287" s="24">
        <f t="shared" si="451"/>
        <v>0</v>
      </c>
      <c r="K287" s="26">
        <f>VLOOKUP($C287,COS!$B$8:$H$991,2,FALSE)</f>
        <v>4145.533203125</v>
      </c>
      <c r="L287" s="24">
        <f t="shared" si="435"/>
        <v>1</v>
      </c>
      <c r="M287" s="24">
        <f t="shared" si="436"/>
        <v>0</v>
      </c>
      <c r="N287" s="26">
        <f>VLOOKUP($C287,COS!$B$8:$H$991,5,FALSE)</f>
        <v>1272.6998291015625</v>
      </c>
      <c r="O287" s="26">
        <f t="shared" si="454"/>
        <v>78.255262219137393</v>
      </c>
      <c r="P287" s="26">
        <f>VLOOKUP($C287,COS!$B$8:$H$991,6,FALSE)</f>
        <v>2503.0556640625</v>
      </c>
      <c r="Q287" s="26">
        <f t="shared" si="455"/>
        <v>153.90689372417353</v>
      </c>
      <c r="R287" s="26">
        <f>MIN(IF(MONTH($C287)=4,$S$3,IF(MONTH($C287)=5,$S$4,IF(MONTH($C287)=6,$S$5,IF(MONTH($C287)=7,$S$6,"ERROR")))),MAX(VLOOKUP($C287,COS!$B$8:$K$991,10,FALSE)-IF(MONTH($C287)=4,$Y$3,IF(MONTH($C287)=5,$Y$4,IF(MONTH($C287)=6,$Y$5,IF(MONTH($C287)=7,$Y$6,"ERROR")))),0),MAX(VLOOKUP($C287,COS!$B$8:$K$991,9,FALSE)-IF(MONTH($C287)=4,$V$3,IF(MONTH($C287)=5,$V$4,IF(MONTH($C287)=6,$V$5,IF(MONTH($C287)=7,$V$6,"ERROR"))))-VLOOKUP($C287,COS!$B$8:$K$991,6,FALSE)/2,0))</f>
        <v>750</v>
      </c>
      <c r="S287" s="26">
        <f t="shared" si="456"/>
        <v>46.115702479338843</v>
      </c>
      <c r="T287" s="26">
        <f t="shared" si="457"/>
        <v>162.19678045099431</v>
      </c>
      <c r="U287" s="26" t="str">
        <f>IF(VLOOKUP($C287,COS!$B$8:$I$991,8,FALSE)=1,"UWFE","IBU")</f>
        <v>UWFE</v>
      </c>
      <c r="V287" s="26">
        <f t="shared" ref="V287" si="461">MIN(IF(IF($AA$3=2,AND(E287=1,G287=1,L287=1,L289=1,M287=1,U287="IBU"),AND(E287=1,G287=1,L287=1,L289=1,M287=1)),T287,0),I287)</f>
        <v>0</v>
      </c>
      <c r="W287" s="26"/>
      <c r="X287" s="26"/>
      <c r="Y287" s="26"/>
      <c r="Z287" s="26"/>
      <c r="AA287" s="26"/>
      <c r="AB287" s="33"/>
    </row>
    <row r="288" spans="1:28" x14ac:dyDescent="0.3">
      <c r="A288" s="32">
        <f>VLOOKUP(YEAR(C288),Flags!$A$13:$B$95,2,FALSE)</f>
        <v>1</v>
      </c>
      <c r="B288" s="24">
        <f t="shared" si="432"/>
        <v>1952</v>
      </c>
      <c r="C288" s="25">
        <v>19237</v>
      </c>
      <c r="D288" s="26"/>
      <c r="E288" s="24"/>
      <c r="F288" s="26"/>
      <c r="G288" s="24"/>
      <c r="H288" s="24"/>
      <c r="I288" s="26"/>
      <c r="J288" s="24"/>
      <c r="K288" s="26"/>
      <c r="L288" s="24"/>
      <c r="M288" s="24"/>
      <c r="N288" s="26"/>
      <c r="O288" s="26"/>
      <c r="P288" s="26"/>
      <c r="Q288" s="26"/>
      <c r="R288" s="26"/>
      <c r="S288" s="26"/>
      <c r="T288" s="26"/>
      <c r="U288" s="26"/>
      <c r="V288" s="26"/>
      <c r="W288" s="26">
        <f>MAX($C$7-VLOOKUP($C288,COS!$B$8:$H$991,3,FALSE),0)</f>
        <v>88187.6650390625</v>
      </c>
      <c r="X288" s="26">
        <f t="shared" si="448"/>
        <v>5422.4481643853305</v>
      </c>
      <c r="Y288" s="26">
        <f>VLOOKUP($C288,COS!$B$8:$H$991,4,FALSE)</f>
        <v>0</v>
      </c>
      <c r="Z288" s="26">
        <f t="shared" si="449"/>
        <v>0</v>
      </c>
      <c r="AA288" s="26">
        <f t="shared" ref="AA288:AA292" si="462">MIN(W288,Y288)</f>
        <v>0</v>
      </c>
      <c r="AB288" s="33">
        <f t="shared" ref="AB288" si="463">AA288*DAY($C288)*86400/43560/1000*IF(MONTH($C288)=8,$P$3,IF(MONTH($C288)=9,$P$4,IF(MONTH($C288)=10,$P$5,IF(MONTH($C288)=11,$P$6,IF(MONTH($C288)=12,$P$7,NA())))))</f>
        <v>0</v>
      </c>
    </row>
    <row r="289" spans="1:28" x14ac:dyDescent="0.3">
      <c r="A289" s="32">
        <f>VLOOKUP(YEAR(C289),Flags!$A$13:$B$95,2,FALSE)</f>
        <v>1</v>
      </c>
      <c r="B289" s="24">
        <f t="shared" si="432"/>
        <v>1952</v>
      </c>
      <c r="C289" s="25">
        <v>19267</v>
      </c>
      <c r="D289" s="26"/>
      <c r="E289" s="24"/>
      <c r="F289" s="26"/>
      <c r="G289" s="24"/>
      <c r="H289" s="24"/>
      <c r="I289" s="26"/>
      <c r="J289" s="24"/>
      <c r="K289" s="26">
        <f>VLOOKUP($C289,COS!$B$8:$H$991,2,FALSE)</f>
        <v>3316.7529296875</v>
      </c>
      <c r="L289" s="24">
        <f t="shared" ref="L289" si="464">IF(AND(K289&gt;$I$7,K289&lt;$I$8),1,0)</f>
        <v>1</v>
      </c>
      <c r="M289" s="24"/>
      <c r="N289" s="26"/>
      <c r="O289" s="26"/>
      <c r="P289" s="26"/>
      <c r="Q289" s="26"/>
      <c r="R289" s="26"/>
      <c r="S289" s="26"/>
      <c r="T289" s="26"/>
      <c r="U289" s="26"/>
      <c r="V289" s="26"/>
      <c r="W289" s="26">
        <f>MAX($C$8-VLOOKUP($C289,COS!$B$8:$H$991,3,FALSE),0)</f>
        <v>87814.3583984375</v>
      </c>
      <c r="X289" s="26">
        <f t="shared" si="448"/>
        <v>5225.3171939566118</v>
      </c>
      <c r="Y289" s="26">
        <f>VLOOKUP($C289,COS!$B$8:$H$991,4,FALSE)</f>
        <v>38.310874938964844</v>
      </c>
      <c r="Z289" s="26">
        <f t="shared" si="449"/>
        <v>2.2796553682689824</v>
      </c>
      <c r="AA289" s="26">
        <f t="shared" si="462"/>
        <v>38.310874938964844</v>
      </c>
      <c r="AB289" s="33">
        <f t="shared" si="446"/>
        <v>2.2796553682689824</v>
      </c>
    </row>
    <row r="290" spans="1:28" x14ac:dyDescent="0.3">
      <c r="A290" s="32">
        <f>VLOOKUP(YEAR(C290),Flags!$A$13:$B$95,2,FALSE)</f>
        <v>1</v>
      </c>
      <c r="B290" s="24">
        <f t="shared" si="432"/>
        <v>1952</v>
      </c>
      <c r="C290" s="25">
        <v>19298</v>
      </c>
      <c r="D290" s="26"/>
      <c r="E290" s="24"/>
      <c r="F290" s="26"/>
      <c r="G290" s="26"/>
      <c r="H290" s="26"/>
      <c r="I290" s="26"/>
      <c r="J290" s="26"/>
      <c r="K290" s="26"/>
      <c r="L290" s="24"/>
      <c r="M290" s="24"/>
      <c r="N290" s="26"/>
      <c r="O290" s="26"/>
      <c r="P290" s="26"/>
      <c r="Q290" s="26"/>
      <c r="R290" s="26"/>
      <c r="S290" s="26"/>
      <c r="T290" s="26"/>
      <c r="U290" s="26"/>
      <c r="V290" s="26"/>
      <c r="W290" s="26">
        <f>MAX($C$9-VLOOKUP($C290,COS!$B$8:$H$991,3,FALSE),0)</f>
        <v>92103.11669921875</v>
      </c>
      <c r="X290" s="26">
        <f t="shared" si="448"/>
        <v>5663.1999028279961</v>
      </c>
      <c r="Y290" s="26">
        <f>VLOOKUP($C290,COS!$B$8:$H$991,4,FALSE)</f>
        <v>203.00856018066406</v>
      </c>
      <c r="Z290" s="26">
        <f t="shared" si="449"/>
        <v>12.482509816067278</v>
      </c>
      <c r="AA290" s="26">
        <f t="shared" si="462"/>
        <v>203.00856018066406</v>
      </c>
      <c r="AB290" s="33">
        <f t="shared" si="446"/>
        <v>12.482509816067278</v>
      </c>
    </row>
    <row r="291" spans="1:28" x14ac:dyDescent="0.3">
      <c r="A291" s="32">
        <f>VLOOKUP(YEAR(C291),Flags!$A$13:$B$95,2,FALSE)</f>
        <v>1</v>
      </c>
      <c r="B291" s="24">
        <f t="shared" si="432"/>
        <v>1952</v>
      </c>
      <c r="C291" s="25">
        <v>19328</v>
      </c>
      <c r="D291" s="26"/>
      <c r="E291" s="24"/>
      <c r="F291" s="26"/>
      <c r="G291" s="26"/>
      <c r="H291" s="26"/>
      <c r="I291" s="26"/>
      <c r="J291" s="26"/>
      <c r="K291" s="26"/>
      <c r="L291" s="24"/>
      <c r="M291" s="24"/>
      <c r="N291" s="26"/>
      <c r="O291" s="26"/>
      <c r="P291" s="26"/>
      <c r="Q291" s="26"/>
      <c r="R291" s="26"/>
      <c r="S291" s="26"/>
      <c r="T291" s="26"/>
      <c r="U291" s="26"/>
      <c r="V291" s="26"/>
      <c r="W291" s="26">
        <f>MAX($C$10-VLOOKUP($C291,COS!$B$8:$H$991,3,FALSE),0)</f>
        <v>89899.2255859375</v>
      </c>
      <c r="X291" s="26">
        <f t="shared" si="448"/>
        <v>5349.3754067665295</v>
      </c>
      <c r="Y291" s="26">
        <f>VLOOKUP($C291,COS!$B$8:$H$991,4,FALSE)</f>
        <v>736.8885498046875</v>
      </c>
      <c r="Z291" s="26">
        <f t="shared" si="449"/>
        <v>43.847913707386361</v>
      </c>
      <c r="AA291" s="26">
        <f t="shared" si="462"/>
        <v>736.8885498046875</v>
      </c>
      <c r="AB291" s="33">
        <f t="shared" si="446"/>
        <v>21.923956853693181</v>
      </c>
    </row>
    <row r="292" spans="1:28" x14ac:dyDescent="0.3">
      <c r="A292" s="34">
        <f>VLOOKUP(YEAR(C292),Flags!$A$13:$B$95,2,FALSE)</f>
        <v>1</v>
      </c>
      <c r="B292" s="35">
        <f t="shared" si="432"/>
        <v>1952</v>
      </c>
      <c r="C292" s="36">
        <v>19359</v>
      </c>
      <c r="D292" s="37"/>
      <c r="E292" s="35"/>
      <c r="F292" s="37"/>
      <c r="G292" s="37"/>
      <c r="H292" s="37"/>
      <c r="I292" s="37"/>
      <c r="J292" s="37"/>
      <c r="K292" s="37"/>
      <c r="L292" s="35"/>
      <c r="M292" s="35"/>
      <c r="N292" s="37"/>
      <c r="O292" s="37"/>
      <c r="P292" s="37"/>
      <c r="Q292" s="37"/>
      <c r="R292" s="37"/>
      <c r="S292" s="37"/>
      <c r="T292" s="37"/>
      <c r="U292" s="37"/>
      <c r="V292" s="37"/>
      <c r="W292" s="37">
        <f>MAX($C$11-VLOOKUP($C292,COS!$B$8:$H$991,3,FALSE),0)</f>
        <v>0</v>
      </c>
      <c r="X292" s="37">
        <f t="shared" si="448"/>
        <v>0</v>
      </c>
      <c r="Y292" s="37">
        <f>VLOOKUP($C292,COS!$B$8:$H$991,4,FALSE)</f>
        <v>0</v>
      </c>
      <c r="Z292" s="37">
        <f t="shared" si="449"/>
        <v>0</v>
      </c>
      <c r="AA292" s="37">
        <f t="shared" si="462"/>
        <v>0</v>
      </c>
      <c r="AB292" s="38">
        <f t="shared" si="446"/>
        <v>0</v>
      </c>
    </row>
    <row r="293" spans="1:28" x14ac:dyDescent="0.3">
      <c r="A293" s="27">
        <f>VLOOKUP(YEAR(C293),Flags!$A$13:$B$95,2,FALSE)</f>
        <v>1</v>
      </c>
      <c r="B293" s="28">
        <f t="shared" si="432"/>
        <v>1953</v>
      </c>
      <c r="C293" s="29">
        <v>19479</v>
      </c>
      <c r="D293" s="30">
        <f>VLOOKUP($C293,COS!$B$8:$H$991,3,FALSE)</f>
        <v>5435.791015625</v>
      </c>
      <c r="E293" s="28">
        <f>IF(D293&gt;=IF(MONTH($C293)=4,$C$3,IF(MONTH($C293)=5,$C$4,IF(MONTH($C293)=6,$C$5,IF(MONTH($C293)=7,$C$6,"ERROR")))),1,0)</f>
        <v>0</v>
      </c>
      <c r="F293" s="30">
        <f>VLOOKUP($C293,COS!$B$8:$H$991,7,FALSE)</f>
        <v>48.983604431152344</v>
      </c>
      <c r="G293" s="28">
        <f>IF(F293&lt;=IF(MONTH($C293)=4,$F$3,IF(MONTH($C293)=5,$F$4,IF(MONTH($C293)=6,$F$5,IF(MONTH($C293)=7,$F$6,"ERROR")))),1,0)</f>
        <v>1</v>
      </c>
      <c r="H293" s="30">
        <f>IF(J293=1,D293-$C$3,0)</f>
        <v>0</v>
      </c>
      <c r="I293" s="30">
        <f t="shared" si="450"/>
        <v>0</v>
      </c>
      <c r="J293" s="28">
        <f t="shared" ref="J293:J296" si="465">IF(AND(E293=1,G293=1),1,0)</f>
        <v>0</v>
      </c>
      <c r="K293" s="30">
        <f>VLOOKUP($C293,COS!$B$8:$H$991,2,FALSE)</f>
        <v>4552</v>
      </c>
      <c r="L293" s="28">
        <f t="shared" ref="L293" si="466">IF(K293&lt;=IF(MONTH($C293)=4,$I$3,IF(MONTH($C293)=5,$I$4,IF(MONTH($C293)=6,$I$5,IF(MONTH($C293)=7,$I$6,"ERROR")))),1,0)</f>
        <v>1</v>
      </c>
      <c r="M293" s="28">
        <f t="shared" ref="M293" si="467">VLOOKUP($A293,$L$3:$M$7,2,FALSE)</f>
        <v>0</v>
      </c>
      <c r="N293" s="30">
        <f>VLOOKUP($C293,COS!$B$8:$H$991,5,FALSE)</f>
        <v>445.47723388671875</v>
      </c>
      <c r="O293" s="30">
        <f t="shared" ref="O293:O296" si="468">N293*DAY($C293)*86400/43560/1000</f>
        <v>26.507736231275828</v>
      </c>
      <c r="P293" s="30">
        <f>VLOOKUP($C293,COS!$B$8:$H$991,6,FALSE)</f>
        <v>432.80410766601563</v>
      </c>
      <c r="Q293" s="30">
        <f t="shared" ref="Q293:Q296" si="469">P293*DAY($C293)*86400/43560/1000</f>
        <v>25.753632852853823</v>
      </c>
      <c r="R293" s="30">
        <f>MIN(IF(MONTH($C293)=4,$S$3,IF(MONTH($C293)=5,$S$4,IF(MONTH($C293)=6,$S$5,IF(MONTH($C293)=7,$S$6,"ERROR")))),MAX(VLOOKUP($C293,COS!$B$8:$K$991,10,FALSE)-IF(MONTH($C293)=4,$Y$3,IF(MONTH($C293)=5,$Y$4,IF(MONTH($C293)=6,$Y$5,IF(MONTH($C293)=7,$Y$6,"ERROR")))),0),MAX(VLOOKUP($C293,COS!$B$8:$K$991,9,FALSE)-IF(MONTH($C293)=4,$V$3,IF(MONTH($C293)=5,$V$4,IF(MONTH($C293)=6,$V$5,IF(MONTH($C293)=7,$V$6,"ERROR"))))-VLOOKUP($C293,COS!$B$8:$K$991,6,FALSE)/2,0))</f>
        <v>750</v>
      </c>
      <c r="S293" s="30">
        <f t="shared" ref="S293:S296" si="470">R293*DAY($C293)*86400/43560/1000</f>
        <v>44.628099173553714</v>
      </c>
      <c r="T293" s="30">
        <f t="shared" ref="T293:T296" si="471">(O293+Q293)/2+S293</f>
        <v>70.758783715618534</v>
      </c>
      <c r="U293" s="30" t="str">
        <f>IF(VLOOKUP($C293,COS!$B$8:$I$991,8,FALSE)=1,"UWFE","IBU")</f>
        <v>UWFE</v>
      </c>
      <c r="V293" s="30">
        <f t="shared" ref="V293" si="472">MIN(IF(IF($AA$3=2,AND(E293=1,G293=1,L293=1,L298=1,M293=1,U293="IBU"),AND(E293=1,G293=1,L293=1,L298=1,M293=1)),T293,0),I293)</f>
        <v>0</v>
      </c>
      <c r="W293" s="30"/>
      <c r="X293" s="30"/>
      <c r="Y293" s="30"/>
      <c r="Z293" s="30"/>
      <c r="AA293" s="30"/>
      <c r="AB293" s="31"/>
    </row>
    <row r="294" spans="1:28" x14ac:dyDescent="0.3">
      <c r="A294" s="32">
        <f>VLOOKUP(YEAR(C294),Flags!$A$13:$B$95,2,FALSE)</f>
        <v>1</v>
      </c>
      <c r="B294" s="24">
        <f t="shared" si="432"/>
        <v>1953</v>
      </c>
      <c r="C294" s="25">
        <v>19510</v>
      </c>
      <c r="D294" s="26">
        <f>VLOOKUP($C294,COS!$B$8:$H$991,3,FALSE)</f>
        <v>9500.9638671875</v>
      </c>
      <c r="E294" s="24">
        <f>IF(D294&gt;=IF(MONTH($C294)=4,$C$3,IF(MONTH($C294)=5,$C$4,IF(MONTH($C294)=6,$C$5,IF(MONTH($C294)=7,$C$6,"ERROR")))),1,0)</f>
        <v>1</v>
      </c>
      <c r="F294" s="26">
        <f>VLOOKUP($C294,COS!$B$8:$H$991,7,FALSE)</f>
        <v>48.526103973388672</v>
      </c>
      <c r="G294" s="24">
        <f>IF(F294&lt;=IF(MONTH($C294)=4,$F$3,IF(MONTH($C294)=5,$F$4,IF(MONTH($C294)=6,$F$5,IF(MONTH($C294)=7,$F$6,"ERROR")))),1,0)</f>
        <v>1</v>
      </c>
      <c r="H294" s="26">
        <f>IF(J294=1,D294-$C$4,0)</f>
        <v>3500.9638671875</v>
      </c>
      <c r="I294" s="26">
        <f t="shared" si="450"/>
        <v>215.26587745351239</v>
      </c>
      <c r="J294" s="24">
        <f t="shared" si="465"/>
        <v>1</v>
      </c>
      <c r="K294" s="26">
        <f>VLOOKUP($C294,COS!$B$8:$H$991,2,FALSE)</f>
        <v>4552</v>
      </c>
      <c r="L294" s="24">
        <f t="shared" si="435"/>
        <v>1</v>
      </c>
      <c r="M294" s="24">
        <f t="shared" si="436"/>
        <v>0</v>
      </c>
      <c r="N294" s="26">
        <f>VLOOKUP($C294,COS!$B$8:$H$991,5,FALSE)</f>
        <v>730.5885009765625</v>
      </c>
      <c r="O294" s="26">
        <f t="shared" si="468"/>
        <v>44.922135927815084</v>
      </c>
      <c r="P294" s="26">
        <f>VLOOKUP($C294,COS!$B$8:$H$991,6,FALSE)</f>
        <v>2213.400634765625</v>
      </c>
      <c r="Q294" s="26">
        <f t="shared" si="469"/>
        <v>136.09670018724174</v>
      </c>
      <c r="R294" s="26">
        <f>MIN(IF(MONTH($C294)=4,$S$3,IF(MONTH($C294)=5,$S$4,IF(MONTH($C294)=6,$S$5,IF(MONTH($C294)=7,$S$6,"ERROR")))),MAX(VLOOKUP($C294,COS!$B$8:$K$991,10,FALSE)-IF(MONTH($C294)=4,$Y$3,IF(MONTH($C294)=5,$Y$4,IF(MONTH($C294)=6,$Y$5,IF(MONTH($C294)=7,$Y$6,"ERROR")))),0),MAX(VLOOKUP($C294,COS!$B$8:$K$991,9,FALSE)-IF(MONTH($C294)=4,$V$3,IF(MONTH($C294)=5,$V$4,IF(MONTH($C294)=6,$V$5,IF(MONTH($C294)=7,$V$6,"ERROR"))))-VLOOKUP($C294,COS!$B$8:$K$991,6,FALSE)/2,0))</f>
        <v>750</v>
      </c>
      <c r="S294" s="26">
        <f t="shared" si="470"/>
        <v>46.115702479338843</v>
      </c>
      <c r="T294" s="26">
        <f t="shared" si="471"/>
        <v>136.62512053686726</v>
      </c>
      <c r="U294" s="26" t="str">
        <f>IF(VLOOKUP($C294,COS!$B$8:$I$991,8,FALSE)=1,"UWFE","IBU")</f>
        <v>UWFE</v>
      </c>
      <c r="V294" s="26">
        <f t="shared" ref="V294" si="473">MIN(IF(IF($AA$3=2,AND(E294=1,G294=1,L294=1,L298=1,M294=1,U294="IBU"),AND(E294=1,G294=1,L294=1,L298=1,M294=1)),T294,0),I294)</f>
        <v>0</v>
      </c>
      <c r="W294" s="26"/>
      <c r="X294" s="26"/>
      <c r="Y294" s="26"/>
      <c r="Z294" s="26"/>
      <c r="AA294" s="26"/>
      <c r="AB294" s="33"/>
    </row>
    <row r="295" spans="1:28" x14ac:dyDescent="0.3">
      <c r="A295" s="32">
        <f>VLOOKUP(YEAR(C295),Flags!$A$13:$B$95,2,FALSE)</f>
        <v>1</v>
      </c>
      <c r="B295" s="24">
        <f t="shared" si="432"/>
        <v>1953</v>
      </c>
      <c r="C295" s="25">
        <v>19540</v>
      </c>
      <c r="D295" s="26">
        <f>VLOOKUP($C295,COS!$B$8:$H$991,3,FALSE)</f>
        <v>8763.9052734375</v>
      </c>
      <c r="E295" s="24">
        <f>IF(D295&gt;=IF(MONTH($C295)=4,$C$3,IF(MONTH($C295)=5,$C$4,IF(MONTH($C295)=6,$C$5,IF(MONTH($C295)=7,$C$6,"ERROR")))),1,0)</f>
        <v>0</v>
      </c>
      <c r="F295" s="26">
        <f>VLOOKUP($C295,COS!$B$8:$H$991,7,FALSE)</f>
        <v>50.420295715332031</v>
      </c>
      <c r="G295" s="24">
        <f>IF(F295&lt;=IF(MONTH($C295)=4,$F$3,IF(MONTH($C295)=5,$F$4,IF(MONTH($C295)=6,$F$5,IF(MONTH($C295)=7,$F$6,"ERROR")))),1,0)</f>
        <v>1</v>
      </c>
      <c r="H295" s="26">
        <f>IF(J295=1,D295-$C$5,0)</f>
        <v>0</v>
      </c>
      <c r="I295" s="26">
        <f t="shared" si="450"/>
        <v>0</v>
      </c>
      <c r="J295" s="24">
        <f t="shared" si="465"/>
        <v>0</v>
      </c>
      <c r="K295" s="26">
        <f>VLOOKUP($C295,COS!$B$8:$H$991,2,FALSE)</f>
        <v>4500</v>
      </c>
      <c r="L295" s="24">
        <f t="shared" si="435"/>
        <v>1</v>
      </c>
      <c r="M295" s="24">
        <f t="shared" si="436"/>
        <v>0</v>
      </c>
      <c r="N295" s="26">
        <f>VLOOKUP($C295,COS!$B$8:$H$991,5,FALSE)</f>
        <v>1097.9736328125</v>
      </c>
      <c r="O295" s="26">
        <f t="shared" si="468"/>
        <v>65.333968233471069</v>
      </c>
      <c r="P295" s="26">
        <f>VLOOKUP($C295,COS!$B$8:$H$991,6,FALSE)</f>
        <v>2273.646484375</v>
      </c>
      <c r="Q295" s="26">
        <f t="shared" si="469"/>
        <v>135.29136105371902</v>
      </c>
      <c r="R295" s="26">
        <f>MIN(IF(MONTH($C295)=4,$S$3,IF(MONTH($C295)=5,$S$4,IF(MONTH($C295)=6,$S$5,IF(MONTH($C295)=7,$S$6,"ERROR")))),MAX(VLOOKUP($C295,COS!$B$8:$K$991,10,FALSE)-IF(MONTH($C295)=4,$Y$3,IF(MONTH($C295)=5,$Y$4,IF(MONTH($C295)=6,$Y$5,IF(MONTH($C295)=7,$Y$6,"ERROR")))),0),MAX(VLOOKUP($C295,COS!$B$8:$K$991,9,FALSE)-IF(MONTH($C295)=4,$V$3,IF(MONTH($C295)=5,$V$4,IF(MONTH($C295)=6,$V$5,IF(MONTH($C295)=7,$V$6,"ERROR"))))-VLOOKUP($C295,COS!$B$8:$K$991,6,FALSE)/2,0))</f>
        <v>750</v>
      </c>
      <c r="S295" s="26">
        <f t="shared" si="470"/>
        <v>44.628099173553714</v>
      </c>
      <c r="T295" s="26">
        <f t="shared" si="471"/>
        <v>144.94076381714876</v>
      </c>
      <c r="U295" s="26" t="str">
        <f>IF(VLOOKUP($C295,COS!$B$8:$I$991,8,FALSE)=1,"UWFE","IBU")</f>
        <v>UWFE</v>
      </c>
      <c r="V295" s="26">
        <f t="shared" ref="V295" si="474">MIN(IF(IF($AA$3=2,AND(E295=1,G295=1,L295=1,L298=1,M295=1,U295="IBU"),AND(E295=1,G295=1,L295=1,L298=1,M295=1)),T295,0),I295)</f>
        <v>0</v>
      </c>
      <c r="W295" s="26"/>
      <c r="X295" s="26"/>
      <c r="Y295" s="26"/>
      <c r="Z295" s="26"/>
      <c r="AA295" s="26"/>
      <c r="AB295" s="33"/>
    </row>
    <row r="296" spans="1:28" x14ac:dyDescent="0.3">
      <c r="A296" s="32">
        <f>VLOOKUP(YEAR(C296),Flags!$A$13:$B$95,2,FALSE)</f>
        <v>1</v>
      </c>
      <c r="B296" s="24">
        <f t="shared" si="432"/>
        <v>1953</v>
      </c>
      <c r="C296" s="25">
        <v>19571</v>
      </c>
      <c r="D296" s="26">
        <f>VLOOKUP($C296,COS!$B$8:$H$991,3,FALSE)</f>
        <v>14905.9033203125</v>
      </c>
      <c r="E296" s="24">
        <f>IF(D296&gt;=IF(MONTH($C296)=4,$C$3,IF(MONTH($C296)=5,$C$4,IF(MONTH($C296)=6,$C$5,IF(MONTH($C296)=7,$C$6,"ERROR")))),1,0)</f>
        <v>1</v>
      </c>
      <c r="F296" s="26">
        <f>VLOOKUP($C296,COS!$B$8:$H$991,7,FALSE)</f>
        <v>51.294979095458984</v>
      </c>
      <c r="G296" s="24">
        <f>IF(F296&lt;=IF(MONTH($C296)=4,$F$3,IF(MONTH($C296)=5,$F$4,IF(MONTH($C296)=6,$F$5,IF(MONTH($C296)=7,$F$6,"ERROR")))),1,0)</f>
        <v>1</v>
      </c>
      <c r="H296" s="26">
        <f>IF(J296=1,D296-$C$6,0)</f>
        <v>2905.9033203125</v>
      </c>
      <c r="I296" s="26">
        <f t="shared" si="450"/>
        <v>178.67703060433885</v>
      </c>
      <c r="J296" s="24">
        <f t="shared" si="465"/>
        <v>1</v>
      </c>
      <c r="K296" s="26">
        <f>VLOOKUP($C296,COS!$B$8:$H$991,2,FALSE)</f>
        <v>3867.513427734375</v>
      </c>
      <c r="L296" s="24">
        <f t="shared" si="435"/>
        <v>1</v>
      </c>
      <c r="M296" s="24">
        <f t="shared" si="436"/>
        <v>0</v>
      </c>
      <c r="N296" s="26">
        <f>VLOOKUP($C296,COS!$B$8:$H$991,5,FALSE)</f>
        <v>1282.49609375</v>
      </c>
      <c r="O296" s="26">
        <f t="shared" si="468"/>
        <v>78.857611053719012</v>
      </c>
      <c r="P296" s="26">
        <f>VLOOKUP($C296,COS!$B$8:$H$991,6,FALSE)</f>
        <v>2616.67822265625</v>
      </c>
      <c r="Q296" s="26">
        <f t="shared" si="469"/>
        <v>160.89327253357436</v>
      </c>
      <c r="R296" s="26">
        <f>MIN(IF(MONTH($C296)=4,$S$3,IF(MONTH($C296)=5,$S$4,IF(MONTH($C296)=6,$S$5,IF(MONTH($C296)=7,$S$6,"ERROR")))),MAX(VLOOKUP($C296,COS!$B$8:$K$991,10,FALSE)-IF(MONTH($C296)=4,$Y$3,IF(MONTH($C296)=5,$Y$4,IF(MONTH($C296)=6,$Y$5,IF(MONTH($C296)=7,$Y$6,"ERROR")))),0),MAX(VLOOKUP($C296,COS!$B$8:$K$991,9,FALSE)-IF(MONTH($C296)=4,$V$3,IF(MONTH($C296)=5,$V$4,IF(MONTH($C296)=6,$V$5,IF(MONTH($C296)=7,$V$6,"ERROR"))))-VLOOKUP($C296,COS!$B$8:$K$991,6,FALSE)/2,0))</f>
        <v>750</v>
      </c>
      <c r="S296" s="26">
        <f t="shared" si="470"/>
        <v>46.115702479338843</v>
      </c>
      <c r="T296" s="26">
        <f t="shared" si="471"/>
        <v>165.99114427298554</v>
      </c>
      <c r="U296" s="26" t="str">
        <f>IF(VLOOKUP($C296,COS!$B$8:$I$991,8,FALSE)=1,"UWFE","IBU")</f>
        <v>IBU</v>
      </c>
      <c r="V296" s="26">
        <f t="shared" ref="V296" si="475">MIN(IF(IF($AA$3=2,AND(E296=1,G296=1,L296=1,L298=1,M296=1,U296="IBU"),AND(E296=1,G296=1,L296=1,L298=1,M296=1)),T296,0),I296)</f>
        <v>0</v>
      </c>
      <c r="W296" s="26"/>
      <c r="X296" s="26"/>
      <c r="Y296" s="26"/>
      <c r="Z296" s="26"/>
      <c r="AA296" s="26"/>
      <c r="AB296" s="33"/>
    </row>
    <row r="297" spans="1:28" x14ac:dyDescent="0.3">
      <c r="A297" s="32">
        <f>VLOOKUP(YEAR(C297),Flags!$A$13:$B$95,2,FALSE)</f>
        <v>1</v>
      </c>
      <c r="B297" s="24">
        <f t="shared" si="432"/>
        <v>1953</v>
      </c>
      <c r="C297" s="25">
        <v>19602</v>
      </c>
      <c r="D297" s="26"/>
      <c r="E297" s="24"/>
      <c r="F297" s="26"/>
      <c r="G297" s="24"/>
      <c r="H297" s="24"/>
      <c r="I297" s="26"/>
      <c r="J297" s="24"/>
      <c r="K297" s="26"/>
      <c r="L297" s="24"/>
      <c r="M297" s="24"/>
      <c r="N297" s="26"/>
      <c r="O297" s="26"/>
      <c r="P297" s="26"/>
      <c r="Q297" s="26"/>
      <c r="R297" s="26"/>
      <c r="S297" s="26"/>
      <c r="T297" s="26"/>
      <c r="U297" s="26"/>
      <c r="V297" s="26"/>
      <c r="W297" s="26">
        <f>MAX($C$7-VLOOKUP($C297,COS!$B$8:$H$991,3,FALSE),0)</f>
        <v>89655.0712890625</v>
      </c>
      <c r="X297" s="26">
        <f t="shared" si="448"/>
        <v>5512.6754577737602</v>
      </c>
      <c r="Y297" s="26">
        <f>VLOOKUP($C297,COS!$B$8:$H$991,4,FALSE)</f>
        <v>19.638147354125977</v>
      </c>
      <c r="Z297" s="26">
        <f t="shared" si="449"/>
        <v>1.2075026141710519</v>
      </c>
      <c r="AA297" s="26">
        <f t="shared" ref="AA297:AA301" si="476">MIN(W297,Y297)</f>
        <v>19.638147354125977</v>
      </c>
      <c r="AB297" s="33">
        <f t="shared" ref="AB297" si="477">AA297*DAY($C297)*86400/43560/1000*IF(MONTH($C297)=8,$P$3,IF(MONTH($C297)=9,$P$4,IF(MONTH($C297)=10,$P$5,IF(MONTH($C297)=11,$P$6,IF(MONTH($C297)=12,$P$7,NA())))))</f>
        <v>1.2075026141710519</v>
      </c>
    </row>
    <row r="298" spans="1:28" x14ac:dyDescent="0.3">
      <c r="A298" s="32">
        <f>VLOOKUP(YEAR(C298),Flags!$A$13:$B$95,2,FALSE)</f>
        <v>1</v>
      </c>
      <c r="B298" s="24">
        <f t="shared" si="432"/>
        <v>1953</v>
      </c>
      <c r="C298" s="25">
        <v>19632</v>
      </c>
      <c r="D298" s="26"/>
      <c r="E298" s="24"/>
      <c r="F298" s="26"/>
      <c r="G298" s="24"/>
      <c r="H298" s="24"/>
      <c r="I298" s="26"/>
      <c r="J298" s="24"/>
      <c r="K298" s="26">
        <f>VLOOKUP($C298,COS!$B$8:$H$991,2,FALSE)</f>
        <v>3007.05029296875</v>
      </c>
      <c r="L298" s="24">
        <f t="shared" ref="L298" si="478">IF(AND(K298&gt;$I$7,K298&lt;$I$8),1,0)</f>
        <v>1</v>
      </c>
      <c r="M298" s="24"/>
      <c r="N298" s="26"/>
      <c r="O298" s="26"/>
      <c r="P298" s="26"/>
      <c r="Q298" s="26"/>
      <c r="R298" s="26"/>
      <c r="S298" s="26"/>
      <c r="T298" s="26"/>
      <c r="U298" s="26"/>
      <c r="V298" s="26"/>
      <c r="W298" s="26">
        <f>MAX($C$8-VLOOKUP($C298,COS!$B$8:$H$991,3,FALSE),0)</f>
        <v>85167.98828125</v>
      </c>
      <c r="X298" s="26">
        <f t="shared" si="448"/>
        <v>5067.8472365702482</v>
      </c>
      <c r="Y298" s="26">
        <f>VLOOKUP($C298,COS!$B$8:$H$991,4,FALSE)</f>
        <v>0</v>
      </c>
      <c r="Z298" s="26">
        <f t="shared" si="449"/>
        <v>0</v>
      </c>
      <c r="AA298" s="26">
        <f t="shared" si="476"/>
        <v>0</v>
      </c>
      <c r="AB298" s="33">
        <f t="shared" si="446"/>
        <v>0</v>
      </c>
    </row>
    <row r="299" spans="1:28" x14ac:dyDescent="0.3">
      <c r="A299" s="32">
        <f>VLOOKUP(YEAR(C299),Flags!$A$13:$B$95,2,FALSE)</f>
        <v>1</v>
      </c>
      <c r="B299" s="24">
        <f t="shared" si="432"/>
        <v>1953</v>
      </c>
      <c r="C299" s="25">
        <v>19663</v>
      </c>
      <c r="D299" s="26"/>
      <c r="E299" s="24"/>
      <c r="F299" s="26"/>
      <c r="G299" s="26"/>
      <c r="H299" s="26"/>
      <c r="I299" s="26"/>
      <c r="J299" s="26"/>
      <c r="K299" s="26"/>
      <c r="L299" s="24"/>
      <c r="M299" s="24"/>
      <c r="N299" s="26"/>
      <c r="O299" s="26"/>
      <c r="P299" s="26"/>
      <c r="Q299" s="26"/>
      <c r="R299" s="26"/>
      <c r="S299" s="26"/>
      <c r="T299" s="26"/>
      <c r="U299" s="26"/>
      <c r="V299" s="26"/>
      <c r="W299" s="26">
        <f>MAX($C$9-VLOOKUP($C299,COS!$B$8:$H$991,3,FALSE),0)</f>
        <v>90385.5849609375</v>
      </c>
      <c r="X299" s="26">
        <f t="shared" si="448"/>
        <v>5557.5929926394629</v>
      </c>
      <c r="Y299" s="26">
        <f>VLOOKUP($C299,COS!$B$8:$H$991,4,FALSE)</f>
        <v>1224.5797119140625</v>
      </c>
      <c r="Z299" s="26">
        <f t="shared" si="449"/>
        <v>75.296471542484511</v>
      </c>
      <c r="AA299" s="26">
        <f t="shared" si="476"/>
        <v>1224.5797119140625</v>
      </c>
      <c r="AB299" s="33">
        <f t="shared" si="446"/>
        <v>75.296471542484511</v>
      </c>
    </row>
    <row r="300" spans="1:28" x14ac:dyDescent="0.3">
      <c r="A300" s="32">
        <f>VLOOKUP(YEAR(C300),Flags!$A$13:$B$95,2,FALSE)</f>
        <v>1</v>
      </c>
      <c r="B300" s="24">
        <f t="shared" si="432"/>
        <v>1953</v>
      </c>
      <c r="C300" s="25">
        <v>19693</v>
      </c>
      <c r="D300" s="26"/>
      <c r="E300" s="24"/>
      <c r="F300" s="26"/>
      <c r="G300" s="26"/>
      <c r="H300" s="26"/>
      <c r="I300" s="26"/>
      <c r="J300" s="26"/>
      <c r="K300" s="26"/>
      <c r="L300" s="24"/>
      <c r="M300" s="24"/>
      <c r="N300" s="26"/>
      <c r="O300" s="26"/>
      <c r="P300" s="26"/>
      <c r="Q300" s="26"/>
      <c r="R300" s="26"/>
      <c r="S300" s="26"/>
      <c r="T300" s="26"/>
      <c r="U300" s="26"/>
      <c r="V300" s="26"/>
      <c r="W300" s="26">
        <f>MAX($C$10-VLOOKUP($C300,COS!$B$8:$H$991,3,FALSE),0)</f>
        <v>88062.6611328125</v>
      </c>
      <c r="X300" s="26">
        <f t="shared" si="448"/>
        <v>5240.0922326962809</v>
      </c>
      <c r="Y300" s="26">
        <f>VLOOKUP($C300,COS!$B$8:$H$991,4,FALSE)</f>
        <v>1707.279296875</v>
      </c>
      <c r="Z300" s="26">
        <f t="shared" si="449"/>
        <v>101.59017303719008</v>
      </c>
      <c r="AA300" s="26">
        <f t="shared" si="476"/>
        <v>1707.279296875</v>
      </c>
      <c r="AB300" s="33">
        <f t="shared" si="446"/>
        <v>50.795086518595042</v>
      </c>
    </row>
    <row r="301" spans="1:28" x14ac:dyDescent="0.3">
      <c r="A301" s="34">
        <f>VLOOKUP(YEAR(C301),Flags!$A$13:$B$95,2,FALSE)</f>
        <v>1</v>
      </c>
      <c r="B301" s="35">
        <f t="shared" si="432"/>
        <v>1953</v>
      </c>
      <c r="C301" s="36">
        <v>19724</v>
      </c>
      <c r="D301" s="37"/>
      <c r="E301" s="35"/>
      <c r="F301" s="37"/>
      <c r="G301" s="37"/>
      <c r="H301" s="37"/>
      <c r="I301" s="37"/>
      <c r="J301" s="37"/>
      <c r="K301" s="37"/>
      <c r="L301" s="35"/>
      <c r="M301" s="35"/>
      <c r="N301" s="37"/>
      <c r="O301" s="37"/>
      <c r="P301" s="37"/>
      <c r="Q301" s="37"/>
      <c r="R301" s="37"/>
      <c r="S301" s="37"/>
      <c r="T301" s="37"/>
      <c r="U301" s="37"/>
      <c r="V301" s="37"/>
      <c r="W301" s="37">
        <f>MAX($C$11-VLOOKUP($C301,COS!$B$8:$H$991,3,FALSE),0)</f>
        <v>0</v>
      </c>
      <c r="X301" s="37">
        <f t="shared" si="448"/>
        <v>0</v>
      </c>
      <c r="Y301" s="37">
        <f>VLOOKUP($C301,COS!$B$8:$H$991,4,FALSE)</f>
        <v>98.75079345703125</v>
      </c>
      <c r="Z301" s="37">
        <f t="shared" si="449"/>
        <v>6.0719496142174583</v>
      </c>
      <c r="AA301" s="37">
        <f t="shared" si="476"/>
        <v>0</v>
      </c>
      <c r="AB301" s="38">
        <f t="shared" si="446"/>
        <v>0</v>
      </c>
    </row>
    <row r="302" spans="1:28" x14ac:dyDescent="0.3">
      <c r="A302" s="27">
        <f>VLOOKUP(YEAR(C302),Flags!$A$13:$B$95,2,FALSE)</f>
        <v>2</v>
      </c>
      <c r="B302" s="28">
        <f t="shared" si="432"/>
        <v>1954</v>
      </c>
      <c r="C302" s="29">
        <v>19844</v>
      </c>
      <c r="D302" s="30">
        <f>VLOOKUP($C302,COS!$B$8:$H$991,3,FALSE)</f>
        <v>10966.724609375</v>
      </c>
      <c r="E302" s="28">
        <f>IF(D302&gt;=IF(MONTH($C302)=4,$C$3,IF(MONTH($C302)=5,$C$4,IF(MONTH($C302)=6,$C$5,IF(MONTH($C302)=7,$C$6,"ERROR")))),1,0)</f>
        <v>1</v>
      </c>
      <c r="F302" s="30">
        <f>VLOOKUP($C302,COS!$B$8:$H$991,7,FALSE)</f>
        <v>48.739151000976563</v>
      </c>
      <c r="G302" s="28">
        <f>IF(F302&lt;=IF(MONTH($C302)=4,$F$3,IF(MONTH($C302)=5,$F$4,IF(MONTH($C302)=6,$F$5,IF(MONTH($C302)=7,$F$6,"ERROR")))),1,0)</f>
        <v>1</v>
      </c>
      <c r="H302" s="30">
        <f>IF(J302=1,D302-$C$3,0)</f>
        <v>4966.724609375</v>
      </c>
      <c r="I302" s="30">
        <f t="shared" si="450"/>
        <v>295.54063791322312</v>
      </c>
      <c r="J302" s="28">
        <f t="shared" ref="J302:J305" si="479">IF(AND(E302=1,G302=1),1,0)</f>
        <v>1</v>
      </c>
      <c r="K302" s="30">
        <f>VLOOKUP($C302,COS!$B$8:$H$991,2,FALSE)</f>
        <v>4546</v>
      </c>
      <c r="L302" s="28">
        <f t="shared" ref="L302" si="480">IF(K302&lt;=IF(MONTH($C302)=4,$I$3,IF(MONTH($C302)=5,$I$4,IF(MONTH($C302)=6,$I$5,IF(MONTH($C302)=7,$I$6,"ERROR")))),1,0)</f>
        <v>1</v>
      </c>
      <c r="M302" s="28">
        <f t="shared" ref="M302" si="481">VLOOKUP($A302,$L$3:$M$7,2,FALSE)</f>
        <v>0</v>
      </c>
      <c r="N302" s="30">
        <f>VLOOKUP($C302,COS!$B$8:$H$991,5,FALSE)</f>
        <v>33.86962890625</v>
      </c>
      <c r="O302" s="30">
        <f t="shared" ref="O302:O305" si="482">N302*DAY($C302)*86400/43560/1000</f>
        <v>2.0153828770661155</v>
      </c>
      <c r="P302" s="30">
        <f>VLOOKUP($C302,COS!$B$8:$H$991,6,FALSE)</f>
        <v>347.92138671875</v>
      </c>
      <c r="Q302" s="30">
        <f t="shared" ref="Q302:Q305" si="483">P302*DAY($C302)*86400/43560/1000</f>
        <v>20.702760201446281</v>
      </c>
      <c r="R302" s="30">
        <f>MIN(IF(MONTH($C302)=4,$S$3,IF(MONTH($C302)=5,$S$4,IF(MONTH($C302)=6,$S$5,IF(MONTH($C302)=7,$S$6,"ERROR")))),MAX(VLOOKUP($C302,COS!$B$8:$K$991,10,FALSE)-IF(MONTH($C302)=4,$Y$3,IF(MONTH($C302)=5,$Y$4,IF(MONTH($C302)=6,$Y$5,IF(MONTH($C302)=7,$Y$6,"ERROR")))),0),MAX(VLOOKUP($C302,COS!$B$8:$K$991,9,FALSE)-IF(MONTH($C302)=4,$V$3,IF(MONTH($C302)=5,$V$4,IF(MONTH($C302)=6,$V$5,IF(MONTH($C302)=7,$V$6,"ERROR"))))-VLOOKUP($C302,COS!$B$8:$K$991,6,FALSE)/2,0))</f>
        <v>750</v>
      </c>
      <c r="S302" s="30">
        <f t="shared" ref="S302:S305" si="484">R302*DAY($C302)*86400/43560/1000</f>
        <v>44.628099173553714</v>
      </c>
      <c r="T302" s="30">
        <f t="shared" ref="T302:T305" si="485">(O302+Q302)/2+S302</f>
        <v>55.987170712809913</v>
      </c>
      <c r="U302" s="30" t="str">
        <f>IF(VLOOKUP($C302,COS!$B$8:$I$991,8,FALSE)=1,"UWFE","IBU")</f>
        <v>UWFE</v>
      </c>
      <c r="V302" s="30">
        <f t="shared" ref="V302" si="486">MIN(IF(IF($AA$3=2,AND(E302=1,G302=1,L302=1,L307=1,M302=1,U302="IBU"),AND(E302=1,G302=1,L302=1,L307=1,M302=1)),T302,0),I302)</f>
        <v>0</v>
      </c>
      <c r="W302" s="30"/>
      <c r="X302" s="30"/>
      <c r="Y302" s="30"/>
      <c r="Z302" s="30"/>
      <c r="AA302" s="30"/>
      <c r="AB302" s="31"/>
    </row>
    <row r="303" spans="1:28" x14ac:dyDescent="0.3">
      <c r="A303" s="32">
        <f>VLOOKUP(YEAR(C303),Flags!$A$13:$B$95,2,FALSE)</f>
        <v>2</v>
      </c>
      <c r="B303" s="24">
        <f t="shared" si="432"/>
        <v>1954</v>
      </c>
      <c r="C303" s="25">
        <v>19875</v>
      </c>
      <c r="D303" s="26">
        <f>VLOOKUP($C303,COS!$B$8:$H$991,3,FALSE)</f>
        <v>7140.4267578125</v>
      </c>
      <c r="E303" s="24">
        <f>IF(D303&gt;=IF(MONTH($C303)=4,$C$3,IF(MONTH($C303)=5,$C$4,IF(MONTH($C303)=6,$C$5,IF(MONTH($C303)=7,$C$6,"ERROR")))),1,0)</f>
        <v>1</v>
      </c>
      <c r="F303" s="26">
        <f>VLOOKUP($C303,COS!$B$8:$H$991,7,FALSE)</f>
        <v>50.82733154296875</v>
      </c>
      <c r="G303" s="24">
        <f>IF(F303&lt;=IF(MONTH($C303)=4,$F$3,IF(MONTH($C303)=5,$F$4,IF(MONTH($C303)=6,$F$5,IF(MONTH($C303)=7,$F$6,"ERROR")))),1,0)</f>
        <v>1</v>
      </c>
      <c r="H303" s="26">
        <f>IF(J303=1,D303-$C$4,0)</f>
        <v>1140.4267578125</v>
      </c>
      <c r="I303" s="26">
        <f t="shared" si="450"/>
        <v>70.122108083677688</v>
      </c>
      <c r="J303" s="24">
        <f t="shared" si="479"/>
        <v>1</v>
      </c>
      <c r="K303" s="26">
        <f>VLOOKUP($C303,COS!$B$8:$H$991,2,FALSE)</f>
        <v>4520.74951171875</v>
      </c>
      <c r="L303" s="24">
        <f t="shared" si="435"/>
        <v>1</v>
      </c>
      <c r="M303" s="24">
        <f t="shared" si="436"/>
        <v>0</v>
      </c>
      <c r="N303" s="26">
        <f>VLOOKUP($C303,COS!$B$8:$H$991,5,FALSE)</f>
        <v>705.2218017578125</v>
      </c>
      <c r="O303" s="26">
        <f t="shared" si="482"/>
        <v>43.362398389075409</v>
      </c>
      <c r="P303" s="26">
        <f>VLOOKUP($C303,COS!$B$8:$H$991,6,FALSE)</f>
        <v>2247.10107421875</v>
      </c>
      <c r="Q303" s="26">
        <f t="shared" si="483"/>
        <v>138.16885943956612</v>
      </c>
      <c r="R303" s="26">
        <f>MIN(IF(MONTH($C303)=4,$S$3,IF(MONTH($C303)=5,$S$4,IF(MONTH($C303)=6,$S$5,IF(MONTH($C303)=7,$S$6,"ERROR")))),MAX(VLOOKUP($C303,COS!$B$8:$K$991,10,FALSE)-IF(MONTH($C303)=4,$Y$3,IF(MONTH($C303)=5,$Y$4,IF(MONTH($C303)=6,$Y$5,IF(MONTH($C303)=7,$Y$6,"ERROR")))),0),MAX(VLOOKUP($C303,COS!$B$8:$K$991,9,FALSE)-IF(MONTH($C303)=4,$V$3,IF(MONTH($C303)=5,$V$4,IF(MONTH($C303)=6,$V$5,IF(MONTH($C303)=7,$V$6,"ERROR"))))-VLOOKUP($C303,COS!$B$8:$K$991,6,FALSE)/2,0))</f>
        <v>750</v>
      </c>
      <c r="S303" s="26">
        <f t="shared" si="484"/>
        <v>46.115702479338843</v>
      </c>
      <c r="T303" s="26">
        <f t="shared" si="485"/>
        <v>136.88133139365959</v>
      </c>
      <c r="U303" s="26" t="str">
        <f>IF(VLOOKUP($C303,COS!$B$8:$I$991,8,FALSE)=1,"UWFE","IBU")</f>
        <v>UWFE</v>
      </c>
      <c r="V303" s="26">
        <f t="shared" ref="V303" si="487">MIN(IF(IF($AA$3=2,AND(E303=1,G303=1,L303=1,L307=1,M303=1,U303="IBU"),AND(E303=1,G303=1,L303=1,L307=1,M303=1)),T303,0),I303)</f>
        <v>0</v>
      </c>
      <c r="W303" s="26"/>
      <c r="X303" s="26"/>
      <c r="Y303" s="26"/>
      <c r="Z303" s="26"/>
      <c r="AA303" s="26"/>
      <c r="AB303" s="33"/>
    </row>
    <row r="304" spans="1:28" x14ac:dyDescent="0.3">
      <c r="A304" s="32">
        <f>VLOOKUP(YEAR(C304),Flags!$A$13:$B$95,2,FALSE)</f>
        <v>2</v>
      </c>
      <c r="B304" s="24">
        <f t="shared" si="432"/>
        <v>1954</v>
      </c>
      <c r="C304" s="25">
        <v>19905</v>
      </c>
      <c r="D304" s="26">
        <f>VLOOKUP($C304,COS!$B$8:$H$991,3,FALSE)</f>
        <v>10288.154296875</v>
      </c>
      <c r="E304" s="24">
        <f>IF(D304&gt;=IF(MONTH($C304)=4,$C$3,IF(MONTH($C304)=5,$C$4,IF(MONTH($C304)=6,$C$5,IF(MONTH($C304)=7,$C$6,"ERROR")))),1,0)</f>
        <v>1</v>
      </c>
      <c r="F304" s="26">
        <f>VLOOKUP($C304,COS!$B$8:$H$991,7,FALSE)</f>
        <v>50.714031219482422</v>
      </c>
      <c r="G304" s="24">
        <f>IF(F304&lt;=IF(MONTH($C304)=4,$F$3,IF(MONTH($C304)=5,$F$4,IF(MONTH($C304)=6,$F$5,IF(MONTH($C304)=7,$F$6,"ERROR")))),1,0)</f>
        <v>1</v>
      </c>
      <c r="H304" s="26">
        <f>IF(J304=1,D304-$C$5,0)</f>
        <v>288.154296875</v>
      </c>
      <c r="I304" s="26">
        <f t="shared" si="450"/>
        <v>17.14637138429752</v>
      </c>
      <c r="J304" s="24">
        <f t="shared" si="479"/>
        <v>1</v>
      </c>
      <c r="K304" s="26">
        <f>VLOOKUP($C304,COS!$B$8:$H$991,2,FALSE)</f>
        <v>4172.916015625</v>
      </c>
      <c r="L304" s="24">
        <f t="shared" si="435"/>
        <v>1</v>
      </c>
      <c r="M304" s="24">
        <f t="shared" si="436"/>
        <v>0</v>
      </c>
      <c r="N304" s="26">
        <f>VLOOKUP($C304,COS!$B$8:$H$991,5,FALSE)</f>
        <v>1051.88525390625</v>
      </c>
      <c r="O304" s="26">
        <f t="shared" si="482"/>
        <v>62.591519240702482</v>
      </c>
      <c r="P304" s="26">
        <f>VLOOKUP($C304,COS!$B$8:$H$991,6,FALSE)</f>
        <v>2396.154541015625</v>
      </c>
      <c r="Q304" s="26">
        <f t="shared" si="483"/>
        <v>142.58109665547522</v>
      </c>
      <c r="R304" s="26">
        <f>MIN(IF(MONTH($C304)=4,$S$3,IF(MONTH($C304)=5,$S$4,IF(MONTH($C304)=6,$S$5,IF(MONTH($C304)=7,$S$6,"ERROR")))),MAX(VLOOKUP($C304,COS!$B$8:$K$991,10,FALSE)-IF(MONTH($C304)=4,$Y$3,IF(MONTH($C304)=5,$Y$4,IF(MONTH($C304)=6,$Y$5,IF(MONTH($C304)=7,$Y$6,"ERROR")))),0),MAX(VLOOKUP($C304,COS!$B$8:$K$991,9,FALSE)-IF(MONTH($C304)=4,$V$3,IF(MONTH($C304)=5,$V$4,IF(MONTH($C304)=6,$V$5,IF(MONTH($C304)=7,$V$6,"ERROR"))))-VLOOKUP($C304,COS!$B$8:$K$991,6,FALSE)/2,0))</f>
        <v>750</v>
      </c>
      <c r="S304" s="26">
        <f t="shared" si="484"/>
        <v>44.628099173553714</v>
      </c>
      <c r="T304" s="26">
        <f t="shared" si="485"/>
        <v>147.21440712164258</v>
      </c>
      <c r="U304" s="26" t="str">
        <f>IF(VLOOKUP($C304,COS!$B$8:$I$991,8,FALSE)=1,"UWFE","IBU")</f>
        <v>IBU</v>
      </c>
      <c r="V304" s="26">
        <f t="shared" ref="V304" si="488">MIN(IF(IF($AA$3=2,AND(E304=1,G304=1,L304=1,L307=1,M304=1,U304="IBU"),AND(E304=1,G304=1,L304=1,L307=1,M304=1)),T304,0),I304)</f>
        <v>0</v>
      </c>
      <c r="W304" s="26"/>
      <c r="X304" s="26"/>
      <c r="Y304" s="26"/>
      <c r="Z304" s="26"/>
      <c r="AA304" s="26"/>
      <c r="AB304" s="33"/>
    </row>
    <row r="305" spans="1:28" x14ac:dyDescent="0.3">
      <c r="A305" s="32">
        <f>VLOOKUP(YEAR(C305),Flags!$A$13:$B$95,2,FALSE)</f>
        <v>2</v>
      </c>
      <c r="B305" s="24">
        <f t="shared" si="432"/>
        <v>1954</v>
      </c>
      <c r="C305" s="25">
        <v>19936</v>
      </c>
      <c r="D305" s="26">
        <f>VLOOKUP($C305,COS!$B$8:$H$991,3,FALSE)</f>
        <v>16000</v>
      </c>
      <c r="E305" s="24">
        <f>IF(D305&gt;=IF(MONTH($C305)=4,$C$3,IF(MONTH($C305)=5,$C$4,IF(MONTH($C305)=6,$C$5,IF(MONTH($C305)=7,$C$6,"ERROR")))),1,0)</f>
        <v>1</v>
      </c>
      <c r="F305" s="26">
        <f>VLOOKUP($C305,COS!$B$8:$H$991,7,FALSE)</f>
        <v>51.326705932617188</v>
      </c>
      <c r="G305" s="24">
        <f>IF(F305&lt;=IF(MONTH($C305)=4,$F$3,IF(MONTH($C305)=5,$F$4,IF(MONTH($C305)=6,$F$5,IF(MONTH($C305)=7,$F$6,"ERROR")))),1,0)</f>
        <v>1</v>
      </c>
      <c r="H305" s="26">
        <f>IF(J305=1,D305-$C$6,0)</f>
        <v>4000</v>
      </c>
      <c r="I305" s="26">
        <f t="shared" si="450"/>
        <v>245.95041322314049</v>
      </c>
      <c r="J305" s="24">
        <f t="shared" si="479"/>
        <v>1</v>
      </c>
      <c r="K305" s="26">
        <f>VLOOKUP($C305,COS!$B$8:$H$991,2,FALSE)</f>
        <v>3484.43505859375</v>
      </c>
      <c r="L305" s="24">
        <f t="shared" si="435"/>
        <v>1</v>
      </c>
      <c r="M305" s="24">
        <f t="shared" si="436"/>
        <v>0</v>
      </c>
      <c r="N305" s="26">
        <f>VLOOKUP($C305,COS!$B$8:$H$991,5,FALSE)</f>
        <v>1187.869384765625</v>
      </c>
      <c r="O305" s="26">
        <f t="shared" si="482"/>
        <v>73.039241509555779</v>
      </c>
      <c r="P305" s="26">
        <f>VLOOKUP($C305,COS!$B$8:$H$991,6,FALSE)</f>
        <v>2562.892822265625</v>
      </c>
      <c r="Q305" s="26">
        <f t="shared" si="483"/>
        <v>157.58613717071282</v>
      </c>
      <c r="R305" s="26">
        <f>MIN(IF(MONTH($C305)=4,$S$3,IF(MONTH($C305)=5,$S$4,IF(MONTH($C305)=6,$S$5,IF(MONTH($C305)=7,$S$6,"ERROR")))),MAX(VLOOKUP($C305,COS!$B$8:$K$991,10,FALSE)-IF(MONTH($C305)=4,$Y$3,IF(MONTH($C305)=5,$Y$4,IF(MONTH($C305)=6,$Y$5,IF(MONTH($C305)=7,$Y$6,"ERROR")))),0),MAX(VLOOKUP($C305,COS!$B$8:$K$991,9,FALSE)-IF(MONTH($C305)=4,$V$3,IF(MONTH($C305)=5,$V$4,IF(MONTH($C305)=6,$V$5,IF(MONTH($C305)=7,$V$6,"ERROR"))))-VLOOKUP($C305,COS!$B$8:$K$991,6,FALSE)/2,0))</f>
        <v>750</v>
      </c>
      <c r="S305" s="26">
        <f t="shared" si="484"/>
        <v>46.115702479338843</v>
      </c>
      <c r="T305" s="26">
        <f t="shared" si="485"/>
        <v>161.42839181947315</v>
      </c>
      <c r="U305" s="26" t="str">
        <f>IF(VLOOKUP($C305,COS!$B$8:$I$991,8,FALSE)=1,"UWFE","IBU")</f>
        <v>IBU</v>
      </c>
      <c r="V305" s="26">
        <f t="shared" ref="V305" si="489">MIN(IF(IF($AA$3=2,AND(E305=1,G305=1,L305=1,L307=1,M305=1,U305="IBU"),AND(E305=1,G305=1,L305=1,L307=1,M305=1)),T305,0),I305)</f>
        <v>0</v>
      </c>
      <c r="W305" s="26"/>
      <c r="X305" s="26"/>
      <c r="Y305" s="26"/>
      <c r="Z305" s="26"/>
      <c r="AA305" s="26"/>
      <c r="AB305" s="33"/>
    </row>
    <row r="306" spans="1:28" x14ac:dyDescent="0.3">
      <c r="A306" s="32">
        <f>VLOOKUP(YEAR(C306),Flags!$A$13:$B$95,2,FALSE)</f>
        <v>2</v>
      </c>
      <c r="B306" s="24">
        <f t="shared" si="432"/>
        <v>1954</v>
      </c>
      <c r="C306" s="25">
        <v>19967</v>
      </c>
      <c r="D306" s="26"/>
      <c r="E306" s="24"/>
      <c r="F306" s="26"/>
      <c r="G306" s="24"/>
      <c r="H306" s="24"/>
      <c r="I306" s="26"/>
      <c r="J306" s="24"/>
      <c r="K306" s="26"/>
      <c r="L306" s="24"/>
      <c r="M306" s="24"/>
      <c r="N306" s="26"/>
      <c r="O306" s="26"/>
      <c r="P306" s="26"/>
      <c r="Q306" s="26"/>
      <c r="R306" s="26"/>
      <c r="S306" s="26"/>
      <c r="T306" s="26"/>
      <c r="U306" s="26"/>
      <c r="V306" s="26"/>
      <c r="W306" s="26">
        <f>MAX($C$7-VLOOKUP($C306,COS!$B$8:$H$991,3,FALSE),0)</f>
        <v>89107.3271484375</v>
      </c>
      <c r="X306" s="26">
        <f t="shared" si="448"/>
        <v>5478.9959833419425</v>
      </c>
      <c r="Y306" s="26">
        <f>VLOOKUP($C306,COS!$B$8:$H$991,4,FALSE)</f>
        <v>0</v>
      </c>
      <c r="Z306" s="26">
        <f t="shared" si="449"/>
        <v>0</v>
      </c>
      <c r="AA306" s="26">
        <f t="shared" ref="AA306:AA310" si="490">MIN(W306,Y306)</f>
        <v>0</v>
      </c>
      <c r="AB306" s="33">
        <f t="shared" ref="AB306" si="491">AA306*DAY($C306)*86400/43560/1000*IF(MONTH($C306)=8,$P$3,IF(MONTH($C306)=9,$P$4,IF(MONTH($C306)=10,$P$5,IF(MONTH($C306)=11,$P$6,IF(MONTH($C306)=12,$P$7,NA())))))</f>
        <v>0</v>
      </c>
    </row>
    <row r="307" spans="1:28" x14ac:dyDescent="0.3">
      <c r="A307" s="32">
        <f>VLOOKUP(YEAR(C307),Flags!$A$13:$B$95,2,FALSE)</f>
        <v>2</v>
      </c>
      <c r="B307" s="24">
        <f t="shared" si="432"/>
        <v>1954</v>
      </c>
      <c r="C307" s="25">
        <v>19997</v>
      </c>
      <c r="D307" s="26"/>
      <c r="E307" s="24"/>
      <c r="F307" s="26"/>
      <c r="G307" s="24"/>
      <c r="H307" s="24"/>
      <c r="I307" s="26"/>
      <c r="J307" s="24"/>
      <c r="K307" s="26">
        <f>VLOOKUP($C307,COS!$B$8:$H$991,2,FALSE)</f>
        <v>2910.68115234375</v>
      </c>
      <c r="L307" s="24">
        <f t="shared" ref="L307" si="492">IF(AND(K307&gt;$I$7,K307&lt;$I$8),1,0)</f>
        <v>1</v>
      </c>
      <c r="M307" s="24"/>
      <c r="N307" s="26"/>
      <c r="O307" s="26"/>
      <c r="P307" s="26"/>
      <c r="Q307" s="26"/>
      <c r="R307" s="26"/>
      <c r="S307" s="26"/>
      <c r="T307" s="26"/>
      <c r="U307" s="26"/>
      <c r="V307" s="26"/>
      <c r="W307" s="26">
        <f>MAX($C$8-VLOOKUP($C307,COS!$B$8:$H$991,3,FALSE),0)</f>
        <v>89705.0009765625</v>
      </c>
      <c r="X307" s="26">
        <f t="shared" si="448"/>
        <v>5337.8182399276857</v>
      </c>
      <c r="Y307" s="26">
        <f>VLOOKUP($C307,COS!$B$8:$H$991,4,FALSE)</f>
        <v>0</v>
      </c>
      <c r="Z307" s="26">
        <f t="shared" si="449"/>
        <v>0</v>
      </c>
      <c r="AA307" s="26">
        <f t="shared" si="490"/>
        <v>0</v>
      </c>
      <c r="AB307" s="33">
        <f t="shared" si="446"/>
        <v>0</v>
      </c>
    </row>
    <row r="308" spans="1:28" x14ac:dyDescent="0.3">
      <c r="A308" s="32">
        <f>VLOOKUP(YEAR(C308),Flags!$A$13:$B$95,2,FALSE)</f>
        <v>2</v>
      </c>
      <c r="B308" s="24">
        <f t="shared" si="432"/>
        <v>1954</v>
      </c>
      <c r="C308" s="25">
        <v>20028</v>
      </c>
      <c r="D308" s="26"/>
      <c r="E308" s="24"/>
      <c r="F308" s="26"/>
      <c r="G308" s="26"/>
      <c r="H308" s="26"/>
      <c r="I308" s="26"/>
      <c r="J308" s="26"/>
      <c r="K308" s="26"/>
      <c r="L308" s="24"/>
      <c r="M308" s="24"/>
      <c r="N308" s="26"/>
      <c r="O308" s="26"/>
      <c r="P308" s="26"/>
      <c r="Q308" s="26"/>
      <c r="R308" s="26"/>
      <c r="S308" s="26"/>
      <c r="T308" s="26"/>
      <c r="U308" s="26"/>
      <c r="V308" s="26"/>
      <c r="W308" s="26">
        <f>MAX($C$9-VLOOKUP($C308,COS!$B$8:$H$991,3,FALSE),0)</f>
        <v>92851.60400390625</v>
      </c>
      <c r="X308" s="26">
        <f t="shared" si="448"/>
        <v>5709.2225932980373</v>
      </c>
      <c r="Y308" s="26">
        <f>VLOOKUP($C308,COS!$B$8:$H$991,4,FALSE)</f>
        <v>798.4456787109375</v>
      </c>
      <c r="Z308" s="26">
        <f t="shared" si="449"/>
        <v>49.094511153796482</v>
      </c>
      <c r="AA308" s="26">
        <f t="shared" si="490"/>
        <v>798.4456787109375</v>
      </c>
      <c r="AB308" s="33">
        <f t="shared" si="446"/>
        <v>49.094511153796482</v>
      </c>
    </row>
    <row r="309" spans="1:28" x14ac:dyDescent="0.3">
      <c r="A309" s="32">
        <f>VLOOKUP(YEAR(C309),Flags!$A$13:$B$95,2,FALSE)</f>
        <v>2</v>
      </c>
      <c r="B309" s="24">
        <f t="shared" si="432"/>
        <v>1954</v>
      </c>
      <c r="C309" s="25">
        <v>20058</v>
      </c>
      <c r="D309" s="26"/>
      <c r="E309" s="24"/>
      <c r="F309" s="26"/>
      <c r="G309" s="26"/>
      <c r="H309" s="26"/>
      <c r="I309" s="26"/>
      <c r="J309" s="26"/>
      <c r="K309" s="26"/>
      <c r="L309" s="24"/>
      <c r="M309" s="24"/>
      <c r="N309" s="26"/>
      <c r="O309" s="26"/>
      <c r="P309" s="26"/>
      <c r="Q309" s="26"/>
      <c r="R309" s="26"/>
      <c r="S309" s="26"/>
      <c r="T309" s="26"/>
      <c r="U309" s="26"/>
      <c r="V309" s="26"/>
      <c r="W309" s="26">
        <f>MAX($C$10-VLOOKUP($C309,COS!$B$8:$H$991,3,FALSE),0)</f>
        <v>92153.25146484375</v>
      </c>
      <c r="X309" s="26">
        <f t="shared" si="448"/>
        <v>5483.4992607179747</v>
      </c>
      <c r="Y309" s="26">
        <f>VLOOKUP($C309,COS!$B$8:$H$991,4,FALSE)</f>
        <v>832.2525634765625</v>
      </c>
      <c r="Z309" s="26">
        <f t="shared" si="449"/>
        <v>49.522466587035126</v>
      </c>
      <c r="AA309" s="26">
        <f t="shared" si="490"/>
        <v>832.2525634765625</v>
      </c>
      <c r="AB309" s="33">
        <f t="shared" si="446"/>
        <v>24.761233293517563</v>
      </c>
    </row>
    <row r="310" spans="1:28" x14ac:dyDescent="0.3">
      <c r="A310" s="34">
        <f>VLOOKUP(YEAR(C310),Flags!$A$13:$B$95,2,FALSE)</f>
        <v>2</v>
      </c>
      <c r="B310" s="35">
        <f t="shared" si="432"/>
        <v>1954</v>
      </c>
      <c r="C310" s="36">
        <v>20089</v>
      </c>
      <c r="D310" s="37"/>
      <c r="E310" s="35"/>
      <c r="F310" s="37"/>
      <c r="G310" s="37"/>
      <c r="H310" s="37"/>
      <c r="I310" s="37"/>
      <c r="J310" s="37"/>
      <c r="K310" s="37"/>
      <c r="L310" s="35"/>
      <c r="M310" s="35"/>
      <c r="N310" s="37"/>
      <c r="O310" s="37"/>
      <c r="P310" s="37"/>
      <c r="Q310" s="37"/>
      <c r="R310" s="37"/>
      <c r="S310" s="37"/>
      <c r="T310" s="37"/>
      <c r="U310" s="37"/>
      <c r="V310" s="37"/>
      <c r="W310" s="37">
        <f>MAX($C$11-VLOOKUP($C310,COS!$B$8:$H$991,3,FALSE),0)</f>
        <v>0</v>
      </c>
      <c r="X310" s="37">
        <f t="shared" si="448"/>
        <v>0</v>
      </c>
      <c r="Y310" s="37">
        <f>VLOOKUP($C310,COS!$B$8:$H$991,4,FALSE)</f>
        <v>0</v>
      </c>
      <c r="Z310" s="37">
        <f t="shared" si="449"/>
        <v>0</v>
      </c>
      <c r="AA310" s="37">
        <f t="shared" si="490"/>
        <v>0</v>
      </c>
      <c r="AB310" s="38">
        <f t="shared" si="446"/>
        <v>0</v>
      </c>
    </row>
    <row r="311" spans="1:28" x14ac:dyDescent="0.3">
      <c r="A311" s="27">
        <f>VLOOKUP(YEAR(C311),Flags!$A$13:$B$95,2,FALSE)</f>
        <v>4</v>
      </c>
      <c r="B311" s="28">
        <f t="shared" si="432"/>
        <v>1955</v>
      </c>
      <c r="C311" s="29">
        <v>20209</v>
      </c>
      <c r="D311" s="30">
        <f>VLOOKUP($C311,COS!$B$8:$H$991,3,FALSE)</f>
        <v>3250</v>
      </c>
      <c r="E311" s="28">
        <f>IF(D311&gt;=IF(MONTH($C311)=4,$C$3,IF(MONTH($C311)=5,$C$4,IF(MONTH($C311)=6,$C$5,IF(MONTH($C311)=7,$C$6,"ERROR")))),1,0)</f>
        <v>0</v>
      </c>
      <c r="F311" s="30">
        <f>VLOOKUP($C311,COS!$B$8:$H$991,7,FALSE)</f>
        <v>50.451328277587891</v>
      </c>
      <c r="G311" s="28">
        <f>IF(F311&lt;=IF(MONTH($C311)=4,$F$3,IF(MONTH($C311)=5,$F$4,IF(MONTH($C311)=6,$F$5,IF(MONTH($C311)=7,$F$6,"ERROR")))),1,0)</f>
        <v>1</v>
      </c>
      <c r="H311" s="30">
        <f>IF(J311=1,D311-$C$3,0)</f>
        <v>0</v>
      </c>
      <c r="I311" s="30">
        <f t="shared" si="450"/>
        <v>0</v>
      </c>
      <c r="J311" s="28">
        <f t="shared" ref="J311:J314" si="493">IF(AND(E311=1,G311=1),1,0)</f>
        <v>0</v>
      </c>
      <c r="K311" s="30">
        <f>VLOOKUP($C311,COS!$B$8:$H$991,2,FALSE)</f>
        <v>3900.966552734375</v>
      </c>
      <c r="L311" s="28">
        <f t="shared" ref="L311" si="494">IF(K311&lt;=IF(MONTH($C311)=4,$I$3,IF(MONTH($C311)=5,$I$4,IF(MONTH($C311)=6,$I$5,IF(MONTH($C311)=7,$I$6,"ERROR")))),1,0)</f>
        <v>1</v>
      </c>
      <c r="M311" s="28">
        <f t="shared" ref="M311" si="495">VLOOKUP($A311,$L$3:$M$7,2,FALSE)</f>
        <v>1</v>
      </c>
      <c r="N311" s="30">
        <f>VLOOKUP($C311,COS!$B$8:$H$991,5,FALSE)</f>
        <v>222.8968505859375</v>
      </c>
      <c r="O311" s="30">
        <f t="shared" ref="O311:O314" si="496">N311*DAY($C311)*86400/43560/1000</f>
        <v>13.26328367122934</v>
      </c>
      <c r="P311" s="30">
        <f>VLOOKUP($C311,COS!$B$8:$H$991,6,FALSE)</f>
        <v>466.9581298828125</v>
      </c>
      <c r="Q311" s="30">
        <f t="shared" ref="Q311:Q314" si="497">P311*DAY($C311)*86400/43560/1000</f>
        <v>27.785938307076446</v>
      </c>
      <c r="R311" s="30">
        <f>MIN(IF(MONTH($C311)=4,$S$3,IF(MONTH($C311)=5,$S$4,IF(MONTH($C311)=6,$S$5,IF(MONTH($C311)=7,$S$6,"ERROR")))),MAX(VLOOKUP($C311,COS!$B$8:$K$991,10,FALSE)-IF(MONTH($C311)=4,$Y$3,IF(MONTH($C311)=5,$Y$4,IF(MONTH($C311)=6,$Y$5,IF(MONTH($C311)=7,$Y$6,"ERROR")))),0),MAX(VLOOKUP($C311,COS!$B$8:$K$991,9,FALSE)-IF(MONTH($C311)=4,$V$3,IF(MONTH($C311)=5,$V$4,IF(MONTH($C311)=6,$V$5,IF(MONTH($C311)=7,$V$6,"ERROR"))))-VLOOKUP($C311,COS!$B$8:$K$991,6,FALSE)/2,0))</f>
        <v>750</v>
      </c>
      <c r="S311" s="30">
        <f t="shared" ref="S311:S314" si="498">R311*DAY($C311)*86400/43560/1000</f>
        <v>44.628099173553714</v>
      </c>
      <c r="T311" s="30">
        <f t="shared" ref="T311:T314" si="499">(O311+Q311)/2+S311</f>
        <v>65.152710162706612</v>
      </c>
      <c r="U311" s="30" t="str">
        <f>IF(VLOOKUP($C311,COS!$B$8:$I$991,8,FALSE)=1,"UWFE","IBU")</f>
        <v>UWFE</v>
      </c>
      <c r="V311" s="30">
        <f t="shared" ref="V311" si="500">MIN(IF(IF($AA$3=2,AND(E311=1,G311=1,L311=1,L316=1,M311=1,U311="IBU"),AND(E311=1,G311=1,L311=1,L316=1,M311=1)),T311,0),I311)</f>
        <v>0</v>
      </c>
      <c r="W311" s="30"/>
      <c r="X311" s="30"/>
      <c r="Y311" s="30"/>
      <c r="Z311" s="30"/>
      <c r="AA311" s="30"/>
      <c r="AB311" s="31"/>
    </row>
    <row r="312" spans="1:28" x14ac:dyDescent="0.3">
      <c r="A312" s="32">
        <f>VLOOKUP(YEAR(C312),Flags!$A$13:$B$95,2,FALSE)</f>
        <v>4</v>
      </c>
      <c r="B312" s="24">
        <f t="shared" si="432"/>
        <v>1955</v>
      </c>
      <c r="C312" s="25">
        <v>20240</v>
      </c>
      <c r="D312" s="26">
        <f>VLOOKUP($C312,COS!$B$8:$H$991,3,FALSE)</f>
        <v>5268.8193359375</v>
      </c>
      <c r="E312" s="24">
        <f>IF(D312&gt;=IF(MONTH($C312)=4,$C$3,IF(MONTH($C312)=5,$C$4,IF(MONTH($C312)=6,$C$5,IF(MONTH($C312)=7,$C$6,"ERROR")))),1,0)</f>
        <v>0</v>
      </c>
      <c r="F312" s="26">
        <f>VLOOKUP($C312,COS!$B$8:$H$991,7,FALSE)</f>
        <v>51.616672515869141</v>
      </c>
      <c r="G312" s="24">
        <f>IF(F312&lt;=IF(MONTH($C312)=4,$F$3,IF(MONTH($C312)=5,$F$4,IF(MONTH($C312)=6,$F$5,IF(MONTH($C312)=7,$F$6,"ERROR")))),1,0)</f>
        <v>1</v>
      </c>
      <c r="H312" s="26">
        <f>IF(J312=1,D312-$C$4,0)</f>
        <v>0</v>
      </c>
      <c r="I312" s="26">
        <f t="shared" si="450"/>
        <v>0</v>
      </c>
      <c r="J312" s="24">
        <f t="shared" si="493"/>
        <v>0</v>
      </c>
      <c r="K312" s="26">
        <f>VLOOKUP($C312,COS!$B$8:$H$991,2,FALSE)</f>
        <v>4019.9189453125</v>
      </c>
      <c r="L312" s="24">
        <f t="shared" si="435"/>
        <v>1</v>
      </c>
      <c r="M312" s="24">
        <f t="shared" si="436"/>
        <v>1</v>
      </c>
      <c r="N312" s="26">
        <f>VLOOKUP($C312,COS!$B$8:$H$991,5,FALSE)</f>
        <v>365.389892578125</v>
      </c>
      <c r="O312" s="26">
        <f t="shared" si="496"/>
        <v>22.466948766787191</v>
      </c>
      <c r="P312" s="26">
        <f>VLOOKUP($C312,COS!$B$8:$H$991,6,FALSE)</f>
        <v>2265.77197265625</v>
      </c>
      <c r="Q312" s="26">
        <f t="shared" si="497"/>
        <v>139.31688823605373</v>
      </c>
      <c r="R312" s="26">
        <f>MIN(IF(MONTH($C312)=4,$S$3,IF(MONTH($C312)=5,$S$4,IF(MONTH($C312)=6,$S$5,IF(MONTH($C312)=7,$S$6,"ERROR")))),MAX(VLOOKUP($C312,COS!$B$8:$K$991,10,FALSE)-IF(MONTH($C312)=4,$Y$3,IF(MONTH($C312)=5,$Y$4,IF(MONTH($C312)=6,$Y$5,IF(MONTH($C312)=7,$Y$6,"ERROR")))),0),MAX(VLOOKUP($C312,COS!$B$8:$K$991,9,FALSE)-IF(MONTH($C312)=4,$V$3,IF(MONTH($C312)=5,$V$4,IF(MONTH($C312)=6,$V$5,IF(MONTH($C312)=7,$V$6,"ERROR"))))-VLOOKUP($C312,COS!$B$8:$K$991,6,FALSE)/2,0))</f>
        <v>750</v>
      </c>
      <c r="S312" s="26">
        <f t="shared" si="498"/>
        <v>46.115702479338843</v>
      </c>
      <c r="T312" s="26">
        <f t="shared" si="499"/>
        <v>127.0076209807593</v>
      </c>
      <c r="U312" s="26" t="str">
        <f>IF(VLOOKUP($C312,COS!$B$8:$I$991,8,FALSE)=1,"UWFE","IBU")</f>
        <v>UWFE</v>
      </c>
      <c r="V312" s="26">
        <f t="shared" ref="V312" si="501">MIN(IF(IF($AA$3=2,AND(E312=1,G312=1,L312=1,L316=1,M312=1,U312="IBU"),AND(E312=1,G312=1,L312=1,L316=1,M312=1)),T312,0),I312)</f>
        <v>0</v>
      </c>
      <c r="W312" s="26"/>
      <c r="X312" s="26"/>
      <c r="Y312" s="26"/>
      <c r="Z312" s="26"/>
      <c r="AA312" s="26"/>
      <c r="AB312" s="33"/>
    </row>
    <row r="313" spans="1:28" x14ac:dyDescent="0.3">
      <c r="A313" s="32">
        <f>VLOOKUP(YEAR(C313),Flags!$A$13:$B$95,2,FALSE)</f>
        <v>4</v>
      </c>
      <c r="B313" s="24">
        <f t="shared" si="432"/>
        <v>1955</v>
      </c>
      <c r="C313" s="25">
        <v>20270</v>
      </c>
      <c r="D313" s="26">
        <f>VLOOKUP($C313,COS!$B$8:$H$991,3,FALSE)</f>
        <v>9586.744140625</v>
      </c>
      <c r="E313" s="24">
        <f>IF(D313&gt;=IF(MONTH($C313)=4,$C$3,IF(MONTH($C313)=5,$C$4,IF(MONTH($C313)=6,$C$5,IF(MONTH($C313)=7,$C$6,"ERROR")))),1,0)</f>
        <v>0</v>
      </c>
      <c r="F313" s="26">
        <f>VLOOKUP($C313,COS!$B$8:$H$991,7,FALSE)</f>
        <v>51.253532409667969</v>
      </c>
      <c r="G313" s="24">
        <f>IF(F313&lt;=IF(MONTH($C313)=4,$F$3,IF(MONTH($C313)=5,$F$4,IF(MONTH($C313)=6,$F$5,IF(MONTH($C313)=7,$F$6,"ERROR")))),1,0)</f>
        <v>1</v>
      </c>
      <c r="H313" s="26">
        <f>IF(J313=1,D313-$C$5,0)</f>
        <v>0</v>
      </c>
      <c r="I313" s="26">
        <f t="shared" si="450"/>
        <v>0</v>
      </c>
      <c r="J313" s="24">
        <f t="shared" si="493"/>
        <v>0</v>
      </c>
      <c r="K313" s="26">
        <f>VLOOKUP($C313,COS!$B$8:$H$991,2,FALSE)</f>
        <v>3710.103271484375</v>
      </c>
      <c r="L313" s="24">
        <f t="shared" si="435"/>
        <v>1</v>
      </c>
      <c r="M313" s="24">
        <f t="shared" si="436"/>
        <v>1</v>
      </c>
      <c r="N313" s="26">
        <f>VLOOKUP($C313,COS!$B$8:$H$991,5,FALSE)</f>
        <v>444.3331298828125</v>
      </c>
      <c r="O313" s="26">
        <f t="shared" si="496"/>
        <v>26.439657315340909</v>
      </c>
      <c r="P313" s="26">
        <f>VLOOKUP($C313,COS!$B$8:$H$991,6,FALSE)</f>
        <v>2712.6806640625</v>
      </c>
      <c r="Q313" s="26">
        <f t="shared" si="497"/>
        <v>161.41570893595042</v>
      </c>
      <c r="R313" s="26">
        <f>MIN(IF(MONTH($C313)=4,$S$3,IF(MONTH($C313)=5,$S$4,IF(MONTH($C313)=6,$S$5,IF(MONTH($C313)=7,$S$6,"ERROR")))),MAX(VLOOKUP($C313,COS!$B$8:$K$991,10,FALSE)-IF(MONTH($C313)=4,$Y$3,IF(MONTH($C313)=5,$Y$4,IF(MONTH($C313)=6,$Y$5,IF(MONTH($C313)=7,$Y$6,"ERROR")))),0),MAX(VLOOKUP($C313,COS!$B$8:$K$991,9,FALSE)-IF(MONTH($C313)=4,$V$3,IF(MONTH($C313)=5,$V$4,IF(MONTH($C313)=6,$V$5,IF(MONTH($C313)=7,$V$6,"ERROR"))))-VLOOKUP($C313,COS!$B$8:$K$991,6,FALSE)/2,0))</f>
        <v>750</v>
      </c>
      <c r="S313" s="26">
        <f t="shared" si="498"/>
        <v>44.628099173553714</v>
      </c>
      <c r="T313" s="26">
        <f t="shared" si="499"/>
        <v>138.55578229919939</v>
      </c>
      <c r="U313" s="26" t="str">
        <f>IF(VLOOKUP($C313,COS!$B$8:$I$991,8,FALSE)=1,"UWFE","IBU")</f>
        <v>IBU</v>
      </c>
      <c r="V313" s="26">
        <f t="shared" ref="V313" si="502">MIN(IF(IF($AA$3=2,AND(E313=1,G313=1,L313=1,L316=1,M313=1,U313="IBU"),AND(E313=1,G313=1,L313=1,L316=1,M313=1)),T313,0),I313)</f>
        <v>0</v>
      </c>
      <c r="W313" s="26"/>
      <c r="X313" s="26"/>
      <c r="Y313" s="26"/>
      <c r="Z313" s="26"/>
      <c r="AA313" s="26"/>
      <c r="AB313" s="33"/>
    </row>
    <row r="314" spans="1:28" x14ac:dyDescent="0.3">
      <c r="A314" s="32">
        <f>VLOOKUP(YEAR(C314),Flags!$A$13:$B$95,2,FALSE)</f>
        <v>4</v>
      </c>
      <c r="B314" s="24">
        <f t="shared" si="432"/>
        <v>1955</v>
      </c>
      <c r="C314" s="25">
        <v>20301</v>
      </c>
      <c r="D314" s="26">
        <f>VLOOKUP($C314,COS!$B$8:$H$991,3,FALSE)</f>
        <v>14380.9560546875</v>
      </c>
      <c r="E314" s="24">
        <f>IF(D314&gt;=IF(MONTH($C314)=4,$C$3,IF(MONTH($C314)=5,$C$4,IF(MONTH($C314)=6,$C$5,IF(MONTH($C314)=7,$C$6,"ERROR")))),1,0)</f>
        <v>1</v>
      </c>
      <c r="F314" s="26">
        <f>VLOOKUP($C314,COS!$B$8:$H$991,7,FALSE)</f>
        <v>51.871387481689453</v>
      </c>
      <c r="G314" s="24">
        <f>IF(F314&lt;=IF(MONTH($C314)=4,$F$3,IF(MONTH($C314)=5,$F$4,IF(MONTH($C314)=6,$F$5,IF(MONTH($C314)=7,$F$6,"ERROR")))),1,0)</f>
        <v>1</v>
      </c>
      <c r="H314" s="26">
        <f>IF(J314=1,D314-$C$6,0)</f>
        <v>2380.9560546875</v>
      </c>
      <c r="I314" s="26">
        <f t="shared" si="450"/>
        <v>146.39928137913225</v>
      </c>
      <c r="J314" s="24">
        <f t="shared" si="493"/>
        <v>1</v>
      </c>
      <c r="K314" s="26">
        <f>VLOOKUP($C314,COS!$B$8:$H$991,2,FALSE)</f>
        <v>3124.154052734375</v>
      </c>
      <c r="L314" s="24">
        <f t="shared" si="435"/>
        <v>1</v>
      </c>
      <c r="M314" s="24">
        <f t="shared" si="436"/>
        <v>1</v>
      </c>
      <c r="N314" s="26">
        <f>VLOOKUP($C314,COS!$B$8:$H$991,5,FALSE)</f>
        <v>487.44525146484375</v>
      </c>
      <c r="O314" s="26">
        <f t="shared" si="496"/>
        <v>29.971840255358988</v>
      </c>
      <c r="P314" s="26">
        <f>VLOOKUP($C314,COS!$B$8:$H$991,6,FALSE)</f>
        <v>2538.07568359375</v>
      </c>
      <c r="Q314" s="26">
        <f t="shared" si="497"/>
        <v>156.06019079287191</v>
      </c>
      <c r="R314" s="26">
        <f>MIN(IF(MONTH($C314)=4,$S$3,IF(MONTH($C314)=5,$S$4,IF(MONTH($C314)=6,$S$5,IF(MONTH($C314)=7,$S$6,"ERROR")))),MAX(VLOOKUP($C314,COS!$B$8:$K$991,10,FALSE)-IF(MONTH($C314)=4,$Y$3,IF(MONTH($C314)=5,$Y$4,IF(MONTH($C314)=6,$Y$5,IF(MONTH($C314)=7,$Y$6,"ERROR")))),0),MAX(VLOOKUP($C314,COS!$B$8:$K$991,9,FALSE)-IF(MONTH($C314)=4,$V$3,IF(MONTH($C314)=5,$V$4,IF(MONTH($C314)=6,$V$5,IF(MONTH($C314)=7,$V$6,"ERROR"))))-VLOOKUP($C314,COS!$B$8:$K$991,6,FALSE)/2,0))</f>
        <v>750</v>
      </c>
      <c r="S314" s="26">
        <f t="shared" si="498"/>
        <v>46.115702479338843</v>
      </c>
      <c r="T314" s="26">
        <f t="shared" si="499"/>
        <v>139.1317180034543</v>
      </c>
      <c r="U314" s="26" t="str">
        <f>IF(VLOOKUP($C314,COS!$B$8:$I$991,8,FALSE)=1,"UWFE","IBU")</f>
        <v>IBU</v>
      </c>
      <c r="V314" s="26">
        <f t="shared" ref="V314" si="503">MIN(IF(IF($AA$3=2,AND(E314=1,G314=1,L314=1,L316=1,M314=1,U314="IBU"),AND(E314=1,G314=1,L314=1,L316=1,M314=1)),T314,0),I314)</f>
        <v>139.1317180034543</v>
      </c>
      <c r="W314" s="26"/>
      <c r="X314" s="26"/>
      <c r="Y314" s="26"/>
      <c r="Z314" s="26"/>
      <c r="AA314" s="26"/>
      <c r="AB314" s="33"/>
    </row>
    <row r="315" spans="1:28" x14ac:dyDescent="0.3">
      <c r="A315" s="32">
        <f>VLOOKUP(YEAR(C315),Flags!$A$13:$B$95,2,FALSE)</f>
        <v>4</v>
      </c>
      <c r="B315" s="24">
        <f t="shared" si="432"/>
        <v>1955</v>
      </c>
      <c r="C315" s="25">
        <v>20332</v>
      </c>
      <c r="D315" s="26"/>
      <c r="E315" s="24"/>
      <c r="F315" s="26"/>
      <c r="G315" s="24"/>
      <c r="H315" s="24"/>
      <c r="I315" s="26"/>
      <c r="J315" s="24"/>
      <c r="K315" s="26"/>
      <c r="L315" s="24"/>
      <c r="M315" s="24"/>
      <c r="N315" s="26"/>
      <c r="O315" s="26"/>
      <c r="P315" s="26"/>
      <c r="Q315" s="26"/>
      <c r="R315" s="26"/>
      <c r="S315" s="26"/>
      <c r="T315" s="26"/>
      <c r="U315" s="26"/>
      <c r="V315" s="26"/>
      <c r="W315" s="26">
        <f>MAX($C$7-VLOOKUP($C315,COS!$B$8:$H$991,3,FALSE),0)</f>
        <v>91467.5400390625</v>
      </c>
      <c r="X315" s="26">
        <f t="shared" si="448"/>
        <v>5624.1198172778923</v>
      </c>
      <c r="Y315" s="26">
        <f>VLOOKUP($C315,COS!$B$8:$H$991,4,FALSE)</f>
        <v>1565.8887939453125</v>
      </c>
      <c r="Z315" s="26">
        <f t="shared" si="449"/>
        <v>96.282748983083678</v>
      </c>
      <c r="AA315" s="26">
        <f t="shared" ref="AA315:AA319" si="504">MIN(W315,Y315)</f>
        <v>1565.8887939453125</v>
      </c>
      <c r="AB315" s="33">
        <f t="shared" ref="AB315" si="505">AA315*DAY($C315)*86400/43560/1000*IF(MONTH($C315)=8,$P$3,IF(MONTH($C315)=9,$P$4,IF(MONTH($C315)=10,$P$5,IF(MONTH($C315)=11,$P$6,IF(MONTH($C315)=12,$P$7,NA())))))</f>
        <v>96.282748983083678</v>
      </c>
    </row>
    <row r="316" spans="1:28" x14ac:dyDescent="0.3">
      <c r="A316" s="32">
        <f>VLOOKUP(YEAR(C316),Flags!$A$13:$B$95,2,FALSE)</f>
        <v>4</v>
      </c>
      <c r="B316" s="24">
        <f t="shared" si="432"/>
        <v>1955</v>
      </c>
      <c r="C316" s="25">
        <v>20362</v>
      </c>
      <c r="D316" s="26"/>
      <c r="E316" s="24"/>
      <c r="F316" s="26"/>
      <c r="G316" s="24"/>
      <c r="H316" s="24"/>
      <c r="I316" s="26"/>
      <c r="J316" s="24"/>
      <c r="K316" s="26">
        <f>VLOOKUP($C316,COS!$B$8:$H$991,2,FALSE)</f>
        <v>2864.943603515625</v>
      </c>
      <c r="L316" s="24">
        <f t="shared" ref="L316" si="506">IF(AND(K316&gt;$I$7,K316&lt;$I$8),1,0)</f>
        <v>1</v>
      </c>
      <c r="M316" s="24"/>
      <c r="N316" s="26"/>
      <c r="O316" s="26"/>
      <c r="P316" s="26"/>
      <c r="Q316" s="26"/>
      <c r="R316" s="26"/>
      <c r="S316" s="26"/>
      <c r="T316" s="26"/>
      <c r="U316" s="26"/>
      <c r="V316" s="26"/>
      <c r="W316" s="26">
        <f>MAX($C$8-VLOOKUP($C316,COS!$B$8:$H$991,3,FALSE),0)</f>
        <v>95723.19287109375</v>
      </c>
      <c r="X316" s="26">
        <f t="shared" si="448"/>
        <v>5695.9255262138431</v>
      </c>
      <c r="Y316" s="26">
        <f>VLOOKUP($C316,COS!$B$8:$H$991,4,FALSE)</f>
        <v>813.69903564453125</v>
      </c>
      <c r="Z316" s="26">
        <f t="shared" si="449"/>
        <v>48.418455013558884</v>
      </c>
      <c r="AA316" s="26">
        <f t="shared" si="504"/>
        <v>813.69903564453125</v>
      </c>
      <c r="AB316" s="33">
        <f t="shared" si="446"/>
        <v>48.418455013558884</v>
      </c>
    </row>
    <row r="317" spans="1:28" x14ac:dyDescent="0.3">
      <c r="A317" s="32">
        <f>VLOOKUP(YEAR(C317),Flags!$A$13:$B$95,2,FALSE)</f>
        <v>4</v>
      </c>
      <c r="B317" s="24">
        <f t="shared" si="432"/>
        <v>1955</v>
      </c>
      <c r="C317" s="25">
        <v>20393</v>
      </c>
      <c r="D317" s="26"/>
      <c r="E317" s="24"/>
      <c r="F317" s="26"/>
      <c r="G317" s="26"/>
      <c r="H317" s="26"/>
      <c r="I317" s="26"/>
      <c r="J317" s="26"/>
      <c r="K317" s="26"/>
      <c r="L317" s="24"/>
      <c r="M317" s="24"/>
      <c r="N317" s="26"/>
      <c r="O317" s="26"/>
      <c r="P317" s="26"/>
      <c r="Q317" s="26"/>
      <c r="R317" s="26"/>
      <c r="S317" s="26"/>
      <c r="T317" s="26"/>
      <c r="U317" s="26"/>
      <c r="V317" s="26"/>
      <c r="W317" s="26">
        <f>MAX($C$9-VLOOKUP($C317,COS!$B$8:$H$991,3,FALSE),0)</f>
        <v>94019.69970703125</v>
      </c>
      <c r="X317" s="26">
        <f t="shared" si="448"/>
        <v>5781.0459985149791</v>
      </c>
      <c r="Y317" s="26">
        <f>VLOOKUP($C317,COS!$B$8:$H$991,4,FALSE)</f>
        <v>1413.0872802734375</v>
      </c>
      <c r="Z317" s="26">
        <f t="shared" si="449"/>
        <v>86.887350125903922</v>
      </c>
      <c r="AA317" s="26">
        <f t="shared" si="504"/>
        <v>1413.0872802734375</v>
      </c>
      <c r="AB317" s="33">
        <f t="shared" si="446"/>
        <v>86.887350125903922</v>
      </c>
    </row>
    <row r="318" spans="1:28" x14ac:dyDescent="0.3">
      <c r="A318" s="32">
        <f>VLOOKUP(YEAR(C318),Flags!$A$13:$B$95,2,FALSE)</f>
        <v>4</v>
      </c>
      <c r="B318" s="24">
        <f t="shared" si="432"/>
        <v>1955</v>
      </c>
      <c r="C318" s="25">
        <v>20423</v>
      </c>
      <c r="D318" s="26"/>
      <c r="E318" s="24"/>
      <c r="F318" s="26"/>
      <c r="G318" s="26"/>
      <c r="H318" s="26"/>
      <c r="I318" s="26"/>
      <c r="J318" s="26"/>
      <c r="K318" s="26"/>
      <c r="L318" s="24"/>
      <c r="M318" s="24"/>
      <c r="N318" s="26"/>
      <c r="O318" s="26"/>
      <c r="P318" s="26"/>
      <c r="Q318" s="26"/>
      <c r="R318" s="26"/>
      <c r="S318" s="26"/>
      <c r="T318" s="26"/>
      <c r="U318" s="26"/>
      <c r="V318" s="26"/>
      <c r="W318" s="26">
        <f>MAX($C$10-VLOOKUP($C318,COS!$B$8:$H$991,3,FALSE),0)</f>
        <v>96749</v>
      </c>
      <c r="X318" s="26">
        <f t="shared" si="448"/>
        <v>5756.965289256198</v>
      </c>
      <c r="Y318" s="26">
        <f>VLOOKUP($C318,COS!$B$8:$H$991,4,FALSE)</f>
        <v>1431.478759765625</v>
      </c>
      <c r="Z318" s="26">
        <f t="shared" si="449"/>
        <v>85.178901407541332</v>
      </c>
      <c r="AA318" s="26">
        <f t="shared" si="504"/>
        <v>1431.478759765625</v>
      </c>
      <c r="AB318" s="33">
        <f t="shared" si="446"/>
        <v>42.589450703770666</v>
      </c>
    </row>
    <row r="319" spans="1:28" x14ac:dyDescent="0.3">
      <c r="A319" s="34">
        <f>VLOOKUP(YEAR(C319),Flags!$A$13:$B$95,2,FALSE)</f>
        <v>4</v>
      </c>
      <c r="B319" s="35">
        <f t="shared" si="432"/>
        <v>1955</v>
      </c>
      <c r="C319" s="36">
        <v>20454</v>
      </c>
      <c r="D319" s="37"/>
      <c r="E319" s="35"/>
      <c r="F319" s="37"/>
      <c r="G319" s="37"/>
      <c r="H319" s="37"/>
      <c r="I319" s="37"/>
      <c r="J319" s="37"/>
      <c r="K319" s="37"/>
      <c r="L319" s="35"/>
      <c r="M319" s="35"/>
      <c r="N319" s="37"/>
      <c r="O319" s="37"/>
      <c r="P319" s="37"/>
      <c r="Q319" s="37"/>
      <c r="R319" s="37"/>
      <c r="S319" s="37"/>
      <c r="T319" s="37"/>
      <c r="U319" s="37"/>
      <c r="V319" s="37"/>
      <c r="W319" s="37">
        <f>MAX($C$11-VLOOKUP($C319,COS!$B$8:$H$991,3,FALSE),0)</f>
        <v>0</v>
      </c>
      <c r="X319" s="37">
        <f t="shared" si="448"/>
        <v>0</v>
      </c>
      <c r="Y319" s="37">
        <f>VLOOKUP($C319,COS!$B$8:$H$991,4,FALSE)</f>
        <v>0</v>
      </c>
      <c r="Z319" s="37">
        <f t="shared" si="449"/>
        <v>0</v>
      </c>
      <c r="AA319" s="37">
        <f t="shared" si="504"/>
        <v>0</v>
      </c>
      <c r="AB319" s="38">
        <f t="shared" si="446"/>
        <v>0</v>
      </c>
    </row>
    <row r="320" spans="1:28" x14ac:dyDescent="0.3">
      <c r="A320" s="27">
        <f>VLOOKUP(YEAR(C320),Flags!$A$13:$B$95,2,FALSE)</f>
        <v>1</v>
      </c>
      <c r="B320" s="28">
        <f t="shared" si="432"/>
        <v>1956</v>
      </c>
      <c r="C320" s="29">
        <v>20575</v>
      </c>
      <c r="D320" s="30">
        <f>VLOOKUP($C320,COS!$B$8:$H$991,3,FALSE)</f>
        <v>3250</v>
      </c>
      <c r="E320" s="28">
        <f>IF(D320&gt;=IF(MONTH($C320)=4,$C$3,IF(MONTH($C320)=5,$C$4,IF(MONTH($C320)=6,$C$5,IF(MONTH($C320)=7,$C$6,"ERROR")))),1,0)</f>
        <v>0</v>
      </c>
      <c r="F320" s="30">
        <f>VLOOKUP($C320,COS!$B$8:$H$991,7,FALSE)</f>
        <v>49.895095825195313</v>
      </c>
      <c r="G320" s="28">
        <f>IF(F320&lt;=IF(MONTH($C320)=4,$F$3,IF(MONTH($C320)=5,$F$4,IF(MONTH($C320)=6,$F$5,IF(MONTH($C320)=7,$F$6,"ERROR")))),1,0)</f>
        <v>1</v>
      </c>
      <c r="H320" s="30">
        <f>IF(J320=1,D320-$C$3,0)</f>
        <v>0</v>
      </c>
      <c r="I320" s="30">
        <f t="shared" si="450"/>
        <v>0</v>
      </c>
      <c r="J320" s="28">
        <f t="shared" ref="J320:J323" si="507">IF(AND(E320=1,G320=1),1,0)</f>
        <v>0</v>
      </c>
      <c r="K320" s="30">
        <f>VLOOKUP($C320,COS!$B$8:$H$991,2,FALSE)</f>
        <v>4525.97607421875</v>
      </c>
      <c r="L320" s="28">
        <f t="shared" ref="L320" si="508">IF(K320&lt;=IF(MONTH($C320)=4,$I$3,IF(MONTH($C320)=5,$I$4,IF(MONTH($C320)=6,$I$5,IF(MONTH($C320)=7,$I$6,"ERROR")))),1,0)</f>
        <v>1</v>
      </c>
      <c r="M320" s="28">
        <f t="shared" ref="M320" si="509">VLOOKUP($A320,$L$3:$M$7,2,FALSE)</f>
        <v>0</v>
      </c>
      <c r="N320" s="30">
        <f>VLOOKUP($C320,COS!$B$8:$H$991,5,FALSE)</f>
        <v>274.44708251953125</v>
      </c>
      <c r="O320" s="30">
        <f t="shared" ref="O320:O323" si="510">N320*DAY($C320)*86400/43560/1000</f>
        <v>16.330735488765498</v>
      </c>
      <c r="P320" s="30">
        <f>VLOOKUP($C320,COS!$B$8:$H$991,6,FALSE)</f>
        <v>472.98532104492188</v>
      </c>
      <c r="Q320" s="30">
        <f t="shared" ref="Q320:Q323" si="511">P320*DAY($C320)*86400/43560/1000</f>
        <v>28.144581086970557</v>
      </c>
      <c r="R320" s="30">
        <f>MIN(IF(MONTH($C320)=4,$S$3,IF(MONTH($C320)=5,$S$4,IF(MONTH($C320)=6,$S$5,IF(MONTH($C320)=7,$S$6,"ERROR")))),MAX(VLOOKUP($C320,COS!$B$8:$K$991,10,FALSE)-IF(MONTH($C320)=4,$Y$3,IF(MONTH($C320)=5,$Y$4,IF(MONTH($C320)=6,$Y$5,IF(MONTH($C320)=7,$Y$6,"ERROR")))),0),MAX(VLOOKUP($C320,COS!$B$8:$K$991,9,FALSE)-IF(MONTH($C320)=4,$V$3,IF(MONTH($C320)=5,$V$4,IF(MONTH($C320)=6,$V$5,IF(MONTH($C320)=7,$V$6,"ERROR"))))-VLOOKUP($C320,COS!$B$8:$K$991,6,FALSE)/2,0))</f>
        <v>750</v>
      </c>
      <c r="S320" s="30">
        <f t="shared" ref="S320:S323" si="512">R320*DAY($C320)*86400/43560/1000</f>
        <v>44.628099173553714</v>
      </c>
      <c r="T320" s="30">
        <f t="shared" ref="T320:T323" si="513">(O320+Q320)/2+S320</f>
        <v>66.865757461421737</v>
      </c>
      <c r="U320" s="30" t="str">
        <f>IF(VLOOKUP($C320,COS!$B$8:$I$991,8,FALSE)=1,"UWFE","IBU")</f>
        <v>UWFE</v>
      </c>
      <c r="V320" s="30">
        <f t="shared" ref="V320" si="514">MIN(IF(IF($AA$3=2,AND(E320=1,G320=1,L320=1,L325=1,M320=1,U320="IBU"),AND(E320=1,G320=1,L320=1,L325=1,M320=1)),T320,0),I320)</f>
        <v>0</v>
      </c>
      <c r="W320" s="30"/>
      <c r="X320" s="30"/>
      <c r="Y320" s="30"/>
      <c r="Z320" s="30"/>
      <c r="AA320" s="30"/>
      <c r="AB320" s="31"/>
    </row>
    <row r="321" spans="1:28" x14ac:dyDescent="0.3">
      <c r="A321" s="32">
        <f>VLOOKUP(YEAR(C321),Flags!$A$13:$B$95,2,FALSE)</f>
        <v>1</v>
      </c>
      <c r="B321" s="24">
        <f t="shared" si="432"/>
        <v>1956</v>
      </c>
      <c r="C321" s="25">
        <v>20606</v>
      </c>
      <c r="D321" s="26">
        <f>VLOOKUP($C321,COS!$B$8:$H$991,3,FALSE)</f>
        <v>9877.4130859375</v>
      </c>
      <c r="E321" s="24">
        <f>IF(D321&gt;=IF(MONTH($C321)=4,$C$3,IF(MONTH($C321)=5,$C$4,IF(MONTH($C321)=6,$C$5,IF(MONTH($C321)=7,$C$6,"ERROR")))),1,0)</f>
        <v>1</v>
      </c>
      <c r="F321" s="26">
        <f>VLOOKUP($C321,COS!$B$8:$H$991,7,FALSE)</f>
        <v>47.875160217285156</v>
      </c>
      <c r="G321" s="24">
        <f>IF(F321&lt;=IF(MONTH($C321)=4,$F$3,IF(MONTH($C321)=5,$F$4,IF(MONTH($C321)=6,$F$5,IF(MONTH($C321)=7,$F$6,"ERROR")))),1,0)</f>
        <v>1</v>
      </c>
      <c r="H321" s="26">
        <f>IF(J321=1,D321-$C$4,0)</f>
        <v>3877.4130859375</v>
      </c>
      <c r="I321" s="26">
        <f t="shared" si="450"/>
        <v>238.41283768078512</v>
      </c>
      <c r="J321" s="24">
        <f t="shared" si="507"/>
        <v>1</v>
      </c>
      <c r="K321" s="26">
        <f>VLOOKUP($C321,COS!$B$8:$H$991,2,FALSE)</f>
        <v>4552</v>
      </c>
      <c r="L321" s="24">
        <f t="shared" si="435"/>
        <v>1</v>
      </c>
      <c r="M321" s="24">
        <f t="shared" si="436"/>
        <v>0</v>
      </c>
      <c r="N321" s="26">
        <f>VLOOKUP($C321,COS!$B$8:$H$991,5,FALSE)</f>
        <v>735.657470703125</v>
      </c>
      <c r="O321" s="26">
        <f t="shared" si="510"/>
        <v>45.233814727530991</v>
      </c>
      <c r="P321" s="26">
        <f>VLOOKUP($C321,COS!$B$8:$H$991,6,FALSE)</f>
        <v>2024.16015625</v>
      </c>
      <c r="Q321" s="26">
        <f t="shared" si="511"/>
        <v>124.46075671487603</v>
      </c>
      <c r="R321" s="26">
        <f>MIN(IF(MONTH($C321)=4,$S$3,IF(MONTH($C321)=5,$S$4,IF(MONTH($C321)=6,$S$5,IF(MONTH($C321)=7,$S$6,"ERROR")))),MAX(VLOOKUP($C321,COS!$B$8:$K$991,10,FALSE)-IF(MONTH($C321)=4,$Y$3,IF(MONTH($C321)=5,$Y$4,IF(MONTH($C321)=6,$Y$5,IF(MONTH($C321)=7,$Y$6,"ERROR")))),0),MAX(VLOOKUP($C321,COS!$B$8:$K$991,9,FALSE)-IF(MONTH($C321)=4,$V$3,IF(MONTH($C321)=5,$V$4,IF(MONTH($C321)=6,$V$5,IF(MONTH($C321)=7,$V$6,"ERROR"))))-VLOOKUP($C321,COS!$B$8:$K$991,6,FALSE)/2,0))</f>
        <v>750</v>
      </c>
      <c r="S321" s="26">
        <f t="shared" si="512"/>
        <v>46.115702479338843</v>
      </c>
      <c r="T321" s="26">
        <f t="shared" si="513"/>
        <v>130.96298820054236</v>
      </c>
      <c r="U321" s="26" t="str">
        <f>IF(VLOOKUP($C321,COS!$B$8:$I$991,8,FALSE)=1,"UWFE","IBU")</f>
        <v>UWFE</v>
      </c>
      <c r="V321" s="26">
        <f t="shared" ref="V321" si="515">MIN(IF(IF($AA$3=2,AND(E321=1,G321=1,L321=1,L325=1,M321=1,U321="IBU"),AND(E321=1,G321=1,L321=1,L325=1,M321=1)),T321,0),I321)</f>
        <v>0</v>
      </c>
      <c r="W321" s="26"/>
      <c r="X321" s="26"/>
      <c r="Y321" s="26"/>
      <c r="Z321" s="26"/>
      <c r="AA321" s="26"/>
      <c r="AB321" s="33"/>
    </row>
    <row r="322" spans="1:28" x14ac:dyDescent="0.3">
      <c r="A322" s="32">
        <f>VLOOKUP(YEAR(C322),Flags!$A$13:$B$95,2,FALSE)</f>
        <v>1</v>
      </c>
      <c r="B322" s="24">
        <f t="shared" si="432"/>
        <v>1956</v>
      </c>
      <c r="C322" s="25">
        <v>20636</v>
      </c>
      <c r="D322" s="26">
        <f>VLOOKUP($C322,COS!$B$8:$H$991,3,FALSE)</f>
        <v>7543.416015625</v>
      </c>
      <c r="E322" s="24">
        <f>IF(D322&gt;=IF(MONTH($C322)=4,$C$3,IF(MONTH($C322)=5,$C$4,IF(MONTH($C322)=6,$C$5,IF(MONTH($C322)=7,$C$6,"ERROR")))),1,0)</f>
        <v>0</v>
      </c>
      <c r="F322" s="26">
        <f>VLOOKUP($C322,COS!$B$8:$H$991,7,FALSE)</f>
        <v>50.089691162109375</v>
      </c>
      <c r="G322" s="24">
        <f>IF(F322&lt;=IF(MONTH($C322)=4,$F$3,IF(MONTH($C322)=5,$F$4,IF(MONTH($C322)=6,$F$5,IF(MONTH($C322)=7,$F$6,"ERROR")))),1,0)</f>
        <v>1</v>
      </c>
      <c r="H322" s="26">
        <f>IF(J322=1,D322-$C$5,0)</f>
        <v>0</v>
      </c>
      <c r="I322" s="26">
        <f t="shared" si="450"/>
        <v>0</v>
      </c>
      <c r="J322" s="24">
        <f t="shared" si="507"/>
        <v>0</v>
      </c>
      <c r="K322" s="26">
        <f>VLOOKUP($C322,COS!$B$8:$H$991,2,FALSE)</f>
        <v>4426.123046875</v>
      </c>
      <c r="L322" s="24">
        <f t="shared" si="435"/>
        <v>1</v>
      </c>
      <c r="M322" s="24">
        <f t="shared" si="436"/>
        <v>0</v>
      </c>
      <c r="N322" s="26">
        <f>VLOOKUP($C322,COS!$B$8:$H$991,5,FALSE)</f>
        <v>1099.9310302734375</v>
      </c>
      <c r="O322" s="26">
        <f t="shared" si="510"/>
        <v>65.450441470816116</v>
      </c>
      <c r="P322" s="26">
        <f>VLOOKUP($C322,COS!$B$8:$H$991,6,FALSE)</f>
        <v>2200.53125</v>
      </c>
      <c r="Q322" s="26">
        <f t="shared" si="511"/>
        <v>130.94070247933885</v>
      </c>
      <c r="R322" s="26">
        <f>MIN(IF(MONTH($C322)=4,$S$3,IF(MONTH($C322)=5,$S$4,IF(MONTH($C322)=6,$S$5,IF(MONTH($C322)=7,$S$6,"ERROR")))),MAX(VLOOKUP($C322,COS!$B$8:$K$991,10,FALSE)-IF(MONTH($C322)=4,$Y$3,IF(MONTH($C322)=5,$Y$4,IF(MONTH($C322)=6,$Y$5,IF(MONTH($C322)=7,$Y$6,"ERROR")))),0),MAX(VLOOKUP($C322,COS!$B$8:$K$991,9,FALSE)-IF(MONTH($C322)=4,$V$3,IF(MONTH($C322)=5,$V$4,IF(MONTH($C322)=6,$V$5,IF(MONTH($C322)=7,$V$6,"ERROR"))))-VLOOKUP($C322,COS!$B$8:$K$991,6,FALSE)/2,0))</f>
        <v>750</v>
      </c>
      <c r="S322" s="26">
        <f t="shared" si="512"/>
        <v>44.628099173553714</v>
      </c>
      <c r="T322" s="26">
        <f t="shared" si="513"/>
        <v>142.82367114863121</v>
      </c>
      <c r="U322" s="26" t="str">
        <f>IF(VLOOKUP($C322,COS!$B$8:$I$991,8,FALSE)=1,"UWFE","IBU")</f>
        <v>UWFE</v>
      </c>
      <c r="V322" s="26">
        <f t="shared" ref="V322" si="516">MIN(IF(IF($AA$3=2,AND(E322=1,G322=1,L322=1,L325=1,M322=1,U322="IBU"),AND(E322=1,G322=1,L322=1,L325=1,M322=1)),T322,0),I322)</f>
        <v>0</v>
      </c>
      <c r="W322" s="26"/>
      <c r="X322" s="26"/>
      <c r="Y322" s="26"/>
      <c r="Z322" s="26"/>
      <c r="AA322" s="26"/>
      <c r="AB322" s="33"/>
    </row>
    <row r="323" spans="1:28" x14ac:dyDescent="0.3">
      <c r="A323" s="32">
        <f>VLOOKUP(YEAR(C323),Flags!$A$13:$B$95,2,FALSE)</f>
        <v>1</v>
      </c>
      <c r="B323" s="24">
        <f t="shared" si="432"/>
        <v>1956</v>
      </c>
      <c r="C323" s="25">
        <v>20667</v>
      </c>
      <c r="D323" s="26">
        <f>VLOOKUP($C323,COS!$B$8:$H$991,3,FALSE)</f>
        <v>11823.966796875</v>
      </c>
      <c r="E323" s="24">
        <f>IF(D323&gt;=IF(MONTH($C323)=4,$C$3,IF(MONTH($C323)=5,$C$4,IF(MONTH($C323)=6,$C$5,IF(MONTH($C323)=7,$C$6,"ERROR")))),1,0)</f>
        <v>0</v>
      </c>
      <c r="F323" s="26">
        <f>VLOOKUP($C323,COS!$B$8:$H$991,7,FALSE)</f>
        <v>50.282562255859375</v>
      </c>
      <c r="G323" s="24">
        <f>IF(F323&lt;=IF(MONTH($C323)=4,$F$3,IF(MONTH($C323)=5,$F$4,IF(MONTH($C323)=6,$F$5,IF(MONTH($C323)=7,$F$6,"ERROR")))),1,0)</f>
        <v>1</v>
      </c>
      <c r="H323" s="26">
        <f>IF(J323=1,D323-$C$6,0)</f>
        <v>0</v>
      </c>
      <c r="I323" s="26">
        <f t="shared" si="450"/>
        <v>0</v>
      </c>
      <c r="J323" s="24">
        <f t="shared" si="507"/>
        <v>0</v>
      </c>
      <c r="K323" s="26">
        <f>VLOOKUP($C323,COS!$B$8:$H$991,2,FALSE)</f>
        <v>3905.54736328125</v>
      </c>
      <c r="L323" s="24">
        <f t="shared" si="435"/>
        <v>1</v>
      </c>
      <c r="M323" s="24">
        <f t="shared" si="436"/>
        <v>0</v>
      </c>
      <c r="N323" s="26">
        <f>VLOOKUP($C323,COS!$B$8:$H$991,5,FALSE)</f>
        <v>1282.6153564453125</v>
      </c>
      <c r="O323" s="26">
        <f t="shared" si="510"/>
        <v>78.86494423101756</v>
      </c>
      <c r="P323" s="26">
        <f>VLOOKUP($C323,COS!$B$8:$H$991,6,FALSE)</f>
        <v>2616.67822265625</v>
      </c>
      <c r="Q323" s="26">
        <f t="shared" si="511"/>
        <v>160.89327253357436</v>
      </c>
      <c r="R323" s="26">
        <f>MIN(IF(MONTH($C323)=4,$S$3,IF(MONTH($C323)=5,$S$4,IF(MONTH($C323)=6,$S$5,IF(MONTH($C323)=7,$S$6,"ERROR")))),MAX(VLOOKUP($C323,COS!$B$8:$K$991,10,FALSE)-IF(MONTH($C323)=4,$Y$3,IF(MONTH($C323)=5,$Y$4,IF(MONTH($C323)=6,$Y$5,IF(MONTH($C323)=7,$Y$6,"ERROR")))),0),MAX(VLOOKUP($C323,COS!$B$8:$K$991,9,FALSE)-IF(MONTH($C323)=4,$V$3,IF(MONTH($C323)=5,$V$4,IF(MONTH($C323)=6,$V$5,IF(MONTH($C323)=7,$V$6,"ERROR"))))-VLOOKUP($C323,COS!$B$8:$K$991,6,FALSE)/2,0))</f>
        <v>750</v>
      </c>
      <c r="S323" s="26">
        <f t="shared" si="512"/>
        <v>46.115702479338843</v>
      </c>
      <c r="T323" s="26">
        <f t="shared" si="513"/>
        <v>165.99481086163479</v>
      </c>
      <c r="U323" s="26" t="str">
        <f>IF(VLOOKUP($C323,COS!$B$8:$I$991,8,FALSE)=1,"UWFE","IBU")</f>
        <v>IBU</v>
      </c>
      <c r="V323" s="26">
        <f t="shared" ref="V323" si="517">MIN(IF(IF($AA$3=2,AND(E323=1,G323=1,L323=1,L325=1,M323=1,U323="IBU"),AND(E323=1,G323=1,L323=1,L325=1,M323=1)),T323,0),I323)</f>
        <v>0</v>
      </c>
      <c r="W323" s="26"/>
      <c r="X323" s="26"/>
      <c r="Y323" s="26"/>
      <c r="Z323" s="26"/>
      <c r="AA323" s="26"/>
      <c r="AB323" s="33"/>
    </row>
    <row r="324" spans="1:28" x14ac:dyDescent="0.3">
      <c r="A324" s="32">
        <f>VLOOKUP(YEAR(C324),Flags!$A$13:$B$95,2,FALSE)</f>
        <v>1</v>
      </c>
      <c r="B324" s="24">
        <f t="shared" si="432"/>
        <v>1956</v>
      </c>
      <c r="C324" s="25">
        <v>20698</v>
      </c>
      <c r="D324" s="26"/>
      <c r="E324" s="24"/>
      <c r="F324" s="26"/>
      <c r="G324" s="24"/>
      <c r="H324" s="24"/>
      <c r="I324" s="26"/>
      <c r="J324" s="24"/>
      <c r="K324" s="26"/>
      <c r="L324" s="24"/>
      <c r="M324" s="24"/>
      <c r="N324" s="26"/>
      <c r="O324" s="26"/>
      <c r="P324" s="26"/>
      <c r="Q324" s="26"/>
      <c r="R324" s="26"/>
      <c r="S324" s="26"/>
      <c r="T324" s="26"/>
      <c r="U324" s="26"/>
      <c r="V324" s="26"/>
      <c r="W324" s="26">
        <f>MAX($C$7-VLOOKUP($C324,COS!$B$8:$H$991,3,FALSE),0)</f>
        <v>90474.158203125</v>
      </c>
      <c r="X324" s="26">
        <f t="shared" si="448"/>
        <v>5563.0391490185948</v>
      </c>
      <c r="Y324" s="26">
        <f>VLOOKUP($C324,COS!$B$8:$H$991,4,FALSE)</f>
        <v>0</v>
      </c>
      <c r="Z324" s="26">
        <f t="shared" si="449"/>
        <v>0</v>
      </c>
      <c r="AA324" s="26">
        <f t="shared" ref="AA324:AA328" si="518">MIN(W324,Y324)</f>
        <v>0</v>
      </c>
      <c r="AB324" s="33">
        <f t="shared" ref="AB324" si="519">AA324*DAY($C324)*86400/43560/1000*IF(MONTH($C324)=8,$P$3,IF(MONTH($C324)=9,$P$4,IF(MONTH($C324)=10,$P$5,IF(MONTH($C324)=11,$P$6,IF(MONTH($C324)=12,$P$7,NA())))))</f>
        <v>0</v>
      </c>
    </row>
    <row r="325" spans="1:28" x14ac:dyDescent="0.3">
      <c r="A325" s="32">
        <f>VLOOKUP(YEAR(C325),Flags!$A$13:$B$95,2,FALSE)</f>
        <v>1</v>
      </c>
      <c r="B325" s="24">
        <f t="shared" si="432"/>
        <v>1956</v>
      </c>
      <c r="C325" s="25">
        <v>20728</v>
      </c>
      <c r="D325" s="26"/>
      <c r="E325" s="24"/>
      <c r="F325" s="26"/>
      <c r="G325" s="24"/>
      <c r="H325" s="24"/>
      <c r="I325" s="26"/>
      <c r="J325" s="24"/>
      <c r="K325" s="26">
        <f>VLOOKUP($C325,COS!$B$8:$H$991,2,FALSE)</f>
        <v>3055.82763671875</v>
      </c>
      <c r="L325" s="24">
        <f t="shared" ref="L325" si="520">IF(AND(K325&gt;$I$7,K325&lt;$I$8),1,0)</f>
        <v>1</v>
      </c>
      <c r="M325" s="24"/>
      <c r="N325" s="26"/>
      <c r="O325" s="26"/>
      <c r="P325" s="26"/>
      <c r="Q325" s="26"/>
      <c r="R325" s="26"/>
      <c r="S325" s="26"/>
      <c r="T325" s="26"/>
      <c r="U325" s="26"/>
      <c r="V325" s="26"/>
      <c r="W325" s="26">
        <f>MAX($C$8-VLOOKUP($C325,COS!$B$8:$H$991,3,FALSE),0)</f>
        <v>84431.8017578125</v>
      </c>
      <c r="X325" s="26">
        <f t="shared" si="448"/>
        <v>5024.0410963326449</v>
      </c>
      <c r="Y325" s="26">
        <f>VLOOKUP($C325,COS!$B$8:$H$991,4,FALSE)</f>
        <v>0</v>
      </c>
      <c r="Z325" s="26">
        <f t="shared" si="449"/>
        <v>0</v>
      </c>
      <c r="AA325" s="26">
        <f t="shared" si="518"/>
        <v>0</v>
      </c>
      <c r="AB325" s="33">
        <f t="shared" si="446"/>
        <v>0</v>
      </c>
    </row>
    <row r="326" spans="1:28" x14ac:dyDescent="0.3">
      <c r="A326" s="32">
        <f>VLOOKUP(YEAR(C326),Flags!$A$13:$B$95,2,FALSE)</f>
        <v>1</v>
      </c>
      <c r="B326" s="24">
        <f t="shared" si="432"/>
        <v>1956</v>
      </c>
      <c r="C326" s="25">
        <v>20759</v>
      </c>
      <c r="D326" s="26"/>
      <c r="E326" s="24"/>
      <c r="F326" s="26"/>
      <c r="G326" s="26"/>
      <c r="H326" s="26"/>
      <c r="I326" s="26"/>
      <c r="J326" s="26"/>
      <c r="K326" s="26"/>
      <c r="L326" s="24"/>
      <c r="M326" s="24"/>
      <c r="N326" s="26"/>
      <c r="O326" s="26"/>
      <c r="P326" s="26"/>
      <c r="Q326" s="26"/>
      <c r="R326" s="26"/>
      <c r="S326" s="26"/>
      <c r="T326" s="26"/>
      <c r="U326" s="26"/>
      <c r="V326" s="26"/>
      <c r="W326" s="26">
        <f>MAX($C$9-VLOOKUP($C326,COS!$B$8:$H$991,3,FALSE),0)</f>
        <v>92823.07568359375</v>
      </c>
      <c r="X326" s="26">
        <f t="shared" si="448"/>
        <v>5707.4684552556819</v>
      </c>
      <c r="Y326" s="26">
        <f>VLOOKUP($C326,COS!$B$8:$H$991,4,FALSE)</f>
        <v>524.9937744140625</v>
      </c>
      <c r="Z326" s="26">
        <f t="shared" si="449"/>
        <v>32.28060893917872</v>
      </c>
      <c r="AA326" s="26">
        <f t="shared" si="518"/>
        <v>524.9937744140625</v>
      </c>
      <c r="AB326" s="33">
        <f t="shared" si="446"/>
        <v>32.28060893917872</v>
      </c>
    </row>
    <row r="327" spans="1:28" x14ac:dyDescent="0.3">
      <c r="A327" s="32">
        <f>VLOOKUP(YEAR(C327),Flags!$A$13:$B$95,2,FALSE)</f>
        <v>1</v>
      </c>
      <c r="B327" s="24">
        <f t="shared" si="432"/>
        <v>1956</v>
      </c>
      <c r="C327" s="25">
        <v>20789</v>
      </c>
      <c r="D327" s="26"/>
      <c r="E327" s="24"/>
      <c r="F327" s="26"/>
      <c r="G327" s="26"/>
      <c r="H327" s="26"/>
      <c r="I327" s="26"/>
      <c r="J327" s="26"/>
      <c r="K327" s="26"/>
      <c r="L327" s="24"/>
      <c r="M327" s="24"/>
      <c r="N327" s="26"/>
      <c r="O327" s="26"/>
      <c r="P327" s="26"/>
      <c r="Q327" s="26"/>
      <c r="R327" s="26"/>
      <c r="S327" s="26"/>
      <c r="T327" s="26"/>
      <c r="U327" s="26"/>
      <c r="V327" s="26"/>
      <c r="W327" s="26">
        <f>MAX($C$10-VLOOKUP($C327,COS!$B$8:$H$991,3,FALSE),0)</f>
        <v>87816.908203125</v>
      </c>
      <c r="X327" s="26">
        <f t="shared" si="448"/>
        <v>5225.4689178719009</v>
      </c>
      <c r="Y327" s="26">
        <f>VLOOKUP($C327,COS!$B$8:$H$991,4,FALSE)</f>
        <v>630.58831787109375</v>
      </c>
      <c r="Z327" s="26">
        <f t="shared" si="449"/>
        <v>37.522610650180788</v>
      </c>
      <c r="AA327" s="26">
        <f t="shared" si="518"/>
        <v>630.58831787109375</v>
      </c>
      <c r="AB327" s="33">
        <f t="shared" si="446"/>
        <v>18.761305325090394</v>
      </c>
    </row>
    <row r="328" spans="1:28" x14ac:dyDescent="0.3">
      <c r="A328" s="34">
        <f>VLOOKUP(YEAR(C328),Flags!$A$13:$B$95,2,FALSE)</f>
        <v>1</v>
      </c>
      <c r="B328" s="35">
        <f t="shared" si="432"/>
        <v>1956</v>
      </c>
      <c r="C328" s="36">
        <v>20820</v>
      </c>
      <c r="D328" s="37"/>
      <c r="E328" s="35"/>
      <c r="F328" s="37"/>
      <c r="G328" s="37"/>
      <c r="H328" s="37"/>
      <c r="I328" s="37"/>
      <c r="J328" s="37"/>
      <c r="K328" s="37"/>
      <c r="L328" s="35"/>
      <c r="M328" s="35"/>
      <c r="N328" s="37"/>
      <c r="O328" s="37"/>
      <c r="P328" s="37"/>
      <c r="Q328" s="37"/>
      <c r="R328" s="37"/>
      <c r="S328" s="37"/>
      <c r="T328" s="37"/>
      <c r="U328" s="37"/>
      <c r="V328" s="37"/>
      <c r="W328" s="37">
        <f>MAX($C$11-VLOOKUP($C328,COS!$B$8:$H$991,3,FALSE),0)</f>
        <v>0</v>
      </c>
      <c r="X328" s="37">
        <f t="shared" si="448"/>
        <v>0</v>
      </c>
      <c r="Y328" s="37">
        <f>VLOOKUP($C328,COS!$B$8:$H$991,4,FALSE)</f>
        <v>0</v>
      </c>
      <c r="Z328" s="37">
        <f t="shared" si="449"/>
        <v>0</v>
      </c>
      <c r="AA328" s="37">
        <f t="shared" si="518"/>
        <v>0</v>
      </c>
      <c r="AB328" s="38">
        <f t="shared" si="446"/>
        <v>0</v>
      </c>
    </row>
    <row r="329" spans="1:28" x14ac:dyDescent="0.3">
      <c r="A329" s="27">
        <f>VLOOKUP(YEAR(C329),Flags!$A$13:$B$95,2,FALSE)</f>
        <v>2</v>
      </c>
      <c r="B329" s="28">
        <f t="shared" si="432"/>
        <v>1957</v>
      </c>
      <c r="C329" s="29">
        <v>20940</v>
      </c>
      <c r="D329" s="30">
        <f>VLOOKUP($C329,COS!$B$8:$H$991,3,FALSE)</f>
        <v>3250</v>
      </c>
      <c r="E329" s="28">
        <f>IF(D329&gt;=IF(MONTH($C329)=4,$C$3,IF(MONTH($C329)=5,$C$4,IF(MONTH($C329)=6,$C$5,IF(MONTH($C329)=7,$C$6,"ERROR")))),1,0)</f>
        <v>0</v>
      </c>
      <c r="F329" s="30">
        <f>VLOOKUP($C329,COS!$B$8:$H$991,7,FALSE)</f>
        <v>51.217433929443359</v>
      </c>
      <c r="G329" s="28">
        <f>IF(F329&lt;=IF(MONTH($C329)=4,$F$3,IF(MONTH($C329)=5,$F$4,IF(MONTH($C329)=6,$F$5,IF(MONTH($C329)=7,$F$6,"ERROR")))),1,0)</f>
        <v>1</v>
      </c>
      <c r="H329" s="30">
        <f>IF(J329=1,D329-$C$3,0)</f>
        <v>0</v>
      </c>
      <c r="I329" s="30">
        <f t="shared" si="450"/>
        <v>0</v>
      </c>
      <c r="J329" s="28">
        <f t="shared" ref="J329:J332" si="521">IF(AND(E329=1,G329=1),1,0)</f>
        <v>0</v>
      </c>
      <c r="K329" s="30">
        <f>VLOOKUP($C329,COS!$B$8:$H$991,2,FALSE)</f>
        <v>4535.75439453125</v>
      </c>
      <c r="L329" s="28">
        <f t="shared" ref="L329" si="522">IF(K329&lt;=IF(MONTH($C329)=4,$I$3,IF(MONTH($C329)=5,$I$4,IF(MONTH($C329)=6,$I$5,IF(MONTH($C329)=7,$I$6,"ERROR")))),1,0)</f>
        <v>1</v>
      </c>
      <c r="M329" s="28">
        <f t="shared" ref="M329" si="523">VLOOKUP($A329,$L$3:$M$7,2,FALSE)</f>
        <v>0</v>
      </c>
      <c r="N329" s="30">
        <f>VLOOKUP($C329,COS!$B$8:$H$991,5,FALSE)</f>
        <v>473.61004638671875</v>
      </c>
      <c r="O329" s="30">
        <f t="shared" ref="O329:O332" si="524">N329*DAY($C329)*86400/43560/1000</f>
        <v>28.18175482631715</v>
      </c>
      <c r="P329" s="30">
        <f>VLOOKUP($C329,COS!$B$8:$H$991,6,FALSE)</f>
        <v>459.42416381835938</v>
      </c>
      <c r="Q329" s="30">
        <f t="shared" ref="Q329:Q332" si="525">P329*DAY($C329)*86400/43560/1000</f>
        <v>27.33763619415031</v>
      </c>
      <c r="R329" s="30">
        <f>MIN(IF(MONTH($C329)=4,$S$3,IF(MONTH($C329)=5,$S$4,IF(MONTH($C329)=6,$S$5,IF(MONTH($C329)=7,$S$6,"ERROR")))),MAX(VLOOKUP($C329,COS!$B$8:$K$991,10,FALSE)-IF(MONTH($C329)=4,$Y$3,IF(MONTH($C329)=5,$Y$4,IF(MONTH($C329)=6,$Y$5,IF(MONTH($C329)=7,$Y$6,"ERROR")))),0),MAX(VLOOKUP($C329,COS!$B$8:$K$991,9,FALSE)-IF(MONTH($C329)=4,$V$3,IF(MONTH($C329)=5,$V$4,IF(MONTH($C329)=6,$V$5,IF(MONTH($C329)=7,$V$6,"ERROR"))))-VLOOKUP($C329,COS!$B$8:$K$991,6,FALSE)/2,0))</f>
        <v>750</v>
      </c>
      <c r="S329" s="30">
        <f t="shared" ref="S329:S332" si="526">R329*DAY($C329)*86400/43560/1000</f>
        <v>44.628099173553714</v>
      </c>
      <c r="T329" s="30">
        <f t="shared" ref="T329:T332" si="527">(O329+Q329)/2+S329</f>
        <v>72.387794683787448</v>
      </c>
      <c r="U329" s="30" t="str">
        <f>IF(VLOOKUP($C329,COS!$B$8:$I$991,8,FALSE)=1,"UWFE","IBU")</f>
        <v>UWFE</v>
      </c>
      <c r="V329" s="30">
        <f t="shared" ref="V329" si="528">MIN(IF(IF($AA$3=2,AND(E329=1,G329=1,L329=1,L334=1,M329=1,U329="IBU"),AND(E329=1,G329=1,L329=1,L334=1,M329=1)),T329,0),I329)</f>
        <v>0</v>
      </c>
      <c r="W329" s="30"/>
      <c r="X329" s="30"/>
      <c r="Y329" s="30"/>
      <c r="Z329" s="30"/>
      <c r="AA329" s="30"/>
      <c r="AB329" s="31"/>
    </row>
    <row r="330" spans="1:28" x14ac:dyDescent="0.3">
      <c r="A330" s="32">
        <f>VLOOKUP(YEAR(C330),Flags!$A$13:$B$95,2,FALSE)</f>
        <v>2</v>
      </c>
      <c r="B330" s="24">
        <f t="shared" si="432"/>
        <v>1957</v>
      </c>
      <c r="C330" s="25">
        <v>20971</v>
      </c>
      <c r="D330" s="26">
        <f>VLOOKUP($C330,COS!$B$8:$H$991,3,FALSE)</f>
        <v>10383.798828125</v>
      </c>
      <c r="E330" s="24">
        <f>IF(D330&gt;=IF(MONTH($C330)=4,$C$3,IF(MONTH($C330)=5,$C$4,IF(MONTH($C330)=6,$C$5,IF(MONTH($C330)=7,$C$6,"ERROR")))),1,0)</f>
        <v>1</v>
      </c>
      <c r="F330" s="26">
        <f>VLOOKUP($C330,COS!$B$8:$H$991,7,FALSE)</f>
        <v>50.116058349609375</v>
      </c>
      <c r="G330" s="24">
        <f>IF(F330&lt;=IF(MONTH($C330)=4,$F$3,IF(MONTH($C330)=5,$F$4,IF(MONTH($C330)=6,$F$5,IF(MONTH($C330)=7,$F$6,"ERROR")))),1,0)</f>
        <v>1</v>
      </c>
      <c r="H330" s="26">
        <f>IF(J330=1,D330-$C$4,0)</f>
        <v>4383.798828125</v>
      </c>
      <c r="I330" s="26">
        <f t="shared" si="450"/>
        <v>269.54928331611569</v>
      </c>
      <c r="J330" s="24">
        <f t="shared" si="521"/>
        <v>1</v>
      </c>
      <c r="K330" s="26">
        <f>VLOOKUP($C330,COS!$B$8:$H$991,2,FALSE)</f>
        <v>4552</v>
      </c>
      <c r="L330" s="24">
        <f t="shared" si="435"/>
        <v>1</v>
      </c>
      <c r="M330" s="24">
        <f t="shared" si="436"/>
        <v>0</v>
      </c>
      <c r="N330" s="26">
        <f>VLOOKUP($C330,COS!$B$8:$H$991,5,FALSE)</f>
        <v>717.7584228515625</v>
      </c>
      <c r="O330" s="26">
        <f t="shared" si="524"/>
        <v>44.133245173682852</v>
      </c>
      <c r="P330" s="26">
        <f>VLOOKUP($C330,COS!$B$8:$H$991,6,FALSE)</f>
        <v>2044.89892578125</v>
      </c>
      <c r="Q330" s="26">
        <f t="shared" si="525"/>
        <v>125.73593394886363</v>
      </c>
      <c r="R330" s="26">
        <f>MIN(IF(MONTH($C330)=4,$S$3,IF(MONTH($C330)=5,$S$4,IF(MONTH($C330)=6,$S$5,IF(MONTH($C330)=7,$S$6,"ERROR")))),MAX(VLOOKUP($C330,COS!$B$8:$K$991,10,FALSE)-IF(MONTH($C330)=4,$Y$3,IF(MONTH($C330)=5,$Y$4,IF(MONTH($C330)=6,$Y$5,IF(MONTH($C330)=7,$Y$6,"ERROR")))),0),MAX(VLOOKUP($C330,COS!$B$8:$K$991,9,FALSE)-IF(MONTH($C330)=4,$V$3,IF(MONTH($C330)=5,$V$4,IF(MONTH($C330)=6,$V$5,IF(MONTH($C330)=7,$V$6,"ERROR"))))-VLOOKUP($C330,COS!$B$8:$K$991,6,FALSE)/2,0))</f>
        <v>750</v>
      </c>
      <c r="S330" s="26">
        <f t="shared" si="526"/>
        <v>46.115702479338843</v>
      </c>
      <c r="T330" s="26">
        <f t="shared" si="527"/>
        <v>131.05029204061208</v>
      </c>
      <c r="U330" s="26" t="str">
        <f>IF(VLOOKUP($C330,COS!$B$8:$I$991,8,FALSE)=1,"UWFE","IBU")</f>
        <v>UWFE</v>
      </c>
      <c r="V330" s="26">
        <f t="shared" ref="V330" si="529">MIN(IF(IF($AA$3=2,AND(E330=1,G330=1,L330=1,L334=1,M330=1,U330="IBU"),AND(E330=1,G330=1,L330=1,L334=1,M330=1)),T330,0),I330)</f>
        <v>0</v>
      </c>
      <c r="W330" s="26"/>
      <c r="X330" s="26"/>
      <c r="Y330" s="26"/>
      <c r="Z330" s="26"/>
      <c r="AA330" s="26"/>
      <c r="AB330" s="33"/>
    </row>
    <row r="331" spans="1:28" x14ac:dyDescent="0.3">
      <c r="A331" s="32">
        <f>VLOOKUP(YEAR(C331),Flags!$A$13:$B$95,2,FALSE)</f>
        <v>2</v>
      </c>
      <c r="B331" s="24">
        <f t="shared" si="432"/>
        <v>1957</v>
      </c>
      <c r="C331" s="25">
        <v>21001</v>
      </c>
      <c r="D331" s="26">
        <f>VLOOKUP($C331,COS!$B$8:$H$991,3,FALSE)</f>
        <v>9041.25390625</v>
      </c>
      <c r="E331" s="24">
        <f>IF(D331&gt;=IF(MONTH($C331)=4,$C$3,IF(MONTH($C331)=5,$C$4,IF(MONTH($C331)=6,$C$5,IF(MONTH($C331)=7,$C$6,"ERROR")))),1,0)</f>
        <v>0</v>
      </c>
      <c r="F331" s="26">
        <f>VLOOKUP($C331,COS!$B$8:$H$991,7,FALSE)</f>
        <v>52.248523712158203</v>
      </c>
      <c r="G331" s="24">
        <f>IF(F331&lt;=IF(MONTH($C331)=4,$F$3,IF(MONTH($C331)=5,$F$4,IF(MONTH($C331)=6,$F$5,IF(MONTH($C331)=7,$F$6,"ERROR")))),1,0)</f>
        <v>1</v>
      </c>
      <c r="H331" s="26">
        <f>IF(J331=1,D331-$C$5,0)</f>
        <v>0</v>
      </c>
      <c r="I331" s="26">
        <f t="shared" si="450"/>
        <v>0</v>
      </c>
      <c r="J331" s="24">
        <f t="shared" si="521"/>
        <v>0</v>
      </c>
      <c r="K331" s="26">
        <f>VLOOKUP($C331,COS!$B$8:$H$991,2,FALSE)</f>
        <v>4290.39404296875</v>
      </c>
      <c r="L331" s="24">
        <f t="shared" si="435"/>
        <v>1</v>
      </c>
      <c r="M331" s="24">
        <f t="shared" si="436"/>
        <v>0</v>
      </c>
      <c r="N331" s="26">
        <f>VLOOKUP($C331,COS!$B$8:$H$991,5,FALSE)</f>
        <v>866.60247802734375</v>
      </c>
      <c r="O331" s="26">
        <f t="shared" si="524"/>
        <v>51.566428444602273</v>
      </c>
      <c r="P331" s="26">
        <f>VLOOKUP($C331,COS!$B$8:$H$991,6,FALSE)</f>
        <v>2422.49462890625</v>
      </c>
      <c r="Q331" s="26">
        <f t="shared" si="525"/>
        <v>144.14844072830579</v>
      </c>
      <c r="R331" s="26">
        <f>MIN(IF(MONTH($C331)=4,$S$3,IF(MONTH($C331)=5,$S$4,IF(MONTH($C331)=6,$S$5,IF(MONTH($C331)=7,$S$6,"ERROR")))),MAX(VLOOKUP($C331,COS!$B$8:$K$991,10,FALSE)-IF(MONTH($C331)=4,$Y$3,IF(MONTH($C331)=5,$Y$4,IF(MONTH($C331)=6,$Y$5,IF(MONTH($C331)=7,$Y$6,"ERROR")))),0),MAX(VLOOKUP($C331,COS!$B$8:$K$991,9,FALSE)-IF(MONTH($C331)=4,$V$3,IF(MONTH($C331)=5,$V$4,IF(MONTH($C331)=6,$V$5,IF(MONTH($C331)=7,$V$6,"ERROR"))))-VLOOKUP($C331,COS!$B$8:$K$991,6,FALSE)/2,0))</f>
        <v>750</v>
      </c>
      <c r="S331" s="26">
        <f t="shared" si="526"/>
        <v>44.628099173553714</v>
      </c>
      <c r="T331" s="26">
        <f t="shared" si="527"/>
        <v>142.48553376000774</v>
      </c>
      <c r="U331" s="26" t="str">
        <f>IF(VLOOKUP($C331,COS!$B$8:$I$991,8,FALSE)=1,"UWFE","IBU")</f>
        <v>IBU</v>
      </c>
      <c r="V331" s="26">
        <f t="shared" ref="V331" si="530">MIN(IF(IF($AA$3=2,AND(E331=1,G331=1,L331=1,L334=1,M331=1,U331="IBU"),AND(E331=1,G331=1,L331=1,L334=1,M331=1)),T331,0),I331)</f>
        <v>0</v>
      </c>
      <c r="W331" s="26"/>
      <c r="X331" s="26"/>
      <c r="Y331" s="26"/>
      <c r="Z331" s="26"/>
      <c r="AA331" s="26"/>
      <c r="AB331" s="33"/>
    </row>
    <row r="332" spans="1:28" x14ac:dyDescent="0.3">
      <c r="A332" s="32">
        <f>VLOOKUP(YEAR(C332),Flags!$A$13:$B$95,2,FALSE)</f>
        <v>2</v>
      </c>
      <c r="B332" s="24">
        <f t="shared" si="432"/>
        <v>1957</v>
      </c>
      <c r="C332" s="25">
        <v>21032</v>
      </c>
      <c r="D332" s="26">
        <f>VLOOKUP($C332,COS!$B$8:$H$991,3,FALSE)</f>
        <v>16000</v>
      </c>
      <c r="E332" s="24">
        <f>IF(D332&gt;=IF(MONTH($C332)=4,$C$3,IF(MONTH($C332)=5,$C$4,IF(MONTH($C332)=6,$C$5,IF(MONTH($C332)=7,$C$6,"ERROR")))),1,0)</f>
        <v>1</v>
      </c>
      <c r="F332" s="26">
        <f>VLOOKUP($C332,COS!$B$8:$H$991,7,FALSE)</f>
        <v>51.816173553466797</v>
      </c>
      <c r="G332" s="24">
        <f>IF(F332&lt;=IF(MONTH($C332)=4,$F$3,IF(MONTH($C332)=5,$F$4,IF(MONTH($C332)=6,$F$5,IF(MONTH($C332)=7,$F$6,"ERROR")))),1,0)</f>
        <v>1</v>
      </c>
      <c r="H332" s="26">
        <f>IF(J332=1,D332-$C$6,0)</f>
        <v>4000</v>
      </c>
      <c r="I332" s="26">
        <f t="shared" si="450"/>
        <v>245.95041322314049</v>
      </c>
      <c r="J332" s="24">
        <f t="shared" si="521"/>
        <v>1</v>
      </c>
      <c r="K332" s="26">
        <f>VLOOKUP($C332,COS!$B$8:$H$991,2,FALSE)</f>
        <v>3601.666259765625</v>
      </c>
      <c r="L332" s="24">
        <f t="shared" si="435"/>
        <v>1</v>
      </c>
      <c r="M332" s="24">
        <f t="shared" si="436"/>
        <v>0</v>
      </c>
      <c r="N332" s="26">
        <f>VLOOKUP($C332,COS!$B$8:$H$991,5,FALSE)</f>
        <v>947.87957763671875</v>
      </c>
      <c r="O332" s="26">
        <f t="shared" si="524"/>
        <v>58.282843451381709</v>
      </c>
      <c r="P332" s="26">
        <f>VLOOKUP($C332,COS!$B$8:$H$991,6,FALSE)</f>
        <v>2467.689453125</v>
      </c>
      <c r="Q332" s="26">
        <f t="shared" si="525"/>
        <v>151.73231017561986</v>
      </c>
      <c r="R332" s="26">
        <f>MIN(IF(MONTH($C332)=4,$S$3,IF(MONTH($C332)=5,$S$4,IF(MONTH($C332)=6,$S$5,IF(MONTH($C332)=7,$S$6,"ERROR")))),MAX(VLOOKUP($C332,COS!$B$8:$K$991,10,FALSE)-IF(MONTH($C332)=4,$Y$3,IF(MONTH($C332)=5,$Y$4,IF(MONTH($C332)=6,$Y$5,IF(MONTH($C332)=7,$Y$6,"ERROR")))),0),MAX(VLOOKUP($C332,COS!$B$8:$K$991,9,FALSE)-IF(MONTH($C332)=4,$V$3,IF(MONTH($C332)=5,$V$4,IF(MONTH($C332)=6,$V$5,IF(MONTH($C332)=7,$V$6,"ERROR"))))-VLOOKUP($C332,COS!$B$8:$K$991,6,FALSE)/2,0))</f>
        <v>750</v>
      </c>
      <c r="S332" s="26">
        <f t="shared" si="526"/>
        <v>46.115702479338843</v>
      </c>
      <c r="T332" s="26">
        <f t="shared" si="527"/>
        <v>151.12327929283961</v>
      </c>
      <c r="U332" s="26" t="str">
        <f>IF(VLOOKUP($C332,COS!$B$8:$I$991,8,FALSE)=1,"UWFE","IBU")</f>
        <v>IBU</v>
      </c>
      <c r="V332" s="26">
        <f t="shared" ref="V332" si="531">MIN(IF(IF($AA$3=2,AND(E332=1,G332=1,L332=1,L334=1,M332=1,U332="IBU"),AND(E332=1,G332=1,L332=1,L334=1,M332=1)),T332,0),I332)</f>
        <v>0</v>
      </c>
      <c r="W332" s="26"/>
      <c r="X332" s="26"/>
      <c r="Y332" s="26"/>
      <c r="Z332" s="26"/>
      <c r="AA332" s="26"/>
      <c r="AB332" s="33"/>
    </row>
    <row r="333" spans="1:28" x14ac:dyDescent="0.3">
      <c r="A333" s="32">
        <f>VLOOKUP(YEAR(C333),Flags!$A$13:$B$95,2,FALSE)</f>
        <v>2</v>
      </c>
      <c r="B333" s="24">
        <f t="shared" si="432"/>
        <v>1957</v>
      </c>
      <c r="C333" s="25">
        <v>21063</v>
      </c>
      <c r="D333" s="26"/>
      <c r="E333" s="24"/>
      <c r="F333" s="26"/>
      <c r="G333" s="24"/>
      <c r="H333" s="24"/>
      <c r="I333" s="26"/>
      <c r="J333" s="24"/>
      <c r="K333" s="26"/>
      <c r="L333" s="24"/>
      <c r="M333" s="24"/>
      <c r="N333" s="26"/>
      <c r="O333" s="26"/>
      <c r="P333" s="26"/>
      <c r="Q333" s="26"/>
      <c r="R333" s="26"/>
      <c r="S333" s="26"/>
      <c r="T333" s="26"/>
      <c r="U333" s="26"/>
      <c r="V333" s="26"/>
      <c r="W333" s="26">
        <f>MAX($C$7-VLOOKUP($C333,COS!$B$8:$H$991,3,FALSE),0)</f>
        <v>89621.1240234375</v>
      </c>
      <c r="X333" s="26">
        <f t="shared" si="448"/>
        <v>5510.5881217716942</v>
      </c>
      <c r="Y333" s="26">
        <f>VLOOKUP($C333,COS!$B$8:$H$991,4,FALSE)</f>
        <v>972.99468994140625</v>
      </c>
      <c r="Z333" s="26">
        <f t="shared" si="449"/>
        <v>59.827111513752584</v>
      </c>
      <c r="AA333" s="26">
        <f t="shared" ref="AA333:AA337" si="532">MIN(W333,Y333)</f>
        <v>972.99468994140625</v>
      </c>
      <c r="AB333" s="33">
        <f t="shared" ref="AB333" si="533">AA333*DAY($C333)*86400/43560/1000*IF(MONTH($C333)=8,$P$3,IF(MONTH($C333)=9,$P$4,IF(MONTH($C333)=10,$P$5,IF(MONTH($C333)=11,$P$6,IF(MONTH($C333)=12,$P$7,NA())))))</f>
        <v>59.827111513752584</v>
      </c>
    </row>
    <row r="334" spans="1:28" x14ac:dyDescent="0.3">
      <c r="A334" s="32">
        <f>VLOOKUP(YEAR(C334),Flags!$A$13:$B$95,2,FALSE)</f>
        <v>2</v>
      </c>
      <c r="B334" s="24">
        <f t="shared" si="432"/>
        <v>1957</v>
      </c>
      <c r="C334" s="25">
        <v>21093</v>
      </c>
      <c r="D334" s="26"/>
      <c r="E334" s="24"/>
      <c r="F334" s="26"/>
      <c r="G334" s="24"/>
      <c r="H334" s="24"/>
      <c r="I334" s="26"/>
      <c r="J334" s="24"/>
      <c r="K334" s="26">
        <f>VLOOKUP($C334,COS!$B$8:$H$991,2,FALSE)</f>
        <v>3041.052978515625</v>
      </c>
      <c r="L334" s="24">
        <f t="shared" ref="L334" si="534">IF(AND(K334&gt;$I$7,K334&lt;$I$8),1,0)</f>
        <v>1</v>
      </c>
      <c r="M334" s="24"/>
      <c r="N334" s="26"/>
      <c r="O334" s="26"/>
      <c r="P334" s="26"/>
      <c r="Q334" s="26"/>
      <c r="R334" s="26"/>
      <c r="S334" s="26"/>
      <c r="T334" s="26"/>
      <c r="U334" s="26"/>
      <c r="V334" s="26"/>
      <c r="W334" s="26">
        <f>MAX($C$8-VLOOKUP($C334,COS!$B$8:$H$991,3,FALSE),0)</f>
        <v>90649.27734375</v>
      </c>
      <c r="X334" s="26">
        <f t="shared" si="448"/>
        <v>5394.0065857438012</v>
      </c>
      <c r="Y334" s="26">
        <f>VLOOKUP($C334,COS!$B$8:$H$991,4,FALSE)</f>
        <v>579.7745361328125</v>
      </c>
      <c r="Z334" s="26">
        <f t="shared" si="449"/>
        <v>34.498980662448346</v>
      </c>
      <c r="AA334" s="26">
        <f t="shared" si="532"/>
        <v>579.7745361328125</v>
      </c>
      <c r="AB334" s="33">
        <f t="shared" si="446"/>
        <v>34.498980662448346</v>
      </c>
    </row>
    <row r="335" spans="1:28" x14ac:dyDescent="0.3">
      <c r="A335" s="32">
        <f>VLOOKUP(YEAR(C335),Flags!$A$13:$B$95,2,FALSE)</f>
        <v>2</v>
      </c>
      <c r="B335" s="24">
        <f t="shared" ref="B335:B398" si="535">YEAR(C335)</f>
        <v>1957</v>
      </c>
      <c r="C335" s="25">
        <v>21124</v>
      </c>
      <c r="D335" s="26"/>
      <c r="E335" s="24"/>
      <c r="F335" s="26"/>
      <c r="G335" s="26"/>
      <c r="H335" s="26"/>
      <c r="I335" s="26"/>
      <c r="J335" s="26"/>
      <c r="K335" s="26"/>
      <c r="L335" s="24"/>
      <c r="M335" s="24"/>
      <c r="N335" s="26"/>
      <c r="O335" s="26"/>
      <c r="P335" s="26"/>
      <c r="Q335" s="26"/>
      <c r="R335" s="26"/>
      <c r="S335" s="26"/>
      <c r="T335" s="26"/>
      <c r="U335" s="26"/>
      <c r="V335" s="26"/>
      <c r="W335" s="26">
        <f>MAX($C$9-VLOOKUP($C335,COS!$B$8:$H$991,3,FALSE),0)</f>
        <v>94373.61279296875</v>
      </c>
      <c r="X335" s="26">
        <f t="shared" si="448"/>
        <v>5802.8072659478312</v>
      </c>
      <c r="Y335" s="26">
        <f>VLOOKUP($C335,COS!$B$8:$H$991,4,FALSE)</f>
        <v>1307.7252197265625</v>
      </c>
      <c r="Z335" s="26">
        <f t="shared" si="449"/>
        <v>80.40888954351756</v>
      </c>
      <c r="AA335" s="26">
        <f t="shared" si="532"/>
        <v>1307.7252197265625</v>
      </c>
      <c r="AB335" s="33">
        <f t="shared" si="446"/>
        <v>80.40888954351756</v>
      </c>
    </row>
    <row r="336" spans="1:28" x14ac:dyDescent="0.3">
      <c r="A336" s="32">
        <f>VLOOKUP(YEAR(C336),Flags!$A$13:$B$95,2,FALSE)</f>
        <v>2</v>
      </c>
      <c r="B336" s="24">
        <f t="shared" si="535"/>
        <v>1957</v>
      </c>
      <c r="C336" s="25">
        <v>21154</v>
      </c>
      <c r="D336" s="26"/>
      <c r="E336" s="24"/>
      <c r="F336" s="26"/>
      <c r="G336" s="26"/>
      <c r="H336" s="26"/>
      <c r="I336" s="26"/>
      <c r="J336" s="26"/>
      <c r="K336" s="26"/>
      <c r="L336" s="24"/>
      <c r="M336" s="24"/>
      <c r="N336" s="26"/>
      <c r="O336" s="26"/>
      <c r="P336" s="26"/>
      <c r="Q336" s="26"/>
      <c r="R336" s="26"/>
      <c r="S336" s="26"/>
      <c r="T336" s="26"/>
      <c r="U336" s="26"/>
      <c r="V336" s="26"/>
      <c r="W336" s="26">
        <f>MAX($C$10-VLOOKUP($C336,COS!$B$8:$H$991,3,FALSE),0)</f>
        <v>91059.4033203125</v>
      </c>
      <c r="X336" s="26">
        <f t="shared" si="448"/>
        <v>5418.410776084711</v>
      </c>
      <c r="Y336" s="26">
        <f>VLOOKUP($C336,COS!$B$8:$H$991,4,FALSE)</f>
        <v>2291.82421875</v>
      </c>
      <c r="Z336" s="26">
        <f t="shared" si="449"/>
        <v>136.37301136363635</v>
      </c>
      <c r="AA336" s="26">
        <f t="shared" si="532"/>
        <v>2291.82421875</v>
      </c>
      <c r="AB336" s="33">
        <f t="shared" si="446"/>
        <v>68.186505681818176</v>
      </c>
    </row>
    <row r="337" spans="1:28" x14ac:dyDescent="0.3">
      <c r="A337" s="34">
        <f>VLOOKUP(YEAR(C337),Flags!$A$13:$B$95,2,FALSE)</f>
        <v>2</v>
      </c>
      <c r="B337" s="35">
        <f t="shared" si="535"/>
        <v>1957</v>
      </c>
      <c r="C337" s="36">
        <v>21185</v>
      </c>
      <c r="D337" s="37"/>
      <c r="E337" s="35"/>
      <c r="F337" s="37"/>
      <c r="G337" s="37"/>
      <c r="H337" s="37"/>
      <c r="I337" s="37"/>
      <c r="J337" s="37"/>
      <c r="K337" s="37"/>
      <c r="L337" s="35"/>
      <c r="M337" s="35"/>
      <c r="N337" s="37"/>
      <c r="O337" s="37"/>
      <c r="P337" s="37"/>
      <c r="Q337" s="37"/>
      <c r="R337" s="37"/>
      <c r="S337" s="37"/>
      <c r="T337" s="37"/>
      <c r="U337" s="37"/>
      <c r="V337" s="37"/>
      <c r="W337" s="37">
        <f>MAX($C$11-VLOOKUP($C337,COS!$B$8:$H$991,3,FALSE),0)</f>
        <v>0</v>
      </c>
      <c r="X337" s="37">
        <f t="shared" si="448"/>
        <v>0</v>
      </c>
      <c r="Y337" s="37">
        <f>VLOOKUP($C337,COS!$B$8:$H$991,4,FALSE)</f>
        <v>0</v>
      </c>
      <c r="Z337" s="37">
        <f t="shared" si="449"/>
        <v>0</v>
      </c>
      <c r="AA337" s="37">
        <f t="shared" si="532"/>
        <v>0</v>
      </c>
      <c r="AB337" s="38">
        <f t="shared" si="446"/>
        <v>0</v>
      </c>
    </row>
    <row r="338" spans="1:28" x14ac:dyDescent="0.3">
      <c r="A338" s="27">
        <f>VLOOKUP(YEAR(C338),Flags!$A$13:$B$95,2,FALSE)</f>
        <v>1</v>
      </c>
      <c r="B338" s="28">
        <f t="shared" si="535"/>
        <v>1958</v>
      </c>
      <c r="C338" s="29">
        <v>21305</v>
      </c>
      <c r="D338" s="30">
        <f>VLOOKUP($C338,COS!$B$8:$H$991,3,FALSE)</f>
        <v>11542.2392578125</v>
      </c>
      <c r="E338" s="28">
        <f>IF(D338&gt;=IF(MONTH($C338)=4,$C$3,IF(MONTH($C338)=5,$C$4,IF(MONTH($C338)=6,$C$5,IF(MONTH($C338)=7,$C$6,"ERROR")))),1,0)</f>
        <v>1</v>
      </c>
      <c r="F338" s="30">
        <f>VLOOKUP($C338,COS!$B$8:$H$991,7,FALSE)</f>
        <v>47.772865295410156</v>
      </c>
      <c r="G338" s="28">
        <f>IF(F338&lt;=IF(MONTH($C338)=4,$F$3,IF(MONTH($C338)=5,$F$4,IF(MONTH($C338)=6,$F$5,IF(MONTH($C338)=7,$F$6,"ERROR")))),1,0)</f>
        <v>1</v>
      </c>
      <c r="H338" s="30">
        <f>IF(J338=1,D338-$C$3,0)</f>
        <v>5542.2392578125</v>
      </c>
      <c r="I338" s="30">
        <f t="shared" si="450"/>
        <v>329.78613765495868</v>
      </c>
      <c r="J338" s="28">
        <f t="shared" ref="J338:J341" si="536">IF(AND(E338=1,G338=1),1,0)</f>
        <v>1</v>
      </c>
      <c r="K338" s="30">
        <f>VLOOKUP($C338,COS!$B$8:$H$991,2,FALSE)</f>
        <v>4173</v>
      </c>
      <c r="L338" s="28">
        <f t="shared" ref="L338:L395" si="537">IF(K338&lt;=IF(MONTH($C338)=4,$I$3,IF(MONTH($C338)=5,$I$4,IF(MONTH($C338)=6,$I$5,IF(MONTH($C338)=7,$I$6,"ERROR")))),1,0)</f>
        <v>1</v>
      </c>
      <c r="M338" s="28">
        <f t="shared" ref="M338:M395" si="538">VLOOKUP($A338,$L$3:$M$7,2,FALSE)</f>
        <v>0</v>
      </c>
      <c r="N338" s="30">
        <f>VLOOKUP($C338,COS!$B$8:$H$991,5,FALSE)</f>
        <v>28.527523040771484</v>
      </c>
      <c r="O338" s="30">
        <f t="shared" ref="O338:O341" si="539">N338*DAY($C338)*86400/43560/1000</f>
        <v>1.6975055032525181</v>
      </c>
      <c r="P338" s="30">
        <f>VLOOKUP($C338,COS!$B$8:$H$991,6,FALSE)</f>
        <v>286.142822265625</v>
      </c>
      <c r="Q338" s="30">
        <f t="shared" ref="Q338:Q341" si="540">P338*DAY($C338)*86400/43560/1000</f>
        <v>17.026680333161156</v>
      </c>
      <c r="R338" s="30">
        <f>MIN(IF(MONTH($C338)=4,$S$3,IF(MONTH($C338)=5,$S$4,IF(MONTH($C338)=6,$S$5,IF(MONTH($C338)=7,$S$6,"ERROR")))),MAX(VLOOKUP($C338,COS!$B$8:$K$991,10,FALSE)-IF(MONTH($C338)=4,$Y$3,IF(MONTH($C338)=5,$Y$4,IF(MONTH($C338)=6,$Y$5,IF(MONTH($C338)=7,$Y$6,"ERROR")))),0),MAX(VLOOKUP($C338,COS!$B$8:$K$991,9,FALSE)-IF(MONTH($C338)=4,$V$3,IF(MONTH($C338)=5,$V$4,IF(MONTH($C338)=6,$V$5,IF(MONTH($C338)=7,$V$6,"ERROR"))))-VLOOKUP($C338,COS!$B$8:$K$991,6,FALSE)/2,0))</f>
        <v>750</v>
      </c>
      <c r="S338" s="30">
        <f t="shared" ref="S338:S341" si="541">R338*DAY($C338)*86400/43560/1000</f>
        <v>44.628099173553714</v>
      </c>
      <c r="T338" s="30">
        <f t="shared" ref="T338:T341" si="542">(O338+Q338)/2+S338</f>
        <v>53.990192091760548</v>
      </c>
      <c r="U338" s="30" t="str">
        <f>IF(VLOOKUP($C338,COS!$B$8:$I$991,8,FALSE)=1,"UWFE","IBU")</f>
        <v>UWFE</v>
      </c>
      <c r="V338" s="30">
        <f t="shared" ref="V338" si="543">MIN(IF(IF($AA$3=2,AND(E338=1,G338=1,L338=1,L343=1,M338=1,U338="IBU"),AND(E338=1,G338=1,L338=1,L343=1,M338=1)),T338,0),I338)</f>
        <v>0</v>
      </c>
      <c r="W338" s="30"/>
      <c r="X338" s="30"/>
      <c r="Y338" s="30"/>
      <c r="Z338" s="30"/>
      <c r="AA338" s="30"/>
      <c r="AB338" s="31"/>
    </row>
    <row r="339" spans="1:28" x14ac:dyDescent="0.3">
      <c r="A339" s="32">
        <f>VLOOKUP(YEAR(C339),Flags!$A$13:$B$95,2,FALSE)</f>
        <v>1</v>
      </c>
      <c r="B339" s="24">
        <f t="shared" si="535"/>
        <v>1958</v>
      </c>
      <c r="C339" s="25">
        <v>21336</v>
      </c>
      <c r="D339" s="26">
        <f>VLOOKUP($C339,COS!$B$8:$H$991,3,FALSE)</f>
        <v>6985.326171875</v>
      </c>
      <c r="E339" s="24">
        <f>IF(D339&gt;=IF(MONTH($C339)=4,$C$3,IF(MONTH($C339)=5,$C$4,IF(MONTH($C339)=6,$C$5,IF(MONTH($C339)=7,$C$6,"ERROR")))),1,0)</f>
        <v>1</v>
      </c>
      <c r="F339" s="26">
        <f>VLOOKUP($C339,COS!$B$8:$H$991,7,FALSE)</f>
        <v>51.385059356689453</v>
      </c>
      <c r="G339" s="24">
        <f>IF(F339&lt;=IF(MONTH($C339)=4,$F$3,IF(MONTH($C339)=5,$F$4,IF(MONTH($C339)=6,$F$5,IF(MONTH($C339)=7,$F$6,"ERROR")))),1,0)</f>
        <v>1</v>
      </c>
      <c r="H339" s="26">
        <f>IF(J339=1,D339-$C$4,0)</f>
        <v>985.326171875</v>
      </c>
      <c r="I339" s="26">
        <f t="shared" si="450"/>
        <v>60.585344783057849</v>
      </c>
      <c r="J339" s="24">
        <f t="shared" si="536"/>
        <v>1</v>
      </c>
      <c r="K339" s="26">
        <f>VLOOKUP($C339,COS!$B$8:$H$991,2,FALSE)</f>
        <v>4552</v>
      </c>
      <c r="L339" s="24">
        <f t="shared" si="537"/>
        <v>1</v>
      </c>
      <c r="M339" s="24">
        <f t="shared" si="538"/>
        <v>0</v>
      </c>
      <c r="N339" s="26">
        <f>VLOOKUP($C339,COS!$B$8:$H$991,5,FALSE)</f>
        <v>454.28439331054688</v>
      </c>
      <c r="O339" s="26">
        <f t="shared" si="539"/>
        <v>27.932858563888171</v>
      </c>
      <c r="P339" s="26">
        <f>VLOOKUP($C339,COS!$B$8:$H$991,6,FALSE)</f>
        <v>1943.7978515625</v>
      </c>
      <c r="Q339" s="26">
        <f t="shared" si="540"/>
        <v>119.5194712035124</v>
      </c>
      <c r="R339" s="26">
        <f>MIN(IF(MONTH($C339)=4,$S$3,IF(MONTH($C339)=5,$S$4,IF(MONTH($C339)=6,$S$5,IF(MONTH($C339)=7,$S$6,"ERROR")))),MAX(VLOOKUP($C339,COS!$B$8:$K$991,10,FALSE)-IF(MONTH($C339)=4,$Y$3,IF(MONTH($C339)=5,$Y$4,IF(MONTH($C339)=6,$Y$5,IF(MONTH($C339)=7,$Y$6,"ERROR")))),0),MAX(VLOOKUP($C339,COS!$B$8:$K$991,9,FALSE)-IF(MONTH($C339)=4,$V$3,IF(MONTH($C339)=5,$V$4,IF(MONTH($C339)=6,$V$5,IF(MONTH($C339)=7,$V$6,"ERROR"))))-VLOOKUP($C339,COS!$B$8:$K$991,6,FALSE)/2,0))</f>
        <v>750</v>
      </c>
      <c r="S339" s="26">
        <f t="shared" si="541"/>
        <v>46.115702479338843</v>
      </c>
      <c r="T339" s="26">
        <f t="shared" si="542"/>
        <v>119.84186736303911</v>
      </c>
      <c r="U339" s="26" t="str">
        <f>IF(VLOOKUP($C339,COS!$B$8:$I$991,8,FALSE)=1,"UWFE","IBU")</f>
        <v>UWFE</v>
      </c>
      <c r="V339" s="26">
        <f t="shared" ref="V339" si="544">MIN(IF(IF($AA$3=2,AND(E339=1,G339=1,L339=1,L343=1,M339=1,U339="IBU"),AND(E339=1,G339=1,L339=1,L343=1,M339=1)),T339,0),I339)</f>
        <v>0</v>
      </c>
      <c r="W339" s="26"/>
      <c r="X339" s="26"/>
      <c r="Y339" s="26"/>
      <c r="Z339" s="26"/>
      <c r="AA339" s="26"/>
      <c r="AB339" s="33"/>
    </row>
    <row r="340" spans="1:28" x14ac:dyDescent="0.3">
      <c r="A340" s="32">
        <f>VLOOKUP(YEAR(C340),Flags!$A$13:$B$95,2,FALSE)</f>
        <v>1</v>
      </c>
      <c r="B340" s="24">
        <f t="shared" si="535"/>
        <v>1958</v>
      </c>
      <c r="C340" s="25">
        <v>21366</v>
      </c>
      <c r="D340" s="26">
        <f>VLOOKUP($C340,COS!$B$8:$H$991,3,FALSE)</f>
        <v>8232.15234375</v>
      </c>
      <c r="E340" s="24">
        <f>IF(D340&gt;=IF(MONTH($C340)=4,$C$3,IF(MONTH($C340)=5,$C$4,IF(MONTH($C340)=6,$C$5,IF(MONTH($C340)=7,$C$6,"ERROR")))),1,0)</f>
        <v>0</v>
      </c>
      <c r="F340" s="26">
        <f>VLOOKUP($C340,COS!$B$8:$H$991,7,FALSE)</f>
        <v>51.681552886962891</v>
      </c>
      <c r="G340" s="24">
        <f>IF(F340&lt;=IF(MONTH($C340)=4,$F$3,IF(MONTH($C340)=5,$F$4,IF(MONTH($C340)=6,$F$5,IF(MONTH($C340)=7,$F$6,"ERROR")))),1,0)</f>
        <v>1</v>
      </c>
      <c r="H340" s="26">
        <f>IF(J340=1,D340-$C$5,0)</f>
        <v>0</v>
      </c>
      <c r="I340" s="26">
        <f t="shared" si="450"/>
        <v>0</v>
      </c>
      <c r="J340" s="24">
        <f t="shared" si="536"/>
        <v>0</v>
      </c>
      <c r="K340" s="26">
        <f>VLOOKUP($C340,COS!$B$8:$H$991,2,FALSE)</f>
        <v>4500</v>
      </c>
      <c r="L340" s="24">
        <f t="shared" si="537"/>
        <v>1</v>
      </c>
      <c r="M340" s="24">
        <f t="shared" si="538"/>
        <v>0</v>
      </c>
      <c r="N340" s="26">
        <f>VLOOKUP($C340,COS!$B$8:$H$991,5,FALSE)</f>
        <v>1154.1927490234375</v>
      </c>
      <c r="O340" s="26">
        <f t="shared" si="539"/>
        <v>68.679237958419421</v>
      </c>
      <c r="P340" s="26">
        <f>VLOOKUP($C340,COS!$B$8:$H$991,6,FALSE)</f>
        <v>2269.72607421875</v>
      </c>
      <c r="Q340" s="26">
        <f t="shared" si="540"/>
        <v>135.05808044938016</v>
      </c>
      <c r="R340" s="26">
        <f>MIN(IF(MONTH($C340)=4,$S$3,IF(MONTH($C340)=5,$S$4,IF(MONTH($C340)=6,$S$5,IF(MONTH($C340)=7,$S$6,"ERROR")))),MAX(VLOOKUP($C340,COS!$B$8:$K$991,10,FALSE)-IF(MONTH($C340)=4,$Y$3,IF(MONTH($C340)=5,$Y$4,IF(MONTH($C340)=6,$Y$5,IF(MONTH($C340)=7,$Y$6,"ERROR")))),0),MAX(VLOOKUP($C340,COS!$B$8:$K$991,9,FALSE)-IF(MONTH($C340)=4,$V$3,IF(MONTH($C340)=5,$V$4,IF(MONTH($C340)=6,$V$5,IF(MONTH($C340)=7,$V$6,"ERROR"))))-VLOOKUP($C340,COS!$B$8:$K$991,6,FALSE)/2,0))</f>
        <v>750</v>
      </c>
      <c r="S340" s="26">
        <f t="shared" si="541"/>
        <v>44.628099173553714</v>
      </c>
      <c r="T340" s="26">
        <f t="shared" si="542"/>
        <v>146.49675837745352</v>
      </c>
      <c r="U340" s="26" t="str">
        <f>IF(VLOOKUP($C340,COS!$B$8:$I$991,8,FALSE)=1,"UWFE","IBU")</f>
        <v>UWFE</v>
      </c>
      <c r="V340" s="26">
        <f t="shared" ref="V340" si="545">MIN(IF(IF($AA$3=2,AND(E340=1,G340=1,L340=1,L343=1,M340=1,U340="IBU"),AND(E340=1,G340=1,L340=1,L343=1,M340=1)),T340,0),I340)</f>
        <v>0</v>
      </c>
      <c r="W340" s="26"/>
      <c r="X340" s="26"/>
      <c r="Y340" s="26"/>
      <c r="Z340" s="26"/>
      <c r="AA340" s="26"/>
      <c r="AB340" s="33"/>
    </row>
    <row r="341" spans="1:28" x14ac:dyDescent="0.3">
      <c r="A341" s="32">
        <f>VLOOKUP(YEAR(C341),Flags!$A$13:$B$95,2,FALSE)</f>
        <v>1</v>
      </c>
      <c r="B341" s="24">
        <f t="shared" si="535"/>
        <v>1958</v>
      </c>
      <c r="C341" s="25">
        <v>21397</v>
      </c>
      <c r="D341" s="26">
        <f>VLOOKUP($C341,COS!$B$8:$H$991,3,FALSE)</f>
        <v>12357.0048828125</v>
      </c>
      <c r="E341" s="24">
        <f>IF(D341&gt;=IF(MONTH($C341)=4,$C$3,IF(MONTH($C341)=5,$C$4,IF(MONTH($C341)=6,$C$5,IF(MONTH($C341)=7,$C$6,"ERROR")))),1,0)</f>
        <v>1</v>
      </c>
      <c r="F341" s="26">
        <f>VLOOKUP($C341,COS!$B$8:$H$991,7,FALSE)</f>
        <v>52.224693298339844</v>
      </c>
      <c r="G341" s="24">
        <f>IF(F341&lt;=IF(MONTH($C341)=4,$F$3,IF(MONTH($C341)=5,$F$4,IF(MONTH($C341)=6,$F$5,IF(MONTH($C341)=7,$F$6,"ERROR")))),1,0)</f>
        <v>1</v>
      </c>
      <c r="H341" s="26">
        <f>IF(J341=1,D341-$C$6,0)</f>
        <v>357.0048828125</v>
      </c>
      <c r="I341" s="26">
        <f t="shared" si="450"/>
        <v>21.951374612603306</v>
      </c>
      <c r="J341" s="24">
        <f t="shared" si="536"/>
        <v>1</v>
      </c>
      <c r="K341" s="26">
        <f>VLOOKUP($C341,COS!$B$8:$H$991,2,FALSE)</f>
        <v>4105.73681640625</v>
      </c>
      <c r="L341" s="24">
        <f t="shared" si="537"/>
        <v>1</v>
      </c>
      <c r="M341" s="24">
        <f t="shared" si="538"/>
        <v>0</v>
      </c>
      <c r="N341" s="26">
        <f>VLOOKUP($C341,COS!$B$8:$H$991,5,FALSE)</f>
        <v>1329.9095458984375</v>
      </c>
      <c r="O341" s="26">
        <f t="shared" si="539"/>
        <v>81.772950590779956</v>
      </c>
      <c r="P341" s="26">
        <f>VLOOKUP($C341,COS!$B$8:$H$991,6,FALSE)</f>
        <v>2552.21142578125</v>
      </c>
      <c r="Q341" s="26">
        <f t="shared" si="540"/>
        <v>156.92936370092974</v>
      </c>
      <c r="R341" s="26">
        <f>MIN(IF(MONTH($C341)=4,$S$3,IF(MONTH($C341)=5,$S$4,IF(MONTH($C341)=6,$S$5,IF(MONTH($C341)=7,$S$6,"ERROR")))),MAX(VLOOKUP($C341,COS!$B$8:$K$991,10,FALSE)-IF(MONTH($C341)=4,$Y$3,IF(MONTH($C341)=5,$Y$4,IF(MONTH($C341)=6,$Y$5,IF(MONTH($C341)=7,$Y$6,"ERROR")))),0),MAX(VLOOKUP($C341,COS!$B$8:$K$991,9,FALSE)-IF(MONTH($C341)=4,$V$3,IF(MONTH($C341)=5,$V$4,IF(MONTH($C341)=6,$V$5,IF(MONTH($C341)=7,$V$6,"ERROR"))))-VLOOKUP($C341,COS!$B$8:$K$991,6,FALSE)/2,0))</f>
        <v>750</v>
      </c>
      <c r="S341" s="26">
        <f t="shared" si="541"/>
        <v>46.115702479338843</v>
      </c>
      <c r="T341" s="26">
        <f t="shared" si="542"/>
        <v>165.46685962519368</v>
      </c>
      <c r="U341" s="26" t="str">
        <f>IF(VLOOKUP($C341,COS!$B$8:$I$991,8,FALSE)=1,"UWFE","IBU")</f>
        <v>IBU</v>
      </c>
      <c r="V341" s="26">
        <f t="shared" ref="V341" si="546">MIN(IF(IF($AA$3=2,AND(E341=1,G341=1,L341=1,L343=1,M341=1,U341="IBU"),AND(E341=1,G341=1,L341=1,L343=1,M341=1)),T341,0),I341)</f>
        <v>0</v>
      </c>
      <c r="W341" s="26"/>
      <c r="X341" s="26"/>
      <c r="Y341" s="26"/>
      <c r="Z341" s="26"/>
      <c r="AA341" s="26"/>
      <c r="AB341" s="33"/>
    </row>
    <row r="342" spans="1:28" x14ac:dyDescent="0.3">
      <c r="A342" s="32">
        <f>VLOOKUP(YEAR(C342),Flags!$A$13:$B$95,2,FALSE)</f>
        <v>1</v>
      </c>
      <c r="B342" s="24">
        <f t="shared" si="535"/>
        <v>1958</v>
      </c>
      <c r="C342" s="25">
        <v>21428</v>
      </c>
      <c r="D342" s="26"/>
      <c r="E342" s="24"/>
      <c r="F342" s="26"/>
      <c r="G342" s="24"/>
      <c r="H342" s="24"/>
      <c r="I342" s="26"/>
      <c r="J342" s="24"/>
      <c r="K342" s="26"/>
      <c r="L342" s="24"/>
      <c r="M342" s="24"/>
      <c r="N342" s="26"/>
      <c r="O342" s="26"/>
      <c r="P342" s="26"/>
      <c r="Q342" s="26"/>
      <c r="R342" s="26"/>
      <c r="S342" s="26"/>
      <c r="T342" s="26"/>
      <c r="U342" s="26"/>
      <c r="V342" s="26"/>
      <c r="W342" s="26">
        <f>MAX($C$7-VLOOKUP($C342,COS!$B$8:$H$991,3,FALSE),0)</f>
        <v>87940.8720703125</v>
      </c>
      <c r="X342" s="26">
        <f t="shared" si="448"/>
        <v>5407.2734562241731</v>
      </c>
      <c r="Y342" s="26">
        <f>VLOOKUP($C342,COS!$B$8:$H$991,4,FALSE)</f>
        <v>0</v>
      </c>
      <c r="Z342" s="26">
        <f t="shared" si="449"/>
        <v>0</v>
      </c>
      <c r="AA342" s="26">
        <f t="shared" ref="AA342:AA346" si="547">MIN(W342,Y342)</f>
        <v>0</v>
      </c>
      <c r="AB342" s="33">
        <f t="shared" ref="AB342:AB400" si="548">AA342*DAY($C342)*86400/43560/1000*IF(MONTH($C342)=8,$P$3,IF(MONTH($C342)=9,$P$4,IF(MONTH($C342)=10,$P$5,IF(MONTH($C342)=11,$P$6,IF(MONTH($C342)=12,$P$7,NA())))))</f>
        <v>0</v>
      </c>
    </row>
    <row r="343" spans="1:28" x14ac:dyDescent="0.3">
      <c r="A343" s="32">
        <f>VLOOKUP(YEAR(C343),Flags!$A$13:$B$95,2,FALSE)</f>
        <v>1</v>
      </c>
      <c r="B343" s="24">
        <f t="shared" si="535"/>
        <v>1958</v>
      </c>
      <c r="C343" s="25">
        <v>21458</v>
      </c>
      <c r="D343" s="26"/>
      <c r="E343" s="24"/>
      <c r="F343" s="26"/>
      <c r="G343" s="24"/>
      <c r="H343" s="24"/>
      <c r="I343" s="26"/>
      <c r="J343" s="24"/>
      <c r="K343" s="26">
        <f>VLOOKUP($C343,COS!$B$8:$H$991,2,FALSE)</f>
        <v>3174.58203125</v>
      </c>
      <c r="L343" s="24">
        <f t="shared" ref="L343" si="549">IF(AND(K343&gt;$I$7,K343&lt;$I$8),1,0)</f>
        <v>1</v>
      </c>
      <c r="M343" s="24"/>
      <c r="N343" s="26"/>
      <c r="O343" s="26"/>
      <c r="P343" s="26"/>
      <c r="Q343" s="26"/>
      <c r="R343" s="26"/>
      <c r="S343" s="26"/>
      <c r="T343" s="26"/>
      <c r="U343" s="26"/>
      <c r="V343" s="26"/>
      <c r="W343" s="26">
        <f>MAX($C$8-VLOOKUP($C343,COS!$B$8:$H$991,3,FALSE),0)</f>
        <v>84527.9521484375</v>
      </c>
      <c r="X343" s="26">
        <f t="shared" si="448"/>
        <v>5029.7624418904961</v>
      </c>
      <c r="Y343" s="26">
        <f>VLOOKUP($C343,COS!$B$8:$H$991,4,FALSE)</f>
        <v>0</v>
      </c>
      <c r="Z343" s="26">
        <f t="shared" si="449"/>
        <v>0</v>
      </c>
      <c r="AA343" s="26">
        <f t="shared" si="547"/>
        <v>0</v>
      </c>
      <c r="AB343" s="33">
        <f t="shared" si="548"/>
        <v>0</v>
      </c>
    </row>
    <row r="344" spans="1:28" x14ac:dyDescent="0.3">
      <c r="A344" s="32">
        <f>VLOOKUP(YEAR(C344),Flags!$A$13:$B$95,2,FALSE)</f>
        <v>1</v>
      </c>
      <c r="B344" s="24">
        <f t="shared" si="535"/>
        <v>1958</v>
      </c>
      <c r="C344" s="25">
        <v>21489</v>
      </c>
      <c r="D344" s="26"/>
      <c r="E344" s="24"/>
      <c r="F344" s="26"/>
      <c r="G344" s="26"/>
      <c r="H344" s="26"/>
      <c r="I344" s="26"/>
      <c r="J344" s="26"/>
      <c r="K344" s="26"/>
      <c r="L344" s="24"/>
      <c r="M344" s="24"/>
      <c r="N344" s="26"/>
      <c r="O344" s="26"/>
      <c r="P344" s="26"/>
      <c r="Q344" s="26"/>
      <c r="R344" s="26"/>
      <c r="S344" s="26"/>
      <c r="T344" s="26"/>
      <c r="U344" s="26"/>
      <c r="V344" s="26"/>
      <c r="W344" s="26">
        <f>MAX($C$9-VLOOKUP($C344,COS!$B$8:$H$991,3,FALSE),0)</f>
        <v>92967.86865234375</v>
      </c>
      <c r="X344" s="26">
        <f t="shared" si="448"/>
        <v>5716.3714278796488</v>
      </c>
      <c r="Y344" s="26">
        <f>VLOOKUP($C344,COS!$B$8:$H$991,4,FALSE)</f>
        <v>50.698928833007813</v>
      </c>
      <c r="Z344" s="26">
        <f t="shared" si="449"/>
        <v>3.117355624112216</v>
      </c>
      <c r="AA344" s="26">
        <f t="shared" si="547"/>
        <v>50.698928833007813</v>
      </c>
      <c r="AB344" s="33">
        <f t="shared" si="548"/>
        <v>3.117355624112216</v>
      </c>
    </row>
    <row r="345" spans="1:28" x14ac:dyDescent="0.3">
      <c r="A345" s="32">
        <f>VLOOKUP(YEAR(C345),Flags!$A$13:$B$95,2,FALSE)</f>
        <v>1</v>
      </c>
      <c r="B345" s="24">
        <f t="shared" si="535"/>
        <v>1958</v>
      </c>
      <c r="C345" s="25">
        <v>21519</v>
      </c>
      <c r="D345" s="26"/>
      <c r="E345" s="24"/>
      <c r="F345" s="26"/>
      <c r="G345" s="26"/>
      <c r="H345" s="26"/>
      <c r="I345" s="26"/>
      <c r="J345" s="26"/>
      <c r="K345" s="26"/>
      <c r="L345" s="24"/>
      <c r="M345" s="24"/>
      <c r="N345" s="26"/>
      <c r="O345" s="26"/>
      <c r="P345" s="26"/>
      <c r="Q345" s="26"/>
      <c r="R345" s="26"/>
      <c r="S345" s="26"/>
      <c r="T345" s="26"/>
      <c r="U345" s="26"/>
      <c r="V345" s="26"/>
      <c r="W345" s="26">
        <f>MAX($C$10-VLOOKUP($C345,COS!$B$8:$H$991,3,FALSE),0)</f>
        <v>88886.1259765625</v>
      </c>
      <c r="X345" s="26">
        <f t="shared" si="448"/>
        <v>5289.091793646694</v>
      </c>
      <c r="Y345" s="26">
        <f>VLOOKUP($C345,COS!$B$8:$H$991,4,FALSE)</f>
        <v>1516.7578125</v>
      </c>
      <c r="Z345" s="26">
        <f t="shared" si="449"/>
        <v>90.253357438016522</v>
      </c>
      <c r="AA345" s="26">
        <f t="shared" si="547"/>
        <v>1516.7578125</v>
      </c>
      <c r="AB345" s="33">
        <f t="shared" si="548"/>
        <v>45.126678719008261</v>
      </c>
    </row>
    <row r="346" spans="1:28" x14ac:dyDescent="0.3">
      <c r="A346" s="34">
        <f>VLOOKUP(YEAR(C346),Flags!$A$13:$B$95,2,FALSE)</f>
        <v>1</v>
      </c>
      <c r="B346" s="35">
        <f t="shared" si="535"/>
        <v>1958</v>
      </c>
      <c r="C346" s="36">
        <v>21550</v>
      </c>
      <c r="D346" s="37"/>
      <c r="E346" s="35"/>
      <c r="F346" s="37"/>
      <c r="G346" s="37"/>
      <c r="H346" s="37"/>
      <c r="I346" s="37"/>
      <c r="J346" s="37"/>
      <c r="K346" s="37"/>
      <c r="L346" s="35"/>
      <c r="M346" s="35"/>
      <c r="N346" s="37"/>
      <c r="O346" s="37"/>
      <c r="P346" s="37"/>
      <c r="Q346" s="37"/>
      <c r="R346" s="37"/>
      <c r="S346" s="37"/>
      <c r="T346" s="37"/>
      <c r="U346" s="37"/>
      <c r="V346" s="37"/>
      <c r="W346" s="37">
        <f>MAX($C$11-VLOOKUP($C346,COS!$B$8:$H$991,3,FALSE),0)</f>
        <v>0</v>
      </c>
      <c r="X346" s="37">
        <f t="shared" si="448"/>
        <v>0</v>
      </c>
      <c r="Y346" s="37">
        <f>VLOOKUP($C346,COS!$B$8:$H$991,4,FALSE)</f>
        <v>0</v>
      </c>
      <c r="Z346" s="37">
        <f t="shared" si="449"/>
        <v>0</v>
      </c>
      <c r="AA346" s="37">
        <f t="shared" si="547"/>
        <v>0</v>
      </c>
      <c r="AB346" s="38">
        <f t="shared" si="548"/>
        <v>0</v>
      </c>
    </row>
    <row r="347" spans="1:28" x14ac:dyDescent="0.3">
      <c r="A347" s="27">
        <f>VLOOKUP(YEAR(C347),Flags!$A$13:$B$95,2,FALSE)</f>
        <v>3</v>
      </c>
      <c r="B347" s="28">
        <f t="shared" si="535"/>
        <v>1959</v>
      </c>
      <c r="C347" s="29">
        <v>21670</v>
      </c>
      <c r="D347" s="30">
        <f>VLOOKUP($C347,COS!$B$8:$H$991,3,FALSE)</f>
        <v>4176.9140625</v>
      </c>
      <c r="E347" s="28">
        <f>IF(D347&gt;=IF(MONTH($C347)=4,$C$3,IF(MONTH($C347)=5,$C$4,IF(MONTH($C347)=6,$C$5,IF(MONTH($C347)=7,$C$6,"ERROR")))),1,0)</f>
        <v>0</v>
      </c>
      <c r="F347" s="30">
        <f>VLOOKUP($C347,COS!$B$8:$H$991,7,FALSE)</f>
        <v>52.521034240722656</v>
      </c>
      <c r="G347" s="28">
        <f>IF(F347&lt;=IF(MONTH($C347)=4,$F$3,IF(MONTH($C347)=5,$F$4,IF(MONTH($C347)=6,$F$5,IF(MONTH($C347)=7,$F$6,"ERROR")))),1,0)</f>
        <v>1</v>
      </c>
      <c r="H347" s="30">
        <f>IF(J347=1,D347-$C$3,0)</f>
        <v>0</v>
      </c>
      <c r="I347" s="30">
        <f t="shared" si="450"/>
        <v>0</v>
      </c>
      <c r="J347" s="28">
        <f t="shared" ref="J347:J350" si="550">IF(AND(E347=1,G347=1),1,0)</f>
        <v>0</v>
      </c>
      <c r="K347" s="30">
        <f>VLOOKUP($C347,COS!$B$8:$H$991,2,FALSE)</f>
        <v>4402.98779296875</v>
      </c>
      <c r="L347" s="28">
        <f t="shared" ref="L347" si="551">IF(K347&lt;=IF(MONTH($C347)=4,$I$3,IF(MONTH($C347)=5,$I$4,IF(MONTH($C347)=6,$I$5,IF(MONTH($C347)=7,$I$6,"ERROR")))),1,0)</f>
        <v>1</v>
      </c>
      <c r="M347" s="28">
        <f t="shared" ref="M347" si="552">VLOOKUP($A347,$L$3:$M$7,2,FALSE)</f>
        <v>0</v>
      </c>
      <c r="N347" s="30">
        <f>VLOOKUP($C347,COS!$B$8:$H$991,5,FALSE)</f>
        <v>220.10430908203125</v>
      </c>
      <c r="O347" s="30">
        <f t="shared" ref="O347:O350" si="553">N347*DAY($C347)*86400/43560/1000</f>
        <v>13.097115912319216</v>
      </c>
      <c r="P347" s="30">
        <f>VLOOKUP($C347,COS!$B$8:$H$991,6,FALSE)</f>
        <v>554.8544921875</v>
      </c>
      <c r="Q347" s="30">
        <f t="shared" ref="Q347:Q350" si="554">P347*DAY($C347)*86400/43560/1000</f>
        <v>33.01613507231405</v>
      </c>
      <c r="R347" s="30">
        <f>MIN(IF(MONTH($C347)=4,$S$3,IF(MONTH($C347)=5,$S$4,IF(MONTH($C347)=6,$S$5,IF(MONTH($C347)=7,$S$6,"ERROR")))),MAX(VLOOKUP($C347,COS!$B$8:$K$991,10,FALSE)-IF(MONTH($C347)=4,$Y$3,IF(MONTH($C347)=5,$Y$4,IF(MONTH($C347)=6,$Y$5,IF(MONTH($C347)=7,$Y$6,"ERROR")))),0),MAX(VLOOKUP($C347,COS!$B$8:$K$991,9,FALSE)-IF(MONTH($C347)=4,$V$3,IF(MONTH($C347)=5,$V$4,IF(MONTH($C347)=6,$V$5,IF(MONTH($C347)=7,$V$6,"ERROR"))))-VLOOKUP($C347,COS!$B$8:$K$991,6,FALSE)/2,0))</f>
        <v>750</v>
      </c>
      <c r="S347" s="30">
        <f t="shared" ref="S347:S350" si="555">R347*DAY($C347)*86400/43560/1000</f>
        <v>44.628099173553714</v>
      </c>
      <c r="T347" s="30">
        <f t="shared" ref="T347:T350" si="556">(O347+Q347)/2+S347</f>
        <v>67.684724665870348</v>
      </c>
      <c r="U347" s="30" t="str">
        <f>IF(VLOOKUP($C347,COS!$B$8:$I$991,8,FALSE)=1,"UWFE","IBU")</f>
        <v>UWFE</v>
      </c>
      <c r="V347" s="30">
        <f t="shared" ref="V347" si="557">MIN(IF(IF($AA$3=2,AND(E347=1,G347=1,L347=1,L352=1,M347=1,U347="IBU"),AND(E347=1,G347=1,L347=1,L352=1,M347=1)),T347,0),I347)</f>
        <v>0</v>
      </c>
      <c r="W347" s="30"/>
      <c r="X347" s="30"/>
      <c r="Y347" s="30"/>
      <c r="Z347" s="30"/>
      <c r="AA347" s="30"/>
      <c r="AB347" s="31"/>
    </row>
    <row r="348" spans="1:28" x14ac:dyDescent="0.3">
      <c r="A348" s="32">
        <f>VLOOKUP(YEAR(C348),Flags!$A$13:$B$95,2,FALSE)</f>
        <v>3</v>
      </c>
      <c r="B348" s="24">
        <f t="shared" si="535"/>
        <v>1959</v>
      </c>
      <c r="C348" s="25">
        <v>21701</v>
      </c>
      <c r="D348" s="26">
        <f>VLOOKUP($C348,COS!$B$8:$H$991,3,FALSE)</f>
        <v>8032.080078125</v>
      </c>
      <c r="E348" s="24">
        <f>IF(D348&gt;=IF(MONTH($C348)=4,$C$3,IF(MONTH($C348)=5,$C$4,IF(MONTH($C348)=6,$C$5,IF(MONTH($C348)=7,$C$6,"ERROR")))),1,0)</f>
        <v>1</v>
      </c>
      <c r="F348" s="26">
        <f>VLOOKUP($C348,COS!$B$8:$H$991,7,FALSE)</f>
        <v>51.603923797607422</v>
      </c>
      <c r="G348" s="24">
        <f>IF(F348&lt;=IF(MONTH($C348)=4,$F$3,IF(MONTH($C348)=5,$F$4,IF(MONTH($C348)=6,$F$5,IF(MONTH($C348)=7,$F$6,"ERROR")))),1,0)</f>
        <v>1</v>
      </c>
      <c r="H348" s="26">
        <f>IF(J348=1,D348-$C$4,0)</f>
        <v>2032.080078125</v>
      </c>
      <c r="I348" s="26">
        <f t="shared" ref="I348:I411" si="558">H348*DAY($C348)*86400/43560/1000</f>
        <v>124.94773372933884</v>
      </c>
      <c r="J348" s="24">
        <f t="shared" si="550"/>
        <v>1</v>
      </c>
      <c r="K348" s="26">
        <f>VLOOKUP($C348,COS!$B$8:$H$991,2,FALSE)</f>
        <v>4231.4052734375</v>
      </c>
      <c r="L348" s="24">
        <f t="shared" si="537"/>
        <v>1</v>
      </c>
      <c r="M348" s="24">
        <f t="shared" si="538"/>
        <v>0</v>
      </c>
      <c r="N348" s="26">
        <f>VLOOKUP($C348,COS!$B$8:$H$991,5,FALSE)</f>
        <v>634.8975830078125</v>
      </c>
      <c r="O348" s="26">
        <f t="shared" si="553"/>
        <v>39.03833072378616</v>
      </c>
      <c r="P348" s="26">
        <f>VLOOKUP($C348,COS!$B$8:$H$991,6,FALSE)</f>
        <v>2338.357666015625</v>
      </c>
      <c r="Q348" s="26">
        <f t="shared" si="554"/>
        <v>143.78000855501034</v>
      </c>
      <c r="R348" s="26">
        <f>MIN(IF(MONTH($C348)=4,$S$3,IF(MONTH($C348)=5,$S$4,IF(MONTH($C348)=6,$S$5,IF(MONTH($C348)=7,$S$6,"ERROR")))),MAX(VLOOKUP($C348,COS!$B$8:$K$991,10,FALSE)-IF(MONTH($C348)=4,$Y$3,IF(MONTH($C348)=5,$Y$4,IF(MONTH($C348)=6,$Y$5,IF(MONTH($C348)=7,$Y$6,"ERROR")))),0),MAX(VLOOKUP($C348,COS!$B$8:$K$991,9,FALSE)-IF(MONTH($C348)=4,$V$3,IF(MONTH($C348)=5,$V$4,IF(MONTH($C348)=6,$V$5,IF(MONTH($C348)=7,$V$6,"ERROR"))))-VLOOKUP($C348,COS!$B$8:$K$991,6,FALSE)/2,0))</f>
        <v>750</v>
      </c>
      <c r="S348" s="26">
        <f t="shared" si="555"/>
        <v>46.115702479338843</v>
      </c>
      <c r="T348" s="26">
        <f t="shared" si="556"/>
        <v>137.52487211873708</v>
      </c>
      <c r="U348" s="26" t="str">
        <f>IF(VLOOKUP($C348,COS!$B$8:$I$991,8,FALSE)=1,"UWFE","IBU")</f>
        <v>UWFE</v>
      </c>
      <c r="V348" s="26">
        <f t="shared" ref="V348" si="559">MIN(IF(IF($AA$3=2,AND(E348=1,G348=1,L348=1,L352=1,M348=1,U348="IBU"),AND(E348=1,G348=1,L348=1,L352=1,M348=1)),T348,0),I348)</f>
        <v>0</v>
      </c>
      <c r="W348" s="26"/>
      <c r="X348" s="26"/>
      <c r="Y348" s="26"/>
      <c r="Z348" s="26"/>
      <c r="AA348" s="26"/>
      <c r="AB348" s="33"/>
    </row>
    <row r="349" spans="1:28" x14ac:dyDescent="0.3">
      <c r="A349" s="32">
        <f>VLOOKUP(YEAR(C349),Flags!$A$13:$B$95,2,FALSE)</f>
        <v>3</v>
      </c>
      <c r="B349" s="24">
        <f t="shared" si="535"/>
        <v>1959</v>
      </c>
      <c r="C349" s="25">
        <v>21731</v>
      </c>
      <c r="D349" s="26">
        <f>VLOOKUP($C349,COS!$B$8:$H$991,3,FALSE)</f>
        <v>12238.9375</v>
      </c>
      <c r="E349" s="24">
        <f>IF(D349&gt;=IF(MONTH($C349)=4,$C$3,IF(MONTH($C349)=5,$C$4,IF(MONTH($C349)=6,$C$5,IF(MONTH($C349)=7,$C$6,"ERROR")))),1,0)</f>
        <v>1</v>
      </c>
      <c r="F349" s="26">
        <f>VLOOKUP($C349,COS!$B$8:$H$991,7,FALSE)</f>
        <v>51.942916870117188</v>
      </c>
      <c r="G349" s="24">
        <f>IF(F349&lt;=IF(MONTH($C349)=4,$F$3,IF(MONTH($C349)=5,$F$4,IF(MONTH($C349)=6,$F$5,IF(MONTH($C349)=7,$F$6,"ERROR")))),1,0)</f>
        <v>1</v>
      </c>
      <c r="H349" s="26">
        <f>IF(J349=1,D349-$C$5,0)</f>
        <v>2238.9375</v>
      </c>
      <c r="I349" s="26">
        <f t="shared" si="558"/>
        <v>133.22603305785125</v>
      </c>
      <c r="J349" s="24">
        <f t="shared" si="550"/>
        <v>1</v>
      </c>
      <c r="K349" s="26">
        <f>VLOOKUP($C349,COS!$B$8:$H$991,2,FALSE)</f>
        <v>3758.05615234375</v>
      </c>
      <c r="L349" s="24">
        <f t="shared" si="537"/>
        <v>1</v>
      </c>
      <c r="M349" s="24">
        <f t="shared" si="538"/>
        <v>0</v>
      </c>
      <c r="N349" s="26">
        <f>VLOOKUP($C349,COS!$B$8:$H$991,5,FALSE)</f>
        <v>756.1251220703125</v>
      </c>
      <c r="O349" s="26">
        <f t="shared" si="553"/>
        <v>44.992569247159089</v>
      </c>
      <c r="P349" s="26">
        <f>VLOOKUP($C349,COS!$B$8:$H$991,6,FALSE)</f>
        <v>2677.335693359375</v>
      </c>
      <c r="Q349" s="26">
        <f t="shared" si="554"/>
        <v>159.31253712551654</v>
      </c>
      <c r="R349" s="26">
        <f>MIN(IF(MONTH($C349)=4,$S$3,IF(MONTH($C349)=5,$S$4,IF(MONTH($C349)=6,$S$5,IF(MONTH($C349)=7,$S$6,"ERROR")))),MAX(VLOOKUP($C349,COS!$B$8:$K$991,10,FALSE)-IF(MONTH($C349)=4,$Y$3,IF(MONTH($C349)=5,$Y$4,IF(MONTH($C349)=6,$Y$5,IF(MONTH($C349)=7,$Y$6,"ERROR")))),0),MAX(VLOOKUP($C349,COS!$B$8:$K$991,9,FALSE)-IF(MONTH($C349)=4,$V$3,IF(MONTH($C349)=5,$V$4,IF(MONTH($C349)=6,$V$5,IF(MONTH($C349)=7,$V$6,"ERROR"))))-VLOOKUP($C349,COS!$B$8:$K$991,6,FALSE)/2,0))</f>
        <v>750</v>
      </c>
      <c r="S349" s="26">
        <f t="shared" si="555"/>
        <v>44.628099173553714</v>
      </c>
      <c r="T349" s="26">
        <f t="shared" si="556"/>
        <v>146.78065235989152</v>
      </c>
      <c r="U349" s="26" t="str">
        <f>IF(VLOOKUP($C349,COS!$B$8:$I$991,8,FALSE)=1,"UWFE","IBU")</f>
        <v>IBU</v>
      </c>
      <c r="V349" s="26">
        <f t="shared" ref="V349" si="560">MIN(IF(IF($AA$3=2,AND(E349=1,G349=1,L349=1,L352=1,M349=1,U349="IBU"),AND(E349=1,G349=1,L349=1,L352=1,M349=1)),T349,0),I349)</f>
        <v>0</v>
      </c>
      <c r="W349" s="26"/>
      <c r="X349" s="26"/>
      <c r="Y349" s="26"/>
      <c r="Z349" s="26"/>
      <c r="AA349" s="26"/>
      <c r="AB349" s="33"/>
    </row>
    <row r="350" spans="1:28" x14ac:dyDescent="0.3">
      <c r="A350" s="32">
        <f>VLOOKUP(YEAR(C350),Flags!$A$13:$B$95,2,FALSE)</f>
        <v>3</v>
      </c>
      <c r="B350" s="24">
        <f t="shared" si="535"/>
        <v>1959</v>
      </c>
      <c r="C350" s="25">
        <v>21762</v>
      </c>
      <c r="D350" s="26">
        <f>VLOOKUP($C350,COS!$B$8:$H$991,3,FALSE)</f>
        <v>16000</v>
      </c>
      <c r="E350" s="24">
        <f>IF(D350&gt;=IF(MONTH($C350)=4,$C$3,IF(MONTH($C350)=5,$C$4,IF(MONTH($C350)=6,$C$5,IF(MONTH($C350)=7,$C$6,"ERROR")))),1,0)</f>
        <v>1</v>
      </c>
      <c r="F350" s="26">
        <f>VLOOKUP($C350,COS!$B$8:$H$991,7,FALSE)</f>
        <v>52.936290740966797</v>
      </c>
      <c r="G350" s="24">
        <f>IF(F350&lt;=IF(MONTH($C350)=4,$F$3,IF(MONTH($C350)=5,$F$4,IF(MONTH($C350)=6,$F$5,IF(MONTH($C350)=7,$F$6,"ERROR")))),1,0)</f>
        <v>1</v>
      </c>
      <c r="H350" s="26">
        <f>IF(J350=1,D350-$C$6,0)</f>
        <v>4000</v>
      </c>
      <c r="I350" s="26">
        <f t="shared" si="558"/>
        <v>245.95041322314049</v>
      </c>
      <c r="J350" s="24">
        <f t="shared" si="550"/>
        <v>1</v>
      </c>
      <c r="K350" s="26">
        <f>VLOOKUP($C350,COS!$B$8:$H$991,2,FALSE)</f>
        <v>3122.560546875</v>
      </c>
      <c r="L350" s="24">
        <f t="shared" si="537"/>
        <v>1</v>
      </c>
      <c r="M350" s="24">
        <f t="shared" si="538"/>
        <v>0</v>
      </c>
      <c r="N350" s="26">
        <f>VLOOKUP($C350,COS!$B$8:$H$991,5,FALSE)</f>
        <v>824.85052490234375</v>
      </c>
      <c r="O350" s="26">
        <f t="shared" si="553"/>
        <v>50.718081861763942</v>
      </c>
      <c r="P350" s="26">
        <f>VLOOKUP($C350,COS!$B$8:$H$991,6,FALSE)</f>
        <v>2537.385498046875</v>
      </c>
      <c r="Q350" s="26">
        <f t="shared" si="554"/>
        <v>156.01775293775825</v>
      </c>
      <c r="R350" s="26">
        <f>MIN(IF(MONTH($C350)=4,$S$3,IF(MONTH($C350)=5,$S$4,IF(MONTH($C350)=6,$S$5,IF(MONTH($C350)=7,$S$6,"ERROR")))),MAX(VLOOKUP($C350,COS!$B$8:$K$991,10,FALSE)-IF(MONTH($C350)=4,$Y$3,IF(MONTH($C350)=5,$Y$4,IF(MONTH($C350)=6,$Y$5,IF(MONTH($C350)=7,$Y$6,"ERROR")))),0),MAX(VLOOKUP($C350,COS!$B$8:$K$991,9,FALSE)-IF(MONTH($C350)=4,$V$3,IF(MONTH($C350)=5,$V$4,IF(MONTH($C350)=6,$V$5,IF(MONTH($C350)=7,$V$6,"ERROR"))))-VLOOKUP($C350,COS!$B$8:$K$991,6,FALSE)/2,0))</f>
        <v>750</v>
      </c>
      <c r="S350" s="26">
        <f t="shared" si="555"/>
        <v>46.115702479338843</v>
      </c>
      <c r="T350" s="26">
        <f t="shared" si="556"/>
        <v>149.48361987909993</v>
      </c>
      <c r="U350" s="26" t="str">
        <f>IF(VLOOKUP($C350,COS!$B$8:$I$991,8,FALSE)=1,"UWFE","IBU")</f>
        <v>IBU</v>
      </c>
      <c r="V350" s="26">
        <f t="shared" ref="V350" si="561">MIN(IF(IF($AA$3=2,AND(E350=1,G350=1,L350=1,L352=1,M350=1,U350="IBU"),AND(E350=1,G350=1,L350=1,L352=1,M350=1)),T350,0),I350)</f>
        <v>0</v>
      </c>
      <c r="W350" s="26"/>
      <c r="X350" s="26"/>
      <c r="Y350" s="26"/>
      <c r="Z350" s="26"/>
      <c r="AA350" s="26"/>
      <c r="AB350" s="33"/>
    </row>
    <row r="351" spans="1:28" x14ac:dyDescent="0.3">
      <c r="A351" s="32">
        <f>VLOOKUP(YEAR(C351),Flags!$A$13:$B$95,2,FALSE)</f>
        <v>3</v>
      </c>
      <c r="B351" s="24">
        <f t="shared" si="535"/>
        <v>1959</v>
      </c>
      <c r="C351" s="25">
        <v>21793</v>
      </c>
      <c r="D351" s="26"/>
      <c r="E351" s="24"/>
      <c r="F351" s="26"/>
      <c r="G351" s="24"/>
      <c r="H351" s="24"/>
      <c r="I351" s="26"/>
      <c r="J351" s="24"/>
      <c r="K351" s="26"/>
      <c r="L351" s="24"/>
      <c r="M351" s="24"/>
      <c r="N351" s="26"/>
      <c r="O351" s="26"/>
      <c r="P351" s="26"/>
      <c r="Q351" s="26"/>
      <c r="R351" s="26"/>
      <c r="S351" s="26"/>
      <c r="T351" s="26"/>
      <c r="U351" s="26"/>
      <c r="V351" s="26"/>
      <c r="W351" s="26">
        <f>MAX($C$7-VLOOKUP($C351,COS!$B$8:$H$991,3,FALSE),0)</f>
        <v>87769.9443359375</v>
      </c>
      <c r="X351" s="26">
        <f t="shared" ref="X351:X414" si="562">W351*DAY($C351)*86400/43560/1000</f>
        <v>5396.7635194989671</v>
      </c>
      <c r="Y351" s="26">
        <f>VLOOKUP($C351,COS!$B$8:$H$991,4,FALSE)</f>
        <v>580.99884033203125</v>
      </c>
      <c r="Z351" s="26">
        <f t="shared" ref="Z351:Z414" si="563">Y351*DAY($C351)*86400/43560/1000</f>
        <v>35.724226215457129</v>
      </c>
      <c r="AA351" s="26">
        <f t="shared" ref="AA351:AA355" si="564">MIN(W351,Y351)</f>
        <v>580.99884033203125</v>
      </c>
      <c r="AB351" s="33">
        <f t="shared" ref="AB351" si="565">AA351*DAY($C351)*86400/43560/1000*IF(MONTH($C351)=8,$P$3,IF(MONTH($C351)=9,$P$4,IF(MONTH($C351)=10,$P$5,IF(MONTH($C351)=11,$P$6,IF(MONTH($C351)=12,$P$7,NA())))))</f>
        <v>35.724226215457129</v>
      </c>
    </row>
    <row r="352" spans="1:28" x14ac:dyDescent="0.3">
      <c r="A352" s="32">
        <f>VLOOKUP(YEAR(C352),Flags!$A$13:$B$95,2,FALSE)</f>
        <v>3</v>
      </c>
      <c r="B352" s="24">
        <f t="shared" si="535"/>
        <v>1959</v>
      </c>
      <c r="C352" s="25">
        <v>21823</v>
      </c>
      <c r="D352" s="26"/>
      <c r="E352" s="24"/>
      <c r="F352" s="26"/>
      <c r="G352" s="24"/>
      <c r="H352" s="24"/>
      <c r="I352" s="26"/>
      <c r="J352" s="24"/>
      <c r="K352" s="26">
        <f>VLOOKUP($C352,COS!$B$8:$H$991,2,FALSE)</f>
        <v>2777.299560546875</v>
      </c>
      <c r="L352" s="24">
        <f t="shared" ref="L352" si="566">IF(AND(K352&gt;$I$7,K352&lt;$I$8),1,0)</f>
        <v>1</v>
      </c>
      <c r="M352" s="24"/>
      <c r="N352" s="26"/>
      <c r="O352" s="26"/>
      <c r="P352" s="26"/>
      <c r="Q352" s="26"/>
      <c r="R352" s="26"/>
      <c r="S352" s="26"/>
      <c r="T352" s="26"/>
      <c r="U352" s="26"/>
      <c r="V352" s="26"/>
      <c r="W352" s="26">
        <f>MAX($C$8-VLOOKUP($C352,COS!$B$8:$H$991,3,FALSE),0)</f>
        <v>94751.353515625</v>
      </c>
      <c r="X352" s="26">
        <f t="shared" si="562"/>
        <v>5638.0970686983474</v>
      </c>
      <c r="Y352" s="26">
        <f>VLOOKUP($C352,COS!$B$8:$H$991,4,FALSE)</f>
        <v>162.466064453125</v>
      </c>
      <c r="Z352" s="26">
        <f t="shared" si="563"/>
        <v>9.66740218233471</v>
      </c>
      <c r="AA352" s="26">
        <f t="shared" si="564"/>
        <v>162.466064453125</v>
      </c>
      <c r="AB352" s="33">
        <f t="shared" si="548"/>
        <v>9.66740218233471</v>
      </c>
    </row>
    <row r="353" spans="1:28" x14ac:dyDescent="0.3">
      <c r="A353" s="32">
        <f>VLOOKUP(YEAR(C353),Flags!$A$13:$B$95,2,FALSE)</f>
        <v>3</v>
      </c>
      <c r="B353" s="24">
        <f t="shared" si="535"/>
        <v>1959</v>
      </c>
      <c r="C353" s="25">
        <v>21854</v>
      </c>
      <c r="D353" s="26"/>
      <c r="E353" s="24"/>
      <c r="F353" s="26"/>
      <c r="G353" s="26"/>
      <c r="H353" s="26"/>
      <c r="I353" s="26"/>
      <c r="J353" s="26"/>
      <c r="K353" s="26"/>
      <c r="L353" s="24"/>
      <c r="M353" s="24"/>
      <c r="N353" s="26"/>
      <c r="O353" s="26"/>
      <c r="P353" s="26"/>
      <c r="Q353" s="26"/>
      <c r="R353" s="26"/>
      <c r="S353" s="26"/>
      <c r="T353" s="26"/>
      <c r="U353" s="26"/>
      <c r="V353" s="26"/>
      <c r="W353" s="26">
        <f>MAX($C$9-VLOOKUP($C353,COS!$B$8:$H$991,3,FALSE),0)</f>
        <v>93413.3603515625</v>
      </c>
      <c r="X353" s="26">
        <f t="shared" si="562"/>
        <v>5743.7636447572313</v>
      </c>
      <c r="Y353" s="26">
        <f>VLOOKUP($C353,COS!$B$8:$H$991,4,FALSE)</f>
        <v>1540.0111083984375</v>
      </c>
      <c r="Z353" s="26">
        <f t="shared" si="563"/>
        <v>94.691592119705575</v>
      </c>
      <c r="AA353" s="26">
        <f t="shared" si="564"/>
        <v>1540.0111083984375</v>
      </c>
      <c r="AB353" s="33">
        <f t="shared" si="548"/>
        <v>94.691592119705575</v>
      </c>
    </row>
    <row r="354" spans="1:28" x14ac:dyDescent="0.3">
      <c r="A354" s="32">
        <f>VLOOKUP(YEAR(C354),Flags!$A$13:$B$95,2,FALSE)</f>
        <v>3</v>
      </c>
      <c r="B354" s="24">
        <f t="shared" si="535"/>
        <v>1959</v>
      </c>
      <c r="C354" s="25">
        <v>21884</v>
      </c>
      <c r="D354" s="26"/>
      <c r="E354" s="24"/>
      <c r="F354" s="26"/>
      <c r="G354" s="26"/>
      <c r="H354" s="26"/>
      <c r="I354" s="26"/>
      <c r="J354" s="26"/>
      <c r="K354" s="26"/>
      <c r="L354" s="24"/>
      <c r="M354" s="24"/>
      <c r="N354" s="26"/>
      <c r="O354" s="26"/>
      <c r="P354" s="26"/>
      <c r="Q354" s="26"/>
      <c r="R354" s="26"/>
      <c r="S354" s="26"/>
      <c r="T354" s="26"/>
      <c r="U354" s="26"/>
      <c r="V354" s="26"/>
      <c r="W354" s="26">
        <f>MAX($C$10-VLOOKUP($C354,COS!$B$8:$H$991,3,FALSE),0)</f>
        <v>92727.755859375</v>
      </c>
      <c r="X354" s="26">
        <f t="shared" si="562"/>
        <v>5517.6846461776859</v>
      </c>
      <c r="Y354" s="26">
        <f>VLOOKUP($C354,COS!$B$8:$H$991,4,FALSE)</f>
        <v>1347.0540771484375</v>
      </c>
      <c r="Z354" s="26">
        <f t="shared" si="563"/>
        <v>80.155283929493805</v>
      </c>
      <c r="AA354" s="26">
        <f t="shared" si="564"/>
        <v>1347.0540771484375</v>
      </c>
      <c r="AB354" s="33">
        <f t="shared" si="548"/>
        <v>40.077641964746903</v>
      </c>
    </row>
    <row r="355" spans="1:28" x14ac:dyDescent="0.3">
      <c r="A355" s="34">
        <f>VLOOKUP(YEAR(C355),Flags!$A$13:$B$95,2,FALSE)</f>
        <v>3</v>
      </c>
      <c r="B355" s="35">
        <f t="shared" si="535"/>
        <v>1959</v>
      </c>
      <c r="C355" s="36">
        <v>21915</v>
      </c>
      <c r="D355" s="37"/>
      <c r="E355" s="35"/>
      <c r="F355" s="37"/>
      <c r="G355" s="37"/>
      <c r="H355" s="37"/>
      <c r="I355" s="37"/>
      <c r="J355" s="37"/>
      <c r="K355" s="37"/>
      <c r="L355" s="35"/>
      <c r="M355" s="35"/>
      <c r="N355" s="37"/>
      <c r="O355" s="37"/>
      <c r="P355" s="37"/>
      <c r="Q355" s="37"/>
      <c r="R355" s="37"/>
      <c r="S355" s="37"/>
      <c r="T355" s="37"/>
      <c r="U355" s="37"/>
      <c r="V355" s="37"/>
      <c r="W355" s="37">
        <f>MAX($C$11-VLOOKUP($C355,COS!$B$8:$H$991,3,FALSE),0)</f>
        <v>0</v>
      </c>
      <c r="X355" s="37">
        <f t="shared" si="562"/>
        <v>0</v>
      </c>
      <c r="Y355" s="37">
        <f>VLOOKUP($C355,COS!$B$8:$H$991,4,FALSE)</f>
        <v>2025.1993408203125</v>
      </c>
      <c r="Z355" s="37">
        <f t="shared" si="563"/>
        <v>124.52465368349691</v>
      </c>
      <c r="AA355" s="37">
        <f t="shared" si="564"/>
        <v>0</v>
      </c>
      <c r="AB355" s="38">
        <f t="shared" si="548"/>
        <v>0</v>
      </c>
    </row>
    <row r="356" spans="1:28" x14ac:dyDescent="0.3">
      <c r="A356" s="27">
        <f>VLOOKUP(YEAR(C356),Flags!$A$13:$B$95,2,FALSE)</f>
        <v>4</v>
      </c>
      <c r="B356" s="28">
        <f t="shared" si="535"/>
        <v>1960</v>
      </c>
      <c r="C356" s="29">
        <v>22036</v>
      </c>
      <c r="D356" s="30">
        <f>VLOOKUP($C356,COS!$B$8:$H$991,3,FALSE)</f>
        <v>7127.0625</v>
      </c>
      <c r="E356" s="28">
        <f>IF(D356&gt;=IF(MONTH($C356)=4,$C$3,IF(MONTH($C356)=5,$C$4,IF(MONTH($C356)=6,$C$5,IF(MONTH($C356)=7,$C$6,"ERROR")))),1,0)</f>
        <v>1</v>
      </c>
      <c r="F356" s="30">
        <f>VLOOKUP($C356,COS!$B$8:$H$991,7,FALSE)</f>
        <v>49.91119384765625</v>
      </c>
      <c r="G356" s="28">
        <f>IF(F356&lt;=IF(MONTH($C356)=4,$F$3,IF(MONTH($C356)=5,$F$4,IF(MONTH($C356)=6,$F$5,IF(MONTH($C356)=7,$F$6,"ERROR")))),1,0)</f>
        <v>1</v>
      </c>
      <c r="H356" s="30">
        <f>IF(J356=1,D356-$C$3,0)</f>
        <v>1127.0625</v>
      </c>
      <c r="I356" s="30">
        <f t="shared" si="558"/>
        <v>67.064876033057857</v>
      </c>
      <c r="J356" s="28">
        <f t="shared" ref="J356:J359" si="567">IF(AND(E356=1,G356=1),1,0)</f>
        <v>1</v>
      </c>
      <c r="K356" s="30">
        <f>VLOOKUP($C356,COS!$B$8:$H$991,2,FALSE)</f>
        <v>4172.98876953125</v>
      </c>
      <c r="L356" s="28">
        <f t="shared" ref="L356" si="568">IF(K356&lt;=IF(MONTH($C356)=4,$I$3,IF(MONTH($C356)=5,$I$4,IF(MONTH($C356)=6,$I$5,IF(MONTH($C356)=7,$I$6,"ERROR")))),1,0)</f>
        <v>1</v>
      </c>
      <c r="M356" s="28">
        <f t="shared" ref="M356" si="569">VLOOKUP($A356,$L$3:$M$7,2,FALSE)</f>
        <v>1</v>
      </c>
      <c r="N356" s="30">
        <f>VLOOKUP($C356,COS!$B$8:$H$991,5,FALSE)</f>
        <v>16.487361907958984</v>
      </c>
      <c r="O356" s="30">
        <f t="shared" ref="O356:O359" si="570">N356*DAY($C356)*86400/43560/1000</f>
        <v>0.98106616311822048</v>
      </c>
      <c r="P356" s="30">
        <f>VLOOKUP($C356,COS!$B$8:$H$991,6,FALSE)</f>
        <v>466.45590209960938</v>
      </c>
      <c r="Q356" s="30">
        <f t="shared" ref="Q356:Q359" si="571">P356*DAY($C356)*86400/43560/1000</f>
        <v>27.756053678654443</v>
      </c>
      <c r="R356" s="30">
        <f>MIN(IF(MONTH($C356)=4,$S$3,IF(MONTH($C356)=5,$S$4,IF(MONTH($C356)=6,$S$5,IF(MONTH($C356)=7,$S$6,"ERROR")))),MAX(VLOOKUP($C356,COS!$B$8:$K$991,10,FALSE)-IF(MONTH($C356)=4,$Y$3,IF(MONTH($C356)=5,$Y$4,IF(MONTH($C356)=6,$Y$5,IF(MONTH($C356)=7,$Y$6,"ERROR")))),0),MAX(VLOOKUP($C356,COS!$B$8:$K$991,9,FALSE)-IF(MONTH($C356)=4,$V$3,IF(MONTH($C356)=5,$V$4,IF(MONTH($C356)=6,$V$5,IF(MONTH($C356)=7,$V$6,"ERROR"))))-VLOOKUP($C356,COS!$B$8:$K$991,6,FALSE)/2,0))</f>
        <v>750</v>
      </c>
      <c r="S356" s="30">
        <f t="shared" ref="S356:S359" si="572">R356*DAY($C356)*86400/43560/1000</f>
        <v>44.628099173553714</v>
      </c>
      <c r="T356" s="30">
        <f t="shared" ref="T356:T359" si="573">(O356+Q356)/2+S356</f>
        <v>58.996659094440048</v>
      </c>
      <c r="U356" s="30" t="str">
        <f>IF(VLOOKUP($C356,COS!$B$8:$I$991,8,FALSE)=1,"UWFE","IBU")</f>
        <v>UWFE</v>
      </c>
      <c r="V356" s="30">
        <f t="shared" ref="V356" si="574">MIN(IF(IF($AA$3=2,AND(E356=1,G356=1,L356=1,L361=1,M356=1,U356="IBU"),AND(E356=1,G356=1,L356=1,L361=1,M356=1)),T356,0),I356)</f>
        <v>0</v>
      </c>
      <c r="W356" s="30"/>
      <c r="X356" s="30"/>
      <c r="Y356" s="30"/>
      <c r="Z356" s="30"/>
      <c r="AA356" s="30"/>
      <c r="AB356" s="31"/>
    </row>
    <row r="357" spans="1:28" x14ac:dyDescent="0.3">
      <c r="A357" s="32">
        <f>VLOOKUP(YEAR(C357),Flags!$A$13:$B$95,2,FALSE)</f>
        <v>4</v>
      </c>
      <c r="B357" s="24">
        <f t="shared" si="535"/>
        <v>1960</v>
      </c>
      <c r="C357" s="25">
        <v>22067</v>
      </c>
      <c r="D357" s="26">
        <f>VLOOKUP($C357,COS!$B$8:$H$991,3,FALSE)</f>
        <v>4957.14453125</v>
      </c>
      <c r="E357" s="24">
        <f>IF(D357&gt;=IF(MONTH($C357)=4,$C$3,IF(MONTH($C357)=5,$C$4,IF(MONTH($C357)=6,$C$5,IF(MONTH($C357)=7,$C$6,"ERROR")))),1,0)</f>
        <v>0</v>
      </c>
      <c r="F357" s="26">
        <f>VLOOKUP($C357,COS!$B$8:$H$991,7,FALSE)</f>
        <v>52.527271270751953</v>
      </c>
      <c r="G357" s="24">
        <f>IF(F357&lt;=IF(MONTH($C357)=4,$F$3,IF(MONTH($C357)=5,$F$4,IF(MONTH($C357)=6,$F$5,IF(MONTH($C357)=7,$F$6,"ERROR")))),1,0)</f>
        <v>1</v>
      </c>
      <c r="H357" s="26">
        <f>IF(J357=1,D357-$C$4,0)</f>
        <v>0</v>
      </c>
      <c r="I357" s="26">
        <f t="shared" si="558"/>
        <v>0</v>
      </c>
      <c r="J357" s="24">
        <f t="shared" si="567"/>
        <v>0</v>
      </c>
      <c r="K357" s="26">
        <f>VLOOKUP($C357,COS!$B$8:$H$991,2,FALSE)</f>
        <v>4264.8515625</v>
      </c>
      <c r="L357" s="24">
        <f t="shared" si="537"/>
        <v>1</v>
      </c>
      <c r="M357" s="24">
        <f t="shared" si="538"/>
        <v>1</v>
      </c>
      <c r="N357" s="26">
        <f>VLOOKUP($C357,COS!$B$8:$H$991,5,FALSE)</f>
        <v>320.07254028320313</v>
      </c>
      <c r="O357" s="26">
        <f t="shared" si="570"/>
        <v>19.680493386008521</v>
      </c>
      <c r="P357" s="26">
        <f>VLOOKUP($C357,COS!$B$8:$H$991,6,FALSE)</f>
        <v>2099.86279296875</v>
      </c>
      <c r="Q357" s="26">
        <f t="shared" si="571"/>
        <v>129.1155304106405</v>
      </c>
      <c r="R357" s="26">
        <f>MIN(IF(MONTH($C357)=4,$S$3,IF(MONTH($C357)=5,$S$4,IF(MONTH($C357)=6,$S$5,IF(MONTH($C357)=7,$S$6,"ERROR")))),MAX(VLOOKUP($C357,COS!$B$8:$K$991,10,FALSE)-IF(MONTH($C357)=4,$Y$3,IF(MONTH($C357)=5,$Y$4,IF(MONTH($C357)=6,$Y$5,IF(MONTH($C357)=7,$Y$6,"ERROR")))),0),MAX(VLOOKUP($C357,COS!$B$8:$K$991,9,FALSE)-IF(MONTH($C357)=4,$V$3,IF(MONTH($C357)=5,$V$4,IF(MONTH($C357)=6,$V$5,IF(MONTH($C357)=7,$V$6,"ERROR"))))-VLOOKUP($C357,COS!$B$8:$K$991,6,FALSE)/2,0))</f>
        <v>750</v>
      </c>
      <c r="S357" s="26">
        <f t="shared" si="572"/>
        <v>46.115702479338843</v>
      </c>
      <c r="T357" s="26">
        <f t="shared" si="573"/>
        <v>120.51371437766335</v>
      </c>
      <c r="U357" s="26" t="str">
        <f>IF(VLOOKUP($C357,COS!$B$8:$I$991,8,FALSE)=1,"UWFE","IBU")</f>
        <v>UWFE</v>
      </c>
      <c r="V357" s="26">
        <f t="shared" ref="V357" si="575">MIN(IF(IF($AA$3=2,AND(E357=1,G357=1,L357=1,L361=1,M357=1,U357="IBU"),AND(E357=1,G357=1,L357=1,L361=1,M357=1)),T357,0),I357)</f>
        <v>0</v>
      </c>
      <c r="W357" s="26"/>
      <c r="X357" s="26"/>
      <c r="Y357" s="26"/>
      <c r="Z357" s="26"/>
      <c r="AA357" s="26"/>
      <c r="AB357" s="33"/>
    </row>
    <row r="358" spans="1:28" x14ac:dyDescent="0.3">
      <c r="A358" s="32">
        <f>VLOOKUP(YEAR(C358),Flags!$A$13:$B$95,2,FALSE)</f>
        <v>4</v>
      </c>
      <c r="B358" s="24">
        <f t="shared" si="535"/>
        <v>1960</v>
      </c>
      <c r="C358" s="25">
        <v>22097</v>
      </c>
      <c r="D358" s="26">
        <f>VLOOKUP($C358,COS!$B$8:$H$991,3,FALSE)</f>
        <v>13233.97265625</v>
      </c>
      <c r="E358" s="24">
        <f>IF(D358&gt;=IF(MONTH($C358)=4,$C$3,IF(MONTH($C358)=5,$C$4,IF(MONTH($C358)=6,$C$5,IF(MONTH($C358)=7,$C$6,"ERROR")))),1,0)</f>
        <v>1</v>
      </c>
      <c r="F358" s="26">
        <f>VLOOKUP($C358,COS!$B$8:$H$991,7,FALSE)</f>
        <v>51.440536499023438</v>
      </c>
      <c r="G358" s="24">
        <f>IF(F358&lt;=IF(MONTH($C358)=4,$F$3,IF(MONTH($C358)=5,$F$4,IF(MONTH($C358)=6,$F$5,IF(MONTH($C358)=7,$F$6,"ERROR")))),1,0)</f>
        <v>1</v>
      </c>
      <c r="H358" s="26">
        <f>IF(J358=1,D358-$C$5,0)</f>
        <v>3233.97265625</v>
      </c>
      <c r="I358" s="26">
        <f t="shared" si="558"/>
        <v>192.43473657024794</v>
      </c>
      <c r="J358" s="24">
        <f t="shared" si="567"/>
        <v>1</v>
      </c>
      <c r="K358" s="26">
        <f>VLOOKUP($C358,COS!$B$8:$H$991,2,FALSE)</f>
        <v>3735.558837890625</v>
      </c>
      <c r="L358" s="24">
        <f t="shared" si="537"/>
        <v>1</v>
      </c>
      <c r="M358" s="24">
        <f t="shared" si="538"/>
        <v>1</v>
      </c>
      <c r="N358" s="26">
        <f>VLOOKUP($C358,COS!$B$8:$H$991,5,FALSE)</f>
        <v>457.70184326171875</v>
      </c>
      <c r="O358" s="26">
        <f t="shared" si="570"/>
        <v>27.2351510040031</v>
      </c>
      <c r="P358" s="26">
        <f>VLOOKUP($C358,COS!$B$8:$H$991,6,FALSE)</f>
        <v>2712.6806640625</v>
      </c>
      <c r="Q358" s="26">
        <f t="shared" si="571"/>
        <v>161.41570893595042</v>
      </c>
      <c r="R358" s="26">
        <f>MIN(IF(MONTH($C358)=4,$S$3,IF(MONTH($C358)=5,$S$4,IF(MONTH($C358)=6,$S$5,IF(MONTH($C358)=7,$S$6,"ERROR")))),MAX(VLOOKUP($C358,COS!$B$8:$K$991,10,FALSE)-IF(MONTH($C358)=4,$Y$3,IF(MONTH($C358)=5,$Y$4,IF(MONTH($C358)=6,$Y$5,IF(MONTH($C358)=7,$Y$6,"ERROR")))),0),MAX(VLOOKUP($C358,COS!$B$8:$K$991,9,FALSE)-IF(MONTH($C358)=4,$V$3,IF(MONTH($C358)=5,$V$4,IF(MONTH($C358)=6,$V$5,IF(MONTH($C358)=7,$V$6,"ERROR"))))-VLOOKUP($C358,COS!$B$8:$K$991,6,FALSE)/2,0))</f>
        <v>750</v>
      </c>
      <c r="S358" s="26">
        <f t="shared" si="572"/>
        <v>44.628099173553714</v>
      </c>
      <c r="T358" s="26">
        <f t="shared" si="573"/>
        <v>138.95352914353049</v>
      </c>
      <c r="U358" s="26" t="str">
        <f>IF(VLOOKUP($C358,COS!$B$8:$I$991,8,FALSE)=1,"UWFE","IBU")</f>
        <v>IBU</v>
      </c>
      <c r="V358" s="26">
        <f t="shared" ref="V358" si="576">MIN(IF(IF($AA$3=2,AND(E358=1,G358=1,L358=1,L361=1,M358=1,U358="IBU"),AND(E358=1,G358=1,L358=1,L361=1,M358=1)),T358,0),I358)</f>
        <v>138.95352914353049</v>
      </c>
      <c r="W358" s="26"/>
      <c r="X358" s="26"/>
      <c r="Y358" s="26"/>
      <c r="Z358" s="26"/>
      <c r="AA358" s="26"/>
      <c r="AB358" s="33"/>
    </row>
    <row r="359" spans="1:28" x14ac:dyDescent="0.3">
      <c r="A359" s="32">
        <f>VLOOKUP(YEAR(C359),Flags!$A$13:$B$95,2,FALSE)</f>
        <v>4</v>
      </c>
      <c r="B359" s="24">
        <f t="shared" si="535"/>
        <v>1960</v>
      </c>
      <c r="C359" s="25">
        <v>22128</v>
      </c>
      <c r="D359" s="26">
        <f>VLOOKUP($C359,COS!$B$8:$H$991,3,FALSE)</f>
        <v>13995.5498046875</v>
      </c>
      <c r="E359" s="24">
        <f>IF(D359&gt;=IF(MONTH($C359)=4,$C$3,IF(MONTH($C359)=5,$C$4,IF(MONTH($C359)=6,$C$5,IF(MONTH($C359)=7,$C$6,"ERROR")))),1,0)</f>
        <v>1</v>
      </c>
      <c r="F359" s="26">
        <f>VLOOKUP($C359,COS!$B$8:$H$991,7,FALSE)</f>
        <v>52.7860107421875</v>
      </c>
      <c r="G359" s="24">
        <f>IF(F359&lt;=IF(MONTH($C359)=4,$F$3,IF(MONTH($C359)=5,$F$4,IF(MONTH($C359)=6,$F$5,IF(MONTH($C359)=7,$F$6,"ERROR")))),1,0)</f>
        <v>1</v>
      </c>
      <c r="H359" s="26">
        <f>IF(J359=1,D359-$C$6,0)</f>
        <v>1995.5498046875</v>
      </c>
      <c r="I359" s="26">
        <f t="shared" si="558"/>
        <v>122.70157476756198</v>
      </c>
      <c r="J359" s="24">
        <f t="shared" si="567"/>
        <v>1</v>
      </c>
      <c r="K359" s="26">
        <f>VLOOKUP($C359,COS!$B$8:$H$991,2,FALSE)</f>
        <v>3174.995361328125</v>
      </c>
      <c r="L359" s="24">
        <f t="shared" si="537"/>
        <v>1</v>
      </c>
      <c r="M359" s="24">
        <f t="shared" si="538"/>
        <v>1</v>
      </c>
      <c r="N359" s="26">
        <f>VLOOKUP($C359,COS!$B$8:$H$991,5,FALSE)</f>
        <v>499.1810302734375</v>
      </c>
      <c r="O359" s="26">
        <f t="shared" si="570"/>
        <v>30.69344516722624</v>
      </c>
      <c r="P359" s="26">
        <f>VLOOKUP($C359,COS!$B$8:$H$991,6,FALSE)</f>
        <v>2441.261474609375</v>
      </c>
      <c r="Q359" s="26">
        <f t="shared" si="571"/>
        <v>150.10731711647728</v>
      </c>
      <c r="R359" s="26">
        <f>MIN(IF(MONTH($C359)=4,$S$3,IF(MONTH($C359)=5,$S$4,IF(MONTH($C359)=6,$S$5,IF(MONTH($C359)=7,$S$6,"ERROR")))),MAX(VLOOKUP($C359,COS!$B$8:$K$991,10,FALSE)-IF(MONTH($C359)=4,$Y$3,IF(MONTH($C359)=5,$Y$4,IF(MONTH($C359)=6,$Y$5,IF(MONTH($C359)=7,$Y$6,"ERROR")))),0),MAX(VLOOKUP($C359,COS!$B$8:$K$991,9,FALSE)-IF(MONTH($C359)=4,$V$3,IF(MONTH($C359)=5,$V$4,IF(MONTH($C359)=6,$V$5,IF(MONTH($C359)=7,$V$6,"ERROR"))))-VLOOKUP($C359,COS!$B$8:$K$991,6,FALSE)/2,0))</f>
        <v>750</v>
      </c>
      <c r="S359" s="26">
        <f t="shared" si="572"/>
        <v>46.115702479338843</v>
      </c>
      <c r="T359" s="26">
        <f t="shared" si="573"/>
        <v>136.5160836211906</v>
      </c>
      <c r="U359" s="26" t="str">
        <f>IF(VLOOKUP($C359,COS!$B$8:$I$991,8,FALSE)=1,"UWFE","IBU")</f>
        <v>IBU</v>
      </c>
      <c r="V359" s="26">
        <f t="shared" ref="V359" si="577">MIN(IF(IF($AA$3=2,AND(E359=1,G359=1,L359=1,L361=1,M359=1,U359="IBU"),AND(E359=1,G359=1,L359=1,L361=1,M359=1)),T359,0),I359)</f>
        <v>122.70157476756198</v>
      </c>
      <c r="W359" s="26"/>
      <c r="X359" s="26"/>
      <c r="Y359" s="26"/>
      <c r="Z359" s="26"/>
      <c r="AA359" s="26"/>
      <c r="AB359" s="33"/>
    </row>
    <row r="360" spans="1:28" x14ac:dyDescent="0.3">
      <c r="A360" s="32">
        <f>VLOOKUP(YEAR(C360),Flags!$A$13:$B$95,2,FALSE)</f>
        <v>4</v>
      </c>
      <c r="B360" s="24">
        <f t="shared" si="535"/>
        <v>1960</v>
      </c>
      <c r="C360" s="25">
        <v>22159</v>
      </c>
      <c r="D360" s="26"/>
      <c r="E360" s="24"/>
      <c r="F360" s="26"/>
      <c r="G360" s="24"/>
      <c r="H360" s="24"/>
      <c r="I360" s="26"/>
      <c r="J360" s="24"/>
      <c r="K360" s="26"/>
      <c r="L360" s="24"/>
      <c r="M360" s="24"/>
      <c r="N360" s="26"/>
      <c r="O360" s="26"/>
      <c r="P360" s="26"/>
      <c r="Q360" s="26"/>
      <c r="R360" s="26"/>
      <c r="S360" s="26"/>
      <c r="T360" s="26"/>
      <c r="U360" s="26"/>
      <c r="V360" s="26"/>
      <c r="W360" s="26">
        <f>MAX($C$7-VLOOKUP($C360,COS!$B$8:$H$991,3,FALSE),0)</f>
        <v>90376.2197265625</v>
      </c>
      <c r="X360" s="26">
        <f t="shared" si="562"/>
        <v>5557.0171468233475</v>
      </c>
      <c r="Y360" s="26">
        <f>VLOOKUP($C360,COS!$B$8:$H$991,4,FALSE)</f>
        <v>1283.5350341796875</v>
      </c>
      <c r="Z360" s="26">
        <f t="shared" si="563"/>
        <v>78.921493010717967</v>
      </c>
      <c r="AA360" s="26">
        <f t="shared" ref="AA360:AA364" si="578">MIN(W360,Y360)</f>
        <v>1283.5350341796875</v>
      </c>
      <c r="AB360" s="33">
        <f t="shared" ref="AB360" si="579">AA360*DAY($C360)*86400/43560/1000*IF(MONTH($C360)=8,$P$3,IF(MONTH($C360)=9,$P$4,IF(MONTH($C360)=10,$P$5,IF(MONTH($C360)=11,$P$6,IF(MONTH($C360)=12,$P$7,NA())))))</f>
        <v>78.921493010717967</v>
      </c>
    </row>
    <row r="361" spans="1:28" x14ac:dyDescent="0.3">
      <c r="A361" s="32">
        <f>VLOOKUP(YEAR(C361),Flags!$A$13:$B$95,2,FALSE)</f>
        <v>4</v>
      </c>
      <c r="B361" s="24">
        <f t="shared" si="535"/>
        <v>1960</v>
      </c>
      <c r="C361" s="25">
        <v>22189</v>
      </c>
      <c r="D361" s="26"/>
      <c r="E361" s="24"/>
      <c r="F361" s="26"/>
      <c r="G361" s="24"/>
      <c r="H361" s="24"/>
      <c r="I361" s="26"/>
      <c r="J361" s="24"/>
      <c r="K361" s="26">
        <f>VLOOKUP($C361,COS!$B$8:$H$991,2,FALSE)</f>
        <v>2747.35986328125</v>
      </c>
      <c r="L361" s="24">
        <f t="shared" ref="L361" si="580">IF(AND(K361&gt;$I$7,K361&lt;$I$8),1,0)</f>
        <v>1</v>
      </c>
      <c r="M361" s="24"/>
      <c r="N361" s="26"/>
      <c r="O361" s="26"/>
      <c r="P361" s="26"/>
      <c r="Q361" s="26"/>
      <c r="R361" s="26"/>
      <c r="S361" s="26"/>
      <c r="T361" s="26"/>
      <c r="U361" s="26"/>
      <c r="V361" s="26"/>
      <c r="W361" s="26">
        <f>MAX($C$8-VLOOKUP($C361,COS!$B$8:$H$991,3,FALSE),0)</f>
        <v>93859.93212890625</v>
      </c>
      <c r="X361" s="26">
        <f t="shared" si="562"/>
        <v>5585.0538126291322</v>
      </c>
      <c r="Y361" s="26">
        <f>VLOOKUP($C361,COS!$B$8:$H$991,4,FALSE)</f>
        <v>1185.9482421875</v>
      </c>
      <c r="Z361" s="26">
        <f t="shared" si="563"/>
        <v>70.568821022727278</v>
      </c>
      <c r="AA361" s="26">
        <f t="shared" si="578"/>
        <v>1185.9482421875</v>
      </c>
      <c r="AB361" s="33">
        <f t="shared" si="548"/>
        <v>70.568821022727278</v>
      </c>
    </row>
    <row r="362" spans="1:28" x14ac:dyDescent="0.3">
      <c r="A362" s="32">
        <f>VLOOKUP(YEAR(C362),Flags!$A$13:$B$95,2,FALSE)</f>
        <v>4</v>
      </c>
      <c r="B362" s="24">
        <f t="shared" si="535"/>
        <v>1960</v>
      </c>
      <c r="C362" s="25">
        <v>22220</v>
      </c>
      <c r="D362" s="26"/>
      <c r="E362" s="24"/>
      <c r="F362" s="26"/>
      <c r="G362" s="26"/>
      <c r="H362" s="26"/>
      <c r="I362" s="26"/>
      <c r="J362" s="26"/>
      <c r="K362" s="26"/>
      <c r="L362" s="24"/>
      <c r="M362" s="24"/>
      <c r="N362" s="26"/>
      <c r="O362" s="26"/>
      <c r="P362" s="26"/>
      <c r="Q362" s="26"/>
      <c r="R362" s="26"/>
      <c r="S362" s="26"/>
      <c r="T362" s="26"/>
      <c r="U362" s="26"/>
      <c r="V362" s="26"/>
      <c r="W362" s="26">
        <f>MAX($C$9-VLOOKUP($C362,COS!$B$8:$H$991,3,FALSE),0)</f>
        <v>93911.3974609375</v>
      </c>
      <c r="X362" s="26">
        <f t="shared" si="562"/>
        <v>5774.3867529700419</v>
      </c>
      <c r="Y362" s="26">
        <f>VLOOKUP($C362,COS!$B$8:$H$991,4,FALSE)</f>
        <v>1660.7847900390625</v>
      </c>
      <c r="Z362" s="26">
        <f t="shared" si="563"/>
        <v>102.11767634620351</v>
      </c>
      <c r="AA362" s="26">
        <f t="shared" si="578"/>
        <v>1660.7847900390625</v>
      </c>
      <c r="AB362" s="33">
        <f t="shared" si="548"/>
        <v>102.11767634620351</v>
      </c>
    </row>
    <row r="363" spans="1:28" x14ac:dyDescent="0.3">
      <c r="A363" s="32">
        <f>VLOOKUP(YEAR(C363),Flags!$A$13:$B$95,2,FALSE)</f>
        <v>4</v>
      </c>
      <c r="B363" s="24">
        <f t="shared" si="535"/>
        <v>1960</v>
      </c>
      <c r="C363" s="25">
        <v>22250</v>
      </c>
      <c r="D363" s="26"/>
      <c r="E363" s="24"/>
      <c r="F363" s="26"/>
      <c r="G363" s="26"/>
      <c r="H363" s="26"/>
      <c r="I363" s="26"/>
      <c r="J363" s="26"/>
      <c r="K363" s="26"/>
      <c r="L363" s="24"/>
      <c r="M363" s="24"/>
      <c r="N363" s="26"/>
      <c r="O363" s="26"/>
      <c r="P363" s="26"/>
      <c r="Q363" s="26"/>
      <c r="R363" s="26"/>
      <c r="S363" s="26"/>
      <c r="T363" s="26"/>
      <c r="U363" s="26"/>
      <c r="V363" s="26"/>
      <c r="W363" s="26">
        <f>MAX($C$10-VLOOKUP($C363,COS!$B$8:$H$991,3,FALSE),0)</f>
        <v>96749</v>
      </c>
      <c r="X363" s="26">
        <f t="shared" si="562"/>
        <v>5756.965289256198</v>
      </c>
      <c r="Y363" s="26">
        <f>VLOOKUP($C363,COS!$B$8:$H$991,4,FALSE)</f>
        <v>409.7125244140625</v>
      </c>
      <c r="Z363" s="26">
        <f t="shared" si="563"/>
        <v>24.379588229597108</v>
      </c>
      <c r="AA363" s="26">
        <f t="shared" si="578"/>
        <v>409.7125244140625</v>
      </c>
      <c r="AB363" s="33">
        <f t="shared" si="548"/>
        <v>12.189794114798554</v>
      </c>
    </row>
    <row r="364" spans="1:28" x14ac:dyDescent="0.3">
      <c r="A364" s="34">
        <f>VLOOKUP(YEAR(C364),Flags!$A$13:$B$95,2,FALSE)</f>
        <v>4</v>
      </c>
      <c r="B364" s="35">
        <f t="shared" si="535"/>
        <v>1960</v>
      </c>
      <c r="C364" s="36">
        <v>22281</v>
      </c>
      <c r="D364" s="37"/>
      <c r="E364" s="35"/>
      <c r="F364" s="37"/>
      <c r="G364" s="37"/>
      <c r="H364" s="37"/>
      <c r="I364" s="37"/>
      <c r="J364" s="37"/>
      <c r="K364" s="37"/>
      <c r="L364" s="35"/>
      <c r="M364" s="35"/>
      <c r="N364" s="37"/>
      <c r="O364" s="37"/>
      <c r="P364" s="37"/>
      <c r="Q364" s="37"/>
      <c r="R364" s="37"/>
      <c r="S364" s="37"/>
      <c r="T364" s="37"/>
      <c r="U364" s="37"/>
      <c r="V364" s="37"/>
      <c r="W364" s="37">
        <f>MAX($C$11-VLOOKUP($C364,COS!$B$8:$H$991,3,FALSE),0)</f>
        <v>0</v>
      </c>
      <c r="X364" s="37">
        <f t="shared" si="562"/>
        <v>0</v>
      </c>
      <c r="Y364" s="37">
        <f>VLOOKUP($C364,COS!$B$8:$H$991,4,FALSE)</f>
        <v>2387.1279296875</v>
      </c>
      <c r="Z364" s="37">
        <f t="shared" si="563"/>
        <v>146.77877518078512</v>
      </c>
      <c r="AA364" s="37">
        <f t="shared" si="578"/>
        <v>0</v>
      </c>
      <c r="AB364" s="38">
        <f t="shared" si="548"/>
        <v>0</v>
      </c>
    </row>
    <row r="365" spans="1:28" x14ac:dyDescent="0.3">
      <c r="A365" s="27">
        <f>VLOOKUP(YEAR(C365),Flags!$A$13:$B$95,2,FALSE)</f>
        <v>4</v>
      </c>
      <c r="B365" s="28">
        <f t="shared" si="535"/>
        <v>1961</v>
      </c>
      <c r="C365" s="29">
        <v>22401</v>
      </c>
      <c r="D365" s="30">
        <f>VLOOKUP($C365,COS!$B$8:$H$991,3,FALSE)</f>
        <v>3330.927978515625</v>
      </c>
      <c r="E365" s="28">
        <f>IF(D365&gt;=IF(MONTH($C365)=4,$C$3,IF(MONTH($C365)=5,$C$4,IF(MONTH($C365)=6,$C$5,IF(MONTH($C365)=7,$C$6,"ERROR")))),1,0)</f>
        <v>0</v>
      </c>
      <c r="F365" s="30">
        <f>VLOOKUP($C365,COS!$B$8:$H$991,7,FALSE)</f>
        <v>51.26251220703125</v>
      </c>
      <c r="G365" s="28">
        <f>IF(F365&lt;=IF(MONTH($C365)=4,$F$3,IF(MONTH($C365)=5,$F$4,IF(MONTH($C365)=6,$F$5,IF(MONTH($C365)=7,$F$6,"ERROR")))),1,0)</f>
        <v>1</v>
      </c>
      <c r="H365" s="30">
        <f>IF(J365=1,D365-$C$3,0)</f>
        <v>0</v>
      </c>
      <c r="I365" s="30">
        <f t="shared" si="558"/>
        <v>0</v>
      </c>
      <c r="J365" s="28">
        <f t="shared" ref="J365:J368" si="581">IF(AND(E365=1,G365=1),1,0)</f>
        <v>0</v>
      </c>
      <c r="K365" s="30">
        <f>VLOOKUP($C365,COS!$B$8:$H$991,2,FALSE)</f>
        <v>4552</v>
      </c>
      <c r="L365" s="28">
        <f t="shared" ref="L365" si="582">IF(K365&lt;=IF(MONTH($C365)=4,$I$3,IF(MONTH($C365)=5,$I$4,IF(MONTH($C365)=6,$I$5,IF(MONTH($C365)=7,$I$6,"ERROR")))),1,0)</f>
        <v>1</v>
      </c>
      <c r="M365" s="28">
        <f t="shared" ref="M365" si="583">VLOOKUP($A365,$L$3:$M$7,2,FALSE)</f>
        <v>1</v>
      </c>
      <c r="N365" s="30">
        <f>VLOOKUP($C365,COS!$B$8:$H$991,5,FALSE)</f>
        <v>224.14614868164063</v>
      </c>
      <c r="O365" s="30">
        <f t="shared" ref="O365:O368" si="584">N365*DAY($C365)*86400/43560/1000</f>
        <v>13.3376220703125</v>
      </c>
      <c r="P365" s="30">
        <f>VLOOKUP($C365,COS!$B$8:$H$991,6,FALSE)</f>
        <v>461.4332275390625</v>
      </c>
      <c r="Q365" s="30">
        <f t="shared" ref="Q365:Q368" si="585">P365*DAY($C365)*86400/43560/1000</f>
        <v>27.457183787448347</v>
      </c>
      <c r="R365" s="30">
        <f>MIN(IF(MONTH($C365)=4,$S$3,IF(MONTH($C365)=5,$S$4,IF(MONTH($C365)=6,$S$5,IF(MONTH($C365)=7,$S$6,"ERROR")))),MAX(VLOOKUP($C365,COS!$B$8:$K$991,10,FALSE)-IF(MONTH($C365)=4,$Y$3,IF(MONTH($C365)=5,$Y$4,IF(MONTH($C365)=6,$Y$5,IF(MONTH($C365)=7,$Y$6,"ERROR")))),0),MAX(VLOOKUP($C365,COS!$B$8:$K$991,9,FALSE)-IF(MONTH($C365)=4,$V$3,IF(MONTH($C365)=5,$V$4,IF(MONTH($C365)=6,$V$5,IF(MONTH($C365)=7,$V$6,"ERROR"))))-VLOOKUP($C365,COS!$B$8:$K$991,6,FALSE)/2,0))</f>
        <v>750</v>
      </c>
      <c r="S365" s="30">
        <f t="shared" ref="S365:S368" si="586">R365*DAY($C365)*86400/43560/1000</f>
        <v>44.628099173553714</v>
      </c>
      <c r="T365" s="30">
        <f t="shared" ref="T365:T368" si="587">(O365+Q365)/2+S365</f>
        <v>65.025502102434132</v>
      </c>
      <c r="U365" s="30" t="str">
        <f>IF(VLOOKUP($C365,COS!$B$8:$I$991,8,FALSE)=1,"UWFE","IBU")</f>
        <v>UWFE</v>
      </c>
      <c r="V365" s="30">
        <f t="shared" ref="V365" si="588">MIN(IF(IF($AA$3=2,AND(E365=1,G365=1,L365=1,L370=1,M365=1,U365="IBU"),AND(E365=1,G365=1,L365=1,L370=1,M365=1)),T365,0),I365)</f>
        <v>0</v>
      </c>
      <c r="W365" s="30"/>
      <c r="X365" s="30"/>
      <c r="Y365" s="30"/>
      <c r="Z365" s="30"/>
      <c r="AA365" s="30"/>
      <c r="AB365" s="31"/>
    </row>
    <row r="366" spans="1:28" x14ac:dyDescent="0.3">
      <c r="A366" s="32">
        <f>VLOOKUP(YEAR(C366),Flags!$A$13:$B$95,2,FALSE)</f>
        <v>4</v>
      </c>
      <c r="B366" s="24">
        <f t="shared" si="535"/>
        <v>1961</v>
      </c>
      <c r="C366" s="25">
        <v>22432</v>
      </c>
      <c r="D366" s="26">
        <f>VLOOKUP($C366,COS!$B$8:$H$991,3,FALSE)</f>
        <v>7787.1884765625</v>
      </c>
      <c r="E366" s="24">
        <f>IF(D366&gt;=IF(MONTH($C366)=4,$C$3,IF(MONTH($C366)=5,$C$4,IF(MONTH($C366)=6,$C$5,IF(MONTH($C366)=7,$C$6,"ERROR")))),1,0)</f>
        <v>1</v>
      </c>
      <c r="F366" s="26">
        <f>VLOOKUP($C366,COS!$B$8:$H$991,7,FALSE)</f>
        <v>50.240604400634766</v>
      </c>
      <c r="G366" s="24">
        <f>IF(F366&lt;=IF(MONTH($C366)=4,$F$3,IF(MONTH($C366)=5,$F$4,IF(MONTH($C366)=6,$F$5,IF(MONTH($C366)=7,$F$6,"ERROR")))),1,0)</f>
        <v>1</v>
      </c>
      <c r="H366" s="26">
        <f>IF(J366=1,D366-$C$4,0)</f>
        <v>1787.1884765625</v>
      </c>
      <c r="I366" s="26">
        <f t="shared" si="558"/>
        <v>109.88993607954545</v>
      </c>
      <c r="J366" s="24">
        <f t="shared" si="581"/>
        <v>1</v>
      </c>
      <c r="K366" s="26">
        <f>VLOOKUP($C366,COS!$B$8:$H$991,2,FALSE)</f>
        <v>4502.27978515625</v>
      </c>
      <c r="L366" s="24">
        <f t="shared" si="537"/>
        <v>1</v>
      </c>
      <c r="M366" s="24">
        <f t="shared" si="538"/>
        <v>1</v>
      </c>
      <c r="N366" s="26">
        <f>VLOOKUP($C366,COS!$B$8:$H$991,5,FALSE)</f>
        <v>270.762451171875</v>
      </c>
      <c r="O366" s="26">
        <f t="shared" si="584"/>
        <v>16.648534187758266</v>
      </c>
      <c r="P366" s="26">
        <f>VLOOKUP($C366,COS!$B$8:$H$991,6,FALSE)</f>
        <v>2241.916259765625</v>
      </c>
      <c r="Q366" s="26">
        <f t="shared" si="585"/>
        <v>137.85005762525824</v>
      </c>
      <c r="R366" s="26">
        <f>MIN(IF(MONTH($C366)=4,$S$3,IF(MONTH($C366)=5,$S$4,IF(MONTH($C366)=6,$S$5,IF(MONTH($C366)=7,$S$6,"ERROR")))),MAX(VLOOKUP($C366,COS!$B$8:$K$991,10,FALSE)-IF(MONTH($C366)=4,$Y$3,IF(MONTH($C366)=5,$Y$4,IF(MONTH($C366)=6,$Y$5,IF(MONTH($C366)=7,$Y$6,"ERROR")))),0),MAX(VLOOKUP($C366,COS!$B$8:$K$991,9,FALSE)-IF(MONTH($C366)=4,$V$3,IF(MONTH($C366)=5,$V$4,IF(MONTH($C366)=6,$V$5,IF(MONTH($C366)=7,$V$6,"ERROR"))))-VLOOKUP($C366,COS!$B$8:$K$991,6,FALSE)/2,0))</f>
        <v>750</v>
      </c>
      <c r="S366" s="26">
        <f t="shared" si="586"/>
        <v>46.115702479338843</v>
      </c>
      <c r="T366" s="26">
        <f t="shared" si="587"/>
        <v>123.36499838584709</v>
      </c>
      <c r="U366" s="26" t="str">
        <f>IF(VLOOKUP($C366,COS!$B$8:$I$991,8,FALSE)=1,"UWFE","IBU")</f>
        <v>UWFE</v>
      </c>
      <c r="V366" s="26">
        <f t="shared" ref="V366" si="589">MIN(IF(IF($AA$3=2,AND(E366=1,G366=1,L366=1,L370=1,M366=1,U366="IBU"),AND(E366=1,G366=1,L366=1,L370=1,M366=1)),T366,0),I366)</f>
        <v>0</v>
      </c>
      <c r="W366" s="26"/>
      <c r="X366" s="26"/>
      <c r="Y366" s="26"/>
      <c r="Z366" s="26"/>
      <c r="AA366" s="26"/>
      <c r="AB366" s="33"/>
    </row>
    <row r="367" spans="1:28" x14ac:dyDescent="0.3">
      <c r="A367" s="32">
        <f>VLOOKUP(YEAR(C367),Flags!$A$13:$B$95,2,FALSE)</f>
        <v>4</v>
      </c>
      <c r="B367" s="24">
        <f t="shared" si="535"/>
        <v>1961</v>
      </c>
      <c r="C367" s="25">
        <v>22462</v>
      </c>
      <c r="D367" s="26">
        <f>VLOOKUP($C367,COS!$B$8:$H$991,3,FALSE)</f>
        <v>10063.0751953125</v>
      </c>
      <c r="E367" s="24">
        <f>IF(D367&gt;=IF(MONTH($C367)=4,$C$3,IF(MONTH($C367)=5,$C$4,IF(MONTH($C367)=6,$C$5,IF(MONTH($C367)=7,$C$6,"ERROR")))),1,0)</f>
        <v>1</v>
      </c>
      <c r="F367" s="26">
        <f>VLOOKUP($C367,COS!$B$8:$H$991,7,FALSE)</f>
        <v>51.530010223388672</v>
      </c>
      <c r="G367" s="24">
        <f>IF(F367&lt;=IF(MONTH($C367)=4,$F$3,IF(MONTH($C367)=5,$F$4,IF(MONTH($C367)=6,$F$5,IF(MONTH($C367)=7,$F$6,"ERROR")))),1,0)</f>
        <v>1</v>
      </c>
      <c r="H367" s="26">
        <f>IF(J367=1,D367-$C$5,0)</f>
        <v>63.0751953125</v>
      </c>
      <c r="I367" s="26">
        <f t="shared" si="558"/>
        <v>3.7532347623966942</v>
      </c>
      <c r="J367" s="24">
        <f t="shared" si="581"/>
        <v>1</v>
      </c>
      <c r="K367" s="26">
        <f>VLOOKUP($C367,COS!$B$8:$H$991,2,FALSE)</f>
        <v>4143.28564453125</v>
      </c>
      <c r="L367" s="24">
        <f t="shared" si="537"/>
        <v>1</v>
      </c>
      <c r="M367" s="24">
        <f t="shared" si="538"/>
        <v>1</v>
      </c>
      <c r="N367" s="26">
        <f>VLOOKUP($C367,COS!$B$8:$H$991,5,FALSE)</f>
        <v>520.3306884765625</v>
      </c>
      <c r="O367" s="26">
        <f t="shared" si="584"/>
        <v>30.961826091167357</v>
      </c>
      <c r="P367" s="26">
        <f>VLOOKUP($C367,COS!$B$8:$H$991,6,FALSE)</f>
        <v>2605.465576171875</v>
      </c>
      <c r="Q367" s="26">
        <f t="shared" si="585"/>
        <v>155.03596816890496</v>
      </c>
      <c r="R367" s="26">
        <f>MIN(IF(MONTH($C367)=4,$S$3,IF(MONTH($C367)=5,$S$4,IF(MONTH($C367)=6,$S$5,IF(MONTH($C367)=7,$S$6,"ERROR")))),MAX(VLOOKUP($C367,COS!$B$8:$K$991,10,FALSE)-IF(MONTH($C367)=4,$Y$3,IF(MONTH($C367)=5,$Y$4,IF(MONTH($C367)=6,$Y$5,IF(MONTH($C367)=7,$Y$6,"ERROR")))),0),MAX(VLOOKUP($C367,COS!$B$8:$K$991,9,FALSE)-IF(MONTH($C367)=4,$V$3,IF(MONTH($C367)=5,$V$4,IF(MONTH($C367)=6,$V$5,IF(MONTH($C367)=7,$V$6,"ERROR"))))-VLOOKUP($C367,COS!$B$8:$K$991,6,FALSE)/2,0))</f>
        <v>750</v>
      </c>
      <c r="S367" s="26">
        <f t="shared" si="586"/>
        <v>44.628099173553714</v>
      </c>
      <c r="T367" s="26">
        <f t="shared" si="587"/>
        <v>137.62699630358986</v>
      </c>
      <c r="U367" s="26" t="str">
        <f>IF(VLOOKUP($C367,COS!$B$8:$I$991,8,FALSE)=1,"UWFE","IBU")</f>
        <v>IBU</v>
      </c>
      <c r="V367" s="26">
        <f t="shared" ref="V367" si="590">MIN(IF(IF($AA$3=2,AND(E367=1,G367=1,L367=1,L370=1,M367=1,U367="IBU"),AND(E367=1,G367=1,L367=1,L370=1,M367=1)),T367,0),I367)</f>
        <v>3.7532347623966942</v>
      </c>
      <c r="W367" s="26"/>
      <c r="X367" s="26"/>
      <c r="Y367" s="26"/>
      <c r="Z367" s="26"/>
      <c r="AA367" s="26"/>
      <c r="AB367" s="33"/>
    </row>
    <row r="368" spans="1:28" x14ac:dyDescent="0.3">
      <c r="A368" s="32">
        <f>VLOOKUP(YEAR(C368),Flags!$A$13:$B$95,2,FALSE)</f>
        <v>4</v>
      </c>
      <c r="B368" s="24">
        <f t="shared" si="535"/>
        <v>1961</v>
      </c>
      <c r="C368" s="25">
        <v>22493</v>
      </c>
      <c r="D368" s="26">
        <f>VLOOKUP($C368,COS!$B$8:$H$991,3,FALSE)</f>
        <v>16000</v>
      </c>
      <c r="E368" s="24">
        <f>IF(D368&gt;=IF(MONTH($C368)=4,$C$3,IF(MONTH($C368)=5,$C$4,IF(MONTH($C368)=6,$C$5,IF(MONTH($C368)=7,$C$6,"ERROR")))),1,0)</f>
        <v>1</v>
      </c>
      <c r="F368" s="26">
        <f>VLOOKUP($C368,COS!$B$8:$H$991,7,FALSE)</f>
        <v>51.374370574951172</v>
      </c>
      <c r="G368" s="24">
        <f>IF(F368&lt;=IF(MONTH($C368)=4,$F$3,IF(MONTH($C368)=5,$F$4,IF(MONTH($C368)=6,$F$5,IF(MONTH($C368)=7,$F$6,"ERROR")))),1,0)</f>
        <v>1</v>
      </c>
      <c r="H368" s="26">
        <f>IF(J368=1,D368-$C$6,0)</f>
        <v>4000</v>
      </c>
      <c r="I368" s="26">
        <f t="shared" si="558"/>
        <v>245.95041322314049</v>
      </c>
      <c r="J368" s="24">
        <f t="shared" si="581"/>
        <v>1</v>
      </c>
      <c r="K368" s="26">
        <f>VLOOKUP($C368,COS!$B$8:$H$991,2,FALSE)</f>
        <v>3417.93798828125</v>
      </c>
      <c r="L368" s="24">
        <f t="shared" si="537"/>
        <v>1</v>
      </c>
      <c r="M368" s="24">
        <f t="shared" si="538"/>
        <v>1</v>
      </c>
      <c r="N368" s="26">
        <f>VLOOKUP($C368,COS!$B$8:$H$991,5,FALSE)</f>
        <v>610.17608642578125</v>
      </c>
      <c r="O368" s="26">
        <f t="shared" si="584"/>
        <v>37.518265148824895</v>
      </c>
      <c r="P368" s="26">
        <f>VLOOKUP($C368,COS!$B$8:$H$991,6,FALSE)</f>
        <v>2538.07568359375</v>
      </c>
      <c r="Q368" s="26">
        <f t="shared" si="585"/>
        <v>156.06019079287191</v>
      </c>
      <c r="R368" s="26">
        <f>MIN(IF(MONTH($C368)=4,$S$3,IF(MONTH($C368)=5,$S$4,IF(MONTH($C368)=6,$S$5,IF(MONTH($C368)=7,$S$6,"ERROR")))),MAX(VLOOKUP($C368,COS!$B$8:$K$991,10,FALSE)-IF(MONTH($C368)=4,$Y$3,IF(MONTH($C368)=5,$Y$4,IF(MONTH($C368)=6,$Y$5,IF(MONTH($C368)=7,$Y$6,"ERROR")))),0),MAX(VLOOKUP($C368,COS!$B$8:$K$991,9,FALSE)-IF(MONTH($C368)=4,$V$3,IF(MONTH($C368)=5,$V$4,IF(MONTH($C368)=6,$V$5,IF(MONTH($C368)=7,$V$6,"ERROR"))))-VLOOKUP($C368,COS!$B$8:$K$991,6,FALSE)/2,0))</f>
        <v>750</v>
      </c>
      <c r="S368" s="26">
        <f t="shared" si="586"/>
        <v>46.115702479338843</v>
      </c>
      <c r="T368" s="26">
        <f t="shared" si="587"/>
        <v>142.90493045018724</v>
      </c>
      <c r="U368" s="26" t="str">
        <f>IF(VLOOKUP($C368,COS!$B$8:$I$991,8,FALSE)=1,"UWFE","IBU")</f>
        <v>IBU</v>
      </c>
      <c r="V368" s="26">
        <f t="shared" ref="V368" si="591">MIN(IF(IF($AA$3=2,AND(E368=1,G368=1,L368=1,L370=1,M368=1,U368="IBU"),AND(E368=1,G368=1,L368=1,L370=1,M368=1)),T368,0),I368)</f>
        <v>142.90493045018724</v>
      </c>
      <c r="W368" s="26"/>
      <c r="X368" s="26"/>
      <c r="Y368" s="26"/>
      <c r="Z368" s="26"/>
      <c r="AA368" s="26"/>
      <c r="AB368" s="33"/>
    </row>
    <row r="369" spans="1:28" x14ac:dyDescent="0.3">
      <c r="A369" s="32">
        <f>VLOOKUP(YEAR(C369),Flags!$A$13:$B$95,2,FALSE)</f>
        <v>4</v>
      </c>
      <c r="B369" s="24">
        <f t="shared" si="535"/>
        <v>1961</v>
      </c>
      <c r="C369" s="25">
        <v>22524</v>
      </c>
      <c r="D369" s="26"/>
      <c r="E369" s="24"/>
      <c r="F369" s="26"/>
      <c r="G369" s="24"/>
      <c r="H369" s="24"/>
      <c r="I369" s="26"/>
      <c r="J369" s="24"/>
      <c r="K369" s="26"/>
      <c r="L369" s="24"/>
      <c r="M369" s="24"/>
      <c r="N369" s="26"/>
      <c r="O369" s="26"/>
      <c r="P369" s="26"/>
      <c r="Q369" s="26"/>
      <c r="R369" s="26"/>
      <c r="S369" s="26"/>
      <c r="T369" s="26"/>
      <c r="U369" s="26"/>
      <c r="V369" s="26"/>
      <c r="W369" s="26">
        <f>MAX($C$7-VLOOKUP($C369,COS!$B$8:$H$991,3,FALSE),0)</f>
        <v>90140.421875</v>
      </c>
      <c r="X369" s="26">
        <f t="shared" si="562"/>
        <v>5542.5185020661156</v>
      </c>
      <c r="Y369" s="26">
        <f>VLOOKUP($C369,COS!$B$8:$H$991,4,FALSE)</f>
        <v>3366.373779296875</v>
      </c>
      <c r="Z369" s="26">
        <f t="shared" si="563"/>
        <v>206.99025552040288</v>
      </c>
      <c r="AA369" s="26">
        <f t="shared" ref="AA369:AA373" si="592">MIN(W369,Y369)</f>
        <v>3366.373779296875</v>
      </c>
      <c r="AB369" s="33">
        <f t="shared" ref="AB369" si="593">AA369*DAY($C369)*86400/43560/1000*IF(MONTH($C369)=8,$P$3,IF(MONTH($C369)=9,$P$4,IF(MONTH($C369)=10,$P$5,IF(MONTH($C369)=11,$P$6,IF(MONTH($C369)=12,$P$7,NA())))))</f>
        <v>206.99025552040288</v>
      </c>
    </row>
    <row r="370" spans="1:28" x14ac:dyDescent="0.3">
      <c r="A370" s="32">
        <f>VLOOKUP(YEAR(C370),Flags!$A$13:$B$95,2,FALSE)</f>
        <v>4</v>
      </c>
      <c r="B370" s="24">
        <f t="shared" si="535"/>
        <v>1961</v>
      </c>
      <c r="C370" s="25">
        <v>22554</v>
      </c>
      <c r="D370" s="26"/>
      <c r="E370" s="24"/>
      <c r="F370" s="26"/>
      <c r="G370" s="24"/>
      <c r="H370" s="24"/>
      <c r="I370" s="26"/>
      <c r="J370" s="24"/>
      <c r="K370" s="26">
        <f>VLOOKUP($C370,COS!$B$8:$H$991,2,FALSE)</f>
        <v>3030.294189453125</v>
      </c>
      <c r="L370" s="24">
        <f t="shared" ref="L370" si="594">IF(AND(K370&gt;$I$7,K370&lt;$I$8),1,0)</f>
        <v>1</v>
      </c>
      <c r="M370" s="24"/>
      <c r="N370" s="26"/>
      <c r="O370" s="26"/>
      <c r="P370" s="26"/>
      <c r="Q370" s="26"/>
      <c r="R370" s="26"/>
      <c r="S370" s="26"/>
      <c r="T370" s="26"/>
      <c r="U370" s="26"/>
      <c r="V370" s="26"/>
      <c r="W370" s="26">
        <f>MAX($C$8-VLOOKUP($C370,COS!$B$8:$H$991,3,FALSE),0)</f>
        <v>94542.38232421875</v>
      </c>
      <c r="X370" s="26">
        <f t="shared" si="562"/>
        <v>5625.6624192923546</v>
      </c>
      <c r="Y370" s="26">
        <f>VLOOKUP($C370,COS!$B$8:$H$991,4,FALSE)</f>
        <v>1068.3673095703125</v>
      </c>
      <c r="Z370" s="26">
        <f t="shared" si="563"/>
        <v>63.572269660382233</v>
      </c>
      <c r="AA370" s="26">
        <f t="shared" si="592"/>
        <v>1068.3673095703125</v>
      </c>
      <c r="AB370" s="33">
        <f t="shared" si="548"/>
        <v>63.572269660382233</v>
      </c>
    </row>
    <row r="371" spans="1:28" x14ac:dyDescent="0.3">
      <c r="A371" s="32">
        <f>VLOOKUP(YEAR(C371),Flags!$A$13:$B$95,2,FALSE)</f>
        <v>4</v>
      </c>
      <c r="B371" s="24">
        <f t="shared" si="535"/>
        <v>1961</v>
      </c>
      <c r="C371" s="25">
        <v>22585</v>
      </c>
      <c r="D371" s="26"/>
      <c r="E371" s="24"/>
      <c r="F371" s="26"/>
      <c r="G371" s="26"/>
      <c r="H371" s="26"/>
      <c r="I371" s="26"/>
      <c r="J371" s="26"/>
      <c r="K371" s="26"/>
      <c r="L371" s="24"/>
      <c r="M371" s="24"/>
      <c r="N371" s="26"/>
      <c r="O371" s="26"/>
      <c r="P371" s="26"/>
      <c r="Q371" s="26"/>
      <c r="R371" s="26"/>
      <c r="S371" s="26"/>
      <c r="T371" s="26"/>
      <c r="U371" s="26"/>
      <c r="V371" s="26"/>
      <c r="W371" s="26">
        <f>MAX($C$9-VLOOKUP($C371,COS!$B$8:$H$991,3,FALSE),0)</f>
        <v>92871.4130859375</v>
      </c>
      <c r="X371" s="26">
        <f t="shared" si="562"/>
        <v>5710.4406062758271</v>
      </c>
      <c r="Y371" s="26">
        <f>VLOOKUP($C371,COS!$B$8:$H$991,4,FALSE)</f>
        <v>2354.580322265625</v>
      </c>
      <c r="Z371" s="26">
        <f t="shared" si="563"/>
        <v>144.77750080707645</v>
      </c>
      <c r="AA371" s="26">
        <f t="shared" si="592"/>
        <v>2354.580322265625</v>
      </c>
      <c r="AB371" s="33">
        <f t="shared" si="548"/>
        <v>144.77750080707645</v>
      </c>
    </row>
    <row r="372" spans="1:28" x14ac:dyDescent="0.3">
      <c r="A372" s="32">
        <f>VLOOKUP(YEAR(C372),Flags!$A$13:$B$95,2,FALSE)</f>
        <v>4</v>
      </c>
      <c r="B372" s="24">
        <f t="shared" si="535"/>
        <v>1961</v>
      </c>
      <c r="C372" s="25">
        <v>22615</v>
      </c>
      <c r="D372" s="26"/>
      <c r="E372" s="24"/>
      <c r="F372" s="26"/>
      <c r="G372" s="26"/>
      <c r="H372" s="26"/>
      <c r="I372" s="26"/>
      <c r="J372" s="26"/>
      <c r="K372" s="26"/>
      <c r="L372" s="24"/>
      <c r="M372" s="24"/>
      <c r="N372" s="26"/>
      <c r="O372" s="26"/>
      <c r="P372" s="26"/>
      <c r="Q372" s="26"/>
      <c r="R372" s="26"/>
      <c r="S372" s="26"/>
      <c r="T372" s="26"/>
      <c r="U372" s="26"/>
      <c r="V372" s="26"/>
      <c r="W372" s="26">
        <f>MAX($C$10-VLOOKUP($C372,COS!$B$8:$H$991,3,FALSE),0)</f>
        <v>95558.98876953125</v>
      </c>
      <c r="X372" s="26">
        <f t="shared" si="562"/>
        <v>5686.1547036415295</v>
      </c>
      <c r="Y372" s="26">
        <f>VLOOKUP($C372,COS!$B$8:$H$991,4,FALSE)</f>
        <v>1388.96728515625</v>
      </c>
      <c r="Z372" s="26">
        <f t="shared" si="563"/>
        <v>82.649293001033058</v>
      </c>
      <c r="AA372" s="26">
        <f t="shared" si="592"/>
        <v>1388.96728515625</v>
      </c>
      <c r="AB372" s="33">
        <f t="shared" si="548"/>
        <v>41.324646500516529</v>
      </c>
    </row>
    <row r="373" spans="1:28" x14ac:dyDescent="0.3">
      <c r="A373" s="34">
        <f>VLOOKUP(YEAR(C373),Flags!$A$13:$B$95,2,FALSE)</f>
        <v>4</v>
      </c>
      <c r="B373" s="35">
        <f t="shared" si="535"/>
        <v>1961</v>
      </c>
      <c r="C373" s="36">
        <v>22646</v>
      </c>
      <c r="D373" s="37"/>
      <c r="E373" s="35"/>
      <c r="F373" s="37"/>
      <c r="G373" s="37"/>
      <c r="H373" s="37"/>
      <c r="I373" s="37"/>
      <c r="J373" s="37"/>
      <c r="K373" s="37"/>
      <c r="L373" s="35"/>
      <c r="M373" s="35"/>
      <c r="N373" s="37"/>
      <c r="O373" s="37"/>
      <c r="P373" s="37"/>
      <c r="Q373" s="37"/>
      <c r="R373" s="37"/>
      <c r="S373" s="37"/>
      <c r="T373" s="37"/>
      <c r="U373" s="37"/>
      <c r="V373" s="37"/>
      <c r="W373" s="37">
        <f>MAX($C$11-VLOOKUP($C373,COS!$B$8:$H$991,3,FALSE),0)</f>
        <v>0</v>
      </c>
      <c r="X373" s="37">
        <f t="shared" si="562"/>
        <v>0</v>
      </c>
      <c r="Y373" s="37">
        <f>VLOOKUP($C373,COS!$B$8:$H$991,4,FALSE)</f>
        <v>1553.054443359375</v>
      </c>
      <c r="Z373" s="37">
        <f t="shared" si="563"/>
        <v>95.493595525568182</v>
      </c>
      <c r="AA373" s="37">
        <f t="shared" si="592"/>
        <v>0</v>
      </c>
      <c r="AB373" s="38">
        <f t="shared" si="548"/>
        <v>0</v>
      </c>
    </row>
    <row r="374" spans="1:28" x14ac:dyDescent="0.3">
      <c r="A374" s="27">
        <f>VLOOKUP(YEAR(C374),Flags!$A$13:$B$95,2,FALSE)</f>
        <v>3</v>
      </c>
      <c r="B374" s="28">
        <f t="shared" si="535"/>
        <v>1962</v>
      </c>
      <c r="C374" s="29">
        <v>22766</v>
      </c>
      <c r="D374" s="30">
        <f>VLOOKUP($C374,COS!$B$8:$H$991,3,FALSE)</f>
        <v>3754.135009765625</v>
      </c>
      <c r="E374" s="28">
        <f>IF(D374&gt;=IF(MONTH($C374)=4,$C$3,IF(MONTH($C374)=5,$C$4,IF(MONTH($C374)=6,$C$5,IF(MONTH($C374)=7,$C$6,"ERROR")))),1,0)</f>
        <v>0</v>
      </c>
      <c r="F374" s="30">
        <f>VLOOKUP($C374,COS!$B$8:$H$991,7,FALSE)</f>
        <v>51.116634368896484</v>
      </c>
      <c r="G374" s="28">
        <f>IF(F374&lt;=IF(MONTH($C374)=4,$F$3,IF(MONTH($C374)=5,$F$4,IF(MONTH($C374)=6,$F$5,IF(MONTH($C374)=7,$F$6,"ERROR")))),1,0)</f>
        <v>1</v>
      </c>
      <c r="H374" s="30">
        <f>IF(J374=1,D374-$C$3,0)</f>
        <v>0</v>
      </c>
      <c r="I374" s="30">
        <f t="shared" si="558"/>
        <v>0</v>
      </c>
      <c r="J374" s="28">
        <f t="shared" ref="J374:J377" si="595">IF(AND(E374=1,G374=1),1,0)</f>
        <v>0</v>
      </c>
      <c r="K374" s="30">
        <f>VLOOKUP($C374,COS!$B$8:$H$991,2,FALSE)</f>
        <v>4552</v>
      </c>
      <c r="L374" s="28">
        <f t="shared" ref="L374" si="596">IF(K374&lt;=IF(MONTH($C374)=4,$I$3,IF(MONTH($C374)=5,$I$4,IF(MONTH($C374)=6,$I$5,IF(MONTH($C374)=7,$I$6,"ERROR")))),1,0)</f>
        <v>1</v>
      </c>
      <c r="M374" s="28">
        <f t="shared" ref="M374" si="597">VLOOKUP($A374,$L$3:$M$7,2,FALSE)</f>
        <v>0</v>
      </c>
      <c r="N374" s="30">
        <f>VLOOKUP($C374,COS!$B$8:$H$991,5,FALSE)</f>
        <v>412.55120849609375</v>
      </c>
      <c r="O374" s="30">
        <f t="shared" ref="O374:O377" si="598">N374*DAY($C374)*86400/43560/1000</f>
        <v>24.548501662577479</v>
      </c>
      <c r="P374" s="30">
        <f>VLOOKUP($C374,COS!$B$8:$H$991,6,FALSE)</f>
        <v>496.0894775390625</v>
      </c>
      <c r="Q374" s="30">
        <f t="shared" ref="Q374:Q377" si="599">P374*DAY($C374)*86400/43560/1000</f>
        <v>29.519373870092974</v>
      </c>
      <c r="R374" s="30">
        <f>MIN(IF(MONTH($C374)=4,$S$3,IF(MONTH($C374)=5,$S$4,IF(MONTH($C374)=6,$S$5,IF(MONTH($C374)=7,$S$6,"ERROR")))),MAX(VLOOKUP($C374,COS!$B$8:$K$991,10,FALSE)-IF(MONTH($C374)=4,$Y$3,IF(MONTH($C374)=5,$Y$4,IF(MONTH($C374)=6,$Y$5,IF(MONTH($C374)=7,$Y$6,"ERROR")))),0),MAX(VLOOKUP($C374,COS!$B$8:$K$991,9,FALSE)-IF(MONTH($C374)=4,$V$3,IF(MONTH($C374)=5,$V$4,IF(MONTH($C374)=6,$V$5,IF(MONTH($C374)=7,$V$6,"ERROR"))))-VLOOKUP($C374,COS!$B$8:$K$991,6,FALSE)/2,0))</f>
        <v>750</v>
      </c>
      <c r="S374" s="30">
        <f t="shared" ref="S374:S377" si="600">R374*DAY($C374)*86400/43560/1000</f>
        <v>44.628099173553714</v>
      </c>
      <c r="T374" s="30">
        <f t="shared" ref="T374:T377" si="601">(O374+Q374)/2+S374</f>
        <v>71.662036939888935</v>
      </c>
      <c r="U374" s="30" t="str">
        <f>IF(VLOOKUP($C374,COS!$B$8:$I$991,8,FALSE)=1,"UWFE","IBU")</f>
        <v>UWFE</v>
      </c>
      <c r="V374" s="30">
        <f t="shared" ref="V374" si="602">MIN(IF(IF($AA$3=2,AND(E374=1,G374=1,L374=1,L379=1,M374=1,U374="IBU"),AND(E374=1,G374=1,L374=1,L379=1,M374=1)),T374,0),I374)</f>
        <v>0</v>
      </c>
      <c r="W374" s="30"/>
      <c r="X374" s="30"/>
      <c r="Y374" s="30"/>
      <c r="Z374" s="30"/>
      <c r="AA374" s="30"/>
      <c r="AB374" s="31"/>
    </row>
    <row r="375" spans="1:28" x14ac:dyDescent="0.3">
      <c r="A375" s="32">
        <f>VLOOKUP(YEAR(C375),Flags!$A$13:$B$95,2,FALSE)</f>
        <v>3</v>
      </c>
      <c r="B375" s="24">
        <f t="shared" si="535"/>
        <v>1962</v>
      </c>
      <c r="C375" s="25">
        <v>22797</v>
      </c>
      <c r="D375" s="26">
        <f>VLOOKUP($C375,COS!$B$8:$H$991,3,FALSE)</f>
        <v>8163.22021484375</v>
      </c>
      <c r="E375" s="24">
        <f>IF(D375&gt;=IF(MONTH($C375)=4,$C$3,IF(MONTH($C375)=5,$C$4,IF(MONTH($C375)=6,$C$5,IF(MONTH($C375)=7,$C$6,"ERROR")))),1,0)</f>
        <v>1</v>
      </c>
      <c r="F375" s="26">
        <f>VLOOKUP($C375,COS!$B$8:$H$991,7,FALSE)</f>
        <v>49.783451080322266</v>
      </c>
      <c r="G375" s="24">
        <f>IF(F375&lt;=IF(MONTH($C375)=4,$F$3,IF(MONTH($C375)=5,$F$4,IF(MONTH($C375)=6,$F$5,IF(MONTH($C375)=7,$F$6,"ERROR")))),1,0)</f>
        <v>1</v>
      </c>
      <c r="H375" s="26">
        <f>IF(J375=1,D375-$C$4,0)</f>
        <v>2163.22021484375</v>
      </c>
      <c r="I375" s="26">
        <f t="shared" si="558"/>
        <v>133.01122643336777</v>
      </c>
      <c r="J375" s="24">
        <f t="shared" si="595"/>
        <v>1</v>
      </c>
      <c r="K375" s="26">
        <f>VLOOKUP($C375,COS!$B$8:$H$991,2,FALSE)</f>
        <v>4418.89453125</v>
      </c>
      <c r="L375" s="24">
        <f t="shared" si="537"/>
        <v>1</v>
      </c>
      <c r="M375" s="24">
        <f t="shared" si="538"/>
        <v>0</v>
      </c>
      <c r="N375" s="26">
        <f>VLOOKUP($C375,COS!$B$8:$H$991,5,FALSE)</f>
        <v>657.1561279296875</v>
      </c>
      <c r="O375" s="26">
        <f t="shared" si="598"/>
        <v>40.406955304106404</v>
      </c>
      <c r="P375" s="26">
        <f>VLOOKUP($C375,COS!$B$8:$H$991,6,FALSE)</f>
        <v>2288.578369140625</v>
      </c>
      <c r="Q375" s="26">
        <f t="shared" si="599"/>
        <v>140.71919889591942</v>
      </c>
      <c r="R375" s="26">
        <f>MIN(IF(MONTH($C375)=4,$S$3,IF(MONTH($C375)=5,$S$4,IF(MONTH($C375)=6,$S$5,IF(MONTH($C375)=7,$S$6,"ERROR")))),MAX(VLOOKUP($C375,COS!$B$8:$K$991,10,FALSE)-IF(MONTH($C375)=4,$Y$3,IF(MONTH($C375)=5,$Y$4,IF(MONTH($C375)=6,$Y$5,IF(MONTH($C375)=7,$Y$6,"ERROR")))),0),MAX(VLOOKUP($C375,COS!$B$8:$K$991,9,FALSE)-IF(MONTH($C375)=4,$V$3,IF(MONTH($C375)=5,$V$4,IF(MONTH($C375)=6,$V$5,IF(MONTH($C375)=7,$V$6,"ERROR"))))-VLOOKUP($C375,COS!$B$8:$K$991,6,FALSE)/2,0))</f>
        <v>750</v>
      </c>
      <c r="S375" s="26">
        <f t="shared" si="600"/>
        <v>46.115702479338843</v>
      </c>
      <c r="T375" s="26">
        <f t="shared" si="601"/>
        <v>136.67877957935175</v>
      </c>
      <c r="U375" s="26" t="str">
        <f>IF(VLOOKUP($C375,COS!$B$8:$I$991,8,FALSE)=1,"UWFE","IBU")</f>
        <v>UWFE</v>
      </c>
      <c r="V375" s="26">
        <f t="shared" ref="V375" si="603">MIN(IF(IF($AA$3=2,AND(E375=1,G375=1,L375=1,L379=1,M375=1,U375="IBU"),AND(E375=1,G375=1,L375=1,L379=1,M375=1)),T375,0),I375)</f>
        <v>0</v>
      </c>
      <c r="W375" s="26"/>
      <c r="X375" s="26"/>
      <c r="Y375" s="26"/>
      <c r="Z375" s="26"/>
      <c r="AA375" s="26"/>
      <c r="AB375" s="33"/>
    </row>
    <row r="376" spans="1:28" x14ac:dyDescent="0.3">
      <c r="A376" s="32">
        <f>VLOOKUP(YEAR(C376),Flags!$A$13:$B$95,2,FALSE)</f>
        <v>3</v>
      </c>
      <c r="B376" s="24">
        <f t="shared" si="535"/>
        <v>1962</v>
      </c>
      <c r="C376" s="25">
        <v>22827</v>
      </c>
      <c r="D376" s="26">
        <f>VLOOKUP($C376,COS!$B$8:$H$991,3,FALSE)</f>
        <v>9541.0107421875</v>
      </c>
      <c r="E376" s="24">
        <f>IF(D376&gt;=IF(MONTH($C376)=4,$C$3,IF(MONTH($C376)=5,$C$4,IF(MONTH($C376)=6,$C$5,IF(MONTH($C376)=7,$C$6,"ERROR")))),1,0)</f>
        <v>0</v>
      </c>
      <c r="F376" s="26">
        <f>VLOOKUP($C376,COS!$B$8:$H$991,7,FALSE)</f>
        <v>50.677501678466797</v>
      </c>
      <c r="G376" s="24">
        <f>IF(F376&lt;=IF(MONTH($C376)=4,$F$3,IF(MONTH($C376)=5,$F$4,IF(MONTH($C376)=6,$F$5,IF(MONTH($C376)=7,$F$6,"ERROR")))),1,0)</f>
        <v>1</v>
      </c>
      <c r="H376" s="26">
        <f>IF(J376=1,D376-$C$5,0)</f>
        <v>0</v>
      </c>
      <c r="I376" s="26">
        <f t="shared" si="558"/>
        <v>0</v>
      </c>
      <c r="J376" s="24">
        <f t="shared" si="595"/>
        <v>0</v>
      </c>
      <c r="K376" s="26">
        <f>VLOOKUP($C376,COS!$B$8:$H$991,2,FALSE)</f>
        <v>4081.933837890625</v>
      </c>
      <c r="L376" s="24">
        <f t="shared" si="537"/>
        <v>1</v>
      </c>
      <c r="M376" s="24">
        <f t="shared" si="538"/>
        <v>0</v>
      </c>
      <c r="N376" s="26">
        <f>VLOOKUP($C376,COS!$B$8:$H$991,5,FALSE)</f>
        <v>805.975830078125</v>
      </c>
      <c r="O376" s="26">
        <f t="shared" si="598"/>
        <v>47.95889236828512</v>
      </c>
      <c r="P376" s="26">
        <f>VLOOKUP($C376,COS!$B$8:$H$991,6,FALSE)</f>
        <v>2523.65283203125</v>
      </c>
      <c r="Q376" s="26">
        <f t="shared" si="599"/>
        <v>150.1677718233471</v>
      </c>
      <c r="R376" s="26">
        <f>MIN(IF(MONTH($C376)=4,$S$3,IF(MONTH($C376)=5,$S$4,IF(MONTH($C376)=6,$S$5,IF(MONTH($C376)=7,$S$6,"ERROR")))),MAX(VLOOKUP($C376,COS!$B$8:$K$991,10,FALSE)-IF(MONTH($C376)=4,$Y$3,IF(MONTH($C376)=5,$Y$4,IF(MONTH($C376)=6,$Y$5,IF(MONTH($C376)=7,$Y$6,"ERROR")))),0),MAX(VLOOKUP($C376,COS!$B$8:$K$991,9,FALSE)-IF(MONTH($C376)=4,$V$3,IF(MONTH($C376)=5,$V$4,IF(MONTH($C376)=6,$V$5,IF(MONTH($C376)=7,$V$6,"ERROR"))))-VLOOKUP($C376,COS!$B$8:$K$991,6,FALSE)/2,0))</f>
        <v>750</v>
      </c>
      <c r="S376" s="26">
        <f t="shared" si="600"/>
        <v>44.628099173553714</v>
      </c>
      <c r="T376" s="26">
        <f t="shared" si="601"/>
        <v>143.69143126936982</v>
      </c>
      <c r="U376" s="26" t="str">
        <f>IF(VLOOKUP($C376,COS!$B$8:$I$991,8,FALSE)=1,"UWFE","IBU")</f>
        <v>IBU</v>
      </c>
      <c r="V376" s="26">
        <f t="shared" ref="V376" si="604">MIN(IF(IF($AA$3=2,AND(E376=1,G376=1,L376=1,L379=1,M376=1,U376="IBU"),AND(E376=1,G376=1,L376=1,L379=1,M376=1)),T376,0),I376)</f>
        <v>0</v>
      </c>
      <c r="W376" s="26"/>
      <c r="X376" s="26"/>
      <c r="Y376" s="26"/>
      <c r="Z376" s="26"/>
      <c r="AA376" s="26"/>
      <c r="AB376" s="33"/>
    </row>
    <row r="377" spans="1:28" x14ac:dyDescent="0.3">
      <c r="A377" s="32">
        <f>VLOOKUP(YEAR(C377),Flags!$A$13:$B$95,2,FALSE)</f>
        <v>3</v>
      </c>
      <c r="B377" s="24">
        <f t="shared" si="535"/>
        <v>1962</v>
      </c>
      <c r="C377" s="25">
        <v>22858</v>
      </c>
      <c r="D377" s="26">
        <f>VLOOKUP($C377,COS!$B$8:$H$991,3,FALSE)</f>
        <v>15542.783203125</v>
      </c>
      <c r="E377" s="24">
        <f>IF(D377&gt;=IF(MONTH($C377)=4,$C$3,IF(MONTH($C377)=5,$C$4,IF(MONTH($C377)=6,$C$5,IF(MONTH($C377)=7,$C$6,"ERROR")))),1,0)</f>
        <v>1</v>
      </c>
      <c r="F377" s="26">
        <f>VLOOKUP($C377,COS!$B$8:$H$991,7,FALSE)</f>
        <v>50.507843017578125</v>
      </c>
      <c r="G377" s="24">
        <f>IF(F377&lt;=IF(MONTH($C377)=4,$F$3,IF(MONTH($C377)=5,$F$4,IF(MONTH($C377)=6,$F$5,IF(MONTH($C377)=7,$F$6,"ERROR")))),1,0)</f>
        <v>1</v>
      </c>
      <c r="H377" s="26">
        <f>IF(J377=1,D377-$C$6,0)</f>
        <v>3542.783203125</v>
      </c>
      <c r="I377" s="26">
        <f t="shared" si="558"/>
        <v>217.83724819214873</v>
      </c>
      <c r="J377" s="24">
        <f t="shared" si="595"/>
        <v>1</v>
      </c>
      <c r="K377" s="26">
        <f>VLOOKUP($C377,COS!$B$8:$H$991,2,FALSE)</f>
        <v>3381.171142578125</v>
      </c>
      <c r="L377" s="24">
        <f t="shared" si="537"/>
        <v>1</v>
      </c>
      <c r="M377" s="24">
        <f t="shared" si="538"/>
        <v>0</v>
      </c>
      <c r="N377" s="26">
        <f>VLOOKUP($C377,COS!$B$8:$H$991,5,FALSE)</f>
        <v>930.34075927734375</v>
      </c>
      <c r="O377" s="26">
        <f t="shared" si="598"/>
        <v>57.20442354564824</v>
      </c>
      <c r="P377" s="26">
        <f>VLOOKUP($C377,COS!$B$8:$H$991,6,FALSE)</f>
        <v>2537.385498046875</v>
      </c>
      <c r="Q377" s="26">
        <f t="shared" si="599"/>
        <v>156.01775293775825</v>
      </c>
      <c r="R377" s="26">
        <f>MIN(IF(MONTH($C377)=4,$S$3,IF(MONTH($C377)=5,$S$4,IF(MONTH($C377)=6,$S$5,IF(MONTH($C377)=7,$S$6,"ERROR")))),MAX(VLOOKUP($C377,COS!$B$8:$K$991,10,FALSE)-IF(MONTH($C377)=4,$Y$3,IF(MONTH($C377)=5,$Y$4,IF(MONTH($C377)=6,$Y$5,IF(MONTH($C377)=7,$Y$6,"ERROR")))),0),MAX(VLOOKUP($C377,COS!$B$8:$K$991,9,FALSE)-IF(MONTH($C377)=4,$V$3,IF(MONTH($C377)=5,$V$4,IF(MONTH($C377)=6,$V$5,IF(MONTH($C377)=7,$V$6,"ERROR"))))-VLOOKUP($C377,COS!$B$8:$K$991,6,FALSE)/2,0))</f>
        <v>750</v>
      </c>
      <c r="S377" s="26">
        <f t="shared" si="600"/>
        <v>46.115702479338843</v>
      </c>
      <c r="T377" s="26">
        <f t="shared" si="601"/>
        <v>152.72679072104208</v>
      </c>
      <c r="U377" s="26" t="str">
        <f>IF(VLOOKUP($C377,COS!$B$8:$I$991,8,FALSE)=1,"UWFE","IBU")</f>
        <v>IBU</v>
      </c>
      <c r="V377" s="26">
        <f t="shared" ref="V377" si="605">MIN(IF(IF($AA$3=2,AND(E377=1,G377=1,L377=1,L379=1,M377=1,U377="IBU"),AND(E377=1,G377=1,L377=1,L379=1,M377=1)),T377,0),I377)</f>
        <v>0</v>
      </c>
      <c r="W377" s="26"/>
      <c r="X377" s="26"/>
      <c r="Y377" s="26"/>
      <c r="Z377" s="26"/>
      <c r="AA377" s="26"/>
      <c r="AB377" s="33"/>
    </row>
    <row r="378" spans="1:28" x14ac:dyDescent="0.3">
      <c r="A378" s="32">
        <f>VLOOKUP(YEAR(C378),Flags!$A$13:$B$95,2,FALSE)</f>
        <v>3</v>
      </c>
      <c r="B378" s="24">
        <f t="shared" si="535"/>
        <v>1962</v>
      </c>
      <c r="C378" s="25">
        <v>22889</v>
      </c>
      <c r="D378" s="26"/>
      <c r="E378" s="24"/>
      <c r="F378" s="26"/>
      <c r="G378" s="24"/>
      <c r="H378" s="24"/>
      <c r="I378" s="26"/>
      <c r="J378" s="24"/>
      <c r="K378" s="26"/>
      <c r="L378" s="24"/>
      <c r="M378" s="24"/>
      <c r="N378" s="26"/>
      <c r="O378" s="26"/>
      <c r="P378" s="26"/>
      <c r="Q378" s="26"/>
      <c r="R378" s="26"/>
      <c r="S378" s="26"/>
      <c r="T378" s="26"/>
      <c r="U378" s="26"/>
      <c r="V378" s="26"/>
      <c r="W378" s="26">
        <f>MAX($C$7-VLOOKUP($C378,COS!$B$8:$H$991,3,FALSE),0)</f>
        <v>90501.505859375</v>
      </c>
      <c r="X378" s="26">
        <f t="shared" si="562"/>
        <v>5564.7206908574381</v>
      </c>
      <c r="Y378" s="26">
        <f>VLOOKUP($C378,COS!$B$8:$H$991,4,FALSE)</f>
        <v>326.0140380859375</v>
      </c>
      <c r="Z378" s="26">
        <f t="shared" si="563"/>
        <v>20.045821845945248</v>
      </c>
      <c r="AA378" s="26">
        <f t="shared" ref="AA378:AA382" si="606">MIN(W378,Y378)</f>
        <v>326.0140380859375</v>
      </c>
      <c r="AB378" s="33">
        <f t="shared" ref="AB378" si="607">AA378*DAY($C378)*86400/43560/1000*IF(MONTH($C378)=8,$P$3,IF(MONTH($C378)=9,$P$4,IF(MONTH($C378)=10,$P$5,IF(MONTH($C378)=11,$P$6,IF(MONTH($C378)=12,$P$7,NA())))))</f>
        <v>20.045821845945248</v>
      </c>
    </row>
    <row r="379" spans="1:28" x14ac:dyDescent="0.3">
      <c r="A379" s="32">
        <f>VLOOKUP(YEAR(C379),Flags!$A$13:$B$95,2,FALSE)</f>
        <v>3</v>
      </c>
      <c r="B379" s="24">
        <f t="shared" si="535"/>
        <v>1962</v>
      </c>
      <c r="C379" s="25">
        <v>22919</v>
      </c>
      <c r="D379" s="26"/>
      <c r="E379" s="24"/>
      <c r="F379" s="26"/>
      <c r="G379" s="24"/>
      <c r="H379" s="24"/>
      <c r="I379" s="26"/>
      <c r="J379" s="24"/>
      <c r="K379" s="26">
        <f>VLOOKUP($C379,COS!$B$8:$H$991,2,FALSE)</f>
        <v>3012.717529296875</v>
      </c>
      <c r="L379" s="24">
        <f t="shared" ref="L379" si="608">IF(AND(K379&gt;$I$7,K379&lt;$I$8),1,0)</f>
        <v>1</v>
      </c>
      <c r="M379" s="24"/>
      <c r="N379" s="26"/>
      <c r="O379" s="26"/>
      <c r="P379" s="26"/>
      <c r="Q379" s="26"/>
      <c r="R379" s="26"/>
      <c r="S379" s="26"/>
      <c r="T379" s="26"/>
      <c r="U379" s="26"/>
      <c r="V379" s="26"/>
      <c r="W379" s="26">
        <f>MAX($C$8-VLOOKUP($C379,COS!$B$8:$H$991,3,FALSE),0)</f>
        <v>94563.63525390625</v>
      </c>
      <c r="X379" s="26">
        <f t="shared" si="562"/>
        <v>5626.9270564307853</v>
      </c>
      <c r="Y379" s="26">
        <f>VLOOKUP($C379,COS!$B$8:$H$991,4,FALSE)</f>
        <v>0</v>
      </c>
      <c r="Z379" s="26">
        <f t="shared" si="563"/>
        <v>0</v>
      </c>
      <c r="AA379" s="26">
        <f t="shared" si="606"/>
        <v>0</v>
      </c>
      <c r="AB379" s="33">
        <f t="shared" si="548"/>
        <v>0</v>
      </c>
    </row>
    <row r="380" spans="1:28" x14ac:dyDescent="0.3">
      <c r="A380" s="32">
        <f>VLOOKUP(YEAR(C380),Flags!$A$13:$B$95,2,FALSE)</f>
        <v>3</v>
      </c>
      <c r="B380" s="24">
        <f t="shared" si="535"/>
        <v>1962</v>
      </c>
      <c r="C380" s="25">
        <v>22950</v>
      </c>
      <c r="D380" s="26"/>
      <c r="E380" s="24"/>
      <c r="F380" s="26"/>
      <c r="G380" s="26"/>
      <c r="H380" s="26"/>
      <c r="I380" s="26"/>
      <c r="J380" s="26"/>
      <c r="K380" s="26"/>
      <c r="L380" s="24"/>
      <c r="M380" s="24"/>
      <c r="N380" s="26"/>
      <c r="O380" s="26"/>
      <c r="P380" s="26"/>
      <c r="Q380" s="26"/>
      <c r="R380" s="26"/>
      <c r="S380" s="26"/>
      <c r="T380" s="26"/>
      <c r="U380" s="26"/>
      <c r="V380" s="26"/>
      <c r="W380" s="26">
        <f>MAX($C$9-VLOOKUP($C380,COS!$B$8:$H$991,3,FALSE),0)</f>
        <v>91099.30859375</v>
      </c>
      <c r="X380" s="26">
        <f t="shared" si="562"/>
        <v>5601.478148243802</v>
      </c>
      <c r="Y380" s="26">
        <f>VLOOKUP($C380,COS!$B$8:$H$991,4,FALSE)</f>
        <v>0</v>
      </c>
      <c r="Z380" s="26">
        <f t="shared" si="563"/>
        <v>0</v>
      </c>
      <c r="AA380" s="26">
        <f t="shared" si="606"/>
        <v>0</v>
      </c>
      <c r="AB380" s="33">
        <f t="shared" si="548"/>
        <v>0</v>
      </c>
    </row>
    <row r="381" spans="1:28" x14ac:dyDescent="0.3">
      <c r="A381" s="32">
        <f>VLOOKUP(YEAR(C381),Flags!$A$13:$B$95,2,FALSE)</f>
        <v>3</v>
      </c>
      <c r="B381" s="24">
        <f t="shared" si="535"/>
        <v>1962</v>
      </c>
      <c r="C381" s="25">
        <v>22980</v>
      </c>
      <c r="D381" s="26"/>
      <c r="E381" s="24"/>
      <c r="F381" s="26"/>
      <c r="G381" s="26"/>
      <c r="H381" s="26"/>
      <c r="I381" s="26"/>
      <c r="J381" s="26"/>
      <c r="K381" s="26"/>
      <c r="L381" s="24"/>
      <c r="M381" s="24"/>
      <c r="N381" s="26"/>
      <c r="O381" s="26"/>
      <c r="P381" s="26"/>
      <c r="Q381" s="26"/>
      <c r="R381" s="26"/>
      <c r="S381" s="26"/>
      <c r="T381" s="26"/>
      <c r="U381" s="26"/>
      <c r="V381" s="26"/>
      <c r="W381" s="26">
        <f>MAX($C$10-VLOOKUP($C381,COS!$B$8:$H$991,3,FALSE),0)</f>
        <v>94435.6953125</v>
      </c>
      <c r="X381" s="26">
        <f t="shared" si="562"/>
        <v>5619.3141012396691</v>
      </c>
      <c r="Y381" s="26">
        <f>VLOOKUP($C381,COS!$B$8:$H$991,4,FALSE)</f>
        <v>0</v>
      </c>
      <c r="Z381" s="26">
        <f t="shared" si="563"/>
        <v>0</v>
      </c>
      <c r="AA381" s="26">
        <f t="shared" si="606"/>
        <v>0</v>
      </c>
      <c r="AB381" s="33">
        <f t="shared" si="548"/>
        <v>0</v>
      </c>
    </row>
    <row r="382" spans="1:28" x14ac:dyDescent="0.3">
      <c r="A382" s="34">
        <f>VLOOKUP(YEAR(C382),Flags!$A$13:$B$95,2,FALSE)</f>
        <v>3</v>
      </c>
      <c r="B382" s="35">
        <f t="shared" si="535"/>
        <v>1962</v>
      </c>
      <c r="C382" s="36">
        <v>23011</v>
      </c>
      <c r="D382" s="37"/>
      <c r="E382" s="35"/>
      <c r="F382" s="37"/>
      <c r="G382" s="37"/>
      <c r="H382" s="37"/>
      <c r="I382" s="37"/>
      <c r="J382" s="37"/>
      <c r="K382" s="37"/>
      <c r="L382" s="35"/>
      <c r="M382" s="35"/>
      <c r="N382" s="37"/>
      <c r="O382" s="37"/>
      <c r="P382" s="37"/>
      <c r="Q382" s="37"/>
      <c r="R382" s="37"/>
      <c r="S382" s="37"/>
      <c r="T382" s="37"/>
      <c r="U382" s="37"/>
      <c r="V382" s="37"/>
      <c r="W382" s="37">
        <f>MAX($C$11-VLOOKUP($C382,COS!$B$8:$H$991,3,FALSE),0)</f>
        <v>0</v>
      </c>
      <c r="X382" s="37">
        <f t="shared" si="562"/>
        <v>0</v>
      </c>
      <c r="Y382" s="37">
        <f>VLOOKUP($C382,COS!$B$8:$H$991,4,FALSE)</f>
        <v>0</v>
      </c>
      <c r="Z382" s="37">
        <f t="shared" si="563"/>
        <v>0</v>
      </c>
      <c r="AA382" s="37">
        <f t="shared" si="606"/>
        <v>0</v>
      </c>
      <c r="AB382" s="38">
        <f t="shared" si="548"/>
        <v>0</v>
      </c>
    </row>
    <row r="383" spans="1:28" x14ac:dyDescent="0.3">
      <c r="A383" s="27">
        <f>VLOOKUP(YEAR(C383),Flags!$A$13:$B$95,2,FALSE)</f>
        <v>1</v>
      </c>
      <c r="B383" s="28">
        <f t="shared" si="535"/>
        <v>1963</v>
      </c>
      <c r="C383" s="29">
        <v>23131</v>
      </c>
      <c r="D383" s="30">
        <f>VLOOKUP($C383,COS!$B$8:$H$991,3,FALSE)</f>
        <v>30893.44921875</v>
      </c>
      <c r="E383" s="28">
        <f>IF(D383&gt;=IF(MONTH($C383)=4,$C$3,IF(MONTH($C383)=5,$C$4,IF(MONTH($C383)=6,$C$5,IF(MONTH($C383)=7,$C$6,"ERROR")))),1,0)</f>
        <v>1</v>
      </c>
      <c r="F383" s="30">
        <f>VLOOKUP($C383,COS!$B$8:$H$991,7,FALSE)</f>
        <v>48.021064758300781</v>
      </c>
      <c r="G383" s="28">
        <f>IF(F383&lt;=IF(MONTH($C383)=4,$F$3,IF(MONTH($C383)=5,$F$4,IF(MONTH($C383)=6,$F$5,IF(MONTH($C383)=7,$F$6,"ERROR")))),1,0)</f>
        <v>1</v>
      </c>
      <c r="H383" s="30">
        <f>IF(J383=1,D383-$C$3,0)</f>
        <v>24893.44921875</v>
      </c>
      <c r="I383" s="30">
        <f t="shared" si="558"/>
        <v>1481.2630940082643</v>
      </c>
      <c r="J383" s="28">
        <f t="shared" ref="J383:J386" si="609">IF(AND(E383=1,G383=1),1,0)</f>
        <v>1</v>
      </c>
      <c r="K383" s="30">
        <f>VLOOKUP($C383,COS!$B$8:$H$991,2,FALSE)</f>
        <v>4137</v>
      </c>
      <c r="L383" s="28">
        <f t="shared" ref="L383" si="610">IF(K383&lt;=IF(MONTH($C383)=4,$I$3,IF(MONTH($C383)=5,$I$4,IF(MONTH($C383)=6,$I$5,IF(MONTH($C383)=7,$I$6,"ERROR")))),1,0)</f>
        <v>1</v>
      </c>
      <c r="M383" s="28">
        <f t="shared" ref="M383" si="611">VLOOKUP($A383,$L$3:$M$7,2,FALSE)</f>
        <v>0</v>
      </c>
      <c r="N383" s="30">
        <f>VLOOKUP($C383,COS!$B$8:$H$991,5,FALSE)</f>
        <v>15.700532913208008</v>
      </c>
      <c r="O383" s="30">
        <f t="shared" ref="O383:O386" si="612">N383*DAY($C383)*86400/43560/1000</f>
        <v>0.93424658657105497</v>
      </c>
      <c r="P383" s="30">
        <f>VLOOKUP($C383,COS!$B$8:$H$991,6,FALSE)</f>
        <v>254.50013732910156</v>
      </c>
      <c r="Q383" s="30">
        <f t="shared" ref="Q383:Q386" si="613">P383*DAY($C383)*86400/43560/1000</f>
        <v>15.143809824541581</v>
      </c>
      <c r="R383" s="30">
        <f>MIN(IF(MONTH($C383)=4,$S$3,IF(MONTH($C383)=5,$S$4,IF(MONTH($C383)=6,$S$5,IF(MONTH($C383)=7,$S$6,"ERROR")))),MAX(VLOOKUP($C383,COS!$B$8:$K$991,10,FALSE)-IF(MONTH($C383)=4,$Y$3,IF(MONTH($C383)=5,$Y$4,IF(MONTH($C383)=6,$Y$5,IF(MONTH($C383)=7,$Y$6,"ERROR")))),0),MAX(VLOOKUP($C383,COS!$B$8:$K$991,9,FALSE)-IF(MONTH($C383)=4,$V$3,IF(MONTH($C383)=5,$V$4,IF(MONTH($C383)=6,$V$5,IF(MONTH($C383)=7,$V$6,"ERROR"))))-VLOOKUP($C383,COS!$B$8:$K$991,6,FALSE)/2,0))</f>
        <v>750</v>
      </c>
      <c r="S383" s="30">
        <f t="shared" ref="S383:S386" si="614">R383*DAY($C383)*86400/43560/1000</f>
        <v>44.628099173553714</v>
      </c>
      <c r="T383" s="30">
        <f t="shared" ref="T383:T386" si="615">(O383+Q383)/2+S383</f>
        <v>52.667127379110035</v>
      </c>
      <c r="U383" s="30" t="str">
        <f>IF(VLOOKUP($C383,COS!$B$8:$I$991,8,FALSE)=1,"UWFE","IBU")</f>
        <v>UWFE</v>
      </c>
      <c r="V383" s="30">
        <f t="shared" ref="V383" si="616">MIN(IF(IF($AA$3=2,AND(E383=1,G383=1,L383=1,L388=1,M383=1,U383="IBU"),AND(E383=1,G383=1,L383=1,L388=1,M383=1)),T383,0),I383)</f>
        <v>0</v>
      </c>
      <c r="W383" s="30"/>
      <c r="X383" s="30"/>
      <c r="Y383" s="30"/>
      <c r="Z383" s="30"/>
      <c r="AA383" s="30"/>
      <c r="AB383" s="31"/>
    </row>
    <row r="384" spans="1:28" x14ac:dyDescent="0.3">
      <c r="A384" s="32">
        <f>VLOOKUP(YEAR(C384),Flags!$A$13:$B$95,2,FALSE)</f>
        <v>1</v>
      </c>
      <c r="B384" s="24">
        <f t="shared" si="535"/>
        <v>1963</v>
      </c>
      <c r="C384" s="25">
        <v>23162</v>
      </c>
      <c r="D384" s="26">
        <f>VLOOKUP($C384,COS!$B$8:$H$991,3,FALSE)</f>
        <v>4724.07177734375</v>
      </c>
      <c r="E384" s="24">
        <f>IF(D384&gt;=IF(MONTH($C384)=4,$C$3,IF(MONTH($C384)=5,$C$4,IF(MONTH($C384)=6,$C$5,IF(MONTH($C384)=7,$C$6,"ERROR")))),1,0)</f>
        <v>0</v>
      </c>
      <c r="F384" s="26">
        <f>VLOOKUP($C384,COS!$B$8:$H$991,7,FALSE)</f>
        <v>52.657608032226563</v>
      </c>
      <c r="G384" s="24">
        <f>IF(F384&lt;=IF(MONTH($C384)=4,$F$3,IF(MONTH($C384)=5,$F$4,IF(MONTH($C384)=6,$F$5,IF(MONTH($C384)=7,$F$6,"ERROR")))),1,0)</f>
        <v>1</v>
      </c>
      <c r="H384" s="26">
        <f>IF(J384=1,D384-$C$4,0)</f>
        <v>0</v>
      </c>
      <c r="I384" s="26">
        <f t="shared" si="558"/>
        <v>0</v>
      </c>
      <c r="J384" s="24">
        <f t="shared" si="609"/>
        <v>0</v>
      </c>
      <c r="K384" s="26">
        <f>VLOOKUP($C384,COS!$B$8:$H$991,2,FALSE)</f>
        <v>4552</v>
      </c>
      <c r="L384" s="24">
        <f t="shared" si="537"/>
        <v>1</v>
      </c>
      <c r="M384" s="24">
        <f t="shared" si="538"/>
        <v>0</v>
      </c>
      <c r="N384" s="26">
        <f>VLOOKUP($C384,COS!$B$8:$H$991,5,FALSE)</f>
        <v>528.83221435546875</v>
      </c>
      <c r="O384" s="26">
        <f t="shared" si="612"/>
        <v>32.516625411608985</v>
      </c>
      <c r="P384" s="26">
        <f>VLOOKUP($C384,COS!$B$8:$H$991,6,FALSE)</f>
        <v>2086.376220703125</v>
      </c>
      <c r="Q384" s="26">
        <f t="shared" si="613"/>
        <v>128.28627340521695</v>
      </c>
      <c r="R384" s="26">
        <f>MIN(IF(MONTH($C384)=4,$S$3,IF(MONTH($C384)=5,$S$4,IF(MONTH($C384)=6,$S$5,IF(MONTH($C384)=7,$S$6,"ERROR")))),MAX(VLOOKUP($C384,COS!$B$8:$K$991,10,FALSE)-IF(MONTH($C384)=4,$Y$3,IF(MONTH($C384)=5,$Y$4,IF(MONTH($C384)=6,$Y$5,IF(MONTH($C384)=7,$Y$6,"ERROR")))),0),MAX(VLOOKUP($C384,COS!$B$8:$K$991,9,FALSE)-IF(MONTH($C384)=4,$V$3,IF(MONTH($C384)=5,$V$4,IF(MONTH($C384)=6,$V$5,IF(MONTH($C384)=7,$V$6,"ERROR"))))-VLOOKUP($C384,COS!$B$8:$K$991,6,FALSE)/2,0))</f>
        <v>750</v>
      </c>
      <c r="S384" s="26">
        <f t="shared" si="614"/>
        <v>46.115702479338843</v>
      </c>
      <c r="T384" s="26">
        <f t="shared" si="615"/>
        <v>126.51715188775179</v>
      </c>
      <c r="U384" s="26" t="str">
        <f>IF(VLOOKUP($C384,COS!$B$8:$I$991,8,FALSE)=1,"UWFE","IBU")</f>
        <v>UWFE</v>
      </c>
      <c r="V384" s="26">
        <f t="shared" ref="V384" si="617">MIN(IF(IF($AA$3=2,AND(E384=1,G384=1,L384=1,L388=1,M384=1,U384="IBU"),AND(E384=1,G384=1,L384=1,L388=1,M384=1)),T384,0),I384)</f>
        <v>0</v>
      </c>
      <c r="W384" s="26"/>
      <c r="X384" s="26"/>
      <c r="Y384" s="26"/>
      <c r="Z384" s="26"/>
      <c r="AA384" s="26"/>
      <c r="AB384" s="33"/>
    </row>
    <row r="385" spans="1:28" x14ac:dyDescent="0.3">
      <c r="A385" s="32">
        <f>VLOOKUP(YEAR(C385),Flags!$A$13:$B$95,2,FALSE)</f>
        <v>1</v>
      </c>
      <c r="B385" s="24">
        <f t="shared" si="535"/>
        <v>1963</v>
      </c>
      <c r="C385" s="25">
        <v>23192</v>
      </c>
      <c r="D385" s="26">
        <f>VLOOKUP($C385,COS!$B$8:$H$991,3,FALSE)</f>
        <v>8594.71875</v>
      </c>
      <c r="E385" s="24">
        <f>IF(D385&gt;=IF(MONTH($C385)=4,$C$3,IF(MONTH($C385)=5,$C$4,IF(MONTH($C385)=6,$C$5,IF(MONTH($C385)=7,$C$6,"ERROR")))),1,0)</f>
        <v>0</v>
      </c>
      <c r="F385" s="26">
        <f>VLOOKUP($C385,COS!$B$8:$H$991,7,FALSE)</f>
        <v>52.543663024902344</v>
      </c>
      <c r="G385" s="24">
        <f>IF(F385&lt;=IF(MONTH($C385)=4,$F$3,IF(MONTH($C385)=5,$F$4,IF(MONTH($C385)=6,$F$5,IF(MONTH($C385)=7,$F$6,"ERROR")))),1,0)</f>
        <v>1</v>
      </c>
      <c r="H385" s="26">
        <f>IF(J385=1,D385-$C$5,0)</f>
        <v>0</v>
      </c>
      <c r="I385" s="26">
        <f t="shared" si="558"/>
        <v>0</v>
      </c>
      <c r="J385" s="24">
        <f t="shared" si="609"/>
        <v>0</v>
      </c>
      <c r="K385" s="26">
        <f>VLOOKUP($C385,COS!$B$8:$H$991,2,FALSE)</f>
        <v>4318.48828125</v>
      </c>
      <c r="L385" s="24">
        <f t="shared" si="537"/>
        <v>1</v>
      </c>
      <c r="M385" s="24">
        <f t="shared" si="538"/>
        <v>0</v>
      </c>
      <c r="N385" s="26">
        <f>VLOOKUP($C385,COS!$B$8:$H$991,5,FALSE)</f>
        <v>1228.4559326171875</v>
      </c>
      <c r="O385" s="26">
        <f t="shared" si="612"/>
        <v>73.098204254907031</v>
      </c>
      <c r="P385" s="26">
        <f>VLOOKUP($C385,COS!$B$8:$H$991,6,FALSE)</f>
        <v>2324.6142578125</v>
      </c>
      <c r="Q385" s="26">
        <f t="shared" si="613"/>
        <v>138.3241541838843</v>
      </c>
      <c r="R385" s="26">
        <f>MIN(IF(MONTH($C385)=4,$S$3,IF(MONTH($C385)=5,$S$4,IF(MONTH($C385)=6,$S$5,IF(MONTH($C385)=7,$S$6,"ERROR")))),MAX(VLOOKUP($C385,COS!$B$8:$K$991,10,FALSE)-IF(MONTH($C385)=4,$Y$3,IF(MONTH($C385)=5,$Y$4,IF(MONTH($C385)=6,$Y$5,IF(MONTH($C385)=7,$Y$6,"ERROR")))),0),MAX(VLOOKUP($C385,COS!$B$8:$K$991,9,FALSE)-IF(MONTH($C385)=4,$V$3,IF(MONTH($C385)=5,$V$4,IF(MONTH($C385)=6,$V$5,IF(MONTH($C385)=7,$V$6,"ERROR"))))-VLOOKUP($C385,COS!$B$8:$K$991,6,FALSE)/2,0))</f>
        <v>750</v>
      </c>
      <c r="S385" s="26">
        <f t="shared" si="614"/>
        <v>44.628099173553714</v>
      </c>
      <c r="T385" s="26">
        <f t="shared" si="615"/>
        <v>150.33927839294938</v>
      </c>
      <c r="U385" s="26" t="str">
        <f>IF(VLOOKUP($C385,COS!$B$8:$I$991,8,FALSE)=1,"UWFE","IBU")</f>
        <v>IBU</v>
      </c>
      <c r="V385" s="26">
        <f t="shared" ref="V385" si="618">MIN(IF(IF($AA$3=2,AND(E385=1,G385=1,L385=1,L388=1,M385=1,U385="IBU"),AND(E385=1,G385=1,L385=1,L388=1,M385=1)),T385,0),I385)</f>
        <v>0</v>
      </c>
      <c r="W385" s="26"/>
      <c r="X385" s="26"/>
      <c r="Y385" s="26"/>
      <c r="Z385" s="26"/>
      <c r="AA385" s="26"/>
      <c r="AB385" s="33"/>
    </row>
    <row r="386" spans="1:28" x14ac:dyDescent="0.3">
      <c r="A386" s="32">
        <f>VLOOKUP(YEAR(C386),Flags!$A$13:$B$95,2,FALSE)</f>
        <v>1</v>
      </c>
      <c r="B386" s="24">
        <f t="shared" si="535"/>
        <v>1963</v>
      </c>
      <c r="C386" s="25">
        <v>23223</v>
      </c>
      <c r="D386" s="26">
        <f>VLOOKUP($C386,COS!$B$8:$H$991,3,FALSE)</f>
        <v>16000</v>
      </c>
      <c r="E386" s="24">
        <f>IF(D386&gt;=IF(MONTH($C386)=4,$C$3,IF(MONTH($C386)=5,$C$4,IF(MONTH($C386)=6,$C$5,IF(MONTH($C386)=7,$C$6,"ERROR")))),1,0)</f>
        <v>1</v>
      </c>
      <c r="F386" s="26">
        <f>VLOOKUP($C386,COS!$B$8:$H$991,7,FALSE)</f>
        <v>52.109561920166016</v>
      </c>
      <c r="G386" s="24">
        <f>IF(F386&lt;=IF(MONTH($C386)=4,$F$3,IF(MONTH($C386)=5,$F$4,IF(MONTH($C386)=6,$F$5,IF(MONTH($C386)=7,$F$6,"ERROR")))),1,0)</f>
        <v>1</v>
      </c>
      <c r="H386" s="26">
        <f>IF(J386=1,D386-$C$6,0)</f>
        <v>4000</v>
      </c>
      <c r="I386" s="26">
        <f t="shared" si="558"/>
        <v>245.95041322314049</v>
      </c>
      <c r="J386" s="24">
        <f t="shared" si="609"/>
        <v>1</v>
      </c>
      <c r="K386" s="26">
        <f>VLOOKUP($C386,COS!$B$8:$H$991,2,FALSE)</f>
        <v>3649.526611328125</v>
      </c>
      <c r="L386" s="24">
        <f t="shared" si="537"/>
        <v>1</v>
      </c>
      <c r="M386" s="24">
        <f t="shared" si="538"/>
        <v>0</v>
      </c>
      <c r="N386" s="26">
        <f>VLOOKUP($C386,COS!$B$8:$H$991,5,FALSE)</f>
        <v>1381.7017822265625</v>
      </c>
      <c r="O386" s="26">
        <f t="shared" si="612"/>
        <v>84.957531072443174</v>
      </c>
      <c r="P386" s="26">
        <f>VLOOKUP($C386,COS!$B$8:$H$991,6,FALSE)</f>
        <v>2521.474853515625</v>
      </c>
      <c r="Q386" s="26">
        <f t="shared" si="613"/>
        <v>155.0394455384814</v>
      </c>
      <c r="R386" s="26">
        <f>MIN(IF(MONTH($C386)=4,$S$3,IF(MONTH($C386)=5,$S$4,IF(MONTH($C386)=6,$S$5,IF(MONTH($C386)=7,$S$6,"ERROR")))),MAX(VLOOKUP($C386,COS!$B$8:$K$991,10,FALSE)-IF(MONTH($C386)=4,$Y$3,IF(MONTH($C386)=5,$Y$4,IF(MONTH($C386)=6,$Y$5,IF(MONTH($C386)=7,$Y$6,"ERROR")))),0),MAX(VLOOKUP($C386,COS!$B$8:$K$991,9,FALSE)-IF(MONTH($C386)=4,$V$3,IF(MONTH($C386)=5,$V$4,IF(MONTH($C386)=6,$V$5,IF(MONTH($C386)=7,$V$6,"ERROR"))))-VLOOKUP($C386,COS!$B$8:$K$991,6,FALSE)/2,0))</f>
        <v>750</v>
      </c>
      <c r="S386" s="26">
        <f t="shared" si="614"/>
        <v>46.115702479338843</v>
      </c>
      <c r="T386" s="26">
        <f t="shared" si="615"/>
        <v>166.11419078480114</v>
      </c>
      <c r="U386" s="26" t="str">
        <f>IF(VLOOKUP($C386,COS!$B$8:$I$991,8,FALSE)=1,"UWFE","IBU")</f>
        <v>IBU</v>
      </c>
      <c r="V386" s="26">
        <f t="shared" ref="V386" si="619">MIN(IF(IF($AA$3=2,AND(E386=1,G386=1,L386=1,L388=1,M386=1,U386="IBU"),AND(E386=1,G386=1,L386=1,L388=1,M386=1)),T386,0),I386)</f>
        <v>0</v>
      </c>
      <c r="W386" s="26"/>
      <c r="X386" s="26"/>
      <c r="Y386" s="26"/>
      <c r="Z386" s="26"/>
      <c r="AA386" s="26"/>
      <c r="AB386" s="33"/>
    </row>
    <row r="387" spans="1:28" x14ac:dyDescent="0.3">
      <c r="A387" s="32">
        <f>VLOOKUP(YEAR(C387),Flags!$A$13:$B$95,2,FALSE)</f>
        <v>1</v>
      </c>
      <c r="B387" s="24">
        <f t="shared" si="535"/>
        <v>1963</v>
      </c>
      <c r="C387" s="25">
        <v>23254</v>
      </c>
      <c r="D387" s="26"/>
      <c r="E387" s="24"/>
      <c r="F387" s="26"/>
      <c r="G387" s="24"/>
      <c r="H387" s="24"/>
      <c r="I387" s="26"/>
      <c r="J387" s="24"/>
      <c r="K387" s="26"/>
      <c r="L387" s="24"/>
      <c r="M387" s="24"/>
      <c r="N387" s="26"/>
      <c r="O387" s="26"/>
      <c r="P387" s="26"/>
      <c r="Q387" s="26"/>
      <c r="R387" s="26"/>
      <c r="S387" s="26"/>
      <c r="T387" s="26"/>
      <c r="U387" s="26"/>
      <c r="V387" s="26"/>
      <c r="W387" s="26">
        <f>MAX($C$7-VLOOKUP($C387,COS!$B$8:$H$991,3,FALSE),0)</f>
        <v>89286.853515625</v>
      </c>
      <c r="X387" s="26">
        <f t="shared" si="562"/>
        <v>5490.0346293904959</v>
      </c>
      <c r="Y387" s="26">
        <f>VLOOKUP($C387,COS!$B$8:$H$991,4,FALSE)</f>
        <v>0</v>
      </c>
      <c r="Z387" s="26">
        <f t="shared" si="563"/>
        <v>0</v>
      </c>
      <c r="AA387" s="26">
        <f t="shared" ref="AA387:AA391" si="620">MIN(W387,Y387)</f>
        <v>0</v>
      </c>
      <c r="AB387" s="33">
        <f t="shared" ref="AB387" si="621">AA387*DAY($C387)*86400/43560/1000*IF(MONTH($C387)=8,$P$3,IF(MONTH($C387)=9,$P$4,IF(MONTH($C387)=10,$P$5,IF(MONTH($C387)=11,$P$6,IF(MONTH($C387)=12,$P$7,NA())))))</f>
        <v>0</v>
      </c>
    </row>
    <row r="388" spans="1:28" x14ac:dyDescent="0.3">
      <c r="A388" s="32">
        <f>VLOOKUP(YEAR(C388),Flags!$A$13:$B$95,2,FALSE)</f>
        <v>1</v>
      </c>
      <c r="B388" s="24">
        <f t="shared" si="535"/>
        <v>1963</v>
      </c>
      <c r="C388" s="25">
        <v>23284</v>
      </c>
      <c r="D388" s="26"/>
      <c r="E388" s="24"/>
      <c r="F388" s="26"/>
      <c r="G388" s="24"/>
      <c r="H388" s="24"/>
      <c r="I388" s="26"/>
      <c r="J388" s="24"/>
      <c r="K388" s="26">
        <f>VLOOKUP($C388,COS!$B$8:$H$991,2,FALSE)</f>
        <v>2718.105712890625</v>
      </c>
      <c r="L388" s="24">
        <f t="shared" ref="L388" si="622">IF(AND(K388&gt;$I$7,K388&lt;$I$8),1,0)</f>
        <v>1</v>
      </c>
      <c r="M388" s="24"/>
      <c r="N388" s="26"/>
      <c r="O388" s="26"/>
      <c r="P388" s="26"/>
      <c r="Q388" s="26"/>
      <c r="R388" s="26"/>
      <c r="S388" s="26"/>
      <c r="T388" s="26"/>
      <c r="U388" s="26"/>
      <c r="V388" s="26"/>
      <c r="W388" s="26">
        <f>MAX($C$8-VLOOKUP($C388,COS!$B$8:$H$991,3,FALSE),0)</f>
        <v>84976.9580078125</v>
      </c>
      <c r="X388" s="26">
        <f t="shared" si="562"/>
        <v>5056.4801459194214</v>
      </c>
      <c r="Y388" s="26">
        <f>VLOOKUP($C388,COS!$B$8:$H$991,4,FALSE)</f>
        <v>0</v>
      </c>
      <c r="Z388" s="26">
        <f t="shared" si="563"/>
        <v>0</v>
      </c>
      <c r="AA388" s="26">
        <f t="shared" si="620"/>
        <v>0</v>
      </c>
      <c r="AB388" s="33">
        <f t="shared" si="548"/>
        <v>0</v>
      </c>
    </row>
    <row r="389" spans="1:28" x14ac:dyDescent="0.3">
      <c r="A389" s="32">
        <f>VLOOKUP(YEAR(C389),Flags!$A$13:$B$95,2,FALSE)</f>
        <v>1</v>
      </c>
      <c r="B389" s="24">
        <f t="shared" si="535"/>
        <v>1963</v>
      </c>
      <c r="C389" s="25">
        <v>23315</v>
      </c>
      <c r="D389" s="26"/>
      <c r="E389" s="24"/>
      <c r="F389" s="26"/>
      <c r="G389" s="26"/>
      <c r="H389" s="26"/>
      <c r="I389" s="26"/>
      <c r="J389" s="26"/>
      <c r="K389" s="26"/>
      <c r="L389" s="24"/>
      <c r="M389" s="24"/>
      <c r="N389" s="26"/>
      <c r="O389" s="26"/>
      <c r="P389" s="26"/>
      <c r="Q389" s="26"/>
      <c r="R389" s="26"/>
      <c r="S389" s="26"/>
      <c r="T389" s="26"/>
      <c r="U389" s="26"/>
      <c r="V389" s="26"/>
      <c r="W389" s="26">
        <f>MAX($C$9-VLOOKUP($C389,COS!$B$8:$H$991,3,FALSE),0)</f>
        <v>92588.90966796875</v>
      </c>
      <c r="X389" s="26">
        <f t="shared" si="562"/>
        <v>5693.0701481792357</v>
      </c>
      <c r="Y389" s="26">
        <f>VLOOKUP($C389,COS!$B$8:$H$991,4,FALSE)</f>
        <v>1189.5572509765625</v>
      </c>
      <c r="Z389" s="26">
        <f t="shared" si="563"/>
        <v>73.143024357567143</v>
      </c>
      <c r="AA389" s="26">
        <f t="shared" si="620"/>
        <v>1189.5572509765625</v>
      </c>
      <c r="AB389" s="33">
        <f t="shared" si="548"/>
        <v>73.143024357567143</v>
      </c>
    </row>
    <row r="390" spans="1:28" x14ac:dyDescent="0.3">
      <c r="A390" s="32">
        <f>VLOOKUP(YEAR(C390),Flags!$A$13:$B$95,2,FALSE)</f>
        <v>1</v>
      </c>
      <c r="B390" s="24">
        <f t="shared" si="535"/>
        <v>1963</v>
      </c>
      <c r="C390" s="25">
        <v>23345</v>
      </c>
      <c r="D390" s="26"/>
      <c r="E390" s="24"/>
      <c r="F390" s="26"/>
      <c r="G390" s="26"/>
      <c r="H390" s="26"/>
      <c r="I390" s="26"/>
      <c r="J390" s="26"/>
      <c r="K390" s="26"/>
      <c r="L390" s="24"/>
      <c r="M390" s="24"/>
      <c r="N390" s="26"/>
      <c r="O390" s="26"/>
      <c r="P390" s="26"/>
      <c r="Q390" s="26"/>
      <c r="R390" s="26"/>
      <c r="S390" s="26"/>
      <c r="T390" s="26"/>
      <c r="U390" s="26"/>
      <c r="V390" s="26"/>
      <c r="W390" s="26">
        <f>MAX($C$10-VLOOKUP($C390,COS!$B$8:$H$991,3,FALSE),0)</f>
        <v>93790.83056640625</v>
      </c>
      <c r="X390" s="26">
        <f t="shared" si="562"/>
        <v>5580.9419841167355</v>
      </c>
      <c r="Y390" s="26">
        <f>VLOOKUP($C390,COS!$B$8:$H$991,4,FALSE)</f>
        <v>1109.0794677734375</v>
      </c>
      <c r="Z390" s="26">
        <f t="shared" si="563"/>
        <v>65.994811305526866</v>
      </c>
      <c r="AA390" s="26">
        <f t="shared" si="620"/>
        <v>1109.0794677734375</v>
      </c>
      <c r="AB390" s="33">
        <f t="shared" si="548"/>
        <v>32.997405652763433</v>
      </c>
    </row>
    <row r="391" spans="1:28" x14ac:dyDescent="0.3">
      <c r="A391" s="34">
        <f>VLOOKUP(YEAR(C391),Flags!$A$13:$B$95,2,FALSE)</f>
        <v>1</v>
      </c>
      <c r="B391" s="35">
        <f t="shared" si="535"/>
        <v>1963</v>
      </c>
      <c r="C391" s="36">
        <v>23376</v>
      </c>
      <c r="D391" s="37"/>
      <c r="E391" s="35"/>
      <c r="F391" s="37"/>
      <c r="G391" s="37"/>
      <c r="H391" s="37"/>
      <c r="I391" s="37"/>
      <c r="J391" s="37"/>
      <c r="K391" s="37"/>
      <c r="L391" s="35"/>
      <c r="M391" s="35"/>
      <c r="N391" s="37"/>
      <c r="O391" s="37"/>
      <c r="P391" s="37"/>
      <c r="Q391" s="37"/>
      <c r="R391" s="37"/>
      <c r="S391" s="37"/>
      <c r="T391" s="37"/>
      <c r="U391" s="37"/>
      <c r="V391" s="37"/>
      <c r="W391" s="37">
        <f>MAX($C$11-VLOOKUP($C391,COS!$B$8:$H$991,3,FALSE),0)</f>
        <v>0</v>
      </c>
      <c r="X391" s="37">
        <f t="shared" si="562"/>
        <v>0</v>
      </c>
      <c r="Y391" s="37">
        <f>VLOOKUP($C391,COS!$B$8:$H$991,4,FALSE)</f>
        <v>347.96035766601563</v>
      </c>
      <c r="Z391" s="37">
        <f t="shared" si="563"/>
        <v>21.395248438307078</v>
      </c>
      <c r="AA391" s="37">
        <f t="shared" si="620"/>
        <v>0</v>
      </c>
      <c r="AB391" s="38">
        <f t="shared" si="548"/>
        <v>0</v>
      </c>
    </row>
    <row r="392" spans="1:28" x14ac:dyDescent="0.3">
      <c r="A392" s="27">
        <f>VLOOKUP(YEAR(C392),Flags!$A$13:$B$95,2,FALSE)</f>
        <v>4</v>
      </c>
      <c r="B392" s="28">
        <f t="shared" si="535"/>
        <v>1964</v>
      </c>
      <c r="C392" s="29">
        <v>23497</v>
      </c>
      <c r="D392" s="30">
        <f>VLOOKUP($C392,COS!$B$8:$H$991,3,FALSE)</f>
        <v>6091.94580078125</v>
      </c>
      <c r="E392" s="28">
        <f>IF(D392&gt;=IF(MONTH($C392)=4,$C$3,IF(MONTH($C392)=5,$C$4,IF(MONTH($C392)=6,$C$5,IF(MONTH($C392)=7,$C$6,"ERROR")))),1,0)</f>
        <v>1</v>
      </c>
      <c r="F392" s="30">
        <f>VLOOKUP($C392,COS!$B$8:$H$991,7,FALSE)</f>
        <v>49.550472259521484</v>
      </c>
      <c r="G392" s="28">
        <f>IF(F392&lt;=IF(MONTH($C392)=4,$F$3,IF(MONTH($C392)=5,$F$4,IF(MONTH($C392)=6,$F$5,IF(MONTH($C392)=7,$F$6,"ERROR")))),1,0)</f>
        <v>1</v>
      </c>
      <c r="H392" s="30">
        <f>IF(J392=1,D392-$C$3,0)</f>
        <v>91.94580078125</v>
      </c>
      <c r="I392" s="30">
        <f t="shared" si="558"/>
        <v>5.4711550878099171</v>
      </c>
      <c r="J392" s="28">
        <f t="shared" ref="J392:J395" si="623">IF(AND(E392=1,G392=1),1,0)</f>
        <v>1</v>
      </c>
      <c r="K392" s="30">
        <f>VLOOKUP($C392,COS!$B$8:$H$991,2,FALSE)</f>
        <v>3746.64306640625</v>
      </c>
      <c r="L392" s="28">
        <f t="shared" ref="L392" si="624">IF(K392&lt;=IF(MONTH($C392)=4,$I$3,IF(MONTH($C392)=5,$I$4,IF(MONTH($C392)=6,$I$5,IF(MONTH($C392)=7,$I$6,"ERROR")))),1,0)</f>
        <v>1</v>
      </c>
      <c r="M392" s="28">
        <f t="shared" ref="M392" si="625">VLOOKUP($A392,$L$3:$M$7,2,FALSE)</f>
        <v>1</v>
      </c>
      <c r="N392" s="30">
        <f>VLOOKUP($C392,COS!$B$8:$H$991,5,FALSE)</f>
        <v>316.77880859375</v>
      </c>
      <c r="O392" s="30">
        <f t="shared" ref="O392:O395" si="626">N392*DAY($C392)*86400/43560/1000</f>
        <v>18.849648114669421</v>
      </c>
      <c r="P392" s="30">
        <f>VLOOKUP($C392,COS!$B$8:$H$991,6,FALSE)</f>
        <v>564.8997802734375</v>
      </c>
      <c r="Q392" s="30">
        <f t="shared" ref="Q392:Q395" si="627">P392*DAY($C392)*86400/43560/1000</f>
        <v>33.613871222882231</v>
      </c>
      <c r="R392" s="30">
        <f>MIN(IF(MONTH($C392)=4,$S$3,IF(MONTH($C392)=5,$S$4,IF(MONTH($C392)=6,$S$5,IF(MONTH($C392)=7,$S$6,"ERROR")))),MAX(VLOOKUP($C392,COS!$B$8:$K$991,10,FALSE)-IF(MONTH($C392)=4,$Y$3,IF(MONTH($C392)=5,$Y$4,IF(MONTH($C392)=6,$Y$5,IF(MONTH($C392)=7,$Y$6,"ERROR")))),0),MAX(VLOOKUP($C392,COS!$B$8:$K$991,9,FALSE)-IF(MONTH($C392)=4,$V$3,IF(MONTH($C392)=5,$V$4,IF(MONTH($C392)=6,$V$5,IF(MONTH($C392)=7,$V$6,"ERROR"))))-VLOOKUP($C392,COS!$B$8:$K$991,6,FALSE)/2,0))</f>
        <v>750</v>
      </c>
      <c r="S392" s="30">
        <f t="shared" ref="S392:S395" si="628">R392*DAY($C392)*86400/43560/1000</f>
        <v>44.628099173553714</v>
      </c>
      <c r="T392" s="30">
        <f t="shared" ref="T392:T395" si="629">(O392+Q392)/2+S392</f>
        <v>70.859858842329544</v>
      </c>
      <c r="U392" s="30" t="str">
        <f>IF(VLOOKUP($C392,COS!$B$8:$I$991,8,FALSE)=1,"UWFE","IBU")</f>
        <v>UWFE</v>
      </c>
      <c r="V392" s="30">
        <f t="shared" ref="V392" si="630">MIN(IF(IF($AA$3=2,AND(E392=1,G392=1,L392=1,L397=1,M392=1,U392="IBU"),AND(E392=1,G392=1,L392=1,L397=1,M392=1)),T392,0),I392)</f>
        <v>0</v>
      </c>
      <c r="W392" s="30"/>
      <c r="X392" s="30"/>
      <c r="Y392" s="30"/>
      <c r="Z392" s="30"/>
      <c r="AA392" s="30"/>
      <c r="AB392" s="31"/>
    </row>
    <row r="393" spans="1:28" x14ac:dyDescent="0.3">
      <c r="A393" s="32">
        <f>VLOOKUP(YEAR(C393),Flags!$A$13:$B$95,2,FALSE)</f>
        <v>4</v>
      </c>
      <c r="B393" s="24">
        <f t="shared" si="535"/>
        <v>1964</v>
      </c>
      <c r="C393" s="25">
        <v>23528</v>
      </c>
      <c r="D393" s="26">
        <f>VLOOKUP($C393,COS!$B$8:$H$991,3,FALSE)</f>
        <v>6700.63427734375</v>
      </c>
      <c r="E393" s="24">
        <f>IF(D393&gt;=IF(MONTH($C393)=4,$C$3,IF(MONTH($C393)=5,$C$4,IF(MONTH($C393)=6,$C$5,IF(MONTH($C393)=7,$C$6,"ERROR")))),1,0)</f>
        <v>1</v>
      </c>
      <c r="F393" s="26">
        <f>VLOOKUP($C393,COS!$B$8:$H$991,7,FALSE)</f>
        <v>50.719039916992188</v>
      </c>
      <c r="G393" s="24">
        <f>IF(F393&lt;=IF(MONTH($C393)=4,$F$3,IF(MONTH($C393)=5,$F$4,IF(MONTH($C393)=6,$F$5,IF(MONTH($C393)=7,$F$6,"ERROR")))),1,0)</f>
        <v>1</v>
      </c>
      <c r="H393" s="26">
        <f>IF(J393=1,D393-$C$4,0)</f>
        <v>700.63427734375</v>
      </c>
      <c r="I393" s="26">
        <f t="shared" si="558"/>
        <v>43.080322507747937</v>
      </c>
      <c r="J393" s="24">
        <f t="shared" si="623"/>
        <v>1</v>
      </c>
      <c r="K393" s="26">
        <f>VLOOKUP($C393,COS!$B$8:$H$991,2,FALSE)</f>
        <v>3609.5830078125</v>
      </c>
      <c r="L393" s="24">
        <f t="shared" si="537"/>
        <v>1</v>
      </c>
      <c r="M393" s="24">
        <f t="shared" si="538"/>
        <v>1</v>
      </c>
      <c r="N393" s="26">
        <f>VLOOKUP($C393,COS!$B$8:$H$991,5,FALSE)</f>
        <v>332.74734497070313</v>
      </c>
      <c r="O393" s="26">
        <f t="shared" si="626"/>
        <v>20.459836748611828</v>
      </c>
      <c r="P393" s="26">
        <f>VLOOKUP($C393,COS!$B$8:$H$991,6,FALSE)</f>
        <v>2309.841796875</v>
      </c>
      <c r="Q393" s="26">
        <f t="shared" si="627"/>
        <v>142.02663610537189</v>
      </c>
      <c r="R393" s="26">
        <f>MIN(IF(MONTH($C393)=4,$S$3,IF(MONTH($C393)=5,$S$4,IF(MONTH($C393)=6,$S$5,IF(MONTH($C393)=7,$S$6,"ERROR")))),MAX(VLOOKUP($C393,COS!$B$8:$K$991,10,FALSE)-IF(MONTH($C393)=4,$Y$3,IF(MONTH($C393)=5,$Y$4,IF(MONTH($C393)=6,$Y$5,IF(MONTH($C393)=7,$Y$6,"ERROR")))),0),MAX(VLOOKUP($C393,COS!$B$8:$K$991,9,FALSE)-IF(MONTH($C393)=4,$V$3,IF(MONTH($C393)=5,$V$4,IF(MONTH($C393)=6,$V$5,IF(MONTH($C393)=7,$V$6,"ERROR"))))-VLOOKUP($C393,COS!$B$8:$K$991,6,FALSE)/2,0))</f>
        <v>750</v>
      </c>
      <c r="S393" s="26">
        <f t="shared" si="628"/>
        <v>46.115702479338843</v>
      </c>
      <c r="T393" s="26">
        <f t="shared" si="629"/>
        <v>127.35893890633071</v>
      </c>
      <c r="U393" s="26" t="str">
        <f>IF(VLOOKUP($C393,COS!$B$8:$I$991,8,FALSE)=1,"UWFE","IBU")</f>
        <v>UWFE</v>
      </c>
      <c r="V393" s="26">
        <f t="shared" ref="V393" si="631">MIN(IF(IF($AA$3=2,AND(E393=1,G393=1,L393=1,L397=1,M393=1,U393="IBU"),AND(E393=1,G393=1,L393=1,L397=1,M393=1)),T393,0),I393)</f>
        <v>0</v>
      </c>
      <c r="W393" s="26"/>
      <c r="X393" s="26"/>
      <c r="Y393" s="26"/>
      <c r="Z393" s="26"/>
      <c r="AA393" s="26"/>
      <c r="AB393" s="33"/>
    </row>
    <row r="394" spans="1:28" x14ac:dyDescent="0.3">
      <c r="A394" s="32">
        <f>VLOOKUP(YEAR(C394),Flags!$A$13:$B$95,2,FALSE)</f>
        <v>4</v>
      </c>
      <c r="B394" s="24">
        <f t="shared" si="535"/>
        <v>1964</v>
      </c>
      <c r="C394" s="25">
        <v>23558</v>
      </c>
      <c r="D394" s="26">
        <f>VLOOKUP($C394,COS!$B$8:$H$991,3,FALSE)</f>
        <v>8947.9150390625</v>
      </c>
      <c r="E394" s="24">
        <f>IF(D394&gt;=IF(MONTH($C394)=4,$C$3,IF(MONTH($C394)=5,$C$4,IF(MONTH($C394)=6,$C$5,IF(MONTH($C394)=7,$C$6,"ERROR")))),1,0)</f>
        <v>0</v>
      </c>
      <c r="F394" s="26">
        <f>VLOOKUP($C394,COS!$B$8:$H$991,7,FALSE)</f>
        <v>51.899105072021484</v>
      </c>
      <c r="G394" s="24">
        <f>IF(F394&lt;=IF(MONTH($C394)=4,$F$3,IF(MONTH($C394)=5,$F$4,IF(MONTH($C394)=6,$F$5,IF(MONTH($C394)=7,$F$6,"ERROR")))),1,0)</f>
        <v>1</v>
      </c>
      <c r="H394" s="26">
        <f>IF(J394=1,D394-$C$5,0)</f>
        <v>0</v>
      </c>
      <c r="I394" s="26">
        <f t="shared" si="558"/>
        <v>0</v>
      </c>
      <c r="J394" s="24">
        <f t="shared" si="623"/>
        <v>0</v>
      </c>
      <c r="K394" s="26">
        <f>VLOOKUP($C394,COS!$B$8:$H$991,2,FALSE)</f>
        <v>3402.844970703125</v>
      </c>
      <c r="L394" s="24">
        <f t="shared" si="537"/>
        <v>1</v>
      </c>
      <c r="M394" s="24">
        <f t="shared" si="538"/>
        <v>1</v>
      </c>
      <c r="N394" s="26">
        <f>VLOOKUP($C394,COS!$B$8:$H$991,5,FALSE)</f>
        <v>359.117431640625</v>
      </c>
      <c r="O394" s="26">
        <f t="shared" si="626"/>
        <v>21.368971138946282</v>
      </c>
      <c r="P394" s="26">
        <f>VLOOKUP($C394,COS!$B$8:$H$991,6,FALSE)</f>
        <v>2607.746826171875</v>
      </c>
      <c r="Q394" s="26">
        <f t="shared" si="627"/>
        <v>155.17171197055785</v>
      </c>
      <c r="R394" s="26">
        <f>MIN(IF(MONTH($C394)=4,$S$3,IF(MONTH($C394)=5,$S$4,IF(MONTH($C394)=6,$S$5,IF(MONTH($C394)=7,$S$6,"ERROR")))),MAX(VLOOKUP($C394,COS!$B$8:$K$991,10,FALSE)-IF(MONTH($C394)=4,$Y$3,IF(MONTH($C394)=5,$Y$4,IF(MONTH($C394)=6,$Y$5,IF(MONTH($C394)=7,$Y$6,"ERROR")))),0),MAX(VLOOKUP($C394,COS!$B$8:$K$991,9,FALSE)-IF(MONTH($C394)=4,$V$3,IF(MONTH($C394)=5,$V$4,IF(MONTH($C394)=6,$V$5,IF(MONTH($C394)=7,$V$6,"ERROR"))))-VLOOKUP($C394,COS!$B$8:$K$991,6,FALSE)/2,0))</f>
        <v>750</v>
      </c>
      <c r="S394" s="26">
        <f t="shared" si="628"/>
        <v>44.628099173553714</v>
      </c>
      <c r="T394" s="26">
        <f t="shared" si="629"/>
        <v>132.89844072830579</v>
      </c>
      <c r="U394" s="26" t="str">
        <f>IF(VLOOKUP($C394,COS!$B$8:$I$991,8,FALSE)=1,"UWFE","IBU")</f>
        <v>IBU</v>
      </c>
      <c r="V394" s="26">
        <f t="shared" ref="V394" si="632">MIN(IF(IF($AA$3=2,AND(E394=1,G394=1,L394=1,L397=1,M394=1,U394="IBU"),AND(E394=1,G394=1,L394=1,L397=1,M394=1)),T394,0),I394)</f>
        <v>0</v>
      </c>
      <c r="W394" s="26"/>
      <c r="X394" s="26"/>
      <c r="Y394" s="26"/>
      <c r="Z394" s="26"/>
      <c r="AA394" s="26"/>
      <c r="AB394" s="33"/>
    </row>
    <row r="395" spans="1:28" x14ac:dyDescent="0.3">
      <c r="A395" s="32">
        <f>VLOOKUP(YEAR(C395),Flags!$A$13:$B$95,2,FALSE)</f>
        <v>4</v>
      </c>
      <c r="B395" s="24">
        <f t="shared" si="535"/>
        <v>1964</v>
      </c>
      <c r="C395" s="25">
        <v>23589</v>
      </c>
      <c r="D395" s="26">
        <f>VLOOKUP($C395,COS!$B$8:$H$991,3,FALSE)</f>
        <v>14511.1044921875</v>
      </c>
      <c r="E395" s="24">
        <f>IF(D395&gt;=IF(MONTH($C395)=4,$C$3,IF(MONTH($C395)=5,$C$4,IF(MONTH($C395)=6,$C$5,IF(MONTH($C395)=7,$C$6,"ERROR")))),1,0)</f>
        <v>1</v>
      </c>
      <c r="F395" s="26">
        <f>VLOOKUP($C395,COS!$B$8:$H$991,7,FALSE)</f>
        <v>52.263500213623047</v>
      </c>
      <c r="G395" s="24">
        <f>IF(F395&lt;=IF(MONTH($C395)=4,$F$3,IF(MONTH($C395)=5,$F$4,IF(MONTH($C395)=6,$F$5,IF(MONTH($C395)=7,$F$6,"ERROR")))),1,0)</f>
        <v>1</v>
      </c>
      <c r="H395" s="26">
        <f>IF(J395=1,D395-$C$6,0)</f>
        <v>2511.1044921875</v>
      </c>
      <c r="I395" s="26">
        <f t="shared" si="558"/>
        <v>154.401796875</v>
      </c>
      <c r="J395" s="24">
        <f t="shared" si="623"/>
        <v>1</v>
      </c>
      <c r="K395" s="26">
        <f>VLOOKUP($C395,COS!$B$8:$H$991,2,FALSE)</f>
        <v>2786.120361328125</v>
      </c>
      <c r="L395" s="24">
        <f t="shared" si="537"/>
        <v>1</v>
      </c>
      <c r="M395" s="24">
        <f t="shared" si="538"/>
        <v>1</v>
      </c>
      <c r="N395" s="26">
        <f>VLOOKUP($C395,COS!$B$8:$H$991,5,FALSE)</f>
        <v>422.46829223632813</v>
      </c>
      <c r="O395" s="26">
        <f t="shared" si="626"/>
        <v>25.976562762299842</v>
      </c>
      <c r="P395" s="26">
        <f>VLOOKUP($C395,COS!$B$8:$H$991,6,FALSE)</f>
        <v>2533.61962890625</v>
      </c>
      <c r="Q395" s="26">
        <f t="shared" si="627"/>
        <v>155.78619866993802</v>
      </c>
      <c r="R395" s="26">
        <f>MIN(IF(MONTH($C395)=4,$S$3,IF(MONTH($C395)=5,$S$4,IF(MONTH($C395)=6,$S$5,IF(MONTH($C395)=7,$S$6,"ERROR")))),MAX(VLOOKUP($C395,COS!$B$8:$K$991,10,FALSE)-IF(MONTH($C395)=4,$Y$3,IF(MONTH($C395)=5,$Y$4,IF(MONTH($C395)=6,$Y$5,IF(MONTH($C395)=7,$Y$6,"ERROR")))),0),MAX(VLOOKUP($C395,COS!$B$8:$K$991,9,FALSE)-IF(MONTH($C395)=4,$V$3,IF(MONTH($C395)=5,$V$4,IF(MONTH($C395)=6,$V$5,IF(MONTH($C395)=7,$V$6,"ERROR"))))-VLOOKUP($C395,COS!$B$8:$K$991,6,FALSE)/2,0))</f>
        <v>750</v>
      </c>
      <c r="S395" s="26">
        <f t="shared" si="628"/>
        <v>46.115702479338843</v>
      </c>
      <c r="T395" s="26">
        <f t="shared" si="629"/>
        <v>136.99708319545778</v>
      </c>
      <c r="U395" s="26" t="str">
        <f>IF(VLOOKUP($C395,COS!$B$8:$I$991,8,FALSE)=1,"UWFE","IBU")</f>
        <v>IBU</v>
      </c>
      <c r="V395" s="26">
        <f t="shared" ref="V395" si="633">MIN(IF(IF($AA$3=2,AND(E395=1,G395=1,L395=1,L397=1,M395=1,U395="IBU"),AND(E395=1,G395=1,L395=1,L397=1,M395=1)),T395,0),I395)</f>
        <v>136.99708319545778</v>
      </c>
      <c r="W395" s="26"/>
      <c r="X395" s="26"/>
      <c r="Y395" s="26"/>
      <c r="Z395" s="26"/>
      <c r="AA395" s="26"/>
      <c r="AB395" s="33"/>
    </row>
    <row r="396" spans="1:28" x14ac:dyDescent="0.3">
      <c r="A396" s="32">
        <f>VLOOKUP(YEAR(C396),Flags!$A$13:$B$95,2,FALSE)</f>
        <v>4</v>
      </c>
      <c r="B396" s="24">
        <f t="shared" si="535"/>
        <v>1964</v>
      </c>
      <c r="C396" s="25">
        <v>23620</v>
      </c>
      <c r="D396" s="26"/>
      <c r="E396" s="24"/>
      <c r="F396" s="26"/>
      <c r="G396" s="24"/>
      <c r="H396" s="24"/>
      <c r="I396" s="26"/>
      <c r="J396" s="24"/>
      <c r="K396" s="26"/>
      <c r="L396" s="24"/>
      <c r="M396" s="24"/>
      <c r="N396" s="26"/>
      <c r="O396" s="26"/>
      <c r="P396" s="26"/>
      <c r="Q396" s="26"/>
      <c r="R396" s="26"/>
      <c r="S396" s="26"/>
      <c r="T396" s="26"/>
      <c r="U396" s="26"/>
      <c r="V396" s="26"/>
      <c r="W396" s="26">
        <f>MAX($C$7-VLOOKUP($C396,COS!$B$8:$H$991,3,FALSE),0)</f>
        <v>91194.7255859375</v>
      </c>
      <c r="X396" s="26">
        <f t="shared" si="562"/>
        <v>5607.3451104080577</v>
      </c>
      <c r="Y396" s="26">
        <f>VLOOKUP($C396,COS!$B$8:$H$991,4,FALSE)</f>
        <v>771.8970947265625</v>
      </c>
      <c r="Z396" s="26">
        <f t="shared" si="563"/>
        <v>47.462102353434915</v>
      </c>
      <c r="AA396" s="26">
        <f t="shared" ref="AA396:AA400" si="634">MIN(W396,Y396)</f>
        <v>771.8970947265625</v>
      </c>
      <c r="AB396" s="33">
        <f t="shared" ref="AB396" si="635">AA396*DAY($C396)*86400/43560/1000*IF(MONTH($C396)=8,$P$3,IF(MONTH($C396)=9,$P$4,IF(MONTH($C396)=10,$P$5,IF(MONTH($C396)=11,$P$6,IF(MONTH($C396)=12,$P$7,NA())))))</f>
        <v>47.462102353434915</v>
      </c>
    </row>
    <row r="397" spans="1:28" x14ac:dyDescent="0.3">
      <c r="A397" s="32">
        <f>VLOOKUP(YEAR(C397),Flags!$A$13:$B$95,2,FALSE)</f>
        <v>4</v>
      </c>
      <c r="B397" s="24">
        <f t="shared" si="535"/>
        <v>1964</v>
      </c>
      <c r="C397" s="25">
        <v>23650</v>
      </c>
      <c r="D397" s="26"/>
      <c r="E397" s="24"/>
      <c r="F397" s="26"/>
      <c r="G397" s="24"/>
      <c r="H397" s="24"/>
      <c r="I397" s="26"/>
      <c r="J397" s="24"/>
      <c r="K397" s="26">
        <f>VLOOKUP($C397,COS!$B$8:$H$991,2,FALSE)</f>
        <v>2475.959716796875</v>
      </c>
      <c r="L397" s="24">
        <f t="shared" ref="L397" si="636">IF(AND(K397&gt;$I$7,K397&lt;$I$8),1,0)</f>
        <v>1</v>
      </c>
      <c r="M397" s="24"/>
      <c r="N397" s="26"/>
      <c r="O397" s="26"/>
      <c r="P397" s="26"/>
      <c r="Q397" s="26"/>
      <c r="R397" s="26"/>
      <c r="S397" s="26"/>
      <c r="T397" s="26"/>
      <c r="U397" s="26"/>
      <c r="V397" s="26"/>
      <c r="W397" s="26">
        <f>MAX($C$8-VLOOKUP($C397,COS!$B$8:$H$991,3,FALSE),0)</f>
        <v>95000.587890625</v>
      </c>
      <c r="X397" s="26">
        <f t="shared" si="562"/>
        <v>5652.9275439049579</v>
      </c>
      <c r="Y397" s="26">
        <f>VLOOKUP($C397,COS!$B$8:$H$991,4,FALSE)</f>
        <v>1010.355224609375</v>
      </c>
      <c r="Z397" s="26">
        <f t="shared" si="563"/>
        <v>60.120310885847111</v>
      </c>
      <c r="AA397" s="26">
        <f t="shared" si="634"/>
        <v>1010.355224609375</v>
      </c>
      <c r="AB397" s="33">
        <f t="shared" si="548"/>
        <v>60.120310885847111</v>
      </c>
    </row>
    <row r="398" spans="1:28" x14ac:dyDescent="0.3">
      <c r="A398" s="32">
        <f>VLOOKUP(YEAR(C398),Flags!$A$13:$B$95,2,FALSE)</f>
        <v>4</v>
      </c>
      <c r="B398" s="24">
        <f t="shared" si="535"/>
        <v>1964</v>
      </c>
      <c r="C398" s="25">
        <v>23681</v>
      </c>
      <c r="D398" s="26"/>
      <c r="E398" s="24"/>
      <c r="F398" s="26"/>
      <c r="G398" s="26"/>
      <c r="H398" s="26"/>
      <c r="I398" s="26"/>
      <c r="J398" s="26"/>
      <c r="K398" s="26"/>
      <c r="L398" s="24"/>
      <c r="M398" s="24"/>
      <c r="N398" s="26"/>
      <c r="O398" s="26"/>
      <c r="P398" s="26"/>
      <c r="Q398" s="26"/>
      <c r="R398" s="26"/>
      <c r="S398" s="26"/>
      <c r="T398" s="26"/>
      <c r="U398" s="26"/>
      <c r="V398" s="26"/>
      <c r="W398" s="26">
        <f>MAX($C$9-VLOOKUP($C398,COS!$B$8:$H$991,3,FALSE),0)</f>
        <v>94941.07861328125</v>
      </c>
      <c r="X398" s="26">
        <f t="shared" si="562"/>
        <v>5837.6993791967971</v>
      </c>
      <c r="Y398" s="26">
        <f>VLOOKUP($C398,COS!$B$8:$H$991,4,FALSE)</f>
        <v>1503.157470703125</v>
      </c>
      <c r="Z398" s="26">
        <f t="shared" si="563"/>
        <v>92.425550264721082</v>
      </c>
      <c r="AA398" s="26">
        <f t="shared" si="634"/>
        <v>1503.157470703125</v>
      </c>
      <c r="AB398" s="33">
        <f t="shared" si="548"/>
        <v>92.425550264721082</v>
      </c>
    </row>
    <row r="399" spans="1:28" x14ac:dyDescent="0.3">
      <c r="A399" s="32">
        <f>VLOOKUP(YEAR(C399),Flags!$A$13:$B$95,2,FALSE)</f>
        <v>4</v>
      </c>
      <c r="B399" s="24">
        <f t="shared" ref="B399:B462" si="637">YEAR(C399)</f>
        <v>1964</v>
      </c>
      <c r="C399" s="25">
        <v>23711</v>
      </c>
      <c r="D399" s="26"/>
      <c r="E399" s="24"/>
      <c r="F399" s="26"/>
      <c r="G399" s="26"/>
      <c r="H399" s="26"/>
      <c r="I399" s="26"/>
      <c r="J399" s="26"/>
      <c r="K399" s="26"/>
      <c r="L399" s="24"/>
      <c r="M399" s="24"/>
      <c r="N399" s="26"/>
      <c r="O399" s="26"/>
      <c r="P399" s="26"/>
      <c r="Q399" s="26"/>
      <c r="R399" s="26"/>
      <c r="S399" s="26"/>
      <c r="T399" s="26"/>
      <c r="U399" s="26"/>
      <c r="V399" s="26"/>
      <c r="W399" s="26">
        <f>MAX($C$10-VLOOKUP($C399,COS!$B$8:$H$991,3,FALSE),0)</f>
        <v>96749</v>
      </c>
      <c r="X399" s="26">
        <f t="shared" si="562"/>
        <v>5756.965289256198</v>
      </c>
      <c r="Y399" s="26">
        <f>VLOOKUP($C399,COS!$B$8:$H$991,4,FALSE)</f>
        <v>1991.6624755859375</v>
      </c>
      <c r="Z399" s="26">
        <f t="shared" si="563"/>
        <v>118.51214730759297</v>
      </c>
      <c r="AA399" s="26">
        <f t="shared" si="634"/>
        <v>1991.6624755859375</v>
      </c>
      <c r="AB399" s="33">
        <f t="shared" si="548"/>
        <v>59.256073653796484</v>
      </c>
    </row>
    <row r="400" spans="1:28" x14ac:dyDescent="0.3">
      <c r="A400" s="34">
        <f>VLOOKUP(YEAR(C400),Flags!$A$13:$B$95,2,FALSE)</f>
        <v>4</v>
      </c>
      <c r="B400" s="35">
        <f t="shared" si="637"/>
        <v>1964</v>
      </c>
      <c r="C400" s="36">
        <v>23742</v>
      </c>
      <c r="D400" s="37"/>
      <c r="E400" s="35"/>
      <c r="F400" s="37"/>
      <c r="G400" s="37"/>
      <c r="H400" s="37"/>
      <c r="I400" s="37"/>
      <c r="J400" s="37"/>
      <c r="K400" s="37"/>
      <c r="L400" s="35"/>
      <c r="M400" s="35"/>
      <c r="N400" s="37"/>
      <c r="O400" s="37"/>
      <c r="P400" s="37"/>
      <c r="Q400" s="37"/>
      <c r="R400" s="37"/>
      <c r="S400" s="37"/>
      <c r="T400" s="37"/>
      <c r="U400" s="37"/>
      <c r="V400" s="37"/>
      <c r="W400" s="37">
        <f>MAX($C$11-VLOOKUP($C400,COS!$B$8:$H$991,3,FALSE),0)</f>
        <v>0</v>
      </c>
      <c r="X400" s="37">
        <f t="shared" si="562"/>
        <v>0</v>
      </c>
      <c r="Y400" s="37">
        <f>VLOOKUP($C400,COS!$B$8:$H$991,4,FALSE)</f>
        <v>0</v>
      </c>
      <c r="Z400" s="37">
        <f t="shared" si="563"/>
        <v>0</v>
      </c>
      <c r="AA400" s="37">
        <f t="shared" si="634"/>
        <v>0</v>
      </c>
      <c r="AB400" s="38">
        <f t="shared" si="548"/>
        <v>0</v>
      </c>
    </row>
    <row r="401" spans="1:28" x14ac:dyDescent="0.3">
      <c r="A401" s="27">
        <f>VLOOKUP(YEAR(C401),Flags!$A$13:$B$95,2,FALSE)</f>
        <v>1</v>
      </c>
      <c r="B401" s="28">
        <f t="shared" si="637"/>
        <v>1965</v>
      </c>
      <c r="C401" s="29">
        <v>23862</v>
      </c>
      <c r="D401" s="30">
        <f>VLOOKUP($C401,COS!$B$8:$H$991,3,FALSE)</f>
        <v>6748.35888671875</v>
      </c>
      <c r="E401" s="28">
        <f>IF(D401&gt;=IF(MONTH($C401)=4,$C$3,IF(MONTH($C401)=5,$C$4,IF(MONTH($C401)=6,$C$5,IF(MONTH($C401)=7,$C$6,"ERROR")))),1,0)</f>
        <v>1</v>
      </c>
      <c r="F401" s="30">
        <f>VLOOKUP($C401,COS!$B$8:$H$991,7,FALSE)</f>
        <v>46.947509765625</v>
      </c>
      <c r="G401" s="28">
        <f>IF(F401&lt;=IF(MONTH($C401)=4,$F$3,IF(MONTH($C401)=5,$F$4,IF(MONTH($C401)=6,$F$5,IF(MONTH($C401)=7,$F$6,"ERROR")))),1,0)</f>
        <v>1</v>
      </c>
      <c r="H401" s="30">
        <f>IF(J401=1,D401-$C$3,0)</f>
        <v>748.35888671875</v>
      </c>
      <c r="I401" s="30">
        <f t="shared" si="558"/>
        <v>44.530446151859508</v>
      </c>
      <c r="J401" s="28">
        <f t="shared" ref="J401:J404" si="638">IF(AND(E401=1,G401=1),1,0)</f>
        <v>1</v>
      </c>
      <c r="K401" s="30">
        <f>VLOOKUP($C401,COS!$B$8:$H$991,2,FALSE)</f>
        <v>4500</v>
      </c>
      <c r="L401" s="28">
        <f t="shared" ref="L401:L458" si="639">IF(K401&lt;=IF(MONTH($C401)=4,$I$3,IF(MONTH($C401)=5,$I$4,IF(MONTH($C401)=6,$I$5,IF(MONTH($C401)=7,$I$6,"ERROR")))),1,0)</f>
        <v>1</v>
      </c>
      <c r="M401" s="28">
        <f t="shared" ref="M401:M458" si="640">VLOOKUP($A401,$L$3:$M$7,2,FALSE)</f>
        <v>0</v>
      </c>
      <c r="N401" s="30">
        <f>VLOOKUP($C401,COS!$B$8:$H$991,5,FALSE)</f>
        <v>15.99506664276123</v>
      </c>
      <c r="O401" s="30">
        <f t="shared" ref="O401:O404" si="641">N401*DAY($C401)*86400/43560/1000</f>
        <v>0.95177256056099879</v>
      </c>
      <c r="P401" s="30">
        <f>VLOOKUP($C401,COS!$B$8:$H$991,6,FALSE)</f>
        <v>409.699951171875</v>
      </c>
      <c r="Q401" s="30">
        <f t="shared" ref="Q401:Q404" si="642">P401*DAY($C401)*86400/43560/1000</f>
        <v>24.378840069731407</v>
      </c>
      <c r="R401" s="30">
        <f>MIN(IF(MONTH($C401)=4,$S$3,IF(MONTH($C401)=5,$S$4,IF(MONTH($C401)=6,$S$5,IF(MONTH($C401)=7,$S$6,"ERROR")))),MAX(VLOOKUP($C401,COS!$B$8:$K$991,10,FALSE)-IF(MONTH($C401)=4,$Y$3,IF(MONTH($C401)=5,$Y$4,IF(MONTH($C401)=6,$Y$5,IF(MONTH($C401)=7,$Y$6,"ERROR")))),0),MAX(VLOOKUP($C401,COS!$B$8:$K$991,9,FALSE)-IF(MONTH($C401)=4,$V$3,IF(MONTH($C401)=5,$V$4,IF(MONTH($C401)=6,$V$5,IF(MONTH($C401)=7,$V$6,"ERROR"))))-VLOOKUP($C401,COS!$B$8:$K$991,6,FALSE)/2,0))</f>
        <v>750</v>
      </c>
      <c r="S401" s="30">
        <f t="shared" ref="S401:S404" si="643">R401*DAY($C401)*86400/43560/1000</f>
        <v>44.628099173553714</v>
      </c>
      <c r="T401" s="30">
        <f t="shared" ref="T401:T404" si="644">(O401+Q401)/2+S401</f>
        <v>57.293405488699918</v>
      </c>
      <c r="U401" s="30" t="str">
        <f>IF(VLOOKUP($C401,COS!$B$8:$I$991,8,FALSE)=1,"UWFE","IBU")</f>
        <v>UWFE</v>
      </c>
      <c r="V401" s="30">
        <f t="shared" ref="V401" si="645">MIN(IF(IF($AA$3=2,AND(E401=1,G401=1,L401=1,L406=1,M401=1,U401="IBU"),AND(E401=1,G401=1,L401=1,L406=1,M401=1)),T401,0),I401)</f>
        <v>0</v>
      </c>
      <c r="W401" s="30"/>
      <c r="X401" s="30"/>
      <c r="Y401" s="30"/>
      <c r="Z401" s="30"/>
      <c r="AA401" s="30"/>
      <c r="AB401" s="31"/>
    </row>
    <row r="402" spans="1:28" x14ac:dyDescent="0.3">
      <c r="A402" s="32">
        <f>VLOOKUP(YEAR(C402),Flags!$A$13:$B$95,2,FALSE)</f>
        <v>1</v>
      </c>
      <c r="B402" s="24">
        <f t="shared" si="637"/>
        <v>1965</v>
      </c>
      <c r="C402" s="25">
        <v>23893</v>
      </c>
      <c r="D402" s="26">
        <f>VLOOKUP($C402,COS!$B$8:$H$991,3,FALSE)</f>
        <v>6685.54638671875</v>
      </c>
      <c r="E402" s="24">
        <f>IF(D402&gt;=IF(MONTH($C402)=4,$C$3,IF(MONTH($C402)=5,$C$4,IF(MONTH($C402)=6,$C$5,IF(MONTH($C402)=7,$C$6,"ERROR")))),1,0)</f>
        <v>1</v>
      </c>
      <c r="F402" s="26">
        <f>VLOOKUP($C402,COS!$B$8:$H$991,7,FALSE)</f>
        <v>49.095413208007813</v>
      </c>
      <c r="G402" s="24">
        <f>IF(F402&lt;=IF(MONTH($C402)=4,$F$3,IF(MONTH($C402)=5,$F$4,IF(MONTH($C402)=6,$F$5,IF(MONTH($C402)=7,$F$6,"ERROR")))),1,0)</f>
        <v>1</v>
      </c>
      <c r="H402" s="26">
        <f>IF(J402=1,D402-$C$4,0)</f>
        <v>685.54638671875</v>
      </c>
      <c r="I402" s="26">
        <f t="shared" si="558"/>
        <v>42.152604274276861</v>
      </c>
      <c r="J402" s="24">
        <f t="shared" si="638"/>
        <v>1</v>
      </c>
      <c r="K402" s="26">
        <f>VLOOKUP($C402,COS!$B$8:$H$991,2,FALSE)</f>
        <v>4530.5419921875</v>
      </c>
      <c r="L402" s="24">
        <f t="shared" si="639"/>
        <v>1</v>
      </c>
      <c r="M402" s="24">
        <f t="shared" si="640"/>
        <v>0</v>
      </c>
      <c r="N402" s="26">
        <f>VLOOKUP($C402,COS!$B$8:$H$991,5,FALSE)</f>
        <v>633.97503662109375</v>
      </c>
      <c r="O402" s="26">
        <f t="shared" si="641"/>
        <v>38.981605557528411</v>
      </c>
      <c r="P402" s="26">
        <f>VLOOKUP($C402,COS!$B$8:$H$991,6,FALSE)</f>
        <v>2257.9951171875</v>
      </c>
      <c r="Q402" s="26">
        <f t="shared" si="642"/>
        <v>138.83870803202478</v>
      </c>
      <c r="R402" s="26">
        <f>MIN(IF(MONTH($C402)=4,$S$3,IF(MONTH($C402)=5,$S$4,IF(MONTH($C402)=6,$S$5,IF(MONTH($C402)=7,$S$6,"ERROR")))),MAX(VLOOKUP($C402,COS!$B$8:$K$991,10,FALSE)-IF(MONTH($C402)=4,$Y$3,IF(MONTH($C402)=5,$Y$4,IF(MONTH($C402)=6,$Y$5,IF(MONTH($C402)=7,$Y$6,"ERROR")))),0),MAX(VLOOKUP($C402,COS!$B$8:$K$991,9,FALSE)-IF(MONTH($C402)=4,$V$3,IF(MONTH($C402)=5,$V$4,IF(MONTH($C402)=6,$V$5,IF(MONTH($C402)=7,$V$6,"ERROR"))))-VLOOKUP($C402,COS!$B$8:$K$991,6,FALSE)/2,0))</f>
        <v>750</v>
      </c>
      <c r="S402" s="26">
        <f t="shared" si="643"/>
        <v>46.115702479338843</v>
      </c>
      <c r="T402" s="26">
        <f t="shared" si="644"/>
        <v>135.02585927411545</v>
      </c>
      <c r="U402" s="26" t="str">
        <f>IF(VLOOKUP($C402,COS!$B$8:$I$991,8,FALSE)=1,"UWFE","IBU")</f>
        <v>UWFE</v>
      </c>
      <c r="V402" s="26">
        <f t="shared" ref="V402" si="646">MIN(IF(IF($AA$3=2,AND(E402=1,G402=1,L402=1,L406=1,M402=1,U402="IBU"),AND(E402=1,G402=1,L402=1,L406=1,M402=1)),T402,0),I402)</f>
        <v>0</v>
      </c>
      <c r="W402" s="26"/>
      <c r="X402" s="26"/>
      <c r="Y402" s="26"/>
      <c r="Z402" s="26"/>
      <c r="AA402" s="26"/>
      <c r="AB402" s="33"/>
    </row>
    <row r="403" spans="1:28" x14ac:dyDescent="0.3">
      <c r="A403" s="32">
        <f>VLOOKUP(YEAR(C403),Flags!$A$13:$B$95,2,FALSE)</f>
        <v>1</v>
      </c>
      <c r="B403" s="24">
        <f t="shared" si="637"/>
        <v>1965</v>
      </c>
      <c r="C403" s="25">
        <v>23923</v>
      </c>
      <c r="D403" s="26">
        <f>VLOOKUP($C403,COS!$B$8:$H$991,3,FALSE)</f>
        <v>8087.30908203125</v>
      </c>
      <c r="E403" s="24">
        <f>IF(D403&gt;=IF(MONTH($C403)=4,$C$3,IF(MONTH($C403)=5,$C$4,IF(MONTH($C403)=6,$C$5,IF(MONTH($C403)=7,$C$6,"ERROR")))),1,0)</f>
        <v>0</v>
      </c>
      <c r="F403" s="26">
        <f>VLOOKUP($C403,COS!$B$8:$H$991,7,FALSE)</f>
        <v>49.536151885986328</v>
      </c>
      <c r="G403" s="24">
        <f>IF(F403&lt;=IF(MONTH($C403)=4,$F$3,IF(MONTH($C403)=5,$F$4,IF(MONTH($C403)=6,$F$5,IF(MONTH($C403)=7,$F$6,"ERROR")))),1,0)</f>
        <v>1</v>
      </c>
      <c r="H403" s="26">
        <f>IF(J403=1,D403-$C$5,0)</f>
        <v>0</v>
      </c>
      <c r="I403" s="26">
        <f t="shared" si="558"/>
        <v>0</v>
      </c>
      <c r="J403" s="24">
        <f t="shared" si="638"/>
        <v>0</v>
      </c>
      <c r="K403" s="26">
        <f>VLOOKUP($C403,COS!$B$8:$H$991,2,FALSE)</f>
        <v>4283.341796875</v>
      </c>
      <c r="L403" s="24">
        <f t="shared" si="639"/>
        <v>1</v>
      </c>
      <c r="M403" s="24">
        <f t="shared" si="640"/>
        <v>0</v>
      </c>
      <c r="N403" s="26">
        <f>VLOOKUP($C403,COS!$B$8:$H$991,5,FALSE)</f>
        <v>838.3341064453125</v>
      </c>
      <c r="O403" s="26">
        <f t="shared" si="641"/>
        <v>49.884343524018597</v>
      </c>
      <c r="P403" s="26">
        <f>VLOOKUP($C403,COS!$B$8:$H$991,6,FALSE)</f>
        <v>2334.416015625</v>
      </c>
      <c r="Q403" s="26">
        <f t="shared" si="642"/>
        <v>138.90739927685951</v>
      </c>
      <c r="R403" s="26">
        <f>MIN(IF(MONTH($C403)=4,$S$3,IF(MONTH($C403)=5,$S$4,IF(MONTH($C403)=6,$S$5,IF(MONTH($C403)=7,$S$6,"ERROR")))),MAX(VLOOKUP($C403,COS!$B$8:$K$991,10,FALSE)-IF(MONTH($C403)=4,$Y$3,IF(MONTH($C403)=5,$Y$4,IF(MONTH($C403)=6,$Y$5,IF(MONTH($C403)=7,$Y$6,"ERROR")))),0),MAX(VLOOKUP($C403,COS!$B$8:$K$991,9,FALSE)-IF(MONTH($C403)=4,$V$3,IF(MONTH($C403)=5,$V$4,IF(MONTH($C403)=6,$V$5,IF(MONTH($C403)=7,$V$6,"ERROR"))))-VLOOKUP($C403,COS!$B$8:$K$991,6,FALSE)/2,0))</f>
        <v>750</v>
      </c>
      <c r="S403" s="26">
        <f t="shared" si="643"/>
        <v>44.628099173553714</v>
      </c>
      <c r="T403" s="26">
        <f t="shared" si="644"/>
        <v>139.02397057399276</v>
      </c>
      <c r="U403" s="26" t="str">
        <f>IF(VLOOKUP($C403,COS!$B$8:$I$991,8,FALSE)=1,"UWFE","IBU")</f>
        <v>UWFE</v>
      </c>
      <c r="V403" s="26">
        <f t="shared" ref="V403" si="647">MIN(IF(IF($AA$3=2,AND(E403=1,G403=1,L403=1,L406=1,M403=1,U403="IBU"),AND(E403=1,G403=1,L403=1,L406=1,M403=1)),T403,0),I403)</f>
        <v>0</v>
      </c>
      <c r="W403" s="26"/>
      <c r="X403" s="26"/>
      <c r="Y403" s="26"/>
      <c r="Z403" s="26"/>
      <c r="AA403" s="26"/>
      <c r="AB403" s="33"/>
    </row>
    <row r="404" spans="1:28" x14ac:dyDescent="0.3">
      <c r="A404" s="32">
        <f>VLOOKUP(YEAR(C404),Flags!$A$13:$B$95,2,FALSE)</f>
        <v>1</v>
      </c>
      <c r="B404" s="24">
        <f t="shared" si="637"/>
        <v>1965</v>
      </c>
      <c r="C404" s="25">
        <v>23954</v>
      </c>
      <c r="D404" s="26">
        <f>VLOOKUP($C404,COS!$B$8:$H$991,3,FALSE)</f>
        <v>16000</v>
      </c>
      <c r="E404" s="24">
        <f>IF(D404&gt;=IF(MONTH($C404)=4,$C$3,IF(MONTH($C404)=5,$C$4,IF(MONTH($C404)=6,$C$5,IF(MONTH($C404)=7,$C$6,"ERROR")))),1,0)</f>
        <v>1</v>
      </c>
      <c r="F404" s="26">
        <f>VLOOKUP($C404,COS!$B$8:$H$991,7,FALSE)</f>
        <v>49.443107604980469</v>
      </c>
      <c r="G404" s="24">
        <f>IF(F404&lt;=IF(MONTH($C404)=4,$F$3,IF(MONTH($C404)=5,$F$4,IF(MONTH($C404)=6,$F$5,IF(MONTH($C404)=7,$F$6,"ERROR")))),1,0)</f>
        <v>1</v>
      </c>
      <c r="H404" s="26">
        <f>IF(J404=1,D404-$C$6,0)</f>
        <v>4000</v>
      </c>
      <c r="I404" s="26">
        <f t="shared" si="558"/>
        <v>245.95041322314049</v>
      </c>
      <c r="J404" s="24">
        <f t="shared" si="638"/>
        <v>1</v>
      </c>
      <c r="K404" s="26">
        <f>VLOOKUP($C404,COS!$B$8:$H$991,2,FALSE)</f>
        <v>3588.650146484375</v>
      </c>
      <c r="L404" s="24">
        <f t="shared" si="639"/>
        <v>1</v>
      </c>
      <c r="M404" s="24">
        <f t="shared" si="640"/>
        <v>0</v>
      </c>
      <c r="N404" s="26">
        <f>VLOOKUP($C404,COS!$B$8:$H$991,5,FALSE)</f>
        <v>922.08319091796875</v>
      </c>
      <c r="O404" s="26">
        <f t="shared" si="641"/>
        <v>56.696685458096589</v>
      </c>
      <c r="P404" s="26">
        <f>VLOOKUP($C404,COS!$B$8:$H$991,6,FALSE)</f>
        <v>2612.073486328125</v>
      </c>
      <c r="Q404" s="26">
        <f t="shared" si="642"/>
        <v>160.61013833290289</v>
      </c>
      <c r="R404" s="26">
        <f>MIN(IF(MONTH($C404)=4,$S$3,IF(MONTH($C404)=5,$S$4,IF(MONTH($C404)=6,$S$5,IF(MONTH($C404)=7,$S$6,"ERROR")))),MAX(VLOOKUP($C404,COS!$B$8:$K$991,10,FALSE)-IF(MONTH($C404)=4,$Y$3,IF(MONTH($C404)=5,$Y$4,IF(MONTH($C404)=6,$Y$5,IF(MONTH($C404)=7,$Y$6,"ERROR")))),0),MAX(VLOOKUP($C404,COS!$B$8:$K$991,9,FALSE)-IF(MONTH($C404)=4,$V$3,IF(MONTH($C404)=5,$V$4,IF(MONTH($C404)=6,$V$5,IF(MONTH($C404)=7,$V$6,"ERROR"))))-VLOOKUP($C404,COS!$B$8:$K$991,6,FALSE)/2,0))</f>
        <v>750</v>
      </c>
      <c r="S404" s="26">
        <f t="shared" si="643"/>
        <v>46.115702479338843</v>
      </c>
      <c r="T404" s="26">
        <f t="shared" si="644"/>
        <v>154.76911437483858</v>
      </c>
      <c r="U404" s="26" t="str">
        <f>IF(VLOOKUP($C404,COS!$B$8:$I$991,8,FALSE)=1,"UWFE","IBU")</f>
        <v>IBU</v>
      </c>
      <c r="V404" s="26">
        <f t="shared" ref="V404" si="648">MIN(IF(IF($AA$3=2,AND(E404=1,G404=1,L404=1,L406=1,M404=1,U404="IBU"),AND(E404=1,G404=1,L404=1,L406=1,M404=1)),T404,0),I404)</f>
        <v>0</v>
      </c>
      <c r="W404" s="26"/>
      <c r="X404" s="26"/>
      <c r="Y404" s="26"/>
      <c r="Z404" s="26"/>
      <c r="AA404" s="26"/>
      <c r="AB404" s="33"/>
    </row>
    <row r="405" spans="1:28" x14ac:dyDescent="0.3">
      <c r="A405" s="32">
        <f>VLOOKUP(YEAR(C405),Flags!$A$13:$B$95,2,FALSE)</f>
        <v>1</v>
      </c>
      <c r="B405" s="24">
        <f t="shared" si="637"/>
        <v>1965</v>
      </c>
      <c r="C405" s="25">
        <v>23985</v>
      </c>
      <c r="D405" s="26"/>
      <c r="E405" s="24"/>
      <c r="F405" s="26"/>
      <c r="G405" s="24"/>
      <c r="H405" s="24"/>
      <c r="I405" s="26"/>
      <c r="J405" s="24"/>
      <c r="K405" s="26"/>
      <c r="L405" s="24"/>
      <c r="M405" s="24"/>
      <c r="N405" s="26"/>
      <c r="O405" s="26"/>
      <c r="P405" s="26"/>
      <c r="Q405" s="26"/>
      <c r="R405" s="26"/>
      <c r="S405" s="26"/>
      <c r="T405" s="26"/>
      <c r="U405" s="26"/>
      <c r="V405" s="26"/>
      <c r="W405" s="26">
        <f>MAX($C$7-VLOOKUP($C405,COS!$B$8:$H$991,3,FALSE),0)</f>
        <v>91045.6005859375</v>
      </c>
      <c r="X405" s="26">
        <f t="shared" si="562"/>
        <v>5598.1757715650829</v>
      </c>
      <c r="Y405" s="26">
        <f>VLOOKUP($C405,COS!$B$8:$H$991,4,FALSE)</f>
        <v>0</v>
      </c>
      <c r="Z405" s="26">
        <f t="shared" si="563"/>
        <v>0</v>
      </c>
      <c r="AA405" s="26">
        <f t="shared" ref="AA405:AA409" si="649">MIN(W405,Y405)</f>
        <v>0</v>
      </c>
      <c r="AB405" s="33">
        <f t="shared" ref="AB405:AB463" si="650">AA405*DAY($C405)*86400/43560/1000*IF(MONTH($C405)=8,$P$3,IF(MONTH($C405)=9,$P$4,IF(MONTH($C405)=10,$P$5,IF(MONTH($C405)=11,$P$6,IF(MONTH($C405)=12,$P$7,NA())))))</f>
        <v>0</v>
      </c>
    </row>
    <row r="406" spans="1:28" x14ac:dyDescent="0.3">
      <c r="A406" s="32">
        <f>VLOOKUP(YEAR(C406),Flags!$A$13:$B$95,2,FALSE)</f>
        <v>1</v>
      </c>
      <c r="B406" s="24">
        <f t="shared" si="637"/>
        <v>1965</v>
      </c>
      <c r="C406" s="25">
        <v>24015</v>
      </c>
      <c r="D406" s="26"/>
      <c r="E406" s="24"/>
      <c r="F406" s="26"/>
      <c r="G406" s="24"/>
      <c r="H406" s="24"/>
      <c r="I406" s="26"/>
      <c r="J406" s="24"/>
      <c r="K406" s="26">
        <f>VLOOKUP($C406,COS!$B$8:$H$991,2,FALSE)</f>
        <v>2849.32861328125</v>
      </c>
      <c r="L406" s="24">
        <f t="shared" ref="L406" si="651">IF(AND(K406&gt;$I$7,K406&lt;$I$8),1,0)</f>
        <v>1</v>
      </c>
      <c r="M406" s="24"/>
      <c r="N406" s="26"/>
      <c r="O406" s="26"/>
      <c r="P406" s="26"/>
      <c r="Q406" s="26"/>
      <c r="R406" s="26"/>
      <c r="S406" s="26"/>
      <c r="T406" s="26"/>
      <c r="U406" s="26"/>
      <c r="V406" s="26"/>
      <c r="W406" s="26">
        <f>MAX($C$8-VLOOKUP($C406,COS!$B$8:$H$991,3,FALSE),0)</f>
        <v>86410.6357421875</v>
      </c>
      <c r="X406" s="26">
        <f t="shared" si="562"/>
        <v>5141.7898954028924</v>
      </c>
      <c r="Y406" s="26">
        <f>VLOOKUP($C406,COS!$B$8:$H$991,4,FALSE)</f>
        <v>0</v>
      </c>
      <c r="Z406" s="26">
        <f t="shared" si="563"/>
        <v>0</v>
      </c>
      <c r="AA406" s="26">
        <f t="shared" si="649"/>
        <v>0</v>
      </c>
      <c r="AB406" s="33">
        <f t="shared" si="650"/>
        <v>0</v>
      </c>
    </row>
    <row r="407" spans="1:28" x14ac:dyDescent="0.3">
      <c r="A407" s="32">
        <f>VLOOKUP(YEAR(C407),Flags!$A$13:$B$95,2,FALSE)</f>
        <v>1</v>
      </c>
      <c r="B407" s="24">
        <f t="shared" si="637"/>
        <v>1965</v>
      </c>
      <c r="C407" s="25">
        <v>24046</v>
      </c>
      <c r="D407" s="26"/>
      <c r="E407" s="24"/>
      <c r="F407" s="26"/>
      <c r="G407" s="26"/>
      <c r="H407" s="26"/>
      <c r="I407" s="26"/>
      <c r="J407" s="26"/>
      <c r="K407" s="26"/>
      <c r="L407" s="24"/>
      <c r="M407" s="24"/>
      <c r="N407" s="26"/>
      <c r="O407" s="26"/>
      <c r="P407" s="26"/>
      <c r="Q407" s="26"/>
      <c r="R407" s="26"/>
      <c r="S407" s="26"/>
      <c r="T407" s="26"/>
      <c r="U407" s="26"/>
      <c r="V407" s="26"/>
      <c r="W407" s="26">
        <f>MAX($C$9-VLOOKUP($C407,COS!$B$8:$H$991,3,FALSE),0)</f>
        <v>91501.974609375</v>
      </c>
      <c r="X407" s="26">
        <f t="shared" si="562"/>
        <v>5626.2371164772721</v>
      </c>
      <c r="Y407" s="26">
        <f>VLOOKUP($C407,COS!$B$8:$H$991,4,FALSE)</f>
        <v>958.20550537109375</v>
      </c>
      <c r="Z407" s="26">
        <f t="shared" si="563"/>
        <v>58.917759999677166</v>
      </c>
      <c r="AA407" s="26">
        <f t="shared" si="649"/>
        <v>958.20550537109375</v>
      </c>
      <c r="AB407" s="33">
        <f t="shared" si="650"/>
        <v>58.917759999677166</v>
      </c>
    </row>
    <row r="408" spans="1:28" x14ac:dyDescent="0.3">
      <c r="A408" s="32">
        <f>VLOOKUP(YEAR(C408),Flags!$A$13:$B$95,2,FALSE)</f>
        <v>1</v>
      </c>
      <c r="B408" s="24">
        <f t="shared" si="637"/>
        <v>1965</v>
      </c>
      <c r="C408" s="25">
        <v>24076</v>
      </c>
      <c r="D408" s="26"/>
      <c r="E408" s="24"/>
      <c r="F408" s="26"/>
      <c r="G408" s="26"/>
      <c r="H408" s="26"/>
      <c r="I408" s="26"/>
      <c r="J408" s="26"/>
      <c r="K408" s="26"/>
      <c r="L408" s="24"/>
      <c r="M408" s="24"/>
      <c r="N408" s="26"/>
      <c r="O408" s="26"/>
      <c r="P408" s="26"/>
      <c r="Q408" s="26"/>
      <c r="R408" s="26"/>
      <c r="S408" s="26"/>
      <c r="T408" s="26"/>
      <c r="U408" s="26"/>
      <c r="V408" s="26"/>
      <c r="W408" s="26">
        <f>MAX($C$10-VLOOKUP($C408,COS!$B$8:$H$991,3,FALSE),0)</f>
        <v>92705.76025390625</v>
      </c>
      <c r="X408" s="26">
        <f t="shared" si="562"/>
        <v>5516.3758167613632</v>
      </c>
      <c r="Y408" s="26">
        <f>VLOOKUP($C408,COS!$B$8:$H$991,4,FALSE)</f>
        <v>425.12249755859375</v>
      </c>
      <c r="Z408" s="26">
        <f t="shared" si="563"/>
        <v>25.296545309271693</v>
      </c>
      <c r="AA408" s="26">
        <f t="shared" si="649"/>
        <v>425.12249755859375</v>
      </c>
      <c r="AB408" s="33">
        <f t="shared" si="650"/>
        <v>12.648272654635846</v>
      </c>
    </row>
    <row r="409" spans="1:28" x14ac:dyDescent="0.3">
      <c r="A409" s="34">
        <f>VLOOKUP(YEAR(C409),Flags!$A$13:$B$95,2,FALSE)</f>
        <v>1</v>
      </c>
      <c r="B409" s="35">
        <f t="shared" si="637"/>
        <v>1965</v>
      </c>
      <c r="C409" s="36">
        <v>24107</v>
      </c>
      <c r="D409" s="37"/>
      <c r="E409" s="35"/>
      <c r="F409" s="37"/>
      <c r="G409" s="37"/>
      <c r="H409" s="37"/>
      <c r="I409" s="37"/>
      <c r="J409" s="37"/>
      <c r="K409" s="37"/>
      <c r="L409" s="35"/>
      <c r="M409" s="35"/>
      <c r="N409" s="37"/>
      <c r="O409" s="37"/>
      <c r="P409" s="37"/>
      <c r="Q409" s="37"/>
      <c r="R409" s="37"/>
      <c r="S409" s="37"/>
      <c r="T409" s="37"/>
      <c r="U409" s="37"/>
      <c r="V409" s="37"/>
      <c r="W409" s="37">
        <f>MAX($C$11-VLOOKUP($C409,COS!$B$8:$H$991,3,FALSE),0)</f>
        <v>0</v>
      </c>
      <c r="X409" s="37">
        <f t="shared" si="562"/>
        <v>0</v>
      </c>
      <c r="Y409" s="37">
        <f>VLOOKUP($C409,COS!$B$8:$H$991,4,FALSE)</f>
        <v>0</v>
      </c>
      <c r="Z409" s="37">
        <f t="shared" si="563"/>
        <v>0</v>
      </c>
      <c r="AA409" s="37">
        <f t="shared" si="649"/>
        <v>0</v>
      </c>
      <c r="AB409" s="38">
        <f t="shared" si="650"/>
        <v>0</v>
      </c>
    </row>
    <row r="410" spans="1:28" x14ac:dyDescent="0.3">
      <c r="A410" s="27">
        <f>VLOOKUP(YEAR(C410),Flags!$A$13:$B$95,2,FALSE)</f>
        <v>3</v>
      </c>
      <c r="B410" s="28">
        <f t="shared" si="637"/>
        <v>1966</v>
      </c>
      <c r="C410" s="29">
        <v>24227</v>
      </c>
      <c r="D410" s="30">
        <f>VLOOKUP($C410,COS!$B$8:$H$991,3,FALSE)</f>
        <v>4292.888671875</v>
      </c>
      <c r="E410" s="28">
        <f>IF(D410&gt;=IF(MONTH($C410)=4,$C$3,IF(MONTH($C410)=5,$C$4,IF(MONTH($C410)=6,$C$5,IF(MONTH($C410)=7,$C$6,"ERROR")))),1,0)</f>
        <v>0</v>
      </c>
      <c r="F410" s="30">
        <f>VLOOKUP($C410,COS!$B$8:$H$991,7,FALSE)</f>
        <v>49.869205474853516</v>
      </c>
      <c r="G410" s="28">
        <f>IF(F410&lt;=IF(MONTH($C410)=4,$F$3,IF(MONTH($C410)=5,$F$4,IF(MONTH($C410)=6,$F$5,IF(MONTH($C410)=7,$F$6,"ERROR")))),1,0)</f>
        <v>1</v>
      </c>
      <c r="H410" s="30">
        <f>IF(J410=1,D410-$C$3,0)</f>
        <v>0</v>
      </c>
      <c r="I410" s="30">
        <f t="shared" si="558"/>
        <v>0</v>
      </c>
      <c r="J410" s="28">
        <f t="shared" ref="J410:J413" si="652">IF(AND(E410=1,G410=1),1,0)</f>
        <v>0</v>
      </c>
      <c r="K410" s="30">
        <f>VLOOKUP($C410,COS!$B$8:$H$991,2,FALSE)</f>
        <v>4552</v>
      </c>
      <c r="L410" s="28">
        <f t="shared" ref="L410" si="653">IF(K410&lt;=IF(MONTH($C410)=4,$I$3,IF(MONTH($C410)=5,$I$4,IF(MONTH($C410)=6,$I$5,IF(MONTH($C410)=7,$I$6,"ERROR")))),1,0)</f>
        <v>1</v>
      </c>
      <c r="M410" s="28">
        <f t="shared" ref="M410" si="654">VLOOKUP($A410,$L$3:$M$7,2,FALSE)</f>
        <v>0</v>
      </c>
      <c r="N410" s="30">
        <f>VLOOKUP($C410,COS!$B$8:$H$991,5,FALSE)</f>
        <v>529.82769775390625</v>
      </c>
      <c r="O410" s="30">
        <f t="shared" ref="O410:O413" si="655">N410*DAY($C410)*86400/43560/1000</f>
        <v>31.526937387009298</v>
      </c>
      <c r="P410" s="30">
        <f>VLOOKUP($C410,COS!$B$8:$H$991,6,FALSE)</f>
        <v>552.3431396484375</v>
      </c>
      <c r="Q410" s="30">
        <f t="shared" ref="Q410:Q413" si="656">P410*DAY($C410)*86400/43560/1000</f>
        <v>32.86669921875</v>
      </c>
      <c r="R410" s="30">
        <f>MIN(IF(MONTH($C410)=4,$S$3,IF(MONTH($C410)=5,$S$4,IF(MONTH($C410)=6,$S$5,IF(MONTH($C410)=7,$S$6,"ERROR")))),MAX(VLOOKUP($C410,COS!$B$8:$K$991,10,FALSE)-IF(MONTH($C410)=4,$Y$3,IF(MONTH($C410)=5,$Y$4,IF(MONTH($C410)=6,$Y$5,IF(MONTH($C410)=7,$Y$6,"ERROR")))),0),MAX(VLOOKUP($C410,COS!$B$8:$K$991,9,FALSE)-IF(MONTH($C410)=4,$V$3,IF(MONTH($C410)=5,$V$4,IF(MONTH($C410)=6,$V$5,IF(MONTH($C410)=7,$V$6,"ERROR"))))-VLOOKUP($C410,COS!$B$8:$K$991,6,FALSE)/2,0))</f>
        <v>750</v>
      </c>
      <c r="S410" s="30">
        <f t="shared" ref="S410:S413" si="657">R410*DAY($C410)*86400/43560/1000</f>
        <v>44.628099173553714</v>
      </c>
      <c r="T410" s="30">
        <f t="shared" ref="T410:T413" si="658">(O410+Q410)/2+S410</f>
        <v>76.82491747643337</v>
      </c>
      <c r="U410" s="30" t="str">
        <f>IF(VLOOKUP($C410,COS!$B$8:$I$991,8,FALSE)=1,"UWFE","IBU")</f>
        <v>UWFE</v>
      </c>
      <c r="V410" s="30">
        <f t="shared" ref="V410" si="659">MIN(IF(IF($AA$3=2,AND(E410=1,G410=1,L410=1,L415=1,M410=1,U410="IBU"),AND(E410=1,G410=1,L410=1,L415=1,M410=1)),T410,0),I410)</f>
        <v>0</v>
      </c>
      <c r="W410" s="30"/>
      <c r="X410" s="30"/>
      <c r="Y410" s="30"/>
      <c r="Z410" s="30"/>
      <c r="AA410" s="30"/>
      <c r="AB410" s="31"/>
    </row>
    <row r="411" spans="1:28" x14ac:dyDescent="0.3">
      <c r="A411" s="32">
        <f>VLOOKUP(YEAR(C411),Flags!$A$13:$B$95,2,FALSE)</f>
        <v>3</v>
      </c>
      <c r="B411" s="24">
        <f t="shared" si="637"/>
        <v>1966</v>
      </c>
      <c r="C411" s="25">
        <v>24258</v>
      </c>
      <c r="D411" s="26">
        <f>VLOOKUP($C411,COS!$B$8:$H$991,3,FALSE)</f>
        <v>8730.6591796875</v>
      </c>
      <c r="E411" s="24">
        <f>IF(D411&gt;=IF(MONTH($C411)=4,$C$3,IF(MONTH($C411)=5,$C$4,IF(MONTH($C411)=6,$C$5,IF(MONTH($C411)=7,$C$6,"ERROR")))),1,0)</f>
        <v>1</v>
      </c>
      <c r="F411" s="26">
        <f>VLOOKUP($C411,COS!$B$8:$H$991,7,FALSE)</f>
        <v>49.472553253173828</v>
      </c>
      <c r="G411" s="24">
        <f>IF(F411&lt;=IF(MONTH($C411)=4,$F$3,IF(MONTH($C411)=5,$F$4,IF(MONTH($C411)=6,$F$5,IF(MONTH($C411)=7,$F$6,"ERROR")))),1,0)</f>
        <v>1</v>
      </c>
      <c r="H411" s="26">
        <f>IF(J411=1,D411-$C$4,0)</f>
        <v>2730.6591796875</v>
      </c>
      <c r="I411" s="26">
        <f t="shared" si="558"/>
        <v>167.90168840392562</v>
      </c>
      <c r="J411" s="24">
        <f t="shared" si="652"/>
        <v>1</v>
      </c>
      <c r="K411" s="26">
        <f>VLOOKUP($C411,COS!$B$8:$H$991,2,FALSE)</f>
        <v>4347.7724609375</v>
      </c>
      <c r="L411" s="24">
        <f t="shared" si="639"/>
        <v>1</v>
      </c>
      <c r="M411" s="24">
        <f t="shared" si="640"/>
        <v>0</v>
      </c>
      <c r="N411" s="26">
        <f>VLOOKUP($C411,COS!$B$8:$H$991,5,FALSE)</f>
        <v>640.74652099609375</v>
      </c>
      <c r="O411" s="26">
        <f t="shared" si="655"/>
        <v>39.397967902569732</v>
      </c>
      <c r="P411" s="26">
        <f>VLOOKUP($C411,COS!$B$8:$H$991,6,FALSE)</f>
        <v>2340.425048828125</v>
      </c>
      <c r="Q411" s="26">
        <f t="shared" si="656"/>
        <v>143.90712696926653</v>
      </c>
      <c r="R411" s="26">
        <f>MIN(IF(MONTH($C411)=4,$S$3,IF(MONTH($C411)=5,$S$4,IF(MONTH($C411)=6,$S$5,IF(MONTH($C411)=7,$S$6,"ERROR")))),MAX(VLOOKUP($C411,COS!$B$8:$K$991,10,FALSE)-IF(MONTH($C411)=4,$Y$3,IF(MONTH($C411)=5,$Y$4,IF(MONTH($C411)=6,$Y$5,IF(MONTH($C411)=7,$Y$6,"ERROR")))),0),MAX(VLOOKUP($C411,COS!$B$8:$K$991,9,FALSE)-IF(MONTH($C411)=4,$V$3,IF(MONTH($C411)=5,$V$4,IF(MONTH($C411)=6,$V$5,IF(MONTH($C411)=7,$V$6,"ERROR"))))-VLOOKUP($C411,COS!$B$8:$K$991,6,FALSE)/2,0))</f>
        <v>750</v>
      </c>
      <c r="S411" s="26">
        <f t="shared" si="657"/>
        <v>46.115702479338843</v>
      </c>
      <c r="T411" s="26">
        <f t="shared" si="658"/>
        <v>137.76824991525697</v>
      </c>
      <c r="U411" s="26" t="str">
        <f>IF(VLOOKUP($C411,COS!$B$8:$I$991,8,FALSE)=1,"UWFE","IBU")</f>
        <v>IBU</v>
      </c>
      <c r="V411" s="26">
        <f t="shared" ref="V411" si="660">MIN(IF(IF($AA$3=2,AND(E411=1,G411=1,L411=1,L415=1,M411=1,U411="IBU"),AND(E411=1,G411=1,L411=1,L415=1,M411=1)),T411,0),I411)</f>
        <v>0</v>
      </c>
      <c r="W411" s="26"/>
      <c r="X411" s="26"/>
      <c r="Y411" s="26"/>
      <c r="Z411" s="26"/>
      <c r="AA411" s="26"/>
      <c r="AB411" s="33"/>
    </row>
    <row r="412" spans="1:28" x14ac:dyDescent="0.3">
      <c r="A412" s="32">
        <f>VLOOKUP(YEAR(C412),Flags!$A$13:$B$95,2,FALSE)</f>
        <v>3</v>
      </c>
      <c r="B412" s="24">
        <f t="shared" si="637"/>
        <v>1966</v>
      </c>
      <c r="C412" s="25">
        <v>24288</v>
      </c>
      <c r="D412" s="26">
        <f>VLOOKUP($C412,COS!$B$8:$H$991,3,FALSE)</f>
        <v>13508.86328125</v>
      </c>
      <c r="E412" s="24">
        <f>IF(D412&gt;=IF(MONTH($C412)=4,$C$3,IF(MONTH($C412)=5,$C$4,IF(MONTH($C412)=6,$C$5,IF(MONTH($C412)=7,$C$6,"ERROR")))),1,0)</f>
        <v>1</v>
      </c>
      <c r="F412" s="26">
        <f>VLOOKUP($C412,COS!$B$8:$H$991,7,FALSE)</f>
        <v>49.86444091796875</v>
      </c>
      <c r="G412" s="24">
        <f>IF(F412&lt;=IF(MONTH($C412)=4,$F$3,IF(MONTH($C412)=5,$F$4,IF(MONTH($C412)=6,$F$5,IF(MONTH($C412)=7,$F$6,"ERROR")))),1,0)</f>
        <v>1</v>
      </c>
      <c r="H412" s="26">
        <f>IF(J412=1,D412-$C$5,0)</f>
        <v>3508.86328125</v>
      </c>
      <c r="I412" s="26">
        <f t="shared" ref="I412:I475" si="661">H412*DAY($C412)*86400/43560/1000</f>
        <v>208.79186466942147</v>
      </c>
      <c r="J412" s="24">
        <f t="shared" si="652"/>
        <v>1</v>
      </c>
      <c r="K412" s="26">
        <f>VLOOKUP($C412,COS!$B$8:$H$991,2,FALSE)</f>
        <v>3800.234375</v>
      </c>
      <c r="L412" s="24">
        <f t="shared" si="639"/>
        <v>1</v>
      </c>
      <c r="M412" s="24">
        <f t="shared" si="640"/>
        <v>0</v>
      </c>
      <c r="N412" s="26">
        <f>VLOOKUP($C412,COS!$B$8:$H$991,5,FALSE)</f>
        <v>770.628173828125</v>
      </c>
      <c r="O412" s="26">
        <f t="shared" si="655"/>
        <v>45.85556075671488</v>
      </c>
      <c r="P412" s="26">
        <f>VLOOKUP($C412,COS!$B$8:$H$991,6,FALSE)</f>
        <v>2661.6142578125</v>
      </c>
      <c r="Q412" s="26">
        <f t="shared" si="656"/>
        <v>158.37704674586777</v>
      </c>
      <c r="R412" s="26">
        <f>MIN(IF(MONTH($C412)=4,$S$3,IF(MONTH($C412)=5,$S$4,IF(MONTH($C412)=6,$S$5,IF(MONTH($C412)=7,$S$6,"ERROR")))),MAX(VLOOKUP($C412,COS!$B$8:$K$991,10,FALSE)-IF(MONTH($C412)=4,$Y$3,IF(MONTH($C412)=5,$Y$4,IF(MONTH($C412)=6,$Y$5,IF(MONTH($C412)=7,$Y$6,"ERROR")))),0),MAX(VLOOKUP($C412,COS!$B$8:$K$991,9,FALSE)-IF(MONTH($C412)=4,$V$3,IF(MONTH($C412)=5,$V$4,IF(MONTH($C412)=6,$V$5,IF(MONTH($C412)=7,$V$6,"ERROR"))))-VLOOKUP($C412,COS!$B$8:$K$991,6,FALSE)/2,0))</f>
        <v>750</v>
      </c>
      <c r="S412" s="26">
        <f t="shared" si="657"/>
        <v>44.628099173553714</v>
      </c>
      <c r="T412" s="26">
        <f t="shared" si="658"/>
        <v>146.74440292484505</v>
      </c>
      <c r="U412" s="26" t="str">
        <f>IF(VLOOKUP($C412,COS!$B$8:$I$991,8,FALSE)=1,"UWFE","IBU")</f>
        <v>IBU</v>
      </c>
      <c r="V412" s="26">
        <f t="shared" ref="V412" si="662">MIN(IF(IF($AA$3=2,AND(E412=1,G412=1,L412=1,L415=1,M412=1,U412="IBU"),AND(E412=1,G412=1,L412=1,L415=1,M412=1)),T412,0),I412)</f>
        <v>0</v>
      </c>
      <c r="W412" s="26"/>
      <c r="X412" s="26"/>
      <c r="Y412" s="26"/>
      <c r="Z412" s="26"/>
      <c r="AA412" s="26"/>
      <c r="AB412" s="33"/>
    </row>
    <row r="413" spans="1:28" x14ac:dyDescent="0.3">
      <c r="A413" s="32">
        <f>VLOOKUP(YEAR(C413),Flags!$A$13:$B$95,2,FALSE)</f>
        <v>3</v>
      </c>
      <c r="B413" s="24">
        <f t="shared" si="637"/>
        <v>1966</v>
      </c>
      <c r="C413" s="25">
        <v>24319</v>
      </c>
      <c r="D413" s="26">
        <f>VLOOKUP($C413,COS!$B$8:$H$991,3,FALSE)</f>
        <v>16000</v>
      </c>
      <c r="E413" s="24">
        <f>IF(D413&gt;=IF(MONTH($C413)=4,$C$3,IF(MONTH($C413)=5,$C$4,IF(MONTH($C413)=6,$C$5,IF(MONTH($C413)=7,$C$6,"ERROR")))),1,0)</f>
        <v>1</v>
      </c>
      <c r="F413" s="26">
        <f>VLOOKUP($C413,COS!$B$8:$H$991,7,FALSE)</f>
        <v>50.834873199462891</v>
      </c>
      <c r="G413" s="24">
        <f>IF(F413&lt;=IF(MONTH($C413)=4,$F$3,IF(MONTH($C413)=5,$F$4,IF(MONTH($C413)=6,$F$5,IF(MONTH($C413)=7,$F$6,"ERROR")))),1,0)</f>
        <v>1</v>
      </c>
      <c r="H413" s="26">
        <f>IF(J413=1,D413-$C$6,0)</f>
        <v>4000</v>
      </c>
      <c r="I413" s="26">
        <f t="shared" si="661"/>
        <v>245.95041322314049</v>
      </c>
      <c r="J413" s="24">
        <f t="shared" si="652"/>
        <v>1</v>
      </c>
      <c r="K413" s="26">
        <f>VLOOKUP($C413,COS!$B$8:$H$991,2,FALSE)</f>
        <v>3119.609375</v>
      </c>
      <c r="L413" s="24">
        <f t="shared" si="639"/>
        <v>1</v>
      </c>
      <c r="M413" s="24">
        <f t="shared" si="640"/>
        <v>0</v>
      </c>
      <c r="N413" s="26">
        <f>VLOOKUP($C413,COS!$B$8:$H$991,5,FALSE)</f>
        <v>838.9403076171875</v>
      </c>
      <c r="O413" s="26">
        <f t="shared" si="655"/>
        <v>51.584428831998963</v>
      </c>
      <c r="P413" s="26">
        <f>VLOOKUP($C413,COS!$B$8:$H$991,6,FALSE)</f>
        <v>2521.163330078125</v>
      </c>
      <c r="Q413" s="26">
        <f t="shared" si="656"/>
        <v>155.02029070893593</v>
      </c>
      <c r="R413" s="26">
        <f>MIN(IF(MONTH($C413)=4,$S$3,IF(MONTH($C413)=5,$S$4,IF(MONTH($C413)=6,$S$5,IF(MONTH($C413)=7,$S$6,"ERROR")))),MAX(VLOOKUP($C413,COS!$B$8:$K$991,10,FALSE)-IF(MONTH($C413)=4,$Y$3,IF(MONTH($C413)=5,$Y$4,IF(MONTH($C413)=6,$Y$5,IF(MONTH($C413)=7,$Y$6,"ERROR")))),0),MAX(VLOOKUP($C413,COS!$B$8:$K$991,9,FALSE)-IF(MONTH($C413)=4,$V$3,IF(MONTH($C413)=5,$V$4,IF(MONTH($C413)=6,$V$5,IF(MONTH($C413)=7,$V$6,"ERROR"))))-VLOOKUP($C413,COS!$B$8:$K$991,6,FALSE)/2,0))</f>
        <v>750</v>
      </c>
      <c r="S413" s="26">
        <f t="shared" si="657"/>
        <v>46.115702479338843</v>
      </c>
      <c r="T413" s="26">
        <f t="shared" si="658"/>
        <v>149.4180622498063</v>
      </c>
      <c r="U413" s="26" t="str">
        <f>IF(VLOOKUP($C413,COS!$B$8:$I$991,8,FALSE)=1,"UWFE","IBU")</f>
        <v>IBU</v>
      </c>
      <c r="V413" s="26">
        <f t="shared" ref="V413" si="663">MIN(IF(IF($AA$3=2,AND(E413=1,G413=1,L413=1,L415=1,M413=1,U413="IBU"),AND(E413=1,G413=1,L413=1,L415=1,M413=1)),T413,0),I413)</f>
        <v>0</v>
      </c>
      <c r="W413" s="26"/>
      <c r="X413" s="26"/>
      <c r="Y413" s="26"/>
      <c r="Z413" s="26"/>
      <c r="AA413" s="26"/>
      <c r="AB413" s="33"/>
    </row>
    <row r="414" spans="1:28" x14ac:dyDescent="0.3">
      <c r="A414" s="32">
        <f>VLOOKUP(YEAR(C414),Flags!$A$13:$B$95,2,FALSE)</f>
        <v>3</v>
      </c>
      <c r="B414" s="24">
        <f t="shared" si="637"/>
        <v>1966</v>
      </c>
      <c r="C414" s="25">
        <v>24350</v>
      </c>
      <c r="D414" s="26"/>
      <c r="E414" s="24"/>
      <c r="F414" s="26"/>
      <c r="G414" s="24"/>
      <c r="H414" s="24"/>
      <c r="I414" s="26"/>
      <c r="J414" s="24"/>
      <c r="K414" s="26"/>
      <c r="L414" s="24"/>
      <c r="M414" s="24"/>
      <c r="N414" s="26"/>
      <c r="O414" s="26"/>
      <c r="P414" s="26"/>
      <c r="Q414" s="26"/>
      <c r="R414" s="26"/>
      <c r="S414" s="26"/>
      <c r="T414" s="26"/>
      <c r="U414" s="26"/>
      <c r="V414" s="26"/>
      <c r="W414" s="26">
        <f>MAX($C$7-VLOOKUP($C414,COS!$B$8:$H$991,3,FALSE),0)</f>
        <v>87234.4794921875</v>
      </c>
      <c r="X414" s="26">
        <f t="shared" si="562"/>
        <v>5363.8390696022725</v>
      </c>
      <c r="Y414" s="26">
        <f>VLOOKUP($C414,COS!$B$8:$H$991,4,FALSE)</f>
        <v>442.35452270507813</v>
      </c>
      <c r="Z414" s="26">
        <f t="shared" si="563"/>
        <v>27.199319412609761</v>
      </c>
      <c r="AA414" s="26">
        <f t="shared" ref="AA414:AA418" si="664">MIN(W414,Y414)</f>
        <v>442.35452270507813</v>
      </c>
      <c r="AB414" s="33">
        <f t="shared" ref="AB414" si="665">AA414*DAY($C414)*86400/43560/1000*IF(MONTH($C414)=8,$P$3,IF(MONTH($C414)=9,$P$4,IF(MONTH($C414)=10,$P$5,IF(MONTH($C414)=11,$P$6,IF(MONTH($C414)=12,$P$7,NA())))))</f>
        <v>27.199319412609761</v>
      </c>
    </row>
    <row r="415" spans="1:28" x14ac:dyDescent="0.3">
      <c r="A415" s="32">
        <f>VLOOKUP(YEAR(C415),Flags!$A$13:$B$95,2,FALSE)</f>
        <v>3</v>
      </c>
      <c r="B415" s="24">
        <f t="shared" si="637"/>
        <v>1966</v>
      </c>
      <c r="C415" s="25">
        <v>24380</v>
      </c>
      <c r="D415" s="26"/>
      <c r="E415" s="24"/>
      <c r="F415" s="26"/>
      <c r="G415" s="24"/>
      <c r="H415" s="24"/>
      <c r="I415" s="26"/>
      <c r="J415" s="24"/>
      <c r="K415" s="26">
        <f>VLOOKUP($C415,COS!$B$8:$H$991,2,FALSE)</f>
        <v>2583.3671875</v>
      </c>
      <c r="L415" s="24">
        <f t="shared" ref="L415" si="666">IF(AND(K415&gt;$I$7,K415&lt;$I$8),1,0)</f>
        <v>1</v>
      </c>
      <c r="M415" s="24"/>
      <c r="N415" s="26"/>
      <c r="O415" s="26"/>
      <c r="P415" s="26"/>
      <c r="Q415" s="26"/>
      <c r="R415" s="26"/>
      <c r="S415" s="26"/>
      <c r="T415" s="26"/>
      <c r="U415" s="26"/>
      <c r="V415" s="26"/>
      <c r="W415" s="26">
        <f>MAX($C$8-VLOOKUP($C415,COS!$B$8:$H$991,3,FALSE),0)</f>
        <v>92546.88525390625</v>
      </c>
      <c r="X415" s="26">
        <f t="shared" ref="X415:X478" si="667">W415*DAY($C415)*86400/43560/1000</f>
        <v>5506.9220977530995</v>
      </c>
      <c r="Y415" s="26">
        <f>VLOOKUP($C415,COS!$B$8:$H$991,4,FALSE)</f>
        <v>418.4725341796875</v>
      </c>
      <c r="Z415" s="26">
        <f t="shared" ref="Z415:Z478" si="668">Y415*DAY($C415)*86400/43560/1000</f>
        <v>24.900845009039259</v>
      </c>
      <c r="AA415" s="26">
        <f t="shared" si="664"/>
        <v>418.4725341796875</v>
      </c>
      <c r="AB415" s="33">
        <f t="shared" si="650"/>
        <v>24.900845009039259</v>
      </c>
    </row>
    <row r="416" spans="1:28" x14ac:dyDescent="0.3">
      <c r="A416" s="32">
        <f>VLOOKUP(YEAR(C416),Flags!$A$13:$B$95,2,FALSE)</f>
        <v>3</v>
      </c>
      <c r="B416" s="24">
        <f t="shared" si="637"/>
        <v>1966</v>
      </c>
      <c r="C416" s="25">
        <v>24411</v>
      </c>
      <c r="D416" s="26"/>
      <c r="E416" s="24"/>
      <c r="F416" s="26"/>
      <c r="G416" s="26"/>
      <c r="H416" s="26"/>
      <c r="I416" s="26"/>
      <c r="J416" s="26"/>
      <c r="K416" s="26"/>
      <c r="L416" s="24"/>
      <c r="M416" s="24"/>
      <c r="N416" s="26"/>
      <c r="O416" s="26"/>
      <c r="P416" s="26"/>
      <c r="Q416" s="26"/>
      <c r="R416" s="26"/>
      <c r="S416" s="26"/>
      <c r="T416" s="26"/>
      <c r="U416" s="26"/>
      <c r="V416" s="26"/>
      <c r="W416" s="26">
        <f>MAX($C$9-VLOOKUP($C416,COS!$B$8:$H$991,3,FALSE),0)</f>
        <v>93829.6923828125</v>
      </c>
      <c r="X416" s="26">
        <f t="shared" si="667"/>
        <v>5769.3629035382237</v>
      </c>
      <c r="Y416" s="26">
        <f>VLOOKUP($C416,COS!$B$8:$H$991,4,FALSE)</f>
        <v>1319.8214111328125</v>
      </c>
      <c r="Z416" s="26">
        <f t="shared" si="668"/>
        <v>81.15265536221591</v>
      </c>
      <c r="AA416" s="26">
        <f t="shared" si="664"/>
        <v>1319.8214111328125</v>
      </c>
      <c r="AB416" s="33">
        <f t="shared" si="650"/>
        <v>81.15265536221591</v>
      </c>
    </row>
    <row r="417" spans="1:28" x14ac:dyDescent="0.3">
      <c r="A417" s="32">
        <f>VLOOKUP(YEAR(C417),Flags!$A$13:$B$95,2,FALSE)</f>
        <v>3</v>
      </c>
      <c r="B417" s="24">
        <f t="shared" si="637"/>
        <v>1966</v>
      </c>
      <c r="C417" s="25">
        <v>24441</v>
      </c>
      <c r="D417" s="26"/>
      <c r="E417" s="24"/>
      <c r="F417" s="26"/>
      <c r="G417" s="26"/>
      <c r="H417" s="26"/>
      <c r="I417" s="26"/>
      <c r="J417" s="26"/>
      <c r="K417" s="26"/>
      <c r="L417" s="24"/>
      <c r="M417" s="24"/>
      <c r="N417" s="26"/>
      <c r="O417" s="26"/>
      <c r="P417" s="26"/>
      <c r="Q417" s="26"/>
      <c r="R417" s="26"/>
      <c r="S417" s="26"/>
      <c r="T417" s="26"/>
      <c r="U417" s="26"/>
      <c r="V417" s="26"/>
      <c r="W417" s="26">
        <f>MAX($C$10-VLOOKUP($C417,COS!$B$8:$H$991,3,FALSE),0)</f>
        <v>96749</v>
      </c>
      <c r="X417" s="26">
        <f t="shared" si="667"/>
        <v>5756.965289256198</v>
      </c>
      <c r="Y417" s="26">
        <f>VLOOKUP($C417,COS!$B$8:$H$991,4,FALSE)</f>
        <v>1161.37109375</v>
      </c>
      <c r="Z417" s="26">
        <f t="shared" si="668"/>
        <v>69.10637913223141</v>
      </c>
      <c r="AA417" s="26">
        <f t="shared" si="664"/>
        <v>1161.37109375</v>
      </c>
      <c r="AB417" s="33">
        <f t="shared" si="650"/>
        <v>34.553189566115705</v>
      </c>
    </row>
    <row r="418" spans="1:28" x14ac:dyDescent="0.3">
      <c r="A418" s="34">
        <f>VLOOKUP(YEAR(C418),Flags!$A$13:$B$95,2,FALSE)</f>
        <v>3</v>
      </c>
      <c r="B418" s="35">
        <f t="shared" si="637"/>
        <v>1966</v>
      </c>
      <c r="C418" s="36">
        <v>24472</v>
      </c>
      <c r="D418" s="37"/>
      <c r="E418" s="35"/>
      <c r="F418" s="37"/>
      <c r="G418" s="37"/>
      <c r="H418" s="37"/>
      <c r="I418" s="37"/>
      <c r="J418" s="37"/>
      <c r="K418" s="37"/>
      <c r="L418" s="35"/>
      <c r="M418" s="35"/>
      <c r="N418" s="37"/>
      <c r="O418" s="37"/>
      <c r="P418" s="37"/>
      <c r="Q418" s="37"/>
      <c r="R418" s="37"/>
      <c r="S418" s="37"/>
      <c r="T418" s="37"/>
      <c r="U418" s="37"/>
      <c r="V418" s="37"/>
      <c r="W418" s="37">
        <f>MAX($C$11-VLOOKUP($C418,COS!$B$8:$H$991,3,FALSE),0)</f>
        <v>0</v>
      </c>
      <c r="X418" s="37">
        <f t="shared" si="667"/>
        <v>0</v>
      </c>
      <c r="Y418" s="37">
        <f>VLOOKUP($C418,COS!$B$8:$H$991,4,FALSE)</f>
        <v>0</v>
      </c>
      <c r="Z418" s="37">
        <f t="shared" si="668"/>
        <v>0</v>
      </c>
      <c r="AA418" s="37">
        <f t="shared" si="664"/>
        <v>0</v>
      </c>
      <c r="AB418" s="38">
        <f t="shared" si="650"/>
        <v>0</v>
      </c>
    </row>
    <row r="419" spans="1:28" x14ac:dyDescent="0.3">
      <c r="A419" s="27">
        <f>VLOOKUP(YEAR(C419),Flags!$A$13:$B$95,2,FALSE)</f>
        <v>1</v>
      </c>
      <c r="B419" s="28">
        <f t="shared" si="637"/>
        <v>1967</v>
      </c>
      <c r="C419" s="29">
        <v>24592</v>
      </c>
      <c r="D419" s="30">
        <f>VLOOKUP($C419,COS!$B$8:$H$991,3,FALSE)</f>
        <v>10209.6708984375</v>
      </c>
      <c r="E419" s="28">
        <f>IF(D419&gt;=IF(MONTH($C419)=4,$C$3,IF(MONTH($C419)=5,$C$4,IF(MONTH($C419)=6,$C$5,IF(MONTH($C419)=7,$C$6,"ERROR")))),1,0)</f>
        <v>1</v>
      </c>
      <c r="F419" s="30">
        <f>VLOOKUP($C419,COS!$B$8:$H$991,7,FALSE)</f>
        <v>47.143501281738281</v>
      </c>
      <c r="G419" s="28">
        <f>IF(F419&lt;=IF(MONTH($C419)=4,$F$3,IF(MONTH($C419)=5,$F$4,IF(MONTH($C419)=6,$F$5,IF(MONTH($C419)=7,$F$6,"ERROR")))),1,0)</f>
        <v>1</v>
      </c>
      <c r="H419" s="30">
        <f>IF(J419=1,D419-$C$3,0)</f>
        <v>4209.6708984375</v>
      </c>
      <c r="I419" s="30">
        <f t="shared" si="661"/>
        <v>250.49281379132231</v>
      </c>
      <c r="J419" s="28">
        <f t="shared" ref="J419:J422" si="669">IF(AND(E419=1,G419=1),1,0)</f>
        <v>1</v>
      </c>
      <c r="K419" s="30">
        <f>VLOOKUP($C419,COS!$B$8:$H$991,2,FALSE)</f>
        <v>4479</v>
      </c>
      <c r="L419" s="28">
        <f t="shared" ref="L419" si="670">IF(K419&lt;=IF(MONTH($C419)=4,$I$3,IF(MONTH($C419)=5,$I$4,IF(MONTH($C419)=6,$I$5,IF(MONTH($C419)=7,$I$6,"ERROR")))),1,0)</f>
        <v>1</v>
      </c>
      <c r="M419" s="28">
        <f t="shared" ref="M419" si="671">VLOOKUP($A419,$L$3:$M$7,2,FALSE)</f>
        <v>0</v>
      </c>
      <c r="N419" s="30">
        <f>VLOOKUP($C419,COS!$B$8:$H$991,5,FALSE)</f>
        <v>39.870414733886719</v>
      </c>
      <c r="O419" s="30">
        <f t="shared" ref="O419:O422" si="672">N419*DAY($C419)*86400/43560/1000</f>
        <v>2.3724544304461519</v>
      </c>
      <c r="P419" s="30">
        <f>VLOOKUP($C419,COS!$B$8:$H$991,6,FALSE)</f>
        <v>237.42314147949219</v>
      </c>
      <c r="Q419" s="30">
        <f t="shared" ref="Q419:Q422" si="673">P419*DAY($C419)*86400/43560/1000</f>
        <v>14.127658005391272</v>
      </c>
      <c r="R419" s="30">
        <f>MIN(IF(MONTH($C419)=4,$S$3,IF(MONTH($C419)=5,$S$4,IF(MONTH($C419)=6,$S$5,IF(MONTH($C419)=7,$S$6,"ERROR")))),MAX(VLOOKUP($C419,COS!$B$8:$K$991,10,FALSE)-IF(MONTH($C419)=4,$Y$3,IF(MONTH($C419)=5,$Y$4,IF(MONTH($C419)=6,$Y$5,IF(MONTH($C419)=7,$Y$6,"ERROR")))),0),MAX(VLOOKUP($C419,COS!$B$8:$K$991,9,FALSE)-IF(MONTH($C419)=4,$V$3,IF(MONTH($C419)=5,$V$4,IF(MONTH($C419)=6,$V$5,IF(MONTH($C419)=7,$V$6,"ERROR"))))-VLOOKUP($C419,COS!$B$8:$K$991,6,FALSE)/2,0))</f>
        <v>750</v>
      </c>
      <c r="S419" s="30">
        <f t="shared" ref="S419:S422" si="674">R419*DAY($C419)*86400/43560/1000</f>
        <v>44.628099173553714</v>
      </c>
      <c r="T419" s="30">
        <f t="shared" ref="T419:T422" si="675">(O419+Q419)/2+S419</f>
        <v>52.878155391472426</v>
      </c>
      <c r="U419" s="30" t="str">
        <f>IF(VLOOKUP($C419,COS!$B$8:$I$991,8,FALSE)=1,"UWFE","IBU")</f>
        <v>UWFE</v>
      </c>
      <c r="V419" s="30">
        <f t="shared" ref="V419" si="676">MIN(IF(IF($AA$3=2,AND(E419=1,G419=1,L419=1,L424=1,M419=1,U419="IBU"),AND(E419=1,G419=1,L419=1,L424=1,M419=1)),T419,0),I419)</f>
        <v>0</v>
      </c>
      <c r="W419" s="30"/>
      <c r="X419" s="30"/>
      <c r="Y419" s="30"/>
      <c r="Z419" s="30"/>
      <c r="AA419" s="30"/>
      <c r="AB419" s="31"/>
    </row>
    <row r="420" spans="1:28" x14ac:dyDescent="0.3">
      <c r="A420" s="32">
        <f>VLOOKUP(YEAR(C420),Flags!$A$13:$B$95,2,FALSE)</f>
        <v>1</v>
      </c>
      <c r="B420" s="24">
        <f t="shared" si="637"/>
        <v>1967</v>
      </c>
      <c r="C420" s="25">
        <v>24623</v>
      </c>
      <c r="D420" s="26">
        <f>VLOOKUP($C420,COS!$B$8:$H$991,3,FALSE)</f>
        <v>12507.45703125</v>
      </c>
      <c r="E420" s="24">
        <f>IF(D420&gt;=IF(MONTH($C420)=4,$C$3,IF(MONTH($C420)=5,$C$4,IF(MONTH($C420)=6,$C$5,IF(MONTH($C420)=7,$C$6,"ERROR")))),1,0)</f>
        <v>1</v>
      </c>
      <c r="F420" s="26">
        <f>VLOOKUP($C420,COS!$B$8:$H$991,7,FALSE)</f>
        <v>48.993885040283203</v>
      </c>
      <c r="G420" s="24">
        <f>IF(F420&lt;=IF(MONTH($C420)=4,$F$3,IF(MONTH($C420)=5,$F$4,IF(MONTH($C420)=6,$F$5,IF(MONTH($C420)=7,$F$6,"ERROR")))),1,0)</f>
        <v>1</v>
      </c>
      <c r="H420" s="26">
        <f>IF(J420=1,D420-$C$4,0)</f>
        <v>6507.45703125</v>
      </c>
      <c r="I420" s="26">
        <f t="shared" si="661"/>
        <v>400.12793646694212</v>
      </c>
      <c r="J420" s="24">
        <f t="shared" si="669"/>
        <v>1</v>
      </c>
      <c r="K420" s="26">
        <f>VLOOKUP($C420,COS!$B$8:$H$991,2,FALSE)</f>
        <v>4552</v>
      </c>
      <c r="L420" s="24">
        <f t="shared" si="639"/>
        <v>1</v>
      </c>
      <c r="M420" s="24">
        <f t="shared" si="640"/>
        <v>0</v>
      </c>
      <c r="N420" s="26">
        <f>VLOOKUP($C420,COS!$B$8:$H$991,5,FALSE)</f>
        <v>634.8349609375</v>
      </c>
      <c r="O420" s="26">
        <f t="shared" si="672"/>
        <v>39.034480242768595</v>
      </c>
      <c r="P420" s="26">
        <f>VLOOKUP($C420,COS!$B$8:$H$991,6,FALSE)</f>
        <v>2252.28564453125</v>
      </c>
      <c r="Q420" s="26">
        <f t="shared" si="673"/>
        <v>138.48764624225205</v>
      </c>
      <c r="R420" s="26">
        <f>MIN(IF(MONTH($C420)=4,$S$3,IF(MONTH($C420)=5,$S$4,IF(MONTH($C420)=6,$S$5,IF(MONTH($C420)=7,$S$6,"ERROR")))),MAX(VLOOKUP($C420,COS!$B$8:$K$991,10,FALSE)-IF(MONTH($C420)=4,$Y$3,IF(MONTH($C420)=5,$Y$4,IF(MONTH($C420)=6,$Y$5,IF(MONTH($C420)=7,$Y$6,"ERROR")))),0),MAX(VLOOKUP($C420,COS!$B$8:$K$991,9,FALSE)-IF(MONTH($C420)=4,$V$3,IF(MONTH($C420)=5,$V$4,IF(MONTH($C420)=6,$V$5,IF(MONTH($C420)=7,$V$6,"ERROR"))))-VLOOKUP($C420,COS!$B$8:$K$991,6,FALSE)/2,0))</f>
        <v>750</v>
      </c>
      <c r="S420" s="26">
        <f t="shared" si="674"/>
        <v>46.115702479338843</v>
      </c>
      <c r="T420" s="26">
        <f t="shared" si="675"/>
        <v>134.87676572184915</v>
      </c>
      <c r="U420" s="26" t="str">
        <f>IF(VLOOKUP($C420,COS!$B$8:$I$991,8,FALSE)=1,"UWFE","IBU")</f>
        <v>UWFE</v>
      </c>
      <c r="V420" s="26">
        <f t="shared" ref="V420" si="677">MIN(IF(IF($AA$3=2,AND(E420=1,G420=1,L420=1,L424=1,M420=1,U420="IBU"),AND(E420=1,G420=1,L420=1,L424=1,M420=1)),T420,0),I420)</f>
        <v>0</v>
      </c>
      <c r="W420" s="26"/>
      <c r="X420" s="26"/>
      <c r="Y420" s="26"/>
      <c r="Z420" s="26"/>
      <c r="AA420" s="26"/>
      <c r="AB420" s="33"/>
    </row>
    <row r="421" spans="1:28" x14ac:dyDescent="0.3">
      <c r="A421" s="32">
        <f>VLOOKUP(YEAR(C421),Flags!$A$13:$B$95,2,FALSE)</f>
        <v>1</v>
      </c>
      <c r="B421" s="24">
        <f t="shared" si="637"/>
        <v>1967</v>
      </c>
      <c r="C421" s="25">
        <v>24653</v>
      </c>
      <c r="D421" s="26">
        <f>VLOOKUP($C421,COS!$B$8:$H$991,3,FALSE)</f>
        <v>8491.80078125</v>
      </c>
      <c r="E421" s="24">
        <f>IF(D421&gt;=IF(MONTH($C421)=4,$C$3,IF(MONTH($C421)=5,$C$4,IF(MONTH($C421)=6,$C$5,IF(MONTH($C421)=7,$C$6,"ERROR")))),1,0)</f>
        <v>0</v>
      </c>
      <c r="F421" s="26">
        <f>VLOOKUP($C421,COS!$B$8:$H$991,7,FALSE)</f>
        <v>51.173347473144531</v>
      </c>
      <c r="G421" s="24">
        <f>IF(F421&lt;=IF(MONTH($C421)=4,$F$3,IF(MONTH($C421)=5,$F$4,IF(MONTH($C421)=6,$F$5,IF(MONTH($C421)=7,$F$6,"ERROR")))),1,0)</f>
        <v>1</v>
      </c>
      <c r="H421" s="26">
        <f>IF(J421=1,D421-$C$5,0)</f>
        <v>0</v>
      </c>
      <c r="I421" s="26">
        <f t="shared" si="661"/>
        <v>0</v>
      </c>
      <c r="J421" s="24">
        <f t="shared" si="669"/>
        <v>0</v>
      </c>
      <c r="K421" s="26">
        <f>VLOOKUP($C421,COS!$B$8:$H$991,2,FALSE)</f>
        <v>4500</v>
      </c>
      <c r="L421" s="24">
        <f t="shared" si="639"/>
        <v>1</v>
      </c>
      <c r="M421" s="24">
        <f t="shared" si="640"/>
        <v>0</v>
      </c>
      <c r="N421" s="26">
        <f>VLOOKUP($C421,COS!$B$8:$H$991,5,FALSE)</f>
        <v>937.7822265625</v>
      </c>
      <c r="O421" s="26">
        <f t="shared" si="672"/>
        <v>55.801917613636363</v>
      </c>
      <c r="P421" s="26">
        <f>VLOOKUP($C421,COS!$B$8:$H$991,6,FALSE)</f>
        <v>2001.16455078125</v>
      </c>
      <c r="Q421" s="26">
        <f t="shared" si="673"/>
        <v>119.0775600464876</v>
      </c>
      <c r="R421" s="26">
        <f>MIN(IF(MONTH($C421)=4,$S$3,IF(MONTH($C421)=5,$S$4,IF(MONTH($C421)=6,$S$5,IF(MONTH($C421)=7,$S$6,"ERROR")))),MAX(VLOOKUP($C421,COS!$B$8:$K$991,10,FALSE)-IF(MONTH($C421)=4,$Y$3,IF(MONTH($C421)=5,$Y$4,IF(MONTH($C421)=6,$Y$5,IF(MONTH($C421)=7,$Y$6,"ERROR")))),0),MAX(VLOOKUP($C421,COS!$B$8:$K$991,9,FALSE)-IF(MONTH($C421)=4,$V$3,IF(MONTH($C421)=5,$V$4,IF(MONTH($C421)=6,$V$5,IF(MONTH($C421)=7,$V$6,"ERROR"))))-VLOOKUP($C421,COS!$B$8:$K$991,6,FALSE)/2,0))</f>
        <v>750</v>
      </c>
      <c r="S421" s="26">
        <f t="shared" si="674"/>
        <v>44.628099173553714</v>
      </c>
      <c r="T421" s="26">
        <f t="shared" si="675"/>
        <v>132.06783800361569</v>
      </c>
      <c r="U421" s="26" t="str">
        <f>IF(VLOOKUP($C421,COS!$B$8:$I$991,8,FALSE)=1,"UWFE","IBU")</f>
        <v>UWFE</v>
      </c>
      <c r="V421" s="26">
        <f t="shared" ref="V421" si="678">MIN(IF(IF($AA$3=2,AND(E421=1,G421=1,L421=1,L424=1,M421=1,U421="IBU"),AND(E421=1,G421=1,L421=1,L424=1,M421=1)),T421,0),I421)</f>
        <v>0</v>
      </c>
      <c r="W421" s="26"/>
      <c r="X421" s="26"/>
      <c r="Y421" s="26"/>
      <c r="Z421" s="26"/>
      <c r="AA421" s="26"/>
      <c r="AB421" s="33"/>
    </row>
    <row r="422" spans="1:28" x14ac:dyDescent="0.3">
      <c r="A422" s="32">
        <f>VLOOKUP(YEAR(C422),Flags!$A$13:$B$95,2,FALSE)</f>
        <v>1</v>
      </c>
      <c r="B422" s="24">
        <f t="shared" si="637"/>
        <v>1967</v>
      </c>
      <c r="C422" s="25">
        <v>24684</v>
      </c>
      <c r="D422" s="26">
        <f>VLOOKUP($C422,COS!$B$8:$H$991,3,FALSE)</f>
        <v>11558.0478515625</v>
      </c>
      <c r="E422" s="24">
        <f>IF(D422&gt;=IF(MONTH($C422)=4,$C$3,IF(MONTH($C422)=5,$C$4,IF(MONTH($C422)=6,$C$5,IF(MONTH($C422)=7,$C$6,"ERROR")))),1,0)</f>
        <v>0</v>
      </c>
      <c r="F422" s="26">
        <f>VLOOKUP($C422,COS!$B$8:$H$991,7,FALSE)</f>
        <v>52.531658172607422</v>
      </c>
      <c r="G422" s="24">
        <f>IF(F422&lt;=IF(MONTH($C422)=4,$F$3,IF(MONTH($C422)=5,$F$4,IF(MONTH($C422)=6,$F$5,IF(MONTH($C422)=7,$F$6,"ERROR")))),1,0)</f>
        <v>1</v>
      </c>
      <c r="H422" s="26">
        <f>IF(J422=1,D422-$C$6,0)</f>
        <v>0</v>
      </c>
      <c r="I422" s="26">
        <f t="shared" si="661"/>
        <v>0</v>
      </c>
      <c r="J422" s="24">
        <f t="shared" si="669"/>
        <v>0</v>
      </c>
      <c r="K422" s="26">
        <f>VLOOKUP($C422,COS!$B$8:$H$991,2,FALSE)</f>
        <v>4019.93115234375</v>
      </c>
      <c r="L422" s="24">
        <f t="shared" si="639"/>
        <v>1</v>
      </c>
      <c r="M422" s="24">
        <f t="shared" si="640"/>
        <v>0</v>
      </c>
      <c r="N422" s="26">
        <f>VLOOKUP($C422,COS!$B$8:$H$991,5,FALSE)</f>
        <v>1366.88818359375</v>
      </c>
      <c r="O422" s="26">
        <f t="shared" si="672"/>
        <v>84.046678396177683</v>
      </c>
      <c r="P422" s="26">
        <f>VLOOKUP($C422,COS!$B$8:$H$991,6,FALSE)</f>
        <v>2516.8701171875</v>
      </c>
      <c r="Q422" s="26">
        <f t="shared" si="673"/>
        <v>154.75631133780993</v>
      </c>
      <c r="R422" s="26">
        <f>MIN(IF(MONTH($C422)=4,$S$3,IF(MONTH($C422)=5,$S$4,IF(MONTH($C422)=6,$S$5,IF(MONTH($C422)=7,$S$6,"ERROR")))),MAX(VLOOKUP($C422,COS!$B$8:$K$991,10,FALSE)-IF(MONTH($C422)=4,$Y$3,IF(MONTH($C422)=5,$Y$4,IF(MONTH($C422)=6,$Y$5,IF(MONTH($C422)=7,$Y$6,"ERROR")))),0),MAX(VLOOKUP($C422,COS!$B$8:$K$991,9,FALSE)-IF(MONTH($C422)=4,$V$3,IF(MONTH($C422)=5,$V$4,IF(MONTH($C422)=6,$V$5,IF(MONTH($C422)=7,$V$6,"ERROR"))))-VLOOKUP($C422,COS!$B$8:$K$991,6,FALSE)/2,0))</f>
        <v>750</v>
      </c>
      <c r="S422" s="26">
        <f t="shared" si="674"/>
        <v>46.115702479338843</v>
      </c>
      <c r="T422" s="26">
        <f t="shared" si="675"/>
        <v>165.51719734633264</v>
      </c>
      <c r="U422" s="26" t="str">
        <f>IF(VLOOKUP($C422,COS!$B$8:$I$991,8,FALSE)=1,"UWFE","IBU")</f>
        <v>UWFE</v>
      </c>
      <c r="V422" s="26">
        <f t="shared" ref="V422" si="679">MIN(IF(IF($AA$3=2,AND(E422=1,G422=1,L422=1,L424=1,M422=1,U422="IBU"),AND(E422=1,G422=1,L422=1,L424=1,M422=1)),T422,0),I422)</f>
        <v>0</v>
      </c>
      <c r="W422" s="26"/>
      <c r="X422" s="26"/>
      <c r="Y422" s="26"/>
      <c r="Z422" s="26"/>
      <c r="AA422" s="26"/>
      <c r="AB422" s="33"/>
    </row>
    <row r="423" spans="1:28" x14ac:dyDescent="0.3">
      <c r="A423" s="32">
        <f>VLOOKUP(YEAR(C423),Flags!$A$13:$B$95,2,FALSE)</f>
        <v>1</v>
      </c>
      <c r="B423" s="24">
        <f t="shared" si="637"/>
        <v>1967</v>
      </c>
      <c r="C423" s="25">
        <v>24715</v>
      </c>
      <c r="D423" s="26"/>
      <c r="E423" s="24"/>
      <c r="F423" s="26"/>
      <c r="G423" s="24"/>
      <c r="H423" s="24"/>
      <c r="I423" s="26"/>
      <c r="J423" s="24"/>
      <c r="K423" s="26"/>
      <c r="L423" s="24"/>
      <c r="M423" s="24"/>
      <c r="N423" s="26"/>
      <c r="O423" s="26"/>
      <c r="P423" s="26"/>
      <c r="Q423" s="26"/>
      <c r="R423" s="26"/>
      <c r="S423" s="26"/>
      <c r="T423" s="26"/>
      <c r="U423" s="26"/>
      <c r="V423" s="26"/>
      <c r="W423" s="26">
        <f>MAX($C$7-VLOOKUP($C423,COS!$B$8:$H$991,3,FALSE),0)</f>
        <v>89940.6201171875</v>
      </c>
      <c r="X423" s="26">
        <f t="shared" si="667"/>
        <v>5530.2331708419424</v>
      </c>
      <c r="Y423" s="26">
        <f>VLOOKUP($C423,COS!$B$8:$H$991,4,FALSE)</f>
        <v>0</v>
      </c>
      <c r="Z423" s="26">
        <f t="shared" si="668"/>
        <v>0</v>
      </c>
      <c r="AA423" s="26">
        <f t="shared" ref="AA423:AA427" si="680">MIN(W423,Y423)</f>
        <v>0</v>
      </c>
      <c r="AB423" s="33">
        <f t="shared" ref="AB423" si="681">AA423*DAY($C423)*86400/43560/1000*IF(MONTH($C423)=8,$P$3,IF(MONTH($C423)=9,$P$4,IF(MONTH($C423)=10,$P$5,IF(MONTH($C423)=11,$P$6,IF(MONTH($C423)=12,$P$7,NA())))))</f>
        <v>0</v>
      </c>
    </row>
    <row r="424" spans="1:28" x14ac:dyDescent="0.3">
      <c r="A424" s="32">
        <f>VLOOKUP(YEAR(C424),Flags!$A$13:$B$95,2,FALSE)</f>
        <v>1</v>
      </c>
      <c r="B424" s="24">
        <f t="shared" si="637"/>
        <v>1967</v>
      </c>
      <c r="C424" s="25">
        <v>24745</v>
      </c>
      <c r="D424" s="26"/>
      <c r="E424" s="24"/>
      <c r="F424" s="26"/>
      <c r="G424" s="24"/>
      <c r="H424" s="24"/>
      <c r="I424" s="26"/>
      <c r="J424" s="24"/>
      <c r="K424" s="26">
        <f>VLOOKUP($C424,COS!$B$8:$H$991,2,FALSE)</f>
        <v>3126.86767578125</v>
      </c>
      <c r="L424" s="24">
        <f t="shared" ref="L424" si="682">IF(AND(K424&gt;$I$7,K424&lt;$I$8),1,0)</f>
        <v>1</v>
      </c>
      <c r="M424" s="24"/>
      <c r="N424" s="26"/>
      <c r="O424" s="26"/>
      <c r="P424" s="26"/>
      <c r="Q424" s="26"/>
      <c r="R424" s="26"/>
      <c r="S424" s="26"/>
      <c r="T424" s="26"/>
      <c r="U424" s="26"/>
      <c r="V424" s="26"/>
      <c r="W424" s="26">
        <f>MAX($C$8-VLOOKUP($C424,COS!$B$8:$H$991,3,FALSE),0)</f>
        <v>84275.95703125</v>
      </c>
      <c r="X424" s="26">
        <f t="shared" si="667"/>
        <v>5014.7676911157023</v>
      </c>
      <c r="Y424" s="26">
        <f>VLOOKUP($C424,COS!$B$8:$H$991,4,FALSE)</f>
        <v>0</v>
      </c>
      <c r="Z424" s="26">
        <f t="shared" si="668"/>
        <v>0</v>
      </c>
      <c r="AA424" s="26">
        <f t="shared" si="680"/>
        <v>0</v>
      </c>
      <c r="AB424" s="33">
        <f t="shared" si="650"/>
        <v>0</v>
      </c>
    </row>
    <row r="425" spans="1:28" x14ac:dyDescent="0.3">
      <c r="A425" s="32">
        <f>VLOOKUP(YEAR(C425),Flags!$A$13:$B$95,2,FALSE)</f>
        <v>1</v>
      </c>
      <c r="B425" s="24">
        <f t="shared" si="637"/>
        <v>1967</v>
      </c>
      <c r="C425" s="25">
        <v>24776</v>
      </c>
      <c r="D425" s="26"/>
      <c r="E425" s="24"/>
      <c r="F425" s="26"/>
      <c r="G425" s="26"/>
      <c r="H425" s="26"/>
      <c r="I425" s="26"/>
      <c r="J425" s="26"/>
      <c r="K425" s="26"/>
      <c r="L425" s="24"/>
      <c r="M425" s="24"/>
      <c r="N425" s="26"/>
      <c r="O425" s="26"/>
      <c r="P425" s="26"/>
      <c r="Q425" s="26"/>
      <c r="R425" s="26"/>
      <c r="S425" s="26"/>
      <c r="T425" s="26"/>
      <c r="U425" s="26"/>
      <c r="V425" s="26"/>
      <c r="W425" s="26">
        <f>MAX($C$9-VLOOKUP($C425,COS!$B$8:$H$991,3,FALSE),0)</f>
        <v>94715.58154296875</v>
      </c>
      <c r="X425" s="26">
        <f t="shared" si="667"/>
        <v>5823.8341047908061</v>
      </c>
      <c r="Y425" s="26">
        <f>VLOOKUP($C425,COS!$B$8:$H$991,4,FALSE)</f>
        <v>302.17996215820313</v>
      </c>
      <c r="Z425" s="26">
        <f t="shared" si="668"/>
        <v>18.580321640140756</v>
      </c>
      <c r="AA425" s="26">
        <f t="shared" si="680"/>
        <v>302.17996215820313</v>
      </c>
      <c r="AB425" s="33">
        <f t="shared" si="650"/>
        <v>18.580321640140756</v>
      </c>
    </row>
    <row r="426" spans="1:28" x14ac:dyDescent="0.3">
      <c r="A426" s="32">
        <f>VLOOKUP(YEAR(C426),Flags!$A$13:$B$95,2,FALSE)</f>
        <v>1</v>
      </c>
      <c r="B426" s="24">
        <f t="shared" si="637"/>
        <v>1967</v>
      </c>
      <c r="C426" s="25">
        <v>24806</v>
      </c>
      <c r="D426" s="26"/>
      <c r="E426" s="24"/>
      <c r="F426" s="26"/>
      <c r="G426" s="26"/>
      <c r="H426" s="26"/>
      <c r="I426" s="26"/>
      <c r="J426" s="26"/>
      <c r="K426" s="26"/>
      <c r="L426" s="24"/>
      <c r="M426" s="24"/>
      <c r="N426" s="26"/>
      <c r="O426" s="26"/>
      <c r="P426" s="26"/>
      <c r="Q426" s="26"/>
      <c r="R426" s="26"/>
      <c r="S426" s="26"/>
      <c r="T426" s="26"/>
      <c r="U426" s="26"/>
      <c r="V426" s="26"/>
      <c r="W426" s="26">
        <f>MAX($C$10-VLOOKUP($C426,COS!$B$8:$H$991,3,FALSE),0)</f>
        <v>91235.603515625</v>
      </c>
      <c r="X426" s="26">
        <f t="shared" si="667"/>
        <v>5428.895415805785</v>
      </c>
      <c r="Y426" s="26">
        <f>VLOOKUP($C426,COS!$B$8:$H$991,4,FALSE)</f>
        <v>1725.1964111328125</v>
      </c>
      <c r="Z426" s="26">
        <f t="shared" si="668"/>
        <v>102.65631537319214</v>
      </c>
      <c r="AA426" s="26">
        <f t="shared" si="680"/>
        <v>1725.1964111328125</v>
      </c>
      <c r="AB426" s="33">
        <f t="shared" si="650"/>
        <v>51.328157686596072</v>
      </c>
    </row>
    <row r="427" spans="1:28" x14ac:dyDescent="0.3">
      <c r="A427" s="34">
        <f>VLOOKUP(YEAR(C427),Flags!$A$13:$B$95,2,FALSE)</f>
        <v>1</v>
      </c>
      <c r="B427" s="35">
        <f t="shared" si="637"/>
        <v>1967</v>
      </c>
      <c r="C427" s="36">
        <v>24837</v>
      </c>
      <c r="D427" s="37"/>
      <c r="E427" s="35"/>
      <c r="F427" s="37"/>
      <c r="G427" s="37"/>
      <c r="H427" s="37"/>
      <c r="I427" s="37"/>
      <c r="J427" s="37"/>
      <c r="K427" s="37"/>
      <c r="L427" s="35"/>
      <c r="M427" s="35"/>
      <c r="N427" s="37"/>
      <c r="O427" s="37"/>
      <c r="P427" s="37"/>
      <c r="Q427" s="37"/>
      <c r="R427" s="37"/>
      <c r="S427" s="37"/>
      <c r="T427" s="37"/>
      <c r="U427" s="37"/>
      <c r="V427" s="37"/>
      <c r="W427" s="37">
        <f>MAX($C$11-VLOOKUP($C427,COS!$B$8:$H$991,3,FALSE),0)</f>
        <v>0</v>
      </c>
      <c r="X427" s="37">
        <f t="shared" si="667"/>
        <v>0</v>
      </c>
      <c r="Y427" s="37">
        <f>VLOOKUP($C427,COS!$B$8:$H$991,4,FALSE)</f>
        <v>0</v>
      </c>
      <c r="Z427" s="37">
        <f t="shared" si="668"/>
        <v>0</v>
      </c>
      <c r="AA427" s="37">
        <f t="shared" si="680"/>
        <v>0</v>
      </c>
      <c r="AB427" s="38">
        <f t="shared" si="650"/>
        <v>0</v>
      </c>
    </row>
    <row r="428" spans="1:28" x14ac:dyDescent="0.3">
      <c r="A428" s="27">
        <f>VLOOKUP(YEAR(C428),Flags!$A$13:$B$95,2,FALSE)</f>
        <v>3</v>
      </c>
      <c r="B428" s="28">
        <f t="shared" si="637"/>
        <v>1968</v>
      </c>
      <c r="C428" s="29">
        <v>24958</v>
      </c>
      <c r="D428" s="30">
        <f>VLOOKUP($C428,COS!$B$8:$H$991,3,FALSE)</f>
        <v>3250</v>
      </c>
      <c r="E428" s="28">
        <f>IF(D428&gt;=IF(MONTH($C428)=4,$C$3,IF(MONTH($C428)=5,$C$4,IF(MONTH($C428)=6,$C$5,IF(MONTH($C428)=7,$C$6,"ERROR")))),1,0)</f>
        <v>0</v>
      </c>
      <c r="F428" s="30">
        <f>VLOOKUP($C428,COS!$B$8:$H$991,7,FALSE)</f>
        <v>51.910366058349609</v>
      </c>
      <c r="G428" s="28">
        <f>IF(F428&lt;=IF(MONTH($C428)=4,$F$3,IF(MONTH($C428)=5,$F$4,IF(MONTH($C428)=6,$F$5,IF(MONTH($C428)=7,$F$6,"ERROR")))),1,0)</f>
        <v>1</v>
      </c>
      <c r="H428" s="30">
        <f>IF(J428=1,D428-$C$3,0)</f>
        <v>0</v>
      </c>
      <c r="I428" s="30">
        <f t="shared" si="661"/>
        <v>0</v>
      </c>
      <c r="J428" s="28">
        <f t="shared" ref="J428:J431" si="683">IF(AND(E428=1,G428=1),1,0)</f>
        <v>0</v>
      </c>
      <c r="K428" s="30">
        <f>VLOOKUP($C428,COS!$B$8:$H$991,2,FALSE)</f>
        <v>4387.3369140625</v>
      </c>
      <c r="L428" s="28">
        <f t="shared" ref="L428" si="684">IF(K428&lt;=IF(MONTH($C428)=4,$I$3,IF(MONTH($C428)=5,$I$4,IF(MONTH($C428)=6,$I$5,IF(MONTH($C428)=7,$I$6,"ERROR")))),1,0)</f>
        <v>1</v>
      </c>
      <c r="M428" s="28">
        <f t="shared" ref="M428" si="685">VLOOKUP($A428,$L$3:$M$7,2,FALSE)</f>
        <v>0</v>
      </c>
      <c r="N428" s="30">
        <f>VLOOKUP($C428,COS!$B$8:$H$991,5,FALSE)</f>
        <v>372.8587646484375</v>
      </c>
      <c r="O428" s="30">
        <f t="shared" ref="O428:O431" si="686">N428*DAY($C428)*86400/43560/1000</f>
        <v>22.186637235278926</v>
      </c>
      <c r="P428" s="30">
        <f>VLOOKUP($C428,COS!$B$8:$H$991,6,FALSE)</f>
        <v>480.01702880859375</v>
      </c>
      <c r="Q428" s="30">
        <f t="shared" ref="Q428:Q431" si="687">P428*DAY($C428)*86400/43560/1000</f>
        <v>28.562996755552685</v>
      </c>
      <c r="R428" s="30">
        <f>MIN(IF(MONTH($C428)=4,$S$3,IF(MONTH($C428)=5,$S$4,IF(MONTH($C428)=6,$S$5,IF(MONTH($C428)=7,$S$6,"ERROR")))),MAX(VLOOKUP($C428,COS!$B$8:$K$991,10,FALSE)-IF(MONTH($C428)=4,$Y$3,IF(MONTH($C428)=5,$Y$4,IF(MONTH($C428)=6,$Y$5,IF(MONTH($C428)=7,$Y$6,"ERROR")))),0),MAX(VLOOKUP($C428,COS!$B$8:$K$991,9,FALSE)-IF(MONTH($C428)=4,$V$3,IF(MONTH($C428)=5,$V$4,IF(MONTH($C428)=6,$V$5,IF(MONTH($C428)=7,$V$6,"ERROR"))))-VLOOKUP($C428,COS!$B$8:$K$991,6,FALSE)/2,0))</f>
        <v>750</v>
      </c>
      <c r="S428" s="30">
        <f t="shared" ref="S428:S431" si="688">R428*DAY($C428)*86400/43560/1000</f>
        <v>44.628099173553714</v>
      </c>
      <c r="T428" s="30">
        <f t="shared" ref="T428:T431" si="689">(O428+Q428)/2+S428</f>
        <v>70.00291616896952</v>
      </c>
      <c r="U428" s="30" t="str">
        <f>IF(VLOOKUP($C428,COS!$B$8:$I$991,8,FALSE)=1,"UWFE","IBU")</f>
        <v>UWFE</v>
      </c>
      <c r="V428" s="30">
        <f t="shared" ref="V428" si="690">MIN(IF(IF($AA$3=2,AND(E428=1,G428=1,L428=1,L433=1,M428=1,U428="IBU"),AND(E428=1,G428=1,L428=1,L433=1,M428=1)),T428,0),I428)</f>
        <v>0</v>
      </c>
      <c r="W428" s="30"/>
      <c r="X428" s="30"/>
      <c r="Y428" s="30"/>
      <c r="Z428" s="30"/>
      <c r="AA428" s="30"/>
      <c r="AB428" s="31"/>
    </row>
    <row r="429" spans="1:28" x14ac:dyDescent="0.3">
      <c r="A429" s="32">
        <f>VLOOKUP(YEAR(C429),Flags!$A$13:$B$95,2,FALSE)</f>
        <v>3</v>
      </c>
      <c r="B429" s="24">
        <f t="shared" si="637"/>
        <v>1968</v>
      </c>
      <c r="C429" s="25">
        <v>24989</v>
      </c>
      <c r="D429" s="26">
        <f>VLOOKUP($C429,COS!$B$8:$H$991,3,FALSE)</f>
        <v>7092.59228515625</v>
      </c>
      <c r="E429" s="24">
        <f>IF(D429&gt;=IF(MONTH($C429)=4,$C$3,IF(MONTH($C429)=5,$C$4,IF(MONTH($C429)=6,$C$5,IF(MONTH($C429)=7,$C$6,"ERROR")))),1,0)</f>
        <v>1</v>
      </c>
      <c r="F429" s="26">
        <f>VLOOKUP($C429,COS!$B$8:$H$991,7,FALSE)</f>
        <v>51.028709411621094</v>
      </c>
      <c r="G429" s="24">
        <f>IF(F429&lt;=IF(MONTH($C429)=4,$F$3,IF(MONTH($C429)=5,$F$4,IF(MONTH($C429)=6,$F$5,IF(MONTH($C429)=7,$F$6,"ERROR")))),1,0)</f>
        <v>1</v>
      </c>
      <c r="H429" s="26">
        <f>IF(J429=1,D429-$C$4,0)</f>
        <v>1092.59228515625</v>
      </c>
      <c r="I429" s="26">
        <f t="shared" si="661"/>
        <v>67.180881004648768</v>
      </c>
      <c r="J429" s="24">
        <f t="shared" si="683"/>
        <v>1</v>
      </c>
      <c r="K429" s="26">
        <f>VLOOKUP($C429,COS!$B$8:$H$991,2,FALSE)</f>
        <v>4254.63671875</v>
      </c>
      <c r="L429" s="24">
        <f t="shared" si="639"/>
        <v>1</v>
      </c>
      <c r="M429" s="24">
        <f t="shared" si="640"/>
        <v>0</v>
      </c>
      <c r="N429" s="26">
        <f>VLOOKUP($C429,COS!$B$8:$H$991,5,FALSE)</f>
        <v>578.8367919921875</v>
      </c>
      <c r="O429" s="26">
        <f t="shared" si="686"/>
        <v>35.591287044808887</v>
      </c>
      <c r="P429" s="26">
        <f>VLOOKUP($C429,COS!$B$8:$H$991,6,FALSE)</f>
        <v>2198.37158203125</v>
      </c>
      <c r="Q429" s="26">
        <f t="shared" si="687"/>
        <v>135.17259975464876</v>
      </c>
      <c r="R429" s="26">
        <f>MIN(IF(MONTH($C429)=4,$S$3,IF(MONTH($C429)=5,$S$4,IF(MONTH($C429)=6,$S$5,IF(MONTH($C429)=7,$S$6,"ERROR")))),MAX(VLOOKUP($C429,COS!$B$8:$K$991,10,FALSE)-IF(MONTH($C429)=4,$Y$3,IF(MONTH($C429)=5,$Y$4,IF(MONTH($C429)=6,$Y$5,IF(MONTH($C429)=7,$Y$6,"ERROR")))),0),MAX(VLOOKUP($C429,COS!$B$8:$K$991,9,FALSE)-IF(MONTH($C429)=4,$V$3,IF(MONTH($C429)=5,$V$4,IF(MONTH($C429)=6,$V$5,IF(MONTH($C429)=7,$V$6,"ERROR"))))-VLOOKUP($C429,COS!$B$8:$K$991,6,FALSE)/2,0))</f>
        <v>750</v>
      </c>
      <c r="S429" s="26">
        <f t="shared" si="688"/>
        <v>46.115702479338843</v>
      </c>
      <c r="T429" s="26">
        <f t="shared" si="689"/>
        <v>131.49764587906768</v>
      </c>
      <c r="U429" s="26" t="str">
        <f>IF(VLOOKUP($C429,COS!$B$8:$I$991,8,FALSE)=1,"UWFE","IBU")</f>
        <v>UWFE</v>
      </c>
      <c r="V429" s="26">
        <f t="shared" ref="V429" si="691">MIN(IF(IF($AA$3=2,AND(E429=1,G429=1,L429=1,L433=1,M429=1,U429="IBU"),AND(E429=1,G429=1,L429=1,L433=1,M429=1)),T429,0),I429)</f>
        <v>0</v>
      </c>
      <c r="W429" s="26"/>
      <c r="X429" s="26"/>
      <c r="Y429" s="26"/>
      <c r="Z429" s="26"/>
      <c r="AA429" s="26"/>
      <c r="AB429" s="33"/>
    </row>
    <row r="430" spans="1:28" x14ac:dyDescent="0.3">
      <c r="A430" s="32">
        <f>VLOOKUP(YEAR(C430),Flags!$A$13:$B$95,2,FALSE)</f>
        <v>3</v>
      </c>
      <c r="B430" s="24">
        <f t="shared" si="637"/>
        <v>1968</v>
      </c>
      <c r="C430" s="25">
        <v>25019</v>
      </c>
      <c r="D430" s="26">
        <f>VLOOKUP($C430,COS!$B$8:$H$991,3,FALSE)</f>
        <v>13090.2783203125</v>
      </c>
      <c r="E430" s="24">
        <f>IF(D430&gt;=IF(MONTH($C430)=4,$C$3,IF(MONTH($C430)=5,$C$4,IF(MONTH($C430)=6,$C$5,IF(MONTH($C430)=7,$C$6,"ERROR")))),1,0)</f>
        <v>1</v>
      </c>
      <c r="F430" s="26">
        <f>VLOOKUP($C430,COS!$B$8:$H$991,7,FALSE)</f>
        <v>50.739017486572266</v>
      </c>
      <c r="G430" s="24">
        <f>IF(F430&lt;=IF(MONTH($C430)=4,$F$3,IF(MONTH($C430)=5,$F$4,IF(MONTH($C430)=6,$F$5,IF(MONTH($C430)=7,$F$6,"ERROR")))),1,0)</f>
        <v>1</v>
      </c>
      <c r="H430" s="26">
        <f>IF(J430=1,D430-$C$5,0)</f>
        <v>3090.2783203125</v>
      </c>
      <c r="I430" s="26">
        <f t="shared" si="661"/>
        <v>183.884329803719</v>
      </c>
      <c r="J430" s="24">
        <f t="shared" si="683"/>
        <v>1</v>
      </c>
      <c r="K430" s="26">
        <f>VLOOKUP($C430,COS!$B$8:$H$991,2,FALSE)</f>
        <v>3698.470458984375</v>
      </c>
      <c r="L430" s="24">
        <f t="shared" si="639"/>
        <v>1</v>
      </c>
      <c r="M430" s="24">
        <f t="shared" si="640"/>
        <v>0</v>
      </c>
      <c r="N430" s="26">
        <f>VLOOKUP($C430,COS!$B$8:$H$991,5,FALSE)</f>
        <v>708.03900146484375</v>
      </c>
      <c r="O430" s="26">
        <f t="shared" si="686"/>
        <v>42.131246368155992</v>
      </c>
      <c r="P430" s="26">
        <f>VLOOKUP($C430,COS!$B$8:$H$991,6,FALSE)</f>
        <v>2497.662353515625</v>
      </c>
      <c r="Q430" s="26">
        <f t="shared" si="687"/>
        <v>148.62123095299586</v>
      </c>
      <c r="R430" s="26">
        <f>MIN(IF(MONTH($C430)=4,$S$3,IF(MONTH($C430)=5,$S$4,IF(MONTH($C430)=6,$S$5,IF(MONTH($C430)=7,$S$6,"ERROR")))),MAX(VLOOKUP($C430,COS!$B$8:$K$991,10,FALSE)-IF(MONTH($C430)=4,$Y$3,IF(MONTH($C430)=5,$Y$4,IF(MONTH($C430)=6,$Y$5,IF(MONTH($C430)=7,$Y$6,"ERROR")))),0),MAX(VLOOKUP($C430,COS!$B$8:$K$991,9,FALSE)-IF(MONTH($C430)=4,$V$3,IF(MONTH($C430)=5,$V$4,IF(MONTH($C430)=6,$V$5,IF(MONTH($C430)=7,$V$6,"ERROR"))))-VLOOKUP($C430,COS!$B$8:$K$991,6,FALSE)/2,0))</f>
        <v>750</v>
      </c>
      <c r="S430" s="26">
        <f t="shared" si="688"/>
        <v>44.628099173553714</v>
      </c>
      <c r="T430" s="26">
        <f t="shared" si="689"/>
        <v>140.00433783412964</v>
      </c>
      <c r="U430" s="26" t="str">
        <f>IF(VLOOKUP($C430,COS!$B$8:$I$991,8,FALSE)=1,"UWFE","IBU")</f>
        <v>IBU</v>
      </c>
      <c r="V430" s="26">
        <f t="shared" ref="V430" si="692">MIN(IF(IF($AA$3=2,AND(E430=1,G430=1,L430=1,L433=1,M430=1,U430="IBU"),AND(E430=1,G430=1,L430=1,L433=1,M430=1)),T430,0),I430)</f>
        <v>0</v>
      </c>
      <c r="W430" s="26"/>
      <c r="X430" s="26"/>
      <c r="Y430" s="26"/>
      <c r="Z430" s="26"/>
      <c r="AA430" s="26"/>
      <c r="AB430" s="33"/>
    </row>
    <row r="431" spans="1:28" x14ac:dyDescent="0.3">
      <c r="A431" s="32">
        <f>VLOOKUP(YEAR(C431),Flags!$A$13:$B$95,2,FALSE)</f>
        <v>3</v>
      </c>
      <c r="B431" s="24">
        <f t="shared" si="637"/>
        <v>1968</v>
      </c>
      <c r="C431" s="25">
        <v>25050</v>
      </c>
      <c r="D431" s="26">
        <f>VLOOKUP($C431,COS!$B$8:$H$991,3,FALSE)</f>
        <v>16000</v>
      </c>
      <c r="E431" s="24">
        <f>IF(D431&gt;=IF(MONTH($C431)=4,$C$3,IF(MONTH($C431)=5,$C$4,IF(MONTH($C431)=6,$C$5,IF(MONTH($C431)=7,$C$6,"ERROR")))),1,0)</f>
        <v>1</v>
      </c>
      <c r="F431" s="26">
        <f>VLOOKUP($C431,COS!$B$8:$H$991,7,FALSE)</f>
        <v>51.892650604248047</v>
      </c>
      <c r="G431" s="24">
        <f>IF(F431&lt;=IF(MONTH($C431)=4,$F$3,IF(MONTH($C431)=5,$F$4,IF(MONTH($C431)=6,$F$5,IF(MONTH($C431)=7,$F$6,"ERROR")))),1,0)</f>
        <v>1</v>
      </c>
      <c r="H431" s="26">
        <f>IF(J431=1,D431-$C$6,0)</f>
        <v>4000</v>
      </c>
      <c r="I431" s="26">
        <f t="shared" si="661"/>
        <v>245.95041322314049</v>
      </c>
      <c r="J431" s="24">
        <f t="shared" si="683"/>
        <v>1</v>
      </c>
      <c r="K431" s="26">
        <f>VLOOKUP($C431,COS!$B$8:$H$991,2,FALSE)</f>
        <v>3020.87158203125</v>
      </c>
      <c r="L431" s="24">
        <f t="shared" si="639"/>
        <v>1</v>
      </c>
      <c r="M431" s="24">
        <f t="shared" si="640"/>
        <v>0</v>
      </c>
      <c r="N431" s="26">
        <f>VLOOKUP($C431,COS!$B$8:$H$991,5,FALSE)</f>
        <v>869.43463134765625</v>
      </c>
      <c r="O431" s="26">
        <f t="shared" si="686"/>
        <v>53.459451712616215</v>
      </c>
      <c r="P431" s="26">
        <f>VLOOKUP($C431,COS!$B$8:$H$991,6,FALSE)</f>
        <v>2537.385498046875</v>
      </c>
      <c r="Q431" s="26">
        <f t="shared" si="687"/>
        <v>156.01775293775825</v>
      </c>
      <c r="R431" s="26">
        <f>MIN(IF(MONTH($C431)=4,$S$3,IF(MONTH($C431)=5,$S$4,IF(MONTH($C431)=6,$S$5,IF(MONTH($C431)=7,$S$6,"ERROR")))),MAX(VLOOKUP($C431,COS!$B$8:$K$991,10,FALSE)-IF(MONTH($C431)=4,$Y$3,IF(MONTH($C431)=5,$Y$4,IF(MONTH($C431)=6,$Y$5,IF(MONTH($C431)=7,$Y$6,"ERROR")))),0),MAX(VLOOKUP($C431,COS!$B$8:$K$991,9,FALSE)-IF(MONTH($C431)=4,$V$3,IF(MONTH($C431)=5,$V$4,IF(MONTH($C431)=6,$V$5,IF(MONTH($C431)=7,$V$6,"ERROR"))))-VLOOKUP($C431,COS!$B$8:$K$991,6,FALSE)/2,0))</f>
        <v>750</v>
      </c>
      <c r="S431" s="26">
        <f t="shared" si="688"/>
        <v>46.115702479338843</v>
      </c>
      <c r="T431" s="26">
        <f t="shared" si="689"/>
        <v>150.85430480452607</v>
      </c>
      <c r="U431" s="26" t="str">
        <f>IF(VLOOKUP($C431,COS!$B$8:$I$991,8,FALSE)=1,"UWFE","IBU")</f>
        <v>IBU</v>
      </c>
      <c r="V431" s="26">
        <f t="shared" ref="V431" si="693">MIN(IF(IF($AA$3=2,AND(E431=1,G431=1,L431=1,L433=1,M431=1,U431="IBU"),AND(E431=1,G431=1,L431=1,L433=1,M431=1)),T431,0),I431)</f>
        <v>0</v>
      </c>
      <c r="W431" s="26"/>
      <c r="X431" s="26"/>
      <c r="Y431" s="26"/>
      <c r="Z431" s="26"/>
      <c r="AA431" s="26"/>
      <c r="AB431" s="33"/>
    </row>
    <row r="432" spans="1:28" x14ac:dyDescent="0.3">
      <c r="A432" s="32">
        <f>VLOOKUP(YEAR(C432),Flags!$A$13:$B$95,2,FALSE)</f>
        <v>3</v>
      </c>
      <c r="B432" s="24">
        <f t="shared" si="637"/>
        <v>1968</v>
      </c>
      <c r="C432" s="25">
        <v>25081</v>
      </c>
      <c r="D432" s="26"/>
      <c r="E432" s="24"/>
      <c r="F432" s="26"/>
      <c r="G432" s="24"/>
      <c r="H432" s="24"/>
      <c r="I432" s="26"/>
      <c r="J432" s="24"/>
      <c r="K432" s="26"/>
      <c r="L432" s="24"/>
      <c r="M432" s="24"/>
      <c r="N432" s="26"/>
      <c r="O432" s="26"/>
      <c r="P432" s="26"/>
      <c r="Q432" s="26"/>
      <c r="R432" s="26"/>
      <c r="S432" s="26"/>
      <c r="T432" s="26"/>
      <c r="U432" s="26"/>
      <c r="V432" s="26"/>
      <c r="W432" s="26">
        <f>MAX($C$7-VLOOKUP($C432,COS!$B$8:$H$991,3,FALSE),0)</f>
        <v>91885.423828125</v>
      </c>
      <c r="X432" s="26">
        <f t="shared" si="667"/>
        <v>5649.8144899276858</v>
      </c>
      <c r="Y432" s="26">
        <f>VLOOKUP($C432,COS!$B$8:$H$991,4,FALSE)</f>
        <v>520.4456787109375</v>
      </c>
      <c r="Z432" s="26">
        <f t="shared" si="668"/>
        <v>32.000957434788219</v>
      </c>
      <c r="AA432" s="26">
        <f t="shared" ref="AA432:AA436" si="694">MIN(W432,Y432)</f>
        <v>520.4456787109375</v>
      </c>
      <c r="AB432" s="33">
        <f t="shared" ref="AB432" si="695">AA432*DAY($C432)*86400/43560/1000*IF(MONTH($C432)=8,$P$3,IF(MONTH($C432)=9,$P$4,IF(MONTH($C432)=10,$P$5,IF(MONTH($C432)=11,$P$6,IF(MONTH($C432)=12,$P$7,NA())))))</f>
        <v>32.000957434788219</v>
      </c>
    </row>
    <row r="433" spans="1:28" x14ac:dyDescent="0.3">
      <c r="A433" s="32">
        <f>VLOOKUP(YEAR(C433),Flags!$A$13:$B$95,2,FALSE)</f>
        <v>3</v>
      </c>
      <c r="B433" s="24">
        <f t="shared" si="637"/>
        <v>1968</v>
      </c>
      <c r="C433" s="25">
        <v>25111</v>
      </c>
      <c r="D433" s="26"/>
      <c r="E433" s="24"/>
      <c r="F433" s="26"/>
      <c r="G433" s="24"/>
      <c r="H433" s="24"/>
      <c r="I433" s="26"/>
      <c r="J433" s="24"/>
      <c r="K433" s="26">
        <f>VLOOKUP($C433,COS!$B$8:$H$991,2,FALSE)</f>
        <v>2794.065185546875</v>
      </c>
      <c r="L433" s="24">
        <f t="shared" ref="L433" si="696">IF(AND(K433&gt;$I$7,K433&lt;$I$8),1,0)</f>
        <v>1</v>
      </c>
      <c r="M433" s="24"/>
      <c r="N433" s="26"/>
      <c r="O433" s="26"/>
      <c r="P433" s="26"/>
      <c r="Q433" s="26"/>
      <c r="R433" s="26"/>
      <c r="S433" s="26"/>
      <c r="T433" s="26"/>
      <c r="U433" s="26"/>
      <c r="V433" s="26"/>
      <c r="W433" s="26">
        <f>MAX($C$8-VLOOKUP($C433,COS!$B$8:$H$991,3,FALSE),0)</f>
        <v>93395.6298828125</v>
      </c>
      <c r="X433" s="26">
        <f t="shared" si="667"/>
        <v>5557.4259103822315</v>
      </c>
      <c r="Y433" s="26">
        <f>VLOOKUP($C433,COS!$B$8:$H$991,4,FALSE)</f>
        <v>164.13697814941406</v>
      </c>
      <c r="Z433" s="26">
        <f t="shared" si="668"/>
        <v>9.76682845186596</v>
      </c>
      <c r="AA433" s="26">
        <f t="shared" si="694"/>
        <v>164.13697814941406</v>
      </c>
      <c r="AB433" s="33">
        <f t="shared" si="650"/>
        <v>9.76682845186596</v>
      </c>
    </row>
    <row r="434" spans="1:28" x14ac:dyDescent="0.3">
      <c r="A434" s="32">
        <f>VLOOKUP(YEAR(C434),Flags!$A$13:$B$95,2,FALSE)</f>
        <v>3</v>
      </c>
      <c r="B434" s="24">
        <f t="shared" si="637"/>
        <v>1968</v>
      </c>
      <c r="C434" s="25">
        <v>25142</v>
      </c>
      <c r="D434" s="26"/>
      <c r="E434" s="24"/>
      <c r="F434" s="26"/>
      <c r="G434" s="26"/>
      <c r="H434" s="26"/>
      <c r="I434" s="26"/>
      <c r="J434" s="26"/>
      <c r="K434" s="26"/>
      <c r="L434" s="24"/>
      <c r="M434" s="24"/>
      <c r="N434" s="26"/>
      <c r="O434" s="26"/>
      <c r="P434" s="26"/>
      <c r="Q434" s="26"/>
      <c r="R434" s="26"/>
      <c r="S434" s="26"/>
      <c r="T434" s="26"/>
      <c r="U434" s="26"/>
      <c r="V434" s="26"/>
      <c r="W434" s="26">
        <f>MAX($C$9-VLOOKUP($C434,COS!$B$8:$H$991,3,FALSE),0)</f>
        <v>94950.54296875</v>
      </c>
      <c r="X434" s="26">
        <f t="shared" si="667"/>
        <v>5838.2813197314053</v>
      </c>
      <c r="Y434" s="26">
        <f>VLOOKUP($C434,COS!$B$8:$H$991,4,FALSE)</f>
        <v>1019.0936889648438</v>
      </c>
      <c r="Z434" s="26">
        <f t="shared" si="668"/>
        <v>62.661628478499487</v>
      </c>
      <c r="AA434" s="26">
        <f t="shared" si="694"/>
        <v>1019.0936889648438</v>
      </c>
      <c r="AB434" s="33">
        <f t="shared" si="650"/>
        <v>62.661628478499487</v>
      </c>
    </row>
    <row r="435" spans="1:28" x14ac:dyDescent="0.3">
      <c r="A435" s="32">
        <f>VLOOKUP(YEAR(C435),Flags!$A$13:$B$95,2,FALSE)</f>
        <v>3</v>
      </c>
      <c r="B435" s="24">
        <f t="shared" si="637"/>
        <v>1968</v>
      </c>
      <c r="C435" s="25">
        <v>25172</v>
      </c>
      <c r="D435" s="26"/>
      <c r="E435" s="24"/>
      <c r="F435" s="26"/>
      <c r="G435" s="26"/>
      <c r="H435" s="26"/>
      <c r="I435" s="26"/>
      <c r="J435" s="26"/>
      <c r="K435" s="26"/>
      <c r="L435" s="24"/>
      <c r="M435" s="24"/>
      <c r="N435" s="26"/>
      <c r="O435" s="26"/>
      <c r="P435" s="26"/>
      <c r="Q435" s="26"/>
      <c r="R435" s="26"/>
      <c r="S435" s="26"/>
      <c r="T435" s="26"/>
      <c r="U435" s="26"/>
      <c r="V435" s="26"/>
      <c r="W435" s="26">
        <f>MAX($C$10-VLOOKUP($C435,COS!$B$8:$H$991,3,FALSE),0)</f>
        <v>96749</v>
      </c>
      <c r="X435" s="26">
        <f t="shared" si="667"/>
        <v>5756.965289256198</v>
      </c>
      <c r="Y435" s="26">
        <f>VLOOKUP($C435,COS!$B$8:$H$991,4,FALSE)</f>
        <v>448.95883178710938</v>
      </c>
      <c r="Z435" s="26">
        <f t="shared" si="668"/>
        <v>26.714905693117252</v>
      </c>
      <c r="AA435" s="26">
        <f t="shared" si="694"/>
        <v>448.95883178710938</v>
      </c>
      <c r="AB435" s="33">
        <f t="shared" si="650"/>
        <v>13.357452846558626</v>
      </c>
    </row>
    <row r="436" spans="1:28" x14ac:dyDescent="0.3">
      <c r="A436" s="34">
        <f>VLOOKUP(YEAR(C436),Flags!$A$13:$B$95,2,FALSE)</f>
        <v>3</v>
      </c>
      <c r="B436" s="35">
        <f t="shared" si="637"/>
        <v>1968</v>
      </c>
      <c r="C436" s="36">
        <v>25203</v>
      </c>
      <c r="D436" s="37"/>
      <c r="E436" s="35"/>
      <c r="F436" s="37"/>
      <c r="G436" s="37"/>
      <c r="H436" s="37"/>
      <c r="I436" s="37"/>
      <c r="J436" s="37"/>
      <c r="K436" s="37"/>
      <c r="L436" s="35"/>
      <c r="M436" s="35"/>
      <c r="N436" s="37"/>
      <c r="O436" s="37"/>
      <c r="P436" s="37"/>
      <c r="Q436" s="37"/>
      <c r="R436" s="37"/>
      <c r="S436" s="37"/>
      <c r="T436" s="37"/>
      <c r="U436" s="37"/>
      <c r="V436" s="37"/>
      <c r="W436" s="37">
        <f>MAX($C$11-VLOOKUP($C436,COS!$B$8:$H$991,3,FALSE),0)</f>
        <v>0</v>
      </c>
      <c r="X436" s="37">
        <f t="shared" si="667"/>
        <v>0</v>
      </c>
      <c r="Y436" s="37">
        <f>VLOOKUP($C436,COS!$B$8:$H$991,4,FALSE)</f>
        <v>0</v>
      </c>
      <c r="Z436" s="37">
        <f t="shared" si="668"/>
        <v>0</v>
      </c>
      <c r="AA436" s="37">
        <f t="shared" si="694"/>
        <v>0</v>
      </c>
      <c r="AB436" s="38">
        <f t="shared" si="650"/>
        <v>0</v>
      </c>
    </row>
    <row r="437" spans="1:28" x14ac:dyDescent="0.3">
      <c r="A437" s="27">
        <f>VLOOKUP(YEAR(C437),Flags!$A$13:$B$95,2,FALSE)</f>
        <v>1</v>
      </c>
      <c r="B437" s="28">
        <f t="shared" si="637"/>
        <v>1969</v>
      </c>
      <c r="C437" s="29">
        <v>25323</v>
      </c>
      <c r="D437" s="30">
        <f>VLOOKUP($C437,COS!$B$8:$H$991,3,FALSE)</f>
        <v>9669.7626953125</v>
      </c>
      <c r="E437" s="28">
        <f>IF(D437&gt;=IF(MONTH($C437)=4,$C$3,IF(MONTH($C437)=5,$C$4,IF(MONTH($C437)=6,$C$5,IF(MONTH($C437)=7,$C$6,"ERROR")))),1,0)</f>
        <v>1</v>
      </c>
      <c r="F437" s="30">
        <f>VLOOKUP($C437,COS!$B$8:$H$991,7,FALSE)</f>
        <v>46.990718841552734</v>
      </c>
      <c r="G437" s="28">
        <f>IF(F437&lt;=IF(MONTH($C437)=4,$F$3,IF(MONTH($C437)=5,$F$4,IF(MONTH($C437)=6,$F$5,IF(MONTH($C437)=7,$F$6,"ERROR")))),1,0)</f>
        <v>1</v>
      </c>
      <c r="H437" s="30">
        <f>IF(J437=1,D437-$C$3,0)</f>
        <v>3669.7626953125</v>
      </c>
      <c r="I437" s="30">
        <f t="shared" si="661"/>
        <v>218.36604467975206</v>
      </c>
      <c r="J437" s="28">
        <f t="shared" ref="J437:J440" si="697">IF(AND(E437=1,G437=1),1,0)</f>
        <v>1</v>
      </c>
      <c r="K437" s="30">
        <f>VLOOKUP($C437,COS!$B$8:$H$991,2,FALSE)</f>
        <v>4434</v>
      </c>
      <c r="L437" s="28">
        <f t="shared" ref="L437" si="698">IF(K437&lt;=IF(MONTH($C437)=4,$I$3,IF(MONTH($C437)=5,$I$4,IF(MONTH($C437)=6,$I$5,IF(MONTH($C437)=7,$I$6,"ERROR")))),1,0)</f>
        <v>1</v>
      </c>
      <c r="M437" s="28">
        <f t="shared" ref="M437" si="699">VLOOKUP($A437,$L$3:$M$7,2,FALSE)</f>
        <v>0</v>
      </c>
      <c r="N437" s="30">
        <f>VLOOKUP($C437,COS!$B$8:$H$991,5,FALSE)</f>
        <v>171.73318481445313</v>
      </c>
      <c r="O437" s="30">
        <f t="shared" ref="O437:O440" si="700">N437*DAY($C437)*86400/43560/1000</f>
        <v>10.218834137719524</v>
      </c>
      <c r="P437" s="30">
        <f>VLOOKUP($C437,COS!$B$8:$H$991,6,FALSE)</f>
        <v>463.4422607421875</v>
      </c>
      <c r="Q437" s="30">
        <f t="shared" ref="Q437:Q440" si="701">P437*DAY($C437)*86400/43560/1000</f>
        <v>27.576729564824383</v>
      </c>
      <c r="R437" s="30">
        <f>MIN(IF(MONTH($C437)=4,$S$3,IF(MONTH($C437)=5,$S$4,IF(MONTH($C437)=6,$S$5,IF(MONTH($C437)=7,$S$6,"ERROR")))),MAX(VLOOKUP($C437,COS!$B$8:$K$991,10,FALSE)-IF(MONTH($C437)=4,$Y$3,IF(MONTH($C437)=5,$Y$4,IF(MONTH($C437)=6,$Y$5,IF(MONTH($C437)=7,$Y$6,"ERROR")))),0),MAX(VLOOKUP($C437,COS!$B$8:$K$991,9,FALSE)-IF(MONTH($C437)=4,$V$3,IF(MONTH($C437)=5,$V$4,IF(MONTH($C437)=6,$V$5,IF(MONTH($C437)=7,$V$6,"ERROR"))))-VLOOKUP($C437,COS!$B$8:$K$991,6,FALSE)/2,0))</f>
        <v>750</v>
      </c>
      <c r="S437" s="30">
        <f t="shared" ref="S437:S440" si="702">R437*DAY($C437)*86400/43560/1000</f>
        <v>44.628099173553714</v>
      </c>
      <c r="T437" s="30">
        <f t="shared" ref="T437:T440" si="703">(O437+Q437)/2+S437</f>
        <v>63.525881024825665</v>
      </c>
      <c r="U437" s="30" t="str">
        <f>IF(VLOOKUP($C437,COS!$B$8:$I$991,8,FALSE)=1,"UWFE","IBU")</f>
        <v>UWFE</v>
      </c>
      <c r="V437" s="30">
        <f t="shared" ref="V437" si="704">MIN(IF(IF($AA$3=2,AND(E437=1,G437=1,L437=1,L442=1,M437=1,U437="IBU"),AND(E437=1,G437=1,L437=1,L442=1,M437=1)),T437,0),I437)</f>
        <v>0</v>
      </c>
      <c r="W437" s="30"/>
      <c r="X437" s="30"/>
      <c r="Y437" s="30"/>
      <c r="Z437" s="30"/>
      <c r="AA437" s="30"/>
      <c r="AB437" s="31"/>
    </row>
    <row r="438" spans="1:28" x14ac:dyDescent="0.3">
      <c r="A438" s="32">
        <f>VLOOKUP(YEAR(C438),Flags!$A$13:$B$95,2,FALSE)</f>
        <v>1</v>
      </c>
      <c r="B438" s="24">
        <f t="shared" si="637"/>
        <v>1969</v>
      </c>
      <c r="C438" s="25">
        <v>25354</v>
      </c>
      <c r="D438" s="26">
        <f>VLOOKUP($C438,COS!$B$8:$H$991,3,FALSE)</f>
        <v>9579.4580078125</v>
      </c>
      <c r="E438" s="24">
        <f>IF(D438&gt;=IF(MONTH($C438)=4,$C$3,IF(MONTH($C438)=5,$C$4,IF(MONTH($C438)=6,$C$5,IF(MONTH($C438)=7,$C$6,"ERROR")))),1,0)</f>
        <v>1</v>
      </c>
      <c r="F438" s="26">
        <f>VLOOKUP($C438,COS!$B$8:$H$991,7,FALSE)</f>
        <v>48.872310638427734</v>
      </c>
      <c r="G438" s="24">
        <f>IF(F438&lt;=IF(MONTH($C438)=4,$F$3,IF(MONTH($C438)=5,$F$4,IF(MONTH($C438)=6,$F$5,IF(MONTH($C438)=7,$F$6,"ERROR")))),1,0)</f>
        <v>1</v>
      </c>
      <c r="H438" s="26">
        <f>IF(J438=1,D438-$C$4,0)</f>
        <v>3579.4580078125</v>
      </c>
      <c r="I438" s="26">
        <f t="shared" si="661"/>
        <v>220.09229403409091</v>
      </c>
      <c r="J438" s="24">
        <f t="shared" si="697"/>
        <v>1</v>
      </c>
      <c r="K438" s="26">
        <f>VLOOKUP($C438,COS!$B$8:$H$991,2,FALSE)</f>
        <v>4552</v>
      </c>
      <c r="L438" s="24">
        <f t="shared" si="639"/>
        <v>1</v>
      </c>
      <c r="M438" s="24">
        <f t="shared" si="640"/>
        <v>0</v>
      </c>
      <c r="N438" s="26">
        <f>VLOOKUP($C438,COS!$B$8:$H$991,5,FALSE)</f>
        <v>779.53582763671875</v>
      </c>
      <c r="O438" s="26">
        <f t="shared" si="700"/>
        <v>47.931789732373453</v>
      </c>
      <c r="P438" s="26">
        <f>VLOOKUP($C438,COS!$B$8:$H$991,6,FALSE)</f>
        <v>2345.609619140625</v>
      </c>
      <c r="Q438" s="26">
        <f t="shared" si="701"/>
        <v>144.22591377195246</v>
      </c>
      <c r="R438" s="26">
        <f>MIN(IF(MONTH($C438)=4,$S$3,IF(MONTH($C438)=5,$S$4,IF(MONTH($C438)=6,$S$5,IF(MONTH($C438)=7,$S$6,"ERROR")))),MAX(VLOOKUP($C438,COS!$B$8:$K$991,10,FALSE)-IF(MONTH($C438)=4,$Y$3,IF(MONTH($C438)=5,$Y$4,IF(MONTH($C438)=6,$Y$5,IF(MONTH($C438)=7,$Y$6,"ERROR")))),0),MAX(VLOOKUP($C438,COS!$B$8:$K$991,9,FALSE)-IF(MONTH($C438)=4,$V$3,IF(MONTH($C438)=5,$V$4,IF(MONTH($C438)=6,$V$5,IF(MONTH($C438)=7,$V$6,"ERROR"))))-VLOOKUP($C438,COS!$B$8:$K$991,6,FALSE)/2,0))</f>
        <v>750</v>
      </c>
      <c r="S438" s="26">
        <f t="shared" si="702"/>
        <v>46.115702479338843</v>
      </c>
      <c r="T438" s="26">
        <f t="shared" si="703"/>
        <v>142.1945542315018</v>
      </c>
      <c r="U438" s="26" t="str">
        <f>IF(VLOOKUP($C438,COS!$B$8:$I$991,8,FALSE)=1,"UWFE","IBU")</f>
        <v>UWFE</v>
      </c>
      <c r="V438" s="26">
        <f t="shared" ref="V438" si="705">MIN(IF(IF($AA$3=2,AND(E438=1,G438=1,L438=1,L442=1,M438=1,U438="IBU"),AND(E438=1,G438=1,L438=1,L442=1,M438=1)),T438,0),I438)</f>
        <v>0</v>
      </c>
      <c r="W438" s="26"/>
      <c r="X438" s="26"/>
      <c r="Y438" s="26"/>
      <c r="Z438" s="26"/>
      <c r="AA438" s="26"/>
      <c r="AB438" s="33"/>
    </row>
    <row r="439" spans="1:28" x14ac:dyDescent="0.3">
      <c r="A439" s="32">
        <f>VLOOKUP(YEAR(C439),Flags!$A$13:$B$95,2,FALSE)</f>
        <v>1</v>
      </c>
      <c r="B439" s="24">
        <f t="shared" si="637"/>
        <v>1969</v>
      </c>
      <c r="C439" s="25">
        <v>25384</v>
      </c>
      <c r="D439" s="26">
        <f>VLOOKUP($C439,COS!$B$8:$H$991,3,FALSE)</f>
        <v>8011.47998046875</v>
      </c>
      <c r="E439" s="24">
        <f>IF(D439&gt;=IF(MONTH($C439)=4,$C$3,IF(MONTH($C439)=5,$C$4,IF(MONTH($C439)=6,$C$5,IF(MONTH($C439)=7,$C$6,"ERROR")))),1,0)</f>
        <v>0</v>
      </c>
      <c r="F439" s="26">
        <f>VLOOKUP($C439,COS!$B$8:$H$991,7,FALSE)</f>
        <v>50.501800537109375</v>
      </c>
      <c r="G439" s="24">
        <f>IF(F439&lt;=IF(MONTH($C439)=4,$F$3,IF(MONTH($C439)=5,$F$4,IF(MONTH($C439)=6,$F$5,IF(MONTH($C439)=7,$F$6,"ERROR")))),1,0)</f>
        <v>1</v>
      </c>
      <c r="H439" s="26">
        <f>IF(J439=1,D439-$C$5,0)</f>
        <v>0</v>
      </c>
      <c r="I439" s="26">
        <f t="shared" si="661"/>
        <v>0</v>
      </c>
      <c r="J439" s="24">
        <f t="shared" si="697"/>
        <v>0</v>
      </c>
      <c r="K439" s="26">
        <f>VLOOKUP($C439,COS!$B$8:$H$991,2,FALSE)</f>
        <v>4403.0791015625</v>
      </c>
      <c r="L439" s="24">
        <f t="shared" si="639"/>
        <v>1</v>
      </c>
      <c r="M439" s="24">
        <f t="shared" si="640"/>
        <v>0</v>
      </c>
      <c r="N439" s="26">
        <f>VLOOKUP($C439,COS!$B$8:$H$991,5,FALSE)</f>
        <v>1103.256591796875</v>
      </c>
      <c r="O439" s="26">
        <f t="shared" si="700"/>
        <v>65.648326123450417</v>
      </c>
      <c r="P439" s="26">
        <f>VLOOKUP($C439,COS!$B$8:$H$991,6,FALSE)</f>
        <v>2226.01513671875</v>
      </c>
      <c r="Q439" s="26">
        <f t="shared" si="701"/>
        <v>132.45709904442148</v>
      </c>
      <c r="R439" s="26">
        <f>MIN(IF(MONTH($C439)=4,$S$3,IF(MONTH($C439)=5,$S$4,IF(MONTH($C439)=6,$S$5,IF(MONTH($C439)=7,$S$6,"ERROR")))),MAX(VLOOKUP($C439,COS!$B$8:$K$991,10,FALSE)-IF(MONTH($C439)=4,$Y$3,IF(MONTH($C439)=5,$Y$4,IF(MONTH($C439)=6,$Y$5,IF(MONTH($C439)=7,$Y$6,"ERROR")))),0),MAX(VLOOKUP($C439,COS!$B$8:$K$991,9,FALSE)-IF(MONTH($C439)=4,$V$3,IF(MONTH($C439)=5,$V$4,IF(MONTH($C439)=6,$V$5,IF(MONTH($C439)=7,$V$6,"ERROR"))))-VLOOKUP($C439,COS!$B$8:$K$991,6,FALSE)/2,0))</f>
        <v>750</v>
      </c>
      <c r="S439" s="26">
        <f t="shared" si="702"/>
        <v>44.628099173553714</v>
      </c>
      <c r="T439" s="26">
        <f t="shared" si="703"/>
        <v>143.68081175748966</v>
      </c>
      <c r="U439" s="26" t="str">
        <f>IF(VLOOKUP($C439,COS!$B$8:$I$991,8,FALSE)=1,"UWFE","IBU")</f>
        <v>UWFE</v>
      </c>
      <c r="V439" s="26">
        <f t="shared" ref="V439" si="706">MIN(IF(IF($AA$3=2,AND(E439=1,G439=1,L439=1,L442=1,M439=1,U439="IBU"),AND(E439=1,G439=1,L439=1,L442=1,M439=1)),T439,0),I439)</f>
        <v>0</v>
      </c>
      <c r="W439" s="26"/>
      <c r="X439" s="26"/>
      <c r="Y439" s="26"/>
      <c r="Z439" s="26"/>
      <c r="AA439" s="26"/>
      <c r="AB439" s="33"/>
    </row>
    <row r="440" spans="1:28" x14ac:dyDescent="0.3">
      <c r="A440" s="32">
        <f>VLOOKUP(YEAR(C440),Flags!$A$13:$B$95,2,FALSE)</f>
        <v>1</v>
      </c>
      <c r="B440" s="24">
        <f t="shared" si="637"/>
        <v>1969</v>
      </c>
      <c r="C440" s="25">
        <v>25415</v>
      </c>
      <c r="D440" s="26">
        <f>VLOOKUP($C440,COS!$B$8:$H$991,3,FALSE)</f>
        <v>11045.078125</v>
      </c>
      <c r="E440" s="24">
        <f>IF(D440&gt;=IF(MONTH($C440)=4,$C$3,IF(MONTH($C440)=5,$C$4,IF(MONTH($C440)=6,$C$5,IF(MONTH($C440)=7,$C$6,"ERROR")))),1,0)</f>
        <v>0</v>
      </c>
      <c r="F440" s="26">
        <f>VLOOKUP($C440,COS!$B$8:$H$991,7,FALSE)</f>
        <v>51.50872802734375</v>
      </c>
      <c r="G440" s="24">
        <f>IF(F440&lt;=IF(MONTH($C440)=4,$F$3,IF(MONTH($C440)=5,$F$4,IF(MONTH($C440)=6,$F$5,IF(MONTH($C440)=7,$F$6,"ERROR")))),1,0)</f>
        <v>1</v>
      </c>
      <c r="H440" s="26">
        <f>IF(J440=1,D440-$C$6,0)</f>
        <v>0</v>
      </c>
      <c r="I440" s="26">
        <f t="shared" si="661"/>
        <v>0</v>
      </c>
      <c r="J440" s="24">
        <f t="shared" si="697"/>
        <v>0</v>
      </c>
      <c r="K440" s="26">
        <f>VLOOKUP($C440,COS!$B$8:$H$991,2,FALSE)</f>
        <v>3947.457763671875</v>
      </c>
      <c r="L440" s="24">
        <f t="shared" si="639"/>
        <v>1</v>
      </c>
      <c r="M440" s="24">
        <f t="shared" si="640"/>
        <v>0</v>
      </c>
      <c r="N440" s="26">
        <f>VLOOKUP($C440,COS!$B$8:$H$991,5,FALSE)</f>
        <v>1249.15625</v>
      </c>
      <c r="O440" s="26">
        <f t="shared" si="700"/>
        <v>76.807623966942145</v>
      </c>
      <c r="P440" s="26">
        <f>VLOOKUP($C440,COS!$B$8:$H$991,6,FALSE)</f>
        <v>2516.8701171875</v>
      </c>
      <c r="Q440" s="26">
        <f t="shared" si="701"/>
        <v>154.75631133780993</v>
      </c>
      <c r="R440" s="26">
        <f>MIN(IF(MONTH($C440)=4,$S$3,IF(MONTH($C440)=5,$S$4,IF(MONTH($C440)=6,$S$5,IF(MONTH($C440)=7,$S$6,"ERROR")))),MAX(VLOOKUP($C440,COS!$B$8:$K$991,10,FALSE)-IF(MONTH($C440)=4,$Y$3,IF(MONTH($C440)=5,$Y$4,IF(MONTH($C440)=6,$Y$5,IF(MONTH($C440)=7,$Y$6,"ERROR")))),0),MAX(VLOOKUP($C440,COS!$B$8:$K$991,9,FALSE)-IF(MONTH($C440)=4,$V$3,IF(MONTH($C440)=5,$V$4,IF(MONTH($C440)=6,$V$5,IF(MONTH($C440)=7,$V$6,"ERROR"))))-VLOOKUP($C440,COS!$B$8:$K$991,6,FALSE)/2,0))</f>
        <v>750</v>
      </c>
      <c r="S440" s="26">
        <f t="shared" si="702"/>
        <v>46.115702479338843</v>
      </c>
      <c r="T440" s="26">
        <f t="shared" si="703"/>
        <v>161.89767013171488</v>
      </c>
      <c r="U440" s="26" t="str">
        <f>IF(VLOOKUP($C440,COS!$B$8:$I$991,8,FALSE)=1,"UWFE","IBU")</f>
        <v>IBU</v>
      </c>
      <c r="V440" s="26">
        <f t="shared" ref="V440" si="707">MIN(IF(IF($AA$3=2,AND(E440=1,G440=1,L440=1,L442=1,M440=1,U440="IBU"),AND(E440=1,G440=1,L440=1,L442=1,M440=1)),T440,0),I440)</f>
        <v>0</v>
      </c>
      <c r="W440" s="26"/>
      <c r="X440" s="26"/>
      <c r="Y440" s="26"/>
      <c r="Z440" s="26"/>
      <c r="AA440" s="26"/>
      <c r="AB440" s="33"/>
    </row>
    <row r="441" spans="1:28" x14ac:dyDescent="0.3">
      <c r="A441" s="32">
        <f>VLOOKUP(YEAR(C441),Flags!$A$13:$B$95,2,FALSE)</f>
        <v>1</v>
      </c>
      <c r="B441" s="24">
        <f t="shared" si="637"/>
        <v>1969</v>
      </c>
      <c r="C441" s="25">
        <v>25446</v>
      </c>
      <c r="D441" s="26"/>
      <c r="E441" s="24"/>
      <c r="F441" s="26"/>
      <c r="G441" s="24"/>
      <c r="H441" s="24"/>
      <c r="I441" s="26"/>
      <c r="J441" s="24"/>
      <c r="K441" s="26"/>
      <c r="L441" s="24"/>
      <c r="M441" s="24"/>
      <c r="N441" s="26"/>
      <c r="O441" s="26"/>
      <c r="P441" s="26"/>
      <c r="Q441" s="26"/>
      <c r="R441" s="26"/>
      <c r="S441" s="26"/>
      <c r="T441" s="26"/>
      <c r="U441" s="26"/>
      <c r="V441" s="26"/>
      <c r="W441" s="26">
        <f>MAX($C$7-VLOOKUP($C441,COS!$B$8:$H$991,3,FALSE),0)</f>
        <v>89532.791015625</v>
      </c>
      <c r="X441" s="26">
        <f t="shared" si="667"/>
        <v>5505.1567368285123</v>
      </c>
      <c r="Y441" s="26">
        <f>VLOOKUP($C441,COS!$B$8:$H$991,4,FALSE)</f>
        <v>0</v>
      </c>
      <c r="Z441" s="26">
        <f t="shared" si="668"/>
        <v>0</v>
      </c>
      <c r="AA441" s="26">
        <f t="shared" ref="AA441:AA445" si="708">MIN(W441,Y441)</f>
        <v>0</v>
      </c>
      <c r="AB441" s="33">
        <f t="shared" ref="AB441" si="709">AA441*DAY($C441)*86400/43560/1000*IF(MONTH($C441)=8,$P$3,IF(MONTH($C441)=9,$P$4,IF(MONTH($C441)=10,$P$5,IF(MONTH($C441)=11,$P$6,IF(MONTH($C441)=12,$P$7,NA())))))</f>
        <v>0</v>
      </c>
    </row>
    <row r="442" spans="1:28" x14ac:dyDescent="0.3">
      <c r="A442" s="32">
        <f>VLOOKUP(YEAR(C442),Flags!$A$13:$B$95,2,FALSE)</f>
        <v>1</v>
      </c>
      <c r="B442" s="24">
        <f t="shared" si="637"/>
        <v>1969</v>
      </c>
      <c r="C442" s="25">
        <v>25476</v>
      </c>
      <c r="D442" s="26"/>
      <c r="E442" s="24"/>
      <c r="F442" s="26"/>
      <c r="G442" s="24"/>
      <c r="H442" s="24"/>
      <c r="I442" s="26"/>
      <c r="J442" s="24"/>
      <c r="K442" s="26">
        <f>VLOOKUP($C442,COS!$B$8:$H$991,2,FALSE)</f>
        <v>3239.390869140625</v>
      </c>
      <c r="L442" s="24">
        <f t="shared" ref="L442" si="710">IF(AND(K442&gt;$I$7,K442&lt;$I$8),1,0)</f>
        <v>1</v>
      </c>
      <c r="M442" s="24"/>
      <c r="N442" s="26"/>
      <c r="O442" s="26"/>
      <c r="P442" s="26"/>
      <c r="Q442" s="26"/>
      <c r="R442" s="26"/>
      <c r="S442" s="26"/>
      <c r="T442" s="26"/>
      <c r="U442" s="26"/>
      <c r="V442" s="26"/>
      <c r="W442" s="26">
        <f>MAX($C$8-VLOOKUP($C442,COS!$B$8:$H$991,3,FALSE),0)</f>
        <v>88147.01953125</v>
      </c>
      <c r="X442" s="26">
        <f t="shared" si="667"/>
        <v>5245.1119059917355</v>
      </c>
      <c r="Y442" s="26">
        <f>VLOOKUP($C442,COS!$B$8:$H$991,4,FALSE)</f>
        <v>42.857669830322266</v>
      </c>
      <c r="Z442" s="26">
        <f t="shared" si="668"/>
        <v>2.5502084527133912</v>
      </c>
      <c r="AA442" s="26">
        <f t="shared" si="708"/>
        <v>42.857669830322266</v>
      </c>
      <c r="AB442" s="33">
        <f t="shared" si="650"/>
        <v>2.5502084527133912</v>
      </c>
    </row>
    <row r="443" spans="1:28" x14ac:dyDescent="0.3">
      <c r="A443" s="32">
        <f>VLOOKUP(YEAR(C443),Flags!$A$13:$B$95,2,FALSE)</f>
        <v>1</v>
      </c>
      <c r="B443" s="24">
        <f t="shared" si="637"/>
        <v>1969</v>
      </c>
      <c r="C443" s="25">
        <v>25507</v>
      </c>
      <c r="D443" s="26"/>
      <c r="E443" s="24"/>
      <c r="F443" s="26"/>
      <c r="G443" s="26"/>
      <c r="H443" s="26"/>
      <c r="I443" s="26"/>
      <c r="J443" s="26"/>
      <c r="K443" s="26"/>
      <c r="L443" s="24"/>
      <c r="M443" s="24"/>
      <c r="N443" s="26"/>
      <c r="O443" s="26"/>
      <c r="P443" s="26"/>
      <c r="Q443" s="26"/>
      <c r="R443" s="26"/>
      <c r="S443" s="26"/>
      <c r="T443" s="26"/>
      <c r="U443" s="26"/>
      <c r="V443" s="26"/>
      <c r="W443" s="26">
        <f>MAX($C$9-VLOOKUP($C443,COS!$B$8:$H$991,3,FALSE),0)</f>
        <v>93281.42724609375</v>
      </c>
      <c r="X443" s="26">
        <f t="shared" si="667"/>
        <v>5735.6513943052687</v>
      </c>
      <c r="Y443" s="26">
        <f>VLOOKUP($C443,COS!$B$8:$H$991,4,FALSE)</f>
        <v>245.98057556152344</v>
      </c>
      <c r="Z443" s="26">
        <f t="shared" si="668"/>
        <v>15.124756051055655</v>
      </c>
      <c r="AA443" s="26">
        <f t="shared" si="708"/>
        <v>245.98057556152344</v>
      </c>
      <c r="AB443" s="33">
        <f t="shared" si="650"/>
        <v>15.124756051055655</v>
      </c>
    </row>
    <row r="444" spans="1:28" x14ac:dyDescent="0.3">
      <c r="A444" s="32">
        <f>VLOOKUP(YEAR(C444),Flags!$A$13:$B$95,2,FALSE)</f>
        <v>1</v>
      </c>
      <c r="B444" s="24">
        <f t="shared" si="637"/>
        <v>1969</v>
      </c>
      <c r="C444" s="25">
        <v>25537</v>
      </c>
      <c r="D444" s="26"/>
      <c r="E444" s="24"/>
      <c r="F444" s="26"/>
      <c r="G444" s="26"/>
      <c r="H444" s="26"/>
      <c r="I444" s="26"/>
      <c r="J444" s="26"/>
      <c r="K444" s="26"/>
      <c r="L444" s="24"/>
      <c r="M444" s="24"/>
      <c r="N444" s="26"/>
      <c r="O444" s="26"/>
      <c r="P444" s="26"/>
      <c r="Q444" s="26"/>
      <c r="R444" s="26"/>
      <c r="S444" s="26"/>
      <c r="T444" s="26"/>
      <c r="U444" s="26"/>
      <c r="V444" s="26"/>
      <c r="W444" s="26">
        <f>MAX($C$10-VLOOKUP($C444,COS!$B$8:$H$991,3,FALSE),0)</f>
        <v>92833.80517578125</v>
      </c>
      <c r="X444" s="26">
        <f t="shared" si="667"/>
        <v>5523.995018724173</v>
      </c>
      <c r="Y444" s="26">
        <f>VLOOKUP($C444,COS!$B$8:$H$991,4,FALSE)</f>
        <v>0</v>
      </c>
      <c r="Z444" s="26">
        <f t="shared" si="668"/>
        <v>0</v>
      </c>
      <c r="AA444" s="26">
        <f t="shared" si="708"/>
        <v>0</v>
      </c>
      <c r="AB444" s="33">
        <f t="shared" si="650"/>
        <v>0</v>
      </c>
    </row>
    <row r="445" spans="1:28" x14ac:dyDescent="0.3">
      <c r="A445" s="34">
        <f>VLOOKUP(YEAR(C445),Flags!$A$13:$B$95,2,FALSE)</f>
        <v>1</v>
      </c>
      <c r="B445" s="35">
        <f t="shared" si="637"/>
        <v>1969</v>
      </c>
      <c r="C445" s="36">
        <v>25568</v>
      </c>
      <c r="D445" s="37"/>
      <c r="E445" s="35"/>
      <c r="F445" s="37"/>
      <c r="G445" s="37"/>
      <c r="H445" s="37"/>
      <c r="I445" s="37"/>
      <c r="J445" s="37"/>
      <c r="K445" s="37"/>
      <c r="L445" s="35"/>
      <c r="M445" s="35"/>
      <c r="N445" s="37"/>
      <c r="O445" s="37"/>
      <c r="P445" s="37"/>
      <c r="Q445" s="37"/>
      <c r="R445" s="37"/>
      <c r="S445" s="37"/>
      <c r="T445" s="37"/>
      <c r="U445" s="37"/>
      <c r="V445" s="37"/>
      <c r="W445" s="37">
        <f>MAX($C$11-VLOOKUP($C445,COS!$B$8:$H$991,3,FALSE),0)</f>
        <v>0</v>
      </c>
      <c r="X445" s="37">
        <f t="shared" si="667"/>
        <v>0</v>
      </c>
      <c r="Y445" s="37">
        <f>VLOOKUP($C445,COS!$B$8:$H$991,4,FALSE)</f>
        <v>0</v>
      </c>
      <c r="Z445" s="37">
        <f t="shared" si="668"/>
        <v>0</v>
      </c>
      <c r="AA445" s="37">
        <f t="shared" si="708"/>
        <v>0</v>
      </c>
      <c r="AB445" s="38">
        <f t="shared" si="650"/>
        <v>0</v>
      </c>
    </row>
    <row r="446" spans="1:28" x14ac:dyDescent="0.3">
      <c r="A446" s="27">
        <f>VLOOKUP(YEAR(C446),Flags!$A$13:$B$95,2,FALSE)</f>
        <v>1</v>
      </c>
      <c r="B446" s="28">
        <f t="shared" si="637"/>
        <v>1970</v>
      </c>
      <c r="C446" s="29">
        <v>25688</v>
      </c>
      <c r="D446" s="30">
        <f>VLOOKUP($C446,COS!$B$8:$H$991,3,FALSE)</f>
        <v>3250</v>
      </c>
      <c r="E446" s="28">
        <f>IF(D446&gt;=IF(MONTH($C446)=4,$C$3,IF(MONTH($C446)=5,$C$4,IF(MONTH($C446)=6,$C$5,IF(MONTH($C446)=7,$C$6,"ERROR")))),1,0)</f>
        <v>0</v>
      </c>
      <c r="F446" s="30">
        <f>VLOOKUP($C446,COS!$B$8:$H$991,7,FALSE)</f>
        <v>49.804428100585938</v>
      </c>
      <c r="G446" s="28">
        <f>IF(F446&lt;=IF(MONTH($C446)=4,$F$3,IF(MONTH($C446)=5,$F$4,IF(MONTH($C446)=6,$F$5,IF(MONTH($C446)=7,$F$6,"ERROR")))),1,0)</f>
        <v>1</v>
      </c>
      <c r="H446" s="30">
        <f>IF(J446=1,D446-$C$3,0)</f>
        <v>0</v>
      </c>
      <c r="I446" s="30">
        <f t="shared" si="661"/>
        <v>0</v>
      </c>
      <c r="J446" s="28">
        <f t="shared" ref="J446:J449" si="711">IF(AND(E446=1,G446=1),1,0)</f>
        <v>0</v>
      </c>
      <c r="K446" s="30">
        <f>VLOOKUP($C446,COS!$B$8:$H$991,2,FALSE)</f>
        <v>4291.064453125</v>
      </c>
      <c r="L446" s="28">
        <f t="shared" ref="L446" si="712">IF(K446&lt;=IF(MONTH($C446)=4,$I$3,IF(MONTH($C446)=5,$I$4,IF(MONTH($C446)=6,$I$5,IF(MONTH($C446)=7,$I$6,"ERROR")))),1,0)</f>
        <v>1</v>
      </c>
      <c r="M446" s="28">
        <f t="shared" ref="M446" si="713">VLOOKUP($A446,$L$3:$M$7,2,FALSE)</f>
        <v>0</v>
      </c>
      <c r="N446" s="30">
        <f>VLOOKUP($C446,COS!$B$8:$H$991,5,FALSE)</f>
        <v>73.196624755859375</v>
      </c>
      <c r="O446" s="30">
        <f t="shared" ref="O446:O449" si="714">N446*DAY($C446)*86400/43560/1000</f>
        <v>4.3555016383651859</v>
      </c>
      <c r="P446" s="30">
        <f>VLOOKUP($C446,COS!$B$8:$H$991,6,FALSE)</f>
        <v>508.6461181640625</v>
      </c>
      <c r="Q446" s="30">
        <f t="shared" ref="Q446:Q449" si="715">P446*DAY($C446)*86400/43560/1000</f>
        <v>30.266545874225205</v>
      </c>
      <c r="R446" s="30">
        <f>MIN(IF(MONTH($C446)=4,$S$3,IF(MONTH($C446)=5,$S$4,IF(MONTH($C446)=6,$S$5,IF(MONTH($C446)=7,$S$6,"ERROR")))),MAX(VLOOKUP($C446,COS!$B$8:$K$991,10,FALSE)-IF(MONTH($C446)=4,$Y$3,IF(MONTH($C446)=5,$Y$4,IF(MONTH($C446)=6,$Y$5,IF(MONTH($C446)=7,$Y$6,"ERROR")))),0),MAX(VLOOKUP($C446,COS!$B$8:$K$991,9,FALSE)-IF(MONTH($C446)=4,$V$3,IF(MONTH($C446)=5,$V$4,IF(MONTH($C446)=6,$V$5,IF(MONTH($C446)=7,$V$6,"ERROR"))))-VLOOKUP($C446,COS!$B$8:$K$991,6,FALSE)/2,0))</f>
        <v>713.98388671875</v>
      </c>
      <c r="S446" s="30">
        <f t="shared" ref="S446:S449" si="716">R446*DAY($C446)*86400/43560/1000</f>
        <v>42.484991606404961</v>
      </c>
      <c r="T446" s="30">
        <f t="shared" ref="T446:T449" si="717">(O446+Q446)/2+S446</f>
        <v>59.79601536270016</v>
      </c>
      <c r="U446" s="30" t="str">
        <f>IF(VLOOKUP($C446,COS!$B$8:$I$991,8,FALSE)=1,"UWFE","IBU")</f>
        <v>UWFE</v>
      </c>
      <c r="V446" s="30">
        <f t="shared" ref="V446" si="718">MIN(IF(IF($AA$3=2,AND(E446=1,G446=1,L446=1,L451=1,M446=1,U446="IBU"),AND(E446=1,G446=1,L446=1,L451=1,M446=1)),T446,0),I446)</f>
        <v>0</v>
      </c>
      <c r="W446" s="30"/>
      <c r="X446" s="30"/>
      <c r="Y446" s="30"/>
      <c r="Z446" s="30"/>
      <c r="AA446" s="30"/>
      <c r="AB446" s="31"/>
    </row>
    <row r="447" spans="1:28" x14ac:dyDescent="0.3">
      <c r="A447" s="32">
        <f>VLOOKUP(YEAR(C447),Flags!$A$13:$B$95,2,FALSE)</f>
        <v>1</v>
      </c>
      <c r="B447" s="24">
        <f t="shared" si="637"/>
        <v>1970</v>
      </c>
      <c r="C447" s="25">
        <v>25719</v>
      </c>
      <c r="D447" s="26">
        <f>VLOOKUP($C447,COS!$B$8:$H$991,3,FALSE)</f>
        <v>6423.0224609375</v>
      </c>
      <c r="E447" s="24">
        <f>IF(D447&gt;=IF(MONTH($C447)=4,$C$3,IF(MONTH($C447)=5,$C$4,IF(MONTH($C447)=6,$C$5,IF(MONTH($C447)=7,$C$6,"ERROR")))),1,0)</f>
        <v>1</v>
      </c>
      <c r="F447" s="26">
        <f>VLOOKUP($C447,COS!$B$8:$H$991,7,FALSE)</f>
        <v>49.899898529052734</v>
      </c>
      <c r="G447" s="24">
        <f>IF(F447&lt;=IF(MONTH($C447)=4,$F$3,IF(MONTH($C447)=5,$F$4,IF(MONTH($C447)=6,$F$5,IF(MONTH($C447)=7,$F$6,"ERROR")))),1,0)</f>
        <v>1</v>
      </c>
      <c r="H447" s="26">
        <f>IF(J447=1,D447-$C$4,0)</f>
        <v>423.0224609375</v>
      </c>
      <c r="I447" s="26">
        <f t="shared" si="661"/>
        <v>26.010637267561982</v>
      </c>
      <c r="J447" s="24">
        <f t="shared" si="711"/>
        <v>1</v>
      </c>
      <c r="K447" s="26">
        <f>VLOOKUP($C447,COS!$B$8:$H$991,2,FALSE)</f>
        <v>4231.88427734375</v>
      </c>
      <c r="L447" s="24">
        <f t="shared" si="639"/>
        <v>1</v>
      </c>
      <c r="M447" s="24">
        <f t="shared" si="640"/>
        <v>0</v>
      </c>
      <c r="N447" s="26">
        <f>VLOOKUP($C447,COS!$B$8:$H$991,5,FALSE)</f>
        <v>572.192626953125</v>
      </c>
      <c r="O447" s="26">
        <f t="shared" si="714"/>
        <v>35.182753260588839</v>
      </c>
      <c r="P447" s="26">
        <f>VLOOKUP($C447,COS!$B$8:$H$991,6,FALSE)</f>
        <v>2315.026611328125</v>
      </c>
      <c r="Q447" s="26">
        <f t="shared" si="715"/>
        <v>142.34543791967974</v>
      </c>
      <c r="R447" s="26">
        <f>MIN(IF(MONTH($C447)=4,$S$3,IF(MONTH($C447)=5,$S$4,IF(MONTH($C447)=6,$S$5,IF(MONTH($C447)=7,$S$6,"ERROR")))),MAX(VLOOKUP($C447,COS!$B$8:$K$991,10,FALSE)-IF(MONTH($C447)=4,$Y$3,IF(MONTH($C447)=5,$Y$4,IF(MONTH($C447)=6,$Y$5,IF(MONTH($C447)=7,$Y$6,"ERROR")))),0),MAX(VLOOKUP($C447,COS!$B$8:$K$991,9,FALSE)-IF(MONTH($C447)=4,$V$3,IF(MONTH($C447)=5,$V$4,IF(MONTH($C447)=6,$V$5,IF(MONTH($C447)=7,$V$6,"ERROR"))))-VLOOKUP($C447,COS!$B$8:$K$991,6,FALSE)/2,0))</f>
        <v>750</v>
      </c>
      <c r="S447" s="26">
        <f t="shared" si="716"/>
        <v>46.115702479338843</v>
      </c>
      <c r="T447" s="26">
        <f t="shared" si="717"/>
        <v>134.87979806947314</v>
      </c>
      <c r="U447" s="26" t="str">
        <f>IF(VLOOKUP($C447,COS!$B$8:$I$991,8,FALSE)=1,"UWFE","IBU")</f>
        <v>UWFE</v>
      </c>
      <c r="V447" s="26">
        <f t="shared" ref="V447" si="719">MIN(IF(IF($AA$3=2,AND(E447=1,G447=1,L447=1,L451=1,M447=1,U447="IBU"),AND(E447=1,G447=1,L447=1,L451=1,M447=1)),T447,0),I447)</f>
        <v>0</v>
      </c>
      <c r="W447" s="26"/>
      <c r="X447" s="26"/>
      <c r="Y447" s="26"/>
      <c r="Z447" s="26"/>
      <c r="AA447" s="26"/>
      <c r="AB447" s="33"/>
    </row>
    <row r="448" spans="1:28" x14ac:dyDescent="0.3">
      <c r="A448" s="32">
        <f>VLOOKUP(YEAR(C448),Flags!$A$13:$B$95,2,FALSE)</f>
        <v>1</v>
      </c>
      <c r="B448" s="24">
        <f t="shared" si="637"/>
        <v>1970</v>
      </c>
      <c r="C448" s="25">
        <v>25749</v>
      </c>
      <c r="D448" s="26">
        <f>VLOOKUP($C448,COS!$B$8:$H$991,3,FALSE)</f>
        <v>11296.083984375</v>
      </c>
      <c r="E448" s="24">
        <f>IF(D448&gt;=IF(MONTH($C448)=4,$C$3,IF(MONTH($C448)=5,$C$4,IF(MONTH($C448)=6,$C$5,IF(MONTH($C448)=7,$C$6,"ERROR")))),1,0)</f>
        <v>1</v>
      </c>
      <c r="F448" s="26">
        <f>VLOOKUP($C448,COS!$B$8:$H$991,7,FALSE)</f>
        <v>49.374355316162109</v>
      </c>
      <c r="G448" s="24">
        <f>IF(F448&lt;=IF(MONTH($C448)=4,$F$3,IF(MONTH($C448)=5,$F$4,IF(MONTH($C448)=6,$F$5,IF(MONTH($C448)=7,$F$6,"ERROR")))),1,0)</f>
        <v>1</v>
      </c>
      <c r="H448" s="26">
        <f>IF(J448=1,D448-$C$5,0)</f>
        <v>1296.083984375</v>
      </c>
      <c r="I448" s="26">
        <f t="shared" si="661"/>
        <v>77.122352789256198</v>
      </c>
      <c r="J448" s="24">
        <f t="shared" si="711"/>
        <v>1</v>
      </c>
      <c r="K448" s="26">
        <f>VLOOKUP($C448,COS!$B$8:$H$991,2,FALSE)</f>
        <v>3804.720947265625</v>
      </c>
      <c r="L448" s="24">
        <f t="shared" si="639"/>
        <v>1</v>
      </c>
      <c r="M448" s="24">
        <f t="shared" si="640"/>
        <v>0</v>
      </c>
      <c r="N448" s="26">
        <f>VLOOKUP($C448,COS!$B$8:$H$991,5,FALSE)</f>
        <v>657.61016845703125</v>
      </c>
      <c r="O448" s="26">
        <f t="shared" si="714"/>
        <v>39.130522420583681</v>
      </c>
      <c r="P448" s="26">
        <f>VLOOKUP($C448,COS!$B$8:$H$991,6,FALSE)</f>
        <v>2256.00390625</v>
      </c>
      <c r="Q448" s="26">
        <f t="shared" si="715"/>
        <v>134.24155475206612</v>
      </c>
      <c r="R448" s="26">
        <f>MIN(IF(MONTH($C448)=4,$S$3,IF(MONTH($C448)=5,$S$4,IF(MONTH($C448)=6,$S$5,IF(MONTH($C448)=7,$S$6,"ERROR")))),MAX(VLOOKUP($C448,COS!$B$8:$K$991,10,FALSE)-IF(MONTH($C448)=4,$Y$3,IF(MONTH($C448)=5,$Y$4,IF(MONTH($C448)=6,$Y$5,IF(MONTH($C448)=7,$Y$6,"ERROR")))),0),MAX(VLOOKUP($C448,COS!$B$8:$K$991,9,FALSE)-IF(MONTH($C448)=4,$V$3,IF(MONTH($C448)=5,$V$4,IF(MONTH($C448)=6,$V$5,IF(MONTH($C448)=7,$V$6,"ERROR"))))-VLOOKUP($C448,COS!$B$8:$K$991,6,FALSE)/2,0))</f>
        <v>750</v>
      </c>
      <c r="S448" s="26">
        <f t="shared" si="716"/>
        <v>44.628099173553714</v>
      </c>
      <c r="T448" s="26">
        <f t="shared" si="717"/>
        <v>131.31413775987861</v>
      </c>
      <c r="U448" s="26" t="str">
        <f>IF(VLOOKUP($C448,COS!$B$8:$I$991,8,FALSE)=1,"UWFE","IBU")</f>
        <v>IBU</v>
      </c>
      <c r="V448" s="26">
        <f t="shared" ref="V448" si="720">MIN(IF(IF($AA$3=2,AND(E448=1,G448=1,L448=1,L451=1,M448=1,U448="IBU"),AND(E448=1,G448=1,L448=1,L451=1,M448=1)),T448,0),I448)</f>
        <v>0</v>
      </c>
      <c r="W448" s="26"/>
      <c r="X448" s="26"/>
      <c r="Y448" s="26"/>
      <c r="Z448" s="26"/>
      <c r="AA448" s="26"/>
      <c r="AB448" s="33"/>
    </row>
    <row r="449" spans="1:28" x14ac:dyDescent="0.3">
      <c r="A449" s="32">
        <f>VLOOKUP(YEAR(C449),Flags!$A$13:$B$95,2,FALSE)</f>
        <v>1</v>
      </c>
      <c r="B449" s="24">
        <f t="shared" si="637"/>
        <v>1970</v>
      </c>
      <c r="C449" s="25">
        <v>25780</v>
      </c>
      <c r="D449" s="26">
        <f>VLOOKUP($C449,COS!$B$8:$H$991,3,FALSE)</f>
        <v>15933.296875</v>
      </c>
      <c r="E449" s="24">
        <f>IF(D449&gt;=IF(MONTH($C449)=4,$C$3,IF(MONTH($C449)=5,$C$4,IF(MONTH($C449)=6,$C$5,IF(MONTH($C449)=7,$C$6,"ERROR")))),1,0)</f>
        <v>1</v>
      </c>
      <c r="F449" s="26">
        <f>VLOOKUP($C449,COS!$B$8:$H$991,7,FALSE)</f>
        <v>50.264232635498047</v>
      </c>
      <c r="G449" s="24">
        <f>IF(F449&lt;=IF(MONTH($C449)=4,$F$3,IF(MONTH($C449)=5,$F$4,IF(MONTH($C449)=6,$F$5,IF(MONTH($C449)=7,$F$6,"ERROR")))),1,0)</f>
        <v>1</v>
      </c>
      <c r="H449" s="26">
        <f>IF(J449=1,D449-$C$6,0)</f>
        <v>3933.296875</v>
      </c>
      <c r="I449" s="26">
        <f t="shared" si="661"/>
        <v>241.84899793388431</v>
      </c>
      <c r="J449" s="24">
        <f t="shared" si="711"/>
        <v>1</v>
      </c>
      <c r="K449" s="26">
        <f>VLOOKUP($C449,COS!$B$8:$H$991,2,FALSE)</f>
        <v>3122.0966796875</v>
      </c>
      <c r="L449" s="24">
        <f t="shared" si="639"/>
        <v>1</v>
      </c>
      <c r="M449" s="24">
        <f t="shared" si="640"/>
        <v>0</v>
      </c>
      <c r="N449" s="26">
        <f>VLOOKUP($C449,COS!$B$8:$H$991,5,FALSE)</f>
        <v>784.4171142578125</v>
      </c>
      <c r="O449" s="26">
        <f t="shared" si="714"/>
        <v>48.231928347753097</v>
      </c>
      <c r="P449" s="26">
        <f>VLOOKUP($C449,COS!$B$8:$H$991,6,FALSE)</f>
        <v>2616.67822265625</v>
      </c>
      <c r="Q449" s="26">
        <f t="shared" si="715"/>
        <v>160.89327253357436</v>
      </c>
      <c r="R449" s="26">
        <f>MIN(IF(MONTH($C449)=4,$S$3,IF(MONTH($C449)=5,$S$4,IF(MONTH($C449)=6,$S$5,IF(MONTH($C449)=7,$S$6,"ERROR")))),MAX(VLOOKUP($C449,COS!$B$8:$K$991,10,FALSE)-IF(MONTH($C449)=4,$Y$3,IF(MONTH($C449)=5,$Y$4,IF(MONTH($C449)=6,$Y$5,IF(MONTH($C449)=7,$Y$6,"ERROR")))),0),MAX(VLOOKUP($C449,COS!$B$8:$K$991,9,FALSE)-IF(MONTH($C449)=4,$V$3,IF(MONTH($C449)=5,$V$4,IF(MONTH($C449)=6,$V$5,IF(MONTH($C449)=7,$V$6,"ERROR"))))-VLOOKUP($C449,COS!$B$8:$K$991,6,FALSE)/2,0))</f>
        <v>750</v>
      </c>
      <c r="S449" s="26">
        <f t="shared" si="716"/>
        <v>46.115702479338843</v>
      </c>
      <c r="T449" s="26">
        <f t="shared" si="717"/>
        <v>150.67830292000258</v>
      </c>
      <c r="U449" s="26" t="str">
        <f>IF(VLOOKUP($C449,COS!$B$8:$I$991,8,FALSE)=1,"UWFE","IBU")</f>
        <v>IBU</v>
      </c>
      <c r="V449" s="26">
        <f t="shared" ref="V449" si="721">MIN(IF(IF($AA$3=2,AND(E449=1,G449=1,L449=1,L451=1,M449=1,U449="IBU"),AND(E449=1,G449=1,L449=1,L451=1,M449=1)),T449,0),I449)</f>
        <v>0</v>
      </c>
      <c r="W449" s="26"/>
      <c r="X449" s="26"/>
      <c r="Y449" s="26"/>
      <c r="Z449" s="26"/>
      <c r="AA449" s="26"/>
      <c r="AB449" s="33"/>
    </row>
    <row r="450" spans="1:28" x14ac:dyDescent="0.3">
      <c r="A450" s="32">
        <f>VLOOKUP(YEAR(C450),Flags!$A$13:$B$95,2,FALSE)</f>
        <v>1</v>
      </c>
      <c r="B450" s="24">
        <f t="shared" si="637"/>
        <v>1970</v>
      </c>
      <c r="C450" s="25">
        <v>25811</v>
      </c>
      <c r="D450" s="26"/>
      <c r="E450" s="24"/>
      <c r="F450" s="26"/>
      <c r="G450" s="24"/>
      <c r="H450" s="24"/>
      <c r="I450" s="26"/>
      <c r="J450" s="24"/>
      <c r="K450" s="26"/>
      <c r="L450" s="24"/>
      <c r="M450" s="24"/>
      <c r="N450" s="26"/>
      <c r="O450" s="26"/>
      <c r="P450" s="26"/>
      <c r="Q450" s="26"/>
      <c r="R450" s="26"/>
      <c r="S450" s="26"/>
      <c r="T450" s="26"/>
      <c r="U450" s="26"/>
      <c r="V450" s="26"/>
      <c r="W450" s="26">
        <f>MAX($C$7-VLOOKUP($C450,COS!$B$8:$H$991,3,FALSE),0)</f>
        <v>89359.1201171875</v>
      </c>
      <c r="X450" s="26">
        <f t="shared" si="667"/>
        <v>5494.4781295196281</v>
      </c>
      <c r="Y450" s="26">
        <f>VLOOKUP($C450,COS!$B$8:$H$991,4,FALSE)</f>
        <v>0</v>
      </c>
      <c r="Z450" s="26">
        <f t="shared" si="668"/>
        <v>0</v>
      </c>
      <c r="AA450" s="26">
        <f t="shared" ref="AA450:AA454" si="722">MIN(W450,Y450)</f>
        <v>0</v>
      </c>
      <c r="AB450" s="33">
        <f t="shared" ref="AB450" si="723">AA450*DAY($C450)*86400/43560/1000*IF(MONTH($C450)=8,$P$3,IF(MONTH($C450)=9,$P$4,IF(MONTH($C450)=10,$P$5,IF(MONTH($C450)=11,$P$6,IF(MONTH($C450)=12,$P$7,NA())))))</f>
        <v>0</v>
      </c>
    </row>
    <row r="451" spans="1:28" x14ac:dyDescent="0.3">
      <c r="A451" s="32">
        <f>VLOOKUP(YEAR(C451),Flags!$A$13:$B$95,2,FALSE)</f>
        <v>1</v>
      </c>
      <c r="B451" s="24">
        <f t="shared" si="637"/>
        <v>1970</v>
      </c>
      <c r="C451" s="25">
        <v>25841</v>
      </c>
      <c r="D451" s="26"/>
      <c r="E451" s="24"/>
      <c r="F451" s="26"/>
      <c r="G451" s="24"/>
      <c r="H451" s="24"/>
      <c r="I451" s="26"/>
      <c r="J451" s="24"/>
      <c r="K451" s="26">
        <f>VLOOKUP($C451,COS!$B$8:$H$991,2,FALSE)</f>
        <v>2249.6484375</v>
      </c>
      <c r="L451" s="24">
        <f t="shared" ref="L451" si="724">IF(AND(K451&gt;$I$7,K451&lt;$I$8),1,0)</f>
        <v>1</v>
      </c>
      <c r="M451" s="24"/>
      <c r="N451" s="26"/>
      <c r="O451" s="26"/>
      <c r="P451" s="26"/>
      <c r="Q451" s="26"/>
      <c r="R451" s="26"/>
      <c r="S451" s="26"/>
      <c r="T451" s="26"/>
      <c r="U451" s="26"/>
      <c r="V451" s="26"/>
      <c r="W451" s="26">
        <f>MAX($C$8-VLOOKUP($C451,COS!$B$8:$H$991,3,FALSE),0)</f>
        <v>84248.9375</v>
      </c>
      <c r="X451" s="26">
        <f t="shared" si="667"/>
        <v>5013.1599173553714</v>
      </c>
      <c r="Y451" s="26">
        <f>VLOOKUP($C451,COS!$B$8:$H$991,4,FALSE)</f>
        <v>762.34381103515625</v>
      </c>
      <c r="Z451" s="26">
        <f t="shared" si="668"/>
        <v>45.362606937629131</v>
      </c>
      <c r="AA451" s="26">
        <f t="shared" si="722"/>
        <v>762.34381103515625</v>
      </c>
      <c r="AB451" s="33">
        <f t="shared" si="650"/>
        <v>45.362606937629131</v>
      </c>
    </row>
    <row r="452" spans="1:28" x14ac:dyDescent="0.3">
      <c r="A452" s="32">
        <f>VLOOKUP(YEAR(C452),Flags!$A$13:$B$95,2,FALSE)</f>
        <v>1</v>
      </c>
      <c r="B452" s="24">
        <f t="shared" si="637"/>
        <v>1970</v>
      </c>
      <c r="C452" s="25">
        <v>25872</v>
      </c>
      <c r="D452" s="26"/>
      <c r="E452" s="24"/>
      <c r="F452" s="26"/>
      <c r="G452" s="26"/>
      <c r="H452" s="26"/>
      <c r="I452" s="26"/>
      <c r="J452" s="26"/>
      <c r="K452" s="26"/>
      <c r="L452" s="24"/>
      <c r="M452" s="24"/>
      <c r="N452" s="26"/>
      <c r="O452" s="26"/>
      <c r="P452" s="26"/>
      <c r="Q452" s="26"/>
      <c r="R452" s="26"/>
      <c r="S452" s="26"/>
      <c r="T452" s="26"/>
      <c r="U452" s="26"/>
      <c r="V452" s="26"/>
      <c r="W452" s="26">
        <f>MAX($C$9-VLOOKUP($C452,COS!$B$8:$H$991,3,FALSE),0)</f>
        <v>90155.1904296875</v>
      </c>
      <c r="X452" s="26">
        <f t="shared" si="667"/>
        <v>5543.426585098141</v>
      </c>
      <c r="Y452" s="26">
        <f>VLOOKUP($C452,COS!$B$8:$H$991,4,FALSE)</f>
        <v>958.85076904296875</v>
      </c>
      <c r="Z452" s="26">
        <f t="shared" si="668"/>
        <v>58.957435716361054</v>
      </c>
      <c r="AA452" s="26">
        <f t="shared" si="722"/>
        <v>958.85076904296875</v>
      </c>
      <c r="AB452" s="33">
        <f t="shared" si="650"/>
        <v>58.957435716361054</v>
      </c>
    </row>
    <row r="453" spans="1:28" x14ac:dyDescent="0.3">
      <c r="A453" s="32">
        <f>VLOOKUP(YEAR(C453),Flags!$A$13:$B$95,2,FALSE)</f>
        <v>1</v>
      </c>
      <c r="B453" s="24">
        <f t="shared" si="637"/>
        <v>1970</v>
      </c>
      <c r="C453" s="25">
        <v>25902</v>
      </c>
      <c r="D453" s="26"/>
      <c r="E453" s="24"/>
      <c r="F453" s="26"/>
      <c r="G453" s="26"/>
      <c r="H453" s="26"/>
      <c r="I453" s="26"/>
      <c r="J453" s="26"/>
      <c r="K453" s="26"/>
      <c r="L453" s="24"/>
      <c r="M453" s="24"/>
      <c r="N453" s="26"/>
      <c r="O453" s="26"/>
      <c r="P453" s="26"/>
      <c r="Q453" s="26"/>
      <c r="R453" s="26"/>
      <c r="S453" s="26"/>
      <c r="T453" s="26"/>
      <c r="U453" s="26"/>
      <c r="V453" s="26"/>
      <c r="W453" s="26">
        <f>MAX($C$10-VLOOKUP($C453,COS!$B$8:$H$991,3,FALSE),0)</f>
        <v>94202.6669921875</v>
      </c>
      <c r="X453" s="26">
        <f t="shared" si="667"/>
        <v>5605.4479532541327</v>
      </c>
      <c r="Y453" s="26">
        <f>VLOOKUP($C453,COS!$B$8:$H$991,4,FALSE)</f>
        <v>1112.5506591796875</v>
      </c>
      <c r="Z453" s="26">
        <f t="shared" si="668"/>
        <v>66.201361537964871</v>
      </c>
      <c r="AA453" s="26">
        <f t="shared" si="722"/>
        <v>1112.5506591796875</v>
      </c>
      <c r="AB453" s="33">
        <f t="shared" si="650"/>
        <v>33.100680768982436</v>
      </c>
    </row>
    <row r="454" spans="1:28" x14ac:dyDescent="0.3">
      <c r="A454" s="34">
        <f>VLOOKUP(YEAR(C454),Flags!$A$13:$B$95,2,FALSE)</f>
        <v>1</v>
      </c>
      <c r="B454" s="35">
        <f t="shared" si="637"/>
        <v>1970</v>
      </c>
      <c r="C454" s="36">
        <v>25933</v>
      </c>
      <c r="D454" s="37"/>
      <c r="E454" s="35"/>
      <c r="F454" s="37"/>
      <c r="G454" s="37"/>
      <c r="H454" s="37"/>
      <c r="I454" s="37"/>
      <c r="J454" s="37"/>
      <c r="K454" s="37"/>
      <c r="L454" s="35"/>
      <c r="M454" s="35"/>
      <c r="N454" s="37"/>
      <c r="O454" s="37"/>
      <c r="P454" s="37"/>
      <c r="Q454" s="37"/>
      <c r="R454" s="37"/>
      <c r="S454" s="37"/>
      <c r="T454" s="37"/>
      <c r="U454" s="37"/>
      <c r="V454" s="37"/>
      <c r="W454" s="37">
        <f>MAX($C$11-VLOOKUP($C454,COS!$B$8:$H$991,3,FALSE),0)</f>
        <v>0</v>
      </c>
      <c r="X454" s="37">
        <f t="shared" si="667"/>
        <v>0</v>
      </c>
      <c r="Y454" s="37">
        <f>VLOOKUP($C454,COS!$B$8:$H$991,4,FALSE)</f>
        <v>0</v>
      </c>
      <c r="Z454" s="37">
        <f t="shared" si="668"/>
        <v>0</v>
      </c>
      <c r="AA454" s="37">
        <f t="shared" si="722"/>
        <v>0</v>
      </c>
      <c r="AB454" s="38">
        <f t="shared" si="650"/>
        <v>0</v>
      </c>
    </row>
    <row r="455" spans="1:28" x14ac:dyDescent="0.3">
      <c r="A455" s="27">
        <f>VLOOKUP(YEAR(C455),Flags!$A$13:$B$95,2,FALSE)</f>
        <v>1</v>
      </c>
      <c r="B455" s="28">
        <f t="shared" si="637"/>
        <v>1971</v>
      </c>
      <c r="C455" s="29">
        <v>26053</v>
      </c>
      <c r="D455" s="30">
        <f>VLOOKUP($C455,COS!$B$8:$H$991,3,FALSE)</f>
        <v>3250</v>
      </c>
      <c r="E455" s="28">
        <f>IF(D455&gt;=IF(MONTH($C455)=4,$C$3,IF(MONTH($C455)=5,$C$4,IF(MONTH($C455)=6,$C$5,IF(MONTH($C455)=7,$C$6,"ERROR")))),1,0)</f>
        <v>0</v>
      </c>
      <c r="F455" s="30">
        <f>VLOOKUP($C455,COS!$B$8:$H$991,7,FALSE)</f>
        <v>50.101123809814453</v>
      </c>
      <c r="G455" s="28">
        <f>IF(F455&lt;=IF(MONTH($C455)=4,$F$3,IF(MONTH($C455)=5,$F$4,IF(MONTH($C455)=6,$F$5,IF(MONTH($C455)=7,$F$6,"ERROR")))),1,0)</f>
        <v>1</v>
      </c>
      <c r="H455" s="30">
        <f>IF(J455=1,D455-$C$3,0)</f>
        <v>0</v>
      </c>
      <c r="I455" s="30">
        <f t="shared" si="661"/>
        <v>0</v>
      </c>
      <c r="J455" s="28">
        <f t="shared" ref="J455:J458" si="725">IF(AND(E455=1,G455=1),1,0)</f>
        <v>0</v>
      </c>
      <c r="K455" s="30">
        <f>VLOOKUP($C455,COS!$B$8:$H$991,2,FALSE)</f>
        <v>4470.4140625</v>
      </c>
      <c r="L455" s="28">
        <f t="shared" ref="L455" si="726">IF(K455&lt;=IF(MONTH($C455)=4,$I$3,IF(MONTH($C455)=5,$I$4,IF(MONTH($C455)=6,$I$5,IF(MONTH($C455)=7,$I$6,"ERROR")))),1,0)</f>
        <v>1</v>
      </c>
      <c r="M455" s="28">
        <f t="shared" ref="M455" si="727">VLOOKUP($A455,$L$3:$M$7,2,FALSE)</f>
        <v>0</v>
      </c>
      <c r="N455" s="30">
        <f>VLOOKUP($C455,COS!$B$8:$H$991,5,FALSE)</f>
        <v>663.01629638671875</v>
      </c>
      <c r="O455" s="30">
        <f t="shared" ref="O455:O458" si="728">N455*DAY($C455)*86400/43560/1000</f>
        <v>39.452209371771694</v>
      </c>
      <c r="P455" s="30">
        <f>VLOOKUP($C455,COS!$B$8:$H$991,6,FALSE)</f>
        <v>563.3929443359375</v>
      </c>
      <c r="Q455" s="30">
        <f t="shared" ref="Q455:Q458" si="729">P455*DAY($C455)*86400/43560/1000</f>
        <v>33.524208258006198</v>
      </c>
      <c r="R455" s="30">
        <f>MIN(IF(MONTH($C455)=4,$S$3,IF(MONTH($C455)=5,$S$4,IF(MONTH($C455)=6,$S$5,IF(MONTH($C455)=7,$S$6,"ERROR")))),MAX(VLOOKUP($C455,COS!$B$8:$K$991,10,FALSE)-IF(MONTH($C455)=4,$Y$3,IF(MONTH($C455)=5,$Y$4,IF(MONTH($C455)=6,$Y$5,IF(MONTH($C455)=7,$Y$6,"ERROR")))),0),MAX(VLOOKUP($C455,COS!$B$8:$K$991,9,FALSE)-IF(MONTH($C455)=4,$V$3,IF(MONTH($C455)=5,$V$4,IF(MONTH($C455)=6,$V$5,IF(MONTH($C455)=7,$V$6,"ERROR"))))-VLOOKUP($C455,COS!$B$8:$K$991,6,FALSE)/2,0))</f>
        <v>750</v>
      </c>
      <c r="S455" s="30">
        <f t="shared" ref="S455:S458" si="730">R455*DAY($C455)*86400/43560/1000</f>
        <v>44.628099173553714</v>
      </c>
      <c r="T455" s="30">
        <f t="shared" ref="T455:T458" si="731">(O455+Q455)/2+S455</f>
        <v>81.116307988442657</v>
      </c>
      <c r="U455" s="30" t="str">
        <f>IF(VLOOKUP($C455,COS!$B$8:$I$991,8,FALSE)=1,"UWFE","IBU")</f>
        <v>UWFE</v>
      </c>
      <c r="V455" s="30">
        <f t="shared" ref="V455" si="732">MIN(IF(IF($AA$3=2,AND(E455=1,G455=1,L455=1,L460=1,M455=1,U455="IBU"),AND(E455=1,G455=1,L455=1,L460=1,M455=1)),T455,0),I455)</f>
        <v>0</v>
      </c>
      <c r="W455" s="30"/>
      <c r="X455" s="30"/>
      <c r="Y455" s="30"/>
      <c r="Z455" s="30"/>
      <c r="AA455" s="30"/>
      <c r="AB455" s="31"/>
    </row>
    <row r="456" spans="1:28" x14ac:dyDescent="0.3">
      <c r="A456" s="32">
        <f>VLOOKUP(YEAR(C456),Flags!$A$13:$B$95,2,FALSE)</f>
        <v>1</v>
      </c>
      <c r="B456" s="24">
        <f t="shared" si="637"/>
        <v>1971</v>
      </c>
      <c r="C456" s="25">
        <v>26084</v>
      </c>
      <c r="D456" s="26">
        <f>VLOOKUP($C456,COS!$B$8:$H$991,3,FALSE)</f>
        <v>8956.8486328125</v>
      </c>
      <c r="E456" s="24">
        <f>IF(D456&gt;=IF(MONTH($C456)=4,$C$3,IF(MONTH($C456)=5,$C$4,IF(MONTH($C456)=6,$C$5,IF(MONTH($C456)=7,$C$6,"ERROR")))),1,0)</f>
        <v>1</v>
      </c>
      <c r="F456" s="26">
        <f>VLOOKUP($C456,COS!$B$8:$H$991,7,FALSE)</f>
        <v>49.074142456054688</v>
      </c>
      <c r="G456" s="24">
        <f>IF(F456&lt;=IF(MONTH($C456)=4,$F$3,IF(MONTH($C456)=5,$F$4,IF(MONTH($C456)=6,$F$5,IF(MONTH($C456)=7,$F$6,"ERROR")))),1,0)</f>
        <v>1</v>
      </c>
      <c r="H456" s="26">
        <f>IF(J456=1,D456-$C$4,0)</f>
        <v>2956.8486328125</v>
      </c>
      <c r="I456" s="26">
        <f t="shared" si="661"/>
        <v>181.8095357696281</v>
      </c>
      <c r="J456" s="24">
        <f t="shared" si="725"/>
        <v>1</v>
      </c>
      <c r="K456" s="26">
        <f>VLOOKUP($C456,COS!$B$8:$H$991,2,FALSE)</f>
        <v>4552</v>
      </c>
      <c r="L456" s="24">
        <f t="shared" si="639"/>
        <v>1</v>
      </c>
      <c r="M456" s="24">
        <f t="shared" si="640"/>
        <v>0</v>
      </c>
      <c r="N456" s="26">
        <f>VLOOKUP($C456,COS!$B$8:$H$991,5,FALSE)</f>
        <v>722.55084228515625</v>
      </c>
      <c r="O456" s="26">
        <f t="shared" si="728"/>
        <v>44.427919558690597</v>
      </c>
      <c r="P456" s="26">
        <f>VLOOKUP($C456,COS!$B$8:$H$991,6,FALSE)</f>
        <v>1990.4598388671875</v>
      </c>
      <c r="Q456" s="26">
        <f t="shared" si="729"/>
        <v>122.3886049683626</v>
      </c>
      <c r="R456" s="26">
        <f>MIN(IF(MONTH($C456)=4,$S$3,IF(MONTH($C456)=5,$S$4,IF(MONTH($C456)=6,$S$5,IF(MONTH($C456)=7,$S$6,"ERROR")))),MAX(VLOOKUP($C456,COS!$B$8:$K$991,10,FALSE)-IF(MONTH($C456)=4,$Y$3,IF(MONTH($C456)=5,$Y$4,IF(MONTH($C456)=6,$Y$5,IF(MONTH($C456)=7,$Y$6,"ERROR")))),0),MAX(VLOOKUP($C456,COS!$B$8:$K$991,9,FALSE)-IF(MONTH($C456)=4,$V$3,IF(MONTH($C456)=5,$V$4,IF(MONTH($C456)=6,$V$5,IF(MONTH($C456)=7,$V$6,"ERROR"))))-VLOOKUP($C456,COS!$B$8:$K$991,6,FALSE)/2,0))</f>
        <v>750</v>
      </c>
      <c r="S456" s="26">
        <f t="shared" si="730"/>
        <v>46.115702479338843</v>
      </c>
      <c r="T456" s="26">
        <f t="shared" si="731"/>
        <v>129.52396474286545</v>
      </c>
      <c r="U456" s="26" t="str">
        <f>IF(VLOOKUP($C456,COS!$B$8:$I$991,8,FALSE)=1,"UWFE","IBU")</f>
        <v>UWFE</v>
      </c>
      <c r="V456" s="26">
        <f t="shared" ref="V456" si="733">MIN(IF(IF($AA$3=2,AND(E456=1,G456=1,L456=1,L460=1,M456=1,U456="IBU"),AND(E456=1,G456=1,L456=1,L460=1,M456=1)),T456,0),I456)</f>
        <v>0</v>
      </c>
      <c r="W456" s="26"/>
      <c r="X456" s="26"/>
      <c r="Y456" s="26"/>
      <c r="Z456" s="26"/>
      <c r="AA456" s="26"/>
      <c r="AB456" s="33"/>
    </row>
    <row r="457" spans="1:28" x14ac:dyDescent="0.3">
      <c r="A457" s="32">
        <f>VLOOKUP(YEAR(C457),Flags!$A$13:$B$95,2,FALSE)</f>
        <v>1</v>
      </c>
      <c r="B457" s="24">
        <f t="shared" si="637"/>
        <v>1971</v>
      </c>
      <c r="C457" s="25">
        <v>26114</v>
      </c>
      <c r="D457" s="26">
        <f>VLOOKUP($C457,COS!$B$8:$H$991,3,FALSE)</f>
        <v>7962.24658203125</v>
      </c>
      <c r="E457" s="24">
        <f>IF(D457&gt;=IF(MONTH($C457)=4,$C$3,IF(MONTH($C457)=5,$C$4,IF(MONTH($C457)=6,$C$5,IF(MONTH($C457)=7,$C$6,"ERROR")))),1,0)</f>
        <v>0</v>
      </c>
      <c r="F457" s="26">
        <f>VLOOKUP($C457,COS!$B$8:$H$991,7,FALSE)</f>
        <v>51.377964019775391</v>
      </c>
      <c r="G457" s="24">
        <f>IF(F457&lt;=IF(MONTH($C457)=4,$F$3,IF(MONTH($C457)=5,$F$4,IF(MONTH($C457)=6,$F$5,IF(MONTH($C457)=7,$F$6,"ERROR")))),1,0)</f>
        <v>1</v>
      </c>
      <c r="H457" s="26">
        <f>IF(J457=1,D457-$C$5,0)</f>
        <v>0</v>
      </c>
      <c r="I457" s="26">
        <f t="shared" si="661"/>
        <v>0</v>
      </c>
      <c r="J457" s="24">
        <f t="shared" si="725"/>
        <v>0</v>
      </c>
      <c r="K457" s="26">
        <f>VLOOKUP($C457,COS!$B$8:$H$991,2,FALSE)</f>
        <v>4500</v>
      </c>
      <c r="L457" s="24">
        <f t="shared" si="639"/>
        <v>1</v>
      </c>
      <c r="M457" s="24">
        <f t="shared" si="640"/>
        <v>0</v>
      </c>
      <c r="N457" s="26">
        <f>VLOOKUP($C457,COS!$B$8:$H$991,5,FALSE)</f>
        <v>865.0386962890625</v>
      </c>
      <c r="O457" s="26">
        <f t="shared" si="728"/>
        <v>51.473376969266532</v>
      </c>
      <c r="P457" s="26">
        <f>VLOOKUP($C457,COS!$B$8:$H$991,6,FALSE)</f>
        <v>2342.25732421875</v>
      </c>
      <c r="Q457" s="26">
        <f t="shared" si="729"/>
        <v>139.37398954028924</v>
      </c>
      <c r="R457" s="26">
        <f>MIN(IF(MONTH($C457)=4,$S$3,IF(MONTH($C457)=5,$S$4,IF(MONTH($C457)=6,$S$5,IF(MONTH($C457)=7,$S$6,"ERROR")))),MAX(VLOOKUP($C457,COS!$B$8:$K$991,10,FALSE)-IF(MONTH($C457)=4,$Y$3,IF(MONTH($C457)=5,$Y$4,IF(MONTH($C457)=6,$Y$5,IF(MONTH($C457)=7,$Y$6,"ERROR")))),0),MAX(VLOOKUP($C457,COS!$B$8:$K$991,9,FALSE)-IF(MONTH($C457)=4,$V$3,IF(MONTH($C457)=5,$V$4,IF(MONTH($C457)=6,$V$5,IF(MONTH($C457)=7,$V$6,"ERROR"))))-VLOOKUP($C457,COS!$B$8:$K$991,6,FALSE)/2,0))</f>
        <v>750</v>
      </c>
      <c r="S457" s="26">
        <f t="shared" si="730"/>
        <v>44.628099173553714</v>
      </c>
      <c r="T457" s="26">
        <f t="shared" si="731"/>
        <v>140.05178242833159</v>
      </c>
      <c r="U457" s="26" t="str">
        <f>IF(VLOOKUP($C457,COS!$B$8:$I$991,8,FALSE)=1,"UWFE","IBU")</f>
        <v>UWFE</v>
      </c>
      <c r="V457" s="26">
        <f t="shared" ref="V457" si="734">MIN(IF(IF($AA$3=2,AND(E457=1,G457=1,L457=1,L460=1,M457=1,U457="IBU"),AND(E457=1,G457=1,L457=1,L460=1,M457=1)),T457,0),I457)</f>
        <v>0</v>
      </c>
      <c r="W457" s="26"/>
      <c r="X457" s="26"/>
      <c r="Y457" s="26"/>
      <c r="Z457" s="26"/>
      <c r="AA457" s="26"/>
      <c r="AB457" s="33"/>
    </row>
    <row r="458" spans="1:28" x14ac:dyDescent="0.3">
      <c r="A458" s="32">
        <f>VLOOKUP(YEAR(C458),Flags!$A$13:$B$95,2,FALSE)</f>
        <v>1</v>
      </c>
      <c r="B458" s="24">
        <f t="shared" si="637"/>
        <v>1971</v>
      </c>
      <c r="C458" s="25">
        <v>26145</v>
      </c>
      <c r="D458" s="26">
        <f>VLOOKUP($C458,COS!$B$8:$H$991,3,FALSE)</f>
        <v>15771.30859375</v>
      </c>
      <c r="E458" s="24">
        <f>IF(D458&gt;=IF(MONTH($C458)=4,$C$3,IF(MONTH($C458)=5,$C$4,IF(MONTH($C458)=6,$C$5,IF(MONTH($C458)=7,$C$6,"ERROR")))),1,0)</f>
        <v>1</v>
      </c>
      <c r="F458" s="26">
        <f>VLOOKUP($C458,COS!$B$8:$H$991,7,FALSE)</f>
        <v>51.168178558349609</v>
      </c>
      <c r="G458" s="24">
        <f>IF(F458&lt;=IF(MONTH($C458)=4,$F$3,IF(MONTH($C458)=5,$F$4,IF(MONTH($C458)=6,$F$5,IF(MONTH($C458)=7,$F$6,"ERROR")))),1,0)</f>
        <v>1</v>
      </c>
      <c r="H458" s="26">
        <f>IF(J458=1,D458-$C$6,0)</f>
        <v>3771.30859375</v>
      </c>
      <c r="I458" s="26">
        <f t="shared" si="661"/>
        <v>231.88872675619837</v>
      </c>
      <c r="J458" s="24">
        <f t="shared" si="725"/>
        <v>1</v>
      </c>
      <c r="K458" s="26">
        <f>VLOOKUP($C458,COS!$B$8:$H$991,2,FALSE)</f>
        <v>3763.6337890625</v>
      </c>
      <c r="L458" s="24">
        <f t="shared" si="639"/>
        <v>1</v>
      </c>
      <c r="M458" s="24">
        <f t="shared" si="640"/>
        <v>0</v>
      </c>
      <c r="N458" s="26">
        <f>VLOOKUP($C458,COS!$B$8:$H$991,5,FALSE)</f>
        <v>964.21917724609375</v>
      </c>
      <c r="O458" s="26">
        <f t="shared" si="728"/>
        <v>59.287526270338326</v>
      </c>
      <c r="P458" s="26">
        <f>VLOOKUP($C458,COS!$B$8:$H$991,6,FALSE)</f>
        <v>2521.474853515625</v>
      </c>
      <c r="Q458" s="26">
        <f t="shared" si="729"/>
        <v>155.0394455384814</v>
      </c>
      <c r="R458" s="26">
        <f>MIN(IF(MONTH($C458)=4,$S$3,IF(MONTH($C458)=5,$S$4,IF(MONTH($C458)=6,$S$5,IF(MONTH($C458)=7,$S$6,"ERROR")))),MAX(VLOOKUP($C458,COS!$B$8:$K$991,10,FALSE)-IF(MONTH($C458)=4,$Y$3,IF(MONTH($C458)=5,$Y$4,IF(MONTH($C458)=6,$Y$5,IF(MONTH($C458)=7,$Y$6,"ERROR")))),0),MAX(VLOOKUP($C458,COS!$B$8:$K$991,9,FALSE)-IF(MONTH($C458)=4,$V$3,IF(MONTH($C458)=5,$V$4,IF(MONTH($C458)=6,$V$5,IF(MONTH($C458)=7,$V$6,"ERROR"))))-VLOOKUP($C458,COS!$B$8:$K$991,6,FALSE)/2,0))</f>
        <v>750</v>
      </c>
      <c r="S458" s="26">
        <f t="shared" si="730"/>
        <v>46.115702479338843</v>
      </c>
      <c r="T458" s="26">
        <f t="shared" si="731"/>
        <v>153.2791883837487</v>
      </c>
      <c r="U458" s="26" t="str">
        <f>IF(VLOOKUP($C458,COS!$B$8:$I$991,8,FALSE)=1,"UWFE","IBU")</f>
        <v>IBU</v>
      </c>
      <c r="V458" s="26">
        <f t="shared" ref="V458" si="735">MIN(IF(IF($AA$3=2,AND(E458=1,G458=1,L458=1,L460=1,M458=1,U458="IBU"),AND(E458=1,G458=1,L458=1,L460=1,M458=1)),T458,0),I458)</f>
        <v>0</v>
      </c>
      <c r="W458" s="26"/>
      <c r="X458" s="26"/>
      <c r="Y458" s="26"/>
      <c r="Z458" s="26"/>
      <c r="AA458" s="26"/>
      <c r="AB458" s="33"/>
    </row>
    <row r="459" spans="1:28" x14ac:dyDescent="0.3">
      <c r="A459" s="32">
        <f>VLOOKUP(YEAR(C459),Flags!$A$13:$B$95,2,FALSE)</f>
        <v>1</v>
      </c>
      <c r="B459" s="24">
        <f t="shared" si="637"/>
        <v>1971</v>
      </c>
      <c r="C459" s="25">
        <v>26176</v>
      </c>
      <c r="D459" s="26"/>
      <c r="E459" s="24"/>
      <c r="F459" s="26"/>
      <c r="G459" s="24"/>
      <c r="H459" s="24"/>
      <c r="I459" s="26"/>
      <c r="J459" s="24"/>
      <c r="K459" s="26"/>
      <c r="L459" s="24"/>
      <c r="M459" s="24"/>
      <c r="N459" s="26"/>
      <c r="O459" s="26"/>
      <c r="P459" s="26"/>
      <c r="Q459" s="26"/>
      <c r="R459" s="26"/>
      <c r="S459" s="26"/>
      <c r="T459" s="26"/>
      <c r="U459" s="26"/>
      <c r="V459" s="26"/>
      <c r="W459" s="26">
        <f>MAX($C$7-VLOOKUP($C459,COS!$B$8:$H$991,3,FALSE),0)</f>
        <v>90534.529296875</v>
      </c>
      <c r="X459" s="26">
        <f t="shared" si="667"/>
        <v>5566.7512228822316</v>
      </c>
      <c r="Y459" s="26">
        <f>VLOOKUP($C459,COS!$B$8:$H$991,4,FALSE)</f>
        <v>367.70223999023438</v>
      </c>
      <c r="Z459" s="26">
        <f t="shared" si="668"/>
        <v>22.609129467168131</v>
      </c>
      <c r="AA459" s="26">
        <f t="shared" ref="AA459:AA463" si="736">MIN(W459,Y459)</f>
        <v>367.70223999023438</v>
      </c>
      <c r="AB459" s="33">
        <f t="shared" ref="AB459" si="737">AA459*DAY($C459)*86400/43560/1000*IF(MONTH($C459)=8,$P$3,IF(MONTH($C459)=9,$P$4,IF(MONTH($C459)=10,$P$5,IF(MONTH($C459)=11,$P$6,IF(MONTH($C459)=12,$P$7,NA())))))</f>
        <v>22.609129467168131</v>
      </c>
    </row>
    <row r="460" spans="1:28" x14ac:dyDescent="0.3">
      <c r="A460" s="32">
        <f>VLOOKUP(YEAR(C460),Flags!$A$13:$B$95,2,FALSE)</f>
        <v>1</v>
      </c>
      <c r="B460" s="24">
        <f t="shared" si="637"/>
        <v>1971</v>
      </c>
      <c r="C460" s="25">
        <v>26206</v>
      </c>
      <c r="D460" s="26"/>
      <c r="E460" s="24"/>
      <c r="F460" s="26"/>
      <c r="G460" s="24"/>
      <c r="H460" s="24"/>
      <c r="I460" s="26"/>
      <c r="J460" s="24"/>
      <c r="K460" s="26">
        <f>VLOOKUP($C460,COS!$B$8:$H$991,2,FALSE)</f>
        <v>2942.9580078125</v>
      </c>
      <c r="L460" s="24">
        <f t="shared" ref="L460" si="738">IF(AND(K460&gt;$I$7,K460&lt;$I$8),1,0)</f>
        <v>1</v>
      </c>
      <c r="M460" s="24"/>
      <c r="N460" s="26"/>
      <c r="O460" s="26"/>
      <c r="P460" s="26"/>
      <c r="Q460" s="26"/>
      <c r="R460" s="26"/>
      <c r="S460" s="26"/>
      <c r="T460" s="26"/>
      <c r="U460" s="26"/>
      <c r="V460" s="26"/>
      <c r="W460" s="26">
        <f>MAX($C$8-VLOOKUP($C460,COS!$B$8:$H$991,3,FALSE),0)</f>
        <v>86539.259765625</v>
      </c>
      <c r="X460" s="26">
        <f t="shared" si="667"/>
        <v>5149.4435563016523</v>
      </c>
      <c r="Y460" s="26">
        <f>VLOOKUP($C460,COS!$B$8:$H$991,4,FALSE)</f>
        <v>0</v>
      </c>
      <c r="Z460" s="26">
        <f t="shared" si="668"/>
        <v>0</v>
      </c>
      <c r="AA460" s="26">
        <f t="shared" si="736"/>
        <v>0</v>
      </c>
      <c r="AB460" s="33">
        <f t="shared" si="650"/>
        <v>0</v>
      </c>
    </row>
    <row r="461" spans="1:28" x14ac:dyDescent="0.3">
      <c r="A461" s="32">
        <f>VLOOKUP(YEAR(C461),Flags!$A$13:$B$95,2,FALSE)</f>
        <v>1</v>
      </c>
      <c r="B461" s="24">
        <f t="shared" si="637"/>
        <v>1971</v>
      </c>
      <c r="C461" s="25">
        <v>26237</v>
      </c>
      <c r="D461" s="26"/>
      <c r="E461" s="24"/>
      <c r="F461" s="26"/>
      <c r="G461" s="26"/>
      <c r="H461" s="26"/>
      <c r="I461" s="26"/>
      <c r="J461" s="26"/>
      <c r="K461" s="26"/>
      <c r="L461" s="24"/>
      <c r="M461" s="24"/>
      <c r="N461" s="26"/>
      <c r="O461" s="26"/>
      <c r="P461" s="26"/>
      <c r="Q461" s="26"/>
      <c r="R461" s="26"/>
      <c r="S461" s="26"/>
      <c r="T461" s="26"/>
      <c r="U461" s="26"/>
      <c r="V461" s="26"/>
      <c r="W461" s="26">
        <f>MAX($C$9-VLOOKUP($C461,COS!$B$8:$H$991,3,FALSE),0)</f>
        <v>91401.7578125</v>
      </c>
      <c r="X461" s="26">
        <f t="shared" si="667"/>
        <v>5620.075025826447</v>
      </c>
      <c r="Y461" s="26">
        <f>VLOOKUP($C461,COS!$B$8:$H$991,4,FALSE)</f>
        <v>1216.479248046875</v>
      </c>
      <c r="Z461" s="26">
        <f t="shared" si="668"/>
        <v>74.798393433626032</v>
      </c>
      <c r="AA461" s="26">
        <f t="shared" si="736"/>
        <v>1216.479248046875</v>
      </c>
      <c r="AB461" s="33">
        <f t="shared" si="650"/>
        <v>74.798393433626032</v>
      </c>
    </row>
    <row r="462" spans="1:28" x14ac:dyDescent="0.3">
      <c r="A462" s="32">
        <f>VLOOKUP(YEAR(C462),Flags!$A$13:$B$95,2,FALSE)</f>
        <v>1</v>
      </c>
      <c r="B462" s="24">
        <f t="shared" si="637"/>
        <v>1971</v>
      </c>
      <c r="C462" s="25">
        <v>26267</v>
      </c>
      <c r="D462" s="26"/>
      <c r="E462" s="24"/>
      <c r="F462" s="26"/>
      <c r="G462" s="26"/>
      <c r="H462" s="26"/>
      <c r="I462" s="26"/>
      <c r="J462" s="26"/>
      <c r="K462" s="26"/>
      <c r="L462" s="24"/>
      <c r="M462" s="24"/>
      <c r="N462" s="26"/>
      <c r="O462" s="26"/>
      <c r="P462" s="26"/>
      <c r="Q462" s="26"/>
      <c r="R462" s="26"/>
      <c r="S462" s="26"/>
      <c r="T462" s="26"/>
      <c r="U462" s="26"/>
      <c r="V462" s="26"/>
      <c r="W462" s="26">
        <f>MAX($C$10-VLOOKUP($C462,COS!$B$8:$H$991,3,FALSE),0)</f>
        <v>87564.6484375</v>
      </c>
      <c r="X462" s="26">
        <f t="shared" si="667"/>
        <v>5210.4584194214876</v>
      </c>
      <c r="Y462" s="26">
        <f>VLOOKUP($C462,COS!$B$8:$H$991,4,FALSE)</f>
        <v>1703.5538330078125</v>
      </c>
      <c r="Z462" s="26">
        <f t="shared" si="668"/>
        <v>101.36849254261364</v>
      </c>
      <c r="AA462" s="26">
        <f t="shared" si="736"/>
        <v>1703.5538330078125</v>
      </c>
      <c r="AB462" s="33">
        <f t="shared" si="650"/>
        <v>50.684246271306819</v>
      </c>
    </row>
    <row r="463" spans="1:28" x14ac:dyDescent="0.3">
      <c r="A463" s="34">
        <f>VLOOKUP(YEAR(C463),Flags!$A$13:$B$95,2,FALSE)</f>
        <v>1</v>
      </c>
      <c r="B463" s="35">
        <f t="shared" ref="B463:B526" si="739">YEAR(C463)</f>
        <v>1971</v>
      </c>
      <c r="C463" s="36">
        <v>26298</v>
      </c>
      <c r="D463" s="37"/>
      <c r="E463" s="35"/>
      <c r="F463" s="37"/>
      <c r="G463" s="37"/>
      <c r="H463" s="37"/>
      <c r="I463" s="37"/>
      <c r="J463" s="37"/>
      <c r="K463" s="37"/>
      <c r="L463" s="35"/>
      <c r="M463" s="35"/>
      <c r="N463" s="37"/>
      <c r="O463" s="37"/>
      <c r="P463" s="37"/>
      <c r="Q463" s="37"/>
      <c r="R463" s="37"/>
      <c r="S463" s="37"/>
      <c r="T463" s="37"/>
      <c r="U463" s="37"/>
      <c r="V463" s="37"/>
      <c r="W463" s="37">
        <f>MAX($C$11-VLOOKUP($C463,COS!$B$8:$H$991,3,FALSE),0)</f>
        <v>0</v>
      </c>
      <c r="X463" s="37">
        <f t="shared" si="667"/>
        <v>0</v>
      </c>
      <c r="Y463" s="37">
        <f>VLOOKUP($C463,COS!$B$8:$H$991,4,FALSE)</f>
        <v>0</v>
      </c>
      <c r="Z463" s="37">
        <f t="shared" si="668"/>
        <v>0</v>
      </c>
      <c r="AA463" s="37">
        <f t="shared" si="736"/>
        <v>0</v>
      </c>
      <c r="AB463" s="38">
        <f t="shared" si="650"/>
        <v>0</v>
      </c>
    </row>
    <row r="464" spans="1:28" x14ac:dyDescent="0.3">
      <c r="A464" s="27">
        <f>VLOOKUP(YEAR(C464),Flags!$A$13:$B$95,2,FALSE)</f>
        <v>3</v>
      </c>
      <c r="B464" s="28">
        <f t="shared" si="739"/>
        <v>1972</v>
      </c>
      <c r="C464" s="29">
        <v>26419</v>
      </c>
      <c r="D464" s="30">
        <f>VLOOKUP($C464,COS!$B$8:$H$991,3,FALSE)</f>
        <v>4466.64501953125</v>
      </c>
      <c r="E464" s="28">
        <f>IF(D464&gt;=IF(MONTH($C464)=4,$C$3,IF(MONTH($C464)=5,$C$4,IF(MONTH($C464)=6,$C$5,IF(MONTH($C464)=7,$C$6,"ERROR")))),1,0)</f>
        <v>0</v>
      </c>
      <c r="F464" s="30">
        <f>VLOOKUP($C464,COS!$B$8:$H$991,7,FALSE)</f>
        <v>50.082248687744141</v>
      </c>
      <c r="G464" s="28">
        <f>IF(F464&lt;=IF(MONTH($C464)=4,$F$3,IF(MONTH($C464)=5,$F$4,IF(MONTH($C464)=6,$F$5,IF(MONTH($C464)=7,$F$6,"ERROR")))),1,0)</f>
        <v>1</v>
      </c>
      <c r="H464" s="30">
        <f>IF(J464=1,D464-$C$3,0)</f>
        <v>0</v>
      </c>
      <c r="I464" s="30">
        <f t="shared" si="661"/>
        <v>0</v>
      </c>
      <c r="J464" s="28">
        <f t="shared" ref="J464:J467" si="740">IF(AND(E464=1,G464=1),1,0)</f>
        <v>0</v>
      </c>
      <c r="K464" s="30">
        <f>VLOOKUP($C464,COS!$B$8:$H$991,2,FALSE)</f>
        <v>4552</v>
      </c>
      <c r="L464" s="28">
        <f t="shared" ref="L464:L521" si="741">IF(K464&lt;=IF(MONTH($C464)=4,$I$3,IF(MONTH($C464)=5,$I$4,IF(MONTH($C464)=6,$I$5,IF(MONTH($C464)=7,$I$6,"ERROR")))),1,0)</f>
        <v>1</v>
      </c>
      <c r="M464" s="28">
        <f t="shared" ref="M464:M521" si="742">VLOOKUP($A464,$L$3:$M$7,2,FALSE)</f>
        <v>0</v>
      </c>
      <c r="N464" s="30">
        <f>VLOOKUP($C464,COS!$B$8:$H$991,5,FALSE)</f>
        <v>323.25350952148438</v>
      </c>
      <c r="O464" s="30">
        <f t="shared" ref="O464:O467" si="743">N464*DAY($C464)*86400/43560/1000</f>
        <v>19.23491957483213</v>
      </c>
      <c r="P464" s="30">
        <f>VLOOKUP($C464,COS!$B$8:$H$991,6,FALSE)</f>
        <v>539.28424072265625</v>
      </c>
      <c r="Q464" s="30">
        <f t="shared" ref="Q464:Q467" si="744">P464*DAY($C464)*86400/43560/1000</f>
        <v>32.08964077027376</v>
      </c>
      <c r="R464" s="30">
        <f>MIN(IF(MONTH($C464)=4,$S$3,IF(MONTH($C464)=5,$S$4,IF(MONTH($C464)=6,$S$5,IF(MONTH($C464)=7,$S$6,"ERROR")))),MAX(VLOOKUP($C464,COS!$B$8:$K$991,10,FALSE)-IF(MONTH($C464)=4,$Y$3,IF(MONTH($C464)=5,$Y$4,IF(MONTH($C464)=6,$Y$5,IF(MONTH($C464)=7,$Y$6,"ERROR")))),0),MAX(VLOOKUP($C464,COS!$B$8:$K$991,9,FALSE)-IF(MONTH($C464)=4,$V$3,IF(MONTH($C464)=5,$V$4,IF(MONTH($C464)=6,$V$5,IF(MONTH($C464)=7,$V$6,"ERROR"))))-VLOOKUP($C464,COS!$B$8:$K$991,6,FALSE)/2,0))</f>
        <v>750</v>
      </c>
      <c r="S464" s="30">
        <f t="shared" ref="S464:S467" si="745">R464*DAY($C464)*86400/43560/1000</f>
        <v>44.628099173553714</v>
      </c>
      <c r="T464" s="30">
        <f t="shared" ref="T464:T467" si="746">(O464+Q464)/2+S464</f>
        <v>70.290379346106661</v>
      </c>
      <c r="U464" s="30" t="str">
        <f>IF(VLOOKUP($C464,COS!$B$8:$I$991,8,FALSE)=1,"UWFE","IBU")</f>
        <v>UWFE</v>
      </c>
      <c r="V464" s="30">
        <f t="shared" ref="V464" si="747">MIN(IF(IF($AA$3=2,AND(E464=1,G464=1,L464=1,L469=1,M464=1,U464="IBU"),AND(E464=1,G464=1,L464=1,L469=1,M464=1)),T464,0),I464)</f>
        <v>0</v>
      </c>
      <c r="W464" s="30"/>
      <c r="X464" s="30"/>
      <c r="Y464" s="30"/>
      <c r="Z464" s="30"/>
      <c r="AA464" s="30"/>
      <c r="AB464" s="31"/>
    </row>
    <row r="465" spans="1:28" x14ac:dyDescent="0.3">
      <c r="A465" s="32">
        <f>VLOOKUP(YEAR(C465),Flags!$A$13:$B$95,2,FALSE)</f>
        <v>3</v>
      </c>
      <c r="B465" s="24">
        <f t="shared" si="739"/>
        <v>1972</v>
      </c>
      <c r="C465" s="25">
        <v>26450</v>
      </c>
      <c r="D465" s="26">
        <f>VLOOKUP($C465,COS!$B$8:$H$991,3,FALSE)</f>
        <v>7295.134765625</v>
      </c>
      <c r="E465" s="24">
        <f>IF(D465&gt;=IF(MONTH($C465)=4,$C$3,IF(MONTH($C465)=5,$C$4,IF(MONTH($C465)=6,$C$5,IF(MONTH($C465)=7,$C$6,"ERROR")))),1,0)</f>
        <v>1</v>
      </c>
      <c r="F465" s="26">
        <f>VLOOKUP($C465,COS!$B$8:$H$991,7,FALSE)</f>
        <v>50.610748291015625</v>
      </c>
      <c r="G465" s="24">
        <f>IF(F465&lt;=IF(MONTH($C465)=4,$F$3,IF(MONTH($C465)=5,$F$4,IF(MONTH($C465)=6,$F$5,IF(MONTH($C465)=7,$F$6,"ERROR")))),1,0)</f>
        <v>1</v>
      </c>
      <c r="H465" s="26">
        <f>IF(J465=1,D465-$C$4,0)</f>
        <v>1295.134765625</v>
      </c>
      <c r="I465" s="26">
        <f t="shared" si="661"/>
        <v>79.634732696280992</v>
      </c>
      <c r="J465" s="24">
        <f t="shared" si="740"/>
        <v>1</v>
      </c>
      <c r="K465" s="26">
        <f>VLOOKUP($C465,COS!$B$8:$H$991,2,FALSE)</f>
        <v>4444.4248046875</v>
      </c>
      <c r="L465" s="24">
        <f t="shared" si="741"/>
        <v>1</v>
      </c>
      <c r="M465" s="24">
        <f t="shared" si="742"/>
        <v>0</v>
      </c>
      <c r="N465" s="26">
        <f>VLOOKUP($C465,COS!$B$8:$H$991,5,FALSE)</f>
        <v>214.1783447265625</v>
      </c>
      <c r="O465" s="26">
        <f t="shared" si="743"/>
        <v>13.169313097236572</v>
      </c>
      <c r="P465" s="26">
        <f>VLOOKUP($C465,COS!$B$8:$H$991,6,FALSE)</f>
        <v>2237.25634765625</v>
      </c>
      <c r="Q465" s="26">
        <f t="shared" si="744"/>
        <v>137.56353079803719</v>
      </c>
      <c r="R465" s="26">
        <f>MIN(IF(MONTH($C465)=4,$S$3,IF(MONTH($C465)=5,$S$4,IF(MONTH($C465)=6,$S$5,IF(MONTH($C465)=7,$S$6,"ERROR")))),MAX(VLOOKUP($C465,COS!$B$8:$K$991,10,FALSE)-IF(MONTH($C465)=4,$Y$3,IF(MONTH($C465)=5,$Y$4,IF(MONTH($C465)=6,$Y$5,IF(MONTH($C465)=7,$Y$6,"ERROR")))),0),MAX(VLOOKUP($C465,COS!$B$8:$K$991,9,FALSE)-IF(MONTH($C465)=4,$V$3,IF(MONTH($C465)=5,$V$4,IF(MONTH($C465)=6,$V$5,IF(MONTH($C465)=7,$V$6,"ERROR"))))-VLOOKUP($C465,COS!$B$8:$K$991,6,FALSE)/2,0))</f>
        <v>750</v>
      </c>
      <c r="S465" s="26">
        <f t="shared" si="745"/>
        <v>46.115702479338843</v>
      </c>
      <c r="T465" s="26">
        <f t="shared" si="746"/>
        <v>121.48212442697573</v>
      </c>
      <c r="U465" s="26" t="str">
        <f>IF(VLOOKUP($C465,COS!$B$8:$I$991,8,FALSE)=1,"UWFE","IBU")</f>
        <v>UWFE</v>
      </c>
      <c r="V465" s="26">
        <f t="shared" ref="V465" si="748">MIN(IF(IF($AA$3=2,AND(E465=1,G465=1,L465=1,L469=1,M465=1,U465="IBU"),AND(E465=1,G465=1,L465=1,L469=1,M465=1)),T465,0),I465)</f>
        <v>0</v>
      </c>
      <c r="W465" s="26"/>
      <c r="X465" s="26"/>
      <c r="Y465" s="26"/>
      <c r="Z465" s="26"/>
      <c r="AA465" s="26"/>
      <c r="AB465" s="33"/>
    </row>
    <row r="466" spans="1:28" x14ac:dyDescent="0.3">
      <c r="A466" s="32">
        <f>VLOOKUP(YEAR(C466),Flags!$A$13:$B$95,2,FALSE)</f>
        <v>3</v>
      </c>
      <c r="B466" s="24">
        <f t="shared" si="739"/>
        <v>1972</v>
      </c>
      <c r="C466" s="25">
        <v>26480</v>
      </c>
      <c r="D466" s="26">
        <f>VLOOKUP($C466,COS!$B$8:$H$991,3,FALSE)</f>
        <v>13446.5849609375</v>
      </c>
      <c r="E466" s="24">
        <f>IF(D466&gt;=IF(MONTH($C466)=4,$C$3,IF(MONTH($C466)=5,$C$4,IF(MONTH($C466)=6,$C$5,IF(MONTH($C466)=7,$C$6,"ERROR")))),1,0)</f>
        <v>1</v>
      </c>
      <c r="F466" s="26">
        <f>VLOOKUP($C466,COS!$B$8:$H$991,7,FALSE)</f>
        <v>50.5291748046875</v>
      </c>
      <c r="G466" s="24">
        <f>IF(F466&lt;=IF(MONTH($C466)=4,$F$3,IF(MONTH($C466)=5,$F$4,IF(MONTH($C466)=6,$F$5,IF(MONTH($C466)=7,$F$6,"ERROR")))),1,0)</f>
        <v>1</v>
      </c>
      <c r="H466" s="26">
        <f>IF(J466=1,D466-$C$5,0)</f>
        <v>3446.5849609375</v>
      </c>
      <c r="I466" s="26">
        <f t="shared" si="661"/>
        <v>205.0860472623967</v>
      </c>
      <c r="J466" s="24">
        <f t="shared" si="740"/>
        <v>1</v>
      </c>
      <c r="K466" s="26">
        <f>VLOOKUP($C466,COS!$B$8:$H$991,2,FALSE)</f>
        <v>3879.44091796875</v>
      </c>
      <c r="L466" s="24">
        <f t="shared" si="741"/>
        <v>1</v>
      </c>
      <c r="M466" s="24">
        <f t="shared" si="742"/>
        <v>0</v>
      </c>
      <c r="N466" s="26">
        <f>VLOOKUP($C466,COS!$B$8:$H$991,5,FALSE)</f>
        <v>428.46661376953125</v>
      </c>
      <c r="O466" s="26">
        <f t="shared" si="743"/>
        <v>25.495534042484504</v>
      </c>
      <c r="P466" s="26">
        <f>VLOOKUP($C466,COS!$B$8:$H$991,6,FALSE)</f>
        <v>2616.696044921875</v>
      </c>
      <c r="Q466" s="26">
        <f t="shared" si="744"/>
        <v>155.70422746642564</v>
      </c>
      <c r="R466" s="26">
        <f>MIN(IF(MONTH($C466)=4,$S$3,IF(MONTH($C466)=5,$S$4,IF(MONTH($C466)=6,$S$5,IF(MONTH($C466)=7,$S$6,"ERROR")))),MAX(VLOOKUP($C466,COS!$B$8:$K$991,10,FALSE)-IF(MONTH($C466)=4,$Y$3,IF(MONTH($C466)=5,$Y$4,IF(MONTH($C466)=6,$Y$5,IF(MONTH($C466)=7,$Y$6,"ERROR")))),0),MAX(VLOOKUP($C466,COS!$B$8:$K$991,9,FALSE)-IF(MONTH($C466)=4,$V$3,IF(MONTH($C466)=5,$V$4,IF(MONTH($C466)=6,$V$5,IF(MONTH($C466)=7,$V$6,"ERROR"))))-VLOOKUP($C466,COS!$B$8:$K$991,6,FALSE)/2,0))</f>
        <v>750</v>
      </c>
      <c r="S466" s="26">
        <f t="shared" si="745"/>
        <v>44.628099173553714</v>
      </c>
      <c r="T466" s="26">
        <f t="shared" si="746"/>
        <v>135.22797992800878</v>
      </c>
      <c r="U466" s="26" t="str">
        <f>IF(VLOOKUP($C466,COS!$B$8:$I$991,8,FALSE)=1,"UWFE","IBU")</f>
        <v>IBU</v>
      </c>
      <c r="V466" s="26">
        <f t="shared" ref="V466" si="749">MIN(IF(IF($AA$3=2,AND(E466=1,G466=1,L466=1,L469=1,M466=1,U466="IBU"),AND(E466=1,G466=1,L466=1,L469=1,M466=1)),T466,0),I466)</f>
        <v>0</v>
      </c>
      <c r="W466" s="26"/>
      <c r="X466" s="26"/>
      <c r="Y466" s="26"/>
      <c r="Z466" s="26"/>
      <c r="AA466" s="26"/>
      <c r="AB466" s="33"/>
    </row>
    <row r="467" spans="1:28" x14ac:dyDescent="0.3">
      <c r="A467" s="32">
        <f>VLOOKUP(YEAR(C467),Flags!$A$13:$B$95,2,FALSE)</f>
        <v>3</v>
      </c>
      <c r="B467" s="24">
        <f t="shared" si="739"/>
        <v>1972</v>
      </c>
      <c r="C467" s="25">
        <v>26511</v>
      </c>
      <c r="D467" s="26">
        <f>VLOOKUP($C467,COS!$B$8:$H$991,3,FALSE)</f>
        <v>15975.8271484375</v>
      </c>
      <c r="E467" s="24">
        <f>IF(D467&gt;=IF(MONTH($C467)=4,$C$3,IF(MONTH($C467)=5,$C$4,IF(MONTH($C467)=6,$C$5,IF(MONTH($C467)=7,$C$6,"ERROR")))),1,0)</f>
        <v>1</v>
      </c>
      <c r="F467" s="26">
        <f>VLOOKUP($C467,COS!$B$8:$H$991,7,FALSE)</f>
        <v>51.616970062255859</v>
      </c>
      <c r="G467" s="24">
        <f>IF(F467&lt;=IF(MONTH($C467)=4,$F$3,IF(MONTH($C467)=5,$F$4,IF(MONTH($C467)=6,$F$5,IF(MONTH($C467)=7,$F$6,"ERROR")))),1,0)</f>
        <v>1</v>
      </c>
      <c r="H467" s="26">
        <f>IF(J467=1,D467-$C$6,0)</f>
        <v>3975.8271484375</v>
      </c>
      <c r="I467" s="26">
        <f t="shared" si="661"/>
        <v>244.46408251549585</v>
      </c>
      <c r="J467" s="24">
        <f t="shared" si="740"/>
        <v>1</v>
      </c>
      <c r="K467" s="26">
        <f>VLOOKUP($C467,COS!$B$8:$H$991,2,FALSE)</f>
        <v>3200</v>
      </c>
      <c r="L467" s="24">
        <f t="shared" si="741"/>
        <v>1</v>
      </c>
      <c r="M467" s="24">
        <f t="shared" si="742"/>
        <v>0</v>
      </c>
      <c r="N467" s="26">
        <f>VLOOKUP($C467,COS!$B$8:$H$991,5,FALSE)</f>
        <v>484.07479858398438</v>
      </c>
      <c r="O467" s="26">
        <f t="shared" si="743"/>
        <v>29.764599185659868</v>
      </c>
      <c r="P467" s="26">
        <f>VLOOKUP($C467,COS!$B$8:$H$991,6,FALSE)</f>
        <v>2537.385498046875</v>
      </c>
      <c r="Q467" s="26">
        <f t="shared" si="744"/>
        <v>156.01775293775825</v>
      </c>
      <c r="R467" s="26">
        <f>MIN(IF(MONTH($C467)=4,$S$3,IF(MONTH($C467)=5,$S$4,IF(MONTH($C467)=6,$S$5,IF(MONTH($C467)=7,$S$6,"ERROR")))),MAX(VLOOKUP($C467,COS!$B$8:$K$991,10,FALSE)-IF(MONTH($C467)=4,$Y$3,IF(MONTH($C467)=5,$Y$4,IF(MONTH($C467)=6,$Y$5,IF(MONTH($C467)=7,$Y$6,"ERROR")))),0),MAX(VLOOKUP($C467,COS!$B$8:$K$991,9,FALSE)-IF(MONTH($C467)=4,$V$3,IF(MONTH($C467)=5,$V$4,IF(MONTH($C467)=6,$V$5,IF(MONTH($C467)=7,$V$6,"ERROR"))))-VLOOKUP($C467,COS!$B$8:$K$991,6,FALSE)/2,0))</f>
        <v>750</v>
      </c>
      <c r="S467" s="26">
        <f t="shared" si="745"/>
        <v>46.115702479338843</v>
      </c>
      <c r="T467" s="26">
        <f t="shared" si="746"/>
        <v>139.00687854104791</v>
      </c>
      <c r="U467" s="26" t="str">
        <f>IF(VLOOKUP($C467,COS!$B$8:$I$991,8,FALSE)=1,"UWFE","IBU")</f>
        <v>IBU</v>
      </c>
      <c r="V467" s="26">
        <f t="shared" ref="V467" si="750">MIN(IF(IF($AA$3=2,AND(E467=1,G467=1,L467=1,L469=1,M467=1,U467="IBU"),AND(E467=1,G467=1,L467=1,L469=1,M467=1)),T467,0),I467)</f>
        <v>0</v>
      </c>
      <c r="W467" s="26"/>
      <c r="X467" s="26"/>
      <c r="Y467" s="26"/>
      <c r="Z467" s="26"/>
      <c r="AA467" s="26"/>
      <c r="AB467" s="33"/>
    </row>
    <row r="468" spans="1:28" x14ac:dyDescent="0.3">
      <c r="A468" s="32">
        <f>VLOOKUP(YEAR(C468),Flags!$A$13:$B$95,2,FALSE)</f>
        <v>3</v>
      </c>
      <c r="B468" s="24">
        <f t="shared" si="739"/>
        <v>1972</v>
      </c>
      <c r="C468" s="25">
        <v>26542</v>
      </c>
      <c r="D468" s="26"/>
      <c r="E468" s="24"/>
      <c r="F468" s="26"/>
      <c r="G468" s="24"/>
      <c r="H468" s="24"/>
      <c r="I468" s="26"/>
      <c r="J468" s="24"/>
      <c r="K468" s="26"/>
      <c r="L468" s="24"/>
      <c r="M468" s="24"/>
      <c r="N468" s="26"/>
      <c r="O468" s="26"/>
      <c r="P468" s="26"/>
      <c r="Q468" s="26"/>
      <c r="R468" s="26"/>
      <c r="S468" s="26"/>
      <c r="T468" s="26"/>
      <c r="U468" s="26"/>
      <c r="V468" s="26"/>
      <c r="W468" s="26">
        <f>MAX($C$7-VLOOKUP($C468,COS!$B$8:$H$991,3,FALSE),0)</f>
        <v>89878.541015625</v>
      </c>
      <c r="X468" s="26">
        <f t="shared" si="667"/>
        <v>5526.4160756714873</v>
      </c>
      <c r="Y468" s="26">
        <f>VLOOKUP($C468,COS!$B$8:$H$991,4,FALSE)</f>
        <v>1250.875732421875</v>
      </c>
      <c r="Z468" s="26">
        <f t="shared" si="668"/>
        <v>76.913350819989674</v>
      </c>
      <c r="AA468" s="26">
        <f t="shared" ref="AA468:AA472" si="751">MIN(W468,Y468)</f>
        <v>1250.875732421875</v>
      </c>
      <c r="AB468" s="33">
        <f t="shared" ref="AB468:AB526" si="752">AA468*DAY($C468)*86400/43560/1000*IF(MONTH($C468)=8,$P$3,IF(MONTH($C468)=9,$P$4,IF(MONTH($C468)=10,$P$5,IF(MONTH($C468)=11,$P$6,IF(MONTH($C468)=12,$P$7,NA())))))</f>
        <v>76.913350819989674</v>
      </c>
    </row>
    <row r="469" spans="1:28" x14ac:dyDescent="0.3">
      <c r="A469" s="32">
        <f>VLOOKUP(YEAR(C469),Flags!$A$13:$B$95,2,FALSE)</f>
        <v>3</v>
      </c>
      <c r="B469" s="24">
        <f t="shared" si="739"/>
        <v>1972</v>
      </c>
      <c r="C469" s="25">
        <v>26572</v>
      </c>
      <c r="D469" s="26"/>
      <c r="E469" s="24"/>
      <c r="F469" s="26"/>
      <c r="G469" s="24"/>
      <c r="H469" s="24"/>
      <c r="I469" s="26"/>
      <c r="J469" s="24"/>
      <c r="K469" s="26">
        <f>VLOOKUP($C469,COS!$B$8:$H$991,2,FALSE)</f>
        <v>2958.29638671875</v>
      </c>
      <c r="L469" s="24">
        <f t="shared" ref="L469" si="753">IF(AND(K469&gt;$I$7,K469&lt;$I$8),1,0)</f>
        <v>1</v>
      </c>
      <c r="M469" s="24"/>
      <c r="N469" s="26"/>
      <c r="O469" s="26"/>
      <c r="P469" s="26"/>
      <c r="Q469" s="26"/>
      <c r="R469" s="26"/>
      <c r="S469" s="26"/>
      <c r="T469" s="26"/>
      <c r="U469" s="26"/>
      <c r="V469" s="26"/>
      <c r="W469" s="26">
        <f>MAX($C$8-VLOOKUP($C469,COS!$B$8:$H$991,3,FALSE),0)</f>
        <v>95242.72265625</v>
      </c>
      <c r="X469" s="26">
        <f t="shared" si="667"/>
        <v>5667.3355630165288</v>
      </c>
      <c r="Y469" s="26">
        <f>VLOOKUP($C469,COS!$B$8:$H$991,4,FALSE)</f>
        <v>954.7808837890625</v>
      </c>
      <c r="Z469" s="26">
        <f t="shared" si="668"/>
        <v>56.813407961002063</v>
      </c>
      <c r="AA469" s="26">
        <f t="shared" si="751"/>
        <v>954.7808837890625</v>
      </c>
      <c r="AB469" s="33">
        <f t="shared" si="752"/>
        <v>56.813407961002063</v>
      </c>
    </row>
    <row r="470" spans="1:28" x14ac:dyDescent="0.3">
      <c r="A470" s="32">
        <f>VLOOKUP(YEAR(C470),Flags!$A$13:$B$95,2,FALSE)</f>
        <v>3</v>
      </c>
      <c r="B470" s="24">
        <f t="shared" si="739"/>
        <v>1972</v>
      </c>
      <c r="C470" s="25">
        <v>26603</v>
      </c>
      <c r="D470" s="26"/>
      <c r="E470" s="24"/>
      <c r="F470" s="26"/>
      <c r="G470" s="26"/>
      <c r="H470" s="26"/>
      <c r="I470" s="26"/>
      <c r="J470" s="26"/>
      <c r="K470" s="26"/>
      <c r="L470" s="24"/>
      <c r="M470" s="24"/>
      <c r="N470" s="26"/>
      <c r="O470" s="26"/>
      <c r="P470" s="26"/>
      <c r="Q470" s="26"/>
      <c r="R470" s="26"/>
      <c r="S470" s="26"/>
      <c r="T470" s="26"/>
      <c r="U470" s="26"/>
      <c r="V470" s="26"/>
      <c r="W470" s="26">
        <f>MAX($C$9-VLOOKUP($C470,COS!$B$8:$H$991,3,FALSE),0)</f>
        <v>95128.9990234375</v>
      </c>
      <c r="X470" s="26">
        <f t="shared" si="667"/>
        <v>5849.2541548295458</v>
      </c>
      <c r="Y470" s="26">
        <f>VLOOKUP($C470,COS!$B$8:$H$991,4,FALSE)</f>
        <v>439.72247314453125</v>
      </c>
      <c r="Z470" s="26">
        <f t="shared" si="668"/>
        <v>27.037480993349689</v>
      </c>
      <c r="AA470" s="26">
        <f t="shared" si="751"/>
        <v>439.72247314453125</v>
      </c>
      <c r="AB470" s="33">
        <f t="shared" si="752"/>
        <v>27.037480993349689</v>
      </c>
    </row>
    <row r="471" spans="1:28" x14ac:dyDescent="0.3">
      <c r="A471" s="32">
        <f>VLOOKUP(YEAR(C471),Flags!$A$13:$B$95,2,FALSE)</f>
        <v>3</v>
      </c>
      <c r="B471" s="24">
        <f t="shared" si="739"/>
        <v>1972</v>
      </c>
      <c r="C471" s="25">
        <v>26633</v>
      </c>
      <c r="D471" s="26"/>
      <c r="E471" s="24"/>
      <c r="F471" s="26"/>
      <c r="G471" s="26"/>
      <c r="H471" s="26"/>
      <c r="I471" s="26"/>
      <c r="J471" s="26"/>
      <c r="K471" s="26"/>
      <c r="L471" s="24"/>
      <c r="M471" s="24"/>
      <c r="N471" s="26"/>
      <c r="O471" s="26"/>
      <c r="P471" s="26"/>
      <c r="Q471" s="26"/>
      <c r="R471" s="26"/>
      <c r="S471" s="26"/>
      <c r="T471" s="26"/>
      <c r="U471" s="26"/>
      <c r="V471" s="26"/>
      <c r="W471" s="26">
        <f>MAX($C$10-VLOOKUP($C471,COS!$B$8:$H$991,3,FALSE),0)</f>
        <v>96243.074462890625</v>
      </c>
      <c r="X471" s="26">
        <f t="shared" si="667"/>
        <v>5726.8606291967972</v>
      </c>
      <c r="Y471" s="26">
        <f>VLOOKUP($C471,COS!$B$8:$H$991,4,FALSE)</f>
        <v>2301.576171875</v>
      </c>
      <c r="Z471" s="26">
        <f t="shared" si="668"/>
        <v>136.95329287190083</v>
      </c>
      <c r="AA471" s="26">
        <f t="shared" si="751"/>
        <v>2301.576171875</v>
      </c>
      <c r="AB471" s="33">
        <f t="shared" si="752"/>
        <v>68.476646435950414</v>
      </c>
    </row>
    <row r="472" spans="1:28" x14ac:dyDescent="0.3">
      <c r="A472" s="34">
        <f>VLOOKUP(YEAR(C472),Flags!$A$13:$B$95,2,FALSE)</f>
        <v>3</v>
      </c>
      <c r="B472" s="35">
        <f t="shared" si="739"/>
        <v>1972</v>
      </c>
      <c r="C472" s="36">
        <v>26664</v>
      </c>
      <c r="D472" s="37"/>
      <c r="E472" s="35"/>
      <c r="F472" s="37"/>
      <c r="G472" s="37"/>
      <c r="H472" s="37"/>
      <c r="I472" s="37"/>
      <c r="J472" s="37"/>
      <c r="K472" s="37"/>
      <c r="L472" s="35"/>
      <c r="M472" s="35"/>
      <c r="N472" s="37"/>
      <c r="O472" s="37"/>
      <c r="P472" s="37"/>
      <c r="Q472" s="37"/>
      <c r="R472" s="37"/>
      <c r="S472" s="37"/>
      <c r="T472" s="37"/>
      <c r="U472" s="37"/>
      <c r="V472" s="37"/>
      <c r="W472" s="37">
        <f>MAX($C$11-VLOOKUP($C472,COS!$B$8:$H$991,3,FALSE),0)</f>
        <v>0</v>
      </c>
      <c r="X472" s="37">
        <f t="shared" si="667"/>
        <v>0</v>
      </c>
      <c r="Y472" s="37">
        <f>VLOOKUP($C472,COS!$B$8:$H$991,4,FALSE)</f>
        <v>0</v>
      </c>
      <c r="Z472" s="37">
        <f t="shared" si="668"/>
        <v>0</v>
      </c>
      <c r="AA472" s="37">
        <f t="shared" si="751"/>
        <v>0</v>
      </c>
      <c r="AB472" s="38">
        <f t="shared" si="752"/>
        <v>0</v>
      </c>
    </row>
    <row r="473" spans="1:28" x14ac:dyDescent="0.3">
      <c r="A473" s="27">
        <f>VLOOKUP(YEAR(C473),Flags!$A$13:$B$95,2,FALSE)</f>
        <v>2</v>
      </c>
      <c r="B473" s="28">
        <f t="shared" si="739"/>
        <v>1973</v>
      </c>
      <c r="C473" s="29">
        <v>26784</v>
      </c>
      <c r="D473" s="30">
        <f>VLOOKUP($C473,COS!$B$8:$H$991,3,FALSE)</f>
        <v>3250</v>
      </c>
      <c r="E473" s="28">
        <f>IF(D473&gt;=IF(MONTH($C473)=4,$C$3,IF(MONTH($C473)=5,$C$4,IF(MONTH($C473)=6,$C$5,IF(MONTH($C473)=7,$C$6,"ERROR")))),1,0)</f>
        <v>0</v>
      </c>
      <c r="F473" s="30">
        <f>VLOOKUP($C473,COS!$B$8:$H$991,7,FALSE)</f>
        <v>50.581394195556641</v>
      </c>
      <c r="G473" s="28">
        <f>IF(F473&lt;=IF(MONTH($C473)=4,$F$3,IF(MONTH($C473)=5,$F$4,IF(MONTH($C473)=6,$F$5,IF(MONTH($C473)=7,$F$6,"ERROR")))),1,0)</f>
        <v>1</v>
      </c>
      <c r="H473" s="30">
        <f>IF(J473=1,D473-$C$3,0)</f>
        <v>0</v>
      </c>
      <c r="I473" s="30">
        <f t="shared" si="661"/>
        <v>0</v>
      </c>
      <c r="J473" s="28">
        <f t="shared" ref="J473:J476" si="754">IF(AND(E473=1,G473=1),1,0)</f>
        <v>0</v>
      </c>
      <c r="K473" s="30">
        <f>VLOOKUP($C473,COS!$B$8:$H$991,2,FALSE)</f>
        <v>4464.4716796875</v>
      </c>
      <c r="L473" s="28">
        <f t="shared" ref="L473" si="755">IF(K473&lt;=IF(MONTH($C473)=4,$I$3,IF(MONTH($C473)=5,$I$4,IF(MONTH($C473)=6,$I$5,IF(MONTH($C473)=7,$I$6,"ERROR")))),1,0)</f>
        <v>1</v>
      </c>
      <c r="M473" s="28">
        <f t="shared" ref="M473" si="756">VLOOKUP($A473,$L$3:$M$7,2,FALSE)</f>
        <v>0</v>
      </c>
      <c r="N473" s="30">
        <f>VLOOKUP($C473,COS!$B$8:$H$991,5,FALSE)</f>
        <v>411.989013671875</v>
      </c>
      <c r="O473" s="30">
        <f t="shared" ref="O473:O476" si="757">N473*DAY($C473)*86400/43560/1000</f>
        <v>24.515048747417357</v>
      </c>
      <c r="P473" s="30">
        <f>VLOOKUP($C473,COS!$B$8:$H$991,6,FALSE)</f>
        <v>453.39697265625</v>
      </c>
      <c r="Q473" s="30">
        <f t="shared" ref="Q473:Q476" si="758">P473*DAY($C473)*86400/43560/1000</f>
        <v>26.978993414256198</v>
      </c>
      <c r="R473" s="30">
        <f>MIN(IF(MONTH($C473)=4,$S$3,IF(MONTH($C473)=5,$S$4,IF(MONTH($C473)=6,$S$5,IF(MONTH($C473)=7,$S$6,"ERROR")))),MAX(VLOOKUP($C473,COS!$B$8:$K$991,10,FALSE)-IF(MONTH($C473)=4,$Y$3,IF(MONTH($C473)=5,$Y$4,IF(MONTH($C473)=6,$Y$5,IF(MONTH($C473)=7,$Y$6,"ERROR")))),0),MAX(VLOOKUP($C473,COS!$B$8:$K$991,9,FALSE)-IF(MONTH($C473)=4,$V$3,IF(MONTH($C473)=5,$V$4,IF(MONTH($C473)=6,$V$5,IF(MONTH($C473)=7,$V$6,"ERROR"))))-VLOOKUP($C473,COS!$B$8:$K$991,6,FALSE)/2,0))</f>
        <v>750</v>
      </c>
      <c r="S473" s="30">
        <f t="shared" ref="S473:S476" si="759">R473*DAY($C473)*86400/43560/1000</f>
        <v>44.628099173553714</v>
      </c>
      <c r="T473" s="30">
        <f t="shared" ref="T473:T476" si="760">(O473+Q473)/2+S473</f>
        <v>70.375120254390495</v>
      </c>
      <c r="U473" s="30" t="str">
        <f>IF(VLOOKUP($C473,COS!$B$8:$I$991,8,FALSE)=1,"UWFE","IBU")</f>
        <v>UWFE</v>
      </c>
      <c r="V473" s="30">
        <f t="shared" ref="V473" si="761">MIN(IF(IF($AA$3=2,AND(E473=1,G473=1,L473=1,L478=1,M473=1,U473="IBU"),AND(E473=1,G473=1,L473=1,L478=1,M473=1)),T473,0),I473)</f>
        <v>0</v>
      </c>
      <c r="W473" s="30"/>
      <c r="X473" s="30"/>
      <c r="Y473" s="30"/>
      <c r="Z473" s="30"/>
      <c r="AA473" s="30"/>
      <c r="AB473" s="31"/>
    </row>
    <row r="474" spans="1:28" x14ac:dyDescent="0.3">
      <c r="A474" s="32">
        <f>VLOOKUP(YEAR(C474),Flags!$A$13:$B$95,2,FALSE)</f>
        <v>2</v>
      </c>
      <c r="B474" s="24">
        <f t="shared" si="739"/>
        <v>1973</v>
      </c>
      <c r="C474" s="25">
        <v>26815</v>
      </c>
      <c r="D474" s="26">
        <f>VLOOKUP($C474,COS!$B$8:$H$991,3,FALSE)</f>
        <v>6365.75537109375</v>
      </c>
      <c r="E474" s="24">
        <f>IF(D474&gt;=IF(MONTH($C474)=4,$C$3,IF(MONTH($C474)=5,$C$4,IF(MONTH($C474)=6,$C$5,IF(MONTH($C474)=7,$C$6,"ERROR")))),1,0)</f>
        <v>1</v>
      </c>
      <c r="F474" s="26">
        <f>VLOOKUP($C474,COS!$B$8:$H$991,7,FALSE)</f>
        <v>51.265758514404297</v>
      </c>
      <c r="G474" s="24">
        <f>IF(F474&lt;=IF(MONTH($C474)=4,$F$3,IF(MONTH($C474)=5,$F$4,IF(MONTH($C474)=6,$F$5,IF(MONTH($C474)=7,$F$6,"ERROR")))),1,0)</f>
        <v>1</v>
      </c>
      <c r="H474" s="26">
        <f>IF(J474=1,D474-$C$4,0)</f>
        <v>365.75537109375</v>
      </c>
      <c r="I474" s="26">
        <f t="shared" si="661"/>
        <v>22.489421164772729</v>
      </c>
      <c r="J474" s="24">
        <f t="shared" si="754"/>
        <v>1</v>
      </c>
      <c r="K474" s="26">
        <f>VLOOKUP($C474,COS!$B$8:$H$991,2,FALSE)</f>
        <v>4489.771484375</v>
      </c>
      <c r="L474" s="24">
        <f t="shared" si="741"/>
        <v>1</v>
      </c>
      <c r="M474" s="24">
        <f t="shared" si="742"/>
        <v>0</v>
      </c>
      <c r="N474" s="26">
        <f>VLOOKUP($C474,COS!$B$8:$H$991,5,FALSE)</f>
        <v>753.90789794921875</v>
      </c>
      <c r="O474" s="26">
        <f t="shared" si="757"/>
        <v>46.355989758199897</v>
      </c>
      <c r="P474" s="26">
        <f>VLOOKUP($C474,COS!$B$8:$H$991,6,FALSE)</f>
        <v>2250.21826171875</v>
      </c>
      <c r="Q474" s="26">
        <f t="shared" si="758"/>
        <v>138.36052782799587</v>
      </c>
      <c r="R474" s="26">
        <f>MIN(IF(MONTH($C474)=4,$S$3,IF(MONTH($C474)=5,$S$4,IF(MONTH($C474)=6,$S$5,IF(MONTH($C474)=7,$S$6,"ERROR")))),MAX(VLOOKUP($C474,COS!$B$8:$K$991,10,FALSE)-IF(MONTH($C474)=4,$Y$3,IF(MONTH($C474)=5,$Y$4,IF(MONTH($C474)=6,$Y$5,IF(MONTH($C474)=7,$Y$6,"ERROR")))),0),MAX(VLOOKUP($C474,COS!$B$8:$K$991,9,FALSE)-IF(MONTH($C474)=4,$V$3,IF(MONTH($C474)=5,$V$4,IF(MONTH($C474)=6,$V$5,IF(MONTH($C474)=7,$V$6,"ERROR"))))-VLOOKUP($C474,COS!$B$8:$K$991,6,FALSE)/2,0))</f>
        <v>750</v>
      </c>
      <c r="S474" s="26">
        <f t="shared" si="759"/>
        <v>46.115702479338843</v>
      </c>
      <c r="T474" s="26">
        <f t="shared" si="760"/>
        <v>138.47396127243672</v>
      </c>
      <c r="U474" s="26" t="str">
        <f>IF(VLOOKUP($C474,COS!$B$8:$I$991,8,FALSE)=1,"UWFE","IBU")</f>
        <v>UWFE</v>
      </c>
      <c r="V474" s="26">
        <f t="shared" ref="V474" si="762">MIN(IF(IF($AA$3=2,AND(E474=1,G474=1,L474=1,L478=1,M474=1,U474="IBU"),AND(E474=1,G474=1,L474=1,L478=1,M474=1)),T474,0),I474)</f>
        <v>0</v>
      </c>
      <c r="W474" s="26"/>
      <c r="X474" s="26"/>
      <c r="Y474" s="26"/>
      <c r="Z474" s="26"/>
      <c r="AA474" s="26"/>
      <c r="AB474" s="33"/>
    </row>
    <row r="475" spans="1:28" x14ac:dyDescent="0.3">
      <c r="A475" s="32">
        <f>VLOOKUP(YEAR(C475),Flags!$A$13:$B$95,2,FALSE)</f>
        <v>2</v>
      </c>
      <c r="B475" s="24">
        <f t="shared" si="739"/>
        <v>1973</v>
      </c>
      <c r="C475" s="25">
        <v>26845</v>
      </c>
      <c r="D475" s="26">
        <f>VLOOKUP($C475,COS!$B$8:$H$991,3,FALSE)</f>
        <v>13158.140625</v>
      </c>
      <c r="E475" s="24">
        <f>IF(D475&gt;=IF(MONTH($C475)=4,$C$3,IF(MONTH($C475)=5,$C$4,IF(MONTH($C475)=6,$C$5,IF(MONTH($C475)=7,$C$6,"ERROR")))),1,0)</f>
        <v>1</v>
      </c>
      <c r="F475" s="26">
        <f>VLOOKUP($C475,COS!$B$8:$H$991,7,FALSE)</f>
        <v>49.900630950927734</v>
      </c>
      <c r="G475" s="24">
        <f>IF(F475&lt;=IF(MONTH($C475)=4,$F$3,IF(MONTH($C475)=5,$F$4,IF(MONTH($C475)=6,$F$5,IF(MONTH($C475)=7,$F$6,"ERROR")))),1,0)</f>
        <v>1</v>
      </c>
      <c r="H475" s="26">
        <f>IF(J475=1,D475-$C$5,0)</f>
        <v>3158.140625</v>
      </c>
      <c r="I475" s="26">
        <f t="shared" si="661"/>
        <v>187.92241735537189</v>
      </c>
      <c r="J475" s="24">
        <f t="shared" si="754"/>
        <v>1</v>
      </c>
      <c r="K475" s="26">
        <f>VLOOKUP($C475,COS!$B$8:$H$991,2,FALSE)</f>
        <v>3919.55078125</v>
      </c>
      <c r="L475" s="24">
        <f t="shared" si="741"/>
        <v>1</v>
      </c>
      <c r="M475" s="24">
        <f t="shared" si="742"/>
        <v>0</v>
      </c>
      <c r="N475" s="26">
        <f>VLOOKUP($C475,COS!$B$8:$H$991,5,FALSE)</f>
        <v>1050.899658203125</v>
      </c>
      <c r="O475" s="26">
        <f t="shared" si="757"/>
        <v>62.532872223657023</v>
      </c>
      <c r="P475" s="26">
        <f>VLOOKUP($C475,COS!$B$8:$H$991,6,FALSE)</f>
        <v>2424.520751953125</v>
      </c>
      <c r="Q475" s="26">
        <f t="shared" si="758"/>
        <v>144.26900342200415</v>
      </c>
      <c r="R475" s="26">
        <f>MIN(IF(MONTH($C475)=4,$S$3,IF(MONTH($C475)=5,$S$4,IF(MONTH($C475)=6,$S$5,IF(MONTH($C475)=7,$S$6,"ERROR")))),MAX(VLOOKUP($C475,COS!$B$8:$K$991,10,FALSE)-IF(MONTH($C475)=4,$Y$3,IF(MONTH($C475)=5,$Y$4,IF(MONTH($C475)=6,$Y$5,IF(MONTH($C475)=7,$Y$6,"ERROR")))),0),MAX(VLOOKUP($C475,COS!$B$8:$K$991,9,FALSE)-IF(MONTH($C475)=4,$V$3,IF(MONTH($C475)=5,$V$4,IF(MONTH($C475)=6,$V$5,IF(MONTH($C475)=7,$V$6,"ERROR"))))-VLOOKUP($C475,COS!$B$8:$K$991,6,FALSE)/2,0))</f>
        <v>750</v>
      </c>
      <c r="S475" s="26">
        <f t="shared" si="759"/>
        <v>44.628099173553714</v>
      </c>
      <c r="T475" s="26">
        <f t="shared" si="760"/>
        <v>148.02903699638429</v>
      </c>
      <c r="U475" s="26" t="str">
        <f>IF(VLOOKUP($C475,COS!$B$8:$I$991,8,FALSE)=1,"UWFE","IBU")</f>
        <v>IBU</v>
      </c>
      <c r="V475" s="26">
        <f t="shared" ref="V475" si="763">MIN(IF(IF($AA$3=2,AND(E475=1,G475=1,L475=1,L478=1,M475=1,U475="IBU"),AND(E475=1,G475=1,L475=1,L478=1,M475=1)),T475,0),I475)</f>
        <v>0</v>
      </c>
      <c r="W475" s="26"/>
      <c r="X475" s="26"/>
      <c r="Y475" s="26"/>
      <c r="Z475" s="26"/>
      <c r="AA475" s="26"/>
      <c r="AB475" s="33"/>
    </row>
    <row r="476" spans="1:28" x14ac:dyDescent="0.3">
      <c r="A476" s="32">
        <f>VLOOKUP(YEAR(C476),Flags!$A$13:$B$95,2,FALSE)</f>
        <v>2</v>
      </c>
      <c r="B476" s="24">
        <f t="shared" si="739"/>
        <v>1973</v>
      </c>
      <c r="C476" s="25">
        <v>26876</v>
      </c>
      <c r="D476" s="26">
        <f>VLOOKUP($C476,COS!$B$8:$H$991,3,FALSE)</f>
        <v>16000</v>
      </c>
      <c r="E476" s="24">
        <f>IF(D476&gt;=IF(MONTH($C476)=4,$C$3,IF(MONTH($C476)=5,$C$4,IF(MONTH($C476)=6,$C$5,IF(MONTH($C476)=7,$C$6,"ERROR")))),1,0)</f>
        <v>1</v>
      </c>
      <c r="F476" s="26">
        <f>VLOOKUP($C476,COS!$B$8:$H$991,7,FALSE)</f>
        <v>50.579265594482422</v>
      </c>
      <c r="G476" s="24">
        <f>IF(F476&lt;=IF(MONTH($C476)=4,$F$3,IF(MONTH($C476)=5,$F$4,IF(MONTH($C476)=6,$F$5,IF(MONTH($C476)=7,$F$6,"ERROR")))),1,0)</f>
        <v>1</v>
      </c>
      <c r="H476" s="26">
        <f>IF(J476=1,D476-$C$6,0)</f>
        <v>4000</v>
      </c>
      <c r="I476" s="26">
        <f t="shared" ref="I476:I539" si="764">H476*DAY($C476)*86400/43560/1000</f>
        <v>245.95041322314049</v>
      </c>
      <c r="J476" s="24">
        <f t="shared" si="754"/>
        <v>1</v>
      </c>
      <c r="K476" s="26">
        <f>VLOOKUP($C476,COS!$B$8:$H$991,2,FALSE)</f>
        <v>3219.93359375</v>
      </c>
      <c r="L476" s="24">
        <f t="shared" si="741"/>
        <v>1</v>
      </c>
      <c r="M476" s="24">
        <f t="shared" si="742"/>
        <v>0</v>
      </c>
      <c r="N476" s="26">
        <f>VLOOKUP($C476,COS!$B$8:$H$991,5,FALSE)</f>
        <v>1148.61376953125</v>
      </c>
      <c r="O476" s="26">
        <f t="shared" si="757"/>
        <v>70.625507812500004</v>
      </c>
      <c r="P476" s="26">
        <f>VLOOKUP($C476,COS!$B$8:$H$991,6,FALSE)</f>
        <v>2522.65771484375</v>
      </c>
      <c r="Q476" s="26">
        <f t="shared" si="758"/>
        <v>155.1121768465909</v>
      </c>
      <c r="R476" s="26">
        <f>MIN(IF(MONTH($C476)=4,$S$3,IF(MONTH($C476)=5,$S$4,IF(MONTH($C476)=6,$S$5,IF(MONTH($C476)=7,$S$6,"ERROR")))),MAX(VLOOKUP($C476,COS!$B$8:$K$991,10,FALSE)-IF(MONTH($C476)=4,$Y$3,IF(MONTH($C476)=5,$Y$4,IF(MONTH($C476)=6,$Y$5,IF(MONTH($C476)=7,$Y$6,"ERROR")))),0),MAX(VLOOKUP($C476,COS!$B$8:$K$991,9,FALSE)-IF(MONTH($C476)=4,$V$3,IF(MONTH($C476)=5,$V$4,IF(MONTH($C476)=6,$V$5,IF(MONTH($C476)=7,$V$6,"ERROR"))))-VLOOKUP($C476,COS!$B$8:$K$991,6,FALSE)/2,0))</f>
        <v>750</v>
      </c>
      <c r="S476" s="26">
        <f t="shared" si="759"/>
        <v>46.115702479338843</v>
      </c>
      <c r="T476" s="26">
        <f t="shared" si="760"/>
        <v>158.98454480888429</v>
      </c>
      <c r="U476" s="26" t="str">
        <f>IF(VLOOKUP($C476,COS!$B$8:$I$991,8,FALSE)=1,"UWFE","IBU")</f>
        <v>IBU</v>
      </c>
      <c r="V476" s="26">
        <f t="shared" ref="V476" si="765">MIN(IF(IF($AA$3=2,AND(E476=1,G476=1,L476=1,L478=1,M476=1,U476="IBU"),AND(E476=1,G476=1,L476=1,L478=1,M476=1)),T476,0),I476)</f>
        <v>0</v>
      </c>
      <c r="W476" s="26"/>
      <c r="X476" s="26"/>
      <c r="Y476" s="26"/>
      <c r="Z476" s="26"/>
      <c r="AA476" s="26"/>
      <c r="AB476" s="33"/>
    </row>
    <row r="477" spans="1:28" x14ac:dyDescent="0.3">
      <c r="A477" s="32">
        <f>VLOOKUP(YEAR(C477),Flags!$A$13:$B$95,2,FALSE)</f>
        <v>2</v>
      </c>
      <c r="B477" s="24">
        <f t="shared" si="739"/>
        <v>1973</v>
      </c>
      <c r="C477" s="25">
        <v>26907</v>
      </c>
      <c r="D477" s="26"/>
      <c r="E477" s="24"/>
      <c r="F477" s="26"/>
      <c r="G477" s="24"/>
      <c r="H477" s="24"/>
      <c r="I477" s="26"/>
      <c r="J477" s="24"/>
      <c r="K477" s="26"/>
      <c r="L477" s="24"/>
      <c r="M477" s="24"/>
      <c r="N477" s="26"/>
      <c r="O477" s="26"/>
      <c r="P477" s="26"/>
      <c r="Q477" s="26"/>
      <c r="R477" s="26"/>
      <c r="S477" s="26"/>
      <c r="T477" s="26"/>
      <c r="U477" s="26"/>
      <c r="V477" s="26"/>
      <c r="W477" s="26">
        <f>MAX($C$7-VLOOKUP($C477,COS!$B$8:$H$991,3,FALSE),0)</f>
        <v>91231.0947265625</v>
      </c>
      <c r="X477" s="26">
        <f t="shared" si="667"/>
        <v>5609.5813616993801</v>
      </c>
      <c r="Y477" s="26">
        <f>VLOOKUP($C477,COS!$B$8:$H$991,4,FALSE)</f>
        <v>266.08578491210938</v>
      </c>
      <c r="Z477" s="26">
        <f t="shared" si="668"/>
        <v>16.360977187984247</v>
      </c>
      <c r="AA477" s="26">
        <f t="shared" ref="AA477:AA481" si="766">MIN(W477,Y477)</f>
        <v>266.08578491210938</v>
      </c>
      <c r="AB477" s="33">
        <f t="shared" ref="AB477" si="767">AA477*DAY($C477)*86400/43560/1000*IF(MONTH($C477)=8,$P$3,IF(MONTH($C477)=9,$P$4,IF(MONTH($C477)=10,$P$5,IF(MONTH($C477)=11,$P$6,IF(MONTH($C477)=12,$P$7,NA())))))</f>
        <v>16.360977187984247</v>
      </c>
    </row>
    <row r="478" spans="1:28" x14ac:dyDescent="0.3">
      <c r="A478" s="32">
        <f>VLOOKUP(YEAR(C478),Flags!$A$13:$B$95,2,FALSE)</f>
        <v>2</v>
      </c>
      <c r="B478" s="24">
        <f t="shared" si="739"/>
        <v>1973</v>
      </c>
      <c r="C478" s="25">
        <v>26937</v>
      </c>
      <c r="D478" s="26"/>
      <c r="E478" s="24"/>
      <c r="F478" s="26"/>
      <c r="G478" s="24"/>
      <c r="H478" s="24"/>
      <c r="I478" s="26"/>
      <c r="J478" s="24"/>
      <c r="K478" s="26">
        <f>VLOOKUP($C478,COS!$B$8:$H$991,2,FALSE)</f>
        <v>2805.609619140625</v>
      </c>
      <c r="L478" s="24">
        <f t="shared" ref="L478" si="768">IF(AND(K478&gt;$I$7,K478&lt;$I$8),1,0)</f>
        <v>1</v>
      </c>
      <c r="M478" s="24"/>
      <c r="N478" s="26"/>
      <c r="O478" s="26"/>
      <c r="P478" s="26"/>
      <c r="Q478" s="26"/>
      <c r="R478" s="26"/>
      <c r="S478" s="26"/>
      <c r="T478" s="26"/>
      <c r="U478" s="26"/>
      <c r="V478" s="26"/>
      <c r="W478" s="26">
        <f>MAX($C$8-VLOOKUP($C478,COS!$B$8:$H$991,3,FALSE),0)</f>
        <v>90741.9873046875</v>
      </c>
      <c r="X478" s="26">
        <f t="shared" si="667"/>
        <v>5399.5232115185954</v>
      </c>
      <c r="Y478" s="26">
        <f>VLOOKUP($C478,COS!$B$8:$H$991,4,FALSE)</f>
        <v>632.89453125</v>
      </c>
      <c r="Z478" s="26">
        <f t="shared" si="668"/>
        <v>37.659839876033061</v>
      </c>
      <c r="AA478" s="26">
        <f t="shared" si="766"/>
        <v>632.89453125</v>
      </c>
      <c r="AB478" s="33">
        <f t="shared" si="752"/>
        <v>37.659839876033061</v>
      </c>
    </row>
    <row r="479" spans="1:28" x14ac:dyDescent="0.3">
      <c r="A479" s="32">
        <f>VLOOKUP(YEAR(C479),Flags!$A$13:$B$95,2,FALSE)</f>
        <v>2</v>
      </c>
      <c r="B479" s="24">
        <f t="shared" si="739"/>
        <v>1973</v>
      </c>
      <c r="C479" s="25">
        <v>26968</v>
      </c>
      <c r="D479" s="26"/>
      <c r="E479" s="24"/>
      <c r="F479" s="26"/>
      <c r="G479" s="26"/>
      <c r="H479" s="26"/>
      <c r="I479" s="26"/>
      <c r="J479" s="26"/>
      <c r="K479" s="26"/>
      <c r="L479" s="24"/>
      <c r="M479" s="24"/>
      <c r="N479" s="26"/>
      <c r="O479" s="26"/>
      <c r="P479" s="26"/>
      <c r="Q479" s="26"/>
      <c r="R479" s="26"/>
      <c r="S479" s="26"/>
      <c r="T479" s="26"/>
      <c r="U479" s="26"/>
      <c r="V479" s="26"/>
      <c r="W479" s="26">
        <f>MAX($C$9-VLOOKUP($C479,COS!$B$8:$H$991,3,FALSE),0)</f>
        <v>94903.3291015625</v>
      </c>
      <c r="X479" s="26">
        <f t="shared" ref="X479:X542" si="769">W479*DAY($C479)*86400/43560/1000</f>
        <v>5835.378252195248</v>
      </c>
      <c r="Y479" s="26">
        <f>VLOOKUP($C479,COS!$B$8:$H$991,4,FALSE)</f>
        <v>827.64825439453125</v>
      </c>
      <c r="Z479" s="26">
        <f t="shared" ref="Z479:Z542" si="770">Y479*DAY($C479)*86400/43560/1000</f>
        <v>50.890107542936462</v>
      </c>
      <c r="AA479" s="26">
        <f t="shared" si="766"/>
        <v>827.64825439453125</v>
      </c>
      <c r="AB479" s="33">
        <f t="shared" si="752"/>
        <v>50.890107542936462</v>
      </c>
    </row>
    <row r="480" spans="1:28" x14ac:dyDescent="0.3">
      <c r="A480" s="32">
        <f>VLOOKUP(YEAR(C480),Flags!$A$13:$B$95,2,FALSE)</f>
        <v>2</v>
      </c>
      <c r="B480" s="24">
        <f t="shared" si="739"/>
        <v>1973</v>
      </c>
      <c r="C480" s="25">
        <v>26998</v>
      </c>
      <c r="D480" s="26"/>
      <c r="E480" s="24"/>
      <c r="F480" s="26"/>
      <c r="G480" s="26"/>
      <c r="H480" s="26"/>
      <c r="I480" s="26"/>
      <c r="J480" s="26"/>
      <c r="K480" s="26"/>
      <c r="L480" s="24"/>
      <c r="M480" s="24"/>
      <c r="N480" s="26"/>
      <c r="O480" s="26"/>
      <c r="P480" s="26"/>
      <c r="Q480" s="26"/>
      <c r="R480" s="26"/>
      <c r="S480" s="26"/>
      <c r="T480" s="26"/>
      <c r="U480" s="26"/>
      <c r="V480" s="26"/>
      <c r="W480" s="26">
        <f>MAX($C$10-VLOOKUP($C480,COS!$B$8:$H$991,3,FALSE),0)</f>
        <v>71353.306640625</v>
      </c>
      <c r="X480" s="26">
        <f t="shared" si="769"/>
        <v>4245.8165934917361</v>
      </c>
      <c r="Y480" s="26">
        <f>VLOOKUP($C480,COS!$B$8:$H$991,4,FALSE)</f>
        <v>0</v>
      </c>
      <c r="Z480" s="26">
        <f t="shared" si="770"/>
        <v>0</v>
      </c>
      <c r="AA480" s="26">
        <f t="shared" si="766"/>
        <v>0</v>
      </c>
      <c r="AB480" s="33">
        <f t="shared" si="752"/>
        <v>0</v>
      </c>
    </row>
    <row r="481" spans="1:28" x14ac:dyDescent="0.3">
      <c r="A481" s="34">
        <f>VLOOKUP(YEAR(C481),Flags!$A$13:$B$95,2,FALSE)</f>
        <v>2</v>
      </c>
      <c r="B481" s="35">
        <f t="shared" si="739"/>
        <v>1973</v>
      </c>
      <c r="C481" s="36">
        <v>27029</v>
      </c>
      <c r="D481" s="37"/>
      <c r="E481" s="35"/>
      <c r="F481" s="37"/>
      <c r="G481" s="37"/>
      <c r="H481" s="37"/>
      <c r="I481" s="37"/>
      <c r="J481" s="37"/>
      <c r="K481" s="37"/>
      <c r="L481" s="35"/>
      <c r="M481" s="35"/>
      <c r="N481" s="37"/>
      <c r="O481" s="37"/>
      <c r="P481" s="37"/>
      <c r="Q481" s="37"/>
      <c r="R481" s="37"/>
      <c r="S481" s="37"/>
      <c r="T481" s="37"/>
      <c r="U481" s="37"/>
      <c r="V481" s="37"/>
      <c r="W481" s="37">
        <f>MAX($C$11-VLOOKUP($C481,COS!$B$8:$H$991,3,FALSE),0)</f>
        <v>0</v>
      </c>
      <c r="X481" s="37">
        <f t="shared" si="769"/>
        <v>0</v>
      </c>
      <c r="Y481" s="37">
        <f>VLOOKUP($C481,COS!$B$8:$H$991,4,FALSE)</f>
        <v>0</v>
      </c>
      <c r="Z481" s="37">
        <f t="shared" si="770"/>
        <v>0</v>
      </c>
      <c r="AA481" s="37">
        <f t="shared" si="766"/>
        <v>0</v>
      </c>
      <c r="AB481" s="38">
        <f t="shared" si="752"/>
        <v>0</v>
      </c>
    </row>
    <row r="482" spans="1:28" x14ac:dyDescent="0.3">
      <c r="A482" s="27">
        <f>VLOOKUP(YEAR(C482),Flags!$A$13:$B$95,2,FALSE)</f>
        <v>1</v>
      </c>
      <c r="B482" s="28">
        <f t="shared" si="739"/>
        <v>1974</v>
      </c>
      <c r="C482" s="29">
        <v>27149</v>
      </c>
      <c r="D482" s="30">
        <f>VLOOKUP($C482,COS!$B$8:$H$991,3,FALSE)</f>
        <v>5857.21484375</v>
      </c>
      <c r="E482" s="28">
        <f>IF(D482&gt;=IF(MONTH($C482)=4,$C$3,IF(MONTH($C482)=5,$C$4,IF(MONTH($C482)=6,$C$5,IF(MONTH($C482)=7,$C$6,"ERROR")))),1,0)</f>
        <v>0</v>
      </c>
      <c r="F482" s="30">
        <f>VLOOKUP($C482,COS!$B$8:$H$991,7,FALSE)</f>
        <v>48.415458679199219</v>
      </c>
      <c r="G482" s="28">
        <f>IF(F482&lt;=IF(MONTH($C482)=4,$F$3,IF(MONTH($C482)=5,$F$4,IF(MONTH($C482)=6,$F$5,IF(MONTH($C482)=7,$F$6,"ERROR")))),1,0)</f>
        <v>1</v>
      </c>
      <c r="H482" s="30">
        <f>IF(J482=1,D482-$C$3,0)</f>
        <v>0</v>
      </c>
      <c r="I482" s="30">
        <f t="shared" si="764"/>
        <v>0</v>
      </c>
      <c r="J482" s="28">
        <f t="shared" ref="J482:J485" si="771">IF(AND(E482=1,G482=1),1,0)</f>
        <v>0</v>
      </c>
      <c r="K482" s="30">
        <f>VLOOKUP($C482,COS!$B$8:$H$991,2,FALSE)</f>
        <v>4289</v>
      </c>
      <c r="L482" s="28">
        <f t="shared" ref="L482" si="772">IF(K482&lt;=IF(MONTH($C482)=4,$I$3,IF(MONTH($C482)=5,$I$4,IF(MONTH($C482)=6,$I$5,IF(MONTH($C482)=7,$I$6,"ERROR")))),1,0)</f>
        <v>1</v>
      </c>
      <c r="M482" s="28">
        <f t="shared" ref="M482" si="773">VLOOKUP($A482,$L$3:$M$7,2,FALSE)</f>
        <v>0</v>
      </c>
      <c r="N482" s="30">
        <f>VLOOKUP($C482,COS!$B$8:$H$991,5,FALSE)</f>
        <v>44.716442108154297</v>
      </c>
      <c r="O482" s="30">
        <f t="shared" ref="O482:O485" si="774">N482*DAY($C482)*86400/43560/1000</f>
        <v>2.6608130841215778</v>
      </c>
      <c r="P482" s="30">
        <f>VLOOKUP($C482,COS!$B$8:$H$991,6,FALSE)</f>
        <v>403.17050170898438</v>
      </c>
      <c r="Q482" s="30">
        <f t="shared" ref="Q482:Q485" si="775">P482*DAY($C482)*86400/43560/1000</f>
        <v>23.990310845493283</v>
      </c>
      <c r="R482" s="30">
        <f>MIN(IF(MONTH($C482)=4,$S$3,IF(MONTH($C482)=5,$S$4,IF(MONTH($C482)=6,$S$5,IF(MONTH($C482)=7,$S$6,"ERROR")))),MAX(VLOOKUP($C482,COS!$B$8:$K$991,10,FALSE)-IF(MONTH($C482)=4,$Y$3,IF(MONTH($C482)=5,$Y$4,IF(MONTH($C482)=6,$Y$5,IF(MONTH($C482)=7,$Y$6,"ERROR")))),0),MAX(VLOOKUP($C482,COS!$B$8:$K$991,9,FALSE)-IF(MONTH($C482)=4,$V$3,IF(MONTH($C482)=5,$V$4,IF(MONTH($C482)=6,$V$5,IF(MONTH($C482)=7,$V$6,"ERROR"))))-VLOOKUP($C482,COS!$B$8:$K$991,6,FALSE)/2,0))</f>
        <v>750</v>
      </c>
      <c r="S482" s="30">
        <f t="shared" ref="S482:S485" si="776">R482*DAY($C482)*86400/43560/1000</f>
        <v>44.628099173553714</v>
      </c>
      <c r="T482" s="30">
        <f t="shared" ref="T482:T485" si="777">(O482+Q482)/2+S482</f>
        <v>57.953661138361142</v>
      </c>
      <c r="U482" s="30" t="str">
        <f>IF(VLOOKUP($C482,COS!$B$8:$I$991,8,FALSE)=1,"UWFE","IBU")</f>
        <v>UWFE</v>
      </c>
      <c r="V482" s="30">
        <f t="shared" ref="V482" si="778">MIN(IF(IF($AA$3=2,AND(E482=1,G482=1,L482=1,L487=1,M482=1,U482="IBU"),AND(E482=1,G482=1,L482=1,L487=1,M482=1)),T482,0),I482)</f>
        <v>0</v>
      </c>
      <c r="W482" s="30"/>
      <c r="X482" s="30"/>
      <c r="Y482" s="30"/>
      <c r="Z482" s="30"/>
      <c r="AA482" s="30"/>
      <c r="AB482" s="31"/>
    </row>
    <row r="483" spans="1:28" x14ac:dyDescent="0.3">
      <c r="A483" s="32">
        <f>VLOOKUP(YEAR(C483),Flags!$A$13:$B$95,2,FALSE)</f>
        <v>1</v>
      </c>
      <c r="B483" s="24">
        <f t="shared" si="739"/>
        <v>1974</v>
      </c>
      <c r="C483" s="25">
        <v>27180</v>
      </c>
      <c r="D483" s="26">
        <f>VLOOKUP($C483,COS!$B$8:$H$991,3,FALSE)</f>
        <v>5594.63427734375</v>
      </c>
      <c r="E483" s="24">
        <f>IF(D483&gt;=IF(MONTH($C483)=4,$C$3,IF(MONTH($C483)=5,$C$4,IF(MONTH($C483)=6,$C$5,IF(MONTH($C483)=7,$C$6,"ERROR")))),1,0)</f>
        <v>0</v>
      </c>
      <c r="F483" s="26">
        <f>VLOOKUP($C483,COS!$B$8:$H$991,7,FALSE)</f>
        <v>50.93426513671875</v>
      </c>
      <c r="G483" s="24">
        <f>IF(F483&lt;=IF(MONTH($C483)=4,$F$3,IF(MONTH($C483)=5,$F$4,IF(MONTH($C483)=6,$F$5,IF(MONTH($C483)=7,$F$6,"ERROR")))),1,0)</f>
        <v>1</v>
      </c>
      <c r="H483" s="26">
        <f>IF(J483=1,D483-$C$4,0)</f>
        <v>0</v>
      </c>
      <c r="I483" s="26">
        <f t="shared" si="764"/>
        <v>0</v>
      </c>
      <c r="J483" s="24">
        <f t="shared" si="771"/>
        <v>0</v>
      </c>
      <c r="K483" s="26">
        <f>VLOOKUP($C483,COS!$B$8:$H$991,2,FALSE)</f>
        <v>4515.02880859375</v>
      </c>
      <c r="L483" s="24">
        <f t="shared" si="741"/>
        <v>1</v>
      </c>
      <c r="M483" s="24">
        <f t="shared" si="742"/>
        <v>0</v>
      </c>
      <c r="N483" s="26">
        <f>VLOOKUP($C483,COS!$B$8:$H$991,5,FALSE)</f>
        <v>762.792724609375</v>
      </c>
      <c r="O483" s="26">
        <f t="shared" si="774"/>
        <v>46.902296455320247</v>
      </c>
      <c r="P483" s="26">
        <f>VLOOKUP($C483,COS!$B$8:$H$991,6,FALSE)</f>
        <v>2255.40283203125</v>
      </c>
      <c r="Q483" s="26">
        <f t="shared" si="775"/>
        <v>138.67931463068183</v>
      </c>
      <c r="R483" s="26">
        <f>MIN(IF(MONTH($C483)=4,$S$3,IF(MONTH($C483)=5,$S$4,IF(MONTH($C483)=6,$S$5,IF(MONTH($C483)=7,$S$6,"ERROR")))),MAX(VLOOKUP($C483,COS!$B$8:$K$991,10,FALSE)-IF(MONTH($C483)=4,$Y$3,IF(MONTH($C483)=5,$Y$4,IF(MONTH($C483)=6,$Y$5,IF(MONTH($C483)=7,$Y$6,"ERROR")))),0),MAX(VLOOKUP($C483,COS!$B$8:$K$991,9,FALSE)-IF(MONTH($C483)=4,$V$3,IF(MONTH($C483)=5,$V$4,IF(MONTH($C483)=6,$V$5,IF(MONTH($C483)=7,$V$6,"ERROR"))))-VLOOKUP($C483,COS!$B$8:$K$991,6,FALSE)/2,0))</f>
        <v>750</v>
      </c>
      <c r="S483" s="26">
        <f t="shared" si="776"/>
        <v>46.115702479338843</v>
      </c>
      <c r="T483" s="26">
        <f t="shared" si="777"/>
        <v>138.90650802233989</v>
      </c>
      <c r="U483" s="26" t="str">
        <f>IF(VLOOKUP($C483,COS!$B$8:$I$991,8,FALSE)=1,"UWFE","IBU")</f>
        <v>UWFE</v>
      </c>
      <c r="V483" s="26">
        <f t="shared" ref="V483" si="779">MIN(IF(IF($AA$3=2,AND(E483=1,G483=1,L483=1,L487=1,M483=1,U483="IBU"),AND(E483=1,G483=1,L483=1,L487=1,M483=1)),T483,0),I483)</f>
        <v>0</v>
      </c>
      <c r="W483" s="26"/>
      <c r="X483" s="26"/>
      <c r="Y483" s="26"/>
      <c r="Z483" s="26"/>
      <c r="AA483" s="26"/>
      <c r="AB483" s="33"/>
    </row>
    <row r="484" spans="1:28" x14ac:dyDescent="0.3">
      <c r="A484" s="32">
        <f>VLOOKUP(YEAR(C484),Flags!$A$13:$B$95,2,FALSE)</f>
        <v>1</v>
      </c>
      <c r="B484" s="24">
        <f t="shared" si="739"/>
        <v>1974</v>
      </c>
      <c r="C484" s="25">
        <v>27210</v>
      </c>
      <c r="D484" s="26">
        <f>VLOOKUP($C484,COS!$B$8:$H$991,3,FALSE)</f>
        <v>8124.50732421875</v>
      </c>
      <c r="E484" s="24">
        <f>IF(D484&gt;=IF(MONTH($C484)=4,$C$3,IF(MONTH($C484)=5,$C$4,IF(MONTH($C484)=6,$C$5,IF(MONTH($C484)=7,$C$6,"ERROR")))),1,0)</f>
        <v>0</v>
      </c>
      <c r="F484" s="26">
        <f>VLOOKUP($C484,COS!$B$8:$H$991,7,FALSE)</f>
        <v>51.255088806152344</v>
      </c>
      <c r="G484" s="24">
        <f>IF(F484&lt;=IF(MONTH($C484)=4,$F$3,IF(MONTH($C484)=5,$F$4,IF(MONTH($C484)=6,$F$5,IF(MONTH($C484)=7,$F$6,"ERROR")))),1,0)</f>
        <v>1</v>
      </c>
      <c r="H484" s="26">
        <f>IF(J484=1,D484-$C$5,0)</f>
        <v>0</v>
      </c>
      <c r="I484" s="26">
        <f t="shared" si="764"/>
        <v>0</v>
      </c>
      <c r="J484" s="24">
        <f t="shared" si="771"/>
        <v>0</v>
      </c>
      <c r="K484" s="26">
        <f>VLOOKUP($C484,COS!$B$8:$H$991,2,FALSE)</f>
        <v>4359.88232421875</v>
      </c>
      <c r="L484" s="24">
        <f t="shared" si="741"/>
        <v>1</v>
      </c>
      <c r="M484" s="24">
        <f t="shared" si="742"/>
        <v>0</v>
      </c>
      <c r="N484" s="26">
        <f>VLOOKUP($C484,COS!$B$8:$H$991,5,FALSE)</f>
        <v>1221.2120361328125</v>
      </c>
      <c r="O484" s="26">
        <f t="shared" si="774"/>
        <v>72.667162480630168</v>
      </c>
      <c r="P484" s="26">
        <f>VLOOKUP($C484,COS!$B$8:$H$991,6,FALSE)</f>
        <v>2328.534912109375</v>
      </c>
      <c r="Q484" s="26">
        <f t="shared" si="775"/>
        <v>138.55744931559917</v>
      </c>
      <c r="R484" s="26">
        <f>MIN(IF(MONTH($C484)=4,$S$3,IF(MONTH($C484)=5,$S$4,IF(MONTH($C484)=6,$S$5,IF(MONTH($C484)=7,$S$6,"ERROR")))),MAX(VLOOKUP($C484,COS!$B$8:$K$991,10,FALSE)-IF(MONTH($C484)=4,$Y$3,IF(MONTH($C484)=5,$Y$4,IF(MONTH($C484)=6,$Y$5,IF(MONTH($C484)=7,$Y$6,"ERROR")))),0),MAX(VLOOKUP($C484,COS!$B$8:$K$991,9,FALSE)-IF(MONTH($C484)=4,$V$3,IF(MONTH($C484)=5,$V$4,IF(MONTH($C484)=6,$V$5,IF(MONTH($C484)=7,$V$6,"ERROR"))))-VLOOKUP($C484,COS!$B$8:$K$991,6,FALSE)/2,0))</f>
        <v>750</v>
      </c>
      <c r="S484" s="26">
        <f t="shared" si="776"/>
        <v>44.628099173553714</v>
      </c>
      <c r="T484" s="26">
        <f t="shared" si="777"/>
        <v>150.24040507166839</v>
      </c>
      <c r="U484" s="26" t="str">
        <f>IF(VLOOKUP($C484,COS!$B$8:$I$991,8,FALSE)=1,"UWFE","IBU")</f>
        <v>UWFE</v>
      </c>
      <c r="V484" s="26">
        <f t="shared" ref="V484" si="780">MIN(IF(IF($AA$3=2,AND(E484=1,G484=1,L484=1,L487=1,M484=1,U484="IBU"),AND(E484=1,G484=1,L484=1,L487=1,M484=1)),T484,0),I484)</f>
        <v>0</v>
      </c>
      <c r="W484" s="26"/>
      <c r="X484" s="26"/>
      <c r="Y484" s="26"/>
      <c r="Z484" s="26"/>
      <c r="AA484" s="26"/>
      <c r="AB484" s="33"/>
    </row>
    <row r="485" spans="1:28" x14ac:dyDescent="0.3">
      <c r="A485" s="32">
        <f>VLOOKUP(YEAR(C485),Flags!$A$13:$B$95,2,FALSE)</f>
        <v>1</v>
      </c>
      <c r="B485" s="24">
        <f t="shared" si="739"/>
        <v>1974</v>
      </c>
      <c r="C485" s="25">
        <v>27241</v>
      </c>
      <c r="D485" s="26">
        <f>VLOOKUP($C485,COS!$B$8:$H$991,3,FALSE)</f>
        <v>12602.3798828125</v>
      </c>
      <c r="E485" s="24">
        <f>IF(D485&gt;=IF(MONTH($C485)=4,$C$3,IF(MONTH($C485)=5,$C$4,IF(MONTH($C485)=6,$C$5,IF(MONTH($C485)=7,$C$6,"ERROR")))),1,0)</f>
        <v>1</v>
      </c>
      <c r="F485" s="26">
        <f>VLOOKUP($C485,COS!$B$8:$H$991,7,FALSE)</f>
        <v>51.680782318115234</v>
      </c>
      <c r="G485" s="24">
        <f>IF(F485&lt;=IF(MONTH($C485)=4,$F$3,IF(MONTH($C485)=5,$F$4,IF(MONTH($C485)=6,$F$5,IF(MONTH($C485)=7,$F$6,"ERROR")))),1,0)</f>
        <v>1</v>
      </c>
      <c r="H485" s="26">
        <f>IF(J485=1,D485-$C$6,0)</f>
        <v>602.3798828125</v>
      </c>
      <c r="I485" s="26">
        <f t="shared" si="764"/>
        <v>37.038895273760332</v>
      </c>
      <c r="J485" s="24">
        <f t="shared" si="771"/>
        <v>1</v>
      </c>
      <c r="K485" s="26">
        <f>VLOOKUP($C485,COS!$B$8:$H$991,2,FALSE)</f>
        <v>3927.6494140625</v>
      </c>
      <c r="L485" s="24">
        <f t="shared" si="741"/>
        <v>1</v>
      </c>
      <c r="M485" s="24">
        <f t="shared" si="742"/>
        <v>0</v>
      </c>
      <c r="N485" s="26">
        <f>VLOOKUP($C485,COS!$B$8:$H$991,5,FALSE)</f>
        <v>1157.809326171875</v>
      </c>
      <c r="O485" s="26">
        <f t="shared" si="774"/>
        <v>71.190920551394626</v>
      </c>
      <c r="P485" s="26">
        <f>VLOOKUP($C485,COS!$B$8:$H$991,6,FALSE)</f>
        <v>2265.91064453125</v>
      </c>
      <c r="Q485" s="26">
        <f t="shared" si="775"/>
        <v>139.32541483729338</v>
      </c>
      <c r="R485" s="26">
        <f>MIN(IF(MONTH($C485)=4,$S$3,IF(MONTH($C485)=5,$S$4,IF(MONTH($C485)=6,$S$5,IF(MONTH($C485)=7,$S$6,"ERROR")))),MAX(VLOOKUP($C485,COS!$B$8:$K$991,10,FALSE)-IF(MONTH($C485)=4,$Y$3,IF(MONTH($C485)=5,$Y$4,IF(MONTH($C485)=6,$Y$5,IF(MONTH($C485)=7,$Y$6,"ERROR")))),0),MAX(VLOOKUP($C485,COS!$B$8:$K$991,9,FALSE)-IF(MONTH($C485)=4,$V$3,IF(MONTH($C485)=5,$V$4,IF(MONTH($C485)=6,$V$5,IF(MONTH($C485)=7,$V$6,"ERROR"))))-VLOOKUP($C485,COS!$B$8:$K$991,6,FALSE)/2,0))</f>
        <v>750</v>
      </c>
      <c r="S485" s="26">
        <f t="shared" si="776"/>
        <v>46.115702479338843</v>
      </c>
      <c r="T485" s="26">
        <f t="shared" si="777"/>
        <v>151.37387017368283</v>
      </c>
      <c r="U485" s="26" t="str">
        <f>IF(VLOOKUP($C485,COS!$B$8:$I$991,8,FALSE)=1,"UWFE","IBU")</f>
        <v>IBU</v>
      </c>
      <c r="V485" s="26">
        <f t="shared" ref="V485" si="781">MIN(IF(IF($AA$3=2,AND(E485=1,G485=1,L485=1,L487=1,M485=1,U485="IBU"),AND(E485=1,G485=1,L485=1,L487=1,M485=1)),T485,0),I485)</f>
        <v>0</v>
      </c>
      <c r="W485" s="26"/>
      <c r="X485" s="26"/>
      <c r="Y485" s="26"/>
      <c r="Z485" s="26"/>
      <c r="AA485" s="26"/>
      <c r="AB485" s="33"/>
    </row>
    <row r="486" spans="1:28" x14ac:dyDescent="0.3">
      <c r="A486" s="32">
        <f>VLOOKUP(YEAR(C486),Flags!$A$13:$B$95,2,FALSE)</f>
        <v>1</v>
      </c>
      <c r="B486" s="24">
        <f t="shared" si="739"/>
        <v>1974</v>
      </c>
      <c r="C486" s="25">
        <v>27272</v>
      </c>
      <c r="D486" s="26"/>
      <c r="E486" s="24"/>
      <c r="F486" s="26"/>
      <c r="G486" s="24"/>
      <c r="H486" s="24"/>
      <c r="I486" s="26"/>
      <c r="J486" s="24"/>
      <c r="K486" s="26"/>
      <c r="L486" s="24"/>
      <c r="M486" s="24"/>
      <c r="N486" s="26"/>
      <c r="O486" s="26"/>
      <c r="P486" s="26"/>
      <c r="Q486" s="26"/>
      <c r="R486" s="26"/>
      <c r="S486" s="26"/>
      <c r="T486" s="26"/>
      <c r="U486" s="26"/>
      <c r="V486" s="26"/>
      <c r="W486" s="26">
        <f>MAX($C$7-VLOOKUP($C486,COS!$B$8:$H$991,3,FALSE),0)</f>
        <v>90403.6591796875</v>
      </c>
      <c r="X486" s="26">
        <f t="shared" si="769"/>
        <v>5558.7043330320248</v>
      </c>
      <c r="Y486" s="26">
        <f>VLOOKUP($C486,COS!$B$8:$H$991,4,FALSE)</f>
        <v>0</v>
      </c>
      <c r="Z486" s="26">
        <f t="shared" si="770"/>
        <v>0</v>
      </c>
      <c r="AA486" s="26">
        <f t="shared" ref="AA486:AA490" si="782">MIN(W486,Y486)</f>
        <v>0</v>
      </c>
      <c r="AB486" s="33">
        <f t="shared" ref="AB486" si="783">AA486*DAY($C486)*86400/43560/1000*IF(MONTH($C486)=8,$P$3,IF(MONTH($C486)=9,$P$4,IF(MONTH($C486)=10,$P$5,IF(MONTH($C486)=11,$P$6,IF(MONTH($C486)=12,$P$7,NA())))))</f>
        <v>0</v>
      </c>
    </row>
    <row r="487" spans="1:28" x14ac:dyDescent="0.3">
      <c r="A487" s="32">
        <f>VLOOKUP(YEAR(C487),Flags!$A$13:$B$95,2,FALSE)</f>
        <v>1</v>
      </c>
      <c r="B487" s="24">
        <f t="shared" si="739"/>
        <v>1974</v>
      </c>
      <c r="C487" s="25">
        <v>27302</v>
      </c>
      <c r="D487" s="26"/>
      <c r="E487" s="24"/>
      <c r="F487" s="26"/>
      <c r="G487" s="24"/>
      <c r="H487" s="24"/>
      <c r="I487" s="26"/>
      <c r="J487" s="24"/>
      <c r="K487" s="26">
        <f>VLOOKUP($C487,COS!$B$8:$H$991,2,FALSE)</f>
        <v>3201.753173828125</v>
      </c>
      <c r="L487" s="24">
        <f t="shared" ref="L487" si="784">IF(AND(K487&gt;$I$7,K487&lt;$I$8),1,0)</f>
        <v>1</v>
      </c>
      <c r="M487" s="24"/>
      <c r="N487" s="26"/>
      <c r="O487" s="26"/>
      <c r="P487" s="26"/>
      <c r="Q487" s="26"/>
      <c r="R487" s="26"/>
      <c r="S487" s="26"/>
      <c r="T487" s="26"/>
      <c r="U487" s="26"/>
      <c r="V487" s="26"/>
      <c r="W487" s="26">
        <f>MAX($C$8-VLOOKUP($C487,COS!$B$8:$H$991,3,FALSE),0)</f>
        <v>86925.96875</v>
      </c>
      <c r="X487" s="26">
        <f t="shared" si="769"/>
        <v>5172.4543388429747</v>
      </c>
      <c r="Y487" s="26">
        <f>VLOOKUP($C487,COS!$B$8:$H$991,4,FALSE)</f>
        <v>0</v>
      </c>
      <c r="Z487" s="26">
        <f t="shared" si="770"/>
        <v>0</v>
      </c>
      <c r="AA487" s="26">
        <f t="shared" si="782"/>
        <v>0</v>
      </c>
      <c r="AB487" s="33">
        <f t="shared" si="752"/>
        <v>0</v>
      </c>
    </row>
    <row r="488" spans="1:28" x14ac:dyDescent="0.3">
      <c r="A488" s="32">
        <f>VLOOKUP(YEAR(C488),Flags!$A$13:$B$95,2,FALSE)</f>
        <v>1</v>
      </c>
      <c r="B488" s="24">
        <f t="shared" si="739"/>
        <v>1974</v>
      </c>
      <c r="C488" s="25">
        <v>27333</v>
      </c>
      <c r="D488" s="26"/>
      <c r="E488" s="24"/>
      <c r="F488" s="26"/>
      <c r="G488" s="26"/>
      <c r="H488" s="26"/>
      <c r="I488" s="26"/>
      <c r="J488" s="26"/>
      <c r="K488" s="26"/>
      <c r="L488" s="24"/>
      <c r="M488" s="24"/>
      <c r="N488" s="26"/>
      <c r="O488" s="26"/>
      <c r="P488" s="26"/>
      <c r="Q488" s="26"/>
      <c r="R488" s="26"/>
      <c r="S488" s="26"/>
      <c r="T488" s="26"/>
      <c r="U488" s="26"/>
      <c r="V488" s="26"/>
      <c r="W488" s="26">
        <f>MAX($C$9-VLOOKUP($C488,COS!$B$8:$H$991,3,FALSE),0)</f>
        <v>91203.32421875</v>
      </c>
      <c r="X488" s="26">
        <f t="shared" si="769"/>
        <v>5607.8738197314051</v>
      </c>
      <c r="Y488" s="26">
        <f>VLOOKUP($C488,COS!$B$8:$H$991,4,FALSE)</f>
        <v>1233.3179931640625</v>
      </c>
      <c r="Z488" s="26">
        <f t="shared" si="770"/>
        <v>75.833767513558882</v>
      </c>
      <c r="AA488" s="26">
        <f t="shared" si="782"/>
        <v>1233.3179931640625</v>
      </c>
      <c r="AB488" s="33">
        <f t="shared" si="752"/>
        <v>75.833767513558882</v>
      </c>
    </row>
    <row r="489" spans="1:28" x14ac:dyDescent="0.3">
      <c r="A489" s="32">
        <f>VLOOKUP(YEAR(C489),Flags!$A$13:$B$95,2,FALSE)</f>
        <v>1</v>
      </c>
      <c r="B489" s="24">
        <f t="shared" si="739"/>
        <v>1974</v>
      </c>
      <c r="C489" s="25">
        <v>27363</v>
      </c>
      <c r="D489" s="26"/>
      <c r="E489" s="24"/>
      <c r="F489" s="26"/>
      <c r="G489" s="26"/>
      <c r="H489" s="26"/>
      <c r="I489" s="26"/>
      <c r="J489" s="26"/>
      <c r="K489" s="26"/>
      <c r="L489" s="24"/>
      <c r="M489" s="24"/>
      <c r="N489" s="26"/>
      <c r="O489" s="26"/>
      <c r="P489" s="26"/>
      <c r="Q489" s="26"/>
      <c r="R489" s="26"/>
      <c r="S489" s="26"/>
      <c r="T489" s="26"/>
      <c r="U489" s="26"/>
      <c r="V489" s="26"/>
      <c r="W489" s="26">
        <f>MAX($C$10-VLOOKUP($C489,COS!$B$8:$H$991,3,FALSE),0)</f>
        <v>87555.9794921875</v>
      </c>
      <c r="X489" s="26">
        <f t="shared" si="769"/>
        <v>5209.9425813533062</v>
      </c>
      <c r="Y489" s="26">
        <f>VLOOKUP($C489,COS!$B$8:$H$991,4,FALSE)</f>
        <v>1391.8277587890625</v>
      </c>
      <c r="Z489" s="26">
        <f t="shared" si="770"/>
        <v>82.819503002324367</v>
      </c>
      <c r="AA489" s="26">
        <f t="shared" si="782"/>
        <v>1391.8277587890625</v>
      </c>
      <c r="AB489" s="33">
        <f t="shared" si="752"/>
        <v>41.409751501162184</v>
      </c>
    </row>
    <row r="490" spans="1:28" x14ac:dyDescent="0.3">
      <c r="A490" s="34">
        <f>VLOOKUP(YEAR(C490),Flags!$A$13:$B$95,2,FALSE)</f>
        <v>1</v>
      </c>
      <c r="B490" s="35">
        <f t="shared" si="739"/>
        <v>1974</v>
      </c>
      <c r="C490" s="36">
        <v>27394</v>
      </c>
      <c r="D490" s="37"/>
      <c r="E490" s="35"/>
      <c r="F490" s="37"/>
      <c r="G490" s="37"/>
      <c r="H490" s="37"/>
      <c r="I490" s="37"/>
      <c r="J490" s="37"/>
      <c r="K490" s="37"/>
      <c r="L490" s="35"/>
      <c r="M490" s="35"/>
      <c r="N490" s="37"/>
      <c r="O490" s="37"/>
      <c r="P490" s="37"/>
      <c r="Q490" s="37"/>
      <c r="R490" s="37"/>
      <c r="S490" s="37"/>
      <c r="T490" s="37"/>
      <c r="U490" s="37"/>
      <c r="V490" s="37"/>
      <c r="W490" s="37">
        <f>MAX($C$11-VLOOKUP($C490,COS!$B$8:$H$991,3,FALSE),0)</f>
        <v>0</v>
      </c>
      <c r="X490" s="37">
        <f t="shared" si="769"/>
        <v>0</v>
      </c>
      <c r="Y490" s="37">
        <f>VLOOKUP($C490,COS!$B$8:$H$991,4,FALSE)</f>
        <v>0</v>
      </c>
      <c r="Z490" s="37">
        <f t="shared" si="770"/>
        <v>0</v>
      </c>
      <c r="AA490" s="37">
        <f t="shared" si="782"/>
        <v>0</v>
      </c>
      <c r="AB490" s="38">
        <f t="shared" si="752"/>
        <v>0</v>
      </c>
    </row>
    <row r="491" spans="1:28" x14ac:dyDescent="0.3">
      <c r="A491" s="27">
        <f>VLOOKUP(YEAR(C491),Flags!$A$13:$B$95,2,FALSE)</f>
        <v>1</v>
      </c>
      <c r="B491" s="28">
        <f t="shared" si="739"/>
        <v>1975</v>
      </c>
      <c r="C491" s="29">
        <v>27514</v>
      </c>
      <c r="D491" s="30">
        <f>VLOOKUP($C491,COS!$B$8:$H$991,3,FALSE)</f>
        <v>3250</v>
      </c>
      <c r="E491" s="28">
        <f>IF(D491&gt;=IF(MONTH($C491)=4,$C$3,IF(MONTH($C491)=5,$C$4,IF(MONTH($C491)=6,$C$5,IF(MONTH($C491)=7,$C$6,"ERROR")))),1,0)</f>
        <v>0</v>
      </c>
      <c r="F491" s="30">
        <f>VLOOKUP($C491,COS!$B$8:$H$991,7,FALSE)</f>
        <v>50.470378875732422</v>
      </c>
      <c r="G491" s="28">
        <f>IF(F491&lt;=IF(MONTH($C491)=4,$F$3,IF(MONTH($C491)=5,$F$4,IF(MONTH($C491)=6,$F$5,IF(MONTH($C491)=7,$F$6,"ERROR")))),1,0)</f>
        <v>1</v>
      </c>
      <c r="H491" s="30">
        <f>IF(J491=1,D491-$C$3,0)</f>
        <v>0</v>
      </c>
      <c r="I491" s="30">
        <f t="shared" si="764"/>
        <v>0</v>
      </c>
      <c r="J491" s="28">
        <f t="shared" ref="J491:J494" si="785">IF(AND(E491=1,G491=1),1,0)</f>
        <v>0</v>
      </c>
      <c r="K491" s="30">
        <f>VLOOKUP($C491,COS!$B$8:$H$991,2,FALSE)</f>
        <v>4449.69873046875</v>
      </c>
      <c r="L491" s="28">
        <f t="shared" ref="L491" si="786">IF(K491&lt;=IF(MONTH($C491)=4,$I$3,IF(MONTH($C491)=5,$I$4,IF(MONTH($C491)=6,$I$5,IF(MONTH($C491)=7,$I$6,"ERROR")))),1,0)</f>
        <v>1</v>
      </c>
      <c r="M491" s="28">
        <f t="shared" ref="M491" si="787">VLOOKUP($A491,$L$3:$M$7,2,FALSE)</f>
        <v>0</v>
      </c>
      <c r="N491" s="30">
        <f>VLOOKUP($C491,COS!$B$8:$H$991,5,FALSE)</f>
        <v>348.71612548828125</v>
      </c>
      <c r="O491" s="30">
        <f t="shared" ref="O491:O494" si="788">N491*DAY($C491)*86400/43560/1000</f>
        <v>20.750050442277892</v>
      </c>
      <c r="P491" s="30">
        <f>VLOOKUP($C491,COS!$B$8:$H$991,6,FALSE)</f>
        <v>422.25656127929688</v>
      </c>
      <c r="Q491" s="30">
        <f t="shared" ref="Q491:Q494" si="789">P491*DAY($C491)*86400/43560/1000</f>
        <v>25.12601025794163</v>
      </c>
      <c r="R491" s="30">
        <f>MIN(IF(MONTH($C491)=4,$S$3,IF(MONTH($C491)=5,$S$4,IF(MONTH($C491)=6,$S$5,IF(MONTH($C491)=7,$S$6,"ERROR")))),MAX(VLOOKUP($C491,COS!$B$8:$K$991,10,FALSE)-IF(MONTH($C491)=4,$Y$3,IF(MONTH($C491)=5,$Y$4,IF(MONTH($C491)=6,$Y$5,IF(MONTH($C491)=7,$Y$6,"ERROR")))),0),MAX(VLOOKUP($C491,COS!$B$8:$K$991,9,FALSE)-IF(MONTH($C491)=4,$V$3,IF(MONTH($C491)=5,$V$4,IF(MONTH($C491)=6,$V$5,IF(MONTH($C491)=7,$V$6,"ERROR"))))-VLOOKUP($C491,COS!$B$8:$K$991,6,FALSE)/2,0))</f>
        <v>750</v>
      </c>
      <c r="S491" s="30">
        <f t="shared" ref="S491:S494" si="790">R491*DAY($C491)*86400/43560/1000</f>
        <v>44.628099173553714</v>
      </c>
      <c r="T491" s="30">
        <f t="shared" ref="T491:T494" si="791">(O491+Q491)/2+S491</f>
        <v>67.566129523663477</v>
      </c>
      <c r="U491" s="30" t="str">
        <f>IF(VLOOKUP($C491,COS!$B$8:$I$991,8,FALSE)=1,"UWFE","IBU")</f>
        <v>UWFE</v>
      </c>
      <c r="V491" s="30">
        <f t="shared" ref="V491" si="792">MIN(IF(IF($AA$3=2,AND(E491=1,G491=1,L491=1,L496=1,M491=1,U491="IBU"),AND(E491=1,G491=1,L491=1,L496=1,M491=1)),T491,0),I491)</f>
        <v>0</v>
      </c>
      <c r="W491" s="30"/>
      <c r="X491" s="30"/>
      <c r="Y491" s="30"/>
      <c r="Z491" s="30"/>
      <c r="AA491" s="30"/>
      <c r="AB491" s="31"/>
    </row>
    <row r="492" spans="1:28" x14ac:dyDescent="0.3">
      <c r="A492" s="32">
        <f>VLOOKUP(YEAR(C492),Flags!$A$13:$B$95,2,FALSE)</f>
        <v>1</v>
      </c>
      <c r="B492" s="24">
        <f t="shared" si="739"/>
        <v>1975</v>
      </c>
      <c r="C492" s="25">
        <v>27545</v>
      </c>
      <c r="D492" s="26">
        <f>VLOOKUP($C492,COS!$B$8:$H$991,3,FALSE)</f>
        <v>9954.1455078125</v>
      </c>
      <c r="E492" s="24">
        <f>IF(D492&gt;=IF(MONTH($C492)=4,$C$3,IF(MONTH($C492)=5,$C$4,IF(MONTH($C492)=6,$C$5,IF(MONTH($C492)=7,$C$6,"ERROR")))),1,0)</f>
        <v>1</v>
      </c>
      <c r="F492" s="26">
        <f>VLOOKUP($C492,COS!$B$8:$H$991,7,FALSE)</f>
        <v>50.279342651367188</v>
      </c>
      <c r="G492" s="24">
        <f>IF(F492&lt;=IF(MONTH($C492)=4,$F$3,IF(MONTH($C492)=5,$F$4,IF(MONTH($C492)=6,$F$5,IF(MONTH($C492)=7,$F$6,"ERROR")))),1,0)</f>
        <v>1</v>
      </c>
      <c r="H492" s="26">
        <f>IF(J492=1,D492-$C$4,0)</f>
        <v>3954.1455078125</v>
      </c>
      <c r="I492" s="26">
        <f t="shared" si="764"/>
        <v>243.13093039772727</v>
      </c>
      <c r="J492" s="24">
        <f t="shared" si="785"/>
        <v>1</v>
      </c>
      <c r="K492" s="26">
        <f>VLOOKUP($C492,COS!$B$8:$H$991,2,FALSE)</f>
        <v>4552</v>
      </c>
      <c r="L492" s="24">
        <f t="shared" si="741"/>
        <v>1</v>
      </c>
      <c r="M492" s="24">
        <f t="shared" si="742"/>
        <v>0</v>
      </c>
      <c r="N492" s="26">
        <f>VLOOKUP($C492,COS!$B$8:$H$991,5,FALSE)</f>
        <v>880.44073486328125</v>
      </c>
      <c r="O492" s="26">
        <f t="shared" si="788"/>
        <v>54.136190639527378</v>
      </c>
      <c r="P492" s="26">
        <f>VLOOKUP($C492,COS!$B$8:$H$991,6,FALSE)</f>
        <v>2314.501708984375</v>
      </c>
      <c r="Q492" s="26">
        <f t="shared" si="789"/>
        <v>142.31316293259297</v>
      </c>
      <c r="R492" s="26">
        <f>MIN(IF(MONTH($C492)=4,$S$3,IF(MONTH($C492)=5,$S$4,IF(MONTH($C492)=6,$S$5,IF(MONTH($C492)=7,$S$6,"ERROR")))),MAX(VLOOKUP($C492,COS!$B$8:$K$991,10,FALSE)-IF(MONTH($C492)=4,$Y$3,IF(MONTH($C492)=5,$Y$4,IF(MONTH($C492)=6,$Y$5,IF(MONTH($C492)=7,$Y$6,"ERROR")))),0),MAX(VLOOKUP($C492,COS!$B$8:$K$991,9,FALSE)-IF(MONTH($C492)=4,$V$3,IF(MONTH($C492)=5,$V$4,IF(MONTH($C492)=6,$V$5,IF(MONTH($C492)=7,$V$6,"ERROR"))))-VLOOKUP($C492,COS!$B$8:$K$991,6,FALSE)/2,0))</f>
        <v>750</v>
      </c>
      <c r="S492" s="26">
        <f t="shared" si="790"/>
        <v>46.115702479338843</v>
      </c>
      <c r="T492" s="26">
        <f t="shared" si="791"/>
        <v>144.34037926539901</v>
      </c>
      <c r="U492" s="26" t="str">
        <f>IF(VLOOKUP($C492,COS!$B$8:$I$991,8,FALSE)=1,"UWFE","IBU")</f>
        <v>UWFE</v>
      </c>
      <c r="V492" s="26">
        <f t="shared" ref="V492" si="793">MIN(IF(IF($AA$3=2,AND(E492=1,G492=1,L492=1,L496=1,M492=1,U492="IBU"),AND(E492=1,G492=1,L492=1,L496=1,M492=1)),T492,0),I492)</f>
        <v>0</v>
      </c>
      <c r="W492" s="26"/>
      <c r="X492" s="26"/>
      <c r="Y492" s="26"/>
      <c r="Z492" s="26"/>
      <c r="AA492" s="26"/>
      <c r="AB492" s="33"/>
    </row>
    <row r="493" spans="1:28" x14ac:dyDescent="0.3">
      <c r="A493" s="32">
        <f>VLOOKUP(YEAR(C493),Flags!$A$13:$B$95,2,FALSE)</f>
        <v>1</v>
      </c>
      <c r="B493" s="24">
        <f t="shared" si="739"/>
        <v>1975</v>
      </c>
      <c r="C493" s="25">
        <v>27575</v>
      </c>
      <c r="D493" s="26">
        <f>VLOOKUP($C493,COS!$B$8:$H$991,3,FALSE)</f>
        <v>8908.6064453125</v>
      </c>
      <c r="E493" s="24">
        <f>IF(D493&gt;=IF(MONTH($C493)=4,$C$3,IF(MONTH($C493)=5,$C$4,IF(MONTH($C493)=6,$C$5,IF(MONTH($C493)=7,$C$6,"ERROR")))),1,0)</f>
        <v>0</v>
      </c>
      <c r="F493" s="26">
        <f>VLOOKUP($C493,COS!$B$8:$H$991,7,FALSE)</f>
        <v>51.962612152099609</v>
      </c>
      <c r="G493" s="24">
        <f>IF(F493&lt;=IF(MONTH($C493)=4,$F$3,IF(MONTH($C493)=5,$F$4,IF(MONTH($C493)=6,$F$5,IF(MONTH($C493)=7,$F$6,"ERROR")))),1,0)</f>
        <v>1</v>
      </c>
      <c r="H493" s="26">
        <f>IF(J493=1,D493-$C$5,0)</f>
        <v>0</v>
      </c>
      <c r="I493" s="26">
        <f t="shared" si="764"/>
        <v>0</v>
      </c>
      <c r="J493" s="24">
        <f t="shared" si="785"/>
        <v>0</v>
      </c>
      <c r="K493" s="26">
        <f>VLOOKUP($C493,COS!$B$8:$H$991,2,FALSE)</f>
        <v>4422.015625</v>
      </c>
      <c r="L493" s="24">
        <f t="shared" si="741"/>
        <v>1</v>
      </c>
      <c r="M493" s="24">
        <f t="shared" si="742"/>
        <v>0</v>
      </c>
      <c r="N493" s="26">
        <f>VLOOKUP($C493,COS!$B$8:$H$991,5,FALSE)</f>
        <v>1191.22607421875</v>
      </c>
      <c r="O493" s="26">
        <f t="shared" si="788"/>
        <v>70.882873837809925</v>
      </c>
      <c r="P493" s="26">
        <f>VLOOKUP($C493,COS!$B$8:$H$991,6,FALSE)</f>
        <v>2278.943359375</v>
      </c>
      <c r="Q493" s="26">
        <f t="shared" si="789"/>
        <v>135.60654700413224</v>
      </c>
      <c r="R493" s="26">
        <f>MIN(IF(MONTH($C493)=4,$S$3,IF(MONTH($C493)=5,$S$4,IF(MONTH($C493)=6,$S$5,IF(MONTH($C493)=7,$S$6,"ERROR")))),MAX(VLOOKUP($C493,COS!$B$8:$K$991,10,FALSE)-IF(MONTH($C493)=4,$Y$3,IF(MONTH($C493)=5,$Y$4,IF(MONTH($C493)=6,$Y$5,IF(MONTH($C493)=7,$Y$6,"ERROR")))),0),MAX(VLOOKUP($C493,COS!$B$8:$K$991,9,FALSE)-IF(MONTH($C493)=4,$V$3,IF(MONTH($C493)=5,$V$4,IF(MONTH($C493)=6,$V$5,IF(MONTH($C493)=7,$V$6,"ERROR"))))-VLOOKUP($C493,COS!$B$8:$K$991,6,FALSE)/2,0))</f>
        <v>750</v>
      </c>
      <c r="S493" s="26">
        <f t="shared" si="790"/>
        <v>44.628099173553714</v>
      </c>
      <c r="T493" s="26">
        <f t="shared" si="791"/>
        <v>147.8728095945248</v>
      </c>
      <c r="U493" s="26" t="str">
        <f>IF(VLOOKUP($C493,COS!$B$8:$I$991,8,FALSE)=1,"UWFE","IBU")</f>
        <v>UWFE</v>
      </c>
      <c r="V493" s="26">
        <f t="shared" ref="V493" si="794">MIN(IF(IF($AA$3=2,AND(E493=1,G493=1,L493=1,L496=1,M493=1,U493="IBU"),AND(E493=1,G493=1,L493=1,L496=1,M493=1)),T493,0),I493)</f>
        <v>0</v>
      </c>
      <c r="W493" s="26"/>
      <c r="X493" s="26"/>
      <c r="Y493" s="26"/>
      <c r="Z493" s="26"/>
      <c r="AA493" s="26"/>
      <c r="AB493" s="33"/>
    </row>
    <row r="494" spans="1:28" x14ac:dyDescent="0.3">
      <c r="A494" s="32">
        <f>VLOOKUP(YEAR(C494),Flags!$A$13:$B$95,2,FALSE)</f>
        <v>1</v>
      </c>
      <c r="B494" s="24">
        <f t="shared" si="739"/>
        <v>1975</v>
      </c>
      <c r="C494" s="25">
        <v>27606</v>
      </c>
      <c r="D494" s="26">
        <f>VLOOKUP($C494,COS!$B$8:$H$991,3,FALSE)</f>
        <v>13871.7421875</v>
      </c>
      <c r="E494" s="24">
        <f>IF(D494&gt;=IF(MONTH($C494)=4,$C$3,IF(MONTH($C494)=5,$C$4,IF(MONTH($C494)=6,$C$5,IF(MONTH($C494)=7,$C$6,"ERROR")))),1,0)</f>
        <v>1</v>
      </c>
      <c r="F494" s="26">
        <f>VLOOKUP($C494,COS!$B$8:$H$991,7,FALSE)</f>
        <v>52.175071716308594</v>
      </c>
      <c r="G494" s="24">
        <f>IF(F494&lt;=IF(MONTH($C494)=4,$F$3,IF(MONTH($C494)=5,$F$4,IF(MONTH($C494)=6,$F$5,IF(MONTH($C494)=7,$F$6,"ERROR")))),1,0)</f>
        <v>1</v>
      </c>
      <c r="H494" s="26">
        <f>IF(J494=1,D494-$C$6,0)</f>
        <v>1871.7421875</v>
      </c>
      <c r="I494" s="26">
        <f t="shared" si="764"/>
        <v>115.08894111570247</v>
      </c>
      <c r="J494" s="24">
        <f t="shared" si="785"/>
        <v>1</v>
      </c>
      <c r="K494" s="26">
        <f>VLOOKUP($C494,COS!$B$8:$H$991,2,FALSE)</f>
        <v>3940.190673828125</v>
      </c>
      <c r="L494" s="24">
        <f t="shared" si="741"/>
        <v>1</v>
      </c>
      <c r="M494" s="24">
        <f t="shared" si="742"/>
        <v>0</v>
      </c>
      <c r="N494" s="26">
        <f>VLOOKUP($C494,COS!$B$8:$H$991,5,FALSE)</f>
        <v>1259.2373046875</v>
      </c>
      <c r="O494" s="26">
        <f t="shared" si="788"/>
        <v>77.427483858471078</v>
      </c>
      <c r="P494" s="26">
        <f>VLOOKUP($C494,COS!$B$8:$H$991,6,FALSE)</f>
        <v>2566.025634765625</v>
      </c>
      <c r="Q494" s="26">
        <f t="shared" si="789"/>
        <v>157.77876630294421</v>
      </c>
      <c r="R494" s="26">
        <f>MIN(IF(MONTH($C494)=4,$S$3,IF(MONTH($C494)=5,$S$4,IF(MONTH($C494)=6,$S$5,IF(MONTH($C494)=7,$S$6,"ERROR")))),MAX(VLOOKUP($C494,COS!$B$8:$K$991,10,FALSE)-IF(MONTH($C494)=4,$Y$3,IF(MONTH($C494)=5,$Y$4,IF(MONTH($C494)=6,$Y$5,IF(MONTH($C494)=7,$Y$6,"ERROR")))),0),MAX(VLOOKUP($C494,COS!$B$8:$K$991,9,FALSE)-IF(MONTH($C494)=4,$V$3,IF(MONTH($C494)=5,$V$4,IF(MONTH($C494)=6,$V$5,IF(MONTH($C494)=7,$V$6,"ERROR"))))-VLOOKUP($C494,COS!$B$8:$K$991,6,FALSE)/2,0))</f>
        <v>750</v>
      </c>
      <c r="S494" s="26">
        <f t="shared" si="790"/>
        <v>46.115702479338843</v>
      </c>
      <c r="T494" s="26">
        <f t="shared" si="791"/>
        <v>163.71882756004649</v>
      </c>
      <c r="U494" s="26" t="str">
        <f>IF(VLOOKUP($C494,COS!$B$8:$I$991,8,FALSE)=1,"UWFE","IBU")</f>
        <v>IBU</v>
      </c>
      <c r="V494" s="26">
        <f t="shared" ref="V494" si="795">MIN(IF(IF($AA$3=2,AND(E494=1,G494=1,L494=1,L496=1,M494=1,U494="IBU"),AND(E494=1,G494=1,L494=1,L496=1,M494=1)),T494,0),I494)</f>
        <v>0</v>
      </c>
      <c r="W494" s="26"/>
      <c r="X494" s="26"/>
      <c r="Y494" s="26"/>
      <c r="Z494" s="26"/>
      <c r="AA494" s="26"/>
      <c r="AB494" s="33"/>
    </row>
    <row r="495" spans="1:28" x14ac:dyDescent="0.3">
      <c r="A495" s="32">
        <f>VLOOKUP(YEAR(C495),Flags!$A$13:$B$95,2,FALSE)</f>
        <v>1</v>
      </c>
      <c r="B495" s="24">
        <f t="shared" si="739"/>
        <v>1975</v>
      </c>
      <c r="C495" s="25">
        <v>27637</v>
      </c>
      <c r="D495" s="26"/>
      <c r="E495" s="24"/>
      <c r="F495" s="26"/>
      <c r="G495" s="24"/>
      <c r="H495" s="24"/>
      <c r="I495" s="26"/>
      <c r="J495" s="24"/>
      <c r="K495" s="26"/>
      <c r="L495" s="24"/>
      <c r="M495" s="24"/>
      <c r="N495" s="26"/>
      <c r="O495" s="26"/>
      <c r="P495" s="26"/>
      <c r="Q495" s="26"/>
      <c r="R495" s="26"/>
      <c r="S495" s="26"/>
      <c r="T495" s="26"/>
      <c r="U495" s="26"/>
      <c r="V495" s="26"/>
      <c r="W495" s="26">
        <f>MAX($C$7-VLOOKUP($C495,COS!$B$8:$H$991,3,FALSE),0)</f>
        <v>90235.9765625</v>
      </c>
      <c r="X495" s="26">
        <f t="shared" si="769"/>
        <v>5548.3939307851242</v>
      </c>
      <c r="Y495" s="26">
        <f>VLOOKUP($C495,COS!$B$8:$H$991,4,FALSE)</f>
        <v>0</v>
      </c>
      <c r="Z495" s="26">
        <f t="shared" si="770"/>
        <v>0</v>
      </c>
      <c r="AA495" s="26">
        <f t="shared" ref="AA495:AA499" si="796">MIN(W495,Y495)</f>
        <v>0</v>
      </c>
      <c r="AB495" s="33">
        <f t="shared" ref="AB495" si="797">AA495*DAY($C495)*86400/43560/1000*IF(MONTH($C495)=8,$P$3,IF(MONTH($C495)=9,$P$4,IF(MONTH($C495)=10,$P$5,IF(MONTH($C495)=11,$P$6,IF(MONTH($C495)=12,$P$7,NA())))))</f>
        <v>0</v>
      </c>
    </row>
    <row r="496" spans="1:28" x14ac:dyDescent="0.3">
      <c r="A496" s="32">
        <f>VLOOKUP(YEAR(C496),Flags!$A$13:$B$95,2,FALSE)</f>
        <v>1</v>
      </c>
      <c r="B496" s="24">
        <f t="shared" si="739"/>
        <v>1975</v>
      </c>
      <c r="C496" s="25">
        <v>27667</v>
      </c>
      <c r="D496" s="26"/>
      <c r="E496" s="24"/>
      <c r="F496" s="26"/>
      <c r="G496" s="24"/>
      <c r="H496" s="24"/>
      <c r="I496" s="26"/>
      <c r="J496" s="24"/>
      <c r="K496" s="26">
        <f>VLOOKUP($C496,COS!$B$8:$H$991,2,FALSE)</f>
        <v>3139.902587890625</v>
      </c>
      <c r="L496" s="24">
        <f t="shared" ref="L496" si="798">IF(AND(K496&gt;$I$7,K496&lt;$I$8),1,0)</f>
        <v>1</v>
      </c>
      <c r="M496" s="24"/>
      <c r="N496" s="26"/>
      <c r="O496" s="26"/>
      <c r="P496" s="26"/>
      <c r="Q496" s="26"/>
      <c r="R496" s="26"/>
      <c r="S496" s="26"/>
      <c r="T496" s="26"/>
      <c r="U496" s="26"/>
      <c r="V496" s="26"/>
      <c r="W496" s="26">
        <f>MAX($C$8-VLOOKUP($C496,COS!$B$8:$H$991,3,FALSE),0)</f>
        <v>84908.5556640625</v>
      </c>
      <c r="X496" s="26">
        <f t="shared" si="769"/>
        <v>5052.4099238119834</v>
      </c>
      <c r="Y496" s="26">
        <f>VLOOKUP($C496,COS!$B$8:$H$991,4,FALSE)</f>
        <v>0</v>
      </c>
      <c r="Z496" s="26">
        <f t="shared" si="770"/>
        <v>0</v>
      </c>
      <c r="AA496" s="26">
        <f t="shared" si="796"/>
        <v>0</v>
      </c>
      <c r="AB496" s="33">
        <f t="shared" si="752"/>
        <v>0</v>
      </c>
    </row>
    <row r="497" spans="1:28" x14ac:dyDescent="0.3">
      <c r="A497" s="32">
        <f>VLOOKUP(YEAR(C497),Flags!$A$13:$B$95,2,FALSE)</f>
        <v>1</v>
      </c>
      <c r="B497" s="24">
        <f t="shared" si="739"/>
        <v>1975</v>
      </c>
      <c r="C497" s="25">
        <v>27698</v>
      </c>
      <c r="D497" s="26"/>
      <c r="E497" s="24"/>
      <c r="F497" s="26"/>
      <c r="G497" s="26"/>
      <c r="H497" s="26"/>
      <c r="I497" s="26"/>
      <c r="J497" s="26"/>
      <c r="K497" s="26"/>
      <c r="L497" s="24"/>
      <c r="M497" s="24"/>
      <c r="N497" s="26"/>
      <c r="O497" s="26"/>
      <c r="P497" s="26"/>
      <c r="Q497" s="26"/>
      <c r="R497" s="26"/>
      <c r="S497" s="26"/>
      <c r="T497" s="26"/>
      <c r="U497" s="26"/>
      <c r="V497" s="26"/>
      <c r="W497" s="26">
        <f>MAX($C$9-VLOOKUP($C497,COS!$B$8:$H$991,3,FALSE),0)</f>
        <v>93899.6826171875</v>
      </c>
      <c r="X497" s="26">
        <f t="shared" si="769"/>
        <v>5773.6664353047518</v>
      </c>
      <c r="Y497" s="26">
        <f>VLOOKUP($C497,COS!$B$8:$H$991,4,FALSE)</f>
        <v>935.7257080078125</v>
      </c>
      <c r="Z497" s="26">
        <f t="shared" si="770"/>
        <v>57.535531137009293</v>
      </c>
      <c r="AA497" s="26">
        <f t="shared" si="796"/>
        <v>935.7257080078125</v>
      </c>
      <c r="AB497" s="33">
        <f t="shared" si="752"/>
        <v>57.535531137009293</v>
      </c>
    </row>
    <row r="498" spans="1:28" x14ac:dyDescent="0.3">
      <c r="A498" s="32">
        <f>VLOOKUP(YEAR(C498),Flags!$A$13:$B$95,2,FALSE)</f>
        <v>1</v>
      </c>
      <c r="B498" s="24">
        <f t="shared" si="739"/>
        <v>1975</v>
      </c>
      <c r="C498" s="25">
        <v>27728</v>
      </c>
      <c r="D498" s="26"/>
      <c r="E498" s="24"/>
      <c r="F498" s="26"/>
      <c r="G498" s="26"/>
      <c r="H498" s="26"/>
      <c r="I498" s="26"/>
      <c r="J498" s="26"/>
      <c r="K498" s="26"/>
      <c r="L498" s="24"/>
      <c r="M498" s="24"/>
      <c r="N498" s="26"/>
      <c r="O498" s="26"/>
      <c r="P498" s="26"/>
      <c r="Q498" s="26"/>
      <c r="R498" s="26"/>
      <c r="S498" s="26"/>
      <c r="T498" s="26"/>
      <c r="U498" s="26"/>
      <c r="V498" s="26"/>
      <c r="W498" s="26">
        <f>MAX($C$10-VLOOKUP($C498,COS!$B$8:$H$991,3,FALSE),0)</f>
        <v>90029.630859375</v>
      </c>
      <c r="X498" s="26">
        <f t="shared" si="769"/>
        <v>5357.1350594008263</v>
      </c>
      <c r="Y498" s="26">
        <f>VLOOKUP($C498,COS!$B$8:$H$991,4,FALSE)</f>
        <v>1105.79541015625</v>
      </c>
      <c r="Z498" s="26">
        <f t="shared" si="770"/>
        <v>65.799396306818181</v>
      </c>
      <c r="AA498" s="26">
        <f t="shared" si="796"/>
        <v>1105.79541015625</v>
      </c>
      <c r="AB498" s="33">
        <f t="shared" si="752"/>
        <v>32.899698153409091</v>
      </c>
    </row>
    <row r="499" spans="1:28" x14ac:dyDescent="0.3">
      <c r="A499" s="34">
        <f>VLOOKUP(YEAR(C499),Flags!$A$13:$B$95,2,FALSE)</f>
        <v>1</v>
      </c>
      <c r="B499" s="35">
        <f t="shared" si="739"/>
        <v>1975</v>
      </c>
      <c r="C499" s="36">
        <v>27759</v>
      </c>
      <c r="D499" s="37"/>
      <c r="E499" s="35"/>
      <c r="F499" s="37"/>
      <c r="G499" s="37"/>
      <c r="H499" s="37"/>
      <c r="I499" s="37"/>
      <c r="J499" s="37"/>
      <c r="K499" s="37"/>
      <c r="L499" s="35"/>
      <c r="M499" s="35"/>
      <c r="N499" s="37"/>
      <c r="O499" s="37"/>
      <c r="P499" s="37"/>
      <c r="Q499" s="37"/>
      <c r="R499" s="37"/>
      <c r="S499" s="37"/>
      <c r="T499" s="37"/>
      <c r="U499" s="37"/>
      <c r="V499" s="37"/>
      <c r="W499" s="37">
        <f>MAX($C$11-VLOOKUP($C499,COS!$B$8:$H$991,3,FALSE),0)</f>
        <v>0</v>
      </c>
      <c r="X499" s="37">
        <f t="shared" si="769"/>
        <v>0</v>
      </c>
      <c r="Y499" s="37">
        <f>VLOOKUP($C499,COS!$B$8:$H$991,4,FALSE)</f>
        <v>0</v>
      </c>
      <c r="Z499" s="37">
        <f t="shared" si="770"/>
        <v>0</v>
      </c>
      <c r="AA499" s="37">
        <f t="shared" si="796"/>
        <v>0</v>
      </c>
      <c r="AB499" s="38">
        <f t="shared" si="752"/>
        <v>0</v>
      </c>
    </row>
    <row r="500" spans="1:28" x14ac:dyDescent="0.3">
      <c r="A500" s="27">
        <f>VLOOKUP(YEAR(C500),Flags!$A$13:$B$95,2,FALSE)</f>
        <v>4</v>
      </c>
      <c r="B500" s="28">
        <f t="shared" si="739"/>
        <v>1976</v>
      </c>
      <c r="C500" s="29">
        <v>27880</v>
      </c>
      <c r="D500" s="30">
        <f>VLOOKUP($C500,COS!$B$8:$H$991,3,FALSE)</f>
        <v>3250</v>
      </c>
      <c r="E500" s="28">
        <f>IF(D500&gt;=IF(MONTH($C500)=4,$C$3,IF(MONTH($C500)=5,$C$4,IF(MONTH($C500)=6,$C$5,IF(MONTH($C500)=7,$C$6,"ERROR")))),1,0)</f>
        <v>0</v>
      </c>
      <c r="F500" s="30">
        <f>VLOOKUP($C500,COS!$B$8:$H$991,7,FALSE)</f>
        <v>51.587924957275391</v>
      </c>
      <c r="G500" s="28">
        <f>IF(F500&lt;=IF(MONTH($C500)=4,$F$3,IF(MONTH($C500)=5,$F$4,IF(MONTH($C500)=6,$F$5,IF(MONTH($C500)=7,$F$6,"ERROR")))),1,0)</f>
        <v>1</v>
      </c>
      <c r="H500" s="30">
        <f>IF(J500=1,D500-$C$3,0)</f>
        <v>0</v>
      </c>
      <c r="I500" s="30">
        <f t="shared" si="764"/>
        <v>0</v>
      </c>
      <c r="J500" s="28">
        <f t="shared" ref="J500:J503" si="799">IF(AND(E500=1,G500=1),1,0)</f>
        <v>0</v>
      </c>
      <c r="K500" s="30">
        <f>VLOOKUP($C500,COS!$B$8:$H$991,2,FALSE)</f>
        <v>3878.489990234375</v>
      </c>
      <c r="L500" s="28">
        <f t="shared" ref="L500" si="800">IF(K500&lt;=IF(MONTH($C500)=4,$I$3,IF(MONTH($C500)=5,$I$4,IF(MONTH($C500)=6,$I$5,IF(MONTH($C500)=7,$I$6,"ERROR")))),1,0)</f>
        <v>1</v>
      </c>
      <c r="M500" s="28">
        <f t="shared" ref="M500" si="801">VLOOKUP($A500,$L$3:$M$7,2,FALSE)</f>
        <v>1</v>
      </c>
      <c r="N500" s="30">
        <f>VLOOKUP($C500,COS!$B$8:$H$991,5,FALSE)</f>
        <v>162.41636657714844</v>
      </c>
      <c r="O500" s="30">
        <f t="shared" ref="O500:O503" si="802">N500*DAY($C500)*86400/43560/1000</f>
        <v>9.6644449533509817</v>
      </c>
      <c r="P500" s="30">
        <f>VLOOKUP($C500,COS!$B$8:$H$991,6,FALSE)</f>
        <v>525.2208251953125</v>
      </c>
      <c r="Q500" s="30">
        <f t="shared" ref="Q500:Q503" si="803">P500*DAY($C500)*86400/43560/1000</f>
        <v>31.252809433109505</v>
      </c>
      <c r="R500" s="30">
        <f>MIN(IF(MONTH($C500)=4,$S$3,IF(MONTH($C500)=5,$S$4,IF(MONTH($C500)=6,$S$5,IF(MONTH($C500)=7,$S$6,"ERROR")))),MAX(VLOOKUP($C500,COS!$B$8:$K$991,10,FALSE)-IF(MONTH($C500)=4,$Y$3,IF(MONTH($C500)=5,$Y$4,IF(MONTH($C500)=6,$Y$5,IF(MONTH($C500)=7,$Y$6,"ERROR")))),0),MAX(VLOOKUP($C500,COS!$B$8:$K$991,9,FALSE)-IF(MONTH($C500)=4,$V$3,IF(MONTH($C500)=5,$V$4,IF(MONTH($C500)=6,$V$5,IF(MONTH($C500)=7,$V$6,"ERROR"))))-VLOOKUP($C500,COS!$B$8:$K$991,6,FALSE)/2,0))</f>
        <v>750</v>
      </c>
      <c r="S500" s="30">
        <f t="shared" ref="S500:S503" si="804">R500*DAY($C500)*86400/43560/1000</f>
        <v>44.628099173553714</v>
      </c>
      <c r="T500" s="30">
        <f t="shared" ref="T500:T503" si="805">(O500+Q500)/2+S500</f>
        <v>65.08672636678395</v>
      </c>
      <c r="U500" s="30" t="str">
        <f>IF(VLOOKUP($C500,COS!$B$8:$I$991,8,FALSE)=1,"UWFE","IBU")</f>
        <v>UWFE</v>
      </c>
      <c r="V500" s="30">
        <f t="shared" ref="V500" si="806">MIN(IF(IF($AA$3=2,AND(E500=1,G500=1,L500=1,L505=1,M500=1,U500="IBU"),AND(E500=1,G500=1,L500=1,L505=1,M500=1)),T500,0),I500)</f>
        <v>0</v>
      </c>
      <c r="W500" s="30"/>
      <c r="X500" s="30"/>
      <c r="Y500" s="30"/>
      <c r="Z500" s="30"/>
      <c r="AA500" s="30"/>
      <c r="AB500" s="31"/>
    </row>
    <row r="501" spans="1:28" x14ac:dyDescent="0.3">
      <c r="A501" s="32">
        <f>VLOOKUP(YEAR(C501),Flags!$A$13:$B$95,2,FALSE)</f>
        <v>4</v>
      </c>
      <c r="B501" s="24">
        <f t="shared" si="739"/>
        <v>1976</v>
      </c>
      <c r="C501" s="25">
        <v>27911</v>
      </c>
      <c r="D501" s="26">
        <f>VLOOKUP($C501,COS!$B$8:$H$991,3,FALSE)</f>
        <v>10081.5947265625</v>
      </c>
      <c r="E501" s="24">
        <f>IF(D501&gt;=IF(MONTH($C501)=4,$C$3,IF(MONTH($C501)=5,$C$4,IF(MONTH($C501)=6,$C$5,IF(MONTH($C501)=7,$C$6,"ERROR")))),1,0)</f>
        <v>1</v>
      </c>
      <c r="F501" s="26">
        <f>VLOOKUP($C501,COS!$B$8:$H$991,7,FALSE)</f>
        <v>51.443138122558594</v>
      </c>
      <c r="G501" s="24">
        <f>IF(F501&lt;=IF(MONTH($C501)=4,$F$3,IF(MONTH($C501)=5,$F$4,IF(MONTH($C501)=6,$F$5,IF(MONTH($C501)=7,$F$6,"ERROR")))),1,0)</f>
        <v>1</v>
      </c>
      <c r="H501" s="26">
        <f>IF(J501=1,D501-$C$4,0)</f>
        <v>4081.5947265625</v>
      </c>
      <c r="I501" s="26">
        <f t="shared" si="764"/>
        <v>250.9674774018595</v>
      </c>
      <c r="J501" s="24">
        <f t="shared" si="799"/>
        <v>1</v>
      </c>
      <c r="K501" s="26">
        <f>VLOOKUP($C501,COS!$B$8:$H$991,2,FALSE)</f>
        <v>3615.4599609375</v>
      </c>
      <c r="L501" s="24">
        <f t="shared" si="741"/>
        <v>1</v>
      </c>
      <c r="M501" s="24">
        <f t="shared" si="742"/>
        <v>1</v>
      </c>
      <c r="N501" s="26">
        <f>VLOOKUP($C501,COS!$B$8:$H$991,5,FALSE)</f>
        <v>197.63545227050781</v>
      </c>
      <c r="O501" s="26">
        <f t="shared" si="802"/>
        <v>12.152130288368415</v>
      </c>
      <c r="P501" s="26">
        <f>VLOOKUP($C501,COS!$B$8:$H$991,6,FALSE)</f>
        <v>2397.456298828125</v>
      </c>
      <c r="Q501" s="26">
        <f t="shared" si="803"/>
        <v>147.41384184529957</v>
      </c>
      <c r="R501" s="26">
        <f>MIN(IF(MONTH($C501)=4,$S$3,IF(MONTH($C501)=5,$S$4,IF(MONTH($C501)=6,$S$5,IF(MONTH($C501)=7,$S$6,"ERROR")))),MAX(VLOOKUP($C501,COS!$B$8:$K$991,10,FALSE)-IF(MONTH($C501)=4,$Y$3,IF(MONTH($C501)=5,$Y$4,IF(MONTH($C501)=6,$Y$5,IF(MONTH($C501)=7,$Y$6,"ERROR")))),0),MAX(VLOOKUP($C501,COS!$B$8:$K$991,9,FALSE)-IF(MONTH($C501)=4,$V$3,IF(MONTH($C501)=5,$V$4,IF(MONTH($C501)=6,$V$5,IF(MONTH($C501)=7,$V$6,"ERROR"))))-VLOOKUP($C501,COS!$B$8:$K$991,6,FALSE)/2,0))</f>
        <v>750</v>
      </c>
      <c r="S501" s="26">
        <f t="shared" si="804"/>
        <v>46.115702479338843</v>
      </c>
      <c r="T501" s="26">
        <f t="shared" si="805"/>
        <v>125.89868854617285</v>
      </c>
      <c r="U501" s="26" t="str">
        <f>IF(VLOOKUP($C501,COS!$B$8:$I$991,8,FALSE)=1,"UWFE","IBU")</f>
        <v>IBU</v>
      </c>
      <c r="V501" s="26">
        <f t="shared" ref="V501" si="807">MIN(IF(IF($AA$3=2,AND(E501=1,G501=1,L501=1,L505=1,M501=1,U501="IBU"),AND(E501=1,G501=1,L501=1,L505=1,M501=1)),T501,0),I501)</f>
        <v>125.89868854617285</v>
      </c>
      <c r="W501" s="26"/>
      <c r="X501" s="26"/>
      <c r="Y501" s="26"/>
      <c r="Z501" s="26"/>
      <c r="AA501" s="26"/>
      <c r="AB501" s="33"/>
    </row>
    <row r="502" spans="1:28" x14ac:dyDescent="0.3">
      <c r="A502" s="32">
        <f>VLOOKUP(YEAR(C502),Flags!$A$13:$B$95,2,FALSE)</f>
        <v>4</v>
      </c>
      <c r="B502" s="24">
        <f t="shared" si="739"/>
        <v>1976</v>
      </c>
      <c r="C502" s="25">
        <v>27941</v>
      </c>
      <c r="D502" s="26">
        <f>VLOOKUP($C502,COS!$B$8:$H$991,3,FALSE)</f>
        <v>9693.1298828125</v>
      </c>
      <c r="E502" s="24">
        <f>IF(D502&gt;=IF(MONTH($C502)=4,$C$3,IF(MONTH($C502)=5,$C$4,IF(MONTH($C502)=6,$C$5,IF(MONTH($C502)=7,$C$6,"ERROR")))),1,0)</f>
        <v>0</v>
      </c>
      <c r="F502" s="26">
        <f>VLOOKUP($C502,COS!$B$8:$H$991,7,FALSE)</f>
        <v>52.964691162109375</v>
      </c>
      <c r="G502" s="24">
        <f>IF(F502&lt;=IF(MONTH($C502)=4,$F$3,IF(MONTH($C502)=5,$F$4,IF(MONTH($C502)=6,$F$5,IF(MONTH($C502)=7,$F$6,"ERROR")))),1,0)</f>
        <v>1</v>
      </c>
      <c r="H502" s="26">
        <f>IF(J502=1,D502-$C$5,0)</f>
        <v>0</v>
      </c>
      <c r="I502" s="26">
        <f t="shared" si="764"/>
        <v>0</v>
      </c>
      <c r="J502" s="24">
        <f t="shared" si="799"/>
        <v>0</v>
      </c>
      <c r="K502" s="26">
        <f>VLOOKUP($C502,COS!$B$8:$H$991,2,FALSE)</f>
        <v>3290.374755859375</v>
      </c>
      <c r="L502" s="24">
        <f t="shared" si="741"/>
        <v>1</v>
      </c>
      <c r="M502" s="24">
        <f t="shared" si="742"/>
        <v>1</v>
      </c>
      <c r="N502" s="26">
        <f>VLOOKUP($C502,COS!$B$8:$H$991,5,FALSE)</f>
        <v>220.81330871582031</v>
      </c>
      <c r="O502" s="26">
        <f t="shared" si="802"/>
        <v>13.139304320280216</v>
      </c>
      <c r="P502" s="26">
        <f>VLOOKUP($C502,COS!$B$8:$H$991,6,FALSE)</f>
        <v>2496.31787109375</v>
      </c>
      <c r="Q502" s="26">
        <f t="shared" si="803"/>
        <v>148.54122869318184</v>
      </c>
      <c r="R502" s="26">
        <f>MIN(IF(MONTH($C502)=4,$S$3,IF(MONTH($C502)=5,$S$4,IF(MONTH($C502)=6,$S$5,IF(MONTH($C502)=7,$S$6,"ERROR")))),MAX(VLOOKUP($C502,COS!$B$8:$K$991,10,FALSE)-IF(MONTH($C502)=4,$Y$3,IF(MONTH($C502)=5,$Y$4,IF(MONTH($C502)=6,$Y$5,IF(MONTH($C502)=7,$Y$6,"ERROR")))),0),MAX(VLOOKUP($C502,COS!$B$8:$K$991,9,FALSE)-IF(MONTH($C502)=4,$V$3,IF(MONTH($C502)=5,$V$4,IF(MONTH($C502)=6,$V$5,IF(MONTH($C502)=7,$V$6,"ERROR"))))-VLOOKUP($C502,COS!$B$8:$K$991,6,FALSE)/2,0))</f>
        <v>750</v>
      </c>
      <c r="S502" s="26">
        <f t="shared" si="804"/>
        <v>44.628099173553714</v>
      </c>
      <c r="T502" s="26">
        <f t="shared" si="805"/>
        <v>125.46836568028473</v>
      </c>
      <c r="U502" s="26" t="str">
        <f>IF(VLOOKUP($C502,COS!$B$8:$I$991,8,FALSE)=1,"UWFE","IBU")</f>
        <v>IBU</v>
      </c>
      <c r="V502" s="26">
        <f t="shared" ref="V502" si="808">MIN(IF(IF($AA$3=2,AND(E502=1,G502=1,L502=1,L505=1,M502=1,U502="IBU"),AND(E502=1,G502=1,L502=1,L505=1,M502=1)),T502,0),I502)</f>
        <v>0</v>
      </c>
      <c r="W502" s="26"/>
      <c r="X502" s="26"/>
      <c r="Y502" s="26"/>
      <c r="Z502" s="26"/>
      <c r="AA502" s="26"/>
      <c r="AB502" s="33"/>
    </row>
    <row r="503" spans="1:28" x14ac:dyDescent="0.3">
      <c r="A503" s="32">
        <f>VLOOKUP(YEAR(C503),Flags!$A$13:$B$95,2,FALSE)</f>
        <v>4</v>
      </c>
      <c r="B503" s="24">
        <f t="shared" si="739"/>
        <v>1976</v>
      </c>
      <c r="C503" s="25">
        <v>27972</v>
      </c>
      <c r="D503" s="26">
        <f>VLOOKUP($C503,COS!$B$8:$H$991,3,FALSE)</f>
        <v>13307.634765625</v>
      </c>
      <c r="E503" s="24">
        <f>IF(D503&gt;=IF(MONTH($C503)=4,$C$3,IF(MONTH($C503)=5,$C$4,IF(MONTH($C503)=6,$C$5,IF(MONTH($C503)=7,$C$6,"ERROR")))),1,0)</f>
        <v>1</v>
      </c>
      <c r="F503" s="26">
        <f>VLOOKUP($C503,COS!$B$8:$H$991,7,FALSE)</f>
        <v>54.076438903808594</v>
      </c>
      <c r="G503" s="24">
        <f>IF(F503&lt;=IF(MONTH($C503)=4,$F$3,IF(MONTH($C503)=5,$F$4,IF(MONTH($C503)=6,$F$5,IF(MONTH($C503)=7,$F$6,"ERROR")))),1,0)</f>
        <v>0</v>
      </c>
      <c r="H503" s="26">
        <f>IF(J503=1,D503-$C$6,0)</f>
        <v>0</v>
      </c>
      <c r="I503" s="26">
        <f t="shared" si="764"/>
        <v>0</v>
      </c>
      <c r="J503" s="24">
        <f t="shared" si="799"/>
        <v>0</v>
      </c>
      <c r="K503" s="26">
        <f>VLOOKUP($C503,COS!$B$8:$H$991,2,FALSE)</f>
        <v>2839.34033203125</v>
      </c>
      <c r="L503" s="24">
        <f t="shared" si="741"/>
        <v>1</v>
      </c>
      <c r="M503" s="24">
        <f t="shared" si="742"/>
        <v>1</v>
      </c>
      <c r="N503" s="26">
        <f>VLOOKUP($C503,COS!$B$8:$H$991,5,FALSE)</f>
        <v>243.29853820800781</v>
      </c>
      <c r="O503" s="26">
        <f t="shared" si="802"/>
        <v>14.959844002211391</v>
      </c>
      <c r="P503" s="26">
        <f>VLOOKUP($C503,COS!$B$8:$H$991,6,FALSE)</f>
        <v>2326.644775390625</v>
      </c>
      <c r="Q503" s="26">
        <f t="shared" si="803"/>
        <v>143.05981098269626</v>
      </c>
      <c r="R503" s="26">
        <f>MIN(IF(MONTH($C503)=4,$S$3,IF(MONTH($C503)=5,$S$4,IF(MONTH($C503)=6,$S$5,IF(MONTH($C503)=7,$S$6,"ERROR")))),MAX(VLOOKUP($C503,COS!$B$8:$K$991,10,FALSE)-IF(MONTH($C503)=4,$Y$3,IF(MONTH($C503)=5,$Y$4,IF(MONTH($C503)=6,$Y$5,IF(MONTH($C503)=7,$Y$6,"ERROR")))),0),MAX(VLOOKUP($C503,COS!$B$8:$K$991,9,FALSE)-IF(MONTH($C503)=4,$V$3,IF(MONTH($C503)=5,$V$4,IF(MONTH($C503)=6,$V$5,IF(MONTH($C503)=7,$V$6,"ERROR"))))-VLOOKUP($C503,COS!$B$8:$K$991,6,FALSE)/2,0))</f>
        <v>750</v>
      </c>
      <c r="S503" s="26">
        <f t="shared" si="804"/>
        <v>46.115702479338843</v>
      </c>
      <c r="T503" s="26">
        <f t="shared" si="805"/>
        <v>125.12552997179267</v>
      </c>
      <c r="U503" s="26" t="str">
        <f>IF(VLOOKUP($C503,COS!$B$8:$I$991,8,FALSE)=1,"UWFE","IBU")</f>
        <v>IBU</v>
      </c>
      <c r="V503" s="26">
        <f t="shared" ref="V503" si="809">MIN(IF(IF($AA$3=2,AND(E503=1,G503=1,L503=1,L505=1,M503=1,U503="IBU"),AND(E503=1,G503=1,L503=1,L505=1,M503=1)),T503,0),I503)</f>
        <v>0</v>
      </c>
      <c r="W503" s="26"/>
      <c r="X503" s="26"/>
      <c r="Y503" s="26"/>
      <c r="Z503" s="26"/>
      <c r="AA503" s="26"/>
      <c r="AB503" s="33"/>
    </row>
    <row r="504" spans="1:28" x14ac:dyDescent="0.3">
      <c r="A504" s="32">
        <f>VLOOKUP(YEAR(C504),Flags!$A$13:$B$95,2,FALSE)</f>
        <v>4</v>
      </c>
      <c r="B504" s="24">
        <f t="shared" si="739"/>
        <v>1976</v>
      </c>
      <c r="C504" s="25">
        <v>28003</v>
      </c>
      <c r="D504" s="26"/>
      <c r="E504" s="24"/>
      <c r="F504" s="26"/>
      <c r="G504" s="24"/>
      <c r="H504" s="24"/>
      <c r="I504" s="26"/>
      <c r="J504" s="24"/>
      <c r="K504" s="26"/>
      <c r="L504" s="24"/>
      <c r="M504" s="24"/>
      <c r="N504" s="26"/>
      <c r="O504" s="26"/>
      <c r="P504" s="26"/>
      <c r="Q504" s="26"/>
      <c r="R504" s="26"/>
      <c r="S504" s="26"/>
      <c r="T504" s="26"/>
      <c r="U504" s="26"/>
      <c r="V504" s="26"/>
      <c r="W504" s="26">
        <f>MAX($C$7-VLOOKUP($C504,COS!$B$8:$H$991,3,FALSE),0)</f>
        <v>93360.21484375</v>
      </c>
      <c r="X504" s="26">
        <f t="shared" si="769"/>
        <v>5740.4958548553714</v>
      </c>
      <c r="Y504" s="26">
        <f>VLOOKUP($C504,COS!$B$8:$H$991,4,FALSE)</f>
        <v>1948.8914794921875</v>
      </c>
      <c r="Z504" s="26">
        <f t="shared" si="770"/>
        <v>119.83266617704028</v>
      </c>
      <c r="AA504" s="26">
        <f t="shared" ref="AA504:AA508" si="810">MIN(W504,Y504)</f>
        <v>1948.8914794921875</v>
      </c>
      <c r="AB504" s="33">
        <f t="shared" ref="AB504" si="811">AA504*DAY($C504)*86400/43560/1000*IF(MONTH($C504)=8,$P$3,IF(MONTH($C504)=9,$P$4,IF(MONTH($C504)=10,$P$5,IF(MONTH($C504)=11,$P$6,IF(MONTH($C504)=12,$P$7,NA())))))</f>
        <v>119.83266617704028</v>
      </c>
    </row>
    <row r="505" spans="1:28" x14ac:dyDescent="0.3">
      <c r="A505" s="32">
        <f>VLOOKUP(YEAR(C505),Flags!$A$13:$B$95,2,FALSE)</f>
        <v>4</v>
      </c>
      <c r="B505" s="24">
        <f t="shared" si="739"/>
        <v>1976</v>
      </c>
      <c r="C505" s="25">
        <v>28033</v>
      </c>
      <c r="D505" s="26"/>
      <c r="E505" s="24"/>
      <c r="F505" s="26"/>
      <c r="G505" s="24"/>
      <c r="H505" s="24"/>
      <c r="I505" s="26"/>
      <c r="J505" s="24"/>
      <c r="K505" s="26">
        <f>VLOOKUP($C505,COS!$B$8:$H$991,2,FALSE)</f>
        <v>2776.3486328125</v>
      </c>
      <c r="L505" s="24">
        <f t="shared" ref="L505" si="812">IF(AND(K505&gt;$I$7,K505&lt;$I$8),1,0)</f>
        <v>1</v>
      </c>
      <c r="M505" s="24"/>
      <c r="N505" s="26"/>
      <c r="O505" s="26"/>
      <c r="P505" s="26"/>
      <c r="Q505" s="26"/>
      <c r="R505" s="26"/>
      <c r="S505" s="26"/>
      <c r="T505" s="26"/>
      <c r="U505" s="26"/>
      <c r="V505" s="26"/>
      <c r="W505" s="26">
        <f>MAX($C$8-VLOOKUP($C505,COS!$B$8:$H$991,3,FALSE),0)</f>
        <v>95118.068359375</v>
      </c>
      <c r="X505" s="26">
        <f t="shared" si="769"/>
        <v>5659.9181172520657</v>
      </c>
      <c r="Y505" s="26">
        <f>VLOOKUP($C505,COS!$B$8:$H$991,4,FALSE)</f>
        <v>1649.7568359375</v>
      </c>
      <c r="Z505" s="26">
        <f t="shared" si="770"/>
        <v>98.167348915289253</v>
      </c>
      <c r="AA505" s="26">
        <f t="shared" si="810"/>
        <v>1649.7568359375</v>
      </c>
      <c r="AB505" s="33">
        <f t="shared" si="752"/>
        <v>98.167348915289253</v>
      </c>
    </row>
    <row r="506" spans="1:28" x14ac:dyDescent="0.3">
      <c r="A506" s="32">
        <f>VLOOKUP(YEAR(C506),Flags!$A$13:$B$95,2,FALSE)</f>
        <v>4</v>
      </c>
      <c r="B506" s="24">
        <f t="shared" si="739"/>
        <v>1976</v>
      </c>
      <c r="C506" s="25">
        <v>28064</v>
      </c>
      <c r="D506" s="26"/>
      <c r="E506" s="24"/>
      <c r="F506" s="26"/>
      <c r="G506" s="26"/>
      <c r="H506" s="26"/>
      <c r="I506" s="26"/>
      <c r="J506" s="26"/>
      <c r="K506" s="26"/>
      <c r="L506" s="24"/>
      <c r="M506" s="24"/>
      <c r="N506" s="26"/>
      <c r="O506" s="26"/>
      <c r="P506" s="26"/>
      <c r="Q506" s="26"/>
      <c r="R506" s="26"/>
      <c r="S506" s="26"/>
      <c r="T506" s="26"/>
      <c r="U506" s="26"/>
      <c r="V506" s="26"/>
      <c r="W506" s="26">
        <f>MAX($C$9-VLOOKUP($C506,COS!$B$8:$H$991,3,FALSE),0)</f>
        <v>92269.14697265625</v>
      </c>
      <c r="X506" s="26">
        <f t="shared" si="769"/>
        <v>5673.4087064178721</v>
      </c>
      <c r="Y506" s="26">
        <f>VLOOKUP($C506,COS!$B$8:$H$991,4,FALSE)</f>
        <v>1735.9190673828125</v>
      </c>
      <c r="Z506" s="26">
        <f t="shared" si="770"/>
        <v>106.73750298618285</v>
      </c>
      <c r="AA506" s="26">
        <f t="shared" si="810"/>
        <v>1735.9190673828125</v>
      </c>
      <c r="AB506" s="33">
        <f t="shared" si="752"/>
        <v>106.73750298618285</v>
      </c>
    </row>
    <row r="507" spans="1:28" x14ac:dyDescent="0.3">
      <c r="A507" s="32">
        <f>VLOOKUP(YEAR(C507),Flags!$A$13:$B$95,2,FALSE)</f>
        <v>4</v>
      </c>
      <c r="B507" s="24">
        <f t="shared" si="739"/>
        <v>1976</v>
      </c>
      <c r="C507" s="25">
        <v>28094</v>
      </c>
      <c r="D507" s="26"/>
      <c r="E507" s="24"/>
      <c r="F507" s="26"/>
      <c r="G507" s="26"/>
      <c r="H507" s="26"/>
      <c r="I507" s="26"/>
      <c r="J507" s="26"/>
      <c r="K507" s="26"/>
      <c r="L507" s="24"/>
      <c r="M507" s="24"/>
      <c r="N507" s="26"/>
      <c r="O507" s="26"/>
      <c r="P507" s="26"/>
      <c r="Q507" s="26"/>
      <c r="R507" s="26"/>
      <c r="S507" s="26"/>
      <c r="T507" s="26"/>
      <c r="U507" s="26"/>
      <c r="V507" s="26"/>
      <c r="W507" s="26">
        <f>MAX($C$10-VLOOKUP($C507,COS!$B$8:$H$991,3,FALSE),0)</f>
        <v>92605.25439453125</v>
      </c>
      <c r="X507" s="26">
        <f t="shared" si="769"/>
        <v>5510.3953028150827</v>
      </c>
      <c r="Y507" s="26">
        <f>VLOOKUP($C507,COS!$B$8:$H$991,4,FALSE)</f>
        <v>1444.778564453125</v>
      </c>
      <c r="Z507" s="26">
        <f t="shared" si="770"/>
        <v>85.970294744318181</v>
      </c>
      <c r="AA507" s="26">
        <f t="shared" si="810"/>
        <v>1444.778564453125</v>
      </c>
      <c r="AB507" s="33">
        <f t="shared" si="752"/>
        <v>42.985147372159091</v>
      </c>
    </row>
    <row r="508" spans="1:28" x14ac:dyDescent="0.3">
      <c r="A508" s="34">
        <f>VLOOKUP(YEAR(C508),Flags!$A$13:$B$95,2,FALSE)</f>
        <v>4</v>
      </c>
      <c r="B508" s="35">
        <f t="shared" si="739"/>
        <v>1976</v>
      </c>
      <c r="C508" s="36">
        <v>28125</v>
      </c>
      <c r="D508" s="37"/>
      <c r="E508" s="35"/>
      <c r="F508" s="37"/>
      <c r="G508" s="37"/>
      <c r="H508" s="37"/>
      <c r="I508" s="37"/>
      <c r="J508" s="37"/>
      <c r="K508" s="37"/>
      <c r="L508" s="35"/>
      <c r="M508" s="35"/>
      <c r="N508" s="37"/>
      <c r="O508" s="37"/>
      <c r="P508" s="37"/>
      <c r="Q508" s="37"/>
      <c r="R508" s="37"/>
      <c r="S508" s="37"/>
      <c r="T508" s="37"/>
      <c r="U508" s="37"/>
      <c r="V508" s="37"/>
      <c r="W508" s="37">
        <f>MAX($C$11-VLOOKUP($C508,COS!$B$8:$H$991,3,FALSE),0)</f>
        <v>0</v>
      </c>
      <c r="X508" s="37">
        <f t="shared" si="769"/>
        <v>0</v>
      </c>
      <c r="Y508" s="37">
        <f>VLOOKUP($C508,COS!$B$8:$H$991,4,FALSE)</f>
        <v>2446.426025390625</v>
      </c>
      <c r="Z508" s="37">
        <f t="shared" si="770"/>
        <v>150.42487296616736</v>
      </c>
      <c r="AA508" s="37">
        <f t="shared" si="810"/>
        <v>0</v>
      </c>
      <c r="AB508" s="38">
        <f t="shared" si="752"/>
        <v>0</v>
      </c>
    </row>
    <row r="509" spans="1:28" x14ac:dyDescent="0.3">
      <c r="A509" s="27">
        <f>VLOOKUP(YEAR(C509),Flags!$A$13:$B$95,2,FALSE)</f>
        <v>5</v>
      </c>
      <c r="B509" s="28">
        <f t="shared" si="739"/>
        <v>1977</v>
      </c>
      <c r="C509" s="29">
        <v>28245</v>
      </c>
      <c r="D509" s="30">
        <f>VLOOKUP($C509,COS!$B$8:$H$991,3,FALSE)</f>
        <v>7071.7509765625</v>
      </c>
      <c r="E509" s="28">
        <f>IF(D509&gt;=IF(MONTH($C509)=4,$C$3,IF(MONTH($C509)=5,$C$4,IF(MONTH($C509)=6,$C$5,IF(MONTH($C509)=7,$C$6,"ERROR")))),1,0)</f>
        <v>1</v>
      </c>
      <c r="F509" s="30">
        <f>VLOOKUP($C509,COS!$B$8:$H$991,7,FALSE)</f>
        <v>50.791873931884766</v>
      </c>
      <c r="G509" s="28">
        <f>IF(F509&lt;=IF(MONTH($C509)=4,$F$3,IF(MONTH($C509)=5,$F$4,IF(MONTH($C509)=6,$F$5,IF(MONTH($C509)=7,$F$6,"ERROR")))),1,0)</f>
        <v>1</v>
      </c>
      <c r="H509" s="30">
        <f>IF(J509=1,D509-$C$3,0)</f>
        <v>1071.7509765625</v>
      </c>
      <c r="I509" s="30">
        <f t="shared" si="764"/>
        <v>63.773611828512394</v>
      </c>
      <c r="J509" s="28">
        <f t="shared" ref="J509:J512" si="813">IF(AND(E509=1,G509=1),1,0)</f>
        <v>1</v>
      </c>
      <c r="K509" s="30">
        <f>VLOOKUP($C509,COS!$B$8:$H$991,2,FALSE)</f>
        <v>1944.6558837890625</v>
      </c>
      <c r="L509" s="28">
        <f t="shared" ref="L509" si="814">IF(K509&lt;=IF(MONTH($C509)=4,$I$3,IF(MONTH($C509)=5,$I$4,IF(MONTH($C509)=6,$I$5,IF(MONTH($C509)=7,$I$6,"ERROR")))),1,0)</f>
        <v>1</v>
      </c>
      <c r="M509" s="28">
        <f t="shared" ref="M509" si="815">VLOOKUP($A509,$L$3:$M$7,2,FALSE)</f>
        <v>1</v>
      </c>
      <c r="N509" s="30">
        <f>VLOOKUP($C509,COS!$B$8:$H$991,5,FALSE)</f>
        <v>201.60958862304688</v>
      </c>
      <c r="O509" s="30">
        <f t="shared" ref="O509:O512" si="816">N509*DAY($C509)*86400/43560/1000</f>
        <v>11.996603620544938</v>
      </c>
      <c r="P509" s="30">
        <f>VLOOKUP($C509,COS!$B$8:$H$991,6,FALSE)</f>
        <v>581.802490234375</v>
      </c>
      <c r="Q509" s="30">
        <f t="shared" ref="Q509:Q512" si="817">P509*DAY($C509)*86400/43560/1000</f>
        <v>34.619652311466943</v>
      </c>
      <c r="R509" s="30">
        <f>MIN(IF(MONTH($C509)=4,$S$3,IF(MONTH($C509)=5,$S$4,IF(MONTH($C509)=6,$S$5,IF(MONTH($C509)=7,$S$6,"ERROR")))),MAX(VLOOKUP($C509,COS!$B$8:$K$991,10,FALSE)-IF(MONTH($C509)=4,$Y$3,IF(MONTH($C509)=5,$Y$4,IF(MONTH($C509)=6,$Y$5,IF(MONTH($C509)=7,$Y$6,"ERROR")))),0),MAX(VLOOKUP($C509,COS!$B$8:$K$991,9,FALSE)-IF(MONTH($C509)=4,$V$3,IF(MONTH($C509)=5,$V$4,IF(MONTH($C509)=6,$V$5,IF(MONTH($C509)=7,$V$6,"ERROR"))))-VLOOKUP($C509,COS!$B$8:$K$991,6,FALSE)/2,0))</f>
        <v>750</v>
      </c>
      <c r="S509" s="30">
        <f t="shared" ref="S509:S512" si="818">R509*DAY($C509)*86400/43560/1000</f>
        <v>44.628099173553714</v>
      </c>
      <c r="T509" s="30">
        <f t="shared" ref="T509:T512" si="819">(O509+Q509)/2+S509</f>
        <v>67.936227139559662</v>
      </c>
      <c r="U509" s="30" t="str">
        <f>IF(VLOOKUP($C509,COS!$B$8:$I$991,8,FALSE)=1,"UWFE","IBU")</f>
        <v>IBU</v>
      </c>
      <c r="V509" s="30">
        <f t="shared" ref="V509" si="820">MIN(IF(IF($AA$3=2,AND(E509=1,G509=1,L509=1,L514=1,M509=1,U509="IBU"),AND(E509=1,G509=1,L509=1,L514=1,M509=1)),T509,0),I509)</f>
        <v>63.773611828512394</v>
      </c>
      <c r="W509" s="30"/>
      <c r="X509" s="30"/>
      <c r="Y509" s="30"/>
      <c r="Z509" s="30"/>
      <c r="AA509" s="30"/>
      <c r="AB509" s="31"/>
    </row>
    <row r="510" spans="1:28" x14ac:dyDescent="0.3">
      <c r="A510" s="32">
        <f>VLOOKUP(YEAR(C510),Flags!$A$13:$B$95,2,FALSE)</f>
        <v>5</v>
      </c>
      <c r="B510" s="24">
        <f t="shared" si="739"/>
        <v>1977</v>
      </c>
      <c r="C510" s="25">
        <v>28276</v>
      </c>
      <c r="D510" s="26">
        <f>VLOOKUP($C510,COS!$B$8:$H$991,3,FALSE)</f>
        <v>5902.6396484375</v>
      </c>
      <c r="E510" s="24">
        <f>IF(D510&gt;=IF(MONTH($C510)=4,$C$3,IF(MONTH($C510)=5,$C$4,IF(MONTH($C510)=6,$C$5,IF(MONTH($C510)=7,$C$6,"ERROR")))),1,0)</f>
        <v>0</v>
      </c>
      <c r="F510" s="26">
        <f>VLOOKUP($C510,COS!$B$8:$H$991,7,FALSE)</f>
        <v>52.327152252197266</v>
      </c>
      <c r="G510" s="24">
        <f>IF(F510&lt;=IF(MONTH($C510)=4,$F$3,IF(MONTH($C510)=5,$F$4,IF(MONTH($C510)=6,$F$5,IF(MONTH($C510)=7,$F$6,"ERROR")))),1,0)</f>
        <v>1</v>
      </c>
      <c r="H510" s="26">
        <f>IF(J510=1,D510-$C$4,0)</f>
        <v>0</v>
      </c>
      <c r="I510" s="26">
        <f t="shared" si="764"/>
        <v>0</v>
      </c>
      <c r="J510" s="24">
        <f t="shared" si="813"/>
        <v>0</v>
      </c>
      <c r="K510" s="26">
        <f>VLOOKUP($C510,COS!$B$8:$H$991,2,FALSE)</f>
        <v>1775.2607421875</v>
      </c>
      <c r="L510" s="24">
        <f t="shared" si="741"/>
        <v>1</v>
      </c>
      <c r="M510" s="24">
        <f t="shared" si="742"/>
        <v>1</v>
      </c>
      <c r="N510" s="26">
        <f>VLOOKUP($C510,COS!$B$8:$H$991,5,FALSE)</f>
        <v>129.15513610839844</v>
      </c>
      <c r="O510" s="26">
        <f t="shared" si="816"/>
        <v>7.941439773937887</v>
      </c>
      <c r="P510" s="26">
        <f>VLOOKUP($C510,COS!$B$8:$H$991,6,FALSE)</f>
        <v>1768.8984375</v>
      </c>
      <c r="Q510" s="26">
        <f t="shared" si="817"/>
        <v>108.76532541322314</v>
      </c>
      <c r="R510" s="26">
        <f>MIN(IF(MONTH($C510)=4,$S$3,IF(MONTH($C510)=5,$S$4,IF(MONTH($C510)=6,$S$5,IF(MONTH($C510)=7,$S$6,"ERROR")))),MAX(VLOOKUP($C510,COS!$B$8:$K$991,10,FALSE)-IF(MONTH($C510)=4,$Y$3,IF(MONTH($C510)=5,$Y$4,IF(MONTH($C510)=6,$Y$5,IF(MONTH($C510)=7,$Y$6,"ERROR")))),0),MAX(VLOOKUP($C510,COS!$B$8:$K$991,9,FALSE)-IF(MONTH($C510)=4,$V$3,IF(MONTH($C510)=5,$V$4,IF(MONTH($C510)=6,$V$5,IF(MONTH($C510)=7,$V$6,"ERROR"))))-VLOOKUP($C510,COS!$B$8:$K$991,6,FALSE)/2,0))</f>
        <v>750</v>
      </c>
      <c r="S510" s="26">
        <f t="shared" si="818"/>
        <v>46.115702479338843</v>
      </c>
      <c r="T510" s="26">
        <f t="shared" si="819"/>
        <v>104.46908507291936</v>
      </c>
      <c r="U510" s="26" t="str">
        <f>IF(VLOOKUP($C510,COS!$B$8:$I$991,8,FALSE)=1,"UWFE","IBU")</f>
        <v>IBU</v>
      </c>
      <c r="V510" s="26">
        <f t="shared" ref="V510" si="821">MIN(IF(IF($AA$3=2,AND(E510=1,G510=1,L510=1,L514=1,M510=1,U510="IBU"),AND(E510=1,G510=1,L510=1,L514=1,M510=1)),T510,0),I510)</f>
        <v>0</v>
      </c>
      <c r="W510" s="26"/>
      <c r="X510" s="26"/>
      <c r="Y510" s="26"/>
      <c r="Z510" s="26"/>
      <c r="AA510" s="26"/>
      <c r="AB510" s="33"/>
    </row>
    <row r="511" spans="1:28" x14ac:dyDescent="0.3">
      <c r="A511" s="32">
        <f>VLOOKUP(YEAR(C511),Flags!$A$13:$B$95,2,FALSE)</f>
        <v>5</v>
      </c>
      <c r="B511" s="24">
        <f t="shared" si="739"/>
        <v>1977</v>
      </c>
      <c r="C511" s="25">
        <v>28306</v>
      </c>
      <c r="D511" s="26">
        <f>VLOOKUP($C511,COS!$B$8:$H$991,3,FALSE)</f>
        <v>12227.62890625</v>
      </c>
      <c r="E511" s="24">
        <f>IF(D511&gt;=IF(MONTH($C511)=4,$C$3,IF(MONTH($C511)=5,$C$4,IF(MONTH($C511)=6,$C$5,IF(MONTH($C511)=7,$C$6,"ERROR")))),1,0)</f>
        <v>1</v>
      </c>
      <c r="F511" s="26">
        <f>VLOOKUP($C511,COS!$B$8:$H$991,7,FALSE)</f>
        <v>54.287090301513672</v>
      </c>
      <c r="G511" s="24">
        <f>IF(F511&lt;=IF(MONTH($C511)=4,$F$3,IF(MONTH($C511)=5,$F$4,IF(MONTH($C511)=6,$F$5,IF(MONTH($C511)=7,$F$6,"ERROR")))),1,0)</f>
        <v>1</v>
      </c>
      <c r="H511" s="26">
        <f>IF(J511=1,D511-$C$5,0)</f>
        <v>2227.62890625</v>
      </c>
      <c r="I511" s="26">
        <f t="shared" si="764"/>
        <v>132.55312499999999</v>
      </c>
      <c r="J511" s="24">
        <f t="shared" si="813"/>
        <v>1</v>
      </c>
      <c r="K511" s="26">
        <f>VLOOKUP($C511,COS!$B$8:$H$991,2,FALSE)</f>
        <v>1227.3997802734375</v>
      </c>
      <c r="L511" s="24">
        <f t="shared" si="741"/>
        <v>1</v>
      </c>
      <c r="M511" s="24">
        <f t="shared" si="742"/>
        <v>1</v>
      </c>
      <c r="N511" s="26">
        <f>VLOOKUP($C511,COS!$B$8:$H$991,5,FALSE)</f>
        <v>215.26878356933594</v>
      </c>
      <c r="O511" s="26">
        <f t="shared" si="816"/>
        <v>12.809382162803461</v>
      </c>
      <c r="P511" s="26">
        <f>VLOOKUP($C511,COS!$B$8:$H$991,6,FALSE)</f>
        <v>2477.72265625</v>
      </c>
      <c r="Q511" s="26">
        <f t="shared" si="817"/>
        <v>147.43473657024794</v>
      </c>
      <c r="R511" s="26">
        <f>MIN(IF(MONTH($C511)=4,$S$3,IF(MONTH($C511)=5,$S$4,IF(MONTH($C511)=6,$S$5,IF(MONTH($C511)=7,$S$6,"ERROR")))),MAX(VLOOKUP($C511,COS!$B$8:$K$991,10,FALSE)-IF(MONTH($C511)=4,$Y$3,IF(MONTH($C511)=5,$Y$4,IF(MONTH($C511)=6,$Y$5,IF(MONTH($C511)=7,$Y$6,"ERROR")))),0),MAX(VLOOKUP($C511,COS!$B$8:$K$991,9,FALSE)-IF(MONTH($C511)=4,$V$3,IF(MONTH($C511)=5,$V$4,IF(MONTH($C511)=6,$V$5,IF(MONTH($C511)=7,$V$6,"ERROR"))))-VLOOKUP($C511,COS!$B$8:$K$991,6,FALSE)/2,0))</f>
        <v>750</v>
      </c>
      <c r="S511" s="26">
        <f t="shared" si="818"/>
        <v>44.628099173553714</v>
      </c>
      <c r="T511" s="26">
        <f t="shared" si="819"/>
        <v>124.75015854007941</v>
      </c>
      <c r="U511" s="26" t="str">
        <f>IF(VLOOKUP($C511,COS!$B$8:$I$991,8,FALSE)=1,"UWFE","IBU")</f>
        <v>IBU</v>
      </c>
      <c r="V511" s="26">
        <f t="shared" ref="V511" si="822">MIN(IF(IF($AA$3=2,AND(E511=1,G511=1,L511=1,L514=1,M511=1,U511="IBU"),AND(E511=1,G511=1,L511=1,L514=1,M511=1)),T511,0),I511)</f>
        <v>124.75015854007941</v>
      </c>
      <c r="W511" s="26"/>
      <c r="X511" s="26"/>
      <c r="Y511" s="26"/>
      <c r="Z511" s="26"/>
      <c r="AA511" s="26"/>
      <c r="AB511" s="33"/>
    </row>
    <row r="512" spans="1:28" x14ac:dyDescent="0.3">
      <c r="A512" s="32">
        <f>VLOOKUP(YEAR(C512),Flags!$A$13:$B$95,2,FALSE)</f>
        <v>5</v>
      </c>
      <c r="B512" s="24">
        <f t="shared" si="739"/>
        <v>1977</v>
      </c>
      <c r="C512" s="25">
        <v>28337</v>
      </c>
      <c r="D512" s="26">
        <f>VLOOKUP($C512,COS!$B$8:$H$991,3,FALSE)</f>
        <v>12847.9814453125</v>
      </c>
      <c r="E512" s="24">
        <f>IF(D512&gt;=IF(MONTH($C512)=4,$C$3,IF(MONTH($C512)=5,$C$4,IF(MONTH($C512)=6,$C$5,IF(MONTH($C512)=7,$C$6,"ERROR")))),1,0)</f>
        <v>1</v>
      </c>
      <c r="F512" s="26">
        <f>VLOOKUP($C512,COS!$B$8:$H$991,7,FALSE)</f>
        <v>56.79901123046875</v>
      </c>
      <c r="G512" s="24">
        <f>IF(F512&lt;=IF(MONTH($C512)=4,$F$3,IF(MONTH($C512)=5,$F$4,IF(MONTH($C512)=6,$F$5,IF(MONTH($C512)=7,$F$6,"ERROR")))),1,0)</f>
        <v>0</v>
      </c>
      <c r="H512" s="26">
        <f>IF(J512=1,D512-$C$6,0)</f>
        <v>0</v>
      </c>
      <c r="I512" s="26">
        <f t="shared" si="764"/>
        <v>0</v>
      </c>
      <c r="J512" s="24">
        <f t="shared" si="813"/>
        <v>0</v>
      </c>
      <c r="K512" s="26">
        <f>VLOOKUP($C512,COS!$B$8:$H$991,2,FALSE)</f>
        <v>674.0113525390625</v>
      </c>
      <c r="L512" s="24">
        <f t="shared" si="741"/>
        <v>1</v>
      </c>
      <c r="M512" s="24">
        <f t="shared" si="742"/>
        <v>1</v>
      </c>
      <c r="N512" s="26">
        <f>VLOOKUP($C512,COS!$B$8:$H$991,5,FALSE)</f>
        <v>236.5211181640625</v>
      </c>
      <c r="O512" s="26">
        <f t="shared" si="816"/>
        <v>14.543116687112603</v>
      </c>
      <c r="P512" s="26">
        <f>VLOOKUP($C512,COS!$B$8:$H$991,6,FALSE)</f>
        <v>2273.37158203125</v>
      </c>
      <c r="Q512" s="26">
        <f t="shared" si="817"/>
        <v>139.78417000258267</v>
      </c>
      <c r="R512" s="26">
        <f>MIN(IF(MONTH($C512)=4,$S$3,IF(MONTH($C512)=5,$S$4,IF(MONTH($C512)=6,$S$5,IF(MONTH($C512)=7,$S$6,"ERROR")))),MAX(VLOOKUP($C512,COS!$B$8:$K$991,10,FALSE)-IF(MONTH($C512)=4,$Y$3,IF(MONTH($C512)=5,$Y$4,IF(MONTH($C512)=6,$Y$5,IF(MONTH($C512)=7,$Y$6,"ERROR")))),0),MAX(VLOOKUP($C512,COS!$B$8:$K$991,9,FALSE)-IF(MONTH($C512)=4,$V$3,IF(MONTH($C512)=5,$V$4,IF(MONTH($C512)=6,$V$5,IF(MONTH($C512)=7,$V$6,"ERROR"))))-VLOOKUP($C512,COS!$B$8:$K$991,6,FALSE)/2,0))</f>
        <v>750</v>
      </c>
      <c r="S512" s="26">
        <f t="shared" si="818"/>
        <v>46.115702479338843</v>
      </c>
      <c r="T512" s="26">
        <f t="shared" si="819"/>
        <v>123.27934582418649</v>
      </c>
      <c r="U512" s="26" t="str">
        <f>IF(VLOOKUP($C512,COS!$B$8:$I$991,8,FALSE)=1,"UWFE","IBU")</f>
        <v>IBU</v>
      </c>
      <c r="V512" s="26">
        <f t="shared" ref="V512" si="823">MIN(IF(IF($AA$3=2,AND(E512=1,G512=1,L512=1,L514=1,M512=1,U512="IBU"),AND(E512=1,G512=1,L512=1,L514=1,M512=1)),T512,0),I512)</f>
        <v>0</v>
      </c>
      <c r="W512" s="26"/>
      <c r="X512" s="26"/>
      <c r="Y512" s="26"/>
      <c r="Z512" s="26"/>
      <c r="AA512" s="26"/>
      <c r="AB512" s="33"/>
    </row>
    <row r="513" spans="1:28" x14ac:dyDescent="0.3">
      <c r="A513" s="32">
        <f>VLOOKUP(YEAR(C513),Flags!$A$13:$B$95,2,FALSE)</f>
        <v>5</v>
      </c>
      <c r="B513" s="24">
        <f t="shared" si="739"/>
        <v>1977</v>
      </c>
      <c r="C513" s="25">
        <v>28368</v>
      </c>
      <c r="D513" s="26"/>
      <c r="E513" s="24"/>
      <c r="F513" s="26"/>
      <c r="G513" s="24"/>
      <c r="H513" s="24"/>
      <c r="I513" s="26"/>
      <c r="J513" s="24"/>
      <c r="K513" s="26"/>
      <c r="L513" s="24"/>
      <c r="M513" s="24"/>
      <c r="N513" s="26"/>
      <c r="O513" s="26"/>
      <c r="P513" s="26"/>
      <c r="Q513" s="26"/>
      <c r="R513" s="26"/>
      <c r="S513" s="26"/>
      <c r="T513" s="26"/>
      <c r="U513" s="26"/>
      <c r="V513" s="26"/>
      <c r="W513" s="26">
        <f>MAX($C$7-VLOOKUP($C513,COS!$B$8:$H$991,3,FALSE),0)</f>
        <v>90811.39453125</v>
      </c>
      <c r="X513" s="26">
        <f t="shared" si="769"/>
        <v>5583.7750025826454</v>
      </c>
      <c r="Y513" s="26">
        <f>VLOOKUP($C513,COS!$B$8:$H$991,4,FALSE)</f>
        <v>3103.3232421875</v>
      </c>
      <c r="Z513" s="26">
        <f t="shared" si="770"/>
        <v>190.81590844524794</v>
      </c>
      <c r="AA513" s="26">
        <f t="shared" ref="AA513:AA517" si="824">MIN(W513,Y513)</f>
        <v>3103.3232421875</v>
      </c>
      <c r="AB513" s="33">
        <f t="shared" ref="AB513" si="825">AA513*DAY($C513)*86400/43560/1000*IF(MONTH($C513)=8,$P$3,IF(MONTH($C513)=9,$P$4,IF(MONTH($C513)=10,$P$5,IF(MONTH($C513)=11,$P$6,IF(MONTH($C513)=12,$P$7,NA())))))</f>
        <v>190.81590844524794</v>
      </c>
    </row>
    <row r="514" spans="1:28" x14ac:dyDescent="0.3">
      <c r="A514" s="32">
        <f>VLOOKUP(YEAR(C514),Flags!$A$13:$B$95,2,FALSE)</f>
        <v>5</v>
      </c>
      <c r="B514" s="24">
        <f t="shared" si="739"/>
        <v>1977</v>
      </c>
      <c r="C514" s="25">
        <v>28398</v>
      </c>
      <c r="D514" s="26"/>
      <c r="E514" s="24"/>
      <c r="F514" s="26"/>
      <c r="G514" s="24"/>
      <c r="H514" s="24"/>
      <c r="I514" s="26"/>
      <c r="J514" s="24"/>
      <c r="K514" s="26">
        <f>VLOOKUP($C514,COS!$B$8:$H$991,2,FALSE)</f>
        <v>550</v>
      </c>
      <c r="L514" s="24">
        <f t="shared" ref="L514" si="826">IF(AND(K514&gt;$I$7,K514&lt;$I$8),1,0)</f>
        <v>1</v>
      </c>
      <c r="M514" s="24"/>
      <c r="N514" s="26"/>
      <c r="O514" s="26"/>
      <c r="P514" s="26"/>
      <c r="Q514" s="26"/>
      <c r="R514" s="26"/>
      <c r="S514" s="26"/>
      <c r="T514" s="26"/>
      <c r="U514" s="26"/>
      <c r="V514" s="26"/>
      <c r="W514" s="26">
        <f>MAX($C$8-VLOOKUP($C514,COS!$B$8:$H$991,3,FALSE),0)</f>
        <v>96010.7861328125</v>
      </c>
      <c r="X514" s="26">
        <f t="shared" si="769"/>
        <v>5713.0385136880168</v>
      </c>
      <c r="Y514" s="26">
        <f>VLOOKUP($C514,COS!$B$8:$H$991,4,FALSE)</f>
        <v>2002.165283203125</v>
      </c>
      <c r="Z514" s="26">
        <f t="shared" si="770"/>
        <v>119.13710776084712</v>
      </c>
      <c r="AA514" s="26">
        <f t="shared" si="824"/>
        <v>2002.165283203125</v>
      </c>
      <c r="AB514" s="33">
        <f t="shared" si="752"/>
        <v>119.13710776084712</v>
      </c>
    </row>
    <row r="515" spans="1:28" x14ac:dyDescent="0.3">
      <c r="A515" s="32">
        <f>VLOOKUP(YEAR(C515),Flags!$A$13:$B$95,2,FALSE)</f>
        <v>5</v>
      </c>
      <c r="B515" s="24">
        <f t="shared" si="739"/>
        <v>1977</v>
      </c>
      <c r="C515" s="25">
        <v>28429</v>
      </c>
      <c r="D515" s="26"/>
      <c r="E515" s="24"/>
      <c r="F515" s="26"/>
      <c r="G515" s="26"/>
      <c r="H515" s="26"/>
      <c r="I515" s="26"/>
      <c r="J515" s="26"/>
      <c r="K515" s="26"/>
      <c r="L515" s="24"/>
      <c r="M515" s="24"/>
      <c r="N515" s="26"/>
      <c r="O515" s="26"/>
      <c r="P515" s="26"/>
      <c r="Q515" s="26"/>
      <c r="R515" s="26"/>
      <c r="S515" s="26"/>
      <c r="T515" s="26"/>
      <c r="U515" s="26"/>
      <c r="V515" s="26"/>
      <c r="W515" s="26">
        <f>MAX($C$9-VLOOKUP($C515,COS!$B$8:$H$991,3,FALSE),0)</f>
        <v>93437.82080078125</v>
      </c>
      <c r="X515" s="26">
        <f t="shared" si="769"/>
        <v>5745.2676591554746</v>
      </c>
      <c r="Y515" s="26">
        <f>VLOOKUP($C515,COS!$B$8:$H$991,4,FALSE)</f>
        <v>1799.302734375</v>
      </c>
      <c r="Z515" s="26">
        <f t="shared" si="770"/>
        <v>110.63481275826447</v>
      </c>
      <c r="AA515" s="26">
        <f t="shared" si="824"/>
        <v>1799.302734375</v>
      </c>
      <c r="AB515" s="33">
        <f t="shared" si="752"/>
        <v>110.63481275826447</v>
      </c>
    </row>
    <row r="516" spans="1:28" x14ac:dyDescent="0.3">
      <c r="A516" s="32">
        <f>VLOOKUP(YEAR(C516),Flags!$A$13:$B$95,2,FALSE)</f>
        <v>5</v>
      </c>
      <c r="B516" s="24">
        <f t="shared" si="739"/>
        <v>1977</v>
      </c>
      <c r="C516" s="25">
        <v>28459</v>
      </c>
      <c r="D516" s="26"/>
      <c r="E516" s="24"/>
      <c r="F516" s="26"/>
      <c r="G516" s="26"/>
      <c r="H516" s="26"/>
      <c r="I516" s="26"/>
      <c r="J516" s="26"/>
      <c r="K516" s="26"/>
      <c r="L516" s="24"/>
      <c r="M516" s="24"/>
      <c r="N516" s="26"/>
      <c r="O516" s="26"/>
      <c r="P516" s="26"/>
      <c r="Q516" s="26"/>
      <c r="R516" s="26"/>
      <c r="S516" s="26"/>
      <c r="T516" s="26"/>
      <c r="U516" s="26"/>
      <c r="V516" s="26"/>
      <c r="W516" s="26">
        <f>MAX($C$10-VLOOKUP($C516,COS!$B$8:$H$991,3,FALSE),0)</f>
        <v>96634.680419921875</v>
      </c>
      <c r="X516" s="26">
        <f t="shared" si="769"/>
        <v>5750.1628018465908</v>
      </c>
      <c r="Y516" s="26">
        <f>VLOOKUP($C516,COS!$B$8:$H$991,4,FALSE)</f>
        <v>1647.787109375</v>
      </c>
      <c r="Z516" s="26">
        <f t="shared" si="770"/>
        <v>98.05014204545455</v>
      </c>
      <c r="AA516" s="26">
        <f t="shared" si="824"/>
        <v>1647.787109375</v>
      </c>
      <c r="AB516" s="33">
        <f t="shared" si="752"/>
        <v>49.025071022727275</v>
      </c>
    </row>
    <row r="517" spans="1:28" x14ac:dyDescent="0.3">
      <c r="A517" s="34">
        <f>VLOOKUP(YEAR(C517),Flags!$A$13:$B$95,2,FALSE)</f>
        <v>5</v>
      </c>
      <c r="B517" s="35">
        <f t="shared" si="739"/>
        <v>1977</v>
      </c>
      <c r="C517" s="36">
        <v>28490</v>
      </c>
      <c r="D517" s="37"/>
      <c r="E517" s="35"/>
      <c r="F517" s="37"/>
      <c r="G517" s="37"/>
      <c r="H517" s="37"/>
      <c r="I517" s="37"/>
      <c r="J517" s="37"/>
      <c r="K517" s="37"/>
      <c r="L517" s="35"/>
      <c r="M517" s="35"/>
      <c r="N517" s="37"/>
      <c r="O517" s="37"/>
      <c r="P517" s="37"/>
      <c r="Q517" s="37"/>
      <c r="R517" s="37"/>
      <c r="S517" s="37"/>
      <c r="T517" s="37"/>
      <c r="U517" s="37"/>
      <c r="V517" s="37"/>
      <c r="W517" s="37">
        <f>MAX($C$11-VLOOKUP($C517,COS!$B$8:$H$991,3,FALSE),0)</f>
        <v>0</v>
      </c>
      <c r="X517" s="37">
        <f t="shared" si="769"/>
        <v>0</v>
      </c>
      <c r="Y517" s="37">
        <f>VLOOKUP($C517,COS!$B$8:$H$991,4,FALSE)</f>
        <v>1898.17529296875</v>
      </c>
      <c r="Z517" s="37">
        <f t="shared" si="770"/>
        <v>116.71424941890496</v>
      </c>
      <c r="AA517" s="37">
        <f t="shared" si="824"/>
        <v>0</v>
      </c>
      <c r="AB517" s="38">
        <f t="shared" si="752"/>
        <v>0</v>
      </c>
    </row>
    <row r="518" spans="1:28" x14ac:dyDescent="0.3">
      <c r="A518" s="27">
        <f>VLOOKUP(YEAR(C518),Flags!$A$13:$B$95,2,FALSE)</f>
        <v>2</v>
      </c>
      <c r="B518" s="28">
        <f t="shared" si="739"/>
        <v>1978</v>
      </c>
      <c r="C518" s="29">
        <v>28610</v>
      </c>
      <c r="D518" s="30">
        <f>VLOOKUP($C518,COS!$B$8:$H$991,3,FALSE)</f>
        <v>5366.947265625</v>
      </c>
      <c r="E518" s="28">
        <f>IF(D518&gt;=IF(MONTH($C518)=4,$C$3,IF(MONTH($C518)=5,$C$4,IF(MONTH($C518)=6,$C$5,IF(MONTH($C518)=7,$C$6,"ERROR")))),1,0)</f>
        <v>0</v>
      </c>
      <c r="F518" s="30">
        <f>VLOOKUP($C518,COS!$B$8:$H$991,7,FALSE)</f>
        <v>47.174221038818359</v>
      </c>
      <c r="G518" s="28">
        <f>IF(F518&lt;=IF(MONTH($C518)=4,$F$3,IF(MONTH($C518)=5,$F$4,IF(MONTH($C518)=6,$F$5,IF(MONTH($C518)=7,$F$6,"ERROR")))),1,0)</f>
        <v>1</v>
      </c>
      <c r="H518" s="30">
        <f>IF(J518=1,D518-$C$3,0)</f>
        <v>0</v>
      </c>
      <c r="I518" s="30">
        <f t="shared" si="764"/>
        <v>0</v>
      </c>
      <c r="J518" s="28">
        <f t="shared" ref="J518:J521" si="827">IF(AND(E518=1,G518=1),1,0)</f>
        <v>0</v>
      </c>
      <c r="K518" s="30">
        <f>VLOOKUP($C518,COS!$B$8:$H$991,2,FALSE)</f>
        <v>4552</v>
      </c>
      <c r="L518" s="28">
        <f t="shared" ref="L518" si="828">IF(K518&lt;=IF(MONTH($C518)=4,$I$3,IF(MONTH($C518)=5,$I$4,IF(MONTH($C518)=6,$I$5,IF(MONTH($C518)=7,$I$6,"ERROR")))),1,0)</f>
        <v>1</v>
      </c>
      <c r="M518" s="28">
        <f t="shared" ref="M518" si="829">VLOOKUP($A518,$L$3:$M$7,2,FALSE)</f>
        <v>0</v>
      </c>
      <c r="N518" s="30">
        <f>VLOOKUP($C518,COS!$B$8:$H$991,5,FALSE)</f>
        <v>14.349928855895996</v>
      </c>
      <c r="O518" s="30">
        <f t="shared" ref="O518:O521" si="830">N518*DAY($C518)*86400/43560/1000</f>
        <v>0.85388006415248896</v>
      </c>
      <c r="P518" s="30">
        <f>VLOOKUP($C518,COS!$B$8:$H$991,6,FALSE)</f>
        <v>353.44631958007813</v>
      </c>
      <c r="Q518" s="30">
        <f t="shared" ref="Q518:Q521" si="831">P518*DAY($C518)*86400/43560/1000</f>
        <v>21.031516536996385</v>
      </c>
      <c r="R518" s="30">
        <f>MIN(IF(MONTH($C518)=4,$S$3,IF(MONTH($C518)=5,$S$4,IF(MONTH($C518)=6,$S$5,IF(MONTH($C518)=7,$S$6,"ERROR")))),MAX(VLOOKUP($C518,COS!$B$8:$K$991,10,FALSE)-IF(MONTH($C518)=4,$Y$3,IF(MONTH($C518)=5,$Y$4,IF(MONTH($C518)=6,$Y$5,IF(MONTH($C518)=7,$Y$6,"ERROR")))),0),MAX(VLOOKUP($C518,COS!$B$8:$K$991,9,FALSE)-IF(MONTH($C518)=4,$V$3,IF(MONTH($C518)=5,$V$4,IF(MONTH($C518)=6,$V$5,IF(MONTH($C518)=7,$V$6,"ERROR"))))-VLOOKUP($C518,COS!$B$8:$K$991,6,FALSE)/2,0))</f>
        <v>750</v>
      </c>
      <c r="S518" s="30">
        <f t="shared" ref="S518:S521" si="832">R518*DAY($C518)*86400/43560/1000</f>
        <v>44.628099173553714</v>
      </c>
      <c r="T518" s="30">
        <f t="shared" ref="T518:T521" si="833">(O518+Q518)/2+S518</f>
        <v>55.570797474128149</v>
      </c>
      <c r="U518" s="30" t="str">
        <f>IF(VLOOKUP($C518,COS!$B$8:$I$991,8,FALSE)=1,"UWFE","IBU")</f>
        <v>UWFE</v>
      </c>
      <c r="V518" s="30">
        <f t="shared" ref="V518" si="834">MIN(IF(IF($AA$3=2,AND(E518=1,G518=1,L518=1,L523=1,M518=1,U518="IBU"),AND(E518=1,G518=1,L518=1,L523=1,M518=1)),T518,0),I518)</f>
        <v>0</v>
      </c>
      <c r="W518" s="30"/>
      <c r="X518" s="30"/>
      <c r="Y518" s="30"/>
      <c r="Z518" s="30"/>
      <c r="AA518" s="30"/>
      <c r="AB518" s="31"/>
    </row>
    <row r="519" spans="1:28" x14ac:dyDescent="0.3">
      <c r="A519" s="32">
        <f>VLOOKUP(YEAR(C519),Flags!$A$13:$B$95,2,FALSE)</f>
        <v>2</v>
      </c>
      <c r="B519" s="24">
        <f t="shared" si="739"/>
        <v>1978</v>
      </c>
      <c r="C519" s="25">
        <v>28641</v>
      </c>
      <c r="D519" s="26">
        <f>VLOOKUP($C519,COS!$B$8:$H$991,3,FALSE)</f>
        <v>8295.84765625</v>
      </c>
      <c r="E519" s="24">
        <f>IF(D519&gt;=IF(MONTH($C519)=4,$C$3,IF(MONTH($C519)=5,$C$4,IF(MONTH($C519)=6,$C$5,IF(MONTH($C519)=7,$C$6,"ERROR")))),1,0)</f>
        <v>1</v>
      </c>
      <c r="F519" s="26">
        <f>VLOOKUP($C519,COS!$B$8:$H$991,7,FALSE)</f>
        <v>48.754131317138672</v>
      </c>
      <c r="G519" s="24">
        <f>IF(F519&lt;=IF(MONTH($C519)=4,$F$3,IF(MONTH($C519)=5,$F$4,IF(MONTH($C519)=6,$F$5,IF(MONTH($C519)=7,$F$6,"ERROR")))),1,0)</f>
        <v>1</v>
      </c>
      <c r="H519" s="26">
        <f>IF(J519=1,D519-$C$4,0)</f>
        <v>2295.84765625</v>
      </c>
      <c r="I519" s="26">
        <f t="shared" si="764"/>
        <v>141.16616993801654</v>
      </c>
      <c r="J519" s="24">
        <f t="shared" si="827"/>
        <v>1</v>
      </c>
      <c r="K519" s="26">
        <f>VLOOKUP($C519,COS!$B$8:$H$991,2,FALSE)</f>
        <v>4552</v>
      </c>
      <c r="L519" s="24">
        <f t="shared" si="741"/>
        <v>1</v>
      </c>
      <c r="M519" s="24">
        <f t="shared" si="742"/>
        <v>0</v>
      </c>
      <c r="N519" s="26">
        <f>VLOOKUP($C519,COS!$B$8:$H$991,5,FALSE)</f>
        <v>802.34027099609375</v>
      </c>
      <c r="O519" s="26">
        <f t="shared" si="830"/>
        <v>49.333980299263942</v>
      </c>
      <c r="P519" s="26">
        <f>VLOOKUP($C519,COS!$B$8:$H$991,6,FALSE)</f>
        <v>2254.8779296875</v>
      </c>
      <c r="Q519" s="26">
        <f t="shared" si="831"/>
        <v>138.64703964359506</v>
      </c>
      <c r="R519" s="26">
        <f>MIN(IF(MONTH($C519)=4,$S$3,IF(MONTH($C519)=5,$S$4,IF(MONTH($C519)=6,$S$5,IF(MONTH($C519)=7,$S$6,"ERROR")))),MAX(VLOOKUP($C519,COS!$B$8:$K$991,10,FALSE)-IF(MONTH($C519)=4,$Y$3,IF(MONTH($C519)=5,$Y$4,IF(MONTH($C519)=6,$Y$5,IF(MONTH($C519)=7,$Y$6,"ERROR")))),0),MAX(VLOOKUP($C519,COS!$B$8:$K$991,9,FALSE)-IF(MONTH($C519)=4,$V$3,IF(MONTH($C519)=5,$V$4,IF(MONTH($C519)=6,$V$5,IF(MONTH($C519)=7,$V$6,"ERROR"))))-VLOOKUP($C519,COS!$B$8:$K$991,6,FALSE)/2,0))</f>
        <v>750</v>
      </c>
      <c r="S519" s="26">
        <f t="shared" si="832"/>
        <v>46.115702479338843</v>
      </c>
      <c r="T519" s="26">
        <f t="shared" si="833"/>
        <v>140.10621245076834</v>
      </c>
      <c r="U519" s="26" t="str">
        <f>IF(VLOOKUP($C519,COS!$B$8:$I$991,8,FALSE)=1,"UWFE","IBU")</f>
        <v>UWFE</v>
      </c>
      <c r="V519" s="26">
        <f t="shared" ref="V519" si="835">MIN(IF(IF($AA$3=2,AND(E519=1,G519=1,L519=1,L523=1,M519=1,U519="IBU"),AND(E519=1,G519=1,L519=1,L523=1,M519=1)),T519,0),I519)</f>
        <v>0</v>
      </c>
      <c r="W519" s="26"/>
      <c r="X519" s="26"/>
      <c r="Y519" s="26"/>
      <c r="Z519" s="26"/>
      <c r="AA519" s="26"/>
      <c r="AB519" s="33"/>
    </row>
    <row r="520" spans="1:28" x14ac:dyDescent="0.3">
      <c r="A520" s="32">
        <f>VLOOKUP(YEAR(C520),Flags!$A$13:$B$95,2,FALSE)</f>
        <v>2</v>
      </c>
      <c r="B520" s="24">
        <f t="shared" si="739"/>
        <v>1978</v>
      </c>
      <c r="C520" s="25">
        <v>28671</v>
      </c>
      <c r="D520" s="26">
        <f>VLOOKUP($C520,COS!$B$8:$H$991,3,FALSE)</f>
        <v>9561.716796875</v>
      </c>
      <c r="E520" s="24">
        <f>IF(D520&gt;=IF(MONTH($C520)=4,$C$3,IF(MONTH($C520)=5,$C$4,IF(MONTH($C520)=6,$C$5,IF(MONTH($C520)=7,$C$6,"ERROR")))),1,0)</f>
        <v>0</v>
      </c>
      <c r="F520" s="26">
        <f>VLOOKUP($C520,COS!$B$8:$H$991,7,FALSE)</f>
        <v>49.9637451171875</v>
      </c>
      <c r="G520" s="24">
        <f>IF(F520&lt;=IF(MONTH($C520)=4,$F$3,IF(MONTH($C520)=5,$F$4,IF(MONTH($C520)=6,$F$5,IF(MONTH($C520)=7,$F$6,"ERROR")))),1,0)</f>
        <v>1</v>
      </c>
      <c r="H520" s="26">
        <f>IF(J520=1,D520-$C$5,0)</f>
        <v>0</v>
      </c>
      <c r="I520" s="26">
        <f t="shared" si="764"/>
        <v>0</v>
      </c>
      <c r="J520" s="24">
        <f t="shared" si="827"/>
        <v>0</v>
      </c>
      <c r="K520" s="26">
        <f>VLOOKUP($C520,COS!$B$8:$H$991,2,FALSE)</f>
        <v>4231.4814453125</v>
      </c>
      <c r="L520" s="24">
        <f t="shared" si="741"/>
        <v>1</v>
      </c>
      <c r="M520" s="24">
        <f t="shared" si="742"/>
        <v>0</v>
      </c>
      <c r="N520" s="26">
        <f>VLOOKUP($C520,COS!$B$8:$H$991,5,FALSE)</f>
        <v>1242.423828125</v>
      </c>
      <c r="O520" s="26">
        <f t="shared" si="830"/>
        <v>73.929351756198344</v>
      </c>
      <c r="P520" s="26">
        <f>VLOOKUP($C520,COS!$B$8:$H$991,6,FALSE)</f>
        <v>2349.44482421875</v>
      </c>
      <c r="Q520" s="26">
        <f t="shared" si="831"/>
        <v>139.80167549070248</v>
      </c>
      <c r="R520" s="26">
        <f>MIN(IF(MONTH($C520)=4,$S$3,IF(MONTH($C520)=5,$S$4,IF(MONTH($C520)=6,$S$5,IF(MONTH($C520)=7,$S$6,"ERROR")))),MAX(VLOOKUP($C520,COS!$B$8:$K$991,10,FALSE)-IF(MONTH($C520)=4,$Y$3,IF(MONTH($C520)=5,$Y$4,IF(MONTH($C520)=6,$Y$5,IF(MONTH($C520)=7,$Y$6,"ERROR")))),0),MAX(VLOOKUP($C520,COS!$B$8:$K$991,9,FALSE)-IF(MONTH($C520)=4,$V$3,IF(MONTH($C520)=5,$V$4,IF(MONTH($C520)=6,$V$5,IF(MONTH($C520)=7,$V$6,"ERROR"))))-VLOOKUP($C520,COS!$B$8:$K$991,6,FALSE)/2,0))</f>
        <v>750</v>
      </c>
      <c r="S520" s="26">
        <f t="shared" si="832"/>
        <v>44.628099173553714</v>
      </c>
      <c r="T520" s="26">
        <f t="shared" si="833"/>
        <v>151.49361279700412</v>
      </c>
      <c r="U520" s="26" t="str">
        <f>IF(VLOOKUP($C520,COS!$B$8:$I$991,8,FALSE)=1,"UWFE","IBU")</f>
        <v>UWFE</v>
      </c>
      <c r="V520" s="26">
        <f t="shared" ref="V520" si="836">MIN(IF(IF($AA$3=2,AND(E520=1,G520=1,L520=1,L523=1,M520=1,U520="IBU"),AND(E520=1,G520=1,L520=1,L523=1,M520=1)),T520,0),I520)</f>
        <v>0</v>
      </c>
      <c r="W520" s="26"/>
      <c r="X520" s="26"/>
      <c r="Y520" s="26"/>
      <c r="Z520" s="26"/>
      <c r="AA520" s="26"/>
      <c r="AB520" s="33"/>
    </row>
    <row r="521" spans="1:28" x14ac:dyDescent="0.3">
      <c r="A521" s="32">
        <f>VLOOKUP(YEAR(C521),Flags!$A$13:$B$95,2,FALSE)</f>
        <v>2</v>
      </c>
      <c r="B521" s="24">
        <f t="shared" si="739"/>
        <v>1978</v>
      </c>
      <c r="C521" s="25">
        <v>28702</v>
      </c>
      <c r="D521" s="26">
        <f>VLOOKUP($C521,COS!$B$8:$H$991,3,FALSE)</f>
        <v>13248.9892578125</v>
      </c>
      <c r="E521" s="24">
        <f>IF(D521&gt;=IF(MONTH($C521)=4,$C$3,IF(MONTH($C521)=5,$C$4,IF(MONTH($C521)=6,$C$5,IF(MONTH($C521)=7,$C$6,"ERROR")))),1,0)</f>
        <v>1</v>
      </c>
      <c r="F521" s="26">
        <f>VLOOKUP($C521,COS!$B$8:$H$991,7,FALSE)</f>
        <v>50.877964019775391</v>
      </c>
      <c r="G521" s="24">
        <f>IF(F521&lt;=IF(MONTH($C521)=4,$F$3,IF(MONTH($C521)=5,$F$4,IF(MONTH($C521)=6,$F$5,IF(MONTH($C521)=7,$F$6,"ERROR")))),1,0)</f>
        <v>1</v>
      </c>
      <c r="H521" s="26">
        <f>IF(J521=1,D521-$C$6,0)</f>
        <v>1248.9892578125</v>
      </c>
      <c r="I521" s="26">
        <f t="shared" si="764"/>
        <v>76.797356017561981</v>
      </c>
      <c r="J521" s="24">
        <f t="shared" si="827"/>
        <v>1</v>
      </c>
      <c r="K521" s="26">
        <f>VLOOKUP($C521,COS!$B$8:$H$991,2,FALSE)</f>
        <v>3678.985107421875</v>
      </c>
      <c r="L521" s="24">
        <f t="shared" si="741"/>
        <v>1</v>
      </c>
      <c r="M521" s="24">
        <f t="shared" si="742"/>
        <v>0</v>
      </c>
      <c r="N521" s="26">
        <f>VLOOKUP($C521,COS!$B$8:$H$991,5,FALSE)</f>
        <v>1355.9876708984375</v>
      </c>
      <c r="O521" s="26">
        <f t="shared" si="830"/>
        <v>83.376431995738628</v>
      </c>
      <c r="P521" s="26">
        <f>VLOOKUP($C521,COS!$B$8:$H$991,6,FALSE)</f>
        <v>2562.892822265625</v>
      </c>
      <c r="Q521" s="26">
        <f t="shared" si="831"/>
        <v>157.58613717071282</v>
      </c>
      <c r="R521" s="26">
        <f>MIN(IF(MONTH($C521)=4,$S$3,IF(MONTH($C521)=5,$S$4,IF(MONTH($C521)=6,$S$5,IF(MONTH($C521)=7,$S$6,"ERROR")))),MAX(VLOOKUP($C521,COS!$B$8:$K$991,10,FALSE)-IF(MONTH($C521)=4,$Y$3,IF(MONTH($C521)=5,$Y$4,IF(MONTH($C521)=6,$Y$5,IF(MONTH($C521)=7,$Y$6,"ERROR")))),0),MAX(VLOOKUP($C521,COS!$B$8:$K$991,9,FALSE)-IF(MONTH($C521)=4,$V$3,IF(MONTH($C521)=5,$V$4,IF(MONTH($C521)=6,$V$5,IF(MONTH($C521)=7,$V$6,"ERROR"))))-VLOOKUP($C521,COS!$B$8:$K$991,6,FALSE)/2,0))</f>
        <v>750</v>
      </c>
      <c r="S521" s="26">
        <f t="shared" si="832"/>
        <v>46.115702479338843</v>
      </c>
      <c r="T521" s="26">
        <f t="shared" si="833"/>
        <v>166.59698706256455</v>
      </c>
      <c r="U521" s="26" t="str">
        <f>IF(VLOOKUP($C521,COS!$B$8:$I$991,8,FALSE)=1,"UWFE","IBU")</f>
        <v>IBU</v>
      </c>
      <c r="V521" s="26">
        <f t="shared" ref="V521" si="837">MIN(IF(IF($AA$3=2,AND(E521=1,G521=1,L521=1,L523=1,M521=1,U521="IBU"),AND(E521=1,G521=1,L521=1,L523=1,M521=1)),T521,0),I521)</f>
        <v>0</v>
      </c>
      <c r="W521" s="26"/>
      <c r="X521" s="26"/>
      <c r="Y521" s="26"/>
      <c r="Z521" s="26"/>
      <c r="AA521" s="26"/>
      <c r="AB521" s="33"/>
    </row>
    <row r="522" spans="1:28" x14ac:dyDescent="0.3">
      <c r="A522" s="32">
        <f>VLOOKUP(YEAR(C522),Flags!$A$13:$B$95,2,FALSE)</f>
        <v>2</v>
      </c>
      <c r="B522" s="24">
        <f t="shared" si="739"/>
        <v>1978</v>
      </c>
      <c r="C522" s="25">
        <v>28733</v>
      </c>
      <c r="D522" s="26"/>
      <c r="E522" s="24"/>
      <c r="F522" s="26"/>
      <c r="G522" s="24"/>
      <c r="H522" s="24"/>
      <c r="I522" s="26"/>
      <c r="J522" s="24"/>
      <c r="K522" s="26"/>
      <c r="L522" s="24"/>
      <c r="M522" s="24"/>
      <c r="N522" s="26"/>
      <c r="O522" s="26"/>
      <c r="P522" s="26"/>
      <c r="Q522" s="26"/>
      <c r="R522" s="26"/>
      <c r="S522" s="26"/>
      <c r="T522" s="26"/>
      <c r="U522" s="26"/>
      <c r="V522" s="26"/>
      <c r="W522" s="26">
        <f>MAX($C$7-VLOOKUP($C522,COS!$B$8:$H$991,3,FALSE),0)</f>
        <v>90311.0869140625</v>
      </c>
      <c r="X522" s="26">
        <f t="shared" si="769"/>
        <v>5553.0122862861563</v>
      </c>
      <c r="Y522" s="26">
        <f>VLOOKUP($C522,COS!$B$8:$H$991,4,FALSE)</f>
        <v>138.08555603027344</v>
      </c>
      <c r="Z522" s="26">
        <f t="shared" si="770"/>
        <v>8.490549891448218</v>
      </c>
      <c r="AA522" s="26">
        <f t="shared" ref="AA522:AA526" si="838">MIN(W522,Y522)</f>
        <v>138.08555603027344</v>
      </c>
      <c r="AB522" s="33">
        <f t="shared" ref="AB522" si="839">AA522*DAY($C522)*86400/43560/1000*IF(MONTH($C522)=8,$P$3,IF(MONTH($C522)=9,$P$4,IF(MONTH($C522)=10,$P$5,IF(MONTH($C522)=11,$P$6,IF(MONTH($C522)=12,$P$7,NA())))))</f>
        <v>8.490549891448218</v>
      </c>
    </row>
    <row r="523" spans="1:28" x14ac:dyDescent="0.3">
      <c r="A523" s="32">
        <f>VLOOKUP(YEAR(C523),Flags!$A$13:$B$95,2,FALSE)</f>
        <v>2</v>
      </c>
      <c r="B523" s="24">
        <f t="shared" si="739"/>
        <v>1978</v>
      </c>
      <c r="C523" s="25">
        <v>28763</v>
      </c>
      <c r="D523" s="26"/>
      <c r="E523" s="24"/>
      <c r="F523" s="26"/>
      <c r="G523" s="24"/>
      <c r="H523" s="24"/>
      <c r="I523" s="26"/>
      <c r="J523" s="24"/>
      <c r="K523" s="26">
        <f>VLOOKUP($C523,COS!$B$8:$H$991,2,FALSE)</f>
        <v>3233.942626953125</v>
      </c>
      <c r="L523" s="24">
        <f t="shared" ref="L523" si="840">IF(AND(K523&gt;$I$7,K523&lt;$I$8),1,0)</f>
        <v>1</v>
      </c>
      <c r="M523" s="24"/>
      <c r="N523" s="26"/>
      <c r="O523" s="26"/>
      <c r="P523" s="26"/>
      <c r="Q523" s="26"/>
      <c r="R523" s="26"/>
      <c r="S523" s="26"/>
      <c r="T523" s="26"/>
      <c r="U523" s="26"/>
      <c r="V523" s="26"/>
      <c r="W523" s="26">
        <f>MAX($C$8-VLOOKUP($C523,COS!$B$8:$H$991,3,FALSE),0)</f>
        <v>93316.7197265625</v>
      </c>
      <c r="X523" s="26">
        <f t="shared" si="769"/>
        <v>5552.7304300103306</v>
      </c>
      <c r="Y523" s="26">
        <f>VLOOKUP($C523,COS!$B$8:$H$991,4,FALSE)</f>
        <v>124.30649566650391</v>
      </c>
      <c r="Z523" s="26">
        <f t="shared" si="770"/>
        <v>7.3967501553622164</v>
      </c>
      <c r="AA523" s="26">
        <f t="shared" si="838"/>
        <v>124.30649566650391</v>
      </c>
      <c r="AB523" s="33">
        <f t="shared" si="752"/>
        <v>7.3967501553622164</v>
      </c>
    </row>
    <row r="524" spans="1:28" x14ac:dyDescent="0.3">
      <c r="A524" s="32">
        <f>VLOOKUP(YEAR(C524),Flags!$A$13:$B$95,2,FALSE)</f>
        <v>2</v>
      </c>
      <c r="B524" s="24">
        <f t="shared" si="739"/>
        <v>1978</v>
      </c>
      <c r="C524" s="25">
        <v>28794</v>
      </c>
      <c r="D524" s="26"/>
      <c r="E524" s="24"/>
      <c r="F524" s="26"/>
      <c r="G524" s="26"/>
      <c r="H524" s="26"/>
      <c r="I524" s="26"/>
      <c r="J524" s="26"/>
      <c r="K524" s="26"/>
      <c r="L524" s="24"/>
      <c r="M524" s="24"/>
      <c r="N524" s="26"/>
      <c r="O524" s="26"/>
      <c r="P524" s="26"/>
      <c r="Q524" s="26"/>
      <c r="R524" s="26"/>
      <c r="S524" s="26"/>
      <c r="T524" s="26"/>
      <c r="U524" s="26"/>
      <c r="V524" s="26"/>
      <c r="W524" s="26">
        <f>MAX($C$9-VLOOKUP($C524,COS!$B$8:$H$991,3,FALSE),0)</f>
        <v>94237.51806640625</v>
      </c>
      <c r="X524" s="26">
        <f t="shared" si="769"/>
        <v>5794.4391273889469</v>
      </c>
      <c r="Y524" s="26">
        <f>VLOOKUP($C524,COS!$B$8:$H$991,4,FALSE)</f>
        <v>308.338623046875</v>
      </c>
      <c r="Z524" s="26">
        <f t="shared" si="770"/>
        <v>18.959002937758264</v>
      </c>
      <c r="AA524" s="26">
        <f t="shared" si="838"/>
        <v>308.338623046875</v>
      </c>
      <c r="AB524" s="33">
        <f t="shared" si="752"/>
        <v>18.959002937758264</v>
      </c>
    </row>
    <row r="525" spans="1:28" x14ac:dyDescent="0.3">
      <c r="A525" s="32">
        <f>VLOOKUP(YEAR(C525),Flags!$A$13:$B$95,2,FALSE)</f>
        <v>2</v>
      </c>
      <c r="B525" s="24">
        <f t="shared" si="739"/>
        <v>1978</v>
      </c>
      <c r="C525" s="25">
        <v>28824</v>
      </c>
      <c r="D525" s="26"/>
      <c r="E525" s="24"/>
      <c r="F525" s="26"/>
      <c r="G525" s="26"/>
      <c r="H525" s="26"/>
      <c r="I525" s="26"/>
      <c r="J525" s="26"/>
      <c r="K525" s="26"/>
      <c r="L525" s="24"/>
      <c r="M525" s="24"/>
      <c r="N525" s="26"/>
      <c r="O525" s="26"/>
      <c r="P525" s="26"/>
      <c r="Q525" s="26"/>
      <c r="R525" s="26"/>
      <c r="S525" s="26"/>
      <c r="T525" s="26"/>
      <c r="U525" s="26"/>
      <c r="V525" s="26"/>
      <c r="W525" s="26">
        <f>MAX($C$10-VLOOKUP($C525,COS!$B$8:$H$991,3,FALSE),0)</f>
        <v>90817.384765625</v>
      </c>
      <c r="X525" s="26">
        <f t="shared" si="769"/>
        <v>5404.0096720041329</v>
      </c>
      <c r="Y525" s="26">
        <f>VLOOKUP($C525,COS!$B$8:$H$991,4,FALSE)</f>
        <v>283.46884155273438</v>
      </c>
      <c r="Z525" s="26">
        <f t="shared" si="770"/>
        <v>16.867567431237088</v>
      </c>
      <c r="AA525" s="26">
        <f t="shared" si="838"/>
        <v>283.46884155273438</v>
      </c>
      <c r="AB525" s="33">
        <f t="shared" si="752"/>
        <v>8.433783715618544</v>
      </c>
    </row>
    <row r="526" spans="1:28" x14ac:dyDescent="0.3">
      <c r="A526" s="34">
        <f>VLOOKUP(YEAR(C526),Flags!$A$13:$B$95,2,FALSE)</f>
        <v>2</v>
      </c>
      <c r="B526" s="35">
        <f t="shared" si="739"/>
        <v>1978</v>
      </c>
      <c r="C526" s="36">
        <v>28855</v>
      </c>
      <c r="D526" s="37"/>
      <c r="E526" s="35"/>
      <c r="F526" s="37"/>
      <c r="G526" s="37"/>
      <c r="H526" s="37"/>
      <c r="I526" s="37"/>
      <c r="J526" s="37"/>
      <c r="K526" s="37"/>
      <c r="L526" s="35"/>
      <c r="M526" s="35"/>
      <c r="N526" s="37"/>
      <c r="O526" s="37"/>
      <c r="P526" s="37"/>
      <c r="Q526" s="37"/>
      <c r="R526" s="37"/>
      <c r="S526" s="37"/>
      <c r="T526" s="37"/>
      <c r="U526" s="37"/>
      <c r="V526" s="37"/>
      <c r="W526" s="37">
        <f>MAX($C$11-VLOOKUP($C526,COS!$B$8:$H$991,3,FALSE),0)</f>
        <v>0</v>
      </c>
      <c r="X526" s="37">
        <f t="shared" si="769"/>
        <v>0</v>
      </c>
      <c r="Y526" s="37">
        <f>VLOOKUP($C526,COS!$B$8:$H$991,4,FALSE)</f>
        <v>569.04254150390625</v>
      </c>
      <c r="Z526" s="37">
        <f t="shared" si="770"/>
        <v>34.989062056107954</v>
      </c>
      <c r="AA526" s="37">
        <f t="shared" si="838"/>
        <v>0</v>
      </c>
      <c r="AB526" s="38">
        <f t="shared" si="752"/>
        <v>0</v>
      </c>
    </row>
    <row r="527" spans="1:28" x14ac:dyDescent="0.3">
      <c r="A527" s="27">
        <f>VLOOKUP(YEAR(C527),Flags!$A$13:$B$95,2,FALSE)</f>
        <v>4</v>
      </c>
      <c r="B527" s="28">
        <f t="shared" ref="B527:B590" si="841">YEAR(C527)</f>
        <v>1979</v>
      </c>
      <c r="C527" s="29">
        <v>28975</v>
      </c>
      <c r="D527" s="30">
        <f>VLOOKUP($C527,COS!$B$8:$H$991,3,FALSE)</f>
        <v>3250</v>
      </c>
      <c r="E527" s="28">
        <f>IF(D527&gt;=IF(MONTH($C527)=4,$C$3,IF(MONTH($C527)=5,$C$4,IF(MONTH($C527)=6,$C$5,IF(MONTH($C527)=7,$C$6,"ERROR")))),1,0)</f>
        <v>0</v>
      </c>
      <c r="F527" s="30">
        <f>VLOOKUP($C527,COS!$B$8:$H$991,7,FALSE)</f>
        <v>51.270172119140625</v>
      </c>
      <c r="G527" s="28">
        <f>IF(F527&lt;=IF(MONTH($C527)=4,$F$3,IF(MONTH($C527)=5,$F$4,IF(MONTH($C527)=6,$F$5,IF(MONTH($C527)=7,$F$6,"ERROR")))),1,0)</f>
        <v>1</v>
      </c>
      <c r="H527" s="30">
        <f>IF(J527=1,D527-$C$3,0)</f>
        <v>0</v>
      </c>
      <c r="I527" s="30">
        <f t="shared" si="764"/>
        <v>0</v>
      </c>
      <c r="J527" s="28">
        <f t="shared" ref="J527:J530" si="842">IF(AND(E527=1,G527=1),1,0)</f>
        <v>0</v>
      </c>
      <c r="K527" s="30">
        <f>VLOOKUP($C527,COS!$B$8:$H$991,2,FALSE)</f>
        <v>4053.44189453125</v>
      </c>
      <c r="L527" s="28">
        <f t="shared" ref="L527:L584" si="843">IF(K527&lt;=IF(MONTH($C527)=4,$I$3,IF(MONTH($C527)=5,$I$4,IF(MONTH($C527)=6,$I$5,IF(MONTH($C527)=7,$I$6,"ERROR")))),1,0)</f>
        <v>1</v>
      </c>
      <c r="M527" s="28">
        <f t="shared" ref="M527:M584" si="844">VLOOKUP($A527,$L$3:$M$7,2,FALSE)</f>
        <v>1</v>
      </c>
      <c r="N527" s="30">
        <f>VLOOKUP($C527,COS!$B$8:$H$991,5,FALSE)</f>
        <v>214.24491882324219</v>
      </c>
      <c r="O527" s="30">
        <f t="shared" ref="O527:O530" si="845">N527*DAY($C527)*86400/43560/1000</f>
        <v>12.748457979564824</v>
      </c>
      <c r="P527" s="30">
        <f>VLOOKUP($C527,COS!$B$8:$H$991,6,FALSE)</f>
        <v>439.33358764648438</v>
      </c>
      <c r="Q527" s="30">
        <f t="shared" ref="Q527:Q530" si="846">P527*DAY($C527)*86400/43560/1000</f>
        <v>26.142163893013944</v>
      </c>
      <c r="R527" s="30">
        <f>MIN(IF(MONTH($C527)=4,$S$3,IF(MONTH($C527)=5,$S$4,IF(MONTH($C527)=6,$S$5,IF(MONTH($C527)=7,$S$6,"ERROR")))),MAX(VLOOKUP($C527,COS!$B$8:$K$991,10,FALSE)-IF(MONTH($C527)=4,$Y$3,IF(MONTH($C527)=5,$Y$4,IF(MONTH($C527)=6,$Y$5,IF(MONTH($C527)=7,$Y$6,"ERROR")))),0),MAX(VLOOKUP($C527,COS!$B$8:$K$991,9,FALSE)-IF(MONTH($C527)=4,$V$3,IF(MONTH($C527)=5,$V$4,IF(MONTH($C527)=6,$V$5,IF(MONTH($C527)=7,$V$6,"ERROR"))))-VLOOKUP($C527,COS!$B$8:$K$991,6,FALSE)/2,0))</f>
        <v>750</v>
      </c>
      <c r="S527" s="30">
        <f t="shared" ref="S527:S530" si="847">R527*DAY($C527)*86400/43560/1000</f>
        <v>44.628099173553714</v>
      </c>
      <c r="T527" s="30">
        <f t="shared" ref="T527:T530" si="848">(O527+Q527)/2+S527</f>
        <v>64.073410109843095</v>
      </c>
      <c r="U527" s="30" t="str">
        <f>IF(VLOOKUP($C527,COS!$B$8:$I$991,8,FALSE)=1,"UWFE","IBU")</f>
        <v>UWFE</v>
      </c>
      <c r="V527" s="30">
        <f t="shared" ref="V527" si="849">MIN(IF(IF($AA$3=2,AND(E527=1,G527=1,L527=1,L532=1,M527=1,U527="IBU"),AND(E527=1,G527=1,L527=1,L532=1,M527=1)),T527,0),I527)</f>
        <v>0</v>
      </c>
      <c r="W527" s="30"/>
      <c r="X527" s="30"/>
      <c r="Y527" s="30"/>
      <c r="Z527" s="30"/>
      <c r="AA527" s="30"/>
      <c r="AB527" s="31"/>
    </row>
    <row r="528" spans="1:28" x14ac:dyDescent="0.3">
      <c r="A528" s="32">
        <f>VLOOKUP(YEAR(C528),Flags!$A$13:$B$95,2,FALSE)</f>
        <v>4</v>
      </c>
      <c r="B528" s="24">
        <f t="shared" si="841"/>
        <v>1979</v>
      </c>
      <c r="C528" s="25">
        <v>29006</v>
      </c>
      <c r="D528" s="26">
        <f>VLOOKUP($C528,COS!$B$8:$H$991,3,FALSE)</f>
        <v>4739.0380859375</v>
      </c>
      <c r="E528" s="24">
        <f>IF(D528&gt;=IF(MONTH($C528)=4,$C$3,IF(MONTH($C528)=5,$C$4,IF(MONTH($C528)=6,$C$5,IF(MONTH($C528)=7,$C$6,"ERROR")))),1,0)</f>
        <v>0</v>
      </c>
      <c r="F528" s="26">
        <f>VLOOKUP($C528,COS!$B$8:$H$991,7,FALSE)</f>
        <v>53.222888946533203</v>
      </c>
      <c r="G528" s="24">
        <f>IF(F528&lt;=IF(MONTH($C528)=4,$F$3,IF(MONTH($C528)=5,$F$4,IF(MONTH($C528)=6,$F$5,IF(MONTH($C528)=7,$F$6,"ERROR")))),1,0)</f>
        <v>1</v>
      </c>
      <c r="H528" s="26">
        <f>IF(J528=1,D528-$C$4,0)</f>
        <v>0</v>
      </c>
      <c r="I528" s="26">
        <f t="shared" si="764"/>
        <v>0</v>
      </c>
      <c r="J528" s="24">
        <f t="shared" si="842"/>
        <v>0</v>
      </c>
      <c r="K528" s="26">
        <f>VLOOKUP($C528,COS!$B$8:$H$991,2,FALSE)</f>
        <v>4220.81298828125</v>
      </c>
      <c r="L528" s="24">
        <f t="shared" si="843"/>
        <v>1</v>
      </c>
      <c r="M528" s="24">
        <f t="shared" si="844"/>
        <v>1</v>
      </c>
      <c r="N528" s="26">
        <f>VLOOKUP($C528,COS!$B$8:$H$991,5,FALSE)</f>
        <v>321.92453002929688</v>
      </c>
      <c r="O528" s="26">
        <f t="shared" si="845"/>
        <v>19.794367796842717</v>
      </c>
      <c r="P528" s="26">
        <f>VLOOKUP($C528,COS!$B$8:$H$991,6,FALSE)</f>
        <v>2260.58740234375</v>
      </c>
      <c r="Q528" s="26">
        <f t="shared" si="846"/>
        <v>138.99810143336776</v>
      </c>
      <c r="R528" s="26">
        <f>MIN(IF(MONTH($C528)=4,$S$3,IF(MONTH($C528)=5,$S$4,IF(MONTH($C528)=6,$S$5,IF(MONTH($C528)=7,$S$6,"ERROR")))),MAX(VLOOKUP($C528,COS!$B$8:$K$991,10,FALSE)-IF(MONTH($C528)=4,$Y$3,IF(MONTH($C528)=5,$Y$4,IF(MONTH($C528)=6,$Y$5,IF(MONTH($C528)=7,$Y$6,"ERROR")))),0),MAX(VLOOKUP($C528,COS!$B$8:$K$991,9,FALSE)-IF(MONTH($C528)=4,$V$3,IF(MONTH($C528)=5,$V$4,IF(MONTH($C528)=6,$V$5,IF(MONTH($C528)=7,$V$6,"ERROR"))))-VLOOKUP($C528,COS!$B$8:$K$991,6,FALSE)/2,0))</f>
        <v>750</v>
      </c>
      <c r="S528" s="26">
        <f t="shared" si="847"/>
        <v>46.115702479338843</v>
      </c>
      <c r="T528" s="26">
        <f t="shared" si="848"/>
        <v>125.51193709444408</v>
      </c>
      <c r="U528" s="26" t="str">
        <f>IF(VLOOKUP($C528,COS!$B$8:$I$991,8,FALSE)=1,"UWFE","IBU")</f>
        <v>UWFE</v>
      </c>
      <c r="V528" s="26">
        <f t="shared" ref="V528" si="850">MIN(IF(IF($AA$3=2,AND(E528=1,G528=1,L528=1,L532=1,M528=1,U528="IBU"),AND(E528=1,G528=1,L528=1,L532=1,M528=1)),T528,0),I528)</f>
        <v>0</v>
      </c>
      <c r="W528" s="26"/>
      <c r="X528" s="26"/>
      <c r="Y528" s="26"/>
      <c r="Z528" s="26"/>
      <c r="AA528" s="26"/>
      <c r="AB528" s="33"/>
    </row>
    <row r="529" spans="1:28" x14ac:dyDescent="0.3">
      <c r="A529" s="32">
        <f>VLOOKUP(YEAR(C529),Flags!$A$13:$B$95,2,FALSE)</f>
        <v>4</v>
      </c>
      <c r="B529" s="24">
        <f t="shared" si="841"/>
        <v>1979</v>
      </c>
      <c r="C529" s="25">
        <v>29036</v>
      </c>
      <c r="D529" s="26">
        <f>VLOOKUP($C529,COS!$B$8:$H$991,3,FALSE)</f>
        <v>10586.1376953125</v>
      </c>
      <c r="E529" s="24">
        <f>IF(D529&gt;=IF(MONTH($C529)=4,$C$3,IF(MONTH($C529)=5,$C$4,IF(MONTH($C529)=6,$C$5,IF(MONTH($C529)=7,$C$6,"ERROR")))),1,0)</f>
        <v>1</v>
      </c>
      <c r="F529" s="26">
        <f>VLOOKUP($C529,COS!$B$8:$H$991,7,FALSE)</f>
        <v>51.544940948486328</v>
      </c>
      <c r="G529" s="24">
        <f>IF(F529&lt;=IF(MONTH($C529)=4,$F$3,IF(MONTH($C529)=5,$F$4,IF(MONTH($C529)=6,$F$5,IF(MONTH($C529)=7,$F$6,"ERROR")))),1,0)</f>
        <v>1</v>
      </c>
      <c r="H529" s="26">
        <f>IF(J529=1,D529-$C$5,0)</f>
        <v>586.1376953125</v>
      </c>
      <c r="I529" s="26">
        <f t="shared" si="764"/>
        <v>34.877614927685947</v>
      </c>
      <c r="J529" s="24">
        <f t="shared" si="842"/>
        <v>1</v>
      </c>
      <c r="K529" s="26">
        <f>VLOOKUP($C529,COS!$B$8:$H$991,2,FALSE)</f>
        <v>3800.5693359375</v>
      </c>
      <c r="L529" s="24">
        <f t="shared" si="843"/>
        <v>1</v>
      </c>
      <c r="M529" s="24">
        <f t="shared" si="844"/>
        <v>1</v>
      </c>
      <c r="N529" s="26">
        <f>VLOOKUP($C529,COS!$B$8:$H$991,5,FALSE)</f>
        <v>618.16412353515625</v>
      </c>
      <c r="O529" s="26">
        <f t="shared" si="845"/>
        <v>36.783319747546486</v>
      </c>
      <c r="P529" s="26">
        <f>VLOOKUP($C529,COS!$B$8:$H$991,6,FALSE)</f>
        <v>2677.335693359375</v>
      </c>
      <c r="Q529" s="26">
        <f t="shared" si="846"/>
        <v>159.31253712551654</v>
      </c>
      <c r="R529" s="26">
        <f>MIN(IF(MONTH($C529)=4,$S$3,IF(MONTH($C529)=5,$S$4,IF(MONTH($C529)=6,$S$5,IF(MONTH($C529)=7,$S$6,"ERROR")))),MAX(VLOOKUP($C529,COS!$B$8:$K$991,10,FALSE)-IF(MONTH($C529)=4,$Y$3,IF(MONTH($C529)=5,$Y$4,IF(MONTH($C529)=6,$Y$5,IF(MONTH($C529)=7,$Y$6,"ERROR")))),0),MAX(VLOOKUP($C529,COS!$B$8:$K$991,9,FALSE)-IF(MONTH($C529)=4,$V$3,IF(MONTH($C529)=5,$V$4,IF(MONTH($C529)=6,$V$5,IF(MONTH($C529)=7,$V$6,"ERROR"))))-VLOOKUP($C529,COS!$B$8:$K$991,6,FALSE)/2,0))</f>
        <v>750</v>
      </c>
      <c r="S529" s="26">
        <f t="shared" si="847"/>
        <v>44.628099173553714</v>
      </c>
      <c r="T529" s="26">
        <f t="shared" si="848"/>
        <v>142.67602761008524</v>
      </c>
      <c r="U529" s="26" t="str">
        <f>IF(VLOOKUP($C529,COS!$B$8:$I$991,8,FALSE)=1,"UWFE","IBU")</f>
        <v>IBU</v>
      </c>
      <c r="V529" s="26">
        <f t="shared" ref="V529" si="851">MIN(IF(IF($AA$3=2,AND(E529=1,G529=1,L529=1,L532=1,M529=1,U529="IBU"),AND(E529=1,G529=1,L529=1,L532=1,M529=1)),T529,0),I529)</f>
        <v>34.877614927685947</v>
      </c>
      <c r="W529" s="26"/>
      <c r="X529" s="26"/>
      <c r="Y529" s="26"/>
      <c r="Z529" s="26"/>
      <c r="AA529" s="26"/>
      <c r="AB529" s="33"/>
    </row>
    <row r="530" spans="1:28" x14ac:dyDescent="0.3">
      <c r="A530" s="32">
        <f>VLOOKUP(YEAR(C530),Flags!$A$13:$B$95,2,FALSE)</f>
        <v>4</v>
      </c>
      <c r="B530" s="24">
        <f t="shared" si="841"/>
        <v>1979</v>
      </c>
      <c r="C530" s="25">
        <v>29067</v>
      </c>
      <c r="D530" s="26">
        <f>VLOOKUP($C530,COS!$B$8:$H$991,3,FALSE)</f>
        <v>10198.0205078125</v>
      </c>
      <c r="E530" s="24">
        <f>IF(D530&gt;=IF(MONTH($C530)=4,$C$3,IF(MONTH($C530)=5,$C$4,IF(MONTH($C530)=6,$C$5,IF(MONTH($C530)=7,$C$6,"ERROR")))),1,0)</f>
        <v>0</v>
      </c>
      <c r="F530" s="26">
        <f>VLOOKUP($C530,COS!$B$8:$H$991,7,FALSE)</f>
        <v>52.837936401367188</v>
      </c>
      <c r="G530" s="24">
        <f>IF(F530&lt;=IF(MONTH($C530)=4,$F$3,IF(MONTH($C530)=5,$F$4,IF(MONTH($C530)=6,$F$5,IF(MONTH($C530)=7,$F$6,"ERROR")))),1,0)</f>
        <v>1</v>
      </c>
      <c r="H530" s="26">
        <f>IF(J530=1,D530-$C$6,0)</f>
        <v>0</v>
      </c>
      <c r="I530" s="26">
        <f t="shared" si="764"/>
        <v>0</v>
      </c>
      <c r="J530" s="24">
        <f t="shared" si="842"/>
        <v>0</v>
      </c>
      <c r="K530" s="26">
        <f>VLOOKUP($C530,COS!$B$8:$H$991,2,FALSE)</f>
        <v>3407.86474609375</v>
      </c>
      <c r="L530" s="24">
        <f t="shared" si="843"/>
        <v>1</v>
      </c>
      <c r="M530" s="24">
        <f t="shared" si="844"/>
        <v>1</v>
      </c>
      <c r="N530" s="26">
        <f>VLOOKUP($C530,COS!$B$8:$H$991,5,FALSE)</f>
        <v>673.1793212890625</v>
      </c>
      <c r="O530" s="26">
        <f t="shared" si="845"/>
        <v>41.392183061079542</v>
      </c>
      <c r="P530" s="26">
        <f>VLOOKUP($C530,COS!$B$8:$H$991,6,FALSE)</f>
        <v>2632.5888671875</v>
      </c>
      <c r="Q530" s="26">
        <f t="shared" si="846"/>
        <v>161.87157993285126</v>
      </c>
      <c r="R530" s="26">
        <f>MIN(IF(MONTH($C530)=4,$S$3,IF(MONTH($C530)=5,$S$4,IF(MONTH($C530)=6,$S$5,IF(MONTH($C530)=7,$S$6,"ERROR")))),MAX(VLOOKUP($C530,COS!$B$8:$K$991,10,FALSE)-IF(MONTH($C530)=4,$Y$3,IF(MONTH($C530)=5,$Y$4,IF(MONTH($C530)=6,$Y$5,IF(MONTH($C530)=7,$Y$6,"ERROR")))),0),MAX(VLOOKUP($C530,COS!$B$8:$K$991,9,FALSE)-IF(MONTH($C530)=4,$V$3,IF(MONTH($C530)=5,$V$4,IF(MONTH($C530)=6,$V$5,IF(MONTH($C530)=7,$V$6,"ERROR"))))-VLOOKUP($C530,COS!$B$8:$K$991,6,FALSE)/2,0))</f>
        <v>750</v>
      </c>
      <c r="S530" s="26">
        <f t="shared" si="847"/>
        <v>46.115702479338843</v>
      </c>
      <c r="T530" s="26">
        <f t="shared" si="848"/>
        <v>147.74758397630424</v>
      </c>
      <c r="U530" s="26" t="str">
        <f>IF(VLOOKUP($C530,COS!$B$8:$I$991,8,FALSE)=1,"UWFE","IBU")</f>
        <v>IBU</v>
      </c>
      <c r="V530" s="26">
        <f t="shared" ref="V530" si="852">MIN(IF(IF($AA$3=2,AND(E530=1,G530=1,L530=1,L532=1,M530=1,U530="IBU"),AND(E530=1,G530=1,L530=1,L532=1,M530=1)),T530,0),I530)</f>
        <v>0</v>
      </c>
      <c r="W530" s="26"/>
      <c r="X530" s="26"/>
      <c r="Y530" s="26"/>
      <c r="Z530" s="26"/>
      <c r="AA530" s="26"/>
      <c r="AB530" s="33"/>
    </row>
    <row r="531" spans="1:28" x14ac:dyDescent="0.3">
      <c r="A531" s="32">
        <f>VLOOKUP(YEAR(C531),Flags!$A$13:$B$95,2,FALSE)</f>
        <v>4</v>
      </c>
      <c r="B531" s="24">
        <f t="shared" si="841"/>
        <v>1979</v>
      </c>
      <c r="C531" s="25">
        <v>29098</v>
      </c>
      <c r="D531" s="26"/>
      <c r="E531" s="24"/>
      <c r="F531" s="26"/>
      <c r="G531" s="24"/>
      <c r="H531" s="24"/>
      <c r="I531" s="26"/>
      <c r="J531" s="24"/>
      <c r="K531" s="26"/>
      <c r="L531" s="24"/>
      <c r="M531" s="24"/>
      <c r="N531" s="26"/>
      <c r="O531" s="26"/>
      <c r="P531" s="26"/>
      <c r="Q531" s="26"/>
      <c r="R531" s="26"/>
      <c r="S531" s="26"/>
      <c r="T531" s="26"/>
      <c r="U531" s="26"/>
      <c r="V531" s="26"/>
      <c r="W531" s="26">
        <f>MAX($C$7-VLOOKUP($C531,COS!$B$8:$H$991,3,FALSE),0)</f>
        <v>91695.837890625</v>
      </c>
      <c r="X531" s="26">
        <f t="shared" si="769"/>
        <v>5638.1573050103307</v>
      </c>
      <c r="Y531" s="26">
        <f>VLOOKUP($C531,COS!$B$8:$H$991,4,FALSE)</f>
        <v>53.124755859375</v>
      </c>
      <c r="Z531" s="26">
        <f t="shared" si="770"/>
        <v>3.2665139139979336</v>
      </c>
      <c r="AA531" s="26">
        <f t="shared" ref="AA531:AA535" si="853">MIN(W531,Y531)</f>
        <v>53.124755859375</v>
      </c>
      <c r="AB531" s="33">
        <f t="shared" ref="AB531:AB589" si="854">AA531*DAY($C531)*86400/43560/1000*IF(MONTH($C531)=8,$P$3,IF(MONTH($C531)=9,$P$4,IF(MONTH($C531)=10,$P$5,IF(MONTH($C531)=11,$P$6,IF(MONTH($C531)=12,$P$7,NA())))))</f>
        <v>3.2665139139979336</v>
      </c>
    </row>
    <row r="532" spans="1:28" x14ac:dyDescent="0.3">
      <c r="A532" s="32">
        <f>VLOOKUP(YEAR(C532),Flags!$A$13:$B$95,2,FALSE)</f>
        <v>4</v>
      </c>
      <c r="B532" s="24">
        <f t="shared" si="841"/>
        <v>1979</v>
      </c>
      <c r="C532" s="25">
        <v>29128</v>
      </c>
      <c r="D532" s="26"/>
      <c r="E532" s="24"/>
      <c r="F532" s="26"/>
      <c r="G532" s="24"/>
      <c r="H532" s="24"/>
      <c r="I532" s="26"/>
      <c r="J532" s="24"/>
      <c r="K532" s="26">
        <f>VLOOKUP($C532,COS!$B$8:$H$991,2,FALSE)</f>
        <v>3119.8076171875</v>
      </c>
      <c r="L532" s="24">
        <f t="shared" ref="L532" si="855">IF(AND(K532&gt;$I$7,K532&lt;$I$8),1,0)</f>
        <v>1</v>
      </c>
      <c r="M532" s="24"/>
      <c r="N532" s="26"/>
      <c r="O532" s="26"/>
      <c r="P532" s="26"/>
      <c r="Q532" s="26"/>
      <c r="R532" s="26"/>
      <c r="S532" s="26"/>
      <c r="T532" s="26"/>
      <c r="U532" s="26"/>
      <c r="V532" s="26"/>
      <c r="W532" s="26">
        <f>MAX($C$8-VLOOKUP($C532,COS!$B$8:$H$991,3,FALSE),0)</f>
        <v>95203.8974609375</v>
      </c>
      <c r="X532" s="26">
        <f t="shared" si="769"/>
        <v>5665.025303460744</v>
      </c>
      <c r="Y532" s="26">
        <f>VLOOKUP($C532,COS!$B$8:$H$991,4,FALSE)</f>
        <v>0</v>
      </c>
      <c r="Z532" s="26">
        <f t="shared" si="770"/>
        <v>0</v>
      </c>
      <c r="AA532" s="26">
        <f t="shared" si="853"/>
        <v>0</v>
      </c>
      <c r="AB532" s="33">
        <f t="shared" si="854"/>
        <v>0</v>
      </c>
    </row>
    <row r="533" spans="1:28" x14ac:dyDescent="0.3">
      <c r="A533" s="32">
        <f>VLOOKUP(YEAR(C533),Flags!$A$13:$B$95,2,FALSE)</f>
        <v>4</v>
      </c>
      <c r="B533" s="24">
        <f t="shared" si="841"/>
        <v>1979</v>
      </c>
      <c r="C533" s="25">
        <v>29159</v>
      </c>
      <c r="D533" s="26"/>
      <c r="E533" s="24"/>
      <c r="F533" s="26"/>
      <c r="G533" s="26"/>
      <c r="H533" s="26"/>
      <c r="I533" s="26"/>
      <c r="J533" s="26"/>
      <c r="K533" s="26"/>
      <c r="L533" s="24"/>
      <c r="M533" s="24"/>
      <c r="N533" s="26"/>
      <c r="O533" s="26"/>
      <c r="P533" s="26"/>
      <c r="Q533" s="26"/>
      <c r="R533" s="26"/>
      <c r="S533" s="26"/>
      <c r="T533" s="26"/>
      <c r="U533" s="26"/>
      <c r="V533" s="26"/>
      <c r="W533" s="26">
        <f>MAX($C$9-VLOOKUP($C533,COS!$B$8:$H$991,3,FALSE),0)</f>
        <v>95850.04736328125</v>
      </c>
      <c r="X533" s="26">
        <f t="shared" si="769"/>
        <v>5893.5896891141529</v>
      </c>
      <c r="Y533" s="26">
        <f>VLOOKUP($C533,COS!$B$8:$H$991,4,FALSE)</f>
        <v>801.079833984375</v>
      </c>
      <c r="Z533" s="26">
        <f t="shared" si="770"/>
        <v>49.256479048295454</v>
      </c>
      <c r="AA533" s="26">
        <f t="shared" si="853"/>
        <v>801.079833984375</v>
      </c>
      <c r="AB533" s="33">
        <f t="shared" si="854"/>
        <v>49.256479048295454</v>
      </c>
    </row>
    <row r="534" spans="1:28" x14ac:dyDescent="0.3">
      <c r="A534" s="32">
        <f>VLOOKUP(YEAR(C534),Flags!$A$13:$B$95,2,FALSE)</f>
        <v>4</v>
      </c>
      <c r="B534" s="24">
        <f t="shared" si="841"/>
        <v>1979</v>
      </c>
      <c r="C534" s="25">
        <v>29189</v>
      </c>
      <c r="D534" s="26"/>
      <c r="E534" s="24"/>
      <c r="F534" s="26"/>
      <c r="G534" s="26"/>
      <c r="H534" s="26"/>
      <c r="I534" s="26"/>
      <c r="J534" s="26"/>
      <c r="K534" s="26"/>
      <c r="L534" s="24"/>
      <c r="M534" s="24"/>
      <c r="N534" s="26"/>
      <c r="O534" s="26"/>
      <c r="P534" s="26"/>
      <c r="Q534" s="26"/>
      <c r="R534" s="26"/>
      <c r="S534" s="26"/>
      <c r="T534" s="26"/>
      <c r="U534" s="26"/>
      <c r="V534" s="26"/>
      <c r="W534" s="26">
        <f>MAX($C$10-VLOOKUP($C534,COS!$B$8:$H$991,3,FALSE),0)</f>
        <v>94181.76708984375</v>
      </c>
      <c r="X534" s="26">
        <f t="shared" si="769"/>
        <v>5604.2043227014465</v>
      </c>
      <c r="Y534" s="26">
        <f>VLOOKUP($C534,COS!$B$8:$H$991,4,FALSE)</f>
        <v>1226.431884765625</v>
      </c>
      <c r="Z534" s="26">
        <f t="shared" si="770"/>
        <v>72.977765043904967</v>
      </c>
      <c r="AA534" s="26">
        <f t="shared" si="853"/>
        <v>1226.431884765625</v>
      </c>
      <c r="AB534" s="33">
        <f t="shared" si="854"/>
        <v>36.488882521952483</v>
      </c>
    </row>
    <row r="535" spans="1:28" x14ac:dyDescent="0.3">
      <c r="A535" s="34">
        <f>VLOOKUP(YEAR(C535),Flags!$A$13:$B$95,2,FALSE)</f>
        <v>4</v>
      </c>
      <c r="B535" s="35">
        <f t="shared" si="841"/>
        <v>1979</v>
      </c>
      <c r="C535" s="36">
        <v>29220</v>
      </c>
      <c r="D535" s="37"/>
      <c r="E535" s="35"/>
      <c r="F535" s="37"/>
      <c r="G535" s="37"/>
      <c r="H535" s="37"/>
      <c r="I535" s="37"/>
      <c r="J535" s="37"/>
      <c r="K535" s="37"/>
      <c r="L535" s="35"/>
      <c r="M535" s="35"/>
      <c r="N535" s="37"/>
      <c r="O535" s="37"/>
      <c r="P535" s="37"/>
      <c r="Q535" s="37"/>
      <c r="R535" s="37"/>
      <c r="S535" s="37"/>
      <c r="T535" s="37"/>
      <c r="U535" s="37"/>
      <c r="V535" s="37"/>
      <c r="W535" s="37">
        <f>MAX($C$11-VLOOKUP($C535,COS!$B$8:$H$991,3,FALSE),0)</f>
        <v>0</v>
      </c>
      <c r="X535" s="37">
        <f t="shared" si="769"/>
        <v>0</v>
      </c>
      <c r="Y535" s="37">
        <f>VLOOKUP($C535,COS!$B$8:$H$991,4,FALSE)</f>
        <v>0</v>
      </c>
      <c r="Z535" s="37">
        <f t="shared" si="770"/>
        <v>0</v>
      </c>
      <c r="AA535" s="37">
        <f t="shared" si="853"/>
        <v>0</v>
      </c>
      <c r="AB535" s="38">
        <f t="shared" si="854"/>
        <v>0</v>
      </c>
    </row>
    <row r="536" spans="1:28" x14ac:dyDescent="0.3">
      <c r="A536" s="27">
        <f>VLOOKUP(YEAR(C536),Flags!$A$13:$B$95,2,FALSE)</f>
        <v>2</v>
      </c>
      <c r="B536" s="28">
        <f t="shared" si="841"/>
        <v>1980</v>
      </c>
      <c r="C536" s="29">
        <v>29341</v>
      </c>
      <c r="D536" s="30">
        <f>VLOOKUP($C536,COS!$B$8:$H$991,3,FALSE)</f>
        <v>3250</v>
      </c>
      <c r="E536" s="28">
        <f>IF(D536&gt;=IF(MONTH($C536)=4,$C$3,IF(MONTH($C536)=5,$C$4,IF(MONTH($C536)=6,$C$5,IF(MONTH($C536)=7,$C$6,"ERROR")))),1,0)</f>
        <v>0</v>
      </c>
      <c r="F536" s="30">
        <f>VLOOKUP($C536,COS!$B$8:$H$991,7,FALSE)</f>
        <v>50.949337005615234</v>
      </c>
      <c r="G536" s="28">
        <f>IF(F536&lt;=IF(MONTH($C536)=4,$F$3,IF(MONTH($C536)=5,$F$4,IF(MONTH($C536)=6,$F$5,IF(MONTH($C536)=7,$F$6,"ERROR")))),1,0)</f>
        <v>1</v>
      </c>
      <c r="H536" s="30">
        <f>IF(J536=1,D536-$C$3,0)</f>
        <v>0</v>
      </c>
      <c r="I536" s="30">
        <f t="shared" si="764"/>
        <v>0</v>
      </c>
      <c r="J536" s="28">
        <f t="shared" ref="J536:J539" si="856">IF(AND(E536=1,G536=1),1,0)</f>
        <v>0</v>
      </c>
      <c r="K536" s="30">
        <f>VLOOKUP($C536,COS!$B$8:$H$991,2,FALSE)</f>
        <v>4390.5458984375</v>
      </c>
      <c r="L536" s="28">
        <f t="shared" ref="L536" si="857">IF(K536&lt;=IF(MONTH($C536)=4,$I$3,IF(MONTH($C536)=5,$I$4,IF(MONTH($C536)=6,$I$5,IF(MONTH($C536)=7,$I$6,"ERROR")))),1,0)</f>
        <v>1</v>
      </c>
      <c r="M536" s="28">
        <f t="shared" ref="M536" si="858">VLOOKUP($A536,$L$3:$M$7,2,FALSE)</f>
        <v>0</v>
      </c>
      <c r="N536" s="30">
        <f>VLOOKUP($C536,COS!$B$8:$H$991,5,FALSE)</f>
        <v>343.85354614257813</v>
      </c>
      <c r="O536" s="30">
        <f t="shared" ref="O536:O539" si="859">N536*DAY($C536)*86400/43560/1000</f>
        <v>20.460706877905476</v>
      </c>
      <c r="P536" s="30">
        <f>VLOOKUP($C536,COS!$B$8:$H$991,6,FALSE)</f>
        <v>435.81771850585938</v>
      </c>
      <c r="Q536" s="30">
        <f t="shared" ref="Q536:Q539" si="860">P536*DAY($C536)*86400/43560/1000</f>
        <v>25.932955150761881</v>
      </c>
      <c r="R536" s="30">
        <f>MIN(IF(MONTH($C536)=4,$S$3,IF(MONTH($C536)=5,$S$4,IF(MONTH($C536)=6,$S$5,IF(MONTH($C536)=7,$S$6,"ERROR")))),MAX(VLOOKUP($C536,COS!$B$8:$K$991,10,FALSE)-IF(MONTH($C536)=4,$Y$3,IF(MONTH($C536)=5,$Y$4,IF(MONTH($C536)=6,$Y$5,IF(MONTH($C536)=7,$Y$6,"ERROR")))),0),MAX(VLOOKUP($C536,COS!$B$8:$K$991,9,FALSE)-IF(MONTH($C536)=4,$V$3,IF(MONTH($C536)=5,$V$4,IF(MONTH($C536)=6,$V$5,IF(MONTH($C536)=7,$V$6,"ERROR"))))-VLOOKUP($C536,COS!$B$8:$K$991,6,FALSE)/2,0))</f>
        <v>750</v>
      </c>
      <c r="S536" s="30">
        <f t="shared" ref="S536:S539" si="861">R536*DAY($C536)*86400/43560/1000</f>
        <v>44.628099173553714</v>
      </c>
      <c r="T536" s="30">
        <f t="shared" ref="T536:T539" si="862">(O536+Q536)/2+S536</f>
        <v>67.824930187887389</v>
      </c>
      <c r="U536" s="30" t="str">
        <f>IF(VLOOKUP($C536,COS!$B$8:$I$991,8,FALSE)=1,"UWFE","IBU")</f>
        <v>UWFE</v>
      </c>
      <c r="V536" s="30">
        <f t="shared" ref="V536" si="863">MIN(IF(IF($AA$3=2,AND(E536=1,G536=1,L536=1,L541=1,M536=1,U536="IBU"),AND(E536=1,G536=1,L536=1,L541=1,M536=1)),T536,0),I536)</f>
        <v>0</v>
      </c>
      <c r="W536" s="30"/>
      <c r="X536" s="30"/>
      <c r="Y536" s="30"/>
      <c r="Z536" s="30"/>
      <c r="AA536" s="30"/>
      <c r="AB536" s="31"/>
    </row>
    <row r="537" spans="1:28" x14ac:dyDescent="0.3">
      <c r="A537" s="32">
        <f>VLOOKUP(YEAR(C537),Flags!$A$13:$B$95,2,FALSE)</f>
        <v>2</v>
      </c>
      <c r="B537" s="24">
        <f t="shared" si="841"/>
        <v>1980</v>
      </c>
      <c r="C537" s="25">
        <v>29372</v>
      </c>
      <c r="D537" s="26">
        <f>VLOOKUP($C537,COS!$B$8:$H$991,3,FALSE)</f>
        <v>6651.8935546875</v>
      </c>
      <c r="E537" s="24">
        <f>IF(D537&gt;=IF(MONTH($C537)=4,$C$3,IF(MONTH($C537)=5,$C$4,IF(MONTH($C537)=6,$C$5,IF(MONTH($C537)=7,$C$6,"ERROR")))),1,0)</f>
        <v>1</v>
      </c>
      <c r="F537" s="26">
        <f>VLOOKUP($C537,COS!$B$8:$H$991,7,FALSE)</f>
        <v>50.088848114013672</v>
      </c>
      <c r="G537" s="24">
        <f>IF(F537&lt;=IF(MONTH($C537)=4,$F$3,IF(MONTH($C537)=5,$F$4,IF(MONTH($C537)=6,$F$5,IF(MONTH($C537)=7,$F$6,"ERROR")))),1,0)</f>
        <v>1</v>
      </c>
      <c r="H537" s="26">
        <f>IF(J537=1,D537-$C$4,0)</f>
        <v>651.8935546875</v>
      </c>
      <c r="I537" s="26">
        <f t="shared" si="764"/>
        <v>40.083372288223138</v>
      </c>
      <c r="J537" s="24">
        <f t="shared" si="856"/>
        <v>1</v>
      </c>
      <c r="K537" s="26">
        <f>VLOOKUP($C537,COS!$B$8:$H$991,2,FALSE)</f>
        <v>4360.00341796875</v>
      </c>
      <c r="L537" s="24">
        <f t="shared" si="843"/>
        <v>1</v>
      </c>
      <c r="M537" s="24">
        <f t="shared" si="844"/>
        <v>0</v>
      </c>
      <c r="N537" s="26">
        <f>VLOOKUP($C537,COS!$B$8:$H$991,5,FALSE)</f>
        <v>671.396728515625</v>
      </c>
      <c r="O537" s="26">
        <f t="shared" si="859"/>
        <v>41.282575703770661</v>
      </c>
      <c r="P537" s="26">
        <f>VLOOKUP($C537,COS!$B$8:$H$991,6,FALSE)</f>
        <v>2141.340087890625</v>
      </c>
      <c r="Q537" s="26">
        <f t="shared" si="860"/>
        <v>131.6658698669938</v>
      </c>
      <c r="R537" s="26">
        <f>MIN(IF(MONTH($C537)=4,$S$3,IF(MONTH($C537)=5,$S$4,IF(MONTH($C537)=6,$S$5,IF(MONTH($C537)=7,$S$6,"ERROR")))),MAX(VLOOKUP($C537,COS!$B$8:$K$991,10,FALSE)-IF(MONTH($C537)=4,$Y$3,IF(MONTH($C537)=5,$Y$4,IF(MONTH($C537)=6,$Y$5,IF(MONTH($C537)=7,$Y$6,"ERROR")))),0),MAX(VLOOKUP($C537,COS!$B$8:$K$991,9,FALSE)-IF(MONTH($C537)=4,$V$3,IF(MONTH($C537)=5,$V$4,IF(MONTH($C537)=6,$V$5,IF(MONTH($C537)=7,$V$6,"ERROR"))))-VLOOKUP($C537,COS!$B$8:$K$991,6,FALSE)/2,0))</f>
        <v>750</v>
      </c>
      <c r="S537" s="26">
        <f t="shared" si="861"/>
        <v>46.115702479338843</v>
      </c>
      <c r="T537" s="26">
        <f t="shared" si="862"/>
        <v>132.58992526472107</v>
      </c>
      <c r="U537" s="26" t="str">
        <f>IF(VLOOKUP($C537,COS!$B$8:$I$991,8,FALSE)=1,"UWFE","IBU")</f>
        <v>UWFE</v>
      </c>
      <c r="V537" s="26">
        <f t="shared" ref="V537" si="864">MIN(IF(IF($AA$3=2,AND(E537=1,G537=1,L537=1,L541=1,M537=1,U537="IBU"),AND(E537=1,G537=1,L537=1,L541=1,M537=1)),T537,0),I537)</f>
        <v>0</v>
      </c>
      <c r="W537" s="26"/>
      <c r="X537" s="26"/>
      <c r="Y537" s="26"/>
      <c r="Z537" s="26"/>
      <c r="AA537" s="26"/>
      <c r="AB537" s="33"/>
    </row>
    <row r="538" spans="1:28" x14ac:dyDescent="0.3">
      <c r="A538" s="32">
        <f>VLOOKUP(YEAR(C538),Flags!$A$13:$B$95,2,FALSE)</f>
        <v>2</v>
      </c>
      <c r="B538" s="24">
        <f t="shared" si="841"/>
        <v>1980</v>
      </c>
      <c r="C538" s="25">
        <v>29402</v>
      </c>
      <c r="D538" s="26">
        <f>VLOOKUP($C538,COS!$B$8:$H$991,3,FALSE)</f>
        <v>9056.001953125</v>
      </c>
      <c r="E538" s="24">
        <f>IF(D538&gt;=IF(MONTH($C538)=4,$C$3,IF(MONTH($C538)=5,$C$4,IF(MONTH($C538)=6,$C$5,IF(MONTH($C538)=7,$C$6,"ERROR")))),1,0)</f>
        <v>0</v>
      </c>
      <c r="F538" s="26">
        <f>VLOOKUP($C538,COS!$B$8:$H$991,7,FALSE)</f>
        <v>51.123935699462891</v>
      </c>
      <c r="G538" s="24">
        <f>IF(F538&lt;=IF(MONTH($C538)=4,$F$3,IF(MONTH($C538)=5,$F$4,IF(MONTH($C538)=6,$F$5,IF(MONTH($C538)=7,$F$6,"ERROR")))),1,0)</f>
        <v>1</v>
      </c>
      <c r="H538" s="26">
        <f>IF(J538=1,D538-$C$5,0)</f>
        <v>0</v>
      </c>
      <c r="I538" s="26">
        <f t="shared" si="764"/>
        <v>0</v>
      </c>
      <c r="J538" s="24">
        <f t="shared" si="856"/>
        <v>0</v>
      </c>
      <c r="K538" s="26">
        <f>VLOOKUP($C538,COS!$B$8:$H$991,2,FALSE)</f>
        <v>4114.19091796875</v>
      </c>
      <c r="L538" s="24">
        <f t="shared" si="843"/>
        <v>1</v>
      </c>
      <c r="M538" s="24">
        <f t="shared" si="844"/>
        <v>0</v>
      </c>
      <c r="N538" s="26">
        <f>VLOOKUP($C538,COS!$B$8:$H$991,5,FALSE)</f>
        <v>914.7728271484375</v>
      </c>
      <c r="O538" s="26">
        <f t="shared" si="859"/>
        <v>54.432763268336778</v>
      </c>
      <c r="P538" s="26">
        <f>VLOOKUP($C538,COS!$B$8:$H$991,6,FALSE)</f>
        <v>2280.555419921875</v>
      </c>
      <c r="Q538" s="26">
        <f t="shared" si="860"/>
        <v>135.70247126807851</v>
      </c>
      <c r="R538" s="26">
        <f>MIN(IF(MONTH($C538)=4,$S$3,IF(MONTH($C538)=5,$S$4,IF(MONTH($C538)=6,$S$5,IF(MONTH($C538)=7,$S$6,"ERROR")))),MAX(VLOOKUP($C538,COS!$B$8:$K$991,10,FALSE)-IF(MONTH($C538)=4,$Y$3,IF(MONTH($C538)=5,$Y$4,IF(MONTH($C538)=6,$Y$5,IF(MONTH($C538)=7,$Y$6,"ERROR")))),0),MAX(VLOOKUP($C538,COS!$B$8:$K$991,9,FALSE)-IF(MONTH($C538)=4,$V$3,IF(MONTH($C538)=5,$V$4,IF(MONTH($C538)=6,$V$5,IF(MONTH($C538)=7,$V$6,"ERROR"))))-VLOOKUP($C538,COS!$B$8:$K$991,6,FALSE)/2,0))</f>
        <v>750</v>
      </c>
      <c r="S538" s="26">
        <f t="shared" si="861"/>
        <v>44.628099173553714</v>
      </c>
      <c r="T538" s="26">
        <f t="shared" si="862"/>
        <v>139.69571644176136</v>
      </c>
      <c r="U538" s="26" t="str">
        <f>IF(VLOOKUP($C538,COS!$B$8:$I$991,8,FALSE)=1,"UWFE","IBU")</f>
        <v>UWFE</v>
      </c>
      <c r="V538" s="26">
        <f t="shared" ref="V538" si="865">MIN(IF(IF($AA$3=2,AND(E538=1,G538=1,L538=1,L541=1,M538=1,U538="IBU"),AND(E538=1,G538=1,L538=1,L541=1,M538=1)),T538,0),I538)</f>
        <v>0</v>
      </c>
      <c r="W538" s="26"/>
      <c r="X538" s="26"/>
      <c r="Y538" s="26"/>
      <c r="Z538" s="26"/>
      <c r="AA538" s="26"/>
      <c r="AB538" s="33"/>
    </row>
    <row r="539" spans="1:28" x14ac:dyDescent="0.3">
      <c r="A539" s="32">
        <f>VLOOKUP(YEAR(C539),Flags!$A$13:$B$95,2,FALSE)</f>
        <v>2</v>
      </c>
      <c r="B539" s="24">
        <f t="shared" si="841"/>
        <v>1980</v>
      </c>
      <c r="C539" s="25">
        <v>29433</v>
      </c>
      <c r="D539" s="26">
        <f>VLOOKUP($C539,COS!$B$8:$H$991,3,FALSE)</f>
        <v>11086.111328125</v>
      </c>
      <c r="E539" s="24">
        <f>IF(D539&gt;=IF(MONTH($C539)=4,$C$3,IF(MONTH($C539)=5,$C$4,IF(MONTH($C539)=6,$C$5,IF(MONTH($C539)=7,$C$6,"ERROR")))),1,0)</f>
        <v>0</v>
      </c>
      <c r="F539" s="26">
        <f>VLOOKUP($C539,COS!$B$8:$H$991,7,FALSE)</f>
        <v>51.426025390625</v>
      </c>
      <c r="G539" s="24">
        <f>IF(F539&lt;=IF(MONTH($C539)=4,$F$3,IF(MONTH($C539)=5,$F$4,IF(MONTH($C539)=6,$F$5,IF(MONTH($C539)=7,$F$6,"ERROR")))),1,0)</f>
        <v>1</v>
      </c>
      <c r="H539" s="26">
        <f>IF(J539=1,D539-$C$6,0)</f>
        <v>0</v>
      </c>
      <c r="I539" s="26">
        <f t="shared" si="764"/>
        <v>0</v>
      </c>
      <c r="J539" s="24">
        <f t="shared" si="856"/>
        <v>0</v>
      </c>
      <c r="K539" s="26">
        <f>VLOOKUP($C539,COS!$B$8:$H$991,2,FALSE)</f>
        <v>3708.154052734375</v>
      </c>
      <c r="L539" s="24">
        <f t="shared" si="843"/>
        <v>1</v>
      </c>
      <c r="M539" s="24">
        <f t="shared" si="844"/>
        <v>0</v>
      </c>
      <c r="N539" s="26">
        <f>VLOOKUP($C539,COS!$B$8:$H$991,5,FALSE)</f>
        <v>1062.265380859375</v>
      </c>
      <c r="O539" s="26">
        <f t="shared" si="859"/>
        <v>65.316152343750005</v>
      </c>
      <c r="P539" s="26">
        <f>VLOOKUP($C539,COS!$B$8:$H$991,6,FALSE)</f>
        <v>2538.12646484375</v>
      </c>
      <c r="Q539" s="26">
        <f t="shared" si="860"/>
        <v>156.06331321022728</v>
      </c>
      <c r="R539" s="26">
        <f>MIN(IF(MONTH($C539)=4,$S$3,IF(MONTH($C539)=5,$S$4,IF(MONTH($C539)=6,$S$5,IF(MONTH($C539)=7,$S$6,"ERROR")))),MAX(VLOOKUP($C539,COS!$B$8:$K$991,10,FALSE)-IF(MONTH($C539)=4,$Y$3,IF(MONTH($C539)=5,$Y$4,IF(MONTH($C539)=6,$Y$5,IF(MONTH($C539)=7,$Y$6,"ERROR")))),0),MAX(VLOOKUP($C539,COS!$B$8:$K$991,9,FALSE)-IF(MONTH($C539)=4,$V$3,IF(MONTH($C539)=5,$V$4,IF(MONTH($C539)=6,$V$5,IF(MONTH($C539)=7,$V$6,"ERROR"))))-VLOOKUP($C539,COS!$B$8:$K$991,6,FALSE)/2,0))</f>
        <v>750</v>
      </c>
      <c r="S539" s="26">
        <f t="shared" si="861"/>
        <v>46.115702479338843</v>
      </c>
      <c r="T539" s="26">
        <f t="shared" si="862"/>
        <v>156.80543525632748</v>
      </c>
      <c r="U539" s="26" t="str">
        <f>IF(VLOOKUP($C539,COS!$B$8:$I$991,8,FALSE)=1,"UWFE","IBU")</f>
        <v>IBU</v>
      </c>
      <c r="V539" s="26">
        <f t="shared" ref="V539" si="866">MIN(IF(IF($AA$3=2,AND(E539=1,G539=1,L539=1,L541=1,M539=1,U539="IBU"),AND(E539=1,G539=1,L539=1,L541=1,M539=1)),T539,0),I539)</f>
        <v>0</v>
      </c>
      <c r="W539" s="26"/>
      <c r="X539" s="26"/>
      <c r="Y539" s="26"/>
      <c r="Z539" s="26"/>
      <c r="AA539" s="26"/>
      <c r="AB539" s="33"/>
    </row>
    <row r="540" spans="1:28" x14ac:dyDescent="0.3">
      <c r="A540" s="32">
        <f>VLOOKUP(YEAR(C540),Flags!$A$13:$B$95,2,FALSE)</f>
        <v>2</v>
      </c>
      <c r="B540" s="24">
        <f t="shared" si="841"/>
        <v>1980</v>
      </c>
      <c r="C540" s="25">
        <v>29464</v>
      </c>
      <c r="D540" s="26"/>
      <c r="E540" s="24"/>
      <c r="F540" s="26"/>
      <c r="G540" s="24"/>
      <c r="H540" s="24"/>
      <c r="I540" s="26"/>
      <c r="J540" s="24"/>
      <c r="K540" s="26"/>
      <c r="L540" s="24"/>
      <c r="M540" s="24"/>
      <c r="N540" s="26"/>
      <c r="O540" s="26"/>
      <c r="P540" s="26"/>
      <c r="Q540" s="26"/>
      <c r="R540" s="26"/>
      <c r="S540" s="26"/>
      <c r="T540" s="26"/>
      <c r="U540" s="26"/>
      <c r="V540" s="26"/>
      <c r="W540" s="26">
        <f>MAX($C$7-VLOOKUP($C540,COS!$B$8:$H$991,3,FALSE),0)</f>
        <v>90859.5693359375</v>
      </c>
      <c r="X540" s="26">
        <f t="shared" si="769"/>
        <v>5586.7371558626037</v>
      </c>
      <c r="Y540" s="26">
        <f>VLOOKUP($C540,COS!$B$8:$H$991,4,FALSE)</f>
        <v>0</v>
      </c>
      <c r="Z540" s="26">
        <f t="shared" si="770"/>
        <v>0</v>
      </c>
      <c r="AA540" s="26">
        <f t="shared" ref="AA540:AA544" si="867">MIN(W540,Y540)</f>
        <v>0</v>
      </c>
      <c r="AB540" s="33">
        <f t="shared" ref="AB540" si="868">AA540*DAY($C540)*86400/43560/1000*IF(MONTH($C540)=8,$P$3,IF(MONTH($C540)=9,$P$4,IF(MONTH($C540)=10,$P$5,IF(MONTH($C540)=11,$P$6,IF(MONTH($C540)=12,$P$7,NA())))))</f>
        <v>0</v>
      </c>
    </row>
    <row r="541" spans="1:28" x14ac:dyDescent="0.3">
      <c r="A541" s="32">
        <f>VLOOKUP(YEAR(C541),Flags!$A$13:$B$95,2,FALSE)</f>
        <v>2</v>
      </c>
      <c r="B541" s="24">
        <f t="shared" si="841"/>
        <v>1980</v>
      </c>
      <c r="C541" s="25">
        <v>29494</v>
      </c>
      <c r="D541" s="26"/>
      <c r="E541" s="24"/>
      <c r="F541" s="26"/>
      <c r="G541" s="24"/>
      <c r="H541" s="24"/>
      <c r="I541" s="26"/>
      <c r="J541" s="24"/>
      <c r="K541" s="26">
        <f>VLOOKUP($C541,COS!$B$8:$H$991,2,FALSE)</f>
        <v>3161.38623046875</v>
      </c>
      <c r="L541" s="24">
        <f t="shared" ref="L541" si="869">IF(AND(K541&gt;$I$7,K541&lt;$I$8),1,0)</f>
        <v>1</v>
      </c>
      <c r="M541" s="24"/>
      <c r="N541" s="26"/>
      <c r="O541" s="26"/>
      <c r="P541" s="26"/>
      <c r="Q541" s="26"/>
      <c r="R541" s="26"/>
      <c r="S541" s="26"/>
      <c r="T541" s="26"/>
      <c r="U541" s="26"/>
      <c r="V541" s="26"/>
      <c r="W541" s="26">
        <f>MAX($C$8-VLOOKUP($C541,COS!$B$8:$H$991,3,FALSE),0)</f>
        <v>91065.9287109375</v>
      </c>
      <c r="X541" s="26">
        <f t="shared" si="769"/>
        <v>5418.7990637913226</v>
      </c>
      <c r="Y541" s="26">
        <f>VLOOKUP($C541,COS!$B$8:$H$991,4,FALSE)</f>
        <v>103.58695983886719</v>
      </c>
      <c r="Z541" s="26">
        <f t="shared" si="770"/>
        <v>6.1638521557011883</v>
      </c>
      <c r="AA541" s="26">
        <f t="shared" si="867"/>
        <v>103.58695983886719</v>
      </c>
      <c r="AB541" s="33">
        <f t="shared" si="854"/>
        <v>6.1638521557011883</v>
      </c>
    </row>
    <row r="542" spans="1:28" x14ac:dyDescent="0.3">
      <c r="A542" s="32">
        <f>VLOOKUP(YEAR(C542),Flags!$A$13:$B$95,2,FALSE)</f>
        <v>2</v>
      </c>
      <c r="B542" s="24">
        <f t="shared" si="841"/>
        <v>1980</v>
      </c>
      <c r="C542" s="25">
        <v>29525</v>
      </c>
      <c r="D542" s="26"/>
      <c r="E542" s="24"/>
      <c r="F542" s="26"/>
      <c r="G542" s="26"/>
      <c r="H542" s="26"/>
      <c r="I542" s="26"/>
      <c r="J542" s="26"/>
      <c r="K542" s="26"/>
      <c r="L542" s="24"/>
      <c r="M542" s="24"/>
      <c r="N542" s="26"/>
      <c r="O542" s="26"/>
      <c r="P542" s="26"/>
      <c r="Q542" s="26"/>
      <c r="R542" s="26"/>
      <c r="S542" s="26"/>
      <c r="T542" s="26"/>
      <c r="U542" s="26"/>
      <c r="V542" s="26"/>
      <c r="W542" s="26">
        <f>MAX($C$9-VLOOKUP($C542,COS!$B$8:$H$991,3,FALSE),0)</f>
        <v>93740.7666015625</v>
      </c>
      <c r="X542" s="26">
        <f t="shared" si="769"/>
        <v>5763.8950703770661</v>
      </c>
      <c r="Y542" s="26">
        <f>VLOOKUP($C542,COS!$B$8:$H$991,4,FALSE)</f>
        <v>295.8243408203125</v>
      </c>
      <c r="Z542" s="26">
        <f t="shared" si="770"/>
        <v>18.189529716554752</v>
      </c>
      <c r="AA542" s="26">
        <f t="shared" si="867"/>
        <v>295.8243408203125</v>
      </c>
      <c r="AB542" s="33">
        <f t="shared" si="854"/>
        <v>18.189529716554752</v>
      </c>
    </row>
    <row r="543" spans="1:28" x14ac:dyDescent="0.3">
      <c r="A543" s="32">
        <f>VLOOKUP(YEAR(C543),Flags!$A$13:$B$95,2,FALSE)</f>
        <v>2</v>
      </c>
      <c r="B543" s="24">
        <f t="shared" si="841"/>
        <v>1980</v>
      </c>
      <c r="C543" s="25">
        <v>29555</v>
      </c>
      <c r="D543" s="26"/>
      <c r="E543" s="24"/>
      <c r="F543" s="26"/>
      <c r="G543" s="26"/>
      <c r="H543" s="26"/>
      <c r="I543" s="26"/>
      <c r="J543" s="26"/>
      <c r="K543" s="26"/>
      <c r="L543" s="24"/>
      <c r="M543" s="24"/>
      <c r="N543" s="26"/>
      <c r="O543" s="26"/>
      <c r="P543" s="26"/>
      <c r="Q543" s="26"/>
      <c r="R543" s="26"/>
      <c r="S543" s="26"/>
      <c r="T543" s="26"/>
      <c r="U543" s="26"/>
      <c r="V543" s="26"/>
      <c r="W543" s="26">
        <f>MAX($C$10-VLOOKUP($C543,COS!$B$8:$H$991,3,FALSE),0)</f>
        <v>89348.224609375</v>
      </c>
      <c r="X543" s="26">
        <f t="shared" ref="X543:X606" si="870">W543*DAY($C543)*86400/43560/1000</f>
        <v>5316.5885717975207</v>
      </c>
      <c r="Y543" s="26">
        <f>VLOOKUP($C543,COS!$B$8:$H$991,4,FALSE)</f>
        <v>250.89311218261719</v>
      </c>
      <c r="Z543" s="26">
        <f t="shared" ref="Z543:Z606" si="871">Y543*DAY($C543)*86400/43560/1000</f>
        <v>14.929176923263173</v>
      </c>
      <c r="AA543" s="26">
        <f t="shared" si="867"/>
        <v>250.89311218261719</v>
      </c>
      <c r="AB543" s="33">
        <f t="shared" si="854"/>
        <v>7.4645884616315863</v>
      </c>
    </row>
    <row r="544" spans="1:28" x14ac:dyDescent="0.3">
      <c r="A544" s="34">
        <f>VLOOKUP(YEAR(C544),Flags!$A$13:$B$95,2,FALSE)</f>
        <v>2</v>
      </c>
      <c r="B544" s="35">
        <f t="shared" si="841"/>
        <v>1980</v>
      </c>
      <c r="C544" s="36">
        <v>29586</v>
      </c>
      <c r="D544" s="37"/>
      <c r="E544" s="35"/>
      <c r="F544" s="37"/>
      <c r="G544" s="37"/>
      <c r="H544" s="37"/>
      <c r="I544" s="37"/>
      <c r="J544" s="37"/>
      <c r="K544" s="37"/>
      <c r="L544" s="35"/>
      <c r="M544" s="35"/>
      <c r="N544" s="37"/>
      <c r="O544" s="37"/>
      <c r="P544" s="37"/>
      <c r="Q544" s="37"/>
      <c r="R544" s="37"/>
      <c r="S544" s="37"/>
      <c r="T544" s="37"/>
      <c r="U544" s="37"/>
      <c r="V544" s="37"/>
      <c r="W544" s="37">
        <f>MAX($C$11-VLOOKUP($C544,COS!$B$8:$H$991,3,FALSE),0)</f>
        <v>0</v>
      </c>
      <c r="X544" s="37">
        <f t="shared" si="870"/>
        <v>0</v>
      </c>
      <c r="Y544" s="37">
        <f>VLOOKUP($C544,COS!$B$8:$H$991,4,FALSE)</f>
        <v>0</v>
      </c>
      <c r="Z544" s="37">
        <f t="shared" si="871"/>
        <v>0</v>
      </c>
      <c r="AA544" s="37">
        <f t="shared" si="867"/>
        <v>0</v>
      </c>
      <c r="AB544" s="38">
        <f t="shared" si="854"/>
        <v>0</v>
      </c>
    </row>
    <row r="545" spans="1:28" x14ac:dyDescent="0.3">
      <c r="A545" s="27">
        <f>VLOOKUP(YEAR(C545),Flags!$A$13:$B$95,2,FALSE)</f>
        <v>4</v>
      </c>
      <c r="B545" s="28">
        <f t="shared" si="841"/>
        <v>1981</v>
      </c>
      <c r="C545" s="29">
        <v>29706</v>
      </c>
      <c r="D545" s="30">
        <f>VLOOKUP($C545,COS!$B$8:$H$991,3,FALSE)</f>
        <v>3250</v>
      </c>
      <c r="E545" s="28">
        <f>IF(D545&gt;=IF(MONTH($C545)=4,$C$3,IF(MONTH($C545)=5,$C$4,IF(MONTH($C545)=6,$C$5,IF(MONTH($C545)=7,$C$6,"ERROR")))),1,0)</f>
        <v>0</v>
      </c>
      <c r="F545" s="30">
        <f>VLOOKUP($C545,COS!$B$8:$H$991,7,FALSE)</f>
        <v>51.835830688476563</v>
      </c>
      <c r="G545" s="28">
        <f>IF(F545&lt;=IF(MONTH($C545)=4,$F$3,IF(MONTH($C545)=5,$F$4,IF(MONTH($C545)=6,$F$5,IF(MONTH($C545)=7,$F$6,"ERROR")))),1,0)</f>
        <v>1</v>
      </c>
      <c r="H545" s="30">
        <f>IF(J545=1,D545-$C$3,0)</f>
        <v>0</v>
      </c>
      <c r="I545" s="30">
        <f t="shared" ref="I545:I608" si="872">H545*DAY($C545)*86400/43560/1000</f>
        <v>0</v>
      </c>
      <c r="J545" s="28">
        <f t="shared" ref="J545:J548" si="873">IF(AND(E545=1,G545=1),1,0)</f>
        <v>0</v>
      </c>
      <c r="K545" s="30">
        <f>VLOOKUP($C545,COS!$B$8:$H$991,2,FALSE)</f>
        <v>4273.45361328125</v>
      </c>
      <c r="L545" s="28">
        <f t="shared" ref="L545" si="874">IF(K545&lt;=IF(MONTH($C545)=4,$I$3,IF(MONTH($C545)=5,$I$4,IF(MONTH($C545)=6,$I$5,IF(MONTH($C545)=7,$I$6,"ERROR")))),1,0)</f>
        <v>1</v>
      </c>
      <c r="M545" s="28">
        <f t="shared" ref="M545" si="875">VLOOKUP($A545,$L$3:$M$7,2,FALSE)</f>
        <v>1</v>
      </c>
      <c r="N545" s="30">
        <f>VLOOKUP($C545,COS!$B$8:$H$991,5,FALSE)</f>
        <v>216.92788696289063</v>
      </c>
      <c r="O545" s="30">
        <f t="shared" ref="O545:O548" si="876">N545*DAY($C545)*86400/43560/1000</f>
        <v>12.908105670519111</v>
      </c>
      <c r="P545" s="30">
        <f>VLOOKUP($C545,COS!$B$8:$H$991,6,FALSE)</f>
        <v>405.1795654296875</v>
      </c>
      <c r="Q545" s="30">
        <f t="shared" ref="Q545:Q548" si="877">P545*DAY($C545)*86400/43560/1000</f>
        <v>24.109858438791321</v>
      </c>
      <c r="R545" s="30">
        <f>MIN(IF(MONTH($C545)=4,$S$3,IF(MONTH($C545)=5,$S$4,IF(MONTH($C545)=6,$S$5,IF(MONTH($C545)=7,$S$6,"ERROR")))),MAX(VLOOKUP($C545,COS!$B$8:$K$991,10,FALSE)-IF(MONTH($C545)=4,$Y$3,IF(MONTH($C545)=5,$Y$4,IF(MONTH($C545)=6,$Y$5,IF(MONTH($C545)=7,$Y$6,"ERROR")))),0),MAX(VLOOKUP($C545,COS!$B$8:$K$991,9,FALSE)-IF(MONTH($C545)=4,$V$3,IF(MONTH($C545)=5,$V$4,IF(MONTH($C545)=6,$V$5,IF(MONTH($C545)=7,$V$6,"ERROR"))))-VLOOKUP($C545,COS!$B$8:$K$991,6,FALSE)/2,0))</f>
        <v>750</v>
      </c>
      <c r="S545" s="30">
        <f t="shared" ref="S545:S548" si="878">R545*DAY($C545)*86400/43560/1000</f>
        <v>44.628099173553714</v>
      </c>
      <c r="T545" s="30">
        <f t="shared" ref="T545:T548" si="879">(O545+Q545)/2+S545</f>
        <v>63.137081228208928</v>
      </c>
      <c r="U545" s="30" t="str">
        <f>IF(VLOOKUP($C545,COS!$B$8:$I$991,8,FALSE)=1,"UWFE","IBU")</f>
        <v>UWFE</v>
      </c>
      <c r="V545" s="30">
        <f t="shared" ref="V545" si="880">MIN(IF(IF($AA$3=2,AND(E545=1,G545=1,L545=1,L550=1,M545=1,U545="IBU"),AND(E545=1,G545=1,L545=1,L550=1,M545=1)),T545,0),I545)</f>
        <v>0</v>
      </c>
      <c r="W545" s="30"/>
      <c r="X545" s="30"/>
      <c r="Y545" s="30"/>
      <c r="Z545" s="30"/>
      <c r="AA545" s="30"/>
      <c r="AB545" s="31"/>
    </row>
    <row r="546" spans="1:28" x14ac:dyDescent="0.3">
      <c r="A546" s="32">
        <f>VLOOKUP(YEAR(C546),Flags!$A$13:$B$95,2,FALSE)</f>
        <v>4</v>
      </c>
      <c r="B546" s="24">
        <f t="shared" si="841"/>
        <v>1981</v>
      </c>
      <c r="C546" s="25">
        <v>29737</v>
      </c>
      <c r="D546" s="26">
        <f>VLOOKUP($C546,COS!$B$8:$H$991,3,FALSE)</f>
        <v>7636.04248046875</v>
      </c>
      <c r="E546" s="24">
        <f>IF(D546&gt;=IF(MONTH($C546)=4,$C$3,IF(MONTH($C546)=5,$C$4,IF(MONTH($C546)=6,$C$5,IF(MONTH($C546)=7,$C$6,"ERROR")))),1,0)</f>
        <v>1</v>
      </c>
      <c r="F546" s="26">
        <f>VLOOKUP($C546,COS!$B$8:$H$991,7,FALSE)</f>
        <v>50.98291015625</v>
      </c>
      <c r="G546" s="24">
        <f>IF(F546&lt;=IF(MONTH($C546)=4,$F$3,IF(MONTH($C546)=5,$F$4,IF(MONTH($C546)=6,$F$5,IF(MONTH($C546)=7,$F$6,"ERROR")))),1,0)</f>
        <v>1</v>
      </c>
      <c r="H546" s="26">
        <f>IF(J546=1,D546-$C$4,0)</f>
        <v>1636.04248046875</v>
      </c>
      <c r="I546" s="26">
        <f t="shared" si="872"/>
        <v>100.59633103047521</v>
      </c>
      <c r="J546" s="24">
        <f t="shared" si="873"/>
        <v>1</v>
      </c>
      <c r="K546" s="26">
        <f>VLOOKUP($C546,COS!$B$8:$H$991,2,FALSE)</f>
        <v>4072.649658203125</v>
      </c>
      <c r="L546" s="24">
        <f t="shared" si="843"/>
        <v>1</v>
      </c>
      <c r="M546" s="24">
        <f t="shared" si="844"/>
        <v>1</v>
      </c>
      <c r="N546" s="26">
        <f>VLOOKUP($C546,COS!$B$8:$H$991,5,FALSE)</f>
        <v>512.199951171875</v>
      </c>
      <c r="O546" s="26">
        <f t="shared" si="876"/>
        <v>31.493947410898759</v>
      </c>
      <c r="P546" s="26">
        <f>VLOOKUP($C546,COS!$B$8:$H$991,6,FALSE)</f>
        <v>2162.07861328125</v>
      </c>
      <c r="Q546" s="26">
        <f t="shared" si="877"/>
        <v>132.94103208935951</v>
      </c>
      <c r="R546" s="26">
        <f>MIN(IF(MONTH($C546)=4,$S$3,IF(MONTH($C546)=5,$S$4,IF(MONTH($C546)=6,$S$5,IF(MONTH($C546)=7,$S$6,"ERROR")))),MAX(VLOOKUP($C546,COS!$B$8:$K$991,10,FALSE)-IF(MONTH($C546)=4,$Y$3,IF(MONTH($C546)=5,$Y$4,IF(MONTH($C546)=6,$Y$5,IF(MONTH($C546)=7,$Y$6,"ERROR")))),0),MAX(VLOOKUP($C546,COS!$B$8:$K$991,9,FALSE)-IF(MONTH($C546)=4,$V$3,IF(MONTH($C546)=5,$V$4,IF(MONTH($C546)=6,$V$5,IF(MONTH($C546)=7,$V$6,"ERROR"))))-VLOOKUP($C546,COS!$B$8:$K$991,6,FALSE)/2,0))</f>
        <v>750</v>
      </c>
      <c r="S546" s="26">
        <f t="shared" si="878"/>
        <v>46.115702479338843</v>
      </c>
      <c r="T546" s="26">
        <f t="shared" si="879"/>
        <v>128.33319222946798</v>
      </c>
      <c r="U546" s="26" t="str">
        <f>IF(VLOOKUP($C546,COS!$B$8:$I$991,8,FALSE)=1,"UWFE","IBU")</f>
        <v>IBU</v>
      </c>
      <c r="V546" s="26">
        <f t="shared" ref="V546" si="881">MIN(IF(IF($AA$3=2,AND(E546=1,G546=1,L546=1,L550=1,M546=1,U546="IBU"),AND(E546=1,G546=1,L546=1,L550=1,M546=1)),T546,0),I546)</f>
        <v>100.59633103047521</v>
      </c>
      <c r="W546" s="26"/>
      <c r="X546" s="26"/>
      <c r="Y546" s="26"/>
      <c r="Z546" s="26"/>
      <c r="AA546" s="26"/>
      <c r="AB546" s="33"/>
    </row>
    <row r="547" spans="1:28" x14ac:dyDescent="0.3">
      <c r="A547" s="32">
        <f>VLOOKUP(YEAR(C547),Flags!$A$13:$B$95,2,FALSE)</f>
        <v>4</v>
      </c>
      <c r="B547" s="24">
        <f t="shared" si="841"/>
        <v>1981</v>
      </c>
      <c r="C547" s="25">
        <v>29767</v>
      </c>
      <c r="D547" s="26">
        <f>VLOOKUP($C547,COS!$B$8:$H$991,3,FALSE)</f>
        <v>14118.259765625</v>
      </c>
      <c r="E547" s="24">
        <f>IF(D547&gt;=IF(MONTH($C547)=4,$C$3,IF(MONTH($C547)=5,$C$4,IF(MONTH($C547)=6,$C$5,IF(MONTH($C547)=7,$C$6,"ERROR")))),1,0)</f>
        <v>1</v>
      </c>
      <c r="F547" s="26">
        <f>VLOOKUP($C547,COS!$B$8:$H$991,7,FALSE)</f>
        <v>50.939315795898438</v>
      </c>
      <c r="G547" s="24">
        <f>IF(F547&lt;=IF(MONTH($C547)=4,$F$3,IF(MONTH($C547)=5,$F$4,IF(MONTH($C547)=6,$F$5,IF(MONTH($C547)=7,$F$6,"ERROR")))),1,0)</f>
        <v>1</v>
      </c>
      <c r="H547" s="26">
        <f>IF(J547=1,D547-$C$5,0)</f>
        <v>4118.259765625</v>
      </c>
      <c r="I547" s="26">
        <f t="shared" si="872"/>
        <v>245.0534736570248</v>
      </c>
      <c r="J547" s="24">
        <f t="shared" si="873"/>
        <v>1</v>
      </c>
      <c r="K547" s="26">
        <f>VLOOKUP($C547,COS!$B$8:$H$991,2,FALSE)</f>
        <v>3447.17138671875</v>
      </c>
      <c r="L547" s="24">
        <f t="shared" si="843"/>
        <v>1</v>
      </c>
      <c r="M547" s="24">
        <f t="shared" si="844"/>
        <v>1</v>
      </c>
      <c r="N547" s="26">
        <f>VLOOKUP($C547,COS!$B$8:$H$991,5,FALSE)</f>
        <v>824.02752685546875</v>
      </c>
      <c r="O547" s="26">
        <f t="shared" si="876"/>
        <v>49.033042920325407</v>
      </c>
      <c r="P547" s="26">
        <f>VLOOKUP($C547,COS!$B$8:$H$991,6,FALSE)</f>
        <v>2714.961669921875</v>
      </c>
      <c r="Q547" s="26">
        <f t="shared" si="877"/>
        <v>161.55143821022727</v>
      </c>
      <c r="R547" s="26">
        <f>MIN(IF(MONTH($C547)=4,$S$3,IF(MONTH($C547)=5,$S$4,IF(MONTH($C547)=6,$S$5,IF(MONTH($C547)=7,$S$6,"ERROR")))),MAX(VLOOKUP($C547,COS!$B$8:$K$991,10,FALSE)-IF(MONTH($C547)=4,$Y$3,IF(MONTH($C547)=5,$Y$4,IF(MONTH($C547)=6,$Y$5,IF(MONTH($C547)=7,$Y$6,"ERROR")))),0),MAX(VLOOKUP($C547,COS!$B$8:$K$991,9,FALSE)-IF(MONTH($C547)=4,$V$3,IF(MONTH($C547)=5,$V$4,IF(MONTH($C547)=6,$V$5,IF(MONTH($C547)=7,$V$6,"ERROR"))))-VLOOKUP($C547,COS!$B$8:$K$991,6,FALSE)/2,0))</f>
        <v>750</v>
      </c>
      <c r="S547" s="26">
        <f t="shared" si="878"/>
        <v>44.628099173553714</v>
      </c>
      <c r="T547" s="26">
        <f t="shared" si="879"/>
        <v>149.92033973883005</v>
      </c>
      <c r="U547" s="26" t="str">
        <f>IF(VLOOKUP($C547,COS!$B$8:$I$991,8,FALSE)=1,"UWFE","IBU")</f>
        <v>IBU</v>
      </c>
      <c r="V547" s="26">
        <f t="shared" ref="V547" si="882">MIN(IF(IF($AA$3=2,AND(E547=1,G547=1,L547=1,L550=1,M547=1,U547="IBU"),AND(E547=1,G547=1,L547=1,L550=1,M547=1)),T547,0),I547)</f>
        <v>149.92033973883005</v>
      </c>
      <c r="W547" s="26"/>
      <c r="X547" s="26"/>
      <c r="Y547" s="26"/>
      <c r="Z547" s="26"/>
      <c r="AA547" s="26"/>
      <c r="AB547" s="33"/>
    </row>
    <row r="548" spans="1:28" x14ac:dyDescent="0.3">
      <c r="A548" s="32">
        <f>VLOOKUP(YEAR(C548),Flags!$A$13:$B$95,2,FALSE)</f>
        <v>4</v>
      </c>
      <c r="B548" s="24">
        <f t="shared" si="841"/>
        <v>1981</v>
      </c>
      <c r="C548" s="25">
        <v>29798</v>
      </c>
      <c r="D548" s="26">
        <f>VLOOKUP($C548,COS!$B$8:$H$991,3,FALSE)</f>
        <v>16000</v>
      </c>
      <c r="E548" s="24">
        <f>IF(D548&gt;=IF(MONTH($C548)=4,$C$3,IF(MONTH($C548)=5,$C$4,IF(MONTH($C548)=6,$C$5,IF(MONTH($C548)=7,$C$6,"ERROR")))),1,0)</f>
        <v>1</v>
      </c>
      <c r="F548" s="26">
        <f>VLOOKUP($C548,COS!$B$8:$H$991,7,FALSE)</f>
        <v>52.245452880859375</v>
      </c>
      <c r="G548" s="24">
        <f>IF(F548&lt;=IF(MONTH($C548)=4,$F$3,IF(MONTH($C548)=5,$F$4,IF(MONTH($C548)=6,$F$5,IF(MONTH($C548)=7,$F$6,"ERROR")))),1,0)</f>
        <v>1</v>
      </c>
      <c r="H548" s="26">
        <f>IF(J548=1,D548-$C$6,0)</f>
        <v>4000</v>
      </c>
      <c r="I548" s="26">
        <f t="shared" si="872"/>
        <v>245.95041322314049</v>
      </c>
      <c r="J548" s="24">
        <f t="shared" si="873"/>
        <v>1</v>
      </c>
      <c r="K548" s="26">
        <f>VLOOKUP($C548,COS!$B$8:$H$991,2,FALSE)</f>
        <v>2809.813720703125</v>
      </c>
      <c r="L548" s="24">
        <f t="shared" si="843"/>
        <v>1</v>
      </c>
      <c r="M548" s="24">
        <f t="shared" si="844"/>
        <v>1</v>
      </c>
      <c r="N548" s="26">
        <f>VLOOKUP($C548,COS!$B$8:$H$991,5,FALSE)</f>
        <v>902.334716796875</v>
      </c>
      <c r="O548" s="26">
        <f t="shared" si="876"/>
        <v>55.48239911544421</v>
      </c>
      <c r="P548" s="26">
        <f>VLOOKUP($C548,COS!$B$8:$H$991,6,FALSE)</f>
        <v>2538.07568359375</v>
      </c>
      <c r="Q548" s="26">
        <f t="shared" si="877"/>
        <v>156.06019079287191</v>
      </c>
      <c r="R548" s="26">
        <f>MIN(IF(MONTH($C548)=4,$S$3,IF(MONTH($C548)=5,$S$4,IF(MONTH($C548)=6,$S$5,IF(MONTH($C548)=7,$S$6,"ERROR")))),MAX(VLOOKUP($C548,COS!$B$8:$K$991,10,FALSE)-IF(MONTH($C548)=4,$Y$3,IF(MONTH($C548)=5,$Y$4,IF(MONTH($C548)=6,$Y$5,IF(MONTH($C548)=7,$Y$6,"ERROR")))),0),MAX(VLOOKUP($C548,COS!$B$8:$K$991,9,FALSE)-IF(MONTH($C548)=4,$V$3,IF(MONTH($C548)=5,$V$4,IF(MONTH($C548)=6,$V$5,IF(MONTH($C548)=7,$V$6,"ERROR"))))-VLOOKUP($C548,COS!$B$8:$K$991,6,FALSE)/2,0))</f>
        <v>750</v>
      </c>
      <c r="S548" s="26">
        <f t="shared" si="878"/>
        <v>46.115702479338843</v>
      </c>
      <c r="T548" s="26">
        <f t="shared" si="879"/>
        <v>151.8869974334969</v>
      </c>
      <c r="U548" s="26" t="str">
        <f>IF(VLOOKUP($C548,COS!$B$8:$I$991,8,FALSE)=1,"UWFE","IBU")</f>
        <v>IBU</v>
      </c>
      <c r="V548" s="26">
        <f t="shared" ref="V548" si="883">MIN(IF(IF($AA$3=2,AND(E548=1,G548=1,L548=1,L550=1,M548=1,U548="IBU"),AND(E548=1,G548=1,L548=1,L550=1,M548=1)),T548,0),I548)</f>
        <v>151.8869974334969</v>
      </c>
      <c r="W548" s="26"/>
      <c r="X548" s="26"/>
      <c r="Y548" s="26"/>
      <c r="Z548" s="26"/>
      <c r="AA548" s="26"/>
      <c r="AB548" s="33"/>
    </row>
    <row r="549" spans="1:28" x14ac:dyDescent="0.3">
      <c r="A549" s="32">
        <f>VLOOKUP(YEAR(C549),Flags!$A$13:$B$95,2,FALSE)</f>
        <v>4</v>
      </c>
      <c r="B549" s="24">
        <f t="shared" si="841"/>
        <v>1981</v>
      </c>
      <c r="C549" s="25">
        <v>29829</v>
      </c>
      <c r="D549" s="26"/>
      <c r="E549" s="24"/>
      <c r="F549" s="26"/>
      <c r="G549" s="24"/>
      <c r="H549" s="24"/>
      <c r="I549" s="26"/>
      <c r="J549" s="24"/>
      <c r="K549" s="26"/>
      <c r="L549" s="24"/>
      <c r="M549" s="24"/>
      <c r="N549" s="26"/>
      <c r="O549" s="26"/>
      <c r="P549" s="26"/>
      <c r="Q549" s="26"/>
      <c r="R549" s="26"/>
      <c r="S549" s="26"/>
      <c r="T549" s="26"/>
      <c r="U549" s="26"/>
      <c r="V549" s="26"/>
      <c r="W549" s="26">
        <f>MAX($C$7-VLOOKUP($C549,COS!$B$8:$H$991,3,FALSE),0)</f>
        <v>91031.4130859375</v>
      </c>
      <c r="X549" s="26">
        <f t="shared" si="870"/>
        <v>5597.3034161931819</v>
      </c>
      <c r="Y549" s="26">
        <f>VLOOKUP($C549,COS!$B$8:$H$991,4,FALSE)</f>
        <v>3055.62109375</v>
      </c>
      <c r="Z549" s="26">
        <f t="shared" si="871"/>
        <v>187.88281766528925</v>
      </c>
      <c r="AA549" s="26">
        <f t="shared" ref="AA549:AA553" si="884">MIN(W549,Y549)</f>
        <v>3055.62109375</v>
      </c>
      <c r="AB549" s="33">
        <f t="shared" ref="AB549" si="885">AA549*DAY($C549)*86400/43560/1000*IF(MONTH($C549)=8,$P$3,IF(MONTH($C549)=9,$P$4,IF(MONTH($C549)=10,$P$5,IF(MONTH($C549)=11,$P$6,IF(MONTH($C549)=12,$P$7,NA())))))</f>
        <v>187.88281766528925</v>
      </c>
    </row>
    <row r="550" spans="1:28" x14ac:dyDescent="0.3">
      <c r="A550" s="32">
        <f>VLOOKUP(YEAR(C550),Flags!$A$13:$B$95,2,FALSE)</f>
        <v>4</v>
      </c>
      <c r="B550" s="24">
        <f t="shared" si="841"/>
        <v>1981</v>
      </c>
      <c r="C550" s="25">
        <v>29859</v>
      </c>
      <c r="D550" s="26"/>
      <c r="E550" s="24"/>
      <c r="F550" s="26"/>
      <c r="G550" s="24"/>
      <c r="H550" s="24"/>
      <c r="I550" s="26"/>
      <c r="J550" s="24"/>
      <c r="K550" s="26">
        <f>VLOOKUP($C550,COS!$B$8:$H$991,2,FALSE)</f>
        <v>2475.966796875</v>
      </c>
      <c r="L550" s="24">
        <f t="shared" ref="L550" si="886">IF(AND(K550&gt;$I$7,K550&lt;$I$8),1,0)</f>
        <v>1</v>
      </c>
      <c r="M550" s="24"/>
      <c r="N550" s="26"/>
      <c r="O550" s="26"/>
      <c r="P550" s="26"/>
      <c r="Q550" s="26"/>
      <c r="R550" s="26"/>
      <c r="S550" s="26"/>
      <c r="T550" s="26"/>
      <c r="U550" s="26"/>
      <c r="V550" s="26"/>
      <c r="W550" s="26">
        <f>MAX($C$8-VLOOKUP($C550,COS!$B$8:$H$991,3,FALSE),0)</f>
        <v>94645.4052734375</v>
      </c>
      <c r="X550" s="26">
        <f t="shared" si="870"/>
        <v>5631.7927104855371</v>
      </c>
      <c r="Y550" s="26">
        <f>VLOOKUP($C550,COS!$B$8:$H$991,4,FALSE)</f>
        <v>917.53326416015625</v>
      </c>
      <c r="Z550" s="26">
        <f t="shared" si="871"/>
        <v>54.597020677298552</v>
      </c>
      <c r="AA550" s="26">
        <f t="shared" si="884"/>
        <v>917.53326416015625</v>
      </c>
      <c r="AB550" s="33">
        <f t="shared" si="854"/>
        <v>54.597020677298552</v>
      </c>
    </row>
    <row r="551" spans="1:28" x14ac:dyDescent="0.3">
      <c r="A551" s="32">
        <f>VLOOKUP(YEAR(C551),Flags!$A$13:$B$95,2,FALSE)</f>
        <v>4</v>
      </c>
      <c r="B551" s="24">
        <f t="shared" si="841"/>
        <v>1981</v>
      </c>
      <c r="C551" s="25">
        <v>29890</v>
      </c>
      <c r="D551" s="26"/>
      <c r="E551" s="24"/>
      <c r="F551" s="26"/>
      <c r="G551" s="26"/>
      <c r="H551" s="26"/>
      <c r="I551" s="26"/>
      <c r="J551" s="26"/>
      <c r="K551" s="26"/>
      <c r="L551" s="24"/>
      <c r="M551" s="24"/>
      <c r="N551" s="26"/>
      <c r="O551" s="26"/>
      <c r="P551" s="26"/>
      <c r="Q551" s="26"/>
      <c r="R551" s="26"/>
      <c r="S551" s="26"/>
      <c r="T551" s="26"/>
      <c r="U551" s="26"/>
      <c r="V551" s="26"/>
      <c r="W551" s="26">
        <f>MAX($C$9-VLOOKUP($C551,COS!$B$8:$H$991,3,FALSE),0)</f>
        <v>96679.089599609375</v>
      </c>
      <c r="X551" s="26">
        <f t="shared" si="870"/>
        <v>5944.5655092652378</v>
      </c>
      <c r="Y551" s="26">
        <f>VLOOKUP($C551,COS!$B$8:$H$991,4,FALSE)</f>
        <v>1399.4996337890625</v>
      </c>
      <c r="Z551" s="26">
        <f t="shared" si="871"/>
        <v>86.051878309013418</v>
      </c>
      <c r="AA551" s="26">
        <f t="shared" si="884"/>
        <v>1399.4996337890625</v>
      </c>
      <c r="AB551" s="33">
        <f t="shared" si="854"/>
        <v>86.051878309013418</v>
      </c>
    </row>
    <row r="552" spans="1:28" x14ac:dyDescent="0.3">
      <c r="A552" s="32">
        <f>VLOOKUP(YEAR(C552),Flags!$A$13:$B$95,2,FALSE)</f>
        <v>4</v>
      </c>
      <c r="B552" s="24">
        <f t="shared" si="841"/>
        <v>1981</v>
      </c>
      <c r="C552" s="25">
        <v>29920</v>
      </c>
      <c r="D552" s="26"/>
      <c r="E552" s="24"/>
      <c r="F552" s="26"/>
      <c r="G552" s="26"/>
      <c r="H552" s="26"/>
      <c r="I552" s="26"/>
      <c r="J552" s="26"/>
      <c r="K552" s="26"/>
      <c r="L552" s="24"/>
      <c r="M552" s="24"/>
      <c r="N552" s="26"/>
      <c r="O552" s="26"/>
      <c r="P552" s="26"/>
      <c r="Q552" s="26"/>
      <c r="R552" s="26"/>
      <c r="S552" s="26"/>
      <c r="T552" s="26"/>
      <c r="U552" s="26"/>
      <c r="V552" s="26"/>
      <c r="W552" s="26">
        <f>MAX($C$10-VLOOKUP($C552,COS!$B$8:$H$991,3,FALSE),0)</f>
        <v>91684.076171875</v>
      </c>
      <c r="X552" s="26">
        <f t="shared" si="870"/>
        <v>5455.5813920454539</v>
      </c>
      <c r="Y552" s="26">
        <f>VLOOKUP($C552,COS!$B$8:$H$991,4,FALSE)</f>
        <v>0</v>
      </c>
      <c r="Z552" s="26">
        <f t="shared" si="871"/>
        <v>0</v>
      </c>
      <c r="AA552" s="26">
        <f t="shared" si="884"/>
        <v>0</v>
      </c>
      <c r="AB552" s="33">
        <f t="shared" si="854"/>
        <v>0</v>
      </c>
    </row>
    <row r="553" spans="1:28" x14ac:dyDescent="0.3">
      <c r="A553" s="34">
        <f>VLOOKUP(YEAR(C553),Flags!$A$13:$B$95,2,FALSE)</f>
        <v>4</v>
      </c>
      <c r="B553" s="35">
        <f t="shared" si="841"/>
        <v>1981</v>
      </c>
      <c r="C553" s="36">
        <v>29951</v>
      </c>
      <c r="D553" s="37"/>
      <c r="E553" s="35"/>
      <c r="F553" s="37"/>
      <c r="G553" s="37"/>
      <c r="H553" s="37"/>
      <c r="I553" s="37"/>
      <c r="J553" s="37"/>
      <c r="K553" s="37"/>
      <c r="L553" s="35"/>
      <c r="M553" s="35"/>
      <c r="N553" s="37"/>
      <c r="O553" s="37"/>
      <c r="P553" s="37"/>
      <c r="Q553" s="37"/>
      <c r="R553" s="37"/>
      <c r="S553" s="37"/>
      <c r="T553" s="37"/>
      <c r="U553" s="37"/>
      <c r="V553" s="37"/>
      <c r="W553" s="37">
        <f>MAX($C$11-VLOOKUP($C553,COS!$B$8:$H$991,3,FALSE),0)</f>
        <v>0</v>
      </c>
      <c r="X553" s="37">
        <f t="shared" si="870"/>
        <v>0</v>
      </c>
      <c r="Y553" s="37">
        <f>VLOOKUP($C553,COS!$B$8:$H$991,4,FALSE)</f>
        <v>0</v>
      </c>
      <c r="Z553" s="37">
        <f t="shared" si="871"/>
        <v>0</v>
      </c>
      <c r="AA553" s="37">
        <f t="shared" si="884"/>
        <v>0</v>
      </c>
      <c r="AB553" s="38">
        <f t="shared" si="854"/>
        <v>0</v>
      </c>
    </row>
    <row r="554" spans="1:28" x14ac:dyDescent="0.3">
      <c r="A554" s="27">
        <f>VLOOKUP(YEAR(C554),Flags!$A$13:$B$95,2,FALSE)</f>
        <v>1</v>
      </c>
      <c r="B554" s="28">
        <f t="shared" si="841"/>
        <v>1982</v>
      </c>
      <c r="C554" s="29">
        <v>30071</v>
      </c>
      <c r="D554" s="30">
        <f>VLOOKUP($C554,COS!$B$8:$H$991,3,FALSE)</f>
        <v>24913.6875</v>
      </c>
      <c r="E554" s="28">
        <f>IF(D554&gt;=IF(MONTH($C554)=4,$C$3,IF(MONTH($C554)=5,$C$4,IF(MONTH($C554)=6,$C$5,IF(MONTH($C554)=7,$C$6,"ERROR")))),1,0)</f>
        <v>1</v>
      </c>
      <c r="F554" s="30">
        <f>VLOOKUP($C554,COS!$B$8:$H$991,7,FALSE)</f>
        <v>46.657176971435547</v>
      </c>
      <c r="G554" s="28">
        <f>IF(F554&lt;=IF(MONTH($C554)=4,$F$3,IF(MONTH($C554)=5,$F$4,IF(MONTH($C554)=6,$F$5,IF(MONTH($C554)=7,$F$6,"ERROR")))),1,0)</f>
        <v>1</v>
      </c>
      <c r="H554" s="30">
        <f>IF(J554=1,D554-$C$3,0)</f>
        <v>18913.6875</v>
      </c>
      <c r="I554" s="30">
        <f t="shared" si="872"/>
        <v>1125.442561983471</v>
      </c>
      <c r="J554" s="28">
        <f t="shared" ref="J554:J557" si="887">IF(AND(E554=1,G554=1),1,0)</f>
        <v>1</v>
      </c>
      <c r="K554" s="30">
        <f>VLOOKUP($C554,COS!$B$8:$H$991,2,FALSE)</f>
        <v>4094</v>
      </c>
      <c r="L554" s="28">
        <f t="shared" ref="L554" si="888">IF(K554&lt;=IF(MONTH($C554)=4,$I$3,IF(MONTH($C554)=5,$I$4,IF(MONTH($C554)=6,$I$5,IF(MONTH($C554)=7,$I$6,"ERROR")))),1,0)</f>
        <v>1</v>
      </c>
      <c r="M554" s="28">
        <f t="shared" ref="M554" si="889">VLOOKUP($A554,$L$3:$M$7,2,FALSE)</f>
        <v>0</v>
      </c>
      <c r="N554" s="30">
        <f>VLOOKUP($C554,COS!$B$8:$H$991,5,FALSE)</f>
        <v>47.432540893554688</v>
      </c>
      <c r="O554" s="30">
        <f t="shared" ref="O554:O557" si="890">N554*DAY($C554)*86400/43560/1000</f>
        <v>2.8224321854016012</v>
      </c>
      <c r="P554" s="30">
        <f>VLOOKUP($C554,COS!$B$8:$H$991,6,FALSE)</f>
        <v>305.73114013671875</v>
      </c>
      <c r="Q554" s="30">
        <f t="shared" ref="Q554:Q557" si="891">P554*DAY($C554)*86400/43560/1000</f>
        <v>18.192266189953511</v>
      </c>
      <c r="R554" s="30">
        <f>MIN(IF(MONTH($C554)=4,$S$3,IF(MONTH($C554)=5,$S$4,IF(MONTH($C554)=6,$S$5,IF(MONTH($C554)=7,$S$6,"ERROR")))),MAX(VLOOKUP($C554,COS!$B$8:$K$991,10,FALSE)-IF(MONTH($C554)=4,$Y$3,IF(MONTH($C554)=5,$Y$4,IF(MONTH($C554)=6,$Y$5,IF(MONTH($C554)=7,$Y$6,"ERROR")))),0),MAX(VLOOKUP($C554,COS!$B$8:$K$991,9,FALSE)-IF(MONTH($C554)=4,$V$3,IF(MONTH($C554)=5,$V$4,IF(MONTH($C554)=6,$V$5,IF(MONTH($C554)=7,$V$6,"ERROR"))))-VLOOKUP($C554,COS!$B$8:$K$991,6,FALSE)/2,0))</f>
        <v>750</v>
      </c>
      <c r="S554" s="30">
        <f t="shared" ref="S554:S557" si="892">R554*DAY($C554)*86400/43560/1000</f>
        <v>44.628099173553714</v>
      </c>
      <c r="T554" s="30">
        <f t="shared" ref="T554:T557" si="893">(O554+Q554)/2+S554</f>
        <v>55.135448361231269</v>
      </c>
      <c r="U554" s="30" t="str">
        <f>IF(VLOOKUP($C554,COS!$B$8:$I$991,8,FALSE)=1,"UWFE","IBU")</f>
        <v>UWFE</v>
      </c>
      <c r="V554" s="30">
        <f t="shared" ref="V554" si="894">MIN(IF(IF($AA$3=2,AND(E554=1,G554=1,L554=1,L559=1,M554=1,U554="IBU"),AND(E554=1,G554=1,L554=1,L559=1,M554=1)),T554,0),I554)</f>
        <v>0</v>
      </c>
      <c r="W554" s="30"/>
      <c r="X554" s="30"/>
      <c r="Y554" s="30"/>
      <c r="Z554" s="30"/>
      <c r="AA554" s="30"/>
      <c r="AB554" s="31"/>
    </row>
    <row r="555" spans="1:28" x14ac:dyDescent="0.3">
      <c r="A555" s="32">
        <f>VLOOKUP(YEAR(C555),Flags!$A$13:$B$95,2,FALSE)</f>
        <v>1</v>
      </c>
      <c r="B555" s="24">
        <f t="shared" si="841"/>
        <v>1982</v>
      </c>
      <c r="C555" s="25">
        <v>30102</v>
      </c>
      <c r="D555" s="26">
        <f>VLOOKUP($C555,COS!$B$8:$H$991,3,FALSE)</f>
        <v>3472.723876953125</v>
      </c>
      <c r="E555" s="24">
        <f>IF(D555&gt;=IF(MONTH($C555)=4,$C$3,IF(MONTH($C555)=5,$C$4,IF(MONTH($C555)=6,$C$5,IF(MONTH($C555)=7,$C$6,"ERROR")))),1,0)</f>
        <v>0</v>
      </c>
      <c r="F555" s="26">
        <f>VLOOKUP($C555,COS!$B$8:$H$991,7,FALSE)</f>
        <v>53.570789337158203</v>
      </c>
      <c r="G555" s="24">
        <f>IF(F555&lt;=IF(MONTH($C555)=4,$F$3,IF(MONTH($C555)=5,$F$4,IF(MONTH($C555)=6,$F$5,IF(MONTH($C555)=7,$F$6,"ERROR")))),1,0)</f>
        <v>1</v>
      </c>
      <c r="H555" s="26">
        <f>IF(J555=1,D555-$C$4,0)</f>
        <v>0</v>
      </c>
      <c r="I555" s="26">
        <f t="shared" si="872"/>
        <v>0</v>
      </c>
      <c r="J555" s="24">
        <f t="shared" si="887"/>
        <v>0</v>
      </c>
      <c r="K555" s="26">
        <f>VLOOKUP($C555,COS!$B$8:$H$991,2,FALSE)</f>
        <v>4481.19091796875</v>
      </c>
      <c r="L555" s="24">
        <f t="shared" si="843"/>
        <v>1</v>
      </c>
      <c r="M555" s="24">
        <f t="shared" si="844"/>
        <v>0</v>
      </c>
      <c r="N555" s="26">
        <f>VLOOKUP($C555,COS!$B$8:$H$991,5,FALSE)</f>
        <v>674.9888916015625</v>
      </c>
      <c r="O555" s="26">
        <f t="shared" si="890"/>
        <v>41.503449202608472</v>
      </c>
      <c r="P555" s="26">
        <f>VLOOKUP($C555,COS!$B$8:$H$991,6,FALSE)</f>
        <v>2221.702392578125</v>
      </c>
      <c r="Q555" s="26">
        <f t="shared" si="891"/>
        <v>136.60715537835745</v>
      </c>
      <c r="R555" s="26">
        <f>MIN(IF(MONTH($C555)=4,$S$3,IF(MONTH($C555)=5,$S$4,IF(MONTH($C555)=6,$S$5,IF(MONTH($C555)=7,$S$6,"ERROR")))),MAX(VLOOKUP($C555,COS!$B$8:$K$991,10,FALSE)-IF(MONTH($C555)=4,$Y$3,IF(MONTH($C555)=5,$Y$4,IF(MONTH($C555)=6,$Y$5,IF(MONTH($C555)=7,$Y$6,"ERROR")))),0),MAX(VLOOKUP($C555,COS!$B$8:$K$991,9,FALSE)-IF(MONTH($C555)=4,$V$3,IF(MONTH($C555)=5,$V$4,IF(MONTH($C555)=6,$V$5,IF(MONTH($C555)=7,$V$6,"ERROR"))))-VLOOKUP($C555,COS!$B$8:$K$991,6,FALSE)/2,0))</f>
        <v>750</v>
      </c>
      <c r="S555" s="26">
        <f t="shared" si="892"/>
        <v>46.115702479338843</v>
      </c>
      <c r="T555" s="26">
        <f t="shared" si="893"/>
        <v>135.17100476982179</v>
      </c>
      <c r="U555" s="26" t="str">
        <f>IF(VLOOKUP($C555,COS!$B$8:$I$991,8,FALSE)=1,"UWFE","IBU")</f>
        <v>UWFE</v>
      </c>
      <c r="V555" s="26">
        <f t="shared" ref="V555" si="895">MIN(IF(IF($AA$3=2,AND(E555=1,G555=1,L555=1,L559=1,M555=1,U555="IBU"),AND(E555=1,G555=1,L555=1,L559=1,M555=1)),T555,0),I555)</f>
        <v>0</v>
      </c>
      <c r="W555" s="26"/>
      <c r="X555" s="26"/>
      <c r="Y555" s="26"/>
      <c r="Z555" s="26"/>
      <c r="AA555" s="26"/>
      <c r="AB555" s="33"/>
    </row>
    <row r="556" spans="1:28" x14ac:dyDescent="0.3">
      <c r="A556" s="32">
        <f>VLOOKUP(YEAR(C556),Flags!$A$13:$B$95,2,FALSE)</f>
        <v>1</v>
      </c>
      <c r="B556" s="24">
        <f t="shared" si="841"/>
        <v>1982</v>
      </c>
      <c r="C556" s="25">
        <v>30132</v>
      </c>
      <c r="D556" s="26">
        <f>VLOOKUP($C556,COS!$B$8:$H$991,3,FALSE)</f>
        <v>6372.11962890625</v>
      </c>
      <c r="E556" s="24">
        <f>IF(D556&gt;=IF(MONTH($C556)=4,$C$3,IF(MONTH($C556)=5,$C$4,IF(MONTH($C556)=6,$C$5,IF(MONTH($C556)=7,$C$6,"ERROR")))),1,0)</f>
        <v>0</v>
      </c>
      <c r="F556" s="26">
        <f>VLOOKUP($C556,COS!$B$8:$H$991,7,FALSE)</f>
        <v>52.376934051513672</v>
      </c>
      <c r="G556" s="24">
        <f>IF(F556&lt;=IF(MONTH($C556)=4,$F$3,IF(MONTH($C556)=5,$F$4,IF(MONTH($C556)=6,$F$5,IF(MONTH($C556)=7,$F$6,"ERROR")))),1,0)</f>
        <v>1</v>
      </c>
      <c r="H556" s="26">
        <f>IF(J556=1,D556-$C$5,0)</f>
        <v>0</v>
      </c>
      <c r="I556" s="26">
        <f t="shared" si="872"/>
        <v>0</v>
      </c>
      <c r="J556" s="24">
        <f t="shared" si="887"/>
        <v>0</v>
      </c>
      <c r="K556" s="26">
        <f>VLOOKUP($C556,COS!$B$8:$H$991,2,FALSE)</f>
        <v>4397.3564453125</v>
      </c>
      <c r="L556" s="24">
        <f t="shared" si="843"/>
        <v>1</v>
      </c>
      <c r="M556" s="24">
        <f t="shared" si="844"/>
        <v>0</v>
      </c>
      <c r="N556" s="26">
        <f>VLOOKUP($C556,COS!$B$8:$H$991,5,FALSE)</f>
        <v>1084.0577392578125</v>
      </c>
      <c r="O556" s="26">
        <f t="shared" si="890"/>
        <v>64.505915063274784</v>
      </c>
      <c r="P556" s="26">
        <f>VLOOKUP($C556,COS!$B$8:$H$991,6,FALSE)</f>
        <v>2094.6748046875</v>
      </c>
      <c r="Q556" s="26">
        <f t="shared" si="891"/>
        <v>124.64180655991736</v>
      </c>
      <c r="R556" s="26">
        <f>MIN(IF(MONTH($C556)=4,$S$3,IF(MONTH($C556)=5,$S$4,IF(MONTH($C556)=6,$S$5,IF(MONTH($C556)=7,$S$6,"ERROR")))),MAX(VLOOKUP($C556,COS!$B$8:$K$991,10,FALSE)-IF(MONTH($C556)=4,$Y$3,IF(MONTH($C556)=5,$Y$4,IF(MONTH($C556)=6,$Y$5,IF(MONTH($C556)=7,$Y$6,"ERROR")))),0),MAX(VLOOKUP($C556,COS!$B$8:$K$991,9,FALSE)-IF(MONTH($C556)=4,$V$3,IF(MONTH($C556)=5,$V$4,IF(MONTH($C556)=6,$V$5,IF(MONTH($C556)=7,$V$6,"ERROR"))))-VLOOKUP($C556,COS!$B$8:$K$991,6,FALSE)/2,0))</f>
        <v>750</v>
      </c>
      <c r="S556" s="26">
        <f t="shared" si="892"/>
        <v>44.628099173553714</v>
      </c>
      <c r="T556" s="26">
        <f t="shared" si="893"/>
        <v>139.20195998514978</v>
      </c>
      <c r="U556" s="26" t="str">
        <f>IF(VLOOKUP($C556,COS!$B$8:$I$991,8,FALSE)=1,"UWFE","IBU")</f>
        <v>UWFE</v>
      </c>
      <c r="V556" s="26">
        <f t="shared" ref="V556" si="896">MIN(IF(IF($AA$3=2,AND(E556=1,G556=1,L556=1,L559=1,M556=1,U556="IBU"),AND(E556=1,G556=1,L556=1,L559=1,M556=1)),T556,0),I556)</f>
        <v>0</v>
      </c>
      <c r="W556" s="26"/>
      <c r="X556" s="26"/>
      <c r="Y556" s="26"/>
      <c r="Z556" s="26"/>
      <c r="AA556" s="26"/>
      <c r="AB556" s="33"/>
    </row>
    <row r="557" spans="1:28" x14ac:dyDescent="0.3">
      <c r="A557" s="32">
        <f>VLOOKUP(YEAR(C557),Flags!$A$13:$B$95,2,FALSE)</f>
        <v>1</v>
      </c>
      <c r="B557" s="24">
        <f t="shared" si="841"/>
        <v>1982</v>
      </c>
      <c r="C557" s="25">
        <v>30163</v>
      </c>
      <c r="D557" s="26">
        <f>VLOOKUP($C557,COS!$B$8:$H$991,3,FALSE)</f>
        <v>10502.37890625</v>
      </c>
      <c r="E557" s="24">
        <f>IF(D557&gt;=IF(MONTH($C557)=4,$C$3,IF(MONTH($C557)=5,$C$4,IF(MONTH($C557)=6,$C$5,IF(MONTH($C557)=7,$C$6,"ERROR")))),1,0)</f>
        <v>0</v>
      </c>
      <c r="F557" s="26">
        <f>VLOOKUP($C557,COS!$B$8:$H$991,7,FALSE)</f>
        <v>52.655227661132813</v>
      </c>
      <c r="G557" s="24">
        <f>IF(F557&lt;=IF(MONTH($C557)=4,$F$3,IF(MONTH($C557)=5,$F$4,IF(MONTH($C557)=6,$F$5,IF(MONTH($C557)=7,$F$6,"ERROR")))),1,0)</f>
        <v>1</v>
      </c>
      <c r="H557" s="26">
        <f>IF(J557=1,D557-$C$6,0)</f>
        <v>0</v>
      </c>
      <c r="I557" s="26">
        <f t="shared" si="872"/>
        <v>0</v>
      </c>
      <c r="J557" s="24">
        <f t="shared" si="887"/>
        <v>0</v>
      </c>
      <c r="K557" s="26">
        <f>VLOOKUP($C557,COS!$B$8:$H$991,2,FALSE)</f>
        <v>4071.590576171875</v>
      </c>
      <c r="L557" s="24">
        <f t="shared" si="843"/>
        <v>1</v>
      </c>
      <c r="M557" s="24">
        <f t="shared" si="844"/>
        <v>0</v>
      </c>
      <c r="N557" s="26">
        <f>VLOOKUP($C557,COS!$B$8:$H$991,5,FALSE)</f>
        <v>1375.2449951171875</v>
      </c>
      <c r="O557" s="26">
        <f t="shared" si="890"/>
        <v>84.560518708032035</v>
      </c>
      <c r="P557" s="26">
        <f>VLOOKUP($C557,COS!$B$8:$H$991,6,FALSE)</f>
        <v>2616.67822265625</v>
      </c>
      <c r="Q557" s="26">
        <f t="shared" si="891"/>
        <v>160.89327253357436</v>
      </c>
      <c r="R557" s="26">
        <f>MIN(IF(MONTH($C557)=4,$S$3,IF(MONTH($C557)=5,$S$4,IF(MONTH($C557)=6,$S$5,IF(MONTH($C557)=7,$S$6,"ERROR")))),MAX(VLOOKUP($C557,COS!$B$8:$K$991,10,FALSE)-IF(MONTH($C557)=4,$Y$3,IF(MONTH($C557)=5,$Y$4,IF(MONTH($C557)=6,$Y$5,IF(MONTH($C557)=7,$Y$6,"ERROR")))),0),MAX(VLOOKUP($C557,COS!$B$8:$K$991,9,FALSE)-IF(MONTH($C557)=4,$V$3,IF(MONTH($C557)=5,$V$4,IF(MONTH($C557)=6,$V$5,IF(MONTH($C557)=7,$V$6,"ERROR"))))-VLOOKUP($C557,COS!$B$8:$K$991,6,FALSE)/2,0))</f>
        <v>750</v>
      </c>
      <c r="S557" s="26">
        <f t="shared" si="892"/>
        <v>46.115702479338843</v>
      </c>
      <c r="T557" s="26">
        <f t="shared" si="893"/>
        <v>168.84259810014203</v>
      </c>
      <c r="U557" s="26" t="str">
        <f>IF(VLOOKUP($C557,COS!$B$8:$I$991,8,FALSE)=1,"UWFE","IBU")</f>
        <v>IBU</v>
      </c>
      <c r="V557" s="26">
        <f t="shared" ref="V557" si="897">MIN(IF(IF($AA$3=2,AND(E557=1,G557=1,L557=1,L559=1,M557=1,U557="IBU"),AND(E557=1,G557=1,L557=1,L559=1,M557=1)),T557,0),I557)</f>
        <v>0</v>
      </c>
      <c r="W557" s="26"/>
      <c r="X557" s="26"/>
      <c r="Y557" s="26"/>
      <c r="Z557" s="26"/>
      <c r="AA557" s="26"/>
      <c r="AB557" s="33"/>
    </row>
    <row r="558" spans="1:28" x14ac:dyDescent="0.3">
      <c r="A558" s="32">
        <f>VLOOKUP(YEAR(C558),Flags!$A$13:$B$95,2,FALSE)</f>
        <v>1</v>
      </c>
      <c r="B558" s="24">
        <f t="shared" si="841"/>
        <v>1982</v>
      </c>
      <c r="C558" s="25">
        <v>30194</v>
      </c>
      <c r="D558" s="26"/>
      <c r="E558" s="24"/>
      <c r="F558" s="26"/>
      <c r="G558" s="24"/>
      <c r="H558" s="24"/>
      <c r="I558" s="26"/>
      <c r="J558" s="24"/>
      <c r="K558" s="26"/>
      <c r="L558" s="24"/>
      <c r="M558" s="24"/>
      <c r="N558" s="26"/>
      <c r="O558" s="26"/>
      <c r="P558" s="26"/>
      <c r="Q558" s="26"/>
      <c r="R558" s="26"/>
      <c r="S558" s="26"/>
      <c r="T558" s="26"/>
      <c r="U558" s="26"/>
      <c r="V558" s="26"/>
      <c r="W558" s="26">
        <f>MAX($C$7-VLOOKUP($C558,COS!$B$8:$H$991,3,FALSE),0)</f>
        <v>90771.0556640625</v>
      </c>
      <c r="X558" s="26">
        <f t="shared" si="870"/>
        <v>5581.2946623192147</v>
      </c>
      <c r="Y558" s="26">
        <f>VLOOKUP($C558,COS!$B$8:$H$991,4,FALSE)</f>
        <v>0</v>
      </c>
      <c r="Z558" s="26">
        <f t="shared" si="871"/>
        <v>0</v>
      </c>
      <c r="AA558" s="26">
        <f t="shared" ref="AA558:AA562" si="898">MIN(W558,Y558)</f>
        <v>0</v>
      </c>
      <c r="AB558" s="33">
        <f t="shared" ref="AB558" si="899">AA558*DAY($C558)*86400/43560/1000*IF(MONTH($C558)=8,$P$3,IF(MONTH($C558)=9,$P$4,IF(MONTH($C558)=10,$P$5,IF(MONTH($C558)=11,$P$6,IF(MONTH($C558)=12,$P$7,NA())))))</f>
        <v>0</v>
      </c>
    </row>
    <row r="559" spans="1:28" x14ac:dyDescent="0.3">
      <c r="A559" s="32">
        <f>VLOOKUP(YEAR(C559),Flags!$A$13:$B$95,2,FALSE)</f>
        <v>1</v>
      </c>
      <c r="B559" s="24">
        <f t="shared" si="841"/>
        <v>1982</v>
      </c>
      <c r="C559" s="25">
        <v>30224</v>
      </c>
      <c r="D559" s="26"/>
      <c r="E559" s="24"/>
      <c r="F559" s="26"/>
      <c r="G559" s="24"/>
      <c r="H559" s="24"/>
      <c r="I559" s="26"/>
      <c r="J559" s="24"/>
      <c r="K559" s="26">
        <f>VLOOKUP($C559,COS!$B$8:$H$991,2,FALSE)</f>
        <v>3400</v>
      </c>
      <c r="L559" s="24">
        <f t="shared" ref="L559" si="900">IF(AND(K559&gt;$I$7,K559&lt;$I$8),1,0)</f>
        <v>1</v>
      </c>
      <c r="M559" s="24"/>
      <c r="N559" s="26"/>
      <c r="O559" s="26"/>
      <c r="P559" s="26"/>
      <c r="Q559" s="26"/>
      <c r="R559" s="26"/>
      <c r="S559" s="26"/>
      <c r="T559" s="26"/>
      <c r="U559" s="26"/>
      <c r="V559" s="26"/>
      <c r="W559" s="26">
        <f>MAX($C$8-VLOOKUP($C559,COS!$B$8:$H$991,3,FALSE),0)</f>
        <v>90620.83984375</v>
      </c>
      <c r="X559" s="26">
        <f t="shared" si="870"/>
        <v>5392.3144369834708</v>
      </c>
      <c r="Y559" s="26">
        <f>VLOOKUP($C559,COS!$B$8:$H$991,4,FALSE)</f>
        <v>0</v>
      </c>
      <c r="Z559" s="26">
        <f t="shared" si="871"/>
        <v>0</v>
      </c>
      <c r="AA559" s="26">
        <f t="shared" si="898"/>
        <v>0</v>
      </c>
      <c r="AB559" s="33">
        <f t="shared" si="854"/>
        <v>0</v>
      </c>
    </row>
    <row r="560" spans="1:28" x14ac:dyDescent="0.3">
      <c r="A560" s="32">
        <f>VLOOKUP(YEAR(C560),Flags!$A$13:$B$95,2,FALSE)</f>
        <v>1</v>
      </c>
      <c r="B560" s="24">
        <f t="shared" si="841"/>
        <v>1982</v>
      </c>
      <c r="C560" s="25">
        <v>30255</v>
      </c>
      <c r="D560" s="26"/>
      <c r="E560" s="24"/>
      <c r="F560" s="26"/>
      <c r="G560" s="26"/>
      <c r="H560" s="26"/>
      <c r="I560" s="26"/>
      <c r="J560" s="26"/>
      <c r="K560" s="26"/>
      <c r="L560" s="24"/>
      <c r="M560" s="24"/>
      <c r="N560" s="26"/>
      <c r="O560" s="26"/>
      <c r="P560" s="26"/>
      <c r="Q560" s="26"/>
      <c r="R560" s="26"/>
      <c r="S560" s="26"/>
      <c r="T560" s="26"/>
      <c r="U560" s="26"/>
      <c r="V560" s="26"/>
      <c r="W560" s="26">
        <f>MAX($C$9-VLOOKUP($C560,COS!$B$8:$H$991,3,FALSE),0)</f>
        <v>92108.1201171875</v>
      </c>
      <c r="X560" s="26">
        <f t="shared" si="870"/>
        <v>5663.507551007232</v>
      </c>
      <c r="Y560" s="26">
        <f>VLOOKUP($C560,COS!$B$8:$H$991,4,FALSE)</f>
        <v>0</v>
      </c>
      <c r="Z560" s="26">
        <f t="shared" si="871"/>
        <v>0</v>
      </c>
      <c r="AA560" s="26">
        <f t="shared" si="898"/>
        <v>0</v>
      </c>
      <c r="AB560" s="33">
        <f t="shared" si="854"/>
        <v>0</v>
      </c>
    </row>
    <row r="561" spans="1:28" x14ac:dyDescent="0.3">
      <c r="A561" s="32">
        <f>VLOOKUP(YEAR(C561),Flags!$A$13:$B$95,2,FALSE)</f>
        <v>1</v>
      </c>
      <c r="B561" s="24">
        <f t="shared" si="841"/>
        <v>1982</v>
      </c>
      <c r="C561" s="25">
        <v>30285</v>
      </c>
      <c r="D561" s="26"/>
      <c r="E561" s="24"/>
      <c r="F561" s="26"/>
      <c r="G561" s="26"/>
      <c r="H561" s="26"/>
      <c r="I561" s="26"/>
      <c r="J561" s="26"/>
      <c r="K561" s="26"/>
      <c r="L561" s="24"/>
      <c r="M561" s="24"/>
      <c r="N561" s="26"/>
      <c r="O561" s="26"/>
      <c r="P561" s="26"/>
      <c r="Q561" s="26"/>
      <c r="R561" s="26"/>
      <c r="S561" s="26"/>
      <c r="T561" s="26"/>
      <c r="U561" s="26"/>
      <c r="V561" s="26"/>
      <c r="W561" s="26">
        <f>MAX($C$10-VLOOKUP($C561,COS!$B$8:$H$991,3,FALSE),0)</f>
        <v>93024.1962890625</v>
      </c>
      <c r="X561" s="26">
        <f t="shared" si="870"/>
        <v>5535.3240767045463</v>
      </c>
      <c r="Y561" s="26">
        <f>VLOOKUP($C561,COS!$B$8:$H$991,4,FALSE)</f>
        <v>0</v>
      </c>
      <c r="Z561" s="26">
        <f t="shared" si="871"/>
        <v>0</v>
      </c>
      <c r="AA561" s="26">
        <f t="shared" si="898"/>
        <v>0</v>
      </c>
      <c r="AB561" s="33">
        <f t="shared" si="854"/>
        <v>0</v>
      </c>
    </row>
    <row r="562" spans="1:28" x14ac:dyDescent="0.3">
      <c r="A562" s="34">
        <f>VLOOKUP(YEAR(C562),Flags!$A$13:$B$95,2,FALSE)</f>
        <v>1</v>
      </c>
      <c r="B562" s="35">
        <f t="shared" si="841"/>
        <v>1982</v>
      </c>
      <c r="C562" s="36">
        <v>30316</v>
      </c>
      <c r="D562" s="37"/>
      <c r="E562" s="35"/>
      <c r="F562" s="37"/>
      <c r="G562" s="37"/>
      <c r="H562" s="37"/>
      <c r="I562" s="37"/>
      <c r="J562" s="37"/>
      <c r="K562" s="37"/>
      <c r="L562" s="35"/>
      <c r="M562" s="35"/>
      <c r="N562" s="37"/>
      <c r="O562" s="37"/>
      <c r="P562" s="37"/>
      <c r="Q562" s="37"/>
      <c r="R562" s="37"/>
      <c r="S562" s="37"/>
      <c r="T562" s="37"/>
      <c r="U562" s="37"/>
      <c r="V562" s="37"/>
      <c r="W562" s="37">
        <f>MAX($C$11-VLOOKUP($C562,COS!$B$8:$H$991,3,FALSE),0)</f>
        <v>0</v>
      </c>
      <c r="X562" s="37">
        <f t="shared" si="870"/>
        <v>0</v>
      </c>
      <c r="Y562" s="37">
        <f>VLOOKUP($C562,COS!$B$8:$H$991,4,FALSE)</f>
        <v>0</v>
      </c>
      <c r="Z562" s="37">
        <f t="shared" si="871"/>
        <v>0</v>
      </c>
      <c r="AA562" s="37">
        <f t="shared" si="898"/>
        <v>0</v>
      </c>
      <c r="AB562" s="38">
        <f t="shared" si="854"/>
        <v>0</v>
      </c>
    </row>
    <row r="563" spans="1:28" x14ac:dyDescent="0.3">
      <c r="A563" s="27">
        <f>VLOOKUP(YEAR(C563),Flags!$A$13:$B$95,2,FALSE)</f>
        <v>1</v>
      </c>
      <c r="B563" s="28">
        <f t="shared" si="841"/>
        <v>1983</v>
      </c>
      <c r="C563" s="29">
        <v>30436</v>
      </c>
      <c r="D563" s="30">
        <f>VLOOKUP($C563,COS!$B$8:$H$991,3,FALSE)</f>
        <v>21283.287109375</v>
      </c>
      <c r="E563" s="28">
        <f>IF(D563&gt;=IF(MONTH($C563)=4,$C$3,IF(MONTH($C563)=5,$C$4,IF(MONTH($C563)=6,$C$5,IF(MONTH($C563)=7,$C$6,"ERROR")))),1,0)</f>
        <v>1</v>
      </c>
      <c r="F563" s="30">
        <f>VLOOKUP($C563,COS!$B$8:$H$991,7,FALSE)</f>
        <v>47.246109008789063</v>
      </c>
      <c r="G563" s="28">
        <f>IF(F563&lt;=IF(MONTH($C563)=4,$F$3,IF(MONTH($C563)=5,$F$4,IF(MONTH($C563)=6,$F$5,IF(MONTH($C563)=7,$F$6,"ERROR")))),1,0)</f>
        <v>1</v>
      </c>
      <c r="H563" s="30">
        <f>IF(J563=1,D563-$C$3,0)</f>
        <v>15283.287109375</v>
      </c>
      <c r="I563" s="30">
        <f t="shared" si="872"/>
        <v>909.4187370867769</v>
      </c>
      <c r="J563" s="28">
        <f t="shared" ref="J563:J566" si="901">IF(AND(E563=1,G563=1),1,0)</f>
        <v>1</v>
      </c>
      <c r="K563" s="30">
        <f>VLOOKUP($C563,COS!$B$8:$H$991,2,FALSE)</f>
        <v>4074</v>
      </c>
      <c r="L563" s="28">
        <f t="shared" ref="L563" si="902">IF(K563&lt;=IF(MONTH($C563)=4,$I$3,IF(MONTH($C563)=5,$I$4,IF(MONTH($C563)=6,$I$5,IF(MONTH($C563)=7,$I$6,"ERROR")))),1,0)</f>
        <v>1</v>
      </c>
      <c r="M563" s="28">
        <f t="shared" ref="M563" si="903">VLOOKUP($A563,$L$3:$M$7,2,FALSE)</f>
        <v>0</v>
      </c>
      <c r="N563" s="30">
        <f>VLOOKUP($C563,COS!$B$8:$H$991,5,FALSE)</f>
        <v>21.902835845947266</v>
      </c>
      <c r="O563" s="30">
        <f t="shared" ref="O563:O566" si="904">N563*DAY($C563)*86400/43560/1000</f>
        <v>1.3033092404200026</v>
      </c>
      <c r="P563" s="30">
        <f>VLOOKUP($C563,COS!$B$8:$H$991,6,FALSE)</f>
        <v>283.12924194335938</v>
      </c>
      <c r="Q563" s="30">
        <f t="shared" ref="Q563:Q566" si="905">P563*DAY($C563)*86400/43560/1000</f>
        <v>16.847359851175103</v>
      </c>
      <c r="R563" s="30">
        <f>MIN(IF(MONTH($C563)=4,$S$3,IF(MONTH($C563)=5,$S$4,IF(MONTH($C563)=6,$S$5,IF(MONTH($C563)=7,$S$6,"ERROR")))),MAX(VLOOKUP($C563,COS!$B$8:$K$991,10,FALSE)-IF(MONTH($C563)=4,$Y$3,IF(MONTH($C563)=5,$Y$4,IF(MONTH($C563)=6,$Y$5,IF(MONTH($C563)=7,$Y$6,"ERROR")))),0),MAX(VLOOKUP($C563,COS!$B$8:$K$991,9,FALSE)-IF(MONTH($C563)=4,$V$3,IF(MONTH($C563)=5,$V$4,IF(MONTH($C563)=6,$V$5,IF(MONTH($C563)=7,$V$6,"ERROR"))))-VLOOKUP($C563,COS!$B$8:$K$991,6,FALSE)/2,0))</f>
        <v>750</v>
      </c>
      <c r="S563" s="30">
        <f t="shared" ref="S563:S566" si="906">R563*DAY($C563)*86400/43560/1000</f>
        <v>44.628099173553714</v>
      </c>
      <c r="T563" s="30">
        <f t="shared" ref="T563:T566" si="907">(O563+Q563)/2+S563</f>
        <v>53.703433719351267</v>
      </c>
      <c r="U563" s="30" t="str">
        <f>IF(VLOOKUP($C563,COS!$B$8:$I$991,8,FALSE)=1,"UWFE","IBU")</f>
        <v>UWFE</v>
      </c>
      <c r="V563" s="30">
        <f t="shared" ref="V563" si="908">MIN(IF(IF($AA$3=2,AND(E563=1,G563=1,L563=1,L568=1,M563=1,U563="IBU"),AND(E563=1,G563=1,L563=1,L568=1,M563=1)),T563,0),I563)</f>
        <v>0</v>
      </c>
      <c r="W563" s="30"/>
      <c r="X563" s="30"/>
      <c r="Y563" s="30"/>
      <c r="Z563" s="30"/>
      <c r="AA563" s="30"/>
      <c r="AB563" s="31"/>
    </row>
    <row r="564" spans="1:28" x14ac:dyDescent="0.3">
      <c r="A564" s="32">
        <f>VLOOKUP(YEAR(C564),Flags!$A$13:$B$95,2,FALSE)</f>
        <v>1</v>
      </c>
      <c r="B564" s="24">
        <f t="shared" si="841"/>
        <v>1983</v>
      </c>
      <c r="C564" s="25">
        <v>30467</v>
      </c>
      <c r="D564" s="26">
        <f>VLOOKUP($C564,COS!$B$8:$H$991,3,FALSE)</f>
        <v>9426.208984375</v>
      </c>
      <c r="E564" s="24">
        <f>IF(D564&gt;=IF(MONTH($C564)=4,$C$3,IF(MONTH($C564)=5,$C$4,IF(MONTH($C564)=6,$C$5,IF(MONTH($C564)=7,$C$6,"ERROR")))),1,0)</f>
        <v>1</v>
      </c>
      <c r="F564" s="26">
        <f>VLOOKUP($C564,COS!$B$8:$H$991,7,FALSE)</f>
        <v>51.257026672363281</v>
      </c>
      <c r="G564" s="24">
        <f>IF(F564&lt;=IF(MONTH($C564)=4,$F$3,IF(MONTH($C564)=5,$F$4,IF(MONTH($C564)=6,$F$5,IF(MONTH($C564)=7,$F$6,"ERROR")))),1,0)</f>
        <v>1</v>
      </c>
      <c r="H564" s="26">
        <f>IF(J564=1,D564-$C$4,0)</f>
        <v>3426.208984375</v>
      </c>
      <c r="I564" s="26">
        <f t="shared" si="872"/>
        <v>210.66937887396696</v>
      </c>
      <c r="J564" s="24">
        <f t="shared" si="901"/>
        <v>1</v>
      </c>
      <c r="K564" s="26">
        <f>VLOOKUP($C564,COS!$B$8:$H$991,2,FALSE)</f>
        <v>4552</v>
      </c>
      <c r="L564" s="24">
        <f t="shared" si="843"/>
        <v>1</v>
      </c>
      <c r="M564" s="24">
        <f t="shared" si="844"/>
        <v>0</v>
      </c>
      <c r="N564" s="26">
        <f>VLOOKUP($C564,COS!$B$8:$H$991,5,FALSE)</f>
        <v>574.8585205078125</v>
      </c>
      <c r="O564" s="26">
        <f t="shared" si="904"/>
        <v>35.346672665934918</v>
      </c>
      <c r="P564" s="26">
        <f>VLOOKUP($C564,COS!$B$8:$H$991,6,FALSE)</f>
        <v>2133.038330078125</v>
      </c>
      <c r="Q564" s="26">
        <f t="shared" si="905"/>
        <v>131.15541467587809</v>
      </c>
      <c r="R564" s="26">
        <f>MIN(IF(MONTH($C564)=4,$S$3,IF(MONTH($C564)=5,$S$4,IF(MONTH($C564)=6,$S$5,IF(MONTH($C564)=7,$S$6,"ERROR")))),MAX(VLOOKUP($C564,COS!$B$8:$K$991,10,FALSE)-IF(MONTH($C564)=4,$Y$3,IF(MONTH($C564)=5,$Y$4,IF(MONTH($C564)=6,$Y$5,IF(MONTH($C564)=7,$Y$6,"ERROR")))),0),MAX(VLOOKUP($C564,COS!$B$8:$K$991,9,FALSE)-IF(MONTH($C564)=4,$V$3,IF(MONTH($C564)=5,$V$4,IF(MONTH($C564)=6,$V$5,IF(MONTH($C564)=7,$V$6,"ERROR"))))-VLOOKUP($C564,COS!$B$8:$K$991,6,FALSE)/2,0))</f>
        <v>750</v>
      </c>
      <c r="S564" s="26">
        <f t="shared" si="906"/>
        <v>46.115702479338843</v>
      </c>
      <c r="T564" s="26">
        <f t="shared" si="907"/>
        <v>129.36674615024535</v>
      </c>
      <c r="U564" s="26" t="str">
        <f>IF(VLOOKUP($C564,COS!$B$8:$I$991,8,FALSE)=1,"UWFE","IBU")</f>
        <v>UWFE</v>
      </c>
      <c r="V564" s="26">
        <f t="shared" ref="V564" si="909">MIN(IF(IF($AA$3=2,AND(E564=1,G564=1,L564=1,L568=1,M564=1,U564="IBU"),AND(E564=1,G564=1,L564=1,L568=1,M564=1)),T564,0),I564)</f>
        <v>0</v>
      </c>
      <c r="W564" s="26"/>
      <c r="X564" s="26"/>
      <c r="Y564" s="26"/>
      <c r="Z564" s="26"/>
      <c r="AA564" s="26"/>
      <c r="AB564" s="33"/>
    </row>
    <row r="565" spans="1:28" x14ac:dyDescent="0.3">
      <c r="A565" s="32">
        <f>VLOOKUP(YEAR(C565),Flags!$A$13:$B$95,2,FALSE)</f>
        <v>1</v>
      </c>
      <c r="B565" s="24">
        <f t="shared" si="841"/>
        <v>1983</v>
      </c>
      <c r="C565" s="25">
        <v>30497</v>
      </c>
      <c r="D565" s="26">
        <f>VLOOKUP($C565,COS!$B$8:$H$991,3,FALSE)</f>
        <v>12851.6533203125</v>
      </c>
      <c r="E565" s="24">
        <f>IF(D565&gt;=IF(MONTH($C565)=4,$C$3,IF(MONTH($C565)=5,$C$4,IF(MONTH($C565)=6,$C$5,IF(MONTH($C565)=7,$C$6,"ERROR")))),1,0)</f>
        <v>1</v>
      </c>
      <c r="F565" s="26">
        <f>VLOOKUP($C565,COS!$B$8:$H$991,7,FALSE)</f>
        <v>52.077590942382813</v>
      </c>
      <c r="G565" s="24">
        <f>IF(F565&lt;=IF(MONTH($C565)=4,$F$3,IF(MONTH($C565)=5,$F$4,IF(MONTH($C565)=6,$F$5,IF(MONTH($C565)=7,$F$6,"ERROR")))),1,0)</f>
        <v>1</v>
      </c>
      <c r="H565" s="26">
        <f>IF(J565=1,D565-$C$5,0)</f>
        <v>2851.6533203125</v>
      </c>
      <c r="I565" s="26">
        <f t="shared" si="872"/>
        <v>169.68515625000001</v>
      </c>
      <c r="J565" s="24">
        <f t="shared" si="901"/>
        <v>1</v>
      </c>
      <c r="K565" s="26">
        <f>VLOOKUP($C565,COS!$B$8:$H$991,2,FALSE)</f>
        <v>4500</v>
      </c>
      <c r="L565" s="24">
        <f t="shared" si="843"/>
        <v>1</v>
      </c>
      <c r="M565" s="24">
        <f t="shared" si="844"/>
        <v>0</v>
      </c>
      <c r="N565" s="26">
        <f>VLOOKUP($C565,COS!$B$8:$H$991,5,FALSE)</f>
        <v>1170.465087890625</v>
      </c>
      <c r="O565" s="26">
        <f t="shared" si="904"/>
        <v>69.647509362086765</v>
      </c>
      <c r="P565" s="26">
        <f>VLOOKUP($C565,COS!$B$8:$H$991,6,FALSE)</f>
        <v>2257.964111328125</v>
      </c>
      <c r="Q565" s="26">
        <f t="shared" si="905"/>
        <v>134.35819505423555</v>
      </c>
      <c r="R565" s="26">
        <f>MIN(IF(MONTH($C565)=4,$S$3,IF(MONTH($C565)=5,$S$4,IF(MONTH($C565)=6,$S$5,IF(MONTH($C565)=7,$S$6,"ERROR")))),MAX(VLOOKUP($C565,COS!$B$8:$K$991,10,FALSE)-IF(MONTH($C565)=4,$Y$3,IF(MONTH($C565)=5,$Y$4,IF(MONTH($C565)=6,$Y$5,IF(MONTH($C565)=7,$Y$6,"ERROR")))),0),MAX(VLOOKUP($C565,COS!$B$8:$K$991,9,FALSE)-IF(MONTH($C565)=4,$V$3,IF(MONTH($C565)=5,$V$4,IF(MONTH($C565)=6,$V$5,IF(MONTH($C565)=7,$V$6,"ERROR"))))-VLOOKUP($C565,COS!$B$8:$K$991,6,FALSE)/2,0))</f>
        <v>750</v>
      </c>
      <c r="S565" s="26">
        <f t="shared" si="906"/>
        <v>44.628099173553714</v>
      </c>
      <c r="T565" s="26">
        <f t="shared" si="907"/>
        <v>146.63095138171488</v>
      </c>
      <c r="U565" s="26" t="str">
        <f>IF(VLOOKUP($C565,COS!$B$8:$I$991,8,FALSE)=1,"UWFE","IBU")</f>
        <v>UWFE</v>
      </c>
      <c r="V565" s="26">
        <f t="shared" ref="V565" si="910">MIN(IF(IF($AA$3=2,AND(E565=1,G565=1,L565=1,L568=1,M565=1,U565="IBU"),AND(E565=1,G565=1,L565=1,L568=1,M565=1)),T565,0),I565)</f>
        <v>0</v>
      </c>
      <c r="W565" s="26"/>
      <c r="X565" s="26"/>
      <c r="Y565" s="26"/>
      <c r="Z565" s="26"/>
      <c r="AA565" s="26"/>
      <c r="AB565" s="33"/>
    </row>
    <row r="566" spans="1:28" x14ac:dyDescent="0.3">
      <c r="A566" s="32">
        <f>VLOOKUP(YEAR(C566),Flags!$A$13:$B$95,2,FALSE)</f>
        <v>1</v>
      </c>
      <c r="B566" s="24">
        <f t="shared" si="841"/>
        <v>1983</v>
      </c>
      <c r="C566" s="25">
        <v>30528</v>
      </c>
      <c r="D566" s="26">
        <f>VLOOKUP($C566,COS!$B$8:$H$991,3,FALSE)</f>
        <v>13464.8525390625</v>
      </c>
      <c r="E566" s="24">
        <f>IF(D566&gt;=IF(MONTH($C566)=4,$C$3,IF(MONTH($C566)=5,$C$4,IF(MONTH($C566)=6,$C$5,IF(MONTH($C566)=7,$C$6,"ERROR")))),1,0)</f>
        <v>1</v>
      </c>
      <c r="F566" s="26">
        <f>VLOOKUP($C566,COS!$B$8:$H$991,7,FALSE)</f>
        <v>52.801334381103516</v>
      </c>
      <c r="G566" s="24">
        <f>IF(F566&lt;=IF(MONTH($C566)=4,$F$3,IF(MONTH($C566)=5,$F$4,IF(MONTH($C566)=6,$F$5,IF(MONTH($C566)=7,$F$6,"ERROR")))),1,0)</f>
        <v>1</v>
      </c>
      <c r="H566" s="26">
        <f>IF(J566=1,D566-$C$6,0)</f>
        <v>1464.8525390625</v>
      </c>
      <c r="I566" s="26">
        <f t="shared" si="872"/>
        <v>90.070271823347113</v>
      </c>
      <c r="J566" s="24">
        <f t="shared" si="901"/>
        <v>1</v>
      </c>
      <c r="K566" s="26">
        <f>VLOOKUP($C566,COS!$B$8:$H$991,2,FALSE)</f>
        <v>4150</v>
      </c>
      <c r="L566" s="24">
        <f t="shared" si="843"/>
        <v>1</v>
      </c>
      <c r="M566" s="24">
        <f t="shared" si="844"/>
        <v>0</v>
      </c>
      <c r="N566" s="26">
        <f>VLOOKUP($C566,COS!$B$8:$H$991,5,FALSE)</f>
        <v>1382.7108154296875</v>
      </c>
      <c r="O566" s="26">
        <f t="shared" si="904"/>
        <v>85.01957410575929</v>
      </c>
      <c r="P566" s="26">
        <f>VLOOKUP($C566,COS!$B$8:$H$991,6,FALSE)</f>
        <v>2616.67822265625</v>
      </c>
      <c r="Q566" s="26">
        <f t="shared" si="905"/>
        <v>160.89327253357436</v>
      </c>
      <c r="R566" s="26">
        <f>MIN(IF(MONTH($C566)=4,$S$3,IF(MONTH($C566)=5,$S$4,IF(MONTH($C566)=6,$S$5,IF(MONTH($C566)=7,$S$6,"ERROR")))),MAX(VLOOKUP($C566,COS!$B$8:$K$991,10,FALSE)-IF(MONTH($C566)=4,$Y$3,IF(MONTH($C566)=5,$Y$4,IF(MONTH($C566)=6,$Y$5,IF(MONTH($C566)=7,$Y$6,"ERROR")))),0),MAX(VLOOKUP($C566,COS!$B$8:$K$991,9,FALSE)-IF(MONTH($C566)=4,$V$3,IF(MONTH($C566)=5,$V$4,IF(MONTH($C566)=6,$V$5,IF(MONTH($C566)=7,$V$6,"ERROR"))))-VLOOKUP($C566,COS!$B$8:$K$991,6,FALSE)/2,0))</f>
        <v>750</v>
      </c>
      <c r="S566" s="26">
        <f t="shared" si="906"/>
        <v>46.115702479338843</v>
      </c>
      <c r="T566" s="26">
        <f t="shared" si="907"/>
        <v>169.07212579900568</v>
      </c>
      <c r="U566" s="26" t="str">
        <f>IF(VLOOKUP($C566,COS!$B$8:$I$991,8,FALSE)=1,"UWFE","IBU")</f>
        <v>UWFE</v>
      </c>
      <c r="V566" s="26">
        <f t="shared" ref="V566" si="911">MIN(IF(IF($AA$3=2,AND(E566=1,G566=1,L566=1,L568=1,M566=1,U566="IBU"),AND(E566=1,G566=1,L566=1,L568=1,M566=1)),T566,0),I566)</f>
        <v>0</v>
      </c>
      <c r="W566" s="26"/>
      <c r="X566" s="26"/>
      <c r="Y566" s="26"/>
      <c r="Z566" s="26"/>
      <c r="AA566" s="26"/>
      <c r="AB566" s="33"/>
    </row>
    <row r="567" spans="1:28" x14ac:dyDescent="0.3">
      <c r="A567" s="32">
        <f>VLOOKUP(YEAR(C567),Flags!$A$13:$B$95,2,FALSE)</f>
        <v>1</v>
      </c>
      <c r="B567" s="24">
        <f t="shared" si="841"/>
        <v>1983</v>
      </c>
      <c r="C567" s="25">
        <v>30559</v>
      </c>
      <c r="D567" s="26"/>
      <c r="E567" s="24"/>
      <c r="F567" s="26"/>
      <c r="G567" s="24"/>
      <c r="H567" s="24"/>
      <c r="I567" s="26"/>
      <c r="J567" s="24"/>
      <c r="K567" s="26"/>
      <c r="L567" s="24"/>
      <c r="M567" s="24"/>
      <c r="N567" s="26"/>
      <c r="O567" s="26"/>
      <c r="P567" s="26"/>
      <c r="Q567" s="26"/>
      <c r="R567" s="26"/>
      <c r="S567" s="26"/>
      <c r="T567" s="26"/>
      <c r="U567" s="26"/>
      <c r="V567" s="26"/>
      <c r="W567" s="26">
        <f>MAX($C$7-VLOOKUP($C567,COS!$B$8:$H$991,3,FALSE),0)</f>
        <v>86628.7666015625</v>
      </c>
      <c r="X567" s="26">
        <f t="shared" si="870"/>
        <v>5326.5952356663229</v>
      </c>
      <c r="Y567" s="26">
        <f>VLOOKUP($C567,COS!$B$8:$H$991,4,FALSE)</f>
        <v>0</v>
      </c>
      <c r="Z567" s="26">
        <f t="shared" si="871"/>
        <v>0</v>
      </c>
      <c r="AA567" s="26">
        <f t="shared" ref="AA567:AA571" si="912">MIN(W567,Y567)</f>
        <v>0</v>
      </c>
      <c r="AB567" s="33">
        <f t="shared" ref="AB567" si="913">AA567*DAY($C567)*86400/43560/1000*IF(MONTH($C567)=8,$P$3,IF(MONTH($C567)=9,$P$4,IF(MONTH($C567)=10,$P$5,IF(MONTH($C567)=11,$P$6,IF(MONTH($C567)=12,$P$7,NA())))))</f>
        <v>0</v>
      </c>
    </row>
    <row r="568" spans="1:28" x14ac:dyDescent="0.3">
      <c r="A568" s="32">
        <f>VLOOKUP(YEAR(C568),Flags!$A$13:$B$95,2,FALSE)</f>
        <v>1</v>
      </c>
      <c r="B568" s="24">
        <f t="shared" si="841"/>
        <v>1983</v>
      </c>
      <c r="C568" s="25">
        <v>30589</v>
      </c>
      <c r="D568" s="26"/>
      <c r="E568" s="24"/>
      <c r="F568" s="26"/>
      <c r="G568" s="24"/>
      <c r="H568" s="24"/>
      <c r="I568" s="26"/>
      <c r="J568" s="24"/>
      <c r="K568" s="26">
        <f>VLOOKUP($C568,COS!$B$8:$H$991,2,FALSE)</f>
        <v>3400</v>
      </c>
      <c r="L568" s="24">
        <f t="shared" ref="L568" si="914">IF(AND(K568&gt;$I$7,K568&lt;$I$8),1,0)</f>
        <v>1</v>
      </c>
      <c r="M568" s="24"/>
      <c r="N568" s="26"/>
      <c r="O568" s="26"/>
      <c r="P568" s="26"/>
      <c r="Q568" s="26"/>
      <c r="R568" s="26"/>
      <c r="S568" s="26"/>
      <c r="T568" s="26"/>
      <c r="U568" s="26"/>
      <c r="V568" s="26"/>
      <c r="W568" s="26">
        <f>MAX($C$8-VLOOKUP($C568,COS!$B$8:$H$991,3,FALSE),0)</f>
        <v>87804.103515625</v>
      </c>
      <c r="X568" s="26">
        <f t="shared" si="870"/>
        <v>5224.7069860537194</v>
      </c>
      <c r="Y568" s="26">
        <f>VLOOKUP($C568,COS!$B$8:$H$991,4,FALSE)</f>
        <v>0</v>
      </c>
      <c r="Z568" s="26">
        <f t="shared" si="871"/>
        <v>0</v>
      </c>
      <c r="AA568" s="26">
        <f t="shared" si="912"/>
        <v>0</v>
      </c>
      <c r="AB568" s="33">
        <f t="shared" si="854"/>
        <v>0</v>
      </c>
    </row>
    <row r="569" spans="1:28" x14ac:dyDescent="0.3">
      <c r="A569" s="32">
        <f>VLOOKUP(YEAR(C569),Flags!$A$13:$B$95,2,FALSE)</f>
        <v>1</v>
      </c>
      <c r="B569" s="24">
        <f t="shared" si="841"/>
        <v>1983</v>
      </c>
      <c r="C569" s="25">
        <v>30620</v>
      </c>
      <c r="D569" s="26"/>
      <c r="E569" s="24"/>
      <c r="F569" s="26"/>
      <c r="G569" s="26"/>
      <c r="H569" s="26"/>
      <c r="I569" s="26"/>
      <c r="J569" s="26"/>
      <c r="K569" s="26"/>
      <c r="L569" s="24"/>
      <c r="M569" s="24"/>
      <c r="N569" s="26"/>
      <c r="O569" s="26"/>
      <c r="P569" s="26"/>
      <c r="Q569" s="26"/>
      <c r="R569" s="26"/>
      <c r="S569" s="26"/>
      <c r="T569" s="26"/>
      <c r="U569" s="26"/>
      <c r="V569" s="26"/>
      <c r="W569" s="26">
        <f>MAX($C$9-VLOOKUP($C569,COS!$B$8:$H$991,3,FALSE),0)</f>
        <v>90957.4501953125</v>
      </c>
      <c r="X569" s="26">
        <f t="shared" si="870"/>
        <v>5592.7556153150827</v>
      </c>
      <c r="Y569" s="26">
        <f>VLOOKUP($C569,COS!$B$8:$H$991,4,FALSE)</f>
        <v>322.68313598632813</v>
      </c>
      <c r="Z569" s="26">
        <f t="shared" si="871"/>
        <v>19.84101265899406</v>
      </c>
      <c r="AA569" s="26">
        <f t="shared" si="912"/>
        <v>322.68313598632813</v>
      </c>
      <c r="AB569" s="33">
        <f t="shared" si="854"/>
        <v>19.84101265899406</v>
      </c>
    </row>
    <row r="570" spans="1:28" x14ac:dyDescent="0.3">
      <c r="A570" s="32">
        <f>VLOOKUP(YEAR(C570),Flags!$A$13:$B$95,2,FALSE)</f>
        <v>1</v>
      </c>
      <c r="B570" s="24">
        <f t="shared" si="841"/>
        <v>1983</v>
      </c>
      <c r="C570" s="25">
        <v>30650</v>
      </c>
      <c r="D570" s="26"/>
      <c r="E570" s="24"/>
      <c r="F570" s="26"/>
      <c r="G570" s="26"/>
      <c r="H570" s="26"/>
      <c r="I570" s="26"/>
      <c r="J570" s="26"/>
      <c r="K570" s="26"/>
      <c r="L570" s="24"/>
      <c r="M570" s="24"/>
      <c r="N570" s="26"/>
      <c r="O570" s="26"/>
      <c r="P570" s="26"/>
      <c r="Q570" s="26"/>
      <c r="R570" s="26"/>
      <c r="S570" s="26"/>
      <c r="T570" s="26"/>
      <c r="U570" s="26"/>
      <c r="V570" s="26"/>
      <c r="W570" s="26">
        <f>MAX($C$10-VLOOKUP($C570,COS!$B$8:$H$991,3,FALSE),0)</f>
        <v>86177.234375</v>
      </c>
      <c r="X570" s="26">
        <f t="shared" si="870"/>
        <v>5127.901549586777</v>
      </c>
      <c r="Y570" s="26">
        <f>VLOOKUP($C570,COS!$B$8:$H$991,4,FALSE)</f>
        <v>0</v>
      </c>
      <c r="Z570" s="26">
        <f t="shared" si="871"/>
        <v>0</v>
      </c>
      <c r="AA570" s="26">
        <f t="shared" si="912"/>
        <v>0</v>
      </c>
      <c r="AB570" s="33">
        <f t="shared" si="854"/>
        <v>0</v>
      </c>
    </row>
    <row r="571" spans="1:28" x14ac:dyDescent="0.3">
      <c r="A571" s="34">
        <f>VLOOKUP(YEAR(C571),Flags!$A$13:$B$95,2,FALSE)</f>
        <v>1</v>
      </c>
      <c r="B571" s="35">
        <f t="shared" si="841"/>
        <v>1983</v>
      </c>
      <c r="C571" s="36">
        <v>30681</v>
      </c>
      <c r="D571" s="37"/>
      <c r="E571" s="35"/>
      <c r="F571" s="37"/>
      <c r="G571" s="37"/>
      <c r="H571" s="37"/>
      <c r="I571" s="37"/>
      <c r="J571" s="37"/>
      <c r="K571" s="37"/>
      <c r="L571" s="35"/>
      <c r="M571" s="35"/>
      <c r="N571" s="37"/>
      <c r="O571" s="37"/>
      <c r="P571" s="37"/>
      <c r="Q571" s="37"/>
      <c r="R571" s="37"/>
      <c r="S571" s="37"/>
      <c r="T571" s="37"/>
      <c r="U571" s="37"/>
      <c r="V571" s="37"/>
      <c r="W571" s="37">
        <f>MAX($C$11-VLOOKUP($C571,COS!$B$8:$H$991,3,FALSE),0)</f>
        <v>0</v>
      </c>
      <c r="X571" s="37">
        <f t="shared" si="870"/>
        <v>0</v>
      </c>
      <c r="Y571" s="37">
        <f>VLOOKUP($C571,COS!$B$8:$H$991,4,FALSE)</f>
        <v>0</v>
      </c>
      <c r="Z571" s="37">
        <f t="shared" si="871"/>
        <v>0</v>
      </c>
      <c r="AA571" s="37">
        <f t="shared" si="912"/>
        <v>0</v>
      </c>
      <c r="AB571" s="38">
        <f t="shared" si="854"/>
        <v>0</v>
      </c>
    </row>
    <row r="572" spans="1:28" x14ac:dyDescent="0.3">
      <c r="A572" s="27">
        <f>VLOOKUP(YEAR(C572),Flags!$A$13:$B$95,2,FALSE)</f>
        <v>1</v>
      </c>
      <c r="B572" s="28">
        <f t="shared" si="841"/>
        <v>1984</v>
      </c>
      <c r="C572" s="29">
        <v>30802</v>
      </c>
      <c r="D572" s="30">
        <f>VLOOKUP($C572,COS!$B$8:$H$991,3,FALSE)</f>
        <v>3741.849609375</v>
      </c>
      <c r="E572" s="28">
        <f>IF(D572&gt;=IF(MONTH($C572)=4,$C$3,IF(MONTH($C572)=5,$C$4,IF(MONTH($C572)=6,$C$5,IF(MONTH($C572)=7,$C$6,"ERROR")))),1,0)</f>
        <v>0</v>
      </c>
      <c r="F572" s="30">
        <f>VLOOKUP($C572,COS!$B$8:$H$991,7,FALSE)</f>
        <v>49.945255279541016</v>
      </c>
      <c r="G572" s="28">
        <f>IF(F572&lt;=IF(MONTH($C572)=4,$F$3,IF(MONTH($C572)=5,$F$4,IF(MONTH($C572)=6,$F$5,IF(MONTH($C572)=7,$F$6,"ERROR")))),1,0)</f>
        <v>1</v>
      </c>
      <c r="H572" s="30">
        <f>IF(J572=1,D572-$C$3,0)</f>
        <v>0</v>
      </c>
      <c r="I572" s="30">
        <f t="shared" si="872"/>
        <v>0</v>
      </c>
      <c r="J572" s="28">
        <f t="shared" ref="J572:J575" si="915">IF(AND(E572=1,G572=1),1,0)</f>
        <v>0</v>
      </c>
      <c r="K572" s="30">
        <f>VLOOKUP($C572,COS!$B$8:$H$991,2,FALSE)</f>
        <v>4552</v>
      </c>
      <c r="L572" s="28">
        <f t="shared" ref="L572" si="916">IF(K572&lt;=IF(MONTH($C572)=4,$I$3,IF(MONTH($C572)=5,$I$4,IF(MONTH($C572)=6,$I$5,IF(MONTH($C572)=7,$I$6,"ERROR")))),1,0)</f>
        <v>1</v>
      </c>
      <c r="M572" s="28">
        <f t="shared" ref="M572" si="917">VLOOKUP($A572,$L$3:$M$7,2,FALSE)</f>
        <v>0</v>
      </c>
      <c r="N572" s="30">
        <f>VLOOKUP($C572,COS!$B$8:$H$991,5,FALSE)</f>
        <v>325.60305786132813</v>
      </c>
      <c r="O572" s="30">
        <f t="shared" ref="O572:O575" si="918">N572*DAY($C572)*86400/43560/1000</f>
        <v>19.374727409930269</v>
      </c>
      <c r="P572" s="30">
        <f>VLOOKUP($C572,COS!$B$8:$H$991,6,FALSE)</f>
        <v>551.338623046875</v>
      </c>
      <c r="Q572" s="30">
        <f t="shared" ref="Q572:Q575" si="919">P572*DAY($C572)*86400/43560/1000</f>
        <v>32.806926330061984</v>
      </c>
      <c r="R572" s="30">
        <f>MIN(IF(MONTH($C572)=4,$S$3,IF(MONTH($C572)=5,$S$4,IF(MONTH($C572)=6,$S$5,IF(MONTH($C572)=7,$S$6,"ERROR")))),MAX(VLOOKUP($C572,COS!$B$8:$K$991,10,FALSE)-IF(MONTH($C572)=4,$Y$3,IF(MONTH($C572)=5,$Y$4,IF(MONTH($C572)=6,$Y$5,IF(MONTH($C572)=7,$Y$6,"ERROR")))),0),MAX(VLOOKUP($C572,COS!$B$8:$K$991,9,FALSE)-IF(MONTH($C572)=4,$V$3,IF(MONTH($C572)=5,$V$4,IF(MONTH($C572)=6,$V$5,IF(MONTH($C572)=7,$V$6,"ERROR"))))-VLOOKUP($C572,COS!$B$8:$K$991,6,FALSE)/2,0))</f>
        <v>750</v>
      </c>
      <c r="S572" s="30">
        <f t="shared" ref="S572:S575" si="920">R572*DAY($C572)*86400/43560/1000</f>
        <v>44.628099173553714</v>
      </c>
      <c r="T572" s="30">
        <f t="shared" ref="T572:T575" si="921">(O572+Q572)/2+S572</f>
        <v>70.718926043549843</v>
      </c>
      <c r="U572" s="30" t="str">
        <f>IF(VLOOKUP($C572,COS!$B$8:$I$991,8,FALSE)=1,"UWFE","IBU")</f>
        <v>UWFE</v>
      </c>
      <c r="V572" s="30">
        <f t="shared" ref="V572" si="922">MIN(IF(IF($AA$3=2,AND(E572=1,G572=1,L572=1,L577=1,M572=1,U572="IBU"),AND(E572=1,G572=1,L572=1,L577=1,M572=1)),T572,0),I572)</f>
        <v>0</v>
      </c>
      <c r="W572" s="30"/>
      <c r="X572" s="30"/>
      <c r="Y572" s="30"/>
      <c r="Z572" s="30"/>
      <c r="AA572" s="30"/>
      <c r="AB572" s="31"/>
    </row>
    <row r="573" spans="1:28" x14ac:dyDescent="0.3">
      <c r="A573" s="32">
        <f>VLOOKUP(YEAR(C573),Flags!$A$13:$B$95,2,FALSE)</f>
        <v>1</v>
      </c>
      <c r="B573" s="24">
        <f t="shared" si="841"/>
        <v>1984</v>
      </c>
      <c r="C573" s="25">
        <v>30833</v>
      </c>
      <c r="D573" s="26">
        <f>VLOOKUP($C573,COS!$B$8:$H$991,3,FALSE)</f>
        <v>7339.09130859375</v>
      </c>
      <c r="E573" s="24">
        <f>IF(D573&gt;=IF(MONTH($C573)=4,$C$3,IF(MONTH($C573)=5,$C$4,IF(MONTH($C573)=6,$C$5,IF(MONTH($C573)=7,$C$6,"ERROR")))),1,0)</f>
        <v>1</v>
      </c>
      <c r="F573" s="26">
        <f>VLOOKUP($C573,COS!$B$8:$H$991,7,FALSE)</f>
        <v>50.413700103759766</v>
      </c>
      <c r="G573" s="24">
        <f>IF(F573&lt;=IF(MONTH($C573)=4,$F$3,IF(MONTH($C573)=5,$F$4,IF(MONTH($C573)=6,$F$5,IF(MONTH($C573)=7,$F$6,"ERROR")))),1,0)</f>
        <v>1</v>
      </c>
      <c r="H573" s="26">
        <f>IF(J573=1,D573-$C$4,0)</f>
        <v>1339.09130859375</v>
      </c>
      <c r="I573" s="26">
        <f t="shared" si="872"/>
        <v>82.33751517303719</v>
      </c>
      <c r="J573" s="24">
        <f t="shared" si="915"/>
        <v>1</v>
      </c>
      <c r="K573" s="26">
        <f>VLOOKUP($C573,COS!$B$8:$H$991,2,FALSE)</f>
        <v>4539.20361328125</v>
      </c>
      <c r="L573" s="24">
        <f t="shared" si="843"/>
        <v>1</v>
      </c>
      <c r="M573" s="24">
        <f t="shared" si="844"/>
        <v>0</v>
      </c>
      <c r="N573" s="26">
        <f>VLOOKUP($C573,COS!$B$8:$H$991,5,FALSE)</f>
        <v>787.246337890625</v>
      </c>
      <c r="O573" s="26">
        <f t="shared" si="918"/>
        <v>48.405890528150827</v>
      </c>
      <c r="P573" s="26">
        <f>VLOOKUP($C573,COS!$B$8:$H$991,6,FALSE)</f>
        <v>2330.58056640625</v>
      </c>
      <c r="Q573" s="26">
        <f t="shared" si="919"/>
        <v>143.30181333935951</v>
      </c>
      <c r="R573" s="26">
        <f>MIN(IF(MONTH($C573)=4,$S$3,IF(MONTH($C573)=5,$S$4,IF(MONTH($C573)=6,$S$5,IF(MONTH($C573)=7,$S$6,"ERROR")))),MAX(VLOOKUP($C573,COS!$B$8:$K$991,10,FALSE)-IF(MONTH($C573)=4,$Y$3,IF(MONTH($C573)=5,$Y$4,IF(MONTH($C573)=6,$Y$5,IF(MONTH($C573)=7,$Y$6,"ERROR")))),0),MAX(VLOOKUP($C573,COS!$B$8:$K$991,9,FALSE)-IF(MONTH($C573)=4,$V$3,IF(MONTH($C573)=5,$V$4,IF(MONTH($C573)=6,$V$5,IF(MONTH($C573)=7,$V$6,"ERROR"))))-VLOOKUP($C573,COS!$B$8:$K$991,6,FALSE)/2,0))</f>
        <v>750</v>
      </c>
      <c r="S573" s="26">
        <f t="shared" si="920"/>
        <v>46.115702479338843</v>
      </c>
      <c r="T573" s="26">
        <f t="shared" si="921"/>
        <v>141.96955441309402</v>
      </c>
      <c r="U573" s="26" t="str">
        <f>IF(VLOOKUP($C573,COS!$B$8:$I$991,8,FALSE)=1,"UWFE","IBU")</f>
        <v>UWFE</v>
      </c>
      <c r="V573" s="26">
        <f t="shared" ref="V573" si="923">MIN(IF(IF($AA$3=2,AND(E573=1,G573=1,L573=1,L577=1,M573=1,U573="IBU"),AND(E573=1,G573=1,L573=1,L577=1,M573=1)),T573,0),I573)</f>
        <v>0</v>
      </c>
      <c r="W573" s="26"/>
      <c r="X573" s="26"/>
      <c r="Y573" s="26"/>
      <c r="Z573" s="26"/>
      <c r="AA573" s="26"/>
      <c r="AB573" s="33"/>
    </row>
    <row r="574" spans="1:28" x14ac:dyDescent="0.3">
      <c r="A574" s="32">
        <f>VLOOKUP(YEAR(C574),Flags!$A$13:$B$95,2,FALSE)</f>
        <v>1</v>
      </c>
      <c r="B574" s="24">
        <f t="shared" si="841"/>
        <v>1984</v>
      </c>
      <c r="C574" s="25">
        <v>30863</v>
      </c>
      <c r="D574" s="26">
        <f>VLOOKUP($C574,COS!$B$8:$H$991,3,FALSE)</f>
        <v>11324.5849609375</v>
      </c>
      <c r="E574" s="24">
        <f>IF(D574&gt;=IF(MONTH($C574)=4,$C$3,IF(MONTH($C574)=5,$C$4,IF(MONTH($C574)=6,$C$5,IF(MONTH($C574)=7,$C$6,"ERROR")))),1,0)</f>
        <v>1</v>
      </c>
      <c r="F574" s="26">
        <f>VLOOKUP($C574,COS!$B$8:$H$991,7,FALSE)</f>
        <v>50.518535614013672</v>
      </c>
      <c r="G574" s="24">
        <f>IF(F574&lt;=IF(MONTH($C574)=4,$F$3,IF(MONTH($C574)=5,$F$4,IF(MONTH($C574)=6,$F$5,IF(MONTH($C574)=7,$F$6,"ERROR")))),1,0)</f>
        <v>1</v>
      </c>
      <c r="H574" s="26">
        <f>IF(J574=1,D574-$C$5,0)</f>
        <v>1324.5849609375</v>
      </c>
      <c r="I574" s="26">
        <f t="shared" si="872"/>
        <v>78.818278667355372</v>
      </c>
      <c r="J574" s="24">
        <f t="shared" si="915"/>
        <v>1</v>
      </c>
      <c r="K574" s="26">
        <f>VLOOKUP($C574,COS!$B$8:$H$991,2,FALSE)</f>
        <v>4156.24755859375</v>
      </c>
      <c r="L574" s="24">
        <f t="shared" si="843"/>
        <v>1</v>
      </c>
      <c r="M574" s="24">
        <f t="shared" si="844"/>
        <v>0</v>
      </c>
      <c r="N574" s="26">
        <f>VLOOKUP($C574,COS!$B$8:$H$991,5,FALSE)</f>
        <v>904.4803466796875</v>
      </c>
      <c r="O574" s="26">
        <f t="shared" si="918"/>
        <v>53.820318149535126</v>
      </c>
      <c r="P574" s="26">
        <f>VLOOKUP($C574,COS!$B$8:$H$991,6,FALSE)</f>
        <v>2326.57470703125</v>
      </c>
      <c r="Q574" s="26">
        <f t="shared" si="919"/>
        <v>138.44080901342974</v>
      </c>
      <c r="R574" s="26">
        <f>MIN(IF(MONTH($C574)=4,$S$3,IF(MONTH($C574)=5,$S$4,IF(MONTH($C574)=6,$S$5,IF(MONTH($C574)=7,$S$6,"ERROR")))),MAX(VLOOKUP($C574,COS!$B$8:$K$991,10,FALSE)-IF(MONTH($C574)=4,$Y$3,IF(MONTH($C574)=5,$Y$4,IF(MONTH($C574)=6,$Y$5,IF(MONTH($C574)=7,$Y$6,"ERROR")))),0),MAX(VLOOKUP($C574,COS!$B$8:$K$991,9,FALSE)-IF(MONTH($C574)=4,$V$3,IF(MONTH($C574)=5,$V$4,IF(MONTH($C574)=6,$V$5,IF(MONTH($C574)=7,$V$6,"ERROR"))))-VLOOKUP($C574,COS!$B$8:$K$991,6,FALSE)/2,0))</f>
        <v>750</v>
      </c>
      <c r="S574" s="26">
        <f t="shared" si="920"/>
        <v>44.628099173553714</v>
      </c>
      <c r="T574" s="26">
        <f t="shared" si="921"/>
        <v>140.75866275503614</v>
      </c>
      <c r="U574" s="26" t="str">
        <f>IF(VLOOKUP($C574,COS!$B$8:$I$991,8,FALSE)=1,"UWFE","IBU")</f>
        <v>IBU</v>
      </c>
      <c r="V574" s="26">
        <f t="shared" ref="V574" si="924">MIN(IF(IF($AA$3=2,AND(E574=1,G574=1,L574=1,L577=1,M574=1,U574="IBU"),AND(E574=1,G574=1,L574=1,L577=1,M574=1)),T574,0),I574)</f>
        <v>0</v>
      </c>
      <c r="W574" s="26"/>
      <c r="X574" s="26"/>
      <c r="Y574" s="26"/>
      <c r="Z574" s="26"/>
      <c r="AA574" s="26"/>
      <c r="AB574" s="33"/>
    </row>
    <row r="575" spans="1:28" x14ac:dyDescent="0.3">
      <c r="A575" s="32">
        <f>VLOOKUP(YEAR(C575),Flags!$A$13:$B$95,2,FALSE)</f>
        <v>1</v>
      </c>
      <c r="B575" s="24">
        <f t="shared" si="841"/>
        <v>1984</v>
      </c>
      <c r="C575" s="25">
        <v>30894</v>
      </c>
      <c r="D575" s="26">
        <f>VLOOKUP($C575,COS!$B$8:$H$991,3,FALSE)</f>
        <v>16000</v>
      </c>
      <c r="E575" s="24">
        <f>IF(D575&gt;=IF(MONTH($C575)=4,$C$3,IF(MONTH($C575)=5,$C$4,IF(MONTH($C575)=6,$C$5,IF(MONTH($C575)=7,$C$6,"ERROR")))),1,0)</f>
        <v>1</v>
      </c>
      <c r="F575" s="26">
        <f>VLOOKUP($C575,COS!$B$8:$H$991,7,FALSE)</f>
        <v>51.311916351318359</v>
      </c>
      <c r="G575" s="24">
        <f>IF(F575&lt;=IF(MONTH($C575)=4,$F$3,IF(MONTH($C575)=5,$F$4,IF(MONTH($C575)=6,$F$5,IF(MONTH($C575)=7,$F$6,"ERROR")))),1,0)</f>
        <v>1</v>
      </c>
      <c r="H575" s="26">
        <f>IF(J575=1,D575-$C$6,0)</f>
        <v>4000</v>
      </c>
      <c r="I575" s="26">
        <f t="shared" si="872"/>
        <v>245.95041322314049</v>
      </c>
      <c r="J575" s="24">
        <f t="shared" si="915"/>
        <v>1</v>
      </c>
      <c r="K575" s="26">
        <f>VLOOKUP($C575,COS!$B$8:$H$991,2,FALSE)</f>
        <v>3457.78173828125</v>
      </c>
      <c r="L575" s="24">
        <f t="shared" si="843"/>
        <v>1</v>
      </c>
      <c r="M575" s="24">
        <f t="shared" si="844"/>
        <v>0</v>
      </c>
      <c r="N575" s="26">
        <f>VLOOKUP($C575,COS!$B$8:$H$991,5,FALSE)</f>
        <v>1002.6513061523438</v>
      </c>
      <c r="O575" s="26">
        <f t="shared" si="918"/>
        <v>61.650625766722627</v>
      </c>
      <c r="P575" s="26">
        <f>VLOOKUP($C575,COS!$B$8:$H$991,6,FALSE)</f>
        <v>2616.67822265625</v>
      </c>
      <c r="Q575" s="26">
        <f t="shared" si="919"/>
        <v>160.89327253357436</v>
      </c>
      <c r="R575" s="26">
        <f>MIN(IF(MONTH($C575)=4,$S$3,IF(MONTH($C575)=5,$S$4,IF(MONTH($C575)=6,$S$5,IF(MONTH($C575)=7,$S$6,"ERROR")))),MAX(VLOOKUP($C575,COS!$B$8:$K$991,10,FALSE)-IF(MONTH($C575)=4,$Y$3,IF(MONTH($C575)=5,$Y$4,IF(MONTH($C575)=6,$Y$5,IF(MONTH($C575)=7,$Y$6,"ERROR")))),0),MAX(VLOOKUP($C575,COS!$B$8:$K$991,9,FALSE)-IF(MONTH($C575)=4,$V$3,IF(MONTH($C575)=5,$V$4,IF(MONTH($C575)=6,$V$5,IF(MONTH($C575)=7,$V$6,"ERROR"))))-VLOOKUP($C575,COS!$B$8:$K$991,6,FALSE)/2,0))</f>
        <v>750</v>
      </c>
      <c r="S575" s="26">
        <f t="shared" si="920"/>
        <v>46.115702479338843</v>
      </c>
      <c r="T575" s="26">
        <f t="shared" si="921"/>
        <v>157.38765162948732</v>
      </c>
      <c r="U575" s="26" t="str">
        <f>IF(VLOOKUP($C575,COS!$B$8:$I$991,8,FALSE)=1,"UWFE","IBU")</f>
        <v>IBU</v>
      </c>
      <c r="V575" s="26">
        <f t="shared" ref="V575" si="925">MIN(IF(IF($AA$3=2,AND(E575=1,G575=1,L575=1,L577=1,M575=1,U575="IBU"),AND(E575=1,G575=1,L575=1,L577=1,M575=1)),T575,0),I575)</f>
        <v>0</v>
      </c>
      <c r="W575" s="26"/>
      <c r="X575" s="26"/>
      <c r="Y575" s="26"/>
      <c r="Z575" s="26"/>
      <c r="AA575" s="26"/>
      <c r="AB575" s="33"/>
    </row>
    <row r="576" spans="1:28" x14ac:dyDescent="0.3">
      <c r="A576" s="32">
        <f>VLOOKUP(YEAR(C576),Flags!$A$13:$B$95,2,FALSE)</f>
        <v>1</v>
      </c>
      <c r="B576" s="24">
        <f t="shared" si="841"/>
        <v>1984</v>
      </c>
      <c r="C576" s="25">
        <v>30925</v>
      </c>
      <c r="D576" s="26"/>
      <c r="E576" s="24"/>
      <c r="F576" s="26"/>
      <c r="G576" s="24"/>
      <c r="H576" s="24"/>
      <c r="I576" s="26"/>
      <c r="J576" s="24"/>
      <c r="K576" s="26"/>
      <c r="L576" s="24"/>
      <c r="M576" s="24"/>
      <c r="N576" s="26"/>
      <c r="O576" s="26"/>
      <c r="P576" s="26"/>
      <c r="Q576" s="26"/>
      <c r="R576" s="26"/>
      <c r="S576" s="26"/>
      <c r="T576" s="26"/>
      <c r="U576" s="26"/>
      <c r="V576" s="26"/>
      <c r="W576" s="26">
        <f>MAX($C$7-VLOOKUP($C576,COS!$B$8:$H$991,3,FALSE),0)</f>
        <v>91391.3505859375</v>
      </c>
      <c r="X576" s="26">
        <f t="shared" si="870"/>
        <v>5619.4351104080579</v>
      </c>
      <c r="Y576" s="26">
        <f>VLOOKUP($C576,COS!$B$8:$H$991,4,FALSE)</f>
        <v>0</v>
      </c>
      <c r="Z576" s="26">
        <f t="shared" si="871"/>
        <v>0</v>
      </c>
      <c r="AA576" s="26">
        <f t="shared" ref="AA576:AA580" si="926">MIN(W576,Y576)</f>
        <v>0</v>
      </c>
      <c r="AB576" s="33">
        <f t="shared" ref="AB576" si="927">AA576*DAY($C576)*86400/43560/1000*IF(MONTH($C576)=8,$P$3,IF(MONTH($C576)=9,$P$4,IF(MONTH($C576)=10,$P$5,IF(MONTH($C576)=11,$P$6,IF(MONTH($C576)=12,$P$7,NA())))))</f>
        <v>0</v>
      </c>
    </row>
    <row r="577" spans="1:28" x14ac:dyDescent="0.3">
      <c r="A577" s="32">
        <f>VLOOKUP(YEAR(C577),Flags!$A$13:$B$95,2,FALSE)</f>
        <v>1</v>
      </c>
      <c r="B577" s="24">
        <f t="shared" si="841"/>
        <v>1984</v>
      </c>
      <c r="C577" s="25">
        <v>30955</v>
      </c>
      <c r="D577" s="26"/>
      <c r="E577" s="24"/>
      <c r="F577" s="26"/>
      <c r="G577" s="24"/>
      <c r="H577" s="24"/>
      <c r="I577" s="26"/>
      <c r="J577" s="24"/>
      <c r="K577" s="26">
        <f>VLOOKUP($C577,COS!$B$8:$H$991,2,FALSE)</f>
        <v>2599.457763671875</v>
      </c>
      <c r="L577" s="24">
        <f t="shared" ref="L577" si="928">IF(AND(K577&gt;$I$7,K577&lt;$I$8),1,0)</f>
        <v>1</v>
      </c>
      <c r="M577" s="24"/>
      <c r="N577" s="26"/>
      <c r="O577" s="26"/>
      <c r="P577" s="26"/>
      <c r="Q577" s="26"/>
      <c r="R577" s="26"/>
      <c r="S577" s="26"/>
      <c r="T577" s="26"/>
      <c r="U577" s="26"/>
      <c r="V577" s="26"/>
      <c r="W577" s="26">
        <f>MAX($C$8-VLOOKUP($C577,COS!$B$8:$H$991,3,FALSE),0)</f>
        <v>83999</v>
      </c>
      <c r="X577" s="26">
        <f t="shared" si="870"/>
        <v>4998.2876033057846</v>
      </c>
      <c r="Y577" s="26">
        <f>VLOOKUP($C577,COS!$B$8:$H$991,4,FALSE)</f>
        <v>489.46258544921875</v>
      </c>
      <c r="Z577" s="26">
        <f t="shared" si="871"/>
        <v>29.12504640689566</v>
      </c>
      <c r="AA577" s="26">
        <f t="shared" si="926"/>
        <v>489.46258544921875</v>
      </c>
      <c r="AB577" s="33">
        <f t="shared" si="854"/>
        <v>29.12504640689566</v>
      </c>
    </row>
    <row r="578" spans="1:28" x14ac:dyDescent="0.3">
      <c r="A578" s="32">
        <f>VLOOKUP(YEAR(C578),Flags!$A$13:$B$95,2,FALSE)</f>
        <v>1</v>
      </c>
      <c r="B578" s="24">
        <f t="shared" si="841"/>
        <v>1984</v>
      </c>
      <c r="C578" s="25">
        <v>30986</v>
      </c>
      <c r="D578" s="26"/>
      <c r="E578" s="24"/>
      <c r="F578" s="26"/>
      <c r="G578" s="26"/>
      <c r="H578" s="26"/>
      <c r="I578" s="26"/>
      <c r="J578" s="26"/>
      <c r="K578" s="26"/>
      <c r="L578" s="24"/>
      <c r="M578" s="24"/>
      <c r="N578" s="26"/>
      <c r="O578" s="26"/>
      <c r="P578" s="26"/>
      <c r="Q578" s="26"/>
      <c r="R578" s="26"/>
      <c r="S578" s="26"/>
      <c r="T578" s="26"/>
      <c r="U578" s="26"/>
      <c r="V578" s="26"/>
      <c r="W578" s="26">
        <f>MAX($C$9-VLOOKUP($C578,COS!$B$8:$H$991,3,FALSE),0)</f>
        <v>92538.021484375</v>
      </c>
      <c r="X578" s="26">
        <f t="shared" si="870"/>
        <v>5689.9411557334706</v>
      </c>
      <c r="Y578" s="26">
        <f>VLOOKUP($C578,COS!$B$8:$H$991,4,FALSE)</f>
        <v>692.67999267578125</v>
      </c>
      <c r="Z578" s="26">
        <f t="shared" si="871"/>
        <v>42.591232607502583</v>
      </c>
      <c r="AA578" s="26">
        <f t="shared" si="926"/>
        <v>692.67999267578125</v>
      </c>
      <c r="AB578" s="33">
        <f t="shared" si="854"/>
        <v>42.591232607502583</v>
      </c>
    </row>
    <row r="579" spans="1:28" x14ac:dyDescent="0.3">
      <c r="A579" s="32">
        <f>VLOOKUP(YEAR(C579),Flags!$A$13:$B$95,2,FALSE)</f>
        <v>1</v>
      </c>
      <c r="B579" s="24">
        <f t="shared" si="841"/>
        <v>1984</v>
      </c>
      <c r="C579" s="25">
        <v>31016</v>
      </c>
      <c r="D579" s="26"/>
      <c r="E579" s="24"/>
      <c r="F579" s="26"/>
      <c r="G579" s="26"/>
      <c r="H579" s="26"/>
      <c r="I579" s="26"/>
      <c r="J579" s="26"/>
      <c r="K579" s="26"/>
      <c r="L579" s="24"/>
      <c r="M579" s="24"/>
      <c r="N579" s="26"/>
      <c r="O579" s="26"/>
      <c r="P579" s="26"/>
      <c r="Q579" s="26"/>
      <c r="R579" s="26"/>
      <c r="S579" s="26"/>
      <c r="T579" s="26"/>
      <c r="U579" s="26"/>
      <c r="V579" s="26"/>
      <c r="W579" s="26">
        <f>MAX($C$10-VLOOKUP($C579,COS!$B$8:$H$991,3,FALSE),0)</f>
        <v>96749</v>
      </c>
      <c r="X579" s="26">
        <f t="shared" si="870"/>
        <v>5756.965289256198</v>
      </c>
      <c r="Y579" s="26">
        <f>VLOOKUP($C579,COS!$B$8:$H$991,4,FALSE)</f>
        <v>0</v>
      </c>
      <c r="Z579" s="26">
        <f t="shared" si="871"/>
        <v>0</v>
      </c>
      <c r="AA579" s="26">
        <f t="shared" si="926"/>
        <v>0</v>
      </c>
      <c r="AB579" s="33">
        <f t="shared" si="854"/>
        <v>0</v>
      </c>
    </row>
    <row r="580" spans="1:28" x14ac:dyDescent="0.3">
      <c r="A580" s="34">
        <f>VLOOKUP(YEAR(C580),Flags!$A$13:$B$95,2,FALSE)</f>
        <v>1</v>
      </c>
      <c r="B580" s="35">
        <f t="shared" si="841"/>
        <v>1984</v>
      </c>
      <c r="C580" s="36">
        <v>31047</v>
      </c>
      <c r="D580" s="37"/>
      <c r="E580" s="35"/>
      <c r="F580" s="37"/>
      <c r="G580" s="37"/>
      <c r="H580" s="37"/>
      <c r="I580" s="37"/>
      <c r="J580" s="37"/>
      <c r="K580" s="37"/>
      <c r="L580" s="35"/>
      <c r="M580" s="35"/>
      <c r="N580" s="37"/>
      <c r="O580" s="37"/>
      <c r="P580" s="37"/>
      <c r="Q580" s="37"/>
      <c r="R580" s="37"/>
      <c r="S580" s="37"/>
      <c r="T580" s="37"/>
      <c r="U580" s="37"/>
      <c r="V580" s="37"/>
      <c r="W580" s="37">
        <f>MAX($C$11-VLOOKUP($C580,COS!$B$8:$H$991,3,FALSE),0)</f>
        <v>0</v>
      </c>
      <c r="X580" s="37">
        <f t="shared" si="870"/>
        <v>0</v>
      </c>
      <c r="Y580" s="37">
        <f>VLOOKUP($C580,COS!$B$8:$H$991,4,FALSE)</f>
        <v>0</v>
      </c>
      <c r="Z580" s="37">
        <f t="shared" si="871"/>
        <v>0</v>
      </c>
      <c r="AA580" s="37">
        <f t="shared" si="926"/>
        <v>0</v>
      </c>
      <c r="AB580" s="38">
        <f t="shared" si="854"/>
        <v>0</v>
      </c>
    </row>
    <row r="581" spans="1:28" x14ac:dyDescent="0.3">
      <c r="A581" s="27">
        <f>VLOOKUP(YEAR(C581),Flags!$A$13:$B$95,2,FALSE)</f>
        <v>3</v>
      </c>
      <c r="B581" s="28">
        <f t="shared" si="841"/>
        <v>1985</v>
      </c>
      <c r="C581" s="29">
        <v>31167</v>
      </c>
      <c r="D581" s="30">
        <f>VLOOKUP($C581,COS!$B$8:$H$991,3,FALSE)</f>
        <v>3250</v>
      </c>
      <c r="E581" s="28">
        <f>IF(D581&gt;=IF(MONTH($C581)=4,$C$3,IF(MONTH($C581)=5,$C$4,IF(MONTH($C581)=6,$C$5,IF(MONTH($C581)=7,$C$6,"ERROR")))),1,0)</f>
        <v>0</v>
      </c>
      <c r="F581" s="30">
        <f>VLOOKUP($C581,COS!$B$8:$H$991,7,FALSE)</f>
        <v>52.461292266845703</v>
      </c>
      <c r="G581" s="28">
        <f>IF(F581&lt;=IF(MONTH($C581)=4,$F$3,IF(MONTH($C581)=5,$F$4,IF(MONTH($C581)=6,$F$5,IF(MONTH($C581)=7,$F$6,"ERROR")))),1,0)</f>
        <v>1</v>
      </c>
      <c r="H581" s="30">
        <f>IF(J581=1,D581-$C$3,0)</f>
        <v>0</v>
      </c>
      <c r="I581" s="30">
        <f t="shared" si="872"/>
        <v>0</v>
      </c>
      <c r="J581" s="28">
        <f t="shared" ref="J581:J584" si="929">IF(AND(E581=1,G581=1),1,0)</f>
        <v>0</v>
      </c>
      <c r="K581" s="30">
        <f>VLOOKUP($C581,COS!$B$8:$H$991,2,FALSE)</f>
        <v>3952.674072265625</v>
      </c>
      <c r="L581" s="28">
        <f t="shared" ref="L581" si="930">IF(K581&lt;=IF(MONTH($C581)=4,$I$3,IF(MONTH($C581)=5,$I$4,IF(MONTH($C581)=6,$I$5,IF(MONTH($C581)=7,$I$6,"ERROR")))),1,0)</f>
        <v>1</v>
      </c>
      <c r="M581" s="28">
        <f t="shared" ref="M581" si="931">VLOOKUP($A581,$L$3:$M$7,2,FALSE)</f>
        <v>0</v>
      </c>
      <c r="N581" s="30">
        <f>VLOOKUP($C581,COS!$B$8:$H$991,5,FALSE)</f>
        <v>325.05386352539063</v>
      </c>
      <c r="O581" s="30">
        <f t="shared" ref="O581:O584" si="932">N581*DAY($C581)*86400/43560/1000</f>
        <v>19.342048077543907</v>
      </c>
      <c r="P581" s="30">
        <f>VLOOKUP($C581,COS!$B$8:$H$991,6,FALSE)</f>
        <v>469.97174072265625</v>
      </c>
      <c r="Q581" s="30">
        <f t="shared" ref="Q581:Q584" si="933">P581*DAY($C581)*86400/43560/1000</f>
        <v>27.965260604984504</v>
      </c>
      <c r="R581" s="30">
        <f>MIN(IF(MONTH($C581)=4,$S$3,IF(MONTH($C581)=5,$S$4,IF(MONTH($C581)=6,$S$5,IF(MONTH($C581)=7,$S$6,"ERROR")))),MAX(VLOOKUP($C581,COS!$B$8:$K$991,10,FALSE)-IF(MONTH($C581)=4,$Y$3,IF(MONTH($C581)=5,$Y$4,IF(MONTH($C581)=6,$Y$5,IF(MONTH($C581)=7,$Y$6,"ERROR")))),0),MAX(VLOOKUP($C581,COS!$B$8:$K$991,9,FALSE)-IF(MONTH($C581)=4,$V$3,IF(MONTH($C581)=5,$V$4,IF(MONTH($C581)=6,$V$5,IF(MONTH($C581)=7,$V$6,"ERROR"))))-VLOOKUP($C581,COS!$B$8:$K$991,6,FALSE)/2,0))</f>
        <v>750</v>
      </c>
      <c r="S581" s="30">
        <f t="shared" ref="S581:S584" si="934">R581*DAY($C581)*86400/43560/1000</f>
        <v>44.628099173553714</v>
      </c>
      <c r="T581" s="30">
        <f t="shared" ref="T581:T584" si="935">(O581+Q581)/2+S581</f>
        <v>68.281753514817922</v>
      </c>
      <c r="U581" s="30" t="str">
        <f>IF(VLOOKUP($C581,COS!$B$8:$I$991,8,FALSE)=1,"UWFE","IBU")</f>
        <v>UWFE</v>
      </c>
      <c r="V581" s="30">
        <f t="shared" ref="V581" si="936">MIN(IF(IF($AA$3=2,AND(E581=1,G581=1,L581=1,L586=1,M581=1,U581="IBU"),AND(E581=1,G581=1,L581=1,L586=1,M581=1)),T581,0),I581)</f>
        <v>0</v>
      </c>
      <c r="W581" s="30"/>
      <c r="X581" s="30"/>
      <c r="Y581" s="30"/>
      <c r="Z581" s="30"/>
      <c r="AA581" s="30"/>
      <c r="AB581" s="31"/>
    </row>
    <row r="582" spans="1:28" x14ac:dyDescent="0.3">
      <c r="A582" s="32">
        <f>VLOOKUP(YEAR(C582),Flags!$A$13:$B$95,2,FALSE)</f>
        <v>3</v>
      </c>
      <c r="B582" s="24">
        <f t="shared" si="841"/>
        <v>1985</v>
      </c>
      <c r="C582" s="25">
        <v>31198</v>
      </c>
      <c r="D582" s="26">
        <f>VLOOKUP($C582,COS!$B$8:$H$991,3,FALSE)</f>
        <v>8077.96923828125</v>
      </c>
      <c r="E582" s="24">
        <f>IF(D582&gt;=IF(MONTH($C582)=4,$C$3,IF(MONTH($C582)=5,$C$4,IF(MONTH($C582)=6,$C$5,IF(MONTH($C582)=7,$C$6,"ERROR")))),1,0)</f>
        <v>1</v>
      </c>
      <c r="F582" s="26">
        <f>VLOOKUP($C582,COS!$B$8:$H$991,7,FALSE)</f>
        <v>50.861595153808594</v>
      </c>
      <c r="G582" s="24">
        <f>IF(F582&lt;=IF(MONTH($C582)=4,$F$3,IF(MONTH($C582)=5,$F$4,IF(MONTH($C582)=6,$F$5,IF(MONTH($C582)=7,$F$6,"ERROR")))),1,0)</f>
        <v>1</v>
      </c>
      <c r="H582" s="26">
        <f>IF(J582=1,D582-$C$4,0)</f>
        <v>2077.96923828125</v>
      </c>
      <c r="I582" s="26">
        <f t="shared" si="872"/>
        <v>127.76934820506197</v>
      </c>
      <c r="J582" s="24">
        <f t="shared" si="929"/>
        <v>1</v>
      </c>
      <c r="K582" s="26">
        <f>VLOOKUP($C582,COS!$B$8:$H$991,2,FALSE)</f>
        <v>3694.770751953125</v>
      </c>
      <c r="L582" s="24">
        <f t="shared" si="843"/>
        <v>1</v>
      </c>
      <c r="M582" s="24">
        <f t="shared" si="844"/>
        <v>0</v>
      </c>
      <c r="N582" s="26">
        <f>VLOOKUP($C582,COS!$B$8:$H$991,5,FALSE)</f>
        <v>497.94390869140625</v>
      </c>
      <c r="O582" s="26">
        <f t="shared" si="932"/>
        <v>30.617377526149276</v>
      </c>
      <c r="P582" s="26">
        <f>VLOOKUP($C582,COS!$B$8:$H$991,6,FALSE)</f>
        <v>2340.425048828125</v>
      </c>
      <c r="Q582" s="26">
        <f t="shared" si="933"/>
        <v>143.90712696926653</v>
      </c>
      <c r="R582" s="26">
        <f>MIN(IF(MONTH($C582)=4,$S$3,IF(MONTH($C582)=5,$S$4,IF(MONTH($C582)=6,$S$5,IF(MONTH($C582)=7,$S$6,"ERROR")))),MAX(VLOOKUP($C582,COS!$B$8:$K$991,10,FALSE)-IF(MONTH($C582)=4,$Y$3,IF(MONTH($C582)=5,$Y$4,IF(MONTH($C582)=6,$Y$5,IF(MONTH($C582)=7,$Y$6,"ERROR")))),0),MAX(VLOOKUP($C582,COS!$B$8:$K$991,9,FALSE)-IF(MONTH($C582)=4,$V$3,IF(MONTH($C582)=5,$V$4,IF(MONTH($C582)=6,$V$5,IF(MONTH($C582)=7,$V$6,"ERROR"))))-VLOOKUP($C582,COS!$B$8:$K$991,6,FALSE)/2,0))</f>
        <v>750</v>
      </c>
      <c r="S582" s="26">
        <f t="shared" si="934"/>
        <v>46.115702479338843</v>
      </c>
      <c r="T582" s="26">
        <f t="shared" si="935"/>
        <v>133.37795472704676</v>
      </c>
      <c r="U582" s="26" t="str">
        <f>IF(VLOOKUP($C582,COS!$B$8:$I$991,8,FALSE)=1,"UWFE","IBU")</f>
        <v>IBU</v>
      </c>
      <c r="V582" s="26">
        <f t="shared" ref="V582" si="937">MIN(IF(IF($AA$3=2,AND(E582=1,G582=1,L582=1,L586=1,M582=1,U582="IBU"),AND(E582=1,G582=1,L582=1,L586=1,M582=1)),T582,0),I582)</f>
        <v>0</v>
      </c>
      <c r="W582" s="26"/>
      <c r="X582" s="26"/>
      <c r="Y582" s="26"/>
      <c r="Z582" s="26"/>
      <c r="AA582" s="26"/>
      <c r="AB582" s="33"/>
    </row>
    <row r="583" spans="1:28" x14ac:dyDescent="0.3">
      <c r="A583" s="32">
        <f>VLOOKUP(YEAR(C583),Flags!$A$13:$B$95,2,FALSE)</f>
        <v>3</v>
      </c>
      <c r="B583" s="24">
        <f t="shared" si="841"/>
        <v>1985</v>
      </c>
      <c r="C583" s="25">
        <v>31228</v>
      </c>
      <c r="D583" s="26">
        <f>VLOOKUP($C583,COS!$B$8:$H$991,3,FALSE)</f>
        <v>12637.884765625</v>
      </c>
      <c r="E583" s="24">
        <f>IF(D583&gt;=IF(MONTH($C583)=4,$C$3,IF(MONTH($C583)=5,$C$4,IF(MONTH($C583)=6,$C$5,IF(MONTH($C583)=7,$C$6,"ERROR")))),1,0)</f>
        <v>1</v>
      </c>
      <c r="F583" s="26">
        <f>VLOOKUP($C583,COS!$B$8:$H$991,7,FALSE)</f>
        <v>51.714122772216797</v>
      </c>
      <c r="G583" s="24">
        <f>IF(F583&lt;=IF(MONTH($C583)=4,$F$3,IF(MONTH($C583)=5,$F$4,IF(MONTH($C583)=6,$F$5,IF(MONTH($C583)=7,$F$6,"ERROR")))),1,0)</f>
        <v>1</v>
      </c>
      <c r="H583" s="26">
        <f>IF(J583=1,D583-$C$5,0)</f>
        <v>2637.884765625</v>
      </c>
      <c r="I583" s="26">
        <f t="shared" si="872"/>
        <v>156.96504390495866</v>
      </c>
      <c r="J583" s="24">
        <f t="shared" si="929"/>
        <v>1</v>
      </c>
      <c r="K583" s="26">
        <f>VLOOKUP($C583,COS!$B$8:$H$991,2,FALSE)</f>
        <v>3196.5283203125</v>
      </c>
      <c r="L583" s="24">
        <f t="shared" si="843"/>
        <v>1</v>
      </c>
      <c r="M583" s="24">
        <f t="shared" si="844"/>
        <v>0</v>
      </c>
      <c r="N583" s="26">
        <f>VLOOKUP($C583,COS!$B$8:$H$991,5,FALSE)</f>
        <v>737.8311767578125</v>
      </c>
      <c r="O583" s="26">
        <f t="shared" si="932"/>
        <v>43.904003906249997</v>
      </c>
      <c r="P583" s="26">
        <f>VLOOKUP($C583,COS!$B$8:$H$991,6,FALSE)</f>
        <v>2708.118408203125</v>
      </c>
      <c r="Q583" s="26">
        <f t="shared" si="933"/>
        <v>161.14423586002064</v>
      </c>
      <c r="R583" s="26">
        <f>MIN(IF(MONTH($C583)=4,$S$3,IF(MONTH($C583)=5,$S$4,IF(MONTH($C583)=6,$S$5,IF(MONTH($C583)=7,$S$6,"ERROR")))),MAX(VLOOKUP($C583,COS!$B$8:$K$991,10,FALSE)-IF(MONTH($C583)=4,$Y$3,IF(MONTH($C583)=5,$Y$4,IF(MONTH($C583)=6,$Y$5,IF(MONTH($C583)=7,$Y$6,"ERROR")))),0),MAX(VLOOKUP($C583,COS!$B$8:$K$991,9,FALSE)-IF(MONTH($C583)=4,$V$3,IF(MONTH($C583)=5,$V$4,IF(MONTH($C583)=6,$V$5,IF(MONTH($C583)=7,$V$6,"ERROR"))))-VLOOKUP($C583,COS!$B$8:$K$991,6,FALSE)/2,0))</f>
        <v>750</v>
      </c>
      <c r="S583" s="26">
        <f t="shared" si="934"/>
        <v>44.628099173553714</v>
      </c>
      <c r="T583" s="26">
        <f t="shared" si="935"/>
        <v>147.15221905668903</v>
      </c>
      <c r="U583" s="26" t="str">
        <f>IF(VLOOKUP($C583,COS!$B$8:$I$991,8,FALSE)=1,"UWFE","IBU")</f>
        <v>IBU</v>
      </c>
      <c r="V583" s="26">
        <f t="shared" ref="V583" si="938">MIN(IF(IF($AA$3=2,AND(E583=1,G583=1,L583=1,L586=1,M583=1,U583="IBU"),AND(E583=1,G583=1,L583=1,L586=1,M583=1)),T583,0),I583)</f>
        <v>0</v>
      </c>
      <c r="W583" s="26"/>
      <c r="X583" s="26"/>
      <c r="Y583" s="26"/>
      <c r="Z583" s="26"/>
      <c r="AA583" s="26"/>
      <c r="AB583" s="33"/>
    </row>
    <row r="584" spans="1:28" x14ac:dyDescent="0.3">
      <c r="A584" s="32">
        <f>VLOOKUP(YEAR(C584),Flags!$A$13:$B$95,2,FALSE)</f>
        <v>3</v>
      </c>
      <c r="B584" s="24">
        <f t="shared" si="841"/>
        <v>1985</v>
      </c>
      <c r="C584" s="25">
        <v>31259</v>
      </c>
      <c r="D584" s="26">
        <f>VLOOKUP($C584,COS!$B$8:$H$991,3,FALSE)</f>
        <v>15330.47265625</v>
      </c>
      <c r="E584" s="24">
        <f>IF(D584&gt;=IF(MONTH($C584)=4,$C$3,IF(MONTH($C584)=5,$C$4,IF(MONTH($C584)=6,$C$5,IF(MONTH($C584)=7,$C$6,"ERROR")))),1,0)</f>
        <v>1</v>
      </c>
      <c r="F584" s="26">
        <f>VLOOKUP($C584,COS!$B$8:$H$991,7,FALSE)</f>
        <v>53.327499389648438</v>
      </c>
      <c r="G584" s="24">
        <f>IF(F584&lt;=IF(MONTH($C584)=4,$F$3,IF(MONTH($C584)=5,$F$4,IF(MONTH($C584)=6,$F$5,IF(MONTH($C584)=7,$F$6,"ERROR")))),1,0)</f>
        <v>1</v>
      </c>
      <c r="H584" s="26">
        <f>IF(J584=1,D584-$C$6,0)</f>
        <v>3330.47265625</v>
      </c>
      <c r="I584" s="26">
        <f t="shared" si="872"/>
        <v>204.78278150826446</v>
      </c>
      <c r="J584" s="24">
        <f t="shared" si="929"/>
        <v>1</v>
      </c>
      <c r="K584" s="26">
        <f>VLOOKUP($C584,COS!$B$8:$H$991,2,FALSE)</f>
        <v>2582.746337890625</v>
      </c>
      <c r="L584" s="24">
        <f t="shared" si="843"/>
        <v>1</v>
      </c>
      <c r="M584" s="24">
        <f t="shared" si="844"/>
        <v>0</v>
      </c>
      <c r="N584" s="26">
        <f>VLOOKUP($C584,COS!$B$8:$H$991,5,FALSE)</f>
        <v>805.3907470703125</v>
      </c>
      <c r="O584" s="26">
        <f t="shared" si="932"/>
        <v>49.521546762009294</v>
      </c>
      <c r="P584" s="26">
        <f>VLOOKUP($C584,COS!$B$8:$H$991,6,FALSE)</f>
        <v>2442.872314453125</v>
      </c>
      <c r="Q584" s="26">
        <f t="shared" si="933"/>
        <v>150.20636379777892</v>
      </c>
      <c r="R584" s="26">
        <f>MIN(IF(MONTH($C584)=4,$S$3,IF(MONTH($C584)=5,$S$4,IF(MONTH($C584)=6,$S$5,IF(MONTH($C584)=7,$S$6,"ERROR")))),MAX(VLOOKUP($C584,COS!$B$8:$K$991,10,FALSE)-IF(MONTH($C584)=4,$Y$3,IF(MONTH($C584)=5,$Y$4,IF(MONTH($C584)=6,$Y$5,IF(MONTH($C584)=7,$Y$6,"ERROR")))),0),MAX(VLOOKUP($C584,COS!$B$8:$K$991,9,FALSE)-IF(MONTH($C584)=4,$V$3,IF(MONTH($C584)=5,$V$4,IF(MONTH($C584)=6,$V$5,IF(MONTH($C584)=7,$V$6,"ERROR"))))-VLOOKUP($C584,COS!$B$8:$K$991,6,FALSE)/2,0))</f>
        <v>750</v>
      </c>
      <c r="S584" s="26">
        <f t="shared" si="934"/>
        <v>46.115702479338843</v>
      </c>
      <c r="T584" s="26">
        <f t="shared" si="935"/>
        <v>145.97965775923294</v>
      </c>
      <c r="U584" s="26" t="str">
        <f>IF(VLOOKUP($C584,COS!$B$8:$I$991,8,FALSE)=1,"UWFE","IBU")</f>
        <v>IBU</v>
      </c>
      <c r="V584" s="26">
        <f t="shared" ref="V584" si="939">MIN(IF(IF($AA$3=2,AND(E584=1,G584=1,L584=1,L586=1,M584=1,U584="IBU"),AND(E584=1,G584=1,L584=1,L586=1,M584=1)),T584,0),I584)</f>
        <v>0</v>
      </c>
      <c r="W584" s="26"/>
      <c r="X584" s="26"/>
      <c r="Y584" s="26"/>
      <c r="Z584" s="26"/>
      <c r="AA584" s="26"/>
      <c r="AB584" s="33"/>
    </row>
    <row r="585" spans="1:28" x14ac:dyDescent="0.3">
      <c r="A585" s="32">
        <f>VLOOKUP(YEAR(C585),Flags!$A$13:$B$95,2,FALSE)</f>
        <v>3</v>
      </c>
      <c r="B585" s="24">
        <f t="shared" si="841"/>
        <v>1985</v>
      </c>
      <c r="C585" s="25">
        <v>31290</v>
      </c>
      <c r="D585" s="26"/>
      <c r="E585" s="24"/>
      <c r="F585" s="26"/>
      <c r="G585" s="24"/>
      <c r="H585" s="24"/>
      <c r="I585" s="26"/>
      <c r="J585" s="24"/>
      <c r="K585" s="26"/>
      <c r="L585" s="24"/>
      <c r="M585" s="24"/>
      <c r="N585" s="26"/>
      <c r="O585" s="26"/>
      <c r="P585" s="26"/>
      <c r="Q585" s="26"/>
      <c r="R585" s="26"/>
      <c r="S585" s="26"/>
      <c r="T585" s="26"/>
      <c r="U585" s="26"/>
      <c r="V585" s="26"/>
      <c r="W585" s="26">
        <f>MAX($C$7-VLOOKUP($C585,COS!$B$8:$H$991,3,FALSE),0)</f>
        <v>88180.107421875</v>
      </c>
      <c r="X585" s="26">
        <f t="shared" si="870"/>
        <v>5421.9834646177687</v>
      </c>
      <c r="Y585" s="26">
        <f>VLOOKUP($C585,COS!$B$8:$H$991,4,FALSE)</f>
        <v>2388.483154296875</v>
      </c>
      <c r="Z585" s="26">
        <f t="shared" si="871"/>
        <v>146.86210469395661</v>
      </c>
      <c r="AA585" s="26">
        <f t="shared" ref="AA585:AA589" si="940">MIN(W585,Y585)</f>
        <v>2388.483154296875</v>
      </c>
      <c r="AB585" s="33">
        <f t="shared" ref="AB585" si="941">AA585*DAY($C585)*86400/43560/1000*IF(MONTH($C585)=8,$P$3,IF(MONTH($C585)=9,$P$4,IF(MONTH($C585)=10,$P$5,IF(MONTH($C585)=11,$P$6,IF(MONTH($C585)=12,$P$7,NA())))))</f>
        <v>146.86210469395661</v>
      </c>
    </row>
    <row r="586" spans="1:28" x14ac:dyDescent="0.3">
      <c r="A586" s="32">
        <f>VLOOKUP(YEAR(C586),Flags!$A$13:$B$95,2,FALSE)</f>
        <v>3</v>
      </c>
      <c r="B586" s="24">
        <f t="shared" si="841"/>
        <v>1985</v>
      </c>
      <c r="C586" s="25">
        <v>31320</v>
      </c>
      <c r="D586" s="26"/>
      <c r="E586" s="24"/>
      <c r="F586" s="26"/>
      <c r="G586" s="24"/>
      <c r="H586" s="24"/>
      <c r="I586" s="26"/>
      <c r="J586" s="24"/>
      <c r="K586" s="26">
        <f>VLOOKUP($C586,COS!$B$8:$H$991,2,FALSE)</f>
        <v>2217.799560546875</v>
      </c>
      <c r="L586" s="24">
        <f t="shared" ref="L586" si="942">IF(AND(K586&gt;$I$7,K586&lt;$I$8),1,0)</f>
        <v>1</v>
      </c>
      <c r="M586" s="24"/>
      <c r="N586" s="26"/>
      <c r="O586" s="26"/>
      <c r="P586" s="26"/>
      <c r="Q586" s="26"/>
      <c r="R586" s="26"/>
      <c r="S586" s="26"/>
      <c r="T586" s="26"/>
      <c r="U586" s="26"/>
      <c r="V586" s="26"/>
      <c r="W586" s="26">
        <f>MAX($C$8-VLOOKUP($C586,COS!$B$8:$H$991,3,FALSE),0)</f>
        <v>94424.607421875</v>
      </c>
      <c r="X586" s="26">
        <f t="shared" si="870"/>
        <v>5618.6543259297514</v>
      </c>
      <c r="Y586" s="26">
        <f>VLOOKUP($C586,COS!$B$8:$H$991,4,FALSE)</f>
        <v>202.43043518066406</v>
      </c>
      <c r="Z586" s="26">
        <f t="shared" si="871"/>
        <v>12.045447382651084</v>
      </c>
      <c r="AA586" s="26">
        <f t="shared" si="940"/>
        <v>202.43043518066406</v>
      </c>
      <c r="AB586" s="33">
        <f t="shared" si="854"/>
        <v>12.045447382651084</v>
      </c>
    </row>
    <row r="587" spans="1:28" x14ac:dyDescent="0.3">
      <c r="A587" s="32">
        <f>VLOOKUP(YEAR(C587),Flags!$A$13:$B$95,2,FALSE)</f>
        <v>3</v>
      </c>
      <c r="B587" s="24">
        <f t="shared" si="841"/>
        <v>1985</v>
      </c>
      <c r="C587" s="25">
        <v>31351</v>
      </c>
      <c r="D587" s="26"/>
      <c r="E587" s="24"/>
      <c r="F587" s="26"/>
      <c r="G587" s="26"/>
      <c r="H587" s="26"/>
      <c r="I587" s="26"/>
      <c r="J587" s="26"/>
      <c r="K587" s="26"/>
      <c r="L587" s="24"/>
      <c r="M587" s="24"/>
      <c r="N587" s="26"/>
      <c r="O587" s="26"/>
      <c r="P587" s="26"/>
      <c r="Q587" s="26"/>
      <c r="R587" s="26"/>
      <c r="S587" s="26"/>
      <c r="T587" s="26"/>
      <c r="U587" s="26"/>
      <c r="V587" s="26"/>
      <c r="W587" s="26">
        <f>MAX($C$9-VLOOKUP($C587,COS!$B$8:$H$991,3,FALSE),0)</f>
        <v>95205.248046875</v>
      </c>
      <c r="X587" s="26">
        <f t="shared" si="870"/>
        <v>5853.942524535124</v>
      </c>
      <c r="Y587" s="26">
        <f>VLOOKUP($C587,COS!$B$8:$H$991,4,FALSE)</f>
        <v>1064.7911376953125</v>
      </c>
      <c r="Z587" s="26">
        <f t="shared" si="871"/>
        <v>65.471455078125004</v>
      </c>
      <c r="AA587" s="26">
        <f t="shared" si="940"/>
        <v>1064.7911376953125</v>
      </c>
      <c r="AB587" s="33">
        <f t="shared" si="854"/>
        <v>65.471455078125004</v>
      </c>
    </row>
    <row r="588" spans="1:28" x14ac:dyDescent="0.3">
      <c r="A588" s="32">
        <f>VLOOKUP(YEAR(C588),Flags!$A$13:$B$95,2,FALSE)</f>
        <v>3</v>
      </c>
      <c r="B588" s="24">
        <f t="shared" si="841"/>
        <v>1985</v>
      </c>
      <c r="C588" s="25">
        <v>31381</v>
      </c>
      <c r="D588" s="26"/>
      <c r="E588" s="24"/>
      <c r="F588" s="26"/>
      <c r="G588" s="26"/>
      <c r="H588" s="26"/>
      <c r="I588" s="26"/>
      <c r="J588" s="26"/>
      <c r="K588" s="26"/>
      <c r="L588" s="24"/>
      <c r="M588" s="24"/>
      <c r="N588" s="26"/>
      <c r="O588" s="26"/>
      <c r="P588" s="26"/>
      <c r="Q588" s="26"/>
      <c r="R588" s="26"/>
      <c r="S588" s="26"/>
      <c r="T588" s="26"/>
      <c r="U588" s="26"/>
      <c r="V588" s="26"/>
      <c r="W588" s="26">
        <f>MAX($C$10-VLOOKUP($C588,COS!$B$8:$H$991,3,FALSE),0)</f>
        <v>96373.38037109375</v>
      </c>
      <c r="X588" s="26">
        <f t="shared" si="870"/>
        <v>5734.6143691890502</v>
      </c>
      <c r="Y588" s="26">
        <f>VLOOKUP($C588,COS!$B$8:$H$991,4,FALSE)</f>
        <v>110.72906494140625</v>
      </c>
      <c r="Z588" s="26">
        <f t="shared" si="871"/>
        <v>6.5888369221332646</v>
      </c>
      <c r="AA588" s="26">
        <f t="shared" si="940"/>
        <v>110.72906494140625</v>
      </c>
      <c r="AB588" s="33">
        <f t="shared" si="854"/>
        <v>3.2944184610666323</v>
      </c>
    </row>
    <row r="589" spans="1:28" x14ac:dyDescent="0.3">
      <c r="A589" s="34">
        <f>VLOOKUP(YEAR(C589),Flags!$A$13:$B$95,2,FALSE)</f>
        <v>3</v>
      </c>
      <c r="B589" s="35">
        <f t="shared" si="841"/>
        <v>1985</v>
      </c>
      <c r="C589" s="36">
        <v>31412</v>
      </c>
      <c r="D589" s="37"/>
      <c r="E589" s="35"/>
      <c r="F589" s="37"/>
      <c r="G589" s="37"/>
      <c r="H589" s="37"/>
      <c r="I589" s="37"/>
      <c r="J589" s="37"/>
      <c r="K589" s="37"/>
      <c r="L589" s="35"/>
      <c r="M589" s="35"/>
      <c r="N589" s="37"/>
      <c r="O589" s="37"/>
      <c r="P589" s="37"/>
      <c r="Q589" s="37"/>
      <c r="R589" s="37"/>
      <c r="S589" s="37"/>
      <c r="T589" s="37"/>
      <c r="U589" s="37"/>
      <c r="V589" s="37"/>
      <c r="W589" s="37">
        <f>MAX($C$11-VLOOKUP($C589,COS!$B$8:$H$991,3,FALSE),0)</f>
        <v>0</v>
      </c>
      <c r="X589" s="37">
        <f t="shared" si="870"/>
        <v>0</v>
      </c>
      <c r="Y589" s="37">
        <f>VLOOKUP($C589,COS!$B$8:$H$991,4,FALSE)</f>
        <v>364.45733642578125</v>
      </c>
      <c r="Z589" s="37">
        <f t="shared" si="871"/>
        <v>22.409608124031507</v>
      </c>
      <c r="AA589" s="37">
        <f t="shared" si="940"/>
        <v>0</v>
      </c>
      <c r="AB589" s="38">
        <f t="shared" si="854"/>
        <v>0</v>
      </c>
    </row>
    <row r="590" spans="1:28" x14ac:dyDescent="0.3">
      <c r="A590" s="27">
        <f>VLOOKUP(YEAR(C590),Flags!$A$13:$B$95,2,FALSE)</f>
        <v>1</v>
      </c>
      <c r="B590" s="28">
        <f t="shared" si="841"/>
        <v>1986</v>
      </c>
      <c r="C590" s="29">
        <v>31532</v>
      </c>
      <c r="D590" s="30">
        <f>VLOOKUP($C590,COS!$B$8:$H$991,3,FALSE)</f>
        <v>3250</v>
      </c>
      <c r="E590" s="28">
        <f>IF(D590&gt;=IF(MONTH($C590)=4,$C$3,IF(MONTH($C590)=5,$C$4,IF(MONTH($C590)=6,$C$5,IF(MONTH($C590)=7,$C$6,"ERROR")))),1,0)</f>
        <v>0</v>
      </c>
      <c r="F590" s="30">
        <f>VLOOKUP($C590,COS!$B$8:$H$991,7,FALSE)</f>
        <v>51.891460418701172</v>
      </c>
      <c r="G590" s="28">
        <f>IF(F590&lt;=IF(MONTH($C590)=4,$F$3,IF(MONTH($C590)=5,$F$4,IF(MONTH($C590)=6,$F$5,IF(MONTH($C590)=7,$F$6,"ERROR")))),1,0)</f>
        <v>1</v>
      </c>
      <c r="H590" s="30">
        <f>IF(J590=1,D590-$C$3,0)</f>
        <v>0</v>
      </c>
      <c r="I590" s="30">
        <f t="shared" si="872"/>
        <v>0</v>
      </c>
      <c r="J590" s="28">
        <f t="shared" ref="J590:J593" si="943">IF(AND(E590=1,G590=1),1,0)</f>
        <v>0</v>
      </c>
      <c r="K590" s="30">
        <f>VLOOKUP($C590,COS!$B$8:$H$991,2,FALSE)</f>
        <v>4012.635986328125</v>
      </c>
      <c r="L590" s="28">
        <f t="shared" ref="L590:L647" si="944">IF(K590&lt;=IF(MONTH($C590)=4,$I$3,IF(MONTH($C590)=5,$I$4,IF(MONTH($C590)=6,$I$5,IF(MONTH($C590)=7,$I$6,"ERROR")))),1,0)</f>
        <v>1</v>
      </c>
      <c r="M590" s="28">
        <f t="shared" ref="M590:M647" si="945">VLOOKUP($A590,$L$3:$M$7,2,FALSE)</f>
        <v>0</v>
      </c>
      <c r="N590" s="30">
        <f>VLOOKUP($C590,COS!$B$8:$H$991,5,FALSE)</f>
        <v>174.09121704101563</v>
      </c>
      <c r="O590" s="30">
        <f t="shared" ref="O590:O593" si="946">N590*DAY($C590)*86400/43560/1000</f>
        <v>10.359146799134814</v>
      </c>
      <c r="P590" s="30">
        <f>VLOOKUP($C590,COS!$B$8:$H$991,6,FALSE)</f>
        <v>419.7452392578125</v>
      </c>
      <c r="Q590" s="30">
        <f t="shared" ref="Q590:Q593" si="947">P590*DAY($C590)*86400/43560/1000</f>
        <v>24.976576220299588</v>
      </c>
      <c r="R590" s="30">
        <f>MIN(IF(MONTH($C590)=4,$S$3,IF(MONTH($C590)=5,$S$4,IF(MONTH($C590)=6,$S$5,IF(MONTH($C590)=7,$S$6,"ERROR")))),MAX(VLOOKUP($C590,COS!$B$8:$K$991,10,FALSE)-IF(MONTH($C590)=4,$Y$3,IF(MONTH($C590)=5,$Y$4,IF(MONTH($C590)=6,$Y$5,IF(MONTH($C590)=7,$Y$6,"ERROR")))),0),MAX(VLOOKUP($C590,COS!$B$8:$K$991,9,FALSE)-IF(MONTH($C590)=4,$V$3,IF(MONTH($C590)=5,$V$4,IF(MONTH($C590)=6,$V$5,IF(MONTH($C590)=7,$V$6,"ERROR"))))-VLOOKUP($C590,COS!$B$8:$K$991,6,FALSE)/2,0))</f>
        <v>750</v>
      </c>
      <c r="S590" s="30">
        <f t="shared" ref="S590:S593" si="948">R590*DAY($C590)*86400/43560/1000</f>
        <v>44.628099173553714</v>
      </c>
      <c r="T590" s="30">
        <f t="shared" ref="T590:T593" si="949">(O590+Q590)/2+S590</f>
        <v>62.29596068327092</v>
      </c>
      <c r="U590" s="30" t="str">
        <f>IF(VLOOKUP($C590,COS!$B$8:$I$991,8,FALSE)=1,"UWFE","IBU")</f>
        <v>UWFE</v>
      </c>
      <c r="V590" s="30">
        <f t="shared" ref="V590" si="950">MIN(IF(IF($AA$3=2,AND(E590=1,G590=1,L590=1,L595=1,M590=1,U590="IBU"),AND(E590=1,G590=1,L590=1,L595=1,M590=1)),T590,0),I590)</f>
        <v>0</v>
      </c>
      <c r="W590" s="30"/>
      <c r="X590" s="30"/>
      <c r="Y590" s="30"/>
      <c r="Z590" s="30"/>
      <c r="AA590" s="30"/>
      <c r="AB590" s="31"/>
    </row>
    <row r="591" spans="1:28" x14ac:dyDescent="0.3">
      <c r="A591" s="32">
        <f>VLOOKUP(YEAR(C591),Flags!$A$13:$B$95,2,FALSE)</f>
        <v>1</v>
      </c>
      <c r="B591" s="24">
        <f t="shared" ref="B591:B654" si="951">YEAR(C591)</f>
        <v>1986</v>
      </c>
      <c r="C591" s="25">
        <v>31563</v>
      </c>
      <c r="D591" s="26">
        <f>VLOOKUP($C591,COS!$B$8:$H$991,3,FALSE)</f>
        <v>6404.04443359375</v>
      </c>
      <c r="E591" s="24">
        <f>IF(D591&gt;=IF(MONTH($C591)=4,$C$3,IF(MONTH($C591)=5,$C$4,IF(MONTH($C591)=6,$C$5,IF(MONTH($C591)=7,$C$6,"ERROR")))),1,0)</f>
        <v>1</v>
      </c>
      <c r="F591" s="26">
        <f>VLOOKUP($C591,COS!$B$8:$H$991,7,FALSE)</f>
        <v>50.922679901123047</v>
      </c>
      <c r="G591" s="24">
        <f>IF(F591&lt;=IF(MONTH($C591)=4,$F$3,IF(MONTH($C591)=5,$F$4,IF(MONTH($C591)=6,$F$5,IF(MONTH($C591)=7,$F$6,"ERROR")))),1,0)</f>
        <v>1</v>
      </c>
      <c r="H591" s="26">
        <f>IF(J591=1,D591-$C$4,0)</f>
        <v>404.04443359375</v>
      </c>
      <c r="I591" s="26">
        <f t="shared" si="872"/>
        <v>24.843723850723141</v>
      </c>
      <c r="J591" s="24">
        <f t="shared" si="943"/>
        <v>1</v>
      </c>
      <c r="K591" s="26">
        <f>VLOOKUP($C591,COS!$B$8:$H$991,2,FALSE)</f>
        <v>4026.975341796875</v>
      </c>
      <c r="L591" s="24">
        <f t="shared" si="944"/>
        <v>1</v>
      </c>
      <c r="M591" s="24">
        <f t="shared" si="945"/>
        <v>0</v>
      </c>
      <c r="N591" s="26">
        <f>VLOOKUP($C591,COS!$B$8:$H$991,5,FALSE)</f>
        <v>294.54061889648438</v>
      </c>
      <c r="O591" s="26">
        <f t="shared" si="946"/>
        <v>18.110596732147467</v>
      </c>
      <c r="P591" s="26">
        <f>VLOOKUP($C591,COS!$B$8:$H$991,6,FALSE)</f>
        <v>2245.033447265625</v>
      </c>
      <c r="Q591" s="26">
        <f t="shared" si="947"/>
        <v>138.04172601368802</v>
      </c>
      <c r="R591" s="26">
        <f>MIN(IF(MONTH($C591)=4,$S$3,IF(MONTH($C591)=5,$S$4,IF(MONTH($C591)=6,$S$5,IF(MONTH($C591)=7,$S$6,"ERROR")))),MAX(VLOOKUP($C591,COS!$B$8:$K$991,10,FALSE)-IF(MONTH($C591)=4,$Y$3,IF(MONTH($C591)=5,$Y$4,IF(MONTH($C591)=6,$Y$5,IF(MONTH($C591)=7,$Y$6,"ERROR")))),0),MAX(VLOOKUP($C591,COS!$B$8:$K$991,9,FALSE)-IF(MONTH($C591)=4,$V$3,IF(MONTH($C591)=5,$V$4,IF(MONTH($C591)=6,$V$5,IF(MONTH($C591)=7,$V$6,"ERROR"))))-VLOOKUP($C591,COS!$B$8:$K$991,6,FALSE)/2,0))</f>
        <v>750</v>
      </c>
      <c r="S591" s="26">
        <f t="shared" si="948"/>
        <v>46.115702479338843</v>
      </c>
      <c r="T591" s="26">
        <f t="shared" si="949"/>
        <v>124.19186385225657</v>
      </c>
      <c r="U591" s="26" t="str">
        <f>IF(VLOOKUP($C591,COS!$B$8:$I$991,8,FALSE)=1,"UWFE","IBU")</f>
        <v>UWFE</v>
      </c>
      <c r="V591" s="26">
        <f t="shared" ref="V591" si="952">MIN(IF(IF($AA$3=2,AND(E591=1,G591=1,L591=1,L595=1,M591=1,U591="IBU"),AND(E591=1,G591=1,L591=1,L595=1,M591=1)),T591,0),I591)</f>
        <v>0</v>
      </c>
      <c r="W591" s="26"/>
      <c r="X591" s="26"/>
      <c r="Y591" s="26"/>
      <c r="Z591" s="26"/>
      <c r="AA591" s="26"/>
      <c r="AB591" s="33"/>
    </row>
    <row r="592" spans="1:28" x14ac:dyDescent="0.3">
      <c r="A592" s="32">
        <f>VLOOKUP(YEAR(C592),Flags!$A$13:$B$95,2,FALSE)</f>
        <v>1</v>
      </c>
      <c r="B592" s="24">
        <f t="shared" si="951"/>
        <v>1986</v>
      </c>
      <c r="C592" s="25">
        <v>31593</v>
      </c>
      <c r="D592" s="26">
        <f>VLOOKUP($C592,COS!$B$8:$H$991,3,FALSE)</f>
        <v>8645.5615234375</v>
      </c>
      <c r="E592" s="24">
        <f>IF(D592&gt;=IF(MONTH($C592)=4,$C$3,IF(MONTH($C592)=5,$C$4,IF(MONTH($C592)=6,$C$5,IF(MONTH($C592)=7,$C$6,"ERROR")))),1,0)</f>
        <v>0</v>
      </c>
      <c r="F592" s="26">
        <f>VLOOKUP($C592,COS!$B$8:$H$991,7,FALSE)</f>
        <v>51.637722015380859</v>
      </c>
      <c r="G592" s="24">
        <f>IF(F592&lt;=IF(MONTH($C592)=4,$F$3,IF(MONTH($C592)=5,$F$4,IF(MONTH($C592)=6,$F$5,IF(MONTH($C592)=7,$F$6,"ERROR")))),1,0)</f>
        <v>1</v>
      </c>
      <c r="H592" s="26">
        <f>IF(J592=1,D592-$C$5,0)</f>
        <v>0</v>
      </c>
      <c r="I592" s="26">
        <f t="shared" si="872"/>
        <v>0</v>
      </c>
      <c r="J592" s="24">
        <f t="shared" si="943"/>
        <v>0</v>
      </c>
      <c r="K592" s="26">
        <f>VLOOKUP($C592,COS!$B$8:$H$991,2,FALSE)</f>
        <v>3745.956298828125</v>
      </c>
      <c r="L592" s="24">
        <f t="shared" si="944"/>
        <v>1</v>
      </c>
      <c r="M592" s="24">
        <f t="shared" si="945"/>
        <v>0</v>
      </c>
      <c r="N592" s="26">
        <f>VLOOKUP($C592,COS!$B$8:$H$991,5,FALSE)</f>
        <v>616.0546875</v>
      </c>
      <c r="O592" s="26">
        <f t="shared" si="946"/>
        <v>36.657799586776861</v>
      </c>
      <c r="P592" s="26">
        <f>VLOOKUP($C592,COS!$B$8:$H$991,6,FALSE)</f>
        <v>2278.943359375</v>
      </c>
      <c r="Q592" s="26">
        <f t="shared" si="947"/>
        <v>135.60654700413224</v>
      </c>
      <c r="R592" s="26">
        <f>MIN(IF(MONTH($C592)=4,$S$3,IF(MONTH($C592)=5,$S$4,IF(MONTH($C592)=6,$S$5,IF(MONTH($C592)=7,$S$6,"ERROR")))),MAX(VLOOKUP($C592,COS!$B$8:$K$991,10,FALSE)-IF(MONTH($C592)=4,$Y$3,IF(MONTH($C592)=5,$Y$4,IF(MONTH($C592)=6,$Y$5,IF(MONTH($C592)=7,$Y$6,"ERROR")))),0),MAX(VLOOKUP($C592,COS!$B$8:$K$991,9,FALSE)-IF(MONTH($C592)=4,$V$3,IF(MONTH($C592)=5,$V$4,IF(MONTH($C592)=6,$V$5,IF(MONTH($C592)=7,$V$6,"ERROR"))))-VLOOKUP($C592,COS!$B$8:$K$991,6,FALSE)/2,0))</f>
        <v>750</v>
      </c>
      <c r="S592" s="26">
        <f t="shared" si="948"/>
        <v>44.628099173553714</v>
      </c>
      <c r="T592" s="26">
        <f t="shared" si="949"/>
        <v>130.76027246900827</v>
      </c>
      <c r="U592" s="26" t="str">
        <f>IF(VLOOKUP($C592,COS!$B$8:$I$991,8,FALSE)=1,"UWFE","IBU")</f>
        <v>IBU</v>
      </c>
      <c r="V592" s="26">
        <f t="shared" ref="V592" si="953">MIN(IF(IF($AA$3=2,AND(E592=1,G592=1,L592=1,L595=1,M592=1,U592="IBU"),AND(E592=1,G592=1,L592=1,L595=1,M592=1)),T592,0),I592)</f>
        <v>0</v>
      </c>
      <c r="W592" s="26"/>
      <c r="X592" s="26"/>
      <c r="Y592" s="26"/>
      <c r="Z592" s="26"/>
      <c r="AA592" s="26"/>
      <c r="AB592" s="33"/>
    </row>
    <row r="593" spans="1:28" x14ac:dyDescent="0.3">
      <c r="A593" s="32">
        <f>VLOOKUP(YEAR(C593),Flags!$A$13:$B$95,2,FALSE)</f>
        <v>1</v>
      </c>
      <c r="B593" s="24">
        <f t="shared" si="951"/>
        <v>1986</v>
      </c>
      <c r="C593" s="25">
        <v>31624</v>
      </c>
      <c r="D593" s="26">
        <f>VLOOKUP($C593,COS!$B$8:$H$991,3,FALSE)</f>
        <v>12633.615234375</v>
      </c>
      <c r="E593" s="24">
        <f>IF(D593&gt;=IF(MONTH($C593)=4,$C$3,IF(MONTH($C593)=5,$C$4,IF(MONTH($C593)=6,$C$5,IF(MONTH($C593)=7,$C$6,"ERROR")))),1,0)</f>
        <v>1</v>
      </c>
      <c r="F593" s="26">
        <f>VLOOKUP($C593,COS!$B$8:$H$991,7,FALSE)</f>
        <v>51.914817810058594</v>
      </c>
      <c r="G593" s="24">
        <f>IF(F593&lt;=IF(MONTH($C593)=4,$F$3,IF(MONTH($C593)=5,$F$4,IF(MONTH($C593)=6,$F$5,IF(MONTH($C593)=7,$F$6,"ERROR")))),1,0)</f>
        <v>1</v>
      </c>
      <c r="H593" s="26">
        <f>IF(J593=1,D593-$C$6,0)</f>
        <v>633.615234375</v>
      </c>
      <c r="I593" s="26">
        <f t="shared" si="872"/>
        <v>38.959482179752065</v>
      </c>
      <c r="J593" s="24">
        <f t="shared" si="943"/>
        <v>1</v>
      </c>
      <c r="K593" s="26">
        <f>VLOOKUP($C593,COS!$B$8:$H$991,2,FALSE)</f>
        <v>3301.90478515625</v>
      </c>
      <c r="L593" s="24">
        <f t="shared" si="944"/>
        <v>1</v>
      </c>
      <c r="M593" s="24">
        <f t="shared" si="945"/>
        <v>0</v>
      </c>
      <c r="N593" s="26">
        <f>VLOOKUP($C593,COS!$B$8:$H$991,5,FALSE)</f>
        <v>673.447265625</v>
      </c>
      <c r="O593" s="26">
        <f t="shared" si="946"/>
        <v>41.408658316115705</v>
      </c>
      <c r="P593" s="26">
        <f>VLOOKUP($C593,COS!$B$8:$H$991,6,FALSE)</f>
        <v>2521.474853515625</v>
      </c>
      <c r="Q593" s="26">
        <f t="shared" si="947"/>
        <v>155.0394455384814</v>
      </c>
      <c r="R593" s="26">
        <f>MIN(IF(MONTH($C593)=4,$S$3,IF(MONTH($C593)=5,$S$4,IF(MONTH($C593)=6,$S$5,IF(MONTH($C593)=7,$S$6,"ERROR")))),MAX(VLOOKUP($C593,COS!$B$8:$K$991,10,FALSE)-IF(MONTH($C593)=4,$Y$3,IF(MONTH($C593)=5,$Y$4,IF(MONTH($C593)=6,$Y$5,IF(MONTH($C593)=7,$Y$6,"ERROR")))),0),MAX(VLOOKUP($C593,COS!$B$8:$K$991,9,FALSE)-IF(MONTH($C593)=4,$V$3,IF(MONTH($C593)=5,$V$4,IF(MONTH($C593)=6,$V$5,IF(MONTH($C593)=7,$V$6,"ERROR"))))-VLOOKUP($C593,COS!$B$8:$K$991,6,FALSE)/2,0))</f>
        <v>750</v>
      </c>
      <c r="S593" s="26">
        <f t="shared" si="948"/>
        <v>46.115702479338843</v>
      </c>
      <c r="T593" s="26">
        <f t="shared" si="949"/>
        <v>144.33975440663738</v>
      </c>
      <c r="U593" s="26" t="str">
        <f>IF(VLOOKUP($C593,COS!$B$8:$I$991,8,FALSE)=1,"UWFE","IBU")</f>
        <v>IBU</v>
      </c>
      <c r="V593" s="26">
        <f t="shared" ref="V593" si="954">MIN(IF(IF($AA$3=2,AND(E593=1,G593=1,L593=1,L595=1,M593=1,U593="IBU"),AND(E593=1,G593=1,L593=1,L595=1,M593=1)),T593,0),I593)</f>
        <v>0</v>
      </c>
      <c r="W593" s="26"/>
      <c r="X593" s="26"/>
      <c r="Y593" s="26"/>
      <c r="Z593" s="26"/>
      <c r="AA593" s="26"/>
      <c r="AB593" s="33"/>
    </row>
    <row r="594" spans="1:28" x14ac:dyDescent="0.3">
      <c r="A594" s="32">
        <f>VLOOKUP(YEAR(C594),Flags!$A$13:$B$95,2,FALSE)</f>
        <v>1</v>
      </c>
      <c r="B594" s="24">
        <f t="shared" si="951"/>
        <v>1986</v>
      </c>
      <c r="C594" s="25">
        <v>31655</v>
      </c>
      <c r="D594" s="26"/>
      <c r="E594" s="24"/>
      <c r="F594" s="26"/>
      <c r="G594" s="24"/>
      <c r="H594" s="24"/>
      <c r="I594" s="26"/>
      <c r="J594" s="24"/>
      <c r="K594" s="26"/>
      <c r="L594" s="24"/>
      <c r="M594" s="24"/>
      <c r="N594" s="26"/>
      <c r="O594" s="26"/>
      <c r="P594" s="26"/>
      <c r="Q594" s="26"/>
      <c r="R594" s="26"/>
      <c r="S594" s="26"/>
      <c r="T594" s="26"/>
      <c r="U594" s="26"/>
      <c r="V594" s="26"/>
      <c r="W594" s="26">
        <f>MAX($C$7-VLOOKUP($C594,COS!$B$8:$H$991,3,FALSE),0)</f>
        <v>90769.2431640625</v>
      </c>
      <c r="X594" s="26">
        <f t="shared" si="870"/>
        <v>5581.1832160382237</v>
      </c>
      <c r="Y594" s="26">
        <f>VLOOKUP($C594,COS!$B$8:$H$991,4,FALSE)</f>
        <v>387.97982788085938</v>
      </c>
      <c r="Z594" s="26">
        <f t="shared" si="871"/>
        <v>23.855949747385072</v>
      </c>
      <c r="AA594" s="26">
        <f t="shared" ref="AA594:AA598" si="955">MIN(W594,Y594)</f>
        <v>387.97982788085938</v>
      </c>
      <c r="AB594" s="33">
        <f t="shared" ref="AB594:AB652" si="956">AA594*DAY($C594)*86400/43560/1000*IF(MONTH($C594)=8,$P$3,IF(MONTH($C594)=9,$P$4,IF(MONTH($C594)=10,$P$5,IF(MONTH($C594)=11,$P$6,IF(MONTH($C594)=12,$P$7,NA())))))</f>
        <v>23.855949747385072</v>
      </c>
    </row>
    <row r="595" spans="1:28" x14ac:dyDescent="0.3">
      <c r="A595" s="32">
        <f>VLOOKUP(YEAR(C595),Flags!$A$13:$B$95,2,FALSE)</f>
        <v>1</v>
      </c>
      <c r="B595" s="24">
        <f t="shared" si="951"/>
        <v>1986</v>
      </c>
      <c r="C595" s="25">
        <v>31685</v>
      </c>
      <c r="D595" s="26"/>
      <c r="E595" s="24"/>
      <c r="F595" s="26"/>
      <c r="G595" s="24"/>
      <c r="H595" s="24"/>
      <c r="I595" s="26"/>
      <c r="J595" s="24"/>
      <c r="K595" s="26">
        <f>VLOOKUP($C595,COS!$B$8:$H$991,2,FALSE)</f>
        <v>2914.57763671875</v>
      </c>
      <c r="L595" s="24">
        <f t="shared" ref="L595" si="957">IF(AND(K595&gt;$I$7,K595&lt;$I$8),1,0)</f>
        <v>1</v>
      </c>
      <c r="M595" s="24"/>
      <c r="N595" s="26"/>
      <c r="O595" s="26"/>
      <c r="P595" s="26"/>
      <c r="Q595" s="26"/>
      <c r="R595" s="26"/>
      <c r="S595" s="26"/>
      <c r="T595" s="26"/>
      <c r="U595" s="26"/>
      <c r="V595" s="26"/>
      <c r="W595" s="26">
        <f>MAX($C$8-VLOOKUP($C595,COS!$B$8:$H$991,3,FALSE),0)</f>
        <v>92355.841796875</v>
      </c>
      <c r="X595" s="26">
        <f t="shared" si="870"/>
        <v>5495.5542226239668</v>
      </c>
      <c r="Y595" s="26">
        <f>VLOOKUP($C595,COS!$B$8:$H$991,4,FALSE)</f>
        <v>343.38613891601563</v>
      </c>
      <c r="Z595" s="26">
        <f t="shared" si="871"/>
        <v>20.432894216490187</v>
      </c>
      <c r="AA595" s="26">
        <f t="shared" si="955"/>
        <v>343.38613891601563</v>
      </c>
      <c r="AB595" s="33">
        <f t="shared" si="956"/>
        <v>20.432894216490187</v>
      </c>
    </row>
    <row r="596" spans="1:28" x14ac:dyDescent="0.3">
      <c r="A596" s="32">
        <f>VLOOKUP(YEAR(C596),Flags!$A$13:$B$95,2,FALSE)</f>
        <v>1</v>
      </c>
      <c r="B596" s="24">
        <f t="shared" si="951"/>
        <v>1986</v>
      </c>
      <c r="C596" s="25">
        <v>31716</v>
      </c>
      <c r="D596" s="26"/>
      <c r="E596" s="24"/>
      <c r="F596" s="26"/>
      <c r="G596" s="26"/>
      <c r="H596" s="26"/>
      <c r="I596" s="26"/>
      <c r="J596" s="26"/>
      <c r="K596" s="26"/>
      <c r="L596" s="24"/>
      <c r="M596" s="24"/>
      <c r="N596" s="26"/>
      <c r="O596" s="26"/>
      <c r="P596" s="26"/>
      <c r="Q596" s="26"/>
      <c r="R596" s="26"/>
      <c r="S596" s="26"/>
      <c r="T596" s="26"/>
      <c r="U596" s="26"/>
      <c r="V596" s="26"/>
      <c r="W596" s="26">
        <f>MAX($C$9-VLOOKUP($C596,COS!$B$8:$H$991,3,FALSE),0)</f>
        <v>93664.2392578125</v>
      </c>
      <c r="X596" s="26">
        <f t="shared" si="870"/>
        <v>5759.1895874225211</v>
      </c>
      <c r="Y596" s="26">
        <f>VLOOKUP($C596,COS!$B$8:$H$991,4,FALSE)</f>
        <v>539.67193603515625</v>
      </c>
      <c r="Z596" s="26">
        <f t="shared" si="871"/>
        <v>33.183133918194734</v>
      </c>
      <c r="AA596" s="26">
        <f t="shared" si="955"/>
        <v>539.67193603515625</v>
      </c>
      <c r="AB596" s="33">
        <f t="shared" si="956"/>
        <v>33.183133918194734</v>
      </c>
    </row>
    <row r="597" spans="1:28" x14ac:dyDescent="0.3">
      <c r="A597" s="32">
        <f>VLOOKUP(YEAR(C597),Flags!$A$13:$B$95,2,FALSE)</f>
        <v>1</v>
      </c>
      <c r="B597" s="24">
        <f t="shared" si="951"/>
        <v>1986</v>
      </c>
      <c r="C597" s="25">
        <v>31746</v>
      </c>
      <c r="D597" s="26"/>
      <c r="E597" s="24"/>
      <c r="F597" s="26"/>
      <c r="G597" s="26"/>
      <c r="H597" s="26"/>
      <c r="I597" s="26"/>
      <c r="J597" s="26"/>
      <c r="K597" s="26"/>
      <c r="L597" s="24"/>
      <c r="M597" s="24"/>
      <c r="N597" s="26"/>
      <c r="O597" s="26"/>
      <c r="P597" s="26"/>
      <c r="Q597" s="26"/>
      <c r="R597" s="26"/>
      <c r="S597" s="26"/>
      <c r="T597" s="26"/>
      <c r="U597" s="26"/>
      <c r="V597" s="26"/>
      <c r="W597" s="26">
        <f>MAX($C$10-VLOOKUP($C597,COS!$B$8:$H$991,3,FALSE),0)</f>
        <v>89193.92578125</v>
      </c>
      <c r="X597" s="26">
        <f t="shared" si="870"/>
        <v>5307.4071539256202</v>
      </c>
      <c r="Y597" s="26">
        <f>VLOOKUP($C597,COS!$B$8:$H$991,4,FALSE)</f>
        <v>3081.6455078125</v>
      </c>
      <c r="Z597" s="26">
        <f t="shared" si="871"/>
        <v>183.37064178719007</v>
      </c>
      <c r="AA597" s="26">
        <f t="shared" si="955"/>
        <v>3081.6455078125</v>
      </c>
      <c r="AB597" s="33">
        <f t="shared" si="956"/>
        <v>91.685320893595033</v>
      </c>
    </row>
    <row r="598" spans="1:28" x14ac:dyDescent="0.3">
      <c r="A598" s="34">
        <f>VLOOKUP(YEAR(C598),Flags!$A$13:$B$95,2,FALSE)</f>
        <v>1</v>
      </c>
      <c r="B598" s="35">
        <f t="shared" si="951"/>
        <v>1986</v>
      </c>
      <c r="C598" s="36">
        <v>31777</v>
      </c>
      <c r="D598" s="37"/>
      <c r="E598" s="35"/>
      <c r="F598" s="37"/>
      <c r="G598" s="37"/>
      <c r="H598" s="37"/>
      <c r="I598" s="37"/>
      <c r="J598" s="37"/>
      <c r="K598" s="37"/>
      <c r="L598" s="35"/>
      <c r="M598" s="35"/>
      <c r="N598" s="37"/>
      <c r="O598" s="37"/>
      <c r="P598" s="37"/>
      <c r="Q598" s="37"/>
      <c r="R598" s="37"/>
      <c r="S598" s="37"/>
      <c r="T598" s="37"/>
      <c r="U598" s="37"/>
      <c r="V598" s="37"/>
      <c r="W598" s="37">
        <f>MAX($C$11-VLOOKUP($C598,COS!$B$8:$H$991,3,FALSE),0)</f>
        <v>0</v>
      </c>
      <c r="X598" s="37">
        <f t="shared" si="870"/>
        <v>0</v>
      </c>
      <c r="Y598" s="37">
        <f>VLOOKUP($C598,COS!$B$8:$H$991,4,FALSE)</f>
        <v>442.69561767578125</v>
      </c>
      <c r="Z598" s="37">
        <f t="shared" si="871"/>
        <v>27.220292524857957</v>
      </c>
      <c r="AA598" s="37">
        <f t="shared" si="955"/>
        <v>0</v>
      </c>
      <c r="AB598" s="38">
        <f t="shared" si="956"/>
        <v>0</v>
      </c>
    </row>
    <row r="599" spans="1:28" x14ac:dyDescent="0.3">
      <c r="A599" s="27">
        <f>VLOOKUP(YEAR(C599),Flags!$A$13:$B$95,2,FALSE)</f>
        <v>4</v>
      </c>
      <c r="B599" s="28">
        <f t="shared" si="951"/>
        <v>1987</v>
      </c>
      <c r="C599" s="29">
        <v>31897</v>
      </c>
      <c r="D599" s="30">
        <f>VLOOKUP($C599,COS!$B$8:$H$991,3,FALSE)</f>
        <v>5294.4443359375</v>
      </c>
      <c r="E599" s="28">
        <f>IF(D599&gt;=IF(MONTH($C599)=4,$C$3,IF(MONTH($C599)=5,$C$4,IF(MONTH($C599)=6,$C$5,IF(MONTH($C599)=7,$C$6,"ERROR")))),1,0)</f>
        <v>0</v>
      </c>
      <c r="F599" s="30">
        <f>VLOOKUP($C599,COS!$B$8:$H$991,7,FALSE)</f>
        <v>50.914810180664063</v>
      </c>
      <c r="G599" s="28">
        <f>IF(F599&lt;=IF(MONTH($C599)=4,$F$3,IF(MONTH($C599)=5,$F$4,IF(MONTH($C599)=6,$F$5,IF(MONTH($C599)=7,$F$6,"ERROR")))),1,0)</f>
        <v>1</v>
      </c>
      <c r="H599" s="30">
        <f>IF(J599=1,D599-$C$3,0)</f>
        <v>0</v>
      </c>
      <c r="I599" s="30">
        <f t="shared" si="872"/>
        <v>0</v>
      </c>
      <c r="J599" s="28">
        <f t="shared" ref="J599:J602" si="958">IF(AND(E599=1,G599=1),1,0)</f>
        <v>0</v>
      </c>
      <c r="K599" s="30">
        <f>VLOOKUP($C599,COS!$B$8:$H$991,2,FALSE)</f>
        <v>3623.035888671875</v>
      </c>
      <c r="L599" s="28">
        <f t="shared" ref="L599" si="959">IF(K599&lt;=IF(MONTH($C599)=4,$I$3,IF(MONTH($C599)=5,$I$4,IF(MONTH($C599)=6,$I$5,IF(MONTH($C599)=7,$I$6,"ERROR")))),1,0)</f>
        <v>1</v>
      </c>
      <c r="M599" s="28">
        <f t="shared" ref="M599" si="960">VLOOKUP($A599,$L$3:$M$7,2,FALSE)</f>
        <v>1</v>
      </c>
      <c r="N599" s="30">
        <f>VLOOKUP($C599,COS!$B$8:$H$991,5,FALSE)</f>
        <v>182.17179870605469</v>
      </c>
      <c r="O599" s="30">
        <f t="shared" ref="O599:O602" si="961">N599*DAY($C599)*86400/43560/1000</f>
        <v>10.839974799037966</v>
      </c>
      <c r="P599" s="30">
        <f>VLOOKUP($C599,COS!$B$8:$H$991,6,FALSE)</f>
        <v>465.95361328125</v>
      </c>
      <c r="Q599" s="30">
        <f t="shared" ref="Q599:Q602" si="962">P599*DAY($C599)*86400/43560/1000</f>
        <v>27.72616541838843</v>
      </c>
      <c r="R599" s="30">
        <f>MIN(IF(MONTH($C599)=4,$S$3,IF(MONTH($C599)=5,$S$4,IF(MONTH($C599)=6,$S$5,IF(MONTH($C599)=7,$S$6,"ERROR")))),MAX(VLOOKUP($C599,COS!$B$8:$K$991,10,FALSE)-IF(MONTH($C599)=4,$Y$3,IF(MONTH($C599)=5,$Y$4,IF(MONTH($C599)=6,$Y$5,IF(MONTH($C599)=7,$Y$6,"ERROR")))),0),MAX(VLOOKUP($C599,COS!$B$8:$K$991,9,FALSE)-IF(MONTH($C599)=4,$V$3,IF(MONTH($C599)=5,$V$4,IF(MONTH($C599)=6,$V$5,IF(MONTH($C599)=7,$V$6,"ERROR"))))-VLOOKUP($C599,COS!$B$8:$K$991,6,FALSE)/2,0))</f>
        <v>750</v>
      </c>
      <c r="S599" s="30">
        <f t="shared" ref="S599:S602" si="963">R599*DAY($C599)*86400/43560/1000</f>
        <v>44.628099173553714</v>
      </c>
      <c r="T599" s="30">
        <f t="shared" ref="T599:T602" si="964">(O599+Q599)/2+S599</f>
        <v>63.911169282266911</v>
      </c>
      <c r="U599" s="30" t="str">
        <f>IF(VLOOKUP($C599,COS!$B$8:$I$991,8,FALSE)=1,"UWFE","IBU")</f>
        <v>UWFE</v>
      </c>
      <c r="V599" s="30">
        <f t="shared" ref="V599" si="965">MIN(IF(IF($AA$3=2,AND(E599=1,G599=1,L599=1,L604=1,M599=1,U599="IBU"),AND(E599=1,G599=1,L599=1,L604=1,M599=1)),T599,0),I599)</f>
        <v>0</v>
      </c>
      <c r="W599" s="30"/>
      <c r="X599" s="30"/>
      <c r="Y599" s="30"/>
      <c r="Z599" s="30"/>
      <c r="AA599" s="30"/>
      <c r="AB599" s="31"/>
    </row>
    <row r="600" spans="1:28" x14ac:dyDescent="0.3">
      <c r="A600" s="32">
        <f>VLOOKUP(YEAR(C600),Flags!$A$13:$B$95,2,FALSE)</f>
        <v>4</v>
      </c>
      <c r="B600" s="24">
        <f t="shared" si="951"/>
        <v>1987</v>
      </c>
      <c r="C600" s="25">
        <v>31928</v>
      </c>
      <c r="D600" s="26">
        <f>VLOOKUP($C600,COS!$B$8:$H$991,3,FALSE)</f>
        <v>9427.30078125</v>
      </c>
      <c r="E600" s="24">
        <f>IF(D600&gt;=IF(MONTH($C600)=4,$C$3,IF(MONTH($C600)=5,$C$4,IF(MONTH($C600)=6,$C$5,IF(MONTH($C600)=7,$C$6,"ERROR")))),1,0)</f>
        <v>1</v>
      </c>
      <c r="F600" s="26">
        <f>VLOOKUP($C600,COS!$B$8:$H$991,7,FALSE)</f>
        <v>50.738330841064453</v>
      </c>
      <c r="G600" s="24">
        <f>IF(F600&lt;=IF(MONTH($C600)=4,$F$3,IF(MONTH($C600)=5,$F$4,IF(MONTH($C600)=6,$F$5,IF(MONTH($C600)=7,$F$6,"ERROR")))),1,0)</f>
        <v>1</v>
      </c>
      <c r="H600" s="26">
        <f>IF(J600=1,D600-$C$4,0)</f>
        <v>3427.30078125</v>
      </c>
      <c r="I600" s="26">
        <f t="shared" si="872"/>
        <v>210.73651084710744</v>
      </c>
      <c r="J600" s="24">
        <f t="shared" si="958"/>
        <v>1</v>
      </c>
      <c r="K600" s="26">
        <f>VLOOKUP($C600,COS!$B$8:$H$991,2,FALSE)</f>
        <v>3278.966796875</v>
      </c>
      <c r="L600" s="24">
        <f t="shared" si="944"/>
        <v>1</v>
      </c>
      <c r="M600" s="24">
        <f t="shared" si="945"/>
        <v>1</v>
      </c>
      <c r="N600" s="26">
        <f>VLOOKUP($C600,COS!$B$8:$H$991,5,FALSE)</f>
        <v>250.50456237792969</v>
      </c>
      <c r="O600" s="26">
        <f t="shared" si="961"/>
        <v>15.402925157783447</v>
      </c>
      <c r="P600" s="26">
        <f>VLOOKUP($C600,COS!$B$8:$H$991,6,FALSE)</f>
        <v>2345.609619140625</v>
      </c>
      <c r="Q600" s="26">
        <f t="shared" si="962"/>
        <v>144.22591377195246</v>
      </c>
      <c r="R600" s="26">
        <f>MIN(IF(MONTH($C600)=4,$S$3,IF(MONTH($C600)=5,$S$4,IF(MONTH($C600)=6,$S$5,IF(MONTH($C600)=7,$S$6,"ERROR")))),MAX(VLOOKUP($C600,COS!$B$8:$K$991,10,FALSE)-IF(MONTH($C600)=4,$Y$3,IF(MONTH($C600)=5,$Y$4,IF(MONTH($C600)=6,$Y$5,IF(MONTH($C600)=7,$Y$6,"ERROR")))),0),MAX(VLOOKUP($C600,COS!$B$8:$K$991,9,FALSE)-IF(MONTH($C600)=4,$V$3,IF(MONTH($C600)=5,$V$4,IF(MONTH($C600)=6,$V$5,IF(MONTH($C600)=7,$V$6,"ERROR"))))-VLOOKUP($C600,COS!$B$8:$K$991,6,FALSE)/2,0))</f>
        <v>750</v>
      </c>
      <c r="S600" s="26">
        <f t="shared" si="963"/>
        <v>46.115702479338843</v>
      </c>
      <c r="T600" s="26">
        <f t="shared" si="964"/>
        <v>125.9301219442068</v>
      </c>
      <c r="U600" s="26" t="str">
        <f>IF(VLOOKUP($C600,COS!$B$8:$I$991,8,FALSE)=1,"UWFE","IBU")</f>
        <v>IBU</v>
      </c>
      <c r="V600" s="26">
        <f t="shared" ref="V600" si="966">MIN(IF(IF($AA$3=2,AND(E600=1,G600=1,L600=1,L604=1,M600=1,U600="IBU"),AND(E600=1,G600=1,L600=1,L604=1,M600=1)),T600,0),I600)</f>
        <v>125.9301219442068</v>
      </c>
      <c r="W600" s="26"/>
      <c r="X600" s="26"/>
      <c r="Y600" s="26"/>
      <c r="Z600" s="26"/>
      <c r="AA600" s="26"/>
      <c r="AB600" s="33"/>
    </row>
    <row r="601" spans="1:28" x14ac:dyDescent="0.3">
      <c r="A601" s="32">
        <f>VLOOKUP(YEAR(C601),Flags!$A$13:$B$95,2,FALSE)</f>
        <v>4</v>
      </c>
      <c r="B601" s="24">
        <f t="shared" si="951"/>
        <v>1987</v>
      </c>
      <c r="C601" s="25">
        <v>31958</v>
      </c>
      <c r="D601" s="26">
        <f>VLOOKUP($C601,COS!$B$8:$H$991,3,FALSE)</f>
        <v>12915.80859375</v>
      </c>
      <c r="E601" s="24">
        <f>IF(D601&gt;=IF(MONTH($C601)=4,$C$3,IF(MONTH($C601)=5,$C$4,IF(MONTH($C601)=6,$C$5,IF(MONTH($C601)=7,$C$6,"ERROR")))),1,0)</f>
        <v>1</v>
      </c>
      <c r="F601" s="26">
        <f>VLOOKUP($C601,COS!$B$8:$H$991,7,FALSE)</f>
        <v>52.064525604248047</v>
      </c>
      <c r="G601" s="24">
        <f>IF(F601&lt;=IF(MONTH($C601)=4,$F$3,IF(MONTH($C601)=5,$F$4,IF(MONTH($C601)=6,$F$5,IF(MONTH($C601)=7,$F$6,"ERROR")))),1,0)</f>
        <v>1</v>
      </c>
      <c r="H601" s="26">
        <f>IF(J601=1,D601-$C$5,0)</f>
        <v>2915.80859375</v>
      </c>
      <c r="I601" s="26">
        <f t="shared" si="872"/>
        <v>173.50266012396696</v>
      </c>
      <c r="J601" s="24">
        <f t="shared" si="958"/>
        <v>1</v>
      </c>
      <c r="K601" s="26">
        <f>VLOOKUP($C601,COS!$B$8:$H$991,2,FALSE)</f>
        <v>2849.214111328125</v>
      </c>
      <c r="L601" s="24">
        <f t="shared" si="944"/>
        <v>1</v>
      </c>
      <c r="M601" s="24">
        <f t="shared" si="945"/>
        <v>1</v>
      </c>
      <c r="N601" s="26">
        <f>VLOOKUP($C601,COS!$B$8:$H$991,5,FALSE)</f>
        <v>294.71493530273438</v>
      </c>
      <c r="O601" s="26">
        <f t="shared" si="961"/>
        <v>17.536756480823865</v>
      </c>
      <c r="P601" s="26">
        <f>VLOOKUP($C601,COS!$B$8:$H$991,6,FALSE)</f>
        <v>2714.961669921875</v>
      </c>
      <c r="Q601" s="26">
        <f t="shared" si="962"/>
        <v>161.55143821022727</v>
      </c>
      <c r="R601" s="26">
        <f>MIN(IF(MONTH($C601)=4,$S$3,IF(MONTH($C601)=5,$S$4,IF(MONTH($C601)=6,$S$5,IF(MONTH($C601)=7,$S$6,"ERROR")))),MAX(VLOOKUP($C601,COS!$B$8:$K$991,10,FALSE)-IF(MONTH($C601)=4,$Y$3,IF(MONTH($C601)=5,$Y$4,IF(MONTH($C601)=6,$Y$5,IF(MONTH($C601)=7,$Y$6,"ERROR")))),0),MAX(VLOOKUP($C601,COS!$B$8:$K$991,9,FALSE)-IF(MONTH($C601)=4,$V$3,IF(MONTH($C601)=5,$V$4,IF(MONTH($C601)=6,$V$5,IF(MONTH($C601)=7,$V$6,"ERROR"))))-VLOOKUP($C601,COS!$B$8:$K$991,6,FALSE)/2,0))</f>
        <v>750</v>
      </c>
      <c r="S601" s="26">
        <f t="shared" si="963"/>
        <v>44.628099173553714</v>
      </c>
      <c r="T601" s="26">
        <f t="shared" si="964"/>
        <v>134.17219651907928</v>
      </c>
      <c r="U601" s="26" t="str">
        <f>IF(VLOOKUP($C601,COS!$B$8:$I$991,8,FALSE)=1,"UWFE","IBU")</f>
        <v>IBU</v>
      </c>
      <c r="V601" s="26">
        <f t="shared" ref="V601" si="967">MIN(IF(IF($AA$3=2,AND(E601=1,G601=1,L601=1,L604=1,M601=1,U601="IBU"),AND(E601=1,G601=1,L601=1,L604=1,M601=1)),T601,0),I601)</f>
        <v>134.17219651907928</v>
      </c>
      <c r="W601" s="26"/>
      <c r="X601" s="26"/>
      <c r="Y601" s="26"/>
      <c r="Z601" s="26"/>
      <c r="AA601" s="26"/>
      <c r="AB601" s="33"/>
    </row>
    <row r="602" spans="1:28" x14ac:dyDescent="0.3">
      <c r="A602" s="32">
        <f>VLOOKUP(YEAR(C602),Flags!$A$13:$B$95,2,FALSE)</f>
        <v>4</v>
      </c>
      <c r="B602" s="24">
        <f t="shared" si="951"/>
        <v>1987</v>
      </c>
      <c r="C602" s="25">
        <v>31989</v>
      </c>
      <c r="D602" s="26">
        <f>VLOOKUP($C602,COS!$B$8:$H$991,3,FALSE)</f>
        <v>12279.78515625</v>
      </c>
      <c r="E602" s="24">
        <f>IF(D602&gt;=IF(MONTH($C602)=4,$C$3,IF(MONTH($C602)=5,$C$4,IF(MONTH($C602)=6,$C$5,IF(MONTH($C602)=7,$C$6,"ERROR")))),1,0)</f>
        <v>1</v>
      </c>
      <c r="F602" s="26">
        <f>VLOOKUP($C602,COS!$B$8:$H$991,7,FALSE)</f>
        <v>53.705059051513672</v>
      </c>
      <c r="G602" s="24">
        <f>IF(F602&lt;=IF(MONTH($C602)=4,$F$3,IF(MONTH($C602)=5,$F$4,IF(MONTH($C602)=6,$F$5,IF(MONTH($C602)=7,$F$6,"ERROR")))),1,0)</f>
        <v>0</v>
      </c>
      <c r="H602" s="26">
        <f>IF(J602=1,D602-$C$6,0)</f>
        <v>0</v>
      </c>
      <c r="I602" s="26">
        <f t="shared" si="872"/>
        <v>0</v>
      </c>
      <c r="J602" s="24">
        <f t="shared" si="958"/>
        <v>0</v>
      </c>
      <c r="K602" s="26">
        <f>VLOOKUP($C602,COS!$B$8:$H$991,2,FALSE)</f>
        <v>2473.188232421875</v>
      </c>
      <c r="L602" s="24">
        <f t="shared" si="944"/>
        <v>1</v>
      </c>
      <c r="M602" s="24">
        <f t="shared" si="945"/>
        <v>1</v>
      </c>
      <c r="N602" s="26">
        <f>VLOOKUP($C602,COS!$B$8:$H$991,5,FALSE)</f>
        <v>320.8253173828125</v>
      </c>
      <c r="O602" s="26">
        <f t="shared" si="961"/>
        <v>19.726779845686984</v>
      </c>
      <c r="P602" s="26">
        <f>VLOOKUP($C602,COS!$B$8:$H$991,6,FALSE)</f>
        <v>2538.07568359375</v>
      </c>
      <c r="Q602" s="26">
        <f t="shared" si="962"/>
        <v>156.06019079287191</v>
      </c>
      <c r="R602" s="26">
        <f>MIN(IF(MONTH($C602)=4,$S$3,IF(MONTH($C602)=5,$S$4,IF(MONTH($C602)=6,$S$5,IF(MONTH($C602)=7,$S$6,"ERROR")))),MAX(VLOOKUP($C602,COS!$B$8:$K$991,10,FALSE)-IF(MONTH($C602)=4,$Y$3,IF(MONTH($C602)=5,$Y$4,IF(MONTH($C602)=6,$Y$5,IF(MONTH($C602)=7,$Y$6,"ERROR")))),0),MAX(VLOOKUP($C602,COS!$B$8:$K$991,9,FALSE)-IF(MONTH($C602)=4,$V$3,IF(MONTH($C602)=5,$V$4,IF(MONTH($C602)=6,$V$5,IF(MONTH($C602)=7,$V$6,"ERROR"))))-VLOOKUP($C602,COS!$B$8:$K$991,6,FALSE)/2,0))</f>
        <v>750</v>
      </c>
      <c r="S602" s="26">
        <f t="shared" si="963"/>
        <v>46.115702479338843</v>
      </c>
      <c r="T602" s="26">
        <f t="shared" si="964"/>
        <v>134.00918779861829</v>
      </c>
      <c r="U602" s="26" t="str">
        <f>IF(VLOOKUP($C602,COS!$B$8:$I$991,8,FALSE)=1,"UWFE","IBU")</f>
        <v>IBU</v>
      </c>
      <c r="V602" s="26">
        <f t="shared" ref="V602" si="968">MIN(IF(IF($AA$3=2,AND(E602=1,G602=1,L602=1,L604=1,M602=1,U602="IBU"),AND(E602=1,G602=1,L602=1,L604=1,M602=1)),T602,0),I602)</f>
        <v>0</v>
      </c>
      <c r="W602" s="26"/>
      <c r="X602" s="26"/>
      <c r="Y602" s="26"/>
      <c r="Z602" s="26"/>
      <c r="AA602" s="26"/>
      <c r="AB602" s="33"/>
    </row>
    <row r="603" spans="1:28" x14ac:dyDescent="0.3">
      <c r="A603" s="32">
        <f>VLOOKUP(YEAR(C603),Flags!$A$13:$B$95,2,FALSE)</f>
        <v>4</v>
      </c>
      <c r="B603" s="24">
        <f t="shared" si="951"/>
        <v>1987</v>
      </c>
      <c r="C603" s="25">
        <v>32020</v>
      </c>
      <c r="D603" s="26"/>
      <c r="E603" s="24"/>
      <c r="F603" s="26"/>
      <c r="G603" s="24"/>
      <c r="H603" s="24"/>
      <c r="I603" s="26"/>
      <c r="J603" s="24"/>
      <c r="K603" s="26"/>
      <c r="L603" s="24"/>
      <c r="M603" s="24"/>
      <c r="N603" s="26"/>
      <c r="O603" s="26"/>
      <c r="P603" s="26"/>
      <c r="Q603" s="26"/>
      <c r="R603" s="26"/>
      <c r="S603" s="26"/>
      <c r="T603" s="26"/>
      <c r="U603" s="26"/>
      <c r="V603" s="26"/>
      <c r="W603" s="26">
        <f>MAX($C$7-VLOOKUP($C603,COS!$B$8:$H$991,3,FALSE),0)</f>
        <v>92401.0830078125</v>
      </c>
      <c r="X603" s="26">
        <f t="shared" si="870"/>
        <v>5681.5211370092975</v>
      </c>
      <c r="Y603" s="26">
        <f>VLOOKUP($C603,COS!$B$8:$H$991,4,FALSE)</f>
        <v>2881.91650390625</v>
      </c>
      <c r="Z603" s="26">
        <f t="shared" si="871"/>
        <v>177.20213875258267</v>
      </c>
      <c r="AA603" s="26">
        <f t="shared" ref="AA603:AA607" si="969">MIN(W603,Y603)</f>
        <v>2881.91650390625</v>
      </c>
      <c r="AB603" s="33">
        <f t="shared" ref="AB603" si="970">AA603*DAY($C603)*86400/43560/1000*IF(MONTH($C603)=8,$P$3,IF(MONTH($C603)=9,$P$4,IF(MONTH($C603)=10,$P$5,IF(MONTH($C603)=11,$P$6,IF(MONTH($C603)=12,$P$7,NA())))))</f>
        <v>177.20213875258267</v>
      </c>
    </row>
    <row r="604" spans="1:28" x14ac:dyDescent="0.3">
      <c r="A604" s="32">
        <f>VLOOKUP(YEAR(C604),Flags!$A$13:$B$95,2,FALSE)</f>
        <v>4</v>
      </c>
      <c r="B604" s="24">
        <f t="shared" si="951"/>
        <v>1987</v>
      </c>
      <c r="C604" s="25">
        <v>32050</v>
      </c>
      <c r="D604" s="26"/>
      <c r="E604" s="24"/>
      <c r="F604" s="26"/>
      <c r="G604" s="24"/>
      <c r="H604" s="24"/>
      <c r="I604" s="26"/>
      <c r="J604" s="24"/>
      <c r="K604" s="26">
        <f>VLOOKUP($C604,COS!$B$8:$H$991,2,FALSE)</f>
        <v>2192.67578125</v>
      </c>
      <c r="L604" s="24">
        <f t="shared" ref="L604" si="971">IF(AND(K604&gt;$I$7,K604&lt;$I$8),1,0)</f>
        <v>1</v>
      </c>
      <c r="M604" s="24"/>
      <c r="N604" s="26"/>
      <c r="O604" s="26"/>
      <c r="P604" s="26"/>
      <c r="Q604" s="26"/>
      <c r="R604" s="26"/>
      <c r="S604" s="26"/>
      <c r="T604" s="26"/>
      <c r="U604" s="26"/>
      <c r="V604" s="26"/>
      <c r="W604" s="26">
        <f>MAX($C$8-VLOOKUP($C604,COS!$B$8:$H$991,3,FALSE),0)</f>
        <v>94661.54638671875</v>
      </c>
      <c r="X604" s="26">
        <f t="shared" si="870"/>
        <v>5632.7531734245867</v>
      </c>
      <c r="Y604" s="26">
        <f>VLOOKUP($C604,COS!$B$8:$H$991,4,FALSE)</f>
        <v>1887.955078125</v>
      </c>
      <c r="Z604" s="26">
        <f t="shared" si="871"/>
        <v>112.34112861570247</v>
      </c>
      <c r="AA604" s="26">
        <f t="shared" si="969"/>
        <v>1887.955078125</v>
      </c>
      <c r="AB604" s="33">
        <f t="shared" si="956"/>
        <v>112.34112861570247</v>
      </c>
    </row>
    <row r="605" spans="1:28" x14ac:dyDescent="0.3">
      <c r="A605" s="32">
        <f>VLOOKUP(YEAR(C605),Flags!$A$13:$B$95,2,FALSE)</f>
        <v>4</v>
      </c>
      <c r="B605" s="24">
        <f t="shared" si="951"/>
        <v>1987</v>
      </c>
      <c r="C605" s="25">
        <v>32081</v>
      </c>
      <c r="D605" s="26"/>
      <c r="E605" s="24"/>
      <c r="F605" s="26"/>
      <c r="G605" s="26"/>
      <c r="H605" s="26"/>
      <c r="I605" s="26"/>
      <c r="J605" s="26"/>
      <c r="K605" s="26"/>
      <c r="L605" s="24"/>
      <c r="M605" s="24"/>
      <c r="N605" s="26"/>
      <c r="O605" s="26"/>
      <c r="P605" s="26"/>
      <c r="Q605" s="26"/>
      <c r="R605" s="26"/>
      <c r="S605" s="26"/>
      <c r="T605" s="26"/>
      <c r="U605" s="26"/>
      <c r="V605" s="26"/>
      <c r="W605" s="26">
        <f>MAX($C$9-VLOOKUP($C605,COS!$B$8:$H$991,3,FALSE),0)</f>
        <v>93485.296875</v>
      </c>
      <c r="X605" s="26">
        <f t="shared" si="870"/>
        <v>5748.1868491735531</v>
      </c>
      <c r="Y605" s="26">
        <f>VLOOKUP($C605,COS!$B$8:$H$991,4,FALSE)</f>
        <v>1710.297119140625</v>
      </c>
      <c r="Z605" s="26">
        <f t="shared" si="871"/>
        <v>105.16207079674588</v>
      </c>
      <c r="AA605" s="26">
        <f t="shared" si="969"/>
        <v>1710.297119140625</v>
      </c>
      <c r="AB605" s="33">
        <f t="shared" si="956"/>
        <v>105.16207079674588</v>
      </c>
    </row>
    <row r="606" spans="1:28" x14ac:dyDescent="0.3">
      <c r="A606" s="32">
        <f>VLOOKUP(YEAR(C606),Flags!$A$13:$B$95,2,FALSE)</f>
        <v>4</v>
      </c>
      <c r="B606" s="24">
        <f t="shared" si="951"/>
        <v>1987</v>
      </c>
      <c r="C606" s="25">
        <v>32111</v>
      </c>
      <c r="D606" s="26"/>
      <c r="E606" s="24"/>
      <c r="F606" s="26"/>
      <c r="G606" s="26"/>
      <c r="H606" s="26"/>
      <c r="I606" s="26"/>
      <c r="J606" s="26"/>
      <c r="K606" s="26"/>
      <c r="L606" s="24"/>
      <c r="M606" s="24"/>
      <c r="N606" s="26"/>
      <c r="O606" s="26"/>
      <c r="P606" s="26"/>
      <c r="Q606" s="26"/>
      <c r="R606" s="26"/>
      <c r="S606" s="26"/>
      <c r="T606" s="26"/>
      <c r="U606" s="26"/>
      <c r="V606" s="26"/>
      <c r="W606" s="26">
        <f>MAX($C$10-VLOOKUP($C606,COS!$B$8:$H$991,3,FALSE),0)</f>
        <v>95803.09228515625</v>
      </c>
      <c r="X606" s="26">
        <f t="shared" si="870"/>
        <v>5700.67987151343</v>
      </c>
      <c r="Y606" s="26">
        <f>VLOOKUP($C606,COS!$B$8:$H$991,4,FALSE)</f>
        <v>1824.783935546875</v>
      </c>
      <c r="Z606" s="26">
        <f t="shared" si="871"/>
        <v>108.58218459452479</v>
      </c>
      <c r="AA606" s="26">
        <f t="shared" si="969"/>
        <v>1824.783935546875</v>
      </c>
      <c r="AB606" s="33">
        <f t="shared" si="956"/>
        <v>54.291092297262395</v>
      </c>
    </row>
    <row r="607" spans="1:28" x14ac:dyDescent="0.3">
      <c r="A607" s="34">
        <f>VLOOKUP(YEAR(C607),Flags!$A$13:$B$95,2,FALSE)</f>
        <v>4</v>
      </c>
      <c r="B607" s="35">
        <f t="shared" si="951"/>
        <v>1987</v>
      </c>
      <c r="C607" s="36">
        <v>32142</v>
      </c>
      <c r="D607" s="37"/>
      <c r="E607" s="35"/>
      <c r="F607" s="37"/>
      <c r="G607" s="37"/>
      <c r="H607" s="37"/>
      <c r="I607" s="37"/>
      <c r="J607" s="37"/>
      <c r="K607" s="37"/>
      <c r="L607" s="35"/>
      <c r="M607" s="35"/>
      <c r="N607" s="37"/>
      <c r="O607" s="37"/>
      <c r="P607" s="37"/>
      <c r="Q607" s="37"/>
      <c r="R607" s="37"/>
      <c r="S607" s="37"/>
      <c r="T607" s="37"/>
      <c r="U607" s="37"/>
      <c r="V607" s="37"/>
      <c r="W607" s="37">
        <f>MAX($C$11-VLOOKUP($C607,COS!$B$8:$H$991,3,FALSE),0)</f>
        <v>0</v>
      </c>
      <c r="X607" s="37">
        <f t="shared" ref="X607:X670" si="972">W607*DAY($C607)*86400/43560/1000</f>
        <v>0</v>
      </c>
      <c r="Y607" s="37">
        <f>VLOOKUP($C607,COS!$B$8:$H$991,4,FALSE)</f>
        <v>906.1927490234375</v>
      </c>
      <c r="Z607" s="37">
        <f t="shared" ref="Z607:Z670" si="973">Y607*DAY($C607)*86400/43560/1000</f>
        <v>55.719620270532026</v>
      </c>
      <c r="AA607" s="37">
        <f t="shared" si="969"/>
        <v>0</v>
      </c>
      <c r="AB607" s="38">
        <f t="shared" si="956"/>
        <v>0</v>
      </c>
    </row>
    <row r="608" spans="1:28" x14ac:dyDescent="0.3">
      <c r="A608" s="27">
        <f>VLOOKUP(YEAR(C608),Flags!$A$13:$B$95,2,FALSE)</f>
        <v>5</v>
      </c>
      <c r="B608" s="28">
        <f t="shared" si="951"/>
        <v>1988</v>
      </c>
      <c r="C608" s="29">
        <v>32263</v>
      </c>
      <c r="D608" s="30">
        <f>VLOOKUP($C608,COS!$B$8:$H$991,3,FALSE)</f>
        <v>3250</v>
      </c>
      <c r="E608" s="28">
        <f>IF(D608&gt;=IF(MONTH($C608)=4,$C$3,IF(MONTH($C608)=5,$C$4,IF(MONTH($C608)=6,$C$5,IF(MONTH($C608)=7,$C$6,"ERROR")))),1,0)</f>
        <v>0</v>
      </c>
      <c r="F608" s="30">
        <f>VLOOKUP($C608,COS!$B$8:$H$991,7,FALSE)</f>
        <v>51.376628875732422</v>
      </c>
      <c r="G608" s="28">
        <f>IF(F608&lt;=IF(MONTH($C608)=4,$F$3,IF(MONTH($C608)=5,$F$4,IF(MONTH($C608)=6,$F$5,IF(MONTH($C608)=7,$F$6,"ERROR")))),1,0)</f>
        <v>1</v>
      </c>
      <c r="H608" s="30">
        <f>IF(J608=1,D608-$C$3,0)</f>
        <v>0</v>
      </c>
      <c r="I608" s="30">
        <f t="shared" si="872"/>
        <v>0</v>
      </c>
      <c r="J608" s="28">
        <f t="shared" ref="J608:J611" si="974">IF(AND(E608=1,G608=1),1,0)</f>
        <v>0</v>
      </c>
      <c r="K608" s="30">
        <f>VLOOKUP($C608,COS!$B$8:$H$991,2,FALSE)</f>
        <v>3432.6455078125</v>
      </c>
      <c r="L608" s="28">
        <f t="shared" ref="L608" si="975">IF(K608&lt;=IF(MONTH($C608)=4,$I$3,IF(MONTH($C608)=5,$I$4,IF(MONTH($C608)=6,$I$5,IF(MONTH($C608)=7,$I$6,"ERROR")))),1,0)</f>
        <v>1</v>
      </c>
      <c r="M608" s="28">
        <f t="shared" ref="M608" si="976">VLOOKUP($A608,$L$3:$M$7,2,FALSE)</f>
        <v>1</v>
      </c>
      <c r="N608" s="30">
        <f>VLOOKUP($C608,COS!$B$8:$H$991,5,FALSE)</f>
        <v>119.56303405761719</v>
      </c>
      <c r="O608" s="30">
        <f t="shared" ref="O608:O611" si="977">N608*DAY($C608)*86400/43560/1000</f>
        <v>7.1144945885524278</v>
      </c>
      <c r="P608" s="30">
        <f>VLOOKUP($C608,COS!$B$8:$H$991,6,FALSE)</f>
        <v>472.98532104492188</v>
      </c>
      <c r="Q608" s="30">
        <f t="shared" ref="Q608:Q611" si="978">P608*DAY($C608)*86400/43560/1000</f>
        <v>28.144581086970557</v>
      </c>
      <c r="R608" s="30">
        <f>MIN(IF(MONTH($C608)=4,$S$3,IF(MONTH($C608)=5,$S$4,IF(MONTH($C608)=6,$S$5,IF(MONTH($C608)=7,$S$6,"ERROR")))),MAX(VLOOKUP($C608,COS!$B$8:$K$991,10,FALSE)-IF(MONTH($C608)=4,$Y$3,IF(MONTH($C608)=5,$Y$4,IF(MONTH($C608)=6,$Y$5,IF(MONTH($C608)=7,$Y$6,"ERROR")))),0),MAX(VLOOKUP($C608,COS!$B$8:$K$991,9,FALSE)-IF(MONTH($C608)=4,$V$3,IF(MONTH($C608)=5,$V$4,IF(MONTH($C608)=6,$V$5,IF(MONTH($C608)=7,$V$6,"ERROR"))))-VLOOKUP($C608,COS!$B$8:$K$991,6,FALSE)/2,0))</f>
        <v>750</v>
      </c>
      <c r="S608" s="30">
        <f t="shared" ref="S608:S611" si="979">R608*DAY($C608)*86400/43560/1000</f>
        <v>44.628099173553714</v>
      </c>
      <c r="T608" s="30">
        <f t="shared" ref="T608:T611" si="980">(O608+Q608)/2+S608</f>
        <v>62.257637011315211</v>
      </c>
      <c r="U608" s="30" t="str">
        <f>IF(VLOOKUP($C608,COS!$B$8:$I$991,8,FALSE)=1,"UWFE","IBU")</f>
        <v>UWFE</v>
      </c>
      <c r="V608" s="30">
        <f t="shared" ref="V608" si="981">MIN(IF(IF($AA$3=2,AND(E608=1,G608=1,L608=1,L613=1,M608=1,U608="IBU"),AND(E608=1,G608=1,L608=1,L613=1,M608=1)),T608,0),I608)</f>
        <v>0</v>
      </c>
      <c r="W608" s="30"/>
      <c r="X608" s="30"/>
      <c r="Y608" s="30"/>
      <c r="Z608" s="30"/>
      <c r="AA608" s="30"/>
      <c r="AB608" s="31"/>
    </row>
    <row r="609" spans="1:28" x14ac:dyDescent="0.3">
      <c r="A609" s="32">
        <f>VLOOKUP(YEAR(C609),Flags!$A$13:$B$95,2,FALSE)</f>
        <v>5</v>
      </c>
      <c r="B609" s="24">
        <f t="shared" si="951"/>
        <v>1988</v>
      </c>
      <c r="C609" s="25">
        <v>32294</v>
      </c>
      <c r="D609" s="26">
        <f>VLOOKUP($C609,COS!$B$8:$H$991,3,FALSE)</f>
        <v>6883.46142578125</v>
      </c>
      <c r="E609" s="24">
        <f>IF(D609&gt;=IF(MONTH($C609)=4,$C$3,IF(MONTH($C609)=5,$C$4,IF(MONTH($C609)=6,$C$5,IF(MONTH($C609)=7,$C$6,"ERROR")))),1,0)</f>
        <v>1</v>
      </c>
      <c r="F609" s="26">
        <f>VLOOKUP($C609,COS!$B$8:$H$991,7,FALSE)</f>
        <v>51.008148193359375</v>
      </c>
      <c r="G609" s="24">
        <f>IF(F609&lt;=IF(MONTH($C609)=4,$F$3,IF(MONTH($C609)=5,$F$4,IF(MONTH($C609)=6,$F$5,IF(MONTH($C609)=7,$F$6,"ERROR")))),1,0)</f>
        <v>1</v>
      </c>
      <c r="H609" s="26">
        <f>IF(J609=1,D609-$C$4,0)</f>
        <v>883.46142578125</v>
      </c>
      <c r="I609" s="26">
        <f t="shared" ref="I609:I672" si="982">H609*DAY($C609)*86400/43560/1000</f>
        <v>54.321925684400824</v>
      </c>
      <c r="J609" s="24">
        <f t="shared" si="974"/>
        <v>1</v>
      </c>
      <c r="K609" s="26">
        <f>VLOOKUP($C609,COS!$B$8:$H$991,2,FALSE)</f>
        <v>3330.71044921875</v>
      </c>
      <c r="L609" s="24">
        <f t="shared" si="944"/>
        <v>1</v>
      </c>
      <c r="M609" s="24">
        <f t="shared" si="945"/>
        <v>1</v>
      </c>
      <c r="N609" s="26">
        <f>VLOOKUP($C609,COS!$B$8:$H$991,5,FALSE)</f>
        <v>152.79158020019531</v>
      </c>
      <c r="O609" s="26">
        <f t="shared" si="977"/>
        <v>9.3947880718136627</v>
      </c>
      <c r="P609" s="26">
        <f>VLOOKUP($C609,COS!$B$8:$H$991,6,FALSE)</f>
        <v>2086.376220703125</v>
      </c>
      <c r="Q609" s="26">
        <f t="shared" si="978"/>
        <v>128.28627340521695</v>
      </c>
      <c r="R609" s="26">
        <f>MIN(IF(MONTH($C609)=4,$S$3,IF(MONTH($C609)=5,$S$4,IF(MONTH($C609)=6,$S$5,IF(MONTH($C609)=7,$S$6,"ERROR")))),MAX(VLOOKUP($C609,COS!$B$8:$K$991,10,FALSE)-IF(MONTH($C609)=4,$Y$3,IF(MONTH($C609)=5,$Y$4,IF(MONTH($C609)=6,$Y$5,IF(MONTH($C609)=7,$Y$6,"ERROR")))),0),MAX(VLOOKUP($C609,COS!$B$8:$K$991,9,FALSE)-IF(MONTH($C609)=4,$V$3,IF(MONTH($C609)=5,$V$4,IF(MONTH($C609)=6,$V$5,IF(MONTH($C609)=7,$V$6,"ERROR"))))-VLOOKUP($C609,COS!$B$8:$K$991,6,FALSE)/2,0))</f>
        <v>750</v>
      </c>
      <c r="S609" s="26">
        <f t="shared" si="979"/>
        <v>46.115702479338843</v>
      </c>
      <c r="T609" s="26">
        <f t="shared" si="980"/>
        <v>114.95623321785413</v>
      </c>
      <c r="U609" s="26" t="str">
        <f>IF(VLOOKUP($C609,COS!$B$8:$I$991,8,FALSE)=1,"UWFE","IBU")</f>
        <v>IBU</v>
      </c>
      <c r="V609" s="26">
        <f t="shared" ref="V609" si="983">MIN(IF(IF($AA$3=2,AND(E609=1,G609=1,L609=1,L613=1,M609=1,U609="IBU"),AND(E609=1,G609=1,L609=1,L613=1,M609=1)),T609,0),I609)</f>
        <v>54.321925684400824</v>
      </c>
      <c r="W609" s="26"/>
      <c r="X609" s="26"/>
      <c r="Y609" s="26"/>
      <c r="Z609" s="26"/>
      <c r="AA609" s="26"/>
      <c r="AB609" s="33"/>
    </row>
    <row r="610" spans="1:28" x14ac:dyDescent="0.3">
      <c r="A610" s="32">
        <f>VLOOKUP(YEAR(C610),Flags!$A$13:$B$95,2,FALSE)</f>
        <v>5</v>
      </c>
      <c r="B610" s="24">
        <f t="shared" si="951"/>
        <v>1988</v>
      </c>
      <c r="C610" s="25">
        <v>32324</v>
      </c>
      <c r="D610" s="26">
        <f>VLOOKUP($C610,COS!$B$8:$H$991,3,FALSE)</f>
        <v>10946.3818359375</v>
      </c>
      <c r="E610" s="24">
        <f>IF(D610&gt;=IF(MONTH($C610)=4,$C$3,IF(MONTH($C610)=5,$C$4,IF(MONTH($C610)=6,$C$5,IF(MONTH($C610)=7,$C$6,"ERROR")))),1,0)</f>
        <v>1</v>
      </c>
      <c r="F610" s="26">
        <f>VLOOKUP($C610,COS!$B$8:$H$991,7,FALSE)</f>
        <v>51.772979736328125</v>
      </c>
      <c r="G610" s="24">
        <f>IF(F610&lt;=IF(MONTH($C610)=4,$F$3,IF(MONTH($C610)=5,$F$4,IF(MONTH($C610)=6,$F$5,IF(MONTH($C610)=7,$F$6,"ERROR")))),1,0)</f>
        <v>1</v>
      </c>
      <c r="H610" s="26">
        <f>IF(J610=1,D610-$C$5,0)</f>
        <v>946.3818359375</v>
      </c>
      <c r="I610" s="26">
        <f t="shared" si="982"/>
        <v>56.31362990702479</v>
      </c>
      <c r="J610" s="24">
        <f t="shared" si="974"/>
        <v>1</v>
      </c>
      <c r="K610" s="26">
        <f>VLOOKUP($C610,COS!$B$8:$H$991,2,FALSE)</f>
        <v>2960.935791015625</v>
      </c>
      <c r="L610" s="24">
        <f t="shared" si="944"/>
        <v>1</v>
      </c>
      <c r="M610" s="24">
        <f t="shared" si="945"/>
        <v>1</v>
      </c>
      <c r="N610" s="26">
        <f>VLOOKUP($C610,COS!$B$8:$H$991,5,FALSE)</f>
        <v>203.79988098144531</v>
      </c>
      <c r="O610" s="26">
        <f t="shared" si="977"/>
        <v>12.126935066664515</v>
      </c>
      <c r="P610" s="26">
        <f>VLOOKUP($C610,COS!$B$8:$H$991,6,FALSE)</f>
        <v>2416.343017578125</v>
      </c>
      <c r="Q610" s="26">
        <f t="shared" si="978"/>
        <v>143.78239443440083</v>
      </c>
      <c r="R610" s="26">
        <f>MIN(IF(MONTH($C610)=4,$S$3,IF(MONTH($C610)=5,$S$4,IF(MONTH($C610)=6,$S$5,IF(MONTH($C610)=7,$S$6,"ERROR")))),MAX(VLOOKUP($C610,COS!$B$8:$K$991,10,FALSE)-IF(MONTH($C610)=4,$Y$3,IF(MONTH($C610)=5,$Y$4,IF(MONTH($C610)=6,$Y$5,IF(MONTH($C610)=7,$Y$6,"ERROR")))),0),MAX(VLOOKUP($C610,COS!$B$8:$K$991,9,FALSE)-IF(MONTH($C610)=4,$V$3,IF(MONTH($C610)=5,$V$4,IF(MONTH($C610)=6,$V$5,IF(MONTH($C610)=7,$V$6,"ERROR"))))-VLOOKUP($C610,COS!$B$8:$K$991,6,FALSE)/2,0))</f>
        <v>750</v>
      </c>
      <c r="S610" s="26">
        <f t="shared" si="979"/>
        <v>44.628099173553714</v>
      </c>
      <c r="T610" s="26">
        <f t="shared" si="980"/>
        <v>122.58276392408638</v>
      </c>
      <c r="U610" s="26" t="str">
        <f>IF(VLOOKUP($C610,COS!$B$8:$I$991,8,FALSE)=1,"UWFE","IBU")</f>
        <v>IBU</v>
      </c>
      <c r="V610" s="26">
        <f t="shared" ref="V610" si="984">MIN(IF(IF($AA$3=2,AND(E610=1,G610=1,L610=1,L613=1,M610=1,U610="IBU"),AND(E610=1,G610=1,L610=1,L613=1,M610=1)),T610,0),I610)</f>
        <v>56.31362990702479</v>
      </c>
      <c r="W610" s="26"/>
      <c r="X610" s="26"/>
      <c r="Y610" s="26"/>
      <c r="Z610" s="26"/>
      <c r="AA610" s="26"/>
      <c r="AB610" s="33"/>
    </row>
    <row r="611" spans="1:28" x14ac:dyDescent="0.3">
      <c r="A611" s="32">
        <f>VLOOKUP(YEAR(C611),Flags!$A$13:$B$95,2,FALSE)</f>
        <v>5</v>
      </c>
      <c r="B611" s="24">
        <f t="shared" si="951"/>
        <v>1988</v>
      </c>
      <c r="C611" s="25">
        <v>32355</v>
      </c>
      <c r="D611" s="26">
        <f>VLOOKUP($C611,COS!$B$8:$H$991,3,FALSE)</f>
        <v>11770.708984375</v>
      </c>
      <c r="E611" s="24">
        <f>IF(D611&gt;=IF(MONTH($C611)=4,$C$3,IF(MONTH($C611)=5,$C$4,IF(MONTH($C611)=6,$C$5,IF(MONTH($C611)=7,$C$6,"ERROR")))),1,0)</f>
        <v>0</v>
      </c>
      <c r="F611" s="26">
        <f>VLOOKUP($C611,COS!$B$8:$H$991,7,FALSE)</f>
        <v>53.894107818603516</v>
      </c>
      <c r="G611" s="24">
        <f>IF(F611&lt;=IF(MONTH($C611)=4,$F$3,IF(MONTH($C611)=5,$F$4,IF(MONTH($C611)=6,$F$5,IF(MONTH($C611)=7,$F$6,"ERROR")))),1,0)</f>
        <v>0</v>
      </c>
      <c r="H611" s="26">
        <f>IF(J611=1,D611-$C$6,0)</f>
        <v>0</v>
      </c>
      <c r="I611" s="26">
        <f t="shared" si="982"/>
        <v>0</v>
      </c>
      <c r="J611" s="24">
        <f t="shared" si="974"/>
        <v>0</v>
      </c>
      <c r="K611" s="26">
        <f>VLOOKUP($C611,COS!$B$8:$H$991,2,FALSE)</f>
        <v>2490.652587890625</v>
      </c>
      <c r="L611" s="24">
        <f t="shared" si="944"/>
        <v>1</v>
      </c>
      <c r="M611" s="24">
        <f t="shared" si="945"/>
        <v>1</v>
      </c>
      <c r="N611" s="26">
        <f>VLOOKUP($C611,COS!$B$8:$H$991,5,FALSE)</f>
        <v>242.14094543457031</v>
      </c>
      <c r="O611" s="26">
        <f t="shared" si="977"/>
        <v>14.888666396968622</v>
      </c>
      <c r="P611" s="26">
        <f>VLOOKUP($C611,COS!$B$8:$H$991,6,FALSE)</f>
        <v>2326.644775390625</v>
      </c>
      <c r="Q611" s="26">
        <f t="shared" si="978"/>
        <v>143.05981098269626</v>
      </c>
      <c r="R611" s="26">
        <f>MIN(IF(MONTH($C611)=4,$S$3,IF(MONTH($C611)=5,$S$4,IF(MONTH($C611)=6,$S$5,IF(MONTH($C611)=7,$S$6,"ERROR")))),MAX(VLOOKUP($C611,COS!$B$8:$K$991,10,FALSE)-IF(MONTH($C611)=4,$Y$3,IF(MONTH($C611)=5,$Y$4,IF(MONTH($C611)=6,$Y$5,IF(MONTH($C611)=7,$Y$6,"ERROR")))),0),MAX(VLOOKUP($C611,COS!$B$8:$K$991,9,FALSE)-IF(MONTH($C611)=4,$V$3,IF(MONTH($C611)=5,$V$4,IF(MONTH($C611)=6,$V$5,IF(MONTH($C611)=7,$V$6,"ERROR"))))-VLOOKUP($C611,COS!$B$8:$K$991,6,FALSE)/2,0))</f>
        <v>750</v>
      </c>
      <c r="S611" s="26">
        <f t="shared" si="979"/>
        <v>46.115702479338843</v>
      </c>
      <c r="T611" s="26">
        <f t="shared" si="980"/>
        <v>125.08994116917128</v>
      </c>
      <c r="U611" s="26" t="str">
        <f>IF(VLOOKUP($C611,COS!$B$8:$I$991,8,FALSE)=1,"UWFE","IBU")</f>
        <v>IBU</v>
      </c>
      <c r="V611" s="26">
        <f t="shared" ref="V611" si="985">MIN(IF(IF($AA$3=2,AND(E611=1,G611=1,L611=1,L613=1,M611=1,U611="IBU"),AND(E611=1,G611=1,L611=1,L613=1,M611=1)),T611,0),I611)</f>
        <v>0</v>
      </c>
      <c r="W611" s="26"/>
      <c r="X611" s="26"/>
      <c r="Y611" s="26"/>
      <c r="Z611" s="26"/>
      <c r="AA611" s="26"/>
      <c r="AB611" s="33"/>
    </row>
    <row r="612" spans="1:28" x14ac:dyDescent="0.3">
      <c r="A612" s="32">
        <f>VLOOKUP(YEAR(C612),Flags!$A$13:$B$95,2,FALSE)</f>
        <v>5</v>
      </c>
      <c r="B612" s="24">
        <f t="shared" si="951"/>
        <v>1988</v>
      </c>
      <c r="C612" s="25">
        <v>32386</v>
      </c>
      <c r="D612" s="26"/>
      <c r="E612" s="24"/>
      <c r="F612" s="26"/>
      <c r="G612" s="24"/>
      <c r="H612" s="24"/>
      <c r="I612" s="26"/>
      <c r="J612" s="24"/>
      <c r="K612" s="26"/>
      <c r="L612" s="24"/>
      <c r="M612" s="24"/>
      <c r="N612" s="26"/>
      <c r="O612" s="26"/>
      <c r="P612" s="26"/>
      <c r="Q612" s="26"/>
      <c r="R612" s="26"/>
      <c r="S612" s="26"/>
      <c r="T612" s="26"/>
      <c r="U612" s="26"/>
      <c r="V612" s="26"/>
      <c r="W612" s="26">
        <f>MAX($C$7-VLOOKUP($C612,COS!$B$8:$H$991,3,FALSE),0)</f>
        <v>92407.8330078125</v>
      </c>
      <c r="X612" s="26">
        <f t="shared" si="972"/>
        <v>5681.9361783316117</v>
      </c>
      <c r="Y612" s="26">
        <f>VLOOKUP($C612,COS!$B$8:$H$991,4,FALSE)</f>
        <v>2363.936279296875</v>
      </c>
      <c r="Z612" s="26">
        <f t="shared" si="973"/>
        <v>145.35277618155993</v>
      </c>
      <c r="AA612" s="26">
        <f t="shared" ref="AA612:AA616" si="986">MIN(W612,Y612)</f>
        <v>2363.936279296875</v>
      </c>
      <c r="AB612" s="33">
        <f t="shared" ref="AB612" si="987">AA612*DAY($C612)*86400/43560/1000*IF(MONTH($C612)=8,$P$3,IF(MONTH($C612)=9,$P$4,IF(MONTH($C612)=10,$P$5,IF(MONTH($C612)=11,$P$6,IF(MONTH($C612)=12,$P$7,NA())))))</f>
        <v>145.35277618155993</v>
      </c>
    </row>
    <row r="613" spans="1:28" x14ac:dyDescent="0.3">
      <c r="A613" s="32">
        <f>VLOOKUP(YEAR(C613),Flags!$A$13:$B$95,2,FALSE)</f>
        <v>5</v>
      </c>
      <c r="B613" s="24">
        <f t="shared" si="951"/>
        <v>1988</v>
      </c>
      <c r="C613" s="25">
        <v>32416</v>
      </c>
      <c r="D613" s="26"/>
      <c r="E613" s="24"/>
      <c r="F613" s="26"/>
      <c r="G613" s="24"/>
      <c r="H613" s="24"/>
      <c r="I613" s="26"/>
      <c r="J613" s="24"/>
      <c r="K613" s="26">
        <f>VLOOKUP($C613,COS!$B$8:$H$991,2,FALSE)</f>
        <v>2110.7509765625</v>
      </c>
      <c r="L613" s="24">
        <f t="shared" ref="L613" si="988">IF(AND(K613&gt;$I$7,K613&lt;$I$8),1,0)</f>
        <v>1</v>
      </c>
      <c r="M613" s="24"/>
      <c r="N613" s="26"/>
      <c r="O613" s="26"/>
      <c r="P613" s="26"/>
      <c r="Q613" s="26"/>
      <c r="R613" s="26"/>
      <c r="S613" s="26"/>
      <c r="T613" s="26"/>
      <c r="U613" s="26"/>
      <c r="V613" s="26"/>
      <c r="W613" s="26">
        <f>MAX($C$8-VLOOKUP($C613,COS!$B$8:$H$991,3,FALSE),0)</f>
        <v>94115.951171875</v>
      </c>
      <c r="X613" s="26">
        <f t="shared" si="972"/>
        <v>5600.2880036157021</v>
      </c>
      <c r="Y613" s="26">
        <f>VLOOKUP($C613,COS!$B$8:$H$991,4,FALSE)</f>
        <v>1955.6697998046875</v>
      </c>
      <c r="Z613" s="26">
        <f t="shared" si="973"/>
        <v>116.37043436854339</v>
      </c>
      <c r="AA613" s="26">
        <f t="shared" si="986"/>
        <v>1955.6697998046875</v>
      </c>
      <c r="AB613" s="33">
        <f t="shared" si="956"/>
        <v>116.37043436854339</v>
      </c>
    </row>
    <row r="614" spans="1:28" x14ac:dyDescent="0.3">
      <c r="A614" s="32">
        <f>VLOOKUP(YEAR(C614),Flags!$A$13:$B$95,2,FALSE)</f>
        <v>5</v>
      </c>
      <c r="B614" s="24">
        <f t="shared" si="951"/>
        <v>1988</v>
      </c>
      <c r="C614" s="25">
        <v>32447</v>
      </c>
      <c r="D614" s="26"/>
      <c r="E614" s="24"/>
      <c r="F614" s="26"/>
      <c r="G614" s="26"/>
      <c r="H614" s="26"/>
      <c r="I614" s="26"/>
      <c r="J614" s="26"/>
      <c r="K614" s="26"/>
      <c r="L614" s="24"/>
      <c r="M614" s="24"/>
      <c r="N614" s="26"/>
      <c r="O614" s="26"/>
      <c r="P614" s="26"/>
      <c r="Q614" s="26"/>
      <c r="R614" s="26"/>
      <c r="S614" s="26"/>
      <c r="T614" s="26"/>
      <c r="U614" s="26"/>
      <c r="V614" s="26"/>
      <c r="W614" s="26">
        <f>MAX($C$9-VLOOKUP($C614,COS!$B$8:$H$991,3,FALSE),0)</f>
        <v>94431.38720703125</v>
      </c>
      <c r="X614" s="26">
        <f t="shared" si="972"/>
        <v>5806.3596762009302</v>
      </c>
      <c r="Y614" s="26">
        <f>VLOOKUP($C614,COS!$B$8:$H$991,4,FALSE)</f>
        <v>1615.891357421875</v>
      </c>
      <c r="Z614" s="26">
        <f t="shared" si="973"/>
        <v>99.357286770402894</v>
      </c>
      <c r="AA614" s="26">
        <f t="shared" si="986"/>
        <v>1615.891357421875</v>
      </c>
      <c r="AB614" s="33">
        <f t="shared" si="956"/>
        <v>99.357286770402894</v>
      </c>
    </row>
    <row r="615" spans="1:28" x14ac:dyDescent="0.3">
      <c r="A615" s="32">
        <f>VLOOKUP(YEAR(C615),Flags!$A$13:$B$95,2,FALSE)</f>
        <v>5</v>
      </c>
      <c r="B615" s="24">
        <f t="shared" si="951"/>
        <v>1988</v>
      </c>
      <c r="C615" s="25">
        <v>32477</v>
      </c>
      <c r="D615" s="26"/>
      <c r="E615" s="24"/>
      <c r="F615" s="26"/>
      <c r="G615" s="26"/>
      <c r="H615" s="26"/>
      <c r="I615" s="26"/>
      <c r="J615" s="26"/>
      <c r="K615" s="26"/>
      <c r="L615" s="24"/>
      <c r="M615" s="24"/>
      <c r="N615" s="26"/>
      <c r="O615" s="26"/>
      <c r="P615" s="26"/>
      <c r="Q615" s="26"/>
      <c r="R615" s="26"/>
      <c r="S615" s="26"/>
      <c r="T615" s="26"/>
      <c r="U615" s="26"/>
      <c r="V615" s="26"/>
      <c r="W615" s="26">
        <f>MAX($C$10-VLOOKUP($C615,COS!$B$8:$H$991,3,FALSE),0)</f>
        <v>96749</v>
      </c>
      <c r="X615" s="26">
        <f t="shared" si="972"/>
        <v>5756.965289256198</v>
      </c>
      <c r="Y615" s="26">
        <f>VLOOKUP($C615,COS!$B$8:$H$991,4,FALSE)</f>
        <v>1854.902587890625</v>
      </c>
      <c r="Z615" s="26">
        <f t="shared" si="973"/>
        <v>110.37436886621902</v>
      </c>
      <c r="AA615" s="26">
        <f t="shared" si="986"/>
        <v>1854.902587890625</v>
      </c>
      <c r="AB615" s="33">
        <f t="shared" si="956"/>
        <v>55.187184433109508</v>
      </c>
    </row>
    <row r="616" spans="1:28" x14ac:dyDescent="0.3">
      <c r="A616" s="34">
        <f>VLOOKUP(YEAR(C616),Flags!$A$13:$B$95,2,FALSE)</f>
        <v>5</v>
      </c>
      <c r="B616" s="35">
        <f t="shared" si="951"/>
        <v>1988</v>
      </c>
      <c r="C616" s="36">
        <v>32508</v>
      </c>
      <c r="D616" s="37"/>
      <c r="E616" s="35"/>
      <c r="F616" s="37"/>
      <c r="G616" s="37"/>
      <c r="H616" s="37"/>
      <c r="I616" s="37"/>
      <c r="J616" s="37"/>
      <c r="K616" s="37"/>
      <c r="L616" s="35"/>
      <c r="M616" s="35"/>
      <c r="N616" s="37"/>
      <c r="O616" s="37"/>
      <c r="P616" s="37"/>
      <c r="Q616" s="37"/>
      <c r="R616" s="37"/>
      <c r="S616" s="37"/>
      <c r="T616" s="37"/>
      <c r="U616" s="37"/>
      <c r="V616" s="37"/>
      <c r="W616" s="37">
        <f>MAX($C$11-VLOOKUP($C616,COS!$B$8:$H$991,3,FALSE),0)</f>
        <v>0</v>
      </c>
      <c r="X616" s="37">
        <f t="shared" si="972"/>
        <v>0</v>
      </c>
      <c r="Y616" s="37">
        <f>VLOOKUP($C616,COS!$B$8:$H$991,4,FALSE)</f>
        <v>1030.474853515625</v>
      </c>
      <c r="Z616" s="37">
        <f t="shared" si="973"/>
        <v>63.361429009555785</v>
      </c>
      <c r="AA616" s="37">
        <f t="shared" si="986"/>
        <v>0</v>
      </c>
      <c r="AB616" s="38">
        <f t="shared" si="956"/>
        <v>0</v>
      </c>
    </row>
    <row r="617" spans="1:28" x14ac:dyDescent="0.3">
      <c r="A617" s="27">
        <f>VLOOKUP(YEAR(C617),Flags!$A$13:$B$95,2,FALSE)</f>
        <v>4</v>
      </c>
      <c r="B617" s="28">
        <f t="shared" si="951"/>
        <v>1989</v>
      </c>
      <c r="C617" s="29">
        <v>32628</v>
      </c>
      <c r="D617" s="30">
        <f>VLOOKUP($C617,COS!$B$8:$H$991,3,FALSE)</f>
        <v>3250</v>
      </c>
      <c r="E617" s="28">
        <f>IF(D617&gt;=IF(MONTH($C617)=4,$C$3,IF(MONTH($C617)=5,$C$4,IF(MONTH($C617)=6,$C$5,IF(MONTH($C617)=7,$C$6,"ERROR")))),1,0)</f>
        <v>0</v>
      </c>
      <c r="F617" s="30">
        <f>VLOOKUP($C617,COS!$B$8:$H$991,7,FALSE)</f>
        <v>52.776580810546875</v>
      </c>
      <c r="G617" s="28">
        <f>IF(F617&lt;=IF(MONTH($C617)=4,$F$3,IF(MONTH($C617)=5,$F$4,IF(MONTH($C617)=6,$F$5,IF(MONTH($C617)=7,$F$6,"ERROR")))),1,0)</f>
        <v>1</v>
      </c>
      <c r="H617" s="30">
        <f>IF(J617=1,D617-$C$3,0)</f>
        <v>0</v>
      </c>
      <c r="I617" s="30">
        <f t="shared" si="982"/>
        <v>0</v>
      </c>
      <c r="J617" s="28">
        <f t="shared" ref="J617:J620" si="989">IF(AND(E617=1,G617=1),1,0)</f>
        <v>0</v>
      </c>
      <c r="K617" s="30">
        <f>VLOOKUP($C617,COS!$B$8:$H$991,2,FALSE)</f>
        <v>4257.525390625</v>
      </c>
      <c r="L617" s="28">
        <f t="shared" ref="L617" si="990">IF(K617&lt;=IF(MONTH($C617)=4,$I$3,IF(MONTH($C617)=5,$I$4,IF(MONTH($C617)=6,$I$5,IF(MONTH($C617)=7,$I$6,"ERROR")))),1,0)</f>
        <v>1</v>
      </c>
      <c r="M617" s="28">
        <f t="shared" ref="M617" si="991">VLOOKUP($A617,$L$3:$M$7,2,FALSE)</f>
        <v>1</v>
      </c>
      <c r="N617" s="30">
        <f>VLOOKUP($C617,COS!$B$8:$H$991,5,FALSE)</f>
        <v>278.56231689453125</v>
      </c>
      <c r="O617" s="30">
        <f t="shared" ref="O617:O620" si="992">N617*DAY($C617)*86400/43560/1000</f>
        <v>16.575608939178718</v>
      </c>
      <c r="P617" s="30">
        <f>VLOOKUP($C617,COS!$B$8:$H$991,6,FALSE)</f>
        <v>448.37432861328125</v>
      </c>
      <c r="Q617" s="30">
        <f t="shared" ref="Q617:Q620" si="993">P617*DAY($C617)*86400/43560/1000</f>
        <v>26.680125338972108</v>
      </c>
      <c r="R617" s="30">
        <f>MIN(IF(MONTH($C617)=4,$S$3,IF(MONTH($C617)=5,$S$4,IF(MONTH($C617)=6,$S$5,IF(MONTH($C617)=7,$S$6,"ERROR")))),MAX(VLOOKUP($C617,COS!$B$8:$K$991,10,FALSE)-IF(MONTH($C617)=4,$Y$3,IF(MONTH($C617)=5,$Y$4,IF(MONTH($C617)=6,$Y$5,IF(MONTH($C617)=7,$Y$6,"ERROR")))),0),MAX(VLOOKUP($C617,COS!$B$8:$K$991,9,FALSE)-IF(MONTH($C617)=4,$V$3,IF(MONTH($C617)=5,$V$4,IF(MONTH($C617)=6,$V$5,IF(MONTH($C617)=7,$V$6,"ERROR"))))-VLOOKUP($C617,COS!$B$8:$K$991,6,FALSE)/2,0))</f>
        <v>750</v>
      </c>
      <c r="S617" s="30">
        <f t="shared" ref="S617:S620" si="994">R617*DAY($C617)*86400/43560/1000</f>
        <v>44.628099173553714</v>
      </c>
      <c r="T617" s="30">
        <f t="shared" ref="T617:T620" si="995">(O617+Q617)/2+S617</f>
        <v>66.255966312629127</v>
      </c>
      <c r="U617" s="30" t="str">
        <f>IF(VLOOKUP($C617,COS!$B$8:$I$991,8,FALSE)=1,"UWFE","IBU")</f>
        <v>UWFE</v>
      </c>
      <c r="V617" s="30">
        <f t="shared" ref="V617" si="996">MIN(IF(IF($AA$3=2,AND(E617=1,G617=1,L617=1,L622=1,M617=1,U617="IBU"),AND(E617=1,G617=1,L617=1,L622=1,M617=1)),T617,0),I617)</f>
        <v>0</v>
      </c>
      <c r="W617" s="30"/>
      <c r="X617" s="30"/>
      <c r="Y617" s="30"/>
      <c r="Z617" s="30"/>
      <c r="AA617" s="30"/>
      <c r="AB617" s="31"/>
    </row>
    <row r="618" spans="1:28" x14ac:dyDescent="0.3">
      <c r="A618" s="32">
        <f>VLOOKUP(YEAR(C618),Flags!$A$13:$B$95,2,FALSE)</f>
        <v>4</v>
      </c>
      <c r="B618" s="24">
        <f t="shared" si="951"/>
        <v>1989</v>
      </c>
      <c r="C618" s="25">
        <v>32659</v>
      </c>
      <c r="D618" s="26">
        <f>VLOOKUP($C618,COS!$B$8:$H$991,3,FALSE)</f>
        <v>10011.177734375</v>
      </c>
      <c r="E618" s="24">
        <f>IF(D618&gt;=IF(MONTH($C618)=4,$C$3,IF(MONTH($C618)=5,$C$4,IF(MONTH($C618)=6,$C$5,IF(MONTH($C618)=7,$C$6,"ERROR")))),1,0)</f>
        <v>1</v>
      </c>
      <c r="F618" s="26">
        <f>VLOOKUP($C618,COS!$B$8:$H$991,7,FALSE)</f>
        <v>50.918426513671875</v>
      </c>
      <c r="G618" s="24">
        <f>IF(F618&lt;=IF(MONTH($C618)=4,$F$3,IF(MONTH($C618)=5,$F$4,IF(MONTH($C618)=6,$F$5,IF(MONTH($C618)=7,$F$6,"ERROR")))),1,0)</f>
        <v>1</v>
      </c>
      <c r="H618" s="26">
        <f>IF(J618=1,D618-$C$4,0)</f>
        <v>4011.177734375</v>
      </c>
      <c r="I618" s="26">
        <f t="shared" si="982"/>
        <v>246.63770532024793</v>
      </c>
      <c r="J618" s="24">
        <f t="shared" si="989"/>
        <v>1</v>
      </c>
      <c r="K618" s="26">
        <f>VLOOKUP($C618,COS!$B$8:$H$991,2,FALSE)</f>
        <v>3934.481689453125</v>
      </c>
      <c r="L618" s="24">
        <f t="shared" si="944"/>
        <v>1</v>
      </c>
      <c r="M618" s="24">
        <f t="shared" si="945"/>
        <v>1</v>
      </c>
      <c r="N618" s="26">
        <f>VLOOKUP($C618,COS!$B$8:$H$991,5,FALSE)</f>
        <v>317.6539306640625</v>
      </c>
      <c r="O618" s="26">
        <f t="shared" si="992"/>
        <v>19.531778877195247</v>
      </c>
      <c r="P618" s="26">
        <f>VLOOKUP($C618,COS!$B$8:$H$991,6,FALSE)</f>
        <v>2368.940673828125</v>
      </c>
      <c r="Q618" s="26">
        <f t="shared" si="993"/>
        <v>145.66048440728304</v>
      </c>
      <c r="R618" s="26">
        <f>MIN(IF(MONTH($C618)=4,$S$3,IF(MONTH($C618)=5,$S$4,IF(MONTH($C618)=6,$S$5,IF(MONTH($C618)=7,$S$6,"ERROR")))),MAX(VLOOKUP($C618,COS!$B$8:$K$991,10,FALSE)-IF(MONTH($C618)=4,$Y$3,IF(MONTH($C618)=5,$Y$4,IF(MONTH($C618)=6,$Y$5,IF(MONTH($C618)=7,$Y$6,"ERROR")))),0),MAX(VLOOKUP($C618,COS!$B$8:$K$991,9,FALSE)-IF(MONTH($C618)=4,$V$3,IF(MONTH($C618)=5,$V$4,IF(MONTH($C618)=6,$V$5,IF(MONTH($C618)=7,$V$6,"ERROR"))))-VLOOKUP($C618,COS!$B$8:$K$991,6,FALSE)/2,0))</f>
        <v>750</v>
      </c>
      <c r="S618" s="26">
        <f t="shared" si="994"/>
        <v>46.115702479338843</v>
      </c>
      <c r="T618" s="26">
        <f t="shared" si="995"/>
        <v>128.71183412157799</v>
      </c>
      <c r="U618" s="26" t="str">
        <f>IF(VLOOKUP($C618,COS!$B$8:$I$991,8,FALSE)=1,"UWFE","IBU")</f>
        <v>IBU</v>
      </c>
      <c r="V618" s="26">
        <f t="shared" ref="V618" si="997">MIN(IF(IF($AA$3=2,AND(E618=1,G618=1,L618=1,L622=1,M618=1,U618="IBU"),AND(E618=1,G618=1,L618=1,L622=1,M618=1)),T618,0),I618)</f>
        <v>128.71183412157799</v>
      </c>
      <c r="W618" s="26"/>
      <c r="X618" s="26"/>
      <c r="Y618" s="26"/>
      <c r="Z618" s="26"/>
      <c r="AA618" s="26"/>
      <c r="AB618" s="33"/>
    </row>
    <row r="619" spans="1:28" x14ac:dyDescent="0.3">
      <c r="A619" s="32">
        <f>VLOOKUP(YEAR(C619),Flags!$A$13:$B$95,2,FALSE)</f>
        <v>4</v>
      </c>
      <c r="B619" s="24">
        <f t="shared" si="951"/>
        <v>1989</v>
      </c>
      <c r="C619" s="25">
        <v>32689</v>
      </c>
      <c r="D619" s="26">
        <f>VLOOKUP($C619,COS!$B$8:$H$991,3,FALSE)</f>
        <v>11206.92578125</v>
      </c>
      <c r="E619" s="24">
        <f>IF(D619&gt;=IF(MONTH($C619)=4,$C$3,IF(MONTH($C619)=5,$C$4,IF(MONTH($C619)=6,$C$5,IF(MONTH($C619)=7,$C$6,"ERROR")))),1,0)</f>
        <v>1</v>
      </c>
      <c r="F619" s="26">
        <f>VLOOKUP($C619,COS!$B$8:$H$991,7,FALSE)</f>
        <v>51.800579071044922</v>
      </c>
      <c r="G619" s="24">
        <f>IF(F619&lt;=IF(MONTH($C619)=4,$F$3,IF(MONTH($C619)=5,$F$4,IF(MONTH($C619)=6,$F$5,IF(MONTH($C619)=7,$F$6,"ERROR")))),1,0)</f>
        <v>1</v>
      </c>
      <c r="H619" s="26">
        <f>IF(J619=1,D619-$C$5,0)</f>
        <v>1206.92578125</v>
      </c>
      <c r="I619" s="26">
        <f t="shared" si="982"/>
        <v>71.817071280991726</v>
      </c>
      <c r="J619" s="24">
        <f t="shared" si="989"/>
        <v>1</v>
      </c>
      <c r="K619" s="26">
        <f>VLOOKUP($C619,COS!$B$8:$H$991,2,FALSE)</f>
        <v>3457.87646484375</v>
      </c>
      <c r="L619" s="24">
        <f t="shared" si="944"/>
        <v>1</v>
      </c>
      <c r="M619" s="24">
        <f t="shared" si="945"/>
        <v>1</v>
      </c>
      <c r="N619" s="26">
        <f>VLOOKUP($C619,COS!$B$8:$H$991,5,FALSE)</f>
        <v>517.07537841796875</v>
      </c>
      <c r="O619" s="26">
        <f t="shared" si="992"/>
        <v>30.768121690986568</v>
      </c>
      <c r="P619" s="26">
        <f>VLOOKUP($C619,COS!$B$8:$H$991,6,FALSE)</f>
        <v>2621.433837890625</v>
      </c>
      <c r="Q619" s="26">
        <f t="shared" si="993"/>
        <v>155.98614572572316</v>
      </c>
      <c r="R619" s="26">
        <f>MIN(IF(MONTH($C619)=4,$S$3,IF(MONTH($C619)=5,$S$4,IF(MONTH($C619)=6,$S$5,IF(MONTH($C619)=7,$S$6,"ERROR")))),MAX(VLOOKUP($C619,COS!$B$8:$K$991,10,FALSE)-IF(MONTH($C619)=4,$Y$3,IF(MONTH($C619)=5,$Y$4,IF(MONTH($C619)=6,$Y$5,IF(MONTH($C619)=7,$Y$6,"ERROR")))),0),MAX(VLOOKUP($C619,COS!$B$8:$K$991,9,FALSE)-IF(MONTH($C619)=4,$V$3,IF(MONTH($C619)=5,$V$4,IF(MONTH($C619)=6,$V$5,IF(MONTH($C619)=7,$V$6,"ERROR"))))-VLOOKUP($C619,COS!$B$8:$K$991,6,FALSE)/2,0))</f>
        <v>750</v>
      </c>
      <c r="S619" s="26">
        <f t="shared" si="994"/>
        <v>44.628099173553714</v>
      </c>
      <c r="T619" s="26">
        <f t="shared" si="995"/>
        <v>138.00523288190857</v>
      </c>
      <c r="U619" s="26" t="str">
        <f>IF(VLOOKUP($C619,COS!$B$8:$I$991,8,FALSE)=1,"UWFE","IBU")</f>
        <v>IBU</v>
      </c>
      <c r="V619" s="26">
        <f t="shared" ref="V619" si="998">MIN(IF(IF($AA$3=2,AND(E619=1,G619=1,L619=1,L622=1,M619=1,U619="IBU"),AND(E619=1,G619=1,L619=1,L622=1,M619=1)),T619,0),I619)</f>
        <v>71.817071280991726</v>
      </c>
      <c r="W619" s="26"/>
      <c r="X619" s="26"/>
      <c r="Y619" s="26"/>
      <c r="Z619" s="26"/>
      <c r="AA619" s="26"/>
      <c r="AB619" s="33"/>
    </row>
    <row r="620" spans="1:28" x14ac:dyDescent="0.3">
      <c r="A620" s="32">
        <f>VLOOKUP(YEAR(C620),Flags!$A$13:$B$95,2,FALSE)</f>
        <v>4</v>
      </c>
      <c r="B620" s="24">
        <f t="shared" si="951"/>
        <v>1989</v>
      </c>
      <c r="C620" s="25">
        <v>32720</v>
      </c>
      <c r="D620" s="26">
        <f>VLOOKUP($C620,COS!$B$8:$H$991,3,FALSE)</f>
        <v>12592.146484375</v>
      </c>
      <c r="E620" s="24">
        <f>IF(D620&gt;=IF(MONTH($C620)=4,$C$3,IF(MONTH($C620)=5,$C$4,IF(MONTH($C620)=6,$C$5,IF(MONTH($C620)=7,$C$6,"ERROR")))),1,0)</f>
        <v>1</v>
      </c>
      <c r="F620" s="26">
        <f>VLOOKUP($C620,COS!$B$8:$H$991,7,FALSE)</f>
        <v>53.21966552734375</v>
      </c>
      <c r="G620" s="24">
        <f>IF(F620&lt;=IF(MONTH($C620)=4,$F$3,IF(MONTH($C620)=5,$F$4,IF(MONTH($C620)=6,$F$5,IF(MONTH($C620)=7,$F$6,"ERROR")))),1,0)</f>
        <v>1</v>
      </c>
      <c r="H620" s="26">
        <f>IF(J620=1,D620-$C$6,0)</f>
        <v>592.146484375</v>
      </c>
      <c r="I620" s="26">
        <f t="shared" si="982"/>
        <v>36.409668130165286</v>
      </c>
      <c r="J620" s="24">
        <f t="shared" si="989"/>
        <v>1</v>
      </c>
      <c r="K620" s="26">
        <f>VLOOKUP($C620,COS!$B$8:$H$991,2,FALSE)</f>
        <v>2918.839599609375</v>
      </c>
      <c r="L620" s="24">
        <f t="shared" si="944"/>
        <v>1</v>
      </c>
      <c r="M620" s="24">
        <f t="shared" si="945"/>
        <v>1</v>
      </c>
      <c r="N620" s="26">
        <f>VLOOKUP($C620,COS!$B$8:$H$991,5,FALSE)</f>
        <v>602.97808837890625</v>
      </c>
      <c r="O620" s="26">
        <f t="shared" si="992"/>
        <v>37.075677500322833</v>
      </c>
      <c r="P620" s="26">
        <f>VLOOKUP($C620,COS!$B$8:$H$991,6,FALSE)</f>
        <v>2442.872314453125</v>
      </c>
      <c r="Q620" s="26">
        <f t="shared" si="993"/>
        <v>150.20636379777892</v>
      </c>
      <c r="R620" s="26">
        <f>MIN(IF(MONTH($C620)=4,$S$3,IF(MONTH($C620)=5,$S$4,IF(MONTH($C620)=6,$S$5,IF(MONTH($C620)=7,$S$6,"ERROR")))),MAX(VLOOKUP($C620,COS!$B$8:$K$991,10,FALSE)-IF(MONTH($C620)=4,$Y$3,IF(MONTH($C620)=5,$Y$4,IF(MONTH($C620)=6,$Y$5,IF(MONTH($C620)=7,$Y$6,"ERROR")))),0),MAX(VLOOKUP($C620,COS!$B$8:$K$991,9,FALSE)-IF(MONTH($C620)=4,$V$3,IF(MONTH($C620)=5,$V$4,IF(MONTH($C620)=6,$V$5,IF(MONTH($C620)=7,$V$6,"ERROR"))))-VLOOKUP($C620,COS!$B$8:$K$991,6,FALSE)/2,0))</f>
        <v>750</v>
      </c>
      <c r="S620" s="26">
        <f t="shared" si="994"/>
        <v>46.115702479338843</v>
      </c>
      <c r="T620" s="26">
        <f t="shared" si="995"/>
        <v>139.75672312838972</v>
      </c>
      <c r="U620" s="26" t="str">
        <f>IF(VLOOKUP($C620,COS!$B$8:$I$991,8,FALSE)=1,"UWFE","IBU")</f>
        <v>IBU</v>
      </c>
      <c r="V620" s="26">
        <f t="shared" ref="V620" si="999">MIN(IF(IF($AA$3=2,AND(E620=1,G620=1,L620=1,L622=1,M620=1,U620="IBU"),AND(E620=1,G620=1,L620=1,L622=1,M620=1)),T620,0),I620)</f>
        <v>36.409668130165286</v>
      </c>
      <c r="W620" s="26"/>
      <c r="X620" s="26"/>
      <c r="Y620" s="26"/>
      <c r="Z620" s="26"/>
      <c r="AA620" s="26"/>
      <c r="AB620" s="33"/>
    </row>
    <row r="621" spans="1:28" x14ac:dyDescent="0.3">
      <c r="A621" s="32">
        <f>VLOOKUP(YEAR(C621),Flags!$A$13:$B$95,2,FALSE)</f>
        <v>4</v>
      </c>
      <c r="B621" s="24">
        <f t="shared" si="951"/>
        <v>1989</v>
      </c>
      <c r="C621" s="25">
        <v>32751</v>
      </c>
      <c r="D621" s="26"/>
      <c r="E621" s="24"/>
      <c r="F621" s="26"/>
      <c r="G621" s="24"/>
      <c r="H621" s="24"/>
      <c r="I621" s="26"/>
      <c r="J621" s="24"/>
      <c r="K621" s="26"/>
      <c r="L621" s="24"/>
      <c r="M621" s="24"/>
      <c r="N621" s="26"/>
      <c r="O621" s="26"/>
      <c r="P621" s="26"/>
      <c r="Q621" s="26"/>
      <c r="R621" s="26"/>
      <c r="S621" s="26"/>
      <c r="T621" s="26"/>
      <c r="U621" s="26"/>
      <c r="V621" s="26"/>
      <c r="W621" s="26">
        <f>MAX($C$7-VLOOKUP($C621,COS!$B$8:$H$991,3,FALSE),0)</f>
        <v>91856.2431640625</v>
      </c>
      <c r="X621" s="26">
        <f t="shared" si="972"/>
        <v>5648.0202408316118</v>
      </c>
      <c r="Y621" s="26">
        <f>VLOOKUP($C621,COS!$B$8:$H$991,4,FALSE)</f>
        <v>2140.86328125</v>
      </c>
      <c r="Z621" s="26">
        <f t="shared" si="973"/>
        <v>131.63655216942149</v>
      </c>
      <c r="AA621" s="26">
        <f t="shared" ref="AA621:AA625" si="1000">MIN(W621,Y621)</f>
        <v>2140.86328125</v>
      </c>
      <c r="AB621" s="33">
        <f t="shared" ref="AB621" si="1001">AA621*DAY($C621)*86400/43560/1000*IF(MONTH($C621)=8,$P$3,IF(MONTH($C621)=9,$P$4,IF(MONTH($C621)=10,$P$5,IF(MONTH($C621)=11,$P$6,IF(MONTH($C621)=12,$P$7,NA())))))</f>
        <v>131.63655216942149</v>
      </c>
    </row>
    <row r="622" spans="1:28" x14ac:dyDescent="0.3">
      <c r="A622" s="32">
        <f>VLOOKUP(YEAR(C622),Flags!$A$13:$B$95,2,FALSE)</f>
        <v>4</v>
      </c>
      <c r="B622" s="24">
        <f t="shared" si="951"/>
        <v>1989</v>
      </c>
      <c r="C622" s="25">
        <v>32781</v>
      </c>
      <c r="D622" s="26"/>
      <c r="E622" s="24"/>
      <c r="F622" s="26"/>
      <c r="G622" s="24"/>
      <c r="H622" s="24"/>
      <c r="I622" s="26"/>
      <c r="J622" s="24"/>
      <c r="K622" s="26">
        <f>VLOOKUP($C622,COS!$B$8:$H$991,2,FALSE)</f>
        <v>2659.4970703125</v>
      </c>
      <c r="L622" s="24">
        <f t="shared" ref="L622" si="1002">IF(AND(K622&gt;$I$7,K622&lt;$I$8),1,0)</f>
        <v>1</v>
      </c>
      <c r="M622" s="24"/>
      <c r="N622" s="26"/>
      <c r="O622" s="26"/>
      <c r="P622" s="26"/>
      <c r="Q622" s="26"/>
      <c r="R622" s="26"/>
      <c r="S622" s="26"/>
      <c r="T622" s="26"/>
      <c r="U622" s="26"/>
      <c r="V622" s="26"/>
      <c r="W622" s="26">
        <f>MAX($C$8-VLOOKUP($C622,COS!$B$8:$H$991,3,FALSE),0)</f>
        <v>96571.319580078125</v>
      </c>
      <c r="X622" s="26">
        <f t="shared" si="972"/>
        <v>5746.3925700542359</v>
      </c>
      <c r="Y622" s="26">
        <f>VLOOKUP($C622,COS!$B$8:$H$991,4,FALSE)</f>
        <v>447.037109375</v>
      </c>
      <c r="Z622" s="26">
        <f t="shared" si="973"/>
        <v>26.600555268595041</v>
      </c>
      <c r="AA622" s="26">
        <f t="shared" si="1000"/>
        <v>447.037109375</v>
      </c>
      <c r="AB622" s="33">
        <f t="shared" si="956"/>
        <v>26.600555268595041</v>
      </c>
    </row>
    <row r="623" spans="1:28" x14ac:dyDescent="0.3">
      <c r="A623" s="32">
        <f>VLOOKUP(YEAR(C623),Flags!$A$13:$B$95,2,FALSE)</f>
        <v>4</v>
      </c>
      <c r="B623" s="24">
        <f t="shared" si="951"/>
        <v>1989</v>
      </c>
      <c r="C623" s="25">
        <v>32812</v>
      </c>
      <c r="D623" s="26"/>
      <c r="E623" s="24"/>
      <c r="F623" s="26"/>
      <c r="G623" s="26"/>
      <c r="H623" s="26"/>
      <c r="I623" s="26"/>
      <c r="J623" s="26"/>
      <c r="K623" s="26"/>
      <c r="L623" s="24"/>
      <c r="M623" s="24"/>
      <c r="N623" s="26"/>
      <c r="O623" s="26"/>
      <c r="P623" s="26"/>
      <c r="Q623" s="26"/>
      <c r="R623" s="26"/>
      <c r="S623" s="26"/>
      <c r="T623" s="26"/>
      <c r="U623" s="26"/>
      <c r="V623" s="26"/>
      <c r="W623" s="26">
        <f>MAX($C$9-VLOOKUP($C623,COS!$B$8:$H$991,3,FALSE),0)</f>
        <v>95860.29296875</v>
      </c>
      <c r="X623" s="26">
        <f t="shared" si="972"/>
        <v>5894.2196668388433</v>
      </c>
      <c r="Y623" s="26">
        <f>VLOOKUP($C623,COS!$B$8:$H$991,4,FALSE)</f>
        <v>977.87164306640625</v>
      </c>
      <c r="Z623" s="26">
        <f t="shared" si="973"/>
        <v>60.126983672843487</v>
      </c>
      <c r="AA623" s="26">
        <f t="shared" si="1000"/>
        <v>977.87164306640625</v>
      </c>
      <c r="AB623" s="33">
        <f t="shared" si="956"/>
        <v>60.126983672843487</v>
      </c>
    </row>
    <row r="624" spans="1:28" x14ac:dyDescent="0.3">
      <c r="A624" s="32">
        <f>VLOOKUP(YEAR(C624),Flags!$A$13:$B$95,2,FALSE)</f>
        <v>4</v>
      </c>
      <c r="B624" s="24">
        <f t="shared" si="951"/>
        <v>1989</v>
      </c>
      <c r="C624" s="25">
        <v>32842</v>
      </c>
      <c r="D624" s="26"/>
      <c r="E624" s="24"/>
      <c r="F624" s="26"/>
      <c r="G624" s="26"/>
      <c r="H624" s="26"/>
      <c r="I624" s="26"/>
      <c r="J624" s="26"/>
      <c r="K624" s="26"/>
      <c r="L624" s="24"/>
      <c r="M624" s="24"/>
      <c r="N624" s="26"/>
      <c r="O624" s="26"/>
      <c r="P624" s="26"/>
      <c r="Q624" s="26"/>
      <c r="R624" s="26"/>
      <c r="S624" s="26"/>
      <c r="T624" s="26"/>
      <c r="U624" s="26"/>
      <c r="V624" s="26"/>
      <c r="W624" s="26">
        <f>MAX($C$10-VLOOKUP($C624,COS!$B$8:$H$991,3,FALSE),0)</f>
        <v>94450.890625</v>
      </c>
      <c r="X624" s="26">
        <f t="shared" si="972"/>
        <v>5620.2182851239668</v>
      </c>
      <c r="Y624" s="26">
        <f>VLOOKUP($C624,COS!$B$8:$H$991,4,FALSE)</f>
        <v>1557.039306640625</v>
      </c>
      <c r="Z624" s="26">
        <f t="shared" si="973"/>
        <v>92.650272791838844</v>
      </c>
      <c r="AA624" s="26">
        <f t="shared" si="1000"/>
        <v>1557.039306640625</v>
      </c>
      <c r="AB624" s="33">
        <f t="shared" si="956"/>
        <v>46.325136395919422</v>
      </c>
    </row>
    <row r="625" spans="1:28" x14ac:dyDescent="0.3">
      <c r="A625" s="34">
        <f>VLOOKUP(YEAR(C625),Flags!$A$13:$B$95,2,FALSE)</f>
        <v>4</v>
      </c>
      <c r="B625" s="35">
        <f t="shared" si="951"/>
        <v>1989</v>
      </c>
      <c r="C625" s="36">
        <v>32873</v>
      </c>
      <c r="D625" s="37"/>
      <c r="E625" s="35"/>
      <c r="F625" s="37"/>
      <c r="G625" s="37"/>
      <c r="H625" s="37"/>
      <c r="I625" s="37"/>
      <c r="J625" s="37"/>
      <c r="K625" s="37"/>
      <c r="L625" s="35"/>
      <c r="M625" s="35"/>
      <c r="N625" s="37"/>
      <c r="O625" s="37"/>
      <c r="P625" s="37"/>
      <c r="Q625" s="37"/>
      <c r="R625" s="37"/>
      <c r="S625" s="37"/>
      <c r="T625" s="37"/>
      <c r="U625" s="37"/>
      <c r="V625" s="37"/>
      <c r="W625" s="37">
        <f>MAX($C$11-VLOOKUP($C625,COS!$B$8:$H$991,3,FALSE),0)</f>
        <v>0</v>
      </c>
      <c r="X625" s="37">
        <f t="shared" si="972"/>
        <v>0</v>
      </c>
      <c r="Y625" s="37">
        <f>VLOOKUP($C625,COS!$B$8:$H$991,4,FALSE)</f>
        <v>2009.1300048828125</v>
      </c>
      <c r="Z625" s="37">
        <f t="shared" si="973"/>
        <v>123.5365887299845</v>
      </c>
      <c r="AA625" s="37">
        <f t="shared" si="1000"/>
        <v>0</v>
      </c>
      <c r="AB625" s="38">
        <f t="shared" si="956"/>
        <v>0</v>
      </c>
    </row>
    <row r="626" spans="1:28" x14ac:dyDescent="0.3">
      <c r="A626" s="27">
        <f>VLOOKUP(YEAR(C626),Flags!$A$13:$B$95,2,FALSE)</f>
        <v>5</v>
      </c>
      <c r="B626" s="28">
        <f t="shared" si="951"/>
        <v>1990</v>
      </c>
      <c r="C626" s="29">
        <v>32993</v>
      </c>
      <c r="D626" s="30">
        <f>VLOOKUP($C626,COS!$B$8:$H$991,3,FALSE)</f>
        <v>3250</v>
      </c>
      <c r="E626" s="28">
        <f>IF(D626&gt;=IF(MONTH($C626)=4,$C$3,IF(MONTH($C626)=5,$C$4,IF(MONTH($C626)=6,$C$5,IF(MONTH($C626)=7,$C$6,"ERROR")))),1,0)</f>
        <v>0</v>
      </c>
      <c r="F626" s="30">
        <f>VLOOKUP($C626,COS!$B$8:$H$991,7,FALSE)</f>
        <v>52.837333679199219</v>
      </c>
      <c r="G626" s="28">
        <f>IF(F626&lt;=IF(MONTH($C626)=4,$F$3,IF(MONTH($C626)=5,$F$4,IF(MONTH($C626)=6,$F$5,IF(MONTH($C626)=7,$F$6,"ERROR")))),1,0)</f>
        <v>1</v>
      </c>
      <c r="H626" s="30">
        <f>IF(J626=1,D626-$C$3,0)</f>
        <v>0</v>
      </c>
      <c r="I626" s="30">
        <f t="shared" si="982"/>
        <v>0</v>
      </c>
      <c r="J626" s="28">
        <f t="shared" ref="J626:J629" si="1003">IF(AND(E626=1,G626=1),1,0)</f>
        <v>0</v>
      </c>
      <c r="K626" s="30">
        <f>VLOOKUP($C626,COS!$B$8:$H$991,2,FALSE)</f>
        <v>3255.982421875</v>
      </c>
      <c r="L626" s="28">
        <f t="shared" ref="L626" si="1004">IF(K626&lt;=IF(MONTH($C626)=4,$I$3,IF(MONTH($C626)=5,$I$4,IF(MONTH($C626)=6,$I$5,IF(MONTH($C626)=7,$I$6,"ERROR")))),1,0)</f>
        <v>1</v>
      </c>
      <c r="M626" s="28">
        <f t="shared" ref="M626" si="1005">VLOOKUP($A626,$L$3:$M$7,2,FALSE)</f>
        <v>1</v>
      </c>
      <c r="N626" s="30">
        <f>VLOOKUP($C626,COS!$B$8:$H$991,5,FALSE)</f>
        <v>164.3074951171875</v>
      </c>
      <c r="O626" s="30">
        <f t="shared" ref="O626:O629" si="1006">N626*DAY($C626)*86400/43560/1000</f>
        <v>9.7769749160640487</v>
      </c>
      <c r="P626" s="30">
        <f>VLOOKUP($C626,COS!$B$8:$H$991,6,FALSE)</f>
        <v>546.31597900390625</v>
      </c>
      <c r="Q626" s="30">
        <f t="shared" ref="Q626:Q629" si="1007">P626*DAY($C626)*86400/43560/1000</f>
        <v>32.508058254777893</v>
      </c>
      <c r="R626" s="30">
        <f>MIN(IF(MONTH($C626)=4,$S$3,IF(MONTH($C626)=5,$S$4,IF(MONTH($C626)=6,$S$5,IF(MONTH($C626)=7,$S$6,"ERROR")))),MAX(VLOOKUP($C626,COS!$B$8:$K$991,10,FALSE)-IF(MONTH($C626)=4,$Y$3,IF(MONTH($C626)=5,$Y$4,IF(MONTH($C626)=6,$Y$5,IF(MONTH($C626)=7,$Y$6,"ERROR")))),0),MAX(VLOOKUP($C626,COS!$B$8:$K$991,9,FALSE)-IF(MONTH($C626)=4,$V$3,IF(MONTH($C626)=5,$V$4,IF(MONTH($C626)=6,$V$5,IF(MONTH($C626)=7,$V$6,"ERROR"))))-VLOOKUP($C626,COS!$B$8:$K$991,6,FALSE)/2,0))</f>
        <v>0</v>
      </c>
      <c r="S626" s="30">
        <f t="shared" ref="S626:S629" si="1008">R626*DAY($C626)*86400/43560/1000</f>
        <v>0</v>
      </c>
      <c r="T626" s="30">
        <f t="shared" ref="T626:T629" si="1009">(O626+Q626)/2+S626</f>
        <v>21.142516585420971</v>
      </c>
      <c r="U626" s="30" t="str">
        <f>IF(VLOOKUP($C626,COS!$B$8:$I$991,8,FALSE)=1,"UWFE","IBU")</f>
        <v>UWFE</v>
      </c>
      <c r="V626" s="30">
        <f t="shared" ref="V626" si="1010">MIN(IF(IF($AA$3=2,AND(E626=1,G626=1,L626=1,L631=1,M626=1,U626="IBU"),AND(E626=1,G626=1,L626=1,L631=1,M626=1)),T626,0),I626)</f>
        <v>0</v>
      </c>
      <c r="W626" s="30"/>
      <c r="X626" s="30"/>
      <c r="Y626" s="30"/>
      <c r="Z626" s="30"/>
      <c r="AA626" s="30"/>
      <c r="AB626" s="31"/>
    </row>
    <row r="627" spans="1:28" x14ac:dyDescent="0.3">
      <c r="A627" s="32">
        <f>VLOOKUP(YEAR(C627),Flags!$A$13:$B$95,2,FALSE)</f>
        <v>5</v>
      </c>
      <c r="B627" s="24">
        <f t="shared" si="951"/>
        <v>1990</v>
      </c>
      <c r="C627" s="25">
        <v>33024</v>
      </c>
      <c r="D627" s="26">
        <f>VLOOKUP($C627,COS!$B$8:$H$991,3,FALSE)</f>
        <v>5630.49853515625</v>
      </c>
      <c r="E627" s="24">
        <f>IF(D627&gt;=IF(MONTH($C627)=4,$C$3,IF(MONTH($C627)=5,$C$4,IF(MONTH($C627)=6,$C$5,IF(MONTH($C627)=7,$C$6,"ERROR")))),1,0)</f>
        <v>0</v>
      </c>
      <c r="F627" s="26">
        <f>VLOOKUP($C627,COS!$B$8:$H$991,7,FALSE)</f>
        <v>52.459934234619141</v>
      </c>
      <c r="G627" s="24">
        <f>IF(F627&lt;=IF(MONTH($C627)=4,$F$3,IF(MONTH($C627)=5,$F$4,IF(MONTH($C627)=6,$F$5,IF(MONTH($C627)=7,$F$6,"ERROR")))),1,0)</f>
        <v>1</v>
      </c>
      <c r="H627" s="26">
        <f>IF(J627=1,D627-$C$4,0)</f>
        <v>0</v>
      </c>
      <c r="I627" s="26">
        <f t="shared" si="982"/>
        <v>0</v>
      </c>
      <c r="J627" s="24">
        <f t="shared" si="1003"/>
        <v>0</v>
      </c>
      <c r="K627" s="26">
        <f>VLOOKUP($C627,COS!$B$8:$H$991,2,FALSE)</f>
        <v>3362.06884765625</v>
      </c>
      <c r="L627" s="24">
        <f t="shared" si="944"/>
        <v>1</v>
      </c>
      <c r="M627" s="24">
        <f t="shared" si="945"/>
        <v>1</v>
      </c>
      <c r="N627" s="26">
        <f>VLOOKUP($C627,COS!$B$8:$H$991,5,FALSE)</f>
        <v>102.29715728759766</v>
      </c>
      <c r="O627" s="26">
        <f t="shared" si="1006"/>
        <v>6.2900070266093104</v>
      </c>
      <c r="P627" s="26">
        <f>VLOOKUP($C627,COS!$B$8:$H$991,6,FALSE)</f>
        <v>1666.94287109375</v>
      </c>
      <c r="Q627" s="26">
        <f t="shared" si="1007"/>
        <v>102.49632199121901</v>
      </c>
      <c r="R627" s="26">
        <f>MIN(IF(MONTH($C627)=4,$S$3,IF(MONTH($C627)=5,$S$4,IF(MONTH($C627)=6,$S$5,IF(MONTH($C627)=7,$S$6,"ERROR")))),MAX(VLOOKUP($C627,COS!$B$8:$K$991,10,FALSE)-IF(MONTH($C627)=4,$Y$3,IF(MONTH($C627)=5,$Y$4,IF(MONTH($C627)=6,$Y$5,IF(MONTH($C627)=7,$Y$6,"ERROR")))),0),MAX(VLOOKUP($C627,COS!$B$8:$K$991,9,FALSE)-IF(MONTH($C627)=4,$V$3,IF(MONTH($C627)=5,$V$4,IF(MONTH($C627)=6,$V$5,IF(MONTH($C627)=7,$V$6,"ERROR"))))-VLOOKUP($C627,COS!$B$8:$K$991,6,FALSE)/2,0))</f>
        <v>750</v>
      </c>
      <c r="S627" s="26">
        <f t="shared" si="1008"/>
        <v>46.115702479338843</v>
      </c>
      <c r="T627" s="26">
        <f t="shared" si="1009"/>
        <v>100.508866988253</v>
      </c>
      <c r="U627" s="26" t="str">
        <f>IF(VLOOKUP($C627,COS!$B$8:$I$991,8,FALSE)=1,"UWFE","IBU")</f>
        <v>UWFE</v>
      </c>
      <c r="V627" s="26">
        <f t="shared" ref="V627" si="1011">MIN(IF(IF($AA$3=2,AND(E627=1,G627=1,L627=1,L631=1,M627=1,U627="IBU"),AND(E627=1,G627=1,L627=1,L631=1,M627=1)),T627,0),I627)</f>
        <v>0</v>
      </c>
      <c r="W627" s="26"/>
      <c r="X627" s="26"/>
      <c r="Y627" s="26"/>
      <c r="Z627" s="26"/>
      <c r="AA627" s="26"/>
      <c r="AB627" s="33"/>
    </row>
    <row r="628" spans="1:28" x14ac:dyDescent="0.3">
      <c r="A628" s="32">
        <f>VLOOKUP(YEAR(C628),Flags!$A$13:$B$95,2,FALSE)</f>
        <v>5</v>
      </c>
      <c r="B628" s="24">
        <f t="shared" si="951"/>
        <v>1990</v>
      </c>
      <c r="C628" s="25">
        <v>33054</v>
      </c>
      <c r="D628" s="26">
        <f>VLOOKUP($C628,COS!$B$8:$H$991,3,FALSE)</f>
        <v>8063.263671875</v>
      </c>
      <c r="E628" s="24">
        <f>IF(D628&gt;=IF(MONTH($C628)=4,$C$3,IF(MONTH($C628)=5,$C$4,IF(MONTH($C628)=6,$C$5,IF(MONTH($C628)=7,$C$6,"ERROR")))),1,0)</f>
        <v>0</v>
      </c>
      <c r="F628" s="26">
        <f>VLOOKUP($C628,COS!$B$8:$H$991,7,FALSE)</f>
        <v>53.181201934814453</v>
      </c>
      <c r="G628" s="24">
        <f>IF(F628&lt;=IF(MONTH($C628)=4,$F$3,IF(MONTH($C628)=5,$F$4,IF(MONTH($C628)=6,$F$5,IF(MONTH($C628)=7,$F$6,"ERROR")))),1,0)</f>
        <v>1</v>
      </c>
      <c r="H628" s="26">
        <f>IF(J628=1,D628-$C$5,0)</f>
        <v>0</v>
      </c>
      <c r="I628" s="26">
        <f t="shared" si="982"/>
        <v>0</v>
      </c>
      <c r="J628" s="24">
        <f t="shared" si="1003"/>
        <v>0</v>
      </c>
      <c r="K628" s="26">
        <f>VLOOKUP($C628,COS!$B$8:$H$991,2,FALSE)</f>
        <v>3180.568359375</v>
      </c>
      <c r="L628" s="24">
        <f t="shared" si="944"/>
        <v>1</v>
      </c>
      <c r="M628" s="24">
        <f t="shared" si="945"/>
        <v>1</v>
      </c>
      <c r="N628" s="26">
        <f>VLOOKUP($C628,COS!$B$8:$H$991,5,FALSE)</f>
        <v>206.65235900878906</v>
      </c>
      <c r="O628" s="26">
        <f t="shared" si="1006"/>
        <v>12.296669296390753</v>
      </c>
      <c r="P628" s="26">
        <f>VLOOKUP($C628,COS!$B$8:$H$991,6,FALSE)</f>
        <v>2506.8408203125</v>
      </c>
      <c r="Q628" s="26">
        <f t="shared" si="1007"/>
        <v>149.16738765495867</v>
      </c>
      <c r="R628" s="26">
        <f>MIN(IF(MONTH($C628)=4,$S$3,IF(MONTH($C628)=5,$S$4,IF(MONTH($C628)=6,$S$5,IF(MONTH($C628)=7,$S$6,"ERROR")))),MAX(VLOOKUP($C628,COS!$B$8:$K$991,10,FALSE)-IF(MONTH($C628)=4,$Y$3,IF(MONTH($C628)=5,$Y$4,IF(MONTH($C628)=6,$Y$5,IF(MONTH($C628)=7,$Y$6,"ERROR")))),0),MAX(VLOOKUP($C628,COS!$B$8:$K$991,9,FALSE)-IF(MONTH($C628)=4,$V$3,IF(MONTH($C628)=5,$V$4,IF(MONTH($C628)=6,$V$5,IF(MONTH($C628)=7,$V$6,"ERROR"))))-VLOOKUP($C628,COS!$B$8:$K$991,6,FALSE)/2,0))</f>
        <v>750</v>
      </c>
      <c r="S628" s="26">
        <f t="shared" si="1008"/>
        <v>44.628099173553714</v>
      </c>
      <c r="T628" s="26">
        <f t="shared" si="1009"/>
        <v>125.36012764922842</v>
      </c>
      <c r="U628" s="26" t="str">
        <f>IF(VLOOKUP($C628,COS!$B$8:$I$991,8,FALSE)=1,"UWFE","IBU")</f>
        <v>IBU</v>
      </c>
      <c r="V628" s="26">
        <f t="shared" ref="V628" si="1012">MIN(IF(IF($AA$3=2,AND(E628=1,G628=1,L628=1,L631=1,M628=1,U628="IBU"),AND(E628=1,G628=1,L628=1,L631=1,M628=1)),T628,0),I628)</f>
        <v>0</v>
      </c>
      <c r="W628" s="26"/>
      <c r="X628" s="26"/>
      <c r="Y628" s="26"/>
      <c r="Z628" s="26"/>
      <c r="AA628" s="26"/>
      <c r="AB628" s="33"/>
    </row>
    <row r="629" spans="1:28" x14ac:dyDescent="0.3">
      <c r="A629" s="32">
        <f>VLOOKUP(YEAR(C629),Flags!$A$13:$B$95,2,FALSE)</f>
        <v>5</v>
      </c>
      <c r="B629" s="24">
        <f t="shared" si="951"/>
        <v>1990</v>
      </c>
      <c r="C629" s="25">
        <v>33085</v>
      </c>
      <c r="D629" s="26">
        <f>VLOOKUP($C629,COS!$B$8:$H$991,3,FALSE)</f>
        <v>12447.279296875</v>
      </c>
      <c r="E629" s="24">
        <f>IF(D629&gt;=IF(MONTH($C629)=4,$C$3,IF(MONTH($C629)=5,$C$4,IF(MONTH($C629)=6,$C$5,IF(MONTH($C629)=7,$C$6,"ERROR")))),1,0)</f>
        <v>1</v>
      </c>
      <c r="F629" s="26">
        <f>VLOOKUP($C629,COS!$B$8:$H$991,7,FALSE)</f>
        <v>53.944061279296875</v>
      </c>
      <c r="G629" s="24">
        <f>IF(F629&lt;=IF(MONTH($C629)=4,$F$3,IF(MONTH($C629)=5,$F$4,IF(MONTH($C629)=6,$F$5,IF(MONTH($C629)=7,$F$6,"ERROR")))),1,0)</f>
        <v>0</v>
      </c>
      <c r="H629" s="26">
        <f>IF(J629=1,D629-$C$6,0)</f>
        <v>0</v>
      </c>
      <c r="I629" s="26">
        <f t="shared" si="982"/>
        <v>0</v>
      </c>
      <c r="J629" s="24">
        <f t="shared" si="1003"/>
        <v>0</v>
      </c>
      <c r="K629" s="26">
        <f>VLOOKUP($C629,COS!$B$8:$H$991,2,FALSE)</f>
        <v>2634.774169921875</v>
      </c>
      <c r="L629" s="24">
        <f t="shared" si="944"/>
        <v>1</v>
      </c>
      <c r="M629" s="24">
        <f t="shared" si="945"/>
        <v>1</v>
      </c>
      <c r="N629" s="26">
        <f>VLOOKUP($C629,COS!$B$8:$H$991,5,FALSE)</f>
        <v>227.43785095214844</v>
      </c>
      <c r="O629" s="26">
        <f t="shared" si="1006"/>
        <v>13.984608356065987</v>
      </c>
      <c r="P629" s="26">
        <f>VLOOKUP($C629,COS!$B$8:$H$991,6,FALSE)</f>
        <v>2326.644775390625</v>
      </c>
      <c r="Q629" s="26">
        <f t="shared" si="1007"/>
        <v>143.05981098269626</v>
      </c>
      <c r="R629" s="26">
        <f>MIN(IF(MONTH($C629)=4,$S$3,IF(MONTH($C629)=5,$S$4,IF(MONTH($C629)=6,$S$5,IF(MONTH($C629)=7,$S$6,"ERROR")))),MAX(VLOOKUP($C629,COS!$B$8:$K$991,10,FALSE)-IF(MONTH($C629)=4,$Y$3,IF(MONTH($C629)=5,$Y$4,IF(MONTH($C629)=6,$Y$5,IF(MONTH($C629)=7,$Y$6,"ERROR")))),0),MAX(VLOOKUP($C629,COS!$B$8:$K$991,9,FALSE)-IF(MONTH($C629)=4,$V$3,IF(MONTH($C629)=5,$V$4,IF(MONTH($C629)=6,$V$5,IF(MONTH($C629)=7,$V$6,"ERROR"))))-VLOOKUP($C629,COS!$B$8:$K$991,6,FALSE)/2,0))</f>
        <v>750</v>
      </c>
      <c r="S629" s="26">
        <f t="shared" si="1008"/>
        <v>46.115702479338843</v>
      </c>
      <c r="T629" s="26">
        <f t="shared" si="1009"/>
        <v>124.63791214871998</v>
      </c>
      <c r="U629" s="26" t="str">
        <f>IF(VLOOKUP($C629,COS!$B$8:$I$991,8,FALSE)=1,"UWFE","IBU")</f>
        <v>IBU</v>
      </c>
      <c r="V629" s="26">
        <f t="shared" ref="V629" si="1013">MIN(IF(IF($AA$3=2,AND(E629=1,G629=1,L629=1,L631=1,M629=1,U629="IBU"),AND(E629=1,G629=1,L629=1,L631=1,M629=1)),T629,0),I629)</f>
        <v>0</v>
      </c>
      <c r="W629" s="26"/>
      <c r="X629" s="26"/>
      <c r="Y629" s="26"/>
      <c r="Z629" s="26"/>
      <c r="AA629" s="26"/>
      <c r="AB629" s="33"/>
    </row>
    <row r="630" spans="1:28" x14ac:dyDescent="0.3">
      <c r="A630" s="32">
        <f>VLOOKUP(YEAR(C630),Flags!$A$13:$B$95,2,FALSE)</f>
        <v>5</v>
      </c>
      <c r="B630" s="24">
        <f t="shared" si="951"/>
        <v>1990</v>
      </c>
      <c r="C630" s="25">
        <v>33116</v>
      </c>
      <c r="D630" s="26"/>
      <c r="E630" s="24"/>
      <c r="F630" s="26"/>
      <c r="G630" s="24"/>
      <c r="H630" s="24"/>
      <c r="I630" s="26"/>
      <c r="J630" s="24"/>
      <c r="K630" s="26"/>
      <c r="L630" s="24"/>
      <c r="M630" s="24"/>
      <c r="N630" s="26"/>
      <c r="O630" s="26"/>
      <c r="P630" s="26"/>
      <c r="Q630" s="26"/>
      <c r="R630" s="26"/>
      <c r="S630" s="26"/>
      <c r="T630" s="26"/>
      <c r="U630" s="26"/>
      <c r="V630" s="26"/>
      <c r="W630" s="26">
        <f>MAX($C$7-VLOOKUP($C630,COS!$B$8:$H$991,3,FALSE),0)</f>
        <v>91987.85546875</v>
      </c>
      <c r="X630" s="26">
        <f t="shared" si="972"/>
        <v>5656.1127660123966</v>
      </c>
      <c r="Y630" s="26">
        <f>VLOOKUP($C630,COS!$B$8:$H$991,4,FALSE)</f>
        <v>3233.810302734375</v>
      </c>
      <c r="Z630" s="26">
        <f t="shared" si="973"/>
        <v>198.83924506069215</v>
      </c>
      <c r="AA630" s="26">
        <f t="shared" ref="AA630:AA634" si="1014">MIN(W630,Y630)</f>
        <v>3233.810302734375</v>
      </c>
      <c r="AB630" s="33">
        <f t="shared" ref="AB630" si="1015">AA630*DAY($C630)*86400/43560/1000*IF(MONTH($C630)=8,$P$3,IF(MONTH($C630)=9,$P$4,IF(MONTH($C630)=10,$P$5,IF(MONTH($C630)=11,$P$6,IF(MONTH($C630)=12,$P$7,NA())))))</f>
        <v>198.83924506069215</v>
      </c>
    </row>
    <row r="631" spans="1:28" x14ac:dyDescent="0.3">
      <c r="A631" s="32">
        <f>VLOOKUP(YEAR(C631),Flags!$A$13:$B$95,2,FALSE)</f>
        <v>5</v>
      </c>
      <c r="B631" s="24">
        <f t="shared" si="951"/>
        <v>1990</v>
      </c>
      <c r="C631" s="25">
        <v>33146</v>
      </c>
      <c r="D631" s="26"/>
      <c r="E631" s="24"/>
      <c r="F631" s="26"/>
      <c r="G631" s="24"/>
      <c r="H631" s="24"/>
      <c r="I631" s="26"/>
      <c r="J631" s="24"/>
      <c r="K631" s="26">
        <f>VLOOKUP($C631,COS!$B$8:$H$991,2,FALSE)</f>
        <v>2239.517822265625</v>
      </c>
      <c r="L631" s="24">
        <f t="shared" ref="L631" si="1016">IF(AND(K631&gt;$I$7,K631&lt;$I$8),1,0)</f>
        <v>1</v>
      </c>
      <c r="M631" s="24"/>
      <c r="N631" s="26"/>
      <c r="O631" s="26"/>
      <c r="P631" s="26"/>
      <c r="Q631" s="26"/>
      <c r="R631" s="26"/>
      <c r="S631" s="26"/>
      <c r="T631" s="26"/>
      <c r="U631" s="26"/>
      <c r="V631" s="26"/>
      <c r="W631" s="26">
        <f>MAX($C$8-VLOOKUP($C631,COS!$B$8:$H$991,3,FALSE),0)</f>
        <v>94345.31689453125</v>
      </c>
      <c r="X631" s="26">
        <f t="shared" si="972"/>
        <v>5613.9362119059915</v>
      </c>
      <c r="Y631" s="26">
        <f>VLOOKUP($C631,COS!$B$8:$H$991,4,FALSE)</f>
        <v>1878.513671875</v>
      </c>
      <c r="Z631" s="26">
        <f t="shared" si="973"/>
        <v>111.77932592975208</v>
      </c>
      <c r="AA631" s="26">
        <f t="shared" si="1014"/>
        <v>1878.513671875</v>
      </c>
      <c r="AB631" s="33">
        <f t="shared" si="956"/>
        <v>111.77932592975208</v>
      </c>
    </row>
    <row r="632" spans="1:28" x14ac:dyDescent="0.3">
      <c r="A632" s="32">
        <f>VLOOKUP(YEAR(C632),Flags!$A$13:$B$95,2,FALSE)</f>
        <v>5</v>
      </c>
      <c r="B632" s="24">
        <f t="shared" si="951"/>
        <v>1990</v>
      </c>
      <c r="C632" s="25">
        <v>33177</v>
      </c>
      <c r="D632" s="26"/>
      <c r="E632" s="24"/>
      <c r="F632" s="26"/>
      <c r="G632" s="26"/>
      <c r="H632" s="26"/>
      <c r="I632" s="26"/>
      <c r="J632" s="26"/>
      <c r="K632" s="26"/>
      <c r="L632" s="24"/>
      <c r="M632" s="24"/>
      <c r="N632" s="26"/>
      <c r="O632" s="26"/>
      <c r="P632" s="26"/>
      <c r="Q632" s="26"/>
      <c r="R632" s="26"/>
      <c r="S632" s="26"/>
      <c r="T632" s="26"/>
      <c r="U632" s="26"/>
      <c r="V632" s="26"/>
      <c r="W632" s="26">
        <f>MAX($C$9-VLOOKUP($C632,COS!$B$8:$H$991,3,FALSE),0)</f>
        <v>94935.169921875</v>
      </c>
      <c r="X632" s="26">
        <f t="shared" si="972"/>
        <v>5837.3360679235529</v>
      </c>
      <c r="Y632" s="26">
        <f>VLOOKUP($C632,COS!$B$8:$H$991,4,FALSE)</f>
        <v>1555.8990478515625</v>
      </c>
      <c r="Z632" s="26">
        <f t="shared" si="973"/>
        <v>95.668503438145663</v>
      </c>
      <c r="AA632" s="26">
        <f t="shared" si="1014"/>
        <v>1555.8990478515625</v>
      </c>
      <c r="AB632" s="33">
        <f t="shared" si="956"/>
        <v>95.668503438145663</v>
      </c>
    </row>
    <row r="633" spans="1:28" x14ac:dyDescent="0.3">
      <c r="A633" s="32">
        <f>VLOOKUP(YEAR(C633),Flags!$A$13:$B$95,2,FALSE)</f>
        <v>5</v>
      </c>
      <c r="B633" s="24">
        <f t="shared" si="951"/>
        <v>1990</v>
      </c>
      <c r="C633" s="25">
        <v>33207</v>
      </c>
      <c r="D633" s="26"/>
      <c r="E633" s="24"/>
      <c r="F633" s="26"/>
      <c r="G633" s="26"/>
      <c r="H633" s="26"/>
      <c r="I633" s="26"/>
      <c r="J633" s="26"/>
      <c r="K633" s="26"/>
      <c r="L633" s="24"/>
      <c r="M633" s="24"/>
      <c r="N633" s="26"/>
      <c r="O633" s="26"/>
      <c r="P633" s="26"/>
      <c r="Q633" s="26"/>
      <c r="R633" s="26"/>
      <c r="S633" s="26"/>
      <c r="T633" s="26"/>
      <c r="U633" s="26"/>
      <c r="V633" s="26"/>
      <c r="W633" s="26">
        <f>MAX($C$10-VLOOKUP($C633,COS!$B$8:$H$991,3,FALSE),0)</f>
        <v>95913.387451171875</v>
      </c>
      <c r="X633" s="26">
        <f t="shared" si="972"/>
        <v>5707.2428896565079</v>
      </c>
      <c r="Y633" s="26">
        <f>VLOOKUP($C633,COS!$B$8:$H$991,4,FALSE)</f>
        <v>1488.062255859375</v>
      </c>
      <c r="Z633" s="26">
        <f t="shared" si="973"/>
        <v>88.545853241219007</v>
      </c>
      <c r="AA633" s="26">
        <f t="shared" si="1014"/>
        <v>1488.062255859375</v>
      </c>
      <c r="AB633" s="33">
        <f t="shared" si="956"/>
        <v>44.272926620609503</v>
      </c>
    </row>
    <row r="634" spans="1:28" x14ac:dyDescent="0.3">
      <c r="A634" s="34">
        <f>VLOOKUP(YEAR(C634),Flags!$A$13:$B$95,2,FALSE)</f>
        <v>5</v>
      </c>
      <c r="B634" s="35">
        <f t="shared" si="951"/>
        <v>1990</v>
      </c>
      <c r="C634" s="36">
        <v>33238</v>
      </c>
      <c r="D634" s="37"/>
      <c r="E634" s="35"/>
      <c r="F634" s="37"/>
      <c r="G634" s="37"/>
      <c r="H634" s="37"/>
      <c r="I634" s="37"/>
      <c r="J634" s="37"/>
      <c r="K634" s="37"/>
      <c r="L634" s="35"/>
      <c r="M634" s="35"/>
      <c r="N634" s="37"/>
      <c r="O634" s="37"/>
      <c r="P634" s="37"/>
      <c r="Q634" s="37"/>
      <c r="R634" s="37"/>
      <c r="S634" s="37"/>
      <c r="T634" s="37"/>
      <c r="U634" s="37"/>
      <c r="V634" s="37"/>
      <c r="W634" s="37">
        <f>MAX($C$11-VLOOKUP($C634,COS!$B$8:$H$991,3,FALSE),0)</f>
        <v>0</v>
      </c>
      <c r="X634" s="37">
        <f t="shared" si="972"/>
        <v>0</v>
      </c>
      <c r="Y634" s="37">
        <f>VLOOKUP($C634,COS!$B$8:$H$991,4,FALSE)</f>
        <v>3086.0771484375</v>
      </c>
      <c r="Z634" s="37">
        <f t="shared" si="973"/>
        <v>189.75548747417355</v>
      </c>
      <c r="AA634" s="37">
        <f t="shared" si="1014"/>
        <v>0</v>
      </c>
      <c r="AB634" s="38">
        <f t="shared" si="956"/>
        <v>0</v>
      </c>
    </row>
    <row r="635" spans="1:28" x14ac:dyDescent="0.3">
      <c r="A635" s="27">
        <f>VLOOKUP(YEAR(C635),Flags!$A$13:$B$95,2,FALSE)</f>
        <v>5</v>
      </c>
      <c r="B635" s="28">
        <f t="shared" si="951"/>
        <v>1991</v>
      </c>
      <c r="C635" s="29">
        <v>33358</v>
      </c>
      <c r="D635" s="30">
        <f>VLOOKUP($C635,COS!$B$8:$H$991,3,FALSE)</f>
        <v>3250</v>
      </c>
      <c r="E635" s="28">
        <f>IF(D635&gt;=IF(MONTH($C635)=4,$C$3,IF(MONTH($C635)=5,$C$4,IF(MONTH($C635)=6,$C$5,IF(MONTH($C635)=7,$C$6,"ERROR")))),1,0)</f>
        <v>0</v>
      </c>
      <c r="F635" s="30">
        <f>VLOOKUP($C635,COS!$B$8:$H$991,7,FALSE)</f>
        <v>52.174777984619141</v>
      </c>
      <c r="G635" s="28">
        <f>IF(F635&lt;=IF(MONTH($C635)=4,$F$3,IF(MONTH($C635)=5,$F$4,IF(MONTH($C635)=6,$F$5,IF(MONTH($C635)=7,$F$6,"ERROR")))),1,0)</f>
        <v>1</v>
      </c>
      <c r="H635" s="30">
        <f>IF(J635=1,D635-$C$3,0)</f>
        <v>0</v>
      </c>
      <c r="I635" s="30">
        <f t="shared" si="982"/>
        <v>0</v>
      </c>
      <c r="J635" s="28">
        <f t="shared" ref="J635:J638" si="1017">IF(AND(E635=1,G635=1),1,0)</f>
        <v>0</v>
      </c>
      <c r="K635" s="30">
        <f>VLOOKUP($C635,COS!$B$8:$H$991,2,FALSE)</f>
        <v>2608.74365234375</v>
      </c>
      <c r="L635" s="28">
        <f t="shared" ref="L635" si="1018">IF(K635&lt;=IF(MONTH($C635)=4,$I$3,IF(MONTH($C635)=5,$I$4,IF(MONTH($C635)=6,$I$5,IF(MONTH($C635)=7,$I$6,"ERROR")))),1,0)</f>
        <v>1</v>
      </c>
      <c r="M635" s="28">
        <f t="shared" ref="M635" si="1019">VLOOKUP($A635,$L$3:$M$7,2,FALSE)</f>
        <v>1</v>
      </c>
      <c r="N635" s="30">
        <f>VLOOKUP($C635,COS!$B$8:$H$991,5,FALSE)</f>
        <v>99.786216735839844</v>
      </c>
      <c r="O635" s="30">
        <f t="shared" ref="O635:O638" si="1020">N635*DAY($C635)*86400/43560/1000</f>
        <v>5.9376922355210482</v>
      </c>
      <c r="P635" s="30">
        <f>VLOOKUP($C635,COS!$B$8:$H$991,6,FALSE)</f>
        <v>390.43963623046875</v>
      </c>
      <c r="Q635" s="30">
        <f t="shared" ref="Q635:Q638" si="1021">P635*DAY($C635)*86400/43560/1000</f>
        <v>23.232771742639464</v>
      </c>
      <c r="R635" s="30">
        <f>MIN(IF(MONTH($C635)=4,$S$3,IF(MONTH($C635)=5,$S$4,IF(MONTH($C635)=6,$S$5,IF(MONTH($C635)=7,$S$6,"ERROR")))),MAX(VLOOKUP($C635,COS!$B$8:$K$991,10,FALSE)-IF(MONTH($C635)=4,$Y$3,IF(MONTH($C635)=5,$Y$4,IF(MONTH($C635)=6,$Y$5,IF(MONTH($C635)=7,$Y$6,"ERROR")))),0),MAX(VLOOKUP($C635,COS!$B$8:$K$991,9,FALSE)-IF(MONTH($C635)=4,$V$3,IF(MONTH($C635)=5,$V$4,IF(MONTH($C635)=6,$V$5,IF(MONTH($C635)=7,$V$6,"ERROR"))))-VLOOKUP($C635,COS!$B$8:$K$991,6,FALSE)/2,0))</f>
        <v>750</v>
      </c>
      <c r="S635" s="30">
        <f t="shared" ref="S635:S638" si="1022">R635*DAY($C635)*86400/43560/1000</f>
        <v>44.628099173553714</v>
      </c>
      <c r="T635" s="30">
        <f t="shared" ref="T635:T638" si="1023">(O635+Q635)/2+S635</f>
        <v>59.21333116263397</v>
      </c>
      <c r="U635" s="30" t="str">
        <f>IF(VLOOKUP($C635,COS!$B$8:$I$991,8,FALSE)=1,"UWFE","IBU")</f>
        <v>UWFE</v>
      </c>
      <c r="V635" s="30">
        <f t="shared" ref="V635" si="1024">MIN(IF(IF($AA$3=2,AND(E635=1,G635=1,L635=1,L640=1,M635=1,U635="IBU"),AND(E635=1,G635=1,L635=1,L640=1,M635=1)),T635,0),I635)</f>
        <v>0</v>
      </c>
      <c r="W635" s="30"/>
      <c r="X635" s="30"/>
      <c r="Y635" s="30"/>
      <c r="Z635" s="30"/>
      <c r="AA635" s="30"/>
      <c r="AB635" s="31"/>
    </row>
    <row r="636" spans="1:28" x14ac:dyDescent="0.3">
      <c r="A636" s="32">
        <f>VLOOKUP(YEAR(C636),Flags!$A$13:$B$95,2,FALSE)</f>
        <v>5</v>
      </c>
      <c r="B636" s="24">
        <f t="shared" si="951"/>
        <v>1991</v>
      </c>
      <c r="C636" s="25">
        <v>33389</v>
      </c>
      <c r="D636" s="26">
        <f>VLOOKUP($C636,COS!$B$8:$H$991,3,FALSE)</f>
        <v>6746.265625</v>
      </c>
      <c r="E636" s="24">
        <f>IF(D636&gt;=IF(MONTH($C636)=4,$C$3,IF(MONTH($C636)=5,$C$4,IF(MONTH($C636)=6,$C$5,IF(MONTH($C636)=7,$C$6,"ERROR")))),1,0)</f>
        <v>1</v>
      </c>
      <c r="F636" s="26">
        <f>VLOOKUP($C636,COS!$B$8:$H$991,7,FALSE)</f>
        <v>52.1820068359375</v>
      </c>
      <c r="G636" s="24">
        <f>IF(F636&lt;=IF(MONTH($C636)=4,$F$3,IF(MONTH($C636)=5,$F$4,IF(MONTH($C636)=6,$F$5,IF(MONTH($C636)=7,$F$6,"ERROR")))),1,0)</f>
        <v>1</v>
      </c>
      <c r="H636" s="26">
        <f>IF(J636=1,D636-$C$4,0)</f>
        <v>746.265625</v>
      </c>
      <c r="I636" s="26">
        <f t="shared" si="982"/>
        <v>45.886084710743802</v>
      </c>
      <c r="J636" s="24">
        <f t="shared" si="1017"/>
        <v>1</v>
      </c>
      <c r="K636" s="26">
        <f>VLOOKUP($C636,COS!$B$8:$H$991,2,FALSE)</f>
        <v>2510.05419921875</v>
      </c>
      <c r="L636" s="24">
        <f t="shared" si="944"/>
        <v>1</v>
      </c>
      <c r="M636" s="24">
        <f t="shared" si="945"/>
        <v>1</v>
      </c>
      <c r="N636" s="26">
        <f>VLOOKUP($C636,COS!$B$8:$H$991,5,FALSE)</f>
        <v>265.20388793945313</v>
      </c>
      <c r="O636" s="26">
        <f t="shared" si="1020"/>
        <v>16.306751456772986</v>
      </c>
      <c r="P636" s="26">
        <f>VLOOKUP($C636,COS!$B$8:$H$991,6,FALSE)</f>
        <v>2166.270751953125</v>
      </c>
      <c r="Q636" s="26">
        <f t="shared" si="1021"/>
        <v>133.19879664901859</v>
      </c>
      <c r="R636" s="26">
        <f>MIN(IF(MONTH($C636)=4,$S$3,IF(MONTH($C636)=5,$S$4,IF(MONTH($C636)=6,$S$5,IF(MONTH($C636)=7,$S$6,"ERROR")))),MAX(VLOOKUP($C636,COS!$B$8:$K$991,10,FALSE)-IF(MONTH($C636)=4,$Y$3,IF(MONTH($C636)=5,$Y$4,IF(MONTH($C636)=6,$Y$5,IF(MONTH($C636)=7,$Y$6,"ERROR")))),0),MAX(VLOOKUP($C636,COS!$B$8:$K$991,9,FALSE)-IF(MONTH($C636)=4,$V$3,IF(MONTH($C636)=5,$V$4,IF(MONTH($C636)=6,$V$5,IF(MONTH($C636)=7,$V$6,"ERROR"))))-VLOOKUP($C636,COS!$B$8:$K$991,6,FALSE)/2,0))</f>
        <v>750</v>
      </c>
      <c r="S636" s="26">
        <f t="shared" si="1022"/>
        <v>46.115702479338843</v>
      </c>
      <c r="T636" s="26">
        <f t="shared" si="1023"/>
        <v>120.86847653223464</v>
      </c>
      <c r="U636" s="26" t="str">
        <f>IF(VLOOKUP($C636,COS!$B$8:$I$991,8,FALSE)=1,"UWFE","IBU")</f>
        <v>UWFE</v>
      </c>
      <c r="V636" s="26">
        <f t="shared" ref="V636" si="1025">MIN(IF(IF($AA$3=2,AND(E636=1,G636=1,L636=1,L640=1,M636=1,U636="IBU"),AND(E636=1,G636=1,L636=1,L640=1,M636=1)),T636,0),I636)</f>
        <v>0</v>
      </c>
      <c r="W636" s="26"/>
      <c r="X636" s="26"/>
      <c r="Y636" s="26"/>
      <c r="Z636" s="26"/>
      <c r="AA636" s="26"/>
      <c r="AB636" s="33"/>
    </row>
    <row r="637" spans="1:28" x14ac:dyDescent="0.3">
      <c r="A637" s="32">
        <f>VLOOKUP(YEAR(C637),Flags!$A$13:$B$95,2,FALSE)</f>
        <v>5</v>
      </c>
      <c r="B637" s="24">
        <f t="shared" si="951"/>
        <v>1991</v>
      </c>
      <c r="C637" s="25">
        <v>33419</v>
      </c>
      <c r="D637" s="26">
        <f>VLOOKUP($C637,COS!$B$8:$H$991,3,FALSE)</f>
        <v>7646.2861328125</v>
      </c>
      <c r="E637" s="24">
        <f>IF(D637&gt;=IF(MONTH($C637)=4,$C$3,IF(MONTH($C637)=5,$C$4,IF(MONTH($C637)=6,$C$5,IF(MONTH($C637)=7,$C$6,"ERROR")))),1,0)</f>
        <v>0</v>
      </c>
      <c r="F637" s="26">
        <f>VLOOKUP($C637,COS!$B$8:$H$991,7,FALSE)</f>
        <v>53.892311096191406</v>
      </c>
      <c r="G637" s="24">
        <f>IF(F637&lt;=IF(MONTH($C637)=4,$F$3,IF(MONTH($C637)=5,$F$4,IF(MONTH($C637)=6,$F$5,IF(MONTH($C637)=7,$F$6,"ERROR")))),1,0)</f>
        <v>1</v>
      </c>
      <c r="H637" s="26">
        <f>IF(J637=1,D637-$C$5,0)</f>
        <v>0</v>
      </c>
      <c r="I637" s="26">
        <f t="shared" si="982"/>
        <v>0</v>
      </c>
      <c r="J637" s="24">
        <f t="shared" si="1017"/>
        <v>0</v>
      </c>
      <c r="K637" s="26">
        <f>VLOOKUP($C637,COS!$B$8:$H$991,2,FALSE)</f>
        <v>2234.704833984375</v>
      </c>
      <c r="L637" s="24">
        <f t="shared" si="944"/>
        <v>1</v>
      </c>
      <c r="M637" s="24">
        <f t="shared" si="945"/>
        <v>1</v>
      </c>
      <c r="N637" s="26">
        <f>VLOOKUP($C637,COS!$B$8:$H$991,5,FALSE)</f>
        <v>362.696044921875</v>
      </c>
      <c r="O637" s="26">
        <f t="shared" si="1020"/>
        <v>21.581913416838844</v>
      </c>
      <c r="P637" s="26">
        <f>VLOOKUP($C637,COS!$B$8:$H$991,6,FALSE)</f>
        <v>2380.910888671875</v>
      </c>
      <c r="Q637" s="26">
        <f t="shared" si="1021"/>
        <v>141.67403635072316</v>
      </c>
      <c r="R637" s="26">
        <f>MIN(IF(MONTH($C637)=4,$S$3,IF(MONTH($C637)=5,$S$4,IF(MONTH($C637)=6,$S$5,IF(MONTH($C637)=7,$S$6,"ERROR")))),MAX(VLOOKUP($C637,COS!$B$8:$K$991,10,FALSE)-IF(MONTH($C637)=4,$Y$3,IF(MONTH($C637)=5,$Y$4,IF(MONTH($C637)=6,$Y$5,IF(MONTH($C637)=7,$Y$6,"ERROR")))),0),MAX(VLOOKUP($C637,COS!$B$8:$K$991,9,FALSE)-IF(MONTH($C637)=4,$V$3,IF(MONTH($C637)=5,$V$4,IF(MONTH($C637)=6,$V$5,IF(MONTH($C637)=7,$V$6,"ERROR"))))-VLOOKUP($C637,COS!$B$8:$K$991,6,FALSE)/2,0))</f>
        <v>750</v>
      </c>
      <c r="S637" s="26">
        <f t="shared" si="1022"/>
        <v>44.628099173553714</v>
      </c>
      <c r="T637" s="26">
        <f t="shared" si="1023"/>
        <v>126.25607405733473</v>
      </c>
      <c r="U637" s="26" t="str">
        <f>IF(VLOOKUP($C637,COS!$B$8:$I$991,8,FALSE)=1,"UWFE","IBU")</f>
        <v>IBU</v>
      </c>
      <c r="V637" s="26">
        <f t="shared" ref="V637" si="1026">MIN(IF(IF($AA$3=2,AND(E637=1,G637=1,L637=1,L640=1,M637=1,U637="IBU"),AND(E637=1,G637=1,L637=1,L640=1,M637=1)),T637,0),I637)</f>
        <v>0</v>
      </c>
      <c r="W637" s="26"/>
      <c r="X637" s="26"/>
      <c r="Y637" s="26"/>
      <c r="Z637" s="26"/>
      <c r="AA637" s="26"/>
      <c r="AB637" s="33"/>
    </row>
    <row r="638" spans="1:28" x14ac:dyDescent="0.3">
      <c r="A638" s="32">
        <f>VLOOKUP(YEAR(C638),Flags!$A$13:$B$95,2,FALSE)</f>
        <v>5</v>
      </c>
      <c r="B638" s="24">
        <f t="shared" si="951"/>
        <v>1991</v>
      </c>
      <c r="C638" s="25">
        <v>33450</v>
      </c>
      <c r="D638" s="26">
        <f>VLOOKUP($C638,COS!$B$8:$H$991,3,FALSE)</f>
        <v>8667.65625</v>
      </c>
      <c r="E638" s="24">
        <f>IF(D638&gt;=IF(MONTH($C638)=4,$C$3,IF(MONTH($C638)=5,$C$4,IF(MONTH($C638)=6,$C$5,IF(MONTH($C638)=7,$C$6,"ERROR")))),1,0)</f>
        <v>0</v>
      </c>
      <c r="F638" s="26">
        <f>VLOOKUP($C638,COS!$B$8:$H$991,7,FALSE)</f>
        <v>56.067035675048828</v>
      </c>
      <c r="G638" s="24">
        <f>IF(F638&lt;=IF(MONTH($C638)=4,$F$3,IF(MONTH($C638)=5,$F$4,IF(MONTH($C638)=6,$F$5,IF(MONTH($C638)=7,$F$6,"ERROR")))),1,0)</f>
        <v>0</v>
      </c>
      <c r="H638" s="26">
        <f>IF(J638=1,D638-$C$6,0)</f>
        <v>0</v>
      </c>
      <c r="I638" s="26">
        <f t="shared" si="982"/>
        <v>0</v>
      </c>
      <c r="J638" s="24">
        <f t="shared" si="1017"/>
        <v>0</v>
      </c>
      <c r="K638" s="26">
        <f>VLOOKUP($C638,COS!$B$8:$H$991,2,FALSE)</f>
        <v>1917.2408447265625</v>
      </c>
      <c r="L638" s="24">
        <f t="shared" si="944"/>
        <v>1</v>
      </c>
      <c r="M638" s="24">
        <f t="shared" si="945"/>
        <v>1</v>
      </c>
      <c r="N638" s="26">
        <f>VLOOKUP($C638,COS!$B$8:$H$991,5,FALSE)</f>
        <v>424.0916748046875</v>
      </c>
      <c r="O638" s="26">
        <f t="shared" si="1020"/>
        <v>26.076380665676655</v>
      </c>
      <c r="P638" s="26">
        <f>VLOOKUP($C638,COS!$B$8:$H$991,6,FALSE)</f>
        <v>2281.4833984375</v>
      </c>
      <c r="Q638" s="26">
        <f t="shared" si="1021"/>
        <v>140.28294615185951</v>
      </c>
      <c r="R638" s="26">
        <f>MIN(IF(MONTH($C638)=4,$S$3,IF(MONTH($C638)=5,$S$4,IF(MONTH($C638)=6,$S$5,IF(MONTH($C638)=7,$S$6,"ERROR")))),MAX(VLOOKUP($C638,COS!$B$8:$K$991,10,FALSE)-IF(MONTH($C638)=4,$Y$3,IF(MONTH($C638)=5,$Y$4,IF(MONTH($C638)=6,$Y$5,IF(MONTH($C638)=7,$Y$6,"ERROR")))),0),MAX(VLOOKUP($C638,COS!$B$8:$K$991,9,FALSE)-IF(MONTH($C638)=4,$V$3,IF(MONTH($C638)=5,$V$4,IF(MONTH($C638)=6,$V$5,IF(MONTH($C638)=7,$V$6,"ERROR"))))-VLOOKUP($C638,COS!$B$8:$K$991,6,FALSE)/2,0))</f>
        <v>750</v>
      </c>
      <c r="S638" s="26">
        <f t="shared" si="1022"/>
        <v>46.115702479338843</v>
      </c>
      <c r="T638" s="26">
        <f t="shared" si="1023"/>
        <v>129.29536588810691</v>
      </c>
      <c r="U638" s="26" t="str">
        <f>IF(VLOOKUP($C638,COS!$B$8:$I$991,8,FALSE)=1,"UWFE","IBU")</f>
        <v>IBU</v>
      </c>
      <c r="V638" s="26">
        <f t="shared" ref="V638" si="1027">MIN(IF(IF($AA$3=2,AND(E638=1,G638=1,L638=1,L640=1,M638=1,U638="IBU"),AND(E638=1,G638=1,L638=1,L640=1,M638=1)),T638,0),I638)</f>
        <v>0</v>
      </c>
      <c r="W638" s="26"/>
      <c r="X638" s="26"/>
      <c r="Y638" s="26"/>
      <c r="Z638" s="26"/>
      <c r="AA638" s="26"/>
      <c r="AB638" s="33"/>
    </row>
    <row r="639" spans="1:28" x14ac:dyDescent="0.3">
      <c r="A639" s="32">
        <f>VLOOKUP(YEAR(C639),Flags!$A$13:$B$95,2,FALSE)</f>
        <v>5</v>
      </c>
      <c r="B639" s="24">
        <f t="shared" si="951"/>
        <v>1991</v>
      </c>
      <c r="C639" s="25">
        <v>33481</v>
      </c>
      <c r="D639" s="26"/>
      <c r="E639" s="24"/>
      <c r="F639" s="26"/>
      <c r="G639" s="24"/>
      <c r="H639" s="24"/>
      <c r="I639" s="26"/>
      <c r="J639" s="24"/>
      <c r="K639" s="26"/>
      <c r="L639" s="24"/>
      <c r="M639" s="24"/>
      <c r="N639" s="26"/>
      <c r="O639" s="26"/>
      <c r="P639" s="26"/>
      <c r="Q639" s="26"/>
      <c r="R639" s="26"/>
      <c r="S639" s="26"/>
      <c r="T639" s="26"/>
      <c r="U639" s="26"/>
      <c r="V639" s="26"/>
      <c r="W639" s="26">
        <f>MAX($C$7-VLOOKUP($C639,COS!$B$8:$H$991,3,FALSE),0)</f>
        <v>93270.849609375</v>
      </c>
      <c r="X639" s="26">
        <f t="shared" si="972"/>
        <v>5735.0010007747933</v>
      </c>
      <c r="Y639" s="26">
        <f>VLOOKUP($C639,COS!$B$8:$H$991,4,FALSE)</f>
        <v>3158.24462890625</v>
      </c>
      <c r="Z639" s="26">
        <f t="shared" si="973"/>
        <v>194.19289288481406</v>
      </c>
      <c r="AA639" s="26">
        <f t="shared" ref="AA639:AA643" si="1028">MIN(W639,Y639)</f>
        <v>3158.24462890625</v>
      </c>
      <c r="AB639" s="33">
        <f t="shared" ref="AB639" si="1029">AA639*DAY($C639)*86400/43560/1000*IF(MONTH($C639)=8,$P$3,IF(MONTH($C639)=9,$P$4,IF(MONTH($C639)=10,$P$5,IF(MONTH($C639)=11,$P$6,IF(MONTH($C639)=12,$P$7,NA())))))</f>
        <v>194.19289288481406</v>
      </c>
    </row>
    <row r="640" spans="1:28" x14ac:dyDescent="0.3">
      <c r="A640" s="32">
        <f>VLOOKUP(YEAR(C640),Flags!$A$13:$B$95,2,FALSE)</f>
        <v>5</v>
      </c>
      <c r="B640" s="24">
        <f t="shared" si="951"/>
        <v>1991</v>
      </c>
      <c r="C640" s="25">
        <v>33511</v>
      </c>
      <c r="D640" s="26"/>
      <c r="E640" s="24"/>
      <c r="F640" s="26"/>
      <c r="G640" s="24"/>
      <c r="H640" s="24"/>
      <c r="I640" s="26"/>
      <c r="J640" s="24"/>
      <c r="K640" s="26">
        <f>VLOOKUP($C640,COS!$B$8:$H$991,2,FALSE)</f>
        <v>1656.5145263671875</v>
      </c>
      <c r="L640" s="24">
        <f t="shared" ref="L640" si="1030">IF(AND(K640&gt;$I$7,K640&lt;$I$8),1,0)</f>
        <v>1</v>
      </c>
      <c r="M640" s="24"/>
      <c r="N640" s="26"/>
      <c r="O640" s="26"/>
      <c r="P640" s="26"/>
      <c r="Q640" s="26"/>
      <c r="R640" s="26"/>
      <c r="S640" s="26"/>
      <c r="T640" s="26"/>
      <c r="U640" s="26"/>
      <c r="V640" s="26"/>
      <c r="W640" s="26">
        <f>MAX($C$8-VLOOKUP($C640,COS!$B$8:$H$991,3,FALSE),0)</f>
        <v>95645.72998046875</v>
      </c>
      <c r="X640" s="26">
        <f t="shared" si="972"/>
        <v>5691.3161641270653</v>
      </c>
      <c r="Y640" s="26">
        <f>VLOOKUP($C640,COS!$B$8:$H$991,4,FALSE)</f>
        <v>2165.95703125</v>
      </c>
      <c r="Z640" s="26">
        <f t="shared" si="973"/>
        <v>128.88339359504133</v>
      </c>
      <c r="AA640" s="26">
        <f t="shared" si="1028"/>
        <v>2165.95703125</v>
      </c>
      <c r="AB640" s="33">
        <f t="shared" si="956"/>
        <v>128.88339359504133</v>
      </c>
    </row>
    <row r="641" spans="1:28" x14ac:dyDescent="0.3">
      <c r="A641" s="32">
        <f>VLOOKUP(YEAR(C641),Flags!$A$13:$B$95,2,FALSE)</f>
        <v>5</v>
      </c>
      <c r="B641" s="24">
        <f t="shared" si="951"/>
        <v>1991</v>
      </c>
      <c r="C641" s="25">
        <v>33542</v>
      </c>
      <c r="D641" s="26"/>
      <c r="E641" s="24"/>
      <c r="F641" s="26"/>
      <c r="G641" s="26"/>
      <c r="H641" s="26"/>
      <c r="I641" s="26"/>
      <c r="J641" s="26"/>
      <c r="K641" s="26"/>
      <c r="L641" s="24"/>
      <c r="M641" s="24"/>
      <c r="N641" s="26"/>
      <c r="O641" s="26"/>
      <c r="P641" s="26"/>
      <c r="Q641" s="26"/>
      <c r="R641" s="26"/>
      <c r="S641" s="26"/>
      <c r="T641" s="26"/>
      <c r="U641" s="26"/>
      <c r="V641" s="26"/>
      <c r="W641" s="26">
        <f>MAX($C$9-VLOOKUP($C641,COS!$B$8:$H$991,3,FALSE),0)</f>
        <v>94862.1748046875</v>
      </c>
      <c r="X641" s="26">
        <f t="shared" si="972"/>
        <v>5832.8477731146695</v>
      </c>
      <c r="Y641" s="26">
        <f>VLOOKUP($C641,COS!$B$8:$H$991,4,FALSE)</f>
        <v>1365.7271728515625</v>
      </c>
      <c r="Z641" s="26">
        <f t="shared" si="973"/>
        <v>83.975290628228308</v>
      </c>
      <c r="AA641" s="26">
        <f t="shared" si="1028"/>
        <v>1365.7271728515625</v>
      </c>
      <c r="AB641" s="33">
        <f t="shared" si="956"/>
        <v>83.975290628228308</v>
      </c>
    </row>
    <row r="642" spans="1:28" x14ac:dyDescent="0.3">
      <c r="A642" s="32">
        <f>VLOOKUP(YEAR(C642),Flags!$A$13:$B$95,2,FALSE)</f>
        <v>5</v>
      </c>
      <c r="B642" s="24">
        <f t="shared" si="951"/>
        <v>1991</v>
      </c>
      <c r="C642" s="25">
        <v>33572</v>
      </c>
      <c r="D642" s="26"/>
      <c r="E642" s="24"/>
      <c r="F642" s="26"/>
      <c r="G642" s="26"/>
      <c r="H642" s="26"/>
      <c r="I642" s="26"/>
      <c r="J642" s="26"/>
      <c r="K642" s="26"/>
      <c r="L642" s="24"/>
      <c r="M642" s="24"/>
      <c r="N642" s="26"/>
      <c r="O642" s="26"/>
      <c r="P642" s="26"/>
      <c r="Q642" s="26"/>
      <c r="R642" s="26"/>
      <c r="S642" s="26"/>
      <c r="T642" s="26"/>
      <c r="U642" s="26"/>
      <c r="V642" s="26"/>
      <c r="W642" s="26">
        <f>MAX($C$10-VLOOKUP($C642,COS!$B$8:$H$991,3,FALSE),0)</f>
        <v>94541.99853515625</v>
      </c>
      <c r="X642" s="26">
        <f t="shared" si="972"/>
        <v>5625.6395822572313</v>
      </c>
      <c r="Y642" s="26">
        <f>VLOOKUP($C642,COS!$B$8:$H$991,4,FALSE)</f>
        <v>1633.0859375</v>
      </c>
      <c r="Z642" s="26">
        <f t="shared" si="973"/>
        <v>97.175361570247929</v>
      </c>
      <c r="AA642" s="26">
        <f t="shared" si="1028"/>
        <v>1633.0859375</v>
      </c>
      <c r="AB642" s="33">
        <f t="shared" si="956"/>
        <v>48.587680785123965</v>
      </c>
    </row>
    <row r="643" spans="1:28" x14ac:dyDescent="0.3">
      <c r="A643" s="34">
        <f>VLOOKUP(YEAR(C643),Flags!$A$13:$B$95,2,FALSE)</f>
        <v>5</v>
      </c>
      <c r="B643" s="35">
        <f t="shared" si="951"/>
        <v>1991</v>
      </c>
      <c r="C643" s="36">
        <v>33603</v>
      </c>
      <c r="D643" s="37"/>
      <c r="E643" s="35"/>
      <c r="F643" s="37"/>
      <c r="G643" s="37"/>
      <c r="H643" s="37"/>
      <c r="I643" s="37"/>
      <c r="J643" s="37"/>
      <c r="K643" s="37"/>
      <c r="L643" s="35"/>
      <c r="M643" s="35"/>
      <c r="N643" s="37"/>
      <c r="O643" s="37"/>
      <c r="P643" s="37"/>
      <c r="Q643" s="37"/>
      <c r="R643" s="37"/>
      <c r="S643" s="37"/>
      <c r="T643" s="37"/>
      <c r="U643" s="37"/>
      <c r="V643" s="37"/>
      <c r="W643" s="37">
        <f>MAX($C$11-VLOOKUP($C643,COS!$B$8:$H$991,3,FALSE),0)</f>
        <v>0</v>
      </c>
      <c r="X643" s="37">
        <f t="shared" si="972"/>
        <v>0</v>
      </c>
      <c r="Y643" s="37">
        <f>VLOOKUP($C643,COS!$B$8:$H$991,4,FALSE)</f>
        <v>3048.85693359375</v>
      </c>
      <c r="Z643" s="37">
        <f t="shared" si="973"/>
        <v>187.46690566890496</v>
      </c>
      <c r="AA643" s="37">
        <f t="shared" si="1028"/>
        <v>0</v>
      </c>
      <c r="AB643" s="38">
        <f t="shared" si="956"/>
        <v>0</v>
      </c>
    </row>
    <row r="644" spans="1:28" x14ac:dyDescent="0.3">
      <c r="A644" s="27">
        <f>VLOOKUP(YEAR(C644),Flags!$A$13:$B$95,2,FALSE)</f>
        <v>5</v>
      </c>
      <c r="B644" s="28">
        <f t="shared" si="951"/>
        <v>1992</v>
      </c>
      <c r="C644" s="29">
        <v>33724</v>
      </c>
      <c r="D644" s="30">
        <f>VLOOKUP($C644,COS!$B$8:$H$991,3,FALSE)</f>
        <v>3250</v>
      </c>
      <c r="E644" s="28">
        <f>IF(D644&gt;=IF(MONTH($C644)=4,$C$3,IF(MONTH($C644)=5,$C$4,IF(MONTH($C644)=6,$C$5,IF(MONTH($C644)=7,$C$6,"ERROR")))),1,0)</f>
        <v>0</v>
      </c>
      <c r="F644" s="30">
        <f>VLOOKUP($C644,COS!$B$8:$H$991,7,FALSE)</f>
        <v>52.492954254150391</v>
      </c>
      <c r="G644" s="28">
        <f>IF(F644&lt;=IF(MONTH($C644)=4,$F$3,IF(MONTH($C644)=5,$F$4,IF(MONTH($C644)=6,$F$5,IF(MONTH($C644)=7,$F$6,"ERROR")))),1,0)</f>
        <v>1</v>
      </c>
      <c r="H644" s="30">
        <f>IF(J644=1,D644-$C$3,0)</f>
        <v>0</v>
      </c>
      <c r="I644" s="30">
        <f t="shared" si="982"/>
        <v>0</v>
      </c>
      <c r="J644" s="28">
        <f t="shared" ref="J644:J647" si="1031">IF(AND(E644=1,G644=1),1,0)</f>
        <v>0</v>
      </c>
      <c r="K644" s="30">
        <f>VLOOKUP($C644,COS!$B$8:$H$991,2,FALSE)</f>
        <v>2746.148681640625</v>
      </c>
      <c r="L644" s="28">
        <f t="shared" ref="L644" si="1032">IF(K644&lt;=IF(MONTH($C644)=4,$I$3,IF(MONTH($C644)=5,$I$4,IF(MONTH($C644)=6,$I$5,IF(MONTH($C644)=7,$I$6,"ERROR")))),1,0)</f>
        <v>1</v>
      </c>
      <c r="M644" s="28">
        <f t="shared" ref="M644" si="1033">VLOOKUP($A644,$L$3:$M$7,2,FALSE)</f>
        <v>1</v>
      </c>
      <c r="N644" s="30">
        <f>VLOOKUP($C644,COS!$B$8:$H$991,5,FALSE)</f>
        <v>32.692440032958984</v>
      </c>
      <c r="O644" s="30">
        <f t="shared" ref="O644:O647" si="1034">N644*DAY($C644)*86400/43560/1000</f>
        <v>1.9453352746884685</v>
      </c>
      <c r="P644" s="30">
        <f>VLOOKUP($C644,COS!$B$8:$H$991,6,FALSE)</f>
        <v>421.25204467773438</v>
      </c>
      <c r="Q644" s="30">
        <f t="shared" ref="Q644:Q647" si="1035">P644*DAY($C644)*86400/43560/1000</f>
        <v>25.066237369253617</v>
      </c>
      <c r="R644" s="30">
        <f>MIN(IF(MONTH($C644)=4,$S$3,IF(MONTH($C644)=5,$S$4,IF(MONTH($C644)=6,$S$5,IF(MONTH($C644)=7,$S$6,"ERROR")))),MAX(VLOOKUP($C644,COS!$B$8:$K$991,10,FALSE)-IF(MONTH($C644)=4,$Y$3,IF(MONTH($C644)=5,$Y$4,IF(MONTH($C644)=6,$Y$5,IF(MONTH($C644)=7,$Y$6,"ERROR")))),0),MAX(VLOOKUP($C644,COS!$B$8:$K$991,9,FALSE)-IF(MONTH($C644)=4,$V$3,IF(MONTH($C644)=5,$V$4,IF(MONTH($C644)=6,$V$5,IF(MONTH($C644)=7,$V$6,"ERROR"))))-VLOOKUP($C644,COS!$B$8:$K$991,6,FALSE)/2,0))</f>
        <v>750</v>
      </c>
      <c r="S644" s="30">
        <f t="shared" ref="S644:S647" si="1036">R644*DAY($C644)*86400/43560/1000</f>
        <v>44.628099173553714</v>
      </c>
      <c r="T644" s="30">
        <f t="shared" ref="T644:T647" si="1037">(O644+Q644)/2+S644</f>
        <v>58.133885495524758</v>
      </c>
      <c r="U644" s="30" t="str">
        <f>IF(VLOOKUP($C644,COS!$B$8:$I$991,8,FALSE)=1,"UWFE","IBU")</f>
        <v>UWFE</v>
      </c>
      <c r="V644" s="30">
        <f t="shared" ref="V644" si="1038">MIN(IF(IF($AA$3=2,AND(E644=1,G644=1,L644=1,L649=1,M644=1,U644="IBU"),AND(E644=1,G644=1,L644=1,L649=1,M644=1)),T644,0),I644)</f>
        <v>0</v>
      </c>
      <c r="W644" s="30"/>
      <c r="X644" s="30"/>
      <c r="Y644" s="30"/>
      <c r="Z644" s="30"/>
      <c r="AA644" s="30"/>
      <c r="AB644" s="31"/>
    </row>
    <row r="645" spans="1:28" x14ac:dyDescent="0.3">
      <c r="A645" s="32">
        <f>VLOOKUP(YEAR(C645),Flags!$A$13:$B$95,2,FALSE)</f>
        <v>5</v>
      </c>
      <c r="B645" s="24">
        <f t="shared" si="951"/>
        <v>1992</v>
      </c>
      <c r="C645" s="25">
        <v>33755</v>
      </c>
      <c r="D645" s="26">
        <f>VLOOKUP($C645,COS!$B$8:$H$991,3,FALSE)</f>
        <v>8644.7744140625</v>
      </c>
      <c r="E645" s="24">
        <f>IF(D645&gt;=IF(MONTH($C645)=4,$C$3,IF(MONTH($C645)=5,$C$4,IF(MONTH($C645)=6,$C$5,IF(MONTH($C645)=7,$C$6,"ERROR")))),1,0)</f>
        <v>1</v>
      </c>
      <c r="F645" s="26">
        <f>VLOOKUP($C645,COS!$B$8:$H$991,7,FALSE)</f>
        <v>52.123382568359375</v>
      </c>
      <c r="G645" s="24">
        <f>IF(F645&lt;=IF(MONTH($C645)=4,$F$3,IF(MONTH($C645)=5,$F$4,IF(MONTH($C645)=6,$F$5,IF(MONTH($C645)=7,$F$6,"ERROR")))),1,0)</f>
        <v>1</v>
      </c>
      <c r="H645" s="26">
        <f>IF(J645=1,D645-$C$4,0)</f>
        <v>2644.7744140625</v>
      </c>
      <c r="I645" s="26">
        <f t="shared" si="982"/>
        <v>162.62084000516529</v>
      </c>
      <c r="J645" s="24">
        <f t="shared" si="1031"/>
        <v>1</v>
      </c>
      <c r="K645" s="26">
        <f>VLOOKUP($C645,COS!$B$8:$H$991,2,FALSE)</f>
        <v>2460.489501953125</v>
      </c>
      <c r="L645" s="24">
        <f t="shared" si="944"/>
        <v>1</v>
      </c>
      <c r="M645" s="24">
        <f t="shared" si="945"/>
        <v>1</v>
      </c>
      <c r="N645" s="26">
        <f>VLOOKUP($C645,COS!$B$8:$H$991,5,FALSE)</f>
        <v>10.813337326049805</v>
      </c>
      <c r="O645" s="26">
        <f t="shared" si="1034"/>
        <v>0.66488619591578968</v>
      </c>
      <c r="P645" s="26">
        <f>VLOOKUP($C645,COS!$B$8:$H$991,6,FALSE)</f>
        <v>2317.093994140625</v>
      </c>
      <c r="Q645" s="26">
        <f t="shared" si="1035"/>
        <v>142.47255633393593</v>
      </c>
      <c r="R645" s="26">
        <f>MIN(IF(MONTH($C645)=4,$S$3,IF(MONTH($C645)=5,$S$4,IF(MONTH($C645)=6,$S$5,IF(MONTH($C645)=7,$S$6,"ERROR")))),MAX(VLOOKUP($C645,COS!$B$8:$K$991,10,FALSE)-IF(MONTH($C645)=4,$Y$3,IF(MONTH($C645)=5,$Y$4,IF(MONTH($C645)=6,$Y$5,IF(MONTH($C645)=7,$Y$6,"ERROR")))),0),MAX(VLOOKUP($C645,COS!$B$8:$K$991,9,FALSE)-IF(MONTH($C645)=4,$V$3,IF(MONTH($C645)=5,$V$4,IF(MONTH($C645)=6,$V$5,IF(MONTH($C645)=7,$V$6,"ERROR"))))-VLOOKUP($C645,COS!$B$8:$K$991,6,FALSE)/2,0))</f>
        <v>750</v>
      </c>
      <c r="S645" s="26">
        <f t="shared" si="1036"/>
        <v>46.115702479338843</v>
      </c>
      <c r="T645" s="26">
        <f t="shared" si="1037"/>
        <v>117.68442374426471</v>
      </c>
      <c r="U645" s="26" t="str">
        <f>IF(VLOOKUP($C645,COS!$B$8:$I$991,8,FALSE)=1,"UWFE","IBU")</f>
        <v>IBU</v>
      </c>
      <c r="V645" s="26">
        <f t="shared" ref="V645" si="1039">MIN(IF(IF($AA$3=2,AND(E645=1,G645=1,L645=1,L649=1,M645=1,U645="IBU"),AND(E645=1,G645=1,L645=1,L649=1,M645=1)),T645,0),I645)</f>
        <v>117.68442374426471</v>
      </c>
      <c r="W645" s="26"/>
      <c r="X645" s="26"/>
      <c r="Y645" s="26"/>
      <c r="Z645" s="26"/>
      <c r="AA645" s="26"/>
      <c r="AB645" s="33"/>
    </row>
    <row r="646" spans="1:28" x14ac:dyDescent="0.3">
      <c r="A646" s="32">
        <f>VLOOKUP(YEAR(C646),Flags!$A$13:$B$95,2,FALSE)</f>
        <v>5</v>
      </c>
      <c r="B646" s="24">
        <f t="shared" si="951"/>
        <v>1992</v>
      </c>
      <c r="C646" s="25">
        <v>33785</v>
      </c>
      <c r="D646" s="26">
        <f>VLOOKUP($C646,COS!$B$8:$H$991,3,FALSE)</f>
        <v>10366.1689453125</v>
      </c>
      <c r="E646" s="24">
        <f>IF(D646&gt;=IF(MONTH($C646)=4,$C$3,IF(MONTH($C646)=5,$C$4,IF(MONTH($C646)=6,$C$5,IF(MONTH($C646)=7,$C$6,"ERROR")))),1,0)</f>
        <v>1</v>
      </c>
      <c r="F646" s="26">
        <f>VLOOKUP($C646,COS!$B$8:$H$991,7,FALSE)</f>
        <v>53.589008331298828</v>
      </c>
      <c r="G646" s="24">
        <f>IF(F646&lt;=IF(MONTH($C646)=4,$F$3,IF(MONTH($C646)=5,$F$4,IF(MONTH($C646)=6,$F$5,IF(MONTH($C646)=7,$F$6,"ERROR")))),1,0)</f>
        <v>1</v>
      </c>
      <c r="H646" s="26">
        <f>IF(J646=1,D646-$C$5,0)</f>
        <v>366.1689453125</v>
      </c>
      <c r="I646" s="26">
        <f t="shared" si="982"/>
        <v>21.788565340909091</v>
      </c>
      <c r="J646" s="24">
        <f t="shared" si="1031"/>
        <v>1</v>
      </c>
      <c r="K646" s="26">
        <f>VLOOKUP($C646,COS!$B$8:$H$991,2,FALSE)</f>
        <v>2027.753173828125</v>
      </c>
      <c r="L646" s="24">
        <f t="shared" si="944"/>
        <v>1</v>
      </c>
      <c r="M646" s="24">
        <f t="shared" si="945"/>
        <v>1</v>
      </c>
      <c r="N646" s="26">
        <f>VLOOKUP($C646,COS!$B$8:$H$991,5,FALSE)</f>
        <v>98.261642456054688</v>
      </c>
      <c r="O646" s="26">
        <f t="shared" si="1034"/>
        <v>5.8469737659801142</v>
      </c>
      <c r="P646" s="26">
        <f>VLOOKUP($C646,COS!$B$8:$H$991,6,FALSE)</f>
        <v>2327.949951171875</v>
      </c>
      <c r="Q646" s="26">
        <f t="shared" si="1035"/>
        <v>138.52264172262394</v>
      </c>
      <c r="R646" s="26">
        <f>MIN(IF(MONTH($C646)=4,$S$3,IF(MONTH($C646)=5,$S$4,IF(MONTH($C646)=6,$S$5,IF(MONTH($C646)=7,$S$6,"ERROR")))),MAX(VLOOKUP($C646,COS!$B$8:$K$991,10,FALSE)-IF(MONTH($C646)=4,$Y$3,IF(MONTH($C646)=5,$Y$4,IF(MONTH($C646)=6,$Y$5,IF(MONTH($C646)=7,$Y$6,"ERROR")))),0),MAX(VLOOKUP($C646,COS!$B$8:$K$991,9,FALSE)-IF(MONTH($C646)=4,$V$3,IF(MONTH($C646)=5,$V$4,IF(MONTH($C646)=6,$V$5,IF(MONTH($C646)=7,$V$6,"ERROR"))))-VLOOKUP($C646,COS!$B$8:$K$991,6,FALSE)/2,0))</f>
        <v>750</v>
      </c>
      <c r="S646" s="26">
        <f t="shared" si="1036"/>
        <v>44.628099173553714</v>
      </c>
      <c r="T646" s="26">
        <f t="shared" si="1037"/>
        <v>116.81290691785574</v>
      </c>
      <c r="U646" s="26" t="str">
        <f>IF(VLOOKUP($C646,COS!$B$8:$I$991,8,FALSE)=1,"UWFE","IBU")</f>
        <v>IBU</v>
      </c>
      <c r="V646" s="26">
        <f t="shared" ref="V646" si="1040">MIN(IF(IF($AA$3=2,AND(E646=1,G646=1,L646=1,L649=1,M646=1,U646="IBU"),AND(E646=1,G646=1,L646=1,L649=1,M646=1)),T646,0),I646)</f>
        <v>21.788565340909091</v>
      </c>
      <c r="W646" s="26"/>
      <c r="X646" s="26"/>
      <c r="Y646" s="26"/>
      <c r="Z646" s="26"/>
      <c r="AA646" s="26"/>
      <c r="AB646" s="33"/>
    </row>
    <row r="647" spans="1:28" x14ac:dyDescent="0.3">
      <c r="A647" s="32">
        <f>VLOOKUP(YEAR(C647),Flags!$A$13:$B$95,2,FALSE)</f>
        <v>5</v>
      </c>
      <c r="B647" s="24">
        <f t="shared" si="951"/>
        <v>1992</v>
      </c>
      <c r="C647" s="25">
        <v>33816</v>
      </c>
      <c r="D647" s="26">
        <f>VLOOKUP($C647,COS!$B$8:$H$991,3,FALSE)</f>
        <v>9934.8115234375</v>
      </c>
      <c r="E647" s="24">
        <f>IF(D647&gt;=IF(MONTH($C647)=4,$C$3,IF(MONTH($C647)=5,$C$4,IF(MONTH($C647)=6,$C$5,IF(MONTH($C647)=7,$C$6,"ERROR")))),1,0)</f>
        <v>0</v>
      </c>
      <c r="F647" s="26">
        <f>VLOOKUP($C647,COS!$B$8:$H$991,7,FALSE)</f>
        <v>55.741245269775391</v>
      </c>
      <c r="G647" s="24">
        <f>IF(F647&lt;=IF(MONTH($C647)=4,$F$3,IF(MONTH($C647)=5,$F$4,IF(MONTH($C647)=6,$F$5,IF(MONTH($C647)=7,$F$6,"ERROR")))),1,0)</f>
        <v>0</v>
      </c>
      <c r="H647" s="26">
        <f>IF(J647=1,D647-$C$6,0)</f>
        <v>0</v>
      </c>
      <c r="I647" s="26">
        <f t="shared" si="982"/>
        <v>0</v>
      </c>
      <c r="J647" s="24">
        <f t="shared" si="1031"/>
        <v>0</v>
      </c>
      <c r="K647" s="26">
        <f>VLOOKUP($C647,COS!$B$8:$H$991,2,FALSE)</f>
        <v>1648.2286376953125</v>
      </c>
      <c r="L647" s="24">
        <f t="shared" si="944"/>
        <v>1</v>
      </c>
      <c r="M647" s="24">
        <f t="shared" si="945"/>
        <v>1</v>
      </c>
      <c r="N647" s="26">
        <f>VLOOKUP($C647,COS!$B$8:$H$991,5,FALSE)</f>
        <v>123.65061187744141</v>
      </c>
      <c r="O647" s="26">
        <f t="shared" si="1034"/>
        <v>7.6029797716377194</v>
      </c>
      <c r="P647" s="26">
        <f>VLOOKUP($C647,COS!$B$8:$H$991,6,FALSE)</f>
        <v>2316.5048828125</v>
      </c>
      <c r="Q647" s="26">
        <f t="shared" si="1035"/>
        <v>142.43633329028924</v>
      </c>
      <c r="R647" s="26">
        <f>MIN(IF(MONTH($C647)=4,$S$3,IF(MONTH($C647)=5,$S$4,IF(MONTH($C647)=6,$S$5,IF(MONTH($C647)=7,$S$6,"ERROR")))),MAX(VLOOKUP($C647,COS!$B$8:$K$991,10,FALSE)-IF(MONTH($C647)=4,$Y$3,IF(MONTH($C647)=5,$Y$4,IF(MONTH($C647)=6,$Y$5,IF(MONTH($C647)=7,$Y$6,"ERROR")))),0),MAX(VLOOKUP($C647,COS!$B$8:$K$991,9,FALSE)-IF(MONTH($C647)=4,$V$3,IF(MONTH($C647)=5,$V$4,IF(MONTH($C647)=6,$V$5,IF(MONTH($C647)=7,$V$6,"ERROR"))))-VLOOKUP($C647,COS!$B$8:$K$991,6,FALSE)/2,0))</f>
        <v>750</v>
      </c>
      <c r="S647" s="26">
        <f t="shared" si="1036"/>
        <v>46.115702479338843</v>
      </c>
      <c r="T647" s="26">
        <f t="shared" si="1037"/>
        <v>121.13535901030232</v>
      </c>
      <c r="U647" s="26" t="str">
        <f>IF(VLOOKUP($C647,COS!$B$8:$I$991,8,FALSE)=1,"UWFE","IBU")</f>
        <v>IBU</v>
      </c>
      <c r="V647" s="26">
        <f t="shared" ref="V647" si="1041">MIN(IF(IF($AA$3=2,AND(E647=1,G647=1,L647=1,L649=1,M647=1,U647="IBU"),AND(E647=1,G647=1,L647=1,L649=1,M647=1)),T647,0),I647)</f>
        <v>0</v>
      </c>
      <c r="W647" s="26"/>
      <c r="X647" s="26"/>
      <c r="Y647" s="26"/>
      <c r="Z647" s="26"/>
      <c r="AA647" s="26"/>
      <c r="AB647" s="33"/>
    </row>
    <row r="648" spans="1:28" x14ac:dyDescent="0.3">
      <c r="A648" s="32">
        <f>VLOOKUP(YEAR(C648),Flags!$A$13:$B$95,2,FALSE)</f>
        <v>5</v>
      </c>
      <c r="B648" s="24">
        <f t="shared" si="951"/>
        <v>1992</v>
      </c>
      <c r="C648" s="25">
        <v>33847</v>
      </c>
      <c r="D648" s="26"/>
      <c r="E648" s="24"/>
      <c r="F648" s="26"/>
      <c r="G648" s="24"/>
      <c r="H648" s="24"/>
      <c r="I648" s="26"/>
      <c r="J648" s="24"/>
      <c r="K648" s="26"/>
      <c r="L648" s="24"/>
      <c r="M648" s="24"/>
      <c r="N648" s="26"/>
      <c r="O648" s="26"/>
      <c r="P648" s="26"/>
      <c r="Q648" s="26"/>
      <c r="R648" s="26"/>
      <c r="S648" s="26"/>
      <c r="T648" s="26"/>
      <c r="U648" s="26"/>
      <c r="V648" s="26"/>
      <c r="W648" s="26">
        <f>MAX($C$7-VLOOKUP($C648,COS!$B$8:$H$991,3,FALSE),0)</f>
        <v>92619.11181640625</v>
      </c>
      <c r="X648" s="26">
        <f t="shared" si="972"/>
        <v>5694.9272059013438</v>
      </c>
      <c r="Y648" s="26">
        <f>VLOOKUP($C648,COS!$B$8:$H$991,4,FALSE)</f>
        <v>2159.716552734375</v>
      </c>
      <c r="Z648" s="26">
        <f t="shared" si="973"/>
        <v>132.79579464746902</v>
      </c>
      <c r="AA648" s="26">
        <f t="shared" ref="AA648:AA652" si="1042">MIN(W648,Y648)</f>
        <v>2159.716552734375</v>
      </c>
      <c r="AB648" s="33">
        <f t="shared" ref="AB648" si="1043">AA648*DAY($C648)*86400/43560/1000*IF(MONTH($C648)=8,$P$3,IF(MONTH($C648)=9,$P$4,IF(MONTH($C648)=10,$P$5,IF(MONTH($C648)=11,$P$6,IF(MONTH($C648)=12,$P$7,NA())))))</f>
        <v>132.79579464746902</v>
      </c>
    </row>
    <row r="649" spans="1:28" x14ac:dyDescent="0.3">
      <c r="A649" s="32">
        <f>VLOOKUP(YEAR(C649),Flags!$A$13:$B$95,2,FALSE)</f>
        <v>5</v>
      </c>
      <c r="B649" s="24">
        <f t="shared" si="951"/>
        <v>1992</v>
      </c>
      <c r="C649" s="25">
        <v>33877</v>
      </c>
      <c r="D649" s="26"/>
      <c r="E649" s="24"/>
      <c r="F649" s="26"/>
      <c r="G649" s="24"/>
      <c r="H649" s="24"/>
      <c r="I649" s="26"/>
      <c r="J649" s="24"/>
      <c r="K649" s="26">
        <f>VLOOKUP($C649,COS!$B$8:$H$991,2,FALSE)</f>
        <v>1352.76123046875</v>
      </c>
      <c r="L649" s="24">
        <f t="shared" ref="L649" si="1044">IF(AND(K649&gt;$I$7,K649&lt;$I$8),1,0)</f>
        <v>1</v>
      </c>
      <c r="M649" s="24"/>
      <c r="N649" s="26"/>
      <c r="O649" s="26"/>
      <c r="P649" s="26"/>
      <c r="Q649" s="26"/>
      <c r="R649" s="26"/>
      <c r="S649" s="26"/>
      <c r="T649" s="26"/>
      <c r="U649" s="26"/>
      <c r="V649" s="26"/>
      <c r="W649" s="26">
        <f>MAX($C$8-VLOOKUP($C649,COS!$B$8:$H$991,3,FALSE),0)</f>
        <v>95768.34130859375</v>
      </c>
      <c r="X649" s="26">
        <f t="shared" si="972"/>
        <v>5698.6120448088841</v>
      </c>
      <c r="Y649" s="26">
        <f>VLOOKUP($C649,COS!$B$8:$H$991,4,FALSE)</f>
        <v>1930.2186279296875</v>
      </c>
      <c r="Z649" s="26">
        <f t="shared" si="973"/>
        <v>114.85598447184918</v>
      </c>
      <c r="AA649" s="26">
        <f t="shared" si="1042"/>
        <v>1930.2186279296875</v>
      </c>
      <c r="AB649" s="33">
        <f t="shared" si="956"/>
        <v>114.85598447184918</v>
      </c>
    </row>
    <row r="650" spans="1:28" x14ac:dyDescent="0.3">
      <c r="A650" s="32">
        <f>VLOOKUP(YEAR(C650),Flags!$A$13:$B$95,2,FALSE)</f>
        <v>5</v>
      </c>
      <c r="B650" s="24">
        <f t="shared" si="951"/>
        <v>1992</v>
      </c>
      <c r="C650" s="25">
        <v>33908</v>
      </c>
      <c r="D650" s="26"/>
      <c r="E650" s="24"/>
      <c r="F650" s="26"/>
      <c r="G650" s="26"/>
      <c r="H650" s="26"/>
      <c r="I650" s="26"/>
      <c r="J650" s="26"/>
      <c r="K650" s="26"/>
      <c r="L650" s="24"/>
      <c r="M650" s="24"/>
      <c r="N650" s="26"/>
      <c r="O650" s="26"/>
      <c r="P650" s="26"/>
      <c r="Q650" s="26"/>
      <c r="R650" s="26"/>
      <c r="S650" s="26"/>
      <c r="T650" s="26"/>
      <c r="U650" s="26"/>
      <c r="V650" s="26"/>
      <c r="W650" s="26">
        <f>MAX($C$9-VLOOKUP($C650,COS!$B$8:$H$991,3,FALSE),0)</f>
        <v>94532.16748046875</v>
      </c>
      <c r="X650" s="26">
        <f t="shared" si="972"/>
        <v>5812.5564136751036</v>
      </c>
      <c r="Y650" s="26">
        <f>VLOOKUP($C650,COS!$B$8:$H$991,4,FALSE)</f>
        <v>1311.4129638671875</v>
      </c>
      <c r="Z650" s="26">
        <f t="shared" si="973"/>
        <v>80.635640092329538</v>
      </c>
      <c r="AA650" s="26">
        <f t="shared" si="1042"/>
        <v>1311.4129638671875</v>
      </c>
      <c r="AB650" s="33">
        <f t="shared" si="956"/>
        <v>80.635640092329538</v>
      </c>
    </row>
    <row r="651" spans="1:28" x14ac:dyDescent="0.3">
      <c r="A651" s="32">
        <f>VLOOKUP(YEAR(C651),Flags!$A$13:$B$95,2,FALSE)</f>
        <v>5</v>
      </c>
      <c r="B651" s="24">
        <f t="shared" si="951"/>
        <v>1992</v>
      </c>
      <c r="C651" s="25">
        <v>33938</v>
      </c>
      <c r="D651" s="26"/>
      <c r="E651" s="24"/>
      <c r="F651" s="26"/>
      <c r="G651" s="26"/>
      <c r="H651" s="26"/>
      <c r="I651" s="26"/>
      <c r="J651" s="26"/>
      <c r="K651" s="26"/>
      <c r="L651" s="24"/>
      <c r="M651" s="24"/>
      <c r="N651" s="26"/>
      <c r="O651" s="26"/>
      <c r="P651" s="26"/>
      <c r="Q651" s="26"/>
      <c r="R651" s="26"/>
      <c r="S651" s="26"/>
      <c r="T651" s="26"/>
      <c r="U651" s="26"/>
      <c r="V651" s="26"/>
      <c r="W651" s="26">
        <f>MAX($C$10-VLOOKUP($C651,COS!$B$8:$H$991,3,FALSE),0)</f>
        <v>95167.818359375</v>
      </c>
      <c r="X651" s="26">
        <f t="shared" si="972"/>
        <v>5662.8784478305779</v>
      </c>
      <c r="Y651" s="26">
        <f>VLOOKUP($C651,COS!$B$8:$H$991,4,FALSE)</f>
        <v>1543.501953125</v>
      </c>
      <c r="Z651" s="26">
        <f t="shared" si="973"/>
        <v>91.844744318181824</v>
      </c>
      <c r="AA651" s="26">
        <f t="shared" si="1042"/>
        <v>1543.501953125</v>
      </c>
      <c r="AB651" s="33">
        <f t="shared" si="956"/>
        <v>45.922372159090912</v>
      </c>
    </row>
    <row r="652" spans="1:28" x14ac:dyDescent="0.3">
      <c r="A652" s="34">
        <f>VLOOKUP(YEAR(C652),Flags!$A$13:$B$95,2,FALSE)</f>
        <v>5</v>
      </c>
      <c r="B652" s="35">
        <f t="shared" si="951"/>
        <v>1992</v>
      </c>
      <c r="C652" s="36">
        <v>33969</v>
      </c>
      <c r="D652" s="37"/>
      <c r="E652" s="35"/>
      <c r="F652" s="37"/>
      <c r="G652" s="37"/>
      <c r="H652" s="37"/>
      <c r="I652" s="37"/>
      <c r="J652" s="37"/>
      <c r="K652" s="37"/>
      <c r="L652" s="35"/>
      <c r="M652" s="35"/>
      <c r="N652" s="37"/>
      <c r="O652" s="37"/>
      <c r="P652" s="37"/>
      <c r="Q652" s="37"/>
      <c r="R652" s="37"/>
      <c r="S652" s="37"/>
      <c r="T652" s="37"/>
      <c r="U652" s="37"/>
      <c r="V652" s="37"/>
      <c r="W652" s="37">
        <f>MAX($C$11-VLOOKUP($C652,COS!$B$8:$H$991,3,FALSE),0)</f>
        <v>0</v>
      </c>
      <c r="X652" s="37">
        <f t="shared" si="972"/>
        <v>0</v>
      </c>
      <c r="Y652" s="37">
        <f>VLOOKUP($C652,COS!$B$8:$H$991,4,FALSE)</f>
        <v>1778.0540771484375</v>
      </c>
      <c r="Z652" s="37">
        <f t="shared" si="973"/>
        <v>109.32828375193698</v>
      </c>
      <c r="AA652" s="37">
        <f t="shared" si="1042"/>
        <v>0</v>
      </c>
      <c r="AB652" s="38">
        <f t="shared" si="956"/>
        <v>0</v>
      </c>
    </row>
    <row r="653" spans="1:28" x14ac:dyDescent="0.3">
      <c r="A653" s="27">
        <f>VLOOKUP(YEAR(C653),Flags!$A$13:$B$95,2,FALSE)</f>
        <v>2</v>
      </c>
      <c r="B653" s="28">
        <f t="shared" si="951"/>
        <v>1993</v>
      </c>
      <c r="C653" s="29">
        <v>34089</v>
      </c>
      <c r="D653" s="30">
        <f>VLOOKUP($C653,COS!$B$8:$H$991,3,FALSE)</f>
        <v>4509.7060546875</v>
      </c>
      <c r="E653" s="28">
        <f>IF(D653&gt;=IF(MONTH($C653)=4,$C$3,IF(MONTH($C653)=5,$C$4,IF(MONTH($C653)=6,$C$5,IF(MONTH($C653)=7,$C$6,"ERROR")))),1,0)</f>
        <v>0</v>
      </c>
      <c r="F653" s="30">
        <f>VLOOKUP($C653,COS!$B$8:$H$991,7,FALSE)</f>
        <v>48.90673828125</v>
      </c>
      <c r="G653" s="28">
        <f>IF(F653&lt;=IF(MONTH($C653)=4,$F$3,IF(MONTH($C653)=5,$F$4,IF(MONTH($C653)=6,$F$5,IF(MONTH($C653)=7,$F$6,"ERROR")))),1,0)</f>
        <v>1</v>
      </c>
      <c r="H653" s="30">
        <f>IF(J653=1,D653-$C$3,0)</f>
        <v>0</v>
      </c>
      <c r="I653" s="30">
        <f t="shared" si="982"/>
        <v>0</v>
      </c>
      <c r="J653" s="28">
        <f t="shared" ref="J653:J656" si="1045">IF(AND(E653=1,G653=1),1,0)</f>
        <v>0</v>
      </c>
      <c r="K653" s="30">
        <f>VLOOKUP($C653,COS!$B$8:$H$991,2,FALSE)</f>
        <v>4552</v>
      </c>
      <c r="L653" s="28">
        <f t="shared" ref="L653:L710" si="1046">IF(K653&lt;=IF(MONTH($C653)=4,$I$3,IF(MONTH($C653)=5,$I$4,IF(MONTH($C653)=6,$I$5,IF(MONTH($C653)=7,$I$6,"ERROR")))),1,0)</f>
        <v>1</v>
      </c>
      <c r="M653" s="28">
        <f t="shared" ref="M653:M710" si="1047">VLOOKUP($A653,$L$3:$M$7,2,FALSE)</f>
        <v>0</v>
      </c>
      <c r="N653" s="30">
        <f>VLOOKUP($C653,COS!$B$8:$H$991,5,FALSE)</f>
        <v>455.07608032226563</v>
      </c>
      <c r="O653" s="30">
        <f t="shared" ref="O653:O656" si="1048">N653*DAY($C653)*86400/43560/1000</f>
        <v>27.078907258845557</v>
      </c>
      <c r="P653" s="30">
        <f>VLOOKUP($C653,COS!$B$8:$H$991,6,FALSE)</f>
        <v>445.36074829101563</v>
      </c>
      <c r="Q653" s="30">
        <f t="shared" ref="Q653:Q656" si="1049">P653*DAY($C653)*86400/43560/1000</f>
        <v>26.500804856986054</v>
      </c>
      <c r="R653" s="30">
        <f>MIN(IF(MONTH($C653)=4,$S$3,IF(MONTH($C653)=5,$S$4,IF(MONTH($C653)=6,$S$5,IF(MONTH($C653)=7,$S$6,"ERROR")))),MAX(VLOOKUP($C653,COS!$B$8:$K$991,10,FALSE)-IF(MONTH($C653)=4,$Y$3,IF(MONTH($C653)=5,$Y$4,IF(MONTH($C653)=6,$Y$5,IF(MONTH($C653)=7,$Y$6,"ERROR")))),0),MAX(VLOOKUP($C653,COS!$B$8:$K$991,9,FALSE)-IF(MONTH($C653)=4,$V$3,IF(MONTH($C653)=5,$V$4,IF(MONTH($C653)=6,$V$5,IF(MONTH($C653)=7,$V$6,"ERROR"))))-VLOOKUP($C653,COS!$B$8:$K$991,6,FALSE)/2,0))</f>
        <v>750</v>
      </c>
      <c r="S653" s="30">
        <f t="shared" ref="S653:S656" si="1050">R653*DAY($C653)*86400/43560/1000</f>
        <v>44.628099173553714</v>
      </c>
      <c r="T653" s="30">
        <f t="shared" ref="T653:T656" si="1051">(O653+Q653)/2+S653</f>
        <v>71.41795523146952</v>
      </c>
      <c r="U653" s="30" t="str">
        <f>IF(VLOOKUP($C653,COS!$B$8:$I$991,8,FALSE)=1,"UWFE","IBU")</f>
        <v>UWFE</v>
      </c>
      <c r="V653" s="30">
        <f t="shared" ref="V653" si="1052">MIN(IF(IF($AA$3=2,AND(E653=1,G653=1,L653=1,L658=1,M653=1,U653="IBU"),AND(E653=1,G653=1,L653=1,L658=1,M653=1)),T653,0),I653)</f>
        <v>0</v>
      </c>
      <c r="W653" s="30"/>
      <c r="X653" s="30"/>
      <c r="Y653" s="30"/>
      <c r="Z653" s="30"/>
      <c r="AA653" s="30"/>
      <c r="AB653" s="31"/>
    </row>
    <row r="654" spans="1:28" x14ac:dyDescent="0.3">
      <c r="A654" s="32">
        <f>VLOOKUP(YEAR(C654),Flags!$A$13:$B$95,2,FALSE)</f>
        <v>2</v>
      </c>
      <c r="B654" s="24">
        <f t="shared" si="951"/>
        <v>1993</v>
      </c>
      <c r="C654" s="25">
        <v>34120</v>
      </c>
      <c r="D654" s="26">
        <f>VLOOKUP($C654,COS!$B$8:$H$991,3,FALSE)</f>
        <v>9188.9970703125</v>
      </c>
      <c r="E654" s="24">
        <f>IF(D654&gt;=IF(MONTH($C654)=4,$C$3,IF(MONTH($C654)=5,$C$4,IF(MONTH($C654)=6,$C$5,IF(MONTH($C654)=7,$C$6,"ERROR")))),1,0)</f>
        <v>1</v>
      </c>
      <c r="F654" s="26">
        <f>VLOOKUP($C654,COS!$B$8:$H$991,7,FALSE)</f>
        <v>49.416866302490234</v>
      </c>
      <c r="G654" s="24">
        <f>IF(F654&lt;=IF(MONTH($C654)=4,$F$3,IF(MONTH($C654)=5,$F$4,IF(MONTH($C654)=6,$F$5,IF(MONTH($C654)=7,$F$6,"ERROR")))),1,0)</f>
        <v>1</v>
      </c>
      <c r="H654" s="26">
        <f>IF(J654=1,D654-$C$4,0)</f>
        <v>3188.9970703125</v>
      </c>
      <c r="I654" s="26">
        <f t="shared" si="982"/>
        <v>196.08378680268595</v>
      </c>
      <c r="J654" s="24">
        <f t="shared" si="1045"/>
        <v>1</v>
      </c>
      <c r="K654" s="26">
        <f>VLOOKUP($C654,COS!$B$8:$H$991,2,FALSE)</f>
        <v>4552</v>
      </c>
      <c r="L654" s="24">
        <f t="shared" si="1046"/>
        <v>1</v>
      </c>
      <c r="M654" s="24">
        <f t="shared" si="1047"/>
        <v>0</v>
      </c>
      <c r="N654" s="26">
        <f>VLOOKUP($C654,COS!$B$8:$H$991,5,FALSE)</f>
        <v>533.46905517578125</v>
      </c>
      <c r="O654" s="26">
        <f t="shared" si="1048"/>
        <v>32.801733640560435</v>
      </c>
      <c r="P654" s="26">
        <f>VLOOKUP($C654,COS!$B$8:$H$991,6,FALSE)</f>
        <v>1840.1044921875</v>
      </c>
      <c r="Q654" s="26">
        <f t="shared" si="1049"/>
        <v>113.14361505681818</v>
      </c>
      <c r="R654" s="26">
        <f>MIN(IF(MONTH($C654)=4,$S$3,IF(MONTH($C654)=5,$S$4,IF(MONTH($C654)=6,$S$5,IF(MONTH($C654)=7,$S$6,"ERROR")))),MAX(VLOOKUP($C654,COS!$B$8:$K$991,10,FALSE)-IF(MONTH($C654)=4,$Y$3,IF(MONTH($C654)=5,$Y$4,IF(MONTH($C654)=6,$Y$5,IF(MONTH($C654)=7,$Y$6,"ERROR")))),0),MAX(VLOOKUP($C654,COS!$B$8:$K$991,9,FALSE)-IF(MONTH($C654)=4,$V$3,IF(MONTH($C654)=5,$V$4,IF(MONTH($C654)=6,$V$5,IF(MONTH($C654)=7,$V$6,"ERROR"))))-VLOOKUP($C654,COS!$B$8:$K$991,6,FALSE)/2,0))</f>
        <v>750</v>
      </c>
      <c r="S654" s="26">
        <f t="shared" si="1050"/>
        <v>46.115702479338843</v>
      </c>
      <c r="T654" s="26">
        <f t="shared" si="1051"/>
        <v>119.08837682802815</v>
      </c>
      <c r="U654" s="26" t="str">
        <f>IF(VLOOKUP($C654,COS!$B$8:$I$991,8,FALSE)=1,"UWFE","IBU")</f>
        <v>UWFE</v>
      </c>
      <c r="V654" s="26">
        <f t="shared" ref="V654" si="1053">MIN(IF(IF($AA$3=2,AND(E654=1,G654=1,L654=1,L658=1,M654=1,U654="IBU"),AND(E654=1,G654=1,L654=1,L658=1,M654=1)),T654,0),I654)</f>
        <v>0</v>
      </c>
      <c r="W654" s="26"/>
      <c r="X654" s="26"/>
      <c r="Y654" s="26"/>
      <c r="Z654" s="26"/>
      <c r="AA654" s="26"/>
      <c r="AB654" s="33"/>
    </row>
    <row r="655" spans="1:28" x14ac:dyDescent="0.3">
      <c r="A655" s="32">
        <f>VLOOKUP(YEAR(C655),Flags!$A$13:$B$95,2,FALSE)</f>
        <v>2</v>
      </c>
      <c r="B655" s="24">
        <f t="shared" ref="B655:B718" si="1054">YEAR(C655)</f>
        <v>1993</v>
      </c>
      <c r="C655" s="25">
        <v>34150</v>
      </c>
      <c r="D655" s="26">
        <f>VLOOKUP($C655,COS!$B$8:$H$991,3,FALSE)</f>
        <v>8366.6103515625</v>
      </c>
      <c r="E655" s="24">
        <f>IF(D655&gt;=IF(MONTH($C655)=4,$C$3,IF(MONTH($C655)=5,$C$4,IF(MONTH($C655)=6,$C$5,IF(MONTH($C655)=7,$C$6,"ERROR")))),1,0)</f>
        <v>0</v>
      </c>
      <c r="F655" s="26">
        <f>VLOOKUP($C655,COS!$B$8:$H$991,7,FALSE)</f>
        <v>51.333587646484375</v>
      </c>
      <c r="G655" s="24">
        <f>IF(F655&lt;=IF(MONTH($C655)=4,$F$3,IF(MONTH($C655)=5,$F$4,IF(MONTH($C655)=6,$F$5,IF(MONTH($C655)=7,$F$6,"ERROR")))),1,0)</f>
        <v>1</v>
      </c>
      <c r="H655" s="26">
        <f>IF(J655=1,D655-$C$5,0)</f>
        <v>0</v>
      </c>
      <c r="I655" s="26">
        <f t="shared" si="982"/>
        <v>0</v>
      </c>
      <c r="J655" s="24">
        <f t="shared" si="1045"/>
        <v>0</v>
      </c>
      <c r="K655" s="26">
        <f>VLOOKUP($C655,COS!$B$8:$H$991,2,FALSE)</f>
        <v>4500</v>
      </c>
      <c r="L655" s="24">
        <f t="shared" si="1046"/>
        <v>1</v>
      </c>
      <c r="M655" s="24">
        <f t="shared" si="1047"/>
        <v>0</v>
      </c>
      <c r="N655" s="26">
        <f>VLOOKUP($C655,COS!$B$8:$H$991,5,FALSE)</f>
        <v>1014.9423828125</v>
      </c>
      <c r="O655" s="26">
        <f t="shared" si="1048"/>
        <v>60.39326575413223</v>
      </c>
      <c r="P655" s="26">
        <f>VLOOKUP($C655,COS!$B$8:$H$991,6,FALSE)</f>
        <v>2171.25048828125</v>
      </c>
      <c r="Q655" s="26">
        <f t="shared" si="1049"/>
        <v>129.19837616219007</v>
      </c>
      <c r="R655" s="26">
        <f>MIN(IF(MONTH($C655)=4,$S$3,IF(MONTH($C655)=5,$S$4,IF(MONTH($C655)=6,$S$5,IF(MONTH($C655)=7,$S$6,"ERROR")))),MAX(VLOOKUP($C655,COS!$B$8:$K$991,10,FALSE)-IF(MONTH($C655)=4,$Y$3,IF(MONTH($C655)=5,$Y$4,IF(MONTH($C655)=6,$Y$5,IF(MONTH($C655)=7,$Y$6,"ERROR")))),0),MAX(VLOOKUP($C655,COS!$B$8:$K$991,9,FALSE)-IF(MONTH($C655)=4,$V$3,IF(MONTH($C655)=5,$V$4,IF(MONTH($C655)=6,$V$5,IF(MONTH($C655)=7,$V$6,"ERROR"))))-VLOOKUP($C655,COS!$B$8:$K$991,6,FALSE)/2,0))</f>
        <v>750</v>
      </c>
      <c r="S655" s="26">
        <f t="shared" si="1050"/>
        <v>44.628099173553714</v>
      </c>
      <c r="T655" s="26">
        <f t="shared" si="1051"/>
        <v>139.42392013171488</v>
      </c>
      <c r="U655" s="26" t="str">
        <f>IF(VLOOKUP($C655,COS!$B$8:$I$991,8,FALSE)=1,"UWFE","IBU")</f>
        <v>UWFE</v>
      </c>
      <c r="V655" s="26">
        <f t="shared" ref="V655" si="1055">MIN(IF(IF($AA$3=2,AND(E655=1,G655=1,L655=1,L658=1,M655=1,U655="IBU"),AND(E655=1,G655=1,L655=1,L658=1,M655=1)),T655,0),I655)</f>
        <v>0</v>
      </c>
      <c r="W655" s="26"/>
      <c r="X655" s="26"/>
      <c r="Y655" s="26"/>
      <c r="Z655" s="26"/>
      <c r="AA655" s="26"/>
      <c r="AB655" s="33"/>
    </row>
    <row r="656" spans="1:28" x14ac:dyDescent="0.3">
      <c r="A656" s="32">
        <f>VLOOKUP(YEAR(C656),Flags!$A$13:$B$95,2,FALSE)</f>
        <v>2</v>
      </c>
      <c r="B656" s="24">
        <f t="shared" si="1054"/>
        <v>1993</v>
      </c>
      <c r="C656" s="25">
        <v>34181</v>
      </c>
      <c r="D656" s="26">
        <f>VLOOKUP($C656,COS!$B$8:$H$991,3,FALSE)</f>
        <v>14804.357421875</v>
      </c>
      <c r="E656" s="24">
        <f>IF(D656&gt;=IF(MONTH($C656)=4,$C$3,IF(MONTH($C656)=5,$C$4,IF(MONTH($C656)=6,$C$5,IF(MONTH($C656)=7,$C$6,"ERROR")))),1,0)</f>
        <v>1</v>
      </c>
      <c r="F656" s="26">
        <f>VLOOKUP($C656,COS!$B$8:$H$991,7,FALSE)</f>
        <v>51.517642974853516</v>
      </c>
      <c r="G656" s="24">
        <f>IF(F656&lt;=IF(MONTH($C656)=4,$F$3,IF(MONTH($C656)=5,$F$4,IF(MONTH($C656)=6,$F$5,IF(MONTH($C656)=7,$F$6,"ERROR")))),1,0)</f>
        <v>1</v>
      </c>
      <c r="H656" s="26">
        <f>IF(J656=1,D656-$C$6,0)</f>
        <v>2804.357421875</v>
      </c>
      <c r="I656" s="26">
        <f t="shared" si="982"/>
        <v>172.4332166838843</v>
      </c>
      <c r="J656" s="24">
        <f t="shared" si="1045"/>
        <v>1</v>
      </c>
      <c r="K656" s="26">
        <f>VLOOKUP($C656,COS!$B$8:$H$991,2,FALSE)</f>
        <v>3787.8994140625</v>
      </c>
      <c r="L656" s="24">
        <f t="shared" si="1046"/>
        <v>1</v>
      </c>
      <c r="M656" s="24">
        <f t="shared" si="1047"/>
        <v>0</v>
      </c>
      <c r="N656" s="26">
        <f>VLOOKUP($C656,COS!$B$8:$H$991,5,FALSE)</f>
        <v>1376.93798828125</v>
      </c>
      <c r="O656" s="26">
        <f t="shared" si="1048"/>
        <v>84.664616800103303</v>
      </c>
      <c r="P656" s="26">
        <f>VLOOKUP($C656,COS!$B$8:$H$991,6,FALSE)</f>
        <v>2562.892822265625</v>
      </c>
      <c r="Q656" s="26">
        <f t="shared" si="1049"/>
        <v>157.58613717071282</v>
      </c>
      <c r="R656" s="26">
        <f>MIN(IF(MONTH($C656)=4,$S$3,IF(MONTH($C656)=5,$S$4,IF(MONTH($C656)=6,$S$5,IF(MONTH($C656)=7,$S$6,"ERROR")))),MAX(VLOOKUP($C656,COS!$B$8:$K$991,10,FALSE)-IF(MONTH($C656)=4,$Y$3,IF(MONTH($C656)=5,$Y$4,IF(MONTH($C656)=6,$Y$5,IF(MONTH($C656)=7,$Y$6,"ERROR")))),0),MAX(VLOOKUP($C656,COS!$B$8:$K$991,9,FALSE)-IF(MONTH($C656)=4,$V$3,IF(MONTH($C656)=5,$V$4,IF(MONTH($C656)=6,$V$5,IF(MONTH($C656)=7,$V$6,"ERROR"))))-VLOOKUP($C656,COS!$B$8:$K$991,6,FALSE)/2,0))</f>
        <v>750</v>
      </c>
      <c r="S656" s="26">
        <f t="shared" si="1050"/>
        <v>46.115702479338843</v>
      </c>
      <c r="T656" s="26">
        <f t="shared" si="1051"/>
        <v>167.24107946474689</v>
      </c>
      <c r="U656" s="26" t="str">
        <f>IF(VLOOKUP($C656,COS!$B$8:$I$991,8,FALSE)=1,"UWFE","IBU")</f>
        <v>IBU</v>
      </c>
      <c r="V656" s="26">
        <f t="shared" ref="V656" si="1056">MIN(IF(IF($AA$3=2,AND(E656=1,G656=1,L656=1,L658=1,M656=1,U656="IBU"),AND(E656=1,G656=1,L656=1,L658=1,M656=1)),T656,0),I656)</f>
        <v>0</v>
      </c>
      <c r="W656" s="26"/>
      <c r="X656" s="26"/>
      <c r="Y656" s="26"/>
      <c r="Z656" s="26"/>
      <c r="AA656" s="26"/>
      <c r="AB656" s="33"/>
    </row>
    <row r="657" spans="1:28" x14ac:dyDescent="0.3">
      <c r="A657" s="32">
        <f>VLOOKUP(YEAR(C657),Flags!$A$13:$B$95,2,FALSE)</f>
        <v>2</v>
      </c>
      <c r="B657" s="24">
        <f t="shared" si="1054"/>
        <v>1993</v>
      </c>
      <c r="C657" s="25">
        <v>34212</v>
      </c>
      <c r="D657" s="26"/>
      <c r="E657" s="24"/>
      <c r="F657" s="26"/>
      <c r="G657" s="24"/>
      <c r="H657" s="24"/>
      <c r="I657" s="26"/>
      <c r="J657" s="24"/>
      <c r="K657" s="26"/>
      <c r="L657" s="24"/>
      <c r="M657" s="24"/>
      <c r="N657" s="26"/>
      <c r="O657" s="26"/>
      <c r="P657" s="26"/>
      <c r="Q657" s="26"/>
      <c r="R657" s="26"/>
      <c r="S657" s="26"/>
      <c r="T657" s="26"/>
      <c r="U657" s="26"/>
      <c r="V657" s="26"/>
      <c r="W657" s="26">
        <f>MAX($C$7-VLOOKUP($C657,COS!$B$8:$H$991,3,FALSE),0)</f>
        <v>90622.63671875</v>
      </c>
      <c r="X657" s="26">
        <f t="shared" si="972"/>
        <v>5572.1687370867767</v>
      </c>
      <c r="Y657" s="26">
        <f>VLOOKUP($C657,COS!$B$8:$H$991,4,FALSE)</f>
        <v>168.43087768554688</v>
      </c>
      <c r="Z657" s="26">
        <f t="shared" si="973"/>
        <v>10.356410991574121</v>
      </c>
      <c r="AA657" s="26">
        <f t="shared" ref="AA657:AA661" si="1057">MIN(W657,Y657)</f>
        <v>168.43087768554688</v>
      </c>
      <c r="AB657" s="33">
        <f t="shared" ref="AB657:AB715" si="1058">AA657*DAY($C657)*86400/43560/1000*IF(MONTH($C657)=8,$P$3,IF(MONTH($C657)=9,$P$4,IF(MONTH($C657)=10,$P$5,IF(MONTH($C657)=11,$P$6,IF(MONTH($C657)=12,$P$7,NA())))))</f>
        <v>10.356410991574121</v>
      </c>
    </row>
    <row r="658" spans="1:28" x14ac:dyDescent="0.3">
      <c r="A658" s="32">
        <f>VLOOKUP(YEAR(C658),Flags!$A$13:$B$95,2,FALSE)</f>
        <v>2</v>
      </c>
      <c r="B658" s="24">
        <f t="shared" si="1054"/>
        <v>1993</v>
      </c>
      <c r="C658" s="25">
        <v>34242</v>
      </c>
      <c r="D658" s="26"/>
      <c r="E658" s="24"/>
      <c r="F658" s="26"/>
      <c r="G658" s="24"/>
      <c r="H658" s="24"/>
      <c r="I658" s="26"/>
      <c r="J658" s="24"/>
      <c r="K658" s="26">
        <f>VLOOKUP($C658,COS!$B$8:$H$991,2,FALSE)</f>
        <v>3136.02685546875</v>
      </c>
      <c r="L658" s="24">
        <f t="shared" ref="L658" si="1059">IF(AND(K658&gt;$I$7,K658&lt;$I$8),1,0)</f>
        <v>1</v>
      </c>
      <c r="M658" s="24"/>
      <c r="N658" s="26"/>
      <c r="O658" s="26"/>
      <c r="P658" s="26"/>
      <c r="Q658" s="26"/>
      <c r="R658" s="26"/>
      <c r="S658" s="26"/>
      <c r="T658" s="26"/>
      <c r="U658" s="26"/>
      <c r="V658" s="26"/>
      <c r="W658" s="26">
        <f>MAX($C$8-VLOOKUP($C658,COS!$B$8:$H$991,3,FALSE),0)</f>
        <v>89617.8046875</v>
      </c>
      <c r="X658" s="26">
        <f t="shared" si="972"/>
        <v>5332.629700413223</v>
      </c>
      <c r="Y658" s="26">
        <f>VLOOKUP($C658,COS!$B$8:$H$991,4,FALSE)</f>
        <v>0</v>
      </c>
      <c r="Z658" s="26">
        <f t="shared" si="973"/>
        <v>0</v>
      </c>
      <c r="AA658" s="26">
        <f t="shared" si="1057"/>
        <v>0</v>
      </c>
      <c r="AB658" s="33">
        <f t="shared" si="1058"/>
        <v>0</v>
      </c>
    </row>
    <row r="659" spans="1:28" x14ac:dyDescent="0.3">
      <c r="A659" s="32">
        <f>VLOOKUP(YEAR(C659),Flags!$A$13:$B$95,2,FALSE)</f>
        <v>2</v>
      </c>
      <c r="B659" s="24">
        <f t="shared" si="1054"/>
        <v>1993</v>
      </c>
      <c r="C659" s="25">
        <v>34273</v>
      </c>
      <c r="D659" s="26"/>
      <c r="E659" s="24"/>
      <c r="F659" s="26"/>
      <c r="G659" s="26"/>
      <c r="H659" s="26"/>
      <c r="I659" s="26"/>
      <c r="J659" s="26"/>
      <c r="K659" s="26"/>
      <c r="L659" s="24"/>
      <c r="M659" s="24"/>
      <c r="N659" s="26"/>
      <c r="O659" s="26"/>
      <c r="P659" s="26"/>
      <c r="Q659" s="26"/>
      <c r="R659" s="26"/>
      <c r="S659" s="26"/>
      <c r="T659" s="26"/>
      <c r="U659" s="26"/>
      <c r="V659" s="26"/>
      <c r="W659" s="26">
        <f>MAX($C$9-VLOOKUP($C659,COS!$B$8:$H$991,3,FALSE),0)</f>
        <v>94269.517578125</v>
      </c>
      <c r="X659" s="26">
        <f t="shared" si="972"/>
        <v>5796.4067006714877</v>
      </c>
      <c r="Y659" s="26">
        <f>VLOOKUP($C659,COS!$B$8:$H$991,4,FALSE)</f>
        <v>766.87762451171875</v>
      </c>
      <c r="Z659" s="26">
        <f t="shared" si="973"/>
        <v>47.1534671600594</v>
      </c>
      <c r="AA659" s="26">
        <f t="shared" si="1057"/>
        <v>766.87762451171875</v>
      </c>
      <c r="AB659" s="33">
        <f t="shared" si="1058"/>
        <v>47.1534671600594</v>
      </c>
    </row>
    <row r="660" spans="1:28" x14ac:dyDescent="0.3">
      <c r="A660" s="32">
        <f>VLOOKUP(YEAR(C660),Flags!$A$13:$B$95,2,FALSE)</f>
        <v>2</v>
      </c>
      <c r="B660" s="24">
        <f t="shared" si="1054"/>
        <v>1993</v>
      </c>
      <c r="C660" s="25">
        <v>34303</v>
      </c>
      <c r="D660" s="26"/>
      <c r="E660" s="24"/>
      <c r="F660" s="26"/>
      <c r="G660" s="26"/>
      <c r="H660" s="26"/>
      <c r="I660" s="26"/>
      <c r="J660" s="26"/>
      <c r="K660" s="26"/>
      <c r="L660" s="24"/>
      <c r="M660" s="24"/>
      <c r="N660" s="26"/>
      <c r="O660" s="26"/>
      <c r="P660" s="26"/>
      <c r="Q660" s="26"/>
      <c r="R660" s="26"/>
      <c r="S660" s="26"/>
      <c r="T660" s="26"/>
      <c r="U660" s="26"/>
      <c r="V660" s="26"/>
      <c r="W660" s="26">
        <f>MAX($C$10-VLOOKUP($C660,COS!$B$8:$H$991,3,FALSE),0)</f>
        <v>89853.9892578125</v>
      </c>
      <c r="X660" s="26">
        <f t="shared" si="972"/>
        <v>5346.6836583161157</v>
      </c>
      <c r="Y660" s="26">
        <f>VLOOKUP($C660,COS!$B$8:$H$991,4,FALSE)</f>
        <v>1359.887451171875</v>
      </c>
      <c r="Z660" s="26">
        <f t="shared" si="973"/>
        <v>80.91892271435951</v>
      </c>
      <c r="AA660" s="26">
        <f t="shared" si="1057"/>
        <v>1359.887451171875</v>
      </c>
      <c r="AB660" s="33">
        <f t="shared" si="1058"/>
        <v>40.459461357179755</v>
      </c>
    </row>
    <row r="661" spans="1:28" x14ac:dyDescent="0.3">
      <c r="A661" s="34">
        <f>VLOOKUP(YEAR(C661),Flags!$A$13:$B$95,2,FALSE)</f>
        <v>2</v>
      </c>
      <c r="B661" s="35">
        <f t="shared" si="1054"/>
        <v>1993</v>
      </c>
      <c r="C661" s="36">
        <v>34334</v>
      </c>
      <c r="D661" s="37"/>
      <c r="E661" s="35"/>
      <c r="F661" s="37"/>
      <c r="G661" s="37"/>
      <c r="H661" s="37"/>
      <c r="I661" s="37"/>
      <c r="J661" s="37"/>
      <c r="K661" s="37"/>
      <c r="L661" s="35"/>
      <c r="M661" s="35"/>
      <c r="N661" s="37"/>
      <c r="O661" s="37"/>
      <c r="P661" s="37"/>
      <c r="Q661" s="37"/>
      <c r="R661" s="37"/>
      <c r="S661" s="37"/>
      <c r="T661" s="37"/>
      <c r="U661" s="37"/>
      <c r="V661" s="37"/>
      <c r="W661" s="37">
        <f>MAX($C$11-VLOOKUP($C661,COS!$B$8:$H$991,3,FALSE),0)</f>
        <v>0</v>
      </c>
      <c r="X661" s="37">
        <f t="shared" si="972"/>
        <v>0</v>
      </c>
      <c r="Y661" s="37">
        <f>VLOOKUP($C661,COS!$B$8:$H$991,4,FALSE)</f>
        <v>188.46723937988281</v>
      </c>
      <c r="Z661" s="37">
        <f t="shared" si="973"/>
        <v>11.588398851126678</v>
      </c>
      <c r="AA661" s="37">
        <f t="shared" si="1057"/>
        <v>0</v>
      </c>
      <c r="AB661" s="38">
        <f t="shared" si="1058"/>
        <v>0</v>
      </c>
    </row>
    <row r="662" spans="1:28" x14ac:dyDescent="0.3">
      <c r="A662" s="27">
        <f>VLOOKUP(YEAR(C662),Flags!$A$13:$B$95,2,FALSE)</f>
        <v>5</v>
      </c>
      <c r="B662" s="28">
        <f t="shared" si="1054"/>
        <v>1994</v>
      </c>
      <c r="C662" s="29">
        <v>34454</v>
      </c>
      <c r="D662" s="30">
        <f>VLOOKUP($C662,COS!$B$8:$H$991,3,FALSE)</f>
        <v>3250</v>
      </c>
      <c r="E662" s="28">
        <f>IF(D662&gt;=IF(MONTH($C662)=4,$C$3,IF(MONTH($C662)=5,$C$4,IF(MONTH($C662)=6,$C$5,IF(MONTH($C662)=7,$C$6,"ERROR")))),1,0)</f>
        <v>0</v>
      </c>
      <c r="F662" s="30">
        <f>VLOOKUP($C662,COS!$B$8:$H$991,7,FALSE)</f>
        <v>52.782566070556641</v>
      </c>
      <c r="G662" s="28">
        <f>IF(F662&lt;=IF(MONTH($C662)=4,$F$3,IF(MONTH($C662)=5,$F$4,IF(MONTH($C662)=6,$F$5,IF(MONTH($C662)=7,$F$6,"ERROR")))),1,0)</f>
        <v>1</v>
      </c>
      <c r="H662" s="30">
        <f>IF(J662=1,D662-$C$3,0)</f>
        <v>0</v>
      </c>
      <c r="I662" s="30">
        <f t="shared" si="982"/>
        <v>0</v>
      </c>
      <c r="J662" s="28">
        <f t="shared" ref="J662:J665" si="1060">IF(AND(E662=1,G662=1),1,0)</f>
        <v>0</v>
      </c>
      <c r="K662" s="30">
        <f>VLOOKUP($C662,COS!$B$8:$H$991,2,FALSE)</f>
        <v>3428.306884765625</v>
      </c>
      <c r="L662" s="28">
        <f t="shared" ref="L662" si="1061">IF(K662&lt;=IF(MONTH($C662)=4,$I$3,IF(MONTH($C662)=5,$I$4,IF(MONTH($C662)=6,$I$5,IF(MONTH($C662)=7,$I$6,"ERROR")))),1,0)</f>
        <v>1</v>
      </c>
      <c r="M662" s="28">
        <f t="shared" ref="M662" si="1062">VLOOKUP($A662,$L$3:$M$7,2,FALSE)</f>
        <v>1</v>
      </c>
      <c r="N662" s="30">
        <f>VLOOKUP($C662,COS!$B$8:$H$991,5,FALSE)</f>
        <v>498.4775390625</v>
      </c>
      <c r="O662" s="30">
        <f t="shared" ref="O662:O665" si="1063">N662*DAY($C662)*86400/43560/1000</f>
        <v>29.661473398760332</v>
      </c>
      <c r="P662" s="30">
        <f>VLOOKUP($C662,COS!$B$8:$H$991,6,FALSE)</f>
        <v>517.51263427734375</v>
      </c>
      <c r="Q662" s="30">
        <f t="shared" ref="Q662:Q665" si="1064">P662*DAY($C662)*86400/43560/1000</f>
        <v>30.794140221461777</v>
      </c>
      <c r="R662" s="30">
        <f>MIN(IF(MONTH($C662)=4,$S$3,IF(MONTH($C662)=5,$S$4,IF(MONTH($C662)=6,$S$5,IF(MONTH($C662)=7,$S$6,"ERROR")))),MAX(VLOOKUP($C662,COS!$B$8:$K$991,10,FALSE)-IF(MONTH($C662)=4,$Y$3,IF(MONTH($C662)=5,$Y$4,IF(MONTH($C662)=6,$Y$5,IF(MONTH($C662)=7,$Y$6,"ERROR")))),0),MAX(VLOOKUP($C662,COS!$B$8:$K$991,9,FALSE)-IF(MONTH($C662)=4,$V$3,IF(MONTH($C662)=5,$V$4,IF(MONTH($C662)=6,$V$5,IF(MONTH($C662)=7,$V$6,"ERROR"))))-VLOOKUP($C662,COS!$B$8:$K$991,6,FALSE)/2,0))</f>
        <v>84.6376953125</v>
      </c>
      <c r="S662" s="30">
        <f t="shared" ref="S662:S665" si="1065">R662*DAY($C662)*86400/43560/1000</f>
        <v>5.0362926136363644</v>
      </c>
      <c r="T662" s="30">
        <f t="shared" ref="T662:T665" si="1066">(O662+Q662)/2+S662</f>
        <v>35.264099423747417</v>
      </c>
      <c r="U662" s="30" t="str">
        <f>IF(VLOOKUP($C662,COS!$B$8:$I$991,8,FALSE)=1,"UWFE","IBU")</f>
        <v>UWFE</v>
      </c>
      <c r="V662" s="30">
        <f t="shared" ref="V662" si="1067">MIN(IF(IF($AA$3=2,AND(E662=1,G662=1,L662=1,L667=1,M662=1,U662="IBU"),AND(E662=1,G662=1,L662=1,L667=1,M662=1)),T662,0),I662)</f>
        <v>0</v>
      </c>
      <c r="W662" s="30"/>
      <c r="X662" s="30"/>
      <c r="Y662" s="30"/>
      <c r="Z662" s="30"/>
      <c r="AA662" s="30"/>
      <c r="AB662" s="31"/>
    </row>
    <row r="663" spans="1:28" x14ac:dyDescent="0.3">
      <c r="A663" s="32">
        <f>VLOOKUP(YEAR(C663),Flags!$A$13:$B$95,2,FALSE)</f>
        <v>5</v>
      </c>
      <c r="B663" s="24">
        <f t="shared" si="1054"/>
        <v>1994</v>
      </c>
      <c r="C663" s="25">
        <v>34485</v>
      </c>
      <c r="D663" s="26">
        <f>VLOOKUP($C663,COS!$B$8:$H$991,3,FALSE)</f>
        <v>5763.49560546875</v>
      </c>
      <c r="E663" s="24">
        <f>IF(D663&gt;=IF(MONTH($C663)=4,$C$3,IF(MONTH($C663)=5,$C$4,IF(MONTH($C663)=6,$C$5,IF(MONTH($C663)=7,$C$6,"ERROR")))),1,0)</f>
        <v>0</v>
      </c>
      <c r="F663" s="26">
        <f>VLOOKUP($C663,COS!$B$8:$H$991,7,FALSE)</f>
        <v>52.981971740722656</v>
      </c>
      <c r="G663" s="24">
        <f>IF(F663&lt;=IF(MONTH($C663)=4,$F$3,IF(MONTH($C663)=5,$F$4,IF(MONTH($C663)=6,$F$5,IF(MONTH($C663)=7,$F$6,"ERROR")))),1,0)</f>
        <v>1</v>
      </c>
      <c r="H663" s="26">
        <f>IF(J663=1,D663-$C$4,0)</f>
        <v>0</v>
      </c>
      <c r="I663" s="26">
        <f t="shared" si="982"/>
        <v>0</v>
      </c>
      <c r="J663" s="24">
        <f t="shared" si="1060"/>
        <v>0</v>
      </c>
      <c r="K663" s="26">
        <f>VLOOKUP($C663,COS!$B$8:$H$991,2,FALSE)</f>
        <v>3315.498291015625</v>
      </c>
      <c r="L663" s="24">
        <f t="shared" si="1046"/>
        <v>1</v>
      </c>
      <c r="M663" s="24">
        <f t="shared" si="1047"/>
        <v>1</v>
      </c>
      <c r="N663" s="26">
        <f>VLOOKUP($C663,COS!$B$8:$H$991,5,FALSE)</f>
        <v>494.24356079101563</v>
      </c>
      <c r="O663" s="26">
        <f t="shared" si="1063"/>
        <v>30.389852002356662</v>
      </c>
      <c r="P663" s="26">
        <f>VLOOKUP($C663,COS!$B$8:$H$991,6,FALSE)</f>
        <v>1839.63671875</v>
      </c>
      <c r="Q663" s="26">
        <f t="shared" si="1064"/>
        <v>113.1148527892562</v>
      </c>
      <c r="R663" s="26">
        <f>MIN(IF(MONTH($C663)=4,$S$3,IF(MONTH($C663)=5,$S$4,IF(MONTH($C663)=6,$S$5,IF(MONTH($C663)=7,$S$6,"ERROR")))),MAX(VLOOKUP($C663,COS!$B$8:$K$991,10,FALSE)-IF(MONTH($C663)=4,$Y$3,IF(MONTH($C663)=5,$Y$4,IF(MONTH($C663)=6,$Y$5,IF(MONTH($C663)=7,$Y$6,"ERROR")))),0),MAX(VLOOKUP($C663,COS!$B$8:$K$991,9,FALSE)-IF(MONTH($C663)=4,$V$3,IF(MONTH($C663)=5,$V$4,IF(MONTH($C663)=6,$V$5,IF(MONTH($C663)=7,$V$6,"ERROR"))))-VLOOKUP($C663,COS!$B$8:$K$991,6,FALSE)/2,0))</f>
        <v>750</v>
      </c>
      <c r="S663" s="26">
        <f t="shared" si="1065"/>
        <v>46.115702479338843</v>
      </c>
      <c r="T663" s="26">
        <f t="shared" si="1066"/>
        <v>117.86805487514528</v>
      </c>
      <c r="U663" s="26" t="str">
        <f>IF(VLOOKUP($C663,COS!$B$8:$I$991,8,FALSE)=1,"UWFE","IBU")</f>
        <v>UWFE</v>
      </c>
      <c r="V663" s="26">
        <f t="shared" ref="V663" si="1068">MIN(IF(IF($AA$3=2,AND(E663=1,G663=1,L663=1,L667=1,M663=1,U663="IBU"),AND(E663=1,G663=1,L663=1,L667=1,M663=1)),T663,0),I663)</f>
        <v>0</v>
      </c>
      <c r="W663" s="26"/>
      <c r="X663" s="26"/>
      <c r="Y663" s="26"/>
      <c r="Z663" s="26"/>
      <c r="AA663" s="26"/>
      <c r="AB663" s="33"/>
    </row>
    <row r="664" spans="1:28" x14ac:dyDescent="0.3">
      <c r="A664" s="32">
        <f>VLOOKUP(YEAR(C664),Flags!$A$13:$B$95,2,FALSE)</f>
        <v>5</v>
      </c>
      <c r="B664" s="24">
        <f t="shared" si="1054"/>
        <v>1994</v>
      </c>
      <c r="C664" s="25">
        <v>34515</v>
      </c>
      <c r="D664" s="26">
        <f>VLOOKUP($C664,COS!$B$8:$H$991,3,FALSE)</f>
        <v>10365.828125</v>
      </c>
      <c r="E664" s="24">
        <f>IF(D664&gt;=IF(MONTH($C664)=4,$C$3,IF(MONTH($C664)=5,$C$4,IF(MONTH($C664)=6,$C$5,IF(MONTH($C664)=7,$C$6,"ERROR")))),1,0)</f>
        <v>1</v>
      </c>
      <c r="F664" s="26">
        <f>VLOOKUP($C664,COS!$B$8:$H$991,7,FALSE)</f>
        <v>52.776744842529297</v>
      </c>
      <c r="G664" s="24">
        <f>IF(F664&lt;=IF(MONTH($C664)=4,$F$3,IF(MONTH($C664)=5,$F$4,IF(MONTH($C664)=6,$F$5,IF(MONTH($C664)=7,$F$6,"ERROR")))),1,0)</f>
        <v>1</v>
      </c>
      <c r="H664" s="26">
        <f>IF(J664=1,D664-$C$5,0)</f>
        <v>365.828125</v>
      </c>
      <c r="I664" s="26">
        <f t="shared" si="982"/>
        <v>21.768285123966944</v>
      </c>
      <c r="J664" s="24">
        <f t="shared" si="1060"/>
        <v>1</v>
      </c>
      <c r="K664" s="26">
        <f>VLOOKUP($C664,COS!$B$8:$H$991,2,FALSE)</f>
        <v>2912.7509765625</v>
      </c>
      <c r="L664" s="24">
        <f t="shared" si="1046"/>
        <v>1</v>
      </c>
      <c r="M664" s="24">
        <f t="shared" si="1047"/>
        <v>1</v>
      </c>
      <c r="N664" s="26">
        <f>VLOOKUP($C664,COS!$B$8:$H$991,5,FALSE)</f>
        <v>825.04803466796875</v>
      </c>
      <c r="O664" s="26">
        <f t="shared" si="1063"/>
        <v>49.093767352143594</v>
      </c>
      <c r="P664" s="26">
        <f>VLOOKUP($C664,COS!$B$8:$H$991,6,FALSE)</f>
        <v>2477.72265625</v>
      </c>
      <c r="Q664" s="26">
        <f t="shared" si="1064"/>
        <v>147.43473657024794</v>
      </c>
      <c r="R664" s="26">
        <f>MIN(IF(MONTH($C664)=4,$S$3,IF(MONTH($C664)=5,$S$4,IF(MONTH($C664)=6,$S$5,IF(MONTH($C664)=7,$S$6,"ERROR")))),MAX(VLOOKUP($C664,COS!$B$8:$K$991,10,FALSE)-IF(MONTH($C664)=4,$Y$3,IF(MONTH($C664)=5,$Y$4,IF(MONTH($C664)=6,$Y$5,IF(MONTH($C664)=7,$Y$6,"ERROR")))),0),MAX(VLOOKUP($C664,COS!$B$8:$K$991,9,FALSE)-IF(MONTH($C664)=4,$V$3,IF(MONTH($C664)=5,$V$4,IF(MONTH($C664)=6,$V$5,IF(MONTH($C664)=7,$V$6,"ERROR"))))-VLOOKUP($C664,COS!$B$8:$K$991,6,FALSE)/2,0))</f>
        <v>750</v>
      </c>
      <c r="S664" s="26">
        <f t="shared" si="1065"/>
        <v>44.628099173553714</v>
      </c>
      <c r="T664" s="26">
        <f t="shared" si="1066"/>
        <v>142.89235113474948</v>
      </c>
      <c r="U664" s="26" t="str">
        <f>IF(VLOOKUP($C664,COS!$B$8:$I$991,8,FALSE)=1,"UWFE","IBU")</f>
        <v>IBU</v>
      </c>
      <c r="V664" s="26">
        <f t="shared" ref="V664" si="1069">MIN(IF(IF($AA$3=2,AND(E664=1,G664=1,L664=1,L667=1,M664=1,U664="IBU"),AND(E664=1,G664=1,L664=1,L667=1,M664=1)),T664,0),I664)</f>
        <v>21.768285123966944</v>
      </c>
      <c r="W664" s="26"/>
      <c r="X664" s="26"/>
      <c r="Y664" s="26"/>
      <c r="Z664" s="26"/>
      <c r="AA664" s="26"/>
      <c r="AB664" s="33"/>
    </row>
    <row r="665" spans="1:28" x14ac:dyDescent="0.3">
      <c r="A665" s="32">
        <f>VLOOKUP(YEAR(C665),Flags!$A$13:$B$95,2,FALSE)</f>
        <v>5</v>
      </c>
      <c r="B665" s="24">
        <f t="shared" si="1054"/>
        <v>1994</v>
      </c>
      <c r="C665" s="25">
        <v>34546</v>
      </c>
      <c r="D665" s="26">
        <f>VLOOKUP($C665,COS!$B$8:$H$991,3,FALSE)</f>
        <v>14755.16796875</v>
      </c>
      <c r="E665" s="24">
        <f>IF(D665&gt;=IF(MONTH($C665)=4,$C$3,IF(MONTH($C665)=5,$C$4,IF(MONTH($C665)=6,$C$5,IF(MONTH($C665)=7,$C$6,"ERROR")))),1,0)</f>
        <v>1</v>
      </c>
      <c r="F665" s="26">
        <f>VLOOKUP($C665,COS!$B$8:$H$991,7,FALSE)</f>
        <v>54.302021026611328</v>
      </c>
      <c r="G665" s="24">
        <f>IF(F665&lt;=IF(MONTH($C665)=4,$F$3,IF(MONTH($C665)=5,$F$4,IF(MONTH($C665)=6,$F$5,IF(MONTH($C665)=7,$F$6,"ERROR")))),1,0)</f>
        <v>0</v>
      </c>
      <c r="H665" s="26">
        <f>IF(J665=1,D665-$C$6,0)</f>
        <v>0</v>
      </c>
      <c r="I665" s="26">
        <f t="shared" si="982"/>
        <v>0</v>
      </c>
      <c r="J665" s="24">
        <f t="shared" si="1060"/>
        <v>0</v>
      </c>
      <c r="K665" s="26">
        <f>VLOOKUP($C665,COS!$B$8:$H$991,2,FALSE)</f>
        <v>2260.914306640625</v>
      </c>
      <c r="L665" s="24">
        <f t="shared" si="1046"/>
        <v>1</v>
      </c>
      <c r="M665" s="24">
        <f t="shared" si="1047"/>
        <v>1</v>
      </c>
      <c r="N665" s="26">
        <f>VLOOKUP($C665,COS!$B$8:$H$991,5,FALSE)</f>
        <v>905.84417724609375</v>
      </c>
      <c r="O665" s="26">
        <f t="shared" si="1063"/>
        <v>55.698187427363116</v>
      </c>
      <c r="P665" s="26">
        <f>VLOOKUP($C665,COS!$B$8:$H$991,6,FALSE)</f>
        <v>2281.4833984375</v>
      </c>
      <c r="Q665" s="26">
        <f t="shared" si="1064"/>
        <v>140.28294615185951</v>
      </c>
      <c r="R665" s="26">
        <f>MIN(IF(MONTH($C665)=4,$S$3,IF(MONTH($C665)=5,$S$4,IF(MONTH($C665)=6,$S$5,IF(MONTH($C665)=7,$S$6,"ERROR")))),MAX(VLOOKUP($C665,COS!$B$8:$K$991,10,FALSE)-IF(MONTH($C665)=4,$Y$3,IF(MONTH($C665)=5,$Y$4,IF(MONTH($C665)=6,$Y$5,IF(MONTH($C665)=7,$Y$6,"ERROR")))),0),MAX(VLOOKUP($C665,COS!$B$8:$K$991,9,FALSE)-IF(MONTH($C665)=4,$V$3,IF(MONTH($C665)=5,$V$4,IF(MONTH($C665)=6,$V$5,IF(MONTH($C665)=7,$V$6,"ERROR"))))-VLOOKUP($C665,COS!$B$8:$K$991,6,FALSE)/2,0))</f>
        <v>750</v>
      </c>
      <c r="S665" s="26">
        <f t="shared" si="1065"/>
        <v>46.115702479338843</v>
      </c>
      <c r="T665" s="26">
        <f t="shared" si="1066"/>
        <v>144.10626926895014</v>
      </c>
      <c r="U665" s="26" t="str">
        <f>IF(VLOOKUP($C665,COS!$B$8:$I$991,8,FALSE)=1,"UWFE","IBU")</f>
        <v>IBU</v>
      </c>
      <c r="V665" s="26">
        <f t="shared" ref="V665" si="1070">MIN(IF(IF($AA$3=2,AND(E665=1,G665=1,L665=1,L667=1,M665=1,U665="IBU"),AND(E665=1,G665=1,L665=1,L667=1,M665=1)),T665,0),I665)</f>
        <v>0</v>
      </c>
      <c r="W665" s="26"/>
      <c r="X665" s="26"/>
      <c r="Y665" s="26"/>
      <c r="Z665" s="26"/>
      <c r="AA665" s="26"/>
      <c r="AB665" s="33"/>
    </row>
    <row r="666" spans="1:28" x14ac:dyDescent="0.3">
      <c r="A666" s="32">
        <f>VLOOKUP(YEAR(C666),Flags!$A$13:$B$95,2,FALSE)</f>
        <v>5</v>
      </c>
      <c r="B666" s="24">
        <f t="shared" si="1054"/>
        <v>1994</v>
      </c>
      <c r="C666" s="25">
        <v>34577</v>
      </c>
      <c r="D666" s="26"/>
      <c r="E666" s="24"/>
      <c r="F666" s="26"/>
      <c r="G666" s="24"/>
      <c r="H666" s="24"/>
      <c r="I666" s="26"/>
      <c r="J666" s="24"/>
      <c r="K666" s="26"/>
      <c r="L666" s="24"/>
      <c r="M666" s="24"/>
      <c r="N666" s="26"/>
      <c r="O666" s="26"/>
      <c r="P666" s="26"/>
      <c r="Q666" s="26"/>
      <c r="R666" s="26"/>
      <c r="S666" s="26"/>
      <c r="T666" s="26"/>
      <c r="U666" s="26"/>
      <c r="V666" s="26"/>
      <c r="W666" s="26">
        <f>MAX($C$7-VLOOKUP($C666,COS!$B$8:$H$991,3,FALSE),0)</f>
        <v>91434.9501953125</v>
      </c>
      <c r="X666" s="26">
        <f t="shared" si="972"/>
        <v>5622.1159458935954</v>
      </c>
      <c r="Y666" s="26">
        <f>VLOOKUP($C666,COS!$B$8:$H$991,4,FALSE)</f>
        <v>3456.213134765625</v>
      </c>
      <c r="Z666" s="26">
        <f t="shared" si="973"/>
        <v>212.51426217071281</v>
      </c>
      <c r="AA666" s="26">
        <f t="shared" ref="AA666:AA670" si="1071">MIN(W666,Y666)</f>
        <v>3456.213134765625</v>
      </c>
      <c r="AB666" s="33">
        <f t="shared" ref="AB666" si="1072">AA666*DAY($C666)*86400/43560/1000*IF(MONTH($C666)=8,$P$3,IF(MONTH($C666)=9,$P$4,IF(MONTH($C666)=10,$P$5,IF(MONTH($C666)=11,$P$6,IF(MONTH($C666)=12,$P$7,NA())))))</f>
        <v>212.51426217071281</v>
      </c>
    </row>
    <row r="667" spans="1:28" x14ac:dyDescent="0.3">
      <c r="A667" s="32">
        <f>VLOOKUP(YEAR(C667),Flags!$A$13:$B$95,2,FALSE)</f>
        <v>5</v>
      </c>
      <c r="B667" s="24">
        <f t="shared" si="1054"/>
        <v>1994</v>
      </c>
      <c r="C667" s="25">
        <v>34607</v>
      </c>
      <c r="D667" s="26"/>
      <c r="E667" s="24"/>
      <c r="F667" s="26"/>
      <c r="G667" s="24"/>
      <c r="H667" s="24"/>
      <c r="I667" s="26"/>
      <c r="J667" s="24"/>
      <c r="K667" s="26">
        <f>VLOOKUP($C667,COS!$B$8:$H$991,2,FALSE)</f>
        <v>1881.7786865234375</v>
      </c>
      <c r="L667" s="24">
        <f t="shared" ref="L667" si="1073">IF(AND(K667&gt;$I$7,K667&lt;$I$8),1,0)</f>
        <v>1</v>
      </c>
      <c r="M667" s="24"/>
      <c r="N667" s="26"/>
      <c r="O667" s="26"/>
      <c r="P667" s="26"/>
      <c r="Q667" s="26"/>
      <c r="R667" s="26"/>
      <c r="S667" s="26"/>
      <c r="T667" s="26"/>
      <c r="U667" s="26"/>
      <c r="V667" s="26"/>
      <c r="W667" s="26">
        <f>MAX($C$8-VLOOKUP($C667,COS!$B$8:$H$991,3,FALSE),0)</f>
        <v>95592.1025390625</v>
      </c>
      <c r="X667" s="26">
        <f t="shared" si="972"/>
        <v>5688.1251097623963</v>
      </c>
      <c r="Y667" s="26">
        <f>VLOOKUP($C667,COS!$B$8:$H$991,4,FALSE)</f>
        <v>676.519775390625</v>
      </c>
      <c r="Z667" s="26">
        <f t="shared" si="973"/>
        <v>40.255722172004134</v>
      </c>
      <c r="AA667" s="26">
        <f t="shared" si="1071"/>
        <v>676.519775390625</v>
      </c>
      <c r="AB667" s="33">
        <f t="shared" si="1058"/>
        <v>40.255722172004134</v>
      </c>
    </row>
    <row r="668" spans="1:28" x14ac:dyDescent="0.3">
      <c r="A668" s="32">
        <f>VLOOKUP(YEAR(C668),Flags!$A$13:$B$95,2,FALSE)</f>
        <v>5</v>
      </c>
      <c r="B668" s="24">
        <f t="shared" si="1054"/>
        <v>1994</v>
      </c>
      <c r="C668" s="25">
        <v>34638</v>
      </c>
      <c r="D668" s="26"/>
      <c r="E668" s="24"/>
      <c r="F668" s="26"/>
      <c r="G668" s="26"/>
      <c r="H668" s="26"/>
      <c r="I668" s="26"/>
      <c r="J668" s="26"/>
      <c r="K668" s="26"/>
      <c r="L668" s="24"/>
      <c r="M668" s="24"/>
      <c r="N668" s="26"/>
      <c r="O668" s="26"/>
      <c r="P668" s="26"/>
      <c r="Q668" s="26"/>
      <c r="R668" s="26"/>
      <c r="S668" s="26"/>
      <c r="T668" s="26"/>
      <c r="U668" s="26"/>
      <c r="V668" s="26"/>
      <c r="W668" s="26">
        <f>MAX($C$9-VLOOKUP($C668,COS!$B$8:$H$991,3,FALSE),0)</f>
        <v>95461.50390625</v>
      </c>
      <c r="X668" s="26">
        <f t="shared" si="972"/>
        <v>5869.6990831611565</v>
      </c>
      <c r="Y668" s="26">
        <f>VLOOKUP($C668,COS!$B$8:$H$991,4,FALSE)</f>
        <v>1343.8326416015625</v>
      </c>
      <c r="Z668" s="26">
        <f t="shared" si="973"/>
        <v>82.629048376162189</v>
      </c>
      <c r="AA668" s="26">
        <f t="shared" si="1071"/>
        <v>1343.8326416015625</v>
      </c>
      <c r="AB668" s="33">
        <f t="shared" si="1058"/>
        <v>82.629048376162189</v>
      </c>
    </row>
    <row r="669" spans="1:28" x14ac:dyDescent="0.3">
      <c r="A669" s="32">
        <f>VLOOKUP(YEAR(C669),Flags!$A$13:$B$95,2,FALSE)</f>
        <v>5</v>
      </c>
      <c r="B669" s="24">
        <f t="shared" si="1054"/>
        <v>1994</v>
      </c>
      <c r="C669" s="25">
        <v>34668</v>
      </c>
      <c r="D669" s="26"/>
      <c r="E669" s="24"/>
      <c r="F669" s="26"/>
      <c r="G669" s="26"/>
      <c r="H669" s="26"/>
      <c r="I669" s="26"/>
      <c r="J669" s="26"/>
      <c r="K669" s="26"/>
      <c r="L669" s="24"/>
      <c r="M669" s="24"/>
      <c r="N669" s="26"/>
      <c r="O669" s="26"/>
      <c r="P669" s="26"/>
      <c r="Q669" s="26"/>
      <c r="R669" s="26"/>
      <c r="S669" s="26"/>
      <c r="T669" s="26"/>
      <c r="U669" s="26"/>
      <c r="V669" s="26"/>
      <c r="W669" s="26">
        <f>MAX($C$10-VLOOKUP($C669,COS!$B$8:$H$991,3,FALSE),0)</f>
        <v>96749</v>
      </c>
      <c r="X669" s="26">
        <f t="shared" si="972"/>
        <v>5756.965289256198</v>
      </c>
      <c r="Y669" s="26">
        <f>VLOOKUP($C669,COS!$B$8:$H$991,4,FALSE)</f>
        <v>1050.6527099609375</v>
      </c>
      <c r="Z669" s="26">
        <f t="shared" si="973"/>
        <v>62.51817778279959</v>
      </c>
      <c r="AA669" s="26">
        <f t="shared" si="1071"/>
        <v>1050.6527099609375</v>
      </c>
      <c r="AB669" s="33">
        <f t="shared" si="1058"/>
        <v>31.259088891399795</v>
      </c>
    </row>
    <row r="670" spans="1:28" x14ac:dyDescent="0.3">
      <c r="A670" s="34">
        <f>VLOOKUP(YEAR(C670),Flags!$A$13:$B$95,2,FALSE)</f>
        <v>5</v>
      </c>
      <c r="B670" s="35">
        <f t="shared" si="1054"/>
        <v>1994</v>
      </c>
      <c r="C670" s="36">
        <v>34699</v>
      </c>
      <c r="D670" s="37"/>
      <c r="E670" s="35"/>
      <c r="F670" s="37"/>
      <c r="G670" s="37"/>
      <c r="H670" s="37"/>
      <c r="I670" s="37"/>
      <c r="J670" s="37"/>
      <c r="K670" s="37"/>
      <c r="L670" s="35"/>
      <c r="M670" s="35"/>
      <c r="N670" s="37"/>
      <c r="O670" s="37"/>
      <c r="P670" s="37"/>
      <c r="Q670" s="37"/>
      <c r="R670" s="37"/>
      <c r="S670" s="37"/>
      <c r="T670" s="37"/>
      <c r="U670" s="37"/>
      <c r="V670" s="37"/>
      <c r="W670" s="37">
        <f>MAX($C$11-VLOOKUP($C670,COS!$B$8:$H$991,3,FALSE),0)</f>
        <v>0</v>
      </c>
      <c r="X670" s="37">
        <f t="shared" si="972"/>
        <v>0</v>
      </c>
      <c r="Y670" s="37">
        <f>VLOOKUP($C670,COS!$B$8:$H$991,4,FALSE)</f>
        <v>2007.343505859375</v>
      </c>
      <c r="Z670" s="37">
        <f t="shared" si="973"/>
        <v>123.42674118672521</v>
      </c>
      <c r="AA670" s="37">
        <f t="shared" si="1071"/>
        <v>0</v>
      </c>
      <c r="AB670" s="38">
        <f t="shared" si="1058"/>
        <v>0</v>
      </c>
    </row>
    <row r="671" spans="1:28" x14ac:dyDescent="0.3">
      <c r="A671" s="27">
        <f>VLOOKUP(YEAR(C671),Flags!$A$13:$B$95,2,FALSE)</f>
        <v>1</v>
      </c>
      <c r="B671" s="28">
        <f t="shared" si="1054"/>
        <v>1995</v>
      </c>
      <c r="C671" s="29">
        <v>34819</v>
      </c>
      <c r="D671" s="30">
        <f>VLOOKUP($C671,COS!$B$8:$H$991,3,FALSE)</f>
        <v>7633.5703125</v>
      </c>
      <c r="E671" s="28">
        <f>IF(D671&gt;=IF(MONTH($C671)=4,$C$3,IF(MONTH($C671)=5,$C$4,IF(MONTH($C671)=6,$C$5,IF(MONTH($C671)=7,$C$6,"ERROR")))),1,0)</f>
        <v>1</v>
      </c>
      <c r="F671" s="30">
        <f>VLOOKUP($C671,COS!$B$8:$H$991,7,FALSE)</f>
        <v>49.096889495849609</v>
      </c>
      <c r="G671" s="28">
        <f>IF(F671&lt;=IF(MONTH($C671)=4,$F$3,IF(MONTH($C671)=5,$F$4,IF(MONTH($C671)=6,$F$5,IF(MONTH($C671)=7,$F$6,"ERROR")))),1,0)</f>
        <v>1</v>
      </c>
      <c r="H671" s="30">
        <f>IF(J671=1,D671-$C$3,0)</f>
        <v>1633.5703125</v>
      </c>
      <c r="I671" s="30">
        <f t="shared" si="982"/>
        <v>97.204183884297521</v>
      </c>
      <c r="J671" s="28">
        <f t="shared" ref="J671:J674" si="1074">IF(AND(E671=1,G671=1),1,0)</f>
        <v>1</v>
      </c>
      <c r="K671" s="30">
        <f>VLOOKUP($C671,COS!$B$8:$H$991,2,FALSE)</f>
        <v>4216.7998046875</v>
      </c>
      <c r="L671" s="28">
        <f t="shared" ref="L671" si="1075">IF(K671&lt;=IF(MONTH($C671)=4,$I$3,IF(MONTH($C671)=5,$I$4,IF(MONTH($C671)=6,$I$5,IF(MONTH($C671)=7,$I$6,"ERROR")))),1,0)</f>
        <v>1</v>
      </c>
      <c r="M671" s="28">
        <f t="shared" ref="M671" si="1076">VLOOKUP($A671,$L$3:$M$7,2,FALSE)</f>
        <v>0</v>
      </c>
      <c r="N671" s="30">
        <f>VLOOKUP($C671,COS!$B$8:$H$991,5,FALSE)</f>
        <v>350.99301147460938</v>
      </c>
      <c r="O671" s="30">
        <f t="shared" ref="O671:O674" si="1077">N671*DAY($C671)*86400/43560/1000</f>
        <v>20.885534567084193</v>
      </c>
      <c r="P671" s="30">
        <f>VLOOKUP($C671,COS!$B$8:$H$991,6,FALSE)</f>
        <v>420.74978637695313</v>
      </c>
      <c r="Q671" s="30">
        <f t="shared" ref="Q671:Q674" si="1078">P671*DAY($C671)*86400/43560/1000</f>
        <v>25.036350924909605</v>
      </c>
      <c r="R671" s="30">
        <f>MIN(IF(MONTH($C671)=4,$S$3,IF(MONTH($C671)=5,$S$4,IF(MONTH($C671)=6,$S$5,IF(MONTH($C671)=7,$S$6,"ERROR")))),MAX(VLOOKUP($C671,COS!$B$8:$K$991,10,FALSE)-IF(MONTH($C671)=4,$Y$3,IF(MONTH($C671)=5,$Y$4,IF(MONTH($C671)=6,$Y$5,IF(MONTH($C671)=7,$Y$6,"ERROR")))),0),MAX(VLOOKUP($C671,COS!$B$8:$K$991,9,FALSE)-IF(MONTH($C671)=4,$V$3,IF(MONTH($C671)=5,$V$4,IF(MONTH($C671)=6,$V$5,IF(MONTH($C671)=7,$V$6,"ERROR"))))-VLOOKUP($C671,COS!$B$8:$K$991,6,FALSE)/2,0))</f>
        <v>750</v>
      </c>
      <c r="S671" s="30">
        <f t="shared" ref="S671:S674" si="1079">R671*DAY($C671)*86400/43560/1000</f>
        <v>44.628099173553714</v>
      </c>
      <c r="T671" s="30">
        <f t="shared" ref="T671:T674" si="1080">(O671+Q671)/2+S671</f>
        <v>67.58904191955061</v>
      </c>
      <c r="U671" s="30" t="str">
        <f>IF(VLOOKUP($C671,COS!$B$8:$I$991,8,FALSE)=1,"UWFE","IBU")</f>
        <v>UWFE</v>
      </c>
      <c r="V671" s="30">
        <f t="shared" ref="V671" si="1081">MIN(IF(IF($AA$3=2,AND(E671=1,G671=1,L671=1,L676=1,M671=1,U671="IBU"),AND(E671=1,G671=1,L671=1,L676=1,M671=1)),T671,0),I671)</f>
        <v>0</v>
      </c>
      <c r="W671" s="30"/>
      <c r="X671" s="30"/>
      <c r="Y671" s="30"/>
      <c r="Z671" s="30"/>
      <c r="AA671" s="30"/>
      <c r="AB671" s="31"/>
    </row>
    <row r="672" spans="1:28" x14ac:dyDescent="0.3">
      <c r="A672" s="32">
        <f>VLOOKUP(YEAR(C672),Flags!$A$13:$B$95,2,FALSE)</f>
        <v>1</v>
      </c>
      <c r="B672" s="24">
        <f t="shared" si="1054"/>
        <v>1995</v>
      </c>
      <c r="C672" s="25">
        <v>34850</v>
      </c>
      <c r="D672" s="26">
        <f>VLOOKUP($C672,COS!$B$8:$H$991,3,FALSE)</f>
        <v>10509.75390625</v>
      </c>
      <c r="E672" s="24">
        <f>IF(D672&gt;=IF(MONTH($C672)=4,$C$3,IF(MONTH($C672)=5,$C$4,IF(MONTH($C672)=6,$C$5,IF(MONTH($C672)=7,$C$6,"ERROR")))),1,0)</f>
        <v>1</v>
      </c>
      <c r="F672" s="26">
        <f>VLOOKUP($C672,COS!$B$8:$H$991,7,FALSE)</f>
        <v>50.252239227294922</v>
      </c>
      <c r="G672" s="24">
        <f>IF(F672&lt;=IF(MONTH($C672)=4,$F$3,IF(MONTH($C672)=5,$F$4,IF(MONTH($C672)=6,$F$5,IF(MONTH($C672)=7,$F$6,"ERROR")))),1,0)</f>
        <v>1</v>
      </c>
      <c r="H672" s="26">
        <f>IF(J672=1,D672-$C$4,0)</f>
        <v>4509.75390625</v>
      </c>
      <c r="I672" s="26">
        <f t="shared" si="982"/>
        <v>277.29395919421489</v>
      </c>
      <c r="J672" s="24">
        <f t="shared" si="1074"/>
        <v>1</v>
      </c>
      <c r="K672" s="26">
        <f>VLOOKUP($C672,COS!$B$8:$H$991,2,FALSE)</f>
        <v>4552</v>
      </c>
      <c r="L672" s="24">
        <f t="shared" si="1046"/>
        <v>1</v>
      </c>
      <c r="M672" s="24">
        <f t="shared" si="1047"/>
        <v>0</v>
      </c>
      <c r="N672" s="26">
        <f>VLOOKUP($C672,COS!$B$8:$H$991,5,FALSE)</f>
        <v>475.432861328125</v>
      </c>
      <c r="O672" s="26">
        <f t="shared" si="1077"/>
        <v>29.233227175878099</v>
      </c>
      <c r="P672" s="26">
        <f>VLOOKUP($C672,COS!$B$8:$H$991,6,FALSE)</f>
        <v>1824.550537109375</v>
      </c>
      <c r="Q672" s="26">
        <f t="shared" si="1078"/>
        <v>112.18723963713842</v>
      </c>
      <c r="R672" s="26">
        <f>MIN(IF(MONTH($C672)=4,$S$3,IF(MONTH($C672)=5,$S$4,IF(MONTH($C672)=6,$S$5,IF(MONTH($C672)=7,$S$6,"ERROR")))),MAX(VLOOKUP($C672,COS!$B$8:$K$991,10,FALSE)-IF(MONTH($C672)=4,$Y$3,IF(MONTH($C672)=5,$Y$4,IF(MONTH($C672)=6,$Y$5,IF(MONTH($C672)=7,$Y$6,"ERROR")))),0),MAX(VLOOKUP($C672,COS!$B$8:$K$991,9,FALSE)-IF(MONTH($C672)=4,$V$3,IF(MONTH($C672)=5,$V$4,IF(MONTH($C672)=6,$V$5,IF(MONTH($C672)=7,$V$6,"ERROR"))))-VLOOKUP($C672,COS!$B$8:$K$991,6,FALSE)/2,0))</f>
        <v>750</v>
      </c>
      <c r="S672" s="26">
        <f t="shared" si="1079"/>
        <v>46.115702479338843</v>
      </c>
      <c r="T672" s="26">
        <f t="shared" si="1080"/>
        <v>116.82593588584709</v>
      </c>
      <c r="U672" s="26" t="str">
        <f>IF(VLOOKUP($C672,COS!$B$8:$I$991,8,FALSE)=1,"UWFE","IBU")</f>
        <v>UWFE</v>
      </c>
      <c r="V672" s="26">
        <f t="shared" ref="V672" si="1082">MIN(IF(IF($AA$3=2,AND(E672=1,G672=1,L672=1,L676=1,M672=1,U672="IBU"),AND(E672=1,G672=1,L672=1,L676=1,M672=1)),T672,0),I672)</f>
        <v>0</v>
      </c>
      <c r="W672" s="26"/>
      <c r="X672" s="26"/>
      <c r="Y672" s="26"/>
      <c r="Z672" s="26"/>
      <c r="AA672" s="26"/>
      <c r="AB672" s="33"/>
    </row>
    <row r="673" spans="1:28" x14ac:dyDescent="0.3">
      <c r="A673" s="32">
        <f>VLOOKUP(YEAR(C673),Flags!$A$13:$B$95,2,FALSE)</f>
        <v>1</v>
      </c>
      <c r="B673" s="24">
        <f t="shared" si="1054"/>
        <v>1995</v>
      </c>
      <c r="C673" s="25">
        <v>34880</v>
      </c>
      <c r="D673" s="26">
        <f>VLOOKUP($C673,COS!$B$8:$H$991,3,FALSE)</f>
        <v>8446.6552734375</v>
      </c>
      <c r="E673" s="24">
        <f>IF(D673&gt;=IF(MONTH($C673)=4,$C$3,IF(MONTH($C673)=5,$C$4,IF(MONTH($C673)=6,$C$5,IF(MONTH($C673)=7,$C$6,"ERROR")))),1,0)</f>
        <v>0</v>
      </c>
      <c r="F673" s="26">
        <f>VLOOKUP($C673,COS!$B$8:$H$991,7,FALSE)</f>
        <v>52.693340301513672</v>
      </c>
      <c r="G673" s="24">
        <f>IF(F673&lt;=IF(MONTH($C673)=4,$F$3,IF(MONTH($C673)=5,$F$4,IF(MONTH($C673)=6,$F$5,IF(MONTH($C673)=7,$F$6,"ERROR")))),1,0)</f>
        <v>1</v>
      </c>
      <c r="H673" s="26">
        <f>IF(J673=1,D673-$C$5,0)</f>
        <v>0</v>
      </c>
      <c r="I673" s="26">
        <f t="shared" ref="I673:I736" si="1083">H673*DAY($C673)*86400/43560/1000</f>
        <v>0</v>
      </c>
      <c r="J673" s="24">
        <f t="shared" si="1074"/>
        <v>0</v>
      </c>
      <c r="K673" s="26">
        <f>VLOOKUP($C673,COS!$B$8:$H$991,2,FALSE)</f>
        <v>4500</v>
      </c>
      <c r="L673" s="24">
        <f t="shared" si="1046"/>
        <v>1</v>
      </c>
      <c r="M673" s="24">
        <f t="shared" si="1047"/>
        <v>0</v>
      </c>
      <c r="N673" s="26">
        <f>VLOOKUP($C673,COS!$B$8:$H$991,5,FALSE)</f>
        <v>1088.7784423828125</v>
      </c>
      <c r="O673" s="26">
        <f t="shared" si="1077"/>
        <v>64.786816406249997</v>
      </c>
      <c r="P673" s="26">
        <f>VLOOKUP($C673,COS!$B$8:$H$991,6,FALSE)</f>
        <v>2195.234619140625</v>
      </c>
      <c r="Q673" s="26">
        <f t="shared" si="1078"/>
        <v>130.62553105630167</v>
      </c>
      <c r="R673" s="26">
        <f>MIN(IF(MONTH($C673)=4,$S$3,IF(MONTH($C673)=5,$S$4,IF(MONTH($C673)=6,$S$5,IF(MONTH($C673)=7,$S$6,"ERROR")))),MAX(VLOOKUP($C673,COS!$B$8:$K$991,10,FALSE)-IF(MONTH($C673)=4,$Y$3,IF(MONTH($C673)=5,$Y$4,IF(MONTH($C673)=6,$Y$5,IF(MONTH($C673)=7,$Y$6,"ERROR")))),0),MAX(VLOOKUP($C673,COS!$B$8:$K$991,9,FALSE)-IF(MONTH($C673)=4,$V$3,IF(MONTH($C673)=5,$V$4,IF(MONTH($C673)=6,$V$5,IF(MONTH($C673)=7,$V$6,"ERROR"))))-VLOOKUP($C673,COS!$B$8:$K$991,6,FALSE)/2,0))</f>
        <v>750</v>
      </c>
      <c r="S673" s="26">
        <f t="shared" si="1079"/>
        <v>44.628099173553714</v>
      </c>
      <c r="T673" s="26">
        <f t="shared" si="1080"/>
        <v>142.33427290482956</v>
      </c>
      <c r="U673" s="26" t="str">
        <f>IF(VLOOKUP($C673,COS!$B$8:$I$991,8,FALSE)=1,"UWFE","IBU")</f>
        <v>UWFE</v>
      </c>
      <c r="V673" s="26">
        <f t="shared" ref="V673" si="1084">MIN(IF(IF($AA$3=2,AND(E673=1,G673=1,L673=1,L676=1,M673=1,U673="IBU"),AND(E673=1,G673=1,L673=1,L676=1,M673=1)),T673,0),I673)</f>
        <v>0</v>
      </c>
      <c r="W673" s="26"/>
      <c r="X673" s="26"/>
      <c r="Y673" s="26"/>
      <c r="Z673" s="26"/>
      <c r="AA673" s="26"/>
      <c r="AB673" s="33"/>
    </row>
    <row r="674" spans="1:28" x14ac:dyDescent="0.3">
      <c r="A674" s="32">
        <f>VLOOKUP(YEAR(C674),Flags!$A$13:$B$95,2,FALSE)</f>
        <v>1</v>
      </c>
      <c r="B674" s="24">
        <f t="shared" si="1054"/>
        <v>1995</v>
      </c>
      <c r="C674" s="25">
        <v>34911</v>
      </c>
      <c r="D674" s="26">
        <f>VLOOKUP($C674,COS!$B$8:$H$991,3,FALSE)</f>
        <v>9700.0400390625</v>
      </c>
      <c r="E674" s="24">
        <f>IF(D674&gt;=IF(MONTH($C674)=4,$C$3,IF(MONTH($C674)=5,$C$4,IF(MONTH($C674)=6,$C$5,IF(MONTH($C674)=7,$C$6,"ERROR")))),1,0)</f>
        <v>0</v>
      </c>
      <c r="F674" s="26">
        <f>VLOOKUP($C674,COS!$B$8:$H$991,7,FALSE)</f>
        <v>53.995834350585938</v>
      </c>
      <c r="G674" s="24">
        <f>IF(F674&lt;=IF(MONTH($C674)=4,$F$3,IF(MONTH($C674)=5,$F$4,IF(MONTH($C674)=6,$F$5,IF(MONTH($C674)=7,$F$6,"ERROR")))),1,0)</f>
        <v>0</v>
      </c>
      <c r="H674" s="26">
        <f>IF(J674=1,D674-$C$6,0)</f>
        <v>0</v>
      </c>
      <c r="I674" s="26">
        <f t="shared" si="1083"/>
        <v>0</v>
      </c>
      <c r="J674" s="24">
        <f t="shared" si="1074"/>
        <v>0</v>
      </c>
      <c r="K674" s="26">
        <f>VLOOKUP($C674,COS!$B$8:$H$991,2,FALSE)</f>
        <v>4150</v>
      </c>
      <c r="L674" s="24">
        <f t="shared" si="1046"/>
        <v>1</v>
      </c>
      <c r="M674" s="24">
        <f t="shared" si="1047"/>
        <v>0</v>
      </c>
      <c r="N674" s="26">
        <f>VLOOKUP($C674,COS!$B$8:$H$991,5,FALSE)</f>
        <v>1360.538818359375</v>
      </c>
      <c r="O674" s="26">
        <f t="shared" si="1077"/>
        <v>83.656271145402897</v>
      </c>
      <c r="P674" s="26">
        <f>VLOOKUP($C674,COS!$B$8:$H$991,6,FALSE)</f>
        <v>2616.67822265625</v>
      </c>
      <c r="Q674" s="26">
        <f t="shared" si="1078"/>
        <v>160.89327253357436</v>
      </c>
      <c r="R674" s="26">
        <f>MIN(IF(MONTH($C674)=4,$S$3,IF(MONTH($C674)=5,$S$4,IF(MONTH($C674)=6,$S$5,IF(MONTH($C674)=7,$S$6,"ERROR")))),MAX(VLOOKUP($C674,COS!$B$8:$K$991,10,FALSE)-IF(MONTH($C674)=4,$Y$3,IF(MONTH($C674)=5,$Y$4,IF(MONTH($C674)=6,$Y$5,IF(MONTH($C674)=7,$Y$6,"ERROR")))),0),MAX(VLOOKUP($C674,COS!$B$8:$K$991,9,FALSE)-IF(MONTH($C674)=4,$V$3,IF(MONTH($C674)=5,$V$4,IF(MONTH($C674)=6,$V$5,IF(MONTH($C674)=7,$V$6,"ERROR"))))-VLOOKUP($C674,COS!$B$8:$K$991,6,FALSE)/2,0))</f>
        <v>750</v>
      </c>
      <c r="S674" s="26">
        <f t="shared" si="1079"/>
        <v>46.115702479338843</v>
      </c>
      <c r="T674" s="26">
        <f t="shared" si="1080"/>
        <v>168.39047431882747</v>
      </c>
      <c r="U674" s="26" t="str">
        <f>IF(VLOOKUP($C674,COS!$B$8:$I$991,8,FALSE)=1,"UWFE","IBU")</f>
        <v>UWFE</v>
      </c>
      <c r="V674" s="26">
        <f t="shared" ref="V674" si="1085">MIN(IF(IF($AA$3=2,AND(E674=1,G674=1,L674=1,L676=1,M674=1,U674="IBU"),AND(E674=1,G674=1,L674=1,L676=1,M674=1)),T674,0),I674)</f>
        <v>0</v>
      </c>
      <c r="W674" s="26"/>
      <c r="X674" s="26"/>
      <c r="Y674" s="26"/>
      <c r="Z674" s="26"/>
      <c r="AA674" s="26"/>
      <c r="AB674" s="33"/>
    </row>
    <row r="675" spans="1:28" x14ac:dyDescent="0.3">
      <c r="A675" s="32">
        <f>VLOOKUP(YEAR(C675),Flags!$A$13:$B$95,2,FALSE)</f>
        <v>1</v>
      </c>
      <c r="B675" s="24">
        <f t="shared" si="1054"/>
        <v>1995</v>
      </c>
      <c r="C675" s="25">
        <v>34942</v>
      </c>
      <c r="D675" s="26"/>
      <c r="E675" s="24"/>
      <c r="F675" s="26"/>
      <c r="G675" s="24"/>
      <c r="H675" s="24"/>
      <c r="I675" s="26"/>
      <c r="J675" s="24"/>
      <c r="K675" s="26"/>
      <c r="L675" s="24"/>
      <c r="M675" s="24"/>
      <c r="N675" s="26"/>
      <c r="O675" s="26"/>
      <c r="P675" s="26"/>
      <c r="Q675" s="26"/>
      <c r="R675" s="26"/>
      <c r="S675" s="26"/>
      <c r="T675" s="26"/>
      <c r="U675" s="26"/>
      <c r="V675" s="26"/>
      <c r="W675" s="26">
        <f>MAX($C$7-VLOOKUP($C675,COS!$B$8:$H$991,3,FALSE),0)</f>
        <v>87744.4052734375</v>
      </c>
      <c r="X675" s="26">
        <f t="shared" ref="X675:X738" si="1086">W675*DAY($C675)*86400/43560/1000</f>
        <v>5395.1931837551647</v>
      </c>
      <c r="Y675" s="26">
        <f>VLOOKUP($C675,COS!$B$8:$H$991,4,FALSE)</f>
        <v>0</v>
      </c>
      <c r="Z675" s="26">
        <f t="shared" ref="Z675:Z738" si="1087">Y675*DAY($C675)*86400/43560/1000</f>
        <v>0</v>
      </c>
      <c r="AA675" s="26">
        <f t="shared" ref="AA675:AA679" si="1088">MIN(W675,Y675)</f>
        <v>0</v>
      </c>
      <c r="AB675" s="33">
        <f t="shared" ref="AB675" si="1089">AA675*DAY($C675)*86400/43560/1000*IF(MONTH($C675)=8,$P$3,IF(MONTH($C675)=9,$P$4,IF(MONTH($C675)=10,$P$5,IF(MONTH($C675)=11,$P$6,IF(MONTH($C675)=12,$P$7,NA())))))</f>
        <v>0</v>
      </c>
    </row>
    <row r="676" spans="1:28" x14ac:dyDescent="0.3">
      <c r="A676" s="32">
        <f>VLOOKUP(YEAR(C676),Flags!$A$13:$B$95,2,FALSE)</f>
        <v>1</v>
      </c>
      <c r="B676" s="24">
        <f t="shared" si="1054"/>
        <v>1995</v>
      </c>
      <c r="C676" s="25">
        <v>34972</v>
      </c>
      <c r="D676" s="26"/>
      <c r="E676" s="24"/>
      <c r="F676" s="26"/>
      <c r="G676" s="24"/>
      <c r="H676" s="24"/>
      <c r="I676" s="26"/>
      <c r="J676" s="24"/>
      <c r="K676" s="26">
        <f>VLOOKUP($C676,COS!$B$8:$H$991,2,FALSE)</f>
        <v>3358.360595703125</v>
      </c>
      <c r="L676" s="24">
        <f t="shared" ref="L676" si="1090">IF(AND(K676&gt;$I$7,K676&lt;$I$8),1,0)</f>
        <v>1</v>
      </c>
      <c r="M676" s="24"/>
      <c r="N676" s="26"/>
      <c r="O676" s="26"/>
      <c r="P676" s="26"/>
      <c r="Q676" s="26"/>
      <c r="R676" s="26"/>
      <c r="S676" s="26"/>
      <c r="T676" s="26"/>
      <c r="U676" s="26"/>
      <c r="V676" s="26"/>
      <c r="W676" s="26">
        <f>MAX($C$8-VLOOKUP($C676,COS!$B$8:$H$991,3,FALSE),0)</f>
        <v>88333.3603515625</v>
      </c>
      <c r="X676" s="26">
        <f t="shared" si="1086"/>
        <v>5256.1999548037193</v>
      </c>
      <c r="Y676" s="26">
        <f>VLOOKUP($C676,COS!$B$8:$H$991,4,FALSE)</f>
        <v>0</v>
      </c>
      <c r="Z676" s="26">
        <f t="shared" si="1087"/>
        <v>0</v>
      </c>
      <c r="AA676" s="26">
        <f t="shared" si="1088"/>
        <v>0</v>
      </c>
      <c r="AB676" s="33">
        <f t="shared" si="1058"/>
        <v>0</v>
      </c>
    </row>
    <row r="677" spans="1:28" x14ac:dyDescent="0.3">
      <c r="A677" s="32">
        <f>VLOOKUP(YEAR(C677),Flags!$A$13:$B$95,2,FALSE)</f>
        <v>1</v>
      </c>
      <c r="B677" s="24">
        <f t="shared" si="1054"/>
        <v>1995</v>
      </c>
      <c r="C677" s="25">
        <v>35003</v>
      </c>
      <c r="D677" s="26"/>
      <c r="E677" s="24"/>
      <c r="F677" s="26"/>
      <c r="G677" s="26"/>
      <c r="H677" s="26"/>
      <c r="I677" s="26"/>
      <c r="J677" s="26"/>
      <c r="K677" s="26"/>
      <c r="L677" s="24"/>
      <c r="M677" s="24"/>
      <c r="N677" s="26"/>
      <c r="O677" s="26"/>
      <c r="P677" s="26"/>
      <c r="Q677" s="26"/>
      <c r="R677" s="26"/>
      <c r="S677" s="26"/>
      <c r="T677" s="26"/>
      <c r="U677" s="26"/>
      <c r="V677" s="26"/>
      <c r="W677" s="26">
        <f>MAX($C$9-VLOOKUP($C677,COS!$B$8:$H$991,3,FALSE),0)</f>
        <v>92444.8486328125</v>
      </c>
      <c r="X677" s="26">
        <f t="shared" si="1086"/>
        <v>5684.2121803977279</v>
      </c>
      <c r="Y677" s="26">
        <f>VLOOKUP($C677,COS!$B$8:$H$991,4,FALSE)</f>
        <v>122.30811309814453</v>
      </c>
      <c r="Z677" s="26">
        <f t="shared" si="1087"/>
        <v>7.5204327392578127</v>
      </c>
      <c r="AA677" s="26">
        <f t="shared" si="1088"/>
        <v>122.30811309814453</v>
      </c>
      <c r="AB677" s="33">
        <f t="shared" si="1058"/>
        <v>7.5204327392578127</v>
      </c>
    </row>
    <row r="678" spans="1:28" x14ac:dyDescent="0.3">
      <c r="A678" s="32">
        <f>VLOOKUP(YEAR(C678),Flags!$A$13:$B$95,2,FALSE)</f>
        <v>1</v>
      </c>
      <c r="B678" s="24">
        <f t="shared" si="1054"/>
        <v>1995</v>
      </c>
      <c r="C678" s="25">
        <v>35033</v>
      </c>
      <c r="D678" s="26"/>
      <c r="E678" s="24"/>
      <c r="F678" s="26"/>
      <c r="G678" s="26"/>
      <c r="H678" s="26"/>
      <c r="I678" s="26"/>
      <c r="J678" s="26"/>
      <c r="K678" s="26"/>
      <c r="L678" s="24"/>
      <c r="M678" s="24"/>
      <c r="N678" s="26"/>
      <c r="O678" s="26"/>
      <c r="P678" s="26"/>
      <c r="Q678" s="26"/>
      <c r="R678" s="26"/>
      <c r="S678" s="26"/>
      <c r="T678" s="26"/>
      <c r="U678" s="26"/>
      <c r="V678" s="26"/>
      <c r="W678" s="26">
        <f>MAX($C$10-VLOOKUP($C678,COS!$B$8:$H$991,3,FALSE),0)</f>
        <v>88843.8232421875</v>
      </c>
      <c r="X678" s="26">
        <f t="shared" si="1086"/>
        <v>5286.5746061466944</v>
      </c>
      <c r="Y678" s="26">
        <f>VLOOKUP($C678,COS!$B$8:$H$991,4,FALSE)</f>
        <v>1767.1361083984375</v>
      </c>
      <c r="Z678" s="26">
        <f t="shared" si="1087"/>
        <v>105.15190066503099</v>
      </c>
      <c r="AA678" s="26">
        <f t="shared" si="1088"/>
        <v>1767.1361083984375</v>
      </c>
      <c r="AB678" s="33">
        <f t="shared" si="1058"/>
        <v>52.575950332515497</v>
      </c>
    </row>
    <row r="679" spans="1:28" x14ac:dyDescent="0.3">
      <c r="A679" s="34">
        <f>VLOOKUP(YEAR(C679),Flags!$A$13:$B$95,2,FALSE)</f>
        <v>1</v>
      </c>
      <c r="B679" s="35">
        <f t="shared" si="1054"/>
        <v>1995</v>
      </c>
      <c r="C679" s="36">
        <v>35064</v>
      </c>
      <c r="D679" s="37"/>
      <c r="E679" s="35"/>
      <c r="F679" s="37"/>
      <c r="G679" s="37"/>
      <c r="H679" s="37"/>
      <c r="I679" s="37"/>
      <c r="J679" s="37"/>
      <c r="K679" s="37"/>
      <c r="L679" s="35"/>
      <c r="M679" s="35"/>
      <c r="N679" s="37"/>
      <c r="O679" s="37"/>
      <c r="P679" s="37"/>
      <c r="Q679" s="37"/>
      <c r="R679" s="37"/>
      <c r="S679" s="37"/>
      <c r="T679" s="37"/>
      <c r="U679" s="37"/>
      <c r="V679" s="37"/>
      <c r="W679" s="37">
        <f>MAX($C$11-VLOOKUP($C679,COS!$B$8:$H$991,3,FALSE),0)</f>
        <v>0</v>
      </c>
      <c r="X679" s="37">
        <f t="shared" si="1086"/>
        <v>0</v>
      </c>
      <c r="Y679" s="37">
        <f>VLOOKUP($C679,COS!$B$8:$H$991,4,FALSE)</f>
        <v>0</v>
      </c>
      <c r="Z679" s="37">
        <f t="shared" si="1087"/>
        <v>0</v>
      </c>
      <c r="AA679" s="37">
        <f t="shared" si="1088"/>
        <v>0</v>
      </c>
      <c r="AB679" s="38">
        <f t="shared" si="1058"/>
        <v>0</v>
      </c>
    </row>
    <row r="680" spans="1:28" x14ac:dyDescent="0.3">
      <c r="A680" s="27">
        <f>VLOOKUP(YEAR(C680),Flags!$A$13:$B$95,2,FALSE)</f>
        <v>1</v>
      </c>
      <c r="B680" s="28">
        <f t="shared" si="1054"/>
        <v>1996</v>
      </c>
      <c r="C680" s="29">
        <v>35185</v>
      </c>
      <c r="D680" s="30">
        <f>VLOOKUP($C680,COS!$B$8:$H$991,3,FALSE)</f>
        <v>3250</v>
      </c>
      <c r="E680" s="28">
        <f>IF(D680&gt;=IF(MONTH($C680)=4,$C$3,IF(MONTH($C680)=5,$C$4,IF(MONTH($C680)=6,$C$5,IF(MONTH($C680)=7,$C$6,"ERROR")))),1,0)</f>
        <v>0</v>
      </c>
      <c r="F680" s="30">
        <f>VLOOKUP($C680,COS!$B$8:$H$991,7,FALSE)</f>
        <v>52.729835510253906</v>
      </c>
      <c r="G680" s="28">
        <f>IF(F680&lt;=IF(MONTH($C680)=4,$F$3,IF(MONTH($C680)=5,$F$4,IF(MONTH($C680)=6,$F$5,IF(MONTH($C680)=7,$F$6,"ERROR")))),1,0)</f>
        <v>1</v>
      </c>
      <c r="H680" s="30">
        <f>IF(J680=1,D680-$C$3,0)</f>
        <v>0</v>
      </c>
      <c r="I680" s="30">
        <f t="shared" si="1083"/>
        <v>0</v>
      </c>
      <c r="J680" s="28">
        <f t="shared" ref="J680:J683" si="1091">IF(AND(E680=1,G680=1),1,0)</f>
        <v>0</v>
      </c>
      <c r="K680" s="30">
        <f>VLOOKUP($C680,COS!$B$8:$H$991,2,FALSE)</f>
        <v>4477.14208984375</v>
      </c>
      <c r="L680" s="28">
        <f t="shared" ref="L680" si="1092">IF(K680&lt;=IF(MONTH($C680)=4,$I$3,IF(MONTH($C680)=5,$I$4,IF(MONTH($C680)=6,$I$5,IF(MONTH($C680)=7,$I$6,"ERROR")))),1,0)</f>
        <v>1</v>
      </c>
      <c r="M680" s="28">
        <f t="shared" ref="M680" si="1093">VLOOKUP($A680,$L$3:$M$7,2,FALSE)</f>
        <v>0</v>
      </c>
      <c r="N680" s="30">
        <f>VLOOKUP($C680,COS!$B$8:$H$991,5,FALSE)</f>
        <v>334.49749755859375</v>
      </c>
      <c r="O680" s="30">
        <f t="shared" ref="O680:O683" si="1094">N680*DAY($C680)*86400/43560/1000</f>
        <v>19.903983325800617</v>
      </c>
      <c r="P680" s="30">
        <f>VLOOKUP($C680,COS!$B$8:$H$991,6,FALSE)</f>
        <v>392.12069702148438</v>
      </c>
      <c r="Q680" s="30">
        <f t="shared" ref="Q680:Q683" si="1095">P680*DAY($C680)*86400/43560/1000</f>
        <v>23.332801806237086</v>
      </c>
      <c r="R680" s="30">
        <f>MIN(IF(MONTH($C680)=4,$S$3,IF(MONTH($C680)=5,$S$4,IF(MONTH($C680)=6,$S$5,IF(MONTH($C680)=7,$S$6,"ERROR")))),MAX(VLOOKUP($C680,COS!$B$8:$K$991,10,FALSE)-IF(MONTH($C680)=4,$Y$3,IF(MONTH($C680)=5,$Y$4,IF(MONTH($C680)=6,$Y$5,IF(MONTH($C680)=7,$Y$6,"ERROR")))),0),MAX(VLOOKUP($C680,COS!$B$8:$K$991,9,FALSE)-IF(MONTH($C680)=4,$V$3,IF(MONTH($C680)=5,$V$4,IF(MONTH($C680)=6,$V$5,IF(MONTH($C680)=7,$V$6,"ERROR"))))-VLOOKUP($C680,COS!$B$8:$K$991,6,FALSE)/2,0))</f>
        <v>750</v>
      </c>
      <c r="S680" s="30">
        <f t="shared" ref="S680:S683" si="1096">R680*DAY($C680)*86400/43560/1000</f>
        <v>44.628099173553714</v>
      </c>
      <c r="T680" s="30">
        <f t="shared" ref="T680:T683" si="1097">(O680+Q680)/2+S680</f>
        <v>66.246491739572562</v>
      </c>
      <c r="U680" s="30" t="str">
        <f>IF(VLOOKUP($C680,COS!$B$8:$I$991,8,FALSE)=1,"UWFE","IBU")</f>
        <v>UWFE</v>
      </c>
      <c r="V680" s="30">
        <f t="shared" ref="V680" si="1098">MIN(IF(IF($AA$3=2,AND(E680=1,G680=1,L680=1,L685=1,M680=1,U680="IBU"),AND(E680=1,G680=1,L680=1,L685=1,M680=1)),T680,0),I680)</f>
        <v>0</v>
      </c>
      <c r="W680" s="30"/>
      <c r="X680" s="30"/>
      <c r="Y680" s="30"/>
      <c r="Z680" s="30"/>
      <c r="AA680" s="30"/>
      <c r="AB680" s="31"/>
    </row>
    <row r="681" spans="1:28" x14ac:dyDescent="0.3">
      <c r="A681" s="32">
        <f>VLOOKUP(YEAR(C681),Flags!$A$13:$B$95,2,FALSE)</f>
        <v>1</v>
      </c>
      <c r="B681" s="24">
        <f t="shared" si="1054"/>
        <v>1996</v>
      </c>
      <c r="C681" s="25">
        <v>35216</v>
      </c>
      <c r="D681" s="26">
        <f>VLOOKUP($C681,COS!$B$8:$H$991,3,FALSE)</f>
        <v>10559.1572265625</v>
      </c>
      <c r="E681" s="24">
        <f>IF(D681&gt;=IF(MONTH($C681)=4,$C$3,IF(MONTH($C681)=5,$C$4,IF(MONTH($C681)=6,$C$5,IF(MONTH($C681)=7,$C$6,"ERROR")))),1,0)</f>
        <v>1</v>
      </c>
      <c r="F681" s="26">
        <f>VLOOKUP($C681,COS!$B$8:$H$991,7,FALSE)</f>
        <v>51.389583587646484</v>
      </c>
      <c r="G681" s="24">
        <f>IF(F681&lt;=IF(MONTH($C681)=4,$F$3,IF(MONTH($C681)=5,$F$4,IF(MONTH($C681)=6,$F$5,IF(MONTH($C681)=7,$F$6,"ERROR")))),1,0)</f>
        <v>1</v>
      </c>
      <c r="H681" s="26">
        <f>IF(J681=1,D681-$C$4,0)</f>
        <v>4559.1572265625</v>
      </c>
      <c r="I681" s="26">
        <f t="shared" si="1083"/>
        <v>280.33165095557848</v>
      </c>
      <c r="J681" s="24">
        <f t="shared" si="1091"/>
        <v>1</v>
      </c>
      <c r="K681" s="26">
        <f>VLOOKUP($C681,COS!$B$8:$H$991,2,FALSE)</f>
        <v>4552</v>
      </c>
      <c r="L681" s="24">
        <f t="shared" si="1046"/>
        <v>1</v>
      </c>
      <c r="M681" s="24">
        <f t="shared" si="1047"/>
        <v>0</v>
      </c>
      <c r="N681" s="26">
        <f>VLOOKUP($C681,COS!$B$8:$H$991,5,FALSE)</f>
        <v>391.34814453125</v>
      </c>
      <c r="O681" s="26">
        <f t="shared" si="1094"/>
        <v>24.063059465392563</v>
      </c>
      <c r="P681" s="26">
        <f>VLOOKUP($C681,COS!$B$8:$H$991,6,FALSE)</f>
        <v>1692.3414306640625</v>
      </c>
      <c r="Q681" s="26">
        <f t="shared" si="1095"/>
        <v>104.05801854661674</v>
      </c>
      <c r="R681" s="26">
        <f>MIN(IF(MONTH($C681)=4,$S$3,IF(MONTH($C681)=5,$S$4,IF(MONTH($C681)=6,$S$5,IF(MONTH($C681)=7,$S$6,"ERROR")))),MAX(VLOOKUP($C681,COS!$B$8:$K$991,10,FALSE)-IF(MONTH($C681)=4,$Y$3,IF(MONTH($C681)=5,$Y$4,IF(MONTH($C681)=6,$Y$5,IF(MONTH($C681)=7,$Y$6,"ERROR")))),0),MAX(VLOOKUP($C681,COS!$B$8:$K$991,9,FALSE)-IF(MONTH($C681)=4,$V$3,IF(MONTH($C681)=5,$V$4,IF(MONTH($C681)=6,$V$5,IF(MONTH($C681)=7,$V$6,"ERROR"))))-VLOOKUP($C681,COS!$B$8:$K$991,6,FALSE)/2,0))</f>
        <v>750</v>
      </c>
      <c r="S681" s="26">
        <f t="shared" si="1096"/>
        <v>46.115702479338843</v>
      </c>
      <c r="T681" s="26">
        <f t="shared" si="1097"/>
        <v>110.1762414853435</v>
      </c>
      <c r="U681" s="26" t="str">
        <f>IF(VLOOKUP($C681,COS!$B$8:$I$991,8,FALSE)=1,"UWFE","IBU")</f>
        <v>UWFE</v>
      </c>
      <c r="V681" s="26">
        <f t="shared" ref="V681" si="1099">MIN(IF(IF($AA$3=2,AND(E681=1,G681=1,L681=1,L685=1,M681=1,U681="IBU"),AND(E681=1,G681=1,L681=1,L685=1,M681=1)),T681,0),I681)</f>
        <v>0</v>
      </c>
      <c r="W681" s="26"/>
      <c r="X681" s="26"/>
      <c r="Y681" s="26"/>
      <c r="Z681" s="26"/>
      <c r="AA681" s="26"/>
      <c r="AB681" s="33"/>
    </row>
    <row r="682" spans="1:28" x14ac:dyDescent="0.3">
      <c r="A682" s="32">
        <f>VLOOKUP(YEAR(C682),Flags!$A$13:$B$95,2,FALSE)</f>
        <v>1</v>
      </c>
      <c r="B682" s="24">
        <f t="shared" si="1054"/>
        <v>1996</v>
      </c>
      <c r="C682" s="25">
        <v>35246</v>
      </c>
      <c r="D682" s="26">
        <f>VLOOKUP($C682,COS!$B$8:$H$991,3,FALSE)</f>
        <v>7585.73583984375</v>
      </c>
      <c r="E682" s="24">
        <f>IF(D682&gt;=IF(MONTH($C682)=4,$C$3,IF(MONTH($C682)=5,$C$4,IF(MONTH($C682)=6,$C$5,IF(MONTH($C682)=7,$C$6,"ERROR")))),1,0)</f>
        <v>0</v>
      </c>
      <c r="F682" s="26">
        <f>VLOOKUP($C682,COS!$B$8:$H$991,7,FALSE)</f>
        <v>53.900276184082031</v>
      </c>
      <c r="G682" s="24">
        <f>IF(F682&lt;=IF(MONTH($C682)=4,$F$3,IF(MONTH($C682)=5,$F$4,IF(MONTH($C682)=6,$F$5,IF(MONTH($C682)=7,$F$6,"ERROR")))),1,0)</f>
        <v>1</v>
      </c>
      <c r="H682" s="26">
        <f>IF(J682=1,D682-$C$5,0)</f>
        <v>0</v>
      </c>
      <c r="I682" s="26">
        <f t="shared" si="1083"/>
        <v>0</v>
      </c>
      <c r="J682" s="24">
        <f t="shared" si="1091"/>
        <v>0</v>
      </c>
      <c r="K682" s="26">
        <f>VLOOKUP($C682,COS!$B$8:$H$991,2,FALSE)</f>
        <v>4421.00390625</v>
      </c>
      <c r="L682" s="24">
        <f t="shared" si="1046"/>
        <v>1</v>
      </c>
      <c r="M682" s="24">
        <f t="shared" si="1047"/>
        <v>0</v>
      </c>
      <c r="N682" s="26">
        <f>VLOOKUP($C682,COS!$B$8:$H$991,5,FALSE)</f>
        <v>1206.450439453125</v>
      </c>
      <c r="O682" s="26">
        <f t="shared" si="1094"/>
        <v>71.788786479855375</v>
      </c>
      <c r="P682" s="26">
        <f>VLOOKUP($C682,COS!$B$8:$H$991,6,FALSE)</f>
        <v>2328.534912109375</v>
      </c>
      <c r="Q682" s="26">
        <f t="shared" si="1095"/>
        <v>138.55744931559917</v>
      </c>
      <c r="R682" s="26">
        <f>MIN(IF(MONTH($C682)=4,$S$3,IF(MONTH($C682)=5,$S$4,IF(MONTH($C682)=6,$S$5,IF(MONTH($C682)=7,$S$6,"ERROR")))),MAX(VLOOKUP($C682,COS!$B$8:$K$991,10,FALSE)-IF(MONTH($C682)=4,$Y$3,IF(MONTH($C682)=5,$Y$4,IF(MONTH($C682)=6,$Y$5,IF(MONTH($C682)=7,$Y$6,"ERROR")))),0),MAX(VLOOKUP($C682,COS!$B$8:$K$991,9,FALSE)-IF(MONTH($C682)=4,$V$3,IF(MONTH($C682)=5,$V$4,IF(MONTH($C682)=6,$V$5,IF(MONTH($C682)=7,$V$6,"ERROR"))))-VLOOKUP($C682,COS!$B$8:$K$991,6,FALSE)/2,0))</f>
        <v>750</v>
      </c>
      <c r="S682" s="26">
        <f t="shared" si="1096"/>
        <v>44.628099173553714</v>
      </c>
      <c r="T682" s="26">
        <f t="shared" si="1097"/>
        <v>149.801217071281</v>
      </c>
      <c r="U682" s="26" t="str">
        <f>IF(VLOOKUP($C682,COS!$B$8:$I$991,8,FALSE)=1,"UWFE","IBU")</f>
        <v>UWFE</v>
      </c>
      <c r="V682" s="26">
        <f t="shared" ref="V682" si="1100">MIN(IF(IF($AA$3=2,AND(E682=1,G682=1,L682=1,L685=1,M682=1,U682="IBU"),AND(E682=1,G682=1,L682=1,L685=1,M682=1)),T682,0),I682)</f>
        <v>0</v>
      </c>
      <c r="W682" s="26"/>
      <c r="X682" s="26"/>
      <c r="Y682" s="26"/>
      <c r="Z682" s="26"/>
      <c r="AA682" s="26"/>
      <c r="AB682" s="33"/>
    </row>
    <row r="683" spans="1:28" x14ac:dyDescent="0.3">
      <c r="A683" s="32">
        <f>VLOOKUP(YEAR(C683),Flags!$A$13:$B$95,2,FALSE)</f>
        <v>1</v>
      </c>
      <c r="B683" s="24">
        <f t="shared" si="1054"/>
        <v>1996</v>
      </c>
      <c r="C683" s="25">
        <v>35277</v>
      </c>
      <c r="D683" s="26">
        <f>VLOOKUP($C683,COS!$B$8:$H$991,3,FALSE)</f>
        <v>15098.107421875</v>
      </c>
      <c r="E683" s="24">
        <f>IF(D683&gt;=IF(MONTH($C683)=4,$C$3,IF(MONTH($C683)=5,$C$4,IF(MONTH($C683)=6,$C$5,IF(MONTH($C683)=7,$C$6,"ERROR")))),1,0)</f>
        <v>1</v>
      </c>
      <c r="F683" s="26">
        <f>VLOOKUP($C683,COS!$B$8:$H$991,7,FALSE)</f>
        <v>53.102745056152344</v>
      </c>
      <c r="G683" s="24">
        <f>IF(F683&lt;=IF(MONTH($C683)=4,$F$3,IF(MONTH($C683)=5,$F$4,IF(MONTH($C683)=6,$F$5,IF(MONTH($C683)=7,$F$6,"ERROR")))),1,0)</f>
        <v>1</v>
      </c>
      <c r="H683" s="26">
        <f>IF(J683=1,D683-$C$6,0)</f>
        <v>3098.107421875</v>
      </c>
      <c r="I683" s="26">
        <f t="shared" si="1083"/>
        <v>190.49520015495867</v>
      </c>
      <c r="J683" s="24">
        <f t="shared" si="1091"/>
        <v>1</v>
      </c>
      <c r="K683" s="26">
        <f>VLOOKUP($C683,COS!$B$8:$H$991,2,FALSE)</f>
        <v>3708.637451171875</v>
      </c>
      <c r="L683" s="24">
        <f t="shared" si="1046"/>
        <v>1</v>
      </c>
      <c r="M683" s="24">
        <f t="shared" si="1047"/>
        <v>0</v>
      </c>
      <c r="N683" s="26">
        <f>VLOOKUP($C683,COS!$B$8:$H$991,5,FALSE)</f>
        <v>1377.7275390625</v>
      </c>
      <c r="O683" s="26">
        <f t="shared" si="1094"/>
        <v>84.713164385330572</v>
      </c>
      <c r="P683" s="26">
        <f>VLOOKUP($C683,COS!$B$8:$H$991,6,FALSE)</f>
        <v>2521.474853515625</v>
      </c>
      <c r="Q683" s="26">
        <f t="shared" si="1095"/>
        <v>155.0394455384814</v>
      </c>
      <c r="R683" s="26">
        <f>MIN(IF(MONTH($C683)=4,$S$3,IF(MONTH($C683)=5,$S$4,IF(MONTH($C683)=6,$S$5,IF(MONTH($C683)=7,$S$6,"ERROR")))),MAX(VLOOKUP($C683,COS!$B$8:$K$991,10,FALSE)-IF(MONTH($C683)=4,$Y$3,IF(MONTH($C683)=5,$Y$4,IF(MONTH($C683)=6,$Y$5,IF(MONTH($C683)=7,$Y$6,"ERROR")))),0),MAX(VLOOKUP($C683,COS!$B$8:$K$991,9,FALSE)-IF(MONTH($C683)=4,$V$3,IF(MONTH($C683)=5,$V$4,IF(MONTH($C683)=6,$V$5,IF(MONTH($C683)=7,$V$6,"ERROR"))))-VLOOKUP($C683,COS!$B$8:$K$991,6,FALSE)/2,0))</f>
        <v>750</v>
      </c>
      <c r="S683" s="26">
        <f t="shared" si="1096"/>
        <v>46.115702479338843</v>
      </c>
      <c r="T683" s="26">
        <f t="shared" si="1097"/>
        <v>165.99200744124482</v>
      </c>
      <c r="U683" s="26" t="str">
        <f>IF(VLOOKUP($C683,COS!$B$8:$I$991,8,FALSE)=1,"UWFE","IBU")</f>
        <v>IBU</v>
      </c>
      <c r="V683" s="26">
        <f t="shared" ref="V683" si="1101">MIN(IF(IF($AA$3=2,AND(E683=1,G683=1,L683=1,L685=1,M683=1,U683="IBU"),AND(E683=1,G683=1,L683=1,L685=1,M683=1)),T683,0),I683)</f>
        <v>0</v>
      </c>
      <c r="W683" s="26"/>
      <c r="X683" s="26"/>
      <c r="Y683" s="26"/>
      <c r="Z683" s="26"/>
      <c r="AA683" s="26"/>
      <c r="AB683" s="33"/>
    </row>
    <row r="684" spans="1:28" x14ac:dyDescent="0.3">
      <c r="A684" s="32">
        <f>VLOOKUP(YEAR(C684),Flags!$A$13:$B$95,2,FALSE)</f>
        <v>1</v>
      </c>
      <c r="B684" s="24">
        <f t="shared" si="1054"/>
        <v>1996</v>
      </c>
      <c r="C684" s="25">
        <v>35308</v>
      </c>
      <c r="D684" s="26"/>
      <c r="E684" s="24"/>
      <c r="F684" s="26"/>
      <c r="G684" s="24"/>
      <c r="H684" s="24"/>
      <c r="I684" s="26"/>
      <c r="J684" s="24"/>
      <c r="K684" s="26"/>
      <c r="L684" s="24"/>
      <c r="M684" s="24"/>
      <c r="N684" s="26"/>
      <c r="O684" s="26"/>
      <c r="P684" s="26"/>
      <c r="Q684" s="26"/>
      <c r="R684" s="26"/>
      <c r="S684" s="26"/>
      <c r="T684" s="26"/>
      <c r="U684" s="26"/>
      <c r="V684" s="26"/>
      <c r="W684" s="26">
        <f>MAX($C$7-VLOOKUP($C684,COS!$B$8:$H$991,3,FALSE),0)</f>
        <v>90642.01953125</v>
      </c>
      <c r="X684" s="26">
        <f t="shared" si="1086"/>
        <v>5573.3605397727279</v>
      </c>
      <c r="Y684" s="26">
        <f>VLOOKUP($C684,COS!$B$8:$H$991,4,FALSE)</f>
        <v>0</v>
      </c>
      <c r="Z684" s="26">
        <f t="shared" si="1087"/>
        <v>0</v>
      </c>
      <c r="AA684" s="26">
        <f t="shared" ref="AA684:AA688" si="1102">MIN(W684,Y684)</f>
        <v>0</v>
      </c>
      <c r="AB684" s="33">
        <f t="shared" ref="AB684" si="1103">AA684*DAY($C684)*86400/43560/1000*IF(MONTH($C684)=8,$P$3,IF(MONTH($C684)=9,$P$4,IF(MONTH($C684)=10,$P$5,IF(MONTH($C684)=11,$P$6,IF(MONTH($C684)=12,$P$7,NA())))))</f>
        <v>0</v>
      </c>
    </row>
    <row r="685" spans="1:28" x14ac:dyDescent="0.3">
      <c r="A685" s="32">
        <f>VLOOKUP(YEAR(C685),Flags!$A$13:$B$95,2,FALSE)</f>
        <v>1</v>
      </c>
      <c r="B685" s="24">
        <f t="shared" si="1054"/>
        <v>1996</v>
      </c>
      <c r="C685" s="25">
        <v>35338</v>
      </c>
      <c r="D685" s="26"/>
      <c r="E685" s="24"/>
      <c r="F685" s="26"/>
      <c r="G685" s="24"/>
      <c r="H685" s="24"/>
      <c r="I685" s="26"/>
      <c r="J685" s="24"/>
      <c r="K685" s="26">
        <f>VLOOKUP($C685,COS!$B$8:$H$991,2,FALSE)</f>
        <v>3012.986572265625</v>
      </c>
      <c r="L685" s="24">
        <f t="shared" ref="L685" si="1104">IF(AND(K685&gt;$I$7,K685&lt;$I$8),1,0)</f>
        <v>1</v>
      </c>
      <c r="M685" s="24"/>
      <c r="N685" s="26"/>
      <c r="O685" s="26"/>
      <c r="P685" s="26"/>
      <c r="Q685" s="26"/>
      <c r="R685" s="26"/>
      <c r="S685" s="26"/>
      <c r="T685" s="26"/>
      <c r="U685" s="26"/>
      <c r="V685" s="26"/>
      <c r="W685" s="26">
        <f>MAX($C$8-VLOOKUP($C685,COS!$B$8:$H$991,3,FALSE),0)</f>
        <v>87735.287109375</v>
      </c>
      <c r="X685" s="26">
        <f t="shared" si="1086"/>
        <v>5220.612125516529</v>
      </c>
      <c r="Y685" s="26">
        <f>VLOOKUP($C685,COS!$B$8:$H$991,4,FALSE)</f>
        <v>0</v>
      </c>
      <c r="Z685" s="26">
        <f t="shared" si="1087"/>
        <v>0</v>
      </c>
      <c r="AA685" s="26">
        <f t="shared" si="1102"/>
        <v>0</v>
      </c>
      <c r="AB685" s="33">
        <f t="shared" si="1058"/>
        <v>0</v>
      </c>
    </row>
    <row r="686" spans="1:28" x14ac:dyDescent="0.3">
      <c r="A686" s="32">
        <f>VLOOKUP(YEAR(C686),Flags!$A$13:$B$95,2,FALSE)</f>
        <v>1</v>
      </c>
      <c r="B686" s="24">
        <f t="shared" si="1054"/>
        <v>1996</v>
      </c>
      <c r="C686" s="25">
        <v>35369</v>
      </c>
      <c r="D686" s="26"/>
      <c r="E686" s="24"/>
      <c r="F686" s="26"/>
      <c r="G686" s="26"/>
      <c r="H686" s="26"/>
      <c r="I686" s="26"/>
      <c r="J686" s="26"/>
      <c r="K686" s="26"/>
      <c r="L686" s="24"/>
      <c r="M686" s="24"/>
      <c r="N686" s="26"/>
      <c r="O686" s="26"/>
      <c r="P686" s="26"/>
      <c r="Q686" s="26"/>
      <c r="R686" s="26"/>
      <c r="S686" s="26"/>
      <c r="T686" s="26"/>
      <c r="U686" s="26"/>
      <c r="V686" s="26"/>
      <c r="W686" s="26">
        <f>MAX($C$9-VLOOKUP($C686,COS!$B$8:$H$991,3,FALSE),0)</f>
        <v>90257.6123046875</v>
      </c>
      <c r="X686" s="26">
        <f t="shared" si="1086"/>
        <v>5549.7242607179751</v>
      </c>
      <c r="Y686" s="26">
        <f>VLOOKUP($C686,COS!$B$8:$H$991,4,FALSE)</f>
        <v>729.4923095703125</v>
      </c>
      <c r="Z686" s="26">
        <f t="shared" si="1087"/>
        <v>44.854733745480374</v>
      </c>
      <c r="AA686" s="26">
        <f t="shared" si="1102"/>
        <v>729.4923095703125</v>
      </c>
      <c r="AB686" s="33">
        <f t="shared" si="1058"/>
        <v>44.854733745480374</v>
      </c>
    </row>
    <row r="687" spans="1:28" x14ac:dyDescent="0.3">
      <c r="A687" s="32">
        <f>VLOOKUP(YEAR(C687),Flags!$A$13:$B$95,2,FALSE)</f>
        <v>1</v>
      </c>
      <c r="B687" s="24">
        <f t="shared" si="1054"/>
        <v>1996</v>
      </c>
      <c r="C687" s="25">
        <v>35399</v>
      </c>
      <c r="D687" s="26"/>
      <c r="E687" s="24"/>
      <c r="F687" s="26"/>
      <c r="G687" s="26"/>
      <c r="H687" s="26"/>
      <c r="I687" s="26"/>
      <c r="J687" s="26"/>
      <c r="K687" s="26"/>
      <c r="L687" s="24"/>
      <c r="M687" s="24"/>
      <c r="N687" s="26"/>
      <c r="O687" s="26"/>
      <c r="P687" s="26"/>
      <c r="Q687" s="26"/>
      <c r="R687" s="26"/>
      <c r="S687" s="26"/>
      <c r="T687" s="26"/>
      <c r="U687" s="26"/>
      <c r="V687" s="26"/>
      <c r="W687" s="26">
        <f>MAX($C$10-VLOOKUP($C687,COS!$B$8:$H$991,3,FALSE),0)</f>
        <v>89483.75</v>
      </c>
      <c r="X687" s="26">
        <f t="shared" si="1086"/>
        <v>5324.6528925619832</v>
      </c>
      <c r="Y687" s="26">
        <f>VLOOKUP($C687,COS!$B$8:$H$991,4,FALSE)</f>
        <v>1822.423095703125</v>
      </c>
      <c r="Z687" s="26">
        <f t="shared" si="1087"/>
        <v>108.44170486828513</v>
      </c>
      <c r="AA687" s="26">
        <f t="shared" si="1102"/>
        <v>1822.423095703125</v>
      </c>
      <c r="AB687" s="33">
        <f t="shared" si="1058"/>
        <v>54.220852434142564</v>
      </c>
    </row>
    <row r="688" spans="1:28" x14ac:dyDescent="0.3">
      <c r="A688" s="34">
        <f>VLOOKUP(YEAR(C688),Flags!$A$13:$B$95,2,FALSE)</f>
        <v>1</v>
      </c>
      <c r="B688" s="35">
        <f t="shared" si="1054"/>
        <v>1996</v>
      </c>
      <c r="C688" s="36">
        <v>35430</v>
      </c>
      <c r="D688" s="37"/>
      <c r="E688" s="35"/>
      <c r="F688" s="37"/>
      <c r="G688" s="37"/>
      <c r="H688" s="37"/>
      <c r="I688" s="37"/>
      <c r="J688" s="37"/>
      <c r="K688" s="37"/>
      <c r="L688" s="35"/>
      <c r="M688" s="35"/>
      <c r="N688" s="37"/>
      <c r="O688" s="37"/>
      <c r="P688" s="37"/>
      <c r="Q688" s="37"/>
      <c r="R688" s="37"/>
      <c r="S688" s="37"/>
      <c r="T688" s="37"/>
      <c r="U688" s="37"/>
      <c r="V688" s="37"/>
      <c r="W688" s="37">
        <f>MAX($C$11-VLOOKUP($C688,COS!$B$8:$H$991,3,FALSE),0)</f>
        <v>0</v>
      </c>
      <c r="X688" s="37">
        <f t="shared" si="1086"/>
        <v>0</v>
      </c>
      <c r="Y688" s="37">
        <f>VLOOKUP($C688,COS!$B$8:$H$991,4,FALSE)</f>
        <v>0</v>
      </c>
      <c r="Z688" s="37">
        <f t="shared" si="1087"/>
        <v>0</v>
      </c>
      <c r="AA688" s="37">
        <f t="shared" si="1102"/>
        <v>0</v>
      </c>
      <c r="AB688" s="38">
        <f t="shared" si="1058"/>
        <v>0</v>
      </c>
    </row>
    <row r="689" spans="1:28" x14ac:dyDescent="0.3">
      <c r="A689" s="27">
        <f>VLOOKUP(YEAR(C689),Flags!$A$13:$B$95,2,FALSE)</f>
        <v>1</v>
      </c>
      <c r="B689" s="28">
        <f t="shared" si="1054"/>
        <v>1997</v>
      </c>
      <c r="C689" s="29">
        <v>35550</v>
      </c>
      <c r="D689" s="30">
        <f>VLOOKUP($C689,COS!$B$8:$H$991,3,FALSE)</f>
        <v>3250</v>
      </c>
      <c r="E689" s="28">
        <f>IF(D689&gt;=IF(MONTH($C689)=4,$C$3,IF(MONTH($C689)=5,$C$4,IF(MONTH($C689)=6,$C$5,IF(MONTH($C689)=7,$C$6,"ERROR")))),1,0)</f>
        <v>0</v>
      </c>
      <c r="F689" s="30">
        <f>VLOOKUP($C689,COS!$B$8:$H$991,7,FALSE)</f>
        <v>50.800266265869141</v>
      </c>
      <c r="G689" s="28">
        <f>IF(F689&lt;=IF(MONTH($C689)=4,$F$3,IF(MONTH($C689)=5,$F$4,IF(MONTH($C689)=6,$F$5,IF(MONTH($C689)=7,$F$6,"ERROR")))),1,0)</f>
        <v>1</v>
      </c>
      <c r="H689" s="30">
        <f>IF(J689=1,D689-$C$3,0)</f>
        <v>0</v>
      </c>
      <c r="I689" s="30">
        <f t="shared" si="1083"/>
        <v>0</v>
      </c>
      <c r="J689" s="28">
        <f t="shared" ref="J689:J692" si="1105">IF(AND(E689=1,G689=1),1,0)</f>
        <v>0</v>
      </c>
      <c r="K689" s="30">
        <f>VLOOKUP($C689,COS!$B$8:$H$991,2,FALSE)</f>
        <v>4284.2431640625</v>
      </c>
      <c r="L689" s="28">
        <f t="shared" ref="L689" si="1106">IF(K689&lt;=IF(MONTH($C689)=4,$I$3,IF(MONTH($C689)=5,$I$4,IF(MONTH($C689)=6,$I$5,IF(MONTH($C689)=7,$I$6,"ERROR")))),1,0)</f>
        <v>1</v>
      </c>
      <c r="M689" s="28">
        <f t="shared" ref="M689" si="1107">VLOOKUP($A689,$L$3:$M$7,2,FALSE)</f>
        <v>0</v>
      </c>
      <c r="N689" s="30">
        <f>VLOOKUP($C689,COS!$B$8:$H$991,5,FALSE)</f>
        <v>312.31362915039063</v>
      </c>
      <c r="O689" s="30">
        <f t="shared" ref="O689:O692" si="1108">N689*DAY($C689)*86400/43560/1000</f>
        <v>18.583951486634813</v>
      </c>
      <c r="P689" s="30">
        <f>VLOOKUP($C689,COS!$B$8:$H$991,6,FALSE)</f>
        <v>564.39752197265625</v>
      </c>
      <c r="Q689" s="30">
        <f t="shared" ref="Q689:Q692" si="1109">P689*DAY($C689)*86400/43560/1000</f>
        <v>33.583984778538223</v>
      </c>
      <c r="R689" s="30">
        <f>MIN(IF(MONTH($C689)=4,$S$3,IF(MONTH($C689)=5,$S$4,IF(MONTH($C689)=6,$S$5,IF(MONTH($C689)=7,$S$6,"ERROR")))),MAX(VLOOKUP($C689,COS!$B$8:$K$991,10,FALSE)-IF(MONTH($C689)=4,$Y$3,IF(MONTH($C689)=5,$Y$4,IF(MONTH($C689)=6,$Y$5,IF(MONTH($C689)=7,$Y$6,"ERROR")))),0),MAX(VLOOKUP($C689,COS!$B$8:$K$991,9,FALSE)-IF(MONTH($C689)=4,$V$3,IF(MONTH($C689)=5,$V$4,IF(MONTH($C689)=6,$V$5,IF(MONTH($C689)=7,$V$6,"ERROR"))))-VLOOKUP($C689,COS!$B$8:$K$991,6,FALSE)/2,0))</f>
        <v>750</v>
      </c>
      <c r="S689" s="30">
        <f t="shared" ref="S689:S692" si="1110">R689*DAY($C689)*86400/43560/1000</f>
        <v>44.628099173553714</v>
      </c>
      <c r="T689" s="30">
        <f t="shared" ref="T689:T692" si="1111">(O689+Q689)/2+S689</f>
        <v>70.712067306140227</v>
      </c>
      <c r="U689" s="30" t="str">
        <f>IF(VLOOKUP($C689,COS!$B$8:$I$991,8,FALSE)=1,"UWFE","IBU")</f>
        <v>UWFE</v>
      </c>
      <c r="V689" s="30">
        <f t="shared" ref="V689" si="1112">MIN(IF(IF($AA$3=2,AND(E689=1,G689=1,L689=1,L694=1,M689=1,U689="IBU"),AND(E689=1,G689=1,L689=1,L694=1,M689=1)),T689,0),I689)</f>
        <v>0</v>
      </c>
      <c r="W689" s="30"/>
      <c r="X689" s="30"/>
      <c r="Y689" s="30"/>
      <c r="Z689" s="30"/>
      <c r="AA689" s="30"/>
      <c r="AB689" s="31"/>
    </row>
    <row r="690" spans="1:28" x14ac:dyDescent="0.3">
      <c r="A690" s="32">
        <f>VLOOKUP(YEAR(C690),Flags!$A$13:$B$95,2,FALSE)</f>
        <v>1</v>
      </c>
      <c r="B690" s="24">
        <f t="shared" si="1054"/>
        <v>1997</v>
      </c>
      <c r="C690" s="25">
        <v>35581</v>
      </c>
      <c r="D690" s="26">
        <f>VLOOKUP($C690,COS!$B$8:$H$991,3,FALSE)</f>
        <v>8600.0205078125</v>
      </c>
      <c r="E690" s="24">
        <f>IF(D690&gt;=IF(MONTH($C690)=4,$C$3,IF(MONTH($C690)=5,$C$4,IF(MONTH($C690)=6,$C$5,IF(MONTH($C690)=7,$C$6,"ERROR")))),1,0)</f>
        <v>1</v>
      </c>
      <c r="F690" s="26">
        <f>VLOOKUP($C690,COS!$B$8:$H$991,7,FALSE)</f>
        <v>50.114212036132813</v>
      </c>
      <c r="G690" s="24">
        <f>IF(F690&lt;=IF(MONTH($C690)=4,$F$3,IF(MONTH($C690)=5,$F$4,IF(MONTH($C690)=6,$F$5,IF(MONTH($C690)=7,$F$6,"ERROR")))),1,0)</f>
        <v>1</v>
      </c>
      <c r="H690" s="26">
        <f>IF(J690=1,D690-$C$4,0)</f>
        <v>2600.0205078125</v>
      </c>
      <c r="I690" s="26">
        <f t="shared" si="1083"/>
        <v>159.86902957128098</v>
      </c>
      <c r="J690" s="24">
        <f t="shared" si="1105"/>
        <v>1</v>
      </c>
      <c r="K690" s="26">
        <f>VLOOKUP($C690,COS!$B$8:$H$991,2,FALSE)</f>
        <v>4051.203369140625</v>
      </c>
      <c r="L690" s="24">
        <f t="shared" si="1046"/>
        <v>1</v>
      </c>
      <c r="M690" s="24">
        <f t="shared" si="1047"/>
        <v>0</v>
      </c>
      <c r="N690" s="26">
        <f>VLOOKUP($C690,COS!$B$8:$H$991,5,FALSE)</f>
        <v>869.624755859375</v>
      </c>
      <c r="O690" s="26">
        <f t="shared" si="1108"/>
        <v>53.471142013171487</v>
      </c>
      <c r="P690" s="26">
        <f>VLOOKUP($C690,COS!$B$8:$H$991,6,FALSE)</f>
        <v>2219.110107421875</v>
      </c>
      <c r="Q690" s="26">
        <f t="shared" si="1109"/>
        <v>136.44776197701447</v>
      </c>
      <c r="R690" s="26">
        <f>MIN(IF(MONTH($C690)=4,$S$3,IF(MONTH($C690)=5,$S$4,IF(MONTH($C690)=6,$S$5,IF(MONTH($C690)=7,$S$6,"ERROR")))),MAX(VLOOKUP($C690,COS!$B$8:$K$991,10,FALSE)-IF(MONTH($C690)=4,$Y$3,IF(MONTH($C690)=5,$Y$4,IF(MONTH($C690)=6,$Y$5,IF(MONTH($C690)=7,$Y$6,"ERROR")))),0),MAX(VLOOKUP($C690,COS!$B$8:$K$991,9,FALSE)-IF(MONTH($C690)=4,$V$3,IF(MONTH($C690)=5,$V$4,IF(MONTH($C690)=6,$V$5,IF(MONTH($C690)=7,$V$6,"ERROR"))))-VLOOKUP($C690,COS!$B$8:$K$991,6,FALSE)/2,0))</f>
        <v>750</v>
      </c>
      <c r="S690" s="26">
        <f t="shared" si="1110"/>
        <v>46.115702479338843</v>
      </c>
      <c r="T690" s="26">
        <f t="shared" si="1111"/>
        <v>141.07515447443183</v>
      </c>
      <c r="U690" s="26" t="str">
        <f>IF(VLOOKUP($C690,COS!$B$8:$I$991,8,FALSE)=1,"UWFE","IBU")</f>
        <v>UWFE</v>
      </c>
      <c r="V690" s="26">
        <f t="shared" ref="V690" si="1113">MIN(IF(IF($AA$3=2,AND(E690=1,G690=1,L690=1,L694=1,M690=1,U690="IBU"),AND(E690=1,G690=1,L690=1,L694=1,M690=1)),T690,0),I690)</f>
        <v>0</v>
      </c>
      <c r="W690" s="26"/>
      <c r="X690" s="26"/>
      <c r="Y690" s="26"/>
      <c r="Z690" s="26"/>
      <c r="AA690" s="26"/>
      <c r="AB690" s="33"/>
    </row>
    <row r="691" spans="1:28" x14ac:dyDescent="0.3">
      <c r="A691" s="32">
        <f>VLOOKUP(YEAR(C691),Flags!$A$13:$B$95,2,FALSE)</f>
        <v>1</v>
      </c>
      <c r="B691" s="24">
        <f t="shared" si="1054"/>
        <v>1997</v>
      </c>
      <c r="C691" s="25">
        <v>35611</v>
      </c>
      <c r="D691" s="26">
        <f>VLOOKUP($C691,COS!$B$8:$H$991,3,FALSE)</f>
        <v>8785.2919921875</v>
      </c>
      <c r="E691" s="24">
        <f>IF(D691&gt;=IF(MONTH($C691)=4,$C$3,IF(MONTH($C691)=5,$C$4,IF(MONTH($C691)=6,$C$5,IF(MONTH($C691)=7,$C$6,"ERROR")))),1,0)</f>
        <v>0</v>
      </c>
      <c r="F691" s="26">
        <f>VLOOKUP($C691,COS!$B$8:$H$991,7,FALSE)</f>
        <v>50.868202209472656</v>
      </c>
      <c r="G691" s="24">
        <f>IF(F691&lt;=IF(MONTH($C691)=4,$F$3,IF(MONTH($C691)=5,$F$4,IF(MONTH($C691)=6,$F$5,IF(MONTH($C691)=7,$F$6,"ERROR")))),1,0)</f>
        <v>1</v>
      </c>
      <c r="H691" s="26">
        <f>IF(J691=1,D691-$C$5,0)</f>
        <v>0</v>
      </c>
      <c r="I691" s="26">
        <f t="shared" si="1083"/>
        <v>0</v>
      </c>
      <c r="J691" s="24">
        <f t="shared" si="1105"/>
        <v>0</v>
      </c>
      <c r="K691" s="26">
        <f>VLOOKUP($C691,COS!$B$8:$H$991,2,FALSE)</f>
        <v>3776.169677734375</v>
      </c>
      <c r="L691" s="24">
        <f t="shared" si="1046"/>
        <v>1</v>
      </c>
      <c r="M691" s="24">
        <f t="shared" si="1047"/>
        <v>0</v>
      </c>
      <c r="N691" s="26">
        <f>VLOOKUP($C691,COS!$B$8:$H$991,5,FALSE)</f>
        <v>771.67578125</v>
      </c>
      <c r="O691" s="26">
        <f t="shared" si="1108"/>
        <v>45.917897727272731</v>
      </c>
      <c r="P691" s="26">
        <f>VLOOKUP($C691,COS!$B$8:$H$991,6,FALSE)</f>
        <v>2299.130615234375</v>
      </c>
      <c r="Q691" s="26">
        <f t="shared" si="1109"/>
        <v>136.80777214617768</v>
      </c>
      <c r="R691" s="26">
        <f>MIN(IF(MONTH($C691)=4,$S$3,IF(MONTH($C691)=5,$S$4,IF(MONTH($C691)=6,$S$5,IF(MONTH($C691)=7,$S$6,"ERROR")))),MAX(VLOOKUP($C691,COS!$B$8:$K$991,10,FALSE)-IF(MONTH($C691)=4,$Y$3,IF(MONTH($C691)=5,$Y$4,IF(MONTH($C691)=6,$Y$5,IF(MONTH($C691)=7,$Y$6,"ERROR")))),0),MAX(VLOOKUP($C691,COS!$B$8:$K$991,9,FALSE)-IF(MONTH($C691)=4,$V$3,IF(MONTH($C691)=5,$V$4,IF(MONTH($C691)=6,$V$5,IF(MONTH($C691)=7,$V$6,"ERROR"))))-VLOOKUP($C691,COS!$B$8:$K$991,6,FALSE)/2,0))</f>
        <v>750</v>
      </c>
      <c r="S691" s="26">
        <f t="shared" si="1110"/>
        <v>44.628099173553714</v>
      </c>
      <c r="T691" s="26">
        <f t="shared" si="1111"/>
        <v>135.99093411027891</v>
      </c>
      <c r="U691" s="26" t="str">
        <f>IF(VLOOKUP($C691,COS!$B$8:$I$991,8,FALSE)=1,"UWFE","IBU")</f>
        <v>IBU</v>
      </c>
      <c r="V691" s="26">
        <f t="shared" ref="V691" si="1114">MIN(IF(IF($AA$3=2,AND(E691=1,G691=1,L691=1,L694=1,M691=1,U691="IBU"),AND(E691=1,G691=1,L691=1,L694=1,M691=1)),T691,0),I691)</f>
        <v>0</v>
      </c>
      <c r="W691" s="26"/>
      <c r="X691" s="26"/>
      <c r="Y691" s="26"/>
      <c r="Z691" s="26"/>
      <c r="AA691" s="26"/>
      <c r="AB691" s="33"/>
    </row>
    <row r="692" spans="1:28" x14ac:dyDescent="0.3">
      <c r="A692" s="32">
        <f>VLOOKUP(YEAR(C692),Flags!$A$13:$B$95,2,FALSE)</f>
        <v>1</v>
      </c>
      <c r="B692" s="24">
        <f t="shared" si="1054"/>
        <v>1997</v>
      </c>
      <c r="C692" s="25">
        <v>35642</v>
      </c>
      <c r="D692" s="26">
        <f>VLOOKUP($C692,COS!$B$8:$H$991,3,FALSE)</f>
        <v>15565.1083984375</v>
      </c>
      <c r="E692" s="24">
        <f>IF(D692&gt;=IF(MONTH($C692)=4,$C$3,IF(MONTH($C692)=5,$C$4,IF(MONTH($C692)=6,$C$5,IF(MONTH($C692)=7,$C$6,"ERROR")))),1,0)</f>
        <v>1</v>
      </c>
      <c r="F692" s="26">
        <f>VLOOKUP($C692,COS!$B$8:$H$991,7,FALSE)</f>
        <v>51.028911590576172</v>
      </c>
      <c r="G692" s="24">
        <f>IF(F692&lt;=IF(MONTH($C692)=4,$F$3,IF(MONTH($C692)=5,$F$4,IF(MONTH($C692)=6,$F$5,IF(MONTH($C692)=7,$F$6,"ERROR")))),1,0)</f>
        <v>1</v>
      </c>
      <c r="H692" s="26">
        <f>IF(J692=1,D692-$C$6,0)</f>
        <v>3565.1083984375</v>
      </c>
      <c r="I692" s="26">
        <f t="shared" si="1083"/>
        <v>219.20997094524793</v>
      </c>
      <c r="J692" s="24">
        <f t="shared" si="1105"/>
        <v>1</v>
      </c>
      <c r="K692" s="26">
        <f>VLOOKUP($C692,COS!$B$8:$H$991,2,FALSE)</f>
        <v>3132.19189453125</v>
      </c>
      <c r="L692" s="24">
        <f t="shared" si="1046"/>
        <v>1</v>
      </c>
      <c r="M692" s="24">
        <f t="shared" si="1047"/>
        <v>0</v>
      </c>
      <c r="N692" s="26">
        <f>VLOOKUP($C692,COS!$B$8:$H$991,5,FALSE)</f>
        <v>889.0089111328125</v>
      </c>
      <c r="O692" s="26">
        <f t="shared" si="1108"/>
        <v>54.663027263042359</v>
      </c>
      <c r="P692" s="26">
        <f>VLOOKUP($C692,COS!$B$8:$H$991,6,FALSE)</f>
        <v>2607.468505859375</v>
      </c>
      <c r="Q692" s="26">
        <f t="shared" si="1109"/>
        <v>160.32698912060951</v>
      </c>
      <c r="R692" s="26">
        <f>MIN(IF(MONTH($C692)=4,$S$3,IF(MONTH($C692)=5,$S$4,IF(MONTH($C692)=6,$S$5,IF(MONTH($C692)=7,$S$6,"ERROR")))),MAX(VLOOKUP($C692,COS!$B$8:$K$991,10,FALSE)-IF(MONTH($C692)=4,$Y$3,IF(MONTH($C692)=5,$Y$4,IF(MONTH($C692)=6,$Y$5,IF(MONTH($C692)=7,$Y$6,"ERROR")))),0),MAX(VLOOKUP($C692,COS!$B$8:$K$991,9,FALSE)-IF(MONTH($C692)=4,$V$3,IF(MONTH($C692)=5,$V$4,IF(MONTH($C692)=6,$V$5,IF(MONTH($C692)=7,$V$6,"ERROR"))))-VLOOKUP($C692,COS!$B$8:$K$991,6,FALSE)/2,0))</f>
        <v>750</v>
      </c>
      <c r="S692" s="26">
        <f t="shared" si="1110"/>
        <v>46.115702479338843</v>
      </c>
      <c r="T692" s="26">
        <f t="shared" si="1111"/>
        <v>153.61071067116478</v>
      </c>
      <c r="U692" s="26" t="str">
        <f>IF(VLOOKUP($C692,COS!$B$8:$I$991,8,FALSE)=1,"UWFE","IBU")</f>
        <v>IBU</v>
      </c>
      <c r="V692" s="26">
        <f t="shared" ref="V692" si="1115">MIN(IF(IF($AA$3=2,AND(E692=1,G692=1,L692=1,L694=1,M692=1,U692="IBU"),AND(E692=1,G692=1,L692=1,L694=1,M692=1)),T692,0),I692)</f>
        <v>0</v>
      </c>
      <c r="W692" s="26"/>
      <c r="X692" s="26"/>
      <c r="Y692" s="26"/>
      <c r="Z692" s="26"/>
      <c r="AA692" s="26"/>
      <c r="AB692" s="33"/>
    </row>
    <row r="693" spans="1:28" x14ac:dyDescent="0.3">
      <c r="A693" s="32">
        <f>VLOOKUP(YEAR(C693),Flags!$A$13:$B$95,2,FALSE)</f>
        <v>1</v>
      </c>
      <c r="B693" s="24">
        <f t="shared" si="1054"/>
        <v>1997</v>
      </c>
      <c r="C693" s="25">
        <v>35673</v>
      </c>
      <c r="D693" s="26"/>
      <c r="E693" s="24"/>
      <c r="F693" s="26"/>
      <c r="G693" s="24"/>
      <c r="H693" s="24"/>
      <c r="I693" s="26"/>
      <c r="J693" s="24"/>
      <c r="K693" s="26"/>
      <c r="L693" s="24"/>
      <c r="M693" s="24"/>
      <c r="N693" s="26"/>
      <c r="O693" s="26"/>
      <c r="P693" s="26"/>
      <c r="Q693" s="26"/>
      <c r="R693" s="26"/>
      <c r="S693" s="26"/>
      <c r="T693" s="26"/>
      <c r="U693" s="26"/>
      <c r="V693" s="26"/>
      <c r="W693" s="26">
        <f>MAX($C$7-VLOOKUP($C693,COS!$B$8:$H$991,3,FALSE),0)</f>
        <v>91754.5810546875</v>
      </c>
      <c r="X693" s="26">
        <f t="shared" si="1086"/>
        <v>5641.7692813791327</v>
      </c>
      <c r="Y693" s="26">
        <f>VLOOKUP($C693,COS!$B$8:$H$991,4,FALSE)</f>
        <v>0</v>
      </c>
      <c r="Z693" s="26">
        <f t="shared" si="1087"/>
        <v>0</v>
      </c>
      <c r="AA693" s="26">
        <f t="shared" ref="AA693:AA697" si="1116">MIN(W693,Y693)</f>
        <v>0</v>
      </c>
      <c r="AB693" s="33">
        <f t="shared" ref="AB693" si="1117">AA693*DAY($C693)*86400/43560/1000*IF(MONTH($C693)=8,$P$3,IF(MONTH($C693)=9,$P$4,IF(MONTH($C693)=10,$P$5,IF(MONTH($C693)=11,$P$6,IF(MONTH($C693)=12,$P$7,NA())))))</f>
        <v>0</v>
      </c>
    </row>
    <row r="694" spans="1:28" x14ac:dyDescent="0.3">
      <c r="A694" s="32">
        <f>VLOOKUP(YEAR(C694),Flags!$A$13:$B$95,2,FALSE)</f>
        <v>1</v>
      </c>
      <c r="B694" s="24">
        <f t="shared" si="1054"/>
        <v>1997</v>
      </c>
      <c r="C694" s="25">
        <v>35703</v>
      </c>
      <c r="D694" s="26"/>
      <c r="E694" s="24"/>
      <c r="F694" s="26"/>
      <c r="G694" s="24"/>
      <c r="H694" s="24"/>
      <c r="I694" s="26"/>
      <c r="J694" s="24"/>
      <c r="K694" s="26">
        <f>VLOOKUP($C694,COS!$B$8:$H$991,2,FALSE)</f>
        <v>2308.70703125</v>
      </c>
      <c r="L694" s="24">
        <f t="shared" ref="L694" si="1118">IF(AND(K694&gt;$I$7,K694&lt;$I$8),1,0)</f>
        <v>1</v>
      </c>
      <c r="M694" s="24"/>
      <c r="N694" s="26"/>
      <c r="O694" s="26"/>
      <c r="P694" s="26"/>
      <c r="Q694" s="26"/>
      <c r="R694" s="26"/>
      <c r="S694" s="26"/>
      <c r="T694" s="26"/>
      <c r="U694" s="26"/>
      <c r="V694" s="26"/>
      <c r="W694" s="26">
        <f>MAX($C$8-VLOOKUP($C694,COS!$B$8:$H$991,3,FALSE),0)</f>
        <v>84248.9375</v>
      </c>
      <c r="X694" s="26">
        <f t="shared" si="1086"/>
        <v>5013.1599173553714</v>
      </c>
      <c r="Y694" s="26">
        <f>VLOOKUP($C694,COS!$B$8:$H$991,4,FALSE)</f>
        <v>0</v>
      </c>
      <c r="Z694" s="26">
        <f t="shared" si="1087"/>
        <v>0</v>
      </c>
      <c r="AA694" s="26">
        <f t="shared" si="1116"/>
        <v>0</v>
      </c>
      <c r="AB694" s="33">
        <f t="shared" si="1058"/>
        <v>0</v>
      </c>
    </row>
    <row r="695" spans="1:28" x14ac:dyDescent="0.3">
      <c r="A695" s="32">
        <f>VLOOKUP(YEAR(C695),Flags!$A$13:$B$95,2,FALSE)</f>
        <v>1</v>
      </c>
      <c r="B695" s="24">
        <f t="shared" si="1054"/>
        <v>1997</v>
      </c>
      <c r="C695" s="25">
        <v>35734</v>
      </c>
      <c r="D695" s="26"/>
      <c r="E695" s="24"/>
      <c r="F695" s="26"/>
      <c r="G695" s="26"/>
      <c r="H695" s="26"/>
      <c r="I695" s="26"/>
      <c r="J695" s="26"/>
      <c r="K695" s="26"/>
      <c r="L695" s="24"/>
      <c r="M695" s="24"/>
      <c r="N695" s="26"/>
      <c r="O695" s="26"/>
      <c r="P695" s="26"/>
      <c r="Q695" s="26"/>
      <c r="R695" s="26"/>
      <c r="S695" s="26"/>
      <c r="T695" s="26"/>
      <c r="U695" s="26"/>
      <c r="V695" s="26"/>
      <c r="W695" s="26">
        <f>MAX($C$9-VLOOKUP($C695,COS!$B$8:$H$991,3,FALSE),0)</f>
        <v>89158.6005859375</v>
      </c>
      <c r="X695" s="26">
        <f t="shared" si="1086"/>
        <v>5482.1486641270658</v>
      </c>
      <c r="Y695" s="26">
        <f>VLOOKUP($C695,COS!$B$8:$H$991,4,FALSE)</f>
        <v>1005.2962646484375</v>
      </c>
      <c r="Z695" s="26">
        <f t="shared" si="1087"/>
        <v>61.813257925490703</v>
      </c>
      <c r="AA695" s="26">
        <f t="shared" si="1116"/>
        <v>1005.2962646484375</v>
      </c>
      <c r="AB695" s="33">
        <f t="shared" si="1058"/>
        <v>61.813257925490703</v>
      </c>
    </row>
    <row r="696" spans="1:28" x14ac:dyDescent="0.3">
      <c r="A696" s="32">
        <f>VLOOKUP(YEAR(C696),Flags!$A$13:$B$95,2,FALSE)</f>
        <v>1</v>
      </c>
      <c r="B696" s="24">
        <f t="shared" si="1054"/>
        <v>1997</v>
      </c>
      <c r="C696" s="25">
        <v>35764</v>
      </c>
      <c r="D696" s="26"/>
      <c r="E696" s="24"/>
      <c r="F696" s="26"/>
      <c r="G696" s="26"/>
      <c r="H696" s="26"/>
      <c r="I696" s="26"/>
      <c r="J696" s="26"/>
      <c r="K696" s="26"/>
      <c r="L696" s="24"/>
      <c r="M696" s="24"/>
      <c r="N696" s="26"/>
      <c r="O696" s="26"/>
      <c r="P696" s="26"/>
      <c r="Q696" s="26"/>
      <c r="R696" s="26"/>
      <c r="S696" s="26"/>
      <c r="T696" s="26"/>
      <c r="U696" s="26"/>
      <c r="V696" s="26"/>
      <c r="W696" s="26">
        <f>MAX($C$10-VLOOKUP($C696,COS!$B$8:$H$991,3,FALSE),0)</f>
        <v>89428.9970703125</v>
      </c>
      <c r="X696" s="26">
        <f t="shared" si="1086"/>
        <v>5321.3948669938018</v>
      </c>
      <c r="Y696" s="26">
        <f>VLOOKUP($C696,COS!$B$8:$H$991,4,FALSE)</f>
        <v>1155.107177734375</v>
      </c>
      <c r="Z696" s="26">
        <f t="shared" si="1087"/>
        <v>68.733650245351242</v>
      </c>
      <c r="AA696" s="26">
        <f t="shared" si="1116"/>
        <v>1155.107177734375</v>
      </c>
      <c r="AB696" s="33">
        <f t="shared" si="1058"/>
        <v>34.366825122675621</v>
      </c>
    </row>
    <row r="697" spans="1:28" x14ac:dyDescent="0.3">
      <c r="A697" s="34">
        <f>VLOOKUP(YEAR(C697),Flags!$A$13:$B$95,2,FALSE)</f>
        <v>1</v>
      </c>
      <c r="B697" s="35">
        <f t="shared" si="1054"/>
        <v>1997</v>
      </c>
      <c r="C697" s="36">
        <v>35795</v>
      </c>
      <c r="D697" s="37"/>
      <c r="E697" s="35"/>
      <c r="F697" s="37"/>
      <c r="G697" s="37"/>
      <c r="H697" s="37"/>
      <c r="I697" s="37"/>
      <c r="J697" s="37"/>
      <c r="K697" s="37"/>
      <c r="L697" s="35"/>
      <c r="M697" s="35"/>
      <c r="N697" s="37"/>
      <c r="O697" s="37"/>
      <c r="P697" s="37"/>
      <c r="Q697" s="37"/>
      <c r="R697" s="37"/>
      <c r="S697" s="37"/>
      <c r="T697" s="37"/>
      <c r="U697" s="37"/>
      <c r="V697" s="37"/>
      <c r="W697" s="37">
        <f>MAX($C$11-VLOOKUP($C697,COS!$B$8:$H$991,3,FALSE),0)</f>
        <v>0</v>
      </c>
      <c r="X697" s="37">
        <f t="shared" si="1086"/>
        <v>0</v>
      </c>
      <c r="Y697" s="37">
        <f>VLOOKUP($C697,COS!$B$8:$H$991,4,FALSE)</f>
        <v>0</v>
      </c>
      <c r="Z697" s="37">
        <f t="shared" si="1087"/>
        <v>0</v>
      </c>
      <c r="AA697" s="37">
        <f t="shared" si="1116"/>
        <v>0</v>
      </c>
      <c r="AB697" s="38">
        <f t="shared" si="1058"/>
        <v>0</v>
      </c>
    </row>
    <row r="698" spans="1:28" x14ac:dyDescent="0.3">
      <c r="A698" s="27">
        <f>VLOOKUP(YEAR(C698),Flags!$A$13:$B$95,2,FALSE)</f>
        <v>1</v>
      </c>
      <c r="B698" s="28">
        <f t="shared" si="1054"/>
        <v>1998</v>
      </c>
      <c r="C698" s="29">
        <v>35915</v>
      </c>
      <c r="D698" s="30">
        <f>VLOOKUP($C698,COS!$B$8:$H$991,3,FALSE)</f>
        <v>3250</v>
      </c>
      <c r="E698" s="28">
        <f>IF(D698&gt;=IF(MONTH($C698)=4,$C$3,IF(MONTH($C698)=5,$C$4,IF(MONTH($C698)=6,$C$5,IF(MONTH($C698)=7,$C$6,"ERROR")))),1,0)</f>
        <v>0</v>
      </c>
      <c r="F698" s="30">
        <f>VLOOKUP($C698,COS!$B$8:$H$991,7,FALSE)</f>
        <v>51.311630249023438</v>
      </c>
      <c r="G698" s="28">
        <f>IF(F698&lt;=IF(MONTH($C698)=4,$F$3,IF(MONTH($C698)=5,$F$4,IF(MONTH($C698)=6,$F$5,IF(MONTH($C698)=7,$F$6,"ERROR")))),1,0)</f>
        <v>1</v>
      </c>
      <c r="H698" s="30">
        <f>IF(J698=1,D698-$C$3,0)</f>
        <v>0</v>
      </c>
      <c r="I698" s="30">
        <f t="shared" si="1083"/>
        <v>0</v>
      </c>
      <c r="J698" s="28">
        <f t="shared" ref="J698:J701" si="1119">IF(AND(E698=1,G698=1),1,0)</f>
        <v>0</v>
      </c>
      <c r="K698" s="30">
        <f>VLOOKUP($C698,COS!$B$8:$H$991,2,FALSE)</f>
        <v>4367.82666015625</v>
      </c>
      <c r="L698" s="28">
        <f t="shared" ref="L698" si="1120">IF(K698&lt;=IF(MONTH($C698)=4,$I$3,IF(MONTH($C698)=5,$I$4,IF(MONTH($C698)=6,$I$5,IF(MONTH($C698)=7,$I$6,"ERROR")))),1,0)</f>
        <v>1</v>
      </c>
      <c r="M698" s="28">
        <f t="shared" ref="M698" si="1121">VLOOKUP($A698,$L$3:$M$7,2,FALSE)</f>
        <v>0</v>
      </c>
      <c r="N698" s="30">
        <f>VLOOKUP($C698,COS!$B$8:$H$991,5,FALSE)</f>
        <v>36.427017211914063</v>
      </c>
      <c r="O698" s="30">
        <f t="shared" ref="O698:O701" si="1122">N698*DAY($C698)*86400/43560/1000</f>
        <v>2.1675580489733988</v>
      </c>
      <c r="P698" s="30">
        <f>VLOOKUP($C698,COS!$B$8:$H$991,6,FALSE)</f>
        <v>359.47348022460938</v>
      </c>
      <c r="Q698" s="30">
        <f t="shared" ref="Q698:Q701" si="1123">P698*DAY($C698)*86400/43560/1000</f>
        <v>21.390157500968492</v>
      </c>
      <c r="R698" s="30">
        <f>MIN(IF(MONTH($C698)=4,$S$3,IF(MONTH($C698)=5,$S$4,IF(MONTH($C698)=6,$S$5,IF(MONTH($C698)=7,$S$6,"ERROR")))),MAX(VLOOKUP($C698,COS!$B$8:$K$991,10,FALSE)-IF(MONTH($C698)=4,$Y$3,IF(MONTH($C698)=5,$Y$4,IF(MONTH($C698)=6,$Y$5,IF(MONTH($C698)=7,$Y$6,"ERROR")))),0),MAX(VLOOKUP($C698,COS!$B$8:$K$991,9,FALSE)-IF(MONTH($C698)=4,$V$3,IF(MONTH($C698)=5,$V$4,IF(MONTH($C698)=6,$V$5,IF(MONTH($C698)=7,$V$6,"ERROR"))))-VLOOKUP($C698,COS!$B$8:$K$991,6,FALSE)/2,0))</f>
        <v>750</v>
      </c>
      <c r="S698" s="30">
        <f t="shared" ref="S698:S701" si="1124">R698*DAY($C698)*86400/43560/1000</f>
        <v>44.628099173553714</v>
      </c>
      <c r="T698" s="30">
        <f t="shared" ref="T698:T701" si="1125">(O698+Q698)/2+S698</f>
        <v>56.406956948524659</v>
      </c>
      <c r="U698" s="30" t="str">
        <f>IF(VLOOKUP($C698,COS!$B$8:$I$991,8,FALSE)=1,"UWFE","IBU")</f>
        <v>UWFE</v>
      </c>
      <c r="V698" s="30">
        <f t="shared" ref="V698" si="1126">MIN(IF(IF($AA$3=2,AND(E698=1,G698=1,L698=1,L703=1,M698=1,U698="IBU"),AND(E698=1,G698=1,L698=1,L703=1,M698=1)),T698,0),I698)</f>
        <v>0</v>
      </c>
      <c r="W698" s="30"/>
      <c r="X698" s="30"/>
      <c r="Y698" s="30"/>
      <c r="Z698" s="30"/>
      <c r="AA698" s="30"/>
      <c r="AB698" s="31"/>
    </row>
    <row r="699" spans="1:28" x14ac:dyDescent="0.3">
      <c r="A699" s="32">
        <f>VLOOKUP(YEAR(C699),Flags!$A$13:$B$95,2,FALSE)</f>
        <v>1</v>
      </c>
      <c r="B699" s="24">
        <f t="shared" si="1054"/>
        <v>1998</v>
      </c>
      <c r="C699" s="25">
        <v>35946</v>
      </c>
      <c r="D699" s="26">
        <f>VLOOKUP($C699,COS!$B$8:$H$991,3,FALSE)</f>
        <v>14100.6455078125</v>
      </c>
      <c r="E699" s="24">
        <f>IF(D699&gt;=IF(MONTH($C699)=4,$C$3,IF(MONTH($C699)=5,$C$4,IF(MONTH($C699)=6,$C$5,IF(MONTH($C699)=7,$C$6,"ERROR")))),1,0)</f>
        <v>1</v>
      </c>
      <c r="F699" s="26">
        <f>VLOOKUP($C699,COS!$B$8:$H$991,7,FALSE)</f>
        <v>48.434772491455078</v>
      </c>
      <c r="G699" s="24">
        <f>IF(F699&lt;=IF(MONTH($C699)=4,$F$3,IF(MONTH($C699)=5,$F$4,IF(MONTH($C699)=6,$F$5,IF(MONTH($C699)=7,$F$6,"ERROR")))),1,0)</f>
        <v>1</v>
      </c>
      <c r="H699" s="26">
        <f>IF(J699=1,D699-$C$4,0)</f>
        <v>8100.6455078125</v>
      </c>
      <c r="I699" s="26">
        <f t="shared" si="1083"/>
        <v>498.08927750516534</v>
      </c>
      <c r="J699" s="24">
        <f t="shared" si="1119"/>
        <v>1</v>
      </c>
      <c r="K699" s="26">
        <f>VLOOKUP($C699,COS!$B$8:$H$991,2,FALSE)</f>
        <v>4552</v>
      </c>
      <c r="L699" s="24">
        <f t="shared" si="1046"/>
        <v>1</v>
      </c>
      <c r="M699" s="24">
        <f t="shared" si="1047"/>
        <v>0</v>
      </c>
      <c r="N699" s="26">
        <f>VLOOKUP($C699,COS!$B$8:$H$991,5,FALSE)</f>
        <v>95.197517395019531</v>
      </c>
      <c r="O699" s="26">
        <f t="shared" si="1122"/>
        <v>5.8534671852805396</v>
      </c>
      <c r="P699" s="26">
        <f>VLOOKUP($C699,COS!$B$8:$H$991,6,FALSE)</f>
        <v>1202.3902587890625</v>
      </c>
      <c r="Q699" s="26">
        <f t="shared" si="1123"/>
        <v>73.932095251162181</v>
      </c>
      <c r="R699" s="26">
        <f>MIN(IF(MONTH($C699)=4,$S$3,IF(MONTH($C699)=5,$S$4,IF(MONTH($C699)=6,$S$5,IF(MONTH($C699)=7,$S$6,"ERROR")))),MAX(VLOOKUP($C699,COS!$B$8:$K$991,10,FALSE)-IF(MONTH($C699)=4,$Y$3,IF(MONTH($C699)=5,$Y$4,IF(MONTH($C699)=6,$Y$5,IF(MONTH($C699)=7,$Y$6,"ERROR")))),0),MAX(VLOOKUP($C699,COS!$B$8:$K$991,9,FALSE)-IF(MONTH($C699)=4,$V$3,IF(MONTH($C699)=5,$V$4,IF(MONTH($C699)=6,$V$5,IF(MONTH($C699)=7,$V$6,"ERROR"))))-VLOOKUP($C699,COS!$B$8:$K$991,6,FALSE)/2,0))</f>
        <v>750</v>
      </c>
      <c r="S699" s="26">
        <f t="shared" si="1124"/>
        <v>46.115702479338843</v>
      </c>
      <c r="T699" s="26">
        <f t="shared" si="1125"/>
        <v>86.008483697560195</v>
      </c>
      <c r="U699" s="26" t="str">
        <f>IF(VLOOKUP($C699,COS!$B$8:$I$991,8,FALSE)=1,"UWFE","IBU")</f>
        <v>UWFE</v>
      </c>
      <c r="V699" s="26">
        <f t="shared" ref="V699" si="1127">MIN(IF(IF($AA$3=2,AND(E699=1,G699=1,L699=1,L703=1,M699=1,U699="IBU"),AND(E699=1,G699=1,L699=1,L703=1,M699=1)),T699,0),I699)</f>
        <v>0</v>
      </c>
      <c r="W699" s="26"/>
      <c r="X699" s="26"/>
      <c r="Y699" s="26"/>
      <c r="Z699" s="26"/>
      <c r="AA699" s="26"/>
      <c r="AB699" s="33"/>
    </row>
    <row r="700" spans="1:28" x14ac:dyDescent="0.3">
      <c r="A700" s="32">
        <f>VLOOKUP(YEAR(C700),Flags!$A$13:$B$95,2,FALSE)</f>
        <v>1</v>
      </c>
      <c r="B700" s="24">
        <f t="shared" si="1054"/>
        <v>1998</v>
      </c>
      <c r="C700" s="25">
        <v>35976</v>
      </c>
      <c r="D700" s="26">
        <f>VLOOKUP($C700,COS!$B$8:$H$991,3,FALSE)</f>
        <v>16775.65625</v>
      </c>
      <c r="E700" s="24">
        <f>IF(D700&gt;=IF(MONTH($C700)=4,$C$3,IF(MONTH($C700)=5,$C$4,IF(MONTH($C700)=6,$C$5,IF(MONTH($C700)=7,$C$6,"ERROR")))),1,0)</f>
        <v>1</v>
      </c>
      <c r="F700" s="26">
        <f>VLOOKUP($C700,COS!$B$8:$H$991,7,FALSE)</f>
        <v>50.810955047607422</v>
      </c>
      <c r="G700" s="24">
        <f>IF(F700&lt;=IF(MONTH($C700)=4,$F$3,IF(MONTH($C700)=5,$F$4,IF(MONTH($C700)=6,$F$5,IF(MONTH($C700)=7,$F$6,"ERROR")))),1,0)</f>
        <v>1</v>
      </c>
      <c r="H700" s="26">
        <f>IF(J700=1,D700-$C$5,0)</f>
        <v>6775.65625</v>
      </c>
      <c r="I700" s="26">
        <f t="shared" si="1083"/>
        <v>403.17954545454546</v>
      </c>
      <c r="J700" s="24">
        <f t="shared" si="1119"/>
        <v>1</v>
      </c>
      <c r="K700" s="26">
        <f>VLOOKUP($C700,COS!$B$8:$H$991,2,FALSE)</f>
        <v>4500</v>
      </c>
      <c r="L700" s="24">
        <f t="shared" si="1046"/>
        <v>1</v>
      </c>
      <c r="M700" s="24">
        <f t="shared" si="1047"/>
        <v>0</v>
      </c>
      <c r="N700" s="26">
        <f>VLOOKUP($C700,COS!$B$8:$H$991,5,FALSE)</f>
        <v>1109.75537109375</v>
      </c>
      <c r="O700" s="26">
        <f t="shared" si="1122"/>
        <v>66.035030346074379</v>
      </c>
      <c r="P700" s="26">
        <f>VLOOKUP($C700,COS!$B$8:$H$991,6,FALSE)</f>
        <v>2242.28173828125</v>
      </c>
      <c r="Q700" s="26">
        <f t="shared" si="1123"/>
        <v>133.42502905475206</v>
      </c>
      <c r="R700" s="26">
        <f>MIN(IF(MONTH($C700)=4,$S$3,IF(MONTH($C700)=5,$S$4,IF(MONTH($C700)=6,$S$5,IF(MONTH($C700)=7,$S$6,"ERROR")))),MAX(VLOOKUP($C700,COS!$B$8:$K$991,10,FALSE)-IF(MONTH($C700)=4,$Y$3,IF(MONTH($C700)=5,$Y$4,IF(MONTH($C700)=6,$Y$5,IF(MONTH($C700)=7,$Y$6,"ERROR")))),0),MAX(VLOOKUP($C700,COS!$B$8:$K$991,9,FALSE)-IF(MONTH($C700)=4,$V$3,IF(MONTH($C700)=5,$V$4,IF(MONTH($C700)=6,$V$5,IF(MONTH($C700)=7,$V$6,"ERROR"))))-VLOOKUP($C700,COS!$B$8:$K$991,6,FALSE)/2,0))</f>
        <v>750</v>
      </c>
      <c r="S700" s="26">
        <f t="shared" si="1124"/>
        <v>44.628099173553714</v>
      </c>
      <c r="T700" s="26">
        <f t="shared" si="1125"/>
        <v>144.35812887396693</v>
      </c>
      <c r="U700" s="26" t="str">
        <f>IF(VLOOKUP($C700,COS!$B$8:$I$991,8,FALSE)=1,"UWFE","IBU")</f>
        <v>UWFE</v>
      </c>
      <c r="V700" s="26">
        <f t="shared" ref="V700" si="1128">MIN(IF(IF($AA$3=2,AND(E700=1,G700=1,L700=1,L703=1,M700=1,U700="IBU"),AND(E700=1,G700=1,L700=1,L703=1,M700=1)),T700,0),I700)</f>
        <v>0</v>
      </c>
      <c r="W700" s="26"/>
      <c r="X700" s="26"/>
      <c r="Y700" s="26"/>
      <c r="Z700" s="26"/>
      <c r="AA700" s="26"/>
      <c r="AB700" s="33"/>
    </row>
    <row r="701" spans="1:28" x14ac:dyDescent="0.3">
      <c r="A701" s="32">
        <f>VLOOKUP(YEAR(C701),Flags!$A$13:$B$95,2,FALSE)</f>
        <v>1</v>
      </c>
      <c r="B701" s="24">
        <f t="shared" si="1054"/>
        <v>1998</v>
      </c>
      <c r="C701" s="25">
        <v>36007</v>
      </c>
      <c r="D701" s="26">
        <f>VLOOKUP($C701,COS!$B$8:$H$991,3,FALSE)</f>
        <v>14362.4873046875</v>
      </c>
      <c r="E701" s="24">
        <f>IF(D701&gt;=IF(MONTH($C701)=4,$C$3,IF(MONTH($C701)=5,$C$4,IF(MONTH($C701)=6,$C$5,IF(MONTH($C701)=7,$C$6,"ERROR")))),1,0)</f>
        <v>1</v>
      </c>
      <c r="F701" s="26">
        <f>VLOOKUP($C701,COS!$B$8:$H$991,7,FALSE)</f>
        <v>53.361946105957031</v>
      </c>
      <c r="G701" s="24">
        <f>IF(F701&lt;=IF(MONTH($C701)=4,$F$3,IF(MONTH($C701)=5,$F$4,IF(MONTH($C701)=6,$F$5,IF(MONTH($C701)=7,$F$6,"ERROR")))),1,0)</f>
        <v>1</v>
      </c>
      <c r="H701" s="26">
        <f>IF(J701=1,D701-$C$6,0)</f>
        <v>2362.4873046875</v>
      </c>
      <c r="I701" s="26">
        <f t="shared" si="1083"/>
        <v>145.2636822055785</v>
      </c>
      <c r="J701" s="24">
        <f t="shared" si="1119"/>
        <v>1</v>
      </c>
      <c r="K701" s="26">
        <f>VLOOKUP($C701,COS!$B$8:$H$991,2,FALSE)</f>
        <v>4150</v>
      </c>
      <c r="L701" s="24">
        <f t="shared" si="1046"/>
        <v>1</v>
      </c>
      <c r="M701" s="24">
        <f t="shared" si="1047"/>
        <v>0</v>
      </c>
      <c r="N701" s="26">
        <f>VLOOKUP($C701,COS!$B$8:$H$991,5,FALSE)</f>
        <v>1396.974609375</v>
      </c>
      <c r="O701" s="26">
        <f t="shared" si="1122"/>
        <v>85.896620609504126</v>
      </c>
      <c r="P701" s="26">
        <f>VLOOKUP($C701,COS!$B$8:$H$991,6,FALSE)</f>
        <v>2616.67822265625</v>
      </c>
      <c r="Q701" s="26">
        <f t="shared" si="1123"/>
        <v>160.89327253357436</v>
      </c>
      <c r="R701" s="26">
        <f>MIN(IF(MONTH($C701)=4,$S$3,IF(MONTH($C701)=5,$S$4,IF(MONTH($C701)=6,$S$5,IF(MONTH($C701)=7,$S$6,"ERROR")))),MAX(VLOOKUP($C701,COS!$B$8:$K$991,10,FALSE)-IF(MONTH($C701)=4,$Y$3,IF(MONTH($C701)=5,$Y$4,IF(MONTH($C701)=6,$Y$5,IF(MONTH($C701)=7,$Y$6,"ERROR")))),0),MAX(VLOOKUP($C701,COS!$B$8:$K$991,9,FALSE)-IF(MONTH($C701)=4,$V$3,IF(MONTH($C701)=5,$V$4,IF(MONTH($C701)=6,$V$5,IF(MONTH($C701)=7,$V$6,"ERROR"))))-VLOOKUP($C701,COS!$B$8:$K$991,6,FALSE)/2,0))</f>
        <v>750</v>
      </c>
      <c r="S701" s="26">
        <f t="shared" si="1124"/>
        <v>46.115702479338843</v>
      </c>
      <c r="T701" s="26">
        <f t="shared" si="1125"/>
        <v>169.51064905087807</v>
      </c>
      <c r="U701" s="26" t="str">
        <f>IF(VLOOKUP($C701,COS!$B$8:$I$991,8,FALSE)=1,"UWFE","IBU")</f>
        <v>UWFE</v>
      </c>
      <c r="V701" s="26">
        <f t="shared" ref="V701" si="1129">MIN(IF(IF($AA$3=2,AND(E701=1,G701=1,L701=1,L703=1,M701=1,U701="IBU"),AND(E701=1,G701=1,L701=1,L703=1,M701=1)),T701,0),I701)</f>
        <v>0</v>
      </c>
      <c r="W701" s="26"/>
      <c r="X701" s="26"/>
      <c r="Y701" s="26"/>
      <c r="Z701" s="26"/>
      <c r="AA701" s="26"/>
      <c r="AB701" s="33"/>
    </row>
    <row r="702" spans="1:28" x14ac:dyDescent="0.3">
      <c r="A702" s="32">
        <f>VLOOKUP(YEAR(C702),Flags!$A$13:$B$95,2,FALSE)</f>
        <v>1</v>
      </c>
      <c r="B702" s="24">
        <f t="shared" si="1054"/>
        <v>1998</v>
      </c>
      <c r="C702" s="25">
        <v>36038</v>
      </c>
      <c r="D702" s="26"/>
      <c r="E702" s="24"/>
      <c r="F702" s="26"/>
      <c r="G702" s="24"/>
      <c r="H702" s="24"/>
      <c r="I702" s="26"/>
      <c r="J702" s="24"/>
      <c r="K702" s="26"/>
      <c r="L702" s="24"/>
      <c r="M702" s="24"/>
      <c r="N702" s="26"/>
      <c r="O702" s="26"/>
      <c r="P702" s="26"/>
      <c r="Q702" s="26"/>
      <c r="R702" s="26"/>
      <c r="S702" s="26"/>
      <c r="T702" s="26"/>
      <c r="U702" s="26"/>
      <c r="V702" s="26"/>
      <c r="W702" s="26">
        <f>MAX($C$7-VLOOKUP($C702,COS!$B$8:$H$991,3,FALSE),0)</f>
        <v>86468.90625</v>
      </c>
      <c r="X702" s="26">
        <f t="shared" si="1086"/>
        <v>5316.765805785124</v>
      </c>
      <c r="Y702" s="26">
        <f>VLOOKUP($C702,COS!$B$8:$H$991,4,FALSE)</f>
        <v>0</v>
      </c>
      <c r="Z702" s="26">
        <f t="shared" si="1087"/>
        <v>0</v>
      </c>
      <c r="AA702" s="26">
        <f t="shared" ref="AA702:AA706" si="1130">MIN(W702,Y702)</f>
        <v>0</v>
      </c>
      <c r="AB702" s="33">
        <f t="shared" ref="AB702" si="1131">AA702*DAY($C702)*86400/43560/1000*IF(MONTH($C702)=8,$P$3,IF(MONTH($C702)=9,$P$4,IF(MONTH($C702)=10,$P$5,IF(MONTH($C702)=11,$P$6,IF(MONTH($C702)=12,$P$7,NA())))))</f>
        <v>0</v>
      </c>
    </row>
    <row r="703" spans="1:28" x14ac:dyDescent="0.3">
      <c r="A703" s="32">
        <f>VLOOKUP(YEAR(C703),Flags!$A$13:$B$95,2,FALSE)</f>
        <v>1</v>
      </c>
      <c r="B703" s="24">
        <f t="shared" si="1054"/>
        <v>1998</v>
      </c>
      <c r="C703" s="25">
        <v>36068</v>
      </c>
      <c r="D703" s="26"/>
      <c r="E703" s="24"/>
      <c r="F703" s="26"/>
      <c r="G703" s="24"/>
      <c r="H703" s="24"/>
      <c r="I703" s="26"/>
      <c r="J703" s="24"/>
      <c r="K703" s="26">
        <f>VLOOKUP($C703,COS!$B$8:$H$991,2,FALSE)</f>
        <v>3400</v>
      </c>
      <c r="L703" s="24">
        <f t="shared" ref="L703" si="1132">IF(AND(K703&gt;$I$7,K703&lt;$I$8),1,0)</f>
        <v>1</v>
      </c>
      <c r="M703" s="24"/>
      <c r="N703" s="26"/>
      <c r="O703" s="26"/>
      <c r="P703" s="26"/>
      <c r="Q703" s="26"/>
      <c r="R703" s="26"/>
      <c r="S703" s="26"/>
      <c r="T703" s="26"/>
      <c r="U703" s="26"/>
      <c r="V703" s="26"/>
      <c r="W703" s="26">
        <f>MAX($C$8-VLOOKUP($C703,COS!$B$8:$H$991,3,FALSE),0)</f>
        <v>88005.72265625</v>
      </c>
      <c r="X703" s="26">
        <f t="shared" si="1086"/>
        <v>5236.7041580578507</v>
      </c>
      <c r="Y703" s="26">
        <f>VLOOKUP($C703,COS!$B$8:$H$991,4,FALSE)</f>
        <v>0</v>
      </c>
      <c r="Z703" s="26">
        <f t="shared" si="1087"/>
        <v>0</v>
      </c>
      <c r="AA703" s="26">
        <f t="shared" si="1130"/>
        <v>0</v>
      </c>
      <c r="AB703" s="33">
        <f t="shared" si="1058"/>
        <v>0</v>
      </c>
    </row>
    <row r="704" spans="1:28" x14ac:dyDescent="0.3">
      <c r="A704" s="32">
        <f>VLOOKUP(YEAR(C704),Flags!$A$13:$B$95,2,FALSE)</f>
        <v>1</v>
      </c>
      <c r="B704" s="24">
        <f t="shared" si="1054"/>
        <v>1998</v>
      </c>
      <c r="C704" s="25">
        <v>36099</v>
      </c>
      <c r="D704" s="26"/>
      <c r="E704" s="24"/>
      <c r="F704" s="26"/>
      <c r="G704" s="26"/>
      <c r="H704" s="26"/>
      <c r="I704" s="26"/>
      <c r="J704" s="26"/>
      <c r="K704" s="26"/>
      <c r="L704" s="24"/>
      <c r="M704" s="24"/>
      <c r="N704" s="26"/>
      <c r="O704" s="26"/>
      <c r="P704" s="26"/>
      <c r="Q704" s="26"/>
      <c r="R704" s="26"/>
      <c r="S704" s="26"/>
      <c r="T704" s="26"/>
      <c r="U704" s="26"/>
      <c r="V704" s="26"/>
      <c r="W704" s="26">
        <f>MAX($C$9-VLOOKUP($C704,COS!$B$8:$H$991,3,FALSE),0)</f>
        <v>90740.13671875</v>
      </c>
      <c r="X704" s="26">
        <f t="shared" si="1086"/>
        <v>5579.3935304752067</v>
      </c>
      <c r="Y704" s="26">
        <f>VLOOKUP($C704,COS!$B$8:$H$991,4,FALSE)</f>
        <v>53.249282836914063</v>
      </c>
      <c r="Z704" s="26">
        <f t="shared" si="1087"/>
        <v>3.2741707793937245</v>
      </c>
      <c r="AA704" s="26">
        <f t="shared" si="1130"/>
        <v>53.249282836914063</v>
      </c>
      <c r="AB704" s="33">
        <f t="shared" si="1058"/>
        <v>3.2741707793937245</v>
      </c>
    </row>
    <row r="705" spans="1:28" x14ac:dyDescent="0.3">
      <c r="A705" s="32">
        <f>VLOOKUP(YEAR(C705),Flags!$A$13:$B$95,2,FALSE)</f>
        <v>1</v>
      </c>
      <c r="B705" s="24">
        <f t="shared" si="1054"/>
        <v>1998</v>
      </c>
      <c r="C705" s="25">
        <v>36129</v>
      </c>
      <c r="D705" s="26"/>
      <c r="E705" s="24"/>
      <c r="F705" s="26"/>
      <c r="G705" s="26"/>
      <c r="H705" s="26"/>
      <c r="I705" s="26"/>
      <c r="J705" s="26"/>
      <c r="K705" s="26"/>
      <c r="L705" s="24"/>
      <c r="M705" s="24"/>
      <c r="N705" s="26"/>
      <c r="O705" s="26"/>
      <c r="P705" s="26"/>
      <c r="Q705" s="26"/>
      <c r="R705" s="26"/>
      <c r="S705" s="26"/>
      <c r="T705" s="26"/>
      <c r="U705" s="26"/>
      <c r="V705" s="26"/>
      <c r="W705" s="26">
        <f>MAX($C$10-VLOOKUP($C705,COS!$B$8:$H$991,3,FALSE),0)</f>
        <v>88483.4296875</v>
      </c>
      <c r="X705" s="26">
        <f t="shared" si="1086"/>
        <v>5265.129700413223</v>
      </c>
      <c r="Y705" s="26">
        <f>VLOOKUP($C705,COS!$B$8:$H$991,4,FALSE)</f>
        <v>0</v>
      </c>
      <c r="Z705" s="26">
        <f t="shared" si="1087"/>
        <v>0</v>
      </c>
      <c r="AA705" s="26">
        <f t="shared" si="1130"/>
        <v>0</v>
      </c>
      <c r="AB705" s="33">
        <f t="shared" si="1058"/>
        <v>0</v>
      </c>
    </row>
    <row r="706" spans="1:28" x14ac:dyDescent="0.3">
      <c r="A706" s="34">
        <f>VLOOKUP(YEAR(C706),Flags!$A$13:$B$95,2,FALSE)</f>
        <v>1</v>
      </c>
      <c r="B706" s="35">
        <f t="shared" si="1054"/>
        <v>1998</v>
      </c>
      <c r="C706" s="36">
        <v>36160</v>
      </c>
      <c r="D706" s="37"/>
      <c r="E706" s="35"/>
      <c r="F706" s="37"/>
      <c r="G706" s="37"/>
      <c r="H706" s="37"/>
      <c r="I706" s="37"/>
      <c r="J706" s="37"/>
      <c r="K706" s="37"/>
      <c r="L706" s="35"/>
      <c r="M706" s="35"/>
      <c r="N706" s="37"/>
      <c r="O706" s="37"/>
      <c r="P706" s="37"/>
      <c r="Q706" s="37"/>
      <c r="R706" s="37"/>
      <c r="S706" s="37"/>
      <c r="T706" s="37"/>
      <c r="U706" s="37"/>
      <c r="V706" s="37"/>
      <c r="W706" s="37">
        <f>MAX($C$11-VLOOKUP($C706,COS!$B$8:$H$991,3,FALSE),0)</f>
        <v>0</v>
      </c>
      <c r="X706" s="37">
        <f t="shared" si="1086"/>
        <v>0</v>
      </c>
      <c r="Y706" s="37">
        <f>VLOOKUP($C706,COS!$B$8:$H$991,4,FALSE)</f>
        <v>0</v>
      </c>
      <c r="Z706" s="37">
        <f t="shared" si="1087"/>
        <v>0</v>
      </c>
      <c r="AA706" s="37">
        <f t="shared" si="1130"/>
        <v>0</v>
      </c>
      <c r="AB706" s="38">
        <f t="shared" si="1058"/>
        <v>0</v>
      </c>
    </row>
    <row r="707" spans="1:28" x14ac:dyDescent="0.3">
      <c r="A707" s="27">
        <f>VLOOKUP(YEAR(C707),Flags!$A$13:$B$95,2,FALSE)</f>
        <v>1</v>
      </c>
      <c r="B707" s="28">
        <f t="shared" si="1054"/>
        <v>1999</v>
      </c>
      <c r="C707" s="29">
        <v>36280</v>
      </c>
      <c r="D707" s="30">
        <f>VLOOKUP($C707,COS!$B$8:$H$991,3,FALSE)</f>
        <v>3438.072509765625</v>
      </c>
      <c r="E707" s="28">
        <f>IF(D707&gt;=IF(MONTH($C707)=4,$C$3,IF(MONTH($C707)=5,$C$4,IF(MONTH($C707)=6,$C$5,IF(MONTH($C707)=7,$C$6,"ERROR")))),1,0)</f>
        <v>0</v>
      </c>
      <c r="F707" s="30">
        <f>VLOOKUP($C707,COS!$B$8:$H$991,7,FALSE)</f>
        <v>51.189750671386719</v>
      </c>
      <c r="G707" s="28">
        <f>IF(F707&lt;=IF(MONTH($C707)=4,$F$3,IF(MONTH($C707)=5,$F$4,IF(MONTH($C707)=6,$F$5,IF(MONTH($C707)=7,$F$6,"ERROR")))),1,0)</f>
        <v>1</v>
      </c>
      <c r="H707" s="30">
        <f>IF(J707=1,D707-$C$3,0)</f>
        <v>0</v>
      </c>
      <c r="I707" s="30">
        <f t="shared" si="1083"/>
        <v>0</v>
      </c>
      <c r="J707" s="28">
        <f t="shared" ref="J707:J710" si="1133">IF(AND(E707=1,G707=1),1,0)</f>
        <v>0</v>
      </c>
      <c r="K707" s="30">
        <f>VLOOKUP($C707,COS!$B$8:$H$991,2,FALSE)</f>
        <v>4552.10009765625</v>
      </c>
      <c r="L707" s="28">
        <f t="shared" ref="L707" si="1134">IF(K707&lt;=IF(MONTH($C707)=4,$I$3,IF(MONTH($C707)=5,$I$4,IF(MONTH($C707)=6,$I$5,IF(MONTH($C707)=7,$I$6,"ERROR")))),1,0)</f>
        <v>1</v>
      </c>
      <c r="M707" s="28">
        <f t="shared" ref="M707" si="1135">VLOOKUP($A707,$L$3:$M$7,2,FALSE)</f>
        <v>0</v>
      </c>
      <c r="N707" s="30">
        <f>VLOOKUP($C707,COS!$B$8:$H$991,5,FALSE)</f>
        <v>141.06893920898438</v>
      </c>
      <c r="O707" s="30">
        <f t="shared" ref="O707:O710" si="1136">N707*DAY($C707)*86400/43560/1000</f>
        <v>8.3941848124354355</v>
      </c>
      <c r="P707" s="30">
        <f>VLOOKUP($C707,COS!$B$8:$H$991,6,FALSE)</f>
        <v>412.21127319335938</v>
      </c>
      <c r="Q707" s="30">
        <f t="shared" ref="Q707:Q710" si="1137">P707*DAY($C707)*86400/43560/1000</f>
        <v>24.528274107373452</v>
      </c>
      <c r="R707" s="30">
        <f>MIN(IF(MONTH($C707)=4,$S$3,IF(MONTH($C707)=5,$S$4,IF(MONTH($C707)=6,$S$5,IF(MONTH($C707)=7,$S$6,"ERROR")))),MAX(VLOOKUP($C707,COS!$B$8:$K$991,10,FALSE)-IF(MONTH($C707)=4,$Y$3,IF(MONTH($C707)=5,$Y$4,IF(MONTH($C707)=6,$Y$5,IF(MONTH($C707)=7,$Y$6,"ERROR")))),0),MAX(VLOOKUP($C707,COS!$B$8:$K$991,9,FALSE)-IF(MONTH($C707)=4,$V$3,IF(MONTH($C707)=5,$V$4,IF(MONTH($C707)=6,$V$5,IF(MONTH($C707)=7,$V$6,"ERROR"))))-VLOOKUP($C707,COS!$B$8:$K$991,6,FALSE)/2,0))</f>
        <v>750</v>
      </c>
      <c r="S707" s="30">
        <f t="shared" ref="S707:S710" si="1138">R707*DAY($C707)*86400/43560/1000</f>
        <v>44.628099173553714</v>
      </c>
      <c r="T707" s="30">
        <f t="shared" ref="T707:T710" si="1139">(O707+Q707)/2+S707</f>
        <v>61.089328633458159</v>
      </c>
      <c r="U707" s="30" t="str">
        <f>IF(VLOOKUP($C707,COS!$B$8:$I$991,8,FALSE)=1,"UWFE","IBU")</f>
        <v>UWFE</v>
      </c>
      <c r="V707" s="30">
        <f t="shared" ref="V707" si="1140">MIN(IF(IF($AA$3=2,AND(E707=1,G707=1,L707=1,L712=1,M707=1,U707="IBU"),AND(E707=1,G707=1,L707=1,L712=1,M707=1)),T707,0),I707)</f>
        <v>0</v>
      </c>
      <c r="W707" s="30"/>
      <c r="X707" s="30"/>
      <c r="Y707" s="30"/>
      <c r="Z707" s="30"/>
      <c r="AA707" s="30"/>
      <c r="AB707" s="31"/>
    </row>
    <row r="708" spans="1:28" x14ac:dyDescent="0.3">
      <c r="A708" s="32">
        <f>VLOOKUP(YEAR(C708),Flags!$A$13:$B$95,2,FALSE)</f>
        <v>1</v>
      </c>
      <c r="B708" s="24">
        <f t="shared" si="1054"/>
        <v>1999</v>
      </c>
      <c r="C708" s="25">
        <v>36311</v>
      </c>
      <c r="D708" s="26">
        <f>VLOOKUP($C708,COS!$B$8:$H$991,3,FALSE)</f>
        <v>8437.2080078125</v>
      </c>
      <c r="E708" s="24">
        <f>IF(D708&gt;=IF(MONTH($C708)=4,$C$3,IF(MONTH($C708)=5,$C$4,IF(MONTH($C708)=6,$C$5,IF(MONTH($C708)=7,$C$6,"ERROR")))),1,0)</f>
        <v>1</v>
      </c>
      <c r="F708" s="26">
        <f>VLOOKUP($C708,COS!$B$8:$H$991,7,FALSE)</f>
        <v>50.693416595458984</v>
      </c>
      <c r="G708" s="24">
        <f>IF(F708&lt;=IF(MONTH($C708)=4,$F$3,IF(MONTH($C708)=5,$F$4,IF(MONTH($C708)=6,$F$5,IF(MONTH($C708)=7,$F$6,"ERROR")))),1,0)</f>
        <v>1</v>
      </c>
      <c r="H708" s="26">
        <f>IF(J708=1,D708-$C$4,0)</f>
        <v>2437.2080078125</v>
      </c>
      <c r="I708" s="26">
        <f t="shared" si="1083"/>
        <v>149.85807915805785</v>
      </c>
      <c r="J708" s="24">
        <f t="shared" si="1133"/>
        <v>1</v>
      </c>
      <c r="K708" s="26">
        <f>VLOOKUP($C708,COS!$B$8:$H$991,2,FALSE)</f>
        <v>4552</v>
      </c>
      <c r="L708" s="24">
        <f t="shared" si="1046"/>
        <v>1</v>
      </c>
      <c r="M708" s="24">
        <f t="shared" si="1047"/>
        <v>0</v>
      </c>
      <c r="N708" s="26">
        <f>VLOOKUP($C708,COS!$B$8:$H$991,5,FALSE)</f>
        <v>838.45135498046875</v>
      </c>
      <c r="O708" s="26">
        <f t="shared" si="1136"/>
        <v>51.55436430623709</v>
      </c>
      <c r="P708" s="26">
        <f>VLOOKUP($C708,COS!$B$8:$H$991,6,FALSE)</f>
        <v>2288.578369140625</v>
      </c>
      <c r="Q708" s="26">
        <f t="shared" si="1137"/>
        <v>140.71919889591942</v>
      </c>
      <c r="R708" s="26">
        <f>MIN(IF(MONTH($C708)=4,$S$3,IF(MONTH($C708)=5,$S$4,IF(MONTH($C708)=6,$S$5,IF(MONTH($C708)=7,$S$6,"ERROR")))),MAX(VLOOKUP($C708,COS!$B$8:$K$991,10,FALSE)-IF(MONTH($C708)=4,$Y$3,IF(MONTH($C708)=5,$Y$4,IF(MONTH($C708)=6,$Y$5,IF(MONTH($C708)=7,$Y$6,"ERROR")))),0),MAX(VLOOKUP($C708,COS!$B$8:$K$991,9,FALSE)-IF(MONTH($C708)=4,$V$3,IF(MONTH($C708)=5,$V$4,IF(MONTH($C708)=6,$V$5,IF(MONTH($C708)=7,$V$6,"ERROR"))))-VLOOKUP($C708,COS!$B$8:$K$991,6,FALSE)/2,0))</f>
        <v>750</v>
      </c>
      <c r="S708" s="26">
        <f t="shared" si="1138"/>
        <v>46.115702479338843</v>
      </c>
      <c r="T708" s="26">
        <f t="shared" si="1139"/>
        <v>142.2524840804171</v>
      </c>
      <c r="U708" s="26" t="str">
        <f>IF(VLOOKUP($C708,COS!$B$8:$I$991,8,FALSE)=1,"UWFE","IBU")</f>
        <v>UWFE</v>
      </c>
      <c r="V708" s="26">
        <f t="shared" ref="V708" si="1141">MIN(IF(IF($AA$3=2,AND(E708=1,G708=1,L708=1,L712=1,M708=1,U708="IBU"),AND(E708=1,G708=1,L708=1,L712=1,M708=1)),T708,0),I708)</f>
        <v>0</v>
      </c>
      <c r="W708" s="26"/>
      <c r="X708" s="26"/>
      <c r="Y708" s="26"/>
      <c r="Z708" s="26"/>
      <c r="AA708" s="26"/>
      <c r="AB708" s="33"/>
    </row>
    <row r="709" spans="1:28" x14ac:dyDescent="0.3">
      <c r="A709" s="32">
        <f>VLOOKUP(YEAR(C709),Flags!$A$13:$B$95,2,FALSE)</f>
        <v>1</v>
      </c>
      <c r="B709" s="24">
        <f t="shared" si="1054"/>
        <v>1999</v>
      </c>
      <c r="C709" s="25">
        <v>36341</v>
      </c>
      <c r="D709" s="26">
        <f>VLOOKUP($C709,COS!$B$8:$H$991,3,FALSE)</f>
        <v>8144.7666015625</v>
      </c>
      <c r="E709" s="24">
        <f>IF(D709&gt;=IF(MONTH($C709)=4,$C$3,IF(MONTH($C709)=5,$C$4,IF(MONTH($C709)=6,$C$5,IF(MONTH($C709)=7,$C$6,"ERROR")))),1,0)</f>
        <v>0</v>
      </c>
      <c r="F709" s="26">
        <f>VLOOKUP($C709,COS!$B$8:$H$991,7,FALSE)</f>
        <v>51.85150146484375</v>
      </c>
      <c r="G709" s="24">
        <f>IF(F709&lt;=IF(MONTH($C709)=4,$F$3,IF(MONTH($C709)=5,$F$4,IF(MONTH($C709)=6,$F$5,IF(MONTH($C709)=7,$F$6,"ERROR")))),1,0)</f>
        <v>1</v>
      </c>
      <c r="H709" s="26">
        <f>IF(J709=1,D709-$C$5,0)</f>
        <v>0</v>
      </c>
      <c r="I709" s="26">
        <f t="shared" si="1083"/>
        <v>0</v>
      </c>
      <c r="J709" s="24">
        <f t="shared" si="1133"/>
        <v>0</v>
      </c>
      <c r="K709" s="26">
        <f>VLOOKUP($C709,COS!$B$8:$H$991,2,FALSE)</f>
        <v>4382.97265625</v>
      </c>
      <c r="L709" s="24">
        <f t="shared" si="1046"/>
        <v>1</v>
      </c>
      <c r="M709" s="24">
        <f t="shared" si="1047"/>
        <v>0</v>
      </c>
      <c r="N709" s="26">
        <f>VLOOKUP($C709,COS!$B$8:$H$991,5,FALSE)</f>
        <v>1060.0843505859375</v>
      </c>
      <c r="O709" s="26">
        <f t="shared" si="1136"/>
        <v>63.079399373708675</v>
      </c>
      <c r="P709" s="26">
        <f>VLOOKUP($C709,COS!$B$8:$H$991,6,FALSE)</f>
        <v>2226.599365234375</v>
      </c>
      <c r="Q709" s="26">
        <f t="shared" si="1137"/>
        <v>132.4918630552686</v>
      </c>
      <c r="R709" s="26">
        <f>MIN(IF(MONTH($C709)=4,$S$3,IF(MONTH($C709)=5,$S$4,IF(MONTH($C709)=6,$S$5,IF(MONTH($C709)=7,$S$6,"ERROR")))),MAX(VLOOKUP($C709,COS!$B$8:$K$991,10,FALSE)-IF(MONTH($C709)=4,$Y$3,IF(MONTH($C709)=5,$Y$4,IF(MONTH($C709)=6,$Y$5,IF(MONTH($C709)=7,$Y$6,"ERROR")))),0),MAX(VLOOKUP($C709,COS!$B$8:$K$991,9,FALSE)-IF(MONTH($C709)=4,$V$3,IF(MONTH($C709)=5,$V$4,IF(MONTH($C709)=6,$V$5,IF(MONTH($C709)=7,$V$6,"ERROR"))))-VLOOKUP($C709,COS!$B$8:$K$991,6,FALSE)/2,0))</f>
        <v>750</v>
      </c>
      <c r="S709" s="26">
        <f t="shared" si="1138"/>
        <v>44.628099173553714</v>
      </c>
      <c r="T709" s="26">
        <f t="shared" si="1139"/>
        <v>142.41373038804235</v>
      </c>
      <c r="U709" s="26" t="str">
        <f>IF(VLOOKUP($C709,COS!$B$8:$I$991,8,FALSE)=1,"UWFE","IBU")</f>
        <v>UWFE</v>
      </c>
      <c r="V709" s="26">
        <f t="shared" ref="V709" si="1142">MIN(IF(IF($AA$3=2,AND(E709=1,G709=1,L709=1,L712=1,M709=1,U709="IBU"),AND(E709=1,G709=1,L709=1,L712=1,M709=1)),T709,0),I709)</f>
        <v>0</v>
      </c>
      <c r="W709" s="26"/>
      <c r="X709" s="26"/>
      <c r="Y709" s="26"/>
      <c r="Z709" s="26"/>
      <c r="AA709" s="26"/>
      <c r="AB709" s="33"/>
    </row>
    <row r="710" spans="1:28" x14ac:dyDescent="0.3">
      <c r="A710" s="32">
        <f>VLOOKUP(YEAR(C710),Flags!$A$13:$B$95,2,FALSE)</f>
        <v>1</v>
      </c>
      <c r="B710" s="24">
        <f t="shared" si="1054"/>
        <v>1999</v>
      </c>
      <c r="C710" s="25">
        <v>36372</v>
      </c>
      <c r="D710" s="26">
        <f>VLOOKUP($C710,COS!$B$8:$H$991,3,FALSE)</f>
        <v>16000</v>
      </c>
      <c r="E710" s="24">
        <f>IF(D710&gt;=IF(MONTH($C710)=4,$C$3,IF(MONTH($C710)=5,$C$4,IF(MONTH($C710)=6,$C$5,IF(MONTH($C710)=7,$C$6,"ERROR")))),1,0)</f>
        <v>1</v>
      </c>
      <c r="F710" s="26">
        <f>VLOOKUP($C710,COS!$B$8:$H$991,7,FALSE)</f>
        <v>51.293598175048828</v>
      </c>
      <c r="G710" s="24">
        <f>IF(F710&lt;=IF(MONTH($C710)=4,$F$3,IF(MONTH($C710)=5,$F$4,IF(MONTH($C710)=6,$F$5,IF(MONTH($C710)=7,$F$6,"ERROR")))),1,0)</f>
        <v>1</v>
      </c>
      <c r="H710" s="26">
        <f>IF(J710=1,D710-$C$6,0)</f>
        <v>4000</v>
      </c>
      <c r="I710" s="26">
        <f t="shared" si="1083"/>
        <v>245.95041322314049</v>
      </c>
      <c r="J710" s="24">
        <f t="shared" si="1133"/>
        <v>1</v>
      </c>
      <c r="K710" s="26">
        <f>VLOOKUP($C710,COS!$B$8:$H$991,2,FALSE)</f>
        <v>3724.72216796875</v>
      </c>
      <c r="L710" s="24">
        <f t="shared" si="1046"/>
        <v>1</v>
      </c>
      <c r="M710" s="24">
        <f t="shared" si="1047"/>
        <v>0</v>
      </c>
      <c r="N710" s="26">
        <f>VLOOKUP($C710,COS!$B$8:$H$991,5,FALSE)</f>
        <v>1277.9014892578125</v>
      </c>
      <c r="O710" s="26">
        <f t="shared" si="1136"/>
        <v>78.575099835356411</v>
      </c>
      <c r="P710" s="26">
        <f>VLOOKUP($C710,COS!$B$8:$H$991,6,FALSE)</f>
        <v>2616.67822265625</v>
      </c>
      <c r="Q710" s="26">
        <f t="shared" si="1137"/>
        <v>160.89327253357436</v>
      </c>
      <c r="R710" s="26">
        <f>MIN(IF(MONTH($C710)=4,$S$3,IF(MONTH($C710)=5,$S$4,IF(MONTH($C710)=6,$S$5,IF(MONTH($C710)=7,$S$6,"ERROR")))),MAX(VLOOKUP($C710,COS!$B$8:$K$991,10,FALSE)-IF(MONTH($C710)=4,$Y$3,IF(MONTH($C710)=5,$Y$4,IF(MONTH($C710)=6,$Y$5,IF(MONTH($C710)=7,$Y$6,"ERROR")))),0),MAX(VLOOKUP($C710,COS!$B$8:$K$991,9,FALSE)-IF(MONTH($C710)=4,$V$3,IF(MONTH($C710)=5,$V$4,IF(MONTH($C710)=6,$V$5,IF(MONTH($C710)=7,$V$6,"ERROR"))))-VLOOKUP($C710,COS!$B$8:$K$991,6,FALSE)/2,0))</f>
        <v>750</v>
      </c>
      <c r="S710" s="26">
        <f t="shared" si="1138"/>
        <v>46.115702479338843</v>
      </c>
      <c r="T710" s="26">
        <f t="shared" si="1139"/>
        <v>165.84988866380422</v>
      </c>
      <c r="U710" s="26" t="str">
        <f>IF(VLOOKUP($C710,COS!$B$8:$I$991,8,FALSE)=1,"UWFE","IBU")</f>
        <v>IBU</v>
      </c>
      <c r="V710" s="26">
        <f t="shared" ref="V710" si="1143">MIN(IF(IF($AA$3=2,AND(E710=1,G710=1,L710=1,L712=1,M710=1,U710="IBU"),AND(E710=1,G710=1,L710=1,L712=1,M710=1)),T710,0),I710)</f>
        <v>0</v>
      </c>
      <c r="W710" s="26"/>
      <c r="X710" s="26"/>
      <c r="Y710" s="26"/>
      <c r="Z710" s="26"/>
      <c r="AA710" s="26"/>
      <c r="AB710" s="33"/>
    </row>
    <row r="711" spans="1:28" x14ac:dyDescent="0.3">
      <c r="A711" s="32">
        <f>VLOOKUP(YEAR(C711),Flags!$A$13:$B$95,2,FALSE)</f>
        <v>1</v>
      </c>
      <c r="B711" s="24">
        <f t="shared" si="1054"/>
        <v>1999</v>
      </c>
      <c r="C711" s="25">
        <v>36403</v>
      </c>
      <c r="D711" s="26"/>
      <c r="E711" s="24"/>
      <c r="F711" s="26"/>
      <c r="G711" s="24"/>
      <c r="H711" s="24"/>
      <c r="I711" s="26"/>
      <c r="J711" s="24"/>
      <c r="K711" s="26"/>
      <c r="L711" s="24"/>
      <c r="M711" s="24"/>
      <c r="N711" s="26"/>
      <c r="O711" s="26"/>
      <c r="P711" s="26"/>
      <c r="Q711" s="26"/>
      <c r="R711" s="26"/>
      <c r="S711" s="26"/>
      <c r="T711" s="26"/>
      <c r="U711" s="26"/>
      <c r="V711" s="26"/>
      <c r="W711" s="26">
        <f>MAX($C$7-VLOOKUP($C711,COS!$B$8:$H$991,3,FALSE),0)</f>
        <v>90285.5068359375</v>
      </c>
      <c r="X711" s="26">
        <f t="shared" si="1086"/>
        <v>5551.4394285898761</v>
      </c>
      <c r="Y711" s="26">
        <f>VLOOKUP($C711,COS!$B$8:$H$991,4,FALSE)</f>
        <v>0</v>
      </c>
      <c r="Z711" s="26">
        <f t="shared" si="1087"/>
        <v>0</v>
      </c>
      <c r="AA711" s="26">
        <f t="shared" ref="AA711:AA715" si="1144">MIN(W711,Y711)</f>
        <v>0</v>
      </c>
      <c r="AB711" s="33">
        <f t="shared" ref="AB711" si="1145">AA711*DAY($C711)*86400/43560/1000*IF(MONTH($C711)=8,$P$3,IF(MONTH($C711)=9,$P$4,IF(MONTH($C711)=10,$P$5,IF(MONTH($C711)=11,$P$6,IF(MONTH($C711)=12,$P$7,NA())))))</f>
        <v>0</v>
      </c>
    </row>
    <row r="712" spans="1:28" x14ac:dyDescent="0.3">
      <c r="A712" s="32">
        <f>VLOOKUP(YEAR(C712),Flags!$A$13:$B$95,2,FALSE)</f>
        <v>1</v>
      </c>
      <c r="B712" s="24">
        <f t="shared" si="1054"/>
        <v>1999</v>
      </c>
      <c r="C712" s="25">
        <v>36433</v>
      </c>
      <c r="D712" s="26"/>
      <c r="E712" s="24"/>
      <c r="F712" s="26"/>
      <c r="G712" s="24"/>
      <c r="H712" s="24"/>
      <c r="I712" s="26"/>
      <c r="J712" s="24"/>
      <c r="K712" s="26">
        <f>VLOOKUP($C712,COS!$B$8:$H$991,2,FALSE)</f>
        <v>2879.5078125</v>
      </c>
      <c r="L712" s="24">
        <f t="shared" ref="L712" si="1146">IF(AND(K712&gt;$I$7,K712&lt;$I$8),1,0)</f>
        <v>1</v>
      </c>
      <c r="M712" s="24"/>
      <c r="N712" s="26"/>
      <c r="O712" s="26"/>
      <c r="P712" s="26"/>
      <c r="Q712" s="26"/>
      <c r="R712" s="26"/>
      <c r="S712" s="26"/>
      <c r="T712" s="26"/>
      <c r="U712" s="26"/>
      <c r="V712" s="26"/>
      <c r="W712" s="26">
        <f>MAX($C$8-VLOOKUP($C712,COS!$B$8:$H$991,3,FALSE),0)</f>
        <v>85063.7509765625</v>
      </c>
      <c r="X712" s="26">
        <f t="shared" si="1086"/>
        <v>5061.6446862086777</v>
      </c>
      <c r="Y712" s="26">
        <f>VLOOKUP($C712,COS!$B$8:$H$991,4,FALSE)</f>
        <v>0</v>
      </c>
      <c r="Z712" s="26">
        <f t="shared" si="1087"/>
        <v>0</v>
      </c>
      <c r="AA712" s="26">
        <f t="shared" si="1144"/>
        <v>0</v>
      </c>
      <c r="AB712" s="33">
        <f t="shared" si="1058"/>
        <v>0</v>
      </c>
    </row>
    <row r="713" spans="1:28" x14ac:dyDescent="0.3">
      <c r="A713" s="32">
        <f>VLOOKUP(YEAR(C713),Flags!$A$13:$B$95,2,FALSE)</f>
        <v>1</v>
      </c>
      <c r="B713" s="24">
        <f t="shared" si="1054"/>
        <v>1999</v>
      </c>
      <c r="C713" s="25">
        <v>36464</v>
      </c>
      <c r="D713" s="26"/>
      <c r="E713" s="24"/>
      <c r="F713" s="26"/>
      <c r="G713" s="26"/>
      <c r="H713" s="26"/>
      <c r="I713" s="26"/>
      <c r="J713" s="26"/>
      <c r="K713" s="26"/>
      <c r="L713" s="24"/>
      <c r="M713" s="24"/>
      <c r="N713" s="26"/>
      <c r="O713" s="26"/>
      <c r="P713" s="26"/>
      <c r="Q713" s="26"/>
      <c r="R713" s="26"/>
      <c r="S713" s="26"/>
      <c r="T713" s="26"/>
      <c r="U713" s="26"/>
      <c r="V713" s="26"/>
      <c r="W713" s="26">
        <f>MAX($C$9-VLOOKUP($C713,COS!$B$8:$H$991,3,FALSE),0)</f>
        <v>88700.0185546875</v>
      </c>
      <c r="X713" s="26">
        <f t="shared" si="1086"/>
        <v>5453.9515541064047</v>
      </c>
      <c r="Y713" s="26">
        <f>VLOOKUP($C713,COS!$B$8:$H$991,4,FALSE)</f>
        <v>1020.4207763671875</v>
      </c>
      <c r="Z713" s="26">
        <f t="shared" si="1087"/>
        <v>62.7432279022469</v>
      </c>
      <c r="AA713" s="26">
        <f t="shared" si="1144"/>
        <v>1020.4207763671875</v>
      </c>
      <c r="AB713" s="33">
        <f t="shared" si="1058"/>
        <v>62.7432279022469</v>
      </c>
    </row>
    <row r="714" spans="1:28" x14ac:dyDescent="0.3">
      <c r="A714" s="32">
        <f>VLOOKUP(YEAR(C714),Flags!$A$13:$B$95,2,FALSE)</f>
        <v>1</v>
      </c>
      <c r="B714" s="24">
        <f t="shared" si="1054"/>
        <v>1999</v>
      </c>
      <c r="C714" s="25">
        <v>36494</v>
      </c>
      <c r="D714" s="26"/>
      <c r="E714" s="24"/>
      <c r="F714" s="26"/>
      <c r="G714" s="26"/>
      <c r="H714" s="26"/>
      <c r="I714" s="26"/>
      <c r="J714" s="26"/>
      <c r="K714" s="26"/>
      <c r="L714" s="24"/>
      <c r="M714" s="24"/>
      <c r="N714" s="26"/>
      <c r="O714" s="26"/>
      <c r="P714" s="26"/>
      <c r="Q714" s="26"/>
      <c r="R714" s="26"/>
      <c r="S714" s="26"/>
      <c r="T714" s="26"/>
      <c r="U714" s="26"/>
      <c r="V714" s="26"/>
      <c r="W714" s="26">
        <f>MAX($C$10-VLOOKUP($C714,COS!$B$8:$H$991,3,FALSE),0)</f>
        <v>86044.97265625</v>
      </c>
      <c r="X714" s="26">
        <f t="shared" si="1086"/>
        <v>5120.031430785124</v>
      </c>
      <c r="Y714" s="26">
        <f>VLOOKUP($C714,COS!$B$8:$H$991,4,FALSE)</f>
        <v>1214.3294677734375</v>
      </c>
      <c r="Z714" s="26">
        <f t="shared" si="1087"/>
        <v>72.257621222882221</v>
      </c>
      <c r="AA714" s="26">
        <f t="shared" si="1144"/>
        <v>1214.3294677734375</v>
      </c>
      <c r="AB714" s="33">
        <f t="shared" si="1058"/>
        <v>36.128810611441111</v>
      </c>
    </row>
    <row r="715" spans="1:28" x14ac:dyDescent="0.3">
      <c r="A715" s="34">
        <f>VLOOKUP(YEAR(C715),Flags!$A$13:$B$95,2,FALSE)</f>
        <v>1</v>
      </c>
      <c r="B715" s="35">
        <f t="shared" si="1054"/>
        <v>1999</v>
      </c>
      <c r="C715" s="36">
        <v>36525</v>
      </c>
      <c r="D715" s="37"/>
      <c r="E715" s="35"/>
      <c r="F715" s="37"/>
      <c r="G715" s="37"/>
      <c r="H715" s="37"/>
      <c r="I715" s="37"/>
      <c r="J715" s="37"/>
      <c r="K715" s="37"/>
      <c r="L715" s="35"/>
      <c r="M715" s="35"/>
      <c r="N715" s="37"/>
      <c r="O715" s="37"/>
      <c r="P715" s="37"/>
      <c r="Q715" s="37"/>
      <c r="R715" s="37"/>
      <c r="S715" s="37"/>
      <c r="T715" s="37"/>
      <c r="U715" s="37"/>
      <c r="V715" s="37"/>
      <c r="W715" s="37">
        <f>MAX($C$11-VLOOKUP($C715,COS!$B$8:$H$991,3,FALSE),0)</f>
        <v>0</v>
      </c>
      <c r="X715" s="37">
        <f t="shared" si="1086"/>
        <v>0</v>
      </c>
      <c r="Y715" s="37">
        <f>VLOOKUP($C715,COS!$B$8:$H$991,4,FALSE)</f>
        <v>0</v>
      </c>
      <c r="Z715" s="37">
        <f t="shared" si="1087"/>
        <v>0</v>
      </c>
      <c r="AA715" s="37">
        <f t="shared" si="1144"/>
        <v>0</v>
      </c>
      <c r="AB715" s="38">
        <f t="shared" si="1058"/>
        <v>0</v>
      </c>
    </row>
    <row r="716" spans="1:28" x14ac:dyDescent="0.3">
      <c r="A716" s="27">
        <f>VLOOKUP(YEAR(C716),Flags!$A$13:$B$95,2,FALSE)</f>
        <v>2</v>
      </c>
      <c r="B716" s="28">
        <f t="shared" si="1054"/>
        <v>2000</v>
      </c>
      <c r="C716" s="29">
        <v>36646</v>
      </c>
      <c r="D716" s="30">
        <f>VLOOKUP($C716,COS!$B$8:$H$991,3,FALSE)</f>
        <v>3250</v>
      </c>
      <c r="E716" s="28">
        <f>IF(D716&gt;=IF(MONTH($C716)=4,$C$3,IF(MONTH($C716)=5,$C$4,IF(MONTH($C716)=6,$C$5,IF(MONTH($C716)=7,$C$6,"ERROR")))),1,0)</f>
        <v>0</v>
      </c>
      <c r="F716" s="30">
        <f>VLOOKUP($C716,COS!$B$8:$H$991,7,FALSE)</f>
        <v>53.549808502197266</v>
      </c>
      <c r="G716" s="28">
        <f>IF(F716&lt;=IF(MONTH($C716)=4,$F$3,IF(MONTH($C716)=5,$F$4,IF(MONTH($C716)=6,$F$5,IF(MONTH($C716)=7,$F$6,"ERROR")))),1,0)</f>
        <v>1</v>
      </c>
      <c r="H716" s="30">
        <f>IF(J716=1,D716-$C$3,0)</f>
        <v>0</v>
      </c>
      <c r="I716" s="30">
        <f t="shared" si="1083"/>
        <v>0</v>
      </c>
      <c r="J716" s="28">
        <f t="shared" ref="J716:J719" si="1147">IF(AND(E716=1,G716=1),1,0)</f>
        <v>0</v>
      </c>
      <c r="K716" s="30">
        <f>VLOOKUP($C716,COS!$B$8:$H$991,2,FALSE)</f>
        <v>4550.50927734375</v>
      </c>
      <c r="L716" s="28">
        <f t="shared" ref="L716:L737" si="1148">IF(K716&lt;=IF(MONTH($C716)=4,$I$3,IF(MONTH($C716)=5,$I$4,IF(MONTH($C716)=6,$I$5,IF(MONTH($C716)=7,$I$6,"ERROR")))),1,0)</f>
        <v>1</v>
      </c>
      <c r="M716" s="28">
        <f t="shared" ref="M716:M737" si="1149">VLOOKUP($A716,$L$3:$M$7,2,FALSE)</f>
        <v>0</v>
      </c>
      <c r="N716" s="30">
        <f>VLOOKUP($C716,COS!$B$8:$H$991,5,FALSE)</f>
        <v>37.464950561523438</v>
      </c>
      <c r="O716" s="30">
        <f t="shared" ref="O716:O719" si="1150">N716*DAY($C716)*86400/43560/1000</f>
        <v>2.2293193722559401</v>
      </c>
      <c r="P716" s="30">
        <f>VLOOKUP($C716,COS!$B$8:$H$991,6,FALSE)</f>
        <v>403.17050170898438</v>
      </c>
      <c r="Q716" s="30">
        <f t="shared" ref="Q716:Q719" si="1151">P716*DAY($C716)*86400/43560/1000</f>
        <v>23.990310845493283</v>
      </c>
      <c r="R716" s="30">
        <f>MIN(IF(MONTH($C716)=4,$S$3,IF(MONTH($C716)=5,$S$4,IF(MONTH($C716)=6,$S$5,IF(MONTH($C716)=7,$S$6,"ERROR")))),MAX(VLOOKUP($C716,COS!$B$8:$K$991,10,FALSE)-IF(MONTH($C716)=4,$Y$3,IF(MONTH($C716)=5,$Y$4,IF(MONTH($C716)=6,$Y$5,IF(MONTH($C716)=7,$Y$6,"ERROR")))),0),MAX(VLOOKUP($C716,COS!$B$8:$K$991,9,FALSE)-IF(MONTH($C716)=4,$V$3,IF(MONTH($C716)=5,$V$4,IF(MONTH($C716)=6,$V$5,IF(MONTH($C716)=7,$V$6,"ERROR"))))-VLOOKUP($C716,COS!$B$8:$K$991,6,FALSE)/2,0))</f>
        <v>750</v>
      </c>
      <c r="S716" s="30">
        <f t="shared" ref="S716:S719" si="1152">R716*DAY($C716)*86400/43560/1000</f>
        <v>44.628099173553714</v>
      </c>
      <c r="T716" s="30">
        <f t="shared" ref="T716:T719" si="1153">(O716+Q716)/2+S716</f>
        <v>57.737914282428328</v>
      </c>
      <c r="U716" s="30" t="str">
        <f>IF(VLOOKUP($C716,COS!$B$8:$I$991,8,FALSE)=1,"UWFE","IBU")</f>
        <v>UWFE</v>
      </c>
      <c r="V716" s="30">
        <f t="shared" ref="V716" si="1154">MIN(IF(IF($AA$3=2,AND(E716=1,G716=1,L716=1,L721=1,M716=1,U716="IBU"),AND(E716=1,G716=1,L716=1,L721=1,M716=1)),T716,0),I716)</f>
        <v>0</v>
      </c>
      <c r="W716" s="30"/>
      <c r="X716" s="30"/>
      <c r="Y716" s="30"/>
      <c r="Z716" s="30"/>
      <c r="AA716" s="30"/>
      <c r="AB716" s="31"/>
    </row>
    <row r="717" spans="1:28" x14ac:dyDescent="0.3">
      <c r="A717" s="32">
        <f>VLOOKUP(YEAR(C717),Flags!$A$13:$B$95,2,FALSE)</f>
        <v>2</v>
      </c>
      <c r="B717" s="24">
        <f t="shared" si="1054"/>
        <v>2000</v>
      </c>
      <c r="C717" s="25">
        <v>36677</v>
      </c>
      <c r="D717" s="26">
        <f>VLOOKUP($C717,COS!$B$8:$H$991,3,FALSE)</f>
        <v>7298.4775390625</v>
      </c>
      <c r="E717" s="24">
        <f>IF(D717&gt;=IF(MONTH($C717)=4,$C$3,IF(MONTH($C717)=5,$C$4,IF(MONTH($C717)=6,$C$5,IF(MONTH($C717)=7,$C$6,"ERROR")))),1,0)</f>
        <v>1</v>
      </c>
      <c r="F717" s="26">
        <f>VLOOKUP($C717,COS!$B$8:$H$991,7,FALSE)</f>
        <v>51.98187255859375</v>
      </c>
      <c r="G717" s="24">
        <f>IF(F717&lt;=IF(MONTH($C717)=4,$F$3,IF(MONTH($C717)=5,$F$4,IF(MONTH($C717)=6,$F$5,IF(MONTH($C717)=7,$F$6,"ERROR")))),1,0)</f>
        <v>1</v>
      </c>
      <c r="H717" s="26">
        <f>IF(J717=1,D717-$C$4,0)</f>
        <v>1298.4775390625</v>
      </c>
      <c r="I717" s="26">
        <f t="shared" si="1083"/>
        <v>79.840271823347109</v>
      </c>
      <c r="J717" s="24">
        <f t="shared" si="1147"/>
        <v>1</v>
      </c>
      <c r="K717" s="26">
        <f>VLOOKUP($C717,COS!$B$8:$H$991,2,FALSE)</f>
        <v>4552</v>
      </c>
      <c r="L717" s="24">
        <f t="shared" si="1148"/>
        <v>1</v>
      </c>
      <c r="M717" s="24">
        <f t="shared" si="1149"/>
        <v>0</v>
      </c>
      <c r="N717" s="26">
        <f>VLOOKUP($C717,COS!$B$8:$H$991,5,FALSE)</f>
        <v>651.51641845703125</v>
      </c>
      <c r="O717" s="26">
        <f t="shared" si="1150"/>
        <v>40.060183085291833</v>
      </c>
      <c r="P717" s="26">
        <f>VLOOKUP($C717,COS!$B$8:$H$991,6,FALSE)</f>
        <v>1855.6585693359375</v>
      </c>
      <c r="Q717" s="26">
        <f t="shared" si="1151"/>
        <v>114.09999798230888</v>
      </c>
      <c r="R717" s="26">
        <f>MIN(IF(MONTH($C717)=4,$S$3,IF(MONTH($C717)=5,$S$4,IF(MONTH($C717)=6,$S$5,IF(MONTH($C717)=7,$S$6,"ERROR")))),MAX(VLOOKUP($C717,COS!$B$8:$K$991,10,FALSE)-IF(MONTH($C717)=4,$Y$3,IF(MONTH($C717)=5,$Y$4,IF(MONTH($C717)=6,$Y$5,IF(MONTH($C717)=7,$Y$6,"ERROR")))),0),MAX(VLOOKUP($C717,COS!$B$8:$K$991,9,FALSE)-IF(MONTH($C717)=4,$V$3,IF(MONTH($C717)=5,$V$4,IF(MONTH($C717)=6,$V$5,IF(MONTH($C717)=7,$V$6,"ERROR"))))-VLOOKUP($C717,COS!$B$8:$K$991,6,FALSE)/2,0))</f>
        <v>750</v>
      </c>
      <c r="S717" s="26">
        <f t="shared" si="1152"/>
        <v>46.115702479338843</v>
      </c>
      <c r="T717" s="26">
        <f t="shared" si="1153"/>
        <v>123.19579301313919</v>
      </c>
      <c r="U717" s="26" t="str">
        <f>IF(VLOOKUP($C717,COS!$B$8:$I$991,8,FALSE)=1,"UWFE","IBU")</f>
        <v>UWFE</v>
      </c>
      <c r="V717" s="26">
        <f t="shared" ref="V717" si="1155">MIN(IF(IF($AA$3=2,AND(E717=1,G717=1,L717=1,L721=1,M717=1,U717="IBU"),AND(E717=1,G717=1,L717=1,L721=1,M717=1)),T717,0),I717)</f>
        <v>0</v>
      </c>
      <c r="W717" s="26"/>
      <c r="X717" s="26"/>
      <c r="Y717" s="26"/>
      <c r="Z717" s="26"/>
      <c r="AA717" s="26"/>
      <c r="AB717" s="33"/>
    </row>
    <row r="718" spans="1:28" x14ac:dyDescent="0.3">
      <c r="A718" s="32">
        <f>VLOOKUP(YEAR(C718),Flags!$A$13:$B$95,2,FALSE)</f>
        <v>2</v>
      </c>
      <c r="B718" s="24">
        <f t="shared" si="1054"/>
        <v>2000</v>
      </c>
      <c r="C718" s="25">
        <v>36707</v>
      </c>
      <c r="D718" s="26">
        <f>VLOOKUP($C718,COS!$B$8:$H$991,3,FALSE)</f>
        <v>12915.84765625</v>
      </c>
      <c r="E718" s="24">
        <f>IF(D718&gt;=IF(MONTH($C718)=4,$C$3,IF(MONTH($C718)=5,$C$4,IF(MONTH($C718)=6,$C$5,IF(MONTH($C718)=7,$C$6,"ERROR")))),1,0)</f>
        <v>1</v>
      </c>
      <c r="F718" s="26">
        <f>VLOOKUP($C718,COS!$B$8:$H$991,7,FALSE)</f>
        <v>51.933616638183594</v>
      </c>
      <c r="G718" s="24">
        <f>IF(F718&lt;=IF(MONTH($C718)=4,$F$3,IF(MONTH($C718)=5,$F$4,IF(MONTH($C718)=6,$F$5,IF(MONTH($C718)=7,$F$6,"ERROR")))),1,0)</f>
        <v>1</v>
      </c>
      <c r="H718" s="26">
        <f>IF(J718=1,D718-$C$5,0)</f>
        <v>2915.84765625</v>
      </c>
      <c r="I718" s="26">
        <f t="shared" si="1083"/>
        <v>173.50498450413224</v>
      </c>
      <c r="J718" s="24">
        <f t="shared" si="1147"/>
        <v>1</v>
      </c>
      <c r="K718" s="26">
        <f>VLOOKUP($C718,COS!$B$8:$H$991,2,FALSE)</f>
        <v>4064.68359375</v>
      </c>
      <c r="L718" s="24">
        <f t="shared" si="1148"/>
        <v>1</v>
      </c>
      <c r="M718" s="24">
        <f t="shared" si="1149"/>
        <v>0</v>
      </c>
      <c r="N718" s="26">
        <f>VLOOKUP($C718,COS!$B$8:$H$991,5,FALSE)</f>
        <v>1133.98681640625</v>
      </c>
      <c r="O718" s="26">
        <f t="shared" si="1150"/>
        <v>67.476901472107429</v>
      </c>
      <c r="P718" s="26">
        <f>VLOOKUP($C718,COS!$B$8:$H$991,6,FALSE)</f>
        <v>2300.9248046875</v>
      </c>
      <c r="Q718" s="26">
        <f t="shared" si="1151"/>
        <v>136.91453383264462</v>
      </c>
      <c r="R718" s="26">
        <f>MIN(IF(MONTH($C718)=4,$S$3,IF(MONTH($C718)=5,$S$4,IF(MONTH($C718)=6,$S$5,IF(MONTH($C718)=7,$S$6,"ERROR")))),MAX(VLOOKUP($C718,COS!$B$8:$K$991,10,FALSE)-IF(MONTH($C718)=4,$Y$3,IF(MONTH($C718)=5,$Y$4,IF(MONTH($C718)=6,$Y$5,IF(MONTH($C718)=7,$Y$6,"ERROR")))),0),MAX(VLOOKUP($C718,COS!$B$8:$K$991,9,FALSE)-IF(MONTH($C718)=4,$V$3,IF(MONTH($C718)=5,$V$4,IF(MONTH($C718)=6,$V$5,IF(MONTH($C718)=7,$V$6,"ERROR"))))-VLOOKUP($C718,COS!$B$8:$K$991,6,FALSE)/2,0))</f>
        <v>750</v>
      </c>
      <c r="S718" s="26">
        <f t="shared" si="1152"/>
        <v>44.628099173553714</v>
      </c>
      <c r="T718" s="26">
        <f t="shared" si="1153"/>
        <v>146.82381682592975</v>
      </c>
      <c r="U718" s="26" t="str">
        <f>IF(VLOOKUP($C718,COS!$B$8:$I$991,8,FALSE)=1,"UWFE","IBU")</f>
        <v>IBU</v>
      </c>
      <c r="V718" s="26">
        <f t="shared" ref="V718" si="1156">MIN(IF(IF($AA$3=2,AND(E718=1,G718=1,L718=1,L721=1,M718=1,U718="IBU"),AND(E718=1,G718=1,L718=1,L721=1,M718=1)),T718,0),I718)</f>
        <v>0</v>
      </c>
      <c r="W718" s="26"/>
      <c r="X718" s="26"/>
      <c r="Y718" s="26"/>
      <c r="Z718" s="26"/>
      <c r="AA718" s="26"/>
      <c r="AB718" s="33"/>
    </row>
    <row r="719" spans="1:28" x14ac:dyDescent="0.3">
      <c r="A719" s="32">
        <f>VLOOKUP(YEAR(C719),Flags!$A$13:$B$95,2,FALSE)</f>
        <v>2</v>
      </c>
      <c r="B719" s="24">
        <f t="shared" ref="B719:B742" si="1157">YEAR(C719)</f>
        <v>2000</v>
      </c>
      <c r="C719" s="25">
        <v>36738</v>
      </c>
      <c r="D719" s="26">
        <f>VLOOKUP($C719,COS!$B$8:$H$991,3,FALSE)</f>
        <v>16243.5498046875</v>
      </c>
      <c r="E719" s="24">
        <f>IF(D719&gt;=IF(MONTH($C719)=4,$C$3,IF(MONTH($C719)=5,$C$4,IF(MONTH($C719)=6,$C$5,IF(MONTH($C719)=7,$C$6,"ERROR")))),1,0)</f>
        <v>1</v>
      </c>
      <c r="F719" s="26">
        <f>VLOOKUP($C719,COS!$B$8:$H$991,7,FALSE)</f>
        <v>51.968482971191406</v>
      </c>
      <c r="G719" s="24">
        <f>IF(F719&lt;=IF(MONTH($C719)=4,$F$3,IF(MONTH($C719)=5,$F$4,IF(MONTH($C719)=6,$F$5,IF(MONTH($C719)=7,$F$6,"ERROR")))),1,0)</f>
        <v>1</v>
      </c>
      <c r="H719" s="26">
        <f>IF(J719=1,D719-$C$6,0)</f>
        <v>4243.5498046875</v>
      </c>
      <c r="I719" s="26">
        <f t="shared" si="1083"/>
        <v>260.92570699896697</v>
      </c>
      <c r="J719" s="24">
        <f t="shared" si="1147"/>
        <v>1</v>
      </c>
      <c r="K719" s="26">
        <f>VLOOKUP($C719,COS!$B$8:$H$991,2,FALSE)</f>
        <v>3391.262451171875</v>
      </c>
      <c r="L719" s="24">
        <f t="shared" si="1148"/>
        <v>1</v>
      </c>
      <c r="M719" s="24">
        <f t="shared" si="1149"/>
        <v>0</v>
      </c>
      <c r="N719" s="26">
        <f>VLOOKUP($C719,COS!$B$8:$H$991,5,FALSE)</f>
        <v>1372.8363037109375</v>
      </c>
      <c r="O719" s="26">
        <f t="shared" si="1150"/>
        <v>84.412414046358478</v>
      </c>
      <c r="P719" s="26">
        <f>VLOOKUP($C719,COS!$B$8:$H$991,6,FALSE)</f>
        <v>2562.892822265625</v>
      </c>
      <c r="Q719" s="26">
        <f t="shared" si="1151"/>
        <v>157.58613717071282</v>
      </c>
      <c r="R719" s="26">
        <f>MIN(IF(MONTH($C719)=4,$S$3,IF(MONTH($C719)=5,$S$4,IF(MONTH($C719)=6,$S$5,IF(MONTH($C719)=7,$S$6,"ERROR")))),MAX(VLOOKUP($C719,COS!$B$8:$K$991,10,FALSE)-IF(MONTH($C719)=4,$Y$3,IF(MONTH($C719)=5,$Y$4,IF(MONTH($C719)=6,$Y$5,IF(MONTH($C719)=7,$Y$6,"ERROR")))),0),MAX(VLOOKUP($C719,COS!$B$8:$K$991,9,FALSE)-IF(MONTH($C719)=4,$V$3,IF(MONTH($C719)=5,$V$4,IF(MONTH($C719)=6,$V$5,IF(MONTH($C719)=7,$V$6,"ERROR"))))-VLOOKUP($C719,COS!$B$8:$K$991,6,FALSE)/2,0))</f>
        <v>750</v>
      </c>
      <c r="S719" s="26">
        <f t="shared" si="1152"/>
        <v>46.115702479338843</v>
      </c>
      <c r="T719" s="26">
        <f t="shared" si="1153"/>
        <v>167.11497808787448</v>
      </c>
      <c r="U719" s="26" t="str">
        <f>IF(VLOOKUP($C719,COS!$B$8:$I$991,8,FALSE)=1,"UWFE","IBU")</f>
        <v>IBU</v>
      </c>
      <c r="V719" s="26">
        <f t="shared" ref="V719" si="1158">MIN(IF(IF($AA$3=2,AND(E719=1,G719=1,L719=1,L721=1,M719=1,U719="IBU"),AND(E719=1,G719=1,L719=1,L721=1,M719=1)),T719,0),I719)</f>
        <v>0</v>
      </c>
      <c r="W719" s="26"/>
      <c r="X719" s="26"/>
      <c r="Y719" s="26"/>
      <c r="Z719" s="26"/>
      <c r="AA719" s="26"/>
      <c r="AB719" s="33"/>
    </row>
    <row r="720" spans="1:28" x14ac:dyDescent="0.3">
      <c r="A720" s="32">
        <f>VLOOKUP(YEAR(C720),Flags!$A$13:$B$95,2,FALSE)</f>
        <v>2</v>
      </c>
      <c r="B720" s="24">
        <f t="shared" si="1157"/>
        <v>2000</v>
      </c>
      <c r="C720" s="25">
        <v>36769</v>
      </c>
      <c r="D720" s="26"/>
      <c r="E720" s="24"/>
      <c r="F720" s="26"/>
      <c r="G720" s="24"/>
      <c r="H720" s="24"/>
      <c r="I720" s="26"/>
      <c r="J720" s="24"/>
      <c r="K720" s="26"/>
      <c r="L720" s="24"/>
      <c r="M720" s="24"/>
      <c r="N720" s="26"/>
      <c r="O720" s="26"/>
      <c r="P720" s="26"/>
      <c r="Q720" s="26"/>
      <c r="R720" s="26"/>
      <c r="S720" s="26"/>
      <c r="T720" s="26"/>
      <c r="U720" s="26"/>
      <c r="V720" s="26"/>
      <c r="W720" s="26">
        <f>MAX($C$7-VLOOKUP($C720,COS!$B$8:$H$991,3,FALSE),0)</f>
        <v>89268.6640625</v>
      </c>
      <c r="X720" s="26">
        <f t="shared" si="1086"/>
        <v>5488.9162035123964</v>
      </c>
      <c r="Y720" s="26">
        <f>VLOOKUP($C720,COS!$B$8:$H$991,4,FALSE)</f>
        <v>0</v>
      </c>
      <c r="Z720" s="26">
        <f t="shared" si="1087"/>
        <v>0</v>
      </c>
      <c r="AA720" s="26">
        <f t="shared" ref="AA720:AA724" si="1159">MIN(W720,Y720)</f>
        <v>0</v>
      </c>
      <c r="AB720" s="33">
        <f t="shared" ref="AB720:AB742" si="1160">AA720*DAY($C720)*86400/43560/1000*IF(MONTH($C720)=8,$P$3,IF(MONTH($C720)=9,$P$4,IF(MONTH($C720)=10,$P$5,IF(MONTH($C720)=11,$P$6,IF(MONTH($C720)=12,$P$7,NA())))))</f>
        <v>0</v>
      </c>
    </row>
    <row r="721" spans="1:28" x14ac:dyDescent="0.3">
      <c r="A721" s="32">
        <f>VLOOKUP(YEAR(C721),Flags!$A$13:$B$95,2,FALSE)</f>
        <v>2</v>
      </c>
      <c r="B721" s="24">
        <f t="shared" si="1157"/>
        <v>2000</v>
      </c>
      <c r="C721" s="25">
        <v>36799</v>
      </c>
      <c r="D721" s="26"/>
      <c r="E721" s="24"/>
      <c r="F721" s="26"/>
      <c r="G721" s="24"/>
      <c r="H721" s="24"/>
      <c r="I721" s="26"/>
      <c r="J721" s="24"/>
      <c r="K721" s="26">
        <f>VLOOKUP($C721,COS!$B$8:$H$991,2,FALSE)</f>
        <v>2897.057861328125</v>
      </c>
      <c r="L721" s="24">
        <f t="shared" ref="L721" si="1161">IF(AND(K721&gt;$I$7,K721&lt;$I$8),1,0)</f>
        <v>1</v>
      </c>
      <c r="M721" s="24"/>
      <c r="N721" s="26"/>
      <c r="O721" s="26"/>
      <c r="P721" s="26"/>
      <c r="Q721" s="26"/>
      <c r="R721" s="26"/>
      <c r="S721" s="26"/>
      <c r="T721" s="26"/>
      <c r="U721" s="26"/>
      <c r="V721" s="26"/>
      <c r="W721" s="26">
        <f>MAX($C$8-VLOOKUP($C721,COS!$B$8:$H$991,3,FALSE),0)</f>
        <v>89757.765625</v>
      </c>
      <c r="X721" s="26">
        <f t="shared" si="1086"/>
        <v>5340.9579545454544</v>
      </c>
      <c r="Y721" s="26">
        <f>VLOOKUP($C721,COS!$B$8:$H$991,4,FALSE)</f>
        <v>0</v>
      </c>
      <c r="Z721" s="26">
        <f t="shared" si="1087"/>
        <v>0</v>
      </c>
      <c r="AA721" s="26">
        <f t="shared" si="1159"/>
        <v>0</v>
      </c>
      <c r="AB721" s="33">
        <f t="shared" si="1160"/>
        <v>0</v>
      </c>
    </row>
    <row r="722" spans="1:28" x14ac:dyDescent="0.3">
      <c r="A722" s="32">
        <f>VLOOKUP(YEAR(C722),Flags!$A$13:$B$95,2,FALSE)</f>
        <v>2</v>
      </c>
      <c r="B722" s="24">
        <f t="shared" si="1157"/>
        <v>2000</v>
      </c>
      <c r="C722" s="25">
        <v>36830</v>
      </c>
      <c r="D722" s="26"/>
      <c r="E722" s="24"/>
      <c r="F722" s="26"/>
      <c r="G722" s="26"/>
      <c r="H722" s="26"/>
      <c r="I722" s="26"/>
      <c r="J722" s="26"/>
      <c r="K722" s="26"/>
      <c r="L722" s="24"/>
      <c r="M722" s="24"/>
      <c r="N722" s="26"/>
      <c r="O722" s="26"/>
      <c r="P722" s="26"/>
      <c r="Q722" s="26"/>
      <c r="R722" s="26"/>
      <c r="S722" s="26"/>
      <c r="T722" s="26"/>
      <c r="U722" s="26"/>
      <c r="V722" s="26"/>
      <c r="W722" s="26">
        <f>MAX($C$9-VLOOKUP($C722,COS!$B$8:$H$991,3,FALSE),0)</f>
        <v>91791.708984375</v>
      </c>
      <c r="X722" s="26">
        <f t="shared" si="1086"/>
        <v>5644.0521887913228</v>
      </c>
      <c r="Y722" s="26">
        <f>VLOOKUP($C722,COS!$B$8:$H$991,4,FALSE)</f>
        <v>877.78619384765625</v>
      </c>
      <c r="Z722" s="26">
        <f t="shared" si="1087"/>
        <v>53.972969274599684</v>
      </c>
      <c r="AA722" s="26">
        <f t="shared" si="1159"/>
        <v>877.78619384765625</v>
      </c>
      <c r="AB722" s="33">
        <f t="shared" si="1160"/>
        <v>53.972969274599684</v>
      </c>
    </row>
    <row r="723" spans="1:28" x14ac:dyDescent="0.3">
      <c r="A723" s="32">
        <f>VLOOKUP(YEAR(C723),Flags!$A$13:$B$95,2,FALSE)</f>
        <v>2</v>
      </c>
      <c r="B723" s="24">
        <f t="shared" si="1157"/>
        <v>2000</v>
      </c>
      <c r="C723" s="25">
        <v>36860</v>
      </c>
      <c r="D723" s="26"/>
      <c r="E723" s="24"/>
      <c r="F723" s="26"/>
      <c r="G723" s="26"/>
      <c r="H723" s="26"/>
      <c r="I723" s="26"/>
      <c r="J723" s="26"/>
      <c r="K723" s="26"/>
      <c r="L723" s="24"/>
      <c r="M723" s="24"/>
      <c r="N723" s="26"/>
      <c r="O723" s="26"/>
      <c r="P723" s="26"/>
      <c r="Q723" s="26"/>
      <c r="R723" s="26"/>
      <c r="S723" s="26"/>
      <c r="T723" s="26"/>
      <c r="U723" s="26"/>
      <c r="V723" s="26"/>
      <c r="W723" s="26">
        <f>MAX($C$10-VLOOKUP($C723,COS!$B$8:$H$991,3,FALSE),0)</f>
        <v>88170.9169921875</v>
      </c>
      <c r="X723" s="26">
        <f t="shared" si="1086"/>
        <v>5246.5339036673549</v>
      </c>
      <c r="Y723" s="26">
        <f>VLOOKUP($C723,COS!$B$8:$H$991,4,FALSE)</f>
        <v>1047.9903564453125</v>
      </c>
      <c r="Z723" s="26">
        <f t="shared" si="1087"/>
        <v>62.359756747159089</v>
      </c>
      <c r="AA723" s="26">
        <f t="shared" si="1159"/>
        <v>1047.9903564453125</v>
      </c>
      <c r="AB723" s="33">
        <f t="shared" si="1160"/>
        <v>31.179878373579545</v>
      </c>
    </row>
    <row r="724" spans="1:28" x14ac:dyDescent="0.3">
      <c r="A724" s="34">
        <f>VLOOKUP(YEAR(C724),Flags!$A$13:$B$95,2,FALSE)</f>
        <v>2</v>
      </c>
      <c r="B724" s="35">
        <f t="shared" si="1157"/>
        <v>2000</v>
      </c>
      <c r="C724" s="36">
        <v>36891</v>
      </c>
      <c r="D724" s="37"/>
      <c r="E724" s="35"/>
      <c r="F724" s="37"/>
      <c r="G724" s="37"/>
      <c r="H724" s="37"/>
      <c r="I724" s="37"/>
      <c r="J724" s="37"/>
      <c r="K724" s="37"/>
      <c r="L724" s="35"/>
      <c r="M724" s="35"/>
      <c r="N724" s="37"/>
      <c r="O724" s="37"/>
      <c r="P724" s="37"/>
      <c r="Q724" s="37"/>
      <c r="R724" s="37"/>
      <c r="S724" s="37"/>
      <c r="T724" s="37"/>
      <c r="U724" s="37"/>
      <c r="V724" s="37"/>
      <c r="W724" s="37">
        <f>MAX($C$11-VLOOKUP($C724,COS!$B$8:$H$991,3,FALSE),0)</f>
        <v>0</v>
      </c>
      <c r="X724" s="37">
        <f t="shared" si="1086"/>
        <v>0</v>
      </c>
      <c r="Y724" s="37">
        <f>VLOOKUP($C724,COS!$B$8:$H$991,4,FALSE)</f>
        <v>1045.7059326171875</v>
      </c>
      <c r="Z724" s="37">
        <f t="shared" si="1087"/>
        <v>64.297951559271695</v>
      </c>
      <c r="AA724" s="37">
        <f t="shared" si="1159"/>
        <v>0</v>
      </c>
      <c r="AB724" s="38">
        <f t="shared" si="1160"/>
        <v>0</v>
      </c>
    </row>
    <row r="725" spans="1:28" x14ac:dyDescent="0.3">
      <c r="A725" s="27">
        <f>VLOOKUP(YEAR(C725),Flags!$A$13:$B$95,2,FALSE)</f>
        <v>4</v>
      </c>
      <c r="B725" s="28">
        <f t="shared" si="1157"/>
        <v>2001</v>
      </c>
      <c r="C725" s="29">
        <v>37011</v>
      </c>
      <c r="D725" s="30">
        <f>VLOOKUP($C725,COS!$B$8:$H$991,3,FALSE)</f>
        <v>3250</v>
      </c>
      <c r="E725" s="28">
        <f>IF(D725&gt;=IF(MONTH($C725)=4,$C$3,IF(MONTH($C725)=5,$C$4,IF(MONTH($C725)=6,$C$5,IF(MONTH($C725)=7,$C$6,"ERROR")))),1,0)</f>
        <v>0</v>
      </c>
      <c r="F725" s="30">
        <f>VLOOKUP($C725,COS!$B$8:$H$991,7,FALSE)</f>
        <v>51.856029510498047</v>
      </c>
      <c r="G725" s="28">
        <f>IF(F725&lt;=IF(MONTH($C725)=4,$F$3,IF(MONTH($C725)=5,$F$4,IF(MONTH($C725)=6,$F$5,IF(MONTH($C725)=7,$F$6,"ERROR")))),1,0)</f>
        <v>1</v>
      </c>
      <c r="H725" s="30">
        <f>IF(J725=1,D725-$C$3,0)</f>
        <v>0</v>
      </c>
      <c r="I725" s="30">
        <f t="shared" si="1083"/>
        <v>0</v>
      </c>
      <c r="J725" s="28">
        <f t="shared" ref="J725:J728" si="1162">IF(AND(E725=1,G725=1),1,0)</f>
        <v>0</v>
      </c>
      <c r="K725" s="30">
        <f>VLOOKUP($C725,COS!$B$8:$H$991,2,FALSE)</f>
        <v>3754.83837890625</v>
      </c>
      <c r="L725" s="28">
        <f t="shared" ref="L725" si="1163">IF(K725&lt;=IF(MONTH($C725)=4,$I$3,IF(MONTH($C725)=5,$I$4,IF(MONTH($C725)=6,$I$5,IF(MONTH($C725)=7,$I$6,"ERROR")))),1,0)</f>
        <v>1</v>
      </c>
      <c r="M725" s="28">
        <f t="shared" ref="M725" si="1164">VLOOKUP($A725,$L$3:$M$7,2,FALSE)</f>
        <v>1</v>
      </c>
      <c r="N725" s="30">
        <f>VLOOKUP($C725,COS!$B$8:$H$991,5,FALSE)</f>
        <v>153.87185668945313</v>
      </c>
      <c r="O725" s="30">
        <f t="shared" ref="O725:O728" si="1165">N725*DAY($C725)*86400/43560/1000</f>
        <v>9.1560113071410125</v>
      </c>
      <c r="P725" s="30">
        <f>VLOOKUP($C725,COS!$B$8:$H$991,6,FALSE)</f>
        <v>425.27017211914063</v>
      </c>
      <c r="Q725" s="30">
        <f t="shared" ref="Q725:Q728" si="1166">P725*DAY($C725)*86400/43560/1000</f>
        <v>25.305332555849692</v>
      </c>
      <c r="R725" s="30">
        <f>MIN(IF(MONTH($C725)=4,$S$3,IF(MONTH($C725)=5,$S$4,IF(MONTH($C725)=6,$S$5,IF(MONTH($C725)=7,$S$6,"ERROR")))),MAX(VLOOKUP($C725,COS!$B$8:$K$991,10,FALSE)-IF(MONTH($C725)=4,$Y$3,IF(MONTH($C725)=5,$Y$4,IF(MONTH($C725)=6,$Y$5,IF(MONTH($C725)=7,$Y$6,"ERROR")))),0),MAX(VLOOKUP($C725,COS!$B$8:$K$991,9,FALSE)-IF(MONTH($C725)=4,$V$3,IF(MONTH($C725)=5,$V$4,IF(MONTH($C725)=6,$V$5,IF(MONTH($C725)=7,$V$6,"ERROR"))))-VLOOKUP($C725,COS!$B$8:$K$991,6,FALSE)/2,0))</f>
        <v>750</v>
      </c>
      <c r="S725" s="30">
        <f t="shared" ref="S725:S728" si="1167">R725*DAY($C725)*86400/43560/1000</f>
        <v>44.628099173553714</v>
      </c>
      <c r="T725" s="30">
        <f t="shared" ref="T725:T728" si="1168">(O725+Q725)/2+S725</f>
        <v>61.858771105049065</v>
      </c>
      <c r="U725" s="30" t="str">
        <f>IF(VLOOKUP($C725,COS!$B$8:$I$991,8,FALSE)=1,"UWFE","IBU")</f>
        <v>UWFE</v>
      </c>
      <c r="V725" s="30">
        <f t="shared" ref="V725" si="1169">MIN(IF(IF($AA$3=2,AND(E725=1,G725=1,L725=1,L730=1,M725=1,U725="IBU"),AND(E725=1,G725=1,L725=1,L730=1,M725=1)),T725,0),I725)</f>
        <v>0</v>
      </c>
      <c r="W725" s="30"/>
      <c r="X725" s="30"/>
      <c r="Y725" s="30"/>
      <c r="Z725" s="30"/>
      <c r="AA725" s="30"/>
      <c r="AB725" s="31"/>
    </row>
    <row r="726" spans="1:28" x14ac:dyDescent="0.3">
      <c r="A726" s="32">
        <f>VLOOKUP(YEAR(C726),Flags!$A$13:$B$95,2,FALSE)</f>
        <v>4</v>
      </c>
      <c r="B726" s="24">
        <f t="shared" si="1157"/>
        <v>2001</v>
      </c>
      <c r="C726" s="25">
        <v>37042</v>
      </c>
      <c r="D726" s="26">
        <f>VLOOKUP($C726,COS!$B$8:$H$991,3,FALSE)</f>
        <v>9349.091796875</v>
      </c>
      <c r="E726" s="24">
        <f>IF(D726&gt;=IF(MONTH($C726)=4,$C$3,IF(MONTH($C726)=5,$C$4,IF(MONTH($C726)=6,$C$5,IF(MONTH($C726)=7,$C$6,"ERROR")))),1,0)</f>
        <v>1</v>
      </c>
      <c r="F726" s="26">
        <f>VLOOKUP($C726,COS!$B$8:$H$991,7,FALSE)</f>
        <v>51.669788360595703</v>
      </c>
      <c r="G726" s="24">
        <f>IF(F726&lt;=IF(MONTH($C726)=4,$F$3,IF(MONTH($C726)=5,$F$4,IF(MONTH($C726)=6,$F$5,IF(MONTH($C726)=7,$F$6,"ERROR")))),1,0)</f>
        <v>1</v>
      </c>
      <c r="H726" s="26">
        <f>IF(J726=1,D726-$C$4,0)</f>
        <v>3349.091796875</v>
      </c>
      <c r="I726" s="26">
        <f t="shared" si="1083"/>
        <v>205.92762784090908</v>
      </c>
      <c r="J726" s="24">
        <f t="shared" si="1162"/>
        <v>1</v>
      </c>
      <c r="K726" s="26">
        <f>VLOOKUP($C726,COS!$B$8:$H$991,2,FALSE)</f>
        <v>3513.1181640625</v>
      </c>
      <c r="L726" s="24">
        <f t="shared" si="1148"/>
        <v>1</v>
      </c>
      <c r="M726" s="24">
        <f t="shared" si="1149"/>
        <v>1</v>
      </c>
      <c r="N726" s="26">
        <f>VLOOKUP($C726,COS!$B$8:$H$991,5,FALSE)</f>
        <v>131.51080322265625</v>
      </c>
      <c r="O726" s="26">
        <f t="shared" si="1165"/>
        <v>8.0862840989798546</v>
      </c>
      <c r="P726" s="26">
        <f>VLOOKUP($C726,COS!$B$8:$H$991,6,FALSE)</f>
        <v>2330.0556640625</v>
      </c>
      <c r="Q726" s="26">
        <f t="shared" si="1166"/>
        <v>143.26953835227275</v>
      </c>
      <c r="R726" s="26">
        <f>MIN(IF(MONTH($C726)=4,$S$3,IF(MONTH($C726)=5,$S$4,IF(MONTH($C726)=6,$S$5,IF(MONTH($C726)=7,$S$6,"ERROR")))),MAX(VLOOKUP($C726,COS!$B$8:$K$991,10,FALSE)-IF(MONTH($C726)=4,$Y$3,IF(MONTH($C726)=5,$Y$4,IF(MONTH($C726)=6,$Y$5,IF(MONTH($C726)=7,$Y$6,"ERROR")))),0),MAX(VLOOKUP($C726,COS!$B$8:$K$991,9,FALSE)-IF(MONTH($C726)=4,$V$3,IF(MONTH($C726)=5,$V$4,IF(MONTH($C726)=6,$V$5,IF(MONTH($C726)=7,$V$6,"ERROR"))))-VLOOKUP($C726,COS!$B$8:$K$991,6,FALSE)/2,0))</f>
        <v>750</v>
      </c>
      <c r="S726" s="26">
        <f t="shared" si="1167"/>
        <v>46.115702479338843</v>
      </c>
      <c r="T726" s="26">
        <f t="shared" si="1168"/>
        <v>121.79361370496514</v>
      </c>
      <c r="U726" s="26" t="str">
        <f>IF(VLOOKUP($C726,COS!$B$8:$I$991,8,FALSE)=1,"UWFE","IBU")</f>
        <v>IBU</v>
      </c>
      <c r="V726" s="26">
        <f t="shared" ref="V726" si="1170">MIN(IF(IF($AA$3=2,AND(E726=1,G726=1,L726=1,L730=1,M726=1,U726="IBU"),AND(E726=1,G726=1,L726=1,L730=1,M726=1)),T726,0),I726)</f>
        <v>121.79361370496514</v>
      </c>
      <c r="W726" s="26"/>
      <c r="X726" s="26"/>
      <c r="Y726" s="26"/>
      <c r="Z726" s="26"/>
      <c r="AA726" s="26"/>
      <c r="AB726" s="33"/>
    </row>
    <row r="727" spans="1:28" x14ac:dyDescent="0.3">
      <c r="A727" s="32">
        <f>VLOOKUP(YEAR(C727),Flags!$A$13:$B$95,2,FALSE)</f>
        <v>4</v>
      </c>
      <c r="B727" s="24">
        <f t="shared" si="1157"/>
        <v>2001</v>
      </c>
      <c r="C727" s="25">
        <v>37072</v>
      </c>
      <c r="D727" s="26">
        <f>VLOOKUP($C727,COS!$B$8:$H$991,3,FALSE)</f>
        <v>13580.42578125</v>
      </c>
      <c r="E727" s="24">
        <f>IF(D727&gt;=IF(MONTH($C727)=4,$C$3,IF(MONTH($C727)=5,$C$4,IF(MONTH($C727)=6,$C$5,IF(MONTH($C727)=7,$C$6,"ERROR")))),1,0)</f>
        <v>1</v>
      </c>
      <c r="F727" s="26">
        <f>VLOOKUP($C727,COS!$B$8:$H$991,7,FALSE)</f>
        <v>52.129489898681641</v>
      </c>
      <c r="G727" s="24">
        <f>IF(F727&lt;=IF(MONTH($C727)=4,$F$3,IF(MONTH($C727)=5,$F$4,IF(MONTH($C727)=6,$F$5,IF(MONTH($C727)=7,$F$6,"ERROR")))),1,0)</f>
        <v>1</v>
      </c>
      <c r="H727" s="26">
        <f>IF(J727=1,D727-$C$5,0)</f>
        <v>3580.42578125</v>
      </c>
      <c r="I727" s="26">
        <f t="shared" si="1083"/>
        <v>213.0501291322314</v>
      </c>
      <c r="J727" s="24">
        <f t="shared" si="1162"/>
        <v>1</v>
      </c>
      <c r="K727" s="26">
        <f>VLOOKUP($C727,COS!$B$8:$H$991,2,FALSE)</f>
        <v>3084.426025390625</v>
      </c>
      <c r="L727" s="24">
        <f t="shared" si="1148"/>
        <v>1</v>
      </c>
      <c r="M727" s="24">
        <f t="shared" si="1149"/>
        <v>1</v>
      </c>
      <c r="N727" s="26">
        <f>VLOOKUP($C727,COS!$B$8:$H$991,5,FALSE)</f>
        <v>341.73458862304688</v>
      </c>
      <c r="O727" s="26">
        <f t="shared" si="1165"/>
        <v>20.334620149470556</v>
      </c>
      <c r="P727" s="26">
        <f>VLOOKUP($C727,COS!$B$8:$H$991,6,FALSE)</f>
        <v>2635.120849609375</v>
      </c>
      <c r="Q727" s="26">
        <f t="shared" si="1166"/>
        <v>156.80057948088844</v>
      </c>
      <c r="R727" s="26">
        <f>MIN(IF(MONTH($C727)=4,$S$3,IF(MONTH($C727)=5,$S$4,IF(MONTH($C727)=6,$S$5,IF(MONTH($C727)=7,$S$6,"ERROR")))),MAX(VLOOKUP($C727,COS!$B$8:$K$991,10,FALSE)-IF(MONTH($C727)=4,$Y$3,IF(MONTH($C727)=5,$Y$4,IF(MONTH($C727)=6,$Y$5,IF(MONTH($C727)=7,$Y$6,"ERROR")))),0),MAX(VLOOKUP($C727,COS!$B$8:$K$991,9,FALSE)-IF(MONTH($C727)=4,$V$3,IF(MONTH($C727)=5,$V$4,IF(MONTH($C727)=6,$V$5,IF(MONTH($C727)=7,$V$6,"ERROR"))))-VLOOKUP($C727,COS!$B$8:$K$991,6,FALSE)/2,0))</f>
        <v>750</v>
      </c>
      <c r="S727" s="26">
        <f t="shared" si="1167"/>
        <v>44.628099173553714</v>
      </c>
      <c r="T727" s="26">
        <f t="shared" si="1168"/>
        <v>133.19569898873323</v>
      </c>
      <c r="U727" s="26" t="str">
        <f>IF(VLOOKUP($C727,COS!$B$8:$I$991,8,FALSE)=1,"UWFE","IBU")</f>
        <v>IBU</v>
      </c>
      <c r="V727" s="26">
        <f t="shared" ref="V727" si="1171">MIN(IF(IF($AA$3=2,AND(E727=1,G727=1,L727=1,L730=1,M727=1,U727="IBU"),AND(E727=1,G727=1,L727=1,L730=1,M727=1)),T727,0),I727)</f>
        <v>133.19569898873323</v>
      </c>
      <c r="W727" s="26"/>
      <c r="X727" s="26"/>
      <c r="Y727" s="26"/>
      <c r="Z727" s="26"/>
      <c r="AA727" s="26"/>
      <c r="AB727" s="33"/>
    </row>
    <row r="728" spans="1:28" x14ac:dyDescent="0.3">
      <c r="A728" s="32">
        <f>VLOOKUP(YEAR(C728),Flags!$A$13:$B$95,2,FALSE)</f>
        <v>4</v>
      </c>
      <c r="B728" s="24">
        <f t="shared" si="1157"/>
        <v>2001</v>
      </c>
      <c r="C728" s="25">
        <v>37103</v>
      </c>
      <c r="D728" s="26">
        <f>VLOOKUP($C728,COS!$B$8:$H$991,3,FALSE)</f>
        <v>11758.25</v>
      </c>
      <c r="E728" s="24">
        <f>IF(D728&gt;=IF(MONTH($C728)=4,$C$3,IF(MONTH($C728)=5,$C$4,IF(MONTH($C728)=6,$C$5,IF(MONTH($C728)=7,$C$6,"ERROR")))),1,0)</f>
        <v>0</v>
      </c>
      <c r="F728" s="26">
        <f>VLOOKUP($C728,COS!$B$8:$H$991,7,FALSE)</f>
        <v>54.356548309326172</v>
      </c>
      <c r="G728" s="24">
        <f>IF(F728&lt;=IF(MONTH($C728)=4,$F$3,IF(MONTH($C728)=5,$F$4,IF(MONTH($C728)=6,$F$5,IF(MONTH($C728)=7,$F$6,"ERROR")))),1,0)</f>
        <v>0</v>
      </c>
      <c r="H728" s="26">
        <f>IF(J728=1,D728-$C$6,0)</f>
        <v>0</v>
      </c>
      <c r="I728" s="26">
        <f t="shared" si="1083"/>
        <v>0</v>
      </c>
      <c r="J728" s="24">
        <f t="shared" si="1162"/>
        <v>0</v>
      </c>
      <c r="K728" s="26">
        <f>VLOOKUP($C728,COS!$B$8:$H$991,2,FALSE)</f>
        <v>2758.937255859375</v>
      </c>
      <c r="L728" s="24">
        <f t="shared" si="1148"/>
        <v>1</v>
      </c>
      <c r="M728" s="24">
        <f t="shared" si="1149"/>
        <v>1</v>
      </c>
      <c r="N728" s="26">
        <f>VLOOKUP($C728,COS!$B$8:$H$991,5,FALSE)</f>
        <v>395.15768432617188</v>
      </c>
      <c r="O728" s="26">
        <f t="shared" si="1165"/>
        <v>24.297298937080321</v>
      </c>
      <c r="P728" s="26">
        <f>VLOOKUP($C728,COS!$B$8:$H$991,6,FALSE)</f>
        <v>2538.07568359375</v>
      </c>
      <c r="Q728" s="26">
        <f t="shared" si="1166"/>
        <v>156.06019079287191</v>
      </c>
      <c r="R728" s="26">
        <f>MIN(IF(MONTH($C728)=4,$S$3,IF(MONTH($C728)=5,$S$4,IF(MONTH($C728)=6,$S$5,IF(MONTH($C728)=7,$S$6,"ERROR")))),MAX(VLOOKUP($C728,COS!$B$8:$K$991,10,FALSE)-IF(MONTH($C728)=4,$Y$3,IF(MONTH($C728)=5,$Y$4,IF(MONTH($C728)=6,$Y$5,IF(MONTH($C728)=7,$Y$6,"ERROR")))),0),MAX(VLOOKUP($C728,COS!$B$8:$K$991,9,FALSE)-IF(MONTH($C728)=4,$V$3,IF(MONTH($C728)=5,$V$4,IF(MONTH($C728)=6,$V$5,IF(MONTH($C728)=7,$V$6,"ERROR"))))-VLOOKUP($C728,COS!$B$8:$K$991,6,FALSE)/2,0))</f>
        <v>750</v>
      </c>
      <c r="S728" s="26">
        <f t="shared" si="1167"/>
        <v>46.115702479338843</v>
      </c>
      <c r="T728" s="26">
        <f t="shared" si="1168"/>
        <v>136.29444734431496</v>
      </c>
      <c r="U728" s="26" t="str">
        <f>IF(VLOOKUP($C728,COS!$B$8:$I$991,8,FALSE)=1,"UWFE","IBU")</f>
        <v>IBU</v>
      </c>
      <c r="V728" s="26">
        <f t="shared" ref="V728" si="1172">MIN(IF(IF($AA$3=2,AND(E728=1,G728=1,L728=1,L730=1,M728=1,U728="IBU"),AND(E728=1,G728=1,L728=1,L730=1,M728=1)),T728,0),I728)</f>
        <v>0</v>
      </c>
      <c r="W728" s="26"/>
      <c r="X728" s="26"/>
      <c r="Y728" s="26"/>
      <c r="Z728" s="26"/>
      <c r="AA728" s="26"/>
      <c r="AB728" s="33"/>
    </row>
    <row r="729" spans="1:28" x14ac:dyDescent="0.3">
      <c r="A729" s="32">
        <f>VLOOKUP(YEAR(C729),Flags!$A$13:$B$95,2,FALSE)</f>
        <v>4</v>
      </c>
      <c r="B729" s="24">
        <f t="shared" si="1157"/>
        <v>2001</v>
      </c>
      <c r="C729" s="25">
        <v>37134</v>
      </c>
      <c r="D729" s="26"/>
      <c r="E729" s="24"/>
      <c r="F729" s="26"/>
      <c r="G729" s="24"/>
      <c r="H729" s="24"/>
      <c r="I729" s="26"/>
      <c r="J729" s="24"/>
      <c r="K729" s="26"/>
      <c r="L729" s="24"/>
      <c r="M729" s="24"/>
      <c r="N729" s="26"/>
      <c r="O729" s="26"/>
      <c r="P729" s="26"/>
      <c r="Q729" s="26"/>
      <c r="R729" s="26"/>
      <c r="S729" s="26"/>
      <c r="T729" s="26"/>
      <c r="U729" s="26"/>
      <c r="V729" s="26"/>
      <c r="W729" s="26">
        <f>MAX($C$7-VLOOKUP($C729,COS!$B$8:$H$991,3,FALSE),0)</f>
        <v>92242.5517578125</v>
      </c>
      <c r="X729" s="26">
        <f t="shared" si="1086"/>
        <v>5671.7734303977277</v>
      </c>
      <c r="Y729" s="26">
        <f>VLOOKUP($C729,COS!$B$8:$H$991,4,FALSE)</f>
        <v>2668.290283203125</v>
      </c>
      <c r="Z729" s="26">
        <f t="shared" si="1087"/>
        <v>164.06677443827479</v>
      </c>
      <c r="AA729" s="26">
        <f t="shared" ref="AA729:AA733" si="1173">MIN(W729,Y729)</f>
        <v>2668.290283203125</v>
      </c>
      <c r="AB729" s="33">
        <f t="shared" ref="AB729" si="1174">AA729*DAY($C729)*86400/43560/1000*IF(MONTH($C729)=8,$P$3,IF(MONTH($C729)=9,$P$4,IF(MONTH($C729)=10,$P$5,IF(MONTH($C729)=11,$P$6,IF(MONTH($C729)=12,$P$7,NA())))))</f>
        <v>164.06677443827479</v>
      </c>
    </row>
    <row r="730" spans="1:28" x14ac:dyDescent="0.3">
      <c r="A730" s="32">
        <f>VLOOKUP(YEAR(C730),Flags!$A$13:$B$95,2,FALSE)</f>
        <v>4</v>
      </c>
      <c r="B730" s="24">
        <f t="shared" si="1157"/>
        <v>2001</v>
      </c>
      <c r="C730" s="25">
        <v>37164</v>
      </c>
      <c r="D730" s="26"/>
      <c r="E730" s="24"/>
      <c r="F730" s="26"/>
      <c r="G730" s="24"/>
      <c r="H730" s="24"/>
      <c r="I730" s="26"/>
      <c r="J730" s="24"/>
      <c r="K730" s="26">
        <f>VLOOKUP($C730,COS!$B$8:$H$991,2,FALSE)</f>
        <v>2536.139892578125</v>
      </c>
      <c r="L730" s="24">
        <f t="shared" ref="L730" si="1175">IF(AND(K730&gt;$I$7,K730&lt;$I$8),1,0)</f>
        <v>1</v>
      </c>
      <c r="M730" s="24"/>
      <c r="N730" s="26"/>
      <c r="O730" s="26"/>
      <c r="P730" s="26"/>
      <c r="Q730" s="26"/>
      <c r="R730" s="26"/>
      <c r="S730" s="26"/>
      <c r="T730" s="26"/>
      <c r="U730" s="26"/>
      <c r="V730" s="26"/>
      <c r="W730" s="26">
        <f>MAX($C$8-VLOOKUP($C730,COS!$B$8:$H$991,3,FALSE),0)</f>
        <v>94657.2197265625</v>
      </c>
      <c r="X730" s="26">
        <f t="shared" si="1086"/>
        <v>5632.4957192665288</v>
      </c>
      <c r="Y730" s="26">
        <f>VLOOKUP($C730,COS!$B$8:$H$991,4,FALSE)</f>
        <v>1212.2628173828125</v>
      </c>
      <c r="Z730" s="26">
        <f t="shared" si="1087"/>
        <v>72.134646984762398</v>
      </c>
      <c r="AA730" s="26">
        <f t="shared" si="1173"/>
        <v>1212.2628173828125</v>
      </c>
      <c r="AB730" s="33">
        <f t="shared" si="1160"/>
        <v>72.134646984762398</v>
      </c>
    </row>
    <row r="731" spans="1:28" x14ac:dyDescent="0.3">
      <c r="A731" s="32">
        <f>VLOOKUP(YEAR(C731),Flags!$A$13:$B$95,2,FALSE)</f>
        <v>4</v>
      </c>
      <c r="B731" s="24">
        <f t="shared" si="1157"/>
        <v>2001</v>
      </c>
      <c r="C731" s="25">
        <v>37195</v>
      </c>
      <c r="D731" s="26"/>
      <c r="E731" s="24"/>
      <c r="F731" s="26"/>
      <c r="G731" s="26"/>
      <c r="H731" s="26"/>
      <c r="I731" s="26"/>
      <c r="J731" s="26"/>
      <c r="K731" s="26"/>
      <c r="L731" s="24"/>
      <c r="M731" s="24"/>
      <c r="N731" s="26"/>
      <c r="O731" s="26"/>
      <c r="P731" s="26"/>
      <c r="Q731" s="26"/>
      <c r="R731" s="26"/>
      <c r="S731" s="26"/>
      <c r="T731" s="26"/>
      <c r="U731" s="26"/>
      <c r="V731" s="26"/>
      <c r="W731" s="26">
        <f>MAX($C$9-VLOOKUP($C731,COS!$B$8:$H$991,3,FALSE),0)</f>
        <v>91063.4443359375</v>
      </c>
      <c r="X731" s="26">
        <f t="shared" si="1086"/>
        <v>5599.2729409865697</v>
      </c>
      <c r="Y731" s="26">
        <f>VLOOKUP($C731,COS!$B$8:$H$991,4,FALSE)</f>
        <v>1937.2271728515625</v>
      </c>
      <c r="Z731" s="26">
        <f t="shared" si="1087"/>
        <v>119.11545591748451</v>
      </c>
      <c r="AA731" s="26">
        <f t="shared" si="1173"/>
        <v>1937.2271728515625</v>
      </c>
      <c r="AB731" s="33">
        <f t="shared" si="1160"/>
        <v>119.11545591748451</v>
      </c>
    </row>
    <row r="732" spans="1:28" x14ac:dyDescent="0.3">
      <c r="A732" s="32">
        <f>VLOOKUP(YEAR(C732),Flags!$A$13:$B$95,2,FALSE)</f>
        <v>4</v>
      </c>
      <c r="B732" s="24">
        <f t="shared" si="1157"/>
        <v>2001</v>
      </c>
      <c r="C732" s="25">
        <v>37225</v>
      </c>
      <c r="D732" s="26"/>
      <c r="E732" s="24"/>
      <c r="F732" s="26"/>
      <c r="G732" s="26"/>
      <c r="H732" s="26"/>
      <c r="I732" s="26"/>
      <c r="J732" s="26"/>
      <c r="K732" s="26"/>
      <c r="L732" s="24"/>
      <c r="M732" s="24"/>
      <c r="N732" s="26"/>
      <c r="O732" s="26"/>
      <c r="P732" s="26"/>
      <c r="Q732" s="26"/>
      <c r="R732" s="26"/>
      <c r="S732" s="26"/>
      <c r="T732" s="26"/>
      <c r="U732" s="26"/>
      <c r="V732" s="26"/>
      <c r="W732" s="26">
        <f>MAX($C$10-VLOOKUP($C732,COS!$B$8:$H$991,3,FALSE),0)</f>
        <v>96749</v>
      </c>
      <c r="X732" s="26">
        <f t="shared" si="1086"/>
        <v>5756.965289256198</v>
      </c>
      <c r="Y732" s="26">
        <f>VLOOKUP($C732,COS!$B$8:$H$991,4,FALSE)</f>
        <v>1367.04638671875</v>
      </c>
      <c r="Z732" s="26">
        <f t="shared" si="1087"/>
        <v>81.344908961776866</v>
      </c>
      <c r="AA732" s="26">
        <f t="shared" si="1173"/>
        <v>1367.04638671875</v>
      </c>
      <c r="AB732" s="33">
        <f t="shared" si="1160"/>
        <v>40.672454480888433</v>
      </c>
    </row>
    <row r="733" spans="1:28" x14ac:dyDescent="0.3">
      <c r="A733" s="34">
        <f>VLOOKUP(YEAR(C733),Flags!$A$13:$B$95,2,FALSE)</f>
        <v>4</v>
      </c>
      <c r="B733" s="35">
        <f t="shared" si="1157"/>
        <v>2001</v>
      </c>
      <c r="C733" s="36">
        <v>37256</v>
      </c>
      <c r="D733" s="37"/>
      <c r="E733" s="35"/>
      <c r="F733" s="37"/>
      <c r="G733" s="37"/>
      <c r="H733" s="37"/>
      <c r="I733" s="37"/>
      <c r="J733" s="37"/>
      <c r="K733" s="37"/>
      <c r="L733" s="35"/>
      <c r="M733" s="35"/>
      <c r="N733" s="37"/>
      <c r="O733" s="37"/>
      <c r="P733" s="37"/>
      <c r="Q733" s="37"/>
      <c r="R733" s="37"/>
      <c r="S733" s="37"/>
      <c r="T733" s="37"/>
      <c r="U733" s="37"/>
      <c r="V733" s="37"/>
      <c r="W733" s="37">
        <f>MAX($C$11-VLOOKUP($C733,COS!$B$8:$H$991,3,FALSE),0)</f>
        <v>0</v>
      </c>
      <c r="X733" s="37">
        <f t="shared" si="1086"/>
        <v>0</v>
      </c>
      <c r="Y733" s="37">
        <f>VLOOKUP($C733,COS!$B$8:$H$991,4,FALSE)</f>
        <v>0</v>
      </c>
      <c r="Z733" s="37">
        <f t="shared" si="1087"/>
        <v>0</v>
      </c>
      <c r="AA733" s="37">
        <f t="shared" si="1173"/>
        <v>0</v>
      </c>
      <c r="AB733" s="38">
        <f t="shared" si="1160"/>
        <v>0</v>
      </c>
    </row>
    <row r="734" spans="1:28" x14ac:dyDescent="0.3">
      <c r="A734" s="27">
        <f>VLOOKUP(YEAR(C734),Flags!$A$13:$B$95,2,FALSE)</f>
        <v>4</v>
      </c>
      <c r="B734" s="28">
        <f t="shared" si="1157"/>
        <v>2002</v>
      </c>
      <c r="C734" s="29">
        <v>37376</v>
      </c>
      <c r="D734" s="30">
        <f>VLOOKUP($C734,COS!$B$8:$H$991,3,FALSE)</f>
        <v>3790.32568359375</v>
      </c>
      <c r="E734" s="28">
        <f>IF(D734&gt;=IF(MONTH($C734)=4,$C$3,IF(MONTH($C734)=5,$C$4,IF(MONTH($C734)=6,$C$5,IF(MONTH($C734)=7,$C$6,"ERROR")))),1,0)</f>
        <v>0</v>
      </c>
      <c r="F734" s="30">
        <f>VLOOKUP($C734,COS!$B$8:$H$991,7,FALSE)</f>
        <v>51.393619537353516</v>
      </c>
      <c r="G734" s="28">
        <f>IF(F734&lt;=IF(MONTH($C734)=4,$F$3,IF(MONTH($C734)=5,$F$4,IF(MONTH($C734)=6,$F$5,IF(MONTH($C734)=7,$F$6,"ERROR")))),1,0)</f>
        <v>1</v>
      </c>
      <c r="H734" s="30">
        <f>IF(J734=1,D734-$C$3,0)</f>
        <v>0</v>
      </c>
      <c r="I734" s="30">
        <f t="shared" si="1083"/>
        <v>0</v>
      </c>
      <c r="J734" s="28">
        <f t="shared" ref="J734:J737" si="1176">IF(AND(E734=1,G734=1),1,0)</f>
        <v>0</v>
      </c>
      <c r="K734" s="30">
        <f>VLOOKUP($C734,COS!$B$8:$H$991,2,FALSE)</f>
        <v>4552.10009765625</v>
      </c>
      <c r="L734" s="28">
        <f t="shared" ref="L734" si="1177">IF(K734&lt;=IF(MONTH($C734)=4,$I$3,IF(MONTH($C734)=5,$I$4,IF(MONTH($C734)=6,$I$5,IF(MONTH($C734)=7,$I$6,"ERROR")))),1,0)</f>
        <v>1</v>
      </c>
      <c r="M734" s="28">
        <f t="shared" ref="M734" si="1178">VLOOKUP($A734,$L$3:$M$7,2,FALSE)</f>
        <v>1</v>
      </c>
      <c r="N734" s="30">
        <f>VLOOKUP($C734,COS!$B$8:$H$991,5,FALSE)</f>
        <v>592.5997314453125</v>
      </c>
      <c r="O734" s="30">
        <f t="shared" ref="O734:O737" si="1179">N734*DAY($C734)*86400/43560/1000</f>
        <v>35.262132780216938</v>
      </c>
      <c r="P734" s="30">
        <f>VLOOKUP($C734,COS!$B$8:$H$991,6,FALSE)</f>
        <v>570.92694091796875</v>
      </c>
      <c r="Q734" s="30">
        <f t="shared" ref="Q734:Q737" si="1180">P734*DAY($C734)*86400/43560/1000</f>
        <v>33.972512186854338</v>
      </c>
      <c r="R734" s="30">
        <f>MIN(IF(MONTH($C734)=4,$S$3,IF(MONTH($C734)=5,$S$4,IF(MONTH($C734)=6,$S$5,IF(MONTH($C734)=7,$S$6,"ERROR")))),MAX(VLOOKUP($C734,COS!$B$8:$K$991,10,FALSE)-IF(MONTH($C734)=4,$Y$3,IF(MONTH($C734)=5,$Y$4,IF(MONTH($C734)=6,$Y$5,IF(MONTH($C734)=7,$Y$6,"ERROR")))),0),MAX(VLOOKUP($C734,COS!$B$8:$K$991,9,FALSE)-IF(MONTH($C734)=4,$V$3,IF(MONTH($C734)=5,$V$4,IF(MONTH($C734)=6,$V$5,IF(MONTH($C734)=7,$V$6,"ERROR"))))-VLOOKUP($C734,COS!$B$8:$K$991,6,FALSE)/2,0))</f>
        <v>750</v>
      </c>
      <c r="S734" s="30">
        <f t="shared" ref="S734:S737" si="1181">R734*DAY($C734)*86400/43560/1000</f>
        <v>44.628099173553714</v>
      </c>
      <c r="T734" s="30">
        <f t="shared" ref="T734:T737" si="1182">(O734+Q734)/2+S734</f>
        <v>79.245421657089352</v>
      </c>
      <c r="U734" s="30" t="str">
        <f>IF(VLOOKUP($C734,COS!$B$8:$I$991,8,FALSE)=1,"UWFE","IBU")</f>
        <v>UWFE</v>
      </c>
      <c r="V734" s="30">
        <f t="shared" ref="V734" si="1183">MIN(IF(IF($AA$3=2,AND(E734=1,G734=1,L734=1,L739=1,M734=1,U734="IBU"),AND(E734=1,G734=1,L734=1,L739=1,M734=1)),T734,0),I734)</f>
        <v>0</v>
      </c>
      <c r="W734" s="30"/>
      <c r="X734" s="30"/>
      <c r="Y734" s="30"/>
      <c r="Z734" s="30"/>
      <c r="AA734" s="30"/>
      <c r="AB734" s="31"/>
    </row>
    <row r="735" spans="1:28" x14ac:dyDescent="0.3">
      <c r="A735" s="32">
        <f>VLOOKUP(YEAR(C735),Flags!$A$13:$B$95,2,FALSE)</f>
        <v>4</v>
      </c>
      <c r="B735" s="24">
        <f t="shared" si="1157"/>
        <v>2002</v>
      </c>
      <c r="C735" s="25">
        <v>37407</v>
      </c>
      <c r="D735" s="26">
        <f>VLOOKUP($C735,COS!$B$8:$H$991,3,FALSE)</f>
        <v>8129.60498046875</v>
      </c>
      <c r="E735" s="24">
        <f>IF(D735&gt;=IF(MONTH($C735)=4,$C$3,IF(MONTH($C735)=5,$C$4,IF(MONTH($C735)=6,$C$5,IF(MONTH($C735)=7,$C$6,"ERROR")))),1,0)</f>
        <v>1</v>
      </c>
      <c r="F735" s="26">
        <f>VLOOKUP($C735,COS!$B$8:$H$991,7,FALSE)</f>
        <v>50.423126220703125</v>
      </c>
      <c r="G735" s="24">
        <f>IF(F735&lt;=IF(MONTH($C735)=4,$F$3,IF(MONTH($C735)=5,$F$4,IF(MONTH($C735)=6,$F$5,IF(MONTH($C735)=7,$F$6,"ERROR")))),1,0)</f>
        <v>1</v>
      </c>
      <c r="H735" s="26">
        <f>IF(J735=1,D735-$C$4,0)</f>
        <v>2129.60498046875</v>
      </c>
      <c r="I735" s="26">
        <f t="shared" si="1083"/>
        <v>130.94430623708678</v>
      </c>
      <c r="J735" s="24">
        <f t="shared" si="1176"/>
        <v>1</v>
      </c>
      <c r="K735" s="26">
        <f>VLOOKUP($C735,COS!$B$8:$H$991,2,FALSE)</f>
        <v>4345.9794921875</v>
      </c>
      <c r="L735" s="24">
        <f t="shared" si="1148"/>
        <v>1</v>
      </c>
      <c r="M735" s="24">
        <f t="shared" si="1149"/>
        <v>1</v>
      </c>
      <c r="N735" s="26">
        <f>VLOOKUP($C735,COS!$B$8:$H$991,5,FALSE)</f>
        <v>512.00897216796875</v>
      </c>
      <c r="O735" s="26">
        <f t="shared" si="1179"/>
        <v>31.482204569666838</v>
      </c>
      <c r="P735" s="26">
        <f>VLOOKUP($C735,COS!$B$8:$H$991,6,FALSE)</f>
        <v>2032.4620361328125</v>
      </c>
      <c r="Q735" s="26">
        <f t="shared" si="1180"/>
        <v>124.97121941180268</v>
      </c>
      <c r="R735" s="26">
        <f>MIN(IF(MONTH($C735)=4,$S$3,IF(MONTH($C735)=5,$S$4,IF(MONTH($C735)=6,$S$5,IF(MONTH($C735)=7,$S$6,"ERROR")))),MAX(VLOOKUP($C735,COS!$B$8:$K$991,10,FALSE)-IF(MONTH($C735)=4,$Y$3,IF(MONTH($C735)=5,$Y$4,IF(MONTH($C735)=6,$Y$5,IF(MONTH($C735)=7,$Y$6,"ERROR")))),0),MAX(VLOOKUP($C735,COS!$B$8:$K$991,9,FALSE)-IF(MONTH($C735)=4,$V$3,IF(MONTH($C735)=5,$V$4,IF(MONTH($C735)=6,$V$5,IF(MONTH($C735)=7,$V$6,"ERROR"))))-VLOOKUP($C735,COS!$B$8:$K$991,6,FALSE)/2,0))</f>
        <v>750</v>
      </c>
      <c r="S735" s="26">
        <f t="shared" si="1181"/>
        <v>46.115702479338843</v>
      </c>
      <c r="T735" s="26">
        <f t="shared" si="1182"/>
        <v>124.34241447007361</v>
      </c>
      <c r="U735" s="26" t="str">
        <f>IF(VLOOKUP($C735,COS!$B$8:$I$991,8,FALSE)=1,"UWFE","IBU")</f>
        <v>UWFE</v>
      </c>
      <c r="V735" s="26">
        <f t="shared" ref="V735" si="1184">MIN(IF(IF($AA$3=2,AND(E735=1,G735=1,L735=1,L739=1,M735=1,U735="IBU"),AND(E735=1,G735=1,L735=1,L739=1,M735=1)),T735,0),I735)</f>
        <v>0</v>
      </c>
      <c r="W735" s="26"/>
      <c r="X735" s="26"/>
      <c r="Y735" s="26"/>
      <c r="Z735" s="26"/>
      <c r="AA735" s="26"/>
      <c r="AB735" s="33"/>
    </row>
    <row r="736" spans="1:28" x14ac:dyDescent="0.3">
      <c r="A736" s="32">
        <f>VLOOKUP(YEAR(C736),Flags!$A$13:$B$95,2,FALSE)</f>
        <v>4</v>
      </c>
      <c r="B736" s="24">
        <f t="shared" si="1157"/>
        <v>2002</v>
      </c>
      <c r="C736" s="25">
        <v>37437</v>
      </c>
      <c r="D736" s="26">
        <f>VLOOKUP($C736,COS!$B$8:$H$991,3,FALSE)</f>
        <v>11090.05078125</v>
      </c>
      <c r="E736" s="24">
        <f>IF(D736&gt;=IF(MONTH($C736)=4,$C$3,IF(MONTH($C736)=5,$C$4,IF(MONTH($C736)=6,$C$5,IF(MONTH($C736)=7,$C$6,"ERROR")))),1,0)</f>
        <v>1</v>
      </c>
      <c r="F736" s="26">
        <f>VLOOKUP($C736,COS!$B$8:$H$991,7,FALSE)</f>
        <v>51.078281402587891</v>
      </c>
      <c r="G736" s="24">
        <f>IF(F736&lt;=IF(MONTH($C736)=4,$F$3,IF(MONTH($C736)=5,$F$4,IF(MONTH($C736)=6,$F$5,IF(MONTH($C736)=7,$F$6,"ERROR")))),1,0)</f>
        <v>1</v>
      </c>
      <c r="H736" s="26">
        <f>IF(J736=1,D736-$C$5,0)</f>
        <v>1090.05078125</v>
      </c>
      <c r="I736" s="26">
        <f t="shared" si="1083"/>
        <v>64.862525826446287</v>
      </c>
      <c r="J736" s="24">
        <f t="shared" si="1176"/>
        <v>1</v>
      </c>
      <c r="K736" s="26">
        <f>VLOOKUP($C736,COS!$B$8:$H$991,2,FALSE)</f>
        <v>3872.047119140625</v>
      </c>
      <c r="L736" s="24">
        <f t="shared" si="1148"/>
        <v>1</v>
      </c>
      <c r="M736" s="24">
        <f t="shared" si="1149"/>
        <v>1</v>
      </c>
      <c r="N736" s="26">
        <f>VLOOKUP($C736,COS!$B$8:$H$991,5,FALSE)</f>
        <v>765.88287353515625</v>
      </c>
      <c r="O736" s="26">
        <f t="shared" si="1179"/>
        <v>45.573195780604337</v>
      </c>
      <c r="P736" s="26">
        <f>VLOOKUP($C736,COS!$B$8:$H$991,6,FALSE)</f>
        <v>2710.3994140625</v>
      </c>
      <c r="Q736" s="26">
        <f t="shared" si="1180"/>
        <v>161.27996513429753</v>
      </c>
      <c r="R736" s="26">
        <f>MIN(IF(MONTH($C736)=4,$S$3,IF(MONTH($C736)=5,$S$4,IF(MONTH($C736)=6,$S$5,IF(MONTH($C736)=7,$S$6,"ERROR")))),MAX(VLOOKUP($C736,COS!$B$8:$K$991,10,FALSE)-IF(MONTH($C736)=4,$Y$3,IF(MONTH($C736)=5,$Y$4,IF(MONTH($C736)=6,$Y$5,IF(MONTH($C736)=7,$Y$6,"ERROR")))),0),MAX(VLOOKUP($C736,COS!$B$8:$K$991,9,FALSE)-IF(MONTH($C736)=4,$V$3,IF(MONTH($C736)=5,$V$4,IF(MONTH($C736)=6,$V$5,IF(MONTH($C736)=7,$V$6,"ERROR"))))-VLOOKUP($C736,COS!$B$8:$K$991,6,FALSE)/2,0))</f>
        <v>750</v>
      </c>
      <c r="S736" s="26">
        <f t="shared" si="1181"/>
        <v>44.628099173553714</v>
      </c>
      <c r="T736" s="26">
        <f t="shared" si="1182"/>
        <v>148.05467963100466</v>
      </c>
      <c r="U736" s="26" t="str">
        <f>IF(VLOOKUP($C736,COS!$B$8:$I$991,8,FALSE)=1,"UWFE","IBU")</f>
        <v>IBU</v>
      </c>
      <c r="V736" s="26">
        <f t="shared" ref="V736" si="1185">MIN(IF(IF($AA$3=2,AND(E736=1,G736=1,L736=1,L739=1,M736=1,U736="IBU"),AND(E736=1,G736=1,L736=1,L739=1,M736=1)),T736,0),I736)</f>
        <v>64.862525826446287</v>
      </c>
      <c r="W736" s="26"/>
      <c r="X736" s="26"/>
      <c r="Y736" s="26"/>
      <c r="Z736" s="26"/>
      <c r="AA736" s="26"/>
      <c r="AB736" s="33"/>
    </row>
    <row r="737" spans="1:28" x14ac:dyDescent="0.3">
      <c r="A737" s="32">
        <f>VLOOKUP(YEAR(C737),Flags!$A$13:$B$95,2,FALSE)</f>
        <v>4</v>
      </c>
      <c r="B737" s="24">
        <f t="shared" si="1157"/>
        <v>2002</v>
      </c>
      <c r="C737" s="25">
        <v>37468</v>
      </c>
      <c r="D737" s="26">
        <f>VLOOKUP($C737,COS!$B$8:$H$991,3,FALSE)</f>
        <v>14797.642578125</v>
      </c>
      <c r="E737" s="24">
        <f>IF(D737&gt;=IF(MONTH($C737)=4,$C$3,IF(MONTH($C737)=5,$C$4,IF(MONTH($C737)=6,$C$5,IF(MONTH($C737)=7,$C$6,"ERROR")))),1,0)</f>
        <v>1</v>
      </c>
      <c r="F737" s="26">
        <f>VLOOKUP($C737,COS!$B$8:$H$991,7,FALSE)</f>
        <v>51.499664306640625</v>
      </c>
      <c r="G737" s="24">
        <f>IF(F737&lt;=IF(MONTH($C737)=4,$F$3,IF(MONTH($C737)=5,$F$4,IF(MONTH($C737)=6,$F$5,IF(MONTH($C737)=7,$F$6,"ERROR")))),1,0)</f>
        <v>1</v>
      </c>
      <c r="H737" s="26">
        <f>IF(J737=1,D737-$C$6,0)</f>
        <v>2797.642578125</v>
      </c>
      <c r="I737" s="26">
        <f t="shared" ref="I737" si="1186">H737*DAY($C737)*86400/43560/1000</f>
        <v>172.02033703512396</v>
      </c>
      <c r="J737" s="24">
        <f t="shared" si="1176"/>
        <v>1</v>
      </c>
      <c r="K737" s="26">
        <f>VLOOKUP($C737,COS!$B$8:$H$991,2,FALSE)</f>
        <v>3213.63134765625</v>
      </c>
      <c r="L737" s="24">
        <f t="shared" si="1148"/>
        <v>1</v>
      </c>
      <c r="M737" s="24">
        <f t="shared" si="1149"/>
        <v>1</v>
      </c>
      <c r="N737" s="26">
        <f>VLOOKUP($C737,COS!$B$8:$H$991,5,FALSE)</f>
        <v>838.20123291015625</v>
      </c>
      <c r="O737" s="26">
        <f t="shared" si="1179"/>
        <v>51.53898489959969</v>
      </c>
      <c r="P737" s="26">
        <f>VLOOKUP($C737,COS!$B$8:$H$991,6,FALSE)</f>
        <v>2538.07568359375</v>
      </c>
      <c r="Q737" s="26">
        <f t="shared" si="1180"/>
        <v>156.06019079287191</v>
      </c>
      <c r="R737" s="26">
        <f>MIN(IF(MONTH($C737)=4,$S$3,IF(MONTH($C737)=5,$S$4,IF(MONTH($C737)=6,$S$5,IF(MONTH($C737)=7,$S$6,"ERROR")))),MAX(VLOOKUP($C737,COS!$B$8:$K$991,10,FALSE)-IF(MONTH($C737)=4,$Y$3,IF(MONTH($C737)=5,$Y$4,IF(MONTH($C737)=6,$Y$5,IF(MONTH($C737)=7,$Y$6,"ERROR")))),0),MAX(VLOOKUP($C737,COS!$B$8:$K$991,9,FALSE)-IF(MONTH($C737)=4,$V$3,IF(MONTH($C737)=5,$V$4,IF(MONTH($C737)=6,$V$5,IF(MONTH($C737)=7,$V$6,"ERROR"))))-VLOOKUP($C737,COS!$B$8:$K$991,6,FALSE)/2,0))</f>
        <v>750</v>
      </c>
      <c r="S737" s="26">
        <f t="shared" si="1181"/>
        <v>46.115702479338843</v>
      </c>
      <c r="T737" s="26">
        <f t="shared" si="1182"/>
        <v>149.91529032557463</v>
      </c>
      <c r="U737" s="26" t="str">
        <f>IF(VLOOKUP($C737,COS!$B$8:$I$991,8,FALSE)=1,"UWFE","IBU")</f>
        <v>IBU</v>
      </c>
      <c r="V737" s="26">
        <f t="shared" ref="V737" si="1187">MIN(IF(IF($AA$3=2,AND(E737=1,G737=1,L737=1,L739=1,M737=1,U737="IBU"),AND(E737=1,G737=1,L737=1,L739=1,M737=1)),T737,0),I737)</f>
        <v>149.91529032557463</v>
      </c>
      <c r="W737" s="26"/>
      <c r="X737" s="26"/>
      <c r="Y737" s="26"/>
      <c r="Z737" s="26"/>
      <c r="AA737" s="26"/>
      <c r="AB737" s="33"/>
    </row>
    <row r="738" spans="1:28" x14ac:dyDescent="0.3">
      <c r="A738" s="32">
        <f>VLOOKUP(YEAR(C738),Flags!$A$13:$B$95,2,FALSE)</f>
        <v>4</v>
      </c>
      <c r="B738" s="24">
        <f t="shared" si="1157"/>
        <v>2002</v>
      </c>
      <c r="C738" s="25">
        <v>37499</v>
      </c>
      <c r="D738" s="26"/>
      <c r="E738" s="24"/>
      <c r="F738" s="26"/>
      <c r="G738" s="24"/>
      <c r="H738" s="24"/>
      <c r="I738" s="26"/>
      <c r="J738" s="24"/>
      <c r="K738" s="26"/>
      <c r="L738" s="24"/>
      <c r="M738" s="24"/>
      <c r="N738" s="26"/>
      <c r="O738" s="26"/>
      <c r="P738" s="26"/>
      <c r="Q738" s="26"/>
      <c r="R738" s="26"/>
      <c r="S738" s="26"/>
      <c r="T738" s="26"/>
      <c r="U738" s="26"/>
      <c r="V738" s="26"/>
      <c r="W738" s="26">
        <f>MAX($C$7-VLOOKUP($C738,COS!$B$8:$H$991,3,FALSE),0)</f>
        <v>92011.7978515625</v>
      </c>
      <c r="X738" s="26">
        <f t="shared" si="1086"/>
        <v>5657.5849257489663</v>
      </c>
      <c r="Y738" s="26">
        <f>VLOOKUP($C738,COS!$B$8:$H$991,4,FALSE)</f>
        <v>1265.3411865234375</v>
      </c>
      <c r="Z738" s="26">
        <f t="shared" si="1087"/>
        <v>77.80279692342458</v>
      </c>
      <c r="AA738" s="26">
        <f t="shared" ref="AA738:AA742" si="1188">MIN(W738,Y738)</f>
        <v>1265.3411865234375</v>
      </c>
      <c r="AB738" s="33">
        <f t="shared" ref="AB738" si="1189">AA738*DAY($C738)*86400/43560/1000*IF(MONTH($C738)=8,$P$3,IF(MONTH($C738)=9,$P$4,IF(MONTH($C738)=10,$P$5,IF(MONTH($C738)=11,$P$6,IF(MONTH($C738)=12,$P$7,NA())))))</f>
        <v>77.80279692342458</v>
      </c>
    </row>
    <row r="739" spans="1:28" x14ac:dyDescent="0.3">
      <c r="A739" s="32">
        <f>VLOOKUP(YEAR(C739),Flags!$A$13:$B$95,2,FALSE)</f>
        <v>4</v>
      </c>
      <c r="B739" s="24">
        <f t="shared" si="1157"/>
        <v>2002</v>
      </c>
      <c r="C739" s="25">
        <v>37529</v>
      </c>
      <c r="D739" s="26"/>
      <c r="E739" s="24"/>
      <c r="F739" s="26"/>
      <c r="G739" s="24"/>
      <c r="H739" s="24"/>
      <c r="I739" s="26"/>
      <c r="J739" s="24"/>
      <c r="K739" s="26">
        <f>VLOOKUP($C739,COS!$B$8:$H$991,2,FALSE)</f>
        <v>2964.52880859375</v>
      </c>
      <c r="L739" s="24">
        <f t="shared" ref="L739" si="1190">IF(AND(K739&gt;$I$7,K739&lt;$I$8),1,0)</f>
        <v>1</v>
      </c>
      <c r="M739" s="24"/>
      <c r="N739" s="26"/>
      <c r="O739" s="26"/>
      <c r="P739" s="26"/>
      <c r="Q739" s="26"/>
      <c r="R739" s="26"/>
      <c r="S739" s="26"/>
      <c r="T739" s="26"/>
      <c r="U739" s="26"/>
      <c r="V739" s="26"/>
      <c r="W739" s="26">
        <f>MAX($C$8-VLOOKUP($C739,COS!$B$8:$H$991,3,FALSE),0)</f>
        <v>95016.09326171875</v>
      </c>
      <c r="X739" s="26">
        <f t="shared" ref="X739:X742" si="1191">W739*DAY($C739)*86400/43560/1000</f>
        <v>5653.8501775568184</v>
      </c>
      <c r="Y739" s="26">
        <f>VLOOKUP($C739,COS!$B$8:$H$991,4,FALSE)</f>
        <v>1150.0072021484375</v>
      </c>
      <c r="Z739" s="26">
        <f t="shared" ref="Z739:Z742" si="1192">Y739*DAY($C739)*86400/43560/1000</f>
        <v>68.430180623708665</v>
      </c>
      <c r="AA739" s="26">
        <f t="shared" si="1188"/>
        <v>1150.0072021484375</v>
      </c>
      <c r="AB739" s="33">
        <f t="shared" si="1160"/>
        <v>68.430180623708665</v>
      </c>
    </row>
    <row r="740" spans="1:28" x14ac:dyDescent="0.3">
      <c r="A740" s="32">
        <f>VLOOKUP(YEAR(C740),Flags!$A$13:$B$95,2,FALSE)</f>
        <v>4</v>
      </c>
      <c r="B740" s="24">
        <f t="shared" si="1157"/>
        <v>2002</v>
      </c>
      <c r="C740" s="25">
        <v>37560</v>
      </c>
      <c r="D740" s="26"/>
      <c r="E740" s="24"/>
      <c r="F740" s="26"/>
      <c r="G740" s="26"/>
      <c r="H740" s="26"/>
      <c r="I740" s="26"/>
      <c r="J740" s="26"/>
      <c r="K740" s="26"/>
      <c r="L740" s="24"/>
      <c r="M740" s="24"/>
      <c r="N740" s="26"/>
      <c r="O740" s="26"/>
      <c r="P740" s="26"/>
      <c r="Q740" s="26"/>
      <c r="R740" s="26"/>
      <c r="S740" s="26"/>
      <c r="T740" s="26"/>
      <c r="U740" s="26"/>
      <c r="V740" s="26"/>
      <c r="W740" s="26">
        <f>MAX($C$9-VLOOKUP($C740,COS!$B$8:$H$991,3,FALSE),0)</f>
        <v>92889.2216796875</v>
      </c>
      <c r="X740" s="26">
        <f t="shared" si="1191"/>
        <v>5711.53561402376</v>
      </c>
      <c r="Y740" s="26">
        <f>VLOOKUP($C740,COS!$B$8:$H$991,4,FALSE)</f>
        <v>1966.750244140625</v>
      </c>
      <c r="Z740" s="26">
        <f t="shared" si="1192"/>
        <v>120.93075881327479</v>
      </c>
      <c r="AA740" s="26">
        <f t="shared" si="1188"/>
        <v>1966.750244140625</v>
      </c>
      <c r="AB740" s="33">
        <f t="shared" si="1160"/>
        <v>120.93075881327479</v>
      </c>
    </row>
    <row r="741" spans="1:28" x14ac:dyDescent="0.3">
      <c r="A741" s="32">
        <f>VLOOKUP(YEAR(C741),Flags!$A$13:$B$95,2,FALSE)</f>
        <v>4</v>
      </c>
      <c r="B741" s="24">
        <f t="shared" si="1157"/>
        <v>2002</v>
      </c>
      <c r="C741" s="25">
        <v>37590</v>
      </c>
      <c r="D741" s="26"/>
      <c r="E741" s="24"/>
      <c r="F741" s="26"/>
      <c r="G741" s="26"/>
      <c r="H741" s="26"/>
      <c r="I741" s="26"/>
      <c r="J741" s="26"/>
      <c r="K741" s="26"/>
      <c r="L741" s="24"/>
      <c r="M741" s="24"/>
      <c r="N741" s="26"/>
      <c r="O741" s="26"/>
      <c r="P741" s="26"/>
      <c r="Q741" s="26"/>
      <c r="R741" s="26"/>
      <c r="S741" s="26"/>
      <c r="T741" s="26"/>
      <c r="U741" s="26"/>
      <c r="V741" s="26"/>
      <c r="W741" s="26">
        <f>MAX($C$10-VLOOKUP($C741,COS!$B$8:$H$991,3,FALSE),0)</f>
        <v>93899.3330078125</v>
      </c>
      <c r="X741" s="26">
        <f t="shared" si="1191"/>
        <v>5587.3983277376037</v>
      </c>
      <c r="Y741" s="26">
        <f>VLOOKUP($C741,COS!$B$8:$H$991,4,FALSE)</f>
        <v>797.55865478515625</v>
      </c>
      <c r="Z741" s="26">
        <f t="shared" si="1192"/>
        <v>47.458035656637392</v>
      </c>
      <c r="AA741" s="26">
        <f t="shared" si="1188"/>
        <v>797.55865478515625</v>
      </c>
      <c r="AB741" s="33">
        <f t="shared" si="1160"/>
        <v>23.729017828318696</v>
      </c>
    </row>
    <row r="742" spans="1:28" x14ac:dyDescent="0.3">
      <c r="A742" s="34">
        <f>VLOOKUP(YEAR(C742),Flags!$A$13:$B$95,2,FALSE)</f>
        <v>4</v>
      </c>
      <c r="B742" s="35">
        <f t="shared" si="1157"/>
        <v>2002</v>
      </c>
      <c r="C742" s="36">
        <v>37621</v>
      </c>
      <c r="D742" s="37"/>
      <c r="E742" s="35"/>
      <c r="F742" s="37"/>
      <c r="G742" s="37"/>
      <c r="H742" s="37"/>
      <c r="I742" s="37"/>
      <c r="J742" s="37"/>
      <c r="K742" s="37"/>
      <c r="L742" s="35"/>
      <c r="M742" s="35"/>
      <c r="N742" s="37"/>
      <c r="O742" s="37"/>
      <c r="P742" s="37"/>
      <c r="Q742" s="37"/>
      <c r="R742" s="37"/>
      <c r="S742" s="37"/>
      <c r="T742" s="37"/>
      <c r="U742" s="37"/>
      <c r="V742" s="37"/>
      <c r="W742" s="37">
        <f>MAX($C$11-VLOOKUP($C742,COS!$B$8:$H$991,3,FALSE),0)</f>
        <v>0</v>
      </c>
      <c r="X742" s="37">
        <f t="shared" si="1191"/>
        <v>0</v>
      </c>
      <c r="Y742" s="37">
        <f>VLOOKUP($C742,COS!$B$8:$H$991,4,FALSE)</f>
        <v>0</v>
      </c>
      <c r="Z742" s="37">
        <f t="shared" si="1192"/>
        <v>0</v>
      </c>
      <c r="AA742" s="37">
        <f t="shared" si="1188"/>
        <v>0</v>
      </c>
      <c r="AB742" s="38">
        <f t="shared" si="1160"/>
        <v>0</v>
      </c>
    </row>
  </sheetData>
  <mergeCells count="20">
    <mergeCell ref="P12:Q12"/>
    <mergeCell ref="R12:S12"/>
    <mergeCell ref="A2:A11"/>
    <mergeCell ref="B2:C2"/>
    <mergeCell ref="E2:F2"/>
    <mergeCell ref="H2:I2"/>
    <mergeCell ref="K2:M2"/>
    <mergeCell ref="O2:P2"/>
    <mergeCell ref="D12:E12"/>
    <mergeCell ref="F12:G12"/>
    <mergeCell ref="H12:J12"/>
    <mergeCell ref="K12:L12"/>
    <mergeCell ref="N12:O12"/>
    <mergeCell ref="W12:X12"/>
    <mergeCell ref="Y12:Z12"/>
    <mergeCell ref="AA12:AB12"/>
    <mergeCell ref="AN14:AO14"/>
    <mergeCell ref="R2:S2"/>
    <mergeCell ref="U2:V2"/>
    <mergeCell ref="X2:Y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Option Button 1">
              <controlPr defaultSize="0" autoFill="0" autoLine="0" autoPict="0">
                <anchor moveWithCells="1">
                  <from>
                    <xdr:col>25</xdr:col>
                    <xdr:colOff>792480</xdr:colOff>
                    <xdr:row>1</xdr:row>
                    <xdr:rowOff>175260</xdr:rowOff>
                  </from>
                  <to>
                    <xdr:col>26</xdr:col>
                    <xdr:colOff>868680</xdr:colOff>
                    <xdr:row>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Option Button 2">
              <controlPr defaultSize="0" autoFill="0" autoLine="0" autoPict="0">
                <anchor moveWithCells="1">
                  <from>
                    <xdr:col>25</xdr:col>
                    <xdr:colOff>800100</xdr:colOff>
                    <xdr:row>2</xdr:row>
                    <xdr:rowOff>175260</xdr:rowOff>
                  </from>
                  <to>
                    <xdr:col>26</xdr:col>
                    <xdr:colOff>876300</xdr:colOff>
                    <xdr:row>4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DF278-DB10-4A33-BC42-5440EF03C9EC}">
  <dimension ref="A1:AP742"/>
  <sheetViews>
    <sheetView workbookViewId="0">
      <selection activeCell="N17" sqref="N17"/>
    </sheetView>
  </sheetViews>
  <sheetFormatPr defaultRowHeight="14.4" x14ac:dyDescent="0.3"/>
  <cols>
    <col min="1" max="1" width="9.109375" bestFit="1" customWidth="1"/>
    <col min="3" max="3" width="10.5546875" bestFit="1" customWidth="1"/>
    <col min="4" max="4" width="11.77734375" style="6" bestFit="1" customWidth="1"/>
    <col min="5" max="5" width="8" customWidth="1"/>
    <col min="6" max="6" width="8.5546875" bestFit="1" customWidth="1"/>
    <col min="7" max="8" width="8.5546875" customWidth="1"/>
    <col min="9" max="9" width="8.5546875" style="6" customWidth="1"/>
    <col min="10" max="10" width="10.33203125" customWidth="1"/>
    <col min="11" max="11" width="8.5546875" bestFit="1" customWidth="1"/>
    <col min="12" max="13" width="8.5546875" customWidth="1"/>
    <col min="14" max="14" width="11" customWidth="1"/>
    <col min="15" max="15" width="12.6640625" customWidth="1"/>
    <col min="16" max="16" width="10.33203125" customWidth="1"/>
    <col min="17" max="17" width="13.109375" bestFit="1" customWidth="1"/>
    <col min="18" max="21" width="13.109375" customWidth="1"/>
    <col min="22" max="26" width="12.109375" customWidth="1"/>
    <col min="27" max="28" width="13.109375" customWidth="1"/>
    <col min="33" max="33" width="11.44140625" bestFit="1" customWidth="1"/>
    <col min="34" max="34" width="12.109375" bestFit="1" customWidth="1"/>
    <col min="35" max="36" width="12.109375" customWidth="1"/>
    <col min="41" max="41" width="12.109375" bestFit="1" customWidth="1"/>
  </cols>
  <sheetData>
    <row r="1" spans="1:41" x14ac:dyDescent="0.3">
      <c r="D1"/>
      <c r="F1" s="6"/>
      <c r="I1"/>
    </row>
    <row r="2" spans="1:41" ht="14.4" customHeight="1" x14ac:dyDescent="0.3">
      <c r="A2" s="124" t="s">
        <v>45</v>
      </c>
      <c r="B2" s="126" t="s">
        <v>58</v>
      </c>
      <c r="C2" s="127"/>
      <c r="D2"/>
      <c r="E2" s="126" t="s">
        <v>49</v>
      </c>
      <c r="F2" s="127"/>
      <c r="H2" s="126" t="s">
        <v>36</v>
      </c>
      <c r="I2" s="127"/>
      <c r="K2" s="126" t="s">
        <v>88</v>
      </c>
      <c r="L2" s="128"/>
      <c r="M2" s="127"/>
      <c r="N2" s="51"/>
      <c r="O2" s="126" t="s">
        <v>89</v>
      </c>
      <c r="P2" s="127"/>
      <c r="R2" s="122" t="s">
        <v>121</v>
      </c>
      <c r="S2" s="122"/>
      <c r="U2" s="122" t="s">
        <v>129</v>
      </c>
      <c r="V2" s="122"/>
      <c r="X2" s="122" t="s">
        <v>130</v>
      </c>
      <c r="Y2" s="122"/>
      <c r="AA2" s="20" t="s">
        <v>132</v>
      </c>
    </row>
    <row r="3" spans="1:41" x14ac:dyDescent="0.3">
      <c r="A3" s="124"/>
      <c r="B3" s="21" t="s">
        <v>46</v>
      </c>
      <c r="C3" s="22">
        <v>6000</v>
      </c>
      <c r="D3" t="s">
        <v>71</v>
      </c>
      <c r="E3" s="48" t="s">
        <v>46</v>
      </c>
      <c r="F3" s="20">
        <v>99999</v>
      </c>
      <c r="G3" t="s">
        <v>67</v>
      </c>
      <c r="H3" s="21" t="s">
        <v>46</v>
      </c>
      <c r="I3" s="20">
        <v>99999</v>
      </c>
      <c r="J3" t="s">
        <v>67</v>
      </c>
      <c r="K3" s="20" t="s">
        <v>30</v>
      </c>
      <c r="L3" s="20">
        <v>1</v>
      </c>
      <c r="M3" s="20">
        <v>0</v>
      </c>
      <c r="N3" s="52"/>
      <c r="O3" s="48" t="s">
        <v>62</v>
      </c>
      <c r="P3" s="20">
        <v>1</v>
      </c>
      <c r="R3" s="21" t="s">
        <v>46</v>
      </c>
      <c r="S3" s="20">
        <v>1500</v>
      </c>
      <c r="U3" s="21" t="s">
        <v>46</v>
      </c>
      <c r="V3" s="20">
        <v>3250</v>
      </c>
      <c r="X3" s="21" t="s">
        <v>46</v>
      </c>
      <c r="Y3" s="20">
        <v>4000</v>
      </c>
      <c r="AA3" s="90">
        <v>2</v>
      </c>
    </row>
    <row r="4" spans="1:41" ht="14.4" customHeight="1" x14ac:dyDescent="0.3">
      <c r="A4" s="124"/>
      <c r="B4" s="20" t="s">
        <v>37</v>
      </c>
      <c r="C4" s="20">
        <v>6000</v>
      </c>
      <c r="D4" t="s">
        <v>71</v>
      </c>
      <c r="E4" s="49" t="s">
        <v>37</v>
      </c>
      <c r="F4" s="20">
        <v>56</v>
      </c>
      <c r="G4" t="s">
        <v>70</v>
      </c>
      <c r="H4" s="20" t="s">
        <v>37</v>
      </c>
      <c r="I4" s="20">
        <v>99999</v>
      </c>
      <c r="J4" t="s">
        <v>67</v>
      </c>
      <c r="K4" s="20" t="s">
        <v>42</v>
      </c>
      <c r="L4" s="20">
        <v>2</v>
      </c>
      <c r="M4" s="20">
        <v>0</v>
      </c>
      <c r="N4" s="52"/>
      <c r="O4" s="48" t="s">
        <v>63</v>
      </c>
      <c r="P4" s="20">
        <v>1</v>
      </c>
      <c r="R4" s="20" t="s">
        <v>37</v>
      </c>
      <c r="S4" s="20">
        <v>1500</v>
      </c>
      <c r="U4" s="20" t="s">
        <v>37</v>
      </c>
      <c r="V4" s="20">
        <v>3250</v>
      </c>
      <c r="X4" s="20" t="s">
        <v>37</v>
      </c>
      <c r="Y4" s="20">
        <v>4000</v>
      </c>
      <c r="AA4" s="20"/>
    </row>
    <row r="5" spans="1:41" x14ac:dyDescent="0.3">
      <c r="A5" s="124"/>
      <c r="B5" s="20" t="s">
        <v>38</v>
      </c>
      <c r="C5" s="20">
        <v>10000</v>
      </c>
      <c r="D5" t="s">
        <v>71</v>
      </c>
      <c r="E5" s="49" t="s">
        <v>38</v>
      </c>
      <c r="F5" s="20">
        <v>56</v>
      </c>
      <c r="G5" t="s">
        <v>70</v>
      </c>
      <c r="H5" s="20" t="s">
        <v>38</v>
      </c>
      <c r="I5" s="20">
        <v>99999</v>
      </c>
      <c r="J5" t="s">
        <v>67</v>
      </c>
      <c r="K5" s="20" t="s">
        <v>32</v>
      </c>
      <c r="L5" s="20">
        <v>3</v>
      </c>
      <c r="M5" s="20">
        <v>0</v>
      </c>
      <c r="N5" s="52"/>
      <c r="O5" s="48" t="s">
        <v>64</v>
      </c>
      <c r="P5" s="20">
        <v>1</v>
      </c>
      <c r="R5" s="20" t="s">
        <v>38</v>
      </c>
      <c r="S5" s="20">
        <v>1500</v>
      </c>
      <c r="U5" s="20" t="s">
        <v>38</v>
      </c>
      <c r="V5" s="20">
        <v>3250</v>
      </c>
      <c r="X5" s="20" t="s">
        <v>38</v>
      </c>
      <c r="Y5" s="20">
        <v>4000</v>
      </c>
    </row>
    <row r="6" spans="1:41" x14ac:dyDescent="0.3">
      <c r="A6" s="124"/>
      <c r="B6" s="20" t="s">
        <v>39</v>
      </c>
      <c r="C6" s="20">
        <v>12000</v>
      </c>
      <c r="D6" t="s">
        <v>71</v>
      </c>
      <c r="E6" s="49" t="s">
        <v>39</v>
      </c>
      <c r="F6" s="20">
        <v>53.5</v>
      </c>
      <c r="G6" t="s">
        <v>69</v>
      </c>
      <c r="H6" s="20" t="s">
        <v>39</v>
      </c>
      <c r="I6" s="20">
        <v>99999</v>
      </c>
      <c r="J6" t="s">
        <v>67</v>
      </c>
      <c r="K6" s="20" t="s">
        <v>33</v>
      </c>
      <c r="L6" s="20">
        <v>4</v>
      </c>
      <c r="M6" s="20">
        <v>1</v>
      </c>
      <c r="N6" s="52"/>
      <c r="O6" s="48" t="s">
        <v>65</v>
      </c>
      <c r="P6" s="20">
        <v>0.5</v>
      </c>
      <c r="R6" s="20" t="s">
        <v>39</v>
      </c>
      <c r="S6" s="20">
        <v>1500</v>
      </c>
      <c r="U6" s="20" t="s">
        <v>39</v>
      </c>
      <c r="V6" s="20">
        <v>3250</v>
      </c>
      <c r="X6" s="20" t="s">
        <v>39</v>
      </c>
      <c r="Y6" s="20">
        <v>4000</v>
      </c>
    </row>
    <row r="7" spans="1:41" x14ac:dyDescent="0.3">
      <c r="A7" s="124"/>
      <c r="B7" s="47" t="s">
        <v>62</v>
      </c>
      <c r="C7" s="47">
        <v>99999</v>
      </c>
      <c r="D7" t="s">
        <v>86</v>
      </c>
      <c r="E7" s="6"/>
      <c r="H7" s="20" t="s">
        <v>136</v>
      </c>
      <c r="I7" s="20">
        <v>0</v>
      </c>
      <c r="J7" t="s">
        <v>67</v>
      </c>
      <c r="K7" s="20" t="s">
        <v>10</v>
      </c>
      <c r="L7" s="20">
        <v>5</v>
      </c>
      <c r="M7" s="20">
        <v>1</v>
      </c>
      <c r="N7" s="52"/>
      <c r="O7" s="48" t="s">
        <v>66</v>
      </c>
      <c r="P7" s="20">
        <v>0</v>
      </c>
    </row>
    <row r="8" spans="1:41" x14ac:dyDescent="0.3">
      <c r="A8" s="124"/>
      <c r="B8" s="47" t="s">
        <v>63</v>
      </c>
      <c r="C8" s="47">
        <v>99999</v>
      </c>
      <c r="D8" t="s">
        <v>86</v>
      </c>
      <c r="E8" s="6"/>
      <c r="H8" s="20" t="s">
        <v>137</v>
      </c>
      <c r="I8" s="20">
        <v>99999</v>
      </c>
    </row>
    <row r="9" spans="1:41" x14ac:dyDescent="0.3">
      <c r="A9" s="124"/>
      <c r="B9" s="47" t="s">
        <v>64</v>
      </c>
      <c r="C9" s="47">
        <v>99999</v>
      </c>
      <c r="D9" t="s">
        <v>86</v>
      </c>
      <c r="E9" s="6"/>
      <c r="H9" s="46"/>
      <c r="I9" s="46"/>
    </row>
    <row r="10" spans="1:41" x14ac:dyDescent="0.3">
      <c r="A10" s="124"/>
      <c r="B10" s="47" t="s">
        <v>65</v>
      </c>
      <c r="C10" s="47">
        <v>99999</v>
      </c>
      <c r="D10" t="s">
        <v>86</v>
      </c>
      <c r="E10" s="6"/>
      <c r="H10" s="46"/>
      <c r="I10" s="46"/>
    </row>
    <row r="11" spans="1:41" x14ac:dyDescent="0.3">
      <c r="A11" s="125"/>
      <c r="B11" s="47" t="s">
        <v>66</v>
      </c>
      <c r="C11" s="47">
        <v>0</v>
      </c>
      <c r="D11" t="s">
        <v>87</v>
      </c>
      <c r="E11" s="6"/>
      <c r="I11"/>
      <c r="AF11" t="s">
        <v>83</v>
      </c>
      <c r="AG11" t="s">
        <v>83</v>
      </c>
      <c r="AH11" t="s">
        <v>83</v>
      </c>
      <c r="AI11" t="s">
        <v>84</v>
      </c>
      <c r="AJ11" t="s">
        <v>84</v>
      </c>
      <c r="AK11" t="s">
        <v>84</v>
      </c>
      <c r="AL11" t="s">
        <v>85</v>
      </c>
    </row>
    <row r="12" spans="1:41" s="23" customFormat="1" ht="28.8" x14ac:dyDescent="0.3">
      <c r="A12" s="72"/>
      <c r="B12" s="70"/>
      <c r="C12" s="70"/>
      <c r="D12" s="129" t="s">
        <v>34</v>
      </c>
      <c r="E12" s="129"/>
      <c r="F12" s="123" t="s">
        <v>49</v>
      </c>
      <c r="G12" s="123"/>
      <c r="H12" s="123" t="s">
        <v>76</v>
      </c>
      <c r="I12" s="123"/>
      <c r="J12" s="123"/>
      <c r="K12" s="123" t="s">
        <v>36</v>
      </c>
      <c r="L12" s="123"/>
      <c r="M12" s="71" t="s">
        <v>88</v>
      </c>
      <c r="N12" s="130" t="s">
        <v>47</v>
      </c>
      <c r="O12" s="130"/>
      <c r="P12" s="123" t="s">
        <v>48</v>
      </c>
      <c r="Q12" s="123"/>
      <c r="R12" s="123" t="s">
        <v>131</v>
      </c>
      <c r="S12" s="123"/>
      <c r="T12" s="71" t="s">
        <v>122</v>
      </c>
      <c r="U12" s="83" t="s">
        <v>126</v>
      </c>
      <c r="V12" s="71" t="s">
        <v>61</v>
      </c>
      <c r="W12" s="116" t="s">
        <v>74</v>
      </c>
      <c r="X12" s="117"/>
      <c r="Y12" s="118" t="s">
        <v>35</v>
      </c>
      <c r="Z12" s="119"/>
      <c r="AA12" s="120" t="s">
        <v>75</v>
      </c>
      <c r="AB12" s="118"/>
      <c r="AC12" s="19"/>
      <c r="AF12" s="23">
        <v>1</v>
      </c>
      <c r="AG12" s="23">
        <v>2</v>
      </c>
      <c r="AH12" s="23" t="s">
        <v>80</v>
      </c>
      <c r="AI12" s="23">
        <v>3</v>
      </c>
      <c r="AJ12" s="23">
        <v>4</v>
      </c>
      <c r="AK12" s="23" t="s">
        <v>81</v>
      </c>
      <c r="AL12" s="50" t="s">
        <v>82</v>
      </c>
    </row>
    <row r="13" spans="1:41" s="74" customFormat="1" ht="28.8" x14ac:dyDescent="0.3">
      <c r="A13" s="39" t="s">
        <v>44</v>
      </c>
      <c r="B13" s="40"/>
      <c r="C13" s="40"/>
      <c r="D13" s="41" t="s">
        <v>18</v>
      </c>
      <c r="E13" s="40" t="s">
        <v>59</v>
      </c>
      <c r="F13" s="40" t="s">
        <v>15</v>
      </c>
      <c r="G13" s="40" t="s">
        <v>59</v>
      </c>
      <c r="H13" s="40" t="s">
        <v>18</v>
      </c>
      <c r="I13" s="41" t="s">
        <v>2</v>
      </c>
      <c r="J13" s="41" t="s">
        <v>59</v>
      </c>
      <c r="K13" s="40" t="s">
        <v>2</v>
      </c>
      <c r="L13" s="40" t="s">
        <v>59</v>
      </c>
      <c r="M13" s="40" t="s">
        <v>59</v>
      </c>
      <c r="N13" s="40" t="s">
        <v>18</v>
      </c>
      <c r="O13" s="40" t="s">
        <v>2</v>
      </c>
      <c r="P13" s="40" t="s">
        <v>18</v>
      </c>
      <c r="Q13" s="40" t="s">
        <v>2</v>
      </c>
      <c r="R13" s="40" t="s">
        <v>18</v>
      </c>
      <c r="S13" s="40" t="s">
        <v>2</v>
      </c>
      <c r="T13" s="40" t="s">
        <v>2</v>
      </c>
      <c r="U13" s="40"/>
      <c r="V13" s="40" t="s">
        <v>2</v>
      </c>
      <c r="W13" s="40" t="s">
        <v>18</v>
      </c>
      <c r="X13" s="40" t="s">
        <v>2</v>
      </c>
      <c r="Y13" s="40" t="s">
        <v>18</v>
      </c>
      <c r="Z13" s="40" t="s">
        <v>2</v>
      </c>
      <c r="AA13" s="40" t="s">
        <v>18</v>
      </c>
      <c r="AB13" s="42" t="s">
        <v>2</v>
      </c>
      <c r="AD13" s="69"/>
      <c r="AE13" s="69" t="s">
        <v>40</v>
      </c>
      <c r="AF13" s="69" t="s">
        <v>77</v>
      </c>
      <c r="AG13" s="69" t="s">
        <v>79</v>
      </c>
      <c r="AH13" s="69" t="s">
        <v>61</v>
      </c>
      <c r="AI13" s="69" t="s">
        <v>78</v>
      </c>
      <c r="AJ13" s="69" t="s">
        <v>35</v>
      </c>
      <c r="AK13" s="69" t="s">
        <v>75</v>
      </c>
      <c r="AL13" s="69" t="s">
        <v>60</v>
      </c>
    </row>
    <row r="14" spans="1:41" x14ac:dyDescent="0.3">
      <c r="A14" s="27">
        <f>VLOOKUP(YEAR(C14),Flags!$A$13:$B$95,2,FALSE)</f>
        <v>1</v>
      </c>
      <c r="B14" s="28">
        <f>YEAR(C14)</f>
        <v>1922</v>
      </c>
      <c r="C14" s="29">
        <v>8156</v>
      </c>
      <c r="D14" s="30">
        <f>VLOOKUP($C14,COS!$B$8:$H$991,3,FALSE)</f>
        <v>4490.92138671875</v>
      </c>
      <c r="E14" s="28">
        <f>IF(D14&gt;=IF(MONTH($C14)=4,$C$3,IF(MONTH($C14)=5,$C$4,IF(MONTH($C14)=6,$C$5,IF(MONTH($C14)=7,$C$6,"ERROR")))),1,0)</f>
        <v>0</v>
      </c>
      <c r="F14" s="30">
        <f>VLOOKUP($C14,COS!$B$8:$H$991,7,FALSE)</f>
        <v>53.804779052734375</v>
      </c>
      <c r="G14" s="28">
        <f>IF(F14&lt;=IF(MONTH($C14)=4,$F$3,IF(MONTH($C14)=5,$F$4,IF(MONTH($C14)=6,$F$5,IF(MONTH($C14)=7,$F$6,"ERROR")))),1,0)</f>
        <v>1</v>
      </c>
      <c r="H14" s="30">
        <f>IF(J14=1,D14-$C$3,0)</f>
        <v>0</v>
      </c>
      <c r="I14" s="30">
        <f t="shared" ref="I14:I17" si="0">H14*DAY($C14)*86400/43560/1000</f>
        <v>0</v>
      </c>
      <c r="J14" s="28">
        <f>IF(AND(E14=1,G14=1),1,0)</f>
        <v>0</v>
      </c>
      <c r="K14" s="30">
        <f>VLOOKUP($C14,COS!$B$8:$H$991,2,FALSE)</f>
        <v>4552</v>
      </c>
      <c r="L14" s="28">
        <f>IF(K14&lt;=IF(MONTH($C14)=4,$I$3,IF(MONTH($C14)=5,$I$4,IF(MONTH($C14)=6,$I$5,IF(MONTH($C14)=7,$I$6,"ERROR")))),1,0)</f>
        <v>1</v>
      </c>
      <c r="M14" s="28">
        <f>VLOOKUP($A14,$L$3:$M$7,2,FALSE)</f>
        <v>0</v>
      </c>
      <c r="N14" s="30">
        <f>VLOOKUP($C14,COS!$B$8:$H$991,5,FALSE)</f>
        <v>373.61062622070313</v>
      </c>
      <c r="O14" s="30">
        <f>N14*DAY($C14)*86400/43560/1000</f>
        <v>22.231376105694729</v>
      </c>
      <c r="P14" s="30">
        <f>VLOOKUP($C14,COS!$B$8:$H$991,6,FALSE)</f>
        <v>533.257080078125</v>
      </c>
      <c r="Q14" s="30">
        <f>P14*DAY($C14)*86400/43560/1000</f>
        <v>31.730999806301654</v>
      </c>
      <c r="R14" s="30">
        <f>MIN(IF(MONTH($C14)=4,$S$3,IF(MONTH($C14)=5,$S$4,IF(MONTH($C14)=6,$S$5,IF(MONTH($C14)=7,$S$6,"ERROR")))),MAX(VLOOKUP($C14,COS!$B$8:$K$991,10,FALSE)-IF(MONTH($C14)=4,$Y$3,IF(MONTH($C14)=5,$Y$4,IF(MONTH($C14)=6,$Y$5,IF(MONTH($C14)=7,$Y$6,"ERROR")))),0),MAX(VLOOKUP($C14,COS!$B$8:$K$991,9,FALSE)-IF(MONTH($C14)=4,$V$3,IF(MONTH($C14)=5,$V$4,IF(MONTH($C14)=6,$V$5,IF(MONTH($C14)=7,$V$6,"ERROR"))))-VLOOKUP($C14,COS!$B$8:$K$991,6,FALSE)/2,0))</f>
        <v>1500</v>
      </c>
      <c r="S14" s="30">
        <f>R14*DAY($C14)*86400/43560/1000</f>
        <v>89.256198347107429</v>
      </c>
      <c r="T14" s="30">
        <f>(O14+Q14)/2+S14</f>
        <v>116.23738630310562</v>
      </c>
      <c r="U14" s="30" t="str">
        <f>IF(VLOOKUP($C14,COS!$B$8:$I$991,8,FALSE)=1,"UWFE","IBU")</f>
        <v>UWFE</v>
      </c>
      <c r="V14" s="30">
        <f>MIN(IF(IF($AA$3=2,AND(E14=1,G14=1,L14=1,L19=1,M14=1,U14="IBU"),AND(E14=1,G14=1,L14=1,L19=1,M14=1)),T14,0),I14)</f>
        <v>0</v>
      </c>
      <c r="W14" s="30"/>
      <c r="X14" s="30"/>
      <c r="Y14" s="30"/>
      <c r="Z14" s="30"/>
      <c r="AA14" s="30"/>
      <c r="AB14" s="31"/>
      <c r="AC14" s="6"/>
      <c r="AD14" s="43">
        <v>1922</v>
      </c>
      <c r="AE14" s="1">
        <f>VLOOKUP(AD14,Flags!$A$13:$B$95,2,FALSE)</f>
        <v>1</v>
      </c>
      <c r="AF14" s="43">
        <f>SUMIF($B$14:$B$742,$AD14,$I$14:$I$742)</f>
        <v>375.87902827995867</v>
      </c>
      <c r="AG14" s="43">
        <f>SUMIF($B$14:$B$742,$AD14,$T$14:$T$742)</f>
        <v>704.36979855371897</v>
      </c>
      <c r="AH14" s="43">
        <f>SUMIF($B$14:$B$742,$AD14,$V$14:$V$742)</f>
        <v>0</v>
      </c>
      <c r="AI14" s="43">
        <f>SUMIF($B$14:$B$742,$AD14,$X$14:$X$742)</f>
        <v>21762.281993801651</v>
      </c>
      <c r="AJ14" s="43">
        <f>SUMIF($B$14:$B$742,$AD14,$Z$14:$Z$742)</f>
        <v>131.72308775342202</v>
      </c>
      <c r="AK14" s="43">
        <f t="shared" ref="AK14:AK77" si="1">SUMIF($B$14:$B$742,$AD14,$AB$14:$AB$742)</f>
        <v>98.847432407347625</v>
      </c>
      <c r="AL14" s="43">
        <f>MIN(AH14,AK14)</f>
        <v>0</v>
      </c>
      <c r="AN14" s="121" t="s">
        <v>60</v>
      </c>
      <c r="AO14" s="121"/>
    </row>
    <row r="15" spans="1:41" x14ac:dyDescent="0.3">
      <c r="A15" s="32">
        <f>VLOOKUP(YEAR(C15),Flags!$A$13:$B$95,2,FALSE)</f>
        <v>1</v>
      </c>
      <c r="B15" s="24">
        <f t="shared" ref="B15:B78" si="2">YEAR(C15)</f>
        <v>1922</v>
      </c>
      <c r="C15" s="25">
        <v>8187</v>
      </c>
      <c r="D15" s="26">
        <f>VLOOKUP($C15,COS!$B$8:$H$991,3,FALSE)</f>
        <v>11232.6396484375</v>
      </c>
      <c r="E15" s="24">
        <f>IF(D15&gt;=IF(MONTH($C15)=4,$C$3,IF(MONTH($C15)=5,$C$4,IF(MONTH($C15)=6,$C$5,IF(MONTH($C15)=7,$C$6,"ERROR")))),1,0)</f>
        <v>1</v>
      </c>
      <c r="F15" s="26">
        <f>VLOOKUP($C15,COS!$B$8:$H$991,7,FALSE)</f>
        <v>55.40838623046875</v>
      </c>
      <c r="G15" s="24">
        <f>IF(F15&lt;=IF(MONTH($C15)=4,$F$3,IF(MONTH($C15)=5,$F$4,IF(MONTH($C15)=6,$F$5,IF(MONTH($C15)=7,$F$6,"ERROR")))),1,0)</f>
        <v>1</v>
      </c>
      <c r="H15" s="26">
        <f>IF(J15=1,D15-$C$4,0)</f>
        <v>5232.6396484375</v>
      </c>
      <c r="I15" s="26">
        <f t="shared" si="0"/>
        <v>321.74247094524793</v>
      </c>
      <c r="J15" s="24">
        <f t="shared" ref="J15:J17" si="3">IF(AND(E15=1,G15=1),1,0)</f>
        <v>1</v>
      </c>
      <c r="K15" s="26">
        <f>VLOOKUP($C15,COS!$B$8:$H$991,2,FALSE)</f>
        <v>4552</v>
      </c>
      <c r="L15" s="24">
        <f t="shared" ref="L15:L17" si="4">IF(K15&lt;=IF(MONTH($C15)=4,$I$3,IF(MONTH($C15)=5,$I$4,IF(MONTH($C15)=6,$I$5,IF(MONTH($C15)=7,$I$6,"ERROR")))),1,0)</f>
        <v>1</v>
      </c>
      <c r="M15" s="24">
        <f t="shared" ref="M15:M17" si="5">VLOOKUP($A15,$L$3:$M$7,2,FALSE)</f>
        <v>0</v>
      </c>
      <c r="N15" s="26">
        <f>VLOOKUP($C15,COS!$B$8:$H$991,5,FALSE)</f>
        <v>868.27056884765625</v>
      </c>
      <c r="O15" s="26">
        <f>N15*DAY($C15)*86400/43560/1000</f>
        <v>53.387876299393078</v>
      </c>
      <c r="P15" s="26">
        <f>VLOOKUP($C15,COS!$B$8:$H$991,6,FALSE)</f>
        <v>2241.916259765625</v>
      </c>
      <c r="Q15" s="26">
        <f>P15*DAY($C15)*86400/43560/1000</f>
        <v>137.85005762525824</v>
      </c>
      <c r="R15" s="26">
        <f>MIN(IF(MONTH($C15)=4,$S$3,IF(MONTH($C15)=5,$S$4,IF(MONTH($C15)=6,$S$5,IF(MONTH($C15)=7,$S$6,"ERROR")))),MAX(VLOOKUP($C15,COS!$B$8:$K$991,10,FALSE)-IF(MONTH($C15)=4,$Y$3,IF(MONTH($C15)=5,$Y$4,IF(MONTH($C15)=6,$Y$5,IF(MONTH($C15)=7,$Y$6,"ERROR")))),0),MAX(VLOOKUP($C15,COS!$B$8:$K$991,9,FALSE)-IF(MONTH($C15)=4,$V$3,IF(MONTH($C15)=5,$V$4,IF(MONTH($C15)=6,$V$5,IF(MONTH($C15)=7,$V$6,"ERROR"))))-VLOOKUP($C15,COS!$B$8:$K$991,6,FALSE)/2,0))</f>
        <v>1500</v>
      </c>
      <c r="S15" s="26">
        <f>R15*DAY($C15)*86400/43560/1000</f>
        <v>92.231404958677686</v>
      </c>
      <c r="T15" s="26">
        <f>(O15+Q15)/2+S15</f>
        <v>187.85037192100333</v>
      </c>
      <c r="U15" s="26" t="str">
        <f>IF(VLOOKUP($C15,COS!$B$8:$I$991,8,FALSE)=1,"UWFE","IBU")</f>
        <v>UWFE</v>
      </c>
      <c r="V15" s="26">
        <f>MIN(IF(IF($AA$3=2,AND(E15=1,G15=1,L15=1,L19=1,M15=1,U15="IBU"),AND(E15=1,G15=1,L15=1,L19=1,M15=1)),T15,0),I15)</f>
        <v>0</v>
      </c>
      <c r="W15" s="26"/>
      <c r="X15" s="26"/>
      <c r="Y15" s="26"/>
      <c r="Z15" s="26"/>
      <c r="AA15" s="26"/>
      <c r="AB15" s="33"/>
      <c r="AC15" s="6"/>
      <c r="AD15" s="43">
        <v>1923</v>
      </c>
      <c r="AE15" s="1">
        <f>VLOOKUP(AD15,Flags!$A$13:$B$95,2,FALSE)</f>
        <v>3</v>
      </c>
      <c r="AF15" s="43">
        <f t="shared" ref="AF15:AF78" si="6">SUMIF($B$14:$B$742,$AD15,$I$14:$I$742)</f>
        <v>198.67443246384298</v>
      </c>
      <c r="AG15" s="43">
        <f t="shared" ref="AG15:AG78" si="7">SUMIF($B$14:$B$742,$AD15,$T$14:$T$742)</f>
        <v>652.53447745835479</v>
      </c>
      <c r="AH15" s="43">
        <f t="shared" ref="AH15:AH78" si="8">SUMIF($B$14:$B$742,$AD15,$V$14:$V$742)</f>
        <v>0</v>
      </c>
      <c r="AI15" s="43">
        <f t="shared" ref="AI15:AI78" si="9">SUMIF($B$14:$B$742,$AD15,$X$14:$X$742)</f>
        <v>22757.685081353306</v>
      </c>
      <c r="AJ15" s="43">
        <f t="shared" ref="AJ15:AJ78" si="10">SUMIF($B$14:$B$742,$AD15,$Z$14:$Z$742)</f>
        <v>218.30497927831226</v>
      </c>
      <c r="AK15" s="43">
        <f t="shared" si="1"/>
        <v>104.62114994269757</v>
      </c>
      <c r="AL15" s="43">
        <f t="shared" ref="AL15:AL78" si="11">MIN(AH15,AK15)</f>
        <v>0</v>
      </c>
      <c r="AN15" s="1" t="s">
        <v>41</v>
      </c>
      <c r="AO15" s="43">
        <f>AVERAGE($AL$14:$AL$94)</f>
        <v>51.400570382782902</v>
      </c>
    </row>
    <row r="16" spans="1:41" x14ac:dyDescent="0.3">
      <c r="A16" s="32">
        <f>VLOOKUP(YEAR(C16),Flags!$A$13:$B$95,2,FALSE)</f>
        <v>1</v>
      </c>
      <c r="B16" s="24">
        <f t="shared" si="2"/>
        <v>1922</v>
      </c>
      <c r="C16" s="25">
        <v>8217</v>
      </c>
      <c r="D16" s="26">
        <f>VLOOKUP($C16,COS!$B$8:$H$991,3,FALSE)</f>
        <v>10909.794921875</v>
      </c>
      <c r="E16" s="24">
        <f>IF(D16&gt;=IF(MONTH($C16)=4,$C$3,IF(MONTH($C16)=5,$C$4,IF(MONTH($C16)=6,$C$5,IF(MONTH($C16)=7,$C$6,"ERROR")))),1,0)</f>
        <v>1</v>
      </c>
      <c r="F16" s="26">
        <f>VLOOKUP($C16,COS!$B$8:$H$991,7,FALSE)</f>
        <v>53.329750061035156</v>
      </c>
      <c r="G16" s="24">
        <f>IF(F16&lt;=IF(MONTH($C16)=4,$F$3,IF(MONTH($C16)=5,$F$4,IF(MONTH($C16)=6,$F$5,IF(MONTH($C16)=7,$F$6,"ERROR")))),1,0)</f>
        <v>1</v>
      </c>
      <c r="H16" s="26">
        <f>IF(J16=1,D16-$C$5,0)</f>
        <v>909.794921875</v>
      </c>
      <c r="I16" s="26">
        <f t="shared" si="0"/>
        <v>54.136557334710744</v>
      </c>
      <c r="J16" s="24">
        <f t="shared" si="3"/>
        <v>1</v>
      </c>
      <c r="K16" s="26">
        <f>VLOOKUP($C16,COS!$B$8:$H$991,2,FALSE)</f>
        <v>4241.47265625</v>
      </c>
      <c r="L16" s="24">
        <f t="shared" si="4"/>
        <v>1</v>
      </c>
      <c r="M16" s="24">
        <f t="shared" si="5"/>
        <v>0</v>
      </c>
      <c r="N16" s="26">
        <f>VLOOKUP($C16,COS!$B$8:$H$991,5,FALSE)</f>
        <v>1108.1929931640625</v>
      </c>
      <c r="O16" s="26">
        <f>N16*DAY($C16)*86400/43560/1000</f>
        <v>65.942062403150814</v>
      </c>
      <c r="P16" s="26">
        <f>VLOOKUP($C16,COS!$B$8:$H$991,6,FALSE)</f>
        <v>2347.418701171875</v>
      </c>
      <c r="Q16" s="26">
        <f>P16*DAY($C16)*86400/43560/1000</f>
        <v>139.68111279700415</v>
      </c>
      <c r="R16" s="26">
        <f>MIN(IF(MONTH($C16)=4,$S$3,IF(MONTH($C16)=5,$S$4,IF(MONTH($C16)=6,$S$5,IF(MONTH($C16)=7,$S$6,"ERROR")))),MAX(VLOOKUP($C16,COS!$B$8:$K$991,10,FALSE)-IF(MONTH($C16)=4,$Y$3,IF(MONTH($C16)=5,$Y$4,IF(MONTH($C16)=6,$Y$5,IF(MONTH($C16)=7,$Y$6,"ERROR")))),0),MAX(VLOOKUP($C16,COS!$B$8:$K$991,9,FALSE)-IF(MONTH($C16)=4,$V$3,IF(MONTH($C16)=5,$V$4,IF(MONTH($C16)=6,$V$5,IF(MONTH($C16)=7,$V$6,"ERROR"))))-VLOOKUP($C16,COS!$B$8:$K$991,6,FALSE)/2,0))</f>
        <v>1500</v>
      </c>
      <c r="S16" s="26">
        <f>R16*DAY($C16)*86400/43560/1000</f>
        <v>89.256198347107429</v>
      </c>
      <c r="T16" s="26">
        <f t="shared" ref="T16:T17" si="12">(O16+Q16)/2+S16</f>
        <v>192.06778594718492</v>
      </c>
      <c r="U16" s="26" t="str">
        <f>IF(VLOOKUP($C16,COS!$B$8:$I$991,8,FALSE)=1,"UWFE","IBU")</f>
        <v>UWFE</v>
      </c>
      <c r="V16" s="26">
        <f>MIN(IF(IF($AA$3=2,AND(E16=1,G16=1,L16=1,L19=1,M16=1,U16="IBU"),AND(E16=1,G16=1,L16=1,L19=1,M16=1)),T16,0),I16)</f>
        <v>0</v>
      </c>
      <c r="W16" s="26"/>
      <c r="X16" s="26"/>
      <c r="Y16" s="26"/>
      <c r="Z16" s="26"/>
      <c r="AA16" s="26"/>
      <c r="AB16" s="33"/>
      <c r="AC16" s="6"/>
      <c r="AD16" s="43">
        <v>1924</v>
      </c>
      <c r="AE16" s="1">
        <f>VLOOKUP(AD16,Flags!$A$13:$B$95,2,FALSE)</f>
        <v>5</v>
      </c>
      <c r="AF16" s="43">
        <f t="shared" si="6"/>
        <v>161.14381650309917</v>
      </c>
      <c r="AG16" s="43">
        <f t="shared" si="7"/>
        <v>617.91795171059857</v>
      </c>
      <c r="AH16" s="43">
        <f t="shared" si="8"/>
        <v>161.14381650309917</v>
      </c>
      <c r="AI16" s="43">
        <f t="shared" si="9"/>
        <v>22888.106491154442</v>
      </c>
      <c r="AJ16" s="43">
        <f t="shared" si="10"/>
        <v>598.65797722430273</v>
      </c>
      <c r="AK16" s="43">
        <f t="shared" si="1"/>
        <v>365.60456700348664</v>
      </c>
      <c r="AL16" s="43">
        <f t="shared" si="11"/>
        <v>161.14381650309917</v>
      </c>
      <c r="AN16" s="1" t="s">
        <v>43</v>
      </c>
      <c r="AO16" s="43">
        <f>AVERAGEIF(Flags!$G$14:$G$94,1,$AL$14:$AL$94)</f>
        <v>116.92296578687647</v>
      </c>
    </row>
    <row r="17" spans="1:42" x14ac:dyDescent="0.3">
      <c r="A17" s="32">
        <f>VLOOKUP(YEAR(C17),Flags!$A$13:$B$95,2,FALSE)</f>
        <v>1</v>
      </c>
      <c r="B17" s="24">
        <f t="shared" si="2"/>
        <v>1922</v>
      </c>
      <c r="C17" s="25">
        <v>8248</v>
      </c>
      <c r="D17" s="26">
        <f>VLOOKUP($C17,COS!$B$8:$H$991,3,FALSE)</f>
        <v>12170.349609375</v>
      </c>
      <c r="E17" s="24">
        <f>IF(D17&gt;=IF(MONTH($C17)=4,$C$3,IF(MONTH($C17)=5,$C$4,IF(MONTH($C17)=6,$C$5,IF(MONTH($C17)=7,$C$6,"ERROR")))),1,0)</f>
        <v>1</v>
      </c>
      <c r="F17" s="26">
        <f>VLOOKUP($C17,COS!$B$8:$H$991,7,FALSE)</f>
        <v>54.132045745849609</v>
      </c>
      <c r="G17" s="24">
        <f>IF(F17&lt;=IF(MONTH($C17)=4,$F$3,IF(MONTH($C17)=5,$F$4,IF(MONTH($C17)=6,$F$5,IF(MONTH($C17)=7,$F$6,"ERROR")))),1,0)</f>
        <v>0</v>
      </c>
      <c r="H17" s="26">
        <f>IF(J17=1,D17-$C$6,0)</f>
        <v>0</v>
      </c>
      <c r="I17" s="26">
        <f t="shared" si="0"/>
        <v>0</v>
      </c>
      <c r="J17" s="24">
        <f t="shared" si="3"/>
        <v>0</v>
      </c>
      <c r="K17" s="26">
        <f>VLOOKUP($C17,COS!$B$8:$H$991,2,FALSE)</f>
        <v>3788.69091796875</v>
      </c>
      <c r="L17" s="24">
        <f t="shared" si="4"/>
        <v>1</v>
      </c>
      <c r="M17" s="24">
        <f t="shared" si="5"/>
        <v>0</v>
      </c>
      <c r="N17" s="26">
        <f>VLOOKUP($C17,COS!$B$8:$H$991,5,FALSE)</f>
        <v>1209.6676025390625</v>
      </c>
      <c r="O17" s="26">
        <f>N17*DAY($C17)*86400/43560/1000</f>
        <v>74.379561676782032</v>
      </c>
      <c r="P17" s="26">
        <f>VLOOKUP($C17,COS!$B$8:$H$991,6,FALSE)</f>
        <v>2562.892822265625</v>
      </c>
      <c r="Q17" s="26">
        <f>P17*DAY($C17)*86400/43560/1000</f>
        <v>157.58613717071282</v>
      </c>
      <c r="R17" s="26">
        <f>MIN(IF(MONTH($C17)=4,$S$3,IF(MONTH($C17)=5,$S$4,IF(MONTH($C17)=6,$S$5,IF(MONTH($C17)=7,$S$6,"ERROR")))),MAX(VLOOKUP($C17,COS!$B$8:$K$991,10,FALSE)-IF(MONTH($C17)=4,$Y$3,IF(MONTH($C17)=5,$Y$4,IF(MONTH($C17)=6,$Y$5,IF(MONTH($C17)=7,$Y$6,"ERROR")))),0),MAX(VLOOKUP($C17,COS!$B$8:$K$991,9,FALSE)-IF(MONTH($C17)=4,$V$3,IF(MONTH($C17)=5,$V$4,IF(MONTH($C17)=6,$V$5,IF(MONTH($C17)=7,$V$6,"ERROR"))))-VLOOKUP($C17,COS!$B$8:$K$991,6,FALSE)/2,0))</f>
        <v>1500</v>
      </c>
      <c r="S17" s="26">
        <f>R17*DAY($C17)*86400/43560/1000</f>
        <v>92.231404958677686</v>
      </c>
      <c r="T17" s="26">
        <f t="shared" si="12"/>
        <v>208.21425438242511</v>
      </c>
      <c r="U17" s="26" t="str">
        <f>IF(VLOOKUP($C17,COS!$B$8:$I$991,8,FALSE)=1,"UWFE","IBU")</f>
        <v>IBU</v>
      </c>
      <c r="V17" s="26">
        <f>MIN(IF(IF($AA$3=2,AND(E17=1,G17=1,L17=1,L19=1,M17=1,U17="IBU"),AND(E17=1,G17=1,L17=1,L19=1,M17=1)),T17,0),I17)</f>
        <v>0</v>
      </c>
      <c r="W17" s="26"/>
      <c r="X17" s="26"/>
      <c r="Y17" s="26"/>
      <c r="Z17" s="26"/>
      <c r="AA17" s="26"/>
      <c r="AB17" s="33"/>
      <c r="AC17" s="6"/>
      <c r="AD17" s="43">
        <v>1925</v>
      </c>
      <c r="AE17" s="1">
        <f>VLOOKUP(AD17,Flags!$A$13:$B$95,2,FALSE)</f>
        <v>4</v>
      </c>
      <c r="AF17" s="43">
        <f t="shared" si="6"/>
        <v>43.79148308367769</v>
      </c>
      <c r="AG17" s="43">
        <f t="shared" si="7"/>
        <v>654.4869609132877</v>
      </c>
      <c r="AH17" s="43">
        <f t="shared" si="8"/>
        <v>42.764748192148765</v>
      </c>
      <c r="AI17" s="43">
        <f t="shared" si="9"/>
        <v>22582.151480501034</v>
      </c>
      <c r="AJ17" s="43">
        <f t="shared" si="10"/>
        <v>376.96743043001032</v>
      </c>
      <c r="AK17" s="43">
        <f t="shared" si="1"/>
        <v>267.38984334646182</v>
      </c>
      <c r="AL17" s="43">
        <f>MIN(AH17,AK17)</f>
        <v>42.764748192148765</v>
      </c>
      <c r="AN17" s="1" t="s">
        <v>30</v>
      </c>
      <c r="AO17" s="43">
        <f>AVERAGEIF($AE$14:$AE$94,1,$AL$14:$AL$94)</f>
        <v>0</v>
      </c>
    </row>
    <row r="18" spans="1:42" x14ac:dyDescent="0.3">
      <c r="A18" s="32">
        <f>VLOOKUP(YEAR(C18),Flags!$A$13:$B$95,2,FALSE)</f>
        <v>1</v>
      </c>
      <c r="B18" s="24">
        <f t="shared" si="2"/>
        <v>1922</v>
      </c>
      <c r="C18" s="25">
        <v>8279</v>
      </c>
      <c r="D18" s="26"/>
      <c r="E18" s="24"/>
      <c r="F18" s="26"/>
      <c r="G18" s="24"/>
      <c r="H18" s="24"/>
      <c r="I18" s="26"/>
      <c r="J18" s="24"/>
      <c r="K18" s="26"/>
      <c r="L18" s="24"/>
      <c r="M18" s="24"/>
      <c r="N18" s="26"/>
      <c r="O18" s="26"/>
      <c r="P18" s="26"/>
      <c r="Q18" s="26"/>
      <c r="R18" s="26"/>
      <c r="S18" s="26"/>
      <c r="T18" s="26"/>
      <c r="U18" s="26"/>
      <c r="V18" s="26"/>
      <c r="W18" s="26">
        <f>MAX($C$7-VLOOKUP($C18,COS!$B$8:$H$991,3,FALSE),0)</f>
        <v>89237.1474609375</v>
      </c>
      <c r="X18" s="26">
        <f t="shared" ref="X18:X22" si="13">W18*DAY($C18)*86400/43560/1000</f>
        <v>5486.9783232179752</v>
      </c>
      <c r="Y18" s="26">
        <f>VLOOKUP($C18,COS!$B$8:$H$991,4,FALSE)</f>
        <v>0</v>
      </c>
      <c r="Z18" s="26">
        <f t="shared" ref="Z18:Z22" si="14">Y18*DAY($C18)*86400/43560/1000</f>
        <v>0</v>
      </c>
      <c r="AA18" s="26">
        <f>MIN(W18,Y18)</f>
        <v>0</v>
      </c>
      <c r="AB18" s="33">
        <f>AA18*DAY($C18)*86400/43560/1000*IF(MONTH($C18)=8,$P$3,IF(MONTH($C18)=9,$P$4,IF(MONTH($C18)=10,$P$5,IF(MONTH($C18)=11,$P$6,IF(MONTH($C18)=12,$P$7,NA())))))</f>
        <v>0</v>
      </c>
      <c r="AC18" s="6"/>
      <c r="AD18" s="43">
        <v>1926</v>
      </c>
      <c r="AE18" s="1">
        <f>VLOOKUP(AD18,Flags!$A$13:$B$95,2,FALSE)</f>
        <v>4</v>
      </c>
      <c r="AF18" s="43">
        <f t="shared" si="6"/>
        <v>194.10762009297522</v>
      </c>
      <c r="AG18" s="43">
        <f t="shared" si="7"/>
        <v>628.74933393746369</v>
      </c>
      <c r="AH18" s="43">
        <f t="shared" si="8"/>
        <v>173.3633407870206</v>
      </c>
      <c r="AI18" s="43">
        <f t="shared" si="9"/>
        <v>22920.123877840906</v>
      </c>
      <c r="AJ18" s="43">
        <f t="shared" si="10"/>
        <v>222.87584847946798</v>
      </c>
      <c r="AK18" s="43">
        <f t="shared" si="1"/>
        <v>222.87584847946798</v>
      </c>
      <c r="AL18" s="43">
        <f t="shared" si="11"/>
        <v>173.3633407870206</v>
      </c>
      <c r="AN18" s="1" t="s">
        <v>42</v>
      </c>
      <c r="AO18" s="43">
        <f>AVERAGEIF($AE$14:$AE$94,2,$AL$14:$AL$94)</f>
        <v>0</v>
      </c>
    </row>
    <row r="19" spans="1:42" x14ac:dyDescent="0.3">
      <c r="A19" s="32">
        <f>VLOOKUP(YEAR(C19),Flags!$A$13:$B$95,2,FALSE)</f>
        <v>1</v>
      </c>
      <c r="B19" s="24">
        <f t="shared" si="2"/>
        <v>1922</v>
      </c>
      <c r="C19" s="25">
        <v>8309</v>
      </c>
      <c r="D19" s="26"/>
      <c r="E19" s="24"/>
      <c r="F19" s="26"/>
      <c r="G19" s="24"/>
      <c r="H19" s="24"/>
      <c r="I19" s="26"/>
      <c r="J19" s="24"/>
      <c r="K19" s="26">
        <f>VLOOKUP($C19,COS!$B$8:$H$991,2,FALSE)</f>
        <v>2693.51513671875</v>
      </c>
      <c r="L19" s="24">
        <f>IF(AND(K19&gt;$I$7,K19&lt;$I$8),1,0)</f>
        <v>1</v>
      </c>
      <c r="M19" s="24"/>
      <c r="N19" s="26"/>
      <c r="O19" s="26"/>
      <c r="P19" s="26"/>
      <c r="Q19" s="26"/>
      <c r="R19" s="26"/>
      <c r="S19" s="26"/>
      <c r="T19" s="26"/>
      <c r="U19" s="26"/>
      <c r="V19" s="26"/>
      <c r="W19" s="26">
        <f>MAX($C$8-VLOOKUP($C19,COS!$B$8:$H$991,3,FALSE),0)</f>
        <v>82918.25390625</v>
      </c>
      <c r="X19" s="26">
        <f t="shared" si="13"/>
        <v>4933.9787448347106</v>
      </c>
      <c r="Y19" s="26">
        <f>VLOOKUP($C19,COS!$B$8:$H$991,4,FALSE)</f>
        <v>136.41513061523438</v>
      </c>
      <c r="Z19" s="26">
        <f t="shared" si="14"/>
        <v>8.1172639704932852</v>
      </c>
      <c r="AA19" s="26">
        <f t="shared" ref="AA19:AA22" si="15">MIN(W19,Y19)</f>
        <v>136.41513061523438</v>
      </c>
      <c r="AB19" s="33">
        <f t="shared" ref="AB19:AB22" si="16">AA19*DAY($C19)*86400/43560/1000*IF(MONTH($C19)=8,$P$3,IF(MONTH($C19)=9,$P$4,IF(MONTH($C19)=10,$P$5,IF(MONTH($C19)=11,$P$6,IF(MONTH($C19)=12,$P$7,NA())))))</f>
        <v>8.1172639704932852</v>
      </c>
      <c r="AC19" s="6"/>
      <c r="AD19" s="43">
        <v>1927</v>
      </c>
      <c r="AE19" s="1">
        <f>VLOOKUP(AD19,Flags!$A$13:$B$95,2,FALSE)</f>
        <v>2</v>
      </c>
      <c r="AF19" s="43">
        <f t="shared" si="6"/>
        <v>577.17067019628098</v>
      </c>
      <c r="AG19" s="43">
        <f t="shared" si="7"/>
        <v>702.40231152747288</v>
      </c>
      <c r="AH19" s="43">
        <f t="shared" si="8"/>
        <v>0</v>
      </c>
      <c r="AI19" s="43">
        <f t="shared" si="9"/>
        <v>22032.42545841942</v>
      </c>
      <c r="AJ19" s="43">
        <f t="shared" si="10"/>
        <v>102.32853633659931</v>
      </c>
      <c r="AK19" s="43">
        <f t="shared" si="1"/>
        <v>84.665892878760985</v>
      </c>
      <c r="AL19" s="43">
        <f t="shared" si="11"/>
        <v>0</v>
      </c>
      <c r="AN19" s="1" t="s">
        <v>32</v>
      </c>
      <c r="AO19" s="43">
        <f>AVERAGEIF($AE$14:$AE$94,3,$AL$14:$AL$94)</f>
        <v>0</v>
      </c>
    </row>
    <row r="20" spans="1:42" x14ac:dyDescent="0.3">
      <c r="A20" s="32">
        <f>VLOOKUP(YEAR(C20),Flags!$A$13:$B$95,2,FALSE)</f>
        <v>1</v>
      </c>
      <c r="B20" s="24">
        <f t="shared" si="2"/>
        <v>1922</v>
      </c>
      <c r="C20" s="25">
        <v>8340</v>
      </c>
      <c r="D20" s="26"/>
      <c r="E20" s="24"/>
      <c r="F20" s="26"/>
      <c r="G20" s="26"/>
      <c r="H20" s="26"/>
      <c r="I20" s="26"/>
      <c r="J20" s="26"/>
      <c r="K20" s="26"/>
      <c r="L20" s="24"/>
      <c r="M20" s="24"/>
      <c r="N20" s="26"/>
      <c r="O20" s="26"/>
      <c r="P20" s="26"/>
      <c r="Q20" s="26"/>
      <c r="R20" s="26"/>
      <c r="S20" s="26"/>
      <c r="T20" s="26"/>
      <c r="U20" s="26"/>
      <c r="V20" s="26"/>
      <c r="W20" s="26">
        <f>MAX($C$9-VLOOKUP($C20,COS!$B$8:$H$991,3,FALSE),0)</f>
        <v>95405.1708984375</v>
      </c>
      <c r="X20" s="26">
        <f t="shared" si="13"/>
        <v>5866.2353015237595</v>
      </c>
      <c r="Y20" s="26">
        <f>VLOOKUP($C20,COS!$B$8:$H$991,4,FALSE)</f>
        <v>940.9134521484375</v>
      </c>
      <c r="Z20" s="26">
        <f t="shared" si="14"/>
        <v>57.85451309077996</v>
      </c>
      <c r="AA20" s="26">
        <f t="shared" si="15"/>
        <v>940.9134521484375</v>
      </c>
      <c r="AB20" s="33">
        <f t="shared" si="16"/>
        <v>57.85451309077996</v>
      </c>
      <c r="AC20" s="6"/>
      <c r="AD20" s="44">
        <v>1928</v>
      </c>
      <c r="AE20" s="45">
        <f>VLOOKUP(AD20,Flags!$A$13:$B$95,2,FALSE)</f>
        <v>2</v>
      </c>
      <c r="AF20" s="44">
        <f t="shared" si="6"/>
        <v>530.64339456353309</v>
      </c>
      <c r="AG20" s="44">
        <f t="shared" si="7"/>
        <v>653.27225191478885</v>
      </c>
      <c r="AH20" s="44">
        <f t="shared" si="8"/>
        <v>0</v>
      </c>
      <c r="AI20" s="44">
        <f t="shared" si="9"/>
        <v>21821.997559400828</v>
      </c>
      <c r="AJ20" s="44">
        <f t="shared" si="10"/>
        <v>112.69071519394552</v>
      </c>
      <c r="AK20" s="44">
        <f t="shared" si="1"/>
        <v>81.927064302933118</v>
      </c>
      <c r="AL20" s="44">
        <f t="shared" si="11"/>
        <v>0</v>
      </c>
      <c r="AN20" s="1" t="s">
        <v>33</v>
      </c>
      <c r="AO20" s="43">
        <f>AVERAGEIF($AE$14:$AE$94,4,$AL$14:$AL$94)</f>
        <v>156.29323407209409</v>
      </c>
    </row>
    <row r="21" spans="1:42" x14ac:dyDescent="0.3">
      <c r="A21" s="32">
        <f>VLOOKUP(YEAR(C21),Flags!$A$13:$B$95,2,FALSE)</f>
        <v>1</v>
      </c>
      <c r="B21" s="24">
        <f t="shared" si="2"/>
        <v>1922</v>
      </c>
      <c r="C21" s="25">
        <v>8370</v>
      </c>
      <c r="D21" s="26"/>
      <c r="E21" s="24"/>
      <c r="F21" s="26"/>
      <c r="G21" s="26"/>
      <c r="H21" s="26"/>
      <c r="I21" s="26"/>
      <c r="J21" s="26"/>
      <c r="K21" s="26"/>
      <c r="L21" s="24"/>
      <c r="M21" s="24"/>
      <c r="N21" s="26"/>
      <c r="O21" s="26"/>
      <c r="P21" s="26"/>
      <c r="Q21" s="26"/>
      <c r="R21" s="26"/>
      <c r="S21" s="26"/>
      <c r="T21" s="26"/>
      <c r="U21" s="26"/>
      <c r="V21" s="26"/>
      <c r="W21" s="26">
        <f>MAX($C$10-VLOOKUP($C21,COS!$B$8:$H$991,3,FALSE),0)</f>
        <v>92011.9228515625</v>
      </c>
      <c r="X21" s="26">
        <f t="shared" si="13"/>
        <v>5475.0896242252065</v>
      </c>
      <c r="Y21" s="26">
        <f>VLOOKUP($C21,COS!$B$8:$H$991,4,FALSE)</f>
        <v>1104.9873046875</v>
      </c>
      <c r="Z21" s="26">
        <f t="shared" si="14"/>
        <v>65.751310692148763</v>
      </c>
      <c r="AA21" s="26">
        <f t="shared" si="15"/>
        <v>1104.9873046875</v>
      </c>
      <c r="AB21" s="33">
        <f t="shared" si="16"/>
        <v>32.875655346074382</v>
      </c>
      <c r="AC21" s="6"/>
      <c r="AD21" s="44">
        <v>1929</v>
      </c>
      <c r="AE21" s="45">
        <f>VLOOKUP(AD21,Flags!$A$13:$B$95,2,FALSE)</f>
        <v>5</v>
      </c>
      <c r="AF21" s="44">
        <f t="shared" si="6"/>
        <v>127.9222265625</v>
      </c>
      <c r="AG21" s="44">
        <f t="shared" si="7"/>
        <v>580.13305915265039</v>
      </c>
      <c r="AH21" s="44">
        <f t="shared" si="8"/>
        <v>127.9222265625</v>
      </c>
      <c r="AI21" s="44">
        <f t="shared" si="9"/>
        <v>22823.152223979851</v>
      </c>
      <c r="AJ21" s="44">
        <f t="shared" si="10"/>
        <v>547.35015011621897</v>
      </c>
      <c r="AK21" s="44">
        <f t="shared" si="1"/>
        <v>406.43818238313537</v>
      </c>
      <c r="AL21" s="44">
        <f t="shared" si="11"/>
        <v>127.9222265625</v>
      </c>
      <c r="AN21" s="1" t="s">
        <v>10</v>
      </c>
      <c r="AO21" s="43">
        <f>AVERAGEIF($AE$14:$AE$94,5,$AL$14:$AL$94)</f>
        <v>86.465126630294421</v>
      </c>
    </row>
    <row r="22" spans="1:42" x14ac:dyDescent="0.3">
      <c r="A22" s="34">
        <f>VLOOKUP(YEAR(C22),Flags!$A$13:$B$95,2,FALSE)</f>
        <v>1</v>
      </c>
      <c r="B22" s="35">
        <f t="shared" si="2"/>
        <v>1922</v>
      </c>
      <c r="C22" s="36">
        <v>8401</v>
      </c>
      <c r="D22" s="37"/>
      <c r="E22" s="35"/>
      <c r="F22" s="37"/>
      <c r="G22" s="37"/>
      <c r="H22" s="37"/>
      <c r="I22" s="37"/>
      <c r="J22" s="37"/>
      <c r="K22" s="37"/>
      <c r="L22" s="35"/>
      <c r="M22" s="35"/>
      <c r="N22" s="37"/>
      <c r="O22" s="37"/>
      <c r="P22" s="37"/>
      <c r="Q22" s="37"/>
      <c r="R22" s="37"/>
      <c r="S22" s="37"/>
      <c r="T22" s="37"/>
      <c r="U22" s="37"/>
      <c r="V22" s="37"/>
      <c r="W22" s="37">
        <f>MAX($C$11-VLOOKUP($C22,COS!$B$8:$H$991,3,FALSE),0)</f>
        <v>0</v>
      </c>
      <c r="X22" s="37">
        <f t="shared" si="13"/>
        <v>0</v>
      </c>
      <c r="Y22" s="37">
        <f>VLOOKUP($C22,COS!$B$8:$H$991,4,FALSE)</f>
        <v>0</v>
      </c>
      <c r="Z22" s="37">
        <f t="shared" si="14"/>
        <v>0</v>
      </c>
      <c r="AA22" s="37">
        <f t="shared" si="15"/>
        <v>0</v>
      </c>
      <c r="AB22" s="38">
        <f t="shared" si="16"/>
        <v>0</v>
      </c>
      <c r="AC22" s="6"/>
      <c r="AD22" s="44">
        <v>1930</v>
      </c>
      <c r="AE22" s="45">
        <f>VLOOKUP(AD22,Flags!$A$13:$B$95,2,FALSE)</f>
        <v>4</v>
      </c>
      <c r="AF22" s="44">
        <f t="shared" si="6"/>
        <v>0</v>
      </c>
      <c r="AG22" s="44">
        <f t="shared" si="7"/>
        <v>613.88301786690704</v>
      </c>
      <c r="AH22" s="44">
        <f t="shared" si="8"/>
        <v>0</v>
      </c>
      <c r="AI22" s="44">
        <f t="shared" si="9"/>
        <v>22966.413810046488</v>
      </c>
      <c r="AJ22" s="44">
        <f t="shared" si="10"/>
        <v>529.99753042678208</v>
      </c>
      <c r="AK22" s="44">
        <f t="shared" si="1"/>
        <v>359.26877881262914</v>
      </c>
      <c r="AL22" s="44">
        <f t="shared" si="11"/>
        <v>0</v>
      </c>
    </row>
    <row r="23" spans="1:42" x14ac:dyDescent="0.3">
      <c r="A23" s="27">
        <f>VLOOKUP(YEAR(C23),Flags!$A$13:$B$95,2,FALSE)</f>
        <v>3</v>
      </c>
      <c r="B23" s="28">
        <f t="shared" si="2"/>
        <v>1923</v>
      </c>
      <c r="C23" s="29">
        <v>8521</v>
      </c>
      <c r="D23" s="30">
        <f>VLOOKUP($C23,COS!$B$8:$H$991,3,FALSE)</f>
        <v>3250</v>
      </c>
      <c r="E23" s="28">
        <f>IF(D23&gt;=IF(MONTH($C23)=4,$C$3,IF(MONTH($C23)=5,$C$4,IF(MONTH($C23)=6,$C$5,IF(MONTH($C23)=7,$C$6,"ERROR")))),1,0)</f>
        <v>0</v>
      </c>
      <c r="F23" s="30">
        <f>VLOOKUP($C23,COS!$B$8:$H$991,7,FALSE)</f>
        <v>52.349773406982422</v>
      </c>
      <c r="G23" s="28">
        <f>IF(F23&lt;=IF(MONTH($C23)=4,$F$3,IF(MONTH($C23)=5,$F$4,IF(MONTH($C23)=6,$F$5,IF(MONTH($C23)=7,$F$6,"ERROR")))),1,0)</f>
        <v>1</v>
      </c>
      <c r="H23" s="30">
        <f>IF(J23=1,D23-$C$3,0)</f>
        <v>0</v>
      </c>
      <c r="I23" s="30">
        <f t="shared" ref="I23:I86" si="17">H23*DAY($C23)*86400/43560/1000</f>
        <v>0</v>
      </c>
      <c r="J23" s="28">
        <f t="shared" ref="J23:J26" si="18">IF(AND(E23=1,G23=1),1,0)</f>
        <v>0</v>
      </c>
      <c r="K23" s="30">
        <f>VLOOKUP($C23,COS!$B$8:$H$991,2,FALSE)</f>
        <v>3743.0517578125</v>
      </c>
      <c r="L23" s="28">
        <f t="shared" ref="L23:L80" si="19">IF(K23&lt;=IF(MONTH($C23)=4,$I$3,IF(MONTH($C23)=5,$I$4,IF(MONTH($C23)=6,$I$5,IF(MONTH($C23)=7,$I$6,"ERROR")))),1,0)</f>
        <v>1</v>
      </c>
      <c r="M23" s="28">
        <f t="shared" ref="M23:M80" si="20">VLOOKUP($A23,$L$3:$M$7,2,FALSE)</f>
        <v>0</v>
      </c>
      <c r="N23" s="30">
        <f>VLOOKUP($C23,COS!$B$8:$H$991,5,FALSE)</f>
        <v>244.48347473144531</v>
      </c>
      <c r="O23" s="30">
        <f t="shared" ref="O23:O26" si="21">N23*DAY($C23)*86400/43560/1000</f>
        <v>14.547777008813275</v>
      </c>
      <c r="P23" s="30">
        <f>VLOOKUP($C23,COS!$B$8:$H$991,6,FALSE)</f>
        <v>427.781494140625</v>
      </c>
      <c r="Q23" s="30">
        <f t="shared" ref="Q23:Q26" si="22">P23*DAY($C23)*86400/43560/1000</f>
        <v>25.454766593491733</v>
      </c>
      <c r="R23" s="30">
        <f>MIN(IF(MONTH($C23)=4,$S$3,IF(MONTH($C23)=5,$S$4,IF(MONTH($C23)=6,$S$5,IF(MONTH($C23)=7,$S$6,"ERROR")))),MAX(VLOOKUP($C23,COS!$B$8:$K$991,10,FALSE)-IF(MONTH($C23)=4,$Y$3,IF(MONTH($C23)=5,$Y$4,IF(MONTH($C23)=6,$Y$5,IF(MONTH($C23)=7,$Y$6,"ERROR")))),0),MAX(VLOOKUP($C23,COS!$B$8:$K$991,9,FALSE)-IF(MONTH($C23)=4,$V$3,IF(MONTH($C23)=5,$V$4,IF(MONTH($C23)=6,$V$5,IF(MONTH($C23)=7,$V$6,"ERROR"))))-VLOOKUP($C23,COS!$B$8:$K$991,6,FALSE)/2,0))</f>
        <v>1500</v>
      </c>
      <c r="S23" s="30">
        <f t="shared" ref="S23:S26" si="23">R23*DAY($C23)*86400/43560/1000</f>
        <v>89.256198347107429</v>
      </c>
      <c r="T23" s="30">
        <f t="shared" ref="T23:T26" si="24">(O23+Q23)/2+S23</f>
        <v>109.25747014825993</v>
      </c>
      <c r="U23" s="30" t="str">
        <f>IF(VLOOKUP($C23,COS!$B$8:$I$991,8,FALSE)=1,"UWFE","IBU")</f>
        <v>UWFE</v>
      </c>
      <c r="V23" s="30">
        <f t="shared" ref="V23" si="25">MIN(IF(IF($AA$3=2,AND(E23=1,G23=1,L23=1,L28=1,M23=1,U23="IBU"),AND(E23=1,G23=1,L23=1,L28=1,M23=1)),T23,0),I23)</f>
        <v>0</v>
      </c>
      <c r="W23" s="30"/>
      <c r="X23" s="30"/>
      <c r="Y23" s="30"/>
      <c r="Z23" s="30"/>
      <c r="AA23" s="30"/>
      <c r="AB23" s="31"/>
      <c r="AC23" s="6"/>
      <c r="AD23" s="44">
        <v>1931</v>
      </c>
      <c r="AE23" s="45">
        <f>VLOOKUP(AD23,Flags!$A$13:$B$95,2,FALSE)</f>
        <v>5</v>
      </c>
      <c r="AF23" s="44">
        <f t="shared" si="6"/>
        <v>174.23468879132233</v>
      </c>
      <c r="AG23" s="44">
        <f t="shared" si="7"/>
        <v>600.06150887985859</v>
      </c>
      <c r="AH23" s="44">
        <f t="shared" si="8"/>
        <v>174.23468879132233</v>
      </c>
      <c r="AI23" s="44">
        <f t="shared" si="9"/>
        <v>22998.790061660642</v>
      </c>
      <c r="AJ23" s="44">
        <f t="shared" si="10"/>
        <v>417.20645168840394</v>
      </c>
      <c r="AK23" s="44">
        <f t="shared" si="1"/>
        <v>377.63865161738124</v>
      </c>
      <c r="AL23" s="44">
        <f t="shared" si="11"/>
        <v>174.23468879132233</v>
      </c>
      <c r="AN23" s="6">
        <f>AO15</f>
        <v>51.400570382782902</v>
      </c>
      <c r="AO23">
        <f t="shared" ref="AO23:AO33" si="26">COUNTIF($AL$14:$AL$94,"&gt;"&amp;AN23)</f>
        <v>20</v>
      </c>
      <c r="AP23">
        <f>AVERAGEIF($AL$14:$AL$94,"&gt;"&amp;AN23)</f>
        <v>203.20177763808067</v>
      </c>
    </row>
    <row r="24" spans="1:42" x14ac:dyDescent="0.3">
      <c r="A24" s="32">
        <f>VLOOKUP(YEAR(C24),Flags!$A$13:$B$95,2,FALSE)</f>
        <v>3</v>
      </c>
      <c r="B24" s="24">
        <f t="shared" si="2"/>
        <v>1923</v>
      </c>
      <c r="C24" s="25">
        <v>8552</v>
      </c>
      <c r="D24" s="26">
        <f>VLOOKUP($C24,COS!$B$8:$H$991,3,FALSE)</f>
        <v>9231.1298828125</v>
      </c>
      <c r="E24" s="24">
        <f>IF(D24&gt;=IF(MONTH($C24)=4,$C$3,IF(MONTH($C24)=5,$C$4,IF(MONTH($C24)=6,$C$5,IF(MONTH($C24)=7,$C$6,"ERROR")))),1,0)</f>
        <v>1</v>
      </c>
      <c r="F24" s="26">
        <f>VLOOKUP($C24,COS!$B$8:$H$991,7,FALSE)</f>
        <v>55.448532104492188</v>
      </c>
      <c r="G24" s="24">
        <f>IF(F24&lt;=IF(MONTH($C24)=4,$F$3,IF(MONTH($C24)=5,$F$4,IF(MONTH($C24)=6,$F$5,IF(MONTH($C24)=7,$F$6,"ERROR")))),1,0)</f>
        <v>1</v>
      </c>
      <c r="H24" s="26">
        <f>IF(J24=1,D24-$C$4,0)</f>
        <v>3231.1298828125</v>
      </c>
      <c r="I24" s="26">
        <f t="shared" si="17"/>
        <v>198.67443246384298</v>
      </c>
      <c r="J24" s="24">
        <f t="shared" si="18"/>
        <v>1</v>
      </c>
      <c r="K24" s="26">
        <f>VLOOKUP($C24,COS!$B$8:$H$991,2,FALSE)</f>
        <v>3524.205322265625</v>
      </c>
      <c r="L24" s="24">
        <f t="shared" si="19"/>
        <v>1</v>
      </c>
      <c r="M24" s="24">
        <f t="shared" si="20"/>
        <v>0</v>
      </c>
      <c r="N24" s="26">
        <f>VLOOKUP($C24,COS!$B$8:$H$991,5,FALSE)</f>
        <v>301.41696166992188</v>
      </c>
      <c r="O24" s="26">
        <f t="shared" si="21"/>
        <v>18.533406568795193</v>
      </c>
      <c r="P24" s="26">
        <f>VLOOKUP($C24,COS!$B$8:$H$991,6,FALSE)</f>
        <v>2265.772216796875</v>
      </c>
      <c r="Q24" s="26">
        <f t="shared" si="22"/>
        <v>139.31690324767561</v>
      </c>
      <c r="R24" s="26">
        <f>MIN(IF(MONTH($C24)=4,$S$3,IF(MONTH($C24)=5,$S$4,IF(MONTH($C24)=6,$S$5,IF(MONTH($C24)=7,$S$6,"ERROR")))),MAX(VLOOKUP($C24,COS!$B$8:$K$991,10,FALSE)-IF(MONTH($C24)=4,$Y$3,IF(MONTH($C24)=5,$Y$4,IF(MONTH($C24)=6,$Y$5,IF(MONTH($C24)=7,$Y$6,"ERROR")))),0),MAX(VLOOKUP($C24,COS!$B$8:$K$991,9,FALSE)-IF(MONTH($C24)=4,$V$3,IF(MONTH($C24)=5,$V$4,IF(MONTH($C24)=6,$V$5,IF(MONTH($C24)=7,$V$6,"ERROR"))))-VLOOKUP($C24,COS!$B$8:$K$991,6,FALSE)/2,0))</f>
        <v>1500</v>
      </c>
      <c r="S24" s="26">
        <f t="shared" si="23"/>
        <v>92.231404958677686</v>
      </c>
      <c r="T24" s="26">
        <f t="shared" si="24"/>
        <v>171.15655986691308</v>
      </c>
      <c r="U24" s="26" t="str">
        <f>IF(VLOOKUP($C24,COS!$B$8:$I$991,8,FALSE)=1,"UWFE","IBU")</f>
        <v>UWFE</v>
      </c>
      <c r="V24" s="26">
        <f t="shared" ref="V24" si="27">MIN(IF(IF($AA$3=2,AND(E24=1,G24=1,L24=1,L28=1,M24=1,U24="IBU"),AND(E24=1,G24=1,L24=1,L28=1,M24=1)),T24,0),I24)</f>
        <v>0</v>
      </c>
      <c r="W24" s="26"/>
      <c r="X24" s="26"/>
      <c r="Y24" s="26"/>
      <c r="Z24" s="26"/>
      <c r="AA24" s="26"/>
      <c r="AB24" s="33"/>
      <c r="AC24" s="6"/>
      <c r="AD24" s="44">
        <v>1932</v>
      </c>
      <c r="AE24" s="45">
        <f>VLOOKUP(AD24,Flags!$A$13:$B$95,2,FALSE)</f>
        <v>5</v>
      </c>
      <c r="AF24" s="44">
        <f t="shared" si="6"/>
        <v>0</v>
      </c>
      <c r="AG24" s="44">
        <f t="shared" si="7"/>
        <v>577.67348919324638</v>
      </c>
      <c r="AH24" s="44">
        <f t="shared" si="8"/>
        <v>0</v>
      </c>
      <c r="AI24" s="44">
        <f t="shared" si="9"/>
        <v>22993.963981146695</v>
      </c>
      <c r="AJ24" s="44">
        <f t="shared" si="10"/>
        <v>468.21170793517558</v>
      </c>
      <c r="AK24" s="44">
        <f t="shared" si="1"/>
        <v>269.78905911027891</v>
      </c>
      <c r="AL24" s="44">
        <f t="shared" si="11"/>
        <v>0</v>
      </c>
      <c r="AN24" s="6">
        <v>15</v>
      </c>
      <c r="AO24">
        <f t="shared" si="26"/>
        <v>23</v>
      </c>
      <c r="AP24">
        <f>AVERAGEIF($AL$14:$AL$94,"&gt;"&amp;AN24)</f>
        <v>181.01940004371369</v>
      </c>
    </row>
    <row r="25" spans="1:42" x14ac:dyDescent="0.3">
      <c r="A25" s="32">
        <f>VLOOKUP(YEAR(C25),Flags!$A$13:$B$95,2,FALSE)</f>
        <v>3</v>
      </c>
      <c r="B25" s="24">
        <f t="shared" si="2"/>
        <v>1923</v>
      </c>
      <c r="C25" s="25">
        <v>8582</v>
      </c>
      <c r="D25" s="26">
        <f>VLOOKUP($C25,COS!$B$8:$H$991,3,FALSE)</f>
        <v>9187.771484375</v>
      </c>
      <c r="E25" s="24">
        <f>IF(D25&gt;=IF(MONTH($C25)=4,$C$3,IF(MONTH($C25)=5,$C$4,IF(MONTH($C25)=6,$C$5,IF(MONTH($C25)=7,$C$6,"ERROR")))),1,0)</f>
        <v>0</v>
      </c>
      <c r="F25" s="26">
        <f>VLOOKUP($C25,COS!$B$8:$H$991,7,FALSE)</f>
        <v>53.151496887207031</v>
      </c>
      <c r="G25" s="24">
        <f>IF(F25&lt;=IF(MONTH($C25)=4,$F$3,IF(MONTH($C25)=5,$F$4,IF(MONTH($C25)=6,$F$5,IF(MONTH($C25)=7,$F$6,"ERROR")))),1,0)</f>
        <v>1</v>
      </c>
      <c r="H25" s="26">
        <f>IF(J25=1,D25-$C$5,0)</f>
        <v>0</v>
      </c>
      <c r="I25" s="26">
        <f t="shared" si="17"/>
        <v>0</v>
      </c>
      <c r="J25" s="24">
        <f t="shared" si="18"/>
        <v>0</v>
      </c>
      <c r="K25" s="26">
        <f>VLOOKUP($C25,COS!$B$8:$H$991,2,FALSE)</f>
        <v>3273.186279296875</v>
      </c>
      <c r="L25" s="24">
        <f t="shared" si="19"/>
        <v>1</v>
      </c>
      <c r="M25" s="24">
        <f t="shared" si="20"/>
        <v>0</v>
      </c>
      <c r="N25" s="26">
        <f>VLOOKUP($C25,COS!$B$8:$H$991,5,FALSE)</f>
        <v>530.37872314453125</v>
      </c>
      <c r="O25" s="26">
        <f t="shared" si="21"/>
        <v>31.559725674715907</v>
      </c>
      <c r="P25" s="26">
        <f>VLOOKUP($C25,COS!$B$8:$H$991,6,FALSE)</f>
        <v>2621.187744140625</v>
      </c>
      <c r="Q25" s="26">
        <f t="shared" si="22"/>
        <v>155.97150213068181</v>
      </c>
      <c r="R25" s="26">
        <f>MIN(IF(MONTH($C25)=4,$S$3,IF(MONTH($C25)=5,$S$4,IF(MONTH($C25)=6,$S$5,IF(MONTH($C25)=7,$S$6,"ERROR")))),MAX(VLOOKUP($C25,COS!$B$8:$K$991,10,FALSE)-IF(MONTH($C25)=4,$Y$3,IF(MONTH($C25)=5,$Y$4,IF(MONTH($C25)=6,$Y$5,IF(MONTH($C25)=7,$Y$6,"ERROR")))),0),MAX(VLOOKUP($C25,COS!$B$8:$K$991,9,FALSE)-IF(MONTH($C25)=4,$V$3,IF(MONTH($C25)=5,$V$4,IF(MONTH($C25)=6,$V$5,IF(MONTH($C25)=7,$V$6,"ERROR"))))-VLOOKUP($C25,COS!$B$8:$K$991,6,FALSE)/2,0))</f>
        <v>1500</v>
      </c>
      <c r="S25" s="26">
        <f t="shared" si="23"/>
        <v>89.256198347107429</v>
      </c>
      <c r="T25" s="26">
        <f t="shared" si="24"/>
        <v>183.02181224980629</v>
      </c>
      <c r="U25" s="26" t="str">
        <f>IF(VLOOKUP($C25,COS!$B$8:$I$991,8,FALSE)=1,"UWFE","IBU")</f>
        <v>IBU</v>
      </c>
      <c r="V25" s="26">
        <f t="shared" ref="V25" si="28">MIN(IF(IF($AA$3=2,AND(E25=1,G25=1,L25=1,L28=1,M25=1,U25="IBU"),AND(E25=1,G25=1,L25=1,L28=1,M25=1)),T25,0),I25)</f>
        <v>0</v>
      </c>
      <c r="W25" s="26"/>
      <c r="X25" s="26"/>
      <c r="Y25" s="26"/>
      <c r="Z25" s="26"/>
      <c r="AA25" s="26"/>
      <c r="AB25" s="33"/>
      <c r="AC25" s="6"/>
      <c r="AD25" s="44">
        <v>1933</v>
      </c>
      <c r="AE25" s="45">
        <f>VLOOKUP(AD25,Flags!$A$13:$B$95,2,FALSE)</f>
        <v>5</v>
      </c>
      <c r="AF25" s="44">
        <f t="shared" si="6"/>
        <v>30.825164643595041</v>
      </c>
      <c r="AG25" s="44">
        <f t="shared" si="7"/>
        <v>581.39606733337905</v>
      </c>
      <c r="AH25" s="44">
        <f t="shared" si="8"/>
        <v>0</v>
      </c>
      <c r="AI25" s="44">
        <f t="shared" si="9"/>
        <v>22995.803822959708</v>
      </c>
      <c r="AJ25" s="44">
        <f t="shared" si="10"/>
        <v>364.82492195570762</v>
      </c>
      <c r="AK25" s="44">
        <f t="shared" si="1"/>
        <v>284.78267457063532</v>
      </c>
      <c r="AL25" s="44">
        <f t="shared" si="11"/>
        <v>0</v>
      </c>
      <c r="AN25" s="6">
        <v>30</v>
      </c>
      <c r="AO25">
        <f t="shared" si="26"/>
        <v>22</v>
      </c>
      <c r="AP25">
        <f t="shared" ref="AP25:AP33" si="29">AVERAGEIF($AL$14:$AL$94,"&gt;"&amp;AN25)</f>
        <v>188.25808708552037</v>
      </c>
    </row>
    <row r="26" spans="1:42" x14ac:dyDescent="0.3">
      <c r="A26" s="32">
        <f>VLOOKUP(YEAR(C26),Flags!$A$13:$B$95,2,FALSE)</f>
        <v>3</v>
      </c>
      <c r="B26" s="24">
        <f t="shared" si="2"/>
        <v>1923</v>
      </c>
      <c r="C26" s="25">
        <v>8613</v>
      </c>
      <c r="D26" s="26">
        <f>VLOOKUP($C26,COS!$B$8:$H$991,3,FALSE)</f>
        <v>11611.94921875</v>
      </c>
      <c r="E26" s="24">
        <f>IF(D26&gt;=IF(MONTH($C26)=4,$C$3,IF(MONTH($C26)=5,$C$4,IF(MONTH($C26)=6,$C$5,IF(MONTH($C26)=7,$C$6,"ERROR")))),1,0)</f>
        <v>0</v>
      </c>
      <c r="F26" s="26">
        <f>VLOOKUP($C26,COS!$B$8:$H$991,7,FALSE)</f>
        <v>55.377204895019531</v>
      </c>
      <c r="G26" s="24">
        <f>IF(F26&lt;=IF(MONTH($C26)=4,$F$3,IF(MONTH($C26)=5,$F$4,IF(MONTH($C26)=6,$F$5,IF(MONTH($C26)=7,$F$6,"ERROR")))),1,0)</f>
        <v>0</v>
      </c>
      <c r="H26" s="26">
        <f>IF(J26=1,D26-$C$6,0)</f>
        <v>0</v>
      </c>
      <c r="I26" s="26">
        <f t="shared" si="17"/>
        <v>0</v>
      </c>
      <c r="J26" s="24">
        <f t="shared" si="18"/>
        <v>0</v>
      </c>
      <c r="K26" s="26">
        <f>VLOOKUP($C26,COS!$B$8:$H$991,2,FALSE)</f>
        <v>2867.132080078125</v>
      </c>
      <c r="L26" s="24">
        <f t="shared" si="19"/>
        <v>1</v>
      </c>
      <c r="M26" s="24">
        <f t="shared" si="20"/>
        <v>0</v>
      </c>
      <c r="N26" s="26">
        <f>VLOOKUP($C26,COS!$B$8:$H$991,5,FALSE)</f>
        <v>613.4034423828125</v>
      </c>
      <c r="O26" s="26">
        <f t="shared" si="21"/>
        <v>37.716707531637397</v>
      </c>
      <c r="P26" s="26">
        <f>VLOOKUP($C26,COS!$B$8:$H$991,6,FALSE)</f>
        <v>2537.385498046875</v>
      </c>
      <c r="Q26" s="26">
        <f t="shared" si="22"/>
        <v>156.01775293775825</v>
      </c>
      <c r="R26" s="26">
        <f>MIN(IF(MONTH($C26)=4,$S$3,IF(MONTH($C26)=5,$S$4,IF(MONTH($C26)=6,$S$5,IF(MONTH($C26)=7,$S$6,"ERROR")))),MAX(VLOOKUP($C26,COS!$B$8:$K$991,10,FALSE)-IF(MONTH($C26)=4,$Y$3,IF(MONTH($C26)=5,$Y$4,IF(MONTH($C26)=6,$Y$5,IF(MONTH($C26)=7,$Y$6,"ERROR")))),0),MAX(VLOOKUP($C26,COS!$B$8:$K$991,9,FALSE)-IF(MONTH($C26)=4,$V$3,IF(MONTH($C26)=5,$V$4,IF(MONTH($C26)=6,$V$5,IF(MONTH($C26)=7,$V$6,"ERROR"))))-VLOOKUP($C26,COS!$B$8:$K$991,6,FALSE)/2,0))</f>
        <v>1500</v>
      </c>
      <c r="S26" s="26">
        <f t="shared" si="23"/>
        <v>92.231404958677686</v>
      </c>
      <c r="T26" s="26">
        <f t="shared" si="24"/>
        <v>189.09863519337551</v>
      </c>
      <c r="U26" s="26" t="str">
        <f>IF(VLOOKUP($C26,COS!$B$8:$I$991,8,FALSE)=1,"UWFE","IBU")</f>
        <v>IBU</v>
      </c>
      <c r="V26" s="26">
        <f t="shared" ref="V26" si="30">MIN(IF(IF($AA$3=2,AND(E26=1,G26=1,L26=1,L28=1,M26=1,U26="IBU"),AND(E26=1,G26=1,L26=1,L28=1,M26=1)),T26,0),I26)</f>
        <v>0</v>
      </c>
      <c r="W26" s="26"/>
      <c r="X26" s="26"/>
      <c r="Y26" s="26"/>
      <c r="Z26" s="26"/>
      <c r="AA26" s="26"/>
      <c r="AB26" s="33"/>
      <c r="AC26" s="6"/>
      <c r="AD26" s="44">
        <v>1934</v>
      </c>
      <c r="AE26" s="45">
        <f>VLOOKUP(AD26,Flags!$A$13:$B$95,2,FALSE)</f>
        <v>5</v>
      </c>
      <c r="AF26" s="44">
        <f t="shared" si="6"/>
        <v>61.140804816632233</v>
      </c>
      <c r="AG26" s="44">
        <f t="shared" si="7"/>
        <v>586.09518616227069</v>
      </c>
      <c r="AH26" s="44">
        <f t="shared" si="8"/>
        <v>61.140804816632233</v>
      </c>
      <c r="AI26" s="44">
        <f t="shared" si="9"/>
        <v>23163.341852886104</v>
      </c>
      <c r="AJ26" s="44">
        <f t="shared" si="10"/>
        <v>541.70656306495357</v>
      </c>
      <c r="AK26" s="44">
        <f t="shared" si="1"/>
        <v>464.95812314372415</v>
      </c>
      <c r="AL26" s="44">
        <f t="shared" si="11"/>
        <v>61.140804816632233</v>
      </c>
      <c r="AN26" s="6">
        <v>60</v>
      </c>
      <c r="AO26">
        <f t="shared" si="26"/>
        <v>20</v>
      </c>
      <c r="AP26">
        <f t="shared" si="29"/>
        <v>203.20177763808067</v>
      </c>
    </row>
    <row r="27" spans="1:42" x14ac:dyDescent="0.3">
      <c r="A27" s="32">
        <f>VLOOKUP(YEAR(C27),Flags!$A$13:$B$95,2,FALSE)</f>
        <v>3</v>
      </c>
      <c r="B27" s="24">
        <f t="shared" si="2"/>
        <v>1923</v>
      </c>
      <c r="C27" s="25">
        <v>8644</v>
      </c>
      <c r="D27" s="26"/>
      <c r="E27" s="24"/>
      <c r="F27" s="26"/>
      <c r="G27" s="24"/>
      <c r="H27" s="24"/>
      <c r="I27" s="26"/>
      <c r="J27" s="24"/>
      <c r="K27" s="26"/>
      <c r="L27" s="24"/>
      <c r="M27" s="24"/>
      <c r="N27" s="26"/>
      <c r="O27" s="26"/>
      <c r="P27" s="26"/>
      <c r="Q27" s="26"/>
      <c r="R27" s="26"/>
      <c r="S27" s="26"/>
      <c r="T27" s="26"/>
      <c r="U27" s="26"/>
      <c r="V27" s="26"/>
      <c r="W27" s="26">
        <f>MAX($C$7-VLOOKUP($C27,COS!$B$8:$H$991,3,FALSE),0)</f>
        <v>90980.109375</v>
      </c>
      <c r="X27" s="26">
        <f t="shared" ref="X27:X90" si="31">W27*DAY($C27)*86400/43560/1000</f>
        <v>5594.1488739669421</v>
      </c>
      <c r="Y27" s="26">
        <f>VLOOKUP($C27,COS!$B$8:$H$991,4,FALSE)</f>
        <v>223.26168823242188</v>
      </c>
      <c r="Z27" s="26">
        <f t="shared" ref="Z27:Z90" si="32">Y27*DAY($C27)*86400/43560/1000</f>
        <v>13.727826119415031</v>
      </c>
      <c r="AA27" s="26">
        <f t="shared" ref="AA27:AA31" si="33">MIN(W27,Y27)</f>
        <v>223.26168823242188</v>
      </c>
      <c r="AB27" s="33">
        <f t="shared" ref="AB27:AB85" si="34">AA27*DAY($C27)*86400/43560/1000*IF(MONTH($C27)=8,$P$3,IF(MONTH($C27)=9,$P$4,IF(MONTH($C27)=10,$P$5,IF(MONTH($C27)=11,$P$6,IF(MONTH($C27)=12,$P$7,NA())))))</f>
        <v>13.727826119415031</v>
      </c>
      <c r="AC27" s="6"/>
      <c r="AD27" s="43">
        <v>1935</v>
      </c>
      <c r="AE27" s="1">
        <f>VLOOKUP(AD27,Flags!$A$13:$B$95,2,FALSE)</f>
        <v>4</v>
      </c>
      <c r="AF27" s="43">
        <f t="shared" si="6"/>
        <v>0</v>
      </c>
      <c r="AG27" s="43">
        <f t="shared" si="7"/>
        <v>621.9039977995817</v>
      </c>
      <c r="AH27" s="43">
        <f t="shared" si="8"/>
        <v>0</v>
      </c>
      <c r="AI27" s="43">
        <f t="shared" si="9"/>
        <v>23012.192735989156</v>
      </c>
      <c r="AJ27" s="43">
        <f t="shared" si="10"/>
        <v>121.23425982388584</v>
      </c>
      <c r="AK27" s="43">
        <f t="shared" si="1"/>
        <v>106.91905838391013</v>
      </c>
      <c r="AL27" s="43">
        <f t="shared" si="11"/>
        <v>0</v>
      </c>
      <c r="AN27" s="6">
        <v>90</v>
      </c>
      <c r="AO27">
        <f t="shared" si="26"/>
        <v>19</v>
      </c>
      <c r="AP27">
        <f t="shared" si="29"/>
        <v>210.67867094447269</v>
      </c>
    </row>
    <row r="28" spans="1:42" x14ac:dyDescent="0.3">
      <c r="A28" s="32">
        <f>VLOOKUP(YEAR(C28),Flags!$A$13:$B$95,2,FALSE)</f>
        <v>3</v>
      </c>
      <c r="B28" s="24">
        <f t="shared" si="2"/>
        <v>1923</v>
      </c>
      <c r="C28" s="25">
        <v>8674</v>
      </c>
      <c r="D28" s="26"/>
      <c r="E28" s="24"/>
      <c r="F28" s="26"/>
      <c r="G28" s="24"/>
      <c r="H28" s="24"/>
      <c r="I28" s="26"/>
      <c r="J28" s="24"/>
      <c r="K28" s="26">
        <f>VLOOKUP($C28,COS!$B$8:$H$991,2,FALSE)</f>
        <v>2596.2392578125</v>
      </c>
      <c r="L28" s="24">
        <f t="shared" ref="L28" si="35">IF(AND(K28&gt;$I$7,K28&lt;$I$8),1,0)</f>
        <v>1</v>
      </c>
      <c r="M28" s="24"/>
      <c r="N28" s="26"/>
      <c r="O28" s="26"/>
      <c r="P28" s="26"/>
      <c r="Q28" s="26"/>
      <c r="R28" s="26"/>
      <c r="S28" s="26"/>
      <c r="T28" s="26"/>
      <c r="U28" s="26"/>
      <c r="V28" s="26"/>
      <c r="W28" s="26">
        <f>MAX($C$8-VLOOKUP($C28,COS!$B$8:$H$991,3,FALSE),0)</f>
        <v>95583.35595703125</v>
      </c>
      <c r="X28" s="26">
        <f t="shared" si="31"/>
        <v>5687.6046519886368</v>
      </c>
      <c r="Y28" s="26">
        <f>VLOOKUP($C28,COS!$B$8:$H$991,4,FALSE)</f>
        <v>0</v>
      </c>
      <c r="Z28" s="26">
        <f t="shared" si="32"/>
        <v>0</v>
      </c>
      <c r="AA28" s="26">
        <f t="shared" si="33"/>
        <v>0</v>
      </c>
      <c r="AB28" s="33">
        <f t="shared" si="34"/>
        <v>0</v>
      </c>
      <c r="AC28" s="6"/>
      <c r="AD28" s="43">
        <v>1936</v>
      </c>
      <c r="AE28" s="1">
        <f>VLOOKUP(AD28,Flags!$A$13:$B$95,2,FALSE)</f>
        <v>3</v>
      </c>
      <c r="AF28" s="43">
        <f t="shared" si="6"/>
        <v>0</v>
      </c>
      <c r="AG28" s="43">
        <f t="shared" si="7"/>
        <v>640.065817921536</v>
      </c>
      <c r="AH28" s="43">
        <f t="shared" si="8"/>
        <v>0</v>
      </c>
      <c r="AI28" s="43">
        <f t="shared" si="9"/>
        <v>22674.993048811983</v>
      </c>
      <c r="AJ28" s="43">
        <f t="shared" si="10"/>
        <v>178.08673882602659</v>
      </c>
      <c r="AK28" s="43">
        <f t="shared" si="1"/>
        <v>107.09379299699768</v>
      </c>
      <c r="AL28" s="43">
        <f t="shared" si="11"/>
        <v>0</v>
      </c>
      <c r="AN28" s="6">
        <v>100</v>
      </c>
      <c r="AO28">
        <f t="shared" si="26"/>
        <v>19</v>
      </c>
      <c r="AP28">
        <f t="shared" si="29"/>
        <v>210.67867094447269</v>
      </c>
    </row>
    <row r="29" spans="1:42" x14ac:dyDescent="0.3">
      <c r="A29" s="32">
        <f>VLOOKUP(YEAR(C29),Flags!$A$13:$B$95,2,FALSE)</f>
        <v>3</v>
      </c>
      <c r="B29" s="24">
        <f t="shared" si="2"/>
        <v>1923</v>
      </c>
      <c r="C29" s="25">
        <v>8705</v>
      </c>
      <c r="D29" s="26"/>
      <c r="E29" s="24"/>
      <c r="F29" s="26"/>
      <c r="G29" s="26"/>
      <c r="H29" s="26"/>
      <c r="I29" s="26"/>
      <c r="J29" s="26"/>
      <c r="K29" s="26"/>
      <c r="L29" s="24"/>
      <c r="M29" s="24"/>
      <c r="N29" s="26"/>
      <c r="O29" s="26"/>
      <c r="P29" s="26"/>
      <c r="Q29" s="26"/>
      <c r="R29" s="26"/>
      <c r="S29" s="26"/>
      <c r="T29" s="26"/>
      <c r="U29" s="26"/>
      <c r="V29" s="26"/>
      <c r="W29" s="26">
        <f>MAX($C$9-VLOOKUP($C29,COS!$B$8:$H$991,3,FALSE),0)</f>
        <v>95392.662109375</v>
      </c>
      <c r="X29" s="26">
        <f t="shared" si="31"/>
        <v>5865.4661660640504</v>
      </c>
      <c r="Y29" s="26">
        <f>VLOOKUP($C29,COS!$B$8:$H$991,4,FALSE)</f>
        <v>906.51263427734375</v>
      </c>
      <c r="Z29" s="26">
        <f t="shared" si="32"/>
        <v>55.739289248127584</v>
      </c>
      <c r="AA29" s="26">
        <f t="shared" si="33"/>
        <v>906.51263427734375</v>
      </c>
      <c r="AB29" s="33">
        <f t="shared" si="34"/>
        <v>55.739289248127584</v>
      </c>
      <c r="AC29" s="6"/>
      <c r="AD29" s="43">
        <v>1937</v>
      </c>
      <c r="AE29" s="1">
        <f>VLOOKUP(AD29,Flags!$A$13:$B$95,2,FALSE)</f>
        <v>4</v>
      </c>
      <c r="AF29" s="43">
        <f t="shared" si="6"/>
        <v>0</v>
      </c>
      <c r="AG29" s="43">
        <f t="shared" si="7"/>
        <v>644.85532843345459</v>
      </c>
      <c r="AH29" s="43">
        <f t="shared" si="8"/>
        <v>0</v>
      </c>
      <c r="AI29" s="43">
        <f t="shared" si="9"/>
        <v>22514.116536996382</v>
      </c>
      <c r="AJ29" s="43">
        <f t="shared" si="10"/>
        <v>104.74674873288998</v>
      </c>
      <c r="AK29" s="43">
        <f t="shared" si="1"/>
        <v>104.74674873288998</v>
      </c>
      <c r="AL29" s="43">
        <f t="shared" si="11"/>
        <v>0</v>
      </c>
      <c r="AN29" s="6">
        <v>120</v>
      </c>
      <c r="AO29">
        <f t="shared" si="26"/>
        <v>18</v>
      </c>
      <c r="AP29">
        <f t="shared" si="29"/>
        <v>216.23662179741976</v>
      </c>
    </row>
    <row r="30" spans="1:42" x14ac:dyDescent="0.3">
      <c r="A30" s="32">
        <f>VLOOKUP(YEAR(C30),Flags!$A$13:$B$95,2,FALSE)</f>
        <v>3</v>
      </c>
      <c r="B30" s="24">
        <f t="shared" si="2"/>
        <v>1923</v>
      </c>
      <c r="C30" s="25">
        <v>8735</v>
      </c>
      <c r="D30" s="26"/>
      <c r="E30" s="24"/>
      <c r="F30" s="26"/>
      <c r="G30" s="26"/>
      <c r="H30" s="26"/>
      <c r="I30" s="26"/>
      <c r="J30" s="26"/>
      <c r="K30" s="26"/>
      <c r="L30" s="24"/>
      <c r="M30" s="24"/>
      <c r="N30" s="26"/>
      <c r="O30" s="26"/>
      <c r="P30" s="26"/>
      <c r="Q30" s="26"/>
      <c r="R30" s="26"/>
      <c r="S30" s="26"/>
      <c r="T30" s="26"/>
      <c r="U30" s="26"/>
      <c r="V30" s="26"/>
      <c r="W30" s="26">
        <f>MAX($C$10-VLOOKUP($C30,COS!$B$8:$H$991,3,FALSE),0)</f>
        <v>94286.98779296875</v>
      </c>
      <c r="X30" s="26">
        <f t="shared" si="31"/>
        <v>5610.4653893336772</v>
      </c>
      <c r="Y30" s="26">
        <f>VLOOKUP($C30,COS!$B$8:$H$991,4,FALSE)</f>
        <v>1181.566162109375</v>
      </c>
      <c r="Z30" s="26">
        <f t="shared" si="32"/>
        <v>70.308069150309919</v>
      </c>
      <c r="AA30" s="26">
        <f t="shared" si="33"/>
        <v>1181.566162109375</v>
      </c>
      <c r="AB30" s="33">
        <f>AA30*DAY($C30)*86400/43560/1000*IF(MONTH($C30)=8,$P$3,IF(MONTH($C30)=9,$P$4,IF(MONTH($C30)=10,$P$5,IF(MONTH($C30)=11,$P$6,IF(MONTH($C30)=12,$P$7,NA())))))</f>
        <v>35.154034575154959</v>
      </c>
      <c r="AC30" s="6"/>
      <c r="AD30" s="43">
        <v>1938</v>
      </c>
      <c r="AE30" s="1">
        <f>VLOOKUP(AD30,Flags!$A$13:$B$95,2,FALSE)</f>
        <v>1</v>
      </c>
      <c r="AF30" s="43">
        <f t="shared" si="6"/>
        <v>467.85146435950412</v>
      </c>
      <c r="AG30" s="43">
        <f t="shared" si="7"/>
        <v>685.29858967426389</v>
      </c>
      <c r="AH30" s="43">
        <f t="shared" si="8"/>
        <v>0</v>
      </c>
      <c r="AI30" s="43">
        <f t="shared" si="9"/>
        <v>21785.538172778928</v>
      </c>
      <c r="AJ30" s="43">
        <f t="shared" si="10"/>
        <v>2.9732576581466295</v>
      </c>
      <c r="AK30" s="43">
        <f t="shared" si="1"/>
        <v>2.9732576581466295</v>
      </c>
      <c r="AL30" s="43">
        <f t="shared" si="11"/>
        <v>0</v>
      </c>
      <c r="AN30" s="6">
        <v>150</v>
      </c>
      <c r="AO30">
        <f t="shared" si="26"/>
        <v>16</v>
      </c>
      <c r="AP30">
        <f t="shared" si="29"/>
        <v>226.12110527574521</v>
      </c>
    </row>
    <row r="31" spans="1:42" x14ac:dyDescent="0.3">
      <c r="A31" s="34">
        <f>VLOOKUP(YEAR(C31),Flags!$A$13:$B$95,2,FALSE)</f>
        <v>3</v>
      </c>
      <c r="B31" s="35">
        <f t="shared" si="2"/>
        <v>1923</v>
      </c>
      <c r="C31" s="36">
        <v>8766</v>
      </c>
      <c r="D31" s="37"/>
      <c r="E31" s="35"/>
      <c r="F31" s="37"/>
      <c r="G31" s="37"/>
      <c r="H31" s="37"/>
      <c r="I31" s="37"/>
      <c r="J31" s="37"/>
      <c r="K31" s="37"/>
      <c r="L31" s="35"/>
      <c r="M31" s="35"/>
      <c r="N31" s="37"/>
      <c r="O31" s="37"/>
      <c r="P31" s="37"/>
      <c r="Q31" s="37"/>
      <c r="R31" s="37"/>
      <c r="S31" s="37"/>
      <c r="T31" s="37"/>
      <c r="U31" s="37"/>
      <c r="V31" s="37"/>
      <c r="W31" s="37">
        <f>MAX($C$11-VLOOKUP($C31,COS!$B$8:$H$991,3,FALSE),0)</f>
        <v>0</v>
      </c>
      <c r="X31" s="37">
        <f t="shared" si="31"/>
        <v>0</v>
      </c>
      <c r="Y31" s="37">
        <f>VLOOKUP($C31,COS!$B$8:$H$991,4,FALSE)</f>
        <v>1277.1646728515625</v>
      </c>
      <c r="Z31" s="37">
        <f t="shared" si="32"/>
        <v>78.529794760459708</v>
      </c>
      <c r="AA31" s="37">
        <f t="shared" si="33"/>
        <v>0</v>
      </c>
      <c r="AB31" s="38">
        <f t="shared" si="34"/>
        <v>0</v>
      </c>
      <c r="AC31" s="6"/>
      <c r="AD31" s="43">
        <v>1939</v>
      </c>
      <c r="AE31" s="1">
        <f>VLOOKUP(AD31,Flags!$A$13:$B$95,2,FALSE)</f>
        <v>3</v>
      </c>
      <c r="AF31" s="43">
        <f t="shared" si="6"/>
        <v>397.28989733987601</v>
      </c>
      <c r="AG31" s="43">
        <f t="shared" si="7"/>
        <v>676.80928974246194</v>
      </c>
      <c r="AH31" s="43">
        <f t="shared" si="8"/>
        <v>0</v>
      </c>
      <c r="AI31" s="43">
        <f t="shared" si="9"/>
        <v>22291.087903861051</v>
      </c>
      <c r="AJ31" s="43">
        <f t="shared" si="10"/>
        <v>623.40796705513947</v>
      </c>
      <c r="AK31" s="43">
        <f t="shared" si="1"/>
        <v>458.50778029764984</v>
      </c>
      <c r="AL31" s="43">
        <f t="shared" si="11"/>
        <v>0</v>
      </c>
      <c r="AN31" s="6">
        <v>180</v>
      </c>
      <c r="AO31">
        <f t="shared" si="26"/>
        <v>10</v>
      </c>
      <c r="AP31">
        <f t="shared" si="29"/>
        <v>262.63917559310028</v>
      </c>
    </row>
    <row r="32" spans="1:42" x14ac:dyDescent="0.3">
      <c r="A32" s="27">
        <f>VLOOKUP(YEAR(C32),Flags!$A$13:$B$95,2,FALSE)</f>
        <v>5</v>
      </c>
      <c r="B32" s="28">
        <f t="shared" si="2"/>
        <v>1924</v>
      </c>
      <c r="C32" s="29">
        <v>8887</v>
      </c>
      <c r="D32" s="30">
        <f>VLOOKUP($C32,COS!$B$8:$H$991,3,FALSE)</f>
        <v>5624.3779296875</v>
      </c>
      <c r="E32" s="28">
        <f>IF(D32&gt;=IF(MONTH($C32)=4,$C$3,IF(MONTH($C32)=5,$C$4,IF(MONTH($C32)=6,$C$5,IF(MONTH($C32)=7,$C$6,"ERROR")))),1,0)</f>
        <v>0</v>
      </c>
      <c r="F32" s="30">
        <f>VLOOKUP($C32,COS!$B$8:$H$991,7,FALSE)</f>
        <v>51.900558471679688</v>
      </c>
      <c r="G32" s="28">
        <f>IF(F32&lt;=IF(MONTH($C32)=4,$F$3,IF(MONTH($C32)=5,$F$4,IF(MONTH($C32)=6,$F$5,IF(MONTH($C32)=7,$F$6,"ERROR")))),1,0)</f>
        <v>1</v>
      </c>
      <c r="H32" s="30">
        <f>IF(J32=1,D32-$C$3,0)</f>
        <v>0</v>
      </c>
      <c r="I32" s="30">
        <f t="shared" si="17"/>
        <v>0</v>
      </c>
      <c r="J32" s="28">
        <f t="shared" ref="J32:J35" si="36">IF(AND(E32=1,G32=1),1,0)</f>
        <v>0</v>
      </c>
      <c r="K32" s="30">
        <f>VLOOKUP($C32,COS!$B$8:$H$991,2,FALSE)</f>
        <v>2500</v>
      </c>
      <c r="L32" s="28">
        <f t="shared" ref="L32" si="37">IF(K32&lt;=IF(MONTH($C32)=4,$I$3,IF(MONTH($C32)=5,$I$4,IF(MONTH($C32)=6,$I$5,IF(MONTH($C32)=7,$I$6,"ERROR")))),1,0)</f>
        <v>1</v>
      </c>
      <c r="M32" s="28">
        <f t="shared" ref="M32" si="38">VLOOKUP($A32,$L$3:$M$7,2,FALSE)</f>
        <v>1</v>
      </c>
      <c r="N32" s="30">
        <f>VLOOKUP($C32,COS!$B$8:$H$991,5,FALSE)</f>
        <v>202.00408935546875</v>
      </c>
      <c r="O32" s="30">
        <f t="shared" ref="O32:O35" si="39">N32*DAY($C32)*86400/43560/1000</f>
        <v>12.020078044292354</v>
      </c>
      <c r="P32" s="30">
        <f>VLOOKUP($C32,COS!$B$8:$H$991,6,FALSE)</f>
        <v>537.10101318359375</v>
      </c>
      <c r="Q32" s="30">
        <f t="shared" ref="Q32:Q35" si="40">P32*DAY($C32)*86400/43560/1000</f>
        <v>31.959729710098141</v>
      </c>
      <c r="R32" s="30">
        <f>MIN(IF(MONTH($C32)=4,$S$3,IF(MONTH($C32)=5,$S$4,IF(MONTH($C32)=6,$S$5,IF(MONTH($C32)=7,$S$6,"ERROR")))),MAX(VLOOKUP($C32,COS!$B$8:$K$991,10,FALSE)-IF(MONTH($C32)=4,$Y$3,IF(MONTH($C32)=5,$Y$4,IF(MONTH($C32)=6,$Y$5,IF(MONTH($C32)=7,$Y$6,"ERROR")))),0),MAX(VLOOKUP($C32,COS!$B$8:$K$991,9,FALSE)-IF(MONTH($C32)=4,$V$3,IF(MONTH($C32)=5,$V$4,IF(MONTH($C32)=6,$V$5,IF(MONTH($C32)=7,$V$6,"ERROR"))))-VLOOKUP($C32,COS!$B$8:$K$991,6,FALSE)/2,0))</f>
        <v>1411.9501953125</v>
      </c>
      <c r="S32" s="30">
        <f t="shared" ref="S32:S35" si="41">R32*DAY($C32)*86400/43560/1000</f>
        <v>84.016871126033067</v>
      </c>
      <c r="T32" s="30">
        <f t="shared" ref="T32:T35" si="42">(O32+Q32)/2+S32</f>
        <v>106.00677500322831</v>
      </c>
      <c r="U32" s="30" t="str">
        <f>IF(VLOOKUP($C32,COS!$B$8:$I$991,8,FALSE)=1,"UWFE","IBU")</f>
        <v>IBU</v>
      </c>
      <c r="V32" s="30">
        <f t="shared" ref="V32" si="43">MIN(IF(IF($AA$3=2,AND(E32=1,G32=1,L32=1,L37=1,M32=1,U32="IBU"),AND(E32=1,G32=1,L32=1,L37=1,M32=1)),T32,0),I32)</f>
        <v>0</v>
      </c>
      <c r="W32" s="30"/>
      <c r="X32" s="30"/>
      <c r="Y32" s="30"/>
      <c r="Z32" s="30"/>
      <c r="AA32" s="30"/>
      <c r="AB32" s="31"/>
      <c r="AC32" s="6"/>
      <c r="AD32" s="43">
        <v>1940</v>
      </c>
      <c r="AE32" s="1">
        <f>VLOOKUP(AD32,Flags!$A$13:$B$95,2,FALSE)</f>
        <v>2</v>
      </c>
      <c r="AF32" s="43">
        <f t="shared" si="6"/>
        <v>229.39817858987604</v>
      </c>
      <c r="AG32" s="43">
        <f t="shared" si="7"/>
        <v>663.77439249338204</v>
      </c>
      <c r="AH32" s="43">
        <f t="shared" si="8"/>
        <v>0</v>
      </c>
      <c r="AI32" s="43">
        <f t="shared" si="9"/>
        <v>22070.347577479341</v>
      </c>
      <c r="AJ32" s="43">
        <f t="shared" si="10"/>
        <v>129.20468558319345</v>
      </c>
      <c r="AK32" s="43">
        <f t="shared" si="1"/>
        <v>96.313467785543651</v>
      </c>
      <c r="AL32" s="43">
        <f t="shared" si="11"/>
        <v>0</v>
      </c>
      <c r="AN32" s="6">
        <v>210</v>
      </c>
      <c r="AO32">
        <f t="shared" si="26"/>
        <v>7</v>
      </c>
      <c r="AP32">
        <f t="shared" si="29"/>
        <v>293.26882086635618</v>
      </c>
    </row>
    <row r="33" spans="1:42" x14ac:dyDescent="0.3">
      <c r="A33" s="32">
        <f>VLOOKUP(YEAR(C33),Flags!$A$13:$B$95,2,FALSE)</f>
        <v>5</v>
      </c>
      <c r="B33" s="24">
        <f t="shared" si="2"/>
        <v>1924</v>
      </c>
      <c r="C33" s="25">
        <v>8918</v>
      </c>
      <c r="D33" s="26">
        <f>VLOOKUP($C33,COS!$B$8:$H$991,3,FALSE)</f>
        <v>8620.7529296875</v>
      </c>
      <c r="E33" s="24">
        <f>IF(D33&gt;=IF(MONTH($C33)=4,$C$3,IF(MONTH($C33)=5,$C$4,IF(MONTH($C33)=6,$C$5,IF(MONTH($C33)=7,$C$6,"ERROR")))),1,0)</f>
        <v>1</v>
      </c>
      <c r="F33" s="26">
        <f>VLOOKUP($C33,COS!$B$8:$H$991,7,FALSE)</f>
        <v>55.089752197265625</v>
      </c>
      <c r="G33" s="24">
        <f>IF(F33&lt;=IF(MONTH($C33)=4,$F$3,IF(MONTH($C33)=5,$F$4,IF(MONTH($C33)=6,$F$5,IF(MONTH($C33)=7,$F$6,"ERROR")))),1,0)</f>
        <v>1</v>
      </c>
      <c r="H33" s="26">
        <f>IF(J33=1,D33-$C$4,0)</f>
        <v>2620.7529296875</v>
      </c>
      <c r="I33" s="26">
        <f t="shared" si="17"/>
        <v>161.14381650309917</v>
      </c>
      <c r="J33" s="24">
        <f t="shared" si="36"/>
        <v>1</v>
      </c>
      <c r="K33" s="26">
        <f>VLOOKUP($C33,COS!$B$8:$H$991,2,FALSE)</f>
        <v>2135.375732421875</v>
      </c>
      <c r="L33" s="24">
        <f t="shared" si="19"/>
        <v>1</v>
      </c>
      <c r="M33" s="24">
        <f t="shared" si="20"/>
        <v>1</v>
      </c>
      <c r="N33" s="26">
        <f>VLOOKUP($C33,COS!$B$8:$H$991,5,FALSE)</f>
        <v>220.09066772460938</v>
      </c>
      <c r="O33" s="26">
        <f t="shared" si="39"/>
        <v>13.532847668356148</v>
      </c>
      <c r="P33" s="26">
        <f>VLOOKUP($C33,COS!$B$8:$H$991,6,FALSE)</f>
        <v>2324.4033203125</v>
      </c>
      <c r="Q33" s="26">
        <f t="shared" si="40"/>
        <v>142.92198928202478</v>
      </c>
      <c r="R33" s="26">
        <f>MIN(IF(MONTH($C33)=4,$S$3,IF(MONTH($C33)=5,$S$4,IF(MONTH($C33)=6,$S$5,IF(MONTH($C33)=7,$S$6,"ERROR")))),MAX(VLOOKUP($C33,COS!$B$8:$K$991,10,FALSE)-IF(MONTH($C33)=4,$Y$3,IF(MONTH($C33)=5,$Y$4,IF(MONTH($C33)=6,$Y$5,IF(MONTH($C33)=7,$Y$6,"ERROR")))),0),MAX(VLOOKUP($C33,COS!$B$8:$K$991,9,FALSE)-IF(MONTH($C33)=4,$V$3,IF(MONTH($C33)=5,$V$4,IF(MONTH($C33)=6,$V$5,IF(MONTH($C33)=7,$V$6,"ERROR"))))-VLOOKUP($C33,COS!$B$8:$K$991,6,FALSE)/2,0))</f>
        <v>1500</v>
      </c>
      <c r="S33" s="26">
        <f t="shared" si="41"/>
        <v>92.231404958677686</v>
      </c>
      <c r="T33" s="26">
        <f t="shared" si="42"/>
        <v>170.45882343386813</v>
      </c>
      <c r="U33" s="26" t="str">
        <f>IF(VLOOKUP($C33,COS!$B$8:$I$991,8,FALSE)=1,"UWFE","IBU")</f>
        <v>IBU</v>
      </c>
      <c r="V33" s="26">
        <f t="shared" ref="V33" si="44">MIN(IF(IF($AA$3=2,AND(E33=1,G33=1,L33=1,L37=1,M33=1,U33="IBU"),AND(E33=1,G33=1,L33=1,L37=1,M33=1)),T33,0),I33)</f>
        <v>161.14381650309917</v>
      </c>
      <c r="W33" s="26"/>
      <c r="X33" s="26"/>
      <c r="Y33" s="26"/>
      <c r="Z33" s="26"/>
      <c r="AA33" s="26"/>
      <c r="AB33" s="33"/>
      <c r="AC33" s="6"/>
      <c r="AD33" s="43">
        <v>1941</v>
      </c>
      <c r="AE33" s="1">
        <f>VLOOKUP(AD33,Flags!$A$13:$B$95,2,FALSE)</f>
        <v>1</v>
      </c>
      <c r="AF33" s="43">
        <f t="shared" si="6"/>
        <v>840.21232050619835</v>
      </c>
      <c r="AG33" s="43">
        <f t="shared" si="7"/>
        <v>667.11986649820619</v>
      </c>
      <c r="AH33" s="43">
        <f t="shared" si="8"/>
        <v>0</v>
      </c>
      <c r="AI33" s="43">
        <f t="shared" si="9"/>
        <v>21450.978354855375</v>
      </c>
      <c r="AJ33" s="43">
        <f t="shared" si="10"/>
        <v>62.00514242377163</v>
      </c>
      <c r="AK33" s="43">
        <f t="shared" si="1"/>
        <v>48.449239264874421</v>
      </c>
      <c r="AL33" s="43">
        <f t="shared" si="11"/>
        <v>0</v>
      </c>
      <c r="AN33" s="6">
        <v>240</v>
      </c>
      <c r="AO33">
        <f t="shared" si="26"/>
        <v>6</v>
      </c>
      <c r="AP33">
        <f t="shared" si="29"/>
        <v>302.6664805338205</v>
      </c>
    </row>
    <row r="34" spans="1:42" x14ac:dyDescent="0.3">
      <c r="A34" s="32">
        <f>VLOOKUP(YEAR(C34),Flags!$A$13:$B$95,2,FALSE)</f>
        <v>5</v>
      </c>
      <c r="B34" s="24">
        <f t="shared" si="2"/>
        <v>1924</v>
      </c>
      <c r="C34" s="25">
        <v>8948</v>
      </c>
      <c r="D34" s="26">
        <f>VLOOKUP($C34,COS!$B$8:$H$991,3,FALSE)</f>
        <v>8906.197265625</v>
      </c>
      <c r="E34" s="24">
        <f>IF(D34&gt;=IF(MONTH($C34)=4,$C$3,IF(MONTH($C34)=5,$C$4,IF(MONTH($C34)=6,$C$5,IF(MONTH($C34)=7,$C$6,"ERROR")))),1,0)</f>
        <v>0</v>
      </c>
      <c r="F34" s="26">
        <f>VLOOKUP($C34,COS!$B$8:$H$991,7,FALSE)</f>
        <v>56.186325073242188</v>
      </c>
      <c r="G34" s="24">
        <f>IF(F34&lt;=IF(MONTH($C34)=4,$F$3,IF(MONTH($C34)=5,$F$4,IF(MONTH($C34)=6,$F$5,IF(MONTH($C34)=7,$F$6,"ERROR")))),1,0)</f>
        <v>0</v>
      </c>
      <c r="H34" s="26">
        <f>IF(J34=1,D34-$C$5,0)</f>
        <v>0</v>
      </c>
      <c r="I34" s="26">
        <f t="shared" si="17"/>
        <v>0</v>
      </c>
      <c r="J34" s="24">
        <f t="shared" si="36"/>
        <v>0</v>
      </c>
      <c r="K34" s="26">
        <f>VLOOKUP($C34,COS!$B$8:$H$991,2,FALSE)</f>
        <v>1764.862060546875</v>
      </c>
      <c r="L34" s="24">
        <f t="shared" si="19"/>
        <v>1</v>
      </c>
      <c r="M34" s="24">
        <f t="shared" si="20"/>
        <v>1</v>
      </c>
      <c r="N34" s="26">
        <f>VLOOKUP($C34,COS!$B$8:$H$991,5,FALSE)</f>
        <v>251.78248596191406</v>
      </c>
      <c r="O34" s="26">
        <f t="shared" si="39"/>
        <v>14.982098338229596</v>
      </c>
      <c r="P34" s="26">
        <f>VLOOKUP($C34,COS!$B$8:$H$991,6,FALSE)</f>
        <v>2484.036376953125</v>
      </c>
      <c r="Q34" s="26">
        <f t="shared" si="40"/>
        <v>147.81042904183886</v>
      </c>
      <c r="R34" s="26">
        <f>MIN(IF(MONTH($C34)=4,$S$3,IF(MONTH($C34)=5,$S$4,IF(MONTH($C34)=6,$S$5,IF(MONTH($C34)=7,$S$6,"ERROR")))),MAX(VLOOKUP($C34,COS!$B$8:$K$991,10,FALSE)-IF(MONTH($C34)=4,$Y$3,IF(MONTH($C34)=5,$Y$4,IF(MONTH($C34)=6,$Y$5,IF(MONTH($C34)=7,$Y$6,"ERROR")))),0),MAX(VLOOKUP($C34,COS!$B$8:$K$991,9,FALSE)-IF(MONTH($C34)=4,$V$3,IF(MONTH($C34)=5,$V$4,IF(MONTH($C34)=6,$V$5,IF(MONTH($C34)=7,$V$6,"ERROR"))))-VLOOKUP($C34,COS!$B$8:$K$991,6,FALSE)/2,0))</f>
        <v>1500</v>
      </c>
      <c r="S34" s="26">
        <f t="shared" si="41"/>
        <v>89.256198347107429</v>
      </c>
      <c r="T34" s="26">
        <f t="shared" si="42"/>
        <v>170.65246203714167</v>
      </c>
      <c r="U34" s="26" t="str">
        <f>IF(VLOOKUP($C34,COS!$B$8:$I$991,8,FALSE)=1,"UWFE","IBU")</f>
        <v>IBU</v>
      </c>
      <c r="V34" s="26">
        <f t="shared" ref="V34" si="45">MIN(IF(IF($AA$3=2,AND(E34=1,G34=1,L34=1,L37=1,M34=1,U34="IBU"),AND(E34=1,G34=1,L34=1,L37=1,M34=1)),T34,0),I34)</f>
        <v>0</v>
      </c>
      <c r="W34" s="26"/>
      <c r="X34" s="26"/>
      <c r="Y34" s="26"/>
      <c r="Z34" s="26"/>
      <c r="AA34" s="26"/>
      <c r="AB34" s="33"/>
      <c r="AC34" s="6"/>
      <c r="AD34" s="43">
        <v>1942</v>
      </c>
      <c r="AE34" s="1">
        <f>VLOOKUP(AD34,Flags!$A$13:$B$95,2,FALSE)</f>
        <v>1</v>
      </c>
      <c r="AF34" s="43">
        <f t="shared" si="6"/>
        <v>277.68167936466938</v>
      </c>
      <c r="AG34" s="43">
        <f t="shared" si="7"/>
        <v>681.46334333435561</v>
      </c>
      <c r="AH34" s="43">
        <f t="shared" si="8"/>
        <v>0</v>
      </c>
      <c r="AI34" s="43">
        <f t="shared" si="9"/>
        <v>21514.893252195248</v>
      </c>
      <c r="AJ34" s="43">
        <f t="shared" si="10"/>
        <v>142.97065114927688</v>
      </c>
      <c r="AK34" s="43">
        <f t="shared" si="1"/>
        <v>106.14138857502583</v>
      </c>
      <c r="AL34" s="43">
        <f t="shared" si="11"/>
        <v>0</v>
      </c>
      <c r="AN34" s="6"/>
    </row>
    <row r="35" spans="1:42" x14ac:dyDescent="0.3">
      <c r="A35" s="32">
        <f>VLOOKUP(YEAR(C35),Flags!$A$13:$B$95,2,FALSE)</f>
        <v>5</v>
      </c>
      <c r="B35" s="24">
        <f t="shared" si="2"/>
        <v>1924</v>
      </c>
      <c r="C35" s="25">
        <v>8979</v>
      </c>
      <c r="D35" s="26">
        <f>VLOOKUP($C35,COS!$B$8:$H$991,3,FALSE)</f>
        <v>9371.8037109375</v>
      </c>
      <c r="E35" s="24">
        <f>IF(D35&gt;=IF(MONTH($C35)=4,$C$3,IF(MONTH($C35)=5,$C$4,IF(MONTH($C35)=6,$C$5,IF(MONTH($C35)=7,$C$6,"ERROR")))),1,0)</f>
        <v>0</v>
      </c>
      <c r="F35" s="26">
        <f>VLOOKUP($C35,COS!$B$8:$H$991,7,FALSE)</f>
        <v>55.104015350341797</v>
      </c>
      <c r="G35" s="24">
        <f>IF(F35&lt;=IF(MONTH($C35)=4,$F$3,IF(MONTH($C35)=5,$F$4,IF(MONTH($C35)=6,$F$5,IF(MONTH($C35)=7,$F$6,"ERROR")))),1,0)</f>
        <v>0</v>
      </c>
      <c r="H35" s="26">
        <f>IF(J35=1,D35-$C$6,0)</f>
        <v>0</v>
      </c>
      <c r="I35" s="26">
        <f t="shared" si="17"/>
        <v>0</v>
      </c>
      <c r="J35" s="24">
        <f t="shared" si="36"/>
        <v>0</v>
      </c>
      <c r="K35" s="26">
        <f>VLOOKUP($C35,COS!$B$8:$H$991,2,FALSE)</f>
        <v>1413.5540771484375</v>
      </c>
      <c r="L35" s="24">
        <f t="shared" si="19"/>
        <v>1</v>
      </c>
      <c r="M35" s="24">
        <f t="shared" si="20"/>
        <v>1</v>
      </c>
      <c r="N35" s="26">
        <f>VLOOKUP($C35,COS!$B$8:$H$991,5,FALSE)</f>
        <v>274.10446166992188</v>
      </c>
      <c r="O35" s="26">
        <f t="shared" si="39"/>
        <v>16.854026403505941</v>
      </c>
      <c r="P35" s="26">
        <f>VLOOKUP($C35,COS!$B$8:$H$991,6,FALSE)</f>
        <v>2281.4833984375</v>
      </c>
      <c r="Q35" s="26">
        <f t="shared" si="40"/>
        <v>140.28294615185951</v>
      </c>
      <c r="R35" s="26">
        <f>MIN(IF(MONTH($C35)=4,$S$3,IF(MONTH($C35)=5,$S$4,IF(MONTH($C35)=6,$S$5,IF(MONTH($C35)=7,$S$6,"ERROR")))),MAX(VLOOKUP($C35,COS!$B$8:$K$991,10,FALSE)-IF(MONTH($C35)=4,$Y$3,IF(MONTH($C35)=5,$Y$4,IF(MONTH($C35)=6,$Y$5,IF(MONTH($C35)=7,$Y$6,"ERROR")))),0),MAX(VLOOKUP($C35,COS!$B$8:$K$991,9,FALSE)-IF(MONTH($C35)=4,$V$3,IF(MONTH($C35)=5,$V$4,IF(MONTH($C35)=6,$V$5,IF(MONTH($C35)=7,$V$6,"ERROR"))))-VLOOKUP($C35,COS!$B$8:$K$991,6,FALSE)/2,0))</f>
        <v>1500</v>
      </c>
      <c r="S35" s="26">
        <f t="shared" si="41"/>
        <v>92.231404958677686</v>
      </c>
      <c r="T35" s="26">
        <f t="shared" si="42"/>
        <v>170.79989123636039</v>
      </c>
      <c r="U35" s="26" t="str">
        <f>IF(VLOOKUP($C35,COS!$B$8:$I$991,8,FALSE)=1,"UWFE","IBU")</f>
        <v>IBU</v>
      </c>
      <c r="V35" s="26">
        <f t="shared" ref="V35" si="46">MIN(IF(IF($AA$3=2,AND(E35=1,G35=1,L35=1,L37=1,M35=1,U35="IBU"),AND(E35=1,G35=1,L35=1,L37=1,M35=1)),T35,0),I35)</f>
        <v>0</v>
      </c>
      <c r="W35" s="26"/>
      <c r="X35" s="26"/>
      <c r="Y35" s="26"/>
      <c r="Z35" s="26"/>
      <c r="AA35" s="26"/>
      <c r="AB35" s="33"/>
      <c r="AC35" s="6"/>
      <c r="AD35" s="43">
        <v>1943</v>
      </c>
      <c r="AE35" s="1">
        <f>VLOOKUP(AD35,Flags!$A$13:$B$95,2,FALSE)</f>
        <v>1</v>
      </c>
      <c r="AF35" s="43">
        <f t="shared" si="6"/>
        <v>317.65369544163224</v>
      </c>
      <c r="AG35" s="43">
        <f t="shared" si="7"/>
        <v>677.93526625451966</v>
      </c>
      <c r="AH35" s="43">
        <f t="shared" si="8"/>
        <v>0</v>
      </c>
      <c r="AI35" s="43">
        <f t="shared" si="9"/>
        <v>21355.303961776859</v>
      </c>
      <c r="AJ35" s="43">
        <f t="shared" si="10"/>
        <v>283.83824287855919</v>
      </c>
      <c r="AK35" s="43">
        <f t="shared" si="1"/>
        <v>197.60666820683753</v>
      </c>
      <c r="AL35" s="43">
        <f t="shared" si="11"/>
        <v>0</v>
      </c>
    </row>
    <row r="36" spans="1:42" x14ac:dyDescent="0.3">
      <c r="A36" s="32">
        <f>VLOOKUP(YEAR(C36),Flags!$A$13:$B$95,2,FALSE)</f>
        <v>5</v>
      </c>
      <c r="B36" s="24">
        <f t="shared" si="2"/>
        <v>1924</v>
      </c>
      <c r="C36" s="25">
        <v>9010</v>
      </c>
      <c r="D36" s="26"/>
      <c r="E36" s="24"/>
      <c r="F36" s="26"/>
      <c r="G36" s="24"/>
      <c r="H36" s="24"/>
      <c r="I36" s="26"/>
      <c r="J36" s="24"/>
      <c r="K36" s="26"/>
      <c r="L36" s="24"/>
      <c r="M36" s="24"/>
      <c r="N36" s="26"/>
      <c r="O36" s="26"/>
      <c r="P36" s="26"/>
      <c r="Q36" s="26"/>
      <c r="R36" s="26"/>
      <c r="S36" s="26"/>
      <c r="T36" s="26"/>
      <c r="U36" s="26"/>
      <c r="V36" s="26"/>
      <c r="W36" s="26">
        <f>MAX($C$7-VLOOKUP($C36,COS!$B$8:$H$991,3,FALSE),0)</f>
        <v>91864.53125</v>
      </c>
      <c r="X36" s="26">
        <f t="shared" si="31"/>
        <v>5648.5298553719012</v>
      </c>
      <c r="Y36" s="26">
        <f>VLOOKUP($C36,COS!$B$8:$H$991,4,FALSE)</f>
        <v>3013.011474609375</v>
      </c>
      <c r="Z36" s="26">
        <f t="shared" si="32"/>
        <v>185.26285430655992</v>
      </c>
      <c r="AA36" s="26">
        <f t="shared" ref="AA36:AA40" si="47">MIN(W36,Y36)</f>
        <v>3013.011474609375</v>
      </c>
      <c r="AB36" s="33">
        <f t="shared" ref="AB36" si="48">AA36*DAY($C36)*86400/43560/1000*IF(MONTH($C36)=8,$P$3,IF(MONTH($C36)=9,$P$4,IF(MONTH($C36)=10,$P$5,IF(MONTH($C36)=11,$P$6,IF(MONTH($C36)=12,$P$7,NA())))))</f>
        <v>185.26285430655992</v>
      </c>
      <c r="AC36" s="6"/>
      <c r="AD36" s="43">
        <v>1944</v>
      </c>
      <c r="AE36" s="1">
        <f>VLOOKUP(AD36,Flags!$A$13:$B$95,2,FALSE)</f>
        <v>4</v>
      </c>
      <c r="AF36" s="43">
        <f t="shared" si="6"/>
        <v>0</v>
      </c>
      <c r="AG36" s="43">
        <f t="shared" si="7"/>
        <v>536.4356380027582</v>
      </c>
      <c r="AH36" s="43">
        <f t="shared" si="8"/>
        <v>0</v>
      </c>
      <c r="AI36" s="43">
        <f t="shared" si="9"/>
        <v>22830.62372707903</v>
      </c>
      <c r="AJ36" s="43">
        <f t="shared" si="10"/>
        <v>425.35607502582639</v>
      </c>
      <c r="AK36" s="43">
        <f t="shared" si="1"/>
        <v>270.94423537577478</v>
      </c>
      <c r="AL36" s="43">
        <f t="shared" si="11"/>
        <v>0</v>
      </c>
    </row>
    <row r="37" spans="1:42" x14ac:dyDescent="0.3">
      <c r="A37" s="32">
        <f>VLOOKUP(YEAR(C37),Flags!$A$13:$B$95,2,FALSE)</f>
        <v>5</v>
      </c>
      <c r="B37" s="24">
        <f t="shared" si="2"/>
        <v>1924</v>
      </c>
      <c r="C37" s="25">
        <v>9040</v>
      </c>
      <c r="D37" s="26"/>
      <c r="E37" s="24"/>
      <c r="F37" s="26"/>
      <c r="G37" s="24"/>
      <c r="H37" s="24"/>
      <c r="I37" s="26"/>
      <c r="J37" s="24"/>
      <c r="K37" s="26">
        <f>VLOOKUP($C37,COS!$B$8:$H$991,2,FALSE)</f>
        <v>953.81658935546875</v>
      </c>
      <c r="L37" s="24">
        <f t="shared" ref="L37" si="49">IF(AND(K37&gt;$I$7,K37&lt;$I$8),1,0)</f>
        <v>1</v>
      </c>
      <c r="M37" s="24"/>
      <c r="N37" s="26"/>
      <c r="O37" s="26"/>
      <c r="P37" s="26"/>
      <c r="Q37" s="26"/>
      <c r="R37" s="26"/>
      <c r="S37" s="26"/>
      <c r="T37" s="26"/>
      <c r="U37" s="26"/>
      <c r="V37" s="26"/>
      <c r="W37" s="26">
        <f>MAX($C$8-VLOOKUP($C37,COS!$B$8:$H$991,3,FALSE),0)</f>
        <v>93796.91650390625</v>
      </c>
      <c r="X37" s="26">
        <f t="shared" si="31"/>
        <v>5581.3041225464876</v>
      </c>
      <c r="Y37" s="26">
        <f>VLOOKUP($C37,COS!$B$8:$H$991,4,FALSE)</f>
        <v>1832.2586669921875</v>
      </c>
      <c r="Z37" s="26">
        <f t="shared" si="32"/>
        <v>109.02696200284092</v>
      </c>
      <c r="AA37" s="26">
        <f t="shared" si="47"/>
        <v>1832.2586669921875</v>
      </c>
      <c r="AB37" s="33">
        <f t="shared" si="34"/>
        <v>109.02696200284092</v>
      </c>
      <c r="AC37" s="6"/>
      <c r="AD37" s="43">
        <v>1945</v>
      </c>
      <c r="AE37" s="1">
        <f>VLOOKUP(AD37,Flags!$A$13:$B$95,2,FALSE)</f>
        <v>3</v>
      </c>
      <c r="AF37" s="43">
        <f t="shared" si="6"/>
        <v>114.73130423553718</v>
      </c>
      <c r="AG37" s="43">
        <f t="shared" si="7"/>
        <v>638.10357915200473</v>
      </c>
      <c r="AH37" s="43">
        <f t="shared" si="8"/>
        <v>0</v>
      </c>
      <c r="AI37" s="43">
        <f t="shared" si="9"/>
        <v>22557.930937500001</v>
      </c>
      <c r="AJ37" s="43">
        <f t="shared" si="10"/>
        <v>122.39421326188017</v>
      </c>
      <c r="AK37" s="43">
        <f t="shared" si="1"/>
        <v>101.6310337035124</v>
      </c>
      <c r="AL37" s="43">
        <f t="shared" si="11"/>
        <v>0</v>
      </c>
    </row>
    <row r="38" spans="1:42" x14ac:dyDescent="0.3">
      <c r="A38" s="32">
        <f>VLOOKUP(YEAR(C38),Flags!$A$13:$B$95,2,FALSE)</f>
        <v>5</v>
      </c>
      <c r="B38" s="24">
        <f t="shared" si="2"/>
        <v>1924</v>
      </c>
      <c r="C38" s="25">
        <v>9071</v>
      </c>
      <c r="D38" s="26"/>
      <c r="E38" s="24"/>
      <c r="F38" s="26"/>
      <c r="G38" s="26"/>
      <c r="H38" s="26"/>
      <c r="I38" s="26"/>
      <c r="J38" s="26"/>
      <c r="K38" s="26"/>
      <c r="L38" s="24"/>
      <c r="M38" s="24"/>
      <c r="N38" s="26"/>
      <c r="O38" s="26"/>
      <c r="P38" s="26"/>
      <c r="Q38" s="26"/>
      <c r="R38" s="26"/>
      <c r="S38" s="26"/>
      <c r="T38" s="26"/>
      <c r="U38" s="26"/>
      <c r="V38" s="26"/>
      <c r="W38" s="26">
        <f>MAX($C$9-VLOOKUP($C38,COS!$B$8:$H$991,3,FALSE),0)</f>
        <v>95975.56103515625</v>
      </c>
      <c r="X38" s="26">
        <f t="shared" si="31"/>
        <v>5901.3072239798548</v>
      </c>
      <c r="Y38" s="26">
        <f>VLOOKUP($C38,COS!$B$8:$H$991,4,FALSE)</f>
        <v>661.1058349609375</v>
      </c>
      <c r="Z38" s="26">
        <f t="shared" si="32"/>
        <v>40.649813323217977</v>
      </c>
      <c r="AA38" s="26">
        <f t="shared" si="47"/>
        <v>661.1058349609375</v>
      </c>
      <c r="AB38" s="33">
        <f t="shared" si="34"/>
        <v>40.649813323217977</v>
      </c>
      <c r="AC38" s="6"/>
      <c r="AD38" s="43">
        <v>1946</v>
      </c>
      <c r="AE38" s="1">
        <f>VLOOKUP(AD38,Flags!$A$13:$B$95,2,FALSE)</f>
        <v>2</v>
      </c>
      <c r="AF38" s="43">
        <f t="shared" si="6"/>
        <v>407.88433400051656</v>
      </c>
      <c r="AG38" s="43">
        <f t="shared" si="7"/>
        <v>703.64850392239146</v>
      </c>
      <c r="AH38" s="43">
        <f t="shared" si="8"/>
        <v>0</v>
      </c>
      <c r="AI38" s="43">
        <f t="shared" si="9"/>
        <v>21810.774801136362</v>
      </c>
      <c r="AJ38" s="43">
        <f t="shared" si="10"/>
        <v>168.4989415192407</v>
      </c>
      <c r="AK38" s="43">
        <f t="shared" si="1"/>
        <v>119.56327923230889</v>
      </c>
      <c r="AL38" s="43">
        <f t="shared" si="11"/>
        <v>0</v>
      </c>
    </row>
    <row r="39" spans="1:42" x14ac:dyDescent="0.3">
      <c r="A39" s="32">
        <f>VLOOKUP(YEAR(C39),Flags!$A$13:$B$95,2,FALSE)</f>
        <v>5</v>
      </c>
      <c r="B39" s="24">
        <f t="shared" si="2"/>
        <v>1924</v>
      </c>
      <c r="C39" s="25">
        <v>9101</v>
      </c>
      <c r="D39" s="26"/>
      <c r="E39" s="24"/>
      <c r="F39" s="26"/>
      <c r="G39" s="26"/>
      <c r="H39" s="26"/>
      <c r="I39" s="26"/>
      <c r="J39" s="26"/>
      <c r="K39" s="26"/>
      <c r="L39" s="24"/>
      <c r="M39" s="24"/>
      <c r="N39" s="26"/>
      <c r="O39" s="26"/>
      <c r="P39" s="26"/>
      <c r="Q39" s="26"/>
      <c r="R39" s="26"/>
      <c r="S39" s="26"/>
      <c r="T39" s="26"/>
      <c r="U39" s="26"/>
      <c r="V39" s="26"/>
      <c r="W39" s="26">
        <f>MAX($C$10-VLOOKUP($C39,COS!$B$8:$H$991,3,FALSE),0)</f>
        <v>96749</v>
      </c>
      <c r="X39" s="26">
        <f t="shared" si="31"/>
        <v>5756.965289256198</v>
      </c>
      <c r="Y39" s="26">
        <f>VLOOKUP($C39,COS!$B$8:$H$991,4,FALSE)</f>
        <v>1030.6826171875</v>
      </c>
      <c r="Z39" s="26">
        <f t="shared" si="32"/>
        <v>61.329874741735537</v>
      </c>
      <c r="AA39" s="26">
        <f t="shared" si="47"/>
        <v>1030.6826171875</v>
      </c>
      <c r="AB39" s="33">
        <f t="shared" si="34"/>
        <v>30.664937370867769</v>
      </c>
      <c r="AC39" s="6"/>
      <c r="AD39" s="43">
        <v>1947</v>
      </c>
      <c r="AE39" s="1">
        <f>VLOOKUP(AD39,Flags!$A$13:$B$95,2,FALSE)</f>
        <v>4</v>
      </c>
      <c r="AF39" s="43">
        <f t="shared" si="6"/>
        <v>277.55906249999998</v>
      </c>
      <c r="AG39" s="43">
        <f t="shared" si="7"/>
        <v>637.84218946724877</v>
      </c>
      <c r="AH39" s="43">
        <f t="shared" si="8"/>
        <v>277.55906249999998</v>
      </c>
      <c r="AI39" s="43">
        <f t="shared" si="9"/>
        <v>22894.272137138429</v>
      </c>
      <c r="AJ39" s="43">
        <f t="shared" si="10"/>
        <v>397.17103701252586</v>
      </c>
      <c r="AK39" s="43">
        <f t="shared" si="1"/>
        <v>267.69855565599175</v>
      </c>
      <c r="AL39" s="43">
        <f t="shared" si="11"/>
        <v>267.69855565599175</v>
      </c>
    </row>
    <row r="40" spans="1:42" x14ac:dyDescent="0.3">
      <c r="A40" s="34">
        <f>VLOOKUP(YEAR(C40),Flags!$A$13:$B$95,2,FALSE)</f>
        <v>5</v>
      </c>
      <c r="B40" s="35">
        <f t="shared" si="2"/>
        <v>1924</v>
      </c>
      <c r="C40" s="36">
        <v>9132</v>
      </c>
      <c r="D40" s="37"/>
      <c r="E40" s="35"/>
      <c r="F40" s="37"/>
      <c r="G40" s="37"/>
      <c r="H40" s="37"/>
      <c r="I40" s="37"/>
      <c r="J40" s="37"/>
      <c r="K40" s="37"/>
      <c r="L40" s="35"/>
      <c r="M40" s="35"/>
      <c r="N40" s="37"/>
      <c r="O40" s="37"/>
      <c r="P40" s="37"/>
      <c r="Q40" s="37"/>
      <c r="R40" s="37"/>
      <c r="S40" s="37"/>
      <c r="T40" s="37"/>
      <c r="U40" s="37"/>
      <c r="V40" s="37"/>
      <c r="W40" s="37">
        <f>MAX($C$11-VLOOKUP($C40,COS!$B$8:$H$991,3,FALSE),0)</f>
        <v>0</v>
      </c>
      <c r="X40" s="37">
        <f t="shared" si="31"/>
        <v>0</v>
      </c>
      <c r="Y40" s="37">
        <f>VLOOKUP($C40,COS!$B$8:$H$991,4,FALSE)</f>
        <v>3291.532958984375</v>
      </c>
      <c r="Z40" s="37">
        <f t="shared" si="32"/>
        <v>202.38847284994836</v>
      </c>
      <c r="AA40" s="37">
        <f t="shared" si="47"/>
        <v>0</v>
      </c>
      <c r="AB40" s="38">
        <f t="shared" si="34"/>
        <v>0</v>
      </c>
      <c r="AC40" s="6"/>
      <c r="AD40" s="43">
        <v>1948</v>
      </c>
      <c r="AE40" s="1">
        <f>VLOOKUP(AD40,Flags!$A$13:$B$95,2,FALSE)</f>
        <v>3</v>
      </c>
      <c r="AF40" s="43">
        <f t="shared" si="6"/>
        <v>208.57675878099175</v>
      </c>
      <c r="AG40" s="43">
        <f t="shared" si="7"/>
        <v>636.59657708538452</v>
      </c>
      <c r="AH40" s="43">
        <f t="shared" si="8"/>
        <v>0</v>
      </c>
      <c r="AI40" s="43">
        <f t="shared" si="9"/>
        <v>22611.16150277634</v>
      </c>
      <c r="AJ40" s="43">
        <f t="shared" si="10"/>
        <v>206.49819967474818</v>
      </c>
      <c r="AK40" s="43">
        <f t="shared" si="1"/>
        <v>88.672343043808098</v>
      </c>
      <c r="AL40" s="43">
        <f t="shared" si="11"/>
        <v>0</v>
      </c>
    </row>
    <row r="41" spans="1:42" x14ac:dyDescent="0.3">
      <c r="A41" s="27">
        <f>VLOOKUP(YEAR(C41),Flags!$A$13:$B$95,2,FALSE)</f>
        <v>4</v>
      </c>
      <c r="B41" s="28">
        <f t="shared" si="2"/>
        <v>1925</v>
      </c>
      <c r="C41" s="29">
        <v>9252</v>
      </c>
      <c r="D41" s="30">
        <f>VLOOKUP($C41,COS!$B$8:$H$991,3,FALSE)</f>
        <v>3250</v>
      </c>
      <c r="E41" s="28">
        <f>IF(D41&gt;=IF(MONTH($C41)=4,$C$3,IF(MONTH($C41)=5,$C$4,IF(MONTH($C41)=6,$C$5,IF(MONTH($C41)=7,$C$6,"ERROR")))),1,0)</f>
        <v>0</v>
      </c>
      <c r="F41" s="30">
        <f>VLOOKUP($C41,COS!$B$8:$H$991,7,FALSE)</f>
        <v>49.611015319824219</v>
      </c>
      <c r="G41" s="28">
        <f>IF(F41&lt;=IF(MONTH($C41)=4,$F$3,IF(MONTH($C41)=5,$F$4,IF(MONTH($C41)=6,$F$5,IF(MONTH($C41)=7,$F$6,"ERROR")))),1,0)</f>
        <v>1</v>
      </c>
      <c r="H41" s="30">
        <f>IF(J41=1,D41-$C$3,0)</f>
        <v>0</v>
      </c>
      <c r="I41" s="30">
        <f t="shared" si="17"/>
        <v>0</v>
      </c>
      <c r="J41" s="28">
        <f t="shared" ref="J41:J44" si="50">IF(AND(E41=1,G41=1),1,0)</f>
        <v>0</v>
      </c>
      <c r="K41" s="30">
        <f>VLOOKUP($C41,COS!$B$8:$H$991,2,FALSE)</f>
        <v>4202.82470703125</v>
      </c>
      <c r="L41" s="28">
        <f t="shared" ref="L41" si="51">IF(K41&lt;=IF(MONTH($C41)=4,$I$3,IF(MONTH($C41)=5,$I$4,IF(MONTH($C41)=6,$I$5,IF(MONTH($C41)=7,$I$6,"ERROR")))),1,0)</f>
        <v>1</v>
      </c>
      <c r="M41" s="28">
        <f t="shared" ref="M41" si="52">VLOOKUP($A41,$L$3:$M$7,2,FALSE)</f>
        <v>1</v>
      </c>
      <c r="N41" s="30">
        <f>VLOOKUP($C41,COS!$B$8:$H$991,5,FALSE)</f>
        <v>154.96903991699219</v>
      </c>
      <c r="O41" s="30">
        <f t="shared" ref="O41:O44" si="53">N41*DAY($C41)*86400/43560/1000</f>
        <v>9.2212982429945765</v>
      </c>
      <c r="P41" s="30">
        <f>VLOOKUP($C41,COS!$B$8:$H$991,6,FALSE)</f>
        <v>375.54595947265625</v>
      </c>
      <c r="Q41" s="30">
        <f t="shared" ref="Q41:Q44" si="54">P41*DAY($C41)*86400/43560/1000</f>
        <v>22.346536431430785</v>
      </c>
      <c r="R41" s="30">
        <f>MIN(IF(MONTH($C41)=4,$S$3,IF(MONTH($C41)=5,$S$4,IF(MONTH($C41)=6,$S$5,IF(MONTH($C41)=7,$S$6,"ERROR")))),MAX(VLOOKUP($C41,COS!$B$8:$K$991,10,FALSE)-IF(MONTH($C41)=4,$Y$3,IF(MONTH($C41)=5,$Y$4,IF(MONTH($C41)=6,$Y$5,IF(MONTH($C41)=7,$Y$6,"ERROR")))),0),MAX(VLOOKUP($C41,COS!$B$8:$K$991,9,FALSE)-IF(MONTH($C41)=4,$V$3,IF(MONTH($C41)=5,$V$4,IF(MONTH($C41)=6,$V$5,IF(MONTH($C41)=7,$V$6,"ERROR"))))-VLOOKUP($C41,COS!$B$8:$K$991,6,FALSE)/2,0))</f>
        <v>1500</v>
      </c>
      <c r="S41" s="30">
        <f t="shared" ref="S41:S44" si="55">R41*DAY($C41)*86400/43560/1000</f>
        <v>89.256198347107429</v>
      </c>
      <c r="T41" s="30">
        <f t="shared" ref="T41:T44" si="56">(O41+Q41)/2+S41</f>
        <v>105.04011568432011</v>
      </c>
      <c r="U41" s="30" t="str">
        <f>IF(VLOOKUP($C41,COS!$B$8:$I$991,8,FALSE)=1,"UWFE","IBU")</f>
        <v>UWFE</v>
      </c>
      <c r="V41" s="30">
        <f t="shared" ref="V41" si="57">MIN(IF(IF($AA$3=2,AND(E41=1,G41=1,L41=1,L46=1,M41=1,U41="IBU"),AND(E41=1,G41=1,L41=1,L46=1,M41=1)),T41,0),I41)</f>
        <v>0</v>
      </c>
      <c r="W41" s="30"/>
      <c r="X41" s="30"/>
      <c r="Y41" s="30"/>
      <c r="Z41" s="30"/>
      <c r="AA41" s="30"/>
      <c r="AB41" s="31"/>
      <c r="AC41" s="6"/>
      <c r="AD41" s="43">
        <v>1949</v>
      </c>
      <c r="AE41" s="1">
        <f>VLOOKUP(AD41,Flags!$A$13:$B$95,2,FALSE)</f>
        <v>4</v>
      </c>
      <c r="AF41" s="43">
        <f t="shared" si="6"/>
        <v>193.31074993543388</v>
      </c>
      <c r="AG41" s="43">
        <f t="shared" si="7"/>
        <v>668.08874654974829</v>
      </c>
      <c r="AH41" s="43">
        <f t="shared" si="8"/>
        <v>156.38789449896694</v>
      </c>
      <c r="AI41" s="43">
        <f t="shared" si="9"/>
        <v>22604.710092652374</v>
      </c>
      <c r="AJ41" s="43">
        <f t="shared" si="10"/>
        <v>433.91744003422002</v>
      </c>
      <c r="AK41" s="43">
        <f t="shared" si="1"/>
        <v>315.70640600787704</v>
      </c>
      <c r="AL41" s="43">
        <f t="shared" si="11"/>
        <v>156.38789449896694</v>
      </c>
    </row>
    <row r="42" spans="1:42" x14ac:dyDescent="0.3">
      <c r="A42" s="32">
        <f>VLOOKUP(YEAR(C42),Flags!$A$13:$B$95,2,FALSE)</f>
        <v>4</v>
      </c>
      <c r="B42" s="24">
        <f t="shared" si="2"/>
        <v>1925</v>
      </c>
      <c r="C42" s="25">
        <v>9283</v>
      </c>
      <c r="D42" s="26">
        <f>VLOOKUP($C42,COS!$B$8:$H$991,3,FALSE)</f>
        <v>6016.6982421875</v>
      </c>
      <c r="E42" s="24">
        <f>IF(D42&gt;=IF(MONTH($C42)=4,$C$3,IF(MONTH($C42)=5,$C$4,IF(MONTH($C42)=6,$C$5,IF(MONTH($C42)=7,$C$6,"ERROR")))),1,0)</f>
        <v>1</v>
      </c>
      <c r="F42" s="26">
        <f>VLOOKUP($C42,COS!$B$8:$H$991,7,FALSE)</f>
        <v>50.364429473876953</v>
      </c>
      <c r="G42" s="24">
        <f>IF(F42&lt;=IF(MONTH($C42)=4,$F$3,IF(MONTH($C42)=5,$F$4,IF(MONTH($C42)=6,$F$5,IF(MONTH($C42)=7,$F$6,"ERROR")))),1,0)</f>
        <v>1</v>
      </c>
      <c r="H42" s="26">
        <f>IF(J42=1,D42-$C$4,0)</f>
        <v>16.6982421875</v>
      </c>
      <c r="I42" s="26">
        <f t="shared" si="17"/>
        <v>1.0267348915289256</v>
      </c>
      <c r="J42" s="24">
        <f t="shared" si="50"/>
        <v>1</v>
      </c>
      <c r="K42" s="26">
        <f>VLOOKUP($C42,COS!$B$8:$H$991,2,FALSE)</f>
        <v>4282.16650390625</v>
      </c>
      <c r="L42" s="24">
        <f t="shared" si="19"/>
        <v>1</v>
      </c>
      <c r="M42" s="24">
        <f t="shared" si="20"/>
        <v>1</v>
      </c>
      <c r="N42" s="26">
        <f>VLOOKUP($C42,COS!$B$8:$H$991,5,FALSE)</f>
        <v>377.79129028320313</v>
      </c>
      <c r="O42" s="26">
        <f t="shared" si="53"/>
        <v>23.229480989314307</v>
      </c>
      <c r="P42" s="26">
        <f>VLOOKUP($C42,COS!$B$8:$H$991,6,FALSE)</f>
        <v>1796.5595703125</v>
      </c>
      <c r="Q42" s="26">
        <f t="shared" si="54"/>
        <v>110.46614217458676</v>
      </c>
      <c r="R42" s="26">
        <f>MIN(IF(MONTH($C42)=4,$S$3,IF(MONTH($C42)=5,$S$4,IF(MONTH($C42)=6,$S$5,IF(MONTH($C42)=7,$S$6,"ERROR")))),MAX(VLOOKUP($C42,COS!$B$8:$K$991,10,FALSE)-IF(MONTH($C42)=4,$Y$3,IF(MONTH($C42)=5,$Y$4,IF(MONTH($C42)=6,$Y$5,IF(MONTH($C42)=7,$Y$6,"ERROR")))),0),MAX(VLOOKUP($C42,COS!$B$8:$K$991,9,FALSE)-IF(MONTH($C42)=4,$V$3,IF(MONTH($C42)=5,$V$4,IF(MONTH($C42)=6,$V$5,IF(MONTH($C42)=7,$V$6,"ERROR"))))-VLOOKUP($C42,COS!$B$8:$K$991,6,FALSE)/2,0))</f>
        <v>1500</v>
      </c>
      <c r="S42" s="26">
        <f t="shared" si="55"/>
        <v>92.231404958677686</v>
      </c>
      <c r="T42" s="26">
        <f t="shared" si="56"/>
        <v>159.07921654062824</v>
      </c>
      <c r="U42" s="26" t="str">
        <f>IF(VLOOKUP($C42,COS!$B$8:$I$991,8,FALSE)=1,"UWFE","IBU")</f>
        <v>UWFE</v>
      </c>
      <c r="V42" s="26">
        <f t="shared" ref="V42" si="58">MIN(IF(IF($AA$3=2,AND(E42=1,G42=1,L42=1,L46=1,M42=1,U42="IBU"),AND(E42=1,G42=1,L42=1,L46=1,M42=1)),T42,0),I42)</f>
        <v>0</v>
      </c>
      <c r="W42" s="26"/>
      <c r="X42" s="26"/>
      <c r="Y42" s="26"/>
      <c r="Z42" s="26"/>
      <c r="AA42" s="26"/>
      <c r="AB42" s="33"/>
      <c r="AC42" s="6"/>
      <c r="AD42" s="43">
        <v>1950</v>
      </c>
      <c r="AE42" s="1">
        <f>VLOOKUP(AD42,Flags!$A$13:$B$95,2,FALSE)</f>
        <v>4</v>
      </c>
      <c r="AF42" s="43">
        <f t="shared" si="6"/>
        <v>24.391813985020661</v>
      </c>
      <c r="AG42" s="43">
        <f t="shared" si="7"/>
        <v>648.70872080905383</v>
      </c>
      <c r="AH42" s="43">
        <f t="shared" si="8"/>
        <v>0</v>
      </c>
      <c r="AI42" s="43">
        <f t="shared" si="9"/>
        <v>22157.016136363636</v>
      </c>
      <c r="AJ42" s="43">
        <f t="shared" si="10"/>
        <v>112.07308938775182</v>
      </c>
      <c r="AK42" s="43">
        <f t="shared" si="1"/>
        <v>112.07308938775182</v>
      </c>
      <c r="AL42" s="43">
        <f t="shared" si="11"/>
        <v>0</v>
      </c>
    </row>
    <row r="43" spans="1:42" x14ac:dyDescent="0.3">
      <c r="A43" s="32">
        <f>VLOOKUP(YEAR(C43),Flags!$A$13:$B$95,2,FALSE)</f>
        <v>4</v>
      </c>
      <c r="B43" s="24">
        <f t="shared" si="2"/>
        <v>1925</v>
      </c>
      <c r="C43" s="25">
        <v>9313</v>
      </c>
      <c r="D43" s="26">
        <f>VLOOKUP($C43,COS!$B$8:$H$991,3,FALSE)</f>
        <v>9612.4140625</v>
      </c>
      <c r="E43" s="24">
        <f>IF(D43&gt;=IF(MONTH($C43)=4,$C$3,IF(MONTH($C43)=5,$C$4,IF(MONTH($C43)=6,$C$5,IF(MONTH($C43)=7,$C$6,"ERROR")))),1,0)</f>
        <v>0</v>
      </c>
      <c r="F43" s="26">
        <f>VLOOKUP($C43,COS!$B$8:$H$991,7,FALSE)</f>
        <v>50.799709320068359</v>
      </c>
      <c r="G43" s="24">
        <f>IF(F43&lt;=IF(MONTH($C43)=4,$F$3,IF(MONTH($C43)=5,$F$4,IF(MONTH($C43)=6,$F$5,IF(MONTH($C43)=7,$F$6,"ERROR")))),1,0)</f>
        <v>1</v>
      </c>
      <c r="H43" s="26">
        <f>IF(J43=1,D43-$C$5,0)</f>
        <v>0</v>
      </c>
      <c r="I43" s="26">
        <f t="shared" si="17"/>
        <v>0</v>
      </c>
      <c r="J43" s="24">
        <f t="shared" si="50"/>
        <v>0</v>
      </c>
      <c r="K43" s="26">
        <f>VLOOKUP($C43,COS!$B$8:$H$991,2,FALSE)</f>
        <v>3989.940673828125</v>
      </c>
      <c r="L43" s="24">
        <f t="shared" si="19"/>
        <v>1</v>
      </c>
      <c r="M43" s="24">
        <f t="shared" si="20"/>
        <v>1</v>
      </c>
      <c r="N43" s="26">
        <f>VLOOKUP($C43,COS!$B$8:$H$991,5,FALSE)</f>
        <v>794.0576171875</v>
      </c>
      <c r="O43" s="26">
        <f t="shared" si="53"/>
        <v>47.249709452479337</v>
      </c>
      <c r="P43" s="26">
        <f>VLOOKUP($C43,COS!$B$8:$H$991,6,FALSE)</f>
        <v>2591.778564453125</v>
      </c>
      <c r="Q43" s="26">
        <f t="shared" si="54"/>
        <v>154.22153441373965</v>
      </c>
      <c r="R43" s="26">
        <f>MIN(IF(MONTH($C43)=4,$S$3,IF(MONTH($C43)=5,$S$4,IF(MONTH($C43)=6,$S$5,IF(MONTH($C43)=7,$S$6,"ERROR")))),MAX(VLOOKUP($C43,COS!$B$8:$K$991,10,FALSE)-IF(MONTH($C43)=4,$Y$3,IF(MONTH($C43)=5,$Y$4,IF(MONTH($C43)=6,$Y$5,IF(MONTH($C43)=7,$Y$6,"ERROR")))),0),MAX(VLOOKUP($C43,COS!$B$8:$K$991,9,FALSE)-IF(MONTH($C43)=4,$V$3,IF(MONTH($C43)=5,$V$4,IF(MONTH($C43)=6,$V$5,IF(MONTH($C43)=7,$V$6,"ERROR"))))-VLOOKUP($C43,COS!$B$8:$K$991,6,FALSE)/2,0))</f>
        <v>1500</v>
      </c>
      <c r="S43" s="26">
        <f t="shared" si="55"/>
        <v>89.256198347107429</v>
      </c>
      <c r="T43" s="26">
        <f t="shared" si="56"/>
        <v>189.99182028021693</v>
      </c>
      <c r="U43" s="26" t="str">
        <f>IF(VLOOKUP($C43,COS!$B$8:$I$991,8,FALSE)=1,"UWFE","IBU")</f>
        <v>IBU</v>
      </c>
      <c r="V43" s="26">
        <f t="shared" ref="V43" si="59">MIN(IF(IF($AA$3=2,AND(E43=1,G43=1,L43=1,L46=1,M43=1,U43="IBU"),AND(E43=1,G43=1,L43=1,L46=1,M43=1)),T43,0),I43)</f>
        <v>0</v>
      </c>
      <c r="W43" s="26"/>
      <c r="X43" s="26"/>
      <c r="Y43" s="26"/>
      <c r="Z43" s="26"/>
      <c r="AA43" s="26"/>
      <c r="AB43" s="33"/>
      <c r="AC43" s="6"/>
      <c r="AD43" s="43">
        <v>1951</v>
      </c>
      <c r="AE43" s="1">
        <f>VLOOKUP(AD43,Flags!$A$13:$B$95,2,FALSE)</f>
        <v>2</v>
      </c>
      <c r="AF43" s="43">
        <f t="shared" si="6"/>
        <v>318.2121345557851</v>
      </c>
      <c r="AG43" s="43">
        <f t="shared" si="7"/>
        <v>645.21338185207901</v>
      </c>
      <c r="AH43" s="43">
        <f t="shared" si="8"/>
        <v>0</v>
      </c>
      <c r="AI43" s="43">
        <f t="shared" si="9"/>
        <v>21976.45691470816</v>
      </c>
      <c r="AJ43" s="43">
        <f t="shared" si="10"/>
        <v>123.98751945054235</v>
      </c>
      <c r="AK43" s="43">
        <f t="shared" si="1"/>
        <v>91.261757570377057</v>
      </c>
      <c r="AL43" s="43">
        <f t="shared" si="11"/>
        <v>0</v>
      </c>
    </row>
    <row r="44" spans="1:42" x14ac:dyDescent="0.3">
      <c r="A44" s="32">
        <f>VLOOKUP(YEAR(C44),Flags!$A$13:$B$95,2,FALSE)</f>
        <v>4</v>
      </c>
      <c r="B44" s="24">
        <f t="shared" si="2"/>
        <v>1925</v>
      </c>
      <c r="C44" s="25">
        <v>9344</v>
      </c>
      <c r="D44" s="26">
        <f>VLOOKUP($C44,COS!$B$8:$H$991,3,FALSE)</f>
        <v>12695.501953125</v>
      </c>
      <c r="E44" s="24">
        <f>IF(D44&gt;=IF(MONTH($C44)=4,$C$3,IF(MONTH($C44)=5,$C$4,IF(MONTH($C44)=6,$C$5,IF(MONTH($C44)=7,$C$6,"ERROR")))),1,0)</f>
        <v>1</v>
      </c>
      <c r="F44" s="26">
        <f>VLOOKUP($C44,COS!$B$8:$H$991,7,FALSE)</f>
        <v>51.456871032714844</v>
      </c>
      <c r="G44" s="24">
        <f>IF(F44&lt;=IF(MONTH($C44)=4,$F$3,IF(MONTH($C44)=5,$F$4,IF(MONTH($C44)=6,$F$5,IF(MONTH($C44)=7,$F$6,"ERROR")))),1,0)</f>
        <v>1</v>
      </c>
      <c r="H44" s="26">
        <f>IF(J44=1,D44-$C$6,0)</f>
        <v>695.501953125</v>
      </c>
      <c r="I44" s="26">
        <f t="shared" si="17"/>
        <v>42.764748192148765</v>
      </c>
      <c r="J44" s="24">
        <f t="shared" si="50"/>
        <v>1</v>
      </c>
      <c r="K44" s="26">
        <f>VLOOKUP($C44,COS!$B$8:$H$991,2,FALSE)</f>
        <v>3437.54150390625</v>
      </c>
      <c r="L44" s="24">
        <f t="shared" si="19"/>
        <v>1</v>
      </c>
      <c r="M44" s="24">
        <f t="shared" si="20"/>
        <v>1</v>
      </c>
      <c r="N44" s="26">
        <f>VLOOKUP($C44,COS!$B$8:$H$991,5,FALSE)</f>
        <v>979.5245361328125</v>
      </c>
      <c r="O44" s="26">
        <f t="shared" si="53"/>
        <v>60.228616106017569</v>
      </c>
      <c r="P44" s="26">
        <f>VLOOKUP($C44,COS!$B$8:$H$991,6,FALSE)</f>
        <v>2538.07568359375</v>
      </c>
      <c r="Q44" s="26">
        <f t="shared" si="54"/>
        <v>156.06019079287191</v>
      </c>
      <c r="R44" s="26">
        <f>MIN(IF(MONTH($C44)=4,$S$3,IF(MONTH($C44)=5,$S$4,IF(MONTH($C44)=6,$S$5,IF(MONTH($C44)=7,$S$6,"ERROR")))),MAX(VLOOKUP($C44,COS!$B$8:$K$991,10,FALSE)-IF(MONTH($C44)=4,$Y$3,IF(MONTH($C44)=5,$Y$4,IF(MONTH($C44)=6,$Y$5,IF(MONTH($C44)=7,$Y$6,"ERROR")))),0),MAX(VLOOKUP($C44,COS!$B$8:$K$991,9,FALSE)-IF(MONTH($C44)=4,$V$3,IF(MONTH($C44)=5,$V$4,IF(MONTH($C44)=6,$V$5,IF(MONTH($C44)=7,$V$6,"ERROR"))))-VLOOKUP($C44,COS!$B$8:$K$991,6,FALSE)/2,0))</f>
        <v>1500</v>
      </c>
      <c r="S44" s="26">
        <f t="shared" si="55"/>
        <v>92.231404958677686</v>
      </c>
      <c r="T44" s="26">
        <f t="shared" si="56"/>
        <v>200.37580840812242</v>
      </c>
      <c r="U44" s="26" t="str">
        <f>IF(VLOOKUP($C44,COS!$B$8:$I$991,8,FALSE)=1,"UWFE","IBU")</f>
        <v>IBU</v>
      </c>
      <c r="V44" s="26">
        <f t="shared" ref="V44" si="60">MIN(IF(IF($AA$3=2,AND(E44=1,G44=1,L44=1,L46=1,M44=1,U44="IBU"),AND(E44=1,G44=1,L44=1,L46=1,M44=1)),T44,0),I44)</f>
        <v>42.764748192148765</v>
      </c>
      <c r="W44" s="26"/>
      <c r="X44" s="26"/>
      <c r="Y44" s="26"/>
      <c r="Z44" s="26"/>
      <c r="AA44" s="26"/>
      <c r="AB44" s="33"/>
      <c r="AC44" s="6"/>
      <c r="AD44" s="43">
        <v>1952</v>
      </c>
      <c r="AE44" s="1">
        <f>VLOOKUP(AD44,Flags!$A$13:$B$95,2,FALSE)</f>
        <v>1</v>
      </c>
      <c r="AF44" s="43">
        <f t="shared" si="6"/>
        <v>697.78984633264463</v>
      </c>
      <c r="AG44" s="43">
        <f t="shared" si="7"/>
        <v>685.72902777553577</v>
      </c>
      <c r="AH44" s="43">
        <f t="shared" si="8"/>
        <v>0</v>
      </c>
      <c r="AI44" s="43">
        <f t="shared" si="9"/>
        <v>21660.340667936467</v>
      </c>
      <c r="AJ44" s="43">
        <f t="shared" si="10"/>
        <v>58.610078891722623</v>
      </c>
      <c r="AK44" s="43">
        <f t="shared" si="1"/>
        <v>36.686122038029438</v>
      </c>
      <c r="AL44" s="43">
        <f t="shared" si="11"/>
        <v>0</v>
      </c>
    </row>
    <row r="45" spans="1:42" x14ac:dyDescent="0.3">
      <c r="A45" s="32">
        <f>VLOOKUP(YEAR(C45),Flags!$A$13:$B$95,2,FALSE)</f>
        <v>4</v>
      </c>
      <c r="B45" s="24">
        <f t="shared" si="2"/>
        <v>1925</v>
      </c>
      <c r="C45" s="25">
        <v>9375</v>
      </c>
      <c r="D45" s="26"/>
      <c r="E45" s="24"/>
      <c r="F45" s="26"/>
      <c r="G45" s="24"/>
      <c r="H45" s="24"/>
      <c r="I45" s="26"/>
      <c r="J45" s="24"/>
      <c r="K45" s="26"/>
      <c r="L45" s="24"/>
      <c r="M45" s="24"/>
      <c r="N45" s="26"/>
      <c r="O45" s="26"/>
      <c r="P45" s="26"/>
      <c r="Q45" s="26"/>
      <c r="R45" s="26"/>
      <c r="S45" s="26"/>
      <c r="T45" s="26"/>
      <c r="U45" s="26"/>
      <c r="V45" s="26"/>
      <c r="W45" s="26">
        <f>MAX($C$7-VLOOKUP($C45,COS!$B$8:$H$991,3,FALSE),0)</f>
        <v>90169.4140625</v>
      </c>
      <c r="X45" s="26">
        <f t="shared" si="31"/>
        <v>5544.3011621900823</v>
      </c>
      <c r="Y45" s="26">
        <f>VLOOKUP($C45,COS!$B$8:$H$991,4,FALSE)</f>
        <v>1755.4483642578125</v>
      </c>
      <c r="Z45" s="26">
        <f t="shared" si="32"/>
        <v>107.93831264527377</v>
      </c>
      <c r="AA45" s="26">
        <f t="shared" ref="AA45:AA49" si="61">MIN(W45,Y45)</f>
        <v>1755.4483642578125</v>
      </c>
      <c r="AB45" s="33">
        <f t="shared" ref="AB45" si="62">AA45*DAY($C45)*86400/43560/1000*IF(MONTH($C45)=8,$P$3,IF(MONTH($C45)=9,$P$4,IF(MONTH($C45)=10,$P$5,IF(MONTH($C45)=11,$P$6,IF(MONTH($C45)=12,$P$7,NA())))))</f>
        <v>107.93831264527377</v>
      </c>
      <c r="AC45" s="6"/>
      <c r="AD45" s="43">
        <v>1953</v>
      </c>
      <c r="AE45" s="1">
        <f>VLOOKUP(AD45,Flags!$A$13:$B$95,2,FALSE)</f>
        <v>1</v>
      </c>
      <c r="AF45" s="43">
        <f t="shared" si="6"/>
        <v>393.94290805785124</v>
      </c>
      <c r="AG45" s="43">
        <f t="shared" si="7"/>
        <v>699.80341564840523</v>
      </c>
      <c r="AH45" s="43">
        <f t="shared" si="8"/>
        <v>0</v>
      </c>
      <c r="AI45" s="43">
        <f t="shared" si="9"/>
        <v>21378.207919679749</v>
      </c>
      <c r="AJ45" s="43">
        <f t="shared" si="10"/>
        <v>184.16609680806309</v>
      </c>
      <c r="AK45" s="43">
        <f t="shared" si="1"/>
        <v>127.2990606752506</v>
      </c>
      <c r="AL45" s="43">
        <f t="shared" si="11"/>
        <v>0</v>
      </c>
    </row>
    <row r="46" spans="1:42" x14ac:dyDescent="0.3">
      <c r="A46" s="32">
        <f>VLOOKUP(YEAR(C46),Flags!$A$13:$B$95,2,FALSE)</f>
        <v>4</v>
      </c>
      <c r="B46" s="24">
        <f t="shared" si="2"/>
        <v>1925</v>
      </c>
      <c r="C46" s="25">
        <v>9405</v>
      </c>
      <c r="D46" s="26"/>
      <c r="E46" s="24"/>
      <c r="F46" s="26"/>
      <c r="G46" s="24"/>
      <c r="H46" s="24"/>
      <c r="I46" s="26"/>
      <c r="J46" s="24"/>
      <c r="K46" s="26">
        <f>VLOOKUP($C46,COS!$B$8:$H$991,2,FALSE)</f>
        <v>2972.557373046875</v>
      </c>
      <c r="L46" s="24">
        <f t="shared" ref="L46" si="63">IF(AND(K46&gt;$I$7,K46&lt;$I$8),1,0)</f>
        <v>1</v>
      </c>
      <c r="M46" s="24"/>
      <c r="N46" s="26"/>
      <c r="O46" s="26"/>
      <c r="P46" s="26"/>
      <c r="Q46" s="26"/>
      <c r="R46" s="26"/>
      <c r="S46" s="26"/>
      <c r="T46" s="26"/>
      <c r="U46" s="26"/>
      <c r="V46" s="26"/>
      <c r="W46" s="26">
        <f>MAX($C$8-VLOOKUP($C46,COS!$B$8:$H$991,3,FALSE),0)</f>
        <v>94122.39599609375</v>
      </c>
      <c r="X46" s="26">
        <f t="shared" si="31"/>
        <v>5600.6714972882237</v>
      </c>
      <c r="Y46" s="26">
        <f>VLOOKUP($C46,COS!$B$8:$H$991,4,FALSE)</f>
        <v>601.609375</v>
      </c>
      <c r="Z46" s="26">
        <f t="shared" si="32"/>
        <v>35.798243801652887</v>
      </c>
      <c r="AA46" s="26">
        <f t="shared" si="61"/>
        <v>601.609375</v>
      </c>
      <c r="AB46" s="33">
        <f t="shared" si="34"/>
        <v>35.798243801652887</v>
      </c>
      <c r="AC46" s="6"/>
      <c r="AD46" s="43">
        <v>1954</v>
      </c>
      <c r="AE46" s="1">
        <f>VLOOKUP(AD46,Flags!$A$13:$B$95,2,FALSE)</f>
        <v>2</v>
      </c>
      <c r="AF46" s="43">
        <f t="shared" si="6"/>
        <v>628.75953060433881</v>
      </c>
      <c r="AG46" s="43">
        <f t="shared" si="7"/>
        <v>682.99890435337034</v>
      </c>
      <c r="AH46" s="43">
        <f t="shared" si="8"/>
        <v>0</v>
      </c>
      <c r="AI46" s="43">
        <f t="shared" si="9"/>
        <v>22009.53607728564</v>
      </c>
      <c r="AJ46" s="43">
        <f t="shared" si="10"/>
        <v>98.616977740831601</v>
      </c>
      <c r="AK46" s="43">
        <f t="shared" si="1"/>
        <v>73.855744447314038</v>
      </c>
      <c r="AL46" s="43">
        <f t="shared" si="11"/>
        <v>0</v>
      </c>
    </row>
    <row r="47" spans="1:42" x14ac:dyDescent="0.3">
      <c r="A47" s="32">
        <f>VLOOKUP(YEAR(C47),Flags!$A$13:$B$95,2,FALSE)</f>
        <v>4</v>
      </c>
      <c r="B47" s="24">
        <f t="shared" si="2"/>
        <v>1925</v>
      </c>
      <c r="C47" s="25">
        <v>9436</v>
      </c>
      <c r="D47" s="26"/>
      <c r="E47" s="24"/>
      <c r="F47" s="26"/>
      <c r="G47" s="26"/>
      <c r="H47" s="26"/>
      <c r="I47" s="26"/>
      <c r="J47" s="26"/>
      <c r="K47" s="26"/>
      <c r="L47" s="24"/>
      <c r="M47" s="24"/>
      <c r="N47" s="26"/>
      <c r="O47" s="26"/>
      <c r="P47" s="26"/>
      <c r="Q47" s="26"/>
      <c r="R47" s="26"/>
      <c r="S47" s="26"/>
      <c r="T47" s="26"/>
      <c r="U47" s="26"/>
      <c r="V47" s="26"/>
      <c r="W47" s="26">
        <f>MAX($C$9-VLOOKUP($C47,COS!$B$8:$H$991,3,FALSE),0)</f>
        <v>94097.9453125</v>
      </c>
      <c r="X47" s="26">
        <f t="shared" si="31"/>
        <v>5785.8571332644624</v>
      </c>
      <c r="Y47" s="26">
        <f>VLOOKUP($C47,COS!$B$8:$H$991,4,FALSE)</f>
        <v>1509.1988525390625</v>
      </c>
      <c r="Z47" s="26">
        <f t="shared" si="32"/>
        <v>92.797020354467975</v>
      </c>
      <c r="AA47" s="26">
        <f t="shared" si="61"/>
        <v>1509.1988525390625</v>
      </c>
      <c r="AB47" s="33">
        <f t="shared" si="34"/>
        <v>92.797020354467975</v>
      </c>
      <c r="AC47" s="6"/>
      <c r="AD47" s="43">
        <v>1955</v>
      </c>
      <c r="AE47" s="1">
        <f>VLOOKUP(AD47,Flags!$A$13:$B$95,2,FALSE)</f>
        <v>4</v>
      </c>
      <c r="AF47" s="43">
        <f t="shared" si="6"/>
        <v>146.39928137913225</v>
      </c>
      <c r="AG47" s="43">
        <f t="shared" si="7"/>
        <v>650.48586702204932</v>
      </c>
      <c r="AH47" s="43">
        <f t="shared" si="8"/>
        <v>146.39928137913225</v>
      </c>
      <c r="AI47" s="43">
        <f t="shared" si="9"/>
        <v>22858.056631262913</v>
      </c>
      <c r="AJ47" s="43">
        <f t="shared" si="10"/>
        <v>316.76745553008783</v>
      </c>
      <c r="AK47" s="43">
        <f t="shared" si="1"/>
        <v>274.17800482631719</v>
      </c>
      <c r="AL47" s="43">
        <f t="shared" si="11"/>
        <v>146.39928137913225</v>
      </c>
    </row>
    <row r="48" spans="1:42" x14ac:dyDescent="0.3">
      <c r="A48" s="32">
        <f>VLOOKUP(YEAR(C48),Flags!$A$13:$B$95,2,FALSE)</f>
        <v>4</v>
      </c>
      <c r="B48" s="24">
        <f t="shared" si="2"/>
        <v>1925</v>
      </c>
      <c r="C48" s="25">
        <v>9466</v>
      </c>
      <c r="D48" s="26"/>
      <c r="E48" s="24"/>
      <c r="F48" s="26"/>
      <c r="G48" s="26"/>
      <c r="H48" s="26"/>
      <c r="I48" s="26"/>
      <c r="J48" s="26"/>
      <c r="K48" s="26"/>
      <c r="L48" s="24"/>
      <c r="M48" s="24"/>
      <c r="N48" s="26"/>
      <c r="O48" s="26"/>
      <c r="P48" s="26"/>
      <c r="Q48" s="26"/>
      <c r="R48" s="26"/>
      <c r="S48" s="26"/>
      <c r="T48" s="26"/>
      <c r="U48" s="26"/>
      <c r="V48" s="26"/>
      <c r="W48" s="26">
        <f>MAX($C$10-VLOOKUP($C48,COS!$B$8:$H$991,3,FALSE),0)</f>
        <v>94973.6005859375</v>
      </c>
      <c r="X48" s="26">
        <f t="shared" si="31"/>
        <v>5651.3216877582645</v>
      </c>
      <c r="Y48" s="26">
        <f>VLOOKUP($C48,COS!$B$8:$H$991,4,FALSE)</f>
        <v>1037.1134033203125</v>
      </c>
      <c r="Z48" s="26">
        <f t="shared" si="32"/>
        <v>61.712533090134293</v>
      </c>
      <c r="AA48" s="26">
        <f t="shared" si="61"/>
        <v>1037.1134033203125</v>
      </c>
      <c r="AB48" s="33">
        <f t="shared" si="34"/>
        <v>30.856266545067147</v>
      </c>
      <c r="AC48" s="6"/>
      <c r="AD48" s="43">
        <v>1956</v>
      </c>
      <c r="AE48" s="1">
        <f>VLOOKUP(AD48,Flags!$A$13:$B$95,2,FALSE)</f>
        <v>1</v>
      </c>
      <c r="AF48" s="43">
        <f t="shared" si="6"/>
        <v>238.41283768078512</v>
      </c>
      <c r="AG48" s="43">
        <f t="shared" si="7"/>
        <v>688.1348309780152</v>
      </c>
      <c r="AH48" s="43">
        <f t="shared" si="8"/>
        <v>0</v>
      </c>
      <c r="AI48" s="43">
        <f t="shared" si="9"/>
        <v>21520.017618478825</v>
      </c>
      <c r="AJ48" s="43">
        <f t="shared" si="10"/>
        <v>69.803219589359514</v>
      </c>
      <c r="AK48" s="43">
        <f t="shared" si="1"/>
        <v>51.04191426426911</v>
      </c>
      <c r="AL48" s="43">
        <f t="shared" si="11"/>
        <v>0</v>
      </c>
    </row>
    <row r="49" spans="1:38" x14ac:dyDescent="0.3">
      <c r="A49" s="34">
        <f>VLOOKUP(YEAR(C49),Flags!$A$13:$B$95,2,FALSE)</f>
        <v>4</v>
      </c>
      <c r="B49" s="35">
        <f t="shared" si="2"/>
        <v>1925</v>
      </c>
      <c r="C49" s="36">
        <v>9497</v>
      </c>
      <c r="D49" s="37"/>
      <c r="E49" s="35"/>
      <c r="F49" s="37"/>
      <c r="G49" s="37"/>
      <c r="H49" s="37"/>
      <c r="I49" s="37"/>
      <c r="J49" s="37"/>
      <c r="K49" s="37"/>
      <c r="L49" s="35"/>
      <c r="M49" s="35"/>
      <c r="N49" s="37"/>
      <c r="O49" s="37"/>
      <c r="P49" s="37"/>
      <c r="Q49" s="37"/>
      <c r="R49" s="37"/>
      <c r="S49" s="37"/>
      <c r="T49" s="37"/>
      <c r="U49" s="37"/>
      <c r="V49" s="37"/>
      <c r="W49" s="37">
        <f>MAX($C$11-VLOOKUP($C49,COS!$B$8:$H$991,3,FALSE),0)</f>
        <v>0</v>
      </c>
      <c r="X49" s="37">
        <f t="shared" si="31"/>
        <v>0</v>
      </c>
      <c r="Y49" s="37">
        <f>VLOOKUP($C49,COS!$B$8:$H$991,4,FALSE)</f>
        <v>1280.279541015625</v>
      </c>
      <c r="Z49" s="37">
        <f t="shared" si="32"/>
        <v>78.721320538481407</v>
      </c>
      <c r="AA49" s="37">
        <f t="shared" si="61"/>
        <v>0</v>
      </c>
      <c r="AB49" s="38">
        <f t="shared" si="34"/>
        <v>0</v>
      </c>
      <c r="AC49" s="6"/>
      <c r="AD49" s="43">
        <v>1957</v>
      </c>
      <c r="AE49" s="1">
        <f>VLOOKUP(AD49,Flags!$A$13:$B$95,2,FALSE)</f>
        <v>2</v>
      </c>
      <c r="AF49" s="43">
        <f t="shared" si="6"/>
        <v>515.49969653925621</v>
      </c>
      <c r="AG49" s="43">
        <f t="shared" si="7"/>
        <v>678.53450308303195</v>
      </c>
      <c r="AH49" s="43">
        <f t="shared" si="8"/>
        <v>0</v>
      </c>
      <c r="AI49" s="43">
        <f t="shared" si="9"/>
        <v>22125.812749548037</v>
      </c>
      <c r="AJ49" s="43">
        <f t="shared" si="10"/>
        <v>311.10799308335481</v>
      </c>
      <c r="AK49" s="43">
        <f t="shared" si="1"/>
        <v>242.92148740153667</v>
      </c>
      <c r="AL49" s="43">
        <f t="shared" si="11"/>
        <v>0</v>
      </c>
    </row>
    <row r="50" spans="1:38" x14ac:dyDescent="0.3">
      <c r="A50" s="27">
        <f>VLOOKUP(YEAR(C50),Flags!$A$13:$B$95,2,FALSE)</f>
        <v>4</v>
      </c>
      <c r="B50" s="28">
        <f t="shared" si="2"/>
        <v>1926</v>
      </c>
      <c r="C50" s="29">
        <v>9617</v>
      </c>
      <c r="D50" s="30">
        <f>VLOOKUP($C50,COS!$B$8:$H$991,3,FALSE)</f>
        <v>3250</v>
      </c>
      <c r="E50" s="28">
        <f>IF(D50&gt;=IF(MONTH($C50)=4,$C$3,IF(MONTH($C50)=5,$C$4,IF(MONTH($C50)=6,$C$5,IF(MONTH($C50)=7,$C$6,"ERROR")))),1,0)</f>
        <v>0</v>
      </c>
      <c r="F50" s="30">
        <f>VLOOKUP($C50,COS!$B$8:$H$991,7,FALSE)</f>
        <v>51.212348937988281</v>
      </c>
      <c r="G50" s="28">
        <f>IF(F50&lt;=IF(MONTH($C50)=4,$F$3,IF(MONTH($C50)=5,$F$4,IF(MONTH($C50)=6,$F$5,IF(MONTH($C50)=7,$F$6,"ERROR")))),1,0)</f>
        <v>1</v>
      </c>
      <c r="H50" s="30">
        <f>IF(J50=1,D50-$C$3,0)</f>
        <v>0</v>
      </c>
      <c r="I50" s="30">
        <f t="shared" si="17"/>
        <v>0</v>
      </c>
      <c r="J50" s="28">
        <f t="shared" ref="J50:J53" si="64">IF(AND(E50=1,G50=1),1,0)</f>
        <v>0</v>
      </c>
      <c r="K50" s="30">
        <f>VLOOKUP($C50,COS!$B$8:$H$991,2,FALSE)</f>
        <v>3896.73193359375</v>
      </c>
      <c r="L50" s="28">
        <f t="shared" ref="L50" si="65">IF(K50&lt;=IF(MONTH($C50)=4,$I$3,IF(MONTH($C50)=5,$I$4,IF(MONTH($C50)=6,$I$5,IF(MONTH($C50)=7,$I$6,"ERROR")))),1,0)</f>
        <v>1</v>
      </c>
      <c r="M50" s="28">
        <f t="shared" ref="M50" si="66">VLOOKUP($A50,$L$3:$M$7,2,FALSE)</f>
        <v>1</v>
      </c>
      <c r="N50" s="30">
        <f>VLOOKUP($C50,COS!$B$8:$H$991,5,FALSE)</f>
        <v>52.222553253173828</v>
      </c>
      <c r="O50" s="30">
        <f t="shared" ref="O50:O53" si="67">N50*DAY($C50)*86400/43560/1000</f>
        <v>3.1074577142384427</v>
      </c>
      <c r="P50" s="30">
        <f>VLOOKUP($C50,COS!$B$8:$H$991,6,FALSE)</f>
        <v>311.75833129882813</v>
      </c>
      <c r="Q50" s="30">
        <f t="shared" ref="Q50:Q53" si="68">P50*DAY($C50)*86400/43560/1000</f>
        <v>18.550908969847622</v>
      </c>
      <c r="R50" s="30">
        <f>MIN(IF(MONTH($C50)=4,$S$3,IF(MONTH($C50)=5,$S$4,IF(MONTH($C50)=6,$S$5,IF(MONTH($C50)=7,$S$6,"ERROR")))),MAX(VLOOKUP($C50,COS!$B$8:$K$991,10,FALSE)-IF(MONTH($C50)=4,$Y$3,IF(MONTH($C50)=5,$Y$4,IF(MONTH($C50)=6,$Y$5,IF(MONTH($C50)=7,$Y$6,"ERROR")))),0),MAX(VLOOKUP($C50,COS!$B$8:$K$991,9,FALSE)-IF(MONTH($C50)=4,$V$3,IF(MONTH($C50)=5,$V$4,IF(MONTH($C50)=6,$V$5,IF(MONTH($C50)=7,$V$6,"ERROR"))))-VLOOKUP($C50,COS!$B$8:$K$991,6,FALSE)/2,0))</f>
        <v>1500</v>
      </c>
      <c r="S50" s="30">
        <f t="shared" ref="S50:S53" si="69">R50*DAY($C50)*86400/43560/1000</f>
        <v>89.256198347107429</v>
      </c>
      <c r="T50" s="30">
        <f t="shared" ref="T50:T53" si="70">(O50+Q50)/2+S50</f>
        <v>100.08538168915047</v>
      </c>
      <c r="U50" s="30" t="str">
        <f>IF(VLOOKUP($C50,COS!$B$8:$I$991,8,FALSE)=1,"UWFE","IBU")</f>
        <v>UWFE</v>
      </c>
      <c r="V50" s="30">
        <f t="shared" ref="V50" si="71">MIN(IF(IF($AA$3=2,AND(E50=1,G50=1,L50=1,L55=1,M50=1,U50="IBU"),AND(E50=1,G50=1,L50=1,L55=1,M50=1)),T50,0),I50)</f>
        <v>0</v>
      </c>
      <c r="W50" s="30"/>
      <c r="X50" s="30"/>
      <c r="Y50" s="30"/>
      <c r="Z50" s="30"/>
      <c r="AA50" s="30"/>
      <c r="AB50" s="31"/>
      <c r="AC50" s="6"/>
      <c r="AD50" s="43">
        <v>1958</v>
      </c>
      <c r="AE50" s="1">
        <f>VLOOKUP(AD50,Flags!$A$13:$B$95,2,FALSE)</f>
        <v>1</v>
      </c>
      <c r="AF50" s="43">
        <f t="shared" si="6"/>
        <v>412.32285705061986</v>
      </c>
      <c r="AG50" s="43">
        <f t="shared" si="7"/>
        <v>667.28328076323191</v>
      </c>
      <c r="AH50" s="43">
        <f t="shared" si="8"/>
        <v>0</v>
      </c>
      <c r="AI50" s="43">
        <f t="shared" si="9"/>
        <v>21442.499119641012</v>
      </c>
      <c r="AJ50" s="43">
        <f t="shared" si="10"/>
        <v>93.370713062128743</v>
      </c>
      <c r="AK50" s="43">
        <f t="shared" si="1"/>
        <v>48.244034343120475</v>
      </c>
      <c r="AL50" s="43">
        <f t="shared" si="11"/>
        <v>0</v>
      </c>
    </row>
    <row r="51" spans="1:38" x14ac:dyDescent="0.3">
      <c r="A51" s="32">
        <f>VLOOKUP(YEAR(C51),Flags!$A$13:$B$95,2,FALSE)</f>
        <v>4</v>
      </c>
      <c r="B51" s="24">
        <f t="shared" si="2"/>
        <v>1926</v>
      </c>
      <c r="C51" s="25">
        <v>9648</v>
      </c>
      <c r="D51" s="26">
        <f>VLOOKUP($C51,COS!$B$8:$H$991,3,FALSE)</f>
        <v>8995.443359375</v>
      </c>
      <c r="E51" s="24">
        <f>IF(D51&gt;=IF(MONTH($C51)=4,$C$3,IF(MONTH($C51)=5,$C$4,IF(MONTH($C51)=6,$C$5,IF(MONTH($C51)=7,$C$6,"ERROR")))),1,0)</f>
        <v>1</v>
      </c>
      <c r="F51" s="26">
        <f>VLOOKUP($C51,COS!$B$8:$H$991,7,FALSE)</f>
        <v>50.193782806396484</v>
      </c>
      <c r="G51" s="24">
        <f>IF(F51&lt;=IF(MONTH($C51)=4,$F$3,IF(MONTH($C51)=5,$F$4,IF(MONTH($C51)=6,$F$5,IF(MONTH($C51)=7,$F$6,"ERROR")))),1,0)</f>
        <v>1</v>
      </c>
      <c r="H51" s="26">
        <f>IF(J51=1,D51-$C$4,0)</f>
        <v>2995.443359375</v>
      </c>
      <c r="I51" s="26">
        <f t="shared" si="17"/>
        <v>184.18263300619836</v>
      </c>
      <c r="J51" s="24">
        <f t="shared" si="64"/>
        <v>1</v>
      </c>
      <c r="K51" s="26">
        <f>VLOOKUP($C51,COS!$B$8:$H$991,2,FALSE)</f>
        <v>3570.763671875</v>
      </c>
      <c r="L51" s="24">
        <f t="shared" si="19"/>
        <v>1</v>
      </c>
      <c r="M51" s="24">
        <f t="shared" si="20"/>
        <v>1</v>
      </c>
      <c r="N51" s="26">
        <f>VLOOKUP($C51,COS!$B$8:$H$991,5,FALSE)</f>
        <v>105.33164978027344</v>
      </c>
      <c r="O51" s="26">
        <f t="shared" si="67"/>
        <v>6.476590697233342</v>
      </c>
      <c r="P51" s="26">
        <f>VLOOKUP($C51,COS!$B$8:$H$991,6,FALSE)</f>
        <v>2210.808349609375</v>
      </c>
      <c r="Q51" s="26">
        <f t="shared" si="68"/>
        <v>135.93730678589876</v>
      </c>
      <c r="R51" s="26">
        <f>MIN(IF(MONTH($C51)=4,$S$3,IF(MONTH($C51)=5,$S$4,IF(MONTH($C51)=6,$S$5,IF(MONTH($C51)=7,$S$6,"ERROR")))),MAX(VLOOKUP($C51,COS!$B$8:$K$991,10,FALSE)-IF(MONTH($C51)=4,$Y$3,IF(MONTH($C51)=5,$Y$4,IF(MONTH($C51)=6,$Y$5,IF(MONTH($C51)=7,$Y$6,"ERROR")))),0),MAX(VLOOKUP($C51,COS!$B$8:$K$991,9,FALSE)-IF(MONTH($C51)=4,$V$3,IF(MONTH($C51)=5,$V$4,IF(MONTH($C51)=6,$V$5,IF(MONTH($C51)=7,$V$6,"ERROR"))))-VLOOKUP($C51,COS!$B$8:$K$991,6,FALSE)/2,0))</f>
        <v>1500</v>
      </c>
      <c r="S51" s="26">
        <f t="shared" si="69"/>
        <v>92.231404958677686</v>
      </c>
      <c r="T51" s="26">
        <f t="shared" si="70"/>
        <v>163.43835370024374</v>
      </c>
      <c r="U51" s="26" t="str">
        <f>IF(VLOOKUP($C51,COS!$B$8:$I$991,8,FALSE)=1,"UWFE","IBU")</f>
        <v>IBU</v>
      </c>
      <c r="V51" s="26">
        <f t="shared" ref="V51" si="72">MIN(IF(IF($AA$3=2,AND(E51=1,G51=1,L51=1,L55=1,M51=1,U51="IBU"),AND(E51=1,G51=1,L51=1,L55=1,M51=1)),T51,0),I51)</f>
        <v>163.43835370024374</v>
      </c>
      <c r="W51" s="26"/>
      <c r="X51" s="26"/>
      <c r="Y51" s="26"/>
      <c r="Z51" s="26"/>
      <c r="AA51" s="26"/>
      <c r="AB51" s="33"/>
      <c r="AC51" s="6"/>
      <c r="AD51" s="43">
        <v>1959</v>
      </c>
      <c r="AE51" s="1">
        <f>VLOOKUP(AD51,Flags!$A$13:$B$95,2,FALSE)</f>
        <v>3</v>
      </c>
      <c r="AF51" s="43">
        <f t="shared" si="6"/>
        <v>504.12418001033052</v>
      </c>
      <c r="AG51" s="43">
        <f t="shared" si="7"/>
        <v>681.42011773227659</v>
      </c>
      <c r="AH51" s="43">
        <f t="shared" si="8"/>
        <v>0</v>
      </c>
      <c r="AI51" s="43">
        <f t="shared" si="9"/>
        <v>22296.30887913223</v>
      </c>
      <c r="AJ51" s="43">
        <f t="shared" si="10"/>
        <v>344.76315813048814</v>
      </c>
      <c r="AK51" s="43">
        <f t="shared" si="1"/>
        <v>180.16086248224431</v>
      </c>
      <c r="AL51" s="43">
        <f t="shared" si="11"/>
        <v>0</v>
      </c>
    </row>
    <row r="52" spans="1:38" x14ac:dyDescent="0.3">
      <c r="A52" s="32">
        <f>VLOOKUP(YEAR(C52),Flags!$A$13:$B$95,2,FALSE)</f>
        <v>4</v>
      </c>
      <c r="B52" s="24">
        <f t="shared" si="2"/>
        <v>1926</v>
      </c>
      <c r="C52" s="25">
        <v>9678</v>
      </c>
      <c r="D52" s="26">
        <f>VLOOKUP($C52,COS!$B$8:$H$991,3,FALSE)</f>
        <v>10166.794921875</v>
      </c>
      <c r="E52" s="24">
        <f>IF(D52&gt;=IF(MONTH($C52)=4,$C$3,IF(MONTH($C52)=5,$C$4,IF(MONTH($C52)=6,$C$5,IF(MONTH($C52)=7,$C$6,"ERROR")))),1,0)</f>
        <v>1</v>
      </c>
      <c r="F52" s="26">
        <f>VLOOKUP($C52,COS!$B$8:$H$991,7,FALSE)</f>
        <v>51.801841735839844</v>
      </c>
      <c r="G52" s="24">
        <f>IF(F52&lt;=IF(MONTH($C52)=4,$F$3,IF(MONTH($C52)=5,$F$4,IF(MONTH($C52)=6,$F$5,IF(MONTH($C52)=7,$F$6,"ERROR")))),1,0)</f>
        <v>1</v>
      </c>
      <c r="H52" s="26">
        <f>IF(J52=1,D52-$C$5,0)</f>
        <v>166.794921875</v>
      </c>
      <c r="I52" s="26">
        <f t="shared" si="17"/>
        <v>9.9249870867768593</v>
      </c>
      <c r="J52" s="24">
        <f t="shared" si="64"/>
        <v>1</v>
      </c>
      <c r="K52" s="26">
        <f>VLOOKUP($C52,COS!$B$8:$H$991,2,FALSE)</f>
        <v>3144.499267578125</v>
      </c>
      <c r="L52" s="24">
        <f t="shared" si="19"/>
        <v>1</v>
      </c>
      <c r="M52" s="24">
        <f t="shared" si="20"/>
        <v>1</v>
      </c>
      <c r="N52" s="26">
        <f>VLOOKUP($C52,COS!$B$8:$H$991,5,FALSE)</f>
        <v>393.1129150390625</v>
      </c>
      <c r="O52" s="26">
        <f t="shared" si="67"/>
        <v>23.391842878357437</v>
      </c>
      <c r="P52" s="26">
        <f>VLOOKUP($C52,COS!$B$8:$H$991,6,FALSE)</f>
        <v>2714.961669921875</v>
      </c>
      <c r="Q52" s="26">
        <f t="shared" si="68"/>
        <v>161.55143821022727</v>
      </c>
      <c r="R52" s="26">
        <f>MIN(IF(MONTH($C52)=4,$S$3,IF(MONTH($C52)=5,$S$4,IF(MONTH($C52)=6,$S$5,IF(MONTH($C52)=7,$S$6,"ERROR")))),MAX(VLOOKUP($C52,COS!$B$8:$K$991,10,FALSE)-IF(MONTH($C52)=4,$Y$3,IF(MONTH($C52)=5,$Y$4,IF(MONTH($C52)=6,$Y$5,IF(MONTH($C52)=7,$Y$6,"ERROR")))),0),MAX(VLOOKUP($C52,COS!$B$8:$K$991,9,FALSE)-IF(MONTH($C52)=4,$V$3,IF(MONTH($C52)=5,$V$4,IF(MONTH($C52)=6,$V$5,IF(MONTH($C52)=7,$V$6,"ERROR"))))-VLOOKUP($C52,COS!$B$8:$K$991,6,FALSE)/2,0))</f>
        <v>1500</v>
      </c>
      <c r="S52" s="26">
        <f t="shared" si="69"/>
        <v>89.256198347107429</v>
      </c>
      <c r="T52" s="26">
        <f t="shared" si="70"/>
        <v>181.72783889139978</v>
      </c>
      <c r="U52" s="26" t="str">
        <f>IF(VLOOKUP($C52,COS!$B$8:$I$991,8,FALSE)=1,"UWFE","IBU")</f>
        <v>IBU</v>
      </c>
      <c r="V52" s="26">
        <f t="shared" ref="V52" si="73">MIN(IF(IF($AA$3=2,AND(E52=1,G52=1,L52=1,L55=1,M52=1,U52="IBU"),AND(E52=1,G52=1,L52=1,L55=1,M52=1)),T52,0),I52)</f>
        <v>9.9249870867768593</v>
      </c>
      <c r="W52" s="26"/>
      <c r="X52" s="26"/>
      <c r="Y52" s="26"/>
      <c r="Z52" s="26"/>
      <c r="AA52" s="26"/>
      <c r="AB52" s="33"/>
      <c r="AC52" s="6"/>
      <c r="AD52" s="43">
        <v>1960</v>
      </c>
      <c r="AE52" s="1">
        <f>VLOOKUP(AD52,Flags!$A$13:$B$95,2,FALSE)</f>
        <v>4</v>
      </c>
      <c r="AF52" s="43">
        <f t="shared" si="6"/>
        <v>382.20118737086773</v>
      </c>
      <c r="AG52" s="43">
        <f t="shared" si="7"/>
        <v>605.60543626265098</v>
      </c>
      <c r="AH52" s="43">
        <f t="shared" si="8"/>
        <v>306.28320308464617</v>
      </c>
      <c r="AI52" s="43">
        <f t="shared" si="9"/>
        <v>22673.423001678719</v>
      </c>
      <c r="AJ52" s="43">
        <f t="shared" si="10"/>
        <v>422.76635379003096</v>
      </c>
      <c r="AK52" s="43">
        <f t="shared" si="1"/>
        <v>263.79778449444728</v>
      </c>
      <c r="AL52" s="43">
        <f t="shared" si="11"/>
        <v>263.79778449444728</v>
      </c>
    </row>
    <row r="53" spans="1:38" x14ac:dyDescent="0.3">
      <c r="A53" s="32">
        <f>VLOOKUP(YEAR(C53),Flags!$A$13:$B$95,2,FALSE)</f>
        <v>4</v>
      </c>
      <c r="B53" s="24">
        <f t="shared" si="2"/>
        <v>1926</v>
      </c>
      <c r="C53" s="25">
        <v>9709</v>
      </c>
      <c r="D53" s="26">
        <f>VLOOKUP($C53,COS!$B$8:$H$991,3,FALSE)</f>
        <v>11392.6767578125</v>
      </c>
      <c r="E53" s="24">
        <f>IF(D53&gt;=IF(MONTH($C53)=4,$C$3,IF(MONTH($C53)=5,$C$4,IF(MONTH($C53)=6,$C$5,IF(MONTH($C53)=7,$C$6,"ERROR")))),1,0)</f>
        <v>0</v>
      </c>
      <c r="F53" s="26">
        <f>VLOOKUP($C53,COS!$B$8:$H$991,7,FALSE)</f>
        <v>53.78912353515625</v>
      </c>
      <c r="G53" s="24">
        <f>IF(F53&lt;=IF(MONTH($C53)=4,$F$3,IF(MONTH($C53)=5,$F$4,IF(MONTH($C53)=6,$F$5,IF(MONTH($C53)=7,$F$6,"ERROR")))),1,0)</f>
        <v>0</v>
      </c>
      <c r="H53" s="26">
        <f>IF(J53=1,D53-$C$6,0)</f>
        <v>0</v>
      </c>
      <c r="I53" s="26">
        <f t="shared" si="17"/>
        <v>0</v>
      </c>
      <c r="J53" s="24">
        <f t="shared" si="64"/>
        <v>0</v>
      </c>
      <c r="K53" s="26">
        <f>VLOOKUP($C53,COS!$B$8:$H$991,2,FALSE)</f>
        <v>2700.429443359375</v>
      </c>
      <c r="L53" s="24">
        <f t="shared" si="19"/>
        <v>1</v>
      </c>
      <c r="M53" s="24">
        <f t="shared" si="20"/>
        <v>1</v>
      </c>
      <c r="N53" s="26">
        <f>VLOOKUP($C53,COS!$B$8:$H$991,5,FALSE)</f>
        <v>430.53424072265625</v>
      </c>
      <c r="O53" s="26">
        <f t="shared" si="67"/>
        <v>26.472518603112086</v>
      </c>
      <c r="P53" s="26">
        <f>VLOOKUP($C53,COS!$B$8:$H$991,6,FALSE)</f>
        <v>2538.07568359375</v>
      </c>
      <c r="Q53" s="26">
        <f t="shared" si="68"/>
        <v>156.06019079287191</v>
      </c>
      <c r="R53" s="26">
        <f>MIN(IF(MONTH($C53)=4,$S$3,IF(MONTH($C53)=5,$S$4,IF(MONTH($C53)=6,$S$5,IF(MONTH($C53)=7,$S$6,"ERROR")))),MAX(VLOOKUP($C53,COS!$B$8:$K$991,10,FALSE)-IF(MONTH($C53)=4,$Y$3,IF(MONTH($C53)=5,$Y$4,IF(MONTH($C53)=6,$Y$5,IF(MONTH($C53)=7,$Y$6,"ERROR")))),0),MAX(VLOOKUP($C53,COS!$B$8:$K$991,9,FALSE)-IF(MONTH($C53)=4,$V$3,IF(MONTH($C53)=5,$V$4,IF(MONTH($C53)=6,$V$5,IF(MONTH($C53)=7,$V$6,"ERROR"))))-VLOOKUP($C53,COS!$B$8:$K$991,6,FALSE)/2,0))</f>
        <v>1500</v>
      </c>
      <c r="S53" s="26">
        <f t="shared" si="69"/>
        <v>92.231404958677686</v>
      </c>
      <c r="T53" s="26">
        <f t="shared" si="70"/>
        <v>183.4977596566697</v>
      </c>
      <c r="U53" s="26" t="str">
        <f>IF(VLOOKUP($C53,COS!$B$8:$I$991,8,FALSE)=1,"UWFE","IBU")</f>
        <v>IBU</v>
      </c>
      <c r="V53" s="26">
        <f t="shared" ref="V53" si="74">MIN(IF(IF($AA$3=2,AND(E53=1,G53=1,L53=1,L55=1,M53=1,U53="IBU"),AND(E53=1,G53=1,L53=1,L55=1,M53=1)),T53,0),I53)</f>
        <v>0</v>
      </c>
      <c r="W53" s="26"/>
      <c r="X53" s="26"/>
      <c r="Y53" s="26"/>
      <c r="Z53" s="26"/>
      <c r="AA53" s="26"/>
      <c r="AB53" s="33"/>
      <c r="AC53" s="6"/>
      <c r="AD53" s="43">
        <v>1961</v>
      </c>
      <c r="AE53" s="1">
        <f>VLOOKUP(AD53,Flags!$A$13:$B$95,2,FALSE)</f>
        <v>4</v>
      </c>
      <c r="AF53" s="43">
        <f t="shared" si="6"/>
        <v>359.59358406508261</v>
      </c>
      <c r="AG53" s="43">
        <f t="shared" si="7"/>
        <v>650.41003054784346</v>
      </c>
      <c r="AH53" s="43">
        <f t="shared" si="8"/>
        <v>192.77386769192276</v>
      </c>
      <c r="AI53" s="43">
        <f t="shared" si="9"/>
        <v>22564.776231275828</v>
      </c>
      <c r="AJ53" s="43">
        <f t="shared" si="10"/>
        <v>593.48291451446278</v>
      </c>
      <c r="AK53" s="43">
        <f t="shared" si="1"/>
        <v>456.66467248837802</v>
      </c>
      <c r="AL53" s="43">
        <f t="shared" si="11"/>
        <v>192.77386769192276</v>
      </c>
    </row>
    <row r="54" spans="1:38" x14ac:dyDescent="0.3">
      <c r="A54" s="32">
        <f>VLOOKUP(YEAR(C54),Flags!$A$13:$B$95,2,FALSE)</f>
        <v>4</v>
      </c>
      <c r="B54" s="24">
        <f t="shared" si="2"/>
        <v>1926</v>
      </c>
      <c r="C54" s="25">
        <v>9740</v>
      </c>
      <c r="D54" s="26"/>
      <c r="E54" s="24"/>
      <c r="F54" s="26"/>
      <c r="G54" s="24"/>
      <c r="H54" s="24"/>
      <c r="I54" s="26"/>
      <c r="J54" s="24"/>
      <c r="K54" s="26"/>
      <c r="L54" s="24"/>
      <c r="M54" s="24"/>
      <c r="N54" s="26"/>
      <c r="O54" s="26"/>
      <c r="P54" s="26"/>
      <c r="Q54" s="26"/>
      <c r="R54" s="26"/>
      <c r="S54" s="26"/>
      <c r="T54" s="26"/>
      <c r="U54" s="26"/>
      <c r="V54" s="26"/>
      <c r="W54" s="26">
        <f>MAX($C$7-VLOOKUP($C54,COS!$B$8:$H$991,3,FALSE),0)</f>
        <v>91690.6279296875</v>
      </c>
      <c r="X54" s="26">
        <f t="shared" si="31"/>
        <v>5637.8369569989663</v>
      </c>
      <c r="Y54" s="26">
        <f>VLOOKUP($C54,COS!$B$8:$H$991,4,FALSE)</f>
        <v>1075.45947265625</v>
      </c>
      <c r="Z54" s="26">
        <f t="shared" si="32"/>
        <v>66.127425426136369</v>
      </c>
      <c r="AA54" s="26">
        <f t="shared" ref="AA54:AA58" si="75">MIN(W54,Y54)</f>
        <v>1075.45947265625</v>
      </c>
      <c r="AB54" s="33">
        <f t="shared" ref="AB54" si="76">AA54*DAY($C54)*86400/43560/1000*IF(MONTH($C54)=8,$P$3,IF(MONTH($C54)=9,$P$4,IF(MONTH($C54)=10,$P$5,IF(MONTH($C54)=11,$P$6,IF(MONTH($C54)=12,$P$7,NA())))))</f>
        <v>66.127425426136369</v>
      </c>
      <c r="AC54" s="6"/>
      <c r="AD54" s="43">
        <v>1962</v>
      </c>
      <c r="AE54" s="1">
        <f>VLOOKUP(AD54,Flags!$A$13:$B$95,2,FALSE)</f>
        <v>3</v>
      </c>
      <c r="AF54" s="43">
        <f t="shared" si="6"/>
        <v>350.84847462551647</v>
      </c>
      <c r="AG54" s="43">
        <f t="shared" si="7"/>
        <v>686.24664181543767</v>
      </c>
      <c r="AH54" s="43">
        <f t="shared" si="8"/>
        <v>0</v>
      </c>
      <c r="AI54" s="43">
        <f t="shared" si="9"/>
        <v>22412.439996771696</v>
      </c>
      <c r="AJ54" s="43">
        <f t="shared" si="10"/>
        <v>20.045821845945248</v>
      </c>
      <c r="AK54" s="43">
        <f t="shared" si="1"/>
        <v>20.045821845945248</v>
      </c>
      <c r="AL54" s="43">
        <f t="shared" si="11"/>
        <v>0</v>
      </c>
    </row>
    <row r="55" spans="1:38" x14ac:dyDescent="0.3">
      <c r="A55" s="32">
        <f>VLOOKUP(YEAR(C55),Flags!$A$13:$B$95,2,FALSE)</f>
        <v>4</v>
      </c>
      <c r="B55" s="24">
        <f t="shared" si="2"/>
        <v>1926</v>
      </c>
      <c r="C55" s="25">
        <v>9770</v>
      </c>
      <c r="D55" s="26"/>
      <c r="E55" s="24"/>
      <c r="F55" s="26"/>
      <c r="G55" s="24"/>
      <c r="H55" s="24"/>
      <c r="I55" s="26"/>
      <c r="J55" s="24"/>
      <c r="K55" s="26">
        <f>VLOOKUP($C55,COS!$B$8:$H$991,2,FALSE)</f>
        <v>2281.95703125</v>
      </c>
      <c r="L55" s="24">
        <f t="shared" ref="L55" si="77">IF(AND(K55&gt;$I$7,K55&lt;$I$8),1,0)</f>
        <v>1</v>
      </c>
      <c r="M55" s="24"/>
      <c r="N55" s="26"/>
      <c r="O55" s="26"/>
      <c r="P55" s="26"/>
      <c r="Q55" s="26"/>
      <c r="R55" s="26"/>
      <c r="S55" s="26"/>
      <c r="T55" s="26"/>
      <c r="U55" s="26"/>
      <c r="V55" s="26"/>
      <c r="W55" s="26">
        <f>MAX($C$8-VLOOKUP($C55,COS!$B$8:$H$991,3,FALSE),0)</f>
        <v>95112.1767578125</v>
      </c>
      <c r="X55" s="26">
        <f t="shared" si="31"/>
        <v>5659.5675426136368</v>
      </c>
      <c r="Y55" s="26">
        <f>VLOOKUP($C55,COS!$B$8:$H$991,4,FALSE)</f>
        <v>1022.280029296875</v>
      </c>
      <c r="Z55" s="26">
        <f t="shared" si="32"/>
        <v>60.829886040805789</v>
      </c>
      <c r="AA55" s="26">
        <f t="shared" si="75"/>
        <v>1022.280029296875</v>
      </c>
      <c r="AB55" s="33">
        <f t="shared" si="34"/>
        <v>60.829886040805789</v>
      </c>
      <c r="AD55" s="43">
        <v>1963</v>
      </c>
      <c r="AE55" s="1">
        <f>VLOOKUP(AD55,Flags!$A$13:$B$95,2,FALSE)</f>
        <v>1</v>
      </c>
      <c r="AF55" s="43">
        <f t="shared" si="6"/>
        <v>1727.2135072314047</v>
      </c>
      <c r="AG55" s="43">
        <f t="shared" si="7"/>
        <v>677.1253517503975</v>
      </c>
      <c r="AH55" s="43">
        <f t="shared" si="8"/>
        <v>0</v>
      </c>
      <c r="AI55" s="43">
        <f t="shared" si="9"/>
        <v>21820.52690760589</v>
      </c>
      <c r="AJ55" s="43">
        <f t="shared" si="10"/>
        <v>160.53308410140107</v>
      </c>
      <c r="AK55" s="43">
        <f t="shared" si="1"/>
        <v>106.14043001033058</v>
      </c>
      <c r="AL55" s="43">
        <f t="shared" si="11"/>
        <v>0</v>
      </c>
    </row>
    <row r="56" spans="1:38" x14ac:dyDescent="0.3">
      <c r="A56" s="32">
        <f>VLOOKUP(YEAR(C56),Flags!$A$13:$B$95,2,FALSE)</f>
        <v>4</v>
      </c>
      <c r="B56" s="24">
        <f t="shared" si="2"/>
        <v>1926</v>
      </c>
      <c r="C56" s="25">
        <v>9801</v>
      </c>
      <c r="D56" s="26"/>
      <c r="E56" s="24"/>
      <c r="F56" s="26"/>
      <c r="G56" s="26"/>
      <c r="H56" s="26"/>
      <c r="I56" s="26"/>
      <c r="J56" s="26"/>
      <c r="K56" s="26"/>
      <c r="L56" s="24"/>
      <c r="M56" s="24"/>
      <c r="N56" s="26"/>
      <c r="O56" s="26"/>
      <c r="P56" s="26"/>
      <c r="Q56" s="26"/>
      <c r="R56" s="26"/>
      <c r="S56" s="26"/>
      <c r="T56" s="26"/>
      <c r="U56" s="26"/>
      <c r="V56" s="26"/>
      <c r="W56" s="26">
        <f>MAX($C$9-VLOOKUP($C56,COS!$B$8:$H$991,3,FALSE),0)</f>
        <v>95397.3447265625</v>
      </c>
      <c r="X56" s="26">
        <f t="shared" si="31"/>
        <v>5865.7540889721076</v>
      </c>
      <c r="Y56" s="26">
        <f>VLOOKUP($C56,COS!$B$8:$H$991,4,FALSE)</f>
        <v>1559.9654541015625</v>
      </c>
      <c r="Z56" s="26">
        <f t="shared" si="32"/>
        <v>95.918537012525817</v>
      </c>
      <c r="AA56" s="26">
        <f t="shared" si="75"/>
        <v>1559.9654541015625</v>
      </c>
      <c r="AB56" s="33">
        <f t="shared" si="34"/>
        <v>95.918537012525817</v>
      </c>
      <c r="AD56" s="43">
        <v>1964</v>
      </c>
      <c r="AE56" s="1">
        <f>VLOOKUP(AD56,Flags!$A$13:$B$95,2,FALSE)</f>
        <v>4</v>
      </c>
      <c r="AF56" s="43">
        <f t="shared" si="6"/>
        <v>202.95327447055786</v>
      </c>
      <c r="AG56" s="43">
        <f t="shared" si="7"/>
        <v>649.6019249782089</v>
      </c>
      <c r="AH56" s="43">
        <f t="shared" si="8"/>
        <v>154.401796875</v>
      </c>
      <c r="AI56" s="43">
        <f t="shared" si="9"/>
        <v>22854.937322766011</v>
      </c>
      <c r="AJ56" s="43">
        <f t="shared" si="10"/>
        <v>318.52011081159606</v>
      </c>
      <c r="AK56" s="43">
        <f t="shared" si="1"/>
        <v>259.26403715779958</v>
      </c>
      <c r="AL56" s="43">
        <f t="shared" si="11"/>
        <v>154.401796875</v>
      </c>
    </row>
    <row r="57" spans="1:38" x14ac:dyDescent="0.3">
      <c r="A57" s="32">
        <f>VLOOKUP(YEAR(C57),Flags!$A$13:$B$95,2,FALSE)</f>
        <v>4</v>
      </c>
      <c r="B57" s="24">
        <f t="shared" si="2"/>
        <v>1926</v>
      </c>
      <c r="C57" s="25">
        <v>9831</v>
      </c>
      <c r="D57" s="26"/>
      <c r="E57" s="24"/>
      <c r="F57" s="26"/>
      <c r="G57" s="26"/>
      <c r="H57" s="26"/>
      <c r="I57" s="26"/>
      <c r="J57" s="26"/>
      <c r="K57" s="26"/>
      <c r="L57" s="24"/>
      <c r="M57" s="24"/>
      <c r="N57" s="26"/>
      <c r="O57" s="26"/>
      <c r="P57" s="26"/>
      <c r="Q57" s="26"/>
      <c r="R57" s="26"/>
      <c r="S57" s="26"/>
      <c r="T57" s="26"/>
      <c r="U57" s="26"/>
      <c r="V57" s="26"/>
      <c r="W57" s="26">
        <f>MAX($C$10-VLOOKUP($C57,COS!$B$8:$H$991,3,FALSE),0)</f>
        <v>96749</v>
      </c>
      <c r="X57" s="26">
        <f t="shared" si="31"/>
        <v>5756.965289256198</v>
      </c>
      <c r="Y57" s="26">
        <f>VLOOKUP($C57,COS!$B$8:$H$991,4,FALSE)</f>
        <v>0</v>
      </c>
      <c r="Z57" s="26">
        <f t="shared" si="32"/>
        <v>0</v>
      </c>
      <c r="AA57" s="26">
        <f t="shared" si="75"/>
        <v>0</v>
      </c>
      <c r="AB57" s="33">
        <f t="shared" si="34"/>
        <v>0</v>
      </c>
      <c r="AD57" s="43">
        <v>1965</v>
      </c>
      <c r="AE57" s="1">
        <f>VLOOKUP(AD57,Flags!$A$13:$B$95,2,FALSE)</f>
        <v>1</v>
      </c>
      <c r="AF57" s="43">
        <f t="shared" si="6"/>
        <v>332.63346364927685</v>
      </c>
      <c r="AG57" s="43">
        <f t="shared" si="7"/>
        <v>667.59995301743174</v>
      </c>
      <c r="AH57" s="43">
        <f t="shared" si="8"/>
        <v>0</v>
      </c>
      <c r="AI57" s="43">
        <f t="shared" si="9"/>
        <v>21882.578600206609</v>
      </c>
      <c r="AJ57" s="43">
        <f t="shared" si="10"/>
        <v>84.214305308948866</v>
      </c>
      <c r="AK57" s="43">
        <f t="shared" si="1"/>
        <v>71.566032654313005</v>
      </c>
      <c r="AL57" s="43">
        <f t="shared" si="11"/>
        <v>0</v>
      </c>
    </row>
    <row r="58" spans="1:38" x14ac:dyDescent="0.3">
      <c r="A58" s="34">
        <f>VLOOKUP(YEAR(C58),Flags!$A$13:$B$95,2,FALSE)</f>
        <v>4</v>
      </c>
      <c r="B58" s="35">
        <f t="shared" si="2"/>
        <v>1926</v>
      </c>
      <c r="C58" s="36">
        <v>9862</v>
      </c>
      <c r="D58" s="37"/>
      <c r="E58" s="35"/>
      <c r="F58" s="37"/>
      <c r="G58" s="37"/>
      <c r="H58" s="37"/>
      <c r="I58" s="37"/>
      <c r="J58" s="37"/>
      <c r="K58" s="37"/>
      <c r="L58" s="35"/>
      <c r="M58" s="35"/>
      <c r="N58" s="37"/>
      <c r="O58" s="37"/>
      <c r="P58" s="37"/>
      <c r="Q58" s="37"/>
      <c r="R58" s="37"/>
      <c r="S58" s="37"/>
      <c r="T58" s="37"/>
      <c r="U58" s="37"/>
      <c r="V58" s="37"/>
      <c r="W58" s="37">
        <f>MAX($C$11-VLOOKUP($C58,COS!$B$8:$H$991,3,FALSE),0)</f>
        <v>0</v>
      </c>
      <c r="X58" s="37">
        <f t="shared" si="31"/>
        <v>0</v>
      </c>
      <c r="Y58" s="37">
        <f>VLOOKUP($C58,COS!$B$8:$H$991,4,FALSE)</f>
        <v>0</v>
      </c>
      <c r="Z58" s="37">
        <f t="shared" si="32"/>
        <v>0</v>
      </c>
      <c r="AA58" s="37">
        <f t="shared" si="75"/>
        <v>0</v>
      </c>
      <c r="AB58" s="38">
        <f t="shared" si="34"/>
        <v>0</v>
      </c>
      <c r="AD58" s="43">
        <v>1966</v>
      </c>
      <c r="AE58" s="1">
        <f>VLOOKUP(AD58,Flags!$A$13:$B$95,2,FALSE)</f>
        <v>3</v>
      </c>
      <c r="AF58" s="43">
        <f t="shared" si="6"/>
        <v>622.64396629648752</v>
      </c>
      <c r="AG58" s="43">
        <f t="shared" si="7"/>
        <v>692.24323587212677</v>
      </c>
      <c r="AH58" s="43">
        <f t="shared" si="8"/>
        <v>0</v>
      </c>
      <c r="AI58" s="43">
        <f t="shared" si="9"/>
        <v>22397.089360149792</v>
      </c>
      <c r="AJ58" s="43">
        <f t="shared" si="10"/>
        <v>202.35919891609635</v>
      </c>
      <c r="AK58" s="43">
        <f t="shared" si="1"/>
        <v>167.80600934998063</v>
      </c>
      <c r="AL58" s="43">
        <f t="shared" si="11"/>
        <v>0</v>
      </c>
    </row>
    <row r="59" spans="1:38" x14ac:dyDescent="0.3">
      <c r="A59" s="27">
        <f>VLOOKUP(YEAR(C59),Flags!$A$13:$B$95,2,FALSE)</f>
        <v>2</v>
      </c>
      <c r="B59" s="28">
        <f t="shared" si="2"/>
        <v>1927</v>
      </c>
      <c r="C59" s="29">
        <v>9982</v>
      </c>
      <c r="D59" s="30">
        <f>VLOOKUP($C59,COS!$B$8:$H$991,3,FALSE)</f>
        <v>9794.8115234375</v>
      </c>
      <c r="E59" s="28">
        <f>IF(D59&gt;=IF(MONTH($C59)=4,$C$3,IF(MONTH($C59)=5,$C$4,IF(MONTH($C59)=6,$C$5,IF(MONTH($C59)=7,$C$6,"ERROR")))),1,0)</f>
        <v>1</v>
      </c>
      <c r="F59" s="30">
        <f>VLOOKUP($C59,COS!$B$8:$H$991,7,FALSE)</f>
        <v>47.578723907470703</v>
      </c>
      <c r="G59" s="28">
        <f>IF(F59&lt;=IF(MONTH($C59)=4,$F$3,IF(MONTH($C59)=5,$F$4,IF(MONTH($C59)=6,$F$5,IF(MONTH($C59)=7,$F$6,"ERROR")))),1,0)</f>
        <v>1</v>
      </c>
      <c r="H59" s="30">
        <f>IF(J59=1,D59-$C$3,0)</f>
        <v>3794.8115234375</v>
      </c>
      <c r="I59" s="30">
        <f t="shared" si="17"/>
        <v>225.8069666838843</v>
      </c>
      <c r="J59" s="28">
        <f t="shared" ref="J59:J62" si="78">IF(AND(E59=1,G59=1),1,0)</f>
        <v>1</v>
      </c>
      <c r="K59" s="30">
        <f>VLOOKUP($C59,COS!$B$8:$H$991,2,FALSE)</f>
        <v>4552</v>
      </c>
      <c r="L59" s="28">
        <f t="shared" ref="L59" si="79">IF(K59&lt;=IF(MONTH($C59)=4,$I$3,IF(MONTH($C59)=5,$I$4,IF(MONTH($C59)=6,$I$5,IF(MONTH($C59)=7,$I$6,"ERROR")))),1,0)</f>
        <v>1</v>
      </c>
      <c r="M59" s="28">
        <f t="shared" ref="M59" si="80">VLOOKUP($A59,$L$3:$M$7,2,FALSE)</f>
        <v>0</v>
      </c>
      <c r="N59" s="30">
        <f>VLOOKUP($C59,COS!$B$8:$H$991,5,FALSE)</f>
        <v>550.79229736328125</v>
      </c>
      <c r="O59" s="30">
        <f t="shared" ref="O59:O62" si="81">N59*DAY($C59)*86400/43560/1000</f>
        <v>32.77441769434401</v>
      </c>
      <c r="P59" s="30">
        <f>VLOOKUP($C59,COS!$B$8:$H$991,6,FALSE)</f>
        <v>486.04421997070313</v>
      </c>
      <c r="Q59" s="30">
        <f t="shared" ref="Q59:Q62" si="82">P59*DAY($C59)*86400/43560/1000</f>
        <v>28.921639535446797</v>
      </c>
      <c r="R59" s="30">
        <f>MIN(IF(MONTH($C59)=4,$S$3,IF(MONTH($C59)=5,$S$4,IF(MONTH($C59)=6,$S$5,IF(MONTH($C59)=7,$S$6,"ERROR")))),MAX(VLOOKUP($C59,COS!$B$8:$K$991,10,FALSE)-IF(MONTH($C59)=4,$Y$3,IF(MONTH($C59)=5,$Y$4,IF(MONTH($C59)=6,$Y$5,IF(MONTH($C59)=7,$Y$6,"ERROR")))),0),MAX(VLOOKUP($C59,COS!$B$8:$K$991,9,FALSE)-IF(MONTH($C59)=4,$V$3,IF(MONTH($C59)=5,$V$4,IF(MONTH($C59)=6,$V$5,IF(MONTH($C59)=7,$V$6,"ERROR"))))-VLOOKUP($C59,COS!$B$8:$K$991,6,FALSE)/2,0))</f>
        <v>1500</v>
      </c>
      <c r="S59" s="30">
        <f t="shared" ref="S59:S62" si="83">R59*DAY($C59)*86400/43560/1000</f>
        <v>89.256198347107429</v>
      </c>
      <c r="T59" s="30">
        <f t="shared" ref="T59:T62" si="84">(O59+Q59)/2+S59</f>
        <v>120.10422696200283</v>
      </c>
      <c r="U59" s="30" t="str">
        <f>IF(VLOOKUP($C59,COS!$B$8:$I$991,8,FALSE)=1,"UWFE","IBU")</f>
        <v>UWFE</v>
      </c>
      <c r="V59" s="30">
        <f t="shared" ref="V59" si="85">MIN(IF(IF($AA$3=2,AND(E59=1,G59=1,L59=1,L64=1,M59=1,U59="IBU"),AND(E59=1,G59=1,L59=1,L64=1,M59=1)),T59,0),I59)</f>
        <v>0</v>
      </c>
      <c r="W59" s="30"/>
      <c r="X59" s="30"/>
      <c r="Y59" s="30"/>
      <c r="Z59" s="30"/>
      <c r="AA59" s="30"/>
      <c r="AB59" s="31"/>
      <c r="AD59" s="43">
        <v>1967</v>
      </c>
      <c r="AE59" s="1">
        <f>VLOOKUP(AD59,Flags!$A$13:$B$95,2,FALSE)</f>
        <v>1</v>
      </c>
      <c r="AF59" s="43">
        <f t="shared" si="6"/>
        <v>650.62075025826448</v>
      </c>
      <c r="AG59" s="43">
        <f t="shared" si="7"/>
        <v>666.82755976905503</v>
      </c>
      <c r="AH59" s="43">
        <f t="shared" si="8"/>
        <v>0</v>
      </c>
      <c r="AI59" s="43">
        <f t="shared" si="9"/>
        <v>21797.730382554237</v>
      </c>
      <c r="AJ59" s="43">
        <f t="shared" si="10"/>
        <v>121.2366370133329</v>
      </c>
      <c r="AK59" s="43">
        <f t="shared" si="1"/>
        <v>69.908479326736824</v>
      </c>
      <c r="AL59" s="43">
        <f t="shared" si="11"/>
        <v>0</v>
      </c>
    </row>
    <row r="60" spans="1:38" x14ac:dyDescent="0.3">
      <c r="A60" s="32">
        <f>VLOOKUP(YEAR(C60),Flags!$A$13:$B$95,2,FALSE)</f>
        <v>2</v>
      </c>
      <c r="B60" s="24">
        <f t="shared" si="2"/>
        <v>1927</v>
      </c>
      <c r="C60" s="25">
        <v>10013</v>
      </c>
      <c r="D60" s="26">
        <f>VLOOKUP($C60,COS!$B$8:$H$991,3,FALSE)</f>
        <v>7714.3828125</v>
      </c>
      <c r="E60" s="24">
        <f>IF(D60&gt;=IF(MONTH($C60)=4,$C$3,IF(MONTH($C60)=5,$C$4,IF(MONTH($C60)=6,$C$5,IF(MONTH($C60)=7,$C$6,"ERROR")))),1,0)</f>
        <v>1</v>
      </c>
      <c r="F60" s="26">
        <f>VLOOKUP($C60,COS!$B$8:$H$991,7,FALSE)</f>
        <v>50.201419830322266</v>
      </c>
      <c r="G60" s="24">
        <f>IF(F60&lt;=IF(MONTH($C60)=4,$F$3,IF(MONTH($C60)=5,$F$4,IF(MONTH($C60)=6,$F$5,IF(MONTH($C60)=7,$F$6,"ERROR")))),1,0)</f>
        <v>1</v>
      </c>
      <c r="H60" s="26">
        <f>IF(J60=1,D60-$C$4,0)</f>
        <v>1714.3828125</v>
      </c>
      <c r="I60" s="26">
        <f t="shared" si="17"/>
        <v>105.4132902892562</v>
      </c>
      <c r="J60" s="24">
        <f t="shared" si="78"/>
        <v>1</v>
      </c>
      <c r="K60" s="26">
        <f>VLOOKUP($C60,COS!$B$8:$H$991,2,FALSE)</f>
        <v>4552</v>
      </c>
      <c r="L60" s="24">
        <f t="shared" si="19"/>
        <v>1</v>
      </c>
      <c r="M60" s="24">
        <f t="shared" si="20"/>
        <v>0</v>
      </c>
      <c r="N60" s="26">
        <f>VLOOKUP($C60,COS!$B$8:$H$991,5,FALSE)</f>
        <v>894.1383056640625</v>
      </c>
      <c r="O60" s="26">
        <f t="shared" si="81"/>
        <v>54.978421439178717</v>
      </c>
      <c r="P60" s="26">
        <f>VLOOKUP($C60,COS!$B$8:$H$991,6,FALSE)</f>
        <v>2249.693359375</v>
      </c>
      <c r="Q60" s="26">
        <f t="shared" si="82"/>
        <v>138.3282528409091</v>
      </c>
      <c r="R60" s="26">
        <f>MIN(IF(MONTH($C60)=4,$S$3,IF(MONTH($C60)=5,$S$4,IF(MONTH($C60)=6,$S$5,IF(MONTH($C60)=7,$S$6,"ERROR")))),MAX(VLOOKUP($C60,COS!$B$8:$K$991,10,FALSE)-IF(MONTH($C60)=4,$Y$3,IF(MONTH($C60)=5,$Y$4,IF(MONTH($C60)=6,$Y$5,IF(MONTH($C60)=7,$Y$6,"ERROR")))),0),MAX(VLOOKUP($C60,COS!$B$8:$K$991,9,FALSE)-IF(MONTH($C60)=4,$V$3,IF(MONTH($C60)=5,$V$4,IF(MONTH($C60)=6,$V$5,IF(MONTH($C60)=7,$V$6,"ERROR"))))-VLOOKUP($C60,COS!$B$8:$K$991,6,FALSE)/2,0))</f>
        <v>1500</v>
      </c>
      <c r="S60" s="26">
        <f t="shared" si="83"/>
        <v>92.231404958677686</v>
      </c>
      <c r="T60" s="26">
        <f t="shared" si="84"/>
        <v>188.88474209872157</v>
      </c>
      <c r="U60" s="26" t="str">
        <f>IF(VLOOKUP($C60,COS!$B$8:$I$991,8,FALSE)=1,"UWFE","IBU")</f>
        <v>UWFE</v>
      </c>
      <c r="V60" s="26">
        <f t="shared" ref="V60" si="86">MIN(IF(IF($AA$3=2,AND(E60=1,G60=1,L60=1,L64=1,M60=1,U60="IBU"),AND(E60=1,G60=1,L60=1,L64=1,M60=1)),T60,0),I60)</f>
        <v>0</v>
      </c>
      <c r="W60" s="26"/>
      <c r="X60" s="26"/>
      <c r="Y60" s="26"/>
      <c r="Z60" s="26"/>
      <c r="AA60" s="26"/>
      <c r="AB60" s="33"/>
      <c r="AD60" s="43">
        <v>1968</v>
      </c>
      <c r="AE60" s="1">
        <f>VLOOKUP(AD60,Flags!$A$13:$B$95,2,FALSE)</f>
        <v>3</v>
      </c>
      <c r="AF60" s="43">
        <f t="shared" si="6"/>
        <v>497.01562403150825</v>
      </c>
      <c r="AG60" s="43">
        <f t="shared" si="7"/>
        <v>644.81326589537048</v>
      </c>
      <c r="AH60" s="43">
        <f t="shared" si="8"/>
        <v>0</v>
      </c>
      <c r="AI60" s="43">
        <f t="shared" si="9"/>
        <v>22802.487009297522</v>
      </c>
      <c r="AJ60" s="43">
        <f t="shared" si="10"/>
        <v>131.14432005827092</v>
      </c>
      <c r="AK60" s="43">
        <f t="shared" si="1"/>
        <v>117.78686721171229</v>
      </c>
      <c r="AL60" s="43">
        <f t="shared" si="11"/>
        <v>0</v>
      </c>
    </row>
    <row r="61" spans="1:38" x14ac:dyDescent="0.3">
      <c r="A61" s="32">
        <f>VLOOKUP(YEAR(C61),Flags!$A$13:$B$95,2,FALSE)</f>
        <v>2</v>
      </c>
      <c r="B61" s="24">
        <f t="shared" si="2"/>
        <v>1927</v>
      </c>
      <c r="C61" s="25">
        <v>10043</v>
      </c>
      <c r="D61" s="26">
        <f>VLOOKUP($C61,COS!$B$8:$H$991,3,FALSE)</f>
        <v>8988.9208984375</v>
      </c>
      <c r="E61" s="24">
        <f>IF(D61&gt;=IF(MONTH($C61)=4,$C$3,IF(MONTH($C61)=5,$C$4,IF(MONTH($C61)=6,$C$5,IF(MONTH($C61)=7,$C$6,"ERROR")))),1,0)</f>
        <v>0</v>
      </c>
      <c r="F61" s="26">
        <f>VLOOKUP($C61,COS!$B$8:$H$991,7,FALSE)</f>
        <v>51.129753112792969</v>
      </c>
      <c r="G61" s="24">
        <f>IF(F61&lt;=IF(MONTH($C61)=4,$F$3,IF(MONTH($C61)=5,$F$4,IF(MONTH($C61)=6,$F$5,IF(MONTH($C61)=7,$F$6,"ERROR")))),1,0)</f>
        <v>1</v>
      </c>
      <c r="H61" s="26">
        <f>IF(J61=1,D61-$C$5,0)</f>
        <v>0</v>
      </c>
      <c r="I61" s="26">
        <f t="shared" si="17"/>
        <v>0</v>
      </c>
      <c r="J61" s="24">
        <f t="shared" si="78"/>
        <v>0</v>
      </c>
      <c r="K61" s="26">
        <f>VLOOKUP($C61,COS!$B$8:$H$991,2,FALSE)</f>
        <v>4290.38525390625</v>
      </c>
      <c r="L61" s="24">
        <f t="shared" si="19"/>
        <v>1</v>
      </c>
      <c r="M61" s="24">
        <f t="shared" si="20"/>
        <v>0</v>
      </c>
      <c r="N61" s="26">
        <f>VLOOKUP($C61,COS!$B$8:$H$991,5,FALSE)</f>
        <v>1054.7291259765625</v>
      </c>
      <c r="O61" s="26">
        <f t="shared" si="81"/>
        <v>62.760741380423553</v>
      </c>
      <c r="P61" s="26">
        <f>VLOOKUP($C61,COS!$B$8:$H$991,6,FALSE)</f>
        <v>2141.721923828125</v>
      </c>
      <c r="Q61" s="26">
        <f t="shared" si="82"/>
        <v>127.44130455836778</v>
      </c>
      <c r="R61" s="26">
        <f>MIN(IF(MONTH($C61)=4,$S$3,IF(MONTH($C61)=5,$S$4,IF(MONTH($C61)=6,$S$5,IF(MONTH($C61)=7,$S$6,"ERROR")))),MAX(VLOOKUP($C61,COS!$B$8:$K$991,10,FALSE)-IF(MONTH($C61)=4,$Y$3,IF(MONTH($C61)=5,$Y$4,IF(MONTH($C61)=6,$Y$5,IF(MONTH($C61)=7,$Y$6,"ERROR")))),0),MAX(VLOOKUP($C61,COS!$B$8:$K$991,9,FALSE)-IF(MONTH($C61)=4,$V$3,IF(MONTH($C61)=5,$V$4,IF(MONTH($C61)=6,$V$5,IF(MONTH($C61)=7,$V$6,"ERROR"))))-VLOOKUP($C61,COS!$B$8:$K$991,6,FALSE)/2,0))</f>
        <v>1500</v>
      </c>
      <c r="S61" s="26">
        <f t="shared" si="83"/>
        <v>89.256198347107429</v>
      </c>
      <c r="T61" s="26">
        <f t="shared" si="84"/>
        <v>184.35722131650311</v>
      </c>
      <c r="U61" s="26" t="str">
        <f>IF(VLOOKUP($C61,COS!$B$8:$I$991,8,FALSE)=1,"UWFE","IBU")</f>
        <v>UWFE</v>
      </c>
      <c r="V61" s="26">
        <f t="shared" ref="V61" si="87">MIN(IF(IF($AA$3=2,AND(E61=1,G61=1,L61=1,L64=1,M61=1,U61="IBU"),AND(E61=1,G61=1,L61=1,L64=1,M61=1)),T61,0),I61)</f>
        <v>0</v>
      </c>
      <c r="W61" s="26"/>
      <c r="X61" s="26"/>
      <c r="Y61" s="26"/>
      <c r="Z61" s="26"/>
      <c r="AA61" s="26"/>
      <c r="AB61" s="33"/>
      <c r="AD61" s="43">
        <v>1969</v>
      </c>
      <c r="AE61" s="1">
        <f>VLOOKUP(AD61,Flags!$A$13:$B$95,2,FALSE)</f>
        <v>1</v>
      </c>
      <c r="AF61" s="43">
        <f t="shared" si="6"/>
        <v>438.45833871384298</v>
      </c>
      <c r="AG61" s="43">
        <f t="shared" si="7"/>
        <v>692.78652045131707</v>
      </c>
      <c r="AH61" s="43">
        <f t="shared" si="8"/>
        <v>0</v>
      </c>
      <c r="AI61" s="43">
        <f t="shared" si="9"/>
        <v>22009.915055849688</v>
      </c>
      <c r="AJ61" s="43">
        <f t="shared" si="10"/>
        <v>17.674964503769047</v>
      </c>
      <c r="AK61" s="43">
        <f t="shared" si="1"/>
        <v>17.674964503769047</v>
      </c>
      <c r="AL61" s="43">
        <f t="shared" si="11"/>
        <v>0</v>
      </c>
    </row>
    <row r="62" spans="1:38" x14ac:dyDescent="0.3">
      <c r="A62" s="32">
        <f>VLOOKUP(YEAR(C62),Flags!$A$13:$B$95,2,FALSE)</f>
        <v>2</v>
      </c>
      <c r="B62" s="24">
        <f t="shared" si="2"/>
        <v>1927</v>
      </c>
      <c r="C62" s="25">
        <v>10074</v>
      </c>
      <c r="D62" s="26">
        <f>VLOOKUP($C62,COS!$B$8:$H$991,3,FALSE)</f>
        <v>16000</v>
      </c>
      <c r="E62" s="24">
        <f>IF(D62&gt;=IF(MONTH($C62)=4,$C$3,IF(MONTH($C62)=5,$C$4,IF(MONTH($C62)=6,$C$5,IF(MONTH($C62)=7,$C$6,"ERROR")))),1,0)</f>
        <v>1</v>
      </c>
      <c r="F62" s="26">
        <f>VLOOKUP($C62,COS!$B$8:$H$991,7,FALSE)</f>
        <v>51.332504272460938</v>
      </c>
      <c r="G62" s="24">
        <f>IF(F62&lt;=IF(MONTH($C62)=4,$F$3,IF(MONTH($C62)=5,$F$4,IF(MONTH($C62)=6,$F$5,IF(MONTH($C62)=7,$F$6,"ERROR")))),1,0)</f>
        <v>1</v>
      </c>
      <c r="H62" s="26">
        <f>IF(J62=1,D62-$C$6,0)</f>
        <v>4000</v>
      </c>
      <c r="I62" s="26">
        <f t="shared" si="17"/>
        <v>245.95041322314049</v>
      </c>
      <c r="J62" s="24">
        <f t="shared" si="78"/>
        <v>1</v>
      </c>
      <c r="K62" s="26">
        <f>VLOOKUP($C62,COS!$B$8:$H$991,2,FALSE)</f>
        <v>3557.699462890625</v>
      </c>
      <c r="L62" s="24">
        <f t="shared" si="19"/>
        <v>1</v>
      </c>
      <c r="M62" s="24">
        <f t="shared" si="20"/>
        <v>0</v>
      </c>
      <c r="N62" s="26">
        <f>VLOOKUP($C62,COS!$B$8:$H$991,5,FALSE)</f>
        <v>1278.4688720703125</v>
      </c>
      <c r="O62" s="26">
        <f t="shared" si="81"/>
        <v>78.609986844653918</v>
      </c>
      <c r="P62" s="26">
        <f>VLOOKUP($C62,COS!$B$8:$H$991,6,FALSE)</f>
        <v>2521.474853515625</v>
      </c>
      <c r="Q62" s="26">
        <f t="shared" si="82"/>
        <v>155.0394455384814</v>
      </c>
      <c r="R62" s="26">
        <f>MIN(IF(MONTH($C62)=4,$S$3,IF(MONTH($C62)=5,$S$4,IF(MONTH($C62)=6,$S$5,IF(MONTH($C62)=7,$S$6,"ERROR")))),MAX(VLOOKUP($C62,COS!$B$8:$K$991,10,FALSE)-IF(MONTH($C62)=4,$Y$3,IF(MONTH($C62)=5,$Y$4,IF(MONTH($C62)=6,$Y$5,IF(MONTH($C62)=7,$Y$6,"ERROR")))),0),MAX(VLOOKUP($C62,COS!$B$8:$K$991,9,FALSE)-IF(MONTH($C62)=4,$V$3,IF(MONTH($C62)=5,$V$4,IF(MONTH($C62)=6,$V$5,IF(MONTH($C62)=7,$V$6,"ERROR"))))-VLOOKUP($C62,COS!$B$8:$K$991,6,FALSE)/2,0))</f>
        <v>1500</v>
      </c>
      <c r="S62" s="26">
        <f t="shared" si="83"/>
        <v>92.231404958677686</v>
      </c>
      <c r="T62" s="26">
        <f t="shared" si="84"/>
        <v>209.05612115024536</v>
      </c>
      <c r="U62" s="26" t="str">
        <f>IF(VLOOKUP($C62,COS!$B$8:$I$991,8,FALSE)=1,"UWFE","IBU")</f>
        <v>IBU</v>
      </c>
      <c r="V62" s="26">
        <f t="shared" ref="V62" si="88">MIN(IF(IF($AA$3=2,AND(E62=1,G62=1,L62=1,L64=1,M62=1,U62="IBU"),AND(E62=1,G62=1,L62=1,L64=1,M62=1)),T62,0),I62)</f>
        <v>0</v>
      </c>
      <c r="W62" s="26"/>
      <c r="X62" s="26"/>
      <c r="Y62" s="26"/>
      <c r="Z62" s="26"/>
      <c r="AA62" s="26"/>
      <c r="AB62" s="33"/>
      <c r="AD62" s="43">
        <v>1970</v>
      </c>
      <c r="AE62" s="1">
        <f>VLOOKUP(AD62,Flags!$A$13:$B$95,2,FALSE)</f>
        <v>1</v>
      </c>
      <c r="AF62" s="43">
        <f t="shared" si="6"/>
        <v>344.98198799070246</v>
      </c>
      <c r="AG62" s="43">
        <f t="shared" si="7"/>
        <v>613.52775824428591</v>
      </c>
      <c r="AH62" s="43">
        <f t="shared" si="8"/>
        <v>0</v>
      </c>
      <c r="AI62" s="43">
        <f t="shared" si="9"/>
        <v>21656.512585227272</v>
      </c>
      <c r="AJ62" s="43">
        <f t="shared" si="10"/>
        <v>170.52140419195507</v>
      </c>
      <c r="AK62" s="43">
        <f t="shared" si="1"/>
        <v>137.42072342297263</v>
      </c>
      <c r="AL62" s="43">
        <f t="shared" si="11"/>
        <v>0</v>
      </c>
    </row>
    <row r="63" spans="1:38" x14ac:dyDescent="0.3">
      <c r="A63" s="32">
        <f>VLOOKUP(YEAR(C63),Flags!$A$13:$B$95,2,FALSE)</f>
        <v>2</v>
      </c>
      <c r="B63" s="24">
        <f t="shared" si="2"/>
        <v>1927</v>
      </c>
      <c r="C63" s="25">
        <v>10105</v>
      </c>
      <c r="D63" s="26"/>
      <c r="E63" s="24"/>
      <c r="F63" s="26"/>
      <c r="G63" s="24"/>
      <c r="H63" s="24"/>
      <c r="I63" s="26"/>
      <c r="J63" s="24"/>
      <c r="K63" s="26"/>
      <c r="L63" s="24"/>
      <c r="M63" s="24"/>
      <c r="N63" s="26"/>
      <c r="O63" s="26"/>
      <c r="P63" s="26"/>
      <c r="Q63" s="26"/>
      <c r="R63" s="26"/>
      <c r="S63" s="26"/>
      <c r="T63" s="26"/>
      <c r="U63" s="26"/>
      <c r="V63" s="26"/>
      <c r="W63" s="26">
        <f>MAX($C$7-VLOOKUP($C63,COS!$B$8:$H$991,3,FALSE),0)</f>
        <v>88882.072265625</v>
      </c>
      <c r="X63" s="26">
        <f t="shared" si="31"/>
        <v>5465.1456004648762</v>
      </c>
      <c r="Y63" s="26">
        <f>VLOOKUP($C63,COS!$B$8:$H$991,4,FALSE)</f>
        <v>131.21571350097656</v>
      </c>
      <c r="Z63" s="26">
        <f t="shared" si="32"/>
        <v>8.0681397392336009</v>
      </c>
      <c r="AA63" s="26">
        <f t="shared" ref="AA63:AA67" si="89">MIN(W63,Y63)</f>
        <v>131.21571350097656</v>
      </c>
      <c r="AB63" s="33">
        <f t="shared" ref="AB63" si="90">AA63*DAY($C63)*86400/43560/1000*IF(MONTH($C63)=8,$P$3,IF(MONTH($C63)=9,$P$4,IF(MONTH($C63)=10,$P$5,IF(MONTH($C63)=11,$P$6,IF(MONTH($C63)=12,$P$7,NA())))))</f>
        <v>8.0681397392336009</v>
      </c>
      <c r="AD63" s="43">
        <v>1971</v>
      </c>
      <c r="AE63" s="1">
        <f>VLOOKUP(AD63,Flags!$A$13:$B$95,2,FALSE)</f>
        <v>1</v>
      </c>
      <c r="AF63" s="43">
        <f t="shared" si="6"/>
        <v>413.69826252582646</v>
      </c>
      <c r="AG63" s="43">
        <f t="shared" si="7"/>
        <v>685.45884684917348</v>
      </c>
      <c r="AH63" s="43">
        <f t="shared" si="8"/>
        <v>0</v>
      </c>
      <c r="AI63" s="43">
        <f t="shared" si="9"/>
        <v>21546.728224431819</v>
      </c>
      <c r="AJ63" s="43">
        <f t="shared" si="10"/>
        <v>198.7760154434078</v>
      </c>
      <c r="AK63" s="43">
        <f t="shared" si="1"/>
        <v>148.09176917210098</v>
      </c>
      <c r="AL63" s="43">
        <f t="shared" si="11"/>
        <v>0</v>
      </c>
    </row>
    <row r="64" spans="1:38" x14ac:dyDescent="0.3">
      <c r="A64" s="32">
        <f>VLOOKUP(YEAR(C64),Flags!$A$13:$B$95,2,FALSE)</f>
        <v>2</v>
      </c>
      <c r="B64" s="24">
        <f t="shared" si="2"/>
        <v>1927</v>
      </c>
      <c r="C64" s="25">
        <v>10135</v>
      </c>
      <c r="D64" s="26"/>
      <c r="E64" s="24"/>
      <c r="F64" s="26"/>
      <c r="G64" s="24"/>
      <c r="H64" s="24"/>
      <c r="I64" s="26"/>
      <c r="J64" s="24"/>
      <c r="K64" s="26">
        <f>VLOOKUP($C64,COS!$B$8:$H$991,2,FALSE)</f>
        <v>2812.22802734375</v>
      </c>
      <c r="L64" s="24">
        <f t="shared" ref="L64" si="91">IF(AND(K64&gt;$I$7,K64&lt;$I$8),1,0)</f>
        <v>1</v>
      </c>
      <c r="M64" s="24"/>
      <c r="N64" s="26"/>
      <c r="O64" s="26"/>
      <c r="P64" s="26"/>
      <c r="Q64" s="26"/>
      <c r="R64" s="26"/>
      <c r="S64" s="26"/>
      <c r="T64" s="26"/>
      <c r="U64" s="26"/>
      <c r="V64" s="26"/>
      <c r="W64" s="26">
        <f>MAX($C$8-VLOOKUP($C64,COS!$B$8:$H$991,3,FALSE),0)</f>
        <v>89196.4267578125</v>
      </c>
      <c r="X64" s="26">
        <f t="shared" si="31"/>
        <v>5307.5559723657025</v>
      </c>
      <c r="Y64" s="26">
        <f>VLOOKUP($C64,COS!$B$8:$H$991,4,FALSE)</f>
        <v>0</v>
      </c>
      <c r="Z64" s="26">
        <f t="shared" si="32"/>
        <v>0</v>
      </c>
      <c r="AA64" s="26">
        <f t="shared" si="89"/>
        <v>0</v>
      </c>
      <c r="AB64" s="33">
        <f t="shared" si="34"/>
        <v>0</v>
      </c>
      <c r="AD64" s="43">
        <v>1972</v>
      </c>
      <c r="AE64" s="1">
        <f>VLOOKUP(AD64,Flags!$A$13:$B$95,2,FALSE)</f>
        <v>3</v>
      </c>
      <c r="AF64" s="43">
        <f t="shared" si="6"/>
        <v>529.18486247417354</v>
      </c>
      <c r="AG64" s="43">
        <f t="shared" si="7"/>
        <v>647.49496554792415</v>
      </c>
      <c r="AH64" s="43">
        <f t="shared" si="8"/>
        <v>0</v>
      </c>
      <c r="AI64" s="43">
        <f t="shared" si="9"/>
        <v>22769.86642271436</v>
      </c>
      <c r="AJ64" s="43">
        <f t="shared" si="10"/>
        <v>297.71753264624226</v>
      </c>
      <c r="AK64" s="43">
        <f t="shared" si="1"/>
        <v>229.24088621029185</v>
      </c>
      <c r="AL64" s="43">
        <f t="shared" si="11"/>
        <v>0</v>
      </c>
    </row>
    <row r="65" spans="1:38" x14ac:dyDescent="0.3">
      <c r="A65" s="32">
        <f>VLOOKUP(YEAR(C65),Flags!$A$13:$B$95,2,FALSE)</f>
        <v>2</v>
      </c>
      <c r="B65" s="24">
        <f t="shared" si="2"/>
        <v>1927</v>
      </c>
      <c r="C65" s="25">
        <v>10166</v>
      </c>
      <c r="D65" s="26"/>
      <c r="E65" s="24"/>
      <c r="F65" s="26"/>
      <c r="G65" s="26"/>
      <c r="H65" s="26"/>
      <c r="I65" s="26"/>
      <c r="J65" s="26"/>
      <c r="K65" s="26"/>
      <c r="L65" s="24"/>
      <c r="M65" s="24"/>
      <c r="N65" s="26"/>
      <c r="O65" s="26"/>
      <c r="P65" s="26"/>
      <c r="Q65" s="26"/>
      <c r="R65" s="26"/>
      <c r="S65" s="26"/>
      <c r="T65" s="26"/>
      <c r="U65" s="26"/>
      <c r="V65" s="26"/>
      <c r="W65" s="26">
        <f>MAX($C$9-VLOOKUP($C65,COS!$B$8:$H$991,3,FALSE),0)</f>
        <v>92950.994140625</v>
      </c>
      <c r="X65" s="26">
        <f t="shared" si="31"/>
        <v>5715.3338545971073</v>
      </c>
      <c r="Y65" s="26">
        <f>VLOOKUP($C65,COS!$B$8:$H$991,4,FALSE)</f>
        <v>958.4876708984375</v>
      </c>
      <c r="Z65" s="26">
        <f t="shared" si="32"/>
        <v>58.935109681689049</v>
      </c>
      <c r="AA65" s="26">
        <f t="shared" si="89"/>
        <v>958.4876708984375</v>
      </c>
      <c r="AB65" s="33">
        <f t="shared" si="34"/>
        <v>58.935109681689049</v>
      </c>
      <c r="AD65" s="43">
        <v>1973</v>
      </c>
      <c r="AE65" s="1">
        <f>VLOOKUP(AD65,Flags!$A$13:$B$95,2,FALSE)</f>
        <v>2</v>
      </c>
      <c r="AF65" s="43">
        <f t="shared" si="6"/>
        <v>456.36225174328513</v>
      </c>
      <c r="AG65" s="43">
        <f t="shared" si="7"/>
        <v>697.35026663788096</v>
      </c>
      <c r="AH65" s="43">
        <f t="shared" si="8"/>
        <v>0</v>
      </c>
      <c r="AI65" s="43">
        <f t="shared" si="9"/>
        <v>21090.299418904957</v>
      </c>
      <c r="AJ65" s="43">
        <f t="shared" si="10"/>
        <v>104.91092460695377</v>
      </c>
      <c r="AK65" s="43">
        <f t="shared" si="1"/>
        <v>104.91092460695377</v>
      </c>
      <c r="AL65" s="43">
        <f t="shared" si="11"/>
        <v>0</v>
      </c>
    </row>
    <row r="66" spans="1:38" x14ac:dyDescent="0.3">
      <c r="A66" s="32">
        <f>VLOOKUP(YEAR(C66),Flags!$A$13:$B$95,2,FALSE)</f>
        <v>2</v>
      </c>
      <c r="B66" s="24">
        <f t="shared" si="2"/>
        <v>1927</v>
      </c>
      <c r="C66" s="25">
        <v>10196</v>
      </c>
      <c r="D66" s="26"/>
      <c r="E66" s="24"/>
      <c r="F66" s="26"/>
      <c r="G66" s="26"/>
      <c r="H66" s="26"/>
      <c r="I66" s="26"/>
      <c r="J66" s="26"/>
      <c r="K66" s="26"/>
      <c r="L66" s="24"/>
      <c r="M66" s="24"/>
      <c r="N66" s="26"/>
      <c r="O66" s="26"/>
      <c r="P66" s="26"/>
      <c r="Q66" s="26"/>
      <c r="R66" s="26"/>
      <c r="S66" s="26"/>
      <c r="T66" s="26"/>
      <c r="U66" s="26"/>
      <c r="V66" s="26"/>
      <c r="W66" s="26">
        <f>MAX($C$10-VLOOKUP($C66,COS!$B$8:$H$991,3,FALSE),0)</f>
        <v>93176.5546875</v>
      </c>
      <c r="X66" s="26">
        <f t="shared" si="31"/>
        <v>5544.3900309917362</v>
      </c>
      <c r="Y66" s="26">
        <f>VLOOKUP($C66,COS!$B$8:$H$991,4,FALSE)</f>
        <v>593.66107177734375</v>
      </c>
      <c r="Z66" s="26">
        <f t="shared" si="32"/>
        <v>35.325286915676656</v>
      </c>
      <c r="AA66" s="26">
        <f t="shared" si="89"/>
        <v>593.66107177734375</v>
      </c>
      <c r="AB66" s="33">
        <f t="shared" si="34"/>
        <v>17.662643457838328</v>
      </c>
      <c r="AD66" s="43">
        <v>1974</v>
      </c>
      <c r="AE66" s="1">
        <f>VLOOKUP(AD66,Flags!$A$13:$B$95,2,FALSE)</f>
        <v>1</v>
      </c>
      <c r="AF66" s="43">
        <f t="shared" si="6"/>
        <v>37.038895273760332</v>
      </c>
      <c r="AG66" s="43">
        <f t="shared" si="7"/>
        <v>679.96204771183739</v>
      </c>
      <c r="AH66" s="43">
        <f t="shared" si="8"/>
        <v>0</v>
      </c>
      <c r="AI66" s="43">
        <f t="shared" si="9"/>
        <v>21548.975072959711</v>
      </c>
      <c r="AJ66" s="43">
        <f t="shared" si="10"/>
        <v>158.65327051588326</v>
      </c>
      <c r="AK66" s="43">
        <f t="shared" si="1"/>
        <v>117.24351901472107</v>
      </c>
      <c r="AL66" s="43">
        <f t="shared" si="11"/>
        <v>0</v>
      </c>
    </row>
    <row r="67" spans="1:38" x14ac:dyDescent="0.3">
      <c r="A67" s="34">
        <f>VLOOKUP(YEAR(C67),Flags!$A$13:$B$95,2,FALSE)</f>
        <v>2</v>
      </c>
      <c r="B67" s="35">
        <f t="shared" si="2"/>
        <v>1927</v>
      </c>
      <c r="C67" s="36">
        <v>10227</v>
      </c>
      <c r="D67" s="37"/>
      <c r="E67" s="35"/>
      <c r="F67" s="37"/>
      <c r="G67" s="37"/>
      <c r="H67" s="37"/>
      <c r="I67" s="37"/>
      <c r="J67" s="37"/>
      <c r="K67" s="37"/>
      <c r="L67" s="35"/>
      <c r="M67" s="35"/>
      <c r="N67" s="37"/>
      <c r="O67" s="37"/>
      <c r="P67" s="37"/>
      <c r="Q67" s="37"/>
      <c r="R67" s="37"/>
      <c r="S67" s="37"/>
      <c r="T67" s="37"/>
      <c r="U67" s="37"/>
      <c r="V67" s="37"/>
      <c r="W67" s="37">
        <f>MAX($C$11-VLOOKUP($C67,COS!$B$8:$H$991,3,FALSE),0)</f>
        <v>0</v>
      </c>
      <c r="X67" s="37">
        <f t="shared" si="31"/>
        <v>0</v>
      </c>
      <c r="Y67" s="37">
        <f>VLOOKUP($C67,COS!$B$8:$H$991,4,FALSE)</f>
        <v>0</v>
      </c>
      <c r="Z67" s="37">
        <f t="shared" si="32"/>
        <v>0</v>
      </c>
      <c r="AA67" s="37">
        <f t="shared" si="89"/>
        <v>0</v>
      </c>
      <c r="AB67" s="38">
        <f t="shared" si="34"/>
        <v>0</v>
      </c>
      <c r="AD67" s="43">
        <v>1975</v>
      </c>
      <c r="AE67" s="1">
        <f>VLOOKUP(AD67,Flags!$A$13:$B$95,2,FALSE)</f>
        <v>1</v>
      </c>
      <c r="AF67" s="43">
        <f t="shared" si="6"/>
        <v>358.21987151342972</v>
      </c>
      <c r="AG67" s="43">
        <f t="shared" si="7"/>
        <v>704.98574924941886</v>
      </c>
      <c r="AH67" s="43">
        <f t="shared" si="8"/>
        <v>0</v>
      </c>
      <c r="AI67" s="43">
        <f t="shared" si="9"/>
        <v>21731.605349302685</v>
      </c>
      <c r="AJ67" s="43">
        <f t="shared" si="10"/>
        <v>123.33492744382747</v>
      </c>
      <c r="AK67" s="43">
        <f t="shared" si="1"/>
        <v>90.435229290418391</v>
      </c>
      <c r="AL67" s="43">
        <f t="shared" si="11"/>
        <v>0</v>
      </c>
    </row>
    <row r="68" spans="1:38" x14ac:dyDescent="0.3">
      <c r="A68" s="27">
        <f>VLOOKUP(YEAR(C68),Flags!$A$13:$B$95,2,FALSE)</f>
        <v>2</v>
      </c>
      <c r="B68" s="28">
        <f t="shared" si="2"/>
        <v>1928</v>
      </c>
      <c r="C68" s="29">
        <v>10348</v>
      </c>
      <c r="D68" s="30">
        <f>VLOOKUP($C68,COS!$B$8:$H$991,3,FALSE)</f>
        <v>3250</v>
      </c>
      <c r="E68" s="28">
        <f>IF(D68&gt;=IF(MONTH($C68)=4,$C$3,IF(MONTH($C68)=5,$C$4,IF(MONTH($C68)=6,$C$5,IF(MONTH($C68)=7,$C$6,"ERROR")))),1,0)</f>
        <v>0</v>
      </c>
      <c r="F68" s="30">
        <f>VLOOKUP($C68,COS!$B$8:$H$991,7,FALSE)</f>
        <v>51.280696868896484</v>
      </c>
      <c r="G68" s="28">
        <f>IF(F68&lt;=IF(MONTH($C68)=4,$F$3,IF(MONTH($C68)=5,$F$4,IF(MONTH($C68)=6,$F$5,IF(MONTH($C68)=7,$F$6,"ERROR")))),1,0)</f>
        <v>1</v>
      </c>
      <c r="H68" s="30">
        <f>IF(J68=1,D68-$C$3,0)</f>
        <v>0</v>
      </c>
      <c r="I68" s="30">
        <f t="shared" si="17"/>
        <v>0</v>
      </c>
      <c r="J68" s="28">
        <f t="shared" ref="J68:J71" si="92">IF(AND(E68=1,G68=1),1,0)</f>
        <v>0</v>
      </c>
      <c r="K68" s="30">
        <f>VLOOKUP($C68,COS!$B$8:$H$991,2,FALSE)</f>
        <v>4536.6591796875</v>
      </c>
      <c r="L68" s="28">
        <f t="shared" ref="L68" si="93">IF(K68&lt;=IF(MONTH($C68)=4,$I$3,IF(MONTH($C68)=5,$I$4,IF(MONTH($C68)=6,$I$5,IF(MONTH($C68)=7,$I$6,"ERROR")))),1,0)</f>
        <v>1</v>
      </c>
      <c r="M68" s="28">
        <f t="shared" ref="M68" si="94">VLOOKUP($A68,$L$3:$M$7,2,FALSE)</f>
        <v>0</v>
      </c>
      <c r="N68" s="30">
        <f>VLOOKUP($C68,COS!$B$8:$H$991,5,FALSE)</f>
        <v>195.05795288085938</v>
      </c>
      <c r="O68" s="30">
        <f t="shared" ref="O68:O71" si="95">N68*DAY($C68)*86400/43560/1000</f>
        <v>11.606754221009815</v>
      </c>
      <c r="P68" s="30">
        <f>VLOOKUP($C68,COS!$B$8:$H$991,6,FALSE)</f>
        <v>419.7452392578125</v>
      </c>
      <c r="Q68" s="30">
        <f t="shared" ref="Q68:Q71" si="96">P68*DAY($C68)*86400/43560/1000</f>
        <v>24.976576220299588</v>
      </c>
      <c r="R68" s="30">
        <f>MIN(IF(MONTH($C68)=4,$S$3,IF(MONTH($C68)=5,$S$4,IF(MONTH($C68)=6,$S$5,IF(MONTH($C68)=7,$S$6,"ERROR")))),MAX(VLOOKUP($C68,COS!$B$8:$K$991,10,FALSE)-IF(MONTH($C68)=4,$Y$3,IF(MONTH($C68)=5,$Y$4,IF(MONTH($C68)=6,$Y$5,IF(MONTH($C68)=7,$Y$6,"ERROR")))),0),MAX(VLOOKUP($C68,COS!$B$8:$K$991,9,FALSE)-IF(MONTH($C68)=4,$V$3,IF(MONTH($C68)=5,$V$4,IF(MONTH($C68)=6,$V$5,IF(MONTH($C68)=7,$V$6,"ERROR"))))-VLOOKUP($C68,COS!$B$8:$K$991,6,FALSE)/2,0))</f>
        <v>1500</v>
      </c>
      <c r="S68" s="30">
        <f t="shared" ref="S68:S71" si="97">R68*DAY($C68)*86400/43560/1000</f>
        <v>89.256198347107429</v>
      </c>
      <c r="T68" s="30">
        <f t="shared" ref="T68:T71" si="98">(O68+Q68)/2+S68</f>
        <v>107.54786356776214</v>
      </c>
      <c r="U68" s="30" t="str">
        <f>IF(VLOOKUP($C68,COS!$B$8:$I$991,8,FALSE)=1,"UWFE","IBU")</f>
        <v>UWFE</v>
      </c>
      <c r="V68" s="30">
        <f t="shared" ref="V68" si="99">MIN(IF(IF($AA$3=2,AND(E68=1,G68=1,L68=1,L73=1,M68=1,U68="IBU"),AND(E68=1,G68=1,L68=1,L73=1,M68=1)),T68,0),I68)</f>
        <v>0</v>
      </c>
      <c r="W68" s="30"/>
      <c r="X68" s="30"/>
      <c r="Y68" s="30"/>
      <c r="Z68" s="30"/>
      <c r="AA68" s="30"/>
      <c r="AB68" s="31"/>
      <c r="AD68" s="44">
        <v>1976</v>
      </c>
      <c r="AE68" s="45">
        <f>VLOOKUP(AD68,Flags!$A$13:$B$95,2,FALSE)</f>
        <v>4</v>
      </c>
      <c r="AF68" s="44">
        <f t="shared" si="6"/>
        <v>250.9674774018595</v>
      </c>
      <c r="AG68" s="44">
        <f t="shared" si="7"/>
        <v>607.49359581813337</v>
      </c>
      <c r="AH68" s="44">
        <f t="shared" si="8"/>
        <v>172.01439102551169</v>
      </c>
      <c r="AI68" s="44">
        <f t="shared" si="9"/>
        <v>22584.217981340393</v>
      </c>
      <c r="AJ68" s="44">
        <f t="shared" si="10"/>
        <v>561.13268578899783</v>
      </c>
      <c r="AK68" s="44">
        <f t="shared" si="1"/>
        <v>367.72266545067146</v>
      </c>
      <c r="AL68" s="44">
        <f t="shared" si="11"/>
        <v>172.01439102551169</v>
      </c>
    </row>
    <row r="69" spans="1:38" x14ac:dyDescent="0.3">
      <c r="A69" s="32">
        <f>VLOOKUP(YEAR(C69),Flags!$A$13:$B$95,2,FALSE)</f>
        <v>2</v>
      </c>
      <c r="B69" s="24">
        <f t="shared" si="2"/>
        <v>1928</v>
      </c>
      <c r="C69" s="25">
        <v>10379</v>
      </c>
      <c r="D69" s="26">
        <f>VLOOKUP($C69,COS!$B$8:$H$991,3,FALSE)</f>
        <v>7197.19873046875</v>
      </c>
      <c r="E69" s="24">
        <f>IF(D69&gt;=IF(MONTH($C69)=4,$C$3,IF(MONTH($C69)=5,$C$4,IF(MONTH($C69)=6,$C$5,IF(MONTH($C69)=7,$C$6,"ERROR")))),1,0)</f>
        <v>1</v>
      </c>
      <c r="F69" s="26">
        <f>VLOOKUP($C69,COS!$B$8:$H$991,7,FALSE)</f>
        <v>51.672935485839844</v>
      </c>
      <c r="G69" s="24">
        <f>IF(F69&lt;=IF(MONTH($C69)=4,$F$3,IF(MONTH($C69)=5,$F$4,IF(MONTH($C69)=6,$F$5,IF(MONTH($C69)=7,$F$6,"ERROR")))),1,0)</f>
        <v>1</v>
      </c>
      <c r="H69" s="26">
        <f>IF(J69=1,D69-$C$4,0)</f>
        <v>1197.19873046875</v>
      </c>
      <c r="I69" s="26">
        <f t="shared" si="17"/>
        <v>73.612880617252074</v>
      </c>
      <c r="J69" s="24">
        <f t="shared" si="92"/>
        <v>1</v>
      </c>
      <c r="K69" s="26">
        <f>VLOOKUP($C69,COS!$B$8:$H$991,2,FALSE)</f>
        <v>4435.58349609375</v>
      </c>
      <c r="L69" s="24">
        <f t="shared" si="19"/>
        <v>1</v>
      </c>
      <c r="M69" s="24">
        <f t="shared" si="20"/>
        <v>0</v>
      </c>
      <c r="N69" s="26">
        <f>VLOOKUP($C69,COS!$B$8:$H$991,5,FALSE)</f>
        <v>357.50259399414063</v>
      </c>
      <c r="O69" s="26">
        <f t="shared" si="95"/>
        <v>21.981977680300879</v>
      </c>
      <c r="P69" s="26">
        <f>VLOOKUP($C69,COS!$B$8:$H$991,6,FALSE)</f>
        <v>2314.501708984375</v>
      </c>
      <c r="Q69" s="26">
        <f t="shared" si="96"/>
        <v>142.31316293259297</v>
      </c>
      <c r="R69" s="26">
        <f>MIN(IF(MONTH($C69)=4,$S$3,IF(MONTH($C69)=5,$S$4,IF(MONTH($C69)=6,$S$5,IF(MONTH($C69)=7,$S$6,"ERROR")))),MAX(VLOOKUP($C69,COS!$B$8:$K$991,10,FALSE)-IF(MONTH($C69)=4,$Y$3,IF(MONTH($C69)=5,$Y$4,IF(MONTH($C69)=6,$Y$5,IF(MONTH($C69)=7,$Y$6,"ERROR")))),0),MAX(VLOOKUP($C69,COS!$B$8:$K$991,9,FALSE)-IF(MONTH($C69)=4,$V$3,IF(MONTH($C69)=5,$V$4,IF(MONTH($C69)=6,$V$5,IF(MONTH($C69)=7,$V$6,"ERROR"))))-VLOOKUP($C69,COS!$B$8:$K$991,6,FALSE)/2,0))</f>
        <v>1500</v>
      </c>
      <c r="S69" s="26">
        <f t="shared" si="97"/>
        <v>92.231404958677686</v>
      </c>
      <c r="T69" s="26">
        <f t="shared" si="98"/>
        <v>174.37897526512461</v>
      </c>
      <c r="U69" s="26" t="str">
        <f>IF(VLOOKUP($C69,COS!$B$8:$I$991,8,FALSE)=1,"UWFE","IBU")</f>
        <v>UWFE</v>
      </c>
      <c r="V69" s="26">
        <f t="shared" ref="V69" si="100">MIN(IF(IF($AA$3=2,AND(E69=1,G69=1,L69=1,L73=1,M69=1,U69="IBU"),AND(E69=1,G69=1,L69=1,L73=1,M69=1)),T69,0),I69)</f>
        <v>0</v>
      </c>
      <c r="W69" s="26"/>
      <c r="X69" s="26"/>
      <c r="Y69" s="26"/>
      <c r="Z69" s="26"/>
      <c r="AA69" s="26"/>
      <c r="AB69" s="33"/>
      <c r="AD69" s="44">
        <v>1977</v>
      </c>
      <c r="AE69" s="45">
        <f>VLOOKUP(AD69,Flags!$A$13:$B$95,2,FALSE)</f>
        <v>5</v>
      </c>
      <c r="AF69" s="44">
        <f t="shared" si="6"/>
        <v>196.3267368285124</v>
      </c>
      <c r="AG69" s="44">
        <f t="shared" si="7"/>
        <v>601.92241988252999</v>
      </c>
      <c r="AH69" s="44">
        <f t="shared" si="8"/>
        <v>196.3267368285124</v>
      </c>
      <c r="AI69" s="44">
        <f t="shared" si="9"/>
        <v>22792.24397727273</v>
      </c>
      <c r="AJ69" s="44">
        <f t="shared" si="10"/>
        <v>635.35222042871908</v>
      </c>
      <c r="AK69" s="44">
        <f t="shared" si="1"/>
        <v>469.61289998708685</v>
      </c>
      <c r="AL69" s="44">
        <f t="shared" si="11"/>
        <v>196.3267368285124</v>
      </c>
    </row>
    <row r="70" spans="1:38" x14ac:dyDescent="0.3">
      <c r="A70" s="32">
        <f>VLOOKUP(YEAR(C70),Flags!$A$13:$B$95,2,FALSE)</f>
        <v>2</v>
      </c>
      <c r="B70" s="24">
        <f t="shared" si="2"/>
        <v>1928</v>
      </c>
      <c r="C70" s="25">
        <v>10409</v>
      </c>
      <c r="D70" s="26">
        <f>VLOOKUP($C70,COS!$B$8:$H$991,3,FALSE)</f>
        <v>13547.318359375</v>
      </c>
      <c r="E70" s="24">
        <f>IF(D70&gt;=IF(MONTH($C70)=4,$C$3,IF(MONTH($C70)=5,$C$4,IF(MONTH($C70)=6,$C$5,IF(MONTH($C70)=7,$C$6,"ERROR")))),1,0)</f>
        <v>1</v>
      </c>
      <c r="F70" s="26">
        <f>VLOOKUP($C70,COS!$B$8:$H$991,7,FALSE)</f>
        <v>51.193431854248047</v>
      </c>
      <c r="G70" s="24">
        <f>IF(F70&lt;=IF(MONTH($C70)=4,$F$3,IF(MONTH($C70)=5,$F$4,IF(MONTH($C70)=6,$F$5,IF(MONTH($C70)=7,$F$6,"ERROR")))),1,0)</f>
        <v>1</v>
      </c>
      <c r="H70" s="26">
        <f>IF(J70=1,D70-$C$5,0)</f>
        <v>3547.318359375</v>
      </c>
      <c r="I70" s="26">
        <f t="shared" si="17"/>
        <v>211.0801007231405</v>
      </c>
      <c r="J70" s="24">
        <f t="shared" si="92"/>
        <v>1</v>
      </c>
      <c r="K70" s="26">
        <f>VLOOKUP($C70,COS!$B$8:$H$991,2,FALSE)</f>
        <v>3819.055419921875</v>
      </c>
      <c r="L70" s="24">
        <f t="shared" si="19"/>
        <v>1</v>
      </c>
      <c r="M70" s="24">
        <f t="shared" si="20"/>
        <v>0</v>
      </c>
      <c r="N70" s="26">
        <f>VLOOKUP($C70,COS!$B$8:$H$991,5,FALSE)</f>
        <v>655.33172607421875</v>
      </c>
      <c r="O70" s="26">
        <f t="shared" si="95"/>
        <v>38.994945683755162</v>
      </c>
      <c r="P70" s="26">
        <f>VLOOKUP($C70,COS!$B$8:$H$991,6,FALSE)</f>
        <v>2329.183349609375</v>
      </c>
      <c r="Q70" s="26">
        <f t="shared" si="96"/>
        <v>138.59603402634298</v>
      </c>
      <c r="R70" s="26">
        <f>MIN(IF(MONTH($C70)=4,$S$3,IF(MONTH($C70)=5,$S$4,IF(MONTH($C70)=6,$S$5,IF(MONTH($C70)=7,$S$6,"ERROR")))),MAX(VLOOKUP($C70,COS!$B$8:$K$991,10,FALSE)-IF(MONTH($C70)=4,$Y$3,IF(MONTH($C70)=5,$Y$4,IF(MONTH($C70)=6,$Y$5,IF(MONTH($C70)=7,$Y$6,"ERROR")))),0),MAX(VLOOKUP($C70,COS!$B$8:$K$991,9,FALSE)-IF(MONTH($C70)=4,$V$3,IF(MONTH($C70)=5,$V$4,IF(MONTH($C70)=6,$V$5,IF(MONTH($C70)=7,$V$6,"ERROR"))))-VLOOKUP($C70,COS!$B$8:$K$991,6,FALSE)/2,0))</f>
        <v>1500</v>
      </c>
      <c r="S70" s="26">
        <f t="shared" si="97"/>
        <v>89.256198347107429</v>
      </c>
      <c r="T70" s="26">
        <f t="shared" si="98"/>
        <v>178.0516882021565</v>
      </c>
      <c r="U70" s="26" t="str">
        <f>IF(VLOOKUP($C70,COS!$B$8:$I$991,8,FALSE)=1,"UWFE","IBU")</f>
        <v>IBU</v>
      </c>
      <c r="V70" s="26">
        <f t="shared" ref="V70" si="101">MIN(IF(IF($AA$3=2,AND(E70=1,G70=1,L70=1,L73=1,M70=1,U70="IBU"),AND(E70=1,G70=1,L70=1,L73=1,M70=1)),T70,0),I70)</f>
        <v>0</v>
      </c>
      <c r="W70" s="26"/>
      <c r="X70" s="26"/>
      <c r="Y70" s="26"/>
      <c r="Z70" s="26"/>
      <c r="AA70" s="26"/>
      <c r="AB70" s="33"/>
      <c r="AD70" s="43">
        <v>1978</v>
      </c>
      <c r="AE70" s="1">
        <f>VLOOKUP(AD70,Flags!$A$13:$B$95,2,FALSE)</f>
        <v>2</v>
      </c>
      <c r="AF70" s="43">
        <f t="shared" si="6"/>
        <v>217.96352595557852</v>
      </c>
      <c r="AG70" s="43">
        <f t="shared" si="7"/>
        <v>695.25521309025021</v>
      </c>
      <c r="AH70" s="43">
        <f t="shared" si="8"/>
        <v>0</v>
      </c>
      <c r="AI70" s="43">
        <f t="shared" si="9"/>
        <v>22304.191515689567</v>
      </c>
      <c r="AJ70" s="43">
        <f t="shared" si="10"/>
        <v>86.702932471913741</v>
      </c>
      <c r="AK70" s="43">
        <f t="shared" si="1"/>
        <v>43.28008670018724</v>
      </c>
      <c r="AL70" s="43">
        <f t="shared" si="11"/>
        <v>0</v>
      </c>
    </row>
    <row r="71" spans="1:38" x14ac:dyDescent="0.3">
      <c r="A71" s="32">
        <f>VLOOKUP(YEAR(C71),Flags!$A$13:$B$95,2,FALSE)</f>
        <v>2</v>
      </c>
      <c r="B71" s="24">
        <f t="shared" si="2"/>
        <v>1928</v>
      </c>
      <c r="C71" s="25">
        <v>10440</v>
      </c>
      <c r="D71" s="26">
        <f>VLOOKUP($C71,COS!$B$8:$H$991,3,FALSE)</f>
        <v>16000</v>
      </c>
      <c r="E71" s="24">
        <f>IF(D71&gt;=IF(MONTH($C71)=4,$C$3,IF(MONTH($C71)=5,$C$4,IF(MONTH($C71)=6,$C$5,IF(MONTH($C71)=7,$C$6,"ERROR")))),1,0)</f>
        <v>1</v>
      </c>
      <c r="F71" s="26">
        <f>VLOOKUP($C71,COS!$B$8:$H$991,7,FALSE)</f>
        <v>52.268638610839844</v>
      </c>
      <c r="G71" s="24">
        <f>IF(F71&lt;=IF(MONTH($C71)=4,$F$3,IF(MONTH($C71)=5,$F$4,IF(MONTH($C71)=6,$F$5,IF(MONTH($C71)=7,$F$6,"ERROR")))),1,0)</f>
        <v>1</v>
      </c>
      <c r="H71" s="26">
        <f>IF(J71=1,D71-$C$6,0)</f>
        <v>4000</v>
      </c>
      <c r="I71" s="26">
        <f t="shared" si="17"/>
        <v>245.95041322314049</v>
      </c>
      <c r="J71" s="24">
        <f t="shared" si="92"/>
        <v>1</v>
      </c>
      <c r="K71" s="26">
        <f>VLOOKUP($C71,COS!$B$8:$H$991,2,FALSE)</f>
        <v>3098.602294921875</v>
      </c>
      <c r="L71" s="24">
        <f t="shared" si="19"/>
        <v>1</v>
      </c>
      <c r="M71" s="24">
        <f t="shared" si="20"/>
        <v>0</v>
      </c>
      <c r="N71" s="26">
        <f>VLOOKUP($C71,COS!$B$8:$H$991,5,FALSE)</f>
        <v>724.34930419921875</v>
      </c>
      <c r="O71" s="26">
        <f t="shared" si="95"/>
        <v>44.538502671423039</v>
      </c>
      <c r="P71" s="26">
        <f>VLOOKUP($C71,COS!$B$8:$H$991,6,FALSE)</f>
        <v>2562.892822265625</v>
      </c>
      <c r="Q71" s="26">
        <f t="shared" si="96"/>
        <v>157.58613717071282</v>
      </c>
      <c r="R71" s="26">
        <f>MIN(IF(MONTH($C71)=4,$S$3,IF(MONTH($C71)=5,$S$4,IF(MONTH($C71)=6,$S$5,IF(MONTH($C71)=7,$S$6,"ERROR")))),MAX(VLOOKUP($C71,COS!$B$8:$K$991,10,FALSE)-IF(MONTH($C71)=4,$Y$3,IF(MONTH($C71)=5,$Y$4,IF(MONTH($C71)=6,$Y$5,IF(MONTH($C71)=7,$Y$6,"ERROR")))),0),MAX(VLOOKUP($C71,COS!$B$8:$K$991,9,FALSE)-IF(MONTH($C71)=4,$V$3,IF(MONTH($C71)=5,$V$4,IF(MONTH($C71)=6,$V$5,IF(MONTH($C71)=7,$V$6,"ERROR"))))-VLOOKUP($C71,COS!$B$8:$K$991,6,FALSE)/2,0))</f>
        <v>1500</v>
      </c>
      <c r="S71" s="26">
        <f t="shared" si="97"/>
        <v>92.231404958677686</v>
      </c>
      <c r="T71" s="26">
        <f t="shared" si="98"/>
        <v>193.29372487974561</v>
      </c>
      <c r="U71" s="26" t="str">
        <f>IF(VLOOKUP($C71,COS!$B$8:$I$991,8,FALSE)=1,"UWFE","IBU")</f>
        <v>IBU</v>
      </c>
      <c r="V71" s="26">
        <f t="shared" ref="V71" si="102">MIN(IF(IF($AA$3=2,AND(E71=1,G71=1,L71=1,L73=1,M71=1,U71="IBU"),AND(E71=1,G71=1,L71=1,L73=1,M71=1)),T71,0),I71)</f>
        <v>0</v>
      </c>
      <c r="W71" s="26"/>
      <c r="X71" s="26"/>
      <c r="Y71" s="26"/>
      <c r="Z71" s="26"/>
      <c r="AA71" s="26"/>
      <c r="AB71" s="33"/>
      <c r="AD71" s="43">
        <v>1979</v>
      </c>
      <c r="AE71" s="1">
        <f>VLOOKUP(AD71,Flags!$A$13:$B$95,2,FALSE)</f>
        <v>4</v>
      </c>
      <c r="AF71" s="43">
        <f t="shared" si="6"/>
        <v>34.877614927685947</v>
      </c>
      <c r="AG71" s="43">
        <f t="shared" si="7"/>
        <v>653.80688880100729</v>
      </c>
      <c r="AH71" s="43">
        <f t="shared" si="8"/>
        <v>34.877614927685947</v>
      </c>
      <c r="AI71" s="43">
        <f t="shared" si="9"/>
        <v>22800.976620286674</v>
      </c>
      <c r="AJ71" s="43">
        <f t="shared" si="10"/>
        <v>125.50075800619835</v>
      </c>
      <c r="AK71" s="43">
        <f t="shared" si="1"/>
        <v>89.011875484245877</v>
      </c>
      <c r="AL71" s="43">
        <f t="shared" si="11"/>
        <v>34.877614927685947</v>
      </c>
    </row>
    <row r="72" spans="1:38" x14ac:dyDescent="0.3">
      <c r="A72" s="32">
        <f>VLOOKUP(YEAR(C72),Flags!$A$13:$B$95,2,FALSE)</f>
        <v>2</v>
      </c>
      <c r="B72" s="24">
        <f t="shared" si="2"/>
        <v>1928</v>
      </c>
      <c r="C72" s="25">
        <v>10471</v>
      </c>
      <c r="D72" s="26"/>
      <c r="E72" s="24"/>
      <c r="F72" s="26"/>
      <c r="G72" s="24"/>
      <c r="H72" s="24"/>
      <c r="I72" s="26"/>
      <c r="J72" s="24"/>
      <c r="K72" s="26"/>
      <c r="L72" s="24"/>
      <c r="M72" s="24"/>
      <c r="N72" s="26"/>
      <c r="O72" s="26"/>
      <c r="P72" s="26"/>
      <c r="Q72" s="26"/>
      <c r="R72" s="26"/>
      <c r="S72" s="26"/>
      <c r="T72" s="26"/>
      <c r="U72" s="26"/>
      <c r="V72" s="26"/>
      <c r="W72" s="26">
        <f>MAX($C$7-VLOOKUP($C72,COS!$B$8:$H$991,3,FALSE),0)</f>
        <v>87836.8740234375</v>
      </c>
      <c r="X72" s="26">
        <f t="shared" si="31"/>
        <v>5400.8788655733479</v>
      </c>
      <c r="Y72" s="26">
        <f>VLOOKUP($C72,COS!$B$8:$H$991,4,FALSE)</f>
        <v>4.0736780166625977</v>
      </c>
      <c r="Z72" s="26">
        <f t="shared" si="32"/>
        <v>0.25048069788404731</v>
      </c>
      <c r="AA72" s="26">
        <f t="shared" ref="AA72:AA76" si="103">MIN(W72,Y72)</f>
        <v>4.0736780166625977</v>
      </c>
      <c r="AB72" s="33">
        <f t="shared" ref="AB72" si="104">AA72*DAY($C72)*86400/43560/1000*IF(MONTH($C72)=8,$P$3,IF(MONTH($C72)=9,$P$4,IF(MONTH($C72)=10,$P$5,IF(MONTH($C72)=11,$P$6,IF(MONTH($C72)=12,$P$7,NA())))))</f>
        <v>0.25048069788404731</v>
      </c>
      <c r="AD72" s="43">
        <v>1980</v>
      </c>
      <c r="AE72" s="1">
        <f>VLOOKUP(AD72,Flags!$A$13:$B$95,2,FALSE)</f>
        <v>2</v>
      </c>
      <c r="AF72" s="43">
        <f t="shared" si="6"/>
        <v>40.083372288223138</v>
      </c>
      <c r="AG72" s="43">
        <f t="shared" si="7"/>
        <v>678.40361045648251</v>
      </c>
      <c r="AH72" s="43">
        <f t="shared" si="8"/>
        <v>0</v>
      </c>
      <c r="AI72" s="43">
        <f t="shared" si="9"/>
        <v>22086.019861828514</v>
      </c>
      <c r="AJ72" s="43">
        <f t="shared" si="10"/>
        <v>39.282558795519115</v>
      </c>
      <c r="AK72" s="43">
        <f t="shared" si="1"/>
        <v>31.817970333887526</v>
      </c>
      <c r="AL72" s="43">
        <f t="shared" si="11"/>
        <v>0</v>
      </c>
    </row>
    <row r="73" spans="1:38" x14ac:dyDescent="0.3">
      <c r="A73" s="32">
        <f>VLOOKUP(YEAR(C73),Flags!$A$13:$B$95,2,FALSE)</f>
        <v>2</v>
      </c>
      <c r="B73" s="24">
        <f t="shared" si="2"/>
        <v>1928</v>
      </c>
      <c r="C73" s="25">
        <v>10501</v>
      </c>
      <c r="D73" s="26"/>
      <c r="E73" s="24"/>
      <c r="F73" s="26"/>
      <c r="G73" s="24"/>
      <c r="H73" s="24"/>
      <c r="I73" s="26"/>
      <c r="J73" s="24"/>
      <c r="K73" s="26">
        <f>VLOOKUP($C73,COS!$B$8:$H$991,2,FALSE)</f>
        <v>2247.118896484375</v>
      </c>
      <c r="L73" s="24">
        <f t="shared" ref="L73" si="105">IF(AND(K73&gt;$I$7,K73&lt;$I$8),1,0)</f>
        <v>1</v>
      </c>
      <c r="M73" s="24"/>
      <c r="N73" s="26"/>
      <c r="O73" s="26"/>
      <c r="P73" s="26"/>
      <c r="Q73" s="26"/>
      <c r="R73" s="26"/>
      <c r="S73" s="26"/>
      <c r="T73" s="26"/>
      <c r="U73" s="26"/>
      <c r="V73" s="26"/>
      <c r="W73" s="26">
        <f>MAX($C$8-VLOOKUP($C73,COS!$B$8:$H$991,3,FALSE),0)</f>
        <v>87919.5517578125</v>
      </c>
      <c r="X73" s="26">
        <f t="shared" si="31"/>
        <v>5231.5766335227272</v>
      </c>
      <c r="Y73" s="26">
        <f>VLOOKUP($C73,COS!$B$8:$H$991,4,FALSE)</f>
        <v>0</v>
      </c>
      <c r="Z73" s="26">
        <f t="shared" si="32"/>
        <v>0</v>
      </c>
      <c r="AA73" s="26">
        <f t="shared" si="103"/>
        <v>0</v>
      </c>
      <c r="AB73" s="33">
        <f t="shared" si="34"/>
        <v>0</v>
      </c>
      <c r="AD73" s="43">
        <v>1981</v>
      </c>
      <c r="AE73" s="1">
        <f>VLOOKUP(AD73,Flags!$A$13:$B$95,2,FALSE)</f>
        <v>4</v>
      </c>
      <c r="AF73" s="43">
        <f t="shared" si="6"/>
        <v>591.60021791064048</v>
      </c>
      <c r="AG73" s="43">
        <f t="shared" si="7"/>
        <v>674.76521393578901</v>
      </c>
      <c r="AH73" s="43">
        <f t="shared" si="8"/>
        <v>493.14746985569474</v>
      </c>
      <c r="AI73" s="43">
        <f t="shared" si="9"/>
        <v>22629.243027989411</v>
      </c>
      <c r="AJ73" s="43">
        <f t="shared" si="10"/>
        <v>328.53171665160124</v>
      </c>
      <c r="AK73" s="43">
        <f t="shared" si="1"/>
        <v>328.53171665160124</v>
      </c>
      <c r="AL73" s="43">
        <f t="shared" si="11"/>
        <v>328.53171665160124</v>
      </c>
    </row>
    <row r="74" spans="1:38" x14ac:dyDescent="0.3">
      <c r="A74" s="32">
        <f>VLOOKUP(YEAR(C74),Flags!$A$13:$B$95,2,FALSE)</f>
        <v>2</v>
      </c>
      <c r="B74" s="24">
        <f t="shared" si="2"/>
        <v>1928</v>
      </c>
      <c r="C74" s="25">
        <v>10532</v>
      </c>
      <c r="D74" s="26"/>
      <c r="E74" s="24"/>
      <c r="F74" s="26"/>
      <c r="G74" s="26"/>
      <c r="H74" s="26"/>
      <c r="I74" s="26"/>
      <c r="J74" s="26"/>
      <c r="K74" s="26"/>
      <c r="L74" s="24"/>
      <c r="M74" s="24"/>
      <c r="N74" s="26"/>
      <c r="O74" s="26"/>
      <c r="P74" s="26"/>
      <c r="Q74" s="26"/>
      <c r="R74" s="26"/>
      <c r="S74" s="26"/>
      <c r="T74" s="26"/>
      <c r="U74" s="26"/>
      <c r="V74" s="26"/>
      <c r="W74" s="26">
        <f>MAX($C$9-VLOOKUP($C74,COS!$B$8:$H$991,3,FALSE),0)</f>
        <v>91149.44921875</v>
      </c>
      <c r="X74" s="26">
        <f t="shared" si="31"/>
        <v>5604.5611751033057</v>
      </c>
      <c r="Y74" s="26">
        <f>VLOOKUP($C74,COS!$B$8:$H$991,4,FALSE)</f>
        <v>828.01947021484375</v>
      </c>
      <c r="Z74" s="26">
        <f t="shared" si="32"/>
        <v>50.912932714036671</v>
      </c>
      <c r="AA74" s="26">
        <f t="shared" si="103"/>
        <v>828.01947021484375</v>
      </c>
      <c r="AB74" s="33">
        <f t="shared" si="34"/>
        <v>50.912932714036671</v>
      </c>
      <c r="AD74" s="43">
        <v>1982</v>
      </c>
      <c r="AE74" s="1">
        <f>VLOOKUP(AD74,Flags!$A$13:$B$95,2,FALSE)</f>
        <v>1</v>
      </c>
      <c r="AF74" s="43">
        <f t="shared" si="6"/>
        <v>1125.442561983471</v>
      </c>
      <c r="AG74" s="43">
        <f t="shared" si="7"/>
        <v>640.36909747667551</v>
      </c>
      <c r="AH74" s="43">
        <f t="shared" si="8"/>
        <v>0</v>
      </c>
      <c r="AI74" s="43">
        <f t="shared" si="9"/>
        <v>22172.440727014462</v>
      </c>
      <c r="AJ74" s="43">
        <f t="shared" si="10"/>
        <v>0</v>
      </c>
      <c r="AK74" s="43">
        <f t="shared" si="1"/>
        <v>0</v>
      </c>
      <c r="AL74" s="43">
        <f t="shared" si="11"/>
        <v>0</v>
      </c>
    </row>
    <row r="75" spans="1:38" x14ac:dyDescent="0.3">
      <c r="A75" s="32">
        <f>VLOOKUP(YEAR(C75),Flags!$A$13:$B$95,2,FALSE)</f>
        <v>2</v>
      </c>
      <c r="B75" s="24">
        <f t="shared" si="2"/>
        <v>1928</v>
      </c>
      <c r="C75" s="25">
        <v>10562</v>
      </c>
      <c r="D75" s="26"/>
      <c r="E75" s="24"/>
      <c r="F75" s="26"/>
      <c r="G75" s="26"/>
      <c r="H75" s="26"/>
      <c r="I75" s="26"/>
      <c r="J75" s="26"/>
      <c r="K75" s="26"/>
      <c r="L75" s="24"/>
      <c r="M75" s="24"/>
      <c r="N75" s="26"/>
      <c r="O75" s="26"/>
      <c r="P75" s="26"/>
      <c r="Q75" s="26"/>
      <c r="R75" s="26"/>
      <c r="S75" s="26"/>
      <c r="T75" s="26"/>
      <c r="U75" s="26"/>
      <c r="V75" s="26"/>
      <c r="W75" s="26">
        <f>MAX($C$10-VLOOKUP($C75,COS!$B$8:$H$991,3,FALSE),0)</f>
        <v>93858.70654296875</v>
      </c>
      <c r="X75" s="26">
        <f t="shared" si="31"/>
        <v>5584.9808852014467</v>
      </c>
      <c r="Y75" s="26">
        <f>VLOOKUP($C75,COS!$B$8:$H$991,4,FALSE)</f>
        <v>1034.00048828125</v>
      </c>
      <c r="Z75" s="26">
        <f t="shared" si="32"/>
        <v>61.527301782024793</v>
      </c>
      <c r="AA75" s="26">
        <f t="shared" si="103"/>
        <v>1034.00048828125</v>
      </c>
      <c r="AB75" s="33">
        <f t="shared" si="34"/>
        <v>30.763650891012396</v>
      </c>
      <c r="AD75" s="43">
        <v>1983</v>
      </c>
      <c r="AE75" s="1">
        <f>VLOOKUP(AD75,Flags!$A$13:$B$95,2,FALSE)</f>
        <v>1</v>
      </c>
      <c r="AF75" s="43">
        <f t="shared" si="6"/>
        <v>1379.8435440340911</v>
      </c>
      <c r="AG75" s="43">
        <f t="shared" si="7"/>
        <v>680.26086035610228</v>
      </c>
      <c r="AH75" s="43">
        <f t="shared" si="8"/>
        <v>0</v>
      </c>
      <c r="AI75" s="43">
        <f t="shared" si="9"/>
        <v>21271.9593866219</v>
      </c>
      <c r="AJ75" s="43">
        <f t="shared" si="10"/>
        <v>19.84101265899406</v>
      </c>
      <c r="AK75" s="43">
        <f t="shared" si="1"/>
        <v>19.84101265899406</v>
      </c>
      <c r="AL75" s="43">
        <f t="shared" si="11"/>
        <v>0</v>
      </c>
    </row>
    <row r="76" spans="1:38" x14ac:dyDescent="0.3">
      <c r="A76" s="34">
        <f>VLOOKUP(YEAR(C76),Flags!$A$13:$B$95,2,FALSE)</f>
        <v>2</v>
      </c>
      <c r="B76" s="35">
        <f t="shared" si="2"/>
        <v>1928</v>
      </c>
      <c r="C76" s="36">
        <v>10593</v>
      </c>
      <c r="D76" s="37"/>
      <c r="E76" s="35"/>
      <c r="F76" s="37"/>
      <c r="G76" s="37"/>
      <c r="H76" s="37"/>
      <c r="I76" s="37"/>
      <c r="J76" s="37"/>
      <c r="K76" s="37"/>
      <c r="L76" s="35"/>
      <c r="M76" s="35"/>
      <c r="N76" s="37"/>
      <c r="O76" s="37"/>
      <c r="P76" s="37"/>
      <c r="Q76" s="37"/>
      <c r="R76" s="37"/>
      <c r="S76" s="37"/>
      <c r="T76" s="37"/>
      <c r="U76" s="37"/>
      <c r="V76" s="37"/>
      <c r="W76" s="37">
        <f>MAX($C$11-VLOOKUP($C76,COS!$B$8:$H$991,3,FALSE),0)</f>
        <v>0</v>
      </c>
      <c r="X76" s="37">
        <f t="shared" si="31"/>
        <v>0</v>
      </c>
      <c r="Y76" s="37">
        <f>VLOOKUP($C76,COS!$B$8:$H$991,4,FALSE)</f>
        <v>0</v>
      </c>
      <c r="Z76" s="37">
        <f t="shared" si="32"/>
        <v>0</v>
      </c>
      <c r="AA76" s="37">
        <f t="shared" si="103"/>
        <v>0</v>
      </c>
      <c r="AB76" s="38">
        <f t="shared" si="34"/>
        <v>0</v>
      </c>
      <c r="AD76" s="43">
        <v>1984</v>
      </c>
      <c r="AE76" s="1">
        <f>VLOOKUP(AD76,Flags!$A$13:$B$95,2,FALSE)</f>
        <v>1</v>
      </c>
      <c r="AF76" s="43">
        <f t="shared" si="6"/>
        <v>407.10620706353302</v>
      </c>
      <c r="AG76" s="43">
        <f t="shared" si="7"/>
        <v>692.32239814695242</v>
      </c>
      <c r="AH76" s="43">
        <f t="shared" si="8"/>
        <v>0</v>
      </c>
      <c r="AI76" s="43">
        <f t="shared" si="9"/>
        <v>22064.629158703512</v>
      </c>
      <c r="AJ76" s="43">
        <f t="shared" si="10"/>
        <v>71.716279014398239</v>
      </c>
      <c r="AK76" s="43">
        <f t="shared" si="1"/>
        <v>71.716279014398239</v>
      </c>
      <c r="AL76" s="43">
        <f t="shared" si="11"/>
        <v>0</v>
      </c>
    </row>
    <row r="77" spans="1:38" x14ac:dyDescent="0.3">
      <c r="A77" s="27">
        <f>VLOOKUP(YEAR(C77),Flags!$A$13:$B$95,2,FALSE)</f>
        <v>5</v>
      </c>
      <c r="B77" s="28">
        <f t="shared" si="2"/>
        <v>1929</v>
      </c>
      <c r="C77" s="29">
        <v>10713</v>
      </c>
      <c r="D77" s="30">
        <f>VLOOKUP($C77,COS!$B$8:$H$991,3,FALSE)</f>
        <v>3250</v>
      </c>
      <c r="E77" s="28">
        <f>IF(D77&gt;=IF(MONTH($C77)=4,$C$3,IF(MONTH($C77)=5,$C$4,IF(MONTH($C77)=6,$C$5,IF(MONTH($C77)=7,$C$6,"ERROR")))),1,0)</f>
        <v>0</v>
      </c>
      <c r="F77" s="30">
        <f>VLOOKUP($C77,COS!$B$8:$H$991,7,FALSE)</f>
        <v>51.192344665527344</v>
      </c>
      <c r="G77" s="28">
        <f>IF(F77&lt;=IF(MONTH($C77)=4,$F$3,IF(MONTH($C77)=5,$F$4,IF(MONTH($C77)=6,$F$5,IF(MONTH($C77)=7,$F$6,"ERROR")))),1,0)</f>
        <v>1</v>
      </c>
      <c r="H77" s="30">
        <f>IF(J77=1,D77-$C$3,0)</f>
        <v>0</v>
      </c>
      <c r="I77" s="30">
        <f t="shared" si="17"/>
        <v>0</v>
      </c>
      <c r="J77" s="28">
        <f t="shared" ref="J77:J80" si="106">IF(AND(E77=1,G77=1),1,0)</f>
        <v>0</v>
      </c>
      <c r="K77" s="30">
        <f>VLOOKUP($C77,COS!$B$8:$H$991,2,FALSE)</f>
        <v>2771.09326171875</v>
      </c>
      <c r="L77" s="28">
        <f t="shared" ref="L77" si="107">IF(K77&lt;=IF(MONTH($C77)=4,$I$3,IF(MONTH($C77)=5,$I$4,IF(MONTH($C77)=6,$I$5,IF(MONTH($C77)=7,$I$6,"ERROR")))),1,0)</f>
        <v>1</v>
      </c>
      <c r="M77" s="28">
        <f t="shared" ref="M77" si="108">VLOOKUP($A77,$L$3:$M$7,2,FALSE)</f>
        <v>1</v>
      </c>
      <c r="N77" s="30">
        <f>VLOOKUP($C77,COS!$B$8:$H$991,5,FALSE)</f>
        <v>223.38325500488281</v>
      </c>
      <c r="O77" s="30">
        <f t="shared" ref="O77:O80" si="109">N77*DAY($C77)*86400/43560/1000</f>
        <v>13.292226744092201</v>
      </c>
      <c r="P77" s="30">
        <f>VLOOKUP($C77,COS!$B$8:$H$991,6,FALSE)</f>
        <v>516.50811767578125</v>
      </c>
      <c r="Q77" s="30">
        <f t="shared" ref="Q77:Q80" si="110">P77*DAY($C77)*86400/43560/1000</f>
        <v>30.734367332773761</v>
      </c>
      <c r="R77" s="30">
        <f>MIN(IF(MONTH($C77)=4,$S$3,IF(MONTH($C77)=5,$S$4,IF(MONTH($C77)=6,$S$5,IF(MONTH($C77)=7,$S$6,"ERROR")))),MAX(VLOOKUP($C77,COS!$B$8:$K$991,10,FALSE)-IF(MONTH($C77)=4,$Y$3,IF(MONTH($C77)=5,$Y$4,IF(MONTH($C77)=6,$Y$5,IF(MONTH($C77)=7,$Y$6,"ERROR")))),0),MAX(VLOOKUP($C77,COS!$B$8:$K$991,9,FALSE)-IF(MONTH($C77)=4,$V$3,IF(MONTH($C77)=5,$V$4,IF(MONTH($C77)=6,$V$5,IF(MONTH($C77)=7,$V$6,"ERROR"))))-VLOOKUP($C77,COS!$B$8:$K$991,6,FALSE)/2,0))</f>
        <v>785.21630859375</v>
      </c>
      <c r="S77" s="30">
        <f t="shared" ref="S77:S80" si="111">R77*DAY($C77)*86400/43560/1000</f>
        <v>46.723615056818183</v>
      </c>
      <c r="T77" s="30">
        <f t="shared" ref="T77:T80" si="112">(O77+Q77)/2+S77</f>
        <v>68.736912095251171</v>
      </c>
      <c r="U77" s="30" t="str">
        <f>IF(VLOOKUP($C77,COS!$B$8:$I$991,8,FALSE)=1,"UWFE","IBU")</f>
        <v>UWFE</v>
      </c>
      <c r="V77" s="30">
        <f t="shared" ref="V77" si="113">MIN(IF(IF($AA$3=2,AND(E77=1,G77=1,L77=1,L82=1,M77=1,U77="IBU"),AND(E77=1,G77=1,L77=1,L82=1,M77=1)),T77,0),I77)</f>
        <v>0</v>
      </c>
      <c r="W77" s="30"/>
      <c r="X77" s="30"/>
      <c r="Y77" s="30"/>
      <c r="Z77" s="30"/>
      <c r="AA77" s="30"/>
      <c r="AB77" s="31"/>
      <c r="AD77" s="43">
        <v>1985</v>
      </c>
      <c r="AE77" s="1">
        <f>VLOOKUP(AD77,Flags!$A$13:$B$95,2,FALSE)</f>
        <v>3</v>
      </c>
      <c r="AF77" s="43">
        <f t="shared" si="6"/>
        <v>489.51717361828509</v>
      </c>
      <c r="AG77" s="43">
        <f t="shared" si="7"/>
        <v>656.34193189888947</v>
      </c>
      <c r="AH77" s="43">
        <f t="shared" si="8"/>
        <v>0</v>
      </c>
      <c r="AI77" s="43">
        <f t="shared" si="9"/>
        <v>22629.194684271693</v>
      </c>
      <c r="AJ77" s="43">
        <f t="shared" si="10"/>
        <v>253.37745220089744</v>
      </c>
      <c r="AK77" s="43">
        <f t="shared" si="1"/>
        <v>227.67342561579932</v>
      </c>
      <c r="AL77" s="43">
        <f t="shared" si="11"/>
        <v>0</v>
      </c>
    </row>
    <row r="78" spans="1:38" x14ac:dyDescent="0.3">
      <c r="A78" s="32">
        <f>VLOOKUP(YEAR(C78),Flags!$A$13:$B$95,2,FALSE)</f>
        <v>5</v>
      </c>
      <c r="B78" s="24">
        <f t="shared" si="2"/>
        <v>1929</v>
      </c>
      <c r="C78" s="25">
        <v>10744</v>
      </c>
      <c r="D78" s="26">
        <f>VLOOKUP($C78,COS!$B$8:$H$991,3,FALSE)</f>
        <v>8080.45556640625</v>
      </c>
      <c r="E78" s="24">
        <f>IF(D78&gt;=IF(MONTH($C78)=4,$C$3,IF(MONTH($C78)=5,$C$4,IF(MONTH($C78)=6,$C$5,IF(MONTH($C78)=7,$C$6,"ERROR")))),1,0)</f>
        <v>1</v>
      </c>
      <c r="F78" s="26">
        <f>VLOOKUP($C78,COS!$B$8:$H$991,7,FALSE)</f>
        <v>51.678050994873047</v>
      </c>
      <c r="G78" s="24">
        <f>IF(F78&lt;=IF(MONTH($C78)=4,$F$3,IF(MONTH($C78)=5,$F$4,IF(MONTH($C78)=6,$F$5,IF(MONTH($C78)=7,$F$6,"ERROR")))),1,0)</f>
        <v>1</v>
      </c>
      <c r="H78" s="26">
        <f>IF(J78=1,D78-$C$4,0)</f>
        <v>2080.45556640625</v>
      </c>
      <c r="I78" s="26">
        <f t="shared" si="17"/>
        <v>127.9222265625</v>
      </c>
      <c r="J78" s="24">
        <f t="shared" si="106"/>
        <v>1</v>
      </c>
      <c r="K78" s="26">
        <f>VLOOKUP($C78,COS!$B$8:$H$991,2,FALSE)</f>
        <v>2547.78955078125</v>
      </c>
      <c r="L78" s="24">
        <f t="shared" si="19"/>
        <v>1</v>
      </c>
      <c r="M78" s="24">
        <f t="shared" si="20"/>
        <v>1</v>
      </c>
      <c r="N78" s="26">
        <f>VLOOKUP($C78,COS!$B$8:$H$991,5,FALSE)</f>
        <v>306.94467163085938</v>
      </c>
      <c r="O78" s="26">
        <f t="shared" si="109"/>
        <v>18.873292206062757</v>
      </c>
      <c r="P78" s="26">
        <f>VLOOKUP($C78,COS!$B$8:$H$991,6,FALSE)</f>
        <v>2370.671630859375</v>
      </c>
      <c r="Q78" s="26">
        <f t="shared" si="110"/>
        <v>145.76691680655992</v>
      </c>
      <c r="R78" s="26">
        <f>MIN(IF(MONTH($C78)=4,$S$3,IF(MONTH($C78)=5,$S$4,IF(MONTH($C78)=6,$S$5,IF(MONTH($C78)=7,$S$6,"ERROR")))),MAX(VLOOKUP($C78,COS!$B$8:$K$991,10,FALSE)-IF(MONTH($C78)=4,$Y$3,IF(MONTH($C78)=5,$Y$4,IF(MONTH($C78)=6,$Y$5,IF(MONTH($C78)=7,$Y$6,"ERROR")))),0),MAX(VLOOKUP($C78,COS!$B$8:$K$991,9,FALSE)-IF(MONTH($C78)=4,$V$3,IF(MONTH($C78)=5,$V$4,IF(MONTH($C78)=6,$V$5,IF(MONTH($C78)=7,$V$6,"ERROR"))))-VLOOKUP($C78,COS!$B$8:$K$991,6,FALSE)/2,0))</f>
        <v>1500</v>
      </c>
      <c r="S78" s="26">
        <f t="shared" si="111"/>
        <v>92.231404958677686</v>
      </c>
      <c r="T78" s="26">
        <f t="shared" si="112"/>
        <v>174.55150946498901</v>
      </c>
      <c r="U78" s="26" t="str">
        <f>IF(VLOOKUP($C78,COS!$B$8:$I$991,8,FALSE)=1,"UWFE","IBU")</f>
        <v>IBU</v>
      </c>
      <c r="V78" s="26">
        <f t="shared" ref="V78" si="114">MIN(IF(IF($AA$3=2,AND(E78=1,G78=1,L78=1,L82=1,M78=1,U78="IBU"),AND(E78=1,G78=1,L78=1,L82=1,M78=1)),T78,0),I78)</f>
        <v>127.9222265625</v>
      </c>
      <c r="W78" s="26"/>
      <c r="X78" s="26"/>
      <c r="Y78" s="26"/>
      <c r="Z78" s="26"/>
      <c r="AA78" s="26"/>
      <c r="AB78" s="33"/>
      <c r="AD78" s="44">
        <v>1986</v>
      </c>
      <c r="AE78" s="45">
        <f>VLOOKUP(AD78,Flags!$A$13:$B$95,2,FALSE)</f>
        <v>1</v>
      </c>
      <c r="AF78" s="44">
        <f t="shared" si="6"/>
        <v>63.803206030475209</v>
      </c>
      <c r="AG78" s="44">
        <f t="shared" si="7"/>
        <v>643.07545471695823</v>
      </c>
      <c r="AH78" s="44">
        <f t="shared" si="8"/>
        <v>0</v>
      </c>
      <c r="AI78" s="44">
        <f t="shared" si="9"/>
        <v>22143.33418001033</v>
      </c>
      <c r="AJ78" s="44">
        <f t="shared" si="10"/>
        <v>288.06291219411798</v>
      </c>
      <c r="AK78" s="44">
        <f t="shared" ref="AK78:AK94" si="115">SUMIF($B$14:$B$742,$AD78,$AB$14:$AB$742)</f>
        <v>169.15729877566503</v>
      </c>
      <c r="AL78" s="44">
        <f t="shared" si="11"/>
        <v>0</v>
      </c>
    </row>
    <row r="79" spans="1:38" x14ac:dyDescent="0.3">
      <c r="A79" s="32">
        <f>VLOOKUP(YEAR(C79),Flags!$A$13:$B$95,2,FALSE)</f>
        <v>5</v>
      </c>
      <c r="B79" s="24">
        <f t="shared" ref="B79:B142" si="116">YEAR(C79)</f>
        <v>1929</v>
      </c>
      <c r="C79" s="25">
        <v>10774</v>
      </c>
      <c r="D79" s="26">
        <f>VLOOKUP($C79,COS!$B$8:$H$991,3,FALSE)</f>
        <v>8416.89453125</v>
      </c>
      <c r="E79" s="24">
        <f>IF(D79&gt;=IF(MONTH($C79)=4,$C$3,IF(MONTH($C79)=5,$C$4,IF(MONTH($C79)=6,$C$5,IF(MONTH($C79)=7,$C$6,"ERROR")))),1,0)</f>
        <v>0</v>
      </c>
      <c r="F79" s="26">
        <f>VLOOKUP($C79,COS!$B$8:$H$991,7,FALSE)</f>
        <v>54.286209106445313</v>
      </c>
      <c r="G79" s="24">
        <f>IF(F79&lt;=IF(MONTH($C79)=4,$F$3,IF(MONTH($C79)=5,$F$4,IF(MONTH($C79)=6,$F$5,IF(MONTH($C79)=7,$F$6,"ERROR")))),1,0)</f>
        <v>1</v>
      </c>
      <c r="H79" s="26">
        <f>IF(J79=1,D79-$C$5,0)</f>
        <v>0</v>
      </c>
      <c r="I79" s="26">
        <f t="shared" si="17"/>
        <v>0</v>
      </c>
      <c r="J79" s="24">
        <f t="shared" si="106"/>
        <v>0</v>
      </c>
      <c r="K79" s="26">
        <f>VLOOKUP($C79,COS!$B$8:$H$991,2,FALSE)</f>
        <v>2247.309814453125</v>
      </c>
      <c r="L79" s="24">
        <f t="shared" si="19"/>
        <v>1</v>
      </c>
      <c r="M79" s="24">
        <f t="shared" si="20"/>
        <v>1</v>
      </c>
      <c r="N79" s="26">
        <f>VLOOKUP($C79,COS!$B$8:$H$991,5,FALSE)</f>
        <v>280.00125122070313</v>
      </c>
      <c r="O79" s="26">
        <f t="shared" si="109"/>
        <v>16.661231477595557</v>
      </c>
      <c r="P79" s="26">
        <f>VLOOKUP($C79,COS!$B$8:$H$991,6,FALSE)</f>
        <v>2189.392578125</v>
      </c>
      <c r="Q79" s="26">
        <f t="shared" si="110"/>
        <v>130.27790547520661</v>
      </c>
      <c r="R79" s="26">
        <f>MIN(IF(MONTH($C79)=4,$S$3,IF(MONTH($C79)=5,$S$4,IF(MONTH($C79)=6,$S$5,IF(MONTH($C79)=7,$S$6,"ERROR")))),MAX(VLOOKUP($C79,COS!$B$8:$K$991,10,FALSE)-IF(MONTH($C79)=4,$Y$3,IF(MONTH($C79)=5,$Y$4,IF(MONTH($C79)=6,$Y$5,IF(MONTH($C79)=7,$Y$6,"ERROR")))),0),MAX(VLOOKUP($C79,COS!$B$8:$K$991,9,FALSE)-IF(MONTH($C79)=4,$V$3,IF(MONTH($C79)=5,$V$4,IF(MONTH($C79)=6,$V$5,IF(MONTH($C79)=7,$V$6,"ERROR"))))-VLOOKUP($C79,COS!$B$8:$K$991,6,FALSE)/2,0))</f>
        <v>1500</v>
      </c>
      <c r="S79" s="26">
        <f t="shared" si="111"/>
        <v>89.256198347107429</v>
      </c>
      <c r="T79" s="26">
        <f t="shared" si="112"/>
        <v>162.72576682350851</v>
      </c>
      <c r="U79" s="26" t="str">
        <f>IF(VLOOKUP($C79,COS!$B$8:$I$991,8,FALSE)=1,"UWFE","IBU")</f>
        <v>IBU</v>
      </c>
      <c r="V79" s="26">
        <f t="shared" ref="V79" si="117">MIN(IF(IF($AA$3=2,AND(E79=1,G79=1,L79=1,L82=1,M79=1,U79="IBU"),AND(E79=1,G79=1,L79=1,L82=1,M79=1)),T79,0),I79)</f>
        <v>0</v>
      </c>
      <c r="W79" s="26"/>
      <c r="X79" s="26"/>
      <c r="Y79" s="26"/>
      <c r="Z79" s="26"/>
      <c r="AA79" s="26"/>
      <c r="AB79" s="33"/>
      <c r="AD79" s="44">
        <v>1987</v>
      </c>
      <c r="AE79" s="45">
        <f>VLOOKUP(AD79,Flags!$A$13:$B$95,2,FALSE)</f>
        <v>4</v>
      </c>
      <c r="AF79" s="44">
        <f t="shared" ref="AF79:AF94" si="118">SUMIF($B$14:$B$742,$AD79,$I$14:$I$742)</f>
        <v>384.23917097107437</v>
      </c>
      <c r="AG79" s="44">
        <f t="shared" ref="AG79:AG94" si="119">SUMIF($B$14:$B$742,$AD79,$T$14:$T$742)</f>
        <v>639.51027884995642</v>
      </c>
      <c r="AH79" s="44">
        <f t="shared" ref="AH79:AH94" si="120">SUMIF($B$14:$B$742,$AD79,$V$14:$V$742)</f>
        <v>345.5484845475126</v>
      </c>
      <c r="AI79" s="44">
        <f t="shared" ref="AI79:AI94" si="121">SUMIF($B$14:$B$742,$AD79,$X$14:$X$742)</f>
        <v>22763.141031120867</v>
      </c>
      <c r="AJ79" s="44">
        <f t="shared" ref="AJ79:AJ94" si="122">SUMIF($B$14:$B$742,$AD79,$Z$14:$Z$742)</f>
        <v>559.00714303008783</v>
      </c>
      <c r="AK79" s="44">
        <f t="shared" si="115"/>
        <v>448.99643046229335</v>
      </c>
      <c r="AL79" s="44">
        <f t="shared" ref="AL79:AL94" si="123">MIN(AH79,AK79)</f>
        <v>345.5484845475126</v>
      </c>
    </row>
    <row r="80" spans="1:38" x14ac:dyDescent="0.3">
      <c r="A80" s="32">
        <f>VLOOKUP(YEAR(C80),Flags!$A$13:$B$95,2,FALSE)</f>
        <v>5</v>
      </c>
      <c r="B80" s="24">
        <f t="shared" si="116"/>
        <v>1929</v>
      </c>
      <c r="C80" s="25">
        <v>10805</v>
      </c>
      <c r="D80" s="26">
        <f>VLOOKUP($C80,COS!$B$8:$H$991,3,FALSE)</f>
        <v>12141.1708984375</v>
      </c>
      <c r="E80" s="24">
        <f>IF(D80&gt;=IF(MONTH($C80)=4,$C$3,IF(MONTH($C80)=5,$C$4,IF(MONTH($C80)=6,$C$5,IF(MONTH($C80)=7,$C$6,"ERROR")))),1,0)</f>
        <v>1</v>
      </c>
      <c r="F80" s="26">
        <f>VLOOKUP($C80,COS!$B$8:$H$991,7,FALSE)</f>
        <v>55.623313903808594</v>
      </c>
      <c r="G80" s="24">
        <f>IF(F80&lt;=IF(MONTH($C80)=4,$F$3,IF(MONTH($C80)=5,$F$4,IF(MONTH($C80)=6,$F$5,IF(MONTH($C80)=7,$F$6,"ERROR")))),1,0)</f>
        <v>0</v>
      </c>
      <c r="H80" s="26">
        <f>IF(J80=1,D80-$C$6,0)</f>
        <v>0</v>
      </c>
      <c r="I80" s="26">
        <f t="shared" si="17"/>
        <v>0</v>
      </c>
      <c r="J80" s="24">
        <f t="shared" si="106"/>
        <v>0</v>
      </c>
      <c r="K80" s="26">
        <f>VLOOKUP($C80,COS!$B$8:$H$991,2,FALSE)</f>
        <v>1718.207763671875</v>
      </c>
      <c r="L80" s="24">
        <f t="shared" si="19"/>
        <v>1</v>
      </c>
      <c r="M80" s="24">
        <f t="shared" si="20"/>
        <v>1</v>
      </c>
      <c r="N80" s="26">
        <f>VLOOKUP($C80,COS!$B$8:$H$991,5,FALSE)</f>
        <v>382.06051635742188</v>
      </c>
      <c r="O80" s="26">
        <f t="shared" si="109"/>
        <v>23.491985468588584</v>
      </c>
      <c r="P80" s="26">
        <f>VLOOKUP($C80,COS!$B$8:$H$991,6,FALSE)</f>
        <v>2281.4833984375</v>
      </c>
      <c r="Q80" s="26">
        <f t="shared" si="110"/>
        <v>140.28294615185951</v>
      </c>
      <c r="R80" s="26">
        <f>MIN(IF(MONTH($C80)=4,$S$3,IF(MONTH($C80)=5,$S$4,IF(MONTH($C80)=6,$S$5,IF(MONTH($C80)=7,$S$6,"ERROR")))),MAX(VLOOKUP($C80,COS!$B$8:$K$991,10,FALSE)-IF(MONTH($C80)=4,$Y$3,IF(MONTH($C80)=5,$Y$4,IF(MONTH($C80)=6,$Y$5,IF(MONTH($C80)=7,$Y$6,"ERROR")))),0),MAX(VLOOKUP($C80,COS!$B$8:$K$991,9,FALSE)-IF(MONTH($C80)=4,$V$3,IF(MONTH($C80)=5,$V$4,IF(MONTH($C80)=6,$V$5,IF(MONTH($C80)=7,$V$6,"ERROR"))))-VLOOKUP($C80,COS!$B$8:$K$991,6,FALSE)/2,0))</f>
        <v>1500</v>
      </c>
      <c r="S80" s="26">
        <f t="shared" si="111"/>
        <v>92.231404958677686</v>
      </c>
      <c r="T80" s="26">
        <f t="shared" si="112"/>
        <v>174.11887076890173</v>
      </c>
      <c r="U80" s="26" t="str">
        <f>IF(VLOOKUP($C80,COS!$B$8:$I$991,8,FALSE)=1,"UWFE","IBU")</f>
        <v>IBU</v>
      </c>
      <c r="V80" s="26">
        <f t="shared" ref="V80" si="124">MIN(IF(IF($AA$3=2,AND(E80=1,G80=1,L80=1,L82=1,M80=1,U80="IBU"),AND(E80=1,G80=1,L80=1,L82=1,M80=1)),T80,0),I80)</f>
        <v>0</v>
      </c>
      <c r="W80" s="26"/>
      <c r="X80" s="26"/>
      <c r="Y80" s="26"/>
      <c r="Z80" s="26"/>
      <c r="AA80" s="26"/>
      <c r="AB80" s="33"/>
      <c r="AD80" s="44">
        <v>1988</v>
      </c>
      <c r="AE80" s="45">
        <f>VLOOKUP(AD80,Flags!$A$13:$B$95,2,FALSE)</f>
        <v>5</v>
      </c>
      <c r="AF80" s="44">
        <f t="shared" si="118"/>
        <v>110.63555559142561</v>
      </c>
      <c r="AG80" s="44">
        <f t="shared" si="119"/>
        <v>562.63756641230316</v>
      </c>
      <c r="AH80" s="44">
        <f t="shared" si="120"/>
        <v>110.63555559142561</v>
      </c>
      <c r="AI80" s="44">
        <f t="shared" si="121"/>
        <v>22845.549147404439</v>
      </c>
      <c r="AJ80" s="44">
        <f t="shared" si="122"/>
        <v>534.81629519628098</v>
      </c>
      <c r="AK80" s="44">
        <f t="shared" si="115"/>
        <v>416.2676817536157</v>
      </c>
      <c r="AL80" s="44">
        <f t="shared" si="123"/>
        <v>110.63555559142561</v>
      </c>
    </row>
    <row r="81" spans="1:38" x14ac:dyDescent="0.3">
      <c r="A81" s="32">
        <f>VLOOKUP(YEAR(C81),Flags!$A$13:$B$95,2,FALSE)</f>
        <v>5</v>
      </c>
      <c r="B81" s="24">
        <f t="shared" si="116"/>
        <v>1929</v>
      </c>
      <c r="C81" s="25">
        <v>10836</v>
      </c>
      <c r="D81" s="26"/>
      <c r="E81" s="24"/>
      <c r="F81" s="26"/>
      <c r="G81" s="24"/>
      <c r="H81" s="24"/>
      <c r="I81" s="26"/>
      <c r="J81" s="24"/>
      <c r="K81" s="26"/>
      <c r="L81" s="24"/>
      <c r="M81" s="24"/>
      <c r="N81" s="26"/>
      <c r="O81" s="26"/>
      <c r="P81" s="26"/>
      <c r="Q81" s="26"/>
      <c r="R81" s="26"/>
      <c r="S81" s="26"/>
      <c r="T81" s="26"/>
      <c r="U81" s="26"/>
      <c r="V81" s="26"/>
      <c r="W81" s="26">
        <f>MAX($C$7-VLOOKUP($C81,COS!$B$8:$H$991,3,FALSE),0)</f>
        <v>92112.06689453125</v>
      </c>
      <c r="X81" s="26">
        <f t="shared" si="31"/>
        <v>5663.75022888688</v>
      </c>
      <c r="Y81" s="26">
        <f>VLOOKUP($C81,COS!$B$8:$H$991,4,FALSE)</f>
        <v>2623.390625</v>
      </c>
      <c r="Z81" s="26">
        <f t="shared" si="32"/>
        <v>161.3060020661157</v>
      </c>
      <c r="AA81" s="26">
        <f t="shared" ref="AA81:AA85" si="125">MIN(W81,Y81)</f>
        <v>2623.390625</v>
      </c>
      <c r="AB81" s="33">
        <f t="shared" ref="AB81" si="126">AA81*DAY($C81)*86400/43560/1000*IF(MONTH($C81)=8,$P$3,IF(MONTH($C81)=9,$P$4,IF(MONTH($C81)=10,$P$5,IF(MONTH($C81)=11,$P$6,IF(MONTH($C81)=12,$P$7,NA())))))</f>
        <v>161.3060020661157</v>
      </c>
      <c r="AD81" s="44">
        <v>1989</v>
      </c>
      <c r="AE81" s="45">
        <f>VLOOKUP(AD81,Flags!$A$13:$B$95,2,FALSE)</f>
        <v>4</v>
      </c>
      <c r="AF81" s="44">
        <f t="shared" si="118"/>
        <v>354.86444473140494</v>
      </c>
      <c r="AG81" s="44">
        <f t="shared" si="119"/>
        <v>654.21735975029048</v>
      </c>
      <c r="AH81" s="44">
        <f t="shared" si="120"/>
        <v>283.05427601207384</v>
      </c>
      <c r="AI81" s="44">
        <f t="shared" si="121"/>
        <v>22908.850762848659</v>
      </c>
      <c r="AJ81" s="44">
        <f t="shared" si="122"/>
        <v>434.55095263268333</v>
      </c>
      <c r="AK81" s="44">
        <f t="shared" si="115"/>
        <v>264.68922750677945</v>
      </c>
      <c r="AL81" s="44">
        <f t="shared" si="123"/>
        <v>264.68922750677945</v>
      </c>
    </row>
    <row r="82" spans="1:38" x14ac:dyDescent="0.3">
      <c r="A82" s="32">
        <f>VLOOKUP(YEAR(C82),Flags!$A$13:$B$95,2,FALSE)</f>
        <v>5</v>
      </c>
      <c r="B82" s="24">
        <f t="shared" si="116"/>
        <v>1929</v>
      </c>
      <c r="C82" s="25">
        <v>10866</v>
      </c>
      <c r="D82" s="26"/>
      <c r="E82" s="24"/>
      <c r="F82" s="26"/>
      <c r="G82" s="24"/>
      <c r="H82" s="24"/>
      <c r="I82" s="26"/>
      <c r="J82" s="24"/>
      <c r="K82" s="26">
        <f>VLOOKUP($C82,COS!$B$8:$H$991,2,FALSE)</f>
        <v>1326.92724609375</v>
      </c>
      <c r="L82" s="24">
        <f t="shared" ref="L82" si="127">IF(AND(K82&gt;$I$7,K82&lt;$I$8),1,0)</f>
        <v>1</v>
      </c>
      <c r="M82" s="24"/>
      <c r="N82" s="26"/>
      <c r="O82" s="26"/>
      <c r="P82" s="26"/>
      <c r="Q82" s="26"/>
      <c r="R82" s="26"/>
      <c r="S82" s="26"/>
      <c r="T82" s="26"/>
      <c r="U82" s="26"/>
      <c r="V82" s="26"/>
      <c r="W82" s="26">
        <f>MAX($C$8-VLOOKUP($C82,COS!$B$8:$H$991,3,FALSE),0)</f>
        <v>94693.32568359375</v>
      </c>
      <c r="X82" s="26">
        <f t="shared" si="31"/>
        <v>5634.644172908057</v>
      </c>
      <c r="Y82" s="26">
        <f>VLOOKUP($C82,COS!$B$8:$H$991,4,FALSE)</f>
        <v>1966.5052490234375</v>
      </c>
      <c r="Z82" s="26">
        <f t="shared" si="32"/>
        <v>117.01518837164257</v>
      </c>
      <c r="AA82" s="26">
        <f t="shared" si="125"/>
        <v>1966.5052490234375</v>
      </c>
      <c r="AB82" s="33">
        <f t="shared" si="34"/>
        <v>117.01518837164257</v>
      </c>
      <c r="AD82" s="44">
        <v>1990</v>
      </c>
      <c r="AE82" s="45">
        <f>VLOOKUP(AD82,Flags!$A$13:$B$95,2,FALSE)</f>
        <v>5</v>
      </c>
      <c r="AF82" s="44">
        <f t="shared" si="118"/>
        <v>0</v>
      </c>
      <c r="AG82" s="44">
        <f t="shared" si="119"/>
        <v>508.50892750385378</v>
      </c>
      <c r="AH82" s="44">
        <f t="shared" si="120"/>
        <v>0</v>
      </c>
      <c r="AI82" s="44">
        <f t="shared" si="121"/>
        <v>22814.627935498447</v>
      </c>
      <c r="AJ82" s="44">
        <f t="shared" si="122"/>
        <v>684.5884151439825</v>
      </c>
      <c r="AK82" s="44">
        <f t="shared" si="115"/>
        <v>450.5600010491994</v>
      </c>
      <c r="AL82" s="44">
        <f t="shared" si="123"/>
        <v>0</v>
      </c>
    </row>
    <row r="83" spans="1:38" x14ac:dyDescent="0.3">
      <c r="A83" s="32">
        <f>VLOOKUP(YEAR(C83),Flags!$A$13:$B$95,2,FALSE)</f>
        <v>5</v>
      </c>
      <c r="B83" s="24">
        <f t="shared" si="116"/>
        <v>1929</v>
      </c>
      <c r="C83" s="25">
        <v>10897</v>
      </c>
      <c r="D83" s="26"/>
      <c r="E83" s="24"/>
      <c r="F83" s="26"/>
      <c r="G83" s="26"/>
      <c r="H83" s="26"/>
      <c r="I83" s="26"/>
      <c r="J83" s="26"/>
      <c r="K83" s="26"/>
      <c r="L83" s="24"/>
      <c r="M83" s="24"/>
      <c r="N83" s="26"/>
      <c r="O83" s="26"/>
      <c r="P83" s="26"/>
      <c r="Q83" s="26"/>
      <c r="R83" s="26"/>
      <c r="S83" s="26"/>
      <c r="T83" s="26"/>
      <c r="U83" s="26"/>
      <c r="V83" s="26"/>
      <c r="W83" s="26">
        <f>MAX($C$9-VLOOKUP($C83,COS!$B$8:$H$991,3,FALSE),0)</f>
        <v>94798.603515625</v>
      </c>
      <c r="X83" s="26">
        <f t="shared" si="31"/>
        <v>5828.9389269111571</v>
      </c>
      <c r="Y83" s="26">
        <f>VLOOKUP($C83,COS!$B$8:$H$991,4,FALSE)</f>
        <v>1369.061767578125</v>
      </c>
      <c r="Z83" s="26">
        <f t="shared" si="32"/>
        <v>84.180326865960737</v>
      </c>
      <c r="AA83" s="26">
        <f t="shared" si="125"/>
        <v>1369.061767578125</v>
      </c>
      <c r="AB83" s="33">
        <f t="shared" si="34"/>
        <v>84.180326865960737</v>
      </c>
      <c r="AD83" s="44">
        <v>1991</v>
      </c>
      <c r="AE83" s="45">
        <f>VLOOKUP(AD83,Flags!$A$13:$B$95,2,FALSE)</f>
        <v>5</v>
      </c>
      <c r="AF83" s="44">
        <f t="shared" si="118"/>
        <v>45.886084710743802</v>
      </c>
      <c r="AG83" s="44">
        <f t="shared" si="119"/>
        <v>601.89792775556077</v>
      </c>
      <c r="AH83" s="44">
        <f t="shared" si="120"/>
        <v>0</v>
      </c>
      <c r="AI83" s="44">
        <f t="shared" si="121"/>
        <v>22884.804520273759</v>
      </c>
      <c r="AJ83" s="44">
        <f t="shared" si="122"/>
        <v>691.69384434723656</v>
      </c>
      <c r="AK83" s="44">
        <f t="shared" si="115"/>
        <v>455.63925789320768</v>
      </c>
      <c r="AL83" s="44">
        <f t="shared" si="123"/>
        <v>0</v>
      </c>
    </row>
    <row r="84" spans="1:38" x14ac:dyDescent="0.3">
      <c r="A84" s="32">
        <f>VLOOKUP(YEAR(C84),Flags!$A$13:$B$95,2,FALSE)</f>
        <v>5</v>
      </c>
      <c r="B84" s="24">
        <f t="shared" si="116"/>
        <v>1929</v>
      </c>
      <c r="C84" s="25">
        <v>10927</v>
      </c>
      <c r="D84" s="26"/>
      <c r="E84" s="24"/>
      <c r="F84" s="26"/>
      <c r="G84" s="26"/>
      <c r="H84" s="26"/>
      <c r="I84" s="26"/>
      <c r="J84" s="26"/>
      <c r="K84" s="26"/>
      <c r="L84" s="24"/>
      <c r="M84" s="24"/>
      <c r="N84" s="26"/>
      <c r="O84" s="26"/>
      <c r="P84" s="26"/>
      <c r="Q84" s="26"/>
      <c r="R84" s="26"/>
      <c r="S84" s="26"/>
      <c r="T84" s="26"/>
      <c r="U84" s="26"/>
      <c r="V84" s="26"/>
      <c r="W84" s="26">
        <f>MAX($C$10-VLOOKUP($C84,COS!$B$8:$H$991,3,FALSE),0)</f>
        <v>95721.40087890625</v>
      </c>
      <c r="X84" s="26">
        <f t="shared" si="31"/>
        <v>5695.8188952737601</v>
      </c>
      <c r="Y84" s="26">
        <f>VLOOKUP($C84,COS!$B$8:$H$991,4,FALSE)</f>
        <v>1476.7601318359375</v>
      </c>
      <c r="Z84" s="26">
        <f t="shared" si="32"/>
        <v>87.873330158832644</v>
      </c>
      <c r="AA84" s="26">
        <f t="shared" si="125"/>
        <v>1476.7601318359375</v>
      </c>
      <c r="AB84" s="33">
        <f t="shared" si="34"/>
        <v>43.936665079416322</v>
      </c>
      <c r="AD84" s="43">
        <v>1992</v>
      </c>
      <c r="AE84" s="1">
        <f>VLOOKUP(AD84,Flags!$A$13:$B$95,2,FALSE)</f>
        <v>5</v>
      </c>
      <c r="AF84" s="43">
        <f t="shared" si="118"/>
        <v>184.40940534607438</v>
      </c>
      <c r="AG84" s="43">
        <f t="shared" si="119"/>
        <v>595.25417847373262</v>
      </c>
      <c r="AH84" s="43">
        <f t="shared" si="120"/>
        <v>184.40940534607438</v>
      </c>
      <c r="AI84" s="43">
        <f t="shared" si="121"/>
        <v>22868.97411221591</v>
      </c>
      <c r="AJ84" s="43">
        <f t="shared" si="122"/>
        <v>529.46044728176651</v>
      </c>
      <c r="AK84" s="43">
        <f t="shared" si="115"/>
        <v>374.20979137073863</v>
      </c>
      <c r="AL84" s="43">
        <f t="shared" si="123"/>
        <v>184.40940534607438</v>
      </c>
    </row>
    <row r="85" spans="1:38" x14ac:dyDescent="0.3">
      <c r="A85" s="34">
        <f>VLOOKUP(YEAR(C85),Flags!$A$13:$B$95,2,FALSE)</f>
        <v>5</v>
      </c>
      <c r="B85" s="35">
        <f t="shared" si="116"/>
        <v>1929</v>
      </c>
      <c r="C85" s="36">
        <v>10958</v>
      </c>
      <c r="D85" s="37"/>
      <c r="E85" s="35"/>
      <c r="F85" s="37"/>
      <c r="G85" s="37"/>
      <c r="H85" s="37"/>
      <c r="I85" s="37"/>
      <c r="J85" s="37"/>
      <c r="K85" s="37"/>
      <c r="L85" s="35"/>
      <c r="M85" s="35"/>
      <c r="N85" s="37"/>
      <c r="O85" s="37"/>
      <c r="P85" s="37"/>
      <c r="Q85" s="37"/>
      <c r="R85" s="37"/>
      <c r="S85" s="37"/>
      <c r="T85" s="37"/>
      <c r="U85" s="37"/>
      <c r="V85" s="37"/>
      <c r="W85" s="37">
        <f>MAX($C$11-VLOOKUP($C85,COS!$B$8:$H$991,3,FALSE),0)</f>
        <v>0</v>
      </c>
      <c r="X85" s="37">
        <f t="shared" si="31"/>
        <v>0</v>
      </c>
      <c r="Y85" s="37">
        <f>VLOOKUP($C85,COS!$B$8:$H$991,4,FALSE)</f>
        <v>1577.152099609375</v>
      </c>
      <c r="Z85" s="37">
        <f t="shared" si="32"/>
        <v>96.975302653667356</v>
      </c>
      <c r="AA85" s="37">
        <f t="shared" si="125"/>
        <v>0</v>
      </c>
      <c r="AB85" s="38">
        <f t="shared" si="34"/>
        <v>0</v>
      </c>
      <c r="AD85" s="43">
        <v>1993</v>
      </c>
      <c r="AE85" s="1">
        <f>VLOOKUP(AD85,Flags!$A$13:$B$95,2,FALSE)</f>
        <v>2</v>
      </c>
      <c r="AF85" s="43">
        <f t="shared" si="118"/>
        <v>368.51700348657027</v>
      </c>
      <c r="AG85" s="43">
        <f t="shared" si="119"/>
        <v>678.65893496174454</v>
      </c>
      <c r="AH85" s="43">
        <f t="shared" si="120"/>
        <v>0</v>
      </c>
      <c r="AI85" s="43">
        <f t="shared" si="121"/>
        <v>22047.888796487605</v>
      </c>
      <c r="AJ85" s="43">
        <f t="shared" si="122"/>
        <v>150.01719971711969</v>
      </c>
      <c r="AK85" s="43">
        <f t="shared" si="115"/>
        <v>97.969339508813277</v>
      </c>
      <c r="AL85" s="43">
        <f t="shared" si="123"/>
        <v>0</v>
      </c>
    </row>
    <row r="86" spans="1:38" x14ac:dyDescent="0.3">
      <c r="A86" s="27">
        <f>VLOOKUP(YEAR(C86),Flags!$A$13:$B$95,2,FALSE)</f>
        <v>4</v>
      </c>
      <c r="B86" s="28">
        <f t="shared" si="116"/>
        <v>1930</v>
      </c>
      <c r="C86" s="29">
        <v>11078</v>
      </c>
      <c r="D86" s="30">
        <f>VLOOKUP($C86,COS!$B$8:$H$991,3,FALSE)</f>
        <v>3250</v>
      </c>
      <c r="E86" s="28">
        <f>IF(D86&gt;=IF(MONTH($C86)=4,$C$3,IF(MONTH($C86)=5,$C$4,IF(MONTH($C86)=6,$C$5,IF(MONTH($C86)=7,$C$6,"ERROR")))),1,0)</f>
        <v>0</v>
      </c>
      <c r="F86" s="30">
        <f>VLOOKUP($C86,COS!$B$8:$H$991,7,FALSE)</f>
        <v>51.239517211914063</v>
      </c>
      <c r="G86" s="28">
        <f>IF(F86&lt;=IF(MONTH($C86)=4,$F$3,IF(MONTH($C86)=5,$F$4,IF(MONTH($C86)=6,$F$5,IF(MONTH($C86)=7,$F$6,"ERROR")))),1,0)</f>
        <v>1</v>
      </c>
      <c r="H86" s="30">
        <f>IF(J86=1,D86-$C$3,0)</f>
        <v>0</v>
      </c>
      <c r="I86" s="30">
        <f t="shared" si="17"/>
        <v>0</v>
      </c>
      <c r="J86" s="28">
        <f t="shared" ref="J86:J89" si="128">IF(AND(E86=1,G86=1),1,0)</f>
        <v>0</v>
      </c>
      <c r="K86" s="30">
        <f>VLOOKUP($C86,COS!$B$8:$H$991,2,FALSE)</f>
        <v>2916.82275390625</v>
      </c>
      <c r="L86" s="28">
        <f t="shared" ref="L86:L143" si="129">IF(K86&lt;=IF(MONTH($C86)=4,$I$3,IF(MONTH($C86)=5,$I$4,IF(MONTH($C86)=6,$I$5,IF(MONTH($C86)=7,$I$6,"ERROR")))),1,0)</f>
        <v>1</v>
      </c>
      <c r="M86" s="28">
        <f t="shared" ref="M86:M143" si="130">VLOOKUP($A86,$L$3:$M$7,2,FALSE)</f>
        <v>1</v>
      </c>
      <c r="N86" s="30">
        <f>VLOOKUP($C86,COS!$B$8:$H$991,5,FALSE)</f>
        <v>44.508659362792969</v>
      </c>
      <c r="O86" s="30">
        <f t="shared" ref="O86:O89" si="131">N86*DAY($C86)*86400/43560/1000</f>
        <v>2.6484491521661928</v>
      </c>
      <c r="P86" s="30">
        <f>VLOOKUP($C86,COS!$B$8:$H$991,6,FALSE)</f>
        <v>392.62295532226563</v>
      </c>
      <c r="Q86" s="30">
        <f t="shared" ref="Q86:Q89" si="132">P86*DAY($C86)*86400/43560/1000</f>
        <v>23.362688250581094</v>
      </c>
      <c r="R86" s="30">
        <f>MIN(IF(MONTH($C86)=4,$S$3,IF(MONTH($C86)=5,$S$4,IF(MONTH($C86)=6,$S$5,IF(MONTH($C86)=7,$S$6,"ERROR")))),MAX(VLOOKUP($C86,COS!$B$8:$K$991,10,FALSE)-IF(MONTH($C86)=4,$Y$3,IF(MONTH($C86)=5,$Y$4,IF(MONTH($C86)=6,$Y$5,IF(MONTH($C86)=7,$Y$6,"ERROR")))),0),MAX(VLOOKUP($C86,COS!$B$8:$K$991,9,FALSE)-IF(MONTH($C86)=4,$V$3,IF(MONTH($C86)=5,$V$4,IF(MONTH($C86)=6,$V$5,IF(MONTH($C86)=7,$V$6,"ERROR"))))-VLOOKUP($C86,COS!$B$8:$K$991,6,FALSE)/2,0))</f>
        <v>1500</v>
      </c>
      <c r="S86" s="30">
        <f t="shared" ref="S86:S89" si="133">R86*DAY($C86)*86400/43560/1000</f>
        <v>89.256198347107429</v>
      </c>
      <c r="T86" s="30">
        <f t="shared" ref="T86:T89" si="134">(O86+Q86)/2+S86</f>
        <v>102.26176704848108</v>
      </c>
      <c r="U86" s="30" t="str">
        <f>IF(VLOOKUP($C86,COS!$B$8:$I$991,8,FALSE)=1,"UWFE","IBU")</f>
        <v>UWFE</v>
      </c>
      <c r="V86" s="30">
        <f t="shared" ref="V86" si="135">MIN(IF(IF($AA$3=2,AND(E86=1,G86=1,L86=1,L91=1,M86=1,U86="IBU"),AND(E86=1,G86=1,L86=1,L91=1,M86=1)),T86,0),I86)</f>
        <v>0</v>
      </c>
      <c r="W86" s="30"/>
      <c r="X86" s="30"/>
      <c r="Y86" s="30"/>
      <c r="Z86" s="30"/>
      <c r="AA86" s="30"/>
      <c r="AB86" s="31"/>
      <c r="AD86" s="43">
        <v>1994</v>
      </c>
      <c r="AE86" s="1">
        <f>VLOOKUP(AD86,Flags!$A$13:$B$95,2,FALSE)</f>
        <v>5</v>
      </c>
      <c r="AF86" s="43">
        <f t="shared" si="118"/>
        <v>21.768285123966944</v>
      </c>
      <c r="AG86" s="43">
        <f t="shared" si="119"/>
        <v>561.5149479334807</v>
      </c>
      <c r="AH86" s="43">
        <f t="shared" si="120"/>
        <v>21.768285123966944</v>
      </c>
      <c r="AI86" s="43">
        <f t="shared" si="121"/>
        <v>22936.905428073344</v>
      </c>
      <c r="AJ86" s="43">
        <f t="shared" si="122"/>
        <v>521.34395168840388</v>
      </c>
      <c r="AK86" s="43">
        <f t="shared" si="115"/>
        <v>366.65812161027895</v>
      </c>
      <c r="AL86" s="43">
        <f t="shared" si="123"/>
        <v>21.768285123966944</v>
      </c>
    </row>
    <row r="87" spans="1:38" x14ac:dyDescent="0.3">
      <c r="A87" s="32">
        <f>VLOOKUP(YEAR(C87),Flags!$A$13:$B$95,2,FALSE)</f>
        <v>4</v>
      </c>
      <c r="B87" s="24">
        <f t="shared" si="116"/>
        <v>1930</v>
      </c>
      <c r="C87" s="25">
        <v>11109</v>
      </c>
      <c r="D87" s="26">
        <f>VLOOKUP($C87,COS!$B$8:$H$991,3,FALSE)</f>
        <v>5412.98681640625</v>
      </c>
      <c r="E87" s="24">
        <f>IF(D87&gt;=IF(MONTH($C87)=4,$C$3,IF(MONTH($C87)=5,$C$4,IF(MONTH($C87)=6,$C$5,IF(MONTH($C87)=7,$C$6,"ERROR")))),1,0)</f>
        <v>0</v>
      </c>
      <c r="F87" s="26">
        <f>VLOOKUP($C87,COS!$B$8:$H$991,7,FALSE)</f>
        <v>51.472103118896484</v>
      </c>
      <c r="G87" s="24">
        <f>IF(F87&lt;=IF(MONTH($C87)=4,$F$3,IF(MONTH($C87)=5,$F$4,IF(MONTH($C87)=6,$F$5,IF(MONTH($C87)=7,$F$6,"ERROR")))),1,0)</f>
        <v>1</v>
      </c>
      <c r="H87" s="26">
        <f>IF(J87=1,D87-$C$4,0)</f>
        <v>0</v>
      </c>
      <c r="I87" s="26">
        <f t="shared" ref="I87:I150" si="136">H87*DAY($C87)*86400/43560/1000</f>
        <v>0</v>
      </c>
      <c r="J87" s="24">
        <f t="shared" si="128"/>
        <v>0</v>
      </c>
      <c r="K87" s="26">
        <f>VLOOKUP($C87,COS!$B$8:$H$991,2,FALSE)</f>
        <v>2856.510986328125</v>
      </c>
      <c r="L87" s="24">
        <f t="shared" si="129"/>
        <v>1</v>
      </c>
      <c r="M87" s="24">
        <f t="shared" si="130"/>
        <v>1</v>
      </c>
      <c r="N87" s="26">
        <f>VLOOKUP($C87,COS!$B$8:$H$991,5,FALSE)</f>
        <v>14.996692657470703</v>
      </c>
      <c r="O87" s="26">
        <f t="shared" si="131"/>
        <v>0.92211068902133908</v>
      </c>
      <c r="P87" s="26">
        <f>VLOOKUP($C87,COS!$B$8:$H$991,6,FALSE)</f>
        <v>2146.524658203125</v>
      </c>
      <c r="Q87" s="26">
        <f t="shared" si="132"/>
        <v>131.98465666967974</v>
      </c>
      <c r="R87" s="26">
        <f>MIN(IF(MONTH($C87)=4,$S$3,IF(MONTH($C87)=5,$S$4,IF(MONTH($C87)=6,$S$5,IF(MONTH($C87)=7,$S$6,"ERROR")))),MAX(VLOOKUP($C87,COS!$B$8:$K$991,10,FALSE)-IF(MONTH($C87)=4,$Y$3,IF(MONTH($C87)=5,$Y$4,IF(MONTH($C87)=6,$Y$5,IF(MONTH($C87)=7,$Y$6,"ERROR")))),0),MAX(VLOOKUP($C87,COS!$B$8:$K$991,9,FALSE)-IF(MONTH($C87)=4,$V$3,IF(MONTH($C87)=5,$V$4,IF(MONTH($C87)=6,$V$5,IF(MONTH($C87)=7,$V$6,"ERROR"))))-VLOOKUP($C87,COS!$B$8:$K$991,6,FALSE)/2,0))</f>
        <v>1500</v>
      </c>
      <c r="S87" s="26">
        <f t="shared" si="133"/>
        <v>92.231404958677686</v>
      </c>
      <c r="T87" s="26">
        <f t="shared" si="134"/>
        <v>158.68478863802824</v>
      </c>
      <c r="U87" s="26" t="str">
        <f>IF(VLOOKUP($C87,COS!$B$8:$I$991,8,FALSE)=1,"UWFE","IBU")</f>
        <v>UWFE</v>
      </c>
      <c r="V87" s="26">
        <f t="shared" ref="V87" si="137">MIN(IF(IF($AA$3=2,AND(E87=1,G87=1,L87=1,L91=1,M87=1,U87="IBU"),AND(E87=1,G87=1,L87=1,L91=1,M87=1)),T87,0),I87)</f>
        <v>0</v>
      </c>
      <c r="W87" s="26"/>
      <c r="X87" s="26"/>
      <c r="Y87" s="26"/>
      <c r="Z87" s="26"/>
      <c r="AA87" s="26"/>
      <c r="AB87" s="33"/>
      <c r="AD87" s="43">
        <v>1995</v>
      </c>
      <c r="AE87" s="1">
        <f>VLOOKUP(AD87,Flags!$A$13:$B$95,2,FALSE)</f>
        <v>1</v>
      </c>
      <c r="AF87" s="43">
        <f t="shared" si="118"/>
        <v>374.49814307851238</v>
      </c>
      <c r="AG87" s="43">
        <f t="shared" si="119"/>
        <v>676.62732833483983</v>
      </c>
      <c r="AH87" s="43">
        <f t="shared" si="120"/>
        <v>0</v>
      </c>
      <c r="AI87" s="43">
        <f t="shared" si="121"/>
        <v>21622.179925103308</v>
      </c>
      <c r="AJ87" s="43">
        <f t="shared" si="122"/>
        <v>112.67233340428881</v>
      </c>
      <c r="AK87" s="43">
        <f t="shared" si="115"/>
        <v>60.09638307177331</v>
      </c>
      <c r="AL87" s="43">
        <f t="shared" si="123"/>
        <v>0</v>
      </c>
    </row>
    <row r="88" spans="1:38" x14ac:dyDescent="0.3">
      <c r="A88" s="32">
        <f>VLOOKUP(YEAR(C88),Flags!$A$13:$B$95,2,FALSE)</f>
        <v>4</v>
      </c>
      <c r="B88" s="24">
        <f t="shared" si="116"/>
        <v>1930</v>
      </c>
      <c r="C88" s="25">
        <v>11139</v>
      </c>
      <c r="D88" s="26">
        <f>VLOOKUP($C88,COS!$B$8:$H$991,3,FALSE)</f>
        <v>8881.8974609375</v>
      </c>
      <c r="E88" s="24">
        <f>IF(D88&gt;=IF(MONTH($C88)=4,$C$3,IF(MONTH($C88)=5,$C$4,IF(MONTH($C88)=6,$C$5,IF(MONTH($C88)=7,$C$6,"ERROR")))),1,0)</f>
        <v>0</v>
      </c>
      <c r="F88" s="26">
        <f>VLOOKUP($C88,COS!$B$8:$H$991,7,FALSE)</f>
        <v>52.899250030517578</v>
      </c>
      <c r="G88" s="24">
        <f>IF(F88&lt;=IF(MONTH($C88)=4,$F$3,IF(MONTH($C88)=5,$F$4,IF(MONTH($C88)=6,$F$5,IF(MONTH($C88)=7,$F$6,"ERROR")))),1,0)</f>
        <v>1</v>
      </c>
      <c r="H88" s="26">
        <f>IF(J88=1,D88-$C$5,0)</f>
        <v>0</v>
      </c>
      <c r="I88" s="26">
        <f t="shared" si="136"/>
        <v>0</v>
      </c>
      <c r="J88" s="24">
        <f t="shared" si="128"/>
        <v>0</v>
      </c>
      <c r="K88" s="26">
        <f>VLOOKUP($C88,COS!$B$8:$H$991,2,FALSE)</f>
        <v>2536.044189453125</v>
      </c>
      <c r="L88" s="24">
        <f t="shared" si="129"/>
        <v>1</v>
      </c>
      <c r="M88" s="24">
        <f t="shared" si="130"/>
        <v>1</v>
      </c>
      <c r="N88" s="26">
        <f>VLOOKUP($C88,COS!$B$8:$H$991,5,FALSE)</f>
        <v>199.59013366699219</v>
      </c>
      <c r="O88" s="26">
        <f t="shared" si="131"/>
        <v>11.876437705804493</v>
      </c>
      <c r="P88" s="26">
        <f>VLOOKUP($C88,COS!$B$8:$H$991,6,FALSE)</f>
        <v>2714.961669921875</v>
      </c>
      <c r="Q88" s="26">
        <f t="shared" si="132"/>
        <v>161.55143821022727</v>
      </c>
      <c r="R88" s="26">
        <f>MIN(IF(MONTH($C88)=4,$S$3,IF(MONTH($C88)=5,$S$4,IF(MONTH($C88)=6,$S$5,IF(MONTH($C88)=7,$S$6,"ERROR")))),MAX(VLOOKUP($C88,COS!$B$8:$K$991,10,FALSE)-IF(MONTH($C88)=4,$Y$3,IF(MONTH($C88)=5,$Y$4,IF(MONTH($C88)=6,$Y$5,IF(MONTH($C88)=7,$Y$6,"ERROR")))),0),MAX(VLOOKUP($C88,COS!$B$8:$K$991,9,FALSE)-IF(MONTH($C88)=4,$V$3,IF(MONTH($C88)=5,$V$4,IF(MONTH($C88)=6,$V$5,IF(MONTH($C88)=7,$V$6,"ERROR"))))-VLOOKUP($C88,COS!$B$8:$K$991,6,FALSE)/2,0))</f>
        <v>1500</v>
      </c>
      <c r="S88" s="26">
        <f t="shared" si="133"/>
        <v>89.256198347107429</v>
      </c>
      <c r="T88" s="26">
        <f t="shared" si="134"/>
        <v>175.97013630512333</v>
      </c>
      <c r="U88" s="26" t="str">
        <f>IF(VLOOKUP($C88,COS!$B$8:$I$991,8,FALSE)=1,"UWFE","IBU")</f>
        <v>IBU</v>
      </c>
      <c r="V88" s="26">
        <f t="shared" ref="V88" si="138">MIN(IF(IF($AA$3=2,AND(E88=1,G88=1,L88=1,L91=1,M88=1,U88="IBU"),AND(E88=1,G88=1,L88=1,L91=1,M88=1)),T88,0),I88)</f>
        <v>0</v>
      </c>
      <c r="W88" s="26"/>
      <c r="X88" s="26"/>
      <c r="Y88" s="26"/>
      <c r="Z88" s="26"/>
      <c r="AA88" s="26"/>
      <c r="AB88" s="33"/>
      <c r="AD88" s="43">
        <v>1996</v>
      </c>
      <c r="AE88" s="1">
        <f>VLOOKUP(AD88,Flags!$A$13:$B$95,2,FALSE)</f>
        <v>1</v>
      </c>
      <c r="AF88" s="43">
        <f t="shared" si="118"/>
        <v>470.82685111053718</v>
      </c>
      <c r="AG88" s="43">
        <f t="shared" si="119"/>
        <v>673.70356104322696</v>
      </c>
      <c r="AH88" s="43">
        <f t="shared" si="120"/>
        <v>0</v>
      </c>
      <c r="AI88" s="43">
        <f t="shared" si="121"/>
        <v>21668.349818569215</v>
      </c>
      <c r="AJ88" s="43">
        <f t="shared" si="122"/>
        <v>153.2964386137655</v>
      </c>
      <c r="AK88" s="43">
        <f t="shared" si="115"/>
        <v>99.075586179622945</v>
      </c>
      <c r="AL88" s="43">
        <f t="shared" si="123"/>
        <v>0</v>
      </c>
    </row>
    <row r="89" spans="1:38" x14ac:dyDescent="0.3">
      <c r="A89" s="32">
        <f>VLOOKUP(YEAR(C89),Flags!$A$13:$B$95,2,FALSE)</f>
        <v>4</v>
      </c>
      <c r="B89" s="24">
        <f t="shared" si="116"/>
        <v>1930</v>
      </c>
      <c r="C89" s="25">
        <v>11170</v>
      </c>
      <c r="D89" s="26">
        <f>VLOOKUP($C89,COS!$B$8:$H$991,3,FALSE)</f>
        <v>9171.2353515625</v>
      </c>
      <c r="E89" s="24">
        <f>IF(D89&gt;=IF(MONTH($C89)=4,$C$3,IF(MONTH($C89)=5,$C$4,IF(MONTH($C89)=6,$C$5,IF(MONTH($C89)=7,$C$6,"ERROR")))),1,0)</f>
        <v>0</v>
      </c>
      <c r="F89" s="26">
        <f>VLOOKUP($C89,COS!$B$8:$H$991,7,FALSE)</f>
        <v>55.481464385986328</v>
      </c>
      <c r="G89" s="24">
        <f>IF(F89&lt;=IF(MONTH($C89)=4,$F$3,IF(MONTH($C89)=5,$F$4,IF(MONTH($C89)=6,$F$5,IF(MONTH($C89)=7,$F$6,"ERROR")))),1,0)</f>
        <v>0</v>
      </c>
      <c r="H89" s="26">
        <f>IF(J89=1,D89-$C$6,0)</f>
        <v>0</v>
      </c>
      <c r="I89" s="26">
        <f t="shared" si="136"/>
        <v>0</v>
      </c>
      <c r="J89" s="24">
        <f t="shared" si="128"/>
        <v>0</v>
      </c>
      <c r="K89" s="26">
        <f>VLOOKUP($C89,COS!$B$8:$H$991,2,FALSE)</f>
        <v>2214.108642578125</v>
      </c>
      <c r="L89" s="24">
        <f t="shared" si="129"/>
        <v>1</v>
      </c>
      <c r="M89" s="24">
        <f t="shared" si="130"/>
        <v>1</v>
      </c>
      <c r="N89" s="26">
        <f>VLOOKUP($C89,COS!$B$8:$H$991,5,FALSE)</f>
        <v>218.08706665039063</v>
      </c>
      <c r="O89" s="26">
        <f t="shared" si="131"/>
        <v>13.40965104032154</v>
      </c>
      <c r="P89" s="26">
        <f>VLOOKUP($C89,COS!$B$8:$H$991,6,FALSE)</f>
        <v>2538.07568359375</v>
      </c>
      <c r="Q89" s="26">
        <f t="shared" si="132"/>
        <v>156.06019079287191</v>
      </c>
      <c r="R89" s="26">
        <f>MIN(IF(MONTH($C89)=4,$S$3,IF(MONTH($C89)=5,$S$4,IF(MONTH($C89)=6,$S$5,IF(MONTH($C89)=7,$S$6,"ERROR")))),MAX(VLOOKUP($C89,COS!$B$8:$K$991,10,FALSE)-IF(MONTH($C89)=4,$Y$3,IF(MONTH($C89)=5,$Y$4,IF(MONTH($C89)=6,$Y$5,IF(MONTH($C89)=7,$Y$6,"ERROR")))),0),MAX(VLOOKUP($C89,COS!$B$8:$K$991,9,FALSE)-IF(MONTH($C89)=4,$V$3,IF(MONTH($C89)=5,$V$4,IF(MONTH($C89)=6,$V$5,IF(MONTH($C89)=7,$V$6,"ERROR"))))-VLOOKUP($C89,COS!$B$8:$K$991,6,FALSE)/2,0))</f>
        <v>1500</v>
      </c>
      <c r="S89" s="26">
        <f t="shared" si="133"/>
        <v>92.231404958677686</v>
      </c>
      <c r="T89" s="26">
        <f t="shared" si="134"/>
        <v>176.96632587527441</v>
      </c>
      <c r="U89" s="26" t="str">
        <f>IF(VLOOKUP($C89,COS!$B$8:$I$991,8,FALSE)=1,"UWFE","IBU")</f>
        <v>IBU</v>
      </c>
      <c r="V89" s="26">
        <f t="shared" ref="V89" si="139">MIN(IF(IF($AA$3=2,AND(E89=1,G89=1,L89=1,L91=1,M89=1,U89="IBU"),AND(E89=1,G89=1,L89=1,L91=1,M89=1)),T89,0),I89)</f>
        <v>0</v>
      </c>
      <c r="W89" s="26"/>
      <c r="X89" s="26"/>
      <c r="Y89" s="26"/>
      <c r="Z89" s="26"/>
      <c r="AA89" s="26"/>
      <c r="AB89" s="33"/>
      <c r="AD89" s="43">
        <v>1997</v>
      </c>
      <c r="AE89" s="1">
        <f>VLOOKUP(AD89,Flags!$A$13:$B$95,2,FALSE)</f>
        <v>1</v>
      </c>
      <c r="AF89" s="43">
        <f t="shared" si="118"/>
        <v>379.07900051652894</v>
      </c>
      <c r="AG89" s="43">
        <f t="shared" si="119"/>
        <v>682.87646986780089</v>
      </c>
      <c r="AH89" s="43">
        <f t="shared" si="120"/>
        <v>0</v>
      </c>
      <c r="AI89" s="43">
        <f t="shared" si="121"/>
        <v>21458.47272985537</v>
      </c>
      <c r="AJ89" s="43">
        <f t="shared" si="122"/>
        <v>130.54690817084196</v>
      </c>
      <c r="AK89" s="43">
        <f t="shared" si="115"/>
        <v>96.180083048166324</v>
      </c>
      <c r="AL89" s="43">
        <f t="shared" si="123"/>
        <v>0</v>
      </c>
    </row>
    <row r="90" spans="1:38" x14ac:dyDescent="0.3">
      <c r="A90" s="32">
        <f>VLOOKUP(YEAR(C90),Flags!$A$13:$B$95,2,FALSE)</f>
        <v>4</v>
      </c>
      <c r="B90" s="24">
        <f t="shared" si="116"/>
        <v>1930</v>
      </c>
      <c r="C90" s="25">
        <v>11201</v>
      </c>
      <c r="D90" s="26"/>
      <c r="E90" s="24"/>
      <c r="F90" s="26"/>
      <c r="G90" s="24"/>
      <c r="H90" s="24"/>
      <c r="I90" s="26"/>
      <c r="J90" s="24"/>
      <c r="K90" s="26"/>
      <c r="L90" s="24"/>
      <c r="M90" s="24"/>
      <c r="N90" s="26"/>
      <c r="O90" s="26"/>
      <c r="P90" s="26"/>
      <c r="Q90" s="26"/>
      <c r="R90" s="26"/>
      <c r="S90" s="26"/>
      <c r="T90" s="26"/>
      <c r="U90" s="26"/>
      <c r="V90" s="26"/>
      <c r="W90" s="26">
        <f>MAX($C$7-VLOOKUP($C90,COS!$B$8:$H$991,3,FALSE),0)</f>
        <v>92245.44091796875</v>
      </c>
      <c r="X90" s="26">
        <f t="shared" si="31"/>
        <v>5671.9510779313014</v>
      </c>
      <c r="Y90" s="26">
        <f>VLOOKUP($C90,COS!$B$8:$H$991,4,FALSE)</f>
        <v>2140.212646484375</v>
      </c>
      <c r="Z90" s="26">
        <f t="shared" si="32"/>
        <v>131.59654619705577</v>
      </c>
      <c r="AA90" s="26">
        <f t="shared" ref="AA90:AA94" si="140">MIN(W90,Y90)</f>
        <v>2140.212646484375</v>
      </c>
      <c r="AB90" s="33">
        <f t="shared" ref="AB90:AB148" si="141">AA90*DAY($C90)*86400/43560/1000*IF(MONTH($C90)=8,$P$3,IF(MONTH($C90)=9,$P$4,IF(MONTH($C90)=10,$P$5,IF(MONTH($C90)=11,$P$6,IF(MONTH($C90)=12,$P$7,NA())))))</f>
        <v>131.59654619705577</v>
      </c>
      <c r="AD90" s="43">
        <v>1998</v>
      </c>
      <c r="AE90" s="1">
        <f>VLOOKUP(AD90,Flags!$A$13:$B$95,2,FALSE)</f>
        <v>1</v>
      </c>
      <c r="AF90" s="43">
        <f t="shared" si="118"/>
        <v>1046.5325051652894</v>
      </c>
      <c r="AG90" s="43">
        <f t="shared" si="119"/>
        <v>637.77182187671497</v>
      </c>
      <c r="AH90" s="43">
        <f t="shared" si="120"/>
        <v>0</v>
      </c>
      <c r="AI90" s="43">
        <f t="shared" si="121"/>
        <v>21397.993194731403</v>
      </c>
      <c r="AJ90" s="43">
        <f t="shared" si="122"/>
        <v>3.2741707793937245</v>
      </c>
      <c r="AK90" s="43">
        <f t="shared" si="115"/>
        <v>3.2741707793937245</v>
      </c>
      <c r="AL90" s="43">
        <f t="shared" si="123"/>
        <v>0</v>
      </c>
    </row>
    <row r="91" spans="1:38" x14ac:dyDescent="0.3">
      <c r="A91" s="32">
        <f>VLOOKUP(YEAR(C91),Flags!$A$13:$B$95,2,FALSE)</f>
        <v>4</v>
      </c>
      <c r="B91" s="24">
        <f t="shared" si="116"/>
        <v>1930</v>
      </c>
      <c r="C91" s="25">
        <v>11231</v>
      </c>
      <c r="D91" s="26"/>
      <c r="E91" s="24"/>
      <c r="F91" s="26"/>
      <c r="G91" s="24"/>
      <c r="H91" s="24"/>
      <c r="I91" s="26"/>
      <c r="J91" s="24"/>
      <c r="K91" s="26">
        <f>VLOOKUP($C91,COS!$B$8:$H$991,2,FALSE)</f>
        <v>1915.04248046875</v>
      </c>
      <c r="L91" s="24">
        <f t="shared" ref="L91" si="142">IF(AND(K91&gt;$I$7,K91&lt;$I$8),1,0)</f>
        <v>1</v>
      </c>
      <c r="M91" s="24"/>
      <c r="N91" s="26"/>
      <c r="O91" s="26"/>
      <c r="P91" s="26"/>
      <c r="Q91" s="26"/>
      <c r="R91" s="26"/>
      <c r="S91" s="26"/>
      <c r="T91" s="26"/>
      <c r="U91" s="26"/>
      <c r="V91" s="26"/>
      <c r="W91" s="26">
        <f>MAX($C$8-VLOOKUP($C91,COS!$B$8:$H$991,3,FALSE),0)</f>
        <v>95941.968505859375</v>
      </c>
      <c r="X91" s="26">
        <f t="shared" ref="X91:X154" si="143">W91*DAY($C91)*86400/43560/1000</f>
        <v>5708.9435805139465</v>
      </c>
      <c r="Y91" s="26">
        <f>VLOOKUP($C91,COS!$B$8:$H$991,4,FALSE)</f>
        <v>1280.4638671875</v>
      </c>
      <c r="Z91" s="26">
        <f t="shared" ref="Z91:Z154" si="144">Y91*DAY($C91)*86400/43560/1000</f>
        <v>76.192891270661164</v>
      </c>
      <c r="AA91" s="26">
        <f t="shared" si="140"/>
        <v>1280.4638671875</v>
      </c>
      <c r="AB91" s="33">
        <f t="shared" si="141"/>
        <v>76.192891270661164</v>
      </c>
      <c r="AD91" s="43">
        <v>1999</v>
      </c>
      <c r="AE91" s="1">
        <f>VLOOKUP(AD91,Flags!$A$13:$B$95,2,FALSE)</f>
        <v>1</v>
      </c>
      <c r="AF91" s="43">
        <f t="shared" si="118"/>
        <v>395.80849238119833</v>
      </c>
      <c r="AG91" s="43">
        <f t="shared" si="119"/>
        <v>693.09303507150685</v>
      </c>
      <c r="AH91" s="43">
        <f t="shared" si="120"/>
        <v>0</v>
      </c>
      <c r="AI91" s="43">
        <f t="shared" si="121"/>
        <v>21187.067099690081</v>
      </c>
      <c r="AJ91" s="43">
        <f t="shared" si="122"/>
        <v>135.00084912512912</v>
      </c>
      <c r="AK91" s="43">
        <f t="shared" si="115"/>
        <v>98.872038513688011</v>
      </c>
      <c r="AL91" s="43">
        <f t="shared" si="123"/>
        <v>0</v>
      </c>
    </row>
    <row r="92" spans="1:38" x14ac:dyDescent="0.3">
      <c r="A92" s="32">
        <f>VLOOKUP(YEAR(C92),Flags!$A$13:$B$95,2,FALSE)</f>
        <v>4</v>
      </c>
      <c r="B92" s="24">
        <f t="shared" si="116"/>
        <v>1930</v>
      </c>
      <c r="C92" s="25">
        <v>11262</v>
      </c>
      <c r="D92" s="26"/>
      <c r="E92" s="24"/>
      <c r="F92" s="26"/>
      <c r="G92" s="26"/>
      <c r="H92" s="26"/>
      <c r="I92" s="26"/>
      <c r="J92" s="26"/>
      <c r="K92" s="26"/>
      <c r="L92" s="24"/>
      <c r="M92" s="24"/>
      <c r="N92" s="26"/>
      <c r="O92" s="26"/>
      <c r="P92" s="26"/>
      <c r="Q92" s="26"/>
      <c r="R92" s="26"/>
      <c r="S92" s="26"/>
      <c r="T92" s="26"/>
      <c r="U92" s="26"/>
      <c r="V92" s="26"/>
      <c r="W92" s="26">
        <f>MAX($C$9-VLOOKUP($C92,COS!$B$8:$H$991,3,FALSE),0)</f>
        <v>95080.65087890625</v>
      </c>
      <c r="X92" s="26">
        <f t="shared" si="143"/>
        <v>5846.2813432980374</v>
      </c>
      <c r="Y92" s="26">
        <f>VLOOKUP($C92,COS!$B$8:$H$991,4,FALSE)</f>
        <v>1605.8980712890625</v>
      </c>
      <c r="Z92" s="26">
        <f t="shared" si="144"/>
        <v>98.742823556947315</v>
      </c>
      <c r="AA92" s="26">
        <f t="shared" si="140"/>
        <v>1605.8980712890625</v>
      </c>
      <c r="AB92" s="33">
        <f t="shared" si="141"/>
        <v>98.742823556947315</v>
      </c>
      <c r="AD92" s="43">
        <v>2000</v>
      </c>
      <c r="AE92" s="1">
        <f>VLOOKUP(AD92,Flags!$A$13:$B$95,2,FALSE)</f>
        <v>2</v>
      </c>
      <c r="AF92" s="43">
        <f t="shared" si="118"/>
        <v>514.27096332644635</v>
      </c>
      <c r="AG92" s="43">
        <f t="shared" si="119"/>
        <v>676.36010551515687</v>
      </c>
      <c r="AH92" s="43">
        <f t="shared" si="120"/>
        <v>0</v>
      </c>
      <c r="AI92" s="43">
        <f t="shared" si="121"/>
        <v>21720.460250516528</v>
      </c>
      <c r="AJ92" s="43">
        <f t="shared" si="122"/>
        <v>180.63067758103045</v>
      </c>
      <c r="AK92" s="43">
        <f t="shared" si="115"/>
        <v>85.152847648179232</v>
      </c>
      <c r="AL92" s="43">
        <f t="shared" si="123"/>
        <v>0</v>
      </c>
    </row>
    <row r="93" spans="1:38" x14ac:dyDescent="0.3">
      <c r="A93" s="32">
        <f>VLOOKUP(YEAR(C93),Flags!$A$13:$B$95,2,FALSE)</f>
        <v>4</v>
      </c>
      <c r="B93" s="24">
        <f t="shared" si="116"/>
        <v>1930</v>
      </c>
      <c r="C93" s="25">
        <v>11292</v>
      </c>
      <c r="D93" s="26"/>
      <c r="E93" s="24"/>
      <c r="F93" s="26"/>
      <c r="G93" s="26"/>
      <c r="H93" s="26"/>
      <c r="I93" s="26"/>
      <c r="J93" s="26"/>
      <c r="K93" s="26"/>
      <c r="L93" s="24"/>
      <c r="M93" s="24"/>
      <c r="N93" s="26"/>
      <c r="O93" s="26"/>
      <c r="P93" s="26"/>
      <c r="Q93" s="26"/>
      <c r="R93" s="26"/>
      <c r="S93" s="26"/>
      <c r="T93" s="26"/>
      <c r="U93" s="26"/>
      <c r="V93" s="26"/>
      <c r="W93" s="26">
        <f>MAX($C$10-VLOOKUP($C93,COS!$B$8:$H$991,3,FALSE),0)</f>
        <v>96451.079833984375</v>
      </c>
      <c r="X93" s="26">
        <f t="shared" si="143"/>
        <v>5739.2378083032027</v>
      </c>
      <c r="Y93" s="26">
        <f>VLOOKUP($C93,COS!$B$8:$H$991,4,FALSE)</f>
        <v>1772.532958984375</v>
      </c>
      <c r="Z93" s="26">
        <f t="shared" si="144"/>
        <v>105.47303557592976</v>
      </c>
      <c r="AA93" s="26">
        <f t="shared" si="140"/>
        <v>1772.532958984375</v>
      </c>
      <c r="AB93" s="33">
        <f t="shared" si="141"/>
        <v>52.736517787964878</v>
      </c>
      <c r="AD93" s="43">
        <v>2001</v>
      </c>
      <c r="AE93" s="1">
        <f>VLOOKUP(AD93,Flags!$A$13:$B$95,2,FALSE)</f>
        <v>4</v>
      </c>
      <c r="AF93" s="43">
        <f t="shared" si="118"/>
        <v>418.97775697314046</v>
      </c>
      <c r="AG93" s="43">
        <f t="shared" si="119"/>
        <v>629.78990330215333</v>
      </c>
      <c r="AH93" s="43">
        <f t="shared" si="120"/>
        <v>345.73311434659092</v>
      </c>
      <c r="AI93" s="43">
        <f t="shared" si="121"/>
        <v>22660.507379907023</v>
      </c>
      <c r="AJ93" s="43">
        <f t="shared" si="122"/>
        <v>436.66178630229854</v>
      </c>
      <c r="AK93" s="43">
        <f t="shared" si="115"/>
        <v>395.98933182141013</v>
      </c>
      <c r="AL93" s="43">
        <f t="shared" si="123"/>
        <v>345.73311434659092</v>
      </c>
    </row>
    <row r="94" spans="1:38" x14ac:dyDescent="0.3">
      <c r="A94" s="34">
        <f>VLOOKUP(YEAR(C94),Flags!$A$13:$B$95,2,FALSE)</f>
        <v>4</v>
      </c>
      <c r="B94" s="35">
        <f t="shared" si="116"/>
        <v>1930</v>
      </c>
      <c r="C94" s="36">
        <v>11323</v>
      </c>
      <c r="D94" s="37"/>
      <c r="E94" s="35"/>
      <c r="F94" s="37"/>
      <c r="G94" s="37"/>
      <c r="H94" s="37"/>
      <c r="I94" s="37"/>
      <c r="J94" s="37"/>
      <c r="K94" s="37"/>
      <c r="L94" s="35"/>
      <c r="M94" s="35"/>
      <c r="N94" s="37"/>
      <c r="O94" s="37"/>
      <c r="P94" s="37"/>
      <c r="Q94" s="37"/>
      <c r="R94" s="37"/>
      <c r="S94" s="37"/>
      <c r="T94" s="37"/>
      <c r="U94" s="37"/>
      <c r="V94" s="37"/>
      <c r="W94" s="37">
        <f>MAX($C$11-VLOOKUP($C94,COS!$B$8:$H$991,3,FALSE),0)</f>
        <v>0</v>
      </c>
      <c r="X94" s="37">
        <f t="shared" si="143"/>
        <v>0</v>
      </c>
      <c r="Y94" s="37">
        <f>VLOOKUP($C94,COS!$B$8:$H$991,4,FALSE)</f>
        <v>1918.959716796875</v>
      </c>
      <c r="Z94" s="37">
        <f t="shared" si="144"/>
        <v>117.99223382618803</v>
      </c>
      <c r="AA94" s="37">
        <f t="shared" si="140"/>
        <v>0</v>
      </c>
      <c r="AB94" s="38">
        <f t="shared" si="141"/>
        <v>0</v>
      </c>
      <c r="AD94" s="43">
        <v>2002</v>
      </c>
      <c r="AE94" s="1">
        <f>VLOOKUP(AD94,Flags!$A$13:$B$95,2,FALSE)</f>
        <v>4</v>
      </c>
      <c r="AF94" s="43">
        <f t="shared" si="118"/>
        <v>367.82716909865701</v>
      </c>
      <c r="AG94" s="43">
        <f t="shared" si="119"/>
        <v>683.04540938952732</v>
      </c>
      <c r="AH94" s="43">
        <f t="shared" si="120"/>
        <v>236.88286286157023</v>
      </c>
      <c r="AI94" s="43">
        <f t="shared" si="121"/>
        <v>22610.369045067149</v>
      </c>
      <c r="AJ94" s="43">
        <f t="shared" si="122"/>
        <v>314.62177201704543</v>
      </c>
      <c r="AK94" s="43">
        <f t="shared" si="115"/>
        <v>290.89275418872677</v>
      </c>
      <c r="AL94" s="43">
        <f t="shared" si="123"/>
        <v>236.88286286157023</v>
      </c>
    </row>
    <row r="95" spans="1:38" x14ac:dyDescent="0.3">
      <c r="A95" s="27">
        <f>VLOOKUP(YEAR(C95),Flags!$A$13:$B$95,2,FALSE)</f>
        <v>5</v>
      </c>
      <c r="B95" s="28">
        <f t="shared" si="116"/>
        <v>1931</v>
      </c>
      <c r="C95" s="29">
        <v>11443</v>
      </c>
      <c r="D95" s="30">
        <f>VLOOKUP($C95,COS!$B$8:$H$991,3,FALSE)</f>
        <v>6839.51904296875</v>
      </c>
      <c r="E95" s="28">
        <f>IF(D95&gt;=IF(MONTH($C95)=4,$C$3,IF(MONTH($C95)=5,$C$4,IF(MONTH($C95)=6,$C$5,IF(MONTH($C95)=7,$C$6,"ERROR")))),1,0)</f>
        <v>1</v>
      </c>
      <c r="F95" s="30">
        <f>VLOOKUP($C95,COS!$B$8:$H$991,7,FALSE)</f>
        <v>50.956645965576172</v>
      </c>
      <c r="G95" s="28">
        <f>IF(F95&lt;=IF(MONTH($C95)=4,$F$3,IF(MONTH($C95)=5,$F$4,IF(MONTH($C95)=6,$F$5,IF(MONTH($C95)=7,$F$6,"ERROR")))),1,0)</f>
        <v>1</v>
      </c>
      <c r="H95" s="30">
        <f>IF(J95=1,D95-$C$3,0)</f>
        <v>839.51904296875</v>
      </c>
      <c r="I95" s="30">
        <f t="shared" si="136"/>
        <v>49.954852143595041</v>
      </c>
      <c r="J95" s="28">
        <f t="shared" ref="J95:J98" si="145">IF(AND(E95=1,G95=1),1,0)</f>
        <v>1</v>
      </c>
      <c r="K95" s="30">
        <f>VLOOKUP($C95,COS!$B$8:$H$991,2,FALSE)</f>
        <v>1860.261474609375</v>
      </c>
      <c r="L95" s="28">
        <f t="shared" ref="L95" si="146">IF(K95&lt;=IF(MONTH($C95)=4,$I$3,IF(MONTH($C95)=5,$I$4,IF(MONTH($C95)=6,$I$5,IF(MONTH($C95)=7,$I$6,"ERROR")))),1,0)</f>
        <v>1</v>
      </c>
      <c r="M95" s="28">
        <f t="shared" ref="M95" si="147">VLOOKUP($A95,$L$3:$M$7,2,FALSE)</f>
        <v>1</v>
      </c>
      <c r="N95" s="30">
        <f>VLOOKUP($C95,COS!$B$8:$H$991,5,FALSE)</f>
        <v>166.208740234375</v>
      </c>
      <c r="O95" s="30">
        <f t="shared" ref="O95:O98" si="148">N95*DAY($C95)*86400/43560/1000</f>
        <v>9.8901068569214878</v>
      </c>
      <c r="P95" s="30">
        <f>VLOOKUP($C95,COS!$B$8:$H$991,6,FALSE)</f>
        <v>541.11907958984375</v>
      </c>
      <c r="Q95" s="30">
        <f t="shared" ref="Q95:Q98" si="149">P95*DAY($C95)*86400/43560/1000</f>
        <v>32.198821264850203</v>
      </c>
      <c r="R95" s="30">
        <f>MIN(IF(MONTH($C95)=4,$S$3,IF(MONTH($C95)=5,$S$4,IF(MONTH($C95)=6,$S$5,IF(MONTH($C95)=7,$S$6,"ERROR")))),MAX(VLOOKUP($C95,COS!$B$8:$K$991,10,FALSE)-IF(MONTH($C95)=4,$Y$3,IF(MONTH($C95)=5,$Y$4,IF(MONTH($C95)=6,$Y$5,IF(MONTH($C95)=7,$Y$6,"ERROR")))),0),MAX(VLOOKUP($C95,COS!$B$8:$K$991,9,FALSE)-IF(MONTH($C95)=4,$V$3,IF(MONTH($C95)=5,$V$4,IF(MONTH($C95)=6,$V$5,IF(MONTH($C95)=7,$V$6,"ERROR"))))-VLOOKUP($C95,COS!$B$8:$K$991,6,FALSE)/2,0))</f>
        <v>1500</v>
      </c>
      <c r="S95" s="30">
        <f t="shared" ref="S95:S98" si="150">R95*DAY($C95)*86400/43560/1000</f>
        <v>89.256198347107429</v>
      </c>
      <c r="T95" s="30">
        <f t="shared" ref="T95:T98" si="151">(O95+Q95)/2+S95</f>
        <v>110.30066240799327</v>
      </c>
      <c r="U95" s="30" t="str">
        <f>IF(VLOOKUP($C95,COS!$B$8:$I$991,8,FALSE)=1,"UWFE","IBU")</f>
        <v>IBU</v>
      </c>
      <c r="V95" s="30">
        <f t="shared" ref="V95" si="152">MIN(IF(IF($AA$3=2,AND(E95=1,G95=1,L95=1,L100=1,M95=1,U95="IBU"),AND(E95=1,G95=1,L95=1,L100=1,M95=1)),T95,0),I95)</f>
        <v>49.954852143595041</v>
      </c>
      <c r="W95" s="30"/>
      <c r="X95" s="30"/>
      <c r="Y95" s="30"/>
      <c r="Z95" s="30"/>
      <c r="AA95" s="30"/>
      <c r="AB95" s="31"/>
      <c r="AD95" s="6"/>
      <c r="AE95" s="6"/>
      <c r="AF95" s="6"/>
      <c r="AG95" s="6"/>
    </row>
    <row r="96" spans="1:38" x14ac:dyDescent="0.3">
      <c r="A96" s="32">
        <f>VLOOKUP(YEAR(C96),Flags!$A$13:$B$95,2,FALSE)</f>
        <v>5</v>
      </c>
      <c r="B96" s="24">
        <f t="shared" si="116"/>
        <v>1931</v>
      </c>
      <c r="C96" s="25">
        <v>11474</v>
      </c>
      <c r="D96" s="26">
        <f>VLOOKUP($C96,COS!$B$8:$H$991,3,FALSE)</f>
        <v>8021.2177734375</v>
      </c>
      <c r="E96" s="24">
        <f>IF(D96&gt;=IF(MONTH($C96)=4,$C$3,IF(MONTH($C96)=5,$C$4,IF(MONTH($C96)=6,$C$5,IF(MONTH($C96)=7,$C$6,"ERROR")))),1,0)</f>
        <v>1</v>
      </c>
      <c r="F96" s="26">
        <f>VLOOKUP($C96,COS!$B$8:$H$991,7,FALSE)</f>
        <v>54.440109252929688</v>
      </c>
      <c r="G96" s="24">
        <f>IF(F96&lt;=IF(MONTH($C96)=4,$F$3,IF(MONTH($C96)=5,$F$4,IF(MONTH($C96)=6,$F$5,IF(MONTH($C96)=7,$F$6,"ERROR")))),1,0)</f>
        <v>1</v>
      </c>
      <c r="H96" s="26">
        <f>IF(J96=1,D96-$C$4,0)</f>
        <v>2021.2177734375</v>
      </c>
      <c r="I96" s="26">
        <f t="shared" si="136"/>
        <v>124.27983664772728</v>
      </c>
      <c r="J96" s="24">
        <f t="shared" si="145"/>
        <v>1</v>
      </c>
      <c r="K96" s="26">
        <f>VLOOKUP($C96,COS!$B$8:$H$991,2,FALSE)</f>
        <v>1533.49609375</v>
      </c>
      <c r="L96" s="24">
        <f t="shared" si="129"/>
        <v>1</v>
      </c>
      <c r="M96" s="24">
        <f t="shared" si="130"/>
        <v>1</v>
      </c>
      <c r="N96" s="26">
        <f>VLOOKUP($C96,COS!$B$8:$H$991,5,FALSE)</f>
        <v>149.48806762695313</v>
      </c>
      <c r="O96" s="26">
        <f t="shared" si="148"/>
        <v>9.1916630011944722</v>
      </c>
      <c r="P96" s="26">
        <f>VLOOKUP($C96,COS!$B$8:$H$991,6,FALSE)</f>
        <v>2010.7308349609375</v>
      </c>
      <c r="Q96" s="26">
        <f t="shared" si="149"/>
        <v>123.63501993478823</v>
      </c>
      <c r="R96" s="26">
        <f>MIN(IF(MONTH($C96)=4,$S$3,IF(MONTH($C96)=5,$S$4,IF(MONTH($C96)=6,$S$5,IF(MONTH($C96)=7,$S$6,"ERROR")))),MAX(VLOOKUP($C96,COS!$B$8:$K$991,10,FALSE)-IF(MONTH($C96)=4,$Y$3,IF(MONTH($C96)=5,$Y$4,IF(MONTH($C96)=6,$Y$5,IF(MONTH($C96)=7,$Y$6,"ERROR")))),0),MAX(VLOOKUP($C96,COS!$B$8:$K$991,9,FALSE)-IF(MONTH($C96)=4,$V$3,IF(MONTH($C96)=5,$V$4,IF(MONTH($C96)=6,$V$5,IF(MONTH($C96)=7,$V$6,"ERROR"))))-VLOOKUP($C96,COS!$B$8:$K$991,6,FALSE)/2,0))</f>
        <v>1500</v>
      </c>
      <c r="S96" s="26">
        <f t="shared" si="150"/>
        <v>92.231404958677686</v>
      </c>
      <c r="T96" s="26">
        <f t="shared" si="151"/>
        <v>158.64474642666903</v>
      </c>
      <c r="U96" s="26" t="str">
        <f>IF(VLOOKUP($C96,COS!$B$8:$I$991,8,FALSE)=1,"UWFE","IBU")</f>
        <v>IBU</v>
      </c>
      <c r="V96" s="26">
        <f t="shared" ref="V96" si="153">MIN(IF(IF($AA$3=2,AND(E96=1,G96=1,L96=1,L100=1,M96=1,U96="IBU"),AND(E96=1,G96=1,L96=1,L100=1,M96=1)),T96,0),I96)</f>
        <v>124.27983664772728</v>
      </c>
      <c r="W96" s="26"/>
      <c r="X96" s="26"/>
      <c r="Y96" s="26"/>
      <c r="Z96" s="26"/>
      <c r="AA96" s="26"/>
      <c r="AB96" s="33"/>
    </row>
    <row r="97" spans="1:28" x14ac:dyDescent="0.3">
      <c r="A97" s="32">
        <f>VLOOKUP(YEAR(C97),Flags!$A$13:$B$95,2,FALSE)</f>
        <v>5</v>
      </c>
      <c r="B97" s="24">
        <f t="shared" si="116"/>
        <v>1931</v>
      </c>
      <c r="C97" s="25">
        <v>11504</v>
      </c>
      <c r="D97" s="26">
        <f>VLOOKUP($C97,COS!$B$8:$H$991,3,FALSE)</f>
        <v>8236.236328125</v>
      </c>
      <c r="E97" s="24">
        <f>IF(D97&gt;=IF(MONTH($C97)=4,$C$3,IF(MONTH($C97)=5,$C$4,IF(MONTH($C97)=6,$C$5,IF(MONTH($C97)=7,$C$6,"ERROR")))),1,0)</f>
        <v>0</v>
      </c>
      <c r="F97" s="26">
        <f>VLOOKUP($C97,COS!$B$8:$H$991,7,FALSE)</f>
        <v>53.915287017822266</v>
      </c>
      <c r="G97" s="24">
        <f>IF(F97&lt;=IF(MONTH($C97)=4,$F$3,IF(MONTH($C97)=5,$F$4,IF(MONTH($C97)=6,$F$5,IF(MONTH($C97)=7,$F$6,"ERROR")))),1,0)</f>
        <v>1</v>
      </c>
      <c r="H97" s="26">
        <f>IF(J97=1,D97-$C$5,0)</f>
        <v>0</v>
      </c>
      <c r="I97" s="26">
        <f t="shared" si="136"/>
        <v>0</v>
      </c>
      <c r="J97" s="24">
        <f t="shared" si="145"/>
        <v>0</v>
      </c>
      <c r="K97" s="26">
        <f>VLOOKUP($C97,COS!$B$8:$H$991,2,FALSE)</f>
        <v>1203.680419921875</v>
      </c>
      <c r="L97" s="24">
        <f t="shared" si="129"/>
        <v>1</v>
      </c>
      <c r="M97" s="24">
        <f t="shared" si="130"/>
        <v>1</v>
      </c>
      <c r="N97" s="26">
        <f>VLOOKUP($C97,COS!$B$8:$H$991,5,FALSE)</f>
        <v>183.68203735351563</v>
      </c>
      <c r="O97" s="26">
        <f t="shared" si="148"/>
        <v>10.929840239217459</v>
      </c>
      <c r="P97" s="26">
        <f>VLOOKUP($C97,COS!$B$8:$H$991,6,FALSE)</f>
        <v>2250.943115234375</v>
      </c>
      <c r="Q97" s="26">
        <f t="shared" si="149"/>
        <v>133.94041677427685</v>
      </c>
      <c r="R97" s="26">
        <f>MIN(IF(MONTH($C97)=4,$S$3,IF(MONTH($C97)=5,$S$4,IF(MONTH($C97)=6,$S$5,IF(MONTH($C97)=7,$S$6,"ERROR")))),MAX(VLOOKUP($C97,COS!$B$8:$K$991,10,FALSE)-IF(MONTH($C97)=4,$Y$3,IF(MONTH($C97)=5,$Y$4,IF(MONTH($C97)=6,$Y$5,IF(MONTH($C97)=7,$Y$6,"ERROR")))),0),MAX(VLOOKUP($C97,COS!$B$8:$K$991,9,FALSE)-IF(MONTH($C97)=4,$V$3,IF(MONTH($C97)=5,$V$4,IF(MONTH($C97)=6,$V$5,IF(MONTH($C97)=7,$V$6,"ERROR"))))-VLOOKUP($C97,COS!$B$8:$K$991,6,FALSE)/2,0))</f>
        <v>1500</v>
      </c>
      <c r="S97" s="26">
        <f t="shared" si="150"/>
        <v>89.256198347107429</v>
      </c>
      <c r="T97" s="26">
        <f t="shared" si="151"/>
        <v>161.6913268538546</v>
      </c>
      <c r="U97" s="26" t="str">
        <f>IF(VLOOKUP($C97,COS!$B$8:$I$991,8,FALSE)=1,"UWFE","IBU")</f>
        <v>IBU</v>
      </c>
      <c r="V97" s="26">
        <f t="shared" ref="V97" si="154">MIN(IF(IF($AA$3=2,AND(E97=1,G97=1,L97=1,L100=1,M97=1,U97="IBU"),AND(E97=1,G97=1,L97=1,L100=1,M97=1)),T97,0),I97)</f>
        <v>0</v>
      </c>
      <c r="W97" s="26"/>
      <c r="X97" s="26"/>
      <c r="Y97" s="26"/>
      <c r="Z97" s="26"/>
      <c r="AA97" s="26"/>
      <c r="AB97" s="33"/>
    </row>
    <row r="98" spans="1:28" x14ac:dyDescent="0.3">
      <c r="A98" s="32">
        <f>VLOOKUP(YEAR(C98),Flags!$A$13:$B$95,2,FALSE)</f>
        <v>5</v>
      </c>
      <c r="B98" s="24">
        <f t="shared" si="116"/>
        <v>1931</v>
      </c>
      <c r="C98" s="25">
        <v>11535</v>
      </c>
      <c r="D98" s="26">
        <f>VLOOKUP($C98,COS!$B$8:$H$991,3,FALSE)</f>
        <v>9719.40234375</v>
      </c>
      <c r="E98" s="24">
        <f>IF(D98&gt;=IF(MONTH($C98)=4,$C$3,IF(MONTH($C98)=5,$C$4,IF(MONTH($C98)=6,$C$5,IF(MONTH($C98)=7,$C$6,"ERROR")))),1,0)</f>
        <v>0</v>
      </c>
      <c r="F98" s="26">
        <f>VLOOKUP($C98,COS!$B$8:$H$991,7,FALSE)</f>
        <v>56.554588317871094</v>
      </c>
      <c r="G98" s="24">
        <f>IF(F98&lt;=IF(MONTH($C98)=4,$F$3,IF(MONTH($C98)=5,$F$4,IF(MONTH($C98)=6,$F$5,IF(MONTH($C98)=7,$F$6,"ERROR")))),1,0)</f>
        <v>0</v>
      </c>
      <c r="H98" s="26">
        <f>IF(J98=1,D98-$C$6,0)</f>
        <v>0</v>
      </c>
      <c r="I98" s="26">
        <f t="shared" si="136"/>
        <v>0</v>
      </c>
      <c r="J98" s="24">
        <f t="shared" si="145"/>
        <v>0</v>
      </c>
      <c r="K98" s="26">
        <f>VLOOKUP($C98,COS!$B$8:$H$991,2,FALSE)</f>
        <v>751.55364990234375</v>
      </c>
      <c r="L98" s="24">
        <f t="shared" si="129"/>
        <v>1</v>
      </c>
      <c r="M98" s="24">
        <f t="shared" si="130"/>
        <v>1</v>
      </c>
      <c r="N98" s="26">
        <f>VLOOKUP($C98,COS!$B$8:$H$991,5,FALSE)</f>
        <v>229.37615966796875</v>
      </c>
      <c r="O98" s="26">
        <f t="shared" si="148"/>
        <v>14.10379031346849</v>
      </c>
      <c r="P98" s="26">
        <f>VLOOKUP($C98,COS!$B$8:$H$991,6,FALSE)</f>
        <v>2281.4833984375</v>
      </c>
      <c r="Q98" s="26">
        <f t="shared" si="149"/>
        <v>140.28294615185951</v>
      </c>
      <c r="R98" s="26">
        <f>MIN(IF(MONTH($C98)=4,$S$3,IF(MONTH($C98)=5,$S$4,IF(MONTH($C98)=6,$S$5,IF(MONTH($C98)=7,$S$6,"ERROR")))),MAX(VLOOKUP($C98,COS!$B$8:$K$991,10,FALSE)-IF(MONTH($C98)=4,$Y$3,IF(MONTH($C98)=5,$Y$4,IF(MONTH($C98)=6,$Y$5,IF(MONTH($C98)=7,$Y$6,"ERROR")))),0),MAX(VLOOKUP($C98,COS!$B$8:$K$991,9,FALSE)-IF(MONTH($C98)=4,$V$3,IF(MONTH($C98)=5,$V$4,IF(MONTH($C98)=6,$V$5,IF(MONTH($C98)=7,$V$6,"ERROR"))))-VLOOKUP($C98,COS!$B$8:$K$991,6,FALSE)/2,0))</f>
        <v>1500</v>
      </c>
      <c r="S98" s="26">
        <f t="shared" si="150"/>
        <v>92.231404958677686</v>
      </c>
      <c r="T98" s="26">
        <f t="shared" si="151"/>
        <v>169.42477319134167</v>
      </c>
      <c r="U98" s="26" t="str">
        <f>IF(VLOOKUP($C98,COS!$B$8:$I$991,8,FALSE)=1,"UWFE","IBU")</f>
        <v>IBU</v>
      </c>
      <c r="V98" s="26">
        <f t="shared" ref="V98" si="155">MIN(IF(IF($AA$3=2,AND(E98=1,G98=1,L98=1,L100=1,M98=1,U98="IBU"),AND(E98=1,G98=1,L98=1,L100=1,M98=1)),T98,0),I98)</f>
        <v>0</v>
      </c>
      <c r="W98" s="26"/>
      <c r="X98" s="26"/>
      <c r="Y98" s="26"/>
      <c r="Z98" s="26"/>
      <c r="AA98" s="26"/>
      <c r="AB98" s="33"/>
    </row>
    <row r="99" spans="1:28" x14ac:dyDescent="0.3">
      <c r="A99" s="32">
        <f>VLOOKUP(YEAR(C99),Flags!$A$13:$B$95,2,FALSE)</f>
        <v>5</v>
      </c>
      <c r="B99" s="24">
        <f t="shared" si="116"/>
        <v>1931</v>
      </c>
      <c r="C99" s="25">
        <v>11566</v>
      </c>
      <c r="D99" s="26"/>
      <c r="E99" s="24"/>
      <c r="F99" s="26"/>
      <c r="G99" s="24"/>
      <c r="H99" s="24"/>
      <c r="I99" s="26"/>
      <c r="J99" s="24"/>
      <c r="K99" s="26"/>
      <c r="L99" s="24"/>
      <c r="M99" s="24"/>
      <c r="N99" s="26"/>
      <c r="O99" s="26"/>
      <c r="P99" s="26"/>
      <c r="Q99" s="26"/>
      <c r="R99" s="26"/>
      <c r="S99" s="26"/>
      <c r="T99" s="26"/>
      <c r="U99" s="26"/>
      <c r="V99" s="26"/>
      <c r="W99" s="26">
        <f>MAX($C$7-VLOOKUP($C99,COS!$B$8:$H$991,3,FALSE),0)</f>
        <v>92453.15478515625</v>
      </c>
      <c r="X99" s="26">
        <f t="shared" si="143"/>
        <v>5684.7229057980376</v>
      </c>
      <c r="Y99" s="26">
        <f>VLOOKUP($C99,COS!$B$8:$H$991,4,FALSE)</f>
        <v>1954.847412109375</v>
      </c>
      <c r="Z99" s="26">
        <f t="shared" si="144"/>
        <v>120.1988821991219</v>
      </c>
      <c r="AA99" s="26">
        <f t="shared" ref="AA99:AA103" si="156">MIN(W99,Y99)</f>
        <v>1954.847412109375</v>
      </c>
      <c r="AB99" s="33">
        <f t="shared" ref="AB99" si="157">AA99*DAY($C99)*86400/43560/1000*IF(MONTH($C99)=8,$P$3,IF(MONTH($C99)=9,$P$4,IF(MONTH($C99)=10,$P$5,IF(MONTH($C99)=11,$P$6,IF(MONTH($C99)=12,$P$7,NA())))))</f>
        <v>120.1988821991219</v>
      </c>
    </row>
    <row r="100" spans="1:28" x14ac:dyDescent="0.3">
      <c r="A100" s="32">
        <f>VLOOKUP(YEAR(C100),Flags!$A$13:$B$95,2,FALSE)</f>
        <v>5</v>
      </c>
      <c r="B100" s="24">
        <f t="shared" si="116"/>
        <v>1931</v>
      </c>
      <c r="C100" s="25">
        <v>11596</v>
      </c>
      <c r="D100" s="26"/>
      <c r="E100" s="24"/>
      <c r="F100" s="26"/>
      <c r="G100" s="24"/>
      <c r="H100" s="24"/>
      <c r="I100" s="26"/>
      <c r="J100" s="24"/>
      <c r="K100" s="26">
        <f>VLOOKUP($C100,COS!$B$8:$H$991,2,FALSE)</f>
        <v>558.61627197265625</v>
      </c>
      <c r="L100" s="24">
        <f t="shared" ref="L100" si="158">IF(AND(K100&gt;$I$7,K100&lt;$I$8),1,0)</f>
        <v>1</v>
      </c>
      <c r="M100" s="24"/>
      <c r="N100" s="26"/>
      <c r="O100" s="26"/>
      <c r="P100" s="26"/>
      <c r="Q100" s="26"/>
      <c r="R100" s="26"/>
      <c r="S100" s="26"/>
      <c r="T100" s="26"/>
      <c r="U100" s="26"/>
      <c r="V100" s="26"/>
      <c r="W100" s="26">
        <f>MAX($C$8-VLOOKUP($C100,COS!$B$8:$H$991,3,FALSE),0)</f>
        <v>95634.48095703125</v>
      </c>
      <c r="X100" s="26">
        <f t="shared" si="143"/>
        <v>5690.6468007489666</v>
      </c>
      <c r="Y100" s="26">
        <f>VLOOKUP($C100,COS!$B$8:$H$991,4,FALSE)</f>
        <v>2060.603515625</v>
      </c>
      <c r="Z100" s="26">
        <f t="shared" si="144"/>
        <v>122.61442407024794</v>
      </c>
      <c r="AA100" s="26">
        <f t="shared" si="156"/>
        <v>2060.603515625</v>
      </c>
      <c r="AB100" s="33">
        <f t="shared" si="141"/>
        <v>122.61442407024794</v>
      </c>
    </row>
    <row r="101" spans="1:28" x14ac:dyDescent="0.3">
      <c r="A101" s="32">
        <f>VLOOKUP(YEAR(C101),Flags!$A$13:$B$95,2,FALSE)</f>
        <v>5</v>
      </c>
      <c r="B101" s="24">
        <f t="shared" si="116"/>
        <v>1931</v>
      </c>
      <c r="C101" s="25">
        <v>11627</v>
      </c>
      <c r="D101" s="26"/>
      <c r="E101" s="24"/>
      <c r="F101" s="26"/>
      <c r="G101" s="26"/>
      <c r="H101" s="26"/>
      <c r="I101" s="26"/>
      <c r="J101" s="26"/>
      <c r="K101" s="26"/>
      <c r="L101" s="24"/>
      <c r="M101" s="24"/>
      <c r="N101" s="26"/>
      <c r="O101" s="26"/>
      <c r="P101" s="26"/>
      <c r="Q101" s="26"/>
      <c r="R101" s="26"/>
      <c r="S101" s="26"/>
      <c r="T101" s="26"/>
      <c r="U101" s="26"/>
      <c r="V101" s="26"/>
      <c r="W101" s="26">
        <f>MAX($C$9-VLOOKUP($C101,COS!$B$8:$H$991,3,FALSE),0)</f>
        <v>95356.61572265625</v>
      </c>
      <c r="X101" s="26">
        <f t="shared" si="143"/>
        <v>5863.2497601368796</v>
      </c>
      <c r="Y101" s="26">
        <f>VLOOKUP($C101,COS!$B$8:$H$991,4,FALSE)</f>
        <v>1549.2154541015625</v>
      </c>
      <c r="Z101" s="26">
        <f t="shared" si="144"/>
        <v>95.257545276988637</v>
      </c>
      <c r="AA101" s="26">
        <f t="shared" si="156"/>
        <v>1549.2154541015625</v>
      </c>
      <c r="AB101" s="33">
        <f t="shared" si="141"/>
        <v>95.257545276988637</v>
      </c>
    </row>
    <row r="102" spans="1:28" x14ac:dyDescent="0.3">
      <c r="A102" s="32">
        <f>VLOOKUP(YEAR(C102),Flags!$A$13:$B$95,2,FALSE)</f>
        <v>5</v>
      </c>
      <c r="B102" s="24">
        <f t="shared" si="116"/>
        <v>1931</v>
      </c>
      <c r="C102" s="25">
        <v>11657</v>
      </c>
      <c r="D102" s="26"/>
      <c r="E102" s="24"/>
      <c r="F102" s="26"/>
      <c r="G102" s="26"/>
      <c r="H102" s="26"/>
      <c r="I102" s="26"/>
      <c r="J102" s="26"/>
      <c r="K102" s="26"/>
      <c r="L102" s="24"/>
      <c r="M102" s="24"/>
      <c r="N102" s="26"/>
      <c r="O102" s="26"/>
      <c r="P102" s="26"/>
      <c r="Q102" s="26"/>
      <c r="R102" s="26"/>
      <c r="S102" s="26"/>
      <c r="T102" s="26"/>
      <c r="U102" s="26"/>
      <c r="V102" s="26"/>
      <c r="W102" s="26">
        <f>MAX($C$10-VLOOKUP($C102,COS!$B$8:$H$991,3,FALSE),0)</f>
        <v>96802.866943359375</v>
      </c>
      <c r="X102" s="26">
        <f t="shared" si="143"/>
        <v>5760.1705949767556</v>
      </c>
      <c r="Y102" s="26">
        <f>VLOOKUP($C102,COS!$B$8:$H$991,4,FALSE)</f>
        <v>1329.917724609375</v>
      </c>
      <c r="Z102" s="26">
        <f t="shared" si="144"/>
        <v>79.135600142045462</v>
      </c>
      <c r="AA102" s="26">
        <f t="shared" si="156"/>
        <v>1329.917724609375</v>
      </c>
      <c r="AB102" s="33">
        <f t="shared" si="141"/>
        <v>39.567800071022731</v>
      </c>
    </row>
    <row r="103" spans="1:28" x14ac:dyDescent="0.3">
      <c r="A103" s="34">
        <f>VLOOKUP(YEAR(C103),Flags!$A$13:$B$95,2,FALSE)</f>
        <v>5</v>
      </c>
      <c r="B103" s="35">
        <f t="shared" si="116"/>
        <v>1931</v>
      </c>
      <c r="C103" s="36">
        <v>11688</v>
      </c>
      <c r="D103" s="37"/>
      <c r="E103" s="35"/>
      <c r="F103" s="37"/>
      <c r="G103" s="37"/>
      <c r="H103" s="37"/>
      <c r="I103" s="37"/>
      <c r="J103" s="37"/>
      <c r="K103" s="37"/>
      <c r="L103" s="35"/>
      <c r="M103" s="35"/>
      <c r="N103" s="37"/>
      <c r="O103" s="37"/>
      <c r="P103" s="37"/>
      <c r="Q103" s="37"/>
      <c r="R103" s="37"/>
      <c r="S103" s="37"/>
      <c r="T103" s="37"/>
      <c r="U103" s="37"/>
      <c r="V103" s="37"/>
      <c r="W103" s="37">
        <f>MAX($C$11-VLOOKUP($C103,COS!$B$8:$H$991,3,FALSE),0)</f>
        <v>0</v>
      </c>
      <c r="X103" s="37">
        <f t="shared" si="143"/>
        <v>0</v>
      </c>
      <c r="Y103" s="37">
        <f>VLOOKUP($C103,COS!$B$8:$H$991,4,FALSE)</f>
        <v>0</v>
      </c>
      <c r="Z103" s="37">
        <f t="shared" si="144"/>
        <v>0</v>
      </c>
      <c r="AA103" s="37">
        <f t="shared" si="156"/>
        <v>0</v>
      </c>
      <c r="AB103" s="38">
        <f t="shared" si="141"/>
        <v>0</v>
      </c>
    </row>
    <row r="104" spans="1:28" x14ac:dyDescent="0.3">
      <c r="A104" s="27">
        <f>VLOOKUP(YEAR(C104),Flags!$A$13:$B$95,2,FALSE)</f>
        <v>5</v>
      </c>
      <c r="B104" s="28">
        <f t="shared" si="116"/>
        <v>1932</v>
      </c>
      <c r="C104" s="29">
        <v>11809</v>
      </c>
      <c r="D104" s="30">
        <f>VLOOKUP($C104,COS!$B$8:$H$991,3,FALSE)</f>
        <v>3250</v>
      </c>
      <c r="E104" s="28">
        <f>IF(D104&gt;=IF(MONTH($C104)=4,$C$3,IF(MONTH($C104)=5,$C$4,IF(MONTH($C104)=6,$C$5,IF(MONTH($C104)=7,$C$6,"ERROR")))),1,0)</f>
        <v>0</v>
      </c>
      <c r="F104" s="30">
        <f>VLOOKUP($C104,COS!$B$8:$H$991,7,FALSE)</f>
        <v>49.347862243652344</v>
      </c>
      <c r="G104" s="28">
        <f>IF(F104&lt;=IF(MONTH($C104)=4,$F$3,IF(MONTH($C104)=5,$F$4,IF(MONTH($C104)=6,$F$5,IF(MONTH($C104)=7,$F$6,"ERROR")))),1,0)</f>
        <v>1</v>
      </c>
      <c r="H104" s="30">
        <f>IF(J104=1,D104-$C$3,0)</f>
        <v>0</v>
      </c>
      <c r="I104" s="30">
        <f t="shared" si="136"/>
        <v>0</v>
      </c>
      <c r="J104" s="28">
        <f t="shared" ref="J104:J107" si="159">IF(AND(E104=1,G104=1),1,0)</f>
        <v>0</v>
      </c>
      <c r="K104" s="30">
        <f>VLOOKUP($C104,COS!$B$8:$H$991,2,FALSE)</f>
        <v>1787.3011474609375</v>
      </c>
      <c r="L104" s="28">
        <f t="shared" ref="L104" si="160">IF(K104&lt;=IF(MONTH($C104)=4,$I$3,IF(MONTH($C104)=5,$I$4,IF(MONTH($C104)=6,$I$5,IF(MONTH($C104)=7,$I$6,"ERROR")))),1,0)</f>
        <v>1</v>
      </c>
      <c r="M104" s="28">
        <f t="shared" ref="M104" si="161">VLOOKUP($A104,$L$3:$M$7,2,FALSE)</f>
        <v>1</v>
      </c>
      <c r="N104" s="30">
        <f>VLOOKUP($C104,COS!$B$8:$H$991,5,FALSE)</f>
        <v>0</v>
      </c>
      <c r="O104" s="30">
        <f t="shared" ref="O104:O107" si="162">N104*DAY($C104)*86400/43560/1000</f>
        <v>0</v>
      </c>
      <c r="P104" s="30">
        <f>VLOOKUP($C104,COS!$B$8:$H$991,6,FALSE)</f>
        <v>527.22991943359375</v>
      </c>
      <c r="Q104" s="30">
        <f t="shared" ref="Q104:Q107" si="163">P104*DAY($C104)*86400/43560/1000</f>
        <v>31.372358842329543</v>
      </c>
      <c r="R104" s="30">
        <f>MIN(IF(MONTH($C104)=4,$S$3,IF(MONTH($C104)=5,$S$4,IF(MONTH($C104)=6,$S$5,IF(MONTH($C104)=7,$S$6,"ERROR")))),MAX(VLOOKUP($C104,COS!$B$8:$K$991,10,FALSE)-IF(MONTH($C104)=4,$Y$3,IF(MONTH($C104)=5,$Y$4,IF(MONTH($C104)=6,$Y$5,IF(MONTH($C104)=7,$Y$6,"ERROR")))),0),MAX(VLOOKUP($C104,COS!$B$8:$K$991,9,FALSE)-IF(MONTH($C104)=4,$V$3,IF(MONTH($C104)=5,$V$4,IF(MONTH($C104)=6,$V$5,IF(MONTH($C104)=7,$V$6,"ERROR"))))-VLOOKUP($C104,COS!$B$8:$K$991,6,FALSE)/2,0))</f>
        <v>1207.2068176269531</v>
      </c>
      <c r="S104" s="30">
        <f t="shared" ref="S104:S107" si="164">R104*DAY($C104)*86400/43560/1000</f>
        <v>71.83379410672778</v>
      </c>
      <c r="T104" s="30">
        <f t="shared" ref="T104:T107" si="165">(O104+Q104)/2+S104</f>
        <v>87.519973527892546</v>
      </c>
      <c r="U104" s="30" t="str">
        <f>IF(VLOOKUP($C104,COS!$B$8:$I$991,8,FALSE)=1,"UWFE","IBU")</f>
        <v>UWFE</v>
      </c>
      <c r="V104" s="30">
        <f t="shared" ref="V104" si="166">MIN(IF(IF($AA$3=2,AND(E104=1,G104=1,L104=1,L109=1,M104=1,U104="IBU"),AND(E104=1,G104=1,L104=1,L109=1,M104=1)),T104,0),I104)</f>
        <v>0</v>
      </c>
      <c r="W104" s="30"/>
      <c r="X104" s="30"/>
      <c r="Y104" s="30"/>
      <c r="Z104" s="30"/>
      <c r="AA104" s="30"/>
      <c r="AB104" s="31"/>
    </row>
    <row r="105" spans="1:28" x14ac:dyDescent="0.3">
      <c r="A105" s="32">
        <f>VLOOKUP(YEAR(C105),Flags!$A$13:$B$95,2,FALSE)</f>
        <v>5</v>
      </c>
      <c r="B105" s="24">
        <f t="shared" si="116"/>
        <v>1932</v>
      </c>
      <c r="C105" s="25">
        <v>11840</v>
      </c>
      <c r="D105" s="26">
        <f>VLOOKUP($C105,COS!$B$8:$H$991,3,FALSE)</f>
        <v>4951.02978515625</v>
      </c>
      <c r="E105" s="24">
        <f>IF(D105&gt;=IF(MONTH($C105)=4,$C$3,IF(MONTH($C105)=5,$C$4,IF(MONTH($C105)=6,$C$5,IF(MONTH($C105)=7,$C$6,"ERROR")))),1,0)</f>
        <v>0</v>
      </c>
      <c r="F105" s="26">
        <f>VLOOKUP($C105,COS!$B$8:$H$991,7,FALSE)</f>
        <v>51.659408569335938</v>
      </c>
      <c r="G105" s="24">
        <f>IF(F105&lt;=IF(MONTH($C105)=4,$F$3,IF(MONTH($C105)=5,$F$4,IF(MONTH($C105)=6,$F$5,IF(MONTH($C105)=7,$F$6,"ERROR")))),1,0)</f>
        <v>1</v>
      </c>
      <c r="H105" s="26">
        <f>IF(J105=1,D105-$C$4,0)</f>
        <v>0</v>
      </c>
      <c r="I105" s="26">
        <f t="shared" si="136"/>
        <v>0</v>
      </c>
      <c r="J105" s="24">
        <f t="shared" si="159"/>
        <v>0</v>
      </c>
      <c r="K105" s="26">
        <f>VLOOKUP($C105,COS!$B$8:$H$991,2,FALSE)</f>
        <v>1880.785400390625</v>
      </c>
      <c r="L105" s="24">
        <f t="shared" si="129"/>
        <v>1</v>
      </c>
      <c r="M105" s="24">
        <f t="shared" si="130"/>
        <v>1</v>
      </c>
      <c r="N105" s="26">
        <f>VLOOKUP($C105,COS!$B$8:$H$991,5,FALSE)</f>
        <v>0</v>
      </c>
      <c r="O105" s="26">
        <f t="shared" si="162"/>
        <v>0</v>
      </c>
      <c r="P105" s="26">
        <f>VLOOKUP($C105,COS!$B$8:$H$991,6,FALSE)</f>
        <v>2037.6466064453125</v>
      </c>
      <c r="Q105" s="26">
        <f t="shared" si="163"/>
        <v>125.29000621448863</v>
      </c>
      <c r="R105" s="26">
        <f>MIN(IF(MONTH($C105)=4,$S$3,IF(MONTH($C105)=5,$S$4,IF(MONTH($C105)=6,$S$5,IF(MONTH($C105)=7,$S$6,"ERROR")))),MAX(VLOOKUP($C105,COS!$B$8:$K$991,10,FALSE)-IF(MONTH($C105)=4,$Y$3,IF(MONTH($C105)=5,$Y$4,IF(MONTH($C105)=6,$Y$5,IF(MONTH($C105)=7,$Y$6,"ERROR")))),0),MAX(VLOOKUP($C105,COS!$B$8:$K$991,9,FALSE)-IF(MONTH($C105)=4,$V$3,IF(MONTH($C105)=5,$V$4,IF(MONTH($C105)=6,$V$5,IF(MONTH($C105)=7,$V$6,"ERROR"))))-VLOOKUP($C105,COS!$B$8:$K$991,6,FALSE)/2,0))</f>
        <v>1500</v>
      </c>
      <c r="S105" s="26">
        <f t="shared" si="164"/>
        <v>92.231404958677686</v>
      </c>
      <c r="T105" s="26">
        <f t="shared" si="165"/>
        <v>154.87640806592199</v>
      </c>
      <c r="U105" s="26" t="str">
        <f>IF(VLOOKUP($C105,COS!$B$8:$I$991,8,FALSE)=1,"UWFE","IBU")</f>
        <v>UWFE</v>
      </c>
      <c r="V105" s="26">
        <f t="shared" ref="V105" si="167">MIN(IF(IF($AA$3=2,AND(E105=1,G105=1,L105=1,L109=1,M105=1,U105="IBU"),AND(E105=1,G105=1,L105=1,L109=1,M105=1)),T105,0),I105)</f>
        <v>0</v>
      </c>
      <c r="W105" s="26"/>
      <c r="X105" s="26"/>
      <c r="Y105" s="26"/>
      <c r="Z105" s="26"/>
      <c r="AA105" s="26"/>
      <c r="AB105" s="33"/>
    </row>
    <row r="106" spans="1:28" x14ac:dyDescent="0.3">
      <c r="A106" s="32">
        <f>VLOOKUP(YEAR(C106),Flags!$A$13:$B$95,2,FALSE)</f>
        <v>5</v>
      </c>
      <c r="B106" s="24">
        <f t="shared" si="116"/>
        <v>1932</v>
      </c>
      <c r="C106" s="25">
        <v>11870</v>
      </c>
      <c r="D106" s="26">
        <f>VLOOKUP($C106,COS!$B$8:$H$991,3,FALSE)</f>
        <v>7197.30029296875</v>
      </c>
      <c r="E106" s="24">
        <f>IF(D106&gt;=IF(MONTH($C106)=4,$C$3,IF(MONTH($C106)=5,$C$4,IF(MONTH($C106)=6,$C$5,IF(MONTH($C106)=7,$C$6,"ERROR")))),1,0)</f>
        <v>0</v>
      </c>
      <c r="F106" s="26">
        <f>VLOOKUP($C106,COS!$B$8:$H$991,7,FALSE)</f>
        <v>54.089519500732422</v>
      </c>
      <c r="G106" s="24">
        <f>IF(F106&lt;=IF(MONTH($C106)=4,$F$3,IF(MONTH($C106)=5,$F$4,IF(MONTH($C106)=6,$F$5,IF(MONTH($C106)=7,$F$6,"ERROR")))),1,0)</f>
        <v>1</v>
      </c>
      <c r="H106" s="26">
        <f>IF(J106=1,D106-$C$5,0)</f>
        <v>0</v>
      </c>
      <c r="I106" s="26">
        <f t="shared" si="136"/>
        <v>0</v>
      </c>
      <c r="J106" s="24">
        <f t="shared" si="159"/>
        <v>0</v>
      </c>
      <c r="K106" s="26">
        <f>VLOOKUP($C106,COS!$B$8:$H$991,2,FALSE)</f>
        <v>1657.180419921875</v>
      </c>
      <c r="L106" s="24">
        <f t="shared" si="129"/>
        <v>1</v>
      </c>
      <c r="M106" s="24">
        <f t="shared" si="130"/>
        <v>1</v>
      </c>
      <c r="N106" s="26">
        <f>VLOOKUP($C106,COS!$B$8:$H$991,5,FALSE)</f>
        <v>0</v>
      </c>
      <c r="O106" s="26">
        <f t="shared" si="162"/>
        <v>0</v>
      </c>
      <c r="P106" s="26">
        <f>VLOOKUP($C106,COS!$B$8:$H$991,6,FALSE)</f>
        <v>2546.35791015625</v>
      </c>
      <c r="Q106" s="26">
        <f t="shared" si="163"/>
        <v>151.51881779442149</v>
      </c>
      <c r="R106" s="26">
        <f>MIN(IF(MONTH($C106)=4,$S$3,IF(MONTH($C106)=5,$S$4,IF(MONTH($C106)=6,$S$5,IF(MONTH($C106)=7,$S$6,"ERROR")))),MAX(VLOOKUP($C106,COS!$B$8:$K$991,10,FALSE)-IF(MONTH($C106)=4,$Y$3,IF(MONTH($C106)=5,$Y$4,IF(MONTH($C106)=6,$Y$5,IF(MONTH($C106)=7,$Y$6,"ERROR")))),0),MAX(VLOOKUP($C106,COS!$B$8:$K$991,9,FALSE)-IF(MONTH($C106)=4,$V$3,IF(MONTH($C106)=5,$V$4,IF(MONTH($C106)=6,$V$5,IF(MONTH($C106)=7,$V$6,"ERROR"))))-VLOOKUP($C106,COS!$B$8:$K$991,6,FALSE)/2,0))</f>
        <v>1500</v>
      </c>
      <c r="S106" s="26">
        <f t="shared" si="164"/>
        <v>89.256198347107429</v>
      </c>
      <c r="T106" s="26">
        <f t="shared" si="165"/>
        <v>165.01560724431818</v>
      </c>
      <c r="U106" s="26" t="str">
        <f>IF(VLOOKUP($C106,COS!$B$8:$I$991,8,FALSE)=1,"UWFE","IBU")</f>
        <v>IBU</v>
      </c>
      <c r="V106" s="26">
        <f t="shared" ref="V106" si="168">MIN(IF(IF($AA$3=2,AND(E106=1,G106=1,L106=1,L109=1,M106=1,U106="IBU"),AND(E106=1,G106=1,L106=1,L109=1,M106=1)),T106,0),I106)</f>
        <v>0</v>
      </c>
      <c r="W106" s="26"/>
      <c r="X106" s="26"/>
      <c r="Y106" s="26"/>
      <c r="Z106" s="26"/>
      <c r="AA106" s="26"/>
      <c r="AB106" s="33"/>
    </row>
    <row r="107" spans="1:28" x14ac:dyDescent="0.3">
      <c r="A107" s="32">
        <f>VLOOKUP(YEAR(C107),Flags!$A$13:$B$95,2,FALSE)</f>
        <v>5</v>
      </c>
      <c r="B107" s="24">
        <f t="shared" si="116"/>
        <v>1932</v>
      </c>
      <c r="C107" s="25">
        <v>11901</v>
      </c>
      <c r="D107" s="26">
        <f>VLOOKUP($C107,COS!$B$8:$H$991,3,FALSE)</f>
        <v>8582.53125</v>
      </c>
      <c r="E107" s="24">
        <f>IF(D107&gt;=IF(MONTH($C107)=4,$C$3,IF(MONTH($C107)=5,$C$4,IF(MONTH($C107)=6,$C$5,IF(MONTH($C107)=7,$C$6,"ERROR")))),1,0)</f>
        <v>0</v>
      </c>
      <c r="F107" s="26">
        <f>VLOOKUP($C107,COS!$B$8:$H$991,7,FALSE)</f>
        <v>55.753875732421875</v>
      </c>
      <c r="G107" s="24">
        <f>IF(F107&lt;=IF(MONTH($C107)=4,$F$3,IF(MONTH($C107)=5,$F$4,IF(MONTH($C107)=6,$F$5,IF(MONTH($C107)=7,$F$6,"ERROR")))),1,0)</f>
        <v>0</v>
      </c>
      <c r="H107" s="26">
        <f>IF(J107=1,D107-$C$6,0)</f>
        <v>0</v>
      </c>
      <c r="I107" s="26">
        <f t="shared" si="136"/>
        <v>0</v>
      </c>
      <c r="J107" s="24">
        <f t="shared" si="159"/>
        <v>0</v>
      </c>
      <c r="K107" s="26">
        <f>VLOOKUP($C107,COS!$B$8:$H$991,2,FALSE)</f>
        <v>1286.91845703125</v>
      </c>
      <c r="L107" s="24">
        <f t="shared" si="129"/>
        <v>1</v>
      </c>
      <c r="M107" s="24">
        <f t="shared" si="130"/>
        <v>1</v>
      </c>
      <c r="N107" s="26">
        <f>VLOOKUP($C107,COS!$B$8:$H$991,5,FALSE)</f>
        <v>0</v>
      </c>
      <c r="O107" s="26">
        <f t="shared" si="162"/>
        <v>0</v>
      </c>
      <c r="P107" s="26">
        <f>VLOOKUP($C107,COS!$B$8:$H$991,6,FALSE)</f>
        <v>2538.07568359375</v>
      </c>
      <c r="Q107" s="26">
        <f t="shared" si="163"/>
        <v>156.06019079287191</v>
      </c>
      <c r="R107" s="26">
        <f>MIN(IF(MONTH($C107)=4,$S$3,IF(MONTH($C107)=5,$S$4,IF(MONTH($C107)=6,$S$5,IF(MONTH($C107)=7,$S$6,"ERROR")))),MAX(VLOOKUP($C107,COS!$B$8:$K$991,10,FALSE)-IF(MONTH($C107)=4,$Y$3,IF(MONTH($C107)=5,$Y$4,IF(MONTH($C107)=6,$Y$5,IF(MONTH($C107)=7,$Y$6,"ERROR")))),0),MAX(VLOOKUP($C107,COS!$B$8:$K$991,9,FALSE)-IF(MONTH($C107)=4,$V$3,IF(MONTH($C107)=5,$V$4,IF(MONTH($C107)=6,$V$5,IF(MONTH($C107)=7,$V$6,"ERROR"))))-VLOOKUP($C107,COS!$B$8:$K$991,6,FALSE)/2,0))</f>
        <v>1500</v>
      </c>
      <c r="S107" s="26">
        <f t="shared" si="164"/>
        <v>92.231404958677686</v>
      </c>
      <c r="T107" s="26">
        <f t="shared" si="165"/>
        <v>170.26150035511364</v>
      </c>
      <c r="U107" s="26" t="str">
        <f>IF(VLOOKUP($C107,COS!$B$8:$I$991,8,FALSE)=1,"UWFE","IBU")</f>
        <v>IBU</v>
      </c>
      <c r="V107" s="26">
        <f t="shared" ref="V107" si="169">MIN(IF(IF($AA$3=2,AND(E107=1,G107=1,L107=1,L109=1,M107=1,U107="IBU"),AND(E107=1,G107=1,L107=1,L109=1,M107=1)),T107,0),I107)</f>
        <v>0</v>
      </c>
      <c r="W107" s="26"/>
      <c r="X107" s="26"/>
      <c r="Y107" s="26"/>
      <c r="Z107" s="26"/>
      <c r="AA107" s="26"/>
      <c r="AB107" s="33"/>
    </row>
    <row r="108" spans="1:28" x14ac:dyDescent="0.3">
      <c r="A108" s="32">
        <f>VLOOKUP(YEAR(C108),Flags!$A$13:$B$95,2,FALSE)</f>
        <v>5</v>
      </c>
      <c r="B108" s="24">
        <f t="shared" si="116"/>
        <v>1932</v>
      </c>
      <c r="C108" s="25">
        <v>11932</v>
      </c>
      <c r="D108" s="26"/>
      <c r="E108" s="24"/>
      <c r="F108" s="26"/>
      <c r="G108" s="24"/>
      <c r="H108" s="24"/>
      <c r="I108" s="26"/>
      <c r="J108" s="24"/>
      <c r="K108" s="26"/>
      <c r="L108" s="24"/>
      <c r="M108" s="24"/>
      <c r="N108" s="26"/>
      <c r="O108" s="26"/>
      <c r="P108" s="26"/>
      <c r="Q108" s="26"/>
      <c r="R108" s="26"/>
      <c r="S108" s="26"/>
      <c r="T108" s="26"/>
      <c r="U108" s="26"/>
      <c r="V108" s="26"/>
      <c r="W108" s="26">
        <f>MAX($C$7-VLOOKUP($C108,COS!$B$8:$H$991,3,FALSE),0)</f>
        <v>92726.396484375</v>
      </c>
      <c r="X108" s="26">
        <f t="shared" si="143"/>
        <v>5701.523883006198</v>
      </c>
      <c r="Y108" s="26">
        <f>VLOOKUP($C108,COS!$B$8:$H$991,4,FALSE)</f>
        <v>1881.437744140625</v>
      </c>
      <c r="Z108" s="26">
        <f t="shared" si="144"/>
        <v>115.68509765624999</v>
      </c>
      <c r="AA108" s="26">
        <f t="shared" ref="AA108:AA112" si="170">MIN(W108,Y108)</f>
        <v>1881.437744140625</v>
      </c>
      <c r="AB108" s="33">
        <f t="shared" ref="AB108" si="171">AA108*DAY($C108)*86400/43560/1000*IF(MONTH($C108)=8,$P$3,IF(MONTH($C108)=9,$P$4,IF(MONTH($C108)=10,$P$5,IF(MONTH($C108)=11,$P$6,IF(MONTH($C108)=12,$P$7,NA())))))</f>
        <v>115.68509765624999</v>
      </c>
    </row>
    <row r="109" spans="1:28" x14ac:dyDescent="0.3">
      <c r="A109" s="32">
        <f>VLOOKUP(YEAR(C109),Flags!$A$13:$B$95,2,FALSE)</f>
        <v>5</v>
      </c>
      <c r="B109" s="24">
        <f t="shared" si="116"/>
        <v>1932</v>
      </c>
      <c r="C109" s="25">
        <v>11962</v>
      </c>
      <c r="D109" s="26"/>
      <c r="E109" s="24"/>
      <c r="F109" s="26"/>
      <c r="G109" s="24"/>
      <c r="H109" s="24"/>
      <c r="I109" s="26"/>
      <c r="J109" s="24"/>
      <c r="K109" s="26">
        <f>VLOOKUP($C109,COS!$B$8:$H$991,2,FALSE)</f>
        <v>902.0557861328125</v>
      </c>
      <c r="L109" s="24">
        <f t="shared" ref="L109" si="172">IF(AND(K109&gt;$I$7,K109&lt;$I$8),1,0)</f>
        <v>1</v>
      </c>
      <c r="M109" s="24"/>
      <c r="N109" s="26"/>
      <c r="O109" s="26"/>
      <c r="P109" s="26"/>
      <c r="Q109" s="26"/>
      <c r="R109" s="26"/>
      <c r="S109" s="26"/>
      <c r="T109" s="26"/>
      <c r="U109" s="26"/>
      <c r="V109" s="26"/>
      <c r="W109" s="26">
        <f>MAX($C$8-VLOOKUP($C109,COS!$B$8:$H$991,3,FALSE),0)</f>
        <v>95768.7431640625</v>
      </c>
      <c r="X109" s="26">
        <f t="shared" si="143"/>
        <v>5698.6359568698354</v>
      </c>
      <c r="Y109" s="26">
        <f>VLOOKUP($C109,COS!$B$8:$H$991,4,FALSE)</f>
        <v>909.056396484375</v>
      </c>
      <c r="Z109" s="26">
        <f t="shared" si="144"/>
        <v>54.092612022210744</v>
      </c>
      <c r="AA109" s="26">
        <f t="shared" si="170"/>
        <v>909.056396484375</v>
      </c>
      <c r="AB109" s="33">
        <f t="shared" si="141"/>
        <v>54.092612022210744</v>
      </c>
    </row>
    <row r="110" spans="1:28" x14ac:dyDescent="0.3">
      <c r="A110" s="32">
        <f>VLOOKUP(YEAR(C110),Flags!$A$13:$B$95,2,FALSE)</f>
        <v>5</v>
      </c>
      <c r="B110" s="24">
        <f t="shared" si="116"/>
        <v>1932</v>
      </c>
      <c r="C110" s="25">
        <v>11993</v>
      </c>
      <c r="D110" s="26"/>
      <c r="E110" s="24"/>
      <c r="F110" s="26"/>
      <c r="G110" s="26"/>
      <c r="H110" s="26"/>
      <c r="I110" s="26"/>
      <c r="J110" s="26"/>
      <c r="K110" s="26"/>
      <c r="L110" s="24"/>
      <c r="M110" s="24"/>
      <c r="N110" s="26"/>
      <c r="O110" s="26"/>
      <c r="P110" s="26"/>
      <c r="Q110" s="26"/>
      <c r="R110" s="26"/>
      <c r="S110" s="26"/>
      <c r="T110" s="26"/>
      <c r="U110" s="26"/>
      <c r="V110" s="26"/>
      <c r="W110" s="26">
        <f>MAX($C$9-VLOOKUP($C110,COS!$B$8:$H$991,3,FALSE),0)</f>
        <v>95267.88623046875</v>
      </c>
      <c r="X110" s="26">
        <f t="shared" si="143"/>
        <v>5857.7939963197314</v>
      </c>
      <c r="Y110" s="26">
        <f>VLOOKUP($C110,COS!$B$8:$H$991,4,FALSE)</f>
        <v>1075.1279296875</v>
      </c>
      <c r="Z110" s="26">
        <f t="shared" si="144"/>
        <v>66.107039643595044</v>
      </c>
      <c r="AA110" s="26">
        <f t="shared" si="170"/>
        <v>1075.1279296875</v>
      </c>
      <c r="AB110" s="33">
        <f t="shared" si="141"/>
        <v>66.107039643595044</v>
      </c>
    </row>
    <row r="111" spans="1:28" x14ac:dyDescent="0.3">
      <c r="A111" s="32">
        <f>VLOOKUP(YEAR(C111),Flags!$A$13:$B$95,2,FALSE)</f>
        <v>5</v>
      </c>
      <c r="B111" s="24">
        <f t="shared" si="116"/>
        <v>1932</v>
      </c>
      <c r="C111" s="25">
        <v>12023</v>
      </c>
      <c r="D111" s="26"/>
      <c r="E111" s="24"/>
      <c r="F111" s="26"/>
      <c r="G111" s="26"/>
      <c r="H111" s="26"/>
      <c r="I111" s="26"/>
      <c r="J111" s="26"/>
      <c r="K111" s="26"/>
      <c r="L111" s="24"/>
      <c r="M111" s="24"/>
      <c r="N111" s="26"/>
      <c r="O111" s="26"/>
      <c r="P111" s="26"/>
      <c r="Q111" s="26"/>
      <c r="R111" s="26"/>
      <c r="S111" s="26"/>
      <c r="T111" s="26"/>
      <c r="U111" s="26"/>
      <c r="V111" s="26"/>
      <c r="W111" s="26">
        <f>MAX($C$10-VLOOKUP($C111,COS!$B$8:$H$991,3,FALSE),0)</f>
        <v>96396.837158203125</v>
      </c>
      <c r="X111" s="26">
        <f t="shared" si="143"/>
        <v>5736.0101449509302</v>
      </c>
      <c r="Y111" s="26">
        <f>VLOOKUP($C111,COS!$B$8:$H$991,4,FALSE)</f>
        <v>1139.5615234375</v>
      </c>
      <c r="Z111" s="26">
        <f t="shared" si="144"/>
        <v>67.808619576446276</v>
      </c>
      <c r="AA111" s="26">
        <f t="shared" si="170"/>
        <v>1139.5615234375</v>
      </c>
      <c r="AB111" s="33">
        <f t="shared" si="141"/>
        <v>33.904309788223138</v>
      </c>
    </row>
    <row r="112" spans="1:28" x14ac:dyDescent="0.3">
      <c r="A112" s="34">
        <f>VLOOKUP(YEAR(C112),Flags!$A$13:$B$95,2,FALSE)</f>
        <v>5</v>
      </c>
      <c r="B112" s="35">
        <f t="shared" si="116"/>
        <v>1932</v>
      </c>
      <c r="C112" s="36">
        <v>12054</v>
      </c>
      <c r="D112" s="37"/>
      <c r="E112" s="35"/>
      <c r="F112" s="37"/>
      <c r="G112" s="37"/>
      <c r="H112" s="37"/>
      <c r="I112" s="37"/>
      <c r="J112" s="37"/>
      <c r="K112" s="37"/>
      <c r="L112" s="35"/>
      <c r="M112" s="35"/>
      <c r="N112" s="37"/>
      <c r="O112" s="37"/>
      <c r="P112" s="37"/>
      <c r="Q112" s="37"/>
      <c r="R112" s="37"/>
      <c r="S112" s="37"/>
      <c r="T112" s="37"/>
      <c r="U112" s="37"/>
      <c r="V112" s="37"/>
      <c r="W112" s="37">
        <f>MAX($C$11-VLOOKUP($C112,COS!$B$8:$H$991,3,FALSE),0)</f>
        <v>0</v>
      </c>
      <c r="X112" s="37">
        <f t="shared" si="143"/>
        <v>0</v>
      </c>
      <c r="Y112" s="37">
        <f>VLOOKUP($C112,COS!$B$8:$H$991,4,FALSE)</f>
        <v>2675.63427734375</v>
      </c>
      <c r="Z112" s="37">
        <f t="shared" si="144"/>
        <v>164.51833903667355</v>
      </c>
      <c r="AA112" s="37">
        <f t="shared" si="170"/>
        <v>0</v>
      </c>
      <c r="AB112" s="38">
        <f t="shared" si="141"/>
        <v>0</v>
      </c>
    </row>
    <row r="113" spans="1:28" x14ac:dyDescent="0.3">
      <c r="A113" s="27">
        <f>VLOOKUP(YEAR(C113),Flags!$A$13:$B$95,2,FALSE)</f>
        <v>5</v>
      </c>
      <c r="B113" s="28">
        <f t="shared" si="116"/>
        <v>1933</v>
      </c>
      <c r="C113" s="29">
        <v>12174</v>
      </c>
      <c r="D113" s="30">
        <f>VLOOKUP($C113,COS!$B$8:$H$991,3,FALSE)</f>
        <v>3250</v>
      </c>
      <c r="E113" s="28">
        <f>IF(D113&gt;=IF(MONTH($C113)=4,$C$3,IF(MONTH($C113)=5,$C$4,IF(MONTH($C113)=6,$C$5,IF(MONTH($C113)=7,$C$6,"ERROR")))),1,0)</f>
        <v>0</v>
      </c>
      <c r="F113" s="30">
        <f>VLOOKUP($C113,COS!$B$8:$H$991,7,FALSE)</f>
        <v>51.034336090087891</v>
      </c>
      <c r="G113" s="28">
        <f>IF(F113&lt;=IF(MONTH($C113)=4,$F$3,IF(MONTH($C113)=5,$F$4,IF(MONTH($C113)=6,$F$5,IF(MONTH($C113)=7,$F$6,"ERROR")))),1,0)</f>
        <v>1</v>
      </c>
      <c r="H113" s="30">
        <f>IF(J113=1,D113-$C$3,0)</f>
        <v>0</v>
      </c>
      <c r="I113" s="30">
        <f t="shared" si="136"/>
        <v>0</v>
      </c>
      <c r="J113" s="28">
        <f t="shared" ref="J113:J116" si="173">IF(AND(E113=1,G113=1),1,0)</f>
        <v>0</v>
      </c>
      <c r="K113" s="30">
        <f>VLOOKUP($C113,COS!$B$8:$H$991,2,FALSE)</f>
        <v>1716.4488525390625</v>
      </c>
      <c r="L113" s="28">
        <f t="shared" ref="L113" si="174">IF(K113&lt;=IF(MONTH($C113)=4,$I$3,IF(MONTH($C113)=5,$I$4,IF(MONTH($C113)=6,$I$5,IF(MONTH($C113)=7,$I$6,"ERROR")))),1,0)</f>
        <v>1</v>
      </c>
      <c r="M113" s="28">
        <f t="shared" ref="M113" si="175">VLOOKUP($A113,$L$3:$M$7,2,FALSE)</f>
        <v>1</v>
      </c>
      <c r="N113" s="30">
        <f>VLOOKUP($C113,COS!$B$8:$H$991,5,FALSE)</f>
        <v>180.99517822265625</v>
      </c>
      <c r="O113" s="30">
        <f t="shared" ref="O113:O116" si="176">N113*DAY($C113)*86400/43560/1000</f>
        <v>10.769961018207646</v>
      </c>
      <c r="P113" s="30">
        <f>VLOOKUP($C113,COS!$B$8:$H$991,6,FALSE)</f>
        <v>566.2322998046875</v>
      </c>
      <c r="Q113" s="30">
        <f t="shared" ref="Q113:Q116" si="177">P113*DAY($C113)*86400/43560/1000</f>
        <v>33.693161641270663</v>
      </c>
      <c r="R113" s="30">
        <f>MIN(IF(MONTH($C113)=4,$S$3,IF(MONTH($C113)=5,$S$4,IF(MONTH($C113)=6,$S$5,IF(MONTH($C113)=7,$S$6,"ERROR")))),MAX(VLOOKUP($C113,COS!$B$8:$K$991,10,FALSE)-IF(MONTH($C113)=4,$Y$3,IF(MONTH($C113)=5,$Y$4,IF(MONTH($C113)=6,$Y$5,IF(MONTH($C113)=7,$Y$6,"ERROR")))),0),MAX(VLOOKUP($C113,COS!$B$8:$K$991,9,FALSE)-IF(MONTH($C113)=4,$V$3,IF(MONTH($C113)=5,$V$4,IF(MONTH($C113)=6,$V$5,IF(MONTH($C113)=7,$V$6,"ERROR"))))-VLOOKUP($C113,COS!$B$8:$K$991,6,FALSE)/2,0))</f>
        <v>929.328125</v>
      </c>
      <c r="S113" s="30">
        <f t="shared" ref="S113:S116" si="178">R113*DAY($C113)*86400/43560/1000</f>
        <v>55.298863636363642</v>
      </c>
      <c r="T113" s="30">
        <f t="shared" ref="T113:T116" si="179">(O113+Q113)/2+S113</f>
        <v>77.5304249661028</v>
      </c>
      <c r="U113" s="30" t="str">
        <f>IF(VLOOKUP($C113,COS!$B$8:$I$991,8,FALSE)=1,"UWFE","IBU")</f>
        <v>UWFE</v>
      </c>
      <c r="V113" s="30">
        <f t="shared" ref="V113" si="180">MIN(IF(IF($AA$3=2,AND(E113=1,G113=1,L113=1,L118=1,M113=1,U113="IBU"),AND(E113=1,G113=1,L113=1,L118=1,M113=1)),T113,0),I113)</f>
        <v>0</v>
      </c>
      <c r="W113" s="30"/>
      <c r="X113" s="30"/>
      <c r="Y113" s="30"/>
      <c r="Z113" s="30"/>
      <c r="AA113" s="30"/>
      <c r="AB113" s="31"/>
    </row>
    <row r="114" spans="1:28" x14ac:dyDescent="0.3">
      <c r="A114" s="32">
        <f>VLOOKUP(YEAR(C114),Flags!$A$13:$B$95,2,FALSE)</f>
        <v>5</v>
      </c>
      <c r="B114" s="24">
        <f t="shared" si="116"/>
        <v>1933</v>
      </c>
      <c r="C114" s="25">
        <v>12205</v>
      </c>
      <c r="D114" s="26">
        <f>VLOOKUP($C114,COS!$B$8:$H$991,3,FALSE)</f>
        <v>6501.3232421875</v>
      </c>
      <c r="E114" s="24">
        <f>IF(D114&gt;=IF(MONTH($C114)=4,$C$3,IF(MONTH($C114)=5,$C$4,IF(MONTH($C114)=6,$C$5,IF(MONTH($C114)=7,$C$6,"ERROR")))),1,0)</f>
        <v>1</v>
      </c>
      <c r="F114" s="26">
        <f>VLOOKUP($C114,COS!$B$8:$H$991,7,FALSE)</f>
        <v>51.829986572265625</v>
      </c>
      <c r="G114" s="24">
        <f>IF(F114&lt;=IF(MONTH($C114)=4,$F$3,IF(MONTH($C114)=5,$F$4,IF(MONTH($C114)=6,$F$5,IF(MONTH($C114)=7,$F$6,"ERROR")))),1,0)</f>
        <v>1</v>
      </c>
      <c r="H114" s="26">
        <f>IF(J114=1,D114-$C$4,0)</f>
        <v>501.3232421875</v>
      </c>
      <c r="I114" s="26">
        <f t="shared" si="136"/>
        <v>30.825164643595041</v>
      </c>
      <c r="J114" s="24">
        <f t="shared" si="173"/>
        <v>1</v>
      </c>
      <c r="K114" s="26">
        <f>VLOOKUP($C114,COS!$B$8:$H$991,2,FALSE)</f>
        <v>1691.36767578125</v>
      </c>
      <c r="L114" s="24">
        <f t="shared" si="129"/>
        <v>1</v>
      </c>
      <c r="M114" s="24">
        <f t="shared" si="130"/>
        <v>1</v>
      </c>
      <c r="N114" s="26">
        <f>VLOOKUP($C114,COS!$B$8:$H$991,5,FALSE)</f>
        <v>170.30894470214844</v>
      </c>
      <c r="O114" s="26">
        <f t="shared" si="176"/>
        <v>10.471888831272597</v>
      </c>
      <c r="P114" s="26">
        <f>VLOOKUP($C114,COS!$B$8:$H$991,6,FALSE)</f>
        <v>2197.37890625</v>
      </c>
      <c r="Q114" s="26">
        <f t="shared" si="177"/>
        <v>135.11156249999999</v>
      </c>
      <c r="R114" s="26">
        <f>MIN(IF(MONTH($C114)=4,$S$3,IF(MONTH($C114)=5,$S$4,IF(MONTH($C114)=6,$S$5,IF(MONTH($C114)=7,$S$6,"ERROR")))),MAX(VLOOKUP($C114,COS!$B$8:$K$991,10,FALSE)-IF(MONTH($C114)=4,$Y$3,IF(MONTH($C114)=5,$Y$4,IF(MONTH($C114)=6,$Y$5,IF(MONTH($C114)=7,$Y$6,"ERROR")))),0),MAX(VLOOKUP($C114,COS!$B$8:$K$991,9,FALSE)-IF(MONTH($C114)=4,$V$3,IF(MONTH($C114)=5,$V$4,IF(MONTH($C114)=6,$V$5,IF(MONTH($C114)=7,$V$6,"ERROR"))))-VLOOKUP($C114,COS!$B$8:$K$991,6,FALSE)/2,0))</f>
        <v>1500</v>
      </c>
      <c r="S114" s="26">
        <f t="shared" si="178"/>
        <v>92.231404958677686</v>
      </c>
      <c r="T114" s="26">
        <f t="shared" si="179"/>
        <v>165.02313062431398</v>
      </c>
      <c r="U114" s="26" t="str">
        <f>IF(VLOOKUP($C114,COS!$B$8:$I$991,8,FALSE)=1,"UWFE","IBU")</f>
        <v>UWFE</v>
      </c>
      <c r="V114" s="26">
        <f t="shared" ref="V114" si="181">MIN(IF(IF($AA$3=2,AND(E114=1,G114=1,L114=1,L118=1,M114=1,U114="IBU"),AND(E114=1,G114=1,L114=1,L118=1,M114=1)),T114,0),I114)</f>
        <v>0</v>
      </c>
      <c r="W114" s="26"/>
      <c r="X114" s="26"/>
      <c r="Y114" s="26"/>
      <c r="Z114" s="26"/>
      <c r="AA114" s="26"/>
      <c r="AB114" s="33"/>
    </row>
    <row r="115" spans="1:28" x14ac:dyDescent="0.3">
      <c r="A115" s="32">
        <f>VLOOKUP(YEAR(C115),Flags!$A$13:$B$95,2,FALSE)</f>
        <v>5</v>
      </c>
      <c r="B115" s="24">
        <f t="shared" si="116"/>
        <v>1933</v>
      </c>
      <c r="C115" s="25">
        <v>12235</v>
      </c>
      <c r="D115" s="26">
        <f>VLOOKUP($C115,COS!$B$8:$H$991,3,FALSE)</f>
        <v>7378.09228515625</v>
      </c>
      <c r="E115" s="24">
        <f>IF(D115&gt;=IF(MONTH($C115)=4,$C$3,IF(MONTH($C115)=5,$C$4,IF(MONTH($C115)=6,$C$5,IF(MONTH($C115)=7,$C$6,"ERROR")))),1,0)</f>
        <v>0</v>
      </c>
      <c r="F115" s="26">
        <f>VLOOKUP($C115,COS!$B$8:$H$991,7,FALSE)</f>
        <v>54.679584503173828</v>
      </c>
      <c r="G115" s="24">
        <f>IF(F115&lt;=IF(MONTH($C115)=4,$F$3,IF(MONTH($C115)=5,$F$4,IF(MONTH($C115)=6,$F$5,IF(MONTH($C115)=7,$F$6,"ERROR")))),1,0)</f>
        <v>1</v>
      </c>
      <c r="H115" s="26">
        <f>IF(J115=1,D115-$C$5,0)</f>
        <v>0</v>
      </c>
      <c r="I115" s="26">
        <f t="shared" si="136"/>
        <v>0</v>
      </c>
      <c r="J115" s="24">
        <f t="shared" si="173"/>
        <v>0</v>
      </c>
      <c r="K115" s="26">
        <f>VLOOKUP($C115,COS!$B$8:$H$991,2,FALSE)</f>
        <v>1503.1099853515625</v>
      </c>
      <c r="L115" s="24">
        <f t="shared" si="129"/>
        <v>1</v>
      </c>
      <c r="M115" s="24">
        <f t="shared" si="130"/>
        <v>1</v>
      </c>
      <c r="N115" s="26">
        <f>VLOOKUP($C115,COS!$B$8:$H$991,5,FALSE)</f>
        <v>210.99021911621094</v>
      </c>
      <c r="O115" s="26">
        <f t="shared" si="176"/>
        <v>12.55478989782412</v>
      </c>
      <c r="P115" s="26">
        <f>VLOOKUP($C115,COS!$B$8:$H$991,6,FALSE)</f>
        <v>2481.931884765625</v>
      </c>
      <c r="Q115" s="26">
        <f t="shared" si="177"/>
        <v>147.68520306043388</v>
      </c>
      <c r="R115" s="26">
        <f>MIN(IF(MONTH($C115)=4,$S$3,IF(MONTH($C115)=5,$S$4,IF(MONTH($C115)=6,$S$5,IF(MONTH($C115)=7,$S$6,"ERROR")))),MAX(VLOOKUP($C115,COS!$B$8:$K$991,10,FALSE)-IF(MONTH($C115)=4,$Y$3,IF(MONTH($C115)=5,$Y$4,IF(MONTH($C115)=6,$Y$5,IF(MONTH($C115)=7,$Y$6,"ERROR")))),0),MAX(VLOOKUP($C115,COS!$B$8:$K$991,9,FALSE)-IF(MONTH($C115)=4,$V$3,IF(MONTH($C115)=5,$V$4,IF(MONTH($C115)=6,$V$5,IF(MONTH($C115)=7,$V$6,"ERROR"))))-VLOOKUP($C115,COS!$B$8:$K$991,6,FALSE)/2,0))</f>
        <v>1500</v>
      </c>
      <c r="S115" s="26">
        <f t="shared" si="178"/>
        <v>89.256198347107429</v>
      </c>
      <c r="T115" s="26">
        <f t="shared" si="179"/>
        <v>169.37619482623643</v>
      </c>
      <c r="U115" s="26" t="str">
        <f>IF(VLOOKUP($C115,COS!$B$8:$I$991,8,FALSE)=1,"UWFE","IBU")</f>
        <v>IBU</v>
      </c>
      <c r="V115" s="26">
        <f t="shared" ref="V115" si="182">MIN(IF(IF($AA$3=2,AND(E115=1,G115=1,L115=1,L118=1,M115=1,U115="IBU"),AND(E115=1,G115=1,L115=1,L118=1,M115=1)),T115,0),I115)</f>
        <v>0</v>
      </c>
      <c r="W115" s="26"/>
      <c r="X115" s="26"/>
      <c r="Y115" s="26"/>
      <c r="Z115" s="26"/>
      <c r="AA115" s="26"/>
      <c r="AB115" s="33"/>
    </row>
    <row r="116" spans="1:28" x14ac:dyDescent="0.3">
      <c r="A116" s="32">
        <f>VLOOKUP(YEAR(C116),Flags!$A$13:$B$95,2,FALSE)</f>
        <v>5</v>
      </c>
      <c r="B116" s="24">
        <f t="shared" si="116"/>
        <v>1933</v>
      </c>
      <c r="C116" s="25">
        <v>12266</v>
      </c>
      <c r="D116" s="26">
        <f>VLOOKUP($C116,COS!$B$8:$H$991,3,FALSE)</f>
        <v>10174.720703125</v>
      </c>
      <c r="E116" s="24">
        <f>IF(D116&gt;=IF(MONTH($C116)=4,$C$3,IF(MONTH($C116)=5,$C$4,IF(MONTH($C116)=6,$C$5,IF(MONTH($C116)=7,$C$6,"ERROR")))),1,0)</f>
        <v>0</v>
      </c>
      <c r="F116" s="26">
        <f>VLOOKUP($C116,COS!$B$8:$H$991,7,FALSE)</f>
        <v>55.866065979003906</v>
      </c>
      <c r="G116" s="24">
        <f>IF(F116&lt;=IF(MONTH($C116)=4,$F$3,IF(MONTH($C116)=5,$F$4,IF(MONTH($C116)=6,$F$5,IF(MONTH($C116)=7,$F$6,"ERROR")))),1,0)</f>
        <v>0</v>
      </c>
      <c r="H116" s="26">
        <f>IF(J116=1,D116-$C$6,0)</f>
        <v>0</v>
      </c>
      <c r="I116" s="26">
        <f t="shared" si="136"/>
        <v>0</v>
      </c>
      <c r="J116" s="24">
        <f t="shared" si="173"/>
        <v>0</v>
      </c>
      <c r="K116" s="26">
        <f>VLOOKUP($C116,COS!$B$8:$H$991,2,FALSE)</f>
        <v>1036.812744140625</v>
      </c>
      <c r="L116" s="24">
        <f t="shared" si="129"/>
        <v>1</v>
      </c>
      <c r="M116" s="24">
        <f t="shared" si="130"/>
        <v>1</v>
      </c>
      <c r="N116" s="26">
        <f>VLOOKUP($C116,COS!$B$8:$H$991,5,FALSE)</f>
        <v>230.72744750976563</v>
      </c>
      <c r="O116" s="26">
        <f t="shared" si="176"/>
        <v>14.186877764236828</v>
      </c>
      <c r="P116" s="26">
        <f>VLOOKUP($C116,COS!$B$8:$H$991,6,FALSE)</f>
        <v>2281.4833984375</v>
      </c>
      <c r="Q116" s="26">
        <f t="shared" si="177"/>
        <v>140.28294615185951</v>
      </c>
      <c r="R116" s="26">
        <f>MIN(IF(MONTH($C116)=4,$S$3,IF(MONTH($C116)=5,$S$4,IF(MONTH($C116)=6,$S$5,IF(MONTH($C116)=7,$S$6,"ERROR")))),MAX(VLOOKUP($C116,COS!$B$8:$K$991,10,FALSE)-IF(MONTH($C116)=4,$Y$3,IF(MONTH($C116)=5,$Y$4,IF(MONTH($C116)=6,$Y$5,IF(MONTH($C116)=7,$Y$6,"ERROR")))),0),MAX(VLOOKUP($C116,COS!$B$8:$K$991,9,FALSE)-IF(MONTH($C116)=4,$V$3,IF(MONTH($C116)=5,$V$4,IF(MONTH($C116)=6,$V$5,IF(MONTH($C116)=7,$V$6,"ERROR"))))-VLOOKUP($C116,COS!$B$8:$K$991,6,FALSE)/2,0))</f>
        <v>1500</v>
      </c>
      <c r="S116" s="26">
        <f t="shared" si="178"/>
        <v>92.231404958677686</v>
      </c>
      <c r="T116" s="26">
        <f t="shared" si="179"/>
        <v>169.46631691672587</v>
      </c>
      <c r="U116" s="26" t="str">
        <f>IF(VLOOKUP($C116,COS!$B$8:$I$991,8,FALSE)=1,"UWFE","IBU")</f>
        <v>IBU</v>
      </c>
      <c r="V116" s="26">
        <f t="shared" ref="V116" si="183">MIN(IF(IF($AA$3=2,AND(E116=1,G116=1,L116=1,L118=1,M116=1,U116="IBU"),AND(E116=1,G116=1,L116=1,L118=1,M116=1)),T116,0),I116)</f>
        <v>0</v>
      </c>
      <c r="W116" s="26"/>
      <c r="X116" s="26"/>
      <c r="Y116" s="26"/>
      <c r="Z116" s="26"/>
      <c r="AA116" s="26"/>
      <c r="AB116" s="33"/>
    </row>
    <row r="117" spans="1:28" x14ac:dyDescent="0.3">
      <c r="A117" s="32">
        <f>VLOOKUP(YEAR(C117),Flags!$A$13:$B$95,2,FALSE)</f>
        <v>5</v>
      </c>
      <c r="B117" s="24">
        <f t="shared" si="116"/>
        <v>1933</v>
      </c>
      <c r="C117" s="25">
        <v>12297</v>
      </c>
      <c r="D117" s="26"/>
      <c r="E117" s="24"/>
      <c r="F117" s="26"/>
      <c r="G117" s="24"/>
      <c r="H117" s="24"/>
      <c r="I117" s="26"/>
      <c r="J117" s="24"/>
      <c r="K117" s="26"/>
      <c r="L117" s="24"/>
      <c r="M117" s="24"/>
      <c r="N117" s="26"/>
      <c r="O117" s="26"/>
      <c r="P117" s="26"/>
      <c r="Q117" s="26"/>
      <c r="R117" s="26"/>
      <c r="S117" s="26"/>
      <c r="T117" s="26"/>
      <c r="U117" s="26"/>
      <c r="V117" s="26"/>
      <c r="W117" s="26">
        <f>MAX($C$7-VLOOKUP($C117,COS!$B$8:$H$991,3,FALSE),0)</f>
        <v>91960.78125</v>
      </c>
      <c r="X117" s="26">
        <f t="shared" si="143"/>
        <v>5654.4480371900827</v>
      </c>
      <c r="Y117" s="26">
        <f>VLOOKUP($C117,COS!$B$8:$H$991,4,FALSE)</f>
        <v>1026.3896484375</v>
      </c>
      <c r="Z117" s="26">
        <f t="shared" si="144"/>
        <v>63.110239540289257</v>
      </c>
      <c r="AA117" s="26">
        <f t="shared" ref="AA117:AA121" si="184">MIN(W117,Y117)</f>
        <v>1026.3896484375</v>
      </c>
      <c r="AB117" s="33">
        <f t="shared" ref="AB117" si="185">AA117*DAY($C117)*86400/43560/1000*IF(MONTH($C117)=8,$P$3,IF(MONTH($C117)=9,$P$4,IF(MONTH($C117)=10,$P$5,IF(MONTH($C117)=11,$P$6,IF(MONTH($C117)=12,$P$7,NA())))))</f>
        <v>63.110239540289257</v>
      </c>
    </row>
    <row r="118" spans="1:28" x14ac:dyDescent="0.3">
      <c r="A118" s="32">
        <f>VLOOKUP(YEAR(C118),Flags!$A$13:$B$95,2,FALSE)</f>
        <v>5</v>
      </c>
      <c r="B118" s="24">
        <f t="shared" si="116"/>
        <v>1933</v>
      </c>
      <c r="C118" s="25">
        <v>12327</v>
      </c>
      <c r="D118" s="26"/>
      <c r="E118" s="24"/>
      <c r="F118" s="26"/>
      <c r="G118" s="24"/>
      <c r="H118" s="24"/>
      <c r="I118" s="26"/>
      <c r="J118" s="24"/>
      <c r="K118" s="26">
        <f>VLOOKUP($C118,COS!$B$8:$H$991,2,FALSE)</f>
        <v>614.1947021484375</v>
      </c>
      <c r="L118" s="24">
        <f t="shared" ref="L118" si="186">IF(AND(K118&gt;$I$7,K118&lt;$I$8),1,0)</f>
        <v>1</v>
      </c>
      <c r="M118" s="24"/>
      <c r="N118" s="26"/>
      <c r="O118" s="26"/>
      <c r="P118" s="26"/>
      <c r="Q118" s="26"/>
      <c r="R118" s="26"/>
      <c r="S118" s="26"/>
      <c r="T118" s="26"/>
      <c r="U118" s="26"/>
      <c r="V118" s="26"/>
      <c r="W118" s="26">
        <f>MAX($C$8-VLOOKUP($C118,COS!$B$8:$H$991,3,FALSE),0)</f>
        <v>95805.57763671875</v>
      </c>
      <c r="X118" s="26">
        <f t="shared" si="143"/>
        <v>5700.8277602014468</v>
      </c>
      <c r="Y118" s="26">
        <f>VLOOKUP($C118,COS!$B$8:$H$991,4,FALSE)</f>
        <v>1631.19287109375</v>
      </c>
      <c r="Z118" s="26">
        <f t="shared" si="144"/>
        <v>97.062716296487608</v>
      </c>
      <c r="AA118" s="26">
        <f t="shared" si="184"/>
        <v>1631.19287109375</v>
      </c>
      <c r="AB118" s="33">
        <f t="shared" si="141"/>
        <v>97.062716296487608</v>
      </c>
    </row>
    <row r="119" spans="1:28" x14ac:dyDescent="0.3">
      <c r="A119" s="32">
        <f>VLOOKUP(YEAR(C119),Flags!$A$13:$B$95,2,FALSE)</f>
        <v>5</v>
      </c>
      <c r="B119" s="24">
        <f t="shared" si="116"/>
        <v>1933</v>
      </c>
      <c r="C119" s="25">
        <v>12358</v>
      </c>
      <c r="D119" s="26"/>
      <c r="E119" s="24"/>
      <c r="F119" s="26"/>
      <c r="G119" s="26"/>
      <c r="H119" s="26"/>
      <c r="I119" s="26"/>
      <c r="J119" s="26"/>
      <c r="K119" s="26"/>
      <c r="L119" s="24"/>
      <c r="M119" s="24"/>
      <c r="N119" s="26"/>
      <c r="O119" s="26"/>
      <c r="P119" s="26"/>
      <c r="Q119" s="26"/>
      <c r="R119" s="26"/>
      <c r="S119" s="26"/>
      <c r="T119" s="26"/>
      <c r="U119" s="26"/>
      <c r="V119" s="26"/>
      <c r="W119" s="26">
        <f>MAX($C$9-VLOOKUP($C119,COS!$B$8:$H$991,3,FALSE),0)</f>
        <v>95686.974609375</v>
      </c>
      <c r="X119" s="26">
        <f t="shared" si="143"/>
        <v>5883.5627363119829</v>
      </c>
      <c r="Y119" s="26">
        <f>VLOOKUP($C119,COS!$B$8:$H$991,4,FALSE)</f>
        <v>1357.4503173828125</v>
      </c>
      <c r="Z119" s="26">
        <f t="shared" si="144"/>
        <v>83.466366622546488</v>
      </c>
      <c r="AA119" s="26">
        <f t="shared" si="184"/>
        <v>1357.4503173828125</v>
      </c>
      <c r="AB119" s="33">
        <f t="shared" si="141"/>
        <v>83.466366622546488</v>
      </c>
    </row>
    <row r="120" spans="1:28" x14ac:dyDescent="0.3">
      <c r="A120" s="32">
        <f>VLOOKUP(YEAR(C120),Flags!$A$13:$B$95,2,FALSE)</f>
        <v>5</v>
      </c>
      <c r="B120" s="24">
        <f t="shared" si="116"/>
        <v>1933</v>
      </c>
      <c r="C120" s="25">
        <v>12388</v>
      </c>
      <c r="D120" s="26"/>
      <c r="E120" s="24"/>
      <c r="F120" s="26"/>
      <c r="G120" s="26"/>
      <c r="H120" s="26"/>
      <c r="I120" s="26"/>
      <c r="J120" s="26"/>
      <c r="K120" s="26"/>
      <c r="L120" s="24"/>
      <c r="M120" s="24"/>
      <c r="N120" s="26"/>
      <c r="O120" s="26"/>
      <c r="P120" s="26"/>
      <c r="Q120" s="26"/>
      <c r="R120" s="26"/>
      <c r="S120" s="26"/>
      <c r="T120" s="26"/>
      <c r="U120" s="26"/>
      <c r="V120" s="26"/>
      <c r="W120" s="26">
        <f>MAX($C$10-VLOOKUP($C120,COS!$B$8:$H$991,3,FALSE),0)</f>
        <v>96749</v>
      </c>
      <c r="X120" s="26">
        <f t="shared" si="143"/>
        <v>5756.965289256198</v>
      </c>
      <c r="Y120" s="26">
        <f>VLOOKUP($C120,COS!$B$8:$H$991,4,FALSE)</f>
        <v>1382.873779296875</v>
      </c>
      <c r="Z120" s="26">
        <f t="shared" si="144"/>
        <v>82.286704222623968</v>
      </c>
      <c r="AA120" s="26">
        <f t="shared" si="184"/>
        <v>1382.873779296875</v>
      </c>
      <c r="AB120" s="33">
        <f t="shared" si="141"/>
        <v>41.143352111311984</v>
      </c>
    </row>
    <row r="121" spans="1:28" x14ac:dyDescent="0.3">
      <c r="A121" s="34">
        <f>VLOOKUP(YEAR(C121),Flags!$A$13:$B$95,2,FALSE)</f>
        <v>5</v>
      </c>
      <c r="B121" s="35">
        <f t="shared" si="116"/>
        <v>1933</v>
      </c>
      <c r="C121" s="36">
        <v>12419</v>
      </c>
      <c r="D121" s="37"/>
      <c r="E121" s="35"/>
      <c r="F121" s="37"/>
      <c r="G121" s="37"/>
      <c r="H121" s="37"/>
      <c r="I121" s="37"/>
      <c r="J121" s="37"/>
      <c r="K121" s="37"/>
      <c r="L121" s="35"/>
      <c r="M121" s="35"/>
      <c r="N121" s="37"/>
      <c r="O121" s="37"/>
      <c r="P121" s="37"/>
      <c r="Q121" s="37"/>
      <c r="R121" s="37"/>
      <c r="S121" s="37"/>
      <c r="T121" s="37"/>
      <c r="U121" s="37"/>
      <c r="V121" s="37"/>
      <c r="W121" s="37">
        <f>MAX($C$11-VLOOKUP($C121,COS!$B$8:$H$991,3,FALSE),0)</f>
        <v>0</v>
      </c>
      <c r="X121" s="37">
        <f t="shared" si="143"/>
        <v>0</v>
      </c>
      <c r="Y121" s="37">
        <f>VLOOKUP($C121,COS!$B$8:$H$991,4,FALSE)</f>
        <v>632.6298828125</v>
      </c>
      <c r="Z121" s="37">
        <f t="shared" si="144"/>
        <v>38.898895273760331</v>
      </c>
      <c r="AA121" s="37">
        <f t="shared" si="184"/>
        <v>0</v>
      </c>
      <c r="AB121" s="38">
        <f t="shared" si="141"/>
        <v>0</v>
      </c>
    </row>
    <row r="122" spans="1:28" x14ac:dyDescent="0.3">
      <c r="A122" s="27">
        <f>VLOOKUP(YEAR(C122),Flags!$A$13:$B$95,2,FALSE)</f>
        <v>5</v>
      </c>
      <c r="B122" s="28">
        <f t="shared" si="116"/>
        <v>1934</v>
      </c>
      <c r="C122" s="29">
        <v>12539</v>
      </c>
      <c r="D122" s="30">
        <f>VLOOKUP($C122,COS!$B$8:$H$991,3,FALSE)</f>
        <v>3250</v>
      </c>
      <c r="E122" s="28">
        <f>IF(D122&gt;=IF(MONTH($C122)=4,$C$3,IF(MONTH($C122)=5,$C$4,IF(MONTH($C122)=6,$C$5,IF(MONTH($C122)=7,$C$6,"ERROR")))),1,0)</f>
        <v>0</v>
      </c>
      <c r="F122" s="30">
        <f>VLOOKUP($C122,COS!$B$8:$H$991,7,FALSE)</f>
        <v>50.49676513671875</v>
      </c>
      <c r="G122" s="28">
        <f>IF(F122&lt;=IF(MONTH($C122)=4,$F$3,IF(MONTH($C122)=5,$F$4,IF(MONTH($C122)=6,$F$5,IF(MONTH($C122)=7,$F$6,"ERROR")))),1,0)</f>
        <v>1</v>
      </c>
      <c r="H122" s="30">
        <f>IF(J122=1,D122-$C$3,0)</f>
        <v>0</v>
      </c>
      <c r="I122" s="30">
        <f t="shared" si="136"/>
        <v>0</v>
      </c>
      <c r="J122" s="28">
        <f t="shared" ref="J122:J125" si="187">IF(AND(E122=1,G122=1),1,0)</f>
        <v>0</v>
      </c>
      <c r="K122" s="30">
        <f>VLOOKUP($C122,COS!$B$8:$H$991,2,FALSE)</f>
        <v>1640.1229248046875</v>
      </c>
      <c r="L122" s="28">
        <f t="shared" ref="L122" si="188">IF(K122&lt;=IF(MONTH($C122)=4,$I$3,IF(MONTH($C122)=5,$I$4,IF(MONTH($C122)=6,$I$5,IF(MONTH($C122)=7,$I$6,"ERROR")))),1,0)</f>
        <v>1</v>
      </c>
      <c r="M122" s="28">
        <f t="shared" ref="M122" si="189">VLOOKUP($A122,$L$3:$M$7,2,FALSE)</f>
        <v>1</v>
      </c>
      <c r="N122" s="30">
        <f>VLOOKUP($C122,COS!$B$8:$H$991,5,FALSE)</f>
        <v>162.71662902832031</v>
      </c>
      <c r="O122" s="30">
        <f t="shared" ref="O122:O125" si="190">N122*DAY($C122)*86400/43560/1000</f>
        <v>9.6823118099496384</v>
      </c>
      <c r="P122" s="30">
        <f>VLOOKUP($C122,COS!$B$8:$H$991,6,FALSE)</f>
        <v>521.53076171875</v>
      </c>
      <c r="Q122" s="30">
        <f t="shared" ref="Q122:Q125" si="191">P122*DAY($C122)*86400/43560/1000</f>
        <v>31.033235408057852</v>
      </c>
      <c r="R122" s="30">
        <f>MIN(IF(MONTH($C122)=4,$S$3,IF(MONTH($C122)=5,$S$4,IF(MONTH($C122)=6,$S$5,IF(MONTH($C122)=7,$S$6,"ERROR")))),MAX(VLOOKUP($C122,COS!$B$8:$K$991,10,FALSE)-IF(MONTH($C122)=4,$Y$3,IF(MONTH($C122)=5,$Y$4,IF(MONTH($C122)=6,$Y$5,IF(MONTH($C122)=7,$Y$6,"ERROR")))),0),MAX(VLOOKUP($C122,COS!$B$8:$K$991,9,FALSE)-IF(MONTH($C122)=4,$V$3,IF(MONTH($C122)=5,$V$4,IF(MONTH($C122)=6,$V$5,IF(MONTH($C122)=7,$V$6,"ERROR"))))-VLOOKUP($C122,COS!$B$8:$K$991,6,FALSE)/2,0))</f>
        <v>953.18115234375</v>
      </c>
      <c r="S122" s="30">
        <f t="shared" ref="S122:S125" si="192">R122*DAY($C122)*86400/43560/1000</f>
        <v>56.718217329545453</v>
      </c>
      <c r="T122" s="30">
        <f t="shared" ref="T122:T125" si="193">(O122+Q122)/2+S122</f>
        <v>77.075990938549197</v>
      </c>
      <c r="U122" s="30" t="str">
        <f>IF(VLOOKUP($C122,COS!$B$8:$I$991,8,FALSE)=1,"UWFE","IBU")</f>
        <v>UWFE</v>
      </c>
      <c r="V122" s="30">
        <f t="shared" ref="V122" si="194">MIN(IF(IF($AA$3=2,AND(E122=1,G122=1,L122=1,L127=1,M122=1,U122="IBU"),AND(E122=1,G122=1,L122=1,L127=1,M122=1)),T122,0),I122)</f>
        <v>0</v>
      </c>
      <c r="W122" s="30"/>
      <c r="X122" s="30"/>
      <c r="Y122" s="30"/>
      <c r="Z122" s="30"/>
      <c r="AA122" s="30"/>
      <c r="AB122" s="31"/>
    </row>
    <row r="123" spans="1:28" x14ac:dyDescent="0.3">
      <c r="A123" s="32">
        <f>VLOOKUP(YEAR(C123),Flags!$A$13:$B$95,2,FALSE)</f>
        <v>5</v>
      </c>
      <c r="B123" s="24">
        <f t="shared" si="116"/>
        <v>1934</v>
      </c>
      <c r="C123" s="25">
        <v>12570</v>
      </c>
      <c r="D123" s="26">
        <f>VLOOKUP($C123,COS!$B$8:$H$991,3,FALSE)</f>
        <v>6994.35986328125</v>
      </c>
      <c r="E123" s="24">
        <f>IF(D123&gt;=IF(MONTH($C123)=4,$C$3,IF(MONTH($C123)=5,$C$4,IF(MONTH($C123)=6,$C$5,IF(MONTH($C123)=7,$C$6,"ERROR")))),1,0)</f>
        <v>1</v>
      </c>
      <c r="F123" s="26">
        <f>VLOOKUP($C123,COS!$B$8:$H$991,7,FALSE)</f>
        <v>51.022247314453125</v>
      </c>
      <c r="G123" s="24">
        <f>IF(F123&lt;=IF(MONTH($C123)=4,$F$3,IF(MONTH($C123)=5,$F$4,IF(MONTH($C123)=6,$F$5,IF(MONTH($C123)=7,$F$6,"ERROR")))),1,0)</f>
        <v>1</v>
      </c>
      <c r="H123" s="26">
        <f>IF(J123=1,D123-$C$4,0)</f>
        <v>994.35986328125</v>
      </c>
      <c r="I123" s="26">
        <f t="shared" si="136"/>
        <v>61.140804816632233</v>
      </c>
      <c r="J123" s="24">
        <f t="shared" si="187"/>
        <v>1</v>
      </c>
      <c r="K123" s="26">
        <f>VLOOKUP($C123,COS!$B$8:$H$991,2,FALSE)</f>
        <v>1420.9012451171875</v>
      </c>
      <c r="L123" s="24">
        <f t="shared" si="129"/>
        <v>1</v>
      </c>
      <c r="M123" s="24">
        <f t="shared" si="130"/>
        <v>1</v>
      </c>
      <c r="N123" s="26">
        <f>VLOOKUP($C123,COS!$B$8:$H$991,5,FALSE)</f>
        <v>222.39739990234375</v>
      </c>
      <c r="O123" s="26">
        <f t="shared" si="190"/>
        <v>13.674683101433368</v>
      </c>
      <c r="P123" s="26">
        <f>VLOOKUP($C123,COS!$B$8:$H$991,6,FALSE)</f>
        <v>2243.647216796875</v>
      </c>
      <c r="Q123" s="26">
        <f t="shared" si="191"/>
        <v>137.95649002453513</v>
      </c>
      <c r="R123" s="26">
        <f>MIN(IF(MONTH($C123)=4,$S$3,IF(MONTH($C123)=5,$S$4,IF(MONTH($C123)=6,$S$5,IF(MONTH($C123)=7,$S$6,"ERROR")))),MAX(VLOOKUP($C123,COS!$B$8:$K$991,10,FALSE)-IF(MONTH($C123)=4,$Y$3,IF(MONTH($C123)=5,$Y$4,IF(MONTH($C123)=6,$Y$5,IF(MONTH($C123)=7,$Y$6,"ERROR")))),0),MAX(VLOOKUP($C123,COS!$B$8:$K$991,9,FALSE)-IF(MONTH($C123)=4,$V$3,IF(MONTH($C123)=5,$V$4,IF(MONTH($C123)=6,$V$5,IF(MONTH($C123)=7,$V$6,"ERROR"))))-VLOOKUP($C123,COS!$B$8:$K$991,6,FALSE)/2,0))</f>
        <v>1500</v>
      </c>
      <c r="S123" s="26">
        <f t="shared" si="192"/>
        <v>92.231404958677686</v>
      </c>
      <c r="T123" s="26">
        <f t="shared" si="193"/>
        <v>168.04699152166194</v>
      </c>
      <c r="U123" s="26" t="str">
        <f>IF(VLOOKUP($C123,COS!$B$8:$I$991,8,FALSE)=1,"UWFE","IBU")</f>
        <v>IBU</v>
      </c>
      <c r="V123" s="26">
        <f t="shared" ref="V123" si="195">MIN(IF(IF($AA$3=2,AND(E123=1,G123=1,L123=1,L127=1,M123=1,U123="IBU"),AND(E123=1,G123=1,L123=1,L127=1,M123=1)),T123,0),I123)</f>
        <v>61.140804816632233</v>
      </c>
      <c r="W123" s="26"/>
      <c r="X123" s="26"/>
      <c r="Y123" s="26"/>
      <c r="Z123" s="26"/>
      <c r="AA123" s="26"/>
      <c r="AB123" s="33"/>
    </row>
    <row r="124" spans="1:28" x14ac:dyDescent="0.3">
      <c r="A124" s="32">
        <f>VLOOKUP(YEAR(C124),Flags!$A$13:$B$95,2,FALSE)</f>
        <v>5</v>
      </c>
      <c r="B124" s="24">
        <f t="shared" si="116"/>
        <v>1934</v>
      </c>
      <c r="C124" s="25">
        <v>12600</v>
      </c>
      <c r="D124" s="26">
        <f>VLOOKUP($C124,COS!$B$8:$H$991,3,FALSE)</f>
        <v>8056.033203125</v>
      </c>
      <c r="E124" s="24">
        <f>IF(D124&gt;=IF(MONTH($C124)=4,$C$3,IF(MONTH($C124)=5,$C$4,IF(MONTH($C124)=6,$C$5,IF(MONTH($C124)=7,$C$6,"ERROR")))),1,0)</f>
        <v>0</v>
      </c>
      <c r="F124" s="26">
        <f>VLOOKUP($C124,COS!$B$8:$H$991,7,FALSE)</f>
        <v>54.752338409423828</v>
      </c>
      <c r="G124" s="24">
        <f>IF(F124&lt;=IF(MONTH($C124)=4,$F$3,IF(MONTH($C124)=5,$F$4,IF(MONTH($C124)=6,$F$5,IF(MONTH($C124)=7,$F$6,"ERROR")))),1,0)</f>
        <v>1</v>
      </c>
      <c r="H124" s="26">
        <f>IF(J124=1,D124-$C$5,0)</f>
        <v>0</v>
      </c>
      <c r="I124" s="26">
        <f t="shared" si="136"/>
        <v>0</v>
      </c>
      <c r="J124" s="24">
        <f t="shared" si="187"/>
        <v>0</v>
      </c>
      <c r="K124" s="26">
        <f>VLOOKUP($C124,COS!$B$8:$H$991,2,FALSE)</f>
        <v>1102.0863037109375</v>
      </c>
      <c r="L124" s="24">
        <f t="shared" si="129"/>
        <v>1</v>
      </c>
      <c r="M124" s="24">
        <f t="shared" si="130"/>
        <v>1</v>
      </c>
      <c r="N124" s="26">
        <f>VLOOKUP($C124,COS!$B$8:$H$991,5,FALSE)</f>
        <v>267.839599609375</v>
      </c>
      <c r="O124" s="26">
        <f t="shared" si="190"/>
        <v>15.937562951962809</v>
      </c>
      <c r="P124" s="26">
        <f>VLOOKUP($C124,COS!$B$8:$H$991,6,FALSE)</f>
        <v>2418.7939453125</v>
      </c>
      <c r="Q124" s="26">
        <f t="shared" si="191"/>
        <v>143.9282347623967</v>
      </c>
      <c r="R124" s="26">
        <f>MIN(IF(MONTH($C124)=4,$S$3,IF(MONTH($C124)=5,$S$4,IF(MONTH($C124)=6,$S$5,IF(MONTH($C124)=7,$S$6,"ERROR")))),MAX(VLOOKUP($C124,COS!$B$8:$K$991,10,FALSE)-IF(MONTH($C124)=4,$Y$3,IF(MONTH($C124)=5,$Y$4,IF(MONTH($C124)=6,$Y$5,IF(MONTH($C124)=7,$Y$6,"ERROR")))),0),MAX(VLOOKUP($C124,COS!$B$8:$K$991,9,FALSE)-IF(MONTH($C124)=4,$V$3,IF(MONTH($C124)=5,$V$4,IF(MONTH($C124)=6,$V$5,IF(MONTH($C124)=7,$V$6,"ERROR"))))-VLOOKUP($C124,COS!$B$8:$K$991,6,FALSE)/2,0))</f>
        <v>1500</v>
      </c>
      <c r="S124" s="26">
        <f t="shared" si="192"/>
        <v>89.256198347107429</v>
      </c>
      <c r="T124" s="26">
        <f t="shared" si="193"/>
        <v>169.18909720428718</v>
      </c>
      <c r="U124" s="26" t="str">
        <f>IF(VLOOKUP($C124,COS!$B$8:$I$991,8,FALSE)=1,"UWFE","IBU")</f>
        <v>IBU</v>
      </c>
      <c r="V124" s="26">
        <f t="shared" ref="V124" si="196">MIN(IF(IF($AA$3=2,AND(E124=1,G124=1,L124=1,L127=1,M124=1,U124="IBU"),AND(E124=1,G124=1,L124=1,L127=1,M124=1)),T124,0),I124)</f>
        <v>0</v>
      </c>
      <c r="W124" s="26"/>
      <c r="X124" s="26"/>
      <c r="Y124" s="26"/>
      <c r="Z124" s="26"/>
      <c r="AA124" s="26"/>
      <c r="AB124" s="33"/>
    </row>
    <row r="125" spans="1:28" x14ac:dyDescent="0.3">
      <c r="A125" s="32">
        <f>VLOOKUP(YEAR(C125),Flags!$A$13:$B$95,2,FALSE)</f>
        <v>5</v>
      </c>
      <c r="B125" s="24">
        <f t="shared" si="116"/>
        <v>1934</v>
      </c>
      <c r="C125" s="25">
        <v>12631</v>
      </c>
      <c r="D125" s="26">
        <f>VLOOKUP($C125,COS!$B$8:$H$991,3,FALSE)</f>
        <v>10945.8583984375</v>
      </c>
      <c r="E125" s="24">
        <f>IF(D125&gt;=IF(MONTH($C125)=4,$C$3,IF(MONTH($C125)=5,$C$4,IF(MONTH($C125)=6,$C$5,IF(MONTH($C125)=7,$C$6,"ERROR")))),1,0)</f>
        <v>0</v>
      </c>
      <c r="F125" s="26">
        <f>VLOOKUP($C125,COS!$B$8:$H$991,7,FALSE)</f>
        <v>56.054607391357422</v>
      </c>
      <c r="G125" s="24">
        <f>IF(F125&lt;=IF(MONTH($C125)=4,$F$3,IF(MONTH($C125)=5,$F$4,IF(MONTH($C125)=6,$F$5,IF(MONTH($C125)=7,$F$6,"ERROR")))),1,0)</f>
        <v>0</v>
      </c>
      <c r="H125" s="26">
        <f>IF(J125=1,D125-$C$6,0)</f>
        <v>0</v>
      </c>
      <c r="I125" s="26">
        <f t="shared" si="136"/>
        <v>0</v>
      </c>
      <c r="J125" s="24">
        <f t="shared" si="187"/>
        <v>0</v>
      </c>
      <c r="K125" s="26">
        <f>VLOOKUP($C125,COS!$B$8:$H$991,2,FALSE)</f>
        <v>650</v>
      </c>
      <c r="L125" s="24">
        <f t="shared" si="129"/>
        <v>1</v>
      </c>
      <c r="M125" s="24">
        <f t="shared" si="130"/>
        <v>1</v>
      </c>
      <c r="N125" s="26">
        <f>VLOOKUP($C125,COS!$B$8:$H$991,5,FALSE)</f>
        <v>306.08538818359375</v>
      </c>
      <c r="O125" s="26">
        <f t="shared" si="190"/>
        <v>18.820456926330063</v>
      </c>
      <c r="P125" s="26">
        <f>VLOOKUP($C125,COS!$B$8:$H$991,6,FALSE)</f>
        <v>2281.4833984375</v>
      </c>
      <c r="Q125" s="26">
        <f t="shared" si="191"/>
        <v>140.28294615185951</v>
      </c>
      <c r="R125" s="26">
        <f>MIN(IF(MONTH($C125)=4,$S$3,IF(MONTH($C125)=5,$S$4,IF(MONTH($C125)=6,$S$5,IF(MONTH($C125)=7,$S$6,"ERROR")))),MAX(VLOOKUP($C125,COS!$B$8:$K$991,10,FALSE)-IF(MONTH($C125)=4,$Y$3,IF(MONTH($C125)=5,$Y$4,IF(MONTH($C125)=6,$Y$5,IF(MONTH($C125)=7,$Y$6,"ERROR")))),0),MAX(VLOOKUP($C125,COS!$B$8:$K$991,9,FALSE)-IF(MONTH($C125)=4,$V$3,IF(MONTH($C125)=5,$V$4,IF(MONTH($C125)=6,$V$5,IF(MONTH($C125)=7,$V$6,"ERROR"))))-VLOOKUP($C125,COS!$B$8:$K$991,6,FALSE)/2,0))</f>
        <v>1500</v>
      </c>
      <c r="S125" s="26">
        <f t="shared" si="192"/>
        <v>92.231404958677686</v>
      </c>
      <c r="T125" s="26">
        <f t="shared" si="193"/>
        <v>171.78310649777245</v>
      </c>
      <c r="U125" s="26" t="str">
        <f>IF(VLOOKUP($C125,COS!$B$8:$I$991,8,FALSE)=1,"UWFE","IBU")</f>
        <v>IBU</v>
      </c>
      <c r="V125" s="26">
        <f t="shared" ref="V125" si="197">MIN(IF(IF($AA$3=2,AND(E125=1,G125=1,L125=1,L127=1,M125=1,U125="IBU"),AND(E125=1,G125=1,L125=1,L127=1,M125=1)),T125,0),I125)</f>
        <v>0</v>
      </c>
      <c r="W125" s="26"/>
      <c r="X125" s="26"/>
      <c r="Y125" s="26"/>
      <c r="Z125" s="26"/>
      <c r="AA125" s="26"/>
      <c r="AB125" s="33"/>
    </row>
    <row r="126" spans="1:28" x14ac:dyDescent="0.3">
      <c r="A126" s="32">
        <f>VLOOKUP(YEAR(C126),Flags!$A$13:$B$95,2,FALSE)</f>
        <v>5</v>
      </c>
      <c r="B126" s="24">
        <f t="shared" si="116"/>
        <v>1934</v>
      </c>
      <c r="C126" s="25">
        <v>12662</v>
      </c>
      <c r="D126" s="26"/>
      <c r="E126" s="24"/>
      <c r="F126" s="26"/>
      <c r="G126" s="24"/>
      <c r="H126" s="24"/>
      <c r="I126" s="26"/>
      <c r="J126" s="24"/>
      <c r="K126" s="26"/>
      <c r="L126" s="24"/>
      <c r="M126" s="24"/>
      <c r="N126" s="26"/>
      <c r="O126" s="26"/>
      <c r="P126" s="26"/>
      <c r="Q126" s="26"/>
      <c r="R126" s="26"/>
      <c r="S126" s="26"/>
      <c r="T126" s="26"/>
      <c r="U126" s="26"/>
      <c r="V126" s="26"/>
      <c r="W126" s="26">
        <f>MAX($C$7-VLOOKUP($C126,COS!$B$8:$H$991,3,FALSE),0)</f>
        <v>92824.48193359375</v>
      </c>
      <c r="X126" s="26">
        <f t="shared" si="143"/>
        <v>5707.5549221978308</v>
      </c>
      <c r="Y126" s="26">
        <f>VLOOKUP($C126,COS!$B$8:$H$991,4,FALSE)</f>
        <v>3029.425537109375</v>
      </c>
      <c r="Z126" s="26">
        <f t="shared" si="144"/>
        <v>186.27211567019629</v>
      </c>
      <c r="AA126" s="26">
        <f t="shared" ref="AA126:AA130" si="198">MIN(W126,Y126)</f>
        <v>3029.425537109375</v>
      </c>
      <c r="AB126" s="33">
        <f t="shared" ref="AB126" si="199">AA126*DAY($C126)*86400/43560/1000*IF(MONTH($C126)=8,$P$3,IF(MONTH($C126)=9,$P$4,IF(MONTH($C126)=10,$P$5,IF(MONTH($C126)=11,$P$6,IF(MONTH($C126)=12,$P$7,NA())))))</f>
        <v>186.27211567019629</v>
      </c>
    </row>
    <row r="127" spans="1:28" x14ac:dyDescent="0.3">
      <c r="A127" s="32">
        <f>VLOOKUP(YEAR(C127),Flags!$A$13:$B$95,2,FALSE)</f>
        <v>5</v>
      </c>
      <c r="B127" s="24">
        <f t="shared" si="116"/>
        <v>1934</v>
      </c>
      <c r="C127" s="25">
        <v>12692</v>
      </c>
      <c r="D127" s="26"/>
      <c r="E127" s="24"/>
      <c r="F127" s="26"/>
      <c r="G127" s="24"/>
      <c r="H127" s="24"/>
      <c r="I127" s="26"/>
      <c r="J127" s="24"/>
      <c r="K127" s="26">
        <f>VLOOKUP($C127,COS!$B$8:$H$991,2,FALSE)</f>
        <v>550</v>
      </c>
      <c r="L127" s="24">
        <f t="shared" ref="L127" si="200">IF(AND(K127&gt;$I$7,K127&lt;$I$8),1,0)</f>
        <v>1</v>
      </c>
      <c r="M127" s="24"/>
      <c r="N127" s="26"/>
      <c r="O127" s="26"/>
      <c r="P127" s="26"/>
      <c r="Q127" s="26"/>
      <c r="R127" s="26"/>
      <c r="S127" s="26"/>
      <c r="T127" s="26"/>
      <c r="U127" s="26"/>
      <c r="V127" s="26"/>
      <c r="W127" s="26">
        <f>MAX($C$8-VLOOKUP($C127,COS!$B$8:$H$991,3,FALSE),0)</f>
        <v>96065.62744140625</v>
      </c>
      <c r="X127" s="26">
        <f t="shared" si="143"/>
        <v>5716.3017981663224</v>
      </c>
      <c r="Y127" s="26">
        <f>VLOOKUP($C127,COS!$B$8:$H$991,4,FALSE)</f>
        <v>1900.230224609375</v>
      </c>
      <c r="Z127" s="26">
        <f t="shared" si="144"/>
        <v>113.07155055526859</v>
      </c>
      <c r="AA127" s="26">
        <f t="shared" si="198"/>
        <v>1900.230224609375</v>
      </c>
      <c r="AB127" s="33">
        <f t="shared" si="141"/>
        <v>113.07155055526859</v>
      </c>
    </row>
    <row r="128" spans="1:28" x14ac:dyDescent="0.3">
      <c r="A128" s="32">
        <f>VLOOKUP(YEAR(C128),Flags!$A$13:$B$95,2,FALSE)</f>
        <v>5</v>
      </c>
      <c r="B128" s="24">
        <f t="shared" si="116"/>
        <v>1934</v>
      </c>
      <c r="C128" s="25">
        <v>12723</v>
      </c>
      <c r="D128" s="26"/>
      <c r="E128" s="24"/>
      <c r="F128" s="26"/>
      <c r="G128" s="26"/>
      <c r="H128" s="26"/>
      <c r="I128" s="26"/>
      <c r="J128" s="26"/>
      <c r="K128" s="26"/>
      <c r="L128" s="24"/>
      <c r="M128" s="24"/>
      <c r="N128" s="26"/>
      <c r="O128" s="26"/>
      <c r="P128" s="26"/>
      <c r="Q128" s="26"/>
      <c r="R128" s="26"/>
      <c r="S128" s="26"/>
      <c r="T128" s="26"/>
      <c r="U128" s="26"/>
      <c r="V128" s="26"/>
      <c r="W128" s="26">
        <f>MAX($C$9-VLOOKUP($C128,COS!$B$8:$H$991,3,FALSE),0)</f>
        <v>97296.357666015625</v>
      </c>
      <c r="X128" s="26">
        <f t="shared" si="143"/>
        <v>5982.5198432657544</v>
      </c>
      <c r="Y128" s="26">
        <f>VLOOKUP($C128,COS!$B$8:$H$991,4,FALSE)</f>
        <v>1445.2672119140625</v>
      </c>
      <c r="Z128" s="26">
        <f t="shared" si="144"/>
        <v>88.866016997029959</v>
      </c>
      <c r="AA128" s="26">
        <f t="shared" si="198"/>
        <v>1445.2672119140625</v>
      </c>
      <c r="AB128" s="33">
        <f t="shared" si="141"/>
        <v>88.866016997029959</v>
      </c>
    </row>
    <row r="129" spans="1:28" x14ac:dyDescent="0.3">
      <c r="A129" s="32">
        <f>VLOOKUP(YEAR(C129),Flags!$A$13:$B$95,2,FALSE)</f>
        <v>5</v>
      </c>
      <c r="B129" s="24">
        <f t="shared" si="116"/>
        <v>1934</v>
      </c>
      <c r="C129" s="25">
        <v>12753</v>
      </c>
      <c r="D129" s="26"/>
      <c r="E129" s="24"/>
      <c r="F129" s="26"/>
      <c r="G129" s="26"/>
      <c r="H129" s="26"/>
      <c r="I129" s="26"/>
      <c r="J129" s="26"/>
      <c r="K129" s="26"/>
      <c r="L129" s="24"/>
      <c r="M129" s="24"/>
      <c r="N129" s="26"/>
      <c r="O129" s="26"/>
      <c r="P129" s="26"/>
      <c r="Q129" s="26"/>
      <c r="R129" s="26"/>
      <c r="S129" s="26"/>
      <c r="T129" s="26"/>
      <c r="U129" s="26"/>
      <c r="V129" s="26"/>
      <c r="W129" s="26">
        <f>MAX($C$10-VLOOKUP($C129,COS!$B$8:$H$991,3,FALSE),0)</f>
        <v>96749</v>
      </c>
      <c r="X129" s="26">
        <f t="shared" si="143"/>
        <v>5756.965289256198</v>
      </c>
      <c r="Y129" s="26">
        <f>VLOOKUP($C129,COS!$B$8:$H$991,4,FALSE)</f>
        <v>2579.600341796875</v>
      </c>
      <c r="Z129" s="26">
        <f t="shared" si="144"/>
        <v>153.49687984245867</v>
      </c>
      <c r="AA129" s="26">
        <f t="shared" si="198"/>
        <v>2579.600341796875</v>
      </c>
      <c r="AB129" s="33">
        <f t="shared" si="141"/>
        <v>76.748439921229334</v>
      </c>
    </row>
    <row r="130" spans="1:28" x14ac:dyDescent="0.3">
      <c r="A130" s="34">
        <f>VLOOKUP(YEAR(C130),Flags!$A$13:$B$95,2,FALSE)</f>
        <v>5</v>
      </c>
      <c r="B130" s="35">
        <f t="shared" si="116"/>
        <v>1934</v>
      </c>
      <c r="C130" s="36">
        <v>12784</v>
      </c>
      <c r="D130" s="37"/>
      <c r="E130" s="35"/>
      <c r="F130" s="37"/>
      <c r="G130" s="37"/>
      <c r="H130" s="37"/>
      <c r="I130" s="37"/>
      <c r="J130" s="37"/>
      <c r="K130" s="37"/>
      <c r="L130" s="35"/>
      <c r="M130" s="35"/>
      <c r="N130" s="37"/>
      <c r="O130" s="37"/>
      <c r="P130" s="37"/>
      <c r="Q130" s="37"/>
      <c r="R130" s="37"/>
      <c r="S130" s="37"/>
      <c r="T130" s="37"/>
      <c r="U130" s="37"/>
      <c r="V130" s="37"/>
      <c r="W130" s="37">
        <f>MAX($C$11-VLOOKUP($C130,COS!$B$8:$H$991,3,FALSE),0)</f>
        <v>0</v>
      </c>
      <c r="X130" s="37">
        <f t="shared" si="143"/>
        <v>0</v>
      </c>
      <c r="Y130" s="37">
        <f>VLOOKUP($C130,COS!$B$8:$H$991,4,FALSE)</f>
        <v>0</v>
      </c>
      <c r="Z130" s="37">
        <f t="shared" si="144"/>
        <v>0</v>
      </c>
      <c r="AA130" s="37">
        <f t="shared" si="198"/>
        <v>0</v>
      </c>
      <c r="AB130" s="38">
        <f t="shared" si="141"/>
        <v>0</v>
      </c>
    </row>
    <row r="131" spans="1:28" x14ac:dyDescent="0.3">
      <c r="A131" s="27">
        <f>VLOOKUP(YEAR(C131),Flags!$A$13:$B$95,2,FALSE)</f>
        <v>4</v>
      </c>
      <c r="B131" s="28">
        <f t="shared" si="116"/>
        <v>1935</v>
      </c>
      <c r="C131" s="29">
        <v>12904</v>
      </c>
      <c r="D131" s="30">
        <f>VLOOKUP($C131,COS!$B$8:$H$991,3,FALSE)</f>
        <v>3250</v>
      </c>
      <c r="E131" s="28">
        <f>IF(D131&gt;=IF(MONTH($C131)=4,$C$3,IF(MONTH($C131)=5,$C$4,IF(MONTH($C131)=6,$C$5,IF(MONTH($C131)=7,$C$6,"ERROR")))),1,0)</f>
        <v>0</v>
      </c>
      <c r="F131" s="30">
        <f>VLOOKUP($C131,COS!$B$8:$H$991,7,FALSE)</f>
        <v>49.358055114746094</v>
      </c>
      <c r="G131" s="28">
        <f>IF(F131&lt;=IF(MONTH($C131)=4,$F$3,IF(MONTH($C131)=5,$F$4,IF(MONTH($C131)=6,$F$5,IF(MONTH($C131)=7,$F$6,"ERROR")))),1,0)</f>
        <v>1</v>
      </c>
      <c r="H131" s="30">
        <f>IF(J131=1,D131-$C$3,0)</f>
        <v>0</v>
      </c>
      <c r="I131" s="30">
        <f t="shared" si="136"/>
        <v>0</v>
      </c>
      <c r="J131" s="28">
        <f t="shared" ref="J131:J134" si="201">IF(AND(E131=1,G131=1),1,0)</f>
        <v>0</v>
      </c>
      <c r="K131" s="30">
        <f>VLOOKUP($C131,COS!$B$8:$H$991,2,FALSE)</f>
        <v>2701.329833984375</v>
      </c>
      <c r="L131" s="28">
        <f t="shared" ref="L131" si="202">IF(K131&lt;=IF(MONTH($C131)=4,$I$3,IF(MONTH($C131)=5,$I$4,IF(MONTH($C131)=6,$I$5,IF(MONTH($C131)=7,$I$6,"ERROR")))),1,0)</f>
        <v>1</v>
      </c>
      <c r="M131" s="28">
        <f t="shared" ref="M131" si="203">VLOOKUP($A131,$L$3:$M$7,2,FALSE)</f>
        <v>1</v>
      </c>
      <c r="N131" s="30">
        <f>VLOOKUP($C131,COS!$B$8:$H$991,5,FALSE)</f>
        <v>1.3366308212280273</v>
      </c>
      <c r="O131" s="30">
        <f t="shared" ref="O131:O134" si="204">N131*DAY($C131)*86400/43560/1000</f>
        <v>7.9535057130923945E-2</v>
      </c>
      <c r="P131" s="30">
        <f>VLOOKUP($C131,COS!$B$8:$H$991,6,FALSE)</f>
        <v>295.18359375</v>
      </c>
      <c r="Q131" s="30">
        <f t="shared" ref="Q131:Q134" si="205">P131*DAY($C131)*86400/43560/1000</f>
        <v>17.564643595041321</v>
      </c>
      <c r="R131" s="30">
        <f>MIN(IF(MONTH($C131)=4,$S$3,IF(MONTH($C131)=5,$S$4,IF(MONTH($C131)=6,$S$5,IF(MONTH($C131)=7,$S$6,"ERROR")))),MAX(VLOOKUP($C131,COS!$B$8:$K$991,10,FALSE)-IF(MONTH($C131)=4,$Y$3,IF(MONTH($C131)=5,$Y$4,IF(MONTH($C131)=6,$Y$5,IF(MONTH($C131)=7,$Y$6,"ERROR")))),0),MAX(VLOOKUP($C131,COS!$B$8:$K$991,9,FALSE)-IF(MONTH($C131)=4,$V$3,IF(MONTH($C131)=5,$V$4,IF(MONTH($C131)=6,$V$5,IF(MONTH($C131)=7,$V$6,"ERROR"))))-VLOOKUP($C131,COS!$B$8:$K$991,6,FALSE)/2,0))</f>
        <v>1500</v>
      </c>
      <c r="S131" s="30">
        <f t="shared" ref="S131:S134" si="206">R131*DAY($C131)*86400/43560/1000</f>
        <v>89.256198347107429</v>
      </c>
      <c r="T131" s="30">
        <f t="shared" ref="T131:T134" si="207">(O131+Q131)/2+S131</f>
        <v>98.078287673193557</v>
      </c>
      <c r="U131" s="30" t="str">
        <f>IF(VLOOKUP($C131,COS!$B$8:$I$991,8,FALSE)=1,"UWFE","IBU")</f>
        <v>UWFE</v>
      </c>
      <c r="V131" s="30">
        <f t="shared" ref="V131" si="208">MIN(IF(IF($AA$3=2,AND(E131=1,G131=1,L131=1,L136=1,M131=1,U131="IBU"),AND(E131=1,G131=1,L131=1,L136=1,M131=1)),T131,0),I131)</f>
        <v>0</v>
      </c>
      <c r="W131" s="30"/>
      <c r="X131" s="30"/>
      <c r="Y131" s="30"/>
      <c r="Z131" s="30"/>
      <c r="AA131" s="30"/>
      <c r="AB131" s="31"/>
    </row>
    <row r="132" spans="1:28" x14ac:dyDescent="0.3">
      <c r="A132" s="32">
        <f>VLOOKUP(YEAR(C132),Flags!$A$13:$B$95,2,FALSE)</f>
        <v>4</v>
      </c>
      <c r="B132" s="24">
        <f t="shared" si="116"/>
        <v>1935</v>
      </c>
      <c r="C132" s="25">
        <v>12935</v>
      </c>
      <c r="D132" s="26">
        <f>VLOOKUP($C132,COS!$B$8:$H$991,3,FALSE)</f>
        <v>3785.33349609375</v>
      </c>
      <c r="E132" s="24">
        <f>IF(D132&gt;=IF(MONTH($C132)=4,$C$3,IF(MONTH($C132)=5,$C$4,IF(MONTH($C132)=6,$C$5,IF(MONTH($C132)=7,$C$6,"ERROR")))),1,0)</f>
        <v>0</v>
      </c>
      <c r="F132" s="26">
        <f>VLOOKUP($C132,COS!$B$8:$H$991,7,FALSE)</f>
        <v>51.774246215820313</v>
      </c>
      <c r="G132" s="24">
        <f>IF(F132&lt;=IF(MONTH($C132)=4,$F$3,IF(MONTH($C132)=5,$F$4,IF(MONTH($C132)=6,$F$5,IF(MONTH($C132)=7,$F$6,"ERROR")))),1,0)</f>
        <v>1</v>
      </c>
      <c r="H132" s="26">
        <f>IF(J132=1,D132-$C$4,0)</f>
        <v>0</v>
      </c>
      <c r="I132" s="26">
        <f t="shared" si="136"/>
        <v>0</v>
      </c>
      <c r="J132" s="24">
        <f t="shared" si="201"/>
        <v>0</v>
      </c>
      <c r="K132" s="26">
        <f>VLOOKUP($C132,COS!$B$8:$H$991,2,FALSE)</f>
        <v>2993.270751953125</v>
      </c>
      <c r="L132" s="24">
        <f t="shared" si="129"/>
        <v>1</v>
      </c>
      <c r="M132" s="24">
        <f t="shared" si="130"/>
        <v>1</v>
      </c>
      <c r="N132" s="26">
        <f>VLOOKUP($C132,COS!$B$8:$H$991,5,FALSE)</f>
        <v>70.798858642578125</v>
      </c>
      <c r="O132" s="26">
        <f t="shared" si="204"/>
        <v>4.3532521347172004</v>
      </c>
      <c r="P132" s="26">
        <f>VLOOKUP($C132,COS!$B$8:$H$991,6,FALSE)</f>
        <v>2185.40966796875</v>
      </c>
      <c r="Q132" s="26">
        <f t="shared" si="205"/>
        <v>134.37560272469008</v>
      </c>
      <c r="R132" s="26">
        <f>MIN(IF(MONTH($C132)=4,$S$3,IF(MONTH($C132)=5,$S$4,IF(MONTH($C132)=6,$S$5,IF(MONTH($C132)=7,$S$6,"ERROR")))),MAX(VLOOKUP($C132,COS!$B$8:$K$991,10,FALSE)-IF(MONTH($C132)=4,$Y$3,IF(MONTH($C132)=5,$Y$4,IF(MONTH($C132)=6,$Y$5,IF(MONTH($C132)=7,$Y$6,"ERROR")))),0),MAX(VLOOKUP($C132,COS!$B$8:$K$991,9,FALSE)-IF(MONTH($C132)=4,$V$3,IF(MONTH($C132)=5,$V$4,IF(MONTH($C132)=6,$V$5,IF(MONTH($C132)=7,$V$6,"ERROR"))))-VLOOKUP($C132,COS!$B$8:$K$991,6,FALSE)/2,0))</f>
        <v>1500</v>
      </c>
      <c r="S132" s="26">
        <f t="shared" si="206"/>
        <v>92.231404958677686</v>
      </c>
      <c r="T132" s="26">
        <f t="shared" si="207"/>
        <v>161.59583238838133</v>
      </c>
      <c r="U132" s="26" t="str">
        <f>IF(VLOOKUP($C132,COS!$B$8:$I$991,8,FALSE)=1,"UWFE","IBU")</f>
        <v>UWFE</v>
      </c>
      <c r="V132" s="26">
        <f t="shared" ref="V132" si="209">MIN(IF(IF($AA$3=2,AND(E132=1,G132=1,L132=1,L136=1,M132=1,U132="IBU"),AND(E132=1,G132=1,L132=1,L136=1,M132=1)),T132,0),I132)</f>
        <v>0</v>
      </c>
      <c r="W132" s="26"/>
      <c r="X132" s="26"/>
      <c r="Y132" s="26"/>
      <c r="Z132" s="26"/>
      <c r="AA132" s="26"/>
      <c r="AB132" s="33"/>
    </row>
    <row r="133" spans="1:28" x14ac:dyDescent="0.3">
      <c r="A133" s="32">
        <f>VLOOKUP(YEAR(C133),Flags!$A$13:$B$95,2,FALSE)</f>
        <v>4</v>
      </c>
      <c r="B133" s="24">
        <f t="shared" si="116"/>
        <v>1935</v>
      </c>
      <c r="C133" s="25">
        <v>12965</v>
      </c>
      <c r="D133" s="26">
        <f>VLOOKUP($C133,COS!$B$8:$H$991,3,FALSE)</f>
        <v>8129.7919921875</v>
      </c>
      <c r="E133" s="24">
        <f>IF(D133&gt;=IF(MONTH($C133)=4,$C$3,IF(MONTH($C133)=5,$C$4,IF(MONTH($C133)=6,$C$5,IF(MONTH($C133)=7,$C$6,"ERROR")))),1,0)</f>
        <v>0</v>
      </c>
      <c r="F133" s="26">
        <f>VLOOKUP($C133,COS!$B$8:$H$991,7,FALSE)</f>
        <v>51.700939178466797</v>
      </c>
      <c r="G133" s="24">
        <f>IF(F133&lt;=IF(MONTH($C133)=4,$F$3,IF(MONTH($C133)=5,$F$4,IF(MONTH($C133)=6,$F$5,IF(MONTH($C133)=7,$F$6,"ERROR")))),1,0)</f>
        <v>1</v>
      </c>
      <c r="H133" s="26">
        <f>IF(J133=1,D133-$C$5,0)</f>
        <v>0</v>
      </c>
      <c r="I133" s="26">
        <f t="shared" si="136"/>
        <v>0</v>
      </c>
      <c r="J133" s="24">
        <f t="shared" si="201"/>
        <v>0</v>
      </c>
      <c r="K133" s="26">
        <f>VLOOKUP($C133,COS!$B$8:$H$991,2,FALSE)</f>
        <v>2742.553466796875</v>
      </c>
      <c r="L133" s="24">
        <f t="shared" si="129"/>
        <v>1</v>
      </c>
      <c r="M133" s="24">
        <f t="shared" si="130"/>
        <v>1</v>
      </c>
      <c r="N133" s="26">
        <f>VLOOKUP($C133,COS!$B$8:$H$991,5,FALSE)</f>
        <v>355.03094482421875</v>
      </c>
      <c r="O133" s="26">
        <f t="shared" si="204"/>
        <v>21.125808287060952</v>
      </c>
      <c r="P133" s="26">
        <f>VLOOKUP($C133,COS!$B$8:$H$991,6,FALSE)</f>
        <v>2600.013916015625</v>
      </c>
      <c r="Q133" s="26">
        <f t="shared" si="205"/>
        <v>154.71157186208677</v>
      </c>
      <c r="R133" s="26">
        <f>MIN(IF(MONTH($C133)=4,$S$3,IF(MONTH($C133)=5,$S$4,IF(MONTH($C133)=6,$S$5,IF(MONTH($C133)=7,$S$6,"ERROR")))),MAX(VLOOKUP($C133,COS!$B$8:$K$991,10,FALSE)-IF(MONTH($C133)=4,$Y$3,IF(MONTH($C133)=5,$Y$4,IF(MONTH($C133)=6,$Y$5,IF(MONTH($C133)=7,$Y$6,"ERROR")))),0),MAX(VLOOKUP($C133,COS!$B$8:$K$991,9,FALSE)-IF(MONTH($C133)=4,$V$3,IF(MONTH($C133)=5,$V$4,IF(MONTH($C133)=6,$V$5,IF(MONTH($C133)=7,$V$6,"ERROR"))))-VLOOKUP($C133,COS!$B$8:$K$991,6,FALSE)/2,0))</f>
        <v>1500</v>
      </c>
      <c r="S133" s="26">
        <f t="shared" si="206"/>
        <v>89.256198347107429</v>
      </c>
      <c r="T133" s="26">
        <f t="shared" si="207"/>
        <v>177.17488842168129</v>
      </c>
      <c r="U133" s="26" t="str">
        <f>IF(VLOOKUP($C133,COS!$B$8:$I$991,8,FALSE)=1,"UWFE","IBU")</f>
        <v>IBU</v>
      </c>
      <c r="V133" s="26">
        <f t="shared" ref="V133" si="210">MIN(IF(IF($AA$3=2,AND(E133=1,G133=1,L133=1,L136=1,M133=1,U133="IBU"),AND(E133=1,G133=1,L133=1,L136=1,M133=1)),T133,0),I133)</f>
        <v>0</v>
      </c>
      <c r="W133" s="26"/>
      <c r="X133" s="26"/>
      <c r="Y133" s="26"/>
      <c r="Z133" s="26"/>
      <c r="AA133" s="26"/>
      <c r="AB133" s="33"/>
    </row>
    <row r="134" spans="1:28" x14ac:dyDescent="0.3">
      <c r="A134" s="32">
        <f>VLOOKUP(YEAR(C134),Flags!$A$13:$B$95,2,FALSE)</f>
        <v>4</v>
      </c>
      <c r="B134" s="24">
        <f t="shared" si="116"/>
        <v>1935</v>
      </c>
      <c r="C134" s="25">
        <v>12996</v>
      </c>
      <c r="D134" s="26">
        <f>VLOOKUP($C134,COS!$B$8:$H$991,3,FALSE)</f>
        <v>9552.029296875</v>
      </c>
      <c r="E134" s="24">
        <f>IF(D134&gt;=IF(MONTH($C134)=4,$C$3,IF(MONTH($C134)=5,$C$4,IF(MONTH($C134)=6,$C$5,IF(MONTH($C134)=7,$C$6,"ERROR")))),1,0)</f>
        <v>0</v>
      </c>
      <c r="F134" s="26">
        <f>VLOOKUP($C134,COS!$B$8:$H$991,7,FALSE)</f>
        <v>53.422840118408203</v>
      </c>
      <c r="G134" s="24">
        <f>IF(F134&lt;=IF(MONTH($C134)=4,$F$3,IF(MONTH($C134)=5,$F$4,IF(MONTH($C134)=6,$F$5,IF(MONTH($C134)=7,$F$6,"ERROR")))),1,0)</f>
        <v>1</v>
      </c>
      <c r="H134" s="26">
        <f>IF(J134=1,D134-$C$6,0)</f>
        <v>0</v>
      </c>
      <c r="I134" s="26">
        <f t="shared" si="136"/>
        <v>0</v>
      </c>
      <c r="J134" s="24">
        <f t="shared" si="201"/>
        <v>0</v>
      </c>
      <c r="K134" s="26">
        <f>VLOOKUP($C134,COS!$B$8:$H$991,2,FALSE)</f>
        <v>2381.828857421875</v>
      </c>
      <c r="L134" s="24">
        <f t="shared" si="129"/>
        <v>1</v>
      </c>
      <c r="M134" s="24">
        <f t="shared" si="130"/>
        <v>1</v>
      </c>
      <c r="N134" s="26">
        <f>VLOOKUP($C134,COS!$B$8:$H$991,5,FALSE)</f>
        <v>386.67288208007813</v>
      </c>
      <c r="O134" s="26">
        <f t="shared" si="204"/>
        <v>23.775588782444473</v>
      </c>
      <c r="P134" s="26">
        <f>VLOOKUP($C134,COS!$B$8:$H$991,6,FALSE)</f>
        <v>2632.5888671875</v>
      </c>
      <c r="Q134" s="26">
        <f t="shared" si="205"/>
        <v>161.87157993285126</v>
      </c>
      <c r="R134" s="26">
        <f>MIN(IF(MONTH($C134)=4,$S$3,IF(MONTH($C134)=5,$S$4,IF(MONTH($C134)=6,$S$5,IF(MONTH($C134)=7,$S$6,"ERROR")))),MAX(VLOOKUP($C134,COS!$B$8:$K$991,10,FALSE)-IF(MONTH($C134)=4,$Y$3,IF(MONTH($C134)=5,$Y$4,IF(MONTH($C134)=6,$Y$5,IF(MONTH($C134)=7,$Y$6,"ERROR")))),0),MAX(VLOOKUP($C134,COS!$B$8:$K$991,9,FALSE)-IF(MONTH($C134)=4,$V$3,IF(MONTH($C134)=5,$V$4,IF(MONTH($C134)=6,$V$5,IF(MONTH($C134)=7,$V$6,"ERROR"))))-VLOOKUP($C134,COS!$B$8:$K$991,6,FALSE)/2,0))</f>
        <v>1500</v>
      </c>
      <c r="S134" s="26">
        <f t="shared" si="206"/>
        <v>92.231404958677686</v>
      </c>
      <c r="T134" s="26">
        <f t="shared" si="207"/>
        <v>185.05498931632553</v>
      </c>
      <c r="U134" s="26" t="str">
        <f>IF(VLOOKUP($C134,COS!$B$8:$I$991,8,FALSE)=1,"UWFE","IBU")</f>
        <v>IBU</v>
      </c>
      <c r="V134" s="26">
        <f t="shared" ref="V134" si="211">MIN(IF(IF($AA$3=2,AND(E134=1,G134=1,L134=1,L136=1,M134=1,U134="IBU"),AND(E134=1,G134=1,L134=1,L136=1,M134=1)),T134,0),I134)</f>
        <v>0</v>
      </c>
      <c r="W134" s="26"/>
      <c r="X134" s="26"/>
      <c r="Y134" s="26"/>
      <c r="Z134" s="26"/>
      <c r="AA134" s="26"/>
      <c r="AB134" s="33"/>
    </row>
    <row r="135" spans="1:28" x14ac:dyDescent="0.3">
      <c r="A135" s="32">
        <f>VLOOKUP(YEAR(C135),Flags!$A$13:$B$95,2,FALSE)</f>
        <v>4</v>
      </c>
      <c r="B135" s="24">
        <f t="shared" si="116"/>
        <v>1935</v>
      </c>
      <c r="C135" s="25">
        <v>13027</v>
      </c>
      <c r="D135" s="26"/>
      <c r="E135" s="24"/>
      <c r="F135" s="26"/>
      <c r="G135" s="24"/>
      <c r="H135" s="24"/>
      <c r="I135" s="26"/>
      <c r="J135" s="24"/>
      <c r="K135" s="26"/>
      <c r="L135" s="24"/>
      <c r="M135" s="24"/>
      <c r="N135" s="26"/>
      <c r="O135" s="26"/>
      <c r="P135" s="26"/>
      <c r="Q135" s="26"/>
      <c r="R135" s="26"/>
      <c r="S135" s="26"/>
      <c r="T135" s="26"/>
      <c r="U135" s="26"/>
      <c r="V135" s="26"/>
      <c r="W135" s="26">
        <f>MAX($C$7-VLOOKUP($C135,COS!$B$8:$H$991,3,FALSE),0)</f>
        <v>91777.314453125</v>
      </c>
      <c r="X135" s="26">
        <f t="shared" si="143"/>
        <v>5643.1671035640502</v>
      </c>
      <c r="Y135" s="26">
        <f>VLOOKUP($C135,COS!$B$8:$H$991,4,FALSE)</f>
        <v>311.4095458984375</v>
      </c>
      <c r="Z135" s="26">
        <f t="shared" si="144"/>
        <v>19.147826623837808</v>
      </c>
      <c r="AA135" s="26">
        <f t="shared" ref="AA135:AA139" si="212">MIN(W135,Y135)</f>
        <v>311.4095458984375</v>
      </c>
      <c r="AB135" s="33">
        <f t="shared" ref="AB135" si="213">AA135*DAY($C135)*86400/43560/1000*IF(MONTH($C135)=8,$P$3,IF(MONTH($C135)=9,$P$4,IF(MONTH($C135)=10,$P$5,IF(MONTH($C135)=11,$P$6,IF(MONTH($C135)=12,$P$7,NA())))))</f>
        <v>19.147826623837808</v>
      </c>
    </row>
    <row r="136" spans="1:28" x14ac:dyDescent="0.3">
      <c r="A136" s="32">
        <f>VLOOKUP(YEAR(C136),Flags!$A$13:$B$95,2,FALSE)</f>
        <v>4</v>
      </c>
      <c r="B136" s="24">
        <f t="shared" si="116"/>
        <v>1935</v>
      </c>
      <c r="C136" s="25">
        <v>13057</v>
      </c>
      <c r="D136" s="26"/>
      <c r="E136" s="24"/>
      <c r="F136" s="26"/>
      <c r="G136" s="24"/>
      <c r="H136" s="24"/>
      <c r="I136" s="26"/>
      <c r="J136" s="24"/>
      <c r="K136" s="26">
        <f>VLOOKUP($C136,COS!$B$8:$H$991,2,FALSE)</f>
        <v>1958.6934814453125</v>
      </c>
      <c r="L136" s="24">
        <f t="shared" ref="L136" si="214">IF(AND(K136&gt;$I$7,K136&lt;$I$8),1,0)</f>
        <v>1</v>
      </c>
      <c r="M136" s="24"/>
      <c r="N136" s="26"/>
      <c r="O136" s="26"/>
      <c r="P136" s="26"/>
      <c r="Q136" s="26"/>
      <c r="R136" s="26"/>
      <c r="S136" s="26"/>
      <c r="T136" s="26"/>
      <c r="U136" s="26"/>
      <c r="V136" s="26"/>
      <c r="W136" s="26">
        <f>MAX($C$8-VLOOKUP($C136,COS!$B$8:$H$991,3,FALSE),0)</f>
        <v>95974.235595703125</v>
      </c>
      <c r="X136" s="26">
        <f t="shared" si="143"/>
        <v>5710.8636056947316</v>
      </c>
      <c r="Y136" s="26">
        <f>VLOOKUP($C136,COS!$B$8:$H$991,4,FALSE)</f>
        <v>386.73208618164063</v>
      </c>
      <c r="Z136" s="26">
        <f t="shared" si="144"/>
        <v>23.012157194279443</v>
      </c>
      <c r="AA136" s="26">
        <f t="shared" si="212"/>
        <v>386.73208618164063</v>
      </c>
      <c r="AB136" s="33">
        <f t="shared" si="141"/>
        <v>23.012157194279443</v>
      </c>
    </row>
    <row r="137" spans="1:28" x14ac:dyDescent="0.3">
      <c r="A137" s="32">
        <f>VLOOKUP(YEAR(C137),Flags!$A$13:$B$95,2,FALSE)</f>
        <v>4</v>
      </c>
      <c r="B137" s="24">
        <f t="shared" si="116"/>
        <v>1935</v>
      </c>
      <c r="C137" s="25">
        <v>13088</v>
      </c>
      <c r="D137" s="26"/>
      <c r="E137" s="24"/>
      <c r="F137" s="26"/>
      <c r="G137" s="26"/>
      <c r="H137" s="26"/>
      <c r="I137" s="26"/>
      <c r="J137" s="26"/>
      <c r="K137" s="26"/>
      <c r="L137" s="24"/>
      <c r="M137" s="24"/>
      <c r="N137" s="26"/>
      <c r="O137" s="26"/>
      <c r="P137" s="26"/>
      <c r="Q137" s="26"/>
      <c r="R137" s="26"/>
      <c r="S137" s="26"/>
      <c r="T137" s="26"/>
      <c r="U137" s="26"/>
      <c r="V137" s="26"/>
      <c r="W137" s="26">
        <f>MAX($C$9-VLOOKUP($C137,COS!$B$8:$H$991,3,FALSE),0)</f>
        <v>96108.80029296875</v>
      </c>
      <c r="X137" s="26">
        <f t="shared" si="143"/>
        <v>5909.4997866089871</v>
      </c>
      <c r="Y137" s="26">
        <f>VLOOKUP($C137,COS!$B$8:$H$991,4,FALSE)</f>
        <v>839.30419921875</v>
      </c>
      <c r="Z137" s="26">
        <f t="shared" si="144"/>
        <v>51.606803654442146</v>
      </c>
      <c r="AA137" s="26">
        <f t="shared" si="212"/>
        <v>839.30419921875</v>
      </c>
      <c r="AB137" s="33">
        <f t="shared" si="141"/>
        <v>51.606803654442146</v>
      </c>
    </row>
    <row r="138" spans="1:28" x14ac:dyDescent="0.3">
      <c r="A138" s="32">
        <f>VLOOKUP(YEAR(C138),Flags!$A$13:$B$95,2,FALSE)</f>
        <v>4</v>
      </c>
      <c r="B138" s="24">
        <f t="shared" si="116"/>
        <v>1935</v>
      </c>
      <c r="C138" s="25">
        <v>13118</v>
      </c>
      <c r="D138" s="26"/>
      <c r="E138" s="24"/>
      <c r="F138" s="26"/>
      <c r="G138" s="26"/>
      <c r="H138" s="26"/>
      <c r="I138" s="26"/>
      <c r="J138" s="26"/>
      <c r="K138" s="26"/>
      <c r="L138" s="24"/>
      <c r="M138" s="24"/>
      <c r="N138" s="26"/>
      <c r="O138" s="26"/>
      <c r="P138" s="26"/>
      <c r="Q138" s="26"/>
      <c r="R138" s="26"/>
      <c r="S138" s="26"/>
      <c r="T138" s="26"/>
      <c r="U138" s="26"/>
      <c r="V138" s="26"/>
      <c r="W138" s="26">
        <f>MAX($C$10-VLOOKUP($C138,COS!$B$8:$H$991,3,FALSE),0)</f>
        <v>96609.462646484375</v>
      </c>
      <c r="X138" s="26">
        <f t="shared" si="143"/>
        <v>5748.6622401213845</v>
      </c>
      <c r="Y138" s="26">
        <f>VLOOKUP($C138,COS!$B$8:$H$991,4,FALSE)</f>
        <v>442.06243896484375</v>
      </c>
      <c r="Z138" s="26">
        <f t="shared" si="144"/>
        <v>26.304541822701445</v>
      </c>
      <c r="AA138" s="26">
        <f t="shared" si="212"/>
        <v>442.06243896484375</v>
      </c>
      <c r="AB138" s="33">
        <f t="shared" si="141"/>
        <v>13.152270911350723</v>
      </c>
    </row>
    <row r="139" spans="1:28" x14ac:dyDescent="0.3">
      <c r="A139" s="34">
        <f>VLOOKUP(YEAR(C139),Flags!$A$13:$B$95,2,FALSE)</f>
        <v>4</v>
      </c>
      <c r="B139" s="35">
        <f t="shared" si="116"/>
        <v>1935</v>
      </c>
      <c r="C139" s="36">
        <v>13149</v>
      </c>
      <c r="D139" s="37"/>
      <c r="E139" s="35"/>
      <c r="F139" s="37"/>
      <c r="G139" s="37"/>
      <c r="H139" s="37"/>
      <c r="I139" s="37"/>
      <c r="J139" s="37"/>
      <c r="K139" s="37"/>
      <c r="L139" s="35"/>
      <c r="M139" s="35"/>
      <c r="N139" s="37"/>
      <c r="O139" s="37"/>
      <c r="P139" s="37"/>
      <c r="Q139" s="37"/>
      <c r="R139" s="37"/>
      <c r="S139" s="37"/>
      <c r="T139" s="37"/>
      <c r="U139" s="37"/>
      <c r="V139" s="37"/>
      <c r="W139" s="37">
        <f>MAX($C$11-VLOOKUP($C139,COS!$B$8:$H$991,3,FALSE),0)</f>
        <v>0</v>
      </c>
      <c r="X139" s="37">
        <f t="shared" si="143"/>
        <v>0</v>
      </c>
      <c r="Y139" s="37">
        <f>VLOOKUP($C139,COS!$B$8:$H$991,4,FALSE)</f>
        <v>18.913251876831055</v>
      </c>
      <c r="Z139" s="37">
        <f t="shared" si="144"/>
        <v>1.162930528624984</v>
      </c>
      <c r="AA139" s="37">
        <f t="shared" si="212"/>
        <v>0</v>
      </c>
      <c r="AB139" s="38">
        <f t="shared" si="141"/>
        <v>0</v>
      </c>
    </row>
    <row r="140" spans="1:28" x14ac:dyDescent="0.3">
      <c r="A140" s="27">
        <f>VLOOKUP(YEAR(C140),Flags!$A$13:$B$95,2,FALSE)</f>
        <v>3</v>
      </c>
      <c r="B140" s="28">
        <f t="shared" si="116"/>
        <v>1936</v>
      </c>
      <c r="C140" s="29">
        <v>13270</v>
      </c>
      <c r="D140" s="30">
        <f>VLOOKUP($C140,COS!$B$8:$H$991,3,FALSE)</f>
        <v>3250</v>
      </c>
      <c r="E140" s="28">
        <f>IF(D140&gt;=IF(MONTH($C140)=4,$C$3,IF(MONTH($C140)=5,$C$4,IF(MONTH($C140)=6,$C$5,IF(MONTH($C140)=7,$C$6,"ERROR")))),1,0)</f>
        <v>0</v>
      </c>
      <c r="F140" s="30">
        <f>VLOOKUP($C140,COS!$B$8:$H$991,7,FALSE)</f>
        <v>49.935798645019531</v>
      </c>
      <c r="G140" s="28">
        <f>IF(F140&lt;=IF(MONTH($C140)=4,$F$3,IF(MONTH($C140)=5,$F$4,IF(MONTH($C140)=6,$F$5,IF(MONTH($C140)=7,$F$6,"ERROR")))),1,0)</f>
        <v>1</v>
      </c>
      <c r="H140" s="30">
        <f>IF(J140=1,D140-$C$3,0)</f>
        <v>0</v>
      </c>
      <c r="I140" s="30">
        <f t="shared" si="136"/>
        <v>0</v>
      </c>
      <c r="J140" s="28">
        <f t="shared" ref="J140:J143" si="215">IF(AND(E140=1,G140=1),1,0)</f>
        <v>0</v>
      </c>
      <c r="K140" s="30">
        <f>VLOOKUP($C140,COS!$B$8:$H$991,2,FALSE)</f>
        <v>4126.388671875</v>
      </c>
      <c r="L140" s="28">
        <f t="shared" ref="L140" si="216">IF(K140&lt;=IF(MONTH($C140)=4,$I$3,IF(MONTH($C140)=5,$I$4,IF(MONTH($C140)=6,$I$5,IF(MONTH($C140)=7,$I$6,"ERROR")))),1,0)</f>
        <v>1</v>
      </c>
      <c r="M140" s="28">
        <f t="shared" ref="M140" si="217">VLOOKUP($A140,$L$3:$M$7,2,FALSE)</f>
        <v>0</v>
      </c>
      <c r="N140" s="30">
        <f>VLOOKUP($C140,COS!$B$8:$H$991,5,FALSE)</f>
        <v>205.43023681640625</v>
      </c>
      <c r="O140" s="30">
        <f t="shared" ref="O140:O143" si="218">N140*DAY($C140)*86400/43560/1000</f>
        <v>12.223947975852273</v>
      </c>
      <c r="P140" s="30">
        <f>VLOOKUP($C140,COS!$B$8:$H$991,6,FALSE)</f>
        <v>427.27923583984375</v>
      </c>
      <c r="Q140" s="30">
        <f t="shared" ref="Q140:Q143" si="219">P140*DAY($C140)*86400/43560/1000</f>
        <v>25.424880149147729</v>
      </c>
      <c r="R140" s="30">
        <f>MIN(IF(MONTH($C140)=4,$S$3,IF(MONTH($C140)=5,$S$4,IF(MONTH($C140)=6,$S$5,IF(MONTH($C140)=7,$S$6,"ERROR")))),MAX(VLOOKUP($C140,COS!$B$8:$K$991,10,FALSE)-IF(MONTH($C140)=4,$Y$3,IF(MONTH($C140)=5,$Y$4,IF(MONTH($C140)=6,$Y$5,IF(MONTH($C140)=7,$Y$6,"ERROR")))),0),MAX(VLOOKUP($C140,COS!$B$8:$K$991,9,FALSE)-IF(MONTH($C140)=4,$V$3,IF(MONTH($C140)=5,$V$4,IF(MONTH($C140)=6,$V$5,IF(MONTH($C140)=7,$V$6,"ERROR"))))-VLOOKUP($C140,COS!$B$8:$K$991,6,FALSE)/2,0))</f>
        <v>1500</v>
      </c>
      <c r="S140" s="30">
        <f t="shared" ref="S140:S143" si="220">R140*DAY($C140)*86400/43560/1000</f>
        <v>89.256198347107429</v>
      </c>
      <c r="T140" s="30">
        <f t="shared" ref="T140:T143" si="221">(O140+Q140)/2+S140</f>
        <v>108.08061240960743</v>
      </c>
      <c r="U140" s="30" t="str">
        <f>IF(VLOOKUP($C140,COS!$B$8:$I$991,8,FALSE)=1,"UWFE","IBU")</f>
        <v>UWFE</v>
      </c>
      <c r="V140" s="30">
        <f t="shared" ref="V140" si="222">MIN(IF(IF($AA$3=2,AND(E140=1,G140=1,L140=1,L145=1,M140=1,U140="IBU"),AND(E140=1,G140=1,L140=1,L145=1,M140=1)),T140,0),I140)</f>
        <v>0</v>
      </c>
      <c r="W140" s="30"/>
      <c r="X140" s="30"/>
      <c r="Y140" s="30"/>
      <c r="Z140" s="30"/>
      <c r="AA140" s="30"/>
      <c r="AB140" s="31"/>
    </row>
    <row r="141" spans="1:28" x14ac:dyDescent="0.3">
      <c r="A141" s="32">
        <f>VLOOKUP(YEAR(C141),Flags!$A$13:$B$95,2,FALSE)</f>
        <v>3</v>
      </c>
      <c r="B141" s="24">
        <f t="shared" si="116"/>
        <v>1936</v>
      </c>
      <c r="C141" s="25">
        <v>13301</v>
      </c>
      <c r="D141" s="26">
        <f>VLOOKUP($C141,COS!$B$8:$H$991,3,FALSE)</f>
        <v>5730.4501953125</v>
      </c>
      <c r="E141" s="24">
        <f>IF(D141&gt;=IF(MONTH($C141)=4,$C$3,IF(MONTH($C141)=5,$C$4,IF(MONTH($C141)=6,$C$5,IF(MONTH($C141)=7,$C$6,"ERROR")))),1,0)</f>
        <v>0</v>
      </c>
      <c r="F141" s="26">
        <f>VLOOKUP($C141,COS!$B$8:$H$991,7,FALSE)</f>
        <v>50.767982482910156</v>
      </c>
      <c r="G141" s="24">
        <f>IF(F141&lt;=IF(MONTH($C141)=4,$F$3,IF(MONTH($C141)=5,$F$4,IF(MONTH($C141)=6,$F$5,IF(MONTH($C141)=7,$F$6,"ERROR")))),1,0)</f>
        <v>1</v>
      </c>
      <c r="H141" s="26">
        <f>IF(J141=1,D141-$C$4,0)</f>
        <v>0</v>
      </c>
      <c r="I141" s="26">
        <f t="shared" si="136"/>
        <v>0</v>
      </c>
      <c r="J141" s="24">
        <f t="shared" si="215"/>
        <v>0</v>
      </c>
      <c r="K141" s="26">
        <f>VLOOKUP($C141,COS!$B$8:$H$991,2,FALSE)</f>
        <v>4065.37890625</v>
      </c>
      <c r="L141" s="24">
        <f t="shared" si="129"/>
        <v>1</v>
      </c>
      <c r="M141" s="24">
        <f t="shared" si="130"/>
        <v>0</v>
      </c>
      <c r="N141" s="26">
        <f>VLOOKUP($C141,COS!$B$8:$H$991,5,FALSE)</f>
        <v>284.62387084960938</v>
      </c>
      <c r="O141" s="26">
        <f t="shared" si="218"/>
        <v>17.500839662157798</v>
      </c>
      <c r="P141" s="26">
        <f>VLOOKUP($C141,COS!$B$8:$H$991,6,FALSE)</f>
        <v>2118.009033203125</v>
      </c>
      <c r="Q141" s="26">
        <f t="shared" si="219"/>
        <v>130.23129923166323</v>
      </c>
      <c r="R141" s="26">
        <f>MIN(IF(MONTH($C141)=4,$S$3,IF(MONTH($C141)=5,$S$4,IF(MONTH($C141)=6,$S$5,IF(MONTH($C141)=7,$S$6,"ERROR")))),MAX(VLOOKUP($C141,COS!$B$8:$K$991,10,FALSE)-IF(MONTH($C141)=4,$Y$3,IF(MONTH($C141)=5,$Y$4,IF(MONTH($C141)=6,$Y$5,IF(MONTH($C141)=7,$Y$6,"ERROR")))),0),MAX(VLOOKUP($C141,COS!$B$8:$K$991,9,FALSE)-IF(MONTH($C141)=4,$V$3,IF(MONTH($C141)=5,$V$4,IF(MONTH($C141)=6,$V$5,IF(MONTH($C141)=7,$V$6,"ERROR"))))-VLOOKUP($C141,COS!$B$8:$K$991,6,FALSE)/2,0))</f>
        <v>1500</v>
      </c>
      <c r="S141" s="26">
        <f t="shared" si="220"/>
        <v>92.231404958677686</v>
      </c>
      <c r="T141" s="26">
        <f t="shared" si="221"/>
        <v>166.0974744055882</v>
      </c>
      <c r="U141" s="26" t="str">
        <f>IF(VLOOKUP($C141,COS!$B$8:$I$991,8,FALSE)=1,"UWFE","IBU")</f>
        <v>UWFE</v>
      </c>
      <c r="V141" s="26">
        <f t="shared" ref="V141" si="223">MIN(IF(IF($AA$3=2,AND(E141=1,G141=1,L141=1,L145=1,M141=1,U141="IBU"),AND(E141=1,G141=1,L141=1,L145=1,M141=1)),T141,0),I141)</f>
        <v>0</v>
      </c>
      <c r="W141" s="26"/>
      <c r="X141" s="26"/>
      <c r="Y141" s="26"/>
      <c r="Z141" s="26"/>
      <c r="AA141" s="26"/>
      <c r="AB141" s="33"/>
    </row>
    <row r="142" spans="1:28" x14ac:dyDescent="0.3">
      <c r="A142" s="32">
        <f>VLOOKUP(YEAR(C142),Flags!$A$13:$B$95,2,FALSE)</f>
        <v>3</v>
      </c>
      <c r="B142" s="24">
        <f t="shared" si="116"/>
        <v>1936</v>
      </c>
      <c r="C142" s="25">
        <v>13331</v>
      </c>
      <c r="D142" s="26">
        <f>VLOOKUP($C142,COS!$B$8:$H$991,3,FALSE)</f>
        <v>7140.05078125</v>
      </c>
      <c r="E142" s="24">
        <f>IF(D142&gt;=IF(MONTH($C142)=4,$C$3,IF(MONTH($C142)=5,$C$4,IF(MONTH($C142)=6,$C$5,IF(MONTH($C142)=7,$C$6,"ERROR")))),1,0)</f>
        <v>0</v>
      </c>
      <c r="F142" s="26">
        <f>VLOOKUP($C142,COS!$B$8:$H$991,7,FALSE)</f>
        <v>50.706310272216797</v>
      </c>
      <c r="G142" s="24">
        <f>IF(F142&lt;=IF(MONTH($C142)=4,$F$3,IF(MONTH($C142)=5,$F$4,IF(MONTH($C142)=6,$F$5,IF(MONTH($C142)=7,$F$6,"ERROR")))),1,0)</f>
        <v>1</v>
      </c>
      <c r="H142" s="26">
        <f>IF(J142=1,D142-$C$5,0)</f>
        <v>0</v>
      </c>
      <c r="I142" s="26">
        <f t="shared" si="136"/>
        <v>0</v>
      </c>
      <c r="J142" s="24">
        <f t="shared" si="215"/>
        <v>0</v>
      </c>
      <c r="K142" s="26">
        <f>VLOOKUP($C142,COS!$B$8:$H$991,2,FALSE)</f>
        <v>3872.543701171875</v>
      </c>
      <c r="L142" s="24">
        <f t="shared" si="129"/>
        <v>1</v>
      </c>
      <c r="M142" s="24">
        <f t="shared" si="130"/>
        <v>0</v>
      </c>
      <c r="N142" s="26">
        <f>VLOOKUP($C142,COS!$B$8:$H$991,5,FALSE)</f>
        <v>523.20947265625</v>
      </c>
      <c r="O142" s="26">
        <f t="shared" si="218"/>
        <v>31.133125645661156</v>
      </c>
      <c r="P142" s="26">
        <f>VLOOKUP($C142,COS!$B$8:$H$991,6,FALSE)</f>
        <v>2337.24169921875</v>
      </c>
      <c r="Q142" s="26">
        <f t="shared" si="219"/>
        <v>139.07553912706612</v>
      </c>
      <c r="R142" s="26">
        <f>MIN(IF(MONTH($C142)=4,$S$3,IF(MONTH($C142)=5,$S$4,IF(MONTH($C142)=6,$S$5,IF(MONTH($C142)=7,$S$6,"ERROR")))),MAX(VLOOKUP($C142,COS!$B$8:$K$991,10,FALSE)-IF(MONTH($C142)=4,$Y$3,IF(MONTH($C142)=5,$Y$4,IF(MONTH($C142)=6,$Y$5,IF(MONTH($C142)=7,$Y$6,"ERROR")))),0),MAX(VLOOKUP($C142,COS!$B$8:$K$991,9,FALSE)-IF(MONTH($C142)=4,$V$3,IF(MONTH($C142)=5,$V$4,IF(MONTH($C142)=6,$V$5,IF(MONTH($C142)=7,$V$6,"ERROR"))))-VLOOKUP($C142,COS!$B$8:$K$991,6,FALSE)/2,0))</f>
        <v>1500</v>
      </c>
      <c r="S142" s="26">
        <f t="shared" si="220"/>
        <v>89.256198347107429</v>
      </c>
      <c r="T142" s="26">
        <f t="shared" si="221"/>
        <v>174.36053073347108</v>
      </c>
      <c r="U142" s="26" t="str">
        <f>IF(VLOOKUP($C142,COS!$B$8:$I$991,8,FALSE)=1,"UWFE","IBU")</f>
        <v>UWFE</v>
      </c>
      <c r="V142" s="26">
        <f t="shared" ref="V142" si="224">MIN(IF(IF($AA$3=2,AND(E142=1,G142=1,L142=1,L145=1,M142=1,U142="IBU"),AND(E142=1,G142=1,L142=1,L145=1,M142=1)),T142,0),I142)</f>
        <v>0</v>
      </c>
      <c r="W142" s="26"/>
      <c r="X142" s="26"/>
      <c r="Y142" s="26"/>
      <c r="Z142" s="26"/>
      <c r="AA142" s="26"/>
      <c r="AB142" s="33"/>
    </row>
    <row r="143" spans="1:28" x14ac:dyDescent="0.3">
      <c r="A143" s="32">
        <f>VLOOKUP(YEAR(C143),Flags!$A$13:$B$95,2,FALSE)</f>
        <v>3</v>
      </c>
      <c r="B143" s="24">
        <f t="shared" ref="B143:B206" si="225">YEAR(C143)</f>
        <v>1936</v>
      </c>
      <c r="C143" s="25">
        <v>13362</v>
      </c>
      <c r="D143" s="26">
        <f>VLOOKUP($C143,COS!$B$8:$H$991,3,FALSE)</f>
        <v>10100.955078125</v>
      </c>
      <c r="E143" s="24">
        <f>IF(D143&gt;=IF(MONTH($C143)=4,$C$3,IF(MONTH($C143)=5,$C$4,IF(MONTH($C143)=6,$C$5,IF(MONTH($C143)=7,$C$6,"ERROR")))),1,0)</f>
        <v>0</v>
      </c>
      <c r="F143" s="26">
        <f>VLOOKUP($C143,COS!$B$8:$H$991,7,FALSE)</f>
        <v>50.784397125244141</v>
      </c>
      <c r="G143" s="24">
        <f>IF(F143&lt;=IF(MONTH($C143)=4,$F$3,IF(MONTH($C143)=5,$F$4,IF(MONTH($C143)=6,$F$5,IF(MONTH($C143)=7,$F$6,"ERROR")))),1,0)</f>
        <v>1</v>
      </c>
      <c r="H143" s="26">
        <f>IF(J143=1,D143-$C$6,0)</f>
        <v>0</v>
      </c>
      <c r="I143" s="26">
        <f t="shared" si="136"/>
        <v>0</v>
      </c>
      <c r="J143" s="24">
        <f t="shared" si="215"/>
        <v>0</v>
      </c>
      <c r="K143" s="26">
        <f>VLOOKUP($C143,COS!$B$8:$H$991,2,FALSE)</f>
        <v>3405.32080078125</v>
      </c>
      <c r="L143" s="24">
        <f t="shared" si="129"/>
        <v>1</v>
      </c>
      <c r="M143" s="24">
        <f t="shared" si="130"/>
        <v>0</v>
      </c>
      <c r="N143" s="26">
        <f>VLOOKUP($C143,COS!$B$8:$H$991,5,FALSE)</f>
        <v>692.3970947265625</v>
      </c>
      <c r="O143" s="26">
        <f t="shared" si="218"/>
        <v>42.573837890625001</v>
      </c>
      <c r="P143" s="26">
        <f>VLOOKUP($C143,COS!$B$8:$H$991,6,FALSE)</f>
        <v>2537.385498046875</v>
      </c>
      <c r="Q143" s="26">
        <f t="shared" si="219"/>
        <v>156.01775293775825</v>
      </c>
      <c r="R143" s="26">
        <f>MIN(IF(MONTH($C143)=4,$S$3,IF(MONTH($C143)=5,$S$4,IF(MONTH($C143)=6,$S$5,IF(MONTH($C143)=7,$S$6,"ERROR")))),MAX(VLOOKUP($C143,COS!$B$8:$K$991,10,FALSE)-IF(MONTH($C143)=4,$Y$3,IF(MONTH($C143)=5,$Y$4,IF(MONTH($C143)=6,$Y$5,IF(MONTH($C143)=7,$Y$6,"ERROR")))),0),MAX(VLOOKUP($C143,COS!$B$8:$K$991,9,FALSE)-IF(MONTH($C143)=4,$V$3,IF(MONTH($C143)=5,$V$4,IF(MONTH($C143)=6,$V$5,IF(MONTH($C143)=7,$V$6,"ERROR"))))-VLOOKUP($C143,COS!$B$8:$K$991,6,FALSE)/2,0))</f>
        <v>1500</v>
      </c>
      <c r="S143" s="26">
        <f t="shared" si="220"/>
        <v>92.231404958677686</v>
      </c>
      <c r="T143" s="26">
        <f t="shared" si="221"/>
        <v>191.52720037286929</v>
      </c>
      <c r="U143" s="26" t="str">
        <f>IF(VLOOKUP($C143,COS!$B$8:$I$991,8,FALSE)=1,"UWFE","IBU")</f>
        <v>IBU</v>
      </c>
      <c r="V143" s="26">
        <f t="shared" ref="V143" si="226">MIN(IF(IF($AA$3=2,AND(E143=1,G143=1,L143=1,L145=1,M143=1,U143="IBU"),AND(E143=1,G143=1,L143=1,L145=1,M143=1)),T143,0),I143)</f>
        <v>0</v>
      </c>
      <c r="W143" s="26"/>
      <c r="X143" s="26"/>
      <c r="Y143" s="26"/>
      <c r="Z143" s="26"/>
      <c r="AA143" s="26"/>
      <c r="AB143" s="33"/>
    </row>
    <row r="144" spans="1:28" x14ac:dyDescent="0.3">
      <c r="A144" s="32">
        <f>VLOOKUP(YEAR(C144),Flags!$A$13:$B$95,2,FALSE)</f>
        <v>3</v>
      </c>
      <c r="B144" s="24">
        <f t="shared" si="225"/>
        <v>1936</v>
      </c>
      <c r="C144" s="25">
        <v>13393</v>
      </c>
      <c r="D144" s="26"/>
      <c r="E144" s="24"/>
      <c r="F144" s="26"/>
      <c r="G144" s="24"/>
      <c r="H144" s="24"/>
      <c r="I144" s="26"/>
      <c r="J144" s="24"/>
      <c r="K144" s="26"/>
      <c r="L144" s="24"/>
      <c r="M144" s="24"/>
      <c r="N144" s="26"/>
      <c r="O144" s="26"/>
      <c r="P144" s="26"/>
      <c r="Q144" s="26"/>
      <c r="R144" s="26"/>
      <c r="S144" s="26"/>
      <c r="T144" s="26"/>
      <c r="U144" s="26"/>
      <c r="V144" s="26"/>
      <c r="W144" s="26">
        <f>MAX($C$7-VLOOKUP($C144,COS!$B$8:$H$991,3,FALSE),0)</f>
        <v>90321.0078125</v>
      </c>
      <c r="X144" s="26">
        <f t="shared" si="143"/>
        <v>5553.6222985537188</v>
      </c>
      <c r="Y144" s="26">
        <f>VLOOKUP($C144,COS!$B$8:$H$991,4,FALSE)</f>
        <v>354.93222045898438</v>
      </c>
      <c r="Z144" s="26">
        <f t="shared" si="144"/>
        <v>21.823931572023504</v>
      </c>
      <c r="AA144" s="26">
        <f t="shared" ref="AA144:AA148" si="227">MIN(W144,Y144)</f>
        <v>354.93222045898438</v>
      </c>
      <c r="AB144" s="33">
        <f t="shared" ref="AB144" si="228">AA144*DAY($C144)*86400/43560/1000*IF(MONTH($C144)=8,$P$3,IF(MONTH($C144)=9,$P$4,IF(MONTH($C144)=10,$P$5,IF(MONTH($C144)=11,$P$6,IF(MONTH($C144)=12,$P$7,NA())))))</f>
        <v>21.823931572023504</v>
      </c>
    </row>
    <row r="145" spans="1:28" x14ac:dyDescent="0.3">
      <c r="A145" s="32">
        <f>VLOOKUP(YEAR(C145),Flags!$A$13:$B$95,2,FALSE)</f>
        <v>3</v>
      </c>
      <c r="B145" s="24">
        <f t="shared" si="225"/>
        <v>1936</v>
      </c>
      <c r="C145" s="25">
        <v>13423</v>
      </c>
      <c r="D145" s="26"/>
      <c r="E145" s="24"/>
      <c r="F145" s="26"/>
      <c r="G145" s="24"/>
      <c r="H145" s="24"/>
      <c r="I145" s="26"/>
      <c r="J145" s="24"/>
      <c r="K145" s="26">
        <f>VLOOKUP($C145,COS!$B$8:$H$991,2,FALSE)</f>
        <v>2909.572509765625</v>
      </c>
      <c r="L145" s="24">
        <f t="shared" ref="L145" si="229">IF(AND(K145&gt;$I$7,K145&lt;$I$8),1,0)</f>
        <v>1</v>
      </c>
      <c r="M145" s="24"/>
      <c r="N145" s="26"/>
      <c r="O145" s="26"/>
      <c r="P145" s="26"/>
      <c r="Q145" s="26"/>
      <c r="R145" s="26"/>
      <c r="S145" s="26"/>
      <c r="T145" s="26"/>
      <c r="U145" s="26"/>
      <c r="V145" s="26"/>
      <c r="W145" s="26">
        <f>MAX($C$8-VLOOKUP($C145,COS!$B$8:$H$991,3,FALSE),0)</f>
        <v>95795.64453125</v>
      </c>
      <c r="X145" s="26">
        <f t="shared" si="143"/>
        <v>5700.2366993801652</v>
      </c>
      <c r="Y145" s="26">
        <f>VLOOKUP($C145,COS!$B$8:$H$991,4,FALSE)</f>
        <v>0</v>
      </c>
      <c r="Z145" s="26">
        <f t="shared" si="144"/>
        <v>0</v>
      </c>
      <c r="AA145" s="26">
        <f t="shared" si="227"/>
        <v>0</v>
      </c>
      <c r="AB145" s="33">
        <f t="shared" si="141"/>
        <v>0</v>
      </c>
    </row>
    <row r="146" spans="1:28" x14ac:dyDescent="0.3">
      <c r="A146" s="32">
        <f>VLOOKUP(YEAR(C146),Flags!$A$13:$B$95,2,FALSE)</f>
        <v>3</v>
      </c>
      <c r="B146" s="24">
        <f t="shared" si="225"/>
        <v>1936</v>
      </c>
      <c r="C146" s="25">
        <v>13454</v>
      </c>
      <c r="D146" s="26"/>
      <c r="E146" s="24"/>
      <c r="F146" s="26"/>
      <c r="G146" s="26"/>
      <c r="H146" s="26"/>
      <c r="I146" s="26"/>
      <c r="J146" s="26"/>
      <c r="K146" s="26"/>
      <c r="L146" s="24"/>
      <c r="M146" s="24"/>
      <c r="N146" s="26"/>
      <c r="O146" s="26"/>
      <c r="P146" s="26"/>
      <c r="Q146" s="26"/>
      <c r="R146" s="26"/>
      <c r="S146" s="26"/>
      <c r="T146" s="26"/>
      <c r="U146" s="26"/>
      <c r="V146" s="26"/>
      <c r="W146" s="26">
        <f>MAX($C$9-VLOOKUP($C146,COS!$B$8:$H$991,3,FALSE),0)</f>
        <v>94201.28515625</v>
      </c>
      <c r="X146" s="26">
        <f t="shared" si="143"/>
        <v>5792.2112525826451</v>
      </c>
      <c r="Y146" s="26">
        <f>VLOOKUP($C146,COS!$B$8:$H$991,4,FALSE)</f>
        <v>840.8681640625</v>
      </c>
      <c r="Z146" s="26">
        <f t="shared" si="144"/>
        <v>51.702968104338844</v>
      </c>
      <c r="AA146" s="26">
        <f t="shared" si="227"/>
        <v>840.8681640625</v>
      </c>
      <c r="AB146" s="33">
        <f t="shared" si="141"/>
        <v>51.702968104338844</v>
      </c>
    </row>
    <row r="147" spans="1:28" x14ac:dyDescent="0.3">
      <c r="A147" s="32">
        <f>VLOOKUP(YEAR(C147),Flags!$A$13:$B$95,2,FALSE)</f>
        <v>3</v>
      </c>
      <c r="B147" s="24">
        <f t="shared" si="225"/>
        <v>1936</v>
      </c>
      <c r="C147" s="25">
        <v>13484</v>
      </c>
      <c r="D147" s="26"/>
      <c r="E147" s="24"/>
      <c r="F147" s="26"/>
      <c r="G147" s="26"/>
      <c r="H147" s="26"/>
      <c r="I147" s="26"/>
      <c r="J147" s="26"/>
      <c r="K147" s="26"/>
      <c r="L147" s="24"/>
      <c r="M147" s="24"/>
      <c r="N147" s="26"/>
      <c r="O147" s="26"/>
      <c r="P147" s="26"/>
      <c r="Q147" s="26"/>
      <c r="R147" s="26"/>
      <c r="S147" s="26"/>
      <c r="T147" s="26"/>
      <c r="U147" s="26"/>
      <c r="V147" s="26"/>
      <c r="W147" s="26">
        <f>MAX($C$10-VLOOKUP($C147,COS!$B$8:$H$991,3,FALSE),0)</f>
        <v>94597.1748046875</v>
      </c>
      <c r="X147" s="26">
        <f t="shared" si="143"/>
        <v>5628.9227982954544</v>
      </c>
      <c r="Y147" s="26">
        <f>VLOOKUP($C147,COS!$B$8:$H$991,4,FALSE)</f>
        <v>1128.2205810546875</v>
      </c>
      <c r="Z147" s="26">
        <f t="shared" si="144"/>
        <v>67.13378664127066</v>
      </c>
      <c r="AA147" s="26">
        <f t="shared" si="227"/>
        <v>1128.2205810546875</v>
      </c>
      <c r="AB147" s="33">
        <f t="shared" si="141"/>
        <v>33.56689332063533</v>
      </c>
    </row>
    <row r="148" spans="1:28" x14ac:dyDescent="0.3">
      <c r="A148" s="34">
        <f>VLOOKUP(YEAR(C148),Flags!$A$13:$B$95,2,FALSE)</f>
        <v>3</v>
      </c>
      <c r="B148" s="35">
        <f t="shared" si="225"/>
        <v>1936</v>
      </c>
      <c r="C148" s="36">
        <v>13515</v>
      </c>
      <c r="D148" s="37"/>
      <c r="E148" s="35"/>
      <c r="F148" s="37"/>
      <c r="G148" s="37"/>
      <c r="H148" s="37"/>
      <c r="I148" s="37"/>
      <c r="J148" s="37"/>
      <c r="K148" s="37"/>
      <c r="L148" s="35"/>
      <c r="M148" s="35"/>
      <c r="N148" s="37"/>
      <c r="O148" s="37"/>
      <c r="P148" s="37"/>
      <c r="Q148" s="37"/>
      <c r="R148" s="37"/>
      <c r="S148" s="37"/>
      <c r="T148" s="37"/>
      <c r="U148" s="37"/>
      <c r="V148" s="37"/>
      <c r="W148" s="37">
        <f>MAX($C$11-VLOOKUP($C148,COS!$B$8:$H$991,3,FALSE),0)</f>
        <v>0</v>
      </c>
      <c r="X148" s="37">
        <f t="shared" si="143"/>
        <v>0</v>
      </c>
      <c r="Y148" s="37">
        <f>VLOOKUP($C148,COS!$B$8:$H$991,4,FALSE)</f>
        <v>608.6763916015625</v>
      </c>
      <c r="Z148" s="37">
        <f t="shared" si="144"/>
        <v>37.426052508393596</v>
      </c>
      <c r="AA148" s="37">
        <f t="shared" si="227"/>
        <v>0</v>
      </c>
      <c r="AB148" s="38">
        <f t="shared" si="141"/>
        <v>0</v>
      </c>
    </row>
    <row r="149" spans="1:28" x14ac:dyDescent="0.3">
      <c r="A149" s="27">
        <f>VLOOKUP(YEAR(C149),Flags!$A$13:$B$95,2,FALSE)</f>
        <v>4</v>
      </c>
      <c r="B149" s="28">
        <f t="shared" si="225"/>
        <v>1937</v>
      </c>
      <c r="C149" s="29">
        <v>13635</v>
      </c>
      <c r="D149" s="30">
        <f>VLOOKUP($C149,COS!$B$8:$H$991,3,FALSE)</f>
        <v>3250</v>
      </c>
      <c r="E149" s="28">
        <f>IF(D149&gt;=IF(MONTH($C149)=4,$C$3,IF(MONTH($C149)=5,$C$4,IF(MONTH($C149)=6,$C$5,IF(MONTH($C149)=7,$C$6,"ERROR")))),1,0)</f>
        <v>0</v>
      </c>
      <c r="F149" s="30">
        <f>VLOOKUP($C149,COS!$B$8:$H$991,7,FALSE)</f>
        <v>51.161907196044922</v>
      </c>
      <c r="G149" s="28">
        <f>IF(F149&lt;=IF(MONTH($C149)=4,$F$3,IF(MONTH($C149)=5,$F$4,IF(MONTH($C149)=6,$F$5,IF(MONTH($C149)=7,$F$6,"ERROR")))),1,0)</f>
        <v>1</v>
      </c>
      <c r="H149" s="30">
        <f>IF(J149=1,D149-$C$3,0)</f>
        <v>0</v>
      </c>
      <c r="I149" s="30">
        <f t="shared" si="136"/>
        <v>0</v>
      </c>
      <c r="J149" s="28">
        <f t="shared" ref="J149:J152" si="230">IF(AND(E149=1,G149=1),1,0)</f>
        <v>0</v>
      </c>
      <c r="K149" s="30">
        <f>VLOOKUP($C149,COS!$B$8:$H$991,2,FALSE)</f>
        <v>4047.59912109375</v>
      </c>
      <c r="L149" s="28">
        <f t="shared" ref="L149:L206" si="231">IF(K149&lt;=IF(MONTH($C149)=4,$I$3,IF(MONTH($C149)=5,$I$4,IF(MONTH($C149)=6,$I$5,IF(MONTH($C149)=7,$I$6,"ERROR")))),1,0)</f>
        <v>1</v>
      </c>
      <c r="M149" s="28">
        <f t="shared" ref="M149:M206" si="232">VLOOKUP($A149,$L$3:$M$7,2,FALSE)</f>
        <v>1</v>
      </c>
      <c r="N149" s="30">
        <f>VLOOKUP($C149,COS!$B$8:$H$991,5,FALSE)</f>
        <v>21.622846603393555</v>
      </c>
      <c r="O149" s="30">
        <f t="shared" ref="O149:O152" si="233">N149*DAY($C149)*86400/43560/1000</f>
        <v>1.2866487235077158</v>
      </c>
      <c r="P149" s="30">
        <f>VLOOKUP($C149,COS!$B$8:$H$991,6,FALSE)</f>
        <v>433.80865478515625</v>
      </c>
      <c r="Q149" s="30">
        <f t="shared" ref="Q149:Q152" si="234">P149*DAY($C149)*86400/43560/1000</f>
        <v>25.813407557463844</v>
      </c>
      <c r="R149" s="30">
        <f>MIN(IF(MONTH($C149)=4,$S$3,IF(MONTH($C149)=5,$S$4,IF(MONTH($C149)=6,$S$5,IF(MONTH($C149)=7,$S$6,"ERROR")))),MAX(VLOOKUP($C149,COS!$B$8:$K$991,10,FALSE)-IF(MONTH($C149)=4,$Y$3,IF(MONTH($C149)=5,$Y$4,IF(MONTH($C149)=6,$Y$5,IF(MONTH($C149)=7,$Y$6,"ERROR")))),0),MAX(VLOOKUP($C149,COS!$B$8:$K$991,9,FALSE)-IF(MONTH($C149)=4,$V$3,IF(MONTH($C149)=5,$V$4,IF(MONTH($C149)=6,$V$5,IF(MONTH($C149)=7,$V$6,"ERROR"))))-VLOOKUP($C149,COS!$B$8:$K$991,6,FALSE)/2,0))</f>
        <v>1500</v>
      </c>
      <c r="S149" s="30">
        <f t="shared" ref="S149:S152" si="235">R149*DAY($C149)*86400/43560/1000</f>
        <v>89.256198347107429</v>
      </c>
      <c r="T149" s="30">
        <f t="shared" ref="T149:T152" si="236">(O149+Q149)/2+S149</f>
        <v>102.80622648759321</v>
      </c>
      <c r="U149" s="30" t="str">
        <f>IF(VLOOKUP($C149,COS!$B$8:$I$991,8,FALSE)=1,"UWFE","IBU")</f>
        <v>UWFE</v>
      </c>
      <c r="V149" s="30">
        <f t="shared" ref="V149" si="237">MIN(IF(IF($AA$3=2,AND(E149=1,G149=1,L149=1,L154=1,M149=1,U149="IBU"),AND(E149=1,G149=1,L149=1,L154=1,M149=1)),T149,0),I149)</f>
        <v>0</v>
      </c>
      <c r="W149" s="30"/>
      <c r="X149" s="30"/>
      <c r="Y149" s="30"/>
      <c r="Z149" s="30"/>
      <c r="AA149" s="30"/>
      <c r="AB149" s="31"/>
    </row>
    <row r="150" spans="1:28" x14ac:dyDescent="0.3">
      <c r="A150" s="32">
        <f>VLOOKUP(YEAR(C150),Flags!$A$13:$B$95,2,FALSE)</f>
        <v>4</v>
      </c>
      <c r="B150" s="24">
        <f t="shared" si="225"/>
        <v>1937</v>
      </c>
      <c r="C150" s="25">
        <v>13666</v>
      </c>
      <c r="D150" s="26">
        <f>VLOOKUP($C150,COS!$B$8:$H$991,3,FALSE)</f>
        <v>5043.80322265625</v>
      </c>
      <c r="E150" s="24">
        <f>IF(D150&gt;=IF(MONTH($C150)=4,$C$3,IF(MONTH($C150)=5,$C$4,IF(MONTH($C150)=6,$C$5,IF(MONTH($C150)=7,$C$6,"ERROR")))),1,0)</f>
        <v>0</v>
      </c>
      <c r="F150" s="26">
        <f>VLOOKUP($C150,COS!$B$8:$H$991,7,FALSE)</f>
        <v>52.362800598144531</v>
      </c>
      <c r="G150" s="24">
        <f>IF(F150&lt;=IF(MONTH($C150)=4,$F$3,IF(MONTH($C150)=5,$F$4,IF(MONTH($C150)=6,$F$5,IF(MONTH($C150)=7,$F$6,"ERROR")))),1,0)</f>
        <v>1</v>
      </c>
      <c r="H150" s="26">
        <f>IF(J150=1,D150-$C$4,0)</f>
        <v>0</v>
      </c>
      <c r="I150" s="26">
        <f t="shared" si="136"/>
        <v>0</v>
      </c>
      <c r="J150" s="24">
        <f t="shared" si="230"/>
        <v>0</v>
      </c>
      <c r="K150" s="26">
        <f>VLOOKUP($C150,COS!$B$8:$H$991,2,FALSE)</f>
        <v>4246.3125</v>
      </c>
      <c r="L150" s="24">
        <f t="shared" si="231"/>
        <v>1</v>
      </c>
      <c r="M150" s="24">
        <f t="shared" si="232"/>
        <v>1</v>
      </c>
      <c r="N150" s="26">
        <f>VLOOKUP($C150,COS!$B$8:$H$991,5,FALSE)</f>
        <v>298.0838623046875</v>
      </c>
      <c r="O150" s="26">
        <f t="shared" si="233"/>
        <v>18.328462277246903</v>
      </c>
      <c r="P150" s="26">
        <f>VLOOKUP($C150,COS!$B$8:$H$991,6,FALSE)</f>
        <v>2283.91845703125</v>
      </c>
      <c r="Q150" s="26">
        <f t="shared" si="234"/>
        <v>140.43267206869837</v>
      </c>
      <c r="R150" s="26">
        <f>MIN(IF(MONTH($C150)=4,$S$3,IF(MONTH($C150)=5,$S$4,IF(MONTH($C150)=6,$S$5,IF(MONTH($C150)=7,$S$6,"ERROR")))),MAX(VLOOKUP($C150,COS!$B$8:$K$991,10,FALSE)-IF(MONTH($C150)=4,$Y$3,IF(MONTH($C150)=5,$Y$4,IF(MONTH($C150)=6,$Y$5,IF(MONTH($C150)=7,$Y$6,"ERROR")))),0),MAX(VLOOKUP($C150,COS!$B$8:$K$991,9,FALSE)-IF(MONTH($C150)=4,$V$3,IF(MONTH($C150)=5,$V$4,IF(MONTH($C150)=6,$V$5,IF(MONTH($C150)=7,$V$6,"ERROR"))))-VLOOKUP($C150,COS!$B$8:$K$991,6,FALSE)/2,0))</f>
        <v>1500</v>
      </c>
      <c r="S150" s="26">
        <f t="shared" si="235"/>
        <v>92.231404958677686</v>
      </c>
      <c r="T150" s="26">
        <f t="shared" si="236"/>
        <v>171.6119721316503</v>
      </c>
      <c r="U150" s="26" t="str">
        <f>IF(VLOOKUP($C150,COS!$B$8:$I$991,8,FALSE)=1,"UWFE","IBU")</f>
        <v>UWFE</v>
      </c>
      <c r="V150" s="26">
        <f t="shared" ref="V150" si="238">MIN(IF(IF($AA$3=2,AND(E150=1,G150=1,L150=1,L154=1,M150=1,U150="IBU"),AND(E150=1,G150=1,L150=1,L154=1,M150=1)),T150,0),I150)</f>
        <v>0</v>
      </c>
      <c r="W150" s="26"/>
      <c r="X150" s="26"/>
      <c r="Y150" s="26"/>
      <c r="Z150" s="26"/>
      <c r="AA150" s="26"/>
      <c r="AB150" s="33"/>
    </row>
    <row r="151" spans="1:28" x14ac:dyDescent="0.3">
      <c r="A151" s="32">
        <f>VLOOKUP(YEAR(C151),Flags!$A$13:$B$95,2,FALSE)</f>
        <v>4</v>
      </c>
      <c r="B151" s="24">
        <f t="shared" si="225"/>
        <v>1937</v>
      </c>
      <c r="C151" s="25">
        <v>13696</v>
      </c>
      <c r="D151" s="26">
        <f>VLOOKUP($C151,COS!$B$8:$H$991,3,FALSE)</f>
        <v>7479.65771484375</v>
      </c>
      <c r="E151" s="24">
        <f>IF(D151&gt;=IF(MONTH($C151)=4,$C$3,IF(MONTH($C151)=5,$C$4,IF(MONTH($C151)=6,$C$5,IF(MONTH($C151)=7,$C$6,"ERROR")))),1,0)</f>
        <v>0</v>
      </c>
      <c r="F151" s="26">
        <f>VLOOKUP($C151,COS!$B$8:$H$991,7,FALSE)</f>
        <v>52.658245086669922</v>
      </c>
      <c r="G151" s="24">
        <f>IF(F151&lt;=IF(MONTH($C151)=4,$F$3,IF(MONTH($C151)=5,$F$4,IF(MONTH($C151)=6,$F$5,IF(MONTH($C151)=7,$F$6,"ERROR")))),1,0)</f>
        <v>1</v>
      </c>
      <c r="H151" s="26">
        <f>IF(J151=1,D151-$C$5,0)</f>
        <v>0</v>
      </c>
      <c r="I151" s="26">
        <f t="shared" ref="I151:I214" si="239">H151*DAY($C151)*86400/43560/1000</f>
        <v>0</v>
      </c>
      <c r="J151" s="24">
        <f t="shared" si="230"/>
        <v>0</v>
      </c>
      <c r="K151" s="26">
        <f>VLOOKUP($C151,COS!$B$8:$H$991,2,FALSE)</f>
        <v>4074.04931640625</v>
      </c>
      <c r="L151" s="24">
        <f t="shared" si="231"/>
        <v>1</v>
      </c>
      <c r="M151" s="24">
        <f t="shared" si="232"/>
        <v>1</v>
      </c>
      <c r="N151" s="26">
        <f>VLOOKUP($C151,COS!$B$8:$H$991,5,FALSE)</f>
        <v>523.22735595703125</v>
      </c>
      <c r="O151" s="26">
        <f t="shared" si="233"/>
        <v>31.13418977595558</v>
      </c>
      <c r="P151" s="26">
        <f>VLOOKUP($C151,COS!$B$8:$H$991,6,FALSE)</f>
        <v>2560.548095703125</v>
      </c>
      <c r="Q151" s="26">
        <f t="shared" si="234"/>
        <v>152.36319247159091</v>
      </c>
      <c r="R151" s="26">
        <f>MIN(IF(MONTH($C151)=4,$S$3,IF(MONTH($C151)=5,$S$4,IF(MONTH($C151)=6,$S$5,IF(MONTH($C151)=7,$S$6,"ERROR")))),MAX(VLOOKUP($C151,COS!$B$8:$K$991,10,FALSE)-IF(MONTH($C151)=4,$Y$3,IF(MONTH($C151)=5,$Y$4,IF(MONTH($C151)=6,$Y$5,IF(MONTH($C151)=7,$Y$6,"ERROR")))),0),MAX(VLOOKUP($C151,COS!$B$8:$K$991,9,FALSE)-IF(MONTH($C151)=4,$V$3,IF(MONTH($C151)=5,$V$4,IF(MONTH($C151)=6,$V$5,IF(MONTH($C151)=7,$V$6,"ERROR"))))-VLOOKUP($C151,COS!$B$8:$K$991,6,FALSE)/2,0))</f>
        <v>1500</v>
      </c>
      <c r="S151" s="26">
        <f t="shared" si="235"/>
        <v>89.256198347107429</v>
      </c>
      <c r="T151" s="26">
        <f t="shared" si="236"/>
        <v>181.00488947088067</v>
      </c>
      <c r="U151" s="26" t="str">
        <f>IF(VLOOKUP($C151,COS!$B$8:$I$991,8,FALSE)=1,"UWFE","IBU")</f>
        <v>IBU</v>
      </c>
      <c r="V151" s="26">
        <f t="shared" ref="V151" si="240">MIN(IF(IF($AA$3=2,AND(E151=1,G151=1,L151=1,L154=1,M151=1,U151="IBU"),AND(E151=1,G151=1,L151=1,L154=1,M151=1)),T151,0),I151)</f>
        <v>0</v>
      </c>
      <c r="W151" s="26"/>
      <c r="X151" s="26"/>
      <c r="Y151" s="26"/>
      <c r="Z151" s="26"/>
      <c r="AA151" s="26"/>
      <c r="AB151" s="33"/>
    </row>
    <row r="152" spans="1:28" x14ac:dyDescent="0.3">
      <c r="A152" s="32">
        <f>VLOOKUP(YEAR(C152),Flags!$A$13:$B$95,2,FALSE)</f>
        <v>4</v>
      </c>
      <c r="B152" s="24">
        <f t="shared" si="225"/>
        <v>1937</v>
      </c>
      <c r="C152" s="25">
        <v>13727</v>
      </c>
      <c r="D152" s="26">
        <f>VLOOKUP($C152,COS!$B$8:$H$991,3,FALSE)</f>
        <v>10615.4677734375</v>
      </c>
      <c r="E152" s="24">
        <f>IF(D152&gt;=IF(MONTH($C152)=4,$C$3,IF(MONTH($C152)=5,$C$4,IF(MONTH($C152)=6,$C$5,IF(MONTH($C152)=7,$C$6,"ERROR")))),1,0)</f>
        <v>0</v>
      </c>
      <c r="F152" s="26">
        <f>VLOOKUP($C152,COS!$B$8:$H$991,7,FALSE)</f>
        <v>52.404350280761719</v>
      </c>
      <c r="G152" s="24">
        <f>IF(F152&lt;=IF(MONTH($C152)=4,$F$3,IF(MONTH($C152)=5,$F$4,IF(MONTH($C152)=6,$F$5,IF(MONTH($C152)=7,$F$6,"ERROR")))),1,0)</f>
        <v>1</v>
      </c>
      <c r="H152" s="26">
        <f>IF(J152=1,D152-$C$6,0)</f>
        <v>0</v>
      </c>
      <c r="I152" s="26">
        <f t="shared" si="239"/>
        <v>0</v>
      </c>
      <c r="J152" s="24">
        <f t="shared" si="230"/>
        <v>0</v>
      </c>
      <c r="K152" s="26">
        <f>VLOOKUP($C152,COS!$B$8:$H$991,2,FALSE)</f>
        <v>3583.887451171875</v>
      </c>
      <c r="L152" s="24">
        <f t="shared" si="231"/>
        <v>1</v>
      </c>
      <c r="M152" s="24">
        <f t="shared" si="232"/>
        <v>1</v>
      </c>
      <c r="N152" s="26">
        <f>VLOOKUP($C152,COS!$B$8:$H$991,5,FALSE)</f>
        <v>624.25457763671875</v>
      </c>
      <c r="O152" s="26">
        <f t="shared" si="233"/>
        <v>38.383917831547002</v>
      </c>
      <c r="P152" s="26">
        <f>VLOOKUP($C152,COS!$B$8:$H$991,6,FALSE)</f>
        <v>2537.385498046875</v>
      </c>
      <c r="Q152" s="26">
        <f t="shared" si="234"/>
        <v>156.01775293775825</v>
      </c>
      <c r="R152" s="26">
        <f>MIN(IF(MONTH($C152)=4,$S$3,IF(MONTH($C152)=5,$S$4,IF(MONTH($C152)=6,$S$5,IF(MONTH($C152)=7,$S$6,"ERROR")))),MAX(VLOOKUP($C152,COS!$B$8:$K$991,10,FALSE)-IF(MONTH($C152)=4,$Y$3,IF(MONTH($C152)=5,$Y$4,IF(MONTH($C152)=6,$Y$5,IF(MONTH($C152)=7,$Y$6,"ERROR")))),0),MAX(VLOOKUP($C152,COS!$B$8:$K$991,9,FALSE)-IF(MONTH($C152)=4,$V$3,IF(MONTH($C152)=5,$V$4,IF(MONTH($C152)=6,$V$5,IF(MONTH($C152)=7,$V$6,"ERROR"))))-VLOOKUP($C152,COS!$B$8:$K$991,6,FALSE)/2,0))</f>
        <v>1500</v>
      </c>
      <c r="S152" s="26">
        <f t="shared" si="235"/>
        <v>92.231404958677686</v>
      </c>
      <c r="T152" s="26">
        <f t="shared" si="236"/>
        <v>189.43224034333031</v>
      </c>
      <c r="U152" s="26" t="str">
        <f>IF(VLOOKUP($C152,COS!$B$8:$I$991,8,FALSE)=1,"UWFE","IBU")</f>
        <v>IBU</v>
      </c>
      <c r="V152" s="26">
        <f t="shared" ref="V152" si="241">MIN(IF(IF($AA$3=2,AND(E152=1,G152=1,L152=1,L154=1,M152=1,U152="IBU"),AND(E152=1,G152=1,L152=1,L154=1,M152=1)),T152,0),I152)</f>
        <v>0</v>
      </c>
      <c r="W152" s="26"/>
      <c r="X152" s="26"/>
      <c r="Y152" s="26"/>
      <c r="Z152" s="26"/>
      <c r="AA152" s="26"/>
      <c r="AB152" s="33"/>
    </row>
    <row r="153" spans="1:28" x14ac:dyDescent="0.3">
      <c r="A153" s="32">
        <f>VLOOKUP(YEAR(C153),Flags!$A$13:$B$95,2,FALSE)</f>
        <v>4</v>
      </c>
      <c r="B153" s="24">
        <f t="shared" si="225"/>
        <v>1937</v>
      </c>
      <c r="C153" s="25">
        <v>13758</v>
      </c>
      <c r="D153" s="26"/>
      <c r="E153" s="24"/>
      <c r="F153" s="26"/>
      <c r="G153" s="24"/>
      <c r="H153" s="24"/>
      <c r="I153" s="26"/>
      <c r="J153" s="24"/>
      <c r="K153" s="26"/>
      <c r="L153" s="24"/>
      <c r="M153" s="24"/>
      <c r="N153" s="26"/>
      <c r="O153" s="26"/>
      <c r="P153" s="26"/>
      <c r="Q153" s="26"/>
      <c r="R153" s="26"/>
      <c r="S153" s="26"/>
      <c r="T153" s="26"/>
      <c r="U153" s="26"/>
      <c r="V153" s="26"/>
      <c r="W153" s="26">
        <f>MAX($C$7-VLOOKUP($C153,COS!$B$8:$H$991,3,FALSE),0)</f>
        <v>90408.666015625</v>
      </c>
      <c r="X153" s="26">
        <f t="shared" si="143"/>
        <v>5559.0121913739667</v>
      </c>
      <c r="Y153" s="26">
        <f>VLOOKUP($C153,COS!$B$8:$H$991,4,FALSE)</f>
        <v>565.9937744140625</v>
      </c>
      <c r="Z153" s="26">
        <f t="shared" si="144"/>
        <v>34.801600674715914</v>
      </c>
      <c r="AA153" s="26">
        <f t="shared" ref="AA153:AA157" si="242">MIN(W153,Y153)</f>
        <v>565.9937744140625</v>
      </c>
      <c r="AB153" s="33">
        <f t="shared" ref="AB153:AB211" si="243">AA153*DAY($C153)*86400/43560/1000*IF(MONTH($C153)=8,$P$3,IF(MONTH($C153)=9,$P$4,IF(MONTH($C153)=10,$P$5,IF(MONTH($C153)=11,$P$6,IF(MONTH($C153)=12,$P$7,NA())))))</f>
        <v>34.801600674715914</v>
      </c>
    </row>
    <row r="154" spans="1:28" x14ac:dyDescent="0.3">
      <c r="A154" s="32">
        <f>VLOOKUP(YEAR(C154),Flags!$A$13:$B$95,2,FALSE)</f>
        <v>4</v>
      </c>
      <c r="B154" s="24">
        <f t="shared" si="225"/>
        <v>1937</v>
      </c>
      <c r="C154" s="25">
        <v>13788</v>
      </c>
      <c r="D154" s="26"/>
      <c r="E154" s="24"/>
      <c r="F154" s="26"/>
      <c r="G154" s="24"/>
      <c r="H154" s="24"/>
      <c r="I154" s="26"/>
      <c r="J154" s="24"/>
      <c r="K154" s="26">
        <f>VLOOKUP($C154,COS!$B$8:$H$991,2,FALSE)</f>
        <v>3016.538330078125</v>
      </c>
      <c r="L154" s="24">
        <f t="shared" ref="L154" si="244">IF(AND(K154&gt;$I$7,K154&lt;$I$8),1,0)</f>
        <v>1</v>
      </c>
      <c r="M154" s="24"/>
      <c r="N154" s="26"/>
      <c r="O154" s="26"/>
      <c r="P154" s="26"/>
      <c r="Q154" s="26"/>
      <c r="R154" s="26"/>
      <c r="S154" s="26"/>
      <c r="T154" s="26"/>
      <c r="U154" s="26"/>
      <c r="V154" s="26"/>
      <c r="W154" s="26">
        <f>MAX($C$8-VLOOKUP($C154,COS!$B$8:$H$991,3,FALSE),0)</f>
        <v>94463.15234375</v>
      </c>
      <c r="X154" s="26">
        <f t="shared" si="143"/>
        <v>5620.9479080578512</v>
      </c>
      <c r="Y154" s="26">
        <f>VLOOKUP($C154,COS!$B$8:$H$991,4,FALSE)</f>
        <v>479.2886962890625</v>
      </c>
      <c r="Z154" s="26">
        <f t="shared" si="144"/>
        <v>28.519657961002068</v>
      </c>
      <c r="AA154" s="26">
        <f t="shared" si="242"/>
        <v>479.2886962890625</v>
      </c>
      <c r="AB154" s="33">
        <f t="shared" si="243"/>
        <v>28.519657961002068</v>
      </c>
    </row>
    <row r="155" spans="1:28" x14ac:dyDescent="0.3">
      <c r="A155" s="32">
        <f>VLOOKUP(YEAR(C155),Flags!$A$13:$B$95,2,FALSE)</f>
        <v>4</v>
      </c>
      <c r="B155" s="24">
        <f t="shared" si="225"/>
        <v>1937</v>
      </c>
      <c r="C155" s="25">
        <v>13819</v>
      </c>
      <c r="D155" s="26"/>
      <c r="E155" s="24"/>
      <c r="F155" s="26"/>
      <c r="G155" s="26"/>
      <c r="H155" s="26"/>
      <c r="I155" s="26"/>
      <c r="J155" s="26"/>
      <c r="K155" s="26"/>
      <c r="L155" s="24"/>
      <c r="M155" s="24"/>
      <c r="N155" s="26"/>
      <c r="O155" s="26"/>
      <c r="P155" s="26"/>
      <c r="Q155" s="26"/>
      <c r="R155" s="26"/>
      <c r="S155" s="26"/>
      <c r="T155" s="26"/>
      <c r="U155" s="26"/>
      <c r="V155" s="26"/>
      <c r="W155" s="26">
        <f>MAX($C$9-VLOOKUP($C155,COS!$B$8:$H$991,3,FALSE),0)</f>
        <v>95507.43994140625</v>
      </c>
      <c r="X155" s="26">
        <f t="shared" ref="X155:X218" si="245">W155*DAY($C155)*86400/43560/1000</f>
        <v>5872.5235798682852</v>
      </c>
      <c r="Y155" s="26">
        <f>VLOOKUP($C155,COS!$B$8:$H$991,4,FALSE)</f>
        <v>673.72100830078125</v>
      </c>
      <c r="Z155" s="26">
        <f t="shared" ref="Z155:Z218" si="246">Y155*DAY($C155)*86400/43560/1000</f>
        <v>41.425490097172002</v>
      </c>
      <c r="AA155" s="26">
        <f t="shared" si="242"/>
        <v>673.72100830078125</v>
      </c>
      <c r="AB155" s="33">
        <f t="shared" si="243"/>
        <v>41.425490097172002</v>
      </c>
    </row>
    <row r="156" spans="1:28" x14ac:dyDescent="0.3">
      <c r="A156" s="32">
        <f>VLOOKUP(YEAR(C156),Flags!$A$13:$B$95,2,FALSE)</f>
        <v>4</v>
      </c>
      <c r="B156" s="24">
        <f t="shared" si="225"/>
        <v>1937</v>
      </c>
      <c r="C156" s="25">
        <v>13849</v>
      </c>
      <c r="D156" s="26"/>
      <c r="E156" s="24"/>
      <c r="F156" s="26"/>
      <c r="G156" s="26"/>
      <c r="H156" s="26"/>
      <c r="I156" s="26"/>
      <c r="J156" s="26"/>
      <c r="K156" s="26"/>
      <c r="L156" s="24"/>
      <c r="M156" s="24"/>
      <c r="N156" s="26"/>
      <c r="O156" s="26"/>
      <c r="P156" s="26"/>
      <c r="Q156" s="26"/>
      <c r="R156" s="26"/>
      <c r="S156" s="26"/>
      <c r="T156" s="26"/>
      <c r="U156" s="26"/>
      <c r="V156" s="26"/>
      <c r="W156" s="26">
        <f>MAX($C$10-VLOOKUP($C156,COS!$B$8:$H$991,3,FALSE),0)</f>
        <v>91785.7744140625</v>
      </c>
      <c r="X156" s="26">
        <f t="shared" si="245"/>
        <v>5461.6328576962806</v>
      </c>
      <c r="Y156" s="26">
        <f>VLOOKUP($C156,COS!$B$8:$H$991,4,FALSE)</f>
        <v>0</v>
      </c>
      <c r="Z156" s="26">
        <f t="shared" si="246"/>
        <v>0</v>
      </c>
      <c r="AA156" s="26">
        <f t="shared" si="242"/>
        <v>0</v>
      </c>
      <c r="AB156" s="33">
        <f t="shared" si="243"/>
        <v>0</v>
      </c>
    </row>
    <row r="157" spans="1:28" x14ac:dyDescent="0.3">
      <c r="A157" s="34">
        <f>VLOOKUP(YEAR(C157),Flags!$A$13:$B$95,2,FALSE)</f>
        <v>4</v>
      </c>
      <c r="B157" s="35">
        <f t="shared" si="225"/>
        <v>1937</v>
      </c>
      <c r="C157" s="36">
        <v>13880</v>
      </c>
      <c r="D157" s="37"/>
      <c r="E157" s="35"/>
      <c r="F157" s="37"/>
      <c r="G157" s="37"/>
      <c r="H157" s="37"/>
      <c r="I157" s="37"/>
      <c r="J157" s="37"/>
      <c r="K157" s="37"/>
      <c r="L157" s="35"/>
      <c r="M157" s="35"/>
      <c r="N157" s="37"/>
      <c r="O157" s="37"/>
      <c r="P157" s="37"/>
      <c r="Q157" s="37"/>
      <c r="R157" s="37"/>
      <c r="S157" s="37"/>
      <c r="T157" s="37"/>
      <c r="U157" s="37"/>
      <c r="V157" s="37"/>
      <c r="W157" s="37">
        <f>MAX($C$11-VLOOKUP($C157,COS!$B$8:$H$991,3,FALSE),0)</f>
        <v>0</v>
      </c>
      <c r="X157" s="37">
        <f t="shared" si="245"/>
        <v>0</v>
      </c>
      <c r="Y157" s="37">
        <f>VLOOKUP($C157,COS!$B$8:$H$991,4,FALSE)</f>
        <v>0</v>
      </c>
      <c r="Z157" s="37">
        <f t="shared" si="246"/>
        <v>0</v>
      </c>
      <c r="AA157" s="37">
        <f t="shared" si="242"/>
        <v>0</v>
      </c>
      <c r="AB157" s="38">
        <f t="shared" si="243"/>
        <v>0</v>
      </c>
    </row>
    <row r="158" spans="1:28" x14ac:dyDescent="0.3">
      <c r="A158" s="27">
        <f>VLOOKUP(YEAR(C158),Flags!$A$13:$B$95,2,FALSE)</f>
        <v>1</v>
      </c>
      <c r="B158" s="28">
        <f t="shared" si="225"/>
        <v>1938</v>
      </c>
      <c r="C158" s="29">
        <v>14000</v>
      </c>
      <c r="D158" s="30">
        <f>VLOOKUP($C158,COS!$B$8:$H$991,3,FALSE)</f>
        <v>11215.0048828125</v>
      </c>
      <c r="E158" s="28">
        <f>IF(D158&gt;=IF(MONTH($C158)=4,$C$3,IF(MONTH($C158)=5,$C$4,IF(MONTH($C158)=6,$C$5,IF(MONTH($C158)=7,$C$6,"ERROR")))),1,0)</f>
        <v>1</v>
      </c>
      <c r="F158" s="30">
        <f>VLOOKUP($C158,COS!$B$8:$H$991,7,FALSE)</f>
        <v>47.354358673095703</v>
      </c>
      <c r="G158" s="28">
        <f>IF(F158&lt;=IF(MONTH($C158)=4,$F$3,IF(MONTH($C158)=5,$F$4,IF(MONTH($C158)=6,$F$5,IF(MONTH($C158)=7,$F$6,"ERROR")))),1,0)</f>
        <v>1</v>
      </c>
      <c r="H158" s="30">
        <f>IF(J158=1,D158-$C$3,0)</f>
        <v>5215.0048828125</v>
      </c>
      <c r="I158" s="30">
        <f t="shared" si="239"/>
        <v>310.31434013429748</v>
      </c>
      <c r="J158" s="28">
        <f t="shared" ref="J158:J161" si="247">IF(AND(E158=1,G158=1),1,0)</f>
        <v>1</v>
      </c>
      <c r="K158" s="30">
        <f>VLOOKUP($C158,COS!$B$8:$H$991,2,FALSE)</f>
        <v>4058</v>
      </c>
      <c r="L158" s="28">
        <f t="shared" ref="L158" si="248">IF(K158&lt;=IF(MONTH($C158)=4,$I$3,IF(MONTH($C158)=5,$I$4,IF(MONTH($C158)=6,$I$5,IF(MONTH($C158)=7,$I$6,"ERROR")))),1,0)</f>
        <v>1</v>
      </c>
      <c r="M158" s="28">
        <f t="shared" ref="M158" si="249">VLOOKUP($A158,$L$3:$M$7,2,FALSE)</f>
        <v>0</v>
      </c>
      <c r="N158" s="30">
        <f>VLOOKUP($C158,COS!$B$8:$H$991,5,FALSE)</f>
        <v>40.17889404296875</v>
      </c>
      <c r="O158" s="30">
        <f t="shared" ref="O158:O161" si="250">N158*DAY($C158)*86400/43560/1000</f>
        <v>2.3908102240444213</v>
      </c>
      <c r="P158" s="30">
        <f>VLOOKUP($C158,COS!$B$8:$H$991,6,FALSE)</f>
        <v>377.05276489257813</v>
      </c>
      <c r="Q158" s="30">
        <f t="shared" ref="Q158:Q161" si="251">P158*DAY($C158)*86400/43560/1000</f>
        <v>22.436197580384814</v>
      </c>
      <c r="R158" s="30">
        <f>MIN(IF(MONTH($C158)=4,$S$3,IF(MONTH($C158)=5,$S$4,IF(MONTH($C158)=6,$S$5,IF(MONTH($C158)=7,$S$6,"ERROR")))),MAX(VLOOKUP($C158,COS!$B$8:$K$991,10,FALSE)-IF(MONTH($C158)=4,$Y$3,IF(MONTH($C158)=5,$Y$4,IF(MONTH($C158)=6,$Y$5,IF(MONTH($C158)=7,$Y$6,"ERROR")))),0),MAX(VLOOKUP($C158,COS!$B$8:$K$991,9,FALSE)-IF(MONTH($C158)=4,$V$3,IF(MONTH($C158)=5,$V$4,IF(MONTH($C158)=6,$V$5,IF(MONTH($C158)=7,$V$6,"ERROR"))))-VLOOKUP($C158,COS!$B$8:$K$991,6,FALSE)/2,0))</f>
        <v>1500</v>
      </c>
      <c r="S158" s="30">
        <f t="shared" ref="S158:S161" si="252">R158*DAY($C158)*86400/43560/1000</f>
        <v>89.256198347107429</v>
      </c>
      <c r="T158" s="30">
        <f t="shared" ref="T158:T161" si="253">(O158+Q158)/2+S158</f>
        <v>101.66970224932204</v>
      </c>
      <c r="U158" s="30" t="str">
        <f>IF(VLOOKUP($C158,COS!$B$8:$I$991,8,FALSE)=1,"UWFE","IBU")</f>
        <v>UWFE</v>
      </c>
      <c r="V158" s="30">
        <f t="shared" ref="V158" si="254">MIN(IF(IF($AA$3=2,AND(E158=1,G158=1,L158=1,L163=1,M158=1,U158="IBU"),AND(E158=1,G158=1,L158=1,L163=1,M158=1)),T158,0),I158)</f>
        <v>0</v>
      </c>
      <c r="W158" s="30"/>
      <c r="X158" s="30"/>
      <c r="Y158" s="30"/>
      <c r="Z158" s="30"/>
      <c r="AA158" s="30"/>
      <c r="AB158" s="31"/>
    </row>
    <row r="159" spans="1:28" x14ac:dyDescent="0.3">
      <c r="A159" s="32">
        <f>VLOOKUP(YEAR(C159),Flags!$A$13:$B$95,2,FALSE)</f>
        <v>1</v>
      </c>
      <c r="B159" s="24">
        <f t="shared" si="225"/>
        <v>1938</v>
      </c>
      <c r="C159" s="25">
        <v>14031</v>
      </c>
      <c r="D159" s="26">
        <f>VLOOKUP($C159,COS!$B$8:$H$991,3,FALSE)</f>
        <v>8562.095703125</v>
      </c>
      <c r="E159" s="24">
        <f>IF(D159&gt;=IF(MONTH($C159)=4,$C$3,IF(MONTH($C159)=5,$C$4,IF(MONTH($C159)=6,$C$5,IF(MONTH($C159)=7,$C$6,"ERROR")))),1,0)</f>
        <v>1</v>
      </c>
      <c r="F159" s="26">
        <f>VLOOKUP($C159,COS!$B$8:$H$991,7,FALSE)</f>
        <v>50.241443634033203</v>
      </c>
      <c r="G159" s="24">
        <f>IF(F159&lt;=IF(MONTH($C159)=4,$F$3,IF(MONTH($C159)=5,$F$4,IF(MONTH($C159)=6,$F$5,IF(MONTH($C159)=7,$F$6,"ERROR")))),1,0)</f>
        <v>1</v>
      </c>
      <c r="H159" s="26">
        <f>IF(J159=1,D159-$C$4,0)</f>
        <v>2562.095703125</v>
      </c>
      <c r="I159" s="26">
        <f t="shared" si="239"/>
        <v>157.53712422520661</v>
      </c>
      <c r="J159" s="24">
        <f t="shared" si="247"/>
        <v>1</v>
      </c>
      <c r="K159" s="26">
        <f>VLOOKUP($C159,COS!$B$8:$H$991,2,FALSE)</f>
        <v>4488.45849609375</v>
      </c>
      <c r="L159" s="24">
        <f t="shared" si="231"/>
        <v>1</v>
      </c>
      <c r="M159" s="24">
        <f t="shared" si="232"/>
        <v>0</v>
      </c>
      <c r="N159" s="26">
        <f>VLOOKUP($C159,COS!$B$8:$H$991,5,FALSE)</f>
        <v>664.77288818359375</v>
      </c>
      <c r="O159" s="26">
        <f t="shared" si="250"/>
        <v>40.875291637073857</v>
      </c>
      <c r="P159" s="26">
        <f>VLOOKUP($C159,COS!$B$8:$H$991,6,FALSE)</f>
        <v>2143.932373046875</v>
      </c>
      <c r="Q159" s="26">
        <f t="shared" si="251"/>
        <v>131.82526326833678</v>
      </c>
      <c r="R159" s="26">
        <f>MIN(IF(MONTH($C159)=4,$S$3,IF(MONTH($C159)=5,$S$4,IF(MONTH($C159)=6,$S$5,IF(MONTH($C159)=7,$S$6,"ERROR")))),MAX(VLOOKUP($C159,COS!$B$8:$K$991,10,FALSE)-IF(MONTH($C159)=4,$Y$3,IF(MONTH($C159)=5,$Y$4,IF(MONTH($C159)=6,$Y$5,IF(MONTH($C159)=7,$Y$6,"ERROR")))),0),MAX(VLOOKUP($C159,COS!$B$8:$K$991,9,FALSE)-IF(MONTH($C159)=4,$V$3,IF(MONTH($C159)=5,$V$4,IF(MONTH($C159)=6,$V$5,IF(MONTH($C159)=7,$V$6,"ERROR"))))-VLOOKUP($C159,COS!$B$8:$K$991,6,FALSE)/2,0))</f>
        <v>1500</v>
      </c>
      <c r="S159" s="26">
        <f t="shared" si="252"/>
        <v>92.231404958677686</v>
      </c>
      <c r="T159" s="26">
        <f t="shared" si="253"/>
        <v>178.58168241138299</v>
      </c>
      <c r="U159" s="26" t="str">
        <f>IF(VLOOKUP($C159,COS!$B$8:$I$991,8,FALSE)=1,"UWFE","IBU")</f>
        <v>UWFE</v>
      </c>
      <c r="V159" s="26">
        <f t="shared" ref="V159" si="255">MIN(IF(IF($AA$3=2,AND(E159=1,G159=1,L159=1,L163=1,M159=1,U159="IBU"),AND(E159=1,G159=1,L159=1,L163=1,M159=1)),T159,0),I159)</f>
        <v>0</v>
      </c>
      <c r="W159" s="26"/>
      <c r="X159" s="26"/>
      <c r="Y159" s="26"/>
      <c r="Z159" s="26"/>
      <c r="AA159" s="26"/>
      <c r="AB159" s="33"/>
    </row>
    <row r="160" spans="1:28" x14ac:dyDescent="0.3">
      <c r="A160" s="32">
        <f>VLOOKUP(YEAR(C160),Flags!$A$13:$B$95,2,FALSE)</f>
        <v>1</v>
      </c>
      <c r="B160" s="24">
        <f t="shared" si="225"/>
        <v>1938</v>
      </c>
      <c r="C160" s="25">
        <v>14061</v>
      </c>
      <c r="D160" s="26">
        <f>VLOOKUP($C160,COS!$B$8:$H$991,3,FALSE)</f>
        <v>7901.6748046875</v>
      </c>
      <c r="E160" s="24">
        <f>IF(D160&gt;=IF(MONTH($C160)=4,$C$3,IF(MONTH($C160)=5,$C$4,IF(MONTH($C160)=6,$C$5,IF(MONTH($C160)=7,$C$6,"ERROR")))),1,0)</f>
        <v>0</v>
      </c>
      <c r="F160" s="26">
        <f>VLOOKUP($C160,COS!$B$8:$H$991,7,FALSE)</f>
        <v>52.2984619140625</v>
      </c>
      <c r="G160" s="24">
        <f>IF(F160&lt;=IF(MONTH($C160)=4,$F$3,IF(MONTH($C160)=5,$F$4,IF(MONTH($C160)=6,$F$5,IF(MONTH($C160)=7,$F$6,"ERROR")))),1,0)</f>
        <v>1</v>
      </c>
      <c r="H160" s="26">
        <f>IF(J160=1,D160-$C$5,0)</f>
        <v>0</v>
      </c>
      <c r="I160" s="26">
        <f t="shared" si="239"/>
        <v>0</v>
      </c>
      <c r="J160" s="24">
        <f t="shared" si="247"/>
        <v>0</v>
      </c>
      <c r="K160" s="26">
        <f>VLOOKUP($C160,COS!$B$8:$H$991,2,FALSE)</f>
        <v>4435.94384765625</v>
      </c>
      <c r="L160" s="24">
        <f t="shared" si="231"/>
        <v>1</v>
      </c>
      <c r="M160" s="24">
        <f t="shared" si="232"/>
        <v>0</v>
      </c>
      <c r="N160" s="26">
        <f>VLOOKUP($C160,COS!$B$8:$H$991,5,FALSE)</f>
        <v>1236.6031494140625</v>
      </c>
      <c r="O160" s="26">
        <f t="shared" si="250"/>
        <v>73.582997320506195</v>
      </c>
      <c r="P160" s="26">
        <f>VLOOKUP($C160,COS!$B$8:$H$991,6,FALSE)</f>
        <v>2276.98291015625</v>
      </c>
      <c r="Q160" s="26">
        <f t="shared" si="251"/>
        <v>135.48989217458677</v>
      </c>
      <c r="R160" s="26">
        <f>MIN(IF(MONTH($C160)=4,$S$3,IF(MONTH($C160)=5,$S$4,IF(MONTH($C160)=6,$S$5,IF(MONTH($C160)=7,$S$6,"ERROR")))),MAX(VLOOKUP($C160,COS!$B$8:$K$991,10,FALSE)-IF(MONTH($C160)=4,$Y$3,IF(MONTH($C160)=5,$Y$4,IF(MONTH($C160)=6,$Y$5,IF(MONTH($C160)=7,$Y$6,"ERROR")))),0),MAX(VLOOKUP($C160,COS!$B$8:$K$991,9,FALSE)-IF(MONTH($C160)=4,$V$3,IF(MONTH($C160)=5,$V$4,IF(MONTH($C160)=6,$V$5,IF(MONTH($C160)=7,$V$6,"ERROR"))))-VLOOKUP($C160,COS!$B$8:$K$991,6,FALSE)/2,0))</f>
        <v>1500</v>
      </c>
      <c r="S160" s="26">
        <f t="shared" si="252"/>
        <v>89.256198347107429</v>
      </c>
      <c r="T160" s="26">
        <f t="shared" si="253"/>
        <v>193.7926430946539</v>
      </c>
      <c r="U160" s="26" t="str">
        <f>IF(VLOOKUP($C160,COS!$B$8:$I$991,8,FALSE)=1,"UWFE","IBU")</f>
        <v>UWFE</v>
      </c>
      <c r="V160" s="26">
        <f t="shared" ref="V160" si="256">MIN(IF(IF($AA$3=2,AND(E160=1,G160=1,L160=1,L163=1,M160=1,U160="IBU"),AND(E160=1,G160=1,L160=1,L163=1,M160=1)),T160,0),I160)</f>
        <v>0</v>
      </c>
      <c r="W160" s="26"/>
      <c r="X160" s="26"/>
      <c r="Y160" s="26"/>
      <c r="Z160" s="26"/>
      <c r="AA160" s="26"/>
      <c r="AB160" s="33"/>
    </row>
    <row r="161" spans="1:28" x14ac:dyDescent="0.3">
      <c r="A161" s="32">
        <f>VLOOKUP(YEAR(C161),Flags!$A$13:$B$95,2,FALSE)</f>
        <v>1</v>
      </c>
      <c r="B161" s="24">
        <f t="shared" si="225"/>
        <v>1938</v>
      </c>
      <c r="C161" s="25">
        <v>14092</v>
      </c>
      <c r="D161" s="26">
        <f>VLOOKUP($C161,COS!$B$8:$H$991,3,FALSE)</f>
        <v>10626.4931640625</v>
      </c>
      <c r="E161" s="24">
        <f>IF(D161&gt;=IF(MONTH($C161)=4,$C$3,IF(MONTH($C161)=5,$C$4,IF(MONTH($C161)=6,$C$5,IF(MONTH($C161)=7,$C$6,"ERROR")))),1,0)</f>
        <v>0</v>
      </c>
      <c r="F161" s="26">
        <f>VLOOKUP($C161,COS!$B$8:$H$991,7,FALSE)</f>
        <v>52.414962768554688</v>
      </c>
      <c r="G161" s="24">
        <f>IF(F161&lt;=IF(MONTH($C161)=4,$F$3,IF(MONTH($C161)=5,$F$4,IF(MONTH($C161)=6,$F$5,IF(MONTH($C161)=7,$F$6,"ERROR")))),1,0)</f>
        <v>1</v>
      </c>
      <c r="H161" s="26">
        <f>IF(J161=1,D161-$C$6,0)</f>
        <v>0</v>
      </c>
      <c r="I161" s="26">
        <f t="shared" si="239"/>
        <v>0</v>
      </c>
      <c r="J161" s="24">
        <f t="shared" si="247"/>
        <v>0</v>
      </c>
      <c r="K161" s="26">
        <f>VLOOKUP($C161,COS!$B$8:$H$991,2,FALSE)</f>
        <v>4015.395751953125</v>
      </c>
      <c r="L161" s="24">
        <f t="shared" si="231"/>
        <v>1</v>
      </c>
      <c r="M161" s="24">
        <f t="shared" si="232"/>
        <v>0</v>
      </c>
      <c r="N161" s="26">
        <f>VLOOKUP($C161,COS!$B$8:$H$991,5,FALSE)</f>
        <v>1349.977294921875</v>
      </c>
      <c r="O161" s="26">
        <f t="shared" si="250"/>
        <v>83.006868381973135</v>
      </c>
      <c r="P161" s="26">
        <f>VLOOKUP($C161,COS!$B$8:$H$991,6,FALSE)</f>
        <v>2521.474853515625</v>
      </c>
      <c r="Q161" s="26">
        <f t="shared" si="251"/>
        <v>155.0394455384814</v>
      </c>
      <c r="R161" s="26">
        <f>MIN(IF(MONTH($C161)=4,$S$3,IF(MONTH($C161)=5,$S$4,IF(MONTH($C161)=6,$S$5,IF(MONTH($C161)=7,$S$6,"ERROR")))),MAX(VLOOKUP($C161,COS!$B$8:$K$991,10,FALSE)-IF(MONTH($C161)=4,$Y$3,IF(MONTH($C161)=5,$Y$4,IF(MONTH($C161)=6,$Y$5,IF(MONTH($C161)=7,$Y$6,"ERROR")))),0),MAX(VLOOKUP($C161,COS!$B$8:$K$991,9,FALSE)-IF(MONTH($C161)=4,$V$3,IF(MONTH($C161)=5,$V$4,IF(MONTH($C161)=6,$V$5,IF(MONTH($C161)=7,$V$6,"ERROR"))))-VLOOKUP($C161,COS!$B$8:$K$991,6,FALSE)/2,0))</f>
        <v>1500</v>
      </c>
      <c r="S161" s="26">
        <f t="shared" si="252"/>
        <v>92.231404958677686</v>
      </c>
      <c r="T161" s="26">
        <f t="shared" si="253"/>
        <v>211.25456191890495</v>
      </c>
      <c r="U161" s="26" t="str">
        <f>IF(VLOOKUP($C161,COS!$B$8:$I$991,8,FALSE)=1,"UWFE","IBU")</f>
        <v>IBU</v>
      </c>
      <c r="V161" s="26">
        <f t="shared" ref="V161" si="257">MIN(IF(IF($AA$3=2,AND(E161=1,G161=1,L161=1,L163=1,M161=1,U161="IBU"),AND(E161=1,G161=1,L161=1,L163=1,M161=1)),T161,0),I161)</f>
        <v>0</v>
      </c>
      <c r="W161" s="26"/>
      <c r="X161" s="26"/>
      <c r="Y161" s="26"/>
      <c r="Z161" s="26"/>
      <c r="AA161" s="26"/>
      <c r="AB161" s="33"/>
    </row>
    <row r="162" spans="1:28" x14ac:dyDescent="0.3">
      <c r="A162" s="32">
        <f>VLOOKUP(YEAR(C162),Flags!$A$13:$B$95,2,FALSE)</f>
        <v>1</v>
      </c>
      <c r="B162" s="24">
        <f t="shared" si="225"/>
        <v>1938</v>
      </c>
      <c r="C162" s="25">
        <v>14123</v>
      </c>
      <c r="D162" s="26"/>
      <c r="E162" s="24"/>
      <c r="F162" s="26"/>
      <c r="G162" s="24"/>
      <c r="H162" s="24"/>
      <c r="I162" s="26"/>
      <c r="J162" s="24"/>
      <c r="K162" s="26"/>
      <c r="L162" s="24"/>
      <c r="M162" s="24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f>MAX($C$7-VLOOKUP($C162,COS!$B$8:$H$991,3,FALSE),0)</f>
        <v>89530.1455078125</v>
      </c>
      <c r="X162" s="26">
        <f t="shared" si="245"/>
        <v>5504.9940708935947</v>
      </c>
      <c r="Y162" s="26">
        <f>VLOOKUP($C162,COS!$B$8:$H$991,4,FALSE)</f>
        <v>0</v>
      </c>
      <c r="Z162" s="26">
        <f t="shared" si="246"/>
        <v>0</v>
      </c>
      <c r="AA162" s="26">
        <f t="shared" ref="AA162:AA166" si="258">MIN(W162,Y162)</f>
        <v>0</v>
      </c>
      <c r="AB162" s="33">
        <f t="shared" ref="AB162" si="259">AA162*DAY($C162)*86400/43560/1000*IF(MONTH($C162)=8,$P$3,IF(MONTH($C162)=9,$P$4,IF(MONTH($C162)=10,$P$5,IF(MONTH($C162)=11,$P$6,IF(MONTH($C162)=12,$P$7,NA())))))</f>
        <v>0</v>
      </c>
    </row>
    <row r="163" spans="1:28" x14ac:dyDescent="0.3">
      <c r="A163" s="32">
        <f>VLOOKUP(YEAR(C163),Flags!$A$13:$B$95,2,FALSE)</f>
        <v>1</v>
      </c>
      <c r="B163" s="24">
        <f t="shared" si="225"/>
        <v>1938</v>
      </c>
      <c r="C163" s="25">
        <v>14153</v>
      </c>
      <c r="D163" s="26"/>
      <c r="E163" s="24"/>
      <c r="F163" s="26"/>
      <c r="G163" s="24"/>
      <c r="H163" s="24"/>
      <c r="I163" s="26"/>
      <c r="J163" s="24"/>
      <c r="K163" s="26">
        <f>VLOOKUP($C163,COS!$B$8:$H$991,2,FALSE)</f>
        <v>3067.66845703125</v>
      </c>
      <c r="L163" s="24">
        <f t="shared" ref="L163" si="260">IF(AND(K163&gt;$I$7,K163&lt;$I$8),1,0)</f>
        <v>1</v>
      </c>
      <c r="M163" s="24"/>
      <c r="N163" s="26"/>
      <c r="O163" s="26"/>
      <c r="P163" s="26"/>
      <c r="Q163" s="26"/>
      <c r="R163" s="26"/>
      <c r="S163" s="26"/>
      <c r="T163" s="26"/>
      <c r="U163" s="26"/>
      <c r="V163" s="26"/>
      <c r="W163" s="26">
        <f>MAX($C$8-VLOOKUP($C163,COS!$B$8:$H$991,3,FALSE),0)</f>
        <v>84308.306640625</v>
      </c>
      <c r="X163" s="26">
        <f t="shared" si="245"/>
        <v>5016.6926265495867</v>
      </c>
      <c r="Y163" s="26">
        <f>VLOOKUP($C163,COS!$B$8:$H$991,4,FALSE)</f>
        <v>0</v>
      </c>
      <c r="Z163" s="26">
        <f t="shared" si="246"/>
        <v>0</v>
      </c>
      <c r="AA163" s="26">
        <f t="shared" si="258"/>
        <v>0</v>
      </c>
      <c r="AB163" s="33">
        <f t="shared" si="243"/>
        <v>0</v>
      </c>
    </row>
    <row r="164" spans="1:28" x14ac:dyDescent="0.3">
      <c r="A164" s="32">
        <f>VLOOKUP(YEAR(C164),Flags!$A$13:$B$95,2,FALSE)</f>
        <v>1</v>
      </c>
      <c r="B164" s="24">
        <f t="shared" si="225"/>
        <v>1938</v>
      </c>
      <c r="C164" s="25">
        <v>14184</v>
      </c>
      <c r="D164" s="26"/>
      <c r="E164" s="24"/>
      <c r="F164" s="26"/>
      <c r="G164" s="26"/>
      <c r="H164" s="26"/>
      <c r="I164" s="26"/>
      <c r="J164" s="26"/>
      <c r="K164" s="26"/>
      <c r="L164" s="24"/>
      <c r="M164" s="24"/>
      <c r="N164" s="26"/>
      <c r="O164" s="26"/>
      <c r="P164" s="26"/>
      <c r="Q164" s="26"/>
      <c r="R164" s="26"/>
      <c r="S164" s="26"/>
      <c r="T164" s="26"/>
      <c r="U164" s="26"/>
      <c r="V164" s="26"/>
      <c r="W164" s="26">
        <f>MAX($C$9-VLOOKUP($C164,COS!$B$8:$H$991,3,FALSE),0)</f>
        <v>94842.9638671875</v>
      </c>
      <c r="X164" s="26">
        <f t="shared" si="245"/>
        <v>5831.6665386105378</v>
      </c>
      <c r="Y164" s="26">
        <f>VLOOKUP($C164,COS!$B$8:$H$991,4,FALSE)</f>
        <v>48.355400085449219</v>
      </c>
      <c r="Z164" s="26">
        <f t="shared" si="246"/>
        <v>2.9732576581466295</v>
      </c>
      <c r="AA164" s="26">
        <f t="shared" si="258"/>
        <v>48.355400085449219</v>
      </c>
      <c r="AB164" s="33">
        <f t="shared" si="243"/>
        <v>2.9732576581466295</v>
      </c>
    </row>
    <row r="165" spans="1:28" x14ac:dyDescent="0.3">
      <c r="A165" s="32">
        <f>VLOOKUP(YEAR(C165),Flags!$A$13:$B$95,2,FALSE)</f>
        <v>1</v>
      </c>
      <c r="B165" s="24">
        <f t="shared" si="225"/>
        <v>1938</v>
      </c>
      <c r="C165" s="25">
        <v>14214</v>
      </c>
      <c r="D165" s="26"/>
      <c r="E165" s="24"/>
      <c r="F165" s="26"/>
      <c r="G165" s="26"/>
      <c r="H165" s="26"/>
      <c r="I165" s="26"/>
      <c r="J165" s="26"/>
      <c r="K165" s="26"/>
      <c r="L165" s="24"/>
      <c r="M165" s="24"/>
      <c r="N165" s="26"/>
      <c r="O165" s="26"/>
      <c r="P165" s="26"/>
      <c r="Q165" s="26"/>
      <c r="R165" s="26"/>
      <c r="S165" s="26"/>
      <c r="T165" s="26"/>
      <c r="U165" s="26"/>
      <c r="V165" s="26"/>
      <c r="W165" s="26">
        <f>MAX($C$10-VLOOKUP($C165,COS!$B$8:$H$991,3,FALSE),0)</f>
        <v>91290.8857421875</v>
      </c>
      <c r="X165" s="26">
        <f t="shared" si="245"/>
        <v>5432.1849367252071</v>
      </c>
      <c r="Y165" s="26">
        <f>VLOOKUP($C165,COS!$B$8:$H$991,4,FALSE)</f>
        <v>0</v>
      </c>
      <c r="Z165" s="26">
        <f t="shared" si="246"/>
        <v>0</v>
      </c>
      <c r="AA165" s="26">
        <f t="shared" si="258"/>
        <v>0</v>
      </c>
      <c r="AB165" s="33">
        <f t="shared" si="243"/>
        <v>0</v>
      </c>
    </row>
    <row r="166" spans="1:28" x14ac:dyDescent="0.3">
      <c r="A166" s="34">
        <f>VLOOKUP(YEAR(C166),Flags!$A$13:$B$95,2,FALSE)</f>
        <v>1</v>
      </c>
      <c r="B166" s="35">
        <f t="shared" si="225"/>
        <v>1938</v>
      </c>
      <c r="C166" s="36">
        <v>14245</v>
      </c>
      <c r="D166" s="37"/>
      <c r="E166" s="35"/>
      <c r="F166" s="37"/>
      <c r="G166" s="37"/>
      <c r="H166" s="37"/>
      <c r="I166" s="37"/>
      <c r="J166" s="37"/>
      <c r="K166" s="37"/>
      <c r="L166" s="35"/>
      <c r="M166" s="35"/>
      <c r="N166" s="37"/>
      <c r="O166" s="37"/>
      <c r="P166" s="37"/>
      <c r="Q166" s="37"/>
      <c r="R166" s="37"/>
      <c r="S166" s="37"/>
      <c r="T166" s="37"/>
      <c r="U166" s="37"/>
      <c r="V166" s="37"/>
      <c r="W166" s="37">
        <f>MAX($C$11-VLOOKUP($C166,COS!$B$8:$H$991,3,FALSE),0)</f>
        <v>0</v>
      </c>
      <c r="X166" s="37">
        <f t="shared" si="245"/>
        <v>0</v>
      </c>
      <c r="Y166" s="37">
        <f>VLOOKUP($C166,COS!$B$8:$H$991,4,FALSE)</f>
        <v>0</v>
      </c>
      <c r="Z166" s="37">
        <f t="shared" si="246"/>
        <v>0</v>
      </c>
      <c r="AA166" s="37">
        <f t="shared" si="258"/>
        <v>0</v>
      </c>
      <c r="AB166" s="38">
        <f t="shared" si="243"/>
        <v>0</v>
      </c>
    </row>
    <row r="167" spans="1:28" x14ac:dyDescent="0.3">
      <c r="A167" s="27">
        <f>VLOOKUP(YEAR(C167),Flags!$A$13:$B$95,2,FALSE)</f>
        <v>3</v>
      </c>
      <c r="B167" s="28">
        <f t="shared" si="225"/>
        <v>1939</v>
      </c>
      <c r="C167" s="29">
        <v>14365</v>
      </c>
      <c r="D167" s="30">
        <f>VLOOKUP($C167,COS!$B$8:$H$991,3,FALSE)</f>
        <v>5639.22900390625</v>
      </c>
      <c r="E167" s="28">
        <f>IF(D167&gt;=IF(MONTH($C167)=4,$C$3,IF(MONTH($C167)=5,$C$4,IF(MONTH($C167)=6,$C$5,IF(MONTH($C167)=7,$C$6,"ERROR")))),1,0)</f>
        <v>0</v>
      </c>
      <c r="F167" s="30">
        <f>VLOOKUP($C167,COS!$B$8:$H$991,7,FALSE)</f>
        <v>50.994121551513672</v>
      </c>
      <c r="G167" s="28">
        <f>IF(F167&lt;=IF(MONTH($C167)=4,$F$3,IF(MONTH($C167)=5,$F$4,IF(MONTH($C167)=6,$F$5,IF(MONTH($C167)=7,$F$6,"ERROR")))),1,0)</f>
        <v>1</v>
      </c>
      <c r="H167" s="30">
        <f>IF(J167=1,D167-$C$3,0)</f>
        <v>0</v>
      </c>
      <c r="I167" s="30">
        <f t="shared" si="239"/>
        <v>0</v>
      </c>
      <c r="J167" s="28">
        <f t="shared" ref="J167:J170" si="261">IF(AND(E167=1,G167=1),1,0)</f>
        <v>0</v>
      </c>
      <c r="K167" s="30">
        <f>VLOOKUP($C167,COS!$B$8:$H$991,2,FALSE)</f>
        <v>3617.388427734375</v>
      </c>
      <c r="L167" s="28">
        <f t="shared" ref="L167" si="262">IF(K167&lt;=IF(MONTH($C167)=4,$I$3,IF(MONTH($C167)=5,$I$4,IF(MONTH($C167)=6,$I$5,IF(MONTH($C167)=7,$I$6,"ERROR")))),1,0)</f>
        <v>1</v>
      </c>
      <c r="M167" s="28">
        <f t="shared" ref="M167" si="263">VLOOKUP($A167,$L$3:$M$7,2,FALSE)</f>
        <v>0</v>
      </c>
      <c r="N167" s="30">
        <f>VLOOKUP($C167,COS!$B$8:$H$991,5,FALSE)</f>
        <v>605.5399169921875</v>
      </c>
      <c r="O167" s="30">
        <f t="shared" ref="O167:O170" si="264">N167*DAY($C167)*86400/43560/1000</f>
        <v>36.032127292097108</v>
      </c>
      <c r="P167" s="30">
        <f>VLOOKUP($C167,COS!$B$8:$H$991,6,FALSE)</f>
        <v>578.7889404296875</v>
      </c>
      <c r="Q167" s="30">
        <f t="shared" ref="Q167:Q170" si="265">P167*DAY($C167)*86400/43560/1000</f>
        <v>34.440333645402887</v>
      </c>
      <c r="R167" s="30">
        <f>MIN(IF(MONTH($C167)=4,$S$3,IF(MONTH($C167)=5,$S$4,IF(MONTH($C167)=6,$S$5,IF(MONTH($C167)=7,$S$6,"ERROR")))),MAX(VLOOKUP($C167,COS!$B$8:$K$991,10,FALSE)-IF(MONTH($C167)=4,$Y$3,IF(MONTH($C167)=5,$Y$4,IF(MONTH($C167)=6,$Y$5,IF(MONTH($C167)=7,$Y$6,"ERROR")))),0),MAX(VLOOKUP($C167,COS!$B$8:$K$991,9,FALSE)-IF(MONTH($C167)=4,$V$3,IF(MONTH($C167)=5,$V$4,IF(MONTH($C167)=6,$V$5,IF(MONTH($C167)=7,$V$6,"ERROR"))))-VLOOKUP($C167,COS!$B$8:$K$991,6,FALSE)/2,0))</f>
        <v>1500</v>
      </c>
      <c r="S167" s="30">
        <f t="shared" ref="S167:S170" si="266">R167*DAY($C167)*86400/43560/1000</f>
        <v>89.256198347107429</v>
      </c>
      <c r="T167" s="30">
        <f t="shared" ref="T167:T170" si="267">(O167+Q167)/2+S167</f>
        <v>124.49242881585742</v>
      </c>
      <c r="U167" s="30" t="str">
        <f>IF(VLOOKUP($C167,COS!$B$8:$I$991,8,FALSE)=1,"UWFE","IBU")</f>
        <v>UWFE</v>
      </c>
      <c r="V167" s="30">
        <f t="shared" ref="V167" si="268">MIN(IF(IF($AA$3=2,AND(E167=1,G167=1,L167=1,L172=1,M167=1,U167="IBU"),AND(E167=1,G167=1,L167=1,L172=1,M167=1)),T167,0),I167)</f>
        <v>0</v>
      </c>
      <c r="W167" s="30"/>
      <c r="X167" s="30"/>
      <c r="Y167" s="30"/>
      <c r="Z167" s="30"/>
      <c r="AA167" s="30"/>
      <c r="AB167" s="31"/>
    </row>
    <row r="168" spans="1:28" x14ac:dyDescent="0.3">
      <c r="A168" s="32">
        <f>VLOOKUP(YEAR(C168),Flags!$A$13:$B$95,2,FALSE)</f>
        <v>3</v>
      </c>
      <c r="B168" s="24">
        <f t="shared" si="225"/>
        <v>1939</v>
      </c>
      <c r="C168" s="25">
        <v>14396</v>
      </c>
      <c r="D168" s="26">
        <f>VLOOKUP($C168,COS!$B$8:$H$991,3,FALSE)</f>
        <v>10183.0283203125</v>
      </c>
      <c r="E168" s="24">
        <f>IF(D168&gt;=IF(MONTH($C168)=4,$C$3,IF(MONTH($C168)=5,$C$4,IF(MONTH($C168)=6,$C$5,IF(MONTH($C168)=7,$C$6,"ERROR")))),1,0)</f>
        <v>1</v>
      </c>
      <c r="F168" s="26">
        <f>VLOOKUP($C168,COS!$B$8:$H$991,7,FALSE)</f>
        <v>50.974002838134766</v>
      </c>
      <c r="G168" s="24">
        <f>IF(F168&lt;=IF(MONTH($C168)=4,$F$3,IF(MONTH($C168)=5,$F$4,IF(MONTH($C168)=6,$F$5,IF(MONTH($C168)=7,$F$6,"ERROR")))),1,0)</f>
        <v>1</v>
      </c>
      <c r="H168" s="26">
        <f>IF(J168=1,D168-$C$4,0)</f>
        <v>4183.0283203125</v>
      </c>
      <c r="I168" s="26">
        <f t="shared" si="239"/>
        <v>257.20438597623968</v>
      </c>
      <c r="J168" s="24">
        <f t="shared" si="261"/>
        <v>1</v>
      </c>
      <c r="K168" s="26">
        <f>VLOOKUP($C168,COS!$B$8:$H$991,2,FALSE)</f>
        <v>3339.732177734375</v>
      </c>
      <c r="L168" s="24">
        <f t="shared" si="231"/>
        <v>1</v>
      </c>
      <c r="M168" s="24">
        <f t="shared" si="232"/>
        <v>0</v>
      </c>
      <c r="N168" s="26">
        <f>VLOOKUP($C168,COS!$B$8:$H$991,5,FALSE)</f>
        <v>507.59902954101563</v>
      </c>
      <c r="O168" s="26">
        <f t="shared" si="264"/>
        <v>31.211047766819473</v>
      </c>
      <c r="P168" s="26">
        <f>VLOOKUP($C168,COS!$B$8:$H$991,6,FALSE)</f>
        <v>2184.023681640625</v>
      </c>
      <c r="Q168" s="26">
        <f t="shared" si="265"/>
        <v>134.29038174715907</v>
      </c>
      <c r="R168" s="26">
        <f>MIN(IF(MONTH($C168)=4,$S$3,IF(MONTH($C168)=5,$S$4,IF(MONTH($C168)=6,$S$5,IF(MONTH($C168)=7,$S$6,"ERROR")))),MAX(VLOOKUP($C168,COS!$B$8:$K$991,10,FALSE)-IF(MONTH($C168)=4,$Y$3,IF(MONTH($C168)=5,$Y$4,IF(MONTH($C168)=6,$Y$5,IF(MONTH($C168)=7,$Y$6,"ERROR")))),0),MAX(VLOOKUP($C168,COS!$B$8:$K$991,9,FALSE)-IF(MONTH($C168)=4,$V$3,IF(MONTH($C168)=5,$V$4,IF(MONTH($C168)=6,$V$5,IF(MONTH($C168)=7,$V$6,"ERROR"))))-VLOOKUP($C168,COS!$B$8:$K$991,6,FALSE)/2,0))</f>
        <v>1500</v>
      </c>
      <c r="S168" s="26">
        <f t="shared" si="266"/>
        <v>92.231404958677686</v>
      </c>
      <c r="T168" s="26">
        <f t="shared" si="267"/>
        <v>174.98211971566695</v>
      </c>
      <c r="U168" s="26" t="str">
        <f>IF(VLOOKUP($C168,COS!$B$8:$I$991,8,FALSE)=1,"UWFE","IBU")</f>
        <v>IBU</v>
      </c>
      <c r="V168" s="26">
        <f t="shared" ref="V168" si="269">MIN(IF(IF($AA$3=2,AND(E168=1,G168=1,L168=1,L172=1,M168=1,U168="IBU"),AND(E168=1,G168=1,L168=1,L172=1,M168=1)),T168,0),I168)</f>
        <v>0</v>
      </c>
      <c r="W168" s="26"/>
      <c r="X168" s="26"/>
      <c r="Y168" s="26"/>
      <c r="Z168" s="26"/>
      <c r="AA168" s="26"/>
      <c r="AB168" s="33"/>
    </row>
    <row r="169" spans="1:28" x14ac:dyDescent="0.3">
      <c r="A169" s="32">
        <f>VLOOKUP(YEAR(C169),Flags!$A$13:$B$95,2,FALSE)</f>
        <v>3</v>
      </c>
      <c r="B169" s="24">
        <f t="shared" si="225"/>
        <v>1939</v>
      </c>
      <c r="C169" s="25">
        <v>14426</v>
      </c>
      <c r="D169" s="26">
        <f>VLOOKUP($C169,COS!$B$8:$H$991,3,FALSE)</f>
        <v>12354.21484375</v>
      </c>
      <c r="E169" s="24">
        <f>IF(D169&gt;=IF(MONTH($C169)=4,$C$3,IF(MONTH($C169)=5,$C$4,IF(MONTH($C169)=6,$C$5,IF(MONTH($C169)=7,$C$6,"ERROR")))),1,0)</f>
        <v>1</v>
      </c>
      <c r="F169" s="26">
        <f>VLOOKUP($C169,COS!$B$8:$H$991,7,FALSE)</f>
        <v>52.385540008544922</v>
      </c>
      <c r="G169" s="24">
        <f>IF(F169&lt;=IF(MONTH($C169)=4,$F$3,IF(MONTH($C169)=5,$F$4,IF(MONTH($C169)=6,$F$5,IF(MONTH($C169)=7,$F$6,"ERROR")))),1,0)</f>
        <v>1</v>
      </c>
      <c r="H169" s="26">
        <f>IF(J169=1,D169-$C$5,0)</f>
        <v>2354.21484375</v>
      </c>
      <c r="I169" s="26">
        <f t="shared" si="239"/>
        <v>140.08551136363636</v>
      </c>
      <c r="J169" s="24">
        <f t="shared" si="261"/>
        <v>1</v>
      </c>
      <c r="K169" s="26">
        <f>VLOOKUP($C169,COS!$B$8:$H$991,2,FALSE)</f>
        <v>2944.504150390625</v>
      </c>
      <c r="L169" s="24">
        <f t="shared" si="231"/>
        <v>1</v>
      </c>
      <c r="M169" s="24">
        <f t="shared" si="232"/>
        <v>0</v>
      </c>
      <c r="N169" s="26">
        <f>VLOOKUP($C169,COS!$B$8:$H$991,5,FALSE)</f>
        <v>658.92901611328125</v>
      </c>
      <c r="O169" s="26">
        <f t="shared" si="264"/>
        <v>39.208999305914261</v>
      </c>
      <c r="P169" s="26">
        <f>VLOOKUP($C169,COS!$B$8:$H$991,6,FALSE)</f>
        <v>2679.353271484375</v>
      </c>
      <c r="Q169" s="26">
        <f t="shared" si="265"/>
        <v>159.43259136105374</v>
      </c>
      <c r="R169" s="26">
        <f>MIN(IF(MONTH($C169)=4,$S$3,IF(MONTH($C169)=5,$S$4,IF(MONTH($C169)=6,$S$5,IF(MONTH($C169)=7,$S$6,"ERROR")))),MAX(VLOOKUP($C169,COS!$B$8:$K$991,10,FALSE)-IF(MONTH($C169)=4,$Y$3,IF(MONTH($C169)=5,$Y$4,IF(MONTH($C169)=6,$Y$5,IF(MONTH($C169)=7,$Y$6,"ERROR")))),0),MAX(VLOOKUP($C169,COS!$B$8:$K$991,9,FALSE)-IF(MONTH($C169)=4,$V$3,IF(MONTH($C169)=5,$V$4,IF(MONTH($C169)=6,$V$5,IF(MONTH($C169)=7,$V$6,"ERROR"))))-VLOOKUP($C169,COS!$B$8:$K$991,6,FALSE)/2,0))</f>
        <v>1500</v>
      </c>
      <c r="S169" s="26">
        <f t="shared" si="266"/>
        <v>89.256198347107429</v>
      </c>
      <c r="T169" s="26">
        <f t="shared" si="267"/>
        <v>188.57699368059144</v>
      </c>
      <c r="U169" s="26" t="str">
        <f>IF(VLOOKUP($C169,COS!$B$8:$I$991,8,FALSE)=1,"UWFE","IBU")</f>
        <v>IBU</v>
      </c>
      <c r="V169" s="26">
        <f t="shared" ref="V169" si="270">MIN(IF(IF($AA$3=2,AND(E169=1,G169=1,L169=1,L172=1,M169=1,U169="IBU"),AND(E169=1,G169=1,L169=1,L172=1,M169=1)),T169,0),I169)</f>
        <v>0</v>
      </c>
      <c r="W169" s="26"/>
      <c r="X169" s="26"/>
      <c r="Y169" s="26"/>
      <c r="Z169" s="26"/>
      <c r="AA169" s="26"/>
      <c r="AB169" s="33"/>
    </row>
    <row r="170" spans="1:28" x14ac:dyDescent="0.3">
      <c r="A170" s="32">
        <f>VLOOKUP(YEAR(C170),Flags!$A$13:$B$95,2,FALSE)</f>
        <v>3</v>
      </c>
      <c r="B170" s="24">
        <f t="shared" si="225"/>
        <v>1939</v>
      </c>
      <c r="C170" s="25">
        <v>14457</v>
      </c>
      <c r="D170" s="26">
        <f>VLOOKUP($C170,COS!$B$8:$H$991,3,FALSE)</f>
        <v>16000</v>
      </c>
      <c r="E170" s="24">
        <f>IF(D170&gt;=IF(MONTH($C170)=4,$C$3,IF(MONTH($C170)=5,$C$4,IF(MONTH($C170)=6,$C$5,IF(MONTH($C170)=7,$C$6,"ERROR")))),1,0)</f>
        <v>1</v>
      </c>
      <c r="F170" s="26">
        <f>VLOOKUP($C170,COS!$B$8:$H$991,7,FALSE)</f>
        <v>53.516410827636719</v>
      </c>
      <c r="G170" s="24">
        <f>IF(F170&lt;=IF(MONTH($C170)=4,$F$3,IF(MONTH($C170)=5,$F$4,IF(MONTH($C170)=6,$F$5,IF(MONTH($C170)=7,$F$6,"ERROR")))),1,0)</f>
        <v>0</v>
      </c>
      <c r="H170" s="26">
        <f>IF(J170=1,D170-$C$6,0)</f>
        <v>0</v>
      </c>
      <c r="I170" s="26">
        <f t="shared" si="239"/>
        <v>0</v>
      </c>
      <c r="J170" s="24">
        <f t="shared" si="261"/>
        <v>0</v>
      </c>
      <c r="K170" s="26">
        <f>VLOOKUP($C170,COS!$B$8:$H$991,2,FALSE)</f>
        <v>2319.410888671875</v>
      </c>
      <c r="L170" s="24">
        <f t="shared" si="231"/>
        <v>1</v>
      </c>
      <c r="M170" s="24">
        <f t="shared" si="232"/>
        <v>0</v>
      </c>
      <c r="N170" s="26">
        <f>VLOOKUP($C170,COS!$B$8:$H$991,5,FALSE)</f>
        <v>718.189208984375</v>
      </c>
      <c r="O170" s="26">
        <f t="shared" si="264"/>
        <v>44.159733180526864</v>
      </c>
      <c r="P170" s="26">
        <f>VLOOKUP($C170,COS!$B$8:$H$991,6,FALSE)</f>
        <v>2421.51171875</v>
      </c>
      <c r="Q170" s="26">
        <f t="shared" si="265"/>
        <v>148.89295196280992</v>
      </c>
      <c r="R170" s="26">
        <f>MIN(IF(MONTH($C170)=4,$S$3,IF(MONTH($C170)=5,$S$4,IF(MONTH($C170)=6,$S$5,IF(MONTH($C170)=7,$S$6,"ERROR")))),MAX(VLOOKUP($C170,COS!$B$8:$K$991,10,FALSE)-IF(MONTH($C170)=4,$Y$3,IF(MONTH($C170)=5,$Y$4,IF(MONTH($C170)=6,$Y$5,IF(MONTH($C170)=7,$Y$6,"ERROR")))),0),MAX(VLOOKUP($C170,COS!$B$8:$K$991,9,FALSE)-IF(MONTH($C170)=4,$V$3,IF(MONTH($C170)=5,$V$4,IF(MONTH($C170)=6,$V$5,IF(MONTH($C170)=7,$V$6,"ERROR"))))-VLOOKUP($C170,COS!$B$8:$K$991,6,FALSE)/2,0))</f>
        <v>1500</v>
      </c>
      <c r="S170" s="26">
        <f t="shared" si="266"/>
        <v>92.231404958677686</v>
      </c>
      <c r="T170" s="26">
        <f t="shared" si="267"/>
        <v>188.75774753034608</v>
      </c>
      <c r="U170" s="26" t="str">
        <f>IF(VLOOKUP($C170,COS!$B$8:$I$991,8,FALSE)=1,"UWFE","IBU")</f>
        <v>IBU</v>
      </c>
      <c r="V170" s="26">
        <f t="shared" ref="V170" si="271">MIN(IF(IF($AA$3=2,AND(E170=1,G170=1,L170=1,L172=1,M170=1,U170="IBU"),AND(E170=1,G170=1,L170=1,L172=1,M170=1)),T170,0),I170)</f>
        <v>0</v>
      </c>
      <c r="W170" s="26"/>
      <c r="X170" s="26"/>
      <c r="Y170" s="26"/>
      <c r="Z170" s="26"/>
      <c r="AA170" s="26"/>
      <c r="AB170" s="33"/>
    </row>
    <row r="171" spans="1:28" x14ac:dyDescent="0.3">
      <c r="A171" s="32">
        <f>VLOOKUP(YEAR(C171),Flags!$A$13:$B$95,2,FALSE)</f>
        <v>3</v>
      </c>
      <c r="B171" s="24">
        <f t="shared" si="225"/>
        <v>1939</v>
      </c>
      <c r="C171" s="25">
        <v>14488</v>
      </c>
      <c r="D171" s="26"/>
      <c r="E171" s="24"/>
      <c r="F171" s="26"/>
      <c r="G171" s="24"/>
      <c r="H171" s="24"/>
      <c r="I171" s="26"/>
      <c r="J171" s="24"/>
      <c r="K171" s="26"/>
      <c r="L171" s="24"/>
      <c r="M171" s="24"/>
      <c r="N171" s="26"/>
      <c r="O171" s="26"/>
      <c r="P171" s="26"/>
      <c r="Q171" s="26"/>
      <c r="R171" s="26"/>
      <c r="S171" s="26"/>
      <c r="T171" s="26"/>
      <c r="U171" s="26"/>
      <c r="V171" s="26"/>
      <c r="W171" s="26">
        <f>MAX($C$7-VLOOKUP($C171,COS!$B$8:$H$991,3,FALSE),0)</f>
        <v>85997.9140625</v>
      </c>
      <c r="X171" s="26">
        <f t="shared" si="245"/>
        <v>5287.805625</v>
      </c>
      <c r="Y171" s="26">
        <f>VLOOKUP($C171,COS!$B$8:$H$991,4,FALSE)</f>
        <v>3226.453125</v>
      </c>
      <c r="Z171" s="26">
        <f t="shared" si="246"/>
        <v>198.38686983471075</v>
      </c>
      <c r="AA171" s="26">
        <f t="shared" ref="AA171:AA175" si="272">MIN(W171,Y171)</f>
        <v>3226.453125</v>
      </c>
      <c r="AB171" s="33">
        <f t="shared" ref="AB171" si="273">AA171*DAY($C171)*86400/43560/1000*IF(MONTH($C171)=8,$P$3,IF(MONTH($C171)=9,$P$4,IF(MONTH($C171)=10,$P$5,IF(MONTH($C171)=11,$P$6,IF(MONTH($C171)=12,$P$7,NA())))))</f>
        <v>198.38686983471075</v>
      </c>
    </row>
    <row r="172" spans="1:28" x14ac:dyDescent="0.3">
      <c r="A172" s="32">
        <f>VLOOKUP(YEAR(C172),Flags!$A$13:$B$95,2,FALSE)</f>
        <v>3</v>
      </c>
      <c r="B172" s="24">
        <f t="shared" si="225"/>
        <v>1939</v>
      </c>
      <c r="C172" s="25">
        <v>14518</v>
      </c>
      <c r="D172" s="26"/>
      <c r="E172" s="24"/>
      <c r="F172" s="26"/>
      <c r="G172" s="24"/>
      <c r="H172" s="24"/>
      <c r="I172" s="26"/>
      <c r="J172" s="24"/>
      <c r="K172" s="26">
        <f>VLOOKUP($C172,COS!$B$8:$H$991,2,FALSE)</f>
        <v>1819.920654296875</v>
      </c>
      <c r="L172" s="24">
        <f t="shared" ref="L172" si="274">IF(AND(K172&gt;$I$7,K172&lt;$I$8),1,0)</f>
        <v>1</v>
      </c>
      <c r="M172" s="24"/>
      <c r="N172" s="26"/>
      <c r="O172" s="26"/>
      <c r="P172" s="26"/>
      <c r="Q172" s="26"/>
      <c r="R172" s="26"/>
      <c r="S172" s="26"/>
      <c r="T172" s="26"/>
      <c r="U172" s="26"/>
      <c r="V172" s="26"/>
      <c r="W172" s="26">
        <f>MAX($C$8-VLOOKUP($C172,COS!$B$8:$H$991,3,FALSE),0)</f>
        <v>94525.0498046875</v>
      </c>
      <c r="X172" s="26">
        <f t="shared" si="245"/>
        <v>5624.6310627582643</v>
      </c>
      <c r="Y172" s="26">
        <f>VLOOKUP($C172,COS!$B$8:$H$991,4,FALSE)</f>
        <v>1628.006103515625</v>
      </c>
      <c r="Z172" s="26">
        <f t="shared" si="246"/>
        <v>96.8730904571281</v>
      </c>
      <c r="AA172" s="26">
        <f t="shared" si="272"/>
        <v>1628.006103515625</v>
      </c>
      <c r="AB172" s="33">
        <f t="shared" si="243"/>
        <v>96.8730904571281</v>
      </c>
    </row>
    <row r="173" spans="1:28" x14ac:dyDescent="0.3">
      <c r="A173" s="32">
        <f>VLOOKUP(YEAR(C173),Flags!$A$13:$B$95,2,FALSE)</f>
        <v>3</v>
      </c>
      <c r="B173" s="24">
        <f t="shared" si="225"/>
        <v>1939</v>
      </c>
      <c r="C173" s="25">
        <v>14549</v>
      </c>
      <c r="D173" s="26"/>
      <c r="E173" s="24"/>
      <c r="F173" s="26"/>
      <c r="G173" s="26"/>
      <c r="H173" s="26"/>
      <c r="I173" s="26"/>
      <c r="J173" s="26"/>
      <c r="K173" s="26"/>
      <c r="L173" s="24"/>
      <c r="M173" s="24"/>
      <c r="N173" s="26"/>
      <c r="O173" s="26"/>
      <c r="P173" s="26"/>
      <c r="Q173" s="26"/>
      <c r="R173" s="26"/>
      <c r="S173" s="26"/>
      <c r="T173" s="26"/>
      <c r="U173" s="26"/>
      <c r="V173" s="26"/>
      <c r="W173" s="26">
        <f>MAX($C$9-VLOOKUP($C173,COS!$B$8:$H$991,3,FALSE),0)</f>
        <v>94233.89599609375</v>
      </c>
      <c r="X173" s="26">
        <f t="shared" si="245"/>
        <v>5794.2164149664259</v>
      </c>
      <c r="Y173" s="26">
        <f>VLOOKUP($C173,COS!$B$8:$H$991,4,FALSE)</f>
        <v>1678.0692138671875</v>
      </c>
      <c r="Z173" s="26">
        <f t="shared" si="246"/>
        <v>103.18045414191633</v>
      </c>
      <c r="AA173" s="26">
        <f t="shared" si="272"/>
        <v>1678.0692138671875</v>
      </c>
      <c r="AB173" s="33">
        <f t="shared" si="243"/>
        <v>103.18045414191633</v>
      </c>
    </row>
    <row r="174" spans="1:28" x14ac:dyDescent="0.3">
      <c r="A174" s="32">
        <f>VLOOKUP(YEAR(C174),Flags!$A$13:$B$95,2,FALSE)</f>
        <v>3</v>
      </c>
      <c r="B174" s="24">
        <f t="shared" si="225"/>
        <v>1939</v>
      </c>
      <c r="C174" s="25">
        <v>14579</v>
      </c>
      <c r="D174" s="26"/>
      <c r="E174" s="24"/>
      <c r="F174" s="26"/>
      <c r="G174" s="26"/>
      <c r="H174" s="26"/>
      <c r="I174" s="26"/>
      <c r="J174" s="26"/>
      <c r="K174" s="26"/>
      <c r="L174" s="24"/>
      <c r="M174" s="24"/>
      <c r="N174" s="26"/>
      <c r="O174" s="26"/>
      <c r="P174" s="26"/>
      <c r="Q174" s="26"/>
      <c r="R174" s="26"/>
      <c r="S174" s="26"/>
      <c r="T174" s="26"/>
      <c r="U174" s="26"/>
      <c r="V174" s="26"/>
      <c r="W174" s="26">
        <f>MAX($C$10-VLOOKUP($C174,COS!$B$8:$H$991,3,FALSE),0)</f>
        <v>93849.529296875</v>
      </c>
      <c r="X174" s="26">
        <f t="shared" si="245"/>
        <v>5584.4348011363636</v>
      </c>
      <c r="Y174" s="26">
        <f>VLOOKUP($C174,COS!$B$8:$H$991,4,FALSE)</f>
        <v>2018.930908203125</v>
      </c>
      <c r="Z174" s="26">
        <f t="shared" si="246"/>
        <v>120.13473172778926</v>
      </c>
      <c r="AA174" s="26">
        <f t="shared" si="272"/>
        <v>2018.930908203125</v>
      </c>
      <c r="AB174" s="33">
        <f t="shared" si="243"/>
        <v>60.067365863894629</v>
      </c>
    </row>
    <row r="175" spans="1:28" x14ac:dyDescent="0.3">
      <c r="A175" s="34">
        <f>VLOOKUP(YEAR(C175),Flags!$A$13:$B$95,2,FALSE)</f>
        <v>3</v>
      </c>
      <c r="B175" s="35">
        <f t="shared" si="225"/>
        <v>1939</v>
      </c>
      <c r="C175" s="36">
        <v>14610</v>
      </c>
      <c r="D175" s="37"/>
      <c r="E175" s="35"/>
      <c r="F175" s="37"/>
      <c r="G175" s="37"/>
      <c r="H175" s="37"/>
      <c r="I175" s="37"/>
      <c r="J175" s="37"/>
      <c r="K175" s="37"/>
      <c r="L175" s="35"/>
      <c r="M175" s="35"/>
      <c r="N175" s="37"/>
      <c r="O175" s="37"/>
      <c r="P175" s="37"/>
      <c r="Q175" s="37"/>
      <c r="R175" s="37"/>
      <c r="S175" s="37"/>
      <c r="T175" s="37"/>
      <c r="U175" s="37"/>
      <c r="V175" s="37"/>
      <c r="W175" s="37">
        <f>MAX($C$11-VLOOKUP($C175,COS!$B$8:$H$991,3,FALSE),0)</f>
        <v>0</v>
      </c>
      <c r="X175" s="37">
        <f t="shared" si="245"/>
        <v>0</v>
      </c>
      <c r="Y175" s="37">
        <f>VLOOKUP($C175,COS!$B$8:$H$991,4,FALSE)</f>
        <v>1704.9423828125</v>
      </c>
      <c r="Z175" s="37">
        <f t="shared" si="246"/>
        <v>104.83282089359504</v>
      </c>
      <c r="AA175" s="37">
        <f t="shared" si="272"/>
        <v>0</v>
      </c>
      <c r="AB175" s="38">
        <f t="shared" si="243"/>
        <v>0</v>
      </c>
    </row>
    <row r="176" spans="1:28" x14ac:dyDescent="0.3">
      <c r="A176" s="27">
        <f>VLOOKUP(YEAR(C176),Flags!$A$13:$B$95,2,FALSE)</f>
        <v>2</v>
      </c>
      <c r="B176" s="28">
        <f t="shared" si="225"/>
        <v>1940</v>
      </c>
      <c r="C176" s="29">
        <v>14731</v>
      </c>
      <c r="D176" s="30">
        <f>VLOOKUP($C176,COS!$B$8:$H$991,3,FALSE)</f>
        <v>3250</v>
      </c>
      <c r="E176" s="28">
        <f>IF(D176&gt;=IF(MONTH($C176)=4,$C$3,IF(MONTH($C176)=5,$C$4,IF(MONTH($C176)=6,$C$5,IF(MONTH($C176)=7,$C$6,"ERROR")))),1,0)</f>
        <v>0</v>
      </c>
      <c r="F176" s="30">
        <f>VLOOKUP($C176,COS!$B$8:$H$991,7,FALSE)</f>
        <v>50.942607879638672</v>
      </c>
      <c r="G176" s="28">
        <f>IF(F176&lt;=IF(MONTH($C176)=4,$F$3,IF(MONTH($C176)=5,$F$4,IF(MONTH($C176)=6,$F$5,IF(MONTH($C176)=7,$F$6,"ERROR")))),1,0)</f>
        <v>1</v>
      </c>
      <c r="H176" s="30">
        <f>IF(J176=1,D176-$C$3,0)</f>
        <v>0</v>
      </c>
      <c r="I176" s="30">
        <f t="shared" si="239"/>
        <v>0</v>
      </c>
      <c r="J176" s="28">
        <f t="shared" ref="J176:J179" si="275">IF(AND(E176=1,G176=1),1,0)</f>
        <v>0</v>
      </c>
      <c r="K176" s="30">
        <f>VLOOKUP($C176,COS!$B$8:$H$991,2,FALSE)</f>
        <v>4211.595703125</v>
      </c>
      <c r="L176" s="28">
        <f t="shared" ref="L176" si="276">IF(K176&lt;=IF(MONTH($C176)=4,$I$3,IF(MONTH($C176)=5,$I$4,IF(MONTH($C176)=6,$I$5,IF(MONTH($C176)=7,$I$6,"ERROR")))),1,0)</f>
        <v>1</v>
      </c>
      <c r="M176" s="28">
        <f t="shared" ref="M176" si="277">VLOOKUP($A176,$L$3:$M$7,2,FALSE)</f>
        <v>0</v>
      </c>
      <c r="N176" s="30">
        <f>VLOOKUP($C176,COS!$B$8:$H$991,5,FALSE)</f>
        <v>253.27787780761719</v>
      </c>
      <c r="O176" s="30">
        <f t="shared" ref="O176:O179" si="278">N176*DAY($C176)*86400/43560/1000</f>
        <v>15.071080332354081</v>
      </c>
      <c r="P176" s="30">
        <f>VLOOKUP($C176,COS!$B$8:$H$991,6,FALSE)</f>
        <v>410.20220947265625</v>
      </c>
      <c r="Q176" s="30">
        <f t="shared" ref="Q176:Q179" si="279">P176*DAY($C176)*86400/43560/1000</f>
        <v>24.408726514075415</v>
      </c>
      <c r="R176" s="30">
        <f>MIN(IF(MONTH($C176)=4,$S$3,IF(MONTH($C176)=5,$S$4,IF(MONTH($C176)=6,$S$5,IF(MONTH($C176)=7,$S$6,"ERROR")))),MAX(VLOOKUP($C176,COS!$B$8:$K$991,10,FALSE)-IF(MONTH($C176)=4,$Y$3,IF(MONTH($C176)=5,$Y$4,IF(MONTH($C176)=6,$Y$5,IF(MONTH($C176)=7,$Y$6,"ERROR")))),0),MAX(VLOOKUP($C176,COS!$B$8:$K$991,9,FALSE)-IF(MONTH($C176)=4,$V$3,IF(MONTH($C176)=5,$V$4,IF(MONTH($C176)=6,$V$5,IF(MONTH($C176)=7,$V$6,"ERROR"))))-VLOOKUP($C176,COS!$B$8:$K$991,6,FALSE)/2,0))</f>
        <v>1500</v>
      </c>
      <c r="S176" s="30">
        <f t="shared" ref="S176:S179" si="280">R176*DAY($C176)*86400/43560/1000</f>
        <v>89.256198347107429</v>
      </c>
      <c r="T176" s="30">
        <f t="shared" ref="T176:T179" si="281">(O176+Q176)/2+S176</f>
        <v>108.99610177032218</v>
      </c>
      <c r="U176" s="30" t="str">
        <f>IF(VLOOKUP($C176,COS!$B$8:$I$991,8,FALSE)=1,"UWFE","IBU")</f>
        <v>UWFE</v>
      </c>
      <c r="V176" s="30">
        <f t="shared" ref="V176" si="282">MIN(IF(IF($AA$3=2,AND(E176=1,G176=1,L176=1,L181=1,M176=1,U176="IBU"),AND(E176=1,G176=1,L176=1,L181=1,M176=1)),T176,0),I176)</f>
        <v>0</v>
      </c>
      <c r="W176" s="30"/>
      <c r="X176" s="30"/>
      <c r="Y176" s="30"/>
      <c r="Z176" s="30"/>
      <c r="AA176" s="30"/>
      <c r="AB176" s="31"/>
    </row>
    <row r="177" spans="1:28" x14ac:dyDescent="0.3">
      <c r="A177" s="32">
        <f>VLOOKUP(YEAR(C177),Flags!$A$13:$B$95,2,FALSE)</f>
        <v>2</v>
      </c>
      <c r="B177" s="24">
        <f t="shared" si="225"/>
        <v>1940</v>
      </c>
      <c r="C177" s="25">
        <v>14762</v>
      </c>
      <c r="D177" s="26">
        <f>VLOOKUP($C177,COS!$B$8:$H$991,3,FALSE)</f>
        <v>5750.91845703125</v>
      </c>
      <c r="E177" s="24">
        <f>IF(D177&gt;=IF(MONTH($C177)=4,$C$3,IF(MONTH($C177)=5,$C$4,IF(MONTH($C177)=6,$C$5,IF(MONTH($C177)=7,$C$6,"ERROR")))),1,0)</f>
        <v>0</v>
      </c>
      <c r="F177" s="26">
        <f>VLOOKUP($C177,COS!$B$8:$H$991,7,FALSE)</f>
        <v>51.514625549316406</v>
      </c>
      <c r="G177" s="24">
        <f>IF(F177&lt;=IF(MONTH($C177)=4,$F$3,IF(MONTH($C177)=5,$F$4,IF(MONTH($C177)=6,$F$5,IF(MONTH($C177)=7,$F$6,"ERROR")))),1,0)</f>
        <v>1</v>
      </c>
      <c r="H177" s="26">
        <f>IF(J177=1,D177-$C$4,0)</f>
        <v>0</v>
      </c>
      <c r="I177" s="26">
        <f t="shared" si="239"/>
        <v>0</v>
      </c>
      <c r="J177" s="24">
        <f t="shared" si="275"/>
        <v>0</v>
      </c>
      <c r="K177" s="26">
        <f>VLOOKUP($C177,COS!$B$8:$H$991,2,FALSE)</f>
        <v>4218.22314453125</v>
      </c>
      <c r="L177" s="24">
        <f t="shared" si="231"/>
        <v>1</v>
      </c>
      <c r="M177" s="24">
        <f t="shared" si="232"/>
        <v>0</v>
      </c>
      <c r="N177" s="26">
        <f>VLOOKUP($C177,COS!$B$8:$H$991,5,FALSE)</f>
        <v>465.70071411132813</v>
      </c>
      <c r="O177" s="26">
        <f t="shared" si="278"/>
        <v>28.634820768498194</v>
      </c>
      <c r="P177" s="26">
        <f>VLOOKUP($C177,COS!$B$8:$H$991,6,FALSE)</f>
        <v>1936.545654296875</v>
      </c>
      <c r="Q177" s="26">
        <f t="shared" si="279"/>
        <v>119.07355097494835</v>
      </c>
      <c r="R177" s="26">
        <f>MIN(IF(MONTH($C177)=4,$S$3,IF(MONTH($C177)=5,$S$4,IF(MONTH($C177)=6,$S$5,IF(MONTH($C177)=7,$S$6,"ERROR")))),MAX(VLOOKUP($C177,COS!$B$8:$K$991,10,FALSE)-IF(MONTH($C177)=4,$Y$3,IF(MONTH($C177)=5,$Y$4,IF(MONTH($C177)=6,$Y$5,IF(MONTH($C177)=7,$Y$6,"ERROR")))),0),MAX(VLOOKUP($C177,COS!$B$8:$K$991,9,FALSE)-IF(MONTH($C177)=4,$V$3,IF(MONTH($C177)=5,$V$4,IF(MONTH($C177)=6,$V$5,IF(MONTH($C177)=7,$V$6,"ERROR"))))-VLOOKUP($C177,COS!$B$8:$K$991,6,FALSE)/2,0))</f>
        <v>1500</v>
      </c>
      <c r="S177" s="26">
        <f t="shared" si="280"/>
        <v>92.231404958677686</v>
      </c>
      <c r="T177" s="26">
        <f t="shared" si="281"/>
        <v>166.08559083040097</v>
      </c>
      <c r="U177" s="26" t="str">
        <f>IF(VLOOKUP($C177,COS!$B$8:$I$991,8,FALSE)=1,"UWFE","IBU")</f>
        <v>UWFE</v>
      </c>
      <c r="V177" s="26">
        <f t="shared" ref="V177" si="283">MIN(IF(IF($AA$3=2,AND(E177=1,G177=1,L177=1,L181=1,M177=1,U177="IBU"),AND(E177=1,G177=1,L177=1,L181=1,M177=1)),T177,0),I177)</f>
        <v>0</v>
      </c>
      <c r="W177" s="26"/>
      <c r="X177" s="26"/>
      <c r="Y177" s="26"/>
      <c r="Z177" s="26"/>
      <c r="AA177" s="26"/>
      <c r="AB177" s="33"/>
    </row>
    <row r="178" spans="1:28" x14ac:dyDescent="0.3">
      <c r="A178" s="32">
        <f>VLOOKUP(YEAR(C178),Flags!$A$13:$B$95,2,FALSE)</f>
        <v>2</v>
      </c>
      <c r="B178" s="24">
        <f t="shared" si="225"/>
        <v>1940</v>
      </c>
      <c r="C178" s="25">
        <v>14792</v>
      </c>
      <c r="D178" s="26">
        <f>VLOOKUP($C178,COS!$B$8:$H$991,3,FALSE)</f>
        <v>9764.62109375</v>
      </c>
      <c r="E178" s="24">
        <f>IF(D178&gt;=IF(MONTH($C178)=4,$C$3,IF(MONTH($C178)=5,$C$4,IF(MONTH($C178)=6,$C$5,IF(MONTH($C178)=7,$C$6,"ERROR")))),1,0)</f>
        <v>0</v>
      </c>
      <c r="F178" s="26">
        <f>VLOOKUP($C178,COS!$B$8:$H$991,7,FALSE)</f>
        <v>51.442054748535156</v>
      </c>
      <c r="G178" s="24">
        <f>IF(F178&lt;=IF(MONTH($C178)=4,$F$3,IF(MONTH($C178)=5,$F$4,IF(MONTH($C178)=6,$F$5,IF(MONTH($C178)=7,$F$6,"ERROR")))),1,0)</f>
        <v>1</v>
      </c>
      <c r="H178" s="26">
        <f>IF(J178=1,D178-$C$5,0)</f>
        <v>0</v>
      </c>
      <c r="I178" s="26">
        <f t="shared" si="239"/>
        <v>0</v>
      </c>
      <c r="J178" s="24">
        <f t="shared" si="275"/>
        <v>0</v>
      </c>
      <c r="K178" s="26">
        <f>VLOOKUP($C178,COS!$B$8:$H$991,2,FALSE)</f>
        <v>3893.91650390625</v>
      </c>
      <c r="L178" s="24">
        <f t="shared" si="231"/>
        <v>1</v>
      </c>
      <c r="M178" s="24">
        <f t="shared" si="232"/>
        <v>0</v>
      </c>
      <c r="N178" s="26">
        <f>VLOOKUP($C178,COS!$B$8:$H$991,5,FALSE)</f>
        <v>885.69073486328125</v>
      </c>
      <c r="O178" s="26">
        <f t="shared" si="278"/>
        <v>52.702258603434913</v>
      </c>
      <c r="P178" s="26">
        <f>VLOOKUP($C178,COS!$B$8:$H$991,6,FALSE)</f>
        <v>2416.416259765625</v>
      </c>
      <c r="Q178" s="26">
        <f t="shared" si="279"/>
        <v>143.78675264721076</v>
      </c>
      <c r="R178" s="26">
        <f>MIN(IF(MONTH($C178)=4,$S$3,IF(MONTH($C178)=5,$S$4,IF(MONTH($C178)=6,$S$5,IF(MONTH($C178)=7,$S$6,"ERROR")))),MAX(VLOOKUP($C178,COS!$B$8:$K$991,10,FALSE)-IF(MONTH($C178)=4,$Y$3,IF(MONTH($C178)=5,$Y$4,IF(MONTH($C178)=6,$Y$5,IF(MONTH($C178)=7,$Y$6,"ERROR")))),0),MAX(VLOOKUP($C178,COS!$B$8:$K$991,9,FALSE)-IF(MONTH($C178)=4,$V$3,IF(MONTH($C178)=5,$V$4,IF(MONTH($C178)=6,$V$5,IF(MONTH($C178)=7,$V$6,"ERROR"))))-VLOOKUP($C178,COS!$B$8:$K$991,6,FALSE)/2,0))</f>
        <v>1500</v>
      </c>
      <c r="S178" s="26">
        <f t="shared" si="280"/>
        <v>89.256198347107429</v>
      </c>
      <c r="T178" s="26">
        <f t="shared" si="281"/>
        <v>187.50070397243024</v>
      </c>
      <c r="U178" s="26" t="str">
        <f>IF(VLOOKUP($C178,COS!$B$8:$I$991,8,FALSE)=1,"UWFE","IBU")</f>
        <v>IBU</v>
      </c>
      <c r="V178" s="26">
        <f t="shared" ref="V178" si="284">MIN(IF(IF($AA$3=2,AND(E178=1,G178=1,L178=1,L181=1,M178=1,U178="IBU"),AND(E178=1,G178=1,L178=1,L181=1,M178=1)),T178,0),I178)</f>
        <v>0</v>
      </c>
      <c r="W178" s="26"/>
      <c r="X178" s="26"/>
      <c r="Y178" s="26"/>
      <c r="Z178" s="26"/>
      <c r="AA178" s="26"/>
      <c r="AB178" s="33"/>
    </row>
    <row r="179" spans="1:28" x14ac:dyDescent="0.3">
      <c r="A179" s="32">
        <f>VLOOKUP(YEAR(C179),Flags!$A$13:$B$95,2,FALSE)</f>
        <v>2</v>
      </c>
      <c r="B179" s="24">
        <f t="shared" si="225"/>
        <v>1940</v>
      </c>
      <c r="C179" s="25">
        <v>14823</v>
      </c>
      <c r="D179" s="26">
        <f>VLOOKUP($C179,COS!$B$8:$H$991,3,FALSE)</f>
        <v>15730.8037109375</v>
      </c>
      <c r="E179" s="24">
        <f>IF(D179&gt;=IF(MONTH($C179)=4,$C$3,IF(MONTH($C179)=5,$C$4,IF(MONTH($C179)=6,$C$5,IF(MONTH($C179)=7,$C$6,"ERROR")))),1,0)</f>
        <v>1</v>
      </c>
      <c r="F179" s="26">
        <f>VLOOKUP($C179,COS!$B$8:$H$991,7,FALSE)</f>
        <v>51.379985809326172</v>
      </c>
      <c r="G179" s="24">
        <f>IF(F179&lt;=IF(MONTH($C179)=4,$F$3,IF(MONTH($C179)=5,$F$4,IF(MONTH($C179)=6,$F$5,IF(MONTH($C179)=7,$F$6,"ERROR")))),1,0)</f>
        <v>1</v>
      </c>
      <c r="H179" s="26">
        <f>IF(J179=1,D179-$C$6,0)</f>
        <v>3730.8037109375</v>
      </c>
      <c r="I179" s="26">
        <f t="shared" si="239"/>
        <v>229.39817858987604</v>
      </c>
      <c r="J179" s="24">
        <f t="shared" si="275"/>
        <v>1</v>
      </c>
      <c r="K179" s="26">
        <f>VLOOKUP($C179,COS!$B$8:$H$991,2,FALSE)</f>
        <v>3200</v>
      </c>
      <c r="L179" s="24">
        <f t="shared" si="231"/>
        <v>1</v>
      </c>
      <c r="M179" s="24">
        <f t="shared" si="232"/>
        <v>0</v>
      </c>
      <c r="N179" s="26">
        <f>VLOOKUP($C179,COS!$B$8:$H$991,5,FALSE)</f>
        <v>981.25543212890625</v>
      </c>
      <c r="O179" s="26">
        <f t="shared" si="278"/>
        <v>60.335044752388946</v>
      </c>
      <c r="P179" s="26">
        <f>VLOOKUP($C179,COS!$B$8:$H$991,6,FALSE)</f>
        <v>2562.892822265625</v>
      </c>
      <c r="Q179" s="26">
        <f t="shared" si="279"/>
        <v>157.58613717071282</v>
      </c>
      <c r="R179" s="26">
        <f>MIN(IF(MONTH($C179)=4,$S$3,IF(MONTH($C179)=5,$S$4,IF(MONTH($C179)=6,$S$5,IF(MONTH($C179)=7,$S$6,"ERROR")))),MAX(VLOOKUP($C179,COS!$B$8:$K$991,10,FALSE)-IF(MONTH($C179)=4,$Y$3,IF(MONTH($C179)=5,$Y$4,IF(MONTH($C179)=6,$Y$5,IF(MONTH($C179)=7,$Y$6,"ERROR")))),0),MAX(VLOOKUP($C179,COS!$B$8:$K$991,9,FALSE)-IF(MONTH($C179)=4,$V$3,IF(MONTH($C179)=5,$V$4,IF(MONTH($C179)=6,$V$5,IF(MONTH($C179)=7,$V$6,"ERROR"))))-VLOOKUP($C179,COS!$B$8:$K$991,6,FALSE)/2,0))</f>
        <v>1500</v>
      </c>
      <c r="S179" s="26">
        <f t="shared" si="280"/>
        <v>92.231404958677686</v>
      </c>
      <c r="T179" s="26">
        <f t="shared" si="281"/>
        <v>201.19199592022858</v>
      </c>
      <c r="U179" s="26" t="str">
        <f>IF(VLOOKUP($C179,COS!$B$8:$I$991,8,FALSE)=1,"UWFE","IBU")</f>
        <v>IBU</v>
      </c>
      <c r="V179" s="26">
        <f t="shared" ref="V179" si="285">MIN(IF(IF($AA$3=2,AND(E179=1,G179=1,L179=1,L181=1,M179=1,U179="IBU"),AND(E179=1,G179=1,L179=1,L181=1,M179=1)),T179,0),I179)</f>
        <v>0</v>
      </c>
      <c r="W179" s="26"/>
      <c r="X179" s="26"/>
      <c r="Y179" s="26"/>
      <c r="Z179" s="26"/>
      <c r="AA179" s="26"/>
      <c r="AB179" s="33"/>
    </row>
    <row r="180" spans="1:28" x14ac:dyDescent="0.3">
      <c r="A180" s="32">
        <f>VLOOKUP(YEAR(C180),Flags!$A$13:$B$95,2,FALSE)</f>
        <v>2</v>
      </c>
      <c r="B180" s="24">
        <f t="shared" si="225"/>
        <v>1940</v>
      </c>
      <c r="C180" s="25">
        <v>14854</v>
      </c>
      <c r="D180" s="26"/>
      <c r="E180" s="24"/>
      <c r="F180" s="26"/>
      <c r="G180" s="24"/>
      <c r="H180" s="24"/>
      <c r="I180" s="26"/>
      <c r="J180" s="24"/>
      <c r="K180" s="26"/>
      <c r="L180" s="24"/>
      <c r="M180" s="24"/>
      <c r="N180" s="26"/>
      <c r="O180" s="26"/>
      <c r="P180" s="26"/>
      <c r="Q180" s="26"/>
      <c r="R180" s="26"/>
      <c r="S180" s="26"/>
      <c r="T180" s="26"/>
      <c r="U180" s="26"/>
      <c r="V180" s="26"/>
      <c r="W180" s="26">
        <f>MAX($C$7-VLOOKUP($C180,COS!$B$8:$H$991,3,FALSE),0)</f>
        <v>88462.974609375</v>
      </c>
      <c r="X180" s="26">
        <f t="shared" si="245"/>
        <v>5439.3762900309921</v>
      </c>
      <c r="Y180" s="26">
        <f>VLOOKUP($C180,COS!$B$8:$H$991,4,FALSE)</f>
        <v>0</v>
      </c>
      <c r="Z180" s="26">
        <f t="shared" si="246"/>
        <v>0</v>
      </c>
      <c r="AA180" s="26">
        <f t="shared" ref="AA180:AA184" si="286">MIN(W180,Y180)</f>
        <v>0</v>
      </c>
      <c r="AB180" s="33">
        <f t="shared" ref="AB180" si="287">AA180*DAY($C180)*86400/43560/1000*IF(MONTH($C180)=8,$P$3,IF(MONTH($C180)=9,$P$4,IF(MONTH($C180)=10,$P$5,IF(MONTH($C180)=11,$P$6,IF(MONTH($C180)=12,$P$7,NA())))))</f>
        <v>0</v>
      </c>
    </row>
    <row r="181" spans="1:28" x14ac:dyDescent="0.3">
      <c r="A181" s="32">
        <f>VLOOKUP(YEAR(C181),Flags!$A$13:$B$95,2,FALSE)</f>
        <v>2</v>
      </c>
      <c r="B181" s="24">
        <f t="shared" si="225"/>
        <v>1940</v>
      </c>
      <c r="C181" s="25">
        <v>14884</v>
      </c>
      <c r="D181" s="26"/>
      <c r="E181" s="24"/>
      <c r="F181" s="26"/>
      <c r="G181" s="24"/>
      <c r="H181" s="24"/>
      <c r="I181" s="26"/>
      <c r="J181" s="24"/>
      <c r="K181" s="26">
        <f>VLOOKUP($C181,COS!$B$8:$H$991,2,FALSE)</f>
        <v>2472.069580078125</v>
      </c>
      <c r="L181" s="24">
        <f t="shared" ref="L181" si="288">IF(AND(K181&gt;$I$7,K181&lt;$I$8),1,0)</f>
        <v>1</v>
      </c>
      <c r="M181" s="24"/>
      <c r="N181" s="26"/>
      <c r="O181" s="26"/>
      <c r="P181" s="26"/>
      <c r="Q181" s="26"/>
      <c r="R181" s="26"/>
      <c r="S181" s="26"/>
      <c r="T181" s="26"/>
      <c r="U181" s="26"/>
      <c r="V181" s="26"/>
      <c r="W181" s="26">
        <f>MAX($C$8-VLOOKUP($C181,COS!$B$8:$H$991,3,FALSE),0)</f>
        <v>90576.14453125</v>
      </c>
      <c r="X181" s="26">
        <f t="shared" si="245"/>
        <v>5389.6548811983475</v>
      </c>
      <c r="Y181" s="26">
        <f>VLOOKUP($C181,COS!$B$8:$H$991,4,FALSE)</f>
        <v>254.33448791503906</v>
      </c>
      <c r="Z181" s="26">
        <f t="shared" si="246"/>
        <v>15.133952999903151</v>
      </c>
      <c r="AA181" s="26">
        <f t="shared" si="286"/>
        <v>254.33448791503906</v>
      </c>
      <c r="AB181" s="33">
        <f t="shared" si="243"/>
        <v>15.133952999903151</v>
      </c>
    </row>
    <row r="182" spans="1:28" x14ac:dyDescent="0.3">
      <c r="A182" s="32">
        <f>VLOOKUP(YEAR(C182),Flags!$A$13:$B$95,2,FALSE)</f>
        <v>2</v>
      </c>
      <c r="B182" s="24">
        <f t="shared" si="225"/>
        <v>1940</v>
      </c>
      <c r="C182" s="25">
        <v>14915</v>
      </c>
      <c r="D182" s="26"/>
      <c r="E182" s="24"/>
      <c r="F182" s="26"/>
      <c r="G182" s="26"/>
      <c r="H182" s="26"/>
      <c r="I182" s="26"/>
      <c r="J182" s="26"/>
      <c r="K182" s="26"/>
      <c r="L182" s="24"/>
      <c r="M182" s="24"/>
      <c r="N182" s="26"/>
      <c r="O182" s="26"/>
      <c r="P182" s="26"/>
      <c r="Q182" s="26"/>
      <c r="R182" s="26"/>
      <c r="S182" s="26"/>
      <c r="T182" s="26"/>
      <c r="U182" s="26"/>
      <c r="V182" s="26"/>
      <c r="W182" s="26">
        <f>MAX($C$9-VLOOKUP($C182,COS!$B$8:$H$991,3,FALSE),0)</f>
        <v>93346.93359375</v>
      </c>
      <c r="X182" s="26">
        <f t="shared" si="245"/>
        <v>5739.6792226239668</v>
      </c>
      <c r="Y182" s="26">
        <f>VLOOKUP($C182,COS!$B$8:$H$991,4,FALSE)</f>
        <v>785.3338623046875</v>
      </c>
      <c r="Z182" s="26">
        <f t="shared" si="246"/>
        <v>48.288296987990705</v>
      </c>
      <c r="AA182" s="26">
        <f t="shared" si="286"/>
        <v>785.3338623046875</v>
      </c>
      <c r="AB182" s="33">
        <f t="shared" si="243"/>
        <v>48.288296987990705</v>
      </c>
    </row>
    <row r="183" spans="1:28" x14ac:dyDescent="0.3">
      <c r="A183" s="32">
        <f>VLOOKUP(YEAR(C183),Flags!$A$13:$B$95,2,FALSE)</f>
        <v>2</v>
      </c>
      <c r="B183" s="24">
        <f t="shared" si="225"/>
        <v>1940</v>
      </c>
      <c r="C183" s="25">
        <v>14945</v>
      </c>
      <c r="D183" s="26"/>
      <c r="E183" s="24"/>
      <c r="F183" s="26"/>
      <c r="G183" s="26"/>
      <c r="H183" s="26"/>
      <c r="I183" s="26"/>
      <c r="J183" s="26"/>
      <c r="K183" s="26"/>
      <c r="L183" s="24"/>
      <c r="M183" s="24"/>
      <c r="N183" s="26"/>
      <c r="O183" s="26"/>
      <c r="P183" s="26"/>
      <c r="Q183" s="26"/>
      <c r="R183" s="26"/>
      <c r="S183" s="26"/>
      <c r="T183" s="26"/>
      <c r="U183" s="26"/>
      <c r="V183" s="26"/>
      <c r="W183" s="26">
        <f>MAX($C$10-VLOOKUP($C183,COS!$B$8:$H$991,3,FALSE),0)</f>
        <v>92458.0693359375</v>
      </c>
      <c r="X183" s="26">
        <f t="shared" si="245"/>
        <v>5501.6371836260332</v>
      </c>
      <c r="Y183" s="26">
        <f>VLOOKUP($C183,COS!$B$8:$H$991,4,FALSE)</f>
        <v>1105.5103759765625</v>
      </c>
      <c r="Z183" s="26">
        <f t="shared" si="246"/>
        <v>65.782435595299589</v>
      </c>
      <c r="AA183" s="26">
        <f t="shared" si="286"/>
        <v>1105.5103759765625</v>
      </c>
      <c r="AB183" s="33">
        <f t="shared" si="243"/>
        <v>32.891217797649794</v>
      </c>
    </row>
    <row r="184" spans="1:28" x14ac:dyDescent="0.3">
      <c r="A184" s="34">
        <f>VLOOKUP(YEAR(C184),Flags!$A$13:$B$95,2,FALSE)</f>
        <v>2</v>
      </c>
      <c r="B184" s="35">
        <f t="shared" si="225"/>
        <v>1940</v>
      </c>
      <c r="C184" s="36">
        <v>14976</v>
      </c>
      <c r="D184" s="37"/>
      <c r="E184" s="35"/>
      <c r="F184" s="37"/>
      <c r="G184" s="37"/>
      <c r="H184" s="37"/>
      <c r="I184" s="37"/>
      <c r="J184" s="37"/>
      <c r="K184" s="37"/>
      <c r="L184" s="35"/>
      <c r="M184" s="35"/>
      <c r="N184" s="37"/>
      <c r="O184" s="37"/>
      <c r="P184" s="37"/>
      <c r="Q184" s="37"/>
      <c r="R184" s="37"/>
      <c r="S184" s="37"/>
      <c r="T184" s="37"/>
      <c r="U184" s="37"/>
      <c r="V184" s="37"/>
      <c r="W184" s="37">
        <f>MAX($C$11-VLOOKUP($C184,COS!$B$8:$H$991,3,FALSE),0)</f>
        <v>0</v>
      </c>
      <c r="X184" s="37">
        <f t="shared" si="245"/>
        <v>0</v>
      </c>
      <c r="Y184" s="37">
        <f>VLOOKUP($C184,COS!$B$8:$H$991,4,FALSE)</f>
        <v>0</v>
      </c>
      <c r="Z184" s="37">
        <f t="shared" si="246"/>
        <v>0</v>
      </c>
      <c r="AA184" s="37">
        <f t="shared" si="286"/>
        <v>0</v>
      </c>
      <c r="AB184" s="38">
        <f t="shared" si="243"/>
        <v>0</v>
      </c>
    </row>
    <row r="185" spans="1:28" x14ac:dyDescent="0.3">
      <c r="A185" s="27">
        <f>VLOOKUP(YEAR(C185),Flags!$A$13:$B$95,2,FALSE)</f>
        <v>1</v>
      </c>
      <c r="B185" s="28">
        <f t="shared" si="225"/>
        <v>1941</v>
      </c>
      <c r="C185" s="29">
        <v>15096</v>
      </c>
      <c r="D185" s="30">
        <f>VLOOKUP($C185,COS!$B$8:$H$991,3,FALSE)</f>
        <v>13347.38671875</v>
      </c>
      <c r="E185" s="28">
        <f>IF(D185&gt;=IF(MONTH($C185)=4,$C$3,IF(MONTH($C185)=5,$C$4,IF(MONTH($C185)=6,$C$5,IF(MONTH($C185)=7,$C$6,"ERROR")))),1,0)</f>
        <v>1</v>
      </c>
      <c r="F185" s="30">
        <f>VLOOKUP($C185,COS!$B$8:$H$991,7,FALSE)</f>
        <v>47.10235595703125</v>
      </c>
      <c r="G185" s="28">
        <f>IF(F185&lt;=IF(MONTH($C185)=4,$F$3,IF(MONTH($C185)=5,$F$4,IF(MONTH($C185)=6,$F$5,IF(MONTH($C185)=7,$F$6,"ERROR")))),1,0)</f>
        <v>1</v>
      </c>
      <c r="H185" s="30">
        <f>IF(J185=1,D185-$C$3,0)</f>
        <v>7347.38671875</v>
      </c>
      <c r="I185" s="30">
        <f t="shared" si="239"/>
        <v>437.1998708677686</v>
      </c>
      <c r="J185" s="28">
        <f t="shared" ref="J185:J188" si="289">IF(AND(E185=1,G185=1),1,0)</f>
        <v>1</v>
      </c>
      <c r="K185" s="30">
        <f>VLOOKUP($C185,COS!$B$8:$H$991,2,FALSE)</f>
        <v>4456</v>
      </c>
      <c r="L185" s="28">
        <f t="shared" ref="L185" si="290">IF(K185&lt;=IF(MONTH($C185)=4,$I$3,IF(MONTH($C185)=5,$I$4,IF(MONTH($C185)=6,$I$5,IF(MONTH($C185)=7,$I$6,"ERROR")))),1,0)</f>
        <v>1</v>
      </c>
      <c r="M185" s="28">
        <f t="shared" ref="M185" si="291">VLOOKUP($A185,$L$3:$M$7,2,FALSE)</f>
        <v>0</v>
      </c>
      <c r="N185" s="30">
        <f>VLOOKUP($C185,COS!$B$8:$H$991,5,FALSE)</f>
        <v>23.296117782592773</v>
      </c>
      <c r="O185" s="30">
        <f t="shared" ref="O185:O188" si="292">N185*DAY($C185)*86400/43560/1000</f>
        <v>1.3862152730137849</v>
      </c>
      <c r="P185" s="30">
        <f>VLOOKUP($C185,COS!$B$8:$H$991,6,FALSE)</f>
        <v>258.51828002929688</v>
      </c>
      <c r="Q185" s="30">
        <f t="shared" ref="Q185:Q188" si="293">P185*DAY($C185)*86400/43560/1000</f>
        <v>15.382905919098658</v>
      </c>
      <c r="R185" s="30">
        <f>MIN(IF(MONTH($C185)=4,$S$3,IF(MONTH($C185)=5,$S$4,IF(MONTH($C185)=6,$S$5,IF(MONTH($C185)=7,$S$6,"ERROR")))),MAX(VLOOKUP($C185,COS!$B$8:$K$991,10,FALSE)-IF(MONTH($C185)=4,$Y$3,IF(MONTH($C185)=5,$Y$4,IF(MONTH($C185)=6,$Y$5,IF(MONTH($C185)=7,$Y$6,"ERROR")))),0),MAX(VLOOKUP($C185,COS!$B$8:$K$991,9,FALSE)-IF(MONTH($C185)=4,$V$3,IF(MONTH($C185)=5,$V$4,IF(MONTH($C185)=6,$V$5,IF(MONTH($C185)=7,$V$6,"ERROR"))))-VLOOKUP($C185,COS!$B$8:$K$991,6,FALSE)/2,0))</f>
        <v>1500</v>
      </c>
      <c r="S185" s="30">
        <f t="shared" ref="S185:S188" si="294">R185*DAY($C185)*86400/43560/1000</f>
        <v>89.256198347107429</v>
      </c>
      <c r="T185" s="30">
        <f t="shared" ref="T185:T188" si="295">(O185+Q185)/2+S185</f>
        <v>97.640758943163647</v>
      </c>
      <c r="U185" s="30" t="str">
        <f>IF(VLOOKUP($C185,COS!$B$8:$I$991,8,FALSE)=1,"UWFE","IBU")</f>
        <v>UWFE</v>
      </c>
      <c r="V185" s="30">
        <f t="shared" ref="V185" si="296">MIN(IF(IF($AA$3=2,AND(E185=1,G185=1,L185=1,L190=1,M185=1,U185="IBU"),AND(E185=1,G185=1,L185=1,L190=1,M185=1)),T185,0),I185)</f>
        <v>0</v>
      </c>
      <c r="W185" s="30"/>
      <c r="X185" s="30"/>
      <c r="Y185" s="30"/>
      <c r="Z185" s="30"/>
      <c r="AA185" s="30"/>
      <c r="AB185" s="31"/>
    </row>
    <row r="186" spans="1:28" x14ac:dyDescent="0.3">
      <c r="A186" s="32">
        <f>VLOOKUP(YEAR(C186),Flags!$A$13:$B$95,2,FALSE)</f>
        <v>1</v>
      </c>
      <c r="B186" s="24">
        <f t="shared" si="225"/>
        <v>1941</v>
      </c>
      <c r="C186" s="25">
        <v>15127</v>
      </c>
      <c r="D186" s="26">
        <f>VLOOKUP($C186,COS!$B$8:$H$991,3,FALSE)</f>
        <v>11196.62890625</v>
      </c>
      <c r="E186" s="24">
        <f>IF(D186&gt;=IF(MONTH($C186)=4,$C$3,IF(MONTH($C186)=5,$C$4,IF(MONTH($C186)=6,$C$5,IF(MONTH($C186)=7,$C$6,"ERROR")))),1,0)</f>
        <v>1</v>
      </c>
      <c r="F186" s="26">
        <f>VLOOKUP($C186,COS!$B$8:$H$991,7,FALSE)</f>
        <v>49.271575927734375</v>
      </c>
      <c r="G186" s="24">
        <f>IF(F186&lt;=IF(MONTH($C186)=4,$F$3,IF(MONTH($C186)=5,$F$4,IF(MONTH($C186)=6,$F$5,IF(MONTH($C186)=7,$F$6,"ERROR")))),1,0)</f>
        <v>1</v>
      </c>
      <c r="H186" s="26">
        <f>IF(J186=1,D186-$C$4,0)</f>
        <v>5196.62890625</v>
      </c>
      <c r="I186" s="26">
        <f t="shared" si="239"/>
        <v>319.52825671487602</v>
      </c>
      <c r="J186" s="24">
        <f t="shared" si="289"/>
        <v>1</v>
      </c>
      <c r="K186" s="26">
        <f>VLOOKUP($C186,COS!$B$8:$H$991,2,FALSE)</f>
        <v>4552</v>
      </c>
      <c r="L186" s="24">
        <f t="shared" si="231"/>
        <v>1</v>
      </c>
      <c r="M186" s="24">
        <f t="shared" si="232"/>
        <v>0</v>
      </c>
      <c r="N186" s="26">
        <f>VLOOKUP($C186,COS!$B$8:$H$991,5,FALSE)</f>
        <v>416.04388427734375</v>
      </c>
      <c r="O186" s="26">
        <f t="shared" si="292"/>
        <v>25.581541314243285</v>
      </c>
      <c r="P186" s="26">
        <f>VLOOKUP($C186,COS!$B$8:$H$991,6,FALSE)</f>
        <v>1881.5819091796875</v>
      </c>
      <c r="Q186" s="26">
        <f t="shared" si="293"/>
        <v>115.69396201898243</v>
      </c>
      <c r="R186" s="26">
        <f>MIN(IF(MONTH($C186)=4,$S$3,IF(MONTH($C186)=5,$S$4,IF(MONTH($C186)=6,$S$5,IF(MONTH($C186)=7,$S$6,"ERROR")))),MAX(VLOOKUP($C186,COS!$B$8:$K$991,10,FALSE)-IF(MONTH($C186)=4,$Y$3,IF(MONTH($C186)=5,$Y$4,IF(MONTH($C186)=6,$Y$5,IF(MONTH($C186)=7,$Y$6,"ERROR")))),0),MAX(VLOOKUP($C186,COS!$B$8:$K$991,9,FALSE)-IF(MONTH($C186)=4,$V$3,IF(MONTH($C186)=5,$V$4,IF(MONTH($C186)=6,$V$5,IF(MONTH($C186)=7,$V$6,"ERROR"))))-VLOOKUP($C186,COS!$B$8:$K$991,6,FALSE)/2,0))</f>
        <v>1500</v>
      </c>
      <c r="S186" s="26">
        <f t="shared" si="294"/>
        <v>92.231404958677686</v>
      </c>
      <c r="T186" s="26">
        <f t="shared" si="295"/>
        <v>162.86915662529054</v>
      </c>
      <c r="U186" s="26" t="str">
        <f>IF(VLOOKUP($C186,COS!$B$8:$I$991,8,FALSE)=1,"UWFE","IBU")</f>
        <v>UWFE</v>
      </c>
      <c r="V186" s="26">
        <f t="shared" ref="V186" si="297">MIN(IF(IF($AA$3=2,AND(E186=1,G186=1,L186=1,L190=1,M186=1,U186="IBU"),AND(E186=1,G186=1,L186=1,L190=1,M186=1)),T186,0),I186)</f>
        <v>0</v>
      </c>
      <c r="W186" s="26"/>
      <c r="X186" s="26"/>
      <c r="Y186" s="26"/>
      <c r="Z186" s="26"/>
      <c r="AA186" s="26"/>
      <c r="AB186" s="33"/>
    </row>
    <row r="187" spans="1:28" x14ac:dyDescent="0.3">
      <c r="A187" s="32">
        <f>VLOOKUP(YEAR(C187),Flags!$A$13:$B$95,2,FALSE)</f>
        <v>1</v>
      </c>
      <c r="B187" s="24">
        <f t="shared" si="225"/>
        <v>1941</v>
      </c>
      <c r="C187" s="25">
        <v>15157</v>
      </c>
      <c r="D187" s="26">
        <f>VLOOKUP($C187,COS!$B$8:$H$991,3,FALSE)</f>
        <v>7959.45068359375</v>
      </c>
      <c r="E187" s="24">
        <f>IF(D187&gt;=IF(MONTH($C187)=4,$C$3,IF(MONTH($C187)=5,$C$4,IF(MONTH($C187)=6,$C$5,IF(MONTH($C187)=7,$C$6,"ERROR")))),1,0)</f>
        <v>0</v>
      </c>
      <c r="F187" s="26">
        <f>VLOOKUP($C187,COS!$B$8:$H$991,7,FALSE)</f>
        <v>51.485713958740234</v>
      </c>
      <c r="G187" s="24">
        <f>IF(F187&lt;=IF(MONTH($C187)=4,$F$3,IF(MONTH($C187)=5,$F$4,IF(MONTH($C187)=6,$F$5,IF(MONTH($C187)=7,$F$6,"ERROR")))),1,0)</f>
        <v>1</v>
      </c>
      <c r="H187" s="26">
        <f>IF(J187=1,D187-$C$5,0)</f>
        <v>0</v>
      </c>
      <c r="I187" s="26">
        <f t="shared" si="239"/>
        <v>0</v>
      </c>
      <c r="J187" s="24">
        <f t="shared" si="289"/>
        <v>0</v>
      </c>
      <c r="K187" s="26">
        <f>VLOOKUP($C187,COS!$B$8:$H$991,2,FALSE)</f>
        <v>4473.59912109375</v>
      </c>
      <c r="L187" s="24">
        <f t="shared" si="231"/>
        <v>1</v>
      </c>
      <c r="M187" s="24">
        <f t="shared" si="232"/>
        <v>0</v>
      </c>
      <c r="N187" s="26">
        <f>VLOOKUP($C187,COS!$B$8:$H$991,5,FALSE)</f>
        <v>1200.7138671875</v>
      </c>
      <c r="O187" s="26">
        <f t="shared" si="292"/>
        <v>71.447436725206614</v>
      </c>
      <c r="P187" s="26">
        <f>VLOOKUP($C187,COS!$B$8:$H$991,6,FALSE)</f>
        <v>2235.81640625</v>
      </c>
      <c r="Q187" s="26">
        <f t="shared" si="293"/>
        <v>133.04031508264464</v>
      </c>
      <c r="R187" s="26">
        <f>MIN(IF(MONTH($C187)=4,$S$3,IF(MONTH($C187)=5,$S$4,IF(MONTH($C187)=6,$S$5,IF(MONTH($C187)=7,$S$6,"ERROR")))),MAX(VLOOKUP($C187,COS!$B$8:$K$991,10,FALSE)-IF(MONTH($C187)=4,$Y$3,IF(MONTH($C187)=5,$Y$4,IF(MONTH($C187)=6,$Y$5,IF(MONTH($C187)=7,$Y$6,"ERROR")))),0),MAX(VLOOKUP($C187,COS!$B$8:$K$991,9,FALSE)-IF(MONTH($C187)=4,$V$3,IF(MONTH($C187)=5,$V$4,IF(MONTH($C187)=6,$V$5,IF(MONTH($C187)=7,$V$6,"ERROR"))))-VLOOKUP($C187,COS!$B$8:$K$991,6,FALSE)/2,0))</f>
        <v>1500</v>
      </c>
      <c r="S187" s="26">
        <f t="shared" si="294"/>
        <v>89.256198347107429</v>
      </c>
      <c r="T187" s="26">
        <f t="shared" si="295"/>
        <v>191.50007425103306</v>
      </c>
      <c r="U187" s="26" t="str">
        <f>IF(VLOOKUP($C187,COS!$B$8:$I$991,8,FALSE)=1,"UWFE","IBU")</f>
        <v>UWFE</v>
      </c>
      <c r="V187" s="26">
        <f t="shared" ref="V187" si="298">MIN(IF(IF($AA$3=2,AND(E187=1,G187=1,L187=1,L190=1,M187=1,U187="IBU"),AND(E187=1,G187=1,L187=1,L190=1,M187=1)),T187,0),I187)</f>
        <v>0</v>
      </c>
      <c r="W187" s="26"/>
      <c r="X187" s="26"/>
      <c r="Y187" s="26"/>
      <c r="Z187" s="26"/>
      <c r="AA187" s="26"/>
      <c r="AB187" s="33"/>
    </row>
    <row r="188" spans="1:28" x14ac:dyDescent="0.3">
      <c r="A188" s="32">
        <f>VLOOKUP(YEAR(C188),Flags!$A$13:$B$95,2,FALSE)</f>
        <v>1</v>
      </c>
      <c r="B188" s="24">
        <f t="shared" si="225"/>
        <v>1941</v>
      </c>
      <c r="C188" s="25">
        <v>15188</v>
      </c>
      <c r="D188" s="26">
        <f>VLOOKUP($C188,COS!$B$8:$H$991,3,FALSE)</f>
        <v>13357.740234375</v>
      </c>
      <c r="E188" s="24">
        <f>IF(D188&gt;=IF(MONTH($C188)=4,$C$3,IF(MONTH($C188)=5,$C$4,IF(MONTH($C188)=6,$C$5,IF(MONTH($C188)=7,$C$6,"ERROR")))),1,0)</f>
        <v>1</v>
      </c>
      <c r="F188" s="26">
        <f>VLOOKUP($C188,COS!$B$8:$H$991,7,FALSE)</f>
        <v>52.457145690917969</v>
      </c>
      <c r="G188" s="24">
        <f>IF(F188&lt;=IF(MONTH($C188)=4,$F$3,IF(MONTH($C188)=5,$F$4,IF(MONTH($C188)=6,$F$5,IF(MONTH($C188)=7,$F$6,"ERROR")))),1,0)</f>
        <v>1</v>
      </c>
      <c r="H188" s="26">
        <f>IF(J188=1,D188-$C$6,0)</f>
        <v>1357.740234375</v>
      </c>
      <c r="I188" s="26">
        <f t="shared" si="239"/>
        <v>83.484192923553721</v>
      </c>
      <c r="J188" s="24">
        <f t="shared" si="289"/>
        <v>1</v>
      </c>
      <c r="K188" s="26">
        <f>VLOOKUP($C188,COS!$B$8:$H$991,2,FALSE)</f>
        <v>4107.0615234375</v>
      </c>
      <c r="L188" s="24">
        <f t="shared" si="231"/>
        <v>1</v>
      </c>
      <c r="M188" s="24">
        <f t="shared" si="232"/>
        <v>0</v>
      </c>
      <c r="N188" s="26">
        <f>VLOOKUP($C188,COS!$B$8:$H$991,5,FALSE)</f>
        <v>1380.17529296875</v>
      </c>
      <c r="O188" s="26">
        <f t="shared" si="292"/>
        <v>84.863670906508275</v>
      </c>
      <c r="P188" s="26">
        <f>VLOOKUP($C188,COS!$B$8:$H$991,6,FALSE)</f>
        <v>2616.67822265625</v>
      </c>
      <c r="Q188" s="26">
        <f t="shared" si="293"/>
        <v>160.89327253357436</v>
      </c>
      <c r="R188" s="26">
        <f>MIN(IF(MONTH($C188)=4,$S$3,IF(MONTH($C188)=5,$S$4,IF(MONTH($C188)=6,$S$5,IF(MONTH($C188)=7,$S$6,"ERROR")))),MAX(VLOOKUP($C188,COS!$B$8:$K$991,10,FALSE)-IF(MONTH($C188)=4,$Y$3,IF(MONTH($C188)=5,$Y$4,IF(MONTH($C188)=6,$Y$5,IF(MONTH($C188)=7,$Y$6,"ERROR")))),0),MAX(VLOOKUP($C188,COS!$B$8:$K$991,9,FALSE)-IF(MONTH($C188)=4,$V$3,IF(MONTH($C188)=5,$V$4,IF(MONTH($C188)=6,$V$5,IF(MONTH($C188)=7,$V$6,"ERROR"))))-VLOOKUP($C188,COS!$B$8:$K$991,6,FALSE)/2,0))</f>
        <v>1500</v>
      </c>
      <c r="S188" s="26">
        <f t="shared" si="294"/>
        <v>92.231404958677686</v>
      </c>
      <c r="T188" s="26">
        <f t="shared" si="295"/>
        <v>215.10987667871899</v>
      </c>
      <c r="U188" s="26" t="str">
        <f>IF(VLOOKUP($C188,COS!$B$8:$I$991,8,FALSE)=1,"UWFE","IBU")</f>
        <v>IBU</v>
      </c>
      <c r="V188" s="26">
        <f t="shared" ref="V188" si="299">MIN(IF(IF($AA$3=2,AND(E188=1,G188=1,L188=1,L190=1,M188=1,U188="IBU"),AND(E188=1,G188=1,L188=1,L190=1,M188=1)),T188,0),I188)</f>
        <v>0</v>
      </c>
      <c r="W188" s="26"/>
      <c r="X188" s="26"/>
      <c r="Y188" s="26"/>
      <c r="Z188" s="26"/>
      <c r="AA188" s="26"/>
      <c r="AB188" s="33"/>
    </row>
    <row r="189" spans="1:28" x14ac:dyDescent="0.3">
      <c r="A189" s="32">
        <f>VLOOKUP(YEAR(C189),Flags!$A$13:$B$95,2,FALSE)</f>
        <v>1</v>
      </c>
      <c r="B189" s="24">
        <f t="shared" si="225"/>
        <v>1941</v>
      </c>
      <c r="C189" s="25">
        <v>15219</v>
      </c>
      <c r="D189" s="26"/>
      <c r="E189" s="24"/>
      <c r="F189" s="26"/>
      <c r="G189" s="24"/>
      <c r="H189" s="24"/>
      <c r="I189" s="26"/>
      <c r="J189" s="24"/>
      <c r="K189" s="26"/>
      <c r="L189" s="24"/>
      <c r="M189" s="24"/>
      <c r="N189" s="26"/>
      <c r="O189" s="26"/>
      <c r="P189" s="26"/>
      <c r="Q189" s="26"/>
      <c r="R189" s="26"/>
      <c r="S189" s="26"/>
      <c r="T189" s="26"/>
      <c r="U189" s="26"/>
      <c r="V189" s="26"/>
      <c r="W189" s="26">
        <f>MAX($C$7-VLOOKUP($C189,COS!$B$8:$H$991,3,FALSE),0)</f>
        <v>88126.173828125</v>
      </c>
      <c r="X189" s="26">
        <f t="shared" si="245"/>
        <v>5418.6672172004137</v>
      </c>
      <c r="Y189" s="26">
        <f>VLOOKUP($C189,COS!$B$8:$H$991,4,FALSE)</f>
        <v>41.871162414550781</v>
      </c>
      <c r="Z189" s="26">
        <f t="shared" si="246"/>
        <v>2.5745574244979985</v>
      </c>
      <c r="AA189" s="26">
        <f t="shared" ref="AA189:AA193" si="300">MIN(W189,Y189)</f>
        <v>41.871162414550781</v>
      </c>
      <c r="AB189" s="33">
        <f t="shared" ref="AB189" si="301">AA189*DAY($C189)*86400/43560/1000*IF(MONTH($C189)=8,$P$3,IF(MONTH($C189)=9,$P$4,IF(MONTH($C189)=10,$P$5,IF(MONTH($C189)=11,$P$6,IF(MONTH($C189)=12,$P$7,NA())))))</f>
        <v>2.5745574244979985</v>
      </c>
    </row>
    <row r="190" spans="1:28" x14ac:dyDescent="0.3">
      <c r="A190" s="32">
        <f>VLOOKUP(YEAR(C190),Flags!$A$13:$B$95,2,FALSE)</f>
        <v>1</v>
      </c>
      <c r="B190" s="24">
        <f t="shared" si="225"/>
        <v>1941</v>
      </c>
      <c r="C190" s="25">
        <v>15249</v>
      </c>
      <c r="D190" s="26"/>
      <c r="E190" s="24"/>
      <c r="F190" s="26"/>
      <c r="G190" s="24"/>
      <c r="H190" s="24"/>
      <c r="I190" s="26"/>
      <c r="J190" s="24"/>
      <c r="K190" s="26">
        <f>VLOOKUP($C190,COS!$B$8:$H$991,2,FALSE)</f>
        <v>3115.0087890625</v>
      </c>
      <c r="L190" s="24">
        <f t="shared" ref="L190" si="302">IF(AND(K190&gt;$I$7,K190&lt;$I$8),1,0)</f>
        <v>1</v>
      </c>
      <c r="M190" s="24"/>
      <c r="N190" s="26"/>
      <c r="O190" s="26"/>
      <c r="P190" s="26"/>
      <c r="Q190" s="26"/>
      <c r="R190" s="26"/>
      <c r="S190" s="26"/>
      <c r="T190" s="26"/>
      <c r="U190" s="26"/>
      <c r="V190" s="26"/>
      <c r="W190" s="26">
        <f>MAX($C$8-VLOOKUP($C190,COS!$B$8:$H$991,3,FALSE),0)</f>
        <v>83265.279296875</v>
      </c>
      <c r="X190" s="26">
        <f t="shared" si="245"/>
        <v>4954.6281895661159</v>
      </c>
      <c r="Y190" s="26">
        <f>VLOOKUP($C190,COS!$B$8:$H$991,4,FALSE)</f>
        <v>125.05797576904297</v>
      </c>
      <c r="Z190" s="26">
        <f t="shared" si="246"/>
        <v>7.4414663267529706</v>
      </c>
      <c r="AA190" s="26">
        <f t="shared" si="300"/>
        <v>125.05797576904297</v>
      </c>
      <c r="AB190" s="33">
        <f t="shared" si="243"/>
        <v>7.4414663267529706</v>
      </c>
    </row>
    <row r="191" spans="1:28" x14ac:dyDescent="0.3">
      <c r="A191" s="32">
        <f>VLOOKUP(YEAR(C191),Flags!$A$13:$B$95,2,FALSE)</f>
        <v>1</v>
      </c>
      <c r="B191" s="24">
        <f t="shared" si="225"/>
        <v>1941</v>
      </c>
      <c r="C191" s="25">
        <v>15280</v>
      </c>
      <c r="D191" s="26"/>
      <c r="E191" s="24"/>
      <c r="F191" s="26"/>
      <c r="G191" s="26"/>
      <c r="H191" s="26"/>
      <c r="I191" s="26"/>
      <c r="J191" s="26"/>
      <c r="K191" s="26"/>
      <c r="L191" s="24"/>
      <c r="M191" s="24"/>
      <c r="N191" s="26"/>
      <c r="O191" s="26"/>
      <c r="P191" s="26"/>
      <c r="Q191" s="26"/>
      <c r="R191" s="26"/>
      <c r="S191" s="26"/>
      <c r="T191" s="26"/>
      <c r="U191" s="26"/>
      <c r="V191" s="26"/>
      <c r="W191" s="26">
        <f>MAX($C$9-VLOOKUP($C191,COS!$B$8:$H$991,3,FALSE),0)</f>
        <v>93057.919921875</v>
      </c>
      <c r="X191" s="26">
        <f t="shared" si="245"/>
        <v>5721.908464617768</v>
      </c>
      <c r="Y191" s="26">
        <f>VLOOKUP($C191,COS!$B$8:$H$991,4,FALSE)</f>
        <v>404.5906982421875</v>
      </c>
      <c r="Z191" s="26">
        <f t="shared" si="246"/>
        <v>24.877312354726239</v>
      </c>
      <c r="AA191" s="26">
        <f t="shared" si="300"/>
        <v>404.5906982421875</v>
      </c>
      <c r="AB191" s="33">
        <f t="shared" si="243"/>
        <v>24.877312354726239</v>
      </c>
    </row>
    <row r="192" spans="1:28" x14ac:dyDescent="0.3">
      <c r="A192" s="32">
        <f>VLOOKUP(YEAR(C192),Flags!$A$13:$B$95,2,FALSE)</f>
        <v>1</v>
      </c>
      <c r="B192" s="24">
        <f t="shared" si="225"/>
        <v>1941</v>
      </c>
      <c r="C192" s="25">
        <v>15310</v>
      </c>
      <c r="D192" s="26"/>
      <c r="E192" s="24"/>
      <c r="F192" s="26"/>
      <c r="G192" s="26"/>
      <c r="H192" s="26"/>
      <c r="I192" s="26"/>
      <c r="J192" s="26"/>
      <c r="K192" s="26"/>
      <c r="L192" s="24"/>
      <c r="M192" s="24"/>
      <c r="N192" s="26"/>
      <c r="O192" s="26"/>
      <c r="P192" s="26"/>
      <c r="Q192" s="26"/>
      <c r="R192" s="26"/>
      <c r="S192" s="26"/>
      <c r="T192" s="26"/>
      <c r="U192" s="26"/>
      <c r="V192" s="26"/>
      <c r="W192" s="26">
        <f>MAX($C$10-VLOOKUP($C192,COS!$B$8:$H$991,3,FALSE),0)</f>
        <v>90006.765625</v>
      </c>
      <c r="X192" s="26">
        <f t="shared" si="245"/>
        <v>5355.7744834710738</v>
      </c>
      <c r="Y192" s="26">
        <f>VLOOKUP($C192,COS!$B$8:$H$991,4,FALSE)</f>
        <v>455.62896728515625</v>
      </c>
      <c r="Z192" s="26">
        <f t="shared" si="246"/>
        <v>27.111806317794422</v>
      </c>
      <c r="AA192" s="26">
        <f t="shared" si="300"/>
        <v>455.62896728515625</v>
      </c>
      <c r="AB192" s="33">
        <f t="shared" si="243"/>
        <v>13.555903158897211</v>
      </c>
    </row>
    <row r="193" spans="1:28" x14ac:dyDescent="0.3">
      <c r="A193" s="34">
        <f>VLOOKUP(YEAR(C193),Flags!$A$13:$B$95,2,FALSE)</f>
        <v>1</v>
      </c>
      <c r="B193" s="35">
        <f t="shared" si="225"/>
        <v>1941</v>
      </c>
      <c r="C193" s="36">
        <v>15341</v>
      </c>
      <c r="D193" s="37"/>
      <c r="E193" s="35"/>
      <c r="F193" s="37"/>
      <c r="G193" s="37"/>
      <c r="H193" s="37"/>
      <c r="I193" s="37"/>
      <c r="J193" s="37"/>
      <c r="K193" s="37"/>
      <c r="L193" s="35"/>
      <c r="M193" s="35"/>
      <c r="N193" s="37"/>
      <c r="O193" s="37"/>
      <c r="P193" s="37"/>
      <c r="Q193" s="37"/>
      <c r="R193" s="37"/>
      <c r="S193" s="37"/>
      <c r="T193" s="37"/>
      <c r="U193" s="37"/>
      <c r="V193" s="37"/>
      <c r="W193" s="37">
        <f>MAX($C$11-VLOOKUP($C193,COS!$B$8:$H$991,3,FALSE),0)</f>
        <v>0</v>
      </c>
      <c r="X193" s="37">
        <f t="shared" si="245"/>
        <v>0</v>
      </c>
      <c r="Y193" s="37">
        <f>VLOOKUP($C193,COS!$B$8:$H$991,4,FALSE)</f>
        <v>0</v>
      </c>
      <c r="Z193" s="37">
        <f t="shared" si="246"/>
        <v>0</v>
      </c>
      <c r="AA193" s="37">
        <f t="shared" si="300"/>
        <v>0</v>
      </c>
      <c r="AB193" s="38">
        <f t="shared" si="243"/>
        <v>0</v>
      </c>
    </row>
    <row r="194" spans="1:28" x14ac:dyDescent="0.3">
      <c r="A194" s="27">
        <f>VLOOKUP(YEAR(C194),Flags!$A$13:$B$95,2,FALSE)</f>
        <v>1</v>
      </c>
      <c r="B194" s="28">
        <f t="shared" si="225"/>
        <v>1942</v>
      </c>
      <c r="C194" s="29">
        <v>15461</v>
      </c>
      <c r="D194" s="30">
        <f>VLOOKUP($C194,COS!$B$8:$H$991,3,FALSE)</f>
        <v>3250</v>
      </c>
      <c r="E194" s="28">
        <f>IF(D194&gt;=IF(MONTH($C194)=4,$C$3,IF(MONTH($C194)=5,$C$4,IF(MONTH($C194)=6,$C$5,IF(MONTH($C194)=7,$C$6,"ERROR")))),1,0)</f>
        <v>0</v>
      </c>
      <c r="F194" s="30">
        <f>VLOOKUP($C194,COS!$B$8:$H$991,7,FALSE)</f>
        <v>49.696609497070313</v>
      </c>
      <c r="G194" s="28">
        <f>IF(F194&lt;=IF(MONTH($C194)=4,$F$3,IF(MONTH($C194)=5,$F$4,IF(MONTH($C194)=6,$F$5,IF(MONTH($C194)=7,$F$6,"ERROR")))),1,0)</f>
        <v>1</v>
      </c>
      <c r="H194" s="30">
        <f>IF(J194=1,D194-$C$3,0)</f>
        <v>0</v>
      </c>
      <c r="I194" s="30">
        <f t="shared" si="239"/>
        <v>0</v>
      </c>
      <c r="J194" s="28">
        <f t="shared" ref="J194:J197" si="303">IF(AND(E194=1,G194=1),1,0)</f>
        <v>0</v>
      </c>
      <c r="K194" s="30">
        <f>VLOOKUP($C194,COS!$B$8:$H$991,2,FALSE)</f>
        <v>4509.97900390625</v>
      </c>
      <c r="L194" s="28">
        <f t="shared" ref="L194" si="304">IF(K194&lt;=IF(MONTH($C194)=4,$I$3,IF(MONTH($C194)=5,$I$4,IF(MONTH($C194)=6,$I$5,IF(MONTH($C194)=7,$I$6,"ERROR")))),1,0)</f>
        <v>1</v>
      </c>
      <c r="M194" s="28">
        <f t="shared" ref="M194" si="305">VLOOKUP($A194,$L$3:$M$7,2,FALSE)</f>
        <v>0</v>
      </c>
      <c r="N194" s="30">
        <f>VLOOKUP($C194,COS!$B$8:$H$991,5,FALSE)</f>
        <v>20.96923828125</v>
      </c>
      <c r="O194" s="30">
        <f t="shared" ref="O194:O197" si="306">N194*DAY($C194)*86400/43560/1000</f>
        <v>1.2477563274793388</v>
      </c>
      <c r="P194" s="30">
        <f>VLOOKUP($C194,COS!$B$8:$H$991,6,FALSE)</f>
        <v>278.10659790039063</v>
      </c>
      <c r="Q194" s="30">
        <f t="shared" ref="Q194:Q197" si="307">P194*DAY($C194)*86400/43560/1000</f>
        <v>16.548491775891012</v>
      </c>
      <c r="R194" s="30">
        <f>MIN(IF(MONTH($C194)=4,$S$3,IF(MONTH($C194)=5,$S$4,IF(MONTH($C194)=6,$S$5,IF(MONTH($C194)=7,$S$6,"ERROR")))),MAX(VLOOKUP($C194,COS!$B$8:$K$991,10,FALSE)-IF(MONTH($C194)=4,$Y$3,IF(MONTH($C194)=5,$Y$4,IF(MONTH($C194)=6,$Y$5,IF(MONTH($C194)=7,$Y$6,"ERROR")))),0),MAX(VLOOKUP($C194,COS!$B$8:$K$991,9,FALSE)-IF(MONTH($C194)=4,$V$3,IF(MONTH($C194)=5,$V$4,IF(MONTH($C194)=6,$V$5,IF(MONTH($C194)=7,$V$6,"ERROR"))))-VLOOKUP($C194,COS!$B$8:$K$991,6,FALSE)/2,0))</f>
        <v>1500</v>
      </c>
      <c r="S194" s="30">
        <f t="shared" ref="S194:S197" si="308">R194*DAY($C194)*86400/43560/1000</f>
        <v>89.256198347107429</v>
      </c>
      <c r="T194" s="30">
        <f t="shared" ref="T194:T197" si="309">(O194+Q194)/2+S194</f>
        <v>98.154322398792601</v>
      </c>
      <c r="U194" s="30" t="str">
        <f>IF(VLOOKUP($C194,COS!$B$8:$I$991,8,FALSE)=1,"UWFE","IBU")</f>
        <v>UWFE</v>
      </c>
      <c r="V194" s="30">
        <f t="shared" ref="V194" si="310">MIN(IF(IF($AA$3=2,AND(E194=1,G194=1,L194=1,L199=1,M194=1,U194="IBU"),AND(E194=1,G194=1,L194=1,L199=1,M194=1)),T194,0),I194)</f>
        <v>0</v>
      </c>
      <c r="W194" s="30"/>
      <c r="X194" s="30"/>
      <c r="Y194" s="30"/>
      <c r="Z194" s="30"/>
      <c r="AA194" s="30"/>
      <c r="AB194" s="31"/>
    </row>
    <row r="195" spans="1:28" x14ac:dyDescent="0.3">
      <c r="A195" s="32">
        <f>VLOOKUP(YEAR(C195),Flags!$A$13:$B$95,2,FALSE)</f>
        <v>1</v>
      </c>
      <c r="B195" s="24">
        <f t="shared" si="225"/>
        <v>1942</v>
      </c>
      <c r="C195" s="25">
        <v>15492</v>
      </c>
      <c r="D195" s="26">
        <f>VLOOKUP($C195,COS!$B$8:$H$991,3,FALSE)</f>
        <v>10224.1552734375</v>
      </c>
      <c r="E195" s="24">
        <f>IF(D195&gt;=IF(MONTH($C195)=4,$C$3,IF(MONTH($C195)=5,$C$4,IF(MONTH($C195)=6,$C$5,IF(MONTH($C195)=7,$C$6,"ERROR")))),1,0)</f>
        <v>1</v>
      </c>
      <c r="F195" s="26">
        <f>VLOOKUP($C195,COS!$B$8:$H$991,7,FALSE)</f>
        <v>48.257987976074219</v>
      </c>
      <c r="G195" s="24">
        <f>IF(F195&lt;=IF(MONTH($C195)=4,$F$3,IF(MONTH($C195)=5,$F$4,IF(MONTH($C195)=6,$F$5,IF(MONTH($C195)=7,$F$6,"ERROR")))),1,0)</f>
        <v>1</v>
      </c>
      <c r="H195" s="26">
        <f>IF(J195=1,D195-$C$4,0)</f>
        <v>4224.1552734375</v>
      </c>
      <c r="I195" s="26">
        <f t="shared" si="239"/>
        <v>259.73318375516527</v>
      </c>
      <c r="J195" s="24">
        <f t="shared" si="303"/>
        <v>1</v>
      </c>
      <c r="K195" s="26">
        <f>VLOOKUP($C195,COS!$B$8:$H$991,2,FALSE)</f>
        <v>4552</v>
      </c>
      <c r="L195" s="24">
        <f t="shared" si="231"/>
        <v>1</v>
      </c>
      <c r="M195" s="24">
        <f t="shared" si="232"/>
        <v>0</v>
      </c>
      <c r="N195" s="26">
        <f>VLOOKUP($C195,COS!$B$8:$H$991,5,FALSE)</f>
        <v>528.735595703125</v>
      </c>
      <c r="O195" s="26">
        <f t="shared" si="306"/>
        <v>32.510684562241735</v>
      </c>
      <c r="P195" s="26">
        <f>VLOOKUP($C195,COS!$B$8:$H$991,6,FALSE)</f>
        <v>2076.0068359375</v>
      </c>
      <c r="Q195" s="26">
        <f t="shared" si="307"/>
        <v>127.64868478822314</v>
      </c>
      <c r="R195" s="26">
        <f>MIN(IF(MONTH($C195)=4,$S$3,IF(MONTH($C195)=5,$S$4,IF(MONTH($C195)=6,$S$5,IF(MONTH($C195)=7,$S$6,"ERROR")))),MAX(VLOOKUP($C195,COS!$B$8:$K$991,10,FALSE)-IF(MONTH($C195)=4,$Y$3,IF(MONTH($C195)=5,$Y$4,IF(MONTH($C195)=6,$Y$5,IF(MONTH($C195)=7,$Y$6,"ERROR")))),0),MAX(VLOOKUP($C195,COS!$B$8:$K$991,9,FALSE)-IF(MONTH($C195)=4,$V$3,IF(MONTH($C195)=5,$V$4,IF(MONTH($C195)=6,$V$5,IF(MONTH($C195)=7,$V$6,"ERROR"))))-VLOOKUP($C195,COS!$B$8:$K$991,6,FALSE)/2,0))</f>
        <v>1500</v>
      </c>
      <c r="S195" s="26">
        <f t="shared" si="308"/>
        <v>92.231404958677686</v>
      </c>
      <c r="T195" s="26">
        <f t="shared" si="309"/>
        <v>172.31108963391011</v>
      </c>
      <c r="U195" s="26" t="str">
        <f>IF(VLOOKUP($C195,COS!$B$8:$I$991,8,FALSE)=1,"UWFE","IBU")</f>
        <v>UWFE</v>
      </c>
      <c r="V195" s="26">
        <f t="shared" ref="V195" si="311">MIN(IF(IF($AA$3=2,AND(E195=1,G195=1,L195=1,L199=1,M195=1,U195="IBU"),AND(E195=1,G195=1,L195=1,L199=1,M195=1)),T195,0),I195)</f>
        <v>0</v>
      </c>
      <c r="W195" s="26"/>
      <c r="X195" s="26"/>
      <c r="Y195" s="26"/>
      <c r="Z195" s="26"/>
      <c r="AA195" s="26"/>
      <c r="AB195" s="33"/>
    </row>
    <row r="196" spans="1:28" x14ac:dyDescent="0.3">
      <c r="A196" s="32">
        <f>VLOOKUP(YEAR(C196),Flags!$A$13:$B$95,2,FALSE)</f>
        <v>1</v>
      </c>
      <c r="B196" s="24">
        <f t="shared" si="225"/>
        <v>1942</v>
      </c>
      <c r="C196" s="25">
        <v>15522</v>
      </c>
      <c r="D196" s="26">
        <f>VLOOKUP($C196,COS!$B$8:$H$991,3,FALSE)</f>
        <v>7711.70703125</v>
      </c>
      <c r="E196" s="24">
        <f>IF(D196&gt;=IF(MONTH($C196)=4,$C$3,IF(MONTH($C196)=5,$C$4,IF(MONTH($C196)=6,$C$5,IF(MONTH($C196)=7,$C$6,"ERROR")))),1,0)</f>
        <v>0</v>
      </c>
      <c r="F196" s="26">
        <f>VLOOKUP($C196,COS!$B$8:$H$991,7,FALSE)</f>
        <v>50.720790863037109</v>
      </c>
      <c r="G196" s="24">
        <f>IF(F196&lt;=IF(MONTH($C196)=4,$F$3,IF(MONTH($C196)=5,$F$4,IF(MONTH($C196)=6,$F$5,IF(MONTH($C196)=7,$F$6,"ERROR")))),1,0)</f>
        <v>1</v>
      </c>
      <c r="H196" s="26">
        <f>IF(J196=1,D196-$C$5,0)</f>
        <v>0</v>
      </c>
      <c r="I196" s="26">
        <f t="shared" si="239"/>
        <v>0</v>
      </c>
      <c r="J196" s="24">
        <f t="shared" si="303"/>
        <v>0</v>
      </c>
      <c r="K196" s="26">
        <f>VLOOKUP($C196,COS!$B$8:$H$991,2,FALSE)</f>
        <v>4500</v>
      </c>
      <c r="L196" s="24">
        <f t="shared" si="231"/>
        <v>1</v>
      </c>
      <c r="M196" s="24">
        <f t="shared" si="232"/>
        <v>0</v>
      </c>
      <c r="N196" s="26">
        <f>VLOOKUP($C196,COS!$B$8:$H$991,5,FALSE)</f>
        <v>1239.5582275390625</v>
      </c>
      <c r="O196" s="26">
        <f t="shared" si="306"/>
        <v>73.758836680010319</v>
      </c>
      <c r="P196" s="26">
        <f>VLOOKUP($C196,COS!$B$8:$H$991,6,FALSE)</f>
        <v>2346.177734375</v>
      </c>
      <c r="Q196" s="26">
        <f t="shared" si="307"/>
        <v>139.6072701446281</v>
      </c>
      <c r="R196" s="26">
        <f>MIN(IF(MONTH($C196)=4,$S$3,IF(MONTH($C196)=5,$S$4,IF(MONTH($C196)=6,$S$5,IF(MONTH($C196)=7,$S$6,"ERROR")))),MAX(VLOOKUP($C196,COS!$B$8:$K$991,10,FALSE)-IF(MONTH($C196)=4,$Y$3,IF(MONTH($C196)=5,$Y$4,IF(MONTH($C196)=6,$Y$5,IF(MONTH($C196)=7,$Y$6,"ERROR")))),0),MAX(VLOOKUP($C196,COS!$B$8:$K$991,9,FALSE)-IF(MONTH($C196)=4,$V$3,IF(MONTH($C196)=5,$V$4,IF(MONTH($C196)=6,$V$5,IF(MONTH($C196)=7,$V$6,"ERROR"))))-VLOOKUP($C196,COS!$B$8:$K$991,6,FALSE)/2,0))</f>
        <v>1500</v>
      </c>
      <c r="S196" s="26">
        <f t="shared" si="308"/>
        <v>89.256198347107429</v>
      </c>
      <c r="T196" s="26">
        <f t="shared" si="309"/>
        <v>195.93925175942664</v>
      </c>
      <c r="U196" s="26" t="str">
        <f>IF(VLOOKUP($C196,COS!$B$8:$I$991,8,FALSE)=1,"UWFE","IBU")</f>
        <v>UWFE</v>
      </c>
      <c r="V196" s="26">
        <f t="shared" ref="V196" si="312">MIN(IF(IF($AA$3=2,AND(E196=1,G196=1,L196=1,L199=1,M196=1,U196="IBU"),AND(E196=1,G196=1,L196=1,L199=1,M196=1)),T196,0),I196)</f>
        <v>0</v>
      </c>
      <c r="W196" s="26"/>
      <c r="X196" s="26"/>
      <c r="Y196" s="26"/>
      <c r="Z196" s="26"/>
      <c r="AA196" s="26"/>
      <c r="AB196" s="33"/>
    </row>
    <row r="197" spans="1:28" x14ac:dyDescent="0.3">
      <c r="A197" s="32">
        <f>VLOOKUP(YEAR(C197),Flags!$A$13:$B$95,2,FALSE)</f>
        <v>1</v>
      </c>
      <c r="B197" s="24">
        <f t="shared" si="225"/>
        <v>1942</v>
      </c>
      <c r="C197" s="25">
        <v>15553</v>
      </c>
      <c r="D197" s="26">
        <f>VLOOKUP($C197,COS!$B$8:$H$991,3,FALSE)</f>
        <v>12291.904296875</v>
      </c>
      <c r="E197" s="24">
        <f>IF(D197&gt;=IF(MONTH($C197)=4,$C$3,IF(MONTH($C197)=5,$C$4,IF(MONTH($C197)=6,$C$5,IF(MONTH($C197)=7,$C$6,"ERROR")))),1,0)</f>
        <v>1</v>
      </c>
      <c r="F197" s="26">
        <f>VLOOKUP($C197,COS!$B$8:$H$991,7,FALSE)</f>
        <v>51.129238128662109</v>
      </c>
      <c r="G197" s="24">
        <f>IF(F197&lt;=IF(MONTH($C197)=4,$F$3,IF(MONTH($C197)=5,$F$4,IF(MONTH($C197)=6,$F$5,IF(MONTH($C197)=7,$F$6,"ERROR")))),1,0)</f>
        <v>1</v>
      </c>
      <c r="H197" s="26">
        <f>IF(J197=1,D197-$C$6,0)</f>
        <v>291.904296875</v>
      </c>
      <c r="I197" s="26">
        <f t="shared" si="239"/>
        <v>17.948495609504132</v>
      </c>
      <c r="J197" s="24">
        <f t="shared" si="303"/>
        <v>1</v>
      </c>
      <c r="K197" s="26">
        <f>VLOOKUP($C197,COS!$B$8:$H$991,2,FALSE)</f>
        <v>3968.421142578125</v>
      </c>
      <c r="L197" s="24">
        <f t="shared" si="231"/>
        <v>1</v>
      </c>
      <c r="M197" s="24">
        <f t="shared" si="232"/>
        <v>0</v>
      </c>
      <c r="N197" s="26">
        <f>VLOOKUP($C197,COS!$B$8:$H$991,5,FALSE)</f>
        <v>1378.510009765625</v>
      </c>
      <c r="O197" s="26">
        <f t="shared" si="306"/>
        <v>84.761276633522726</v>
      </c>
      <c r="P197" s="26">
        <f>VLOOKUP($C197,COS!$B$8:$H$991,6,FALSE)</f>
        <v>2616.67822265625</v>
      </c>
      <c r="Q197" s="26">
        <f t="shared" si="307"/>
        <v>160.89327253357436</v>
      </c>
      <c r="R197" s="26">
        <f>MIN(IF(MONTH($C197)=4,$S$3,IF(MONTH($C197)=5,$S$4,IF(MONTH($C197)=6,$S$5,IF(MONTH($C197)=7,$S$6,"ERROR")))),MAX(VLOOKUP($C197,COS!$B$8:$K$991,10,FALSE)-IF(MONTH($C197)=4,$Y$3,IF(MONTH($C197)=5,$Y$4,IF(MONTH($C197)=6,$Y$5,IF(MONTH($C197)=7,$Y$6,"ERROR")))),0),MAX(VLOOKUP($C197,COS!$B$8:$K$991,9,FALSE)-IF(MONTH($C197)=4,$V$3,IF(MONTH($C197)=5,$V$4,IF(MONTH($C197)=6,$V$5,IF(MONTH($C197)=7,$V$6,"ERROR"))))-VLOOKUP($C197,COS!$B$8:$K$991,6,FALSE)/2,0))</f>
        <v>1500</v>
      </c>
      <c r="S197" s="26">
        <f t="shared" si="308"/>
        <v>92.231404958677686</v>
      </c>
      <c r="T197" s="26">
        <f t="shared" si="309"/>
        <v>215.05867954222623</v>
      </c>
      <c r="U197" s="26" t="str">
        <f>IF(VLOOKUP($C197,COS!$B$8:$I$991,8,FALSE)=1,"UWFE","IBU")</f>
        <v>IBU</v>
      </c>
      <c r="V197" s="26">
        <f t="shared" ref="V197" si="313">MIN(IF(IF($AA$3=2,AND(E197=1,G197=1,L197=1,L199=1,M197=1,U197="IBU"),AND(E197=1,G197=1,L197=1,L199=1,M197=1)),T197,0),I197)</f>
        <v>0</v>
      </c>
      <c r="W197" s="26"/>
      <c r="X197" s="26"/>
      <c r="Y197" s="26"/>
      <c r="Z197" s="26"/>
      <c r="AA197" s="26"/>
      <c r="AB197" s="33"/>
    </row>
    <row r="198" spans="1:28" x14ac:dyDescent="0.3">
      <c r="A198" s="32">
        <f>VLOOKUP(YEAR(C198),Flags!$A$13:$B$95,2,FALSE)</f>
        <v>1</v>
      </c>
      <c r="B198" s="24">
        <f t="shared" si="225"/>
        <v>1942</v>
      </c>
      <c r="C198" s="25">
        <v>15584</v>
      </c>
      <c r="D198" s="26"/>
      <c r="E198" s="24"/>
      <c r="F198" s="26"/>
      <c r="G198" s="24"/>
      <c r="H198" s="24"/>
      <c r="I198" s="26"/>
      <c r="J198" s="24"/>
      <c r="K198" s="26"/>
      <c r="L198" s="24"/>
      <c r="M198" s="24"/>
      <c r="N198" s="26"/>
      <c r="O198" s="26"/>
      <c r="P198" s="26"/>
      <c r="Q198" s="26"/>
      <c r="R198" s="26"/>
      <c r="S198" s="26"/>
      <c r="T198" s="26"/>
      <c r="U198" s="26"/>
      <c r="V198" s="26"/>
      <c r="W198" s="26">
        <f>MAX($C$7-VLOOKUP($C198,COS!$B$8:$H$991,3,FALSE),0)</f>
        <v>89122.767578125</v>
      </c>
      <c r="X198" s="26">
        <f t="shared" si="245"/>
        <v>5479.9453783574381</v>
      </c>
      <c r="Y198" s="26">
        <f>VLOOKUP($C198,COS!$B$8:$H$991,4,FALSE)</f>
        <v>0</v>
      </c>
      <c r="Z198" s="26">
        <f t="shared" si="246"/>
        <v>0</v>
      </c>
      <c r="AA198" s="26">
        <f t="shared" ref="AA198:AA202" si="314">MIN(W198,Y198)</f>
        <v>0</v>
      </c>
      <c r="AB198" s="33">
        <f t="shared" ref="AB198" si="315">AA198*DAY($C198)*86400/43560/1000*IF(MONTH($C198)=8,$P$3,IF(MONTH($C198)=9,$P$4,IF(MONTH($C198)=10,$P$5,IF(MONTH($C198)=11,$P$6,IF(MONTH($C198)=12,$P$7,NA())))))</f>
        <v>0</v>
      </c>
    </row>
    <row r="199" spans="1:28" x14ac:dyDescent="0.3">
      <c r="A199" s="32">
        <f>VLOOKUP(YEAR(C199),Flags!$A$13:$B$95,2,FALSE)</f>
        <v>1</v>
      </c>
      <c r="B199" s="24">
        <f t="shared" si="225"/>
        <v>1942</v>
      </c>
      <c r="C199" s="25">
        <v>15614</v>
      </c>
      <c r="D199" s="26"/>
      <c r="E199" s="24"/>
      <c r="F199" s="26"/>
      <c r="G199" s="24"/>
      <c r="H199" s="24"/>
      <c r="I199" s="26"/>
      <c r="J199" s="24"/>
      <c r="K199" s="26">
        <f>VLOOKUP($C199,COS!$B$8:$H$991,2,FALSE)</f>
        <v>2988.85791015625</v>
      </c>
      <c r="L199" s="24">
        <f t="shared" ref="L199" si="316">IF(AND(K199&gt;$I$7,K199&lt;$I$8),1,0)</f>
        <v>1</v>
      </c>
      <c r="M199" s="24"/>
      <c r="N199" s="26"/>
      <c r="O199" s="26"/>
      <c r="P199" s="26"/>
      <c r="Q199" s="26"/>
      <c r="R199" s="26"/>
      <c r="S199" s="26"/>
      <c r="T199" s="26"/>
      <c r="U199" s="26"/>
      <c r="V199" s="26"/>
      <c r="W199" s="26">
        <f>MAX($C$8-VLOOKUP($C199,COS!$B$8:$H$991,3,FALSE),0)</f>
        <v>83557.9609375</v>
      </c>
      <c r="X199" s="26">
        <f t="shared" si="245"/>
        <v>4972.0439566115701</v>
      </c>
      <c r="Y199" s="26">
        <f>VLOOKUP($C199,COS!$B$8:$H$991,4,FALSE)</f>
        <v>0</v>
      </c>
      <c r="Z199" s="26">
        <f t="shared" si="246"/>
        <v>0</v>
      </c>
      <c r="AA199" s="26">
        <f t="shared" si="314"/>
        <v>0</v>
      </c>
      <c r="AB199" s="33">
        <f t="shared" si="243"/>
        <v>0</v>
      </c>
    </row>
    <row r="200" spans="1:28" x14ac:dyDescent="0.3">
      <c r="A200" s="32">
        <f>VLOOKUP(YEAR(C200),Flags!$A$13:$B$95,2,FALSE)</f>
        <v>1</v>
      </c>
      <c r="B200" s="24">
        <f t="shared" si="225"/>
        <v>1942</v>
      </c>
      <c r="C200" s="25">
        <v>15645</v>
      </c>
      <c r="D200" s="26"/>
      <c r="E200" s="24"/>
      <c r="F200" s="26"/>
      <c r="G200" s="26"/>
      <c r="H200" s="26"/>
      <c r="I200" s="26"/>
      <c r="J200" s="26"/>
      <c r="K200" s="26"/>
      <c r="L200" s="24"/>
      <c r="M200" s="24"/>
      <c r="N200" s="26"/>
      <c r="O200" s="26"/>
      <c r="P200" s="26"/>
      <c r="Q200" s="26"/>
      <c r="R200" s="26"/>
      <c r="S200" s="26"/>
      <c r="T200" s="26"/>
      <c r="U200" s="26"/>
      <c r="V200" s="26"/>
      <c r="W200" s="26">
        <f>MAX($C$9-VLOOKUP($C200,COS!$B$8:$H$991,3,FALSE),0)</f>
        <v>91981.8251953125</v>
      </c>
      <c r="X200" s="26">
        <f t="shared" si="245"/>
        <v>5655.741978951447</v>
      </c>
      <c r="Y200" s="26">
        <f>VLOOKUP($C200,COS!$B$8:$H$991,4,FALSE)</f>
        <v>1127.253662109375</v>
      </c>
      <c r="Z200" s="26">
        <f t="shared" si="246"/>
        <v>69.312126000774796</v>
      </c>
      <c r="AA200" s="26">
        <f t="shared" si="314"/>
        <v>1127.253662109375</v>
      </c>
      <c r="AB200" s="33">
        <f t="shared" si="243"/>
        <v>69.312126000774796</v>
      </c>
    </row>
    <row r="201" spans="1:28" x14ac:dyDescent="0.3">
      <c r="A201" s="32">
        <f>VLOOKUP(YEAR(C201),Flags!$A$13:$B$95,2,FALSE)</f>
        <v>1</v>
      </c>
      <c r="B201" s="24">
        <f t="shared" si="225"/>
        <v>1942</v>
      </c>
      <c r="C201" s="25">
        <v>15675</v>
      </c>
      <c r="D201" s="26"/>
      <c r="E201" s="24"/>
      <c r="F201" s="26"/>
      <c r="G201" s="26"/>
      <c r="H201" s="26"/>
      <c r="I201" s="26"/>
      <c r="J201" s="26"/>
      <c r="K201" s="26"/>
      <c r="L201" s="24"/>
      <c r="M201" s="24"/>
      <c r="N201" s="26"/>
      <c r="O201" s="26"/>
      <c r="P201" s="26"/>
      <c r="Q201" s="26"/>
      <c r="R201" s="26"/>
      <c r="S201" s="26"/>
      <c r="T201" s="26"/>
      <c r="U201" s="26"/>
      <c r="V201" s="26"/>
      <c r="W201" s="26">
        <f>MAX($C$10-VLOOKUP($C201,COS!$B$8:$H$991,3,FALSE),0)</f>
        <v>90870.3603515625</v>
      </c>
      <c r="X201" s="26">
        <f t="shared" si="245"/>
        <v>5407.1619382747931</v>
      </c>
      <c r="Y201" s="26">
        <f>VLOOKUP($C201,COS!$B$8:$H$991,4,FALSE)</f>
        <v>1237.8724365234375</v>
      </c>
      <c r="Z201" s="26">
        <f t="shared" si="246"/>
        <v>73.658525148502065</v>
      </c>
      <c r="AA201" s="26">
        <f t="shared" si="314"/>
        <v>1237.8724365234375</v>
      </c>
      <c r="AB201" s="33">
        <f t="shared" si="243"/>
        <v>36.829262574251032</v>
      </c>
    </row>
    <row r="202" spans="1:28" x14ac:dyDescent="0.3">
      <c r="A202" s="34">
        <f>VLOOKUP(YEAR(C202),Flags!$A$13:$B$95,2,FALSE)</f>
        <v>1</v>
      </c>
      <c r="B202" s="35">
        <f t="shared" si="225"/>
        <v>1942</v>
      </c>
      <c r="C202" s="36">
        <v>15706</v>
      </c>
      <c r="D202" s="37"/>
      <c r="E202" s="35"/>
      <c r="F202" s="37"/>
      <c r="G202" s="37"/>
      <c r="H202" s="37"/>
      <c r="I202" s="37"/>
      <c r="J202" s="37"/>
      <c r="K202" s="37"/>
      <c r="L202" s="35"/>
      <c r="M202" s="35"/>
      <c r="N202" s="37"/>
      <c r="O202" s="37"/>
      <c r="P202" s="37"/>
      <c r="Q202" s="37"/>
      <c r="R202" s="37"/>
      <c r="S202" s="37"/>
      <c r="T202" s="37"/>
      <c r="U202" s="37"/>
      <c r="V202" s="37"/>
      <c r="W202" s="37">
        <f>MAX($C$11-VLOOKUP($C202,COS!$B$8:$H$991,3,FALSE),0)</f>
        <v>0</v>
      </c>
      <c r="X202" s="37">
        <f t="shared" si="245"/>
        <v>0</v>
      </c>
      <c r="Y202" s="37">
        <f>VLOOKUP($C202,COS!$B$8:$H$991,4,FALSE)</f>
        <v>0</v>
      </c>
      <c r="Z202" s="37">
        <f t="shared" si="246"/>
        <v>0</v>
      </c>
      <c r="AA202" s="37">
        <f t="shared" si="314"/>
        <v>0</v>
      </c>
      <c r="AB202" s="38">
        <f t="shared" si="243"/>
        <v>0</v>
      </c>
    </row>
    <row r="203" spans="1:28" x14ac:dyDescent="0.3">
      <c r="A203" s="27">
        <f>VLOOKUP(YEAR(C203),Flags!$A$13:$B$95,2,FALSE)</f>
        <v>1</v>
      </c>
      <c r="B203" s="28">
        <f t="shared" si="225"/>
        <v>1943</v>
      </c>
      <c r="C203" s="29">
        <v>15826</v>
      </c>
      <c r="D203" s="30">
        <f>VLOOKUP($C203,COS!$B$8:$H$991,3,FALSE)</f>
        <v>3750.597900390625</v>
      </c>
      <c r="E203" s="28">
        <f>IF(D203&gt;=IF(MONTH($C203)=4,$C$3,IF(MONTH($C203)=5,$C$4,IF(MONTH($C203)=6,$C$5,IF(MONTH($C203)=7,$C$6,"ERROR")))),1,0)</f>
        <v>0</v>
      </c>
      <c r="F203" s="30">
        <f>VLOOKUP($C203,COS!$B$8:$H$991,7,FALSE)</f>
        <v>50.021923065185547</v>
      </c>
      <c r="G203" s="28">
        <f>IF(F203&lt;=IF(MONTH($C203)=4,$F$3,IF(MONTH($C203)=5,$F$4,IF(MONTH($C203)=6,$F$5,IF(MONTH($C203)=7,$F$6,"ERROR")))),1,0)</f>
        <v>1</v>
      </c>
      <c r="H203" s="30">
        <f>IF(J203=1,D203-$C$3,0)</f>
        <v>0</v>
      </c>
      <c r="I203" s="30">
        <f t="shared" si="239"/>
        <v>0</v>
      </c>
      <c r="J203" s="28">
        <f t="shared" ref="J203:J206" si="317">IF(AND(E203=1,G203=1),1,0)</f>
        <v>0</v>
      </c>
      <c r="K203" s="30">
        <f>VLOOKUP($C203,COS!$B$8:$H$991,2,FALSE)</f>
        <v>4552</v>
      </c>
      <c r="L203" s="28">
        <f t="shared" ref="L203" si="318">IF(K203&lt;=IF(MONTH($C203)=4,$I$3,IF(MONTH($C203)=5,$I$4,IF(MONTH($C203)=6,$I$5,IF(MONTH($C203)=7,$I$6,"ERROR")))),1,0)</f>
        <v>1</v>
      </c>
      <c r="M203" s="28">
        <f t="shared" ref="M203" si="319">VLOOKUP($A203,$L$3:$M$7,2,FALSE)</f>
        <v>0</v>
      </c>
      <c r="N203" s="30">
        <f>VLOOKUP($C203,COS!$B$8:$H$991,5,FALSE)</f>
        <v>242.15982055664063</v>
      </c>
      <c r="O203" s="30">
        <f t="shared" ref="O203:O206" si="320">N203*DAY($C203)*86400/43560/1000</f>
        <v>14.409509983535642</v>
      </c>
      <c r="P203" s="30">
        <f>VLOOKUP($C203,COS!$B$8:$H$991,6,FALSE)</f>
        <v>409.699951171875</v>
      </c>
      <c r="Q203" s="30">
        <f t="shared" ref="Q203:Q206" si="321">P203*DAY($C203)*86400/43560/1000</f>
        <v>24.378840069731407</v>
      </c>
      <c r="R203" s="30">
        <f>MIN(IF(MONTH($C203)=4,$S$3,IF(MONTH($C203)=5,$S$4,IF(MONTH($C203)=6,$S$5,IF(MONTH($C203)=7,$S$6,"ERROR")))),MAX(VLOOKUP($C203,COS!$B$8:$K$991,10,FALSE)-IF(MONTH($C203)=4,$Y$3,IF(MONTH($C203)=5,$Y$4,IF(MONTH($C203)=6,$Y$5,IF(MONTH($C203)=7,$Y$6,"ERROR")))),0),MAX(VLOOKUP($C203,COS!$B$8:$K$991,9,FALSE)-IF(MONTH($C203)=4,$V$3,IF(MONTH($C203)=5,$V$4,IF(MONTH($C203)=6,$V$5,IF(MONTH($C203)=7,$V$6,"ERROR"))))-VLOOKUP($C203,COS!$B$8:$K$991,6,FALSE)/2,0))</f>
        <v>1500</v>
      </c>
      <c r="S203" s="30">
        <f t="shared" ref="S203:S206" si="322">R203*DAY($C203)*86400/43560/1000</f>
        <v>89.256198347107429</v>
      </c>
      <c r="T203" s="30">
        <f t="shared" ref="T203:T206" si="323">(O203+Q203)/2+S203</f>
        <v>108.65037337374096</v>
      </c>
      <c r="U203" s="30" t="str">
        <f>IF(VLOOKUP($C203,COS!$B$8:$I$991,8,FALSE)=1,"UWFE","IBU")</f>
        <v>UWFE</v>
      </c>
      <c r="V203" s="30">
        <f t="shared" ref="V203" si="324">MIN(IF(IF($AA$3=2,AND(E203=1,G203=1,L203=1,L208=1,M203=1,U203="IBU"),AND(E203=1,G203=1,L203=1,L208=1,M203=1)),T203,0),I203)</f>
        <v>0</v>
      </c>
      <c r="W203" s="30"/>
      <c r="X203" s="30"/>
      <c r="Y203" s="30"/>
      <c r="Z203" s="30"/>
      <c r="AA203" s="30"/>
      <c r="AB203" s="31"/>
    </row>
    <row r="204" spans="1:28" x14ac:dyDescent="0.3">
      <c r="A204" s="32">
        <f>VLOOKUP(YEAR(C204),Flags!$A$13:$B$95,2,FALSE)</f>
        <v>1</v>
      </c>
      <c r="B204" s="24">
        <f t="shared" si="225"/>
        <v>1943</v>
      </c>
      <c r="C204" s="25">
        <v>15857</v>
      </c>
      <c r="D204" s="26">
        <f>VLOOKUP($C204,COS!$B$8:$H$991,3,FALSE)</f>
        <v>7166.14208984375</v>
      </c>
      <c r="E204" s="24">
        <f>IF(D204&gt;=IF(MONTH($C204)=4,$C$3,IF(MONTH($C204)=5,$C$4,IF(MONTH($C204)=6,$C$5,IF(MONTH($C204)=7,$C$6,"ERROR")))),1,0)</f>
        <v>1</v>
      </c>
      <c r="F204" s="26">
        <f>VLOOKUP($C204,COS!$B$8:$H$991,7,FALSE)</f>
        <v>50.632198333740234</v>
      </c>
      <c r="G204" s="24">
        <f>IF(F204&lt;=IF(MONTH($C204)=4,$F$3,IF(MONTH($C204)=5,$F$4,IF(MONTH($C204)=6,$F$5,IF(MONTH($C204)=7,$F$6,"ERROR")))),1,0)</f>
        <v>1</v>
      </c>
      <c r="H204" s="26">
        <f>IF(J204=1,D204-$C$4,0)</f>
        <v>1166.14208984375</v>
      </c>
      <c r="I204" s="26">
        <f t="shared" si="239"/>
        <v>71.703282218491736</v>
      </c>
      <c r="J204" s="24">
        <f t="shared" si="317"/>
        <v>1</v>
      </c>
      <c r="K204" s="26">
        <f>VLOOKUP($C204,COS!$B$8:$H$991,2,FALSE)</f>
        <v>4552</v>
      </c>
      <c r="L204" s="24">
        <f t="shared" si="231"/>
        <v>1</v>
      </c>
      <c r="M204" s="24">
        <f t="shared" si="232"/>
        <v>0</v>
      </c>
      <c r="N204" s="26">
        <f>VLOOKUP($C204,COS!$B$8:$H$991,5,FALSE)</f>
        <v>758.106201171875</v>
      </c>
      <c r="O204" s="26">
        <f t="shared" si="320"/>
        <v>46.614133361311985</v>
      </c>
      <c r="P204" s="26">
        <f>VLOOKUP($C204,COS!$B$8:$H$991,6,FALSE)</f>
        <v>2288.578369140625</v>
      </c>
      <c r="Q204" s="26">
        <f t="shared" si="321"/>
        <v>140.71919889591942</v>
      </c>
      <c r="R204" s="26">
        <f>MIN(IF(MONTH($C204)=4,$S$3,IF(MONTH($C204)=5,$S$4,IF(MONTH($C204)=6,$S$5,IF(MONTH($C204)=7,$S$6,"ERROR")))),MAX(VLOOKUP($C204,COS!$B$8:$K$991,10,FALSE)-IF(MONTH($C204)=4,$Y$3,IF(MONTH($C204)=5,$Y$4,IF(MONTH($C204)=6,$Y$5,IF(MONTH($C204)=7,$Y$6,"ERROR")))),0),MAX(VLOOKUP($C204,COS!$B$8:$K$991,9,FALSE)-IF(MONTH($C204)=4,$V$3,IF(MONTH($C204)=5,$V$4,IF(MONTH($C204)=6,$V$5,IF(MONTH($C204)=7,$V$6,"ERROR"))))-VLOOKUP($C204,COS!$B$8:$K$991,6,FALSE)/2,0))</f>
        <v>1500</v>
      </c>
      <c r="S204" s="26">
        <f t="shared" si="322"/>
        <v>92.231404958677686</v>
      </c>
      <c r="T204" s="26">
        <f t="shared" si="323"/>
        <v>185.89807108729337</v>
      </c>
      <c r="U204" s="26" t="str">
        <f>IF(VLOOKUP($C204,COS!$B$8:$I$991,8,FALSE)=1,"UWFE","IBU")</f>
        <v>UWFE</v>
      </c>
      <c r="V204" s="26">
        <f t="shared" ref="V204" si="325">MIN(IF(IF($AA$3=2,AND(E204=1,G204=1,L204=1,L208=1,M204=1,U204="IBU"),AND(E204=1,G204=1,L204=1,L208=1,M204=1)),T204,0),I204)</f>
        <v>0</v>
      </c>
      <c r="W204" s="26"/>
      <c r="X204" s="26"/>
      <c r="Y204" s="26"/>
      <c r="Z204" s="26"/>
      <c r="AA204" s="26"/>
      <c r="AB204" s="33"/>
    </row>
    <row r="205" spans="1:28" x14ac:dyDescent="0.3">
      <c r="A205" s="32">
        <f>VLOOKUP(YEAR(C205),Flags!$A$13:$B$95,2,FALSE)</f>
        <v>1</v>
      </c>
      <c r="B205" s="24">
        <f t="shared" si="225"/>
        <v>1943</v>
      </c>
      <c r="C205" s="25">
        <v>15887</v>
      </c>
      <c r="D205" s="26">
        <f>VLOOKUP($C205,COS!$B$8:$H$991,3,FALSE)</f>
        <v>8327.544921875</v>
      </c>
      <c r="E205" s="24">
        <f>IF(D205&gt;=IF(MONTH($C205)=4,$C$3,IF(MONTH($C205)=5,$C$4,IF(MONTH($C205)=6,$C$5,IF(MONTH($C205)=7,$C$6,"ERROR")))),1,0)</f>
        <v>0</v>
      </c>
      <c r="F205" s="26">
        <f>VLOOKUP($C205,COS!$B$8:$H$991,7,FALSE)</f>
        <v>50.935405731201172</v>
      </c>
      <c r="G205" s="24">
        <f>IF(F205&lt;=IF(MONTH($C205)=4,$F$3,IF(MONTH($C205)=5,$F$4,IF(MONTH($C205)=6,$F$5,IF(MONTH($C205)=7,$F$6,"ERROR")))),1,0)</f>
        <v>1</v>
      </c>
      <c r="H205" s="26">
        <f>IF(J205=1,D205-$C$5,0)</f>
        <v>0</v>
      </c>
      <c r="I205" s="26">
        <f t="shared" si="239"/>
        <v>0</v>
      </c>
      <c r="J205" s="24">
        <f t="shared" si="317"/>
        <v>0</v>
      </c>
      <c r="K205" s="26">
        <f>VLOOKUP($C205,COS!$B$8:$H$991,2,FALSE)</f>
        <v>4340.33056640625</v>
      </c>
      <c r="L205" s="24">
        <f t="shared" si="231"/>
        <v>1</v>
      </c>
      <c r="M205" s="24">
        <f t="shared" si="232"/>
        <v>0</v>
      </c>
      <c r="N205" s="26">
        <f>VLOOKUP($C205,COS!$B$8:$H$991,5,FALSE)</f>
        <v>855.91656494140625</v>
      </c>
      <c r="O205" s="26">
        <f t="shared" si="320"/>
        <v>50.930572459323344</v>
      </c>
      <c r="P205" s="26">
        <f>VLOOKUP($C205,COS!$B$8:$H$991,6,FALSE)</f>
        <v>2263.260986328125</v>
      </c>
      <c r="Q205" s="26">
        <f t="shared" si="321"/>
        <v>134.67338100464875</v>
      </c>
      <c r="R205" s="26">
        <f>MIN(IF(MONTH($C205)=4,$S$3,IF(MONTH($C205)=5,$S$4,IF(MONTH($C205)=6,$S$5,IF(MONTH($C205)=7,$S$6,"ERROR")))),MAX(VLOOKUP($C205,COS!$B$8:$K$991,10,FALSE)-IF(MONTH($C205)=4,$Y$3,IF(MONTH($C205)=5,$Y$4,IF(MONTH($C205)=6,$Y$5,IF(MONTH($C205)=7,$Y$6,"ERROR")))),0),MAX(VLOOKUP($C205,COS!$B$8:$K$991,9,FALSE)-IF(MONTH($C205)=4,$V$3,IF(MONTH($C205)=5,$V$4,IF(MONTH($C205)=6,$V$5,IF(MONTH($C205)=7,$V$6,"ERROR"))))-VLOOKUP($C205,COS!$B$8:$K$991,6,FALSE)/2,0))</f>
        <v>1500</v>
      </c>
      <c r="S205" s="26">
        <f t="shared" si="322"/>
        <v>89.256198347107429</v>
      </c>
      <c r="T205" s="26">
        <f t="shared" si="323"/>
        <v>182.05817507909347</v>
      </c>
      <c r="U205" s="26" t="str">
        <f>IF(VLOOKUP($C205,COS!$B$8:$I$991,8,FALSE)=1,"UWFE","IBU")</f>
        <v>UWFE</v>
      </c>
      <c r="V205" s="26">
        <f t="shared" ref="V205" si="326">MIN(IF(IF($AA$3=2,AND(E205=1,G205=1,L205=1,L208=1,M205=1,U205="IBU"),AND(E205=1,G205=1,L205=1,L208=1,M205=1)),T205,0),I205)</f>
        <v>0</v>
      </c>
      <c r="W205" s="26"/>
      <c r="X205" s="26"/>
      <c r="Y205" s="26"/>
      <c r="Z205" s="26"/>
      <c r="AA205" s="26"/>
      <c r="AB205" s="33"/>
    </row>
    <row r="206" spans="1:28" x14ac:dyDescent="0.3">
      <c r="A206" s="32">
        <f>VLOOKUP(YEAR(C206),Flags!$A$13:$B$95,2,FALSE)</f>
        <v>1</v>
      </c>
      <c r="B206" s="24">
        <f t="shared" si="225"/>
        <v>1943</v>
      </c>
      <c r="C206" s="25">
        <v>15918</v>
      </c>
      <c r="D206" s="26">
        <f>VLOOKUP($C206,COS!$B$8:$H$991,3,FALSE)</f>
        <v>16000</v>
      </c>
      <c r="E206" s="24">
        <f>IF(D206&gt;=IF(MONTH($C206)=4,$C$3,IF(MONTH($C206)=5,$C$4,IF(MONTH($C206)=6,$C$5,IF(MONTH($C206)=7,$C$6,"ERROR")))),1,0)</f>
        <v>1</v>
      </c>
      <c r="F206" s="26">
        <f>VLOOKUP($C206,COS!$B$8:$H$991,7,FALSE)</f>
        <v>50.874599456787109</v>
      </c>
      <c r="G206" s="24">
        <f>IF(F206&lt;=IF(MONTH($C206)=4,$F$3,IF(MONTH($C206)=5,$F$4,IF(MONTH($C206)=6,$F$5,IF(MONTH($C206)=7,$F$6,"ERROR")))),1,0)</f>
        <v>1</v>
      </c>
      <c r="H206" s="26">
        <f>IF(J206=1,D206-$C$6,0)</f>
        <v>4000</v>
      </c>
      <c r="I206" s="26">
        <f t="shared" si="239"/>
        <v>245.95041322314049</v>
      </c>
      <c r="J206" s="24">
        <f t="shared" si="317"/>
        <v>1</v>
      </c>
      <c r="K206" s="26">
        <f>VLOOKUP($C206,COS!$B$8:$H$991,2,FALSE)</f>
        <v>3628.526611328125</v>
      </c>
      <c r="L206" s="24">
        <f t="shared" si="231"/>
        <v>1</v>
      </c>
      <c r="M206" s="24">
        <f t="shared" si="232"/>
        <v>0</v>
      </c>
      <c r="N206" s="26">
        <f>VLOOKUP($C206,COS!$B$8:$H$991,5,FALSE)</f>
        <v>941.12457275390625</v>
      </c>
      <c r="O206" s="26">
        <f t="shared" si="320"/>
        <v>57.867494390818699</v>
      </c>
      <c r="P206" s="26">
        <f>VLOOKUP($C206,COS!$B$8:$H$991,6,FALSE)</f>
        <v>2607.468505859375</v>
      </c>
      <c r="Q206" s="26">
        <f t="shared" si="321"/>
        <v>160.32698912060951</v>
      </c>
      <c r="R206" s="26">
        <f>MIN(IF(MONTH($C206)=4,$S$3,IF(MONTH($C206)=5,$S$4,IF(MONTH($C206)=6,$S$5,IF(MONTH($C206)=7,$S$6,"ERROR")))),MAX(VLOOKUP($C206,COS!$B$8:$K$991,10,FALSE)-IF(MONTH($C206)=4,$Y$3,IF(MONTH($C206)=5,$Y$4,IF(MONTH($C206)=6,$Y$5,IF(MONTH($C206)=7,$Y$6,"ERROR")))),0),MAX(VLOOKUP($C206,COS!$B$8:$K$991,9,FALSE)-IF(MONTH($C206)=4,$V$3,IF(MONTH($C206)=5,$V$4,IF(MONTH($C206)=6,$V$5,IF(MONTH($C206)=7,$V$6,"ERROR"))))-VLOOKUP($C206,COS!$B$8:$K$991,6,FALSE)/2,0))</f>
        <v>1500</v>
      </c>
      <c r="S206" s="26">
        <f t="shared" si="322"/>
        <v>92.231404958677686</v>
      </c>
      <c r="T206" s="26">
        <f t="shared" si="323"/>
        <v>201.32864671439179</v>
      </c>
      <c r="U206" s="26" t="str">
        <f>IF(VLOOKUP($C206,COS!$B$8:$I$991,8,FALSE)=1,"UWFE","IBU")</f>
        <v>IBU</v>
      </c>
      <c r="V206" s="26">
        <f t="shared" ref="V206" si="327">MIN(IF(IF($AA$3=2,AND(E206=1,G206=1,L206=1,L208=1,M206=1,U206="IBU"),AND(E206=1,G206=1,L206=1,L208=1,M206=1)),T206,0),I206)</f>
        <v>0</v>
      </c>
      <c r="W206" s="26"/>
      <c r="X206" s="26"/>
      <c r="Y206" s="26"/>
      <c r="Z206" s="26"/>
      <c r="AA206" s="26"/>
      <c r="AB206" s="33"/>
    </row>
    <row r="207" spans="1:28" x14ac:dyDescent="0.3">
      <c r="A207" s="32">
        <f>VLOOKUP(YEAR(C207),Flags!$A$13:$B$95,2,FALSE)</f>
        <v>1</v>
      </c>
      <c r="B207" s="24">
        <f t="shared" ref="B207:B270" si="328">YEAR(C207)</f>
        <v>1943</v>
      </c>
      <c r="C207" s="25">
        <v>15949</v>
      </c>
      <c r="D207" s="26"/>
      <c r="E207" s="24"/>
      <c r="F207" s="26"/>
      <c r="G207" s="24"/>
      <c r="H207" s="24"/>
      <c r="I207" s="26"/>
      <c r="J207" s="24"/>
      <c r="K207" s="26"/>
      <c r="L207" s="24"/>
      <c r="M207" s="24"/>
      <c r="N207" s="26"/>
      <c r="O207" s="26"/>
      <c r="P207" s="26"/>
      <c r="Q207" s="26"/>
      <c r="R207" s="26"/>
      <c r="S207" s="26"/>
      <c r="T207" s="26"/>
      <c r="U207" s="26"/>
      <c r="V207" s="26"/>
      <c r="W207" s="26">
        <f>MAX($C$7-VLOOKUP($C207,COS!$B$8:$H$991,3,FALSE),0)</f>
        <v>88574.7412109375</v>
      </c>
      <c r="X207" s="26">
        <f t="shared" si="245"/>
        <v>5446.2485504907027</v>
      </c>
      <c r="Y207" s="26">
        <f>VLOOKUP($C207,COS!$B$8:$H$991,4,FALSE)</f>
        <v>301.35446166992188</v>
      </c>
      <c r="Z207" s="26">
        <f t="shared" si="246"/>
        <v>18.529563593588584</v>
      </c>
      <c r="AA207" s="26">
        <f t="shared" ref="AA207:AA211" si="329">MIN(W207,Y207)</f>
        <v>301.35446166992188</v>
      </c>
      <c r="AB207" s="33">
        <f t="shared" ref="AB207" si="330">AA207*DAY($C207)*86400/43560/1000*IF(MONTH($C207)=8,$P$3,IF(MONTH($C207)=9,$P$4,IF(MONTH($C207)=10,$P$5,IF(MONTH($C207)=11,$P$6,IF(MONTH($C207)=12,$P$7,NA())))))</f>
        <v>18.529563593588584</v>
      </c>
    </row>
    <row r="208" spans="1:28" x14ac:dyDescent="0.3">
      <c r="A208" s="32">
        <f>VLOOKUP(YEAR(C208),Flags!$A$13:$B$95,2,FALSE)</f>
        <v>1</v>
      </c>
      <c r="B208" s="24">
        <f t="shared" si="328"/>
        <v>1943</v>
      </c>
      <c r="C208" s="25">
        <v>15979</v>
      </c>
      <c r="D208" s="26"/>
      <c r="E208" s="24"/>
      <c r="F208" s="26"/>
      <c r="G208" s="24"/>
      <c r="H208" s="24"/>
      <c r="I208" s="26"/>
      <c r="J208" s="24"/>
      <c r="K208" s="26">
        <f>VLOOKUP($C208,COS!$B$8:$H$991,2,FALSE)</f>
        <v>2551.45654296875</v>
      </c>
      <c r="L208" s="24">
        <f t="shared" ref="L208" si="331">IF(AND(K208&gt;$I$7,K208&lt;$I$8),1,0)</f>
        <v>1</v>
      </c>
      <c r="M208" s="24"/>
      <c r="N208" s="26"/>
      <c r="O208" s="26"/>
      <c r="P208" s="26"/>
      <c r="Q208" s="26"/>
      <c r="R208" s="26"/>
      <c r="S208" s="26"/>
      <c r="T208" s="26"/>
      <c r="U208" s="26"/>
      <c r="V208" s="26"/>
      <c r="W208" s="26">
        <f>MAX($C$8-VLOOKUP($C208,COS!$B$8:$H$991,3,FALSE),0)</f>
        <v>83754.365234375</v>
      </c>
      <c r="X208" s="26">
        <f t="shared" si="245"/>
        <v>4983.7308238636369</v>
      </c>
      <c r="Y208" s="26">
        <f>VLOOKUP($C208,COS!$B$8:$H$991,4,FALSE)</f>
        <v>0</v>
      </c>
      <c r="Z208" s="26">
        <f t="shared" si="246"/>
        <v>0</v>
      </c>
      <c r="AA208" s="26">
        <f t="shared" si="329"/>
        <v>0</v>
      </c>
      <c r="AB208" s="33">
        <f t="shared" si="243"/>
        <v>0</v>
      </c>
    </row>
    <row r="209" spans="1:28" x14ac:dyDescent="0.3">
      <c r="A209" s="32">
        <f>VLOOKUP(YEAR(C209),Flags!$A$13:$B$95,2,FALSE)</f>
        <v>1</v>
      </c>
      <c r="B209" s="24">
        <f t="shared" si="328"/>
        <v>1943</v>
      </c>
      <c r="C209" s="25">
        <v>16010</v>
      </c>
      <c r="D209" s="26"/>
      <c r="E209" s="24"/>
      <c r="F209" s="26"/>
      <c r="G209" s="26"/>
      <c r="H209" s="26"/>
      <c r="I209" s="26"/>
      <c r="J209" s="26"/>
      <c r="K209" s="26"/>
      <c r="L209" s="24"/>
      <c r="M209" s="24"/>
      <c r="N209" s="26"/>
      <c r="O209" s="26"/>
      <c r="P209" s="26"/>
      <c r="Q209" s="26"/>
      <c r="R209" s="26"/>
      <c r="S209" s="26"/>
      <c r="T209" s="26"/>
      <c r="U209" s="26"/>
      <c r="V209" s="26"/>
      <c r="W209" s="26">
        <f>MAX($C$9-VLOOKUP($C209,COS!$B$8:$H$991,3,FALSE),0)</f>
        <v>91470.8173828125</v>
      </c>
      <c r="X209" s="26">
        <f t="shared" si="245"/>
        <v>5624.3213332902887</v>
      </c>
      <c r="Y209" s="26">
        <f>VLOOKUP($C209,COS!$B$8:$H$991,4,FALSE)</f>
        <v>1550.2403564453125</v>
      </c>
      <c r="Z209" s="26">
        <f t="shared" si="246"/>
        <v>95.320564065728306</v>
      </c>
      <c r="AA209" s="26">
        <f t="shared" si="329"/>
        <v>1550.2403564453125</v>
      </c>
      <c r="AB209" s="33">
        <f t="shared" si="243"/>
        <v>95.320564065728306</v>
      </c>
    </row>
    <row r="210" spans="1:28" x14ac:dyDescent="0.3">
      <c r="A210" s="32">
        <f>VLOOKUP(YEAR(C210),Flags!$A$13:$B$95,2,FALSE)</f>
        <v>1</v>
      </c>
      <c r="B210" s="24">
        <f t="shared" si="328"/>
        <v>1943</v>
      </c>
      <c r="C210" s="25">
        <v>16040</v>
      </c>
      <c r="D210" s="26"/>
      <c r="E210" s="24"/>
      <c r="F210" s="26"/>
      <c r="G210" s="26"/>
      <c r="H210" s="26"/>
      <c r="I210" s="26"/>
      <c r="J210" s="26"/>
      <c r="K210" s="26"/>
      <c r="L210" s="24"/>
      <c r="M210" s="24"/>
      <c r="N210" s="26"/>
      <c r="O210" s="26"/>
      <c r="P210" s="26"/>
      <c r="Q210" s="26"/>
      <c r="R210" s="26"/>
      <c r="S210" s="26"/>
      <c r="T210" s="26"/>
      <c r="U210" s="26"/>
      <c r="V210" s="26"/>
      <c r="W210" s="26">
        <f>MAX($C$10-VLOOKUP($C210,COS!$B$8:$H$991,3,FALSE),0)</f>
        <v>89086.3046875</v>
      </c>
      <c r="X210" s="26">
        <f t="shared" si="245"/>
        <v>5301.0032541322316</v>
      </c>
      <c r="Y210" s="26">
        <f>VLOOKUP($C210,COS!$B$8:$H$991,4,FALSE)</f>
        <v>2815.150390625</v>
      </c>
      <c r="Z210" s="26">
        <f t="shared" si="246"/>
        <v>167.51308109504131</v>
      </c>
      <c r="AA210" s="26">
        <f t="shared" si="329"/>
        <v>2815.150390625</v>
      </c>
      <c r="AB210" s="33">
        <f t="shared" si="243"/>
        <v>83.756540547520657</v>
      </c>
    </row>
    <row r="211" spans="1:28" x14ac:dyDescent="0.3">
      <c r="A211" s="34">
        <f>VLOOKUP(YEAR(C211),Flags!$A$13:$B$95,2,FALSE)</f>
        <v>1</v>
      </c>
      <c r="B211" s="35">
        <f t="shared" si="328"/>
        <v>1943</v>
      </c>
      <c r="C211" s="36">
        <v>16071</v>
      </c>
      <c r="D211" s="37"/>
      <c r="E211" s="35"/>
      <c r="F211" s="37"/>
      <c r="G211" s="37"/>
      <c r="H211" s="37"/>
      <c r="I211" s="37"/>
      <c r="J211" s="37"/>
      <c r="K211" s="37"/>
      <c r="L211" s="35"/>
      <c r="M211" s="35"/>
      <c r="N211" s="37"/>
      <c r="O211" s="37"/>
      <c r="P211" s="37"/>
      <c r="Q211" s="37"/>
      <c r="R211" s="37"/>
      <c r="S211" s="37"/>
      <c r="T211" s="37"/>
      <c r="U211" s="37"/>
      <c r="V211" s="37"/>
      <c r="W211" s="37">
        <f>MAX($C$11-VLOOKUP($C211,COS!$B$8:$H$991,3,FALSE),0)</f>
        <v>0</v>
      </c>
      <c r="X211" s="37">
        <f t="shared" si="245"/>
        <v>0</v>
      </c>
      <c r="Y211" s="37">
        <f>VLOOKUP($C211,COS!$B$8:$H$991,4,FALSE)</f>
        <v>40.252571105957031</v>
      </c>
      <c r="Z211" s="37">
        <f t="shared" si="246"/>
        <v>2.4750341242009943</v>
      </c>
      <c r="AA211" s="37">
        <f t="shared" si="329"/>
        <v>0</v>
      </c>
      <c r="AB211" s="38">
        <f t="shared" si="243"/>
        <v>0</v>
      </c>
    </row>
    <row r="212" spans="1:28" x14ac:dyDescent="0.3">
      <c r="A212" s="27">
        <f>VLOOKUP(YEAR(C212),Flags!$A$13:$B$95,2,FALSE)</f>
        <v>4</v>
      </c>
      <c r="B212" s="28">
        <f t="shared" si="328"/>
        <v>1944</v>
      </c>
      <c r="C212" s="29">
        <v>16192</v>
      </c>
      <c r="D212" s="30">
        <f>VLOOKUP($C212,COS!$B$8:$H$991,3,FALSE)</f>
        <v>3250</v>
      </c>
      <c r="E212" s="28">
        <f>IF(D212&gt;=IF(MONTH($C212)=4,$C$3,IF(MONTH($C212)=5,$C$4,IF(MONTH($C212)=6,$C$5,IF(MONTH($C212)=7,$C$6,"ERROR")))),1,0)</f>
        <v>0</v>
      </c>
      <c r="F212" s="30">
        <f>VLOOKUP($C212,COS!$B$8:$H$991,7,FALSE)</f>
        <v>50.606151580810547</v>
      </c>
      <c r="G212" s="28">
        <f>IF(F212&lt;=IF(MONTH($C212)=4,$F$3,IF(MONTH($C212)=5,$F$4,IF(MONTH($C212)=6,$F$5,IF(MONTH($C212)=7,$F$6,"ERROR")))),1,0)</f>
        <v>1</v>
      </c>
      <c r="H212" s="30">
        <f>IF(J212=1,D212-$C$3,0)</f>
        <v>0</v>
      </c>
      <c r="I212" s="30">
        <f t="shared" si="239"/>
        <v>0</v>
      </c>
      <c r="J212" s="28">
        <f t="shared" ref="J212:J215" si="332">IF(AND(E212=1,G212=1),1,0)</f>
        <v>0</v>
      </c>
      <c r="K212" s="30">
        <f>VLOOKUP($C212,COS!$B$8:$H$991,2,FALSE)</f>
        <v>3187.75537109375</v>
      </c>
      <c r="L212" s="28">
        <f t="shared" ref="L212:L269" si="333">IF(K212&lt;=IF(MONTH($C212)=4,$I$3,IF(MONTH($C212)=5,$I$4,IF(MONTH($C212)=6,$I$5,IF(MONTH($C212)=7,$I$6,"ERROR")))),1,0)</f>
        <v>1</v>
      </c>
      <c r="M212" s="28">
        <f t="shared" ref="M212:M269" si="334">VLOOKUP($A212,$L$3:$M$7,2,FALSE)</f>
        <v>1</v>
      </c>
      <c r="N212" s="30">
        <f>VLOOKUP($C212,COS!$B$8:$H$991,5,FALSE)</f>
        <v>104.06297302246094</v>
      </c>
      <c r="O212" s="30">
        <f t="shared" ref="O212:O215" si="335">N212*DAY($C212)*86400/43560/1000</f>
        <v>6.1921769071216426</v>
      </c>
      <c r="P212" s="30">
        <f>VLOOKUP($C212,COS!$B$8:$H$991,6,FALSE)</f>
        <v>468.96719360351563</v>
      </c>
      <c r="Q212" s="30">
        <f t="shared" ref="Q212:Q215" si="336">P212*DAY($C212)*86400/43560/1000</f>
        <v>27.905485900374483</v>
      </c>
      <c r="R212" s="30">
        <f>MIN(IF(MONTH($C212)=4,$S$3,IF(MONTH($C212)=5,$S$4,IF(MONTH($C212)=6,$S$5,IF(MONTH($C212)=7,$S$6,"ERROR")))),MAX(VLOOKUP($C212,COS!$B$8:$K$991,10,FALSE)-IF(MONTH($C212)=4,$Y$3,IF(MONTH($C212)=5,$Y$4,IF(MONTH($C212)=6,$Y$5,IF(MONTH($C212)=7,$Y$6,"ERROR")))),0),MAX(VLOOKUP($C212,COS!$B$8:$K$991,9,FALSE)-IF(MONTH($C212)=4,$V$3,IF(MONTH($C212)=5,$V$4,IF(MONTH($C212)=6,$V$5,IF(MONTH($C212)=7,$V$6,"ERROR"))))-VLOOKUP($C212,COS!$B$8:$K$991,6,FALSE)/2,0))</f>
        <v>653.14990234375</v>
      </c>
      <c r="S212" s="30">
        <f t="shared" ref="S212:S215" si="337">R212*DAY($C212)*86400/43560/1000</f>
        <v>38.865118155991738</v>
      </c>
      <c r="T212" s="30">
        <f t="shared" ref="T212:T215" si="338">(O212+Q212)/2+S212</f>
        <v>55.913949559739805</v>
      </c>
      <c r="U212" s="30" t="str">
        <f>IF(VLOOKUP($C212,COS!$B$8:$I$991,8,FALSE)=1,"UWFE","IBU")</f>
        <v>UWFE</v>
      </c>
      <c r="V212" s="30">
        <f t="shared" ref="V212" si="339">MIN(IF(IF($AA$3=2,AND(E212=1,G212=1,L212=1,L217=1,M212=1,U212="IBU"),AND(E212=1,G212=1,L212=1,L217=1,M212=1)),T212,0),I212)</f>
        <v>0</v>
      </c>
      <c r="W212" s="30"/>
      <c r="X212" s="30"/>
      <c r="Y212" s="30"/>
      <c r="Z212" s="30"/>
      <c r="AA212" s="30"/>
      <c r="AB212" s="31"/>
    </row>
    <row r="213" spans="1:28" x14ac:dyDescent="0.3">
      <c r="A213" s="32">
        <f>VLOOKUP(YEAR(C213),Flags!$A$13:$B$95,2,FALSE)</f>
        <v>4</v>
      </c>
      <c r="B213" s="24">
        <f t="shared" si="328"/>
        <v>1944</v>
      </c>
      <c r="C213" s="25">
        <v>16223</v>
      </c>
      <c r="D213" s="26">
        <f>VLOOKUP($C213,COS!$B$8:$H$991,3,FALSE)</f>
        <v>5285.6044921875</v>
      </c>
      <c r="E213" s="24">
        <f>IF(D213&gt;=IF(MONTH($C213)=4,$C$3,IF(MONTH($C213)=5,$C$4,IF(MONTH($C213)=6,$C$5,IF(MONTH($C213)=7,$C$6,"ERROR")))),1,0)</f>
        <v>0</v>
      </c>
      <c r="F213" s="26">
        <f>VLOOKUP($C213,COS!$B$8:$H$991,7,FALSE)</f>
        <v>51.930629730224609</v>
      </c>
      <c r="G213" s="24">
        <f>IF(F213&lt;=IF(MONTH($C213)=4,$F$3,IF(MONTH($C213)=5,$F$4,IF(MONTH($C213)=6,$F$5,IF(MONTH($C213)=7,$F$6,"ERROR")))),1,0)</f>
        <v>1</v>
      </c>
      <c r="H213" s="26">
        <f>IF(J213=1,D213-$C$4,0)</f>
        <v>0</v>
      </c>
      <c r="I213" s="26">
        <f t="shared" si="239"/>
        <v>0</v>
      </c>
      <c r="J213" s="24">
        <f t="shared" si="332"/>
        <v>0</v>
      </c>
      <c r="K213" s="26">
        <f>VLOOKUP($C213,COS!$B$8:$H$991,2,FALSE)</f>
        <v>3183.985107421875</v>
      </c>
      <c r="L213" s="24">
        <f t="shared" si="333"/>
        <v>1</v>
      </c>
      <c r="M213" s="24">
        <f t="shared" si="334"/>
        <v>1</v>
      </c>
      <c r="N213" s="26">
        <f>VLOOKUP($C213,COS!$B$8:$H$991,5,FALSE)</f>
        <v>20.680736541748047</v>
      </c>
      <c r="O213" s="26">
        <f t="shared" si="335"/>
        <v>1.2716089245504583</v>
      </c>
      <c r="P213" s="26">
        <f>VLOOKUP($C213,COS!$B$8:$H$991,6,FALSE)</f>
        <v>2024.68505859375</v>
      </c>
      <c r="Q213" s="26">
        <f t="shared" si="336"/>
        <v>124.49303170196281</v>
      </c>
      <c r="R213" s="26">
        <f>MIN(IF(MONTH($C213)=4,$S$3,IF(MONTH($C213)=5,$S$4,IF(MONTH($C213)=6,$S$5,IF(MONTH($C213)=7,$S$6,"ERROR")))),MAX(VLOOKUP($C213,COS!$B$8:$K$991,10,FALSE)-IF(MONTH($C213)=4,$Y$3,IF(MONTH($C213)=5,$Y$4,IF(MONTH($C213)=6,$Y$5,IF(MONTH($C213)=7,$Y$6,"ERROR")))),0),MAX(VLOOKUP($C213,COS!$B$8:$K$991,9,FALSE)-IF(MONTH($C213)=4,$V$3,IF(MONTH($C213)=5,$V$4,IF(MONTH($C213)=6,$V$5,IF(MONTH($C213)=7,$V$6,"ERROR"))))-VLOOKUP($C213,COS!$B$8:$K$991,6,FALSE)/2,0))</f>
        <v>1042.197265625</v>
      </c>
      <c r="S213" s="26">
        <f t="shared" si="337"/>
        <v>64.082212035123959</v>
      </c>
      <c r="T213" s="26">
        <f t="shared" si="338"/>
        <v>126.9645323483806</v>
      </c>
      <c r="U213" s="26" t="str">
        <f>IF(VLOOKUP($C213,COS!$B$8:$I$991,8,FALSE)=1,"UWFE","IBU")</f>
        <v>UWFE</v>
      </c>
      <c r="V213" s="26">
        <f t="shared" ref="V213" si="340">MIN(IF(IF($AA$3=2,AND(E213=1,G213=1,L213=1,L217=1,M213=1,U213="IBU"),AND(E213=1,G213=1,L213=1,L217=1,M213=1)),T213,0),I213)</f>
        <v>0</v>
      </c>
      <c r="W213" s="26"/>
      <c r="X213" s="26"/>
      <c r="Y213" s="26"/>
      <c r="Z213" s="26"/>
      <c r="AA213" s="26"/>
      <c r="AB213" s="33"/>
    </row>
    <row r="214" spans="1:28" x14ac:dyDescent="0.3">
      <c r="A214" s="32">
        <f>VLOOKUP(YEAR(C214),Flags!$A$13:$B$95,2,FALSE)</f>
        <v>4</v>
      </c>
      <c r="B214" s="24">
        <f t="shared" si="328"/>
        <v>1944</v>
      </c>
      <c r="C214" s="25">
        <v>16253</v>
      </c>
      <c r="D214" s="26">
        <f>VLOOKUP($C214,COS!$B$8:$H$991,3,FALSE)</f>
        <v>9979.68359375</v>
      </c>
      <c r="E214" s="24">
        <f>IF(D214&gt;=IF(MONTH($C214)=4,$C$3,IF(MONTH($C214)=5,$C$4,IF(MONTH($C214)=6,$C$5,IF(MONTH($C214)=7,$C$6,"ERROR")))),1,0)</f>
        <v>0</v>
      </c>
      <c r="F214" s="26">
        <f>VLOOKUP($C214,COS!$B$8:$H$991,7,FALSE)</f>
        <v>51.431163787841797</v>
      </c>
      <c r="G214" s="24">
        <f>IF(F214&lt;=IF(MONTH($C214)=4,$F$3,IF(MONTH($C214)=5,$F$4,IF(MONTH($C214)=6,$F$5,IF(MONTH($C214)=7,$F$6,"ERROR")))),1,0)</f>
        <v>1</v>
      </c>
      <c r="H214" s="26">
        <f>IF(J214=1,D214-$C$5,0)</f>
        <v>0</v>
      </c>
      <c r="I214" s="26">
        <f t="shared" si="239"/>
        <v>0</v>
      </c>
      <c r="J214" s="24">
        <f t="shared" si="332"/>
        <v>0</v>
      </c>
      <c r="K214" s="26">
        <f>VLOOKUP($C214,COS!$B$8:$H$991,2,FALSE)</f>
        <v>2883.628662109375</v>
      </c>
      <c r="L214" s="24">
        <f t="shared" si="333"/>
        <v>1</v>
      </c>
      <c r="M214" s="24">
        <f t="shared" si="334"/>
        <v>1</v>
      </c>
      <c r="N214" s="26">
        <f>VLOOKUP($C214,COS!$B$8:$H$991,5,FALSE)</f>
        <v>231.61277770996094</v>
      </c>
      <c r="O214" s="26">
        <f t="shared" si="335"/>
        <v>13.781917351336519</v>
      </c>
      <c r="P214" s="26">
        <f>VLOOKUP($C214,COS!$B$8:$H$991,6,FALSE)</f>
        <v>2655.6513671875</v>
      </c>
      <c r="Q214" s="26">
        <f t="shared" si="336"/>
        <v>158.02223011363634</v>
      </c>
      <c r="R214" s="26">
        <f>MIN(IF(MONTH($C214)=4,$S$3,IF(MONTH($C214)=5,$S$4,IF(MONTH($C214)=6,$S$5,IF(MONTH($C214)=7,$S$6,"ERROR")))),MAX(VLOOKUP($C214,COS!$B$8:$K$991,10,FALSE)-IF(MONTH($C214)=4,$Y$3,IF(MONTH($C214)=5,$Y$4,IF(MONTH($C214)=6,$Y$5,IF(MONTH($C214)=7,$Y$6,"ERROR")))),0),MAX(VLOOKUP($C214,COS!$B$8:$K$991,9,FALSE)-IF(MONTH($C214)=4,$V$3,IF(MONTH($C214)=5,$V$4,IF(MONTH($C214)=6,$V$5,IF(MONTH($C214)=7,$V$6,"ERROR"))))-VLOOKUP($C214,COS!$B$8:$K$991,6,FALSE)/2,0))</f>
        <v>1500</v>
      </c>
      <c r="S214" s="26">
        <f t="shared" si="337"/>
        <v>89.256198347107429</v>
      </c>
      <c r="T214" s="26">
        <f t="shared" si="338"/>
        <v>175.15827207959387</v>
      </c>
      <c r="U214" s="26" t="str">
        <f>IF(VLOOKUP($C214,COS!$B$8:$I$991,8,FALSE)=1,"UWFE","IBU")</f>
        <v>IBU</v>
      </c>
      <c r="V214" s="26">
        <f t="shared" ref="V214" si="341">MIN(IF(IF($AA$3=2,AND(E214=1,G214=1,L214=1,L217=1,M214=1,U214="IBU"),AND(E214=1,G214=1,L214=1,L217=1,M214=1)),T214,0),I214)</f>
        <v>0</v>
      </c>
      <c r="W214" s="26"/>
      <c r="X214" s="26"/>
      <c r="Y214" s="26"/>
      <c r="Z214" s="26"/>
      <c r="AA214" s="26"/>
      <c r="AB214" s="33"/>
    </row>
    <row r="215" spans="1:28" x14ac:dyDescent="0.3">
      <c r="A215" s="32">
        <f>VLOOKUP(YEAR(C215),Flags!$A$13:$B$95,2,FALSE)</f>
        <v>4</v>
      </c>
      <c r="B215" s="24">
        <f t="shared" si="328"/>
        <v>1944</v>
      </c>
      <c r="C215" s="25">
        <v>16284</v>
      </c>
      <c r="D215" s="26">
        <f>VLOOKUP($C215,COS!$B$8:$H$991,3,FALSE)</f>
        <v>11936.8037109375</v>
      </c>
      <c r="E215" s="24">
        <f>IF(D215&gt;=IF(MONTH($C215)=4,$C$3,IF(MONTH($C215)=5,$C$4,IF(MONTH($C215)=6,$C$5,IF(MONTH($C215)=7,$C$6,"ERROR")))),1,0)</f>
        <v>0</v>
      </c>
      <c r="F215" s="26">
        <f>VLOOKUP($C215,COS!$B$8:$H$991,7,FALSE)</f>
        <v>53.474411010742188</v>
      </c>
      <c r="G215" s="24">
        <f>IF(F215&lt;=IF(MONTH($C215)=4,$F$3,IF(MONTH($C215)=5,$F$4,IF(MONTH($C215)=6,$F$5,IF(MONTH($C215)=7,$F$6,"ERROR")))),1,0)</f>
        <v>1</v>
      </c>
      <c r="H215" s="26">
        <f>IF(J215=1,D215-$C$6,0)</f>
        <v>0</v>
      </c>
      <c r="I215" s="26">
        <f t="shared" ref="I215:I278" si="342">H215*DAY($C215)*86400/43560/1000</f>
        <v>0</v>
      </c>
      <c r="J215" s="24">
        <f t="shared" si="332"/>
        <v>0</v>
      </c>
      <c r="K215" s="26">
        <f>VLOOKUP($C215,COS!$B$8:$H$991,2,FALSE)</f>
        <v>2455.531494140625</v>
      </c>
      <c r="L215" s="24">
        <f t="shared" si="333"/>
        <v>1</v>
      </c>
      <c r="M215" s="24">
        <f t="shared" si="334"/>
        <v>1</v>
      </c>
      <c r="N215" s="26">
        <f>VLOOKUP($C215,COS!$B$8:$H$991,5,FALSE)</f>
        <v>264.6837158203125</v>
      </c>
      <c r="O215" s="26">
        <f t="shared" si="335"/>
        <v>16.274767319860537</v>
      </c>
      <c r="P215" s="26">
        <f>VLOOKUP($C215,COS!$B$8:$H$991,6,FALSE)</f>
        <v>2538.07568359375</v>
      </c>
      <c r="Q215" s="26">
        <f t="shared" si="336"/>
        <v>156.06019079287191</v>
      </c>
      <c r="R215" s="26">
        <f>MIN(IF(MONTH($C215)=4,$S$3,IF(MONTH($C215)=5,$S$4,IF(MONTH($C215)=6,$S$5,IF(MONTH($C215)=7,$S$6,"ERROR")))),MAX(VLOOKUP($C215,COS!$B$8:$K$991,10,FALSE)-IF(MONTH($C215)=4,$Y$3,IF(MONTH($C215)=5,$Y$4,IF(MONTH($C215)=6,$Y$5,IF(MONTH($C215)=7,$Y$6,"ERROR")))),0),MAX(VLOOKUP($C215,COS!$B$8:$K$991,9,FALSE)-IF(MONTH($C215)=4,$V$3,IF(MONTH($C215)=5,$V$4,IF(MONTH($C215)=6,$V$5,IF(MONTH($C215)=7,$V$6,"ERROR"))))-VLOOKUP($C215,COS!$B$8:$K$991,6,FALSE)/2,0))</f>
        <v>1500</v>
      </c>
      <c r="S215" s="26">
        <f t="shared" si="337"/>
        <v>92.231404958677686</v>
      </c>
      <c r="T215" s="26">
        <f t="shared" si="338"/>
        <v>178.3988840150439</v>
      </c>
      <c r="U215" s="26" t="str">
        <f>IF(VLOOKUP($C215,COS!$B$8:$I$991,8,FALSE)=1,"UWFE","IBU")</f>
        <v>IBU</v>
      </c>
      <c r="V215" s="26">
        <f t="shared" ref="V215" si="343">MIN(IF(IF($AA$3=2,AND(E215=1,G215=1,L215=1,L217=1,M215=1,U215="IBU"),AND(E215=1,G215=1,L215=1,L217=1,M215=1)),T215,0),I215)</f>
        <v>0</v>
      </c>
      <c r="W215" s="26"/>
      <c r="X215" s="26"/>
      <c r="Y215" s="26"/>
      <c r="Z215" s="26"/>
      <c r="AA215" s="26"/>
      <c r="AB215" s="33"/>
    </row>
    <row r="216" spans="1:28" x14ac:dyDescent="0.3">
      <c r="A216" s="32">
        <f>VLOOKUP(YEAR(C216),Flags!$A$13:$B$95,2,FALSE)</f>
        <v>4</v>
      </c>
      <c r="B216" s="24">
        <f t="shared" si="328"/>
        <v>1944</v>
      </c>
      <c r="C216" s="25">
        <v>16315</v>
      </c>
      <c r="D216" s="26"/>
      <c r="E216" s="24"/>
      <c r="F216" s="26"/>
      <c r="G216" s="24"/>
      <c r="H216" s="24"/>
      <c r="I216" s="26"/>
      <c r="J216" s="24"/>
      <c r="K216" s="26"/>
      <c r="L216" s="24"/>
      <c r="M216" s="24"/>
      <c r="N216" s="26"/>
      <c r="O216" s="26"/>
      <c r="P216" s="26"/>
      <c r="Q216" s="26"/>
      <c r="R216" s="26"/>
      <c r="S216" s="26"/>
      <c r="T216" s="26"/>
      <c r="U216" s="26"/>
      <c r="V216" s="26"/>
      <c r="W216" s="26">
        <f>MAX($C$7-VLOOKUP($C216,COS!$B$8:$H$991,3,FALSE),0)</f>
        <v>91194.1171875</v>
      </c>
      <c r="X216" s="26">
        <f t="shared" si="245"/>
        <v>5607.3077014462806</v>
      </c>
      <c r="Y216" s="26">
        <f>VLOOKUP($C216,COS!$B$8:$H$991,4,FALSE)</f>
        <v>1479.651123046875</v>
      </c>
      <c r="Z216" s="26">
        <f t="shared" si="246"/>
        <v>90.9802012848657</v>
      </c>
      <c r="AA216" s="26">
        <f t="shared" ref="AA216:AA220" si="344">MIN(W216,Y216)</f>
        <v>1479.651123046875</v>
      </c>
      <c r="AB216" s="33">
        <f t="shared" ref="AB216:AB274" si="345">AA216*DAY($C216)*86400/43560/1000*IF(MONTH($C216)=8,$P$3,IF(MONTH($C216)=9,$P$4,IF(MONTH($C216)=10,$P$5,IF(MONTH($C216)=11,$P$6,IF(MONTH($C216)=12,$P$7,NA())))))</f>
        <v>90.9802012848657</v>
      </c>
    </row>
    <row r="217" spans="1:28" x14ac:dyDescent="0.3">
      <c r="A217" s="32">
        <f>VLOOKUP(YEAR(C217),Flags!$A$13:$B$95,2,FALSE)</f>
        <v>4</v>
      </c>
      <c r="B217" s="24">
        <f t="shared" si="328"/>
        <v>1944</v>
      </c>
      <c r="C217" s="25">
        <v>16345</v>
      </c>
      <c r="D217" s="26"/>
      <c r="E217" s="24"/>
      <c r="F217" s="26"/>
      <c r="G217" s="24"/>
      <c r="H217" s="24"/>
      <c r="I217" s="26"/>
      <c r="J217" s="24"/>
      <c r="K217" s="26">
        <f>VLOOKUP($C217,COS!$B$8:$H$991,2,FALSE)</f>
        <v>2136.83203125</v>
      </c>
      <c r="L217" s="24">
        <f t="shared" ref="L217" si="346">IF(AND(K217&gt;$I$7,K217&lt;$I$8),1,0)</f>
        <v>1</v>
      </c>
      <c r="M217" s="24"/>
      <c r="N217" s="26"/>
      <c r="O217" s="26"/>
      <c r="P217" s="26"/>
      <c r="Q217" s="26"/>
      <c r="R217" s="26"/>
      <c r="S217" s="26"/>
      <c r="T217" s="26"/>
      <c r="U217" s="26"/>
      <c r="V217" s="26"/>
      <c r="W217" s="26">
        <f>MAX($C$8-VLOOKUP($C217,COS!$B$8:$H$991,3,FALSE),0)</f>
        <v>95026.63427734375</v>
      </c>
      <c r="X217" s="26">
        <f t="shared" si="245"/>
        <v>5654.4774115444216</v>
      </c>
      <c r="Y217" s="26">
        <f>VLOOKUP($C217,COS!$B$8:$H$991,4,FALSE)</f>
        <v>1451.7376708984375</v>
      </c>
      <c r="Z217" s="26">
        <f t="shared" si="246"/>
        <v>86.384390334452476</v>
      </c>
      <c r="AA217" s="26">
        <f t="shared" si="344"/>
        <v>1451.7376708984375</v>
      </c>
      <c r="AB217" s="33">
        <f t="shared" si="345"/>
        <v>86.384390334452476</v>
      </c>
    </row>
    <row r="218" spans="1:28" x14ac:dyDescent="0.3">
      <c r="A218" s="32">
        <f>VLOOKUP(YEAR(C218),Flags!$A$13:$B$95,2,FALSE)</f>
        <v>4</v>
      </c>
      <c r="B218" s="24">
        <f t="shared" si="328"/>
        <v>1944</v>
      </c>
      <c r="C218" s="25">
        <v>16376</v>
      </c>
      <c r="D218" s="26"/>
      <c r="E218" s="24"/>
      <c r="F218" s="26"/>
      <c r="G218" s="26"/>
      <c r="H218" s="26"/>
      <c r="I218" s="26"/>
      <c r="J218" s="26"/>
      <c r="K218" s="26"/>
      <c r="L218" s="24"/>
      <c r="M218" s="24"/>
      <c r="N218" s="26"/>
      <c r="O218" s="26"/>
      <c r="P218" s="26"/>
      <c r="Q218" s="26"/>
      <c r="R218" s="26"/>
      <c r="S218" s="26"/>
      <c r="T218" s="26"/>
      <c r="U218" s="26"/>
      <c r="V218" s="26"/>
      <c r="W218" s="26">
        <f>MAX($C$9-VLOOKUP($C218,COS!$B$8:$H$991,3,FALSE),0)</f>
        <v>94521.05810546875</v>
      </c>
      <c r="X218" s="26">
        <f t="shared" si="245"/>
        <v>5811.8733248321287</v>
      </c>
      <c r="Y218" s="26">
        <f>VLOOKUP($C218,COS!$B$8:$H$991,4,FALSE)</f>
        <v>1521.927001953125</v>
      </c>
      <c r="Z218" s="26">
        <f t="shared" si="246"/>
        <v>93.579643756456619</v>
      </c>
      <c r="AA218" s="26">
        <f t="shared" si="344"/>
        <v>1521.927001953125</v>
      </c>
      <c r="AB218" s="33">
        <f t="shared" si="345"/>
        <v>93.579643756456619</v>
      </c>
    </row>
    <row r="219" spans="1:28" x14ac:dyDescent="0.3">
      <c r="A219" s="32">
        <f>VLOOKUP(YEAR(C219),Flags!$A$13:$B$95,2,FALSE)</f>
        <v>4</v>
      </c>
      <c r="B219" s="24">
        <f t="shared" si="328"/>
        <v>1944</v>
      </c>
      <c r="C219" s="25">
        <v>16406</v>
      </c>
      <c r="D219" s="26"/>
      <c r="E219" s="24"/>
      <c r="F219" s="26"/>
      <c r="G219" s="26"/>
      <c r="H219" s="26"/>
      <c r="I219" s="26"/>
      <c r="J219" s="26"/>
      <c r="K219" s="26"/>
      <c r="L219" s="24"/>
      <c r="M219" s="24"/>
      <c r="N219" s="26"/>
      <c r="O219" s="26"/>
      <c r="P219" s="26"/>
      <c r="Q219" s="26"/>
      <c r="R219" s="26"/>
      <c r="S219" s="26"/>
      <c r="T219" s="26"/>
      <c r="U219" s="26"/>
      <c r="V219" s="26"/>
      <c r="W219" s="26">
        <f>MAX($C$10-VLOOKUP($C219,COS!$B$8:$H$991,3,FALSE),0)</f>
        <v>96749</v>
      </c>
      <c r="X219" s="26">
        <f t="shared" ref="X219:X282" si="347">W219*DAY($C219)*86400/43560/1000</f>
        <v>5756.965289256198</v>
      </c>
      <c r="Y219" s="26">
        <f>VLOOKUP($C219,COS!$B$8:$H$991,4,FALSE)</f>
        <v>0</v>
      </c>
      <c r="Z219" s="26">
        <f t="shared" ref="Z219:Z282" si="348">Y219*DAY($C219)*86400/43560/1000</f>
        <v>0</v>
      </c>
      <c r="AA219" s="26">
        <f t="shared" si="344"/>
        <v>0</v>
      </c>
      <c r="AB219" s="33">
        <f t="shared" si="345"/>
        <v>0</v>
      </c>
    </row>
    <row r="220" spans="1:28" x14ac:dyDescent="0.3">
      <c r="A220" s="34">
        <f>VLOOKUP(YEAR(C220),Flags!$A$13:$B$95,2,FALSE)</f>
        <v>4</v>
      </c>
      <c r="B220" s="35">
        <f t="shared" si="328"/>
        <v>1944</v>
      </c>
      <c r="C220" s="36">
        <v>16437</v>
      </c>
      <c r="D220" s="37"/>
      <c r="E220" s="35"/>
      <c r="F220" s="37"/>
      <c r="G220" s="37"/>
      <c r="H220" s="37"/>
      <c r="I220" s="37"/>
      <c r="J220" s="37"/>
      <c r="K220" s="37"/>
      <c r="L220" s="35"/>
      <c r="M220" s="35"/>
      <c r="N220" s="37"/>
      <c r="O220" s="37"/>
      <c r="P220" s="37"/>
      <c r="Q220" s="37"/>
      <c r="R220" s="37"/>
      <c r="S220" s="37"/>
      <c r="T220" s="37"/>
      <c r="U220" s="37"/>
      <c r="V220" s="37"/>
      <c r="W220" s="37">
        <f>MAX($C$11-VLOOKUP($C220,COS!$B$8:$H$991,3,FALSE),0)</f>
        <v>0</v>
      </c>
      <c r="X220" s="37">
        <f t="shared" si="347"/>
        <v>0</v>
      </c>
      <c r="Y220" s="37">
        <f>VLOOKUP($C220,COS!$B$8:$H$991,4,FALSE)</f>
        <v>2511.267822265625</v>
      </c>
      <c r="Z220" s="37">
        <f t="shared" si="348"/>
        <v>154.41183965005163</v>
      </c>
      <c r="AA220" s="37">
        <f t="shared" si="344"/>
        <v>0</v>
      </c>
      <c r="AB220" s="38">
        <f t="shared" si="345"/>
        <v>0</v>
      </c>
    </row>
    <row r="221" spans="1:28" x14ac:dyDescent="0.3">
      <c r="A221" s="27">
        <f>VLOOKUP(YEAR(C221),Flags!$A$13:$B$95,2,FALSE)</f>
        <v>3</v>
      </c>
      <c r="B221" s="28">
        <f t="shared" si="328"/>
        <v>1945</v>
      </c>
      <c r="C221" s="29">
        <v>16557</v>
      </c>
      <c r="D221" s="30">
        <f>VLOOKUP($C221,COS!$B$8:$H$991,3,FALSE)</f>
        <v>3250</v>
      </c>
      <c r="E221" s="28">
        <f>IF(D221&gt;=IF(MONTH($C221)=4,$C$3,IF(MONTH($C221)=5,$C$4,IF(MONTH($C221)=6,$C$5,IF(MONTH($C221)=7,$C$6,"ERROR")))),1,0)</f>
        <v>0</v>
      </c>
      <c r="F221" s="30">
        <f>VLOOKUP($C221,COS!$B$8:$H$991,7,FALSE)</f>
        <v>50.669651031494141</v>
      </c>
      <c r="G221" s="28">
        <f>IF(F221&lt;=IF(MONTH($C221)=4,$F$3,IF(MONTH($C221)=5,$F$4,IF(MONTH($C221)=6,$F$5,IF(MONTH($C221)=7,$F$6,"ERROR")))),1,0)</f>
        <v>1</v>
      </c>
      <c r="H221" s="30">
        <f>IF(J221=1,D221-$C$3,0)</f>
        <v>0</v>
      </c>
      <c r="I221" s="30">
        <f t="shared" si="342"/>
        <v>0</v>
      </c>
      <c r="J221" s="28">
        <f t="shared" ref="J221:J224" si="349">IF(AND(E221=1,G221=1),1,0)</f>
        <v>0</v>
      </c>
      <c r="K221" s="30">
        <f>VLOOKUP($C221,COS!$B$8:$H$991,2,FALSE)</f>
        <v>4155.40673828125</v>
      </c>
      <c r="L221" s="28">
        <f t="shared" ref="L221" si="350">IF(K221&lt;=IF(MONTH($C221)=4,$I$3,IF(MONTH($C221)=5,$I$4,IF(MONTH($C221)=6,$I$5,IF(MONTH($C221)=7,$I$6,"ERROR")))),1,0)</f>
        <v>1</v>
      </c>
      <c r="M221" s="28">
        <f t="shared" ref="M221" si="351">VLOOKUP($A221,$L$3:$M$7,2,FALSE)</f>
        <v>0</v>
      </c>
      <c r="N221" s="30">
        <f>VLOOKUP($C221,COS!$B$8:$H$991,5,FALSE)</f>
        <v>245.70526123046875</v>
      </c>
      <c r="O221" s="30">
        <f t="shared" ref="O221:O224" si="352">N221*DAY($C221)*86400/43560/1000</f>
        <v>14.620478354209711</v>
      </c>
      <c r="P221" s="30">
        <f>VLOOKUP($C221,COS!$B$8:$H$991,6,FALSE)</f>
        <v>453.39697265625</v>
      </c>
      <c r="Q221" s="30">
        <f t="shared" ref="Q221:Q224" si="353">P221*DAY($C221)*86400/43560/1000</f>
        <v>26.978993414256198</v>
      </c>
      <c r="R221" s="30">
        <f>MIN(IF(MONTH($C221)=4,$S$3,IF(MONTH($C221)=5,$S$4,IF(MONTH($C221)=6,$S$5,IF(MONTH($C221)=7,$S$6,"ERROR")))),MAX(VLOOKUP($C221,COS!$B$8:$K$991,10,FALSE)-IF(MONTH($C221)=4,$Y$3,IF(MONTH($C221)=5,$Y$4,IF(MONTH($C221)=6,$Y$5,IF(MONTH($C221)=7,$Y$6,"ERROR")))),0),MAX(VLOOKUP($C221,COS!$B$8:$K$991,9,FALSE)-IF(MONTH($C221)=4,$V$3,IF(MONTH($C221)=5,$V$4,IF(MONTH($C221)=6,$V$5,IF(MONTH($C221)=7,$V$6,"ERROR"))))-VLOOKUP($C221,COS!$B$8:$K$991,6,FALSE)/2,0))</f>
        <v>1303.249267578125</v>
      </c>
      <c r="S221" s="30">
        <f t="shared" ref="S221:S224" si="354">R221*DAY($C221)*86400/43560/1000</f>
        <v>77.548716748450417</v>
      </c>
      <c r="T221" s="30">
        <f t="shared" ref="T221:T224" si="355">(O221+Q221)/2+S221</f>
        <v>98.348452632683376</v>
      </c>
      <c r="U221" s="30" t="str">
        <f>IF(VLOOKUP($C221,COS!$B$8:$I$991,8,FALSE)=1,"UWFE","IBU")</f>
        <v>UWFE</v>
      </c>
      <c r="V221" s="30">
        <f t="shared" ref="V221" si="356">MIN(IF(IF($AA$3=2,AND(E221=1,G221=1,L221=1,L226=1,M221=1,U221="IBU"),AND(E221=1,G221=1,L221=1,L226=1,M221=1)),T221,0),I221)</f>
        <v>0</v>
      </c>
      <c r="W221" s="30"/>
      <c r="X221" s="30"/>
      <c r="Y221" s="30"/>
      <c r="Z221" s="30"/>
      <c r="AA221" s="30"/>
      <c r="AB221" s="31"/>
    </row>
    <row r="222" spans="1:28" x14ac:dyDescent="0.3">
      <c r="A222" s="32">
        <f>VLOOKUP(YEAR(C222),Flags!$A$13:$B$95,2,FALSE)</f>
        <v>3</v>
      </c>
      <c r="B222" s="24">
        <f t="shared" si="328"/>
        <v>1945</v>
      </c>
      <c r="C222" s="25">
        <v>16588</v>
      </c>
      <c r="D222" s="26">
        <f>VLOOKUP($C222,COS!$B$8:$H$991,3,FALSE)</f>
        <v>4815.7119140625</v>
      </c>
      <c r="E222" s="24">
        <f>IF(D222&gt;=IF(MONTH($C222)=4,$C$3,IF(MONTH($C222)=5,$C$4,IF(MONTH($C222)=6,$C$5,IF(MONTH($C222)=7,$C$6,"ERROR")))),1,0)</f>
        <v>0</v>
      </c>
      <c r="F222" s="26">
        <f>VLOOKUP($C222,COS!$B$8:$H$991,7,FALSE)</f>
        <v>50.982772827148438</v>
      </c>
      <c r="G222" s="24">
        <f>IF(F222&lt;=IF(MONTH($C222)=4,$F$3,IF(MONTH($C222)=5,$F$4,IF(MONTH($C222)=6,$F$5,IF(MONTH($C222)=7,$F$6,"ERROR")))),1,0)</f>
        <v>1</v>
      </c>
      <c r="H222" s="26">
        <f>IF(J222=1,D222-$C$4,0)</f>
        <v>0</v>
      </c>
      <c r="I222" s="26">
        <f t="shared" si="342"/>
        <v>0</v>
      </c>
      <c r="J222" s="24">
        <f t="shared" si="349"/>
        <v>0</v>
      </c>
      <c r="K222" s="26">
        <f>VLOOKUP($C222,COS!$B$8:$H$991,2,FALSE)</f>
        <v>4312.3994140625</v>
      </c>
      <c r="L222" s="24">
        <f t="shared" si="333"/>
        <v>1</v>
      </c>
      <c r="M222" s="24">
        <f t="shared" si="334"/>
        <v>0</v>
      </c>
      <c r="N222" s="26">
        <f>VLOOKUP($C222,COS!$B$8:$H$991,5,FALSE)</f>
        <v>419.08834838867188</v>
      </c>
      <c r="O222" s="26">
        <f t="shared" si="352"/>
        <v>25.76873811579933</v>
      </c>
      <c r="P222" s="26">
        <f>VLOOKUP($C222,COS!$B$8:$H$991,6,FALSE)</f>
        <v>2006.53857421875</v>
      </c>
      <c r="Q222" s="26">
        <f t="shared" si="353"/>
        <v>123.37724786931818</v>
      </c>
      <c r="R222" s="26">
        <f>MIN(IF(MONTH($C222)=4,$S$3,IF(MONTH($C222)=5,$S$4,IF(MONTH($C222)=6,$S$5,IF(MONTH($C222)=7,$S$6,"ERROR")))),MAX(VLOOKUP($C222,COS!$B$8:$K$991,10,FALSE)-IF(MONTH($C222)=4,$Y$3,IF(MONTH($C222)=5,$Y$4,IF(MONTH($C222)=6,$Y$5,IF(MONTH($C222)=7,$Y$6,"ERROR")))),0),MAX(VLOOKUP($C222,COS!$B$8:$K$991,9,FALSE)-IF(MONTH($C222)=4,$V$3,IF(MONTH($C222)=5,$V$4,IF(MONTH($C222)=6,$V$5,IF(MONTH($C222)=7,$V$6,"ERROR"))))-VLOOKUP($C222,COS!$B$8:$K$991,6,FALSE)/2,0))</f>
        <v>1448.30419921875</v>
      </c>
      <c r="S222" s="26">
        <f t="shared" si="354"/>
        <v>89.05275406766529</v>
      </c>
      <c r="T222" s="26">
        <f t="shared" si="355"/>
        <v>163.62574706022406</v>
      </c>
      <c r="U222" s="26" t="str">
        <f>IF(VLOOKUP($C222,COS!$B$8:$I$991,8,FALSE)=1,"UWFE","IBU")</f>
        <v>UWFE</v>
      </c>
      <c r="V222" s="26">
        <f t="shared" ref="V222" si="357">MIN(IF(IF($AA$3=2,AND(E222=1,G222=1,L222=1,L226=1,M222=1,U222="IBU"),AND(E222=1,G222=1,L222=1,L226=1,M222=1)),T222,0),I222)</f>
        <v>0</v>
      </c>
      <c r="W222" s="26"/>
      <c r="X222" s="26"/>
      <c r="Y222" s="26"/>
      <c r="Z222" s="26"/>
      <c r="AA222" s="26"/>
      <c r="AB222" s="33"/>
    </row>
    <row r="223" spans="1:28" x14ac:dyDescent="0.3">
      <c r="A223" s="32">
        <f>VLOOKUP(YEAR(C223),Flags!$A$13:$B$95,2,FALSE)</f>
        <v>3</v>
      </c>
      <c r="B223" s="24">
        <f t="shared" si="328"/>
        <v>1945</v>
      </c>
      <c r="C223" s="25">
        <v>16618</v>
      </c>
      <c r="D223" s="26">
        <f>VLOOKUP($C223,COS!$B$8:$H$991,3,FALSE)</f>
        <v>8762.8173828125</v>
      </c>
      <c r="E223" s="24">
        <f>IF(D223&gt;=IF(MONTH($C223)=4,$C$3,IF(MONTH($C223)=5,$C$4,IF(MONTH($C223)=6,$C$5,IF(MONTH($C223)=7,$C$6,"ERROR")))),1,0)</f>
        <v>0</v>
      </c>
      <c r="F223" s="26">
        <f>VLOOKUP($C223,COS!$B$8:$H$991,7,FALSE)</f>
        <v>50.982040405273438</v>
      </c>
      <c r="G223" s="24">
        <f>IF(F223&lt;=IF(MONTH($C223)=4,$F$3,IF(MONTH($C223)=5,$F$4,IF(MONTH($C223)=6,$F$5,IF(MONTH($C223)=7,$F$6,"ERROR")))),1,0)</f>
        <v>1</v>
      </c>
      <c r="H223" s="26">
        <f>IF(J223=1,D223-$C$5,0)</f>
        <v>0</v>
      </c>
      <c r="I223" s="26">
        <f t="shared" si="342"/>
        <v>0</v>
      </c>
      <c r="J223" s="24">
        <f t="shared" si="349"/>
        <v>0</v>
      </c>
      <c r="K223" s="26">
        <f>VLOOKUP($C223,COS!$B$8:$H$991,2,FALSE)</f>
        <v>4079.3798828125</v>
      </c>
      <c r="L223" s="24">
        <f t="shared" si="333"/>
        <v>1</v>
      </c>
      <c r="M223" s="24">
        <f t="shared" si="334"/>
        <v>0</v>
      </c>
      <c r="N223" s="26">
        <f>VLOOKUP($C223,COS!$B$8:$H$991,5,FALSE)</f>
        <v>584.35906982421875</v>
      </c>
      <c r="O223" s="26">
        <f t="shared" si="352"/>
        <v>34.771779361441112</v>
      </c>
      <c r="P223" s="26">
        <f>VLOOKUP($C223,COS!$B$8:$H$991,6,FALSE)</f>
        <v>2486.4326171875</v>
      </c>
      <c r="Q223" s="26">
        <f t="shared" si="353"/>
        <v>147.9530152376033</v>
      </c>
      <c r="R223" s="26">
        <f>MIN(IF(MONTH($C223)=4,$S$3,IF(MONTH($C223)=5,$S$4,IF(MONTH($C223)=6,$S$5,IF(MONTH($C223)=7,$S$6,"ERROR")))),MAX(VLOOKUP($C223,COS!$B$8:$K$991,10,FALSE)-IF(MONTH($C223)=4,$Y$3,IF(MONTH($C223)=5,$Y$4,IF(MONTH($C223)=6,$Y$5,IF(MONTH($C223)=7,$Y$6,"ERROR")))),0),MAX(VLOOKUP($C223,COS!$B$8:$K$991,9,FALSE)-IF(MONTH($C223)=4,$V$3,IF(MONTH($C223)=5,$V$4,IF(MONTH($C223)=6,$V$5,IF(MONTH($C223)=7,$V$6,"ERROR"))))-VLOOKUP($C223,COS!$B$8:$K$991,6,FALSE)/2,0))</f>
        <v>1500</v>
      </c>
      <c r="S223" s="26">
        <f t="shared" si="354"/>
        <v>89.256198347107429</v>
      </c>
      <c r="T223" s="26">
        <f t="shared" si="355"/>
        <v>180.61859564662961</v>
      </c>
      <c r="U223" s="26" t="str">
        <f>IF(VLOOKUP($C223,COS!$B$8:$I$991,8,FALSE)=1,"UWFE","IBU")</f>
        <v>IBU</v>
      </c>
      <c r="V223" s="26">
        <f t="shared" ref="V223" si="358">MIN(IF(IF($AA$3=2,AND(E223=1,G223=1,L223=1,L226=1,M223=1,U223="IBU"),AND(E223=1,G223=1,L223=1,L226=1,M223=1)),T223,0),I223)</f>
        <v>0</v>
      </c>
      <c r="W223" s="26"/>
      <c r="X223" s="26"/>
      <c r="Y223" s="26"/>
      <c r="Z223" s="26"/>
      <c r="AA223" s="26"/>
      <c r="AB223" s="33"/>
    </row>
    <row r="224" spans="1:28" x14ac:dyDescent="0.3">
      <c r="A224" s="32">
        <f>VLOOKUP(YEAR(C224),Flags!$A$13:$B$95,2,FALSE)</f>
        <v>3</v>
      </c>
      <c r="B224" s="24">
        <f t="shared" si="328"/>
        <v>1945</v>
      </c>
      <c r="C224" s="25">
        <v>16649</v>
      </c>
      <c r="D224" s="26">
        <f>VLOOKUP($C224,COS!$B$8:$H$991,3,FALSE)</f>
        <v>13865.92578125</v>
      </c>
      <c r="E224" s="24">
        <f>IF(D224&gt;=IF(MONTH($C224)=4,$C$3,IF(MONTH($C224)=5,$C$4,IF(MONTH($C224)=6,$C$5,IF(MONTH($C224)=7,$C$6,"ERROR")))),1,0)</f>
        <v>1</v>
      </c>
      <c r="F224" s="26">
        <f>VLOOKUP($C224,COS!$B$8:$H$991,7,FALSE)</f>
        <v>50.834716796875</v>
      </c>
      <c r="G224" s="24">
        <f>IF(F224&lt;=IF(MONTH($C224)=4,$F$3,IF(MONTH($C224)=5,$F$4,IF(MONTH($C224)=6,$F$5,IF(MONTH($C224)=7,$F$6,"ERROR")))),1,0)</f>
        <v>1</v>
      </c>
      <c r="H224" s="26">
        <f>IF(J224=1,D224-$C$6,0)</f>
        <v>1865.92578125</v>
      </c>
      <c r="I224" s="26">
        <f t="shared" si="342"/>
        <v>114.73130423553718</v>
      </c>
      <c r="J224" s="24">
        <f t="shared" si="349"/>
        <v>1</v>
      </c>
      <c r="K224" s="26">
        <f>VLOOKUP($C224,COS!$B$8:$H$991,2,FALSE)</f>
        <v>3470.729248046875</v>
      </c>
      <c r="L224" s="24">
        <f t="shared" si="333"/>
        <v>1</v>
      </c>
      <c r="M224" s="24">
        <f t="shared" si="334"/>
        <v>0</v>
      </c>
      <c r="N224" s="26">
        <f>VLOOKUP($C224,COS!$B$8:$H$991,5,FALSE)</f>
        <v>726.76727294921875</v>
      </c>
      <c r="O224" s="26">
        <f t="shared" si="352"/>
        <v>44.687177774728823</v>
      </c>
      <c r="P224" s="26">
        <f>VLOOKUP($C224,COS!$B$8:$H$991,6,FALSE)</f>
        <v>2632.5888671875</v>
      </c>
      <c r="Q224" s="26">
        <f t="shared" si="353"/>
        <v>161.87157993285126</v>
      </c>
      <c r="R224" s="26">
        <f>MIN(IF(MONTH($C224)=4,$S$3,IF(MONTH($C224)=5,$S$4,IF(MONTH($C224)=6,$S$5,IF(MONTH($C224)=7,$S$6,"ERROR")))),MAX(VLOOKUP($C224,COS!$B$8:$K$991,10,FALSE)-IF(MONTH($C224)=4,$Y$3,IF(MONTH($C224)=5,$Y$4,IF(MONTH($C224)=6,$Y$5,IF(MONTH($C224)=7,$Y$6,"ERROR")))),0),MAX(VLOOKUP($C224,COS!$B$8:$K$991,9,FALSE)-IF(MONTH($C224)=4,$V$3,IF(MONTH($C224)=5,$V$4,IF(MONTH($C224)=6,$V$5,IF(MONTH($C224)=7,$V$6,"ERROR"))))-VLOOKUP($C224,COS!$B$8:$K$991,6,FALSE)/2,0))</f>
        <v>1500</v>
      </c>
      <c r="S224" s="26">
        <f t="shared" si="354"/>
        <v>92.231404958677686</v>
      </c>
      <c r="T224" s="26">
        <f t="shared" si="355"/>
        <v>195.51078381246771</v>
      </c>
      <c r="U224" s="26" t="str">
        <f>IF(VLOOKUP($C224,COS!$B$8:$I$991,8,FALSE)=1,"UWFE","IBU")</f>
        <v>IBU</v>
      </c>
      <c r="V224" s="26">
        <f t="shared" ref="V224" si="359">MIN(IF(IF($AA$3=2,AND(E224=1,G224=1,L224=1,L226=1,M224=1,U224="IBU"),AND(E224=1,G224=1,L224=1,L226=1,M224=1)),T224,0),I224)</f>
        <v>0</v>
      </c>
      <c r="W224" s="26"/>
      <c r="X224" s="26"/>
      <c r="Y224" s="26"/>
      <c r="Z224" s="26"/>
      <c r="AA224" s="26"/>
      <c r="AB224" s="33"/>
    </row>
    <row r="225" spans="1:28" x14ac:dyDescent="0.3">
      <c r="A225" s="32">
        <f>VLOOKUP(YEAR(C225),Flags!$A$13:$B$95,2,FALSE)</f>
        <v>3</v>
      </c>
      <c r="B225" s="24">
        <f t="shared" si="328"/>
        <v>1945</v>
      </c>
      <c r="C225" s="25">
        <v>16680</v>
      </c>
      <c r="D225" s="26"/>
      <c r="E225" s="24"/>
      <c r="F225" s="26"/>
      <c r="G225" s="24"/>
      <c r="H225" s="24"/>
      <c r="I225" s="26"/>
      <c r="J225" s="24"/>
      <c r="K225" s="26"/>
      <c r="L225" s="24"/>
      <c r="M225" s="24"/>
      <c r="N225" s="26"/>
      <c r="O225" s="26"/>
      <c r="P225" s="26"/>
      <c r="Q225" s="26"/>
      <c r="R225" s="26"/>
      <c r="S225" s="26"/>
      <c r="T225" s="26"/>
      <c r="U225" s="26"/>
      <c r="V225" s="26"/>
      <c r="W225" s="26">
        <f>MAX($C$7-VLOOKUP($C225,COS!$B$8:$H$991,3,FALSE),0)</f>
        <v>90106.1162109375</v>
      </c>
      <c r="X225" s="26">
        <f t="shared" si="347"/>
        <v>5540.4091290030992</v>
      </c>
      <c r="Y225" s="26">
        <f>VLOOKUP($C225,COS!$B$8:$H$991,4,FALSE)</f>
        <v>465.335205078125</v>
      </c>
      <c r="Z225" s="26">
        <f t="shared" si="348"/>
        <v>28.612346494059917</v>
      </c>
      <c r="AA225" s="26">
        <f t="shared" ref="AA225:AA229" si="360">MIN(W225,Y225)</f>
        <v>465.335205078125</v>
      </c>
      <c r="AB225" s="33">
        <f t="shared" ref="AB225" si="361">AA225*DAY($C225)*86400/43560/1000*IF(MONTH($C225)=8,$P$3,IF(MONTH($C225)=9,$P$4,IF(MONTH($C225)=10,$P$5,IF(MONTH($C225)=11,$P$6,IF(MONTH($C225)=12,$P$7,NA())))))</f>
        <v>28.612346494059917</v>
      </c>
    </row>
    <row r="226" spans="1:28" x14ac:dyDescent="0.3">
      <c r="A226" s="32">
        <f>VLOOKUP(YEAR(C226),Flags!$A$13:$B$95,2,FALSE)</f>
        <v>3</v>
      </c>
      <c r="B226" s="24">
        <f t="shared" si="328"/>
        <v>1945</v>
      </c>
      <c r="C226" s="25">
        <v>16710</v>
      </c>
      <c r="D226" s="26"/>
      <c r="E226" s="24"/>
      <c r="F226" s="26"/>
      <c r="G226" s="24"/>
      <c r="H226" s="24"/>
      <c r="I226" s="26"/>
      <c r="J226" s="24"/>
      <c r="K226" s="26">
        <f>VLOOKUP($C226,COS!$B$8:$H$991,2,FALSE)</f>
        <v>2950.834716796875</v>
      </c>
      <c r="L226" s="24">
        <f t="shared" ref="L226" si="362">IF(AND(K226&gt;$I$7,K226&lt;$I$8),1,0)</f>
        <v>1</v>
      </c>
      <c r="M226" s="24"/>
      <c r="N226" s="26"/>
      <c r="O226" s="26"/>
      <c r="P226" s="26"/>
      <c r="Q226" s="26"/>
      <c r="R226" s="26"/>
      <c r="S226" s="26"/>
      <c r="T226" s="26"/>
      <c r="U226" s="26"/>
      <c r="V226" s="26"/>
      <c r="W226" s="26">
        <f>MAX($C$8-VLOOKUP($C226,COS!$B$8:$H$991,3,FALSE),0)</f>
        <v>94362.61474609375</v>
      </c>
      <c r="X226" s="26">
        <f t="shared" si="347"/>
        <v>5614.9655055526855</v>
      </c>
      <c r="Y226" s="26">
        <f>VLOOKUP($C226,COS!$B$8:$H$991,4,FALSE)</f>
        <v>334.24276733398438</v>
      </c>
      <c r="Z226" s="26">
        <f t="shared" si="348"/>
        <v>19.888825824832129</v>
      </c>
      <c r="AA226" s="26">
        <f t="shared" si="360"/>
        <v>334.24276733398438</v>
      </c>
      <c r="AB226" s="33">
        <f t="shared" si="345"/>
        <v>19.888825824832129</v>
      </c>
    </row>
    <row r="227" spans="1:28" x14ac:dyDescent="0.3">
      <c r="A227" s="32">
        <f>VLOOKUP(YEAR(C227),Flags!$A$13:$B$95,2,FALSE)</f>
        <v>3</v>
      </c>
      <c r="B227" s="24">
        <f t="shared" si="328"/>
        <v>1945</v>
      </c>
      <c r="C227" s="25">
        <v>16741</v>
      </c>
      <c r="D227" s="26"/>
      <c r="E227" s="24"/>
      <c r="F227" s="26"/>
      <c r="G227" s="26"/>
      <c r="H227" s="26"/>
      <c r="I227" s="26"/>
      <c r="J227" s="26"/>
      <c r="K227" s="26"/>
      <c r="L227" s="24"/>
      <c r="M227" s="24"/>
      <c r="N227" s="26"/>
      <c r="O227" s="26"/>
      <c r="P227" s="26"/>
      <c r="Q227" s="26"/>
      <c r="R227" s="26"/>
      <c r="S227" s="26"/>
      <c r="T227" s="26"/>
      <c r="U227" s="26"/>
      <c r="V227" s="26"/>
      <c r="W227" s="26">
        <f>MAX($C$9-VLOOKUP($C227,COS!$B$8:$H$991,3,FALSE),0)</f>
        <v>94737.2158203125</v>
      </c>
      <c r="X227" s="26">
        <f t="shared" si="347"/>
        <v>5825.1643446539256</v>
      </c>
      <c r="Y227" s="26">
        <f>VLOOKUP($C227,COS!$B$8:$H$991,4,FALSE)</f>
        <v>526.39361572265625</v>
      </c>
      <c r="Z227" s="26">
        <f t="shared" si="348"/>
        <v>32.366681826252581</v>
      </c>
      <c r="AA227" s="26">
        <f t="shared" si="360"/>
        <v>526.39361572265625</v>
      </c>
      <c r="AB227" s="33">
        <f t="shared" si="345"/>
        <v>32.366681826252581</v>
      </c>
    </row>
    <row r="228" spans="1:28" x14ac:dyDescent="0.3">
      <c r="A228" s="32">
        <f>VLOOKUP(YEAR(C228),Flags!$A$13:$B$95,2,FALSE)</f>
        <v>3</v>
      </c>
      <c r="B228" s="24">
        <f t="shared" si="328"/>
        <v>1945</v>
      </c>
      <c r="C228" s="25">
        <v>16771</v>
      </c>
      <c r="D228" s="26"/>
      <c r="E228" s="24"/>
      <c r="F228" s="26"/>
      <c r="G228" s="26"/>
      <c r="H228" s="26"/>
      <c r="I228" s="26"/>
      <c r="J228" s="26"/>
      <c r="K228" s="26"/>
      <c r="L228" s="24"/>
      <c r="M228" s="24"/>
      <c r="N228" s="26"/>
      <c r="O228" s="26"/>
      <c r="P228" s="26"/>
      <c r="Q228" s="26"/>
      <c r="R228" s="26"/>
      <c r="S228" s="26"/>
      <c r="T228" s="26"/>
      <c r="U228" s="26"/>
      <c r="V228" s="26"/>
      <c r="W228" s="26">
        <f>MAX($C$10-VLOOKUP($C228,COS!$B$8:$H$991,3,FALSE),0)</f>
        <v>93731.17041015625</v>
      </c>
      <c r="X228" s="26">
        <f t="shared" si="347"/>
        <v>5577.391958290289</v>
      </c>
      <c r="Y228" s="26">
        <f>VLOOKUP($C228,COS!$B$8:$H$991,4,FALSE)</f>
        <v>697.87353515625</v>
      </c>
      <c r="Z228" s="26">
        <f t="shared" si="348"/>
        <v>41.526359116735541</v>
      </c>
      <c r="AA228" s="26">
        <f t="shared" si="360"/>
        <v>697.87353515625</v>
      </c>
      <c r="AB228" s="33">
        <f t="shared" si="345"/>
        <v>20.763179558367771</v>
      </c>
    </row>
    <row r="229" spans="1:28" x14ac:dyDescent="0.3">
      <c r="A229" s="34">
        <f>VLOOKUP(YEAR(C229),Flags!$A$13:$B$95,2,FALSE)</f>
        <v>3</v>
      </c>
      <c r="B229" s="35">
        <f t="shared" si="328"/>
        <v>1945</v>
      </c>
      <c r="C229" s="36">
        <v>16802</v>
      </c>
      <c r="D229" s="37"/>
      <c r="E229" s="35"/>
      <c r="F229" s="37"/>
      <c r="G229" s="37"/>
      <c r="H229" s="37"/>
      <c r="I229" s="37"/>
      <c r="J229" s="37"/>
      <c r="K229" s="37"/>
      <c r="L229" s="35"/>
      <c r="M229" s="35"/>
      <c r="N229" s="37"/>
      <c r="O229" s="37"/>
      <c r="P229" s="37"/>
      <c r="Q229" s="37"/>
      <c r="R229" s="37"/>
      <c r="S229" s="37"/>
      <c r="T229" s="37"/>
      <c r="U229" s="37"/>
      <c r="V229" s="37"/>
      <c r="W229" s="37">
        <f>MAX($C$11-VLOOKUP($C229,COS!$B$8:$H$991,3,FALSE),0)</f>
        <v>0</v>
      </c>
      <c r="X229" s="37">
        <f t="shared" si="347"/>
        <v>0</v>
      </c>
      <c r="Y229" s="37">
        <f>VLOOKUP($C229,COS!$B$8:$H$991,4,FALSE)</f>
        <v>0</v>
      </c>
      <c r="Z229" s="37">
        <f t="shared" si="348"/>
        <v>0</v>
      </c>
      <c r="AA229" s="37">
        <f t="shared" si="360"/>
        <v>0</v>
      </c>
      <c r="AB229" s="38">
        <f t="shared" si="345"/>
        <v>0</v>
      </c>
    </row>
    <row r="230" spans="1:28" x14ac:dyDescent="0.3">
      <c r="A230" s="27">
        <f>VLOOKUP(YEAR(C230),Flags!$A$13:$B$95,2,FALSE)</f>
        <v>2</v>
      </c>
      <c r="B230" s="28">
        <f t="shared" si="328"/>
        <v>1946</v>
      </c>
      <c r="C230" s="29">
        <v>16922</v>
      </c>
      <c r="D230" s="30">
        <f>VLOOKUP($C230,COS!$B$8:$H$991,3,FALSE)</f>
        <v>4076.084716796875</v>
      </c>
      <c r="E230" s="28">
        <f>IF(D230&gt;=IF(MONTH($C230)=4,$C$3,IF(MONTH($C230)=5,$C$4,IF(MONTH($C230)=6,$C$5,IF(MONTH($C230)=7,$C$6,"ERROR")))),1,0)</f>
        <v>0</v>
      </c>
      <c r="F230" s="30">
        <f>VLOOKUP($C230,COS!$B$8:$H$991,7,FALSE)</f>
        <v>48.838871002197266</v>
      </c>
      <c r="G230" s="28">
        <f>IF(F230&lt;=IF(MONTH($C230)=4,$F$3,IF(MONTH($C230)=5,$F$4,IF(MONTH($C230)=6,$F$5,IF(MONTH($C230)=7,$F$6,"ERROR")))),1,0)</f>
        <v>1</v>
      </c>
      <c r="H230" s="30">
        <f>IF(J230=1,D230-$C$3,0)</f>
        <v>0</v>
      </c>
      <c r="I230" s="30">
        <f t="shared" si="342"/>
        <v>0</v>
      </c>
      <c r="J230" s="28">
        <f t="shared" ref="J230:J233" si="363">IF(AND(E230=1,G230=1),1,0)</f>
        <v>0</v>
      </c>
      <c r="K230" s="30">
        <f>VLOOKUP($C230,COS!$B$8:$H$991,2,FALSE)</f>
        <v>4552</v>
      </c>
      <c r="L230" s="28">
        <f t="shared" ref="L230" si="364">IF(K230&lt;=IF(MONTH($C230)=4,$I$3,IF(MONTH($C230)=5,$I$4,IF(MONTH($C230)=6,$I$5,IF(MONTH($C230)=7,$I$6,"ERROR")))),1,0)</f>
        <v>1</v>
      </c>
      <c r="M230" s="28">
        <f t="shared" ref="M230" si="365">VLOOKUP($A230,$L$3:$M$7,2,FALSE)</f>
        <v>0</v>
      </c>
      <c r="N230" s="30">
        <f>VLOOKUP($C230,COS!$B$8:$H$991,5,FALSE)</f>
        <v>571.77276611328125</v>
      </c>
      <c r="O230" s="30">
        <f t="shared" ref="O230:O233" si="366">N230*DAY($C230)*86400/43560/1000</f>
        <v>34.022842281120866</v>
      </c>
      <c r="P230" s="30">
        <f>VLOOKUP($C230,COS!$B$8:$H$991,6,FALSE)</f>
        <v>546.8182373046875</v>
      </c>
      <c r="Q230" s="30">
        <f t="shared" ref="Q230:Q233" si="367">P230*DAY($C230)*86400/43560/1000</f>
        <v>32.537944699121901</v>
      </c>
      <c r="R230" s="30">
        <f>MIN(IF(MONTH($C230)=4,$S$3,IF(MONTH($C230)=5,$S$4,IF(MONTH($C230)=6,$S$5,IF(MONTH($C230)=7,$S$6,"ERROR")))),MAX(VLOOKUP($C230,COS!$B$8:$K$991,10,FALSE)-IF(MONTH($C230)=4,$Y$3,IF(MONTH($C230)=5,$Y$4,IF(MONTH($C230)=6,$Y$5,IF(MONTH($C230)=7,$Y$6,"ERROR")))),0),MAX(VLOOKUP($C230,COS!$B$8:$K$991,9,FALSE)-IF(MONTH($C230)=4,$V$3,IF(MONTH($C230)=5,$V$4,IF(MONTH($C230)=6,$V$5,IF(MONTH($C230)=7,$V$6,"ERROR"))))-VLOOKUP($C230,COS!$B$8:$K$991,6,FALSE)/2,0))</f>
        <v>1500</v>
      </c>
      <c r="S230" s="30">
        <f t="shared" ref="S230:S233" si="368">R230*DAY($C230)*86400/43560/1000</f>
        <v>89.256198347107429</v>
      </c>
      <c r="T230" s="30">
        <f t="shared" ref="T230:T233" si="369">(O230+Q230)/2+S230</f>
        <v>122.53659183722881</v>
      </c>
      <c r="U230" s="30" t="str">
        <f>IF(VLOOKUP($C230,COS!$B$8:$I$991,8,FALSE)=1,"UWFE","IBU")</f>
        <v>UWFE</v>
      </c>
      <c r="V230" s="30">
        <f t="shared" ref="V230" si="370">MIN(IF(IF($AA$3=2,AND(E230=1,G230=1,L230=1,L235=1,M230=1,U230="IBU"),AND(E230=1,G230=1,L230=1,L235=1,M230=1)),T230,0),I230)</f>
        <v>0</v>
      </c>
      <c r="W230" s="30"/>
      <c r="X230" s="30"/>
      <c r="Y230" s="30"/>
      <c r="Z230" s="30"/>
      <c r="AA230" s="30"/>
      <c r="AB230" s="31"/>
    </row>
    <row r="231" spans="1:28" x14ac:dyDescent="0.3">
      <c r="A231" s="32">
        <f>VLOOKUP(YEAR(C231),Flags!$A$13:$B$95,2,FALSE)</f>
        <v>2</v>
      </c>
      <c r="B231" s="24">
        <f t="shared" si="328"/>
        <v>1946</v>
      </c>
      <c r="C231" s="25">
        <v>16953</v>
      </c>
      <c r="D231" s="26">
        <f>VLOOKUP($C231,COS!$B$8:$H$991,3,FALSE)</f>
        <v>7674.50244140625</v>
      </c>
      <c r="E231" s="24">
        <f>IF(D231&gt;=IF(MONTH($C231)=4,$C$3,IF(MONTH($C231)=5,$C$4,IF(MONTH($C231)=6,$C$5,IF(MONTH($C231)=7,$C$6,"ERROR")))),1,0)</f>
        <v>1</v>
      </c>
      <c r="F231" s="26">
        <f>VLOOKUP($C231,COS!$B$8:$H$991,7,FALSE)</f>
        <v>48.690444946289063</v>
      </c>
      <c r="G231" s="24">
        <f>IF(F231&lt;=IF(MONTH($C231)=4,$F$3,IF(MONTH($C231)=5,$F$4,IF(MONTH($C231)=6,$F$5,IF(MONTH($C231)=7,$F$6,"ERROR")))),1,0)</f>
        <v>1</v>
      </c>
      <c r="H231" s="26">
        <f>IF(J231=1,D231-$C$4,0)</f>
        <v>1674.50244140625</v>
      </c>
      <c r="I231" s="26">
        <f t="shared" si="342"/>
        <v>102.9611418517562</v>
      </c>
      <c r="J231" s="24">
        <f t="shared" si="363"/>
        <v>1</v>
      </c>
      <c r="K231" s="26">
        <f>VLOOKUP($C231,COS!$B$8:$H$991,2,FALSE)</f>
        <v>4470.89013671875</v>
      </c>
      <c r="L231" s="24">
        <f t="shared" si="333"/>
        <v>1</v>
      </c>
      <c r="M231" s="24">
        <f t="shared" si="334"/>
        <v>0</v>
      </c>
      <c r="N231" s="26">
        <f>VLOOKUP($C231,COS!$B$8:$H$991,5,FALSE)</f>
        <v>870.65301513671875</v>
      </c>
      <c r="O231" s="26">
        <f t="shared" si="366"/>
        <v>53.534367211712294</v>
      </c>
      <c r="P231" s="26">
        <f>VLOOKUP($C231,COS!$B$8:$H$991,6,FALSE)</f>
        <v>2245.033447265625</v>
      </c>
      <c r="Q231" s="26">
        <f t="shared" si="367"/>
        <v>138.04172601368802</v>
      </c>
      <c r="R231" s="26">
        <f>MIN(IF(MONTH($C231)=4,$S$3,IF(MONTH($C231)=5,$S$4,IF(MONTH($C231)=6,$S$5,IF(MONTH($C231)=7,$S$6,"ERROR")))),MAX(VLOOKUP($C231,COS!$B$8:$K$991,10,FALSE)-IF(MONTH($C231)=4,$Y$3,IF(MONTH($C231)=5,$Y$4,IF(MONTH($C231)=6,$Y$5,IF(MONTH($C231)=7,$Y$6,"ERROR")))),0),MAX(VLOOKUP($C231,COS!$B$8:$K$991,9,FALSE)-IF(MONTH($C231)=4,$V$3,IF(MONTH($C231)=5,$V$4,IF(MONTH($C231)=6,$V$5,IF(MONTH($C231)=7,$V$6,"ERROR"))))-VLOOKUP($C231,COS!$B$8:$K$991,6,FALSE)/2,0))</f>
        <v>1500</v>
      </c>
      <c r="S231" s="26">
        <f t="shared" si="368"/>
        <v>92.231404958677686</v>
      </c>
      <c r="T231" s="26">
        <f t="shared" si="369"/>
        <v>188.01945157137783</v>
      </c>
      <c r="U231" s="26" t="str">
        <f>IF(VLOOKUP($C231,COS!$B$8:$I$991,8,FALSE)=1,"UWFE","IBU")</f>
        <v>UWFE</v>
      </c>
      <c r="V231" s="26">
        <f t="shared" ref="V231" si="371">MIN(IF(IF($AA$3=2,AND(E231=1,G231=1,L231=1,L235=1,M231=1,U231="IBU"),AND(E231=1,G231=1,L231=1,L235=1,M231=1)),T231,0),I231)</f>
        <v>0</v>
      </c>
      <c r="W231" s="26"/>
      <c r="X231" s="26"/>
      <c r="Y231" s="26"/>
      <c r="Z231" s="26"/>
      <c r="AA231" s="26"/>
      <c r="AB231" s="33"/>
    </row>
    <row r="232" spans="1:28" x14ac:dyDescent="0.3">
      <c r="A232" s="32">
        <f>VLOOKUP(YEAR(C232),Flags!$A$13:$B$95,2,FALSE)</f>
        <v>2</v>
      </c>
      <c r="B232" s="24">
        <f t="shared" si="328"/>
        <v>1946</v>
      </c>
      <c r="C232" s="25">
        <v>16983</v>
      </c>
      <c r="D232" s="26">
        <f>VLOOKUP($C232,COS!$B$8:$H$991,3,FALSE)</f>
        <v>10991.0703125</v>
      </c>
      <c r="E232" s="24">
        <f>IF(D232&gt;=IF(MONTH($C232)=4,$C$3,IF(MONTH($C232)=5,$C$4,IF(MONTH($C232)=6,$C$5,IF(MONTH($C232)=7,$C$6,"ERROR")))),1,0)</f>
        <v>1</v>
      </c>
      <c r="F232" s="26">
        <f>VLOOKUP($C232,COS!$B$8:$H$991,7,FALSE)</f>
        <v>49.001594543457031</v>
      </c>
      <c r="G232" s="24">
        <f>IF(F232&lt;=IF(MONTH($C232)=4,$F$3,IF(MONTH($C232)=5,$F$4,IF(MONTH($C232)=6,$F$5,IF(MONTH($C232)=7,$F$6,"ERROR")))),1,0)</f>
        <v>1</v>
      </c>
      <c r="H232" s="26">
        <f>IF(J232=1,D232-$C$5,0)</f>
        <v>991.0703125</v>
      </c>
      <c r="I232" s="26">
        <f t="shared" si="342"/>
        <v>58.972778925619835</v>
      </c>
      <c r="J232" s="24">
        <f t="shared" si="363"/>
        <v>1</v>
      </c>
      <c r="K232" s="26">
        <f>VLOOKUP($C232,COS!$B$8:$H$991,2,FALSE)</f>
        <v>4054.78515625</v>
      </c>
      <c r="L232" s="24">
        <f t="shared" si="333"/>
        <v>1</v>
      </c>
      <c r="M232" s="24">
        <f t="shared" si="334"/>
        <v>0</v>
      </c>
      <c r="N232" s="26">
        <f>VLOOKUP($C232,COS!$B$8:$H$991,5,FALSE)</f>
        <v>864.298095703125</v>
      </c>
      <c r="O232" s="26">
        <f t="shared" si="366"/>
        <v>51.42930817407025</v>
      </c>
      <c r="P232" s="26">
        <f>VLOOKUP($C232,COS!$B$8:$H$991,6,FALSE)</f>
        <v>2675.089599609375</v>
      </c>
      <c r="Q232" s="26">
        <f t="shared" si="367"/>
        <v>159.1788852660124</v>
      </c>
      <c r="R232" s="26">
        <f>MIN(IF(MONTH($C232)=4,$S$3,IF(MONTH($C232)=5,$S$4,IF(MONTH($C232)=6,$S$5,IF(MONTH($C232)=7,$S$6,"ERROR")))),MAX(VLOOKUP($C232,COS!$B$8:$K$991,10,FALSE)-IF(MONTH($C232)=4,$Y$3,IF(MONTH($C232)=5,$Y$4,IF(MONTH($C232)=6,$Y$5,IF(MONTH($C232)=7,$Y$6,"ERROR")))),0),MAX(VLOOKUP($C232,COS!$B$8:$K$991,9,FALSE)-IF(MONTH($C232)=4,$V$3,IF(MONTH($C232)=5,$V$4,IF(MONTH($C232)=6,$V$5,IF(MONTH($C232)=7,$V$6,"ERROR"))))-VLOOKUP($C232,COS!$B$8:$K$991,6,FALSE)/2,0))</f>
        <v>1500</v>
      </c>
      <c r="S232" s="26">
        <f t="shared" si="368"/>
        <v>89.256198347107429</v>
      </c>
      <c r="T232" s="26">
        <f t="shared" si="369"/>
        <v>194.56029506714876</v>
      </c>
      <c r="U232" s="26" t="str">
        <f>IF(VLOOKUP($C232,COS!$B$8:$I$991,8,FALSE)=1,"UWFE","IBU")</f>
        <v>IBU</v>
      </c>
      <c r="V232" s="26">
        <f t="shared" ref="V232" si="372">MIN(IF(IF($AA$3=2,AND(E232=1,G232=1,L232=1,L235=1,M232=1,U232="IBU"),AND(E232=1,G232=1,L232=1,L235=1,M232=1)),T232,0),I232)</f>
        <v>0</v>
      </c>
      <c r="W232" s="26"/>
      <c r="X232" s="26"/>
      <c r="Y232" s="26"/>
      <c r="Z232" s="26"/>
      <c r="AA232" s="26"/>
      <c r="AB232" s="33"/>
    </row>
    <row r="233" spans="1:28" x14ac:dyDescent="0.3">
      <c r="A233" s="32">
        <f>VLOOKUP(YEAR(C233),Flags!$A$13:$B$95,2,FALSE)</f>
        <v>2</v>
      </c>
      <c r="B233" s="24">
        <f t="shared" si="328"/>
        <v>1946</v>
      </c>
      <c r="C233" s="25">
        <v>17014</v>
      </c>
      <c r="D233" s="26">
        <f>VLOOKUP($C233,COS!$B$8:$H$991,3,FALSE)</f>
        <v>16000</v>
      </c>
      <c r="E233" s="24">
        <f>IF(D233&gt;=IF(MONTH($C233)=4,$C$3,IF(MONTH($C233)=5,$C$4,IF(MONTH($C233)=6,$C$5,IF(MONTH($C233)=7,$C$6,"ERROR")))),1,0)</f>
        <v>1</v>
      </c>
      <c r="F233" s="26">
        <f>VLOOKUP($C233,COS!$B$8:$H$991,7,FALSE)</f>
        <v>49.493640899658203</v>
      </c>
      <c r="G233" s="24">
        <f>IF(F233&lt;=IF(MONTH($C233)=4,$F$3,IF(MONTH($C233)=5,$F$4,IF(MONTH($C233)=6,$F$5,IF(MONTH($C233)=7,$F$6,"ERROR")))),1,0)</f>
        <v>1</v>
      </c>
      <c r="H233" s="26">
        <f>IF(J233=1,D233-$C$6,0)</f>
        <v>4000</v>
      </c>
      <c r="I233" s="26">
        <f t="shared" si="342"/>
        <v>245.95041322314049</v>
      </c>
      <c r="J233" s="24">
        <f t="shared" si="363"/>
        <v>1</v>
      </c>
      <c r="K233" s="26">
        <f>VLOOKUP($C233,COS!$B$8:$H$991,2,FALSE)</f>
        <v>3315.635498046875</v>
      </c>
      <c r="L233" s="24">
        <f t="shared" si="333"/>
        <v>1</v>
      </c>
      <c r="M233" s="24">
        <f t="shared" si="334"/>
        <v>0</v>
      </c>
      <c r="N233" s="26">
        <f>VLOOKUP($C233,COS!$B$8:$H$991,5,FALSE)</f>
        <v>929.87835693359375</v>
      </c>
      <c r="O233" s="26">
        <f t="shared" si="366"/>
        <v>57.175991533768077</v>
      </c>
      <c r="P233" s="26">
        <f>VLOOKUP($C233,COS!$B$8:$H$991,6,FALSE)</f>
        <v>2527.75390625</v>
      </c>
      <c r="Q233" s="26">
        <f t="shared" si="367"/>
        <v>155.42552944214876</v>
      </c>
      <c r="R233" s="26">
        <f>MIN(IF(MONTH($C233)=4,$S$3,IF(MONTH($C233)=5,$S$4,IF(MONTH($C233)=6,$S$5,IF(MONTH($C233)=7,$S$6,"ERROR")))),MAX(VLOOKUP($C233,COS!$B$8:$K$991,10,FALSE)-IF(MONTH($C233)=4,$Y$3,IF(MONTH($C233)=5,$Y$4,IF(MONTH($C233)=6,$Y$5,IF(MONTH($C233)=7,$Y$6,"ERROR")))),0),MAX(VLOOKUP($C233,COS!$B$8:$K$991,9,FALSE)-IF(MONTH($C233)=4,$V$3,IF(MONTH($C233)=5,$V$4,IF(MONTH($C233)=6,$V$5,IF(MONTH($C233)=7,$V$6,"ERROR"))))-VLOOKUP($C233,COS!$B$8:$K$991,6,FALSE)/2,0))</f>
        <v>1500</v>
      </c>
      <c r="S233" s="26">
        <f t="shared" si="368"/>
        <v>92.231404958677686</v>
      </c>
      <c r="T233" s="26">
        <f t="shared" si="369"/>
        <v>198.5321654466361</v>
      </c>
      <c r="U233" s="26" t="str">
        <f>IF(VLOOKUP($C233,COS!$B$8:$I$991,8,FALSE)=1,"UWFE","IBU")</f>
        <v>IBU</v>
      </c>
      <c r="V233" s="26">
        <f t="shared" ref="V233" si="373">MIN(IF(IF($AA$3=2,AND(E233=1,G233=1,L233=1,L235=1,M233=1,U233="IBU"),AND(E233=1,G233=1,L233=1,L235=1,M233=1)),T233,0),I233)</f>
        <v>0</v>
      </c>
      <c r="W233" s="26"/>
      <c r="X233" s="26"/>
      <c r="Y233" s="26"/>
      <c r="Z233" s="26"/>
      <c r="AA233" s="26"/>
      <c r="AB233" s="33"/>
    </row>
    <row r="234" spans="1:28" x14ac:dyDescent="0.3">
      <c r="A234" s="32">
        <f>VLOOKUP(YEAR(C234),Flags!$A$13:$B$95,2,FALSE)</f>
        <v>2</v>
      </c>
      <c r="B234" s="24">
        <f t="shared" si="328"/>
        <v>1946</v>
      </c>
      <c r="C234" s="25">
        <v>17045</v>
      </c>
      <c r="D234" s="26"/>
      <c r="E234" s="24"/>
      <c r="F234" s="26"/>
      <c r="G234" s="24"/>
      <c r="H234" s="24"/>
      <c r="I234" s="26"/>
      <c r="J234" s="24"/>
      <c r="K234" s="26"/>
      <c r="L234" s="24"/>
      <c r="M234" s="24"/>
      <c r="N234" s="26"/>
      <c r="O234" s="26"/>
      <c r="P234" s="26"/>
      <c r="Q234" s="26"/>
      <c r="R234" s="26"/>
      <c r="S234" s="26"/>
      <c r="T234" s="26"/>
      <c r="U234" s="26"/>
      <c r="V234" s="26"/>
      <c r="W234" s="26">
        <f>MAX($C$7-VLOOKUP($C234,COS!$B$8:$H$991,3,FALSE),0)</f>
        <v>88284.59765625</v>
      </c>
      <c r="X234" s="26">
        <f t="shared" si="347"/>
        <v>5428.4083186983471</v>
      </c>
      <c r="Y234" s="26">
        <f>VLOOKUP($C234,COS!$B$8:$H$991,4,FALSE)</f>
        <v>0</v>
      </c>
      <c r="Z234" s="26">
        <f t="shared" si="348"/>
        <v>0</v>
      </c>
      <c r="AA234" s="26">
        <f t="shared" ref="AA234:AA238" si="374">MIN(W234,Y234)</f>
        <v>0</v>
      </c>
      <c r="AB234" s="33">
        <f t="shared" ref="AB234" si="375">AA234*DAY($C234)*86400/43560/1000*IF(MONTH($C234)=8,$P$3,IF(MONTH($C234)=9,$P$4,IF(MONTH($C234)=10,$P$5,IF(MONTH($C234)=11,$P$6,IF(MONTH($C234)=12,$P$7,NA())))))</f>
        <v>0</v>
      </c>
    </row>
    <row r="235" spans="1:28" x14ac:dyDescent="0.3">
      <c r="A235" s="32">
        <f>VLOOKUP(YEAR(C235),Flags!$A$13:$B$95,2,FALSE)</f>
        <v>2</v>
      </c>
      <c r="B235" s="24">
        <f t="shared" si="328"/>
        <v>1946</v>
      </c>
      <c r="C235" s="25">
        <v>17075</v>
      </c>
      <c r="D235" s="26"/>
      <c r="E235" s="24"/>
      <c r="F235" s="26"/>
      <c r="G235" s="24"/>
      <c r="H235" s="24"/>
      <c r="I235" s="26"/>
      <c r="J235" s="24"/>
      <c r="K235" s="26">
        <f>VLOOKUP($C235,COS!$B$8:$H$991,2,FALSE)</f>
        <v>2524.6171875</v>
      </c>
      <c r="L235" s="24">
        <f t="shared" ref="L235" si="376">IF(AND(K235&gt;$I$7,K235&lt;$I$8),1,0)</f>
        <v>1</v>
      </c>
      <c r="M235" s="24"/>
      <c r="N235" s="26"/>
      <c r="O235" s="26"/>
      <c r="P235" s="26"/>
      <c r="Q235" s="26"/>
      <c r="R235" s="26"/>
      <c r="S235" s="26"/>
      <c r="T235" s="26"/>
      <c r="U235" s="26"/>
      <c r="V235" s="26"/>
      <c r="W235" s="26">
        <f>MAX($C$8-VLOOKUP($C235,COS!$B$8:$H$991,3,FALSE),0)</f>
        <v>88618.8271484375</v>
      </c>
      <c r="X235" s="26">
        <f t="shared" si="347"/>
        <v>5273.1864088326447</v>
      </c>
      <c r="Y235" s="26">
        <f>VLOOKUP($C235,COS!$B$8:$H$991,4,FALSE)</f>
        <v>0</v>
      </c>
      <c r="Z235" s="26">
        <f t="shared" si="348"/>
        <v>0</v>
      </c>
      <c r="AA235" s="26">
        <f t="shared" si="374"/>
        <v>0</v>
      </c>
      <c r="AB235" s="33">
        <f t="shared" si="345"/>
        <v>0</v>
      </c>
    </row>
    <row r="236" spans="1:28" x14ac:dyDescent="0.3">
      <c r="A236" s="32">
        <f>VLOOKUP(YEAR(C236),Flags!$A$13:$B$95,2,FALSE)</f>
        <v>2</v>
      </c>
      <c r="B236" s="24">
        <f t="shared" si="328"/>
        <v>1946</v>
      </c>
      <c r="C236" s="25">
        <v>17106</v>
      </c>
      <c r="D236" s="26"/>
      <c r="E236" s="24"/>
      <c r="F236" s="26"/>
      <c r="G236" s="26"/>
      <c r="H236" s="26"/>
      <c r="I236" s="26"/>
      <c r="J236" s="26"/>
      <c r="K236" s="26"/>
      <c r="L236" s="24"/>
      <c r="M236" s="24"/>
      <c r="N236" s="26"/>
      <c r="O236" s="26"/>
      <c r="P236" s="26"/>
      <c r="Q236" s="26"/>
      <c r="R236" s="26"/>
      <c r="S236" s="26"/>
      <c r="T236" s="26"/>
      <c r="U236" s="26"/>
      <c r="V236" s="26"/>
      <c r="W236" s="26">
        <f>MAX($C$9-VLOOKUP($C236,COS!$B$8:$H$991,3,FALSE),0)</f>
        <v>91926.40234375</v>
      </c>
      <c r="X236" s="26">
        <f t="shared" si="347"/>
        <v>5652.3341606404956</v>
      </c>
      <c r="Y236" s="26">
        <f>VLOOKUP($C236,COS!$B$8:$H$991,4,FALSE)</f>
        <v>1148.6480712890625</v>
      </c>
      <c r="Z236" s="26">
        <f t="shared" si="348"/>
        <v>70.627616945377071</v>
      </c>
      <c r="AA236" s="26">
        <f t="shared" si="374"/>
        <v>1148.6480712890625</v>
      </c>
      <c r="AB236" s="33">
        <f t="shared" si="345"/>
        <v>70.627616945377071</v>
      </c>
    </row>
    <row r="237" spans="1:28" x14ac:dyDescent="0.3">
      <c r="A237" s="32">
        <f>VLOOKUP(YEAR(C237),Flags!$A$13:$B$95,2,FALSE)</f>
        <v>2</v>
      </c>
      <c r="B237" s="24">
        <f t="shared" si="328"/>
        <v>1946</v>
      </c>
      <c r="C237" s="25">
        <v>17136</v>
      </c>
      <c r="D237" s="26"/>
      <c r="E237" s="24"/>
      <c r="F237" s="26"/>
      <c r="G237" s="26"/>
      <c r="H237" s="26"/>
      <c r="I237" s="26"/>
      <c r="J237" s="26"/>
      <c r="K237" s="26"/>
      <c r="L237" s="24"/>
      <c r="M237" s="24"/>
      <c r="N237" s="26"/>
      <c r="O237" s="26"/>
      <c r="P237" s="26"/>
      <c r="Q237" s="26"/>
      <c r="R237" s="26"/>
      <c r="S237" s="26"/>
      <c r="T237" s="26"/>
      <c r="U237" s="26"/>
      <c r="V237" s="26"/>
      <c r="W237" s="26">
        <f>MAX($C$10-VLOOKUP($C237,COS!$B$8:$H$991,3,FALSE),0)</f>
        <v>91705.3271484375</v>
      </c>
      <c r="X237" s="26">
        <f t="shared" si="347"/>
        <v>5456.8459129648754</v>
      </c>
      <c r="Y237" s="26">
        <f>VLOOKUP($C237,COS!$B$8:$H$991,4,FALSE)</f>
        <v>1644.781982421875</v>
      </c>
      <c r="Z237" s="26">
        <f t="shared" si="348"/>
        <v>97.871324573863632</v>
      </c>
      <c r="AA237" s="26">
        <f t="shared" si="374"/>
        <v>1644.781982421875</v>
      </c>
      <c r="AB237" s="33">
        <f t="shared" si="345"/>
        <v>48.935662286931816</v>
      </c>
    </row>
    <row r="238" spans="1:28" x14ac:dyDescent="0.3">
      <c r="A238" s="34">
        <f>VLOOKUP(YEAR(C238),Flags!$A$13:$B$95,2,FALSE)</f>
        <v>2</v>
      </c>
      <c r="B238" s="35">
        <f t="shared" si="328"/>
        <v>1946</v>
      </c>
      <c r="C238" s="36">
        <v>17167</v>
      </c>
      <c r="D238" s="37"/>
      <c r="E238" s="35"/>
      <c r="F238" s="37"/>
      <c r="G238" s="37"/>
      <c r="H238" s="37"/>
      <c r="I238" s="37"/>
      <c r="J238" s="37"/>
      <c r="K238" s="37"/>
      <c r="L238" s="35"/>
      <c r="M238" s="35"/>
      <c r="N238" s="37"/>
      <c r="O238" s="37"/>
      <c r="P238" s="37"/>
      <c r="Q238" s="37"/>
      <c r="R238" s="37"/>
      <c r="S238" s="37"/>
      <c r="T238" s="37"/>
      <c r="U238" s="37"/>
      <c r="V238" s="37"/>
      <c r="W238" s="37">
        <f>MAX($C$11-VLOOKUP($C238,COS!$B$8:$H$991,3,FALSE),0)</f>
        <v>0</v>
      </c>
      <c r="X238" s="37">
        <f t="shared" si="347"/>
        <v>0</v>
      </c>
      <c r="Y238" s="37">
        <f>VLOOKUP($C238,COS!$B$8:$H$991,4,FALSE)</f>
        <v>0</v>
      </c>
      <c r="Z238" s="37">
        <f t="shared" si="348"/>
        <v>0</v>
      </c>
      <c r="AA238" s="37">
        <f t="shared" si="374"/>
        <v>0</v>
      </c>
      <c r="AB238" s="38">
        <f t="shared" si="345"/>
        <v>0</v>
      </c>
    </row>
    <row r="239" spans="1:28" x14ac:dyDescent="0.3">
      <c r="A239" s="27">
        <f>VLOOKUP(YEAR(C239),Flags!$A$13:$B$95,2,FALSE)</f>
        <v>4</v>
      </c>
      <c r="B239" s="28">
        <f t="shared" si="328"/>
        <v>1947</v>
      </c>
      <c r="C239" s="29">
        <v>17287</v>
      </c>
      <c r="D239" s="30">
        <f>VLOOKUP($C239,COS!$B$8:$H$991,3,FALSE)</f>
        <v>3250</v>
      </c>
      <c r="E239" s="28">
        <f>IF(D239&gt;=IF(MONTH($C239)=4,$C$3,IF(MONTH($C239)=5,$C$4,IF(MONTH($C239)=6,$C$5,IF(MONTH($C239)=7,$C$6,"ERROR")))),1,0)</f>
        <v>0</v>
      </c>
      <c r="F239" s="30">
        <f>VLOOKUP($C239,COS!$B$8:$H$991,7,FALSE)</f>
        <v>51.992382049560547</v>
      </c>
      <c r="G239" s="28">
        <f>IF(F239&lt;=IF(MONTH($C239)=4,$F$3,IF(MONTH($C239)=5,$F$4,IF(MONTH($C239)=6,$F$5,IF(MONTH($C239)=7,$F$6,"ERROR")))),1,0)</f>
        <v>1</v>
      </c>
      <c r="H239" s="30">
        <f>IF(J239=1,D239-$C$3,0)</f>
        <v>0</v>
      </c>
      <c r="I239" s="30">
        <f t="shared" si="342"/>
        <v>0</v>
      </c>
      <c r="J239" s="28">
        <f t="shared" ref="J239:J242" si="377">IF(AND(E239=1,G239=1),1,0)</f>
        <v>0</v>
      </c>
      <c r="K239" s="30">
        <f>VLOOKUP($C239,COS!$B$8:$H$991,2,FALSE)</f>
        <v>3389.9931640625</v>
      </c>
      <c r="L239" s="28">
        <f t="shared" ref="L239" si="378">IF(K239&lt;=IF(MONTH($C239)=4,$I$3,IF(MONTH($C239)=5,$I$4,IF(MONTH($C239)=6,$I$5,IF(MONTH($C239)=7,$I$6,"ERROR")))),1,0)</f>
        <v>1</v>
      </c>
      <c r="M239" s="28">
        <f t="shared" ref="M239" si="379">VLOOKUP($A239,$L$3:$M$7,2,FALSE)</f>
        <v>1</v>
      </c>
      <c r="N239" s="30">
        <f>VLOOKUP($C239,COS!$B$8:$H$991,5,FALSE)</f>
        <v>210.8018798828125</v>
      </c>
      <c r="O239" s="30">
        <f t="shared" ref="O239:O242" si="380">N239*DAY($C239)*86400/43560/1000</f>
        <v>12.543582935175619</v>
      </c>
      <c r="P239" s="30">
        <f>VLOOKUP($C239,COS!$B$8:$H$991,6,FALSE)</f>
        <v>467.46041870117188</v>
      </c>
      <c r="Q239" s="30">
        <f t="shared" ref="Q239:Q242" si="381">P239*DAY($C239)*86400/43560/1000</f>
        <v>27.815826567342459</v>
      </c>
      <c r="R239" s="30">
        <f>MIN(IF(MONTH($C239)=4,$S$3,IF(MONTH($C239)=5,$S$4,IF(MONTH($C239)=6,$S$5,IF(MONTH($C239)=7,$S$6,"ERROR")))),MAX(VLOOKUP($C239,COS!$B$8:$K$991,10,FALSE)-IF(MONTH($C239)=4,$Y$3,IF(MONTH($C239)=5,$Y$4,IF(MONTH($C239)=6,$Y$5,IF(MONTH($C239)=7,$Y$6,"ERROR")))),0),MAX(VLOOKUP($C239,COS!$B$8:$K$991,9,FALSE)-IF(MONTH($C239)=4,$V$3,IF(MONTH($C239)=5,$V$4,IF(MONTH($C239)=6,$V$5,IF(MONTH($C239)=7,$V$6,"ERROR"))))-VLOOKUP($C239,COS!$B$8:$K$991,6,FALSE)/2,0))</f>
        <v>1500</v>
      </c>
      <c r="S239" s="30">
        <f t="shared" ref="S239:S242" si="382">R239*DAY($C239)*86400/43560/1000</f>
        <v>89.256198347107429</v>
      </c>
      <c r="T239" s="30">
        <f t="shared" ref="T239:T242" si="383">(O239+Q239)/2+S239</f>
        <v>109.43590309836647</v>
      </c>
      <c r="U239" s="30" t="str">
        <f>IF(VLOOKUP($C239,COS!$B$8:$I$991,8,FALSE)=1,"UWFE","IBU")</f>
        <v>UWFE</v>
      </c>
      <c r="V239" s="30">
        <f t="shared" ref="V239" si="384">MIN(IF(IF($AA$3=2,AND(E239=1,G239=1,L239=1,L244=1,M239=1,U239="IBU"),AND(E239=1,G239=1,L239=1,L244=1,M239=1)),T239,0),I239)</f>
        <v>0</v>
      </c>
      <c r="W239" s="30"/>
      <c r="X239" s="30"/>
      <c r="Y239" s="30"/>
      <c r="Z239" s="30"/>
      <c r="AA239" s="30"/>
      <c r="AB239" s="31"/>
    </row>
    <row r="240" spans="1:28" x14ac:dyDescent="0.3">
      <c r="A240" s="32">
        <f>VLOOKUP(YEAR(C240),Flags!$A$13:$B$95,2,FALSE)</f>
        <v>4</v>
      </c>
      <c r="B240" s="24">
        <f t="shared" si="328"/>
        <v>1947</v>
      </c>
      <c r="C240" s="25">
        <v>17318</v>
      </c>
      <c r="D240" s="26">
        <f>VLOOKUP($C240,COS!$B$8:$H$991,3,FALSE)</f>
        <v>8656.3466796875</v>
      </c>
      <c r="E240" s="24">
        <f>IF(D240&gt;=IF(MONTH($C240)=4,$C$3,IF(MONTH($C240)=5,$C$4,IF(MONTH($C240)=6,$C$5,IF(MONTH($C240)=7,$C$6,"ERROR")))),1,0)</f>
        <v>1</v>
      </c>
      <c r="F240" s="26">
        <f>VLOOKUP($C240,COS!$B$8:$H$991,7,FALSE)</f>
        <v>50.687347412109375</v>
      </c>
      <c r="G240" s="24">
        <f>IF(F240&lt;=IF(MONTH($C240)=4,$F$3,IF(MONTH($C240)=5,$F$4,IF(MONTH($C240)=6,$F$5,IF(MONTH($C240)=7,$F$6,"ERROR")))),1,0)</f>
        <v>1</v>
      </c>
      <c r="H240" s="26">
        <f>IF(J240=1,D240-$C$4,0)</f>
        <v>2656.3466796875</v>
      </c>
      <c r="I240" s="26">
        <f t="shared" si="342"/>
        <v>163.33239088326445</v>
      </c>
      <c r="J240" s="24">
        <f t="shared" si="377"/>
        <v>1</v>
      </c>
      <c r="K240" s="26">
        <f>VLOOKUP($C240,COS!$B$8:$H$991,2,FALSE)</f>
        <v>3099.48974609375</v>
      </c>
      <c r="L240" s="24">
        <f t="shared" si="333"/>
        <v>1</v>
      </c>
      <c r="M240" s="24">
        <f t="shared" si="334"/>
        <v>1</v>
      </c>
      <c r="N240" s="26">
        <f>VLOOKUP($C240,COS!$B$8:$H$991,5,FALSE)</f>
        <v>304.60684204101563</v>
      </c>
      <c r="O240" s="26">
        <f t="shared" si="380"/>
        <v>18.729544667645918</v>
      </c>
      <c r="P240" s="26">
        <f>VLOOKUP($C240,COS!$B$8:$H$991,6,FALSE)</f>
        <v>2205.62353515625</v>
      </c>
      <c r="Q240" s="26">
        <f t="shared" si="381"/>
        <v>135.61850497159091</v>
      </c>
      <c r="R240" s="26">
        <f>MIN(IF(MONTH($C240)=4,$S$3,IF(MONTH($C240)=5,$S$4,IF(MONTH($C240)=6,$S$5,IF(MONTH($C240)=7,$S$6,"ERROR")))),MAX(VLOOKUP($C240,COS!$B$8:$K$991,10,FALSE)-IF(MONTH($C240)=4,$Y$3,IF(MONTH($C240)=5,$Y$4,IF(MONTH($C240)=6,$Y$5,IF(MONTH($C240)=7,$Y$6,"ERROR")))),0),MAX(VLOOKUP($C240,COS!$B$8:$K$991,9,FALSE)-IF(MONTH($C240)=4,$V$3,IF(MONTH($C240)=5,$V$4,IF(MONTH($C240)=6,$V$5,IF(MONTH($C240)=7,$V$6,"ERROR"))))-VLOOKUP($C240,COS!$B$8:$K$991,6,FALSE)/2,0))</f>
        <v>1500</v>
      </c>
      <c r="S240" s="26">
        <f t="shared" si="382"/>
        <v>92.231404958677686</v>
      </c>
      <c r="T240" s="26">
        <f t="shared" si="383"/>
        <v>169.40542977829608</v>
      </c>
      <c r="U240" s="26" t="str">
        <f>IF(VLOOKUP($C240,COS!$B$8:$I$991,8,FALSE)=1,"UWFE","IBU")</f>
        <v>IBU</v>
      </c>
      <c r="V240" s="26">
        <f t="shared" ref="V240" si="385">MIN(IF(IF($AA$3=2,AND(E240=1,G240=1,L240=1,L244=1,M240=1,U240="IBU"),AND(E240=1,G240=1,L240=1,L244=1,M240=1)),T240,0),I240)</f>
        <v>163.33239088326445</v>
      </c>
      <c r="W240" s="26"/>
      <c r="X240" s="26"/>
      <c r="Y240" s="26"/>
      <c r="Z240" s="26"/>
      <c r="AA240" s="26"/>
      <c r="AB240" s="33"/>
    </row>
    <row r="241" spans="1:28" x14ac:dyDescent="0.3">
      <c r="A241" s="32">
        <f>VLOOKUP(YEAR(C241),Flags!$A$13:$B$95,2,FALSE)</f>
        <v>4</v>
      </c>
      <c r="B241" s="24">
        <f t="shared" si="328"/>
        <v>1947</v>
      </c>
      <c r="C241" s="25">
        <v>17348</v>
      </c>
      <c r="D241" s="26">
        <f>VLOOKUP($C241,COS!$B$8:$H$991,3,FALSE)</f>
        <v>10092.3349609375</v>
      </c>
      <c r="E241" s="24">
        <f>IF(D241&gt;=IF(MONTH($C241)=4,$C$3,IF(MONTH($C241)=5,$C$4,IF(MONTH($C241)=6,$C$5,IF(MONTH($C241)=7,$C$6,"ERROR")))),1,0)</f>
        <v>1</v>
      </c>
      <c r="F241" s="26">
        <f>VLOOKUP($C241,COS!$B$8:$H$991,7,FALSE)</f>
        <v>51.895301818847656</v>
      </c>
      <c r="G241" s="24">
        <f>IF(F241&lt;=IF(MONTH($C241)=4,$F$3,IF(MONTH($C241)=5,$F$4,IF(MONTH($C241)=6,$F$5,IF(MONTH($C241)=7,$F$6,"ERROR")))),1,0)</f>
        <v>1</v>
      </c>
      <c r="H241" s="26">
        <f>IF(J241=1,D241-$C$5,0)</f>
        <v>92.3349609375</v>
      </c>
      <c r="I241" s="26">
        <f t="shared" si="342"/>
        <v>5.4943117252066109</v>
      </c>
      <c r="J241" s="24">
        <f t="shared" si="377"/>
        <v>1</v>
      </c>
      <c r="K241" s="26">
        <f>VLOOKUP($C241,COS!$B$8:$H$991,2,FALSE)</f>
        <v>2880.829833984375</v>
      </c>
      <c r="L241" s="24">
        <f t="shared" si="333"/>
        <v>1</v>
      </c>
      <c r="M241" s="24">
        <f t="shared" si="334"/>
        <v>1</v>
      </c>
      <c r="N241" s="26">
        <f>VLOOKUP($C241,COS!$B$8:$H$991,5,FALSE)</f>
        <v>355.63311767578125</v>
      </c>
      <c r="O241" s="26">
        <f t="shared" si="380"/>
        <v>21.161640060046487</v>
      </c>
      <c r="P241" s="26">
        <f>VLOOKUP($C241,COS!$B$8:$H$991,6,FALSE)</f>
        <v>2534.749267578125</v>
      </c>
      <c r="Q241" s="26">
        <f t="shared" si="381"/>
        <v>150.82805559142562</v>
      </c>
      <c r="R241" s="26">
        <f>MIN(IF(MONTH($C241)=4,$S$3,IF(MONTH($C241)=5,$S$4,IF(MONTH($C241)=6,$S$5,IF(MONTH($C241)=7,$S$6,"ERROR")))),MAX(VLOOKUP($C241,COS!$B$8:$K$991,10,FALSE)-IF(MONTH($C241)=4,$Y$3,IF(MONTH($C241)=5,$Y$4,IF(MONTH($C241)=6,$Y$5,IF(MONTH($C241)=7,$Y$6,"ERROR")))),0),MAX(VLOOKUP($C241,COS!$B$8:$K$991,9,FALSE)-IF(MONTH($C241)=4,$V$3,IF(MONTH($C241)=5,$V$4,IF(MONTH($C241)=6,$V$5,IF(MONTH($C241)=7,$V$6,"ERROR"))))-VLOOKUP($C241,COS!$B$8:$K$991,6,FALSE)/2,0))</f>
        <v>1500</v>
      </c>
      <c r="S241" s="26">
        <f t="shared" si="382"/>
        <v>89.256198347107429</v>
      </c>
      <c r="T241" s="26">
        <f t="shared" si="383"/>
        <v>175.25104617284347</v>
      </c>
      <c r="U241" s="26" t="str">
        <f>IF(VLOOKUP($C241,COS!$B$8:$I$991,8,FALSE)=1,"UWFE","IBU")</f>
        <v>IBU</v>
      </c>
      <c r="V241" s="26">
        <f t="shared" ref="V241" si="386">MIN(IF(IF($AA$3=2,AND(E241=1,G241=1,L241=1,L244=1,M241=1,U241="IBU"),AND(E241=1,G241=1,L241=1,L244=1,M241=1)),T241,0),I241)</f>
        <v>5.4943117252066109</v>
      </c>
      <c r="W241" s="26"/>
      <c r="X241" s="26"/>
      <c r="Y241" s="26"/>
      <c r="Z241" s="26"/>
      <c r="AA241" s="26"/>
      <c r="AB241" s="33"/>
    </row>
    <row r="242" spans="1:28" x14ac:dyDescent="0.3">
      <c r="A242" s="32">
        <f>VLOOKUP(YEAR(C242),Flags!$A$13:$B$95,2,FALSE)</f>
        <v>4</v>
      </c>
      <c r="B242" s="24">
        <f t="shared" si="328"/>
        <v>1947</v>
      </c>
      <c r="C242" s="25">
        <v>17379</v>
      </c>
      <c r="D242" s="26">
        <f>VLOOKUP($C242,COS!$B$8:$H$991,3,FALSE)</f>
        <v>13768.3623046875</v>
      </c>
      <c r="E242" s="24">
        <f>IF(D242&gt;=IF(MONTH($C242)=4,$C$3,IF(MONTH($C242)=5,$C$4,IF(MONTH($C242)=6,$C$5,IF(MONTH($C242)=7,$C$6,"ERROR")))),1,0)</f>
        <v>1</v>
      </c>
      <c r="F242" s="26">
        <f>VLOOKUP($C242,COS!$B$8:$H$991,7,FALSE)</f>
        <v>53.452518463134766</v>
      </c>
      <c r="G242" s="24">
        <f>IF(F242&lt;=IF(MONTH($C242)=4,$F$3,IF(MONTH($C242)=5,$F$4,IF(MONTH($C242)=6,$F$5,IF(MONTH($C242)=7,$F$6,"ERROR")))),1,0)</f>
        <v>1</v>
      </c>
      <c r="H242" s="26">
        <f>IF(J242=1,D242-$C$6,0)</f>
        <v>1768.3623046875</v>
      </c>
      <c r="I242" s="26">
        <f t="shared" si="342"/>
        <v>108.73235989152892</v>
      </c>
      <c r="J242" s="24">
        <f t="shared" si="377"/>
        <v>1</v>
      </c>
      <c r="K242" s="26">
        <f>VLOOKUP($C242,COS!$B$8:$H$991,2,FALSE)</f>
        <v>2415.119140625</v>
      </c>
      <c r="L242" s="24">
        <f t="shared" si="333"/>
        <v>1</v>
      </c>
      <c r="M242" s="24">
        <f t="shared" si="334"/>
        <v>1</v>
      </c>
      <c r="N242" s="26">
        <f>VLOOKUP($C242,COS!$B$8:$H$991,5,FALSE)</f>
        <v>438.732666015625</v>
      </c>
      <c r="O242" s="26">
        <f t="shared" si="380"/>
        <v>26.976620125258265</v>
      </c>
      <c r="P242" s="26">
        <f>VLOOKUP($C242,COS!$B$8:$H$991,6,FALSE)</f>
        <v>2538.07568359375</v>
      </c>
      <c r="Q242" s="26">
        <f t="shared" si="381"/>
        <v>156.06019079287191</v>
      </c>
      <c r="R242" s="26">
        <f>MIN(IF(MONTH($C242)=4,$S$3,IF(MONTH($C242)=5,$S$4,IF(MONTH($C242)=6,$S$5,IF(MONTH($C242)=7,$S$6,"ERROR")))),MAX(VLOOKUP($C242,COS!$B$8:$K$991,10,FALSE)-IF(MONTH($C242)=4,$Y$3,IF(MONTH($C242)=5,$Y$4,IF(MONTH($C242)=6,$Y$5,IF(MONTH($C242)=7,$Y$6,"ERROR")))),0),MAX(VLOOKUP($C242,COS!$B$8:$K$991,9,FALSE)-IF(MONTH($C242)=4,$V$3,IF(MONTH($C242)=5,$V$4,IF(MONTH($C242)=6,$V$5,IF(MONTH($C242)=7,$V$6,"ERROR"))))-VLOOKUP($C242,COS!$B$8:$K$991,6,FALSE)/2,0))</f>
        <v>1500</v>
      </c>
      <c r="S242" s="26">
        <f t="shared" si="382"/>
        <v>92.231404958677686</v>
      </c>
      <c r="T242" s="26">
        <f t="shared" si="383"/>
        <v>183.74981041774276</v>
      </c>
      <c r="U242" s="26" t="str">
        <f>IF(VLOOKUP($C242,COS!$B$8:$I$991,8,FALSE)=1,"UWFE","IBU")</f>
        <v>IBU</v>
      </c>
      <c r="V242" s="26">
        <f t="shared" ref="V242" si="387">MIN(IF(IF($AA$3=2,AND(E242=1,G242=1,L242=1,L244=1,M242=1,U242="IBU"),AND(E242=1,G242=1,L242=1,L244=1,M242=1)),T242,0),I242)</f>
        <v>108.73235989152892</v>
      </c>
      <c r="W242" s="26"/>
      <c r="X242" s="26"/>
      <c r="Y242" s="26"/>
      <c r="Z242" s="26"/>
      <c r="AA242" s="26"/>
      <c r="AB242" s="33"/>
    </row>
    <row r="243" spans="1:28" x14ac:dyDescent="0.3">
      <c r="A243" s="32">
        <f>VLOOKUP(YEAR(C243),Flags!$A$13:$B$95,2,FALSE)</f>
        <v>4</v>
      </c>
      <c r="B243" s="24">
        <f t="shared" si="328"/>
        <v>1947</v>
      </c>
      <c r="C243" s="25">
        <v>17410</v>
      </c>
      <c r="D243" s="26"/>
      <c r="E243" s="24"/>
      <c r="F243" s="26"/>
      <c r="G243" s="24"/>
      <c r="H243" s="24"/>
      <c r="I243" s="26"/>
      <c r="J243" s="24"/>
      <c r="K243" s="26"/>
      <c r="L243" s="24"/>
      <c r="M243" s="24"/>
      <c r="N243" s="26"/>
      <c r="O243" s="26"/>
      <c r="P243" s="26"/>
      <c r="Q243" s="26"/>
      <c r="R243" s="26"/>
      <c r="S243" s="26"/>
      <c r="T243" s="26"/>
      <c r="U243" s="26"/>
      <c r="V243" s="26"/>
      <c r="W243" s="26">
        <f>MAX($C$7-VLOOKUP($C243,COS!$B$8:$H$991,3,FALSE),0)</f>
        <v>90847.5517578125</v>
      </c>
      <c r="X243" s="26">
        <f t="shared" si="347"/>
        <v>5585.9982237861568</v>
      </c>
      <c r="Y243" s="26">
        <f>VLOOKUP($C243,COS!$B$8:$H$991,4,FALSE)</f>
        <v>1509.713623046875</v>
      </c>
      <c r="Z243" s="26">
        <f t="shared" si="348"/>
        <v>92.828672359245871</v>
      </c>
      <c r="AA243" s="26">
        <f t="shared" ref="AA243:AA247" si="388">MIN(W243,Y243)</f>
        <v>1509.713623046875</v>
      </c>
      <c r="AB243" s="33">
        <f t="shared" ref="AB243" si="389">AA243*DAY($C243)*86400/43560/1000*IF(MONTH($C243)=8,$P$3,IF(MONTH($C243)=9,$P$4,IF(MONTH($C243)=10,$P$5,IF(MONTH($C243)=11,$P$6,IF(MONTH($C243)=12,$P$7,NA())))))</f>
        <v>92.828672359245871</v>
      </c>
    </row>
    <row r="244" spans="1:28" x14ac:dyDescent="0.3">
      <c r="A244" s="32">
        <f>VLOOKUP(YEAR(C244),Flags!$A$13:$B$95,2,FALSE)</f>
        <v>4</v>
      </c>
      <c r="B244" s="24">
        <f t="shared" si="328"/>
        <v>1947</v>
      </c>
      <c r="C244" s="25">
        <v>17440</v>
      </c>
      <c r="D244" s="26"/>
      <c r="E244" s="24"/>
      <c r="F244" s="26"/>
      <c r="G244" s="24"/>
      <c r="H244" s="24"/>
      <c r="I244" s="26"/>
      <c r="J244" s="24"/>
      <c r="K244" s="26">
        <f>VLOOKUP($C244,COS!$B$8:$H$991,2,FALSE)</f>
        <v>1968.9127197265625</v>
      </c>
      <c r="L244" s="24">
        <f t="shared" ref="L244" si="390">IF(AND(K244&gt;$I$7,K244&lt;$I$8),1,0)</f>
        <v>1</v>
      </c>
      <c r="M244" s="24"/>
      <c r="N244" s="26"/>
      <c r="O244" s="26"/>
      <c r="P244" s="26"/>
      <c r="Q244" s="26"/>
      <c r="R244" s="26"/>
      <c r="S244" s="26"/>
      <c r="T244" s="26"/>
      <c r="U244" s="26"/>
      <c r="V244" s="26"/>
      <c r="W244" s="26">
        <f>MAX($C$8-VLOOKUP($C244,COS!$B$8:$H$991,3,FALSE),0)</f>
        <v>94272.12744140625</v>
      </c>
      <c r="X244" s="26">
        <f t="shared" si="347"/>
        <v>5609.5811370092979</v>
      </c>
      <c r="Y244" s="26">
        <f>VLOOKUP($C244,COS!$B$8:$H$991,4,FALSE)</f>
        <v>1350.30224609375</v>
      </c>
      <c r="Z244" s="26">
        <f t="shared" si="348"/>
        <v>80.348563403925624</v>
      </c>
      <c r="AA244" s="26">
        <f t="shared" si="388"/>
        <v>1350.30224609375</v>
      </c>
      <c r="AB244" s="33">
        <f t="shared" si="345"/>
        <v>80.348563403925624</v>
      </c>
    </row>
    <row r="245" spans="1:28" x14ac:dyDescent="0.3">
      <c r="A245" s="32">
        <f>VLOOKUP(YEAR(C245),Flags!$A$13:$B$95,2,FALSE)</f>
        <v>4</v>
      </c>
      <c r="B245" s="24">
        <f t="shared" si="328"/>
        <v>1947</v>
      </c>
      <c r="C245" s="25">
        <v>17471</v>
      </c>
      <c r="D245" s="26"/>
      <c r="E245" s="24"/>
      <c r="F245" s="26"/>
      <c r="G245" s="26"/>
      <c r="H245" s="26"/>
      <c r="I245" s="26"/>
      <c r="J245" s="26"/>
      <c r="K245" s="26"/>
      <c r="L245" s="24"/>
      <c r="M245" s="24"/>
      <c r="N245" s="26"/>
      <c r="O245" s="26"/>
      <c r="P245" s="26"/>
      <c r="Q245" s="26"/>
      <c r="R245" s="26"/>
      <c r="S245" s="26"/>
      <c r="T245" s="26"/>
      <c r="U245" s="26"/>
      <c r="V245" s="26"/>
      <c r="W245" s="26">
        <f>MAX($C$9-VLOOKUP($C245,COS!$B$8:$H$991,3,FALSE),0)</f>
        <v>96632.93359375</v>
      </c>
      <c r="X245" s="26">
        <f t="shared" si="347"/>
        <v>5941.7274870867768</v>
      </c>
      <c r="Y245" s="26">
        <f>VLOOKUP($C245,COS!$B$8:$H$991,4,FALSE)</f>
        <v>1046.6112060546875</v>
      </c>
      <c r="Z245" s="26">
        <f t="shared" si="348"/>
        <v>64.353614653279962</v>
      </c>
      <c r="AA245" s="26">
        <f t="shared" si="388"/>
        <v>1046.6112060546875</v>
      </c>
      <c r="AB245" s="33">
        <f t="shared" si="345"/>
        <v>64.353614653279962</v>
      </c>
    </row>
    <row r="246" spans="1:28" x14ac:dyDescent="0.3">
      <c r="A246" s="32">
        <f>VLOOKUP(YEAR(C246),Flags!$A$13:$B$95,2,FALSE)</f>
        <v>4</v>
      </c>
      <c r="B246" s="24">
        <f t="shared" si="328"/>
        <v>1947</v>
      </c>
      <c r="C246" s="25">
        <v>17501</v>
      </c>
      <c r="D246" s="26"/>
      <c r="E246" s="24"/>
      <c r="F246" s="26"/>
      <c r="G246" s="26"/>
      <c r="H246" s="26"/>
      <c r="I246" s="26"/>
      <c r="J246" s="26"/>
      <c r="K246" s="26"/>
      <c r="L246" s="24"/>
      <c r="M246" s="24"/>
      <c r="N246" s="26"/>
      <c r="O246" s="26"/>
      <c r="P246" s="26"/>
      <c r="Q246" s="26"/>
      <c r="R246" s="26"/>
      <c r="S246" s="26"/>
      <c r="T246" s="26"/>
      <c r="U246" s="26"/>
      <c r="V246" s="26"/>
      <c r="W246" s="26">
        <f>MAX($C$10-VLOOKUP($C246,COS!$B$8:$H$991,3,FALSE),0)</f>
        <v>96749</v>
      </c>
      <c r="X246" s="26">
        <f t="shared" si="347"/>
        <v>5756.965289256198</v>
      </c>
      <c r="Y246" s="26">
        <f>VLOOKUP($C246,COS!$B$8:$H$991,4,FALSE)</f>
        <v>1013.9700927734375</v>
      </c>
      <c r="Z246" s="26">
        <f t="shared" si="348"/>
        <v>60.335410479080579</v>
      </c>
      <c r="AA246" s="26">
        <f t="shared" si="388"/>
        <v>1013.9700927734375</v>
      </c>
      <c r="AB246" s="33">
        <f t="shared" si="345"/>
        <v>30.16770523954029</v>
      </c>
    </row>
    <row r="247" spans="1:28" x14ac:dyDescent="0.3">
      <c r="A247" s="34">
        <f>VLOOKUP(YEAR(C247),Flags!$A$13:$B$95,2,FALSE)</f>
        <v>4</v>
      </c>
      <c r="B247" s="35">
        <f t="shared" si="328"/>
        <v>1947</v>
      </c>
      <c r="C247" s="36">
        <v>17532</v>
      </c>
      <c r="D247" s="37"/>
      <c r="E247" s="35"/>
      <c r="F247" s="37"/>
      <c r="G247" s="37"/>
      <c r="H247" s="37"/>
      <c r="I247" s="37"/>
      <c r="J247" s="37"/>
      <c r="K247" s="37"/>
      <c r="L247" s="35"/>
      <c r="M247" s="35"/>
      <c r="N247" s="37"/>
      <c r="O247" s="37"/>
      <c r="P247" s="37"/>
      <c r="Q247" s="37"/>
      <c r="R247" s="37"/>
      <c r="S247" s="37"/>
      <c r="T247" s="37"/>
      <c r="U247" s="37"/>
      <c r="V247" s="37"/>
      <c r="W247" s="37">
        <f>MAX($C$11-VLOOKUP($C247,COS!$B$8:$H$991,3,FALSE),0)</f>
        <v>0</v>
      </c>
      <c r="X247" s="37">
        <f t="shared" si="347"/>
        <v>0</v>
      </c>
      <c r="Y247" s="37">
        <f>VLOOKUP($C247,COS!$B$8:$H$991,4,FALSE)</f>
        <v>1615.037353515625</v>
      </c>
      <c r="Z247" s="37">
        <f t="shared" si="348"/>
        <v>99.304776116993807</v>
      </c>
      <c r="AA247" s="37">
        <f t="shared" si="388"/>
        <v>0</v>
      </c>
      <c r="AB247" s="38">
        <f t="shared" si="345"/>
        <v>0</v>
      </c>
    </row>
    <row r="248" spans="1:28" x14ac:dyDescent="0.3">
      <c r="A248" s="27">
        <f>VLOOKUP(YEAR(C248),Flags!$A$13:$B$95,2,FALSE)</f>
        <v>3</v>
      </c>
      <c r="B248" s="28">
        <f t="shared" si="328"/>
        <v>1948</v>
      </c>
      <c r="C248" s="29">
        <v>17653</v>
      </c>
      <c r="D248" s="30">
        <f>VLOOKUP($C248,COS!$B$8:$H$991,3,FALSE)</f>
        <v>3250</v>
      </c>
      <c r="E248" s="28">
        <f>IF(D248&gt;=IF(MONTH($C248)=4,$C$3,IF(MONTH($C248)=5,$C$4,IF(MONTH($C248)=6,$C$5,IF(MONTH($C248)=7,$C$6,"ERROR")))),1,0)</f>
        <v>0</v>
      </c>
      <c r="F248" s="30">
        <f>VLOOKUP($C248,COS!$B$8:$H$991,7,FALSE)</f>
        <v>49.87957763671875</v>
      </c>
      <c r="G248" s="28">
        <f>IF(F248&lt;=IF(MONTH($C248)=4,$F$3,IF(MONTH($C248)=5,$F$4,IF(MONTH($C248)=6,$F$5,IF(MONTH($C248)=7,$F$6,"ERROR")))),1,0)</f>
        <v>1</v>
      </c>
      <c r="H248" s="30">
        <f>IF(J248=1,D248-$C$3,0)</f>
        <v>0</v>
      </c>
      <c r="I248" s="30">
        <f t="shared" si="342"/>
        <v>0</v>
      </c>
      <c r="J248" s="28">
        <f t="shared" ref="J248:J251" si="391">IF(AND(E248=1,G248=1),1,0)</f>
        <v>0</v>
      </c>
      <c r="K248" s="30">
        <f>VLOOKUP($C248,COS!$B$8:$H$991,2,FALSE)</f>
        <v>4304.84423828125</v>
      </c>
      <c r="L248" s="28">
        <f t="shared" ref="L248" si="392">IF(K248&lt;=IF(MONTH($C248)=4,$I$3,IF(MONTH($C248)=5,$I$4,IF(MONTH($C248)=6,$I$5,IF(MONTH($C248)=7,$I$6,"ERROR")))),1,0)</f>
        <v>1</v>
      </c>
      <c r="M248" s="28">
        <f t="shared" ref="M248" si="393">VLOOKUP($A248,$L$3:$M$7,2,FALSE)</f>
        <v>0</v>
      </c>
      <c r="N248" s="30">
        <f>VLOOKUP($C248,COS!$B$8:$H$991,5,FALSE)</f>
        <v>46.918926239013672</v>
      </c>
      <c r="O248" s="30">
        <f t="shared" ref="O248:O251" si="394">N248*DAY($C248)*86400/43560/1000</f>
        <v>2.7918699910818052</v>
      </c>
      <c r="P248" s="30">
        <f>VLOOKUP($C248,COS!$B$8:$H$991,6,FALSE)</f>
        <v>211.80764770507813</v>
      </c>
      <c r="Q248" s="30">
        <f t="shared" ref="Q248:Q251" si="395">P248*DAY($C248)*86400/43560/1000</f>
        <v>12.603430276665806</v>
      </c>
      <c r="R248" s="30">
        <f>MIN(IF(MONTH($C248)=4,$S$3,IF(MONTH($C248)=5,$S$4,IF(MONTH($C248)=6,$S$5,IF(MONTH($C248)=7,$S$6,"ERROR")))),MAX(VLOOKUP($C248,COS!$B$8:$K$991,10,FALSE)-IF(MONTH($C248)=4,$Y$3,IF(MONTH($C248)=5,$Y$4,IF(MONTH($C248)=6,$Y$5,IF(MONTH($C248)=7,$Y$6,"ERROR")))),0),MAX(VLOOKUP($C248,COS!$B$8:$K$991,9,FALSE)-IF(MONTH($C248)=4,$V$3,IF(MONTH($C248)=5,$V$4,IF(MONTH($C248)=6,$V$5,IF(MONTH($C248)=7,$V$6,"ERROR"))))-VLOOKUP($C248,COS!$B$8:$K$991,6,FALSE)/2,0))</f>
        <v>1500</v>
      </c>
      <c r="S248" s="30">
        <f t="shared" ref="S248:S251" si="396">R248*DAY($C248)*86400/43560/1000</f>
        <v>89.256198347107429</v>
      </c>
      <c r="T248" s="30">
        <f t="shared" ref="T248:T251" si="397">(O248+Q248)/2+S248</f>
        <v>96.953848480981236</v>
      </c>
      <c r="U248" s="30" t="str">
        <f>IF(VLOOKUP($C248,COS!$B$8:$I$991,8,FALSE)=1,"UWFE","IBU")</f>
        <v>UWFE</v>
      </c>
      <c r="V248" s="30">
        <f t="shared" ref="V248" si="398">MIN(IF(IF($AA$3=2,AND(E248=1,G248=1,L248=1,L253=1,M248=1,U248="IBU"),AND(E248=1,G248=1,L248=1,L253=1,M248=1)),T248,0),I248)</f>
        <v>0</v>
      </c>
      <c r="W248" s="30"/>
      <c r="X248" s="30"/>
      <c r="Y248" s="30"/>
      <c r="Z248" s="30"/>
      <c r="AA248" s="30"/>
      <c r="AB248" s="31"/>
    </row>
    <row r="249" spans="1:28" x14ac:dyDescent="0.3">
      <c r="A249" s="32">
        <f>VLOOKUP(YEAR(C249),Flags!$A$13:$B$95,2,FALSE)</f>
        <v>3</v>
      </c>
      <c r="B249" s="24">
        <f t="shared" si="328"/>
        <v>1948</v>
      </c>
      <c r="C249" s="25">
        <v>17684</v>
      </c>
      <c r="D249" s="26">
        <f>VLOOKUP($C249,COS!$B$8:$H$991,3,FALSE)</f>
        <v>9188.48046875</v>
      </c>
      <c r="E249" s="24">
        <f>IF(D249&gt;=IF(MONTH($C249)=4,$C$3,IF(MONTH($C249)=5,$C$4,IF(MONTH($C249)=6,$C$5,IF(MONTH($C249)=7,$C$6,"ERROR")))),1,0)</f>
        <v>1</v>
      </c>
      <c r="F249" s="26">
        <f>VLOOKUP($C249,COS!$B$8:$H$991,7,FALSE)</f>
        <v>49.27020263671875</v>
      </c>
      <c r="G249" s="24">
        <f>IF(F249&lt;=IF(MONTH($C249)=4,$F$3,IF(MONTH($C249)=5,$F$4,IF(MONTH($C249)=6,$F$5,IF(MONTH($C249)=7,$F$6,"ERROR")))),1,0)</f>
        <v>1</v>
      </c>
      <c r="H249" s="26">
        <f>IF(J249=1,D249-$C$4,0)</f>
        <v>3188.48046875</v>
      </c>
      <c r="I249" s="26">
        <f t="shared" si="342"/>
        <v>196.05202221074381</v>
      </c>
      <c r="J249" s="24">
        <f t="shared" si="391"/>
        <v>1</v>
      </c>
      <c r="K249" s="26">
        <f>VLOOKUP($C249,COS!$B$8:$H$991,2,FALSE)</f>
        <v>4552</v>
      </c>
      <c r="L249" s="24">
        <f t="shared" si="333"/>
        <v>1</v>
      </c>
      <c r="M249" s="24">
        <f t="shared" si="334"/>
        <v>0</v>
      </c>
      <c r="N249" s="26">
        <f>VLOOKUP($C249,COS!$B$8:$H$991,5,FALSE)</f>
        <v>414.791748046875</v>
      </c>
      <c r="O249" s="26">
        <f t="shared" si="394"/>
        <v>25.50455045841942</v>
      </c>
      <c r="P249" s="26">
        <f>VLOOKUP($C249,COS!$B$8:$H$991,6,FALSE)</f>
        <v>1547.1707763671875</v>
      </c>
      <c r="Q249" s="26">
        <f t="shared" si="395"/>
        <v>95.131822943569219</v>
      </c>
      <c r="R249" s="26">
        <f>MIN(IF(MONTH($C249)=4,$S$3,IF(MONTH($C249)=5,$S$4,IF(MONTH($C249)=6,$S$5,IF(MONTH($C249)=7,$S$6,"ERROR")))),MAX(VLOOKUP($C249,COS!$B$8:$K$991,10,FALSE)-IF(MONTH($C249)=4,$Y$3,IF(MONTH($C249)=5,$Y$4,IF(MONTH($C249)=6,$Y$5,IF(MONTH($C249)=7,$Y$6,"ERROR")))),0),MAX(VLOOKUP($C249,COS!$B$8:$K$991,9,FALSE)-IF(MONTH($C249)=4,$V$3,IF(MONTH($C249)=5,$V$4,IF(MONTH($C249)=6,$V$5,IF(MONTH($C249)=7,$V$6,"ERROR"))))-VLOOKUP($C249,COS!$B$8:$K$991,6,FALSE)/2,0))</f>
        <v>1500</v>
      </c>
      <c r="S249" s="26">
        <f t="shared" si="396"/>
        <v>92.231404958677686</v>
      </c>
      <c r="T249" s="26">
        <f t="shared" si="397"/>
        <v>152.54959165967199</v>
      </c>
      <c r="U249" s="26" t="str">
        <f>IF(VLOOKUP($C249,COS!$B$8:$I$991,8,FALSE)=1,"UWFE","IBU")</f>
        <v>UWFE</v>
      </c>
      <c r="V249" s="26">
        <f t="shared" ref="V249" si="399">MIN(IF(IF($AA$3=2,AND(E249=1,G249=1,L249=1,L253=1,M249=1,U249="IBU"),AND(E249=1,G249=1,L249=1,L253=1,M249=1)),T249,0),I249)</f>
        <v>0</v>
      </c>
      <c r="W249" s="26"/>
      <c r="X249" s="26"/>
      <c r="Y249" s="26"/>
      <c r="Z249" s="26"/>
      <c r="AA249" s="26"/>
      <c r="AB249" s="33"/>
    </row>
    <row r="250" spans="1:28" x14ac:dyDescent="0.3">
      <c r="A250" s="32">
        <f>VLOOKUP(YEAR(C250),Flags!$A$13:$B$95,2,FALSE)</f>
        <v>3</v>
      </c>
      <c r="B250" s="24">
        <f t="shared" si="328"/>
        <v>1948</v>
      </c>
      <c r="C250" s="25">
        <v>17714</v>
      </c>
      <c r="D250" s="26">
        <f>VLOOKUP($C250,COS!$B$8:$H$991,3,FALSE)</f>
        <v>8322.865234375</v>
      </c>
      <c r="E250" s="24">
        <f>IF(D250&gt;=IF(MONTH($C250)=4,$C$3,IF(MONTH($C250)=5,$C$4,IF(MONTH($C250)=6,$C$5,IF(MONTH($C250)=7,$C$6,"ERROR")))),1,0)</f>
        <v>0</v>
      </c>
      <c r="F250" s="26">
        <f>VLOOKUP($C250,COS!$B$8:$H$991,7,FALSE)</f>
        <v>51.372959136962891</v>
      </c>
      <c r="G250" s="24">
        <f>IF(F250&lt;=IF(MONTH($C250)=4,$F$3,IF(MONTH($C250)=5,$F$4,IF(MONTH($C250)=6,$F$5,IF(MONTH($C250)=7,$F$6,"ERROR")))),1,0)</f>
        <v>1</v>
      </c>
      <c r="H250" s="26">
        <f>IF(J250=1,D250-$C$5,0)</f>
        <v>0</v>
      </c>
      <c r="I250" s="26">
        <f t="shared" si="342"/>
        <v>0</v>
      </c>
      <c r="J250" s="24">
        <f t="shared" si="391"/>
        <v>0</v>
      </c>
      <c r="K250" s="26">
        <f>VLOOKUP($C250,COS!$B$8:$H$991,2,FALSE)</f>
        <v>4500</v>
      </c>
      <c r="L250" s="24">
        <f t="shared" si="333"/>
        <v>1</v>
      </c>
      <c r="M250" s="24">
        <f t="shared" si="334"/>
        <v>0</v>
      </c>
      <c r="N250" s="26">
        <f>VLOOKUP($C250,COS!$B$8:$H$991,5,FALSE)</f>
        <v>739.47967529296875</v>
      </c>
      <c r="O250" s="26">
        <f t="shared" si="394"/>
        <v>44.002096381069215</v>
      </c>
      <c r="P250" s="26">
        <f>VLOOKUP($C250,COS!$B$8:$H$991,6,FALSE)</f>
        <v>2358.41552734375</v>
      </c>
      <c r="Q250" s="26">
        <f t="shared" si="395"/>
        <v>140.33546939566114</v>
      </c>
      <c r="R250" s="26">
        <f>MIN(IF(MONTH($C250)=4,$S$3,IF(MONTH($C250)=5,$S$4,IF(MONTH($C250)=6,$S$5,IF(MONTH($C250)=7,$S$6,"ERROR")))),MAX(VLOOKUP($C250,COS!$B$8:$K$991,10,FALSE)-IF(MONTH($C250)=4,$Y$3,IF(MONTH($C250)=5,$Y$4,IF(MONTH($C250)=6,$Y$5,IF(MONTH($C250)=7,$Y$6,"ERROR")))),0),MAX(VLOOKUP($C250,COS!$B$8:$K$991,9,FALSE)-IF(MONTH($C250)=4,$V$3,IF(MONTH($C250)=5,$V$4,IF(MONTH($C250)=6,$V$5,IF(MONTH($C250)=7,$V$6,"ERROR"))))-VLOOKUP($C250,COS!$B$8:$K$991,6,FALSE)/2,0))</f>
        <v>1500</v>
      </c>
      <c r="S250" s="26">
        <f t="shared" si="396"/>
        <v>89.256198347107429</v>
      </c>
      <c r="T250" s="26">
        <f t="shared" si="397"/>
        <v>181.42498123547261</v>
      </c>
      <c r="U250" s="26" t="str">
        <f>IF(VLOOKUP($C250,COS!$B$8:$I$991,8,FALSE)=1,"UWFE","IBU")</f>
        <v>UWFE</v>
      </c>
      <c r="V250" s="26">
        <f t="shared" ref="V250" si="400">MIN(IF(IF($AA$3=2,AND(E250=1,G250=1,L250=1,L253=1,M250=1,U250="IBU"),AND(E250=1,G250=1,L250=1,L253=1,M250=1)),T250,0),I250)</f>
        <v>0</v>
      </c>
      <c r="W250" s="26"/>
      <c r="X250" s="26"/>
      <c r="Y250" s="26"/>
      <c r="Z250" s="26"/>
      <c r="AA250" s="26"/>
      <c r="AB250" s="33"/>
    </row>
    <row r="251" spans="1:28" x14ac:dyDescent="0.3">
      <c r="A251" s="32">
        <f>VLOOKUP(YEAR(C251),Flags!$A$13:$B$95,2,FALSE)</f>
        <v>3</v>
      </c>
      <c r="B251" s="24">
        <f t="shared" si="328"/>
        <v>1948</v>
      </c>
      <c r="C251" s="25">
        <v>17745</v>
      </c>
      <c r="D251" s="26">
        <f>VLOOKUP($C251,COS!$B$8:$H$991,3,FALSE)</f>
        <v>12203.6953125</v>
      </c>
      <c r="E251" s="24">
        <f>IF(D251&gt;=IF(MONTH($C251)=4,$C$3,IF(MONTH($C251)=5,$C$4,IF(MONTH($C251)=6,$C$5,IF(MONTH($C251)=7,$C$6,"ERROR")))),1,0)</f>
        <v>1</v>
      </c>
      <c r="F251" s="26">
        <f>VLOOKUP($C251,COS!$B$8:$H$991,7,FALSE)</f>
        <v>51.679328918457031</v>
      </c>
      <c r="G251" s="24">
        <f>IF(F251&lt;=IF(MONTH($C251)=4,$F$3,IF(MONTH($C251)=5,$F$4,IF(MONTH($C251)=6,$F$5,IF(MONTH($C251)=7,$F$6,"ERROR")))),1,0)</f>
        <v>1</v>
      </c>
      <c r="H251" s="26">
        <f>IF(J251=1,D251-$C$6,0)</f>
        <v>203.6953125</v>
      </c>
      <c r="I251" s="26">
        <f t="shared" si="342"/>
        <v>12.524736570247935</v>
      </c>
      <c r="J251" s="24">
        <f t="shared" si="391"/>
        <v>1</v>
      </c>
      <c r="K251" s="26">
        <f>VLOOKUP($C251,COS!$B$8:$H$991,2,FALSE)</f>
        <v>3932.43017578125</v>
      </c>
      <c r="L251" s="24">
        <f t="shared" si="333"/>
        <v>1</v>
      </c>
      <c r="M251" s="24">
        <f t="shared" si="334"/>
        <v>0</v>
      </c>
      <c r="N251" s="26">
        <f>VLOOKUP($C251,COS!$B$8:$H$991,5,FALSE)</f>
        <v>1057.1549072265625</v>
      </c>
      <c r="O251" s="26">
        <f t="shared" si="394"/>
        <v>65.001921568310948</v>
      </c>
      <c r="P251" s="26">
        <f>VLOOKUP($C251,COS!$B$8:$H$991,6,FALSE)</f>
        <v>2632.5888671875</v>
      </c>
      <c r="Q251" s="26">
        <f t="shared" si="395"/>
        <v>161.87157993285126</v>
      </c>
      <c r="R251" s="26">
        <f>MIN(IF(MONTH($C251)=4,$S$3,IF(MONTH($C251)=5,$S$4,IF(MONTH($C251)=6,$S$5,IF(MONTH($C251)=7,$S$6,"ERROR")))),MAX(VLOOKUP($C251,COS!$B$8:$K$991,10,FALSE)-IF(MONTH($C251)=4,$Y$3,IF(MONTH($C251)=5,$Y$4,IF(MONTH($C251)=6,$Y$5,IF(MONTH($C251)=7,$Y$6,"ERROR")))),0),MAX(VLOOKUP($C251,COS!$B$8:$K$991,9,FALSE)-IF(MONTH($C251)=4,$V$3,IF(MONTH($C251)=5,$V$4,IF(MONTH($C251)=6,$V$5,IF(MONTH($C251)=7,$V$6,"ERROR"))))-VLOOKUP($C251,COS!$B$8:$K$991,6,FALSE)/2,0))</f>
        <v>1500</v>
      </c>
      <c r="S251" s="26">
        <f t="shared" si="396"/>
        <v>92.231404958677686</v>
      </c>
      <c r="T251" s="26">
        <f t="shared" si="397"/>
        <v>205.66815570925877</v>
      </c>
      <c r="U251" s="26" t="str">
        <f>IF(VLOOKUP($C251,COS!$B$8:$I$991,8,FALSE)=1,"UWFE","IBU")</f>
        <v>IBU</v>
      </c>
      <c r="V251" s="26">
        <f t="shared" ref="V251" si="401">MIN(IF(IF($AA$3=2,AND(E251=1,G251=1,L251=1,L253=1,M251=1,U251="IBU"),AND(E251=1,G251=1,L251=1,L253=1,M251=1)),T251,0),I251)</f>
        <v>0</v>
      </c>
      <c r="W251" s="26"/>
      <c r="X251" s="26"/>
      <c r="Y251" s="26"/>
      <c r="Z251" s="26"/>
      <c r="AA251" s="26"/>
      <c r="AB251" s="33"/>
    </row>
    <row r="252" spans="1:28" x14ac:dyDescent="0.3">
      <c r="A252" s="32">
        <f>VLOOKUP(YEAR(C252),Flags!$A$13:$B$95,2,FALSE)</f>
        <v>3</v>
      </c>
      <c r="B252" s="24">
        <f t="shared" si="328"/>
        <v>1948</v>
      </c>
      <c r="C252" s="25">
        <v>17776</v>
      </c>
      <c r="D252" s="26"/>
      <c r="E252" s="24"/>
      <c r="F252" s="26"/>
      <c r="G252" s="24"/>
      <c r="H252" s="24"/>
      <c r="I252" s="26"/>
      <c r="J252" s="24"/>
      <c r="K252" s="26"/>
      <c r="L252" s="24"/>
      <c r="M252" s="24"/>
      <c r="N252" s="26"/>
      <c r="O252" s="26"/>
      <c r="P252" s="26"/>
      <c r="Q252" s="26"/>
      <c r="R252" s="26"/>
      <c r="S252" s="26"/>
      <c r="T252" s="26"/>
      <c r="U252" s="26"/>
      <c r="V252" s="26"/>
      <c r="W252" s="26">
        <f>MAX($C$7-VLOOKUP($C252,COS!$B$8:$H$991,3,FALSE),0)</f>
        <v>90274.7529296875</v>
      </c>
      <c r="X252" s="26">
        <f t="shared" si="347"/>
        <v>5550.7781966683888</v>
      </c>
      <c r="Y252" s="26">
        <f>VLOOKUP($C252,COS!$B$8:$H$991,4,FALSE)</f>
        <v>181.02853393554688</v>
      </c>
      <c r="Z252" s="26">
        <f t="shared" si="348"/>
        <v>11.131010681656766</v>
      </c>
      <c r="AA252" s="26">
        <f t="shared" ref="AA252:AA256" si="402">MIN(W252,Y252)</f>
        <v>181.02853393554688</v>
      </c>
      <c r="AB252" s="33">
        <f t="shared" ref="AB252" si="403">AA252*DAY($C252)*86400/43560/1000*IF(MONTH($C252)=8,$P$3,IF(MONTH($C252)=9,$P$4,IF(MONTH($C252)=10,$P$5,IF(MONTH($C252)=11,$P$6,IF(MONTH($C252)=12,$P$7,NA())))))</f>
        <v>11.131010681656766</v>
      </c>
    </row>
    <row r="253" spans="1:28" x14ac:dyDescent="0.3">
      <c r="A253" s="32">
        <f>VLOOKUP(YEAR(C253),Flags!$A$13:$B$95,2,FALSE)</f>
        <v>3</v>
      </c>
      <c r="B253" s="24">
        <f t="shared" si="328"/>
        <v>1948</v>
      </c>
      <c r="C253" s="25">
        <v>17806</v>
      </c>
      <c r="D253" s="26"/>
      <c r="E253" s="24"/>
      <c r="F253" s="26"/>
      <c r="G253" s="24"/>
      <c r="H253" s="24"/>
      <c r="I253" s="26"/>
      <c r="J253" s="24"/>
      <c r="K253" s="26">
        <f>VLOOKUP($C253,COS!$B$8:$H$991,2,FALSE)</f>
        <v>3400</v>
      </c>
      <c r="L253" s="24">
        <f t="shared" ref="L253" si="404">IF(AND(K253&gt;$I$7,K253&lt;$I$8),1,0)</f>
        <v>1</v>
      </c>
      <c r="M253" s="24"/>
      <c r="N253" s="26"/>
      <c r="O253" s="26"/>
      <c r="P253" s="26"/>
      <c r="Q253" s="26"/>
      <c r="R253" s="26"/>
      <c r="S253" s="26"/>
      <c r="T253" s="26"/>
      <c r="U253" s="26"/>
      <c r="V253" s="26"/>
      <c r="W253" s="26">
        <f>MAX($C$8-VLOOKUP($C253,COS!$B$8:$H$991,3,FALSE),0)</f>
        <v>94375.82568359375</v>
      </c>
      <c r="X253" s="26">
        <f t="shared" si="347"/>
        <v>5615.7516109245862</v>
      </c>
      <c r="Y253" s="26">
        <f>VLOOKUP($C253,COS!$B$8:$H$991,4,FALSE)</f>
        <v>0</v>
      </c>
      <c r="Z253" s="26">
        <f t="shared" si="348"/>
        <v>0</v>
      </c>
      <c r="AA253" s="26">
        <f t="shared" si="402"/>
        <v>0</v>
      </c>
      <c r="AB253" s="33">
        <f t="shared" si="345"/>
        <v>0</v>
      </c>
    </row>
    <row r="254" spans="1:28" x14ac:dyDescent="0.3">
      <c r="A254" s="32">
        <f>VLOOKUP(YEAR(C254),Flags!$A$13:$B$95,2,FALSE)</f>
        <v>3</v>
      </c>
      <c r="B254" s="24">
        <f t="shared" si="328"/>
        <v>1948</v>
      </c>
      <c r="C254" s="25">
        <v>17837</v>
      </c>
      <c r="D254" s="26"/>
      <c r="E254" s="24"/>
      <c r="F254" s="26"/>
      <c r="G254" s="26"/>
      <c r="H254" s="26"/>
      <c r="I254" s="26"/>
      <c r="J254" s="26"/>
      <c r="K254" s="26"/>
      <c r="L254" s="24"/>
      <c r="M254" s="24"/>
      <c r="N254" s="26"/>
      <c r="O254" s="26"/>
      <c r="P254" s="26"/>
      <c r="Q254" s="26"/>
      <c r="R254" s="26"/>
      <c r="S254" s="26"/>
      <c r="T254" s="26"/>
      <c r="U254" s="26"/>
      <c r="V254" s="26"/>
      <c r="W254" s="26">
        <f>MAX($C$9-VLOOKUP($C254,COS!$B$8:$H$991,3,FALSE),0)</f>
        <v>93532.60888671875</v>
      </c>
      <c r="X254" s="26">
        <f t="shared" si="347"/>
        <v>5751.0959513817152</v>
      </c>
      <c r="Y254" s="26">
        <f>VLOOKUP($C254,COS!$B$8:$H$991,4,FALSE)</f>
        <v>756.62615966796875</v>
      </c>
      <c r="Z254" s="26">
        <f t="shared" si="348"/>
        <v>46.523129156443694</v>
      </c>
      <c r="AA254" s="26">
        <f t="shared" si="402"/>
        <v>756.62615966796875</v>
      </c>
      <c r="AB254" s="33">
        <f t="shared" si="345"/>
        <v>46.523129156443694</v>
      </c>
    </row>
    <row r="255" spans="1:28" x14ac:dyDescent="0.3">
      <c r="A255" s="32">
        <f>VLOOKUP(YEAR(C255),Flags!$A$13:$B$95,2,FALSE)</f>
        <v>3</v>
      </c>
      <c r="B255" s="24">
        <f t="shared" si="328"/>
        <v>1948</v>
      </c>
      <c r="C255" s="25">
        <v>17867</v>
      </c>
      <c r="D255" s="26"/>
      <c r="E255" s="24"/>
      <c r="F255" s="26"/>
      <c r="G255" s="26"/>
      <c r="H255" s="26"/>
      <c r="I255" s="26"/>
      <c r="J255" s="26"/>
      <c r="K255" s="26"/>
      <c r="L255" s="24"/>
      <c r="M255" s="24"/>
      <c r="N255" s="26"/>
      <c r="O255" s="26"/>
      <c r="P255" s="26"/>
      <c r="Q255" s="26"/>
      <c r="R255" s="26"/>
      <c r="S255" s="26"/>
      <c r="T255" s="26"/>
      <c r="U255" s="26"/>
      <c r="V255" s="26"/>
      <c r="W255" s="26">
        <f>MAX($C$10-VLOOKUP($C255,COS!$B$8:$H$991,3,FALSE),0)</f>
        <v>95683.03125</v>
      </c>
      <c r="X255" s="26">
        <f t="shared" si="347"/>
        <v>5693.5357438016526</v>
      </c>
      <c r="Y255" s="26">
        <f>VLOOKUP($C255,COS!$B$8:$H$991,4,FALSE)</f>
        <v>1042.5562744140625</v>
      </c>
      <c r="Z255" s="26">
        <f t="shared" si="348"/>
        <v>62.036406411415285</v>
      </c>
      <c r="AA255" s="26">
        <f t="shared" si="402"/>
        <v>1042.5562744140625</v>
      </c>
      <c r="AB255" s="33">
        <f t="shared" si="345"/>
        <v>31.018203205707643</v>
      </c>
    </row>
    <row r="256" spans="1:28" x14ac:dyDescent="0.3">
      <c r="A256" s="34">
        <f>VLOOKUP(YEAR(C256),Flags!$A$13:$B$95,2,FALSE)</f>
        <v>3</v>
      </c>
      <c r="B256" s="35">
        <f t="shared" si="328"/>
        <v>1948</v>
      </c>
      <c r="C256" s="36">
        <v>17898</v>
      </c>
      <c r="D256" s="37"/>
      <c r="E256" s="35"/>
      <c r="F256" s="37"/>
      <c r="G256" s="37"/>
      <c r="H256" s="37"/>
      <c r="I256" s="37"/>
      <c r="J256" s="37"/>
      <c r="K256" s="37"/>
      <c r="L256" s="35"/>
      <c r="M256" s="35"/>
      <c r="N256" s="37"/>
      <c r="O256" s="37"/>
      <c r="P256" s="37"/>
      <c r="Q256" s="37"/>
      <c r="R256" s="37"/>
      <c r="S256" s="37"/>
      <c r="T256" s="37"/>
      <c r="U256" s="37"/>
      <c r="V256" s="37"/>
      <c r="W256" s="37">
        <f>MAX($C$11-VLOOKUP($C256,COS!$B$8:$H$991,3,FALSE),0)</f>
        <v>0</v>
      </c>
      <c r="X256" s="37">
        <f t="shared" si="347"/>
        <v>0</v>
      </c>
      <c r="Y256" s="37">
        <f>VLOOKUP($C256,COS!$B$8:$H$991,4,FALSE)</f>
        <v>1411.7911376953125</v>
      </c>
      <c r="Z256" s="37">
        <f t="shared" si="348"/>
        <v>86.807653425232431</v>
      </c>
      <c r="AA256" s="37">
        <f t="shared" si="402"/>
        <v>0</v>
      </c>
      <c r="AB256" s="38">
        <f t="shared" si="345"/>
        <v>0</v>
      </c>
    </row>
    <row r="257" spans="1:28" x14ac:dyDescent="0.3">
      <c r="A257" s="27">
        <f>VLOOKUP(YEAR(C257),Flags!$A$13:$B$95,2,FALSE)</f>
        <v>4</v>
      </c>
      <c r="B257" s="28">
        <f t="shared" si="328"/>
        <v>1949</v>
      </c>
      <c r="C257" s="29">
        <v>18018</v>
      </c>
      <c r="D257" s="30">
        <f>VLOOKUP($C257,COS!$B$8:$H$991,3,FALSE)</f>
        <v>3250</v>
      </c>
      <c r="E257" s="28">
        <f>IF(D257&gt;=IF(MONTH($C257)=4,$C$3,IF(MONTH($C257)=5,$C$4,IF(MONTH($C257)=6,$C$5,IF(MONTH($C257)=7,$C$6,"ERROR")))),1,0)</f>
        <v>0</v>
      </c>
      <c r="F257" s="30">
        <f>VLOOKUP($C257,COS!$B$8:$H$991,7,FALSE)</f>
        <v>51.698932647705078</v>
      </c>
      <c r="G257" s="28">
        <f>IF(F257&lt;=IF(MONTH($C257)=4,$F$3,IF(MONTH($C257)=5,$F$4,IF(MONTH($C257)=6,$F$5,IF(MONTH($C257)=7,$F$6,"ERROR")))),1,0)</f>
        <v>1</v>
      </c>
      <c r="H257" s="30">
        <f>IF(J257=1,D257-$C$3,0)</f>
        <v>0</v>
      </c>
      <c r="I257" s="30">
        <f t="shared" si="342"/>
        <v>0</v>
      </c>
      <c r="J257" s="28">
        <f t="shared" ref="J257:J260" si="405">IF(AND(E257=1,G257=1),1,0)</f>
        <v>0</v>
      </c>
      <c r="K257" s="30">
        <f>VLOOKUP($C257,COS!$B$8:$H$991,2,FALSE)</f>
        <v>4435.89990234375</v>
      </c>
      <c r="L257" s="28">
        <f t="shared" ref="L257" si="406">IF(K257&lt;=IF(MONTH($C257)=4,$I$3,IF(MONTH($C257)=5,$I$4,IF(MONTH($C257)=6,$I$5,IF(MONTH($C257)=7,$I$6,"ERROR")))),1,0)</f>
        <v>1</v>
      </c>
      <c r="M257" s="28">
        <f t="shared" ref="M257" si="407">VLOOKUP($A257,$L$3:$M$7,2,FALSE)</f>
        <v>1</v>
      </c>
      <c r="N257" s="30">
        <f>VLOOKUP($C257,COS!$B$8:$H$991,5,FALSE)</f>
        <v>261.805908203125</v>
      </c>
      <c r="O257" s="30">
        <f t="shared" ref="O257:O260" si="408">N257*DAY($C257)*86400/43560/1000</f>
        <v>15.578533380681819</v>
      </c>
      <c r="P257" s="30">
        <f>VLOOKUP($C257,COS!$B$8:$H$991,6,FALSE)</f>
        <v>454.90377807617188</v>
      </c>
      <c r="Q257" s="30">
        <f t="shared" ref="Q257:Q260" si="409">P257*DAY($C257)*86400/43560/1000</f>
        <v>27.068654563210227</v>
      </c>
      <c r="R257" s="30">
        <f>MIN(IF(MONTH($C257)=4,$S$3,IF(MONTH($C257)=5,$S$4,IF(MONTH($C257)=6,$S$5,IF(MONTH($C257)=7,$S$6,"ERROR")))),MAX(VLOOKUP($C257,COS!$B$8:$K$991,10,FALSE)-IF(MONTH($C257)=4,$Y$3,IF(MONTH($C257)=5,$Y$4,IF(MONTH($C257)=6,$Y$5,IF(MONTH($C257)=7,$Y$6,"ERROR")))),0),MAX(VLOOKUP($C257,COS!$B$8:$K$991,9,FALSE)-IF(MONTH($C257)=4,$V$3,IF(MONTH($C257)=5,$V$4,IF(MONTH($C257)=6,$V$5,IF(MONTH($C257)=7,$V$6,"ERROR"))))-VLOOKUP($C257,COS!$B$8:$K$991,6,FALSE)/2,0))</f>
        <v>1500</v>
      </c>
      <c r="S257" s="30">
        <f t="shared" ref="S257:S260" si="410">R257*DAY($C257)*86400/43560/1000</f>
        <v>89.256198347107429</v>
      </c>
      <c r="T257" s="30">
        <f t="shared" ref="T257:T260" si="411">(O257+Q257)/2+S257</f>
        <v>110.57979231905345</v>
      </c>
      <c r="U257" s="30" t="str">
        <f>IF(VLOOKUP($C257,COS!$B$8:$I$991,8,FALSE)=1,"UWFE","IBU")</f>
        <v>UWFE</v>
      </c>
      <c r="V257" s="30">
        <f t="shared" ref="V257" si="412">MIN(IF(IF($AA$3=2,AND(E257=1,G257=1,L257=1,L262=1,M257=1,U257="IBU"),AND(E257=1,G257=1,L257=1,L262=1,M257=1)),T257,0),I257)</f>
        <v>0</v>
      </c>
      <c r="W257" s="30"/>
      <c r="X257" s="30"/>
      <c r="Y257" s="30"/>
      <c r="Z257" s="30"/>
      <c r="AA257" s="30"/>
      <c r="AB257" s="31"/>
    </row>
    <row r="258" spans="1:28" x14ac:dyDescent="0.3">
      <c r="A258" s="32">
        <f>VLOOKUP(YEAR(C258),Flags!$A$13:$B$95,2,FALSE)</f>
        <v>4</v>
      </c>
      <c r="B258" s="24">
        <f t="shared" si="328"/>
        <v>1949</v>
      </c>
      <c r="C258" s="25">
        <v>18049</v>
      </c>
      <c r="D258" s="26">
        <f>VLOOKUP($C258,COS!$B$8:$H$991,3,FALSE)</f>
        <v>6600.49267578125</v>
      </c>
      <c r="E258" s="24">
        <f>IF(D258&gt;=IF(MONTH($C258)=4,$C$3,IF(MONTH($C258)=5,$C$4,IF(MONTH($C258)=6,$C$5,IF(MONTH($C258)=7,$C$6,"ERROR")))),1,0)</f>
        <v>1</v>
      </c>
      <c r="F258" s="26">
        <f>VLOOKUP($C258,COS!$B$8:$H$991,7,FALSE)</f>
        <v>50.530754089355469</v>
      </c>
      <c r="G258" s="24">
        <f>IF(F258&lt;=IF(MONTH($C258)=4,$F$3,IF(MONTH($C258)=5,$F$4,IF(MONTH($C258)=6,$F$5,IF(MONTH($C258)=7,$F$6,"ERROR")))),1,0)</f>
        <v>1</v>
      </c>
      <c r="H258" s="26">
        <f>IF(J258=1,D258-$C$4,0)</f>
        <v>600.49267578125</v>
      </c>
      <c r="I258" s="26">
        <f t="shared" si="342"/>
        <v>36.922855436466939</v>
      </c>
      <c r="J258" s="24">
        <f t="shared" si="405"/>
        <v>1</v>
      </c>
      <c r="K258" s="26">
        <f>VLOOKUP($C258,COS!$B$8:$H$991,2,FALSE)</f>
        <v>4429.88037109375</v>
      </c>
      <c r="L258" s="24">
        <f t="shared" si="333"/>
        <v>1</v>
      </c>
      <c r="M258" s="24">
        <f t="shared" si="334"/>
        <v>1</v>
      </c>
      <c r="N258" s="26">
        <f>VLOOKUP($C258,COS!$B$8:$H$991,5,FALSE)</f>
        <v>565.04315185546875</v>
      </c>
      <c r="O258" s="26">
        <f t="shared" si="408"/>
        <v>34.743149171939564</v>
      </c>
      <c r="P258" s="26">
        <f>VLOOKUP($C258,COS!$B$8:$H$991,6,FALSE)</f>
        <v>2066.162353515625</v>
      </c>
      <c r="Q258" s="26">
        <f t="shared" si="409"/>
        <v>127.04337115831612</v>
      </c>
      <c r="R258" s="26">
        <f>MIN(IF(MONTH($C258)=4,$S$3,IF(MONTH($C258)=5,$S$4,IF(MONTH($C258)=6,$S$5,IF(MONTH($C258)=7,$S$6,"ERROR")))),MAX(VLOOKUP($C258,COS!$B$8:$K$991,10,FALSE)-IF(MONTH($C258)=4,$Y$3,IF(MONTH($C258)=5,$Y$4,IF(MONTH($C258)=6,$Y$5,IF(MONTH($C258)=7,$Y$6,"ERROR")))),0),MAX(VLOOKUP($C258,COS!$B$8:$K$991,9,FALSE)-IF(MONTH($C258)=4,$V$3,IF(MONTH($C258)=5,$V$4,IF(MONTH($C258)=6,$V$5,IF(MONTH($C258)=7,$V$6,"ERROR"))))-VLOOKUP($C258,COS!$B$8:$K$991,6,FALSE)/2,0))</f>
        <v>1500</v>
      </c>
      <c r="S258" s="26">
        <f t="shared" si="410"/>
        <v>92.231404958677686</v>
      </c>
      <c r="T258" s="26">
        <f t="shared" si="411"/>
        <v>173.12466512380553</v>
      </c>
      <c r="U258" s="26" t="str">
        <f>IF(VLOOKUP($C258,COS!$B$8:$I$991,8,FALSE)=1,"UWFE","IBU")</f>
        <v>UWFE</v>
      </c>
      <c r="V258" s="26">
        <f t="shared" ref="V258" si="413">MIN(IF(IF($AA$3=2,AND(E258=1,G258=1,L258=1,L262=1,M258=1,U258="IBU"),AND(E258=1,G258=1,L258=1,L262=1,M258=1)),T258,0),I258)</f>
        <v>0</v>
      </c>
      <c r="W258" s="26"/>
      <c r="X258" s="26"/>
      <c r="Y258" s="26"/>
      <c r="Z258" s="26"/>
      <c r="AA258" s="26"/>
      <c r="AB258" s="33"/>
    </row>
    <row r="259" spans="1:28" x14ac:dyDescent="0.3">
      <c r="A259" s="32">
        <f>VLOOKUP(YEAR(C259),Flags!$A$13:$B$95,2,FALSE)</f>
        <v>4</v>
      </c>
      <c r="B259" s="24">
        <f t="shared" si="328"/>
        <v>1949</v>
      </c>
      <c r="C259" s="25">
        <v>18079</v>
      </c>
      <c r="D259" s="26">
        <f>VLOOKUP($C259,COS!$B$8:$H$991,3,FALSE)</f>
        <v>9891.2216796875</v>
      </c>
      <c r="E259" s="24">
        <f>IF(D259&gt;=IF(MONTH($C259)=4,$C$3,IF(MONTH($C259)=5,$C$4,IF(MONTH($C259)=6,$C$5,IF(MONTH($C259)=7,$C$6,"ERROR")))),1,0)</f>
        <v>0</v>
      </c>
      <c r="F259" s="26">
        <f>VLOOKUP($C259,COS!$B$8:$H$991,7,FALSE)</f>
        <v>51.359127044677734</v>
      </c>
      <c r="G259" s="24">
        <f>IF(F259&lt;=IF(MONTH($C259)=4,$F$3,IF(MONTH($C259)=5,$F$4,IF(MONTH($C259)=6,$F$5,IF(MONTH($C259)=7,$F$6,"ERROR")))),1,0)</f>
        <v>1</v>
      </c>
      <c r="H259" s="26">
        <f>IF(J259=1,D259-$C$5,0)</f>
        <v>0</v>
      </c>
      <c r="I259" s="26">
        <f t="shared" si="342"/>
        <v>0</v>
      </c>
      <c r="J259" s="24">
        <f t="shared" si="405"/>
        <v>0</v>
      </c>
      <c r="K259" s="26">
        <f>VLOOKUP($C259,COS!$B$8:$H$991,2,FALSE)</f>
        <v>4039.34130859375</v>
      </c>
      <c r="L259" s="24">
        <f t="shared" si="333"/>
        <v>1</v>
      </c>
      <c r="M259" s="24">
        <f t="shared" si="334"/>
        <v>1</v>
      </c>
      <c r="N259" s="26">
        <f>VLOOKUP($C259,COS!$B$8:$H$991,5,FALSE)</f>
        <v>696.944580078125</v>
      </c>
      <c r="O259" s="26">
        <f t="shared" si="408"/>
        <v>41.47108245092975</v>
      </c>
      <c r="P259" s="26">
        <f>VLOOKUP($C259,COS!$B$8:$H$991,6,FALSE)</f>
        <v>2712.6806640625</v>
      </c>
      <c r="Q259" s="26">
        <f t="shared" si="409"/>
        <v>161.41570893595042</v>
      </c>
      <c r="R259" s="26">
        <f>MIN(IF(MONTH($C259)=4,$S$3,IF(MONTH($C259)=5,$S$4,IF(MONTH($C259)=6,$S$5,IF(MONTH($C259)=7,$S$6,"ERROR")))),MAX(VLOOKUP($C259,COS!$B$8:$K$991,10,FALSE)-IF(MONTH($C259)=4,$Y$3,IF(MONTH($C259)=5,$Y$4,IF(MONTH($C259)=6,$Y$5,IF(MONTH($C259)=7,$Y$6,"ERROR")))),0),MAX(VLOOKUP($C259,COS!$B$8:$K$991,9,FALSE)-IF(MONTH($C259)=4,$V$3,IF(MONTH($C259)=5,$V$4,IF(MONTH($C259)=6,$V$5,IF(MONTH($C259)=7,$V$6,"ERROR"))))-VLOOKUP($C259,COS!$B$8:$K$991,6,FALSE)/2,0))</f>
        <v>1500</v>
      </c>
      <c r="S259" s="26">
        <f t="shared" si="410"/>
        <v>89.256198347107429</v>
      </c>
      <c r="T259" s="26">
        <f t="shared" si="411"/>
        <v>190.69959404054751</v>
      </c>
      <c r="U259" s="26" t="str">
        <f>IF(VLOOKUP($C259,COS!$B$8:$I$991,8,FALSE)=1,"UWFE","IBU")</f>
        <v>IBU</v>
      </c>
      <c r="V259" s="26">
        <f t="shared" ref="V259" si="414">MIN(IF(IF($AA$3=2,AND(E259=1,G259=1,L259=1,L262=1,M259=1,U259="IBU"),AND(E259=1,G259=1,L259=1,L262=1,M259=1)),T259,0),I259)</f>
        <v>0</v>
      </c>
      <c r="W259" s="26"/>
      <c r="X259" s="26"/>
      <c r="Y259" s="26"/>
      <c r="Z259" s="26"/>
      <c r="AA259" s="26"/>
      <c r="AB259" s="33"/>
    </row>
    <row r="260" spans="1:28" x14ac:dyDescent="0.3">
      <c r="A260" s="32">
        <f>VLOOKUP(YEAR(C260),Flags!$A$13:$B$95,2,FALSE)</f>
        <v>4</v>
      </c>
      <c r="B260" s="24">
        <f t="shared" si="328"/>
        <v>1949</v>
      </c>
      <c r="C260" s="25">
        <v>18110</v>
      </c>
      <c r="D260" s="26">
        <f>VLOOKUP($C260,COS!$B$8:$H$991,3,FALSE)</f>
        <v>14543.4052734375</v>
      </c>
      <c r="E260" s="24">
        <f>IF(D260&gt;=IF(MONTH($C260)=4,$C$3,IF(MONTH($C260)=5,$C$4,IF(MONTH($C260)=6,$C$5,IF(MONTH($C260)=7,$C$6,"ERROR")))),1,0)</f>
        <v>1</v>
      </c>
      <c r="F260" s="26">
        <f>VLOOKUP($C260,COS!$B$8:$H$991,7,FALSE)</f>
        <v>50.889629364013672</v>
      </c>
      <c r="G260" s="24">
        <f>IF(F260&lt;=IF(MONTH($C260)=4,$F$3,IF(MONTH($C260)=5,$F$4,IF(MONTH($C260)=6,$F$5,IF(MONTH($C260)=7,$F$6,"ERROR")))),1,0)</f>
        <v>1</v>
      </c>
      <c r="H260" s="26">
        <f>IF(J260=1,D260-$C$6,0)</f>
        <v>2543.4052734375</v>
      </c>
      <c r="I260" s="26">
        <f t="shared" si="342"/>
        <v>156.38789449896694</v>
      </c>
      <c r="J260" s="24">
        <f t="shared" si="405"/>
        <v>1</v>
      </c>
      <c r="K260" s="26">
        <f>VLOOKUP($C260,COS!$B$8:$H$991,2,FALSE)</f>
        <v>3385.65673828125</v>
      </c>
      <c r="L260" s="24">
        <f t="shared" si="333"/>
        <v>1</v>
      </c>
      <c r="M260" s="24">
        <f t="shared" si="334"/>
        <v>1</v>
      </c>
      <c r="N260" s="26">
        <f>VLOOKUP($C260,COS!$B$8:$H$991,5,FALSE)</f>
        <v>761.88348388671875</v>
      </c>
      <c r="O260" s="26">
        <f t="shared" si="408"/>
        <v>46.846389422456092</v>
      </c>
      <c r="P260" s="26">
        <f>VLOOKUP($C260,COS!$B$8:$H$991,6,FALSE)</f>
        <v>2538.07568359375</v>
      </c>
      <c r="Q260" s="26">
        <f t="shared" si="409"/>
        <v>156.06019079287191</v>
      </c>
      <c r="R260" s="26">
        <f>MIN(IF(MONTH($C260)=4,$S$3,IF(MONTH($C260)=5,$S$4,IF(MONTH($C260)=6,$S$5,IF(MONTH($C260)=7,$S$6,"ERROR")))),MAX(VLOOKUP($C260,COS!$B$8:$K$991,10,FALSE)-IF(MONTH($C260)=4,$Y$3,IF(MONTH($C260)=5,$Y$4,IF(MONTH($C260)=6,$Y$5,IF(MONTH($C260)=7,$Y$6,"ERROR")))),0),MAX(VLOOKUP($C260,COS!$B$8:$K$991,9,FALSE)-IF(MONTH($C260)=4,$V$3,IF(MONTH($C260)=5,$V$4,IF(MONTH($C260)=6,$V$5,IF(MONTH($C260)=7,$V$6,"ERROR"))))-VLOOKUP($C260,COS!$B$8:$K$991,6,FALSE)/2,0))</f>
        <v>1500</v>
      </c>
      <c r="S260" s="26">
        <f t="shared" si="410"/>
        <v>92.231404958677686</v>
      </c>
      <c r="T260" s="26">
        <f t="shared" si="411"/>
        <v>193.6846950663417</v>
      </c>
      <c r="U260" s="26" t="str">
        <f>IF(VLOOKUP($C260,COS!$B$8:$I$991,8,FALSE)=1,"UWFE","IBU")</f>
        <v>IBU</v>
      </c>
      <c r="V260" s="26">
        <f t="shared" ref="V260" si="415">MIN(IF(IF($AA$3=2,AND(E260=1,G260=1,L260=1,L262=1,M260=1,U260="IBU"),AND(E260=1,G260=1,L260=1,L262=1,M260=1)),T260,0),I260)</f>
        <v>156.38789449896694</v>
      </c>
      <c r="W260" s="26"/>
      <c r="X260" s="26"/>
      <c r="Y260" s="26"/>
      <c r="Z260" s="26"/>
      <c r="AA260" s="26"/>
      <c r="AB260" s="33"/>
    </row>
    <row r="261" spans="1:28" x14ac:dyDescent="0.3">
      <c r="A261" s="32">
        <f>VLOOKUP(YEAR(C261),Flags!$A$13:$B$95,2,FALSE)</f>
        <v>4</v>
      </c>
      <c r="B261" s="24">
        <f t="shared" si="328"/>
        <v>1949</v>
      </c>
      <c r="C261" s="25">
        <v>18141</v>
      </c>
      <c r="D261" s="26"/>
      <c r="E261" s="24"/>
      <c r="F261" s="26"/>
      <c r="G261" s="24"/>
      <c r="H261" s="24"/>
      <c r="I261" s="26"/>
      <c r="J261" s="24"/>
      <c r="K261" s="26"/>
      <c r="L261" s="24"/>
      <c r="M261" s="24"/>
      <c r="N261" s="26"/>
      <c r="O261" s="26"/>
      <c r="P261" s="26"/>
      <c r="Q261" s="26"/>
      <c r="R261" s="26"/>
      <c r="S261" s="26"/>
      <c r="T261" s="26"/>
      <c r="U261" s="26"/>
      <c r="V261" s="26"/>
      <c r="W261" s="26">
        <f>MAX($C$7-VLOOKUP($C261,COS!$B$8:$H$991,3,FALSE),0)</f>
        <v>90977.3701171875</v>
      </c>
      <c r="X261" s="26">
        <f t="shared" si="347"/>
        <v>5593.9804435692149</v>
      </c>
      <c r="Y261" s="26">
        <f>VLOOKUP($C261,COS!$B$8:$H$991,4,FALSE)</f>
        <v>2030.735107421875</v>
      </c>
      <c r="Z261" s="26">
        <f t="shared" si="348"/>
        <v>124.86503470428718</v>
      </c>
      <c r="AA261" s="26">
        <f t="shared" ref="AA261:AA265" si="416">MIN(W261,Y261)</f>
        <v>2030.735107421875</v>
      </c>
      <c r="AB261" s="33">
        <f t="shared" ref="AB261" si="417">AA261*DAY($C261)*86400/43560/1000*IF(MONTH($C261)=8,$P$3,IF(MONTH($C261)=9,$P$4,IF(MONTH($C261)=10,$P$5,IF(MONTH($C261)=11,$P$6,IF(MONTH($C261)=12,$P$7,NA())))))</f>
        <v>124.86503470428718</v>
      </c>
    </row>
    <row r="262" spans="1:28" x14ac:dyDescent="0.3">
      <c r="A262" s="32">
        <f>VLOOKUP(YEAR(C262),Flags!$A$13:$B$95,2,FALSE)</f>
        <v>4</v>
      </c>
      <c r="B262" s="24">
        <f t="shared" si="328"/>
        <v>1949</v>
      </c>
      <c r="C262" s="25">
        <v>18171</v>
      </c>
      <c r="D262" s="26"/>
      <c r="E262" s="24"/>
      <c r="F262" s="26"/>
      <c r="G262" s="24"/>
      <c r="H262" s="24"/>
      <c r="I262" s="26"/>
      <c r="J262" s="24"/>
      <c r="K262" s="26">
        <f>VLOOKUP($C262,COS!$B$8:$H$991,2,FALSE)</f>
        <v>3001.73291015625</v>
      </c>
      <c r="L262" s="24">
        <f t="shared" ref="L262" si="418">IF(AND(K262&gt;$I$7,K262&lt;$I$8),1,0)</f>
        <v>1</v>
      </c>
      <c r="M262" s="24"/>
      <c r="N262" s="26"/>
      <c r="O262" s="26"/>
      <c r="P262" s="26"/>
      <c r="Q262" s="26"/>
      <c r="R262" s="26"/>
      <c r="S262" s="26"/>
      <c r="T262" s="26"/>
      <c r="U262" s="26"/>
      <c r="V262" s="26"/>
      <c r="W262" s="26">
        <f>MAX($C$8-VLOOKUP($C262,COS!$B$8:$H$991,3,FALSE),0)</f>
        <v>94939.001953125</v>
      </c>
      <c r="X262" s="26">
        <f t="shared" si="347"/>
        <v>5649.2629261363636</v>
      </c>
      <c r="Y262" s="26">
        <f>VLOOKUP($C262,COS!$B$8:$H$991,4,FALSE)</f>
        <v>1015.7754516601563</v>
      </c>
      <c r="Z262" s="26">
        <f t="shared" si="348"/>
        <v>60.442836793001035</v>
      </c>
      <c r="AA262" s="26">
        <f t="shared" si="416"/>
        <v>1015.7754516601563</v>
      </c>
      <c r="AB262" s="33">
        <f t="shared" si="345"/>
        <v>60.442836793001035</v>
      </c>
    </row>
    <row r="263" spans="1:28" x14ac:dyDescent="0.3">
      <c r="A263" s="32">
        <f>VLOOKUP(YEAR(C263),Flags!$A$13:$B$95,2,FALSE)</f>
        <v>4</v>
      </c>
      <c r="B263" s="24">
        <f t="shared" si="328"/>
        <v>1949</v>
      </c>
      <c r="C263" s="25">
        <v>18202</v>
      </c>
      <c r="D263" s="26"/>
      <c r="E263" s="24"/>
      <c r="F263" s="26"/>
      <c r="G263" s="26"/>
      <c r="H263" s="26"/>
      <c r="I263" s="26"/>
      <c r="J263" s="26"/>
      <c r="K263" s="26"/>
      <c r="L263" s="24"/>
      <c r="M263" s="24"/>
      <c r="N263" s="26"/>
      <c r="O263" s="26"/>
      <c r="P263" s="26"/>
      <c r="Q263" s="26"/>
      <c r="R263" s="26"/>
      <c r="S263" s="26"/>
      <c r="T263" s="26"/>
      <c r="U263" s="26"/>
      <c r="V263" s="26"/>
      <c r="W263" s="26">
        <f>MAX($C$9-VLOOKUP($C263,COS!$B$8:$H$991,3,FALSE),0)</f>
        <v>93926.57080078125</v>
      </c>
      <c r="X263" s="26">
        <f t="shared" si="347"/>
        <v>5775.319725271177</v>
      </c>
      <c r="Y263" s="26">
        <f>VLOOKUP($C263,COS!$B$8:$H$991,4,FALSE)</f>
        <v>1726.75830078125</v>
      </c>
      <c r="Z263" s="26">
        <f t="shared" si="348"/>
        <v>106.17422940340909</v>
      </c>
      <c r="AA263" s="26">
        <f t="shared" si="416"/>
        <v>1726.75830078125</v>
      </c>
      <c r="AB263" s="33">
        <f t="shared" si="345"/>
        <v>106.17422940340909</v>
      </c>
    </row>
    <row r="264" spans="1:28" x14ac:dyDescent="0.3">
      <c r="A264" s="32">
        <f>VLOOKUP(YEAR(C264),Flags!$A$13:$B$95,2,FALSE)</f>
        <v>4</v>
      </c>
      <c r="B264" s="24">
        <f t="shared" si="328"/>
        <v>1949</v>
      </c>
      <c r="C264" s="25">
        <v>18232</v>
      </c>
      <c r="D264" s="26"/>
      <c r="E264" s="24"/>
      <c r="F264" s="26"/>
      <c r="G264" s="26"/>
      <c r="H264" s="26"/>
      <c r="I264" s="26"/>
      <c r="J264" s="26"/>
      <c r="K264" s="26"/>
      <c r="L264" s="24"/>
      <c r="M264" s="24"/>
      <c r="N264" s="26"/>
      <c r="O264" s="26"/>
      <c r="P264" s="26"/>
      <c r="Q264" s="26"/>
      <c r="R264" s="26"/>
      <c r="S264" s="26"/>
      <c r="T264" s="26"/>
      <c r="U264" s="26"/>
      <c r="V264" s="26"/>
      <c r="W264" s="26">
        <f>MAX($C$10-VLOOKUP($C264,COS!$B$8:$H$991,3,FALSE),0)</f>
        <v>93878.3037109375</v>
      </c>
      <c r="X264" s="26">
        <f t="shared" si="347"/>
        <v>5586.1469976756198</v>
      </c>
      <c r="Y264" s="26">
        <f>VLOOKUP($C264,COS!$B$8:$H$991,4,FALSE)</f>
        <v>814.205810546875</v>
      </c>
      <c r="Z264" s="26">
        <f t="shared" si="348"/>
        <v>48.448610214359505</v>
      </c>
      <c r="AA264" s="26">
        <f t="shared" si="416"/>
        <v>814.205810546875</v>
      </c>
      <c r="AB264" s="33">
        <f t="shared" si="345"/>
        <v>24.224305107179752</v>
      </c>
    </row>
    <row r="265" spans="1:28" x14ac:dyDescent="0.3">
      <c r="A265" s="34">
        <f>VLOOKUP(YEAR(C265),Flags!$A$13:$B$95,2,FALSE)</f>
        <v>4</v>
      </c>
      <c r="B265" s="35">
        <f t="shared" si="328"/>
        <v>1949</v>
      </c>
      <c r="C265" s="36">
        <v>18263</v>
      </c>
      <c r="D265" s="37"/>
      <c r="E265" s="35"/>
      <c r="F265" s="37"/>
      <c r="G265" s="37"/>
      <c r="H265" s="37"/>
      <c r="I265" s="37"/>
      <c r="J265" s="37"/>
      <c r="K265" s="37"/>
      <c r="L265" s="35"/>
      <c r="M265" s="35"/>
      <c r="N265" s="37"/>
      <c r="O265" s="37"/>
      <c r="P265" s="37"/>
      <c r="Q265" s="37"/>
      <c r="R265" s="37"/>
      <c r="S265" s="37"/>
      <c r="T265" s="37"/>
      <c r="U265" s="37"/>
      <c r="V265" s="37"/>
      <c r="W265" s="37">
        <f>MAX($C$11-VLOOKUP($C265,COS!$B$8:$H$991,3,FALSE),0)</f>
        <v>0</v>
      </c>
      <c r="X265" s="37">
        <f t="shared" si="347"/>
        <v>0</v>
      </c>
      <c r="Y265" s="37">
        <f>VLOOKUP($C265,COS!$B$8:$H$991,4,FALSE)</f>
        <v>1528.547607421875</v>
      </c>
      <c r="Z265" s="37">
        <f t="shared" si="348"/>
        <v>93.986728919163227</v>
      </c>
      <c r="AA265" s="37">
        <f t="shared" si="416"/>
        <v>0</v>
      </c>
      <c r="AB265" s="38">
        <f t="shared" si="345"/>
        <v>0</v>
      </c>
    </row>
    <row r="266" spans="1:28" x14ac:dyDescent="0.3">
      <c r="A266" s="27">
        <f>VLOOKUP(YEAR(C266),Flags!$A$13:$B$95,2,FALSE)</f>
        <v>4</v>
      </c>
      <c r="B266" s="28">
        <f t="shared" si="328"/>
        <v>1950</v>
      </c>
      <c r="C266" s="29">
        <v>18383</v>
      </c>
      <c r="D266" s="30">
        <f>VLOOKUP($C266,COS!$B$8:$H$991,3,FALSE)</f>
        <v>3250</v>
      </c>
      <c r="E266" s="28">
        <f>IF(D266&gt;=IF(MONTH($C266)=4,$C$3,IF(MONTH($C266)=5,$C$4,IF(MONTH($C266)=6,$C$5,IF(MONTH($C266)=7,$C$6,"ERROR")))),1,0)</f>
        <v>0</v>
      </c>
      <c r="F266" s="30">
        <f>VLOOKUP($C266,COS!$B$8:$H$991,7,FALSE)</f>
        <v>51.198993682861328</v>
      </c>
      <c r="G266" s="28">
        <f>IF(F266&lt;=IF(MONTH($C266)=4,$F$3,IF(MONTH($C266)=5,$F$4,IF(MONTH($C266)=6,$F$5,IF(MONTH($C266)=7,$F$6,"ERROR")))),1,0)</f>
        <v>1</v>
      </c>
      <c r="H266" s="30">
        <f>IF(J266=1,D266-$C$3,0)</f>
        <v>0</v>
      </c>
      <c r="I266" s="30">
        <f t="shared" si="342"/>
        <v>0</v>
      </c>
      <c r="J266" s="28">
        <f t="shared" ref="J266:J269" si="419">IF(AND(E266=1,G266=1),1,0)</f>
        <v>0</v>
      </c>
      <c r="K266" s="30">
        <f>VLOOKUP($C266,COS!$B$8:$H$991,2,FALSE)</f>
        <v>4233.70751953125</v>
      </c>
      <c r="L266" s="28">
        <f t="shared" ref="L266" si="420">IF(K266&lt;=IF(MONTH($C266)=4,$I$3,IF(MONTH($C266)=5,$I$4,IF(MONTH($C266)=6,$I$5,IF(MONTH($C266)=7,$I$6,"ERROR")))),1,0)</f>
        <v>1</v>
      </c>
      <c r="M266" s="28">
        <f t="shared" ref="M266" si="421">VLOOKUP($A266,$L$3:$M$7,2,FALSE)</f>
        <v>1</v>
      </c>
      <c r="N266" s="30">
        <f>VLOOKUP($C266,COS!$B$8:$H$991,5,FALSE)</f>
        <v>269.705322265625</v>
      </c>
      <c r="O266" s="30">
        <f t="shared" ref="O266:O269" si="422">N266*DAY($C266)*86400/43560/1000</f>
        <v>16.048581159607437</v>
      </c>
      <c r="P266" s="30">
        <f>VLOOKUP($C266,COS!$B$8:$H$991,6,FALSE)</f>
        <v>500.60986328125</v>
      </c>
      <c r="Q266" s="30">
        <f t="shared" ref="Q266:Q269" si="423">P266*DAY($C266)*86400/43560/1000</f>
        <v>29.788355501033056</v>
      </c>
      <c r="R266" s="30">
        <f>MIN(IF(MONTH($C266)=4,$S$3,IF(MONTH($C266)=5,$S$4,IF(MONTH($C266)=6,$S$5,IF(MONTH($C266)=7,$S$6,"ERROR")))),MAX(VLOOKUP($C266,COS!$B$8:$K$991,10,FALSE)-IF(MONTH($C266)=4,$Y$3,IF(MONTH($C266)=5,$Y$4,IF(MONTH($C266)=6,$Y$5,IF(MONTH($C266)=7,$Y$6,"ERROR")))),0),MAX(VLOOKUP($C266,COS!$B$8:$K$991,9,FALSE)-IF(MONTH($C266)=4,$V$3,IF(MONTH($C266)=5,$V$4,IF(MONTH($C266)=6,$V$5,IF(MONTH($C266)=7,$V$6,"ERROR"))))-VLOOKUP($C266,COS!$B$8:$K$991,6,FALSE)/2,0))</f>
        <v>1500</v>
      </c>
      <c r="S266" s="30">
        <f t="shared" ref="S266:S269" si="424">R266*DAY($C266)*86400/43560/1000</f>
        <v>89.256198347107429</v>
      </c>
      <c r="T266" s="30">
        <f t="shared" ref="T266:T269" si="425">(O266+Q266)/2+S266</f>
        <v>112.17466667742767</v>
      </c>
      <c r="U266" s="30" t="str">
        <f>IF(VLOOKUP($C266,COS!$B$8:$I$991,8,FALSE)=1,"UWFE","IBU")</f>
        <v>UWFE</v>
      </c>
      <c r="V266" s="30">
        <f t="shared" ref="V266" si="426">MIN(IF(IF($AA$3=2,AND(E266=1,G266=1,L266=1,L271=1,M266=1,U266="IBU"),AND(E266=1,G266=1,L266=1,L271=1,M266=1)),T266,0),I266)</f>
        <v>0</v>
      </c>
      <c r="W266" s="30"/>
      <c r="X266" s="30"/>
      <c r="Y266" s="30"/>
      <c r="Z266" s="30"/>
      <c r="AA266" s="30"/>
      <c r="AB266" s="31"/>
    </row>
    <row r="267" spans="1:28" x14ac:dyDescent="0.3">
      <c r="A267" s="32">
        <f>VLOOKUP(YEAR(C267),Flags!$A$13:$B$95,2,FALSE)</f>
        <v>4</v>
      </c>
      <c r="B267" s="24">
        <f t="shared" si="328"/>
        <v>1950</v>
      </c>
      <c r="C267" s="25">
        <v>18414</v>
      </c>
      <c r="D267" s="26">
        <f>VLOOKUP($C267,COS!$B$8:$H$991,3,FALSE)</f>
        <v>6396.69482421875</v>
      </c>
      <c r="E267" s="24">
        <f>IF(D267&gt;=IF(MONTH($C267)=4,$C$3,IF(MONTH($C267)=5,$C$4,IF(MONTH($C267)=6,$C$5,IF(MONTH($C267)=7,$C$6,"ERROR")))),1,0)</f>
        <v>1</v>
      </c>
      <c r="F267" s="26">
        <f>VLOOKUP($C267,COS!$B$8:$H$991,7,FALSE)</f>
        <v>50.986736297607422</v>
      </c>
      <c r="G267" s="24">
        <f>IF(F267&lt;=IF(MONTH($C267)=4,$F$3,IF(MONTH($C267)=5,$F$4,IF(MONTH($C267)=6,$F$5,IF(MONTH($C267)=7,$F$6,"ERROR")))),1,0)</f>
        <v>1</v>
      </c>
      <c r="H267" s="26">
        <f>IF(J267=1,D267-$C$4,0)</f>
        <v>396.69482421875</v>
      </c>
      <c r="I267" s="26">
        <f t="shared" si="342"/>
        <v>24.391813985020661</v>
      </c>
      <c r="J267" s="24">
        <f t="shared" si="419"/>
        <v>1</v>
      </c>
      <c r="K267" s="26">
        <f>VLOOKUP($C267,COS!$B$8:$H$991,2,FALSE)</f>
        <v>4172.81884765625</v>
      </c>
      <c r="L267" s="24">
        <f t="shared" si="333"/>
        <v>1</v>
      </c>
      <c r="M267" s="24">
        <f t="shared" si="334"/>
        <v>1</v>
      </c>
      <c r="N267" s="26">
        <f>VLOOKUP($C267,COS!$B$8:$H$991,5,FALSE)</f>
        <v>221.03926086425781</v>
      </c>
      <c r="O267" s="26">
        <f t="shared" si="422"/>
        <v>13.59117438702544</v>
      </c>
      <c r="P267" s="26">
        <f>VLOOKUP($C267,COS!$B$8:$H$991,6,FALSE)</f>
        <v>2273.549072265625</v>
      </c>
      <c r="Q267" s="26">
        <f t="shared" si="423"/>
        <v>139.79508345170456</v>
      </c>
      <c r="R267" s="26">
        <f>MIN(IF(MONTH($C267)=4,$S$3,IF(MONTH($C267)=5,$S$4,IF(MONTH($C267)=6,$S$5,IF(MONTH($C267)=7,$S$6,"ERROR")))),MAX(VLOOKUP($C267,COS!$B$8:$K$991,10,FALSE)-IF(MONTH($C267)=4,$Y$3,IF(MONTH($C267)=5,$Y$4,IF(MONTH($C267)=6,$Y$5,IF(MONTH($C267)=7,$Y$6,"ERROR")))),0),MAX(VLOOKUP($C267,COS!$B$8:$K$991,9,FALSE)-IF(MONTH($C267)=4,$V$3,IF(MONTH($C267)=5,$V$4,IF(MONTH($C267)=6,$V$5,IF(MONTH($C267)=7,$V$6,"ERROR"))))-VLOOKUP($C267,COS!$B$8:$K$991,6,FALSE)/2,0))</f>
        <v>1500</v>
      </c>
      <c r="S267" s="26">
        <f t="shared" si="424"/>
        <v>92.231404958677686</v>
      </c>
      <c r="T267" s="26">
        <f t="shared" si="425"/>
        <v>168.92453387804267</v>
      </c>
      <c r="U267" s="26" t="str">
        <f>IF(VLOOKUP($C267,COS!$B$8:$I$991,8,FALSE)=1,"UWFE","IBU")</f>
        <v>UWFE</v>
      </c>
      <c r="V267" s="26">
        <f t="shared" ref="V267" si="427">MIN(IF(IF($AA$3=2,AND(E267=1,G267=1,L267=1,L271=1,M267=1,U267="IBU"),AND(E267=1,G267=1,L267=1,L271=1,M267=1)),T267,0),I267)</f>
        <v>0</v>
      </c>
      <c r="W267" s="26"/>
      <c r="X267" s="26"/>
      <c r="Y267" s="26"/>
      <c r="Z267" s="26"/>
      <c r="AA267" s="26"/>
      <c r="AB267" s="33"/>
    </row>
    <row r="268" spans="1:28" x14ac:dyDescent="0.3">
      <c r="A268" s="32">
        <f>VLOOKUP(YEAR(C268),Flags!$A$13:$B$95,2,FALSE)</f>
        <v>4</v>
      </c>
      <c r="B268" s="24">
        <f t="shared" si="328"/>
        <v>1950</v>
      </c>
      <c r="C268" s="25">
        <v>18444</v>
      </c>
      <c r="D268" s="26">
        <f>VLOOKUP($C268,COS!$B$8:$H$991,3,FALSE)</f>
        <v>8106.11865234375</v>
      </c>
      <c r="E268" s="24">
        <f>IF(D268&gt;=IF(MONTH($C268)=4,$C$3,IF(MONTH($C268)=5,$C$4,IF(MONTH($C268)=6,$C$5,IF(MONTH($C268)=7,$C$6,"ERROR")))),1,0)</f>
        <v>0</v>
      </c>
      <c r="F268" s="26">
        <f>VLOOKUP($C268,COS!$B$8:$H$991,7,FALSE)</f>
        <v>51.396080017089844</v>
      </c>
      <c r="G268" s="24">
        <f>IF(F268&lt;=IF(MONTH($C268)=4,$F$3,IF(MONTH($C268)=5,$F$4,IF(MONTH($C268)=6,$F$5,IF(MONTH($C268)=7,$F$6,"ERROR")))),1,0)</f>
        <v>1</v>
      </c>
      <c r="H268" s="26">
        <f>IF(J268=1,D268-$C$5,0)</f>
        <v>0</v>
      </c>
      <c r="I268" s="26">
        <f t="shared" si="342"/>
        <v>0</v>
      </c>
      <c r="J268" s="24">
        <f t="shared" si="419"/>
        <v>0</v>
      </c>
      <c r="K268" s="26">
        <f>VLOOKUP($C268,COS!$B$8:$H$991,2,FALSE)</f>
        <v>3898.8837890625</v>
      </c>
      <c r="L268" s="24">
        <f t="shared" si="333"/>
        <v>1</v>
      </c>
      <c r="M268" s="24">
        <f t="shared" si="334"/>
        <v>1</v>
      </c>
      <c r="N268" s="26">
        <f>VLOOKUP($C268,COS!$B$8:$H$991,5,FALSE)</f>
        <v>433.48184204101563</v>
      </c>
      <c r="O268" s="26">
        <f t="shared" si="422"/>
        <v>25.793960848721593</v>
      </c>
      <c r="P268" s="26">
        <f>VLOOKUP($C268,COS!$B$8:$H$991,6,FALSE)</f>
        <v>2603.512451171875</v>
      </c>
      <c r="Q268" s="26">
        <f t="shared" si="423"/>
        <v>154.91974916064049</v>
      </c>
      <c r="R268" s="26">
        <f>MIN(IF(MONTH($C268)=4,$S$3,IF(MONTH($C268)=5,$S$4,IF(MONTH($C268)=6,$S$5,IF(MONTH($C268)=7,$S$6,"ERROR")))),MAX(VLOOKUP($C268,COS!$B$8:$K$991,10,FALSE)-IF(MONTH($C268)=4,$Y$3,IF(MONTH($C268)=5,$Y$4,IF(MONTH($C268)=6,$Y$5,IF(MONTH($C268)=7,$Y$6,"ERROR")))),0),MAX(VLOOKUP($C268,COS!$B$8:$K$991,9,FALSE)-IF(MONTH($C268)=4,$V$3,IF(MONTH($C268)=5,$V$4,IF(MONTH($C268)=6,$V$5,IF(MONTH($C268)=7,$V$6,"ERROR"))))-VLOOKUP($C268,COS!$B$8:$K$991,6,FALSE)/2,0))</f>
        <v>1500</v>
      </c>
      <c r="S268" s="26">
        <f t="shared" si="424"/>
        <v>89.256198347107429</v>
      </c>
      <c r="T268" s="26">
        <f t="shared" si="425"/>
        <v>179.61305335178847</v>
      </c>
      <c r="U268" s="26" t="str">
        <f>IF(VLOOKUP($C268,COS!$B$8:$I$991,8,FALSE)=1,"UWFE","IBU")</f>
        <v>IBU</v>
      </c>
      <c r="V268" s="26">
        <f t="shared" ref="V268" si="428">MIN(IF(IF($AA$3=2,AND(E268=1,G268=1,L268=1,L271=1,M268=1,U268="IBU"),AND(E268=1,G268=1,L268=1,L271=1,M268=1)),T268,0),I268)</f>
        <v>0</v>
      </c>
      <c r="W268" s="26"/>
      <c r="X268" s="26"/>
      <c r="Y268" s="26"/>
      <c r="Z268" s="26"/>
      <c r="AA268" s="26"/>
      <c r="AB268" s="33"/>
    </row>
    <row r="269" spans="1:28" x14ac:dyDescent="0.3">
      <c r="A269" s="32">
        <f>VLOOKUP(YEAR(C269),Flags!$A$13:$B$95,2,FALSE)</f>
        <v>4</v>
      </c>
      <c r="B269" s="24">
        <f t="shared" si="328"/>
        <v>1950</v>
      </c>
      <c r="C269" s="25">
        <v>18475</v>
      </c>
      <c r="D269" s="26">
        <f>VLOOKUP($C269,COS!$B$8:$H$991,3,FALSE)</f>
        <v>9670.4365234375</v>
      </c>
      <c r="E269" s="24">
        <f>IF(D269&gt;=IF(MONTH($C269)=4,$C$3,IF(MONTH($C269)=5,$C$4,IF(MONTH($C269)=6,$C$5,IF(MONTH($C269)=7,$C$6,"ERROR")))),1,0)</f>
        <v>0</v>
      </c>
      <c r="F269" s="26">
        <f>VLOOKUP($C269,COS!$B$8:$H$991,7,FALSE)</f>
        <v>52.254299163818359</v>
      </c>
      <c r="G269" s="24">
        <f>IF(F269&lt;=IF(MONTH($C269)=4,$F$3,IF(MONTH($C269)=5,$F$4,IF(MONTH($C269)=6,$F$5,IF(MONTH($C269)=7,$F$6,"ERROR")))),1,0)</f>
        <v>1</v>
      </c>
      <c r="H269" s="26">
        <f>IF(J269=1,D269-$C$6,0)</f>
        <v>0</v>
      </c>
      <c r="I269" s="26">
        <f t="shared" si="342"/>
        <v>0</v>
      </c>
      <c r="J269" s="24">
        <f t="shared" si="419"/>
        <v>0</v>
      </c>
      <c r="K269" s="26">
        <f>VLOOKUP($C269,COS!$B$8:$H$991,2,FALSE)</f>
        <v>3515.872314453125</v>
      </c>
      <c r="L269" s="24">
        <f t="shared" si="333"/>
        <v>1</v>
      </c>
      <c r="M269" s="24">
        <f t="shared" si="334"/>
        <v>1</v>
      </c>
      <c r="N269" s="26">
        <f>VLOOKUP($C269,COS!$B$8:$H$991,5,FALSE)</f>
        <v>482.3499755859375</v>
      </c>
      <c r="O269" s="26">
        <f t="shared" si="422"/>
        <v>29.658543953383266</v>
      </c>
      <c r="P269" s="26">
        <f>VLOOKUP($C269,COS!$B$8:$H$991,6,FALSE)</f>
        <v>2632.5888671875</v>
      </c>
      <c r="Q269" s="26">
        <f t="shared" si="423"/>
        <v>161.87157993285126</v>
      </c>
      <c r="R269" s="26">
        <f>MIN(IF(MONTH($C269)=4,$S$3,IF(MONTH($C269)=5,$S$4,IF(MONTH($C269)=6,$S$5,IF(MONTH($C269)=7,$S$6,"ERROR")))),MAX(VLOOKUP($C269,COS!$B$8:$K$991,10,FALSE)-IF(MONTH($C269)=4,$Y$3,IF(MONTH($C269)=5,$Y$4,IF(MONTH($C269)=6,$Y$5,IF(MONTH($C269)=7,$Y$6,"ERROR")))),0),MAX(VLOOKUP($C269,COS!$B$8:$K$991,9,FALSE)-IF(MONTH($C269)=4,$V$3,IF(MONTH($C269)=5,$V$4,IF(MONTH($C269)=6,$V$5,IF(MONTH($C269)=7,$V$6,"ERROR"))))-VLOOKUP($C269,COS!$B$8:$K$991,6,FALSE)/2,0))</f>
        <v>1500</v>
      </c>
      <c r="S269" s="26">
        <f t="shared" si="424"/>
        <v>92.231404958677686</v>
      </c>
      <c r="T269" s="26">
        <f t="shared" si="425"/>
        <v>187.99646690179495</v>
      </c>
      <c r="U269" s="26" t="str">
        <f>IF(VLOOKUP($C269,COS!$B$8:$I$991,8,FALSE)=1,"UWFE","IBU")</f>
        <v>IBU</v>
      </c>
      <c r="V269" s="26">
        <f t="shared" ref="V269" si="429">MIN(IF(IF($AA$3=2,AND(E269=1,G269=1,L269=1,L271=1,M269=1,U269="IBU"),AND(E269=1,G269=1,L269=1,L271=1,M269=1)),T269,0),I269)</f>
        <v>0</v>
      </c>
      <c r="W269" s="26"/>
      <c r="X269" s="26"/>
      <c r="Y269" s="26"/>
      <c r="Z269" s="26"/>
      <c r="AA269" s="26"/>
      <c r="AB269" s="33"/>
    </row>
    <row r="270" spans="1:28" x14ac:dyDescent="0.3">
      <c r="A270" s="32">
        <f>VLOOKUP(YEAR(C270),Flags!$A$13:$B$95,2,FALSE)</f>
        <v>4</v>
      </c>
      <c r="B270" s="24">
        <f t="shared" si="328"/>
        <v>1950</v>
      </c>
      <c r="C270" s="25">
        <v>18506</v>
      </c>
      <c r="D270" s="26"/>
      <c r="E270" s="24"/>
      <c r="F270" s="26"/>
      <c r="G270" s="24"/>
      <c r="H270" s="24"/>
      <c r="I270" s="26"/>
      <c r="J270" s="24"/>
      <c r="K270" s="26"/>
      <c r="L270" s="24"/>
      <c r="M270" s="24"/>
      <c r="N270" s="26"/>
      <c r="O270" s="26"/>
      <c r="P270" s="26"/>
      <c r="Q270" s="26"/>
      <c r="R270" s="26"/>
      <c r="S270" s="26"/>
      <c r="T270" s="26"/>
      <c r="U270" s="26"/>
      <c r="V270" s="26"/>
      <c r="W270" s="26">
        <f>MAX($C$7-VLOOKUP($C270,COS!$B$8:$H$991,3,FALSE),0)</f>
        <v>90741.2333984375</v>
      </c>
      <c r="X270" s="26">
        <f t="shared" si="347"/>
        <v>5579.4609626807851</v>
      </c>
      <c r="Y270" s="26">
        <f>VLOOKUP($C270,COS!$B$8:$H$991,4,FALSE)</f>
        <v>437.07077026367188</v>
      </c>
      <c r="Z270" s="26">
        <f t="shared" si="348"/>
        <v>26.874434138526603</v>
      </c>
      <c r="AA270" s="26">
        <f t="shared" ref="AA270:AA274" si="430">MIN(W270,Y270)</f>
        <v>437.07077026367188</v>
      </c>
      <c r="AB270" s="33">
        <f t="shared" ref="AB270" si="431">AA270*DAY($C270)*86400/43560/1000*IF(MONTH($C270)=8,$P$3,IF(MONTH($C270)=9,$P$4,IF(MONTH($C270)=10,$P$5,IF(MONTH($C270)=11,$P$6,IF(MONTH($C270)=12,$P$7,NA())))))</f>
        <v>26.874434138526603</v>
      </c>
    </row>
    <row r="271" spans="1:28" x14ac:dyDescent="0.3">
      <c r="A271" s="32">
        <f>VLOOKUP(YEAR(C271),Flags!$A$13:$B$95,2,FALSE)</f>
        <v>4</v>
      </c>
      <c r="B271" s="24">
        <f t="shared" ref="B271:B334" si="432">YEAR(C271)</f>
        <v>1950</v>
      </c>
      <c r="C271" s="25">
        <v>18536</v>
      </c>
      <c r="D271" s="26"/>
      <c r="E271" s="24"/>
      <c r="F271" s="26"/>
      <c r="G271" s="24"/>
      <c r="H271" s="24"/>
      <c r="I271" s="26"/>
      <c r="J271" s="24"/>
      <c r="K271" s="26">
        <f>VLOOKUP($C271,COS!$B$8:$H$991,2,FALSE)</f>
        <v>3133.93603515625</v>
      </c>
      <c r="L271" s="24">
        <f t="shared" ref="L271" si="433">IF(AND(K271&gt;$I$7,K271&lt;$I$8),1,0)</f>
        <v>1</v>
      </c>
      <c r="M271" s="24"/>
      <c r="N271" s="26"/>
      <c r="O271" s="26"/>
      <c r="P271" s="26"/>
      <c r="Q271" s="26"/>
      <c r="R271" s="26"/>
      <c r="S271" s="26"/>
      <c r="T271" s="26"/>
      <c r="U271" s="26"/>
      <c r="V271" s="26"/>
      <c r="W271" s="26">
        <f>MAX($C$8-VLOOKUP($C271,COS!$B$8:$H$991,3,FALSE),0)</f>
        <v>95235.51904296875</v>
      </c>
      <c r="X271" s="26">
        <f t="shared" si="347"/>
        <v>5666.9069182592975</v>
      </c>
      <c r="Y271" s="26">
        <f>VLOOKUP($C271,COS!$B$8:$H$991,4,FALSE)</f>
        <v>0</v>
      </c>
      <c r="Z271" s="26">
        <f t="shared" si="348"/>
        <v>0</v>
      </c>
      <c r="AA271" s="26">
        <f t="shared" si="430"/>
        <v>0</v>
      </c>
      <c r="AB271" s="33">
        <f t="shared" si="345"/>
        <v>0</v>
      </c>
    </row>
    <row r="272" spans="1:28" x14ac:dyDescent="0.3">
      <c r="A272" s="32">
        <f>VLOOKUP(YEAR(C272),Flags!$A$13:$B$95,2,FALSE)</f>
        <v>4</v>
      </c>
      <c r="B272" s="24">
        <f t="shared" si="432"/>
        <v>1950</v>
      </c>
      <c r="C272" s="25">
        <v>18567</v>
      </c>
      <c r="D272" s="26"/>
      <c r="E272" s="24"/>
      <c r="F272" s="26"/>
      <c r="G272" s="26"/>
      <c r="H272" s="26"/>
      <c r="I272" s="26"/>
      <c r="J272" s="26"/>
      <c r="K272" s="26"/>
      <c r="L272" s="24"/>
      <c r="M272" s="24"/>
      <c r="N272" s="26"/>
      <c r="O272" s="26"/>
      <c r="P272" s="26"/>
      <c r="Q272" s="26"/>
      <c r="R272" s="26"/>
      <c r="S272" s="26"/>
      <c r="T272" s="26"/>
      <c r="U272" s="26"/>
      <c r="V272" s="26"/>
      <c r="W272" s="26">
        <f>MAX($C$9-VLOOKUP($C272,COS!$B$8:$H$991,3,FALSE),0)</f>
        <v>91664.693359375</v>
      </c>
      <c r="X272" s="26">
        <f t="shared" si="347"/>
        <v>5636.2423024276859</v>
      </c>
      <c r="Y272" s="26">
        <f>VLOOKUP($C272,COS!$B$8:$H$991,4,FALSE)</f>
        <v>1385.623291015625</v>
      </c>
      <c r="Z272" s="26">
        <f t="shared" si="348"/>
        <v>85.198655249225212</v>
      </c>
      <c r="AA272" s="26">
        <f t="shared" si="430"/>
        <v>1385.623291015625</v>
      </c>
      <c r="AB272" s="33">
        <f t="shared" si="345"/>
        <v>85.198655249225212</v>
      </c>
    </row>
    <row r="273" spans="1:28" x14ac:dyDescent="0.3">
      <c r="A273" s="32">
        <f>VLOOKUP(YEAR(C273),Flags!$A$13:$B$95,2,FALSE)</f>
        <v>4</v>
      </c>
      <c r="B273" s="24">
        <f t="shared" si="432"/>
        <v>1950</v>
      </c>
      <c r="C273" s="25">
        <v>18597</v>
      </c>
      <c r="D273" s="26"/>
      <c r="E273" s="24"/>
      <c r="F273" s="26"/>
      <c r="G273" s="26"/>
      <c r="H273" s="26"/>
      <c r="I273" s="26"/>
      <c r="J273" s="26"/>
      <c r="K273" s="26"/>
      <c r="L273" s="24"/>
      <c r="M273" s="24"/>
      <c r="N273" s="26"/>
      <c r="O273" s="26"/>
      <c r="P273" s="26"/>
      <c r="Q273" s="26"/>
      <c r="R273" s="26"/>
      <c r="S273" s="26"/>
      <c r="T273" s="26"/>
      <c r="U273" s="26"/>
      <c r="V273" s="26"/>
      <c r="W273" s="26">
        <f>MAX($C$10-VLOOKUP($C273,COS!$B$8:$H$991,3,FALSE),0)</f>
        <v>88639.322265625</v>
      </c>
      <c r="X273" s="26">
        <f t="shared" si="347"/>
        <v>5274.4059529958677</v>
      </c>
      <c r="Y273" s="26">
        <f>VLOOKUP($C273,COS!$B$8:$H$991,4,FALSE)</f>
        <v>0</v>
      </c>
      <c r="Z273" s="26">
        <f t="shared" si="348"/>
        <v>0</v>
      </c>
      <c r="AA273" s="26">
        <f t="shared" si="430"/>
        <v>0</v>
      </c>
      <c r="AB273" s="33">
        <f t="shared" si="345"/>
        <v>0</v>
      </c>
    </row>
    <row r="274" spans="1:28" x14ac:dyDescent="0.3">
      <c r="A274" s="34">
        <f>VLOOKUP(YEAR(C274),Flags!$A$13:$B$95,2,FALSE)</f>
        <v>4</v>
      </c>
      <c r="B274" s="35">
        <f t="shared" si="432"/>
        <v>1950</v>
      </c>
      <c r="C274" s="36">
        <v>18628</v>
      </c>
      <c r="D274" s="37"/>
      <c r="E274" s="35"/>
      <c r="F274" s="37"/>
      <c r="G274" s="37"/>
      <c r="H274" s="37"/>
      <c r="I274" s="37"/>
      <c r="J274" s="37"/>
      <c r="K274" s="37"/>
      <c r="L274" s="35"/>
      <c r="M274" s="35"/>
      <c r="N274" s="37"/>
      <c r="O274" s="37"/>
      <c r="P274" s="37"/>
      <c r="Q274" s="37"/>
      <c r="R274" s="37"/>
      <c r="S274" s="37"/>
      <c r="T274" s="37"/>
      <c r="U274" s="37"/>
      <c r="V274" s="37"/>
      <c r="W274" s="37">
        <f>MAX($C$11-VLOOKUP($C274,COS!$B$8:$H$991,3,FALSE),0)</f>
        <v>0</v>
      </c>
      <c r="X274" s="37">
        <f t="shared" si="347"/>
        <v>0</v>
      </c>
      <c r="Y274" s="37">
        <f>VLOOKUP($C274,COS!$B$8:$H$991,4,FALSE)</f>
        <v>0</v>
      </c>
      <c r="Z274" s="37">
        <f t="shared" si="348"/>
        <v>0</v>
      </c>
      <c r="AA274" s="37">
        <f t="shared" si="430"/>
        <v>0</v>
      </c>
      <c r="AB274" s="38">
        <f t="shared" si="345"/>
        <v>0</v>
      </c>
    </row>
    <row r="275" spans="1:28" x14ac:dyDescent="0.3">
      <c r="A275" s="27">
        <f>VLOOKUP(YEAR(C275),Flags!$A$13:$B$95,2,FALSE)</f>
        <v>2</v>
      </c>
      <c r="B275" s="28">
        <f t="shared" si="432"/>
        <v>1951</v>
      </c>
      <c r="C275" s="29">
        <v>18748</v>
      </c>
      <c r="D275" s="30">
        <f>VLOOKUP($C275,COS!$B$8:$H$991,3,FALSE)</f>
        <v>3250</v>
      </c>
      <c r="E275" s="28">
        <f>IF(D275&gt;=IF(MONTH($C275)=4,$C$3,IF(MONTH($C275)=5,$C$4,IF(MONTH($C275)=6,$C$5,IF(MONTH($C275)=7,$C$6,"ERROR")))),1,0)</f>
        <v>0</v>
      </c>
      <c r="F275" s="30">
        <f>VLOOKUP($C275,COS!$B$8:$H$991,7,FALSE)</f>
        <v>50.026283264160156</v>
      </c>
      <c r="G275" s="28">
        <f>IF(F275&lt;=IF(MONTH($C275)=4,$F$3,IF(MONTH($C275)=5,$F$4,IF(MONTH($C275)=6,$F$5,IF(MONTH($C275)=7,$F$6,"ERROR")))),1,0)</f>
        <v>1</v>
      </c>
      <c r="H275" s="30">
        <f>IF(J275=1,D275-$C$3,0)</f>
        <v>0</v>
      </c>
      <c r="I275" s="30">
        <f t="shared" si="342"/>
        <v>0</v>
      </c>
      <c r="J275" s="28">
        <f t="shared" ref="J275:J278" si="434">IF(AND(E275=1,G275=1),1,0)</f>
        <v>0</v>
      </c>
      <c r="K275" s="30">
        <f>VLOOKUP($C275,COS!$B$8:$H$991,2,FALSE)</f>
        <v>4516.4619140625</v>
      </c>
      <c r="L275" s="28">
        <f t="shared" ref="L275:L332" si="435">IF(K275&lt;=IF(MONTH($C275)=4,$I$3,IF(MONTH($C275)=5,$I$4,IF(MONTH($C275)=6,$I$5,IF(MONTH($C275)=7,$I$6,"ERROR")))),1,0)</f>
        <v>1</v>
      </c>
      <c r="M275" s="28">
        <f t="shared" ref="M275:M332" si="436">VLOOKUP($A275,$L$3:$M$7,2,FALSE)</f>
        <v>0</v>
      </c>
      <c r="N275" s="30">
        <f>VLOOKUP($C275,COS!$B$8:$H$991,5,FALSE)</f>
        <v>285.89596557617188</v>
      </c>
      <c r="O275" s="30">
        <f t="shared" ref="O275:O278" si="437">N275*DAY($C275)*86400/43560/1000</f>
        <v>17.011991340069731</v>
      </c>
      <c r="P275" s="30">
        <f>VLOOKUP($C275,COS!$B$8:$H$991,6,FALSE)</f>
        <v>523.71405029296875</v>
      </c>
      <c r="Q275" s="30">
        <f t="shared" ref="Q275:Q278" si="438">P275*DAY($C275)*86400/43560/1000</f>
        <v>31.16315010007748</v>
      </c>
      <c r="R275" s="30">
        <f>MIN(IF(MONTH($C275)=4,$S$3,IF(MONTH($C275)=5,$S$4,IF(MONTH($C275)=6,$S$5,IF(MONTH($C275)=7,$S$6,"ERROR")))),MAX(VLOOKUP($C275,COS!$B$8:$K$991,10,FALSE)-IF(MONTH($C275)=4,$Y$3,IF(MONTH($C275)=5,$Y$4,IF(MONTH($C275)=6,$Y$5,IF(MONTH($C275)=7,$Y$6,"ERROR")))),0),MAX(VLOOKUP($C275,COS!$B$8:$K$991,9,FALSE)-IF(MONTH($C275)=4,$V$3,IF(MONTH($C275)=5,$V$4,IF(MONTH($C275)=6,$V$5,IF(MONTH($C275)=7,$V$6,"ERROR"))))-VLOOKUP($C275,COS!$B$8:$K$991,6,FALSE)/2,0))</f>
        <v>870.47891235351563</v>
      </c>
      <c r="S275" s="30">
        <f t="shared" ref="S275:S278" si="439">R275*DAY($C275)*86400/43560/1000</f>
        <v>51.797092305333166</v>
      </c>
      <c r="T275" s="30">
        <f t="shared" ref="T275:T278" si="440">(O275+Q275)/2+S275</f>
        <v>75.88466302540678</v>
      </c>
      <c r="U275" s="30" t="str">
        <f>IF(VLOOKUP($C275,COS!$B$8:$I$991,8,FALSE)=1,"UWFE","IBU")</f>
        <v>UWFE</v>
      </c>
      <c r="V275" s="30">
        <f t="shared" ref="V275" si="441">MIN(IF(IF($AA$3=2,AND(E275=1,G275=1,L275=1,L280=1,M275=1,U275="IBU"),AND(E275=1,G275=1,L275=1,L280=1,M275=1)),T275,0),I275)</f>
        <v>0</v>
      </c>
      <c r="W275" s="30"/>
      <c r="X275" s="30"/>
      <c r="Y275" s="30"/>
      <c r="Z275" s="30"/>
      <c r="AA275" s="30"/>
      <c r="AB275" s="31"/>
    </row>
    <row r="276" spans="1:28" x14ac:dyDescent="0.3">
      <c r="A276" s="32">
        <f>VLOOKUP(YEAR(C276),Flags!$A$13:$B$95,2,FALSE)</f>
        <v>2</v>
      </c>
      <c r="B276" s="24">
        <f t="shared" si="432"/>
        <v>1951</v>
      </c>
      <c r="C276" s="25">
        <v>18779</v>
      </c>
      <c r="D276" s="26">
        <f>VLOOKUP($C276,COS!$B$8:$H$991,3,FALSE)</f>
        <v>6537.244140625</v>
      </c>
      <c r="E276" s="24">
        <f>IF(D276&gt;=IF(MONTH($C276)=4,$C$3,IF(MONTH($C276)=5,$C$4,IF(MONTH($C276)=6,$C$5,IF(MONTH($C276)=7,$C$6,"ERROR")))),1,0)</f>
        <v>1</v>
      </c>
      <c r="F276" s="26">
        <f>VLOOKUP($C276,COS!$B$8:$H$991,7,FALSE)</f>
        <v>50.078166961669922</v>
      </c>
      <c r="G276" s="24">
        <f>IF(F276&lt;=IF(MONTH($C276)=4,$F$3,IF(MONTH($C276)=5,$F$4,IF(MONTH($C276)=6,$F$5,IF(MONTH($C276)=7,$F$6,"ERROR")))),1,0)</f>
        <v>1</v>
      </c>
      <c r="H276" s="26">
        <f>IF(J276=1,D276-$C$4,0)</f>
        <v>537.244140625</v>
      </c>
      <c r="I276" s="26">
        <f t="shared" si="342"/>
        <v>33.033854597107435</v>
      </c>
      <c r="J276" s="24">
        <f t="shared" si="434"/>
        <v>1</v>
      </c>
      <c r="K276" s="26">
        <f>VLOOKUP($C276,COS!$B$8:$H$991,2,FALSE)</f>
        <v>4552</v>
      </c>
      <c r="L276" s="24">
        <f t="shared" si="435"/>
        <v>1</v>
      </c>
      <c r="M276" s="24">
        <f t="shared" si="436"/>
        <v>0</v>
      </c>
      <c r="N276" s="26">
        <f>VLOOKUP($C276,COS!$B$8:$H$991,5,FALSE)</f>
        <v>725.94110107421875</v>
      </c>
      <c r="O276" s="26">
        <f t="shared" si="437"/>
        <v>44.636378446216426</v>
      </c>
      <c r="P276" s="26">
        <f>VLOOKUP($C276,COS!$B$8:$H$991,6,FALSE)</f>
        <v>1961.9442138671875</v>
      </c>
      <c r="Q276" s="26">
        <f t="shared" si="438"/>
        <v>120.63524753034608</v>
      </c>
      <c r="R276" s="26">
        <f>MIN(IF(MONTH($C276)=4,$S$3,IF(MONTH($C276)=5,$S$4,IF(MONTH($C276)=6,$S$5,IF(MONTH($C276)=7,$S$6,"ERROR")))),MAX(VLOOKUP($C276,COS!$B$8:$K$991,10,FALSE)-IF(MONTH($C276)=4,$Y$3,IF(MONTH($C276)=5,$Y$4,IF(MONTH($C276)=6,$Y$5,IF(MONTH($C276)=7,$Y$6,"ERROR")))),0),MAX(VLOOKUP($C276,COS!$B$8:$K$991,9,FALSE)-IF(MONTH($C276)=4,$V$3,IF(MONTH($C276)=5,$V$4,IF(MONTH($C276)=6,$V$5,IF(MONTH($C276)=7,$V$6,"ERROR"))))-VLOOKUP($C276,COS!$B$8:$K$991,6,FALSE)/2,0))</f>
        <v>1500</v>
      </c>
      <c r="S276" s="26">
        <f t="shared" si="439"/>
        <v>92.231404958677686</v>
      </c>
      <c r="T276" s="26">
        <f t="shared" si="440"/>
        <v>174.86721794695893</v>
      </c>
      <c r="U276" s="26" t="str">
        <f>IF(VLOOKUP($C276,COS!$B$8:$I$991,8,FALSE)=1,"UWFE","IBU")</f>
        <v>UWFE</v>
      </c>
      <c r="V276" s="26">
        <f t="shared" ref="V276" si="442">MIN(IF(IF($AA$3=2,AND(E276=1,G276=1,L276=1,L280=1,M276=1,U276="IBU"),AND(E276=1,G276=1,L276=1,L280=1,M276=1)),T276,0),I276)</f>
        <v>0</v>
      </c>
      <c r="W276" s="26"/>
      <c r="X276" s="26"/>
      <c r="Y276" s="26"/>
      <c r="Z276" s="26"/>
      <c r="AA276" s="26"/>
      <c r="AB276" s="33"/>
    </row>
    <row r="277" spans="1:28" x14ac:dyDescent="0.3">
      <c r="A277" s="32">
        <f>VLOOKUP(YEAR(C277),Flags!$A$13:$B$95,2,FALSE)</f>
        <v>2</v>
      </c>
      <c r="B277" s="24">
        <f t="shared" si="432"/>
        <v>1951</v>
      </c>
      <c r="C277" s="25">
        <v>18809</v>
      </c>
      <c r="D277" s="26">
        <f>VLOOKUP($C277,COS!$B$8:$H$991,3,FALSE)</f>
        <v>10659.24609375</v>
      </c>
      <c r="E277" s="24">
        <f>IF(D277&gt;=IF(MONTH($C277)=4,$C$3,IF(MONTH($C277)=5,$C$4,IF(MONTH($C277)=6,$C$5,IF(MONTH($C277)=7,$C$6,"ERROR")))),1,0)</f>
        <v>1</v>
      </c>
      <c r="F277" s="26">
        <f>VLOOKUP($C277,COS!$B$8:$H$991,7,FALSE)</f>
        <v>49.92681884765625</v>
      </c>
      <c r="G277" s="24">
        <f>IF(F277&lt;=IF(MONTH($C277)=4,$F$3,IF(MONTH($C277)=5,$F$4,IF(MONTH($C277)=6,$F$5,IF(MONTH($C277)=7,$F$6,"ERROR")))),1,0)</f>
        <v>1</v>
      </c>
      <c r="H277" s="26">
        <f>IF(J277=1,D277-$C$5,0)</f>
        <v>659.24609375</v>
      </c>
      <c r="I277" s="26">
        <f t="shared" si="342"/>
        <v>39.227866735537184</v>
      </c>
      <c r="J277" s="24">
        <f t="shared" si="434"/>
        <v>1</v>
      </c>
      <c r="K277" s="26">
        <f>VLOOKUP($C277,COS!$B$8:$H$991,2,FALSE)</f>
        <v>4123.96142578125</v>
      </c>
      <c r="L277" s="24">
        <f t="shared" si="435"/>
        <v>1</v>
      </c>
      <c r="M277" s="24">
        <f t="shared" si="436"/>
        <v>0</v>
      </c>
      <c r="N277" s="26">
        <f>VLOOKUP($C277,COS!$B$8:$H$991,5,FALSE)</f>
        <v>977.7628173828125</v>
      </c>
      <c r="O277" s="26">
        <f t="shared" si="437"/>
        <v>58.180927976497934</v>
      </c>
      <c r="P277" s="26">
        <f>VLOOKUP($C277,COS!$B$8:$H$991,6,FALSE)</f>
        <v>2422.49462890625</v>
      </c>
      <c r="Q277" s="26">
        <f t="shared" si="438"/>
        <v>144.14844072830579</v>
      </c>
      <c r="R277" s="26">
        <f>MIN(IF(MONTH($C277)=4,$S$3,IF(MONTH($C277)=5,$S$4,IF(MONTH($C277)=6,$S$5,IF(MONTH($C277)=7,$S$6,"ERROR")))),MAX(VLOOKUP($C277,COS!$B$8:$K$991,10,FALSE)-IF(MONTH($C277)=4,$Y$3,IF(MONTH($C277)=5,$Y$4,IF(MONTH($C277)=6,$Y$5,IF(MONTH($C277)=7,$Y$6,"ERROR")))),0),MAX(VLOOKUP($C277,COS!$B$8:$K$991,9,FALSE)-IF(MONTH($C277)=4,$V$3,IF(MONTH($C277)=5,$V$4,IF(MONTH($C277)=6,$V$5,IF(MONTH($C277)=7,$V$6,"ERROR"))))-VLOOKUP($C277,COS!$B$8:$K$991,6,FALSE)/2,0))</f>
        <v>1500</v>
      </c>
      <c r="S277" s="26">
        <f t="shared" si="439"/>
        <v>89.256198347107429</v>
      </c>
      <c r="T277" s="26">
        <f t="shared" si="440"/>
        <v>190.42088269950929</v>
      </c>
      <c r="U277" s="26" t="str">
        <f>IF(VLOOKUP($C277,COS!$B$8:$I$991,8,FALSE)=1,"UWFE","IBU")</f>
        <v>IBU</v>
      </c>
      <c r="V277" s="26">
        <f t="shared" ref="V277" si="443">MIN(IF(IF($AA$3=2,AND(E277=1,G277=1,L277=1,L280=1,M277=1,U277="IBU"),AND(E277=1,G277=1,L277=1,L280=1,M277=1)),T277,0),I277)</f>
        <v>0</v>
      </c>
      <c r="W277" s="26"/>
      <c r="X277" s="26"/>
      <c r="Y277" s="26"/>
      <c r="Z277" s="26"/>
      <c r="AA277" s="26"/>
      <c r="AB277" s="33"/>
    </row>
    <row r="278" spans="1:28" x14ac:dyDescent="0.3">
      <c r="A278" s="32">
        <f>VLOOKUP(YEAR(C278),Flags!$A$13:$B$95,2,FALSE)</f>
        <v>2</v>
      </c>
      <c r="B278" s="24">
        <f t="shared" si="432"/>
        <v>1951</v>
      </c>
      <c r="C278" s="25">
        <v>18840</v>
      </c>
      <c r="D278" s="26">
        <f>VLOOKUP($C278,COS!$B$8:$H$991,3,FALSE)</f>
        <v>16000</v>
      </c>
      <c r="E278" s="24">
        <f>IF(D278&gt;=IF(MONTH($C278)=4,$C$3,IF(MONTH($C278)=5,$C$4,IF(MONTH($C278)=6,$C$5,IF(MONTH($C278)=7,$C$6,"ERROR")))),1,0)</f>
        <v>1</v>
      </c>
      <c r="F278" s="26">
        <f>VLOOKUP($C278,COS!$B$8:$H$991,7,FALSE)</f>
        <v>50.000553131103516</v>
      </c>
      <c r="G278" s="24">
        <f>IF(F278&lt;=IF(MONTH($C278)=4,$F$3,IF(MONTH($C278)=5,$F$4,IF(MONTH($C278)=6,$F$5,IF(MONTH($C278)=7,$F$6,"ERROR")))),1,0)</f>
        <v>1</v>
      </c>
      <c r="H278" s="26">
        <f>IF(J278=1,D278-$C$6,0)</f>
        <v>4000</v>
      </c>
      <c r="I278" s="26">
        <f t="shared" si="342"/>
        <v>245.95041322314049</v>
      </c>
      <c r="J278" s="24">
        <f t="shared" si="434"/>
        <v>1</v>
      </c>
      <c r="K278" s="26">
        <f>VLOOKUP($C278,COS!$B$8:$H$991,2,FALSE)</f>
        <v>3378.982666015625</v>
      </c>
      <c r="L278" s="24">
        <f t="shared" si="435"/>
        <v>1</v>
      </c>
      <c r="M278" s="24">
        <f t="shared" si="436"/>
        <v>0</v>
      </c>
      <c r="N278" s="26">
        <f>VLOOKUP($C278,COS!$B$8:$H$991,5,FALSE)</f>
        <v>1073.9122314453125</v>
      </c>
      <c r="O278" s="26">
        <f t="shared" si="437"/>
        <v>66.032289272339867</v>
      </c>
      <c r="P278" s="26">
        <f>VLOOKUP($C278,COS!$B$8:$H$991,6,FALSE)</f>
        <v>2562.892822265625</v>
      </c>
      <c r="Q278" s="26">
        <f t="shared" si="438"/>
        <v>157.58613717071282</v>
      </c>
      <c r="R278" s="26">
        <f>MIN(IF(MONTH($C278)=4,$S$3,IF(MONTH($C278)=5,$S$4,IF(MONTH($C278)=6,$S$5,IF(MONTH($C278)=7,$S$6,"ERROR")))),MAX(VLOOKUP($C278,COS!$B$8:$K$991,10,FALSE)-IF(MONTH($C278)=4,$Y$3,IF(MONTH($C278)=5,$Y$4,IF(MONTH($C278)=6,$Y$5,IF(MONTH($C278)=7,$Y$6,"ERROR")))),0),MAX(VLOOKUP($C278,COS!$B$8:$K$991,9,FALSE)-IF(MONTH($C278)=4,$V$3,IF(MONTH($C278)=5,$V$4,IF(MONTH($C278)=6,$V$5,IF(MONTH($C278)=7,$V$6,"ERROR"))))-VLOOKUP($C278,COS!$B$8:$K$991,6,FALSE)/2,0))</f>
        <v>1500</v>
      </c>
      <c r="S278" s="26">
        <f t="shared" si="439"/>
        <v>92.231404958677686</v>
      </c>
      <c r="T278" s="26">
        <f t="shared" si="440"/>
        <v>204.04061818020404</v>
      </c>
      <c r="U278" s="26" t="str">
        <f>IF(VLOOKUP($C278,COS!$B$8:$I$991,8,FALSE)=1,"UWFE","IBU")</f>
        <v>IBU</v>
      </c>
      <c r="V278" s="26">
        <f t="shared" ref="V278" si="444">MIN(IF(IF($AA$3=2,AND(E278=1,G278=1,L278=1,L280=1,M278=1,U278="IBU"),AND(E278=1,G278=1,L278=1,L280=1,M278=1)),T278,0),I278)</f>
        <v>0</v>
      </c>
      <c r="W278" s="26"/>
      <c r="X278" s="26"/>
      <c r="Y278" s="26"/>
      <c r="Z278" s="26"/>
      <c r="AA278" s="26"/>
      <c r="AB278" s="33"/>
    </row>
    <row r="279" spans="1:28" x14ac:dyDescent="0.3">
      <c r="A279" s="32">
        <f>VLOOKUP(YEAR(C279),Flags!$A$13:$B$95,2,FALSE)</f>
        <v>2</v>
      </c>
      <c r="B279" s="24">
        <f t="shared" si="432"/>
        <v>1951</v>
      </c>
      <c r="C279" s="25">
        <v>18871</v>
      </c>
      <c r="D279" s="26"/>
      <c r="E279" s="24"/>
      <c r="F279" s="26"/>
      <c r="G279" s="24"/>
      <c r="H279" s="24"/>
      <c r="I279" s="26"/>
      <c r="J279" s="24"/>
      <c r="K279" s="26"/>
      <c r="L279" s="24"/>
      <c r="M279" s="24"/>
      <c r="N279" s="26"/>
      <c r="O279" s="26"/>
      <c r="P279" s="26"/>
      <c r="Q279" s="26"/>
      <c r="R279" s="26"/>
      <c r="S279" s="26"/>
      <c r="T279" s="26"/>
      <c r="U279" s="26"/>
      <c r="V279" s="26"/>
      <c r="W279" s="26">
        <f>MAX($C$7-VLOOKUP($C279,COS!$B$8:$H$991,3,FALSE),0)</f>
        <v>88694.990234375</v>
      </c>
      <c r="X279" s="26">
        <f t="shared" si="347"/>
        <v>5453.6423747417357</v>
      </c>
      <c r="Y279" s="26">
        <f>VLOOKUP($C279,COS!$B$8:$H$991,4,FALSE)</f>
        <v>0</v>
      </c>
      <c r="Z279" s="26">
        <f t="shared" si="348"/>
        <v>0</v>
      </c>
      <c r="AA279" s="26">
        <f t="shared" ref="AA279:AA283" si="445">MIN(W279,Y279)</f>
        <v>0</v>
      </c>
      <c r="AB279" s="33">
        <f t="shared" ref="AB279:AB337" si="446">AA279*DAY($C279)*86400/43560/1000*IF(MONTH($C279)=8,$P$3,IF(MONTH($C279)=9,$P$4,IF(MONTH($C279)=10,$P$5,IF(MONTH($C279)=11,$P$6,IF(MONTH($C279)=12,$P$7,NA())))))</f>
        <v>0</v>
      </c>
    </row>
    <row r="280" spans="1:28" x14ac:dyDescent="0.3">
      <c r="A280" s="32">
        <f>VLOOKUP(YEAR(C280),Flags!$A$13:$B$95,2,FALSE)</f>
        <v>2</v>
      </c>
      <c r="B280" s="24">
        <f t="shared" si="432"/>
        <v>1951</v>
      </c>
      <c r="C280" s="25">
        <v>18901</v>
      </c>
      <c r="D280" s="26"/>
      <c r="E280" s="24"/>
      <c r="F280" s="26"/>
      <c r="G280" s="24"/>
      <c r="H280" s="24"/>
      <c r="I280" s="26"/>
      <c r="J280" s="24"/>
      <c r="K280" s="26">
        <f>VLOOKUP($C280,COS!$B$8:$H$991,2,FALSE)</f>
        <v>2661.90625</v>
      </c>
      <c r="L280" s="24">
        <f t="shared" ref="L280" si="447">IF(AND(K280&gt;$I$7,K280&lt;$I$8),1,0)</f>
        <v>1</v>
      </c>
      <c r="M280" s="24"/>
      <c r="N280" s="26"/>
      <c r="O280" s="26"/>
      <c r="P280" s="26"/>
      <c r="Q280" s="26"/>
      <c r="R280" s="26"/>
      <c r="S280" s="26"/>
      <c r="T280" s="26"/>
      <c r="U280" s="26"/>
      <c r="V280" s="26"/>
      <c r="W280" s="26">
        <f>MAX($C$8-VLOOKUP($C280,COS!$B$8:$H$991,3,FALSE),0)</f>
        <v>90025.66796875</v>
      </c>
      <c r="X280" s="26">
        <f t="shared" si="347"/>
        <v>5356.8992510330572</v>
      </c>
      <c r="Y280" s="26">
        <f>VLOOKUP($C280,COS!$B$8:$H$991,4,FALSE)</f>
        <v>0</v>
      </c>
      <c r="Z280" s="26">
        <f t="shared" si="348"/>
        <v>0</v>
      </c>
      <c r="AA280" s="26">
        <f t="shared" si="445"/>
        <v>0</v>
      </c>
      <c r="AB280" s="33">
        <f t="shared" si="446"/>
        <v>0</v>
      </c>
    </row>
    <row r="281" spans="1:28" x14ac:dyDescent="0.3">
      <c r="A281" s="32">
        <f>VLOOKUP(YEAR(C281),Flags!$A$13:$B$95,2,FALSE)</f>
        <v>2</v>
      </c>
      <c r="B281" s="24">
        <f t="shared" si="432"/>
        <v>1951</v>
      </c>
      <c r="C281" s="25">
        <v>18932</v>
      </c>
      <c r="D281" s="26"/>
      <c r="E281" s="24"/>
      <c r="F281" s="26"/>
      <c r="G281" s="26"/>
      <c r="H281" s="26"/>
      <c r="I281" s="26"/>
      <c r="J281" s="26"/>
      <c r="K281" s="26"/>
      <c r="L281" s="24"/>
      <c r="M281" s="24"/>
      <c r="N281" s="26"/>
      <c r="O281" s="26"/>
      <c r="P281" s="26"/>
      <c r="Q281" s="26"/>
      <c r="R281" s="26"/>
      <c r="S281" s="26"/>
      <c r="T281" s="26"/>
      <c r="U281" s="26"/>
      <c r="V281" s="26"/>
      <c r="W281" s="26">
        <f>MAX($C$9-VLOOKUP($C281,COS!$B$8:$H$991,3,FALSE),0)</f>
        <v>92899.10302734375</v>
      </c>
      <c r="X281" s="26">
        <f t="shared" si="347"/>
        <v>5712.1431944085743</v>
      </c>
      <c r="Y281" s="26">
        <f>VLOOKUP($C281,COS!$B$8:$H$991,4,FALSE)</f>
        <v>951.9967041015625</v>
      </c>
      <c r="Z281" s="26">
        <f t="shared" si="348"/>
        <v>58.535995690211777</v>
      </c>
      <c r="AA281" s="26">
        <f t="shared" si="445"/>
        <v>951.9967041015625</v>
      </c>
      <c r="AB281" s="33">
        <f t="shared" si="446"/>
        <v>58.535995690211777</v>
      </c>
    </row>
    <row r="282" spans="1:28" x14ac:dyDescent="0.3">
      <c r="A282" s="32">
        <f>VLOOKUP(YEAR(C282),Flags!$A$13:$B$95,2,FALSE)</f>
        <v>2</v>
      </c>
      <c r="B282" s="24">
        <f t="shared" si="432"/>
        <v>1951</v>
      </c>
      <c r="C282" s="25">
        <v>18962</v>
      </c>
      <c r="D282" s="26"/>
      <c r="E282" s="24"/>
      <c r="F282" s="26"/>
      <c r="G282" s="26"/>
      <c r="H282" s="26"/>
      <c r="I282" s="26"/>
      <c r="J282" s="26"/>
      <c r="K282" s="26"/>
      <c r="L282" s="24"/>
      <c r="M282" s="24"/>
      <c r="N282" s="26"/>
      <c r="O282" s="26"/>
      <c r="P282" s="26"/>
      <c r="Q282" s="26"/>
      <c r="R282" s="26"/>
      <c r="S282" s="26"/>
      <c r="T282" s="26"/>
      <c r="U282" s="26"/>
      <c r="V282" s="26"/>
      <c r="W282" s="26">
        <f>MAX($C$10-VLOOKUP($C282,COS!$B$8:$H$991,3,FALSE),0)</f>
        <v>91653.669921875</v>
      </c>
      <c r="X282" s="26">
        <f t="shared" si="347"/>
        <v>5453.7720945247929</v>
      </c>
      <c r="Y282" s="26">
        <f>VLOOKUP($C282,COS!$B$8:$H$991,4,FALSE)</f>
        <v>1099.94921875</v>
      </c>
      <c r="Z282" s="26">
        <f t="shared" si="348"/>
        <v>65.451523760330574</v>
      </c>
      <c r="AA282" s="26">
        <f t="shared" si="445"/>
        <v>1099.94921875</v>
      </c>
      <c r="AB282" s="33">
        <f t="shared" si="446"/>
        <v>32.725761880165287</v>
      </c>
    </row>
    <row r="283" spans="1:28" x14ac:dyDescent="0.3">
      <c r="A283" s="34">
        <f>VLOOKUP(YEAR(C283),Flags!$A$13:$B$95,2,FALSE)</f>
        <v>2</v>
      </c>
      <c r="B283" s="35">
        <f t="shared" si="432"/>
        <v>1951</v>
      </c>
      <c r="C283" s="36">
        <v>18993</v>
      </c>
      <c r="D283" s="37"/>
      <c r="E283" s="35"/>
      <c r="F283" s="37"/>
      <c r="G283" s="37"/>
      <c r="H283" s="37"/>
      <c r="I283" s="37"/>
      <c r="J283" s="37"/>
      <c r="K283" s="37"/>
      <c r="L283" s="35"/>
      <c r="M283" s="35"/>
      <c r="N283" s="37"/>
      <c r="O283" s="37"/>
      <c r="P283" s="37"/>
      <c r="Q283" s="37"/>
      <c r="R283" s="37"/>
      <c r="S283" s="37"/>
      <c r="T283" s="37"/>
      <c r="U283" s="37"/>
      <c r="V283" s="37"/>
      <c r="W283" s="37">
        <f>MAX($C$11-VLOOKUP($C283,COS!$B$8:$H$991,3,FALSE),0)</f>
        <v>0</v>
      </c>
      <c r="X283" s="37">
        <f t="shared" ref="X283:X346" si="448">W283*DAY($C283)*86400/43560/1000</f>
        <v>0</v>
      </c>
      <c r="Y283" s="37">
        <f>VLOOKUP($C283,COS!$B$8:$H$991,4,FALSE)</f>
        <v>0</v>
      </c>
      <c r="Z283" s="37">
        <f t="shared" ref="Z283:Z346" si="449">Y283*DAY($C283)*86400/43560/1000</f>
        <v>0</v>
      </c>
      <c r="AA283" s="37">
        <f t="shared" si="445"/>
        <v>0</v>
      </c>
      <c r="AB283" s="38">
        <f t="shared" si="446"/>
        <v>0</v>
      </c>
    </row>
    <row r="284" spans="1:28" x14ac:dyDescent="0.3">
      <c r="A284" s="27">
        <f>VLOOKUP(YEAR(C284),Flags!$A$13:$B$95,2,FALSE)</f>
        <v>1</v>
      </c>
      <c r="B284" s="28">
        <f t="shared" si="432"/>
        <v>1952</v>
      </c>
      <c r="C284" s="29">
        <v>19114</v>
      </c>
      <c r="D284" s="30">
        <f>VLOOKUP($C284,COS!$B$8:$H$991,3,FALSE)</f>
        <v>16481.419921875</v>
      </c>
      <c r="E284" s="28">
        <f>IF(D284&gt;=IF(MONTH($C284)=4,$C$3,IF(MONTH($C284)=5,$C$4,IF(MONTH($C284)=6,$C$5,IF(MONTH($C284)=7,$C$6,"ERROR")))),1,0)</f>
        <v>1</v>
      </c>
      <c r="F284" s="30">
        <f>VLOOKUP($C284,COS!$B$8:$H$991,7,FALSE)</f>
        <v>46.811973571777344</v>
      </c>
      <c r="G284" s="28">
        <f>IF(F284&lt;=IF(MONTH($C284)=4,$F$3,IF(MONTH($C284)=5,$F$4,IF(MONTH($C284)=6,$F$5,IF(MONTH($C284)=7,$F$6,"ERROR")))),1,0)</f>
        <v>1</v>
      </c>
      <c r="H284" s="30">
        <f>IF(J284=1,D284-$C$3,0)</f>
        <v>10481.419921875</v>
      </c>
      <c r="I284" s="30">
        <f t="shared" ref="I284:I347" si="450">H284*DAY($C284)*86400/43560/1000</f>
        <v>623.68779700413222</v>
      </c>
      <c r="J284" s="28">
        <f t="shared" ref="J284:J287" si="451">IF(AND(E284=1,G284=1),1,0)</f>
        <v>1</v>
      </c>
      <c r="K284" s="30">
        <f>VLOOKUP($C284,COS!$B$8:$H$991,2,FALSE)</f>
        <v>4290</v>
      </c>
      <c r="L284" s="28">
        <f t="shared" ref="L284" si="452">IF(K284&lt;=IF(MONTH($C284)=4,$I$3,IF(MONTH($C284)=5,$I$4,IF(MONTH($C284)=6,$I$5,IF(MONTH($C284)=7,$I$6,"ERROR")))),1,0)</f>
        <v>1</v>
      </c>
      <c r="M284" s="28">
        <f t="shared" ref="M284" si="453">VLOOKUP($A284,$L$3:$M$7,2,FALSE)</f>
        <v>0</v>
      </c>
      <c r="N284" s="30">
        <f>VLOOKUP($C284,COS!$B$8:$H$991,5,FALSE)</f>
        <v>93.1021728515625</v>
      </c>
      <c r="O284" s="30">
        <f t="shared" ref="O284:O287" si="454">N284*DAY($C284)*86400/43560/1000</f>
        <v>5.5399640043904954</v>
      </c>
      <c r="P284" s="30">
        <f>VLOOKUP($C284,COS!$B$8:$H$991,6,FALSE)</f>
        <v>430.79507446289063</v>
      </c>
      <c r="Q284" s="30">
        <f t="shared" ref="Q284:Q287" si="455">P284*DAY($C284)*86400/43560/1000</f>
        <v>25.63408707547779</v>
      </c>
      <c r="R284" s="30">
        <f>MIN(IF(MONTH($C284)=4,$S$3,IF(MONTH($C284)=5,$S$4,IF(MONTH($C284)=6,$S$5,IF(MONTH($C284)=7,$S$6,"ERROR")))),MAX(VLOOKUP($C284,COS!$B$8:$K$991,10,FALSE)-IF(MONTH($C284)=4,$Y$3,IF(MONTH($C284)=5,$Y$4,IF(MONTH($C284)=6,$Y$5,IF(MONTH($C284)=7,$Y$6,"ERROR")))),0),MAX(VLOOKUP($C284,COS!$B$8:$K$991,9,FALSE)-IF(MONTH($C284)=4,$V$3,IF(MONTH($C284)=5,$V$4,IF(MONTH($C284)=6,$V$5,IF(MONTH($C284)=7,$V$6,"ERROR"))))-VLOOKUP($C284,COS!$B$8:$K$991,6,FALSE)/2,0))</f>
        <v>1500</v>
      </c>
      <c r="S284" s="30">
        <f t="shared" ref="S284:S287" si="456">R284*DAY($C284)*86400/43560/1000</f>
        <v>89.256198347107429</v>
      </c>
      <c r="T284" s="30">
        <f t="shared" ref="T284:T287" si="457">(O284+Q284)/2+S284</f>
        <v>104.84322388704157</v>
      </c>
      <c r="U284" s="30" t="str">
        <f>IF(VLOOKUP($C284,COS!$B$8:$I$991,8,FALSE)=1,"UWFE","IBU")</f>
        <v>UWFE</v>
      </c>
      <c r="V284" s="30">
        <f t="shared" ref="V284" si="458">MIN(IF(IF($AA$3=2,AND(E284=1,G284=1,L284=1,L289=1,M284=1,U284="IBU"),AND(E284=1,G284=1,L284=1,L289=1,M284=1)),T284,0),I284)</f>
        <v>0</v>
      </c>
      <c r="W284" s="30"/>
      <c r="X284" s="30"/>
      <c r="Y284" s="30"/>
      <c r="Z284" s="30"/>
      <c r="AA284" s="30"/>
      <c r="AB284" s="31"/>
    </row>
    <row r="285" spans="1:28" x14ac:dyDescent="0.3">
      <c r="A285" s="32">
        <f>VLOOKUP(YEAR(C285),Flags!$A$13:$B$95,2,FALSE)</f>
        <v>1</v>
      </c>
      <c r="B285" s="24">
        <f t="shared" si="432"/>
        <v>1952</v>
      </c>
      <c r="C285" s="25">
        <v>19145</v>
      </c>
      <c r="D285" s="26">
        <f>VLOOKUP($C285,COS!$B$8:$H$991,3,FALSE)</f>
        <v>7205.154296875</v>
      </c>
      <c r="E285" s="24">
        <f>IF(D285&gt;=IF(MONTH($C285)=4,$C$3,IF(MONTH($C285)=5,$C$4,IF(MONTH($C285)=6,$C$5,IF(MONTH($C285)=7,$C$6,"ERROR")))),1,0)</f>
        <v>1</v>
      </c>
      <c r="F285" s="26">
        <f>VLOOKUP($C285,COS!$B$8:$H$991,7,FALSE)</f>
        <v>49.908802032470703</v>
      </c>
      <c r="G285" s="24">
        <f>IF(F285&lt;=IF(MONTH($C285)=4,$F$3,IF(MONTH($C285)=5,$F$4,IF(MONTH($C285)=6,$F$5,IF(MONTH($C285)=7,$F$6,"ERROR")))),1,0)</f>
        <v>1</v>
      </c>
      <c r="H285" s="26">
        <f>IF(J285=1,D285-$C$4,0)</f>
        <v>1205.154296875</v>
      </c>
      <c r="I285" s="26">
        <f t="shared" si="450"/>
        <v>74.102049328512393</v>
      </c>
      <c r="J285" s="24">
        <f t="shared" si="451"/>
        <v>1</v>
      </c>
      <c r="K285" s="26">
        <f>VLOOKUP($C285,COS!$B$8:$H$991,2,FALSE)</f>
        <v>4552</v>
      </c>
      <c r="L285" s="24">
        <f t="shared" si="435"/>
        <v>1</v>
      </c>
      <c r="M285" s="24">
        <f t="shared" si="436"/>
        <v>0</v>
      </c>
      <c r="N285" s="26">
        <f>VLOOKUP($C285,COS!$B$8:$H$991,5,FALSE)</f>
        <v>740.753662109375</v>
      </c>
      <c r="O285" s="26">
        <f t="shared" si="454"/>
        <v>45.547167323088843</v>
      </c>
      <c r="P285" s="26">
        <f>VLOOKUP($C285,COS!$B$8:$H$991,6,FALSE)</f>
        <v>2298.94775390625</v>
      </c>
      <c r="Q285" s="26">
        <f t="shared" si="455"/>
        <v>141.35678751291323</v>
      </c>
      <c r="R285" s="26">
        <f>MIN(IF(MONTH($C285)=4,$S$3,IF(MONTH($C285)=5,$S$4,IF(MONTH($C285)=6,$S$5,IF(MONTH($C285)=7,$S$6,"ERROR")))),MAX(VLOOKUP($C285,COS!$B$8:$K$991,10,FALSE)-IF(MONTH($C285)=4,$Y$3,IF(MONTH($C285)=5,$Y$4,IF(MONTH($C285)=6,$Y$5,IF(MONTH($C285)=7,$Y$6,"ERROR")))),0),MAX(VLOOKUP($C285,COS!$B$8:$K$991,9,FALSE)-IF(MONTH($C285)=4,$V$3,IF(MONTH($C285)=5,$V$4,IF(MONTH($C285)=6,$V$5,IF(MONTH($C285)=7,$V$6,"ERROR"))))-VLOOKUP($C285,COS!$B$8:$K$991,6,FALSE)/2,0))</f>
        <v>1500</v>
      </c>
      <c r="S285" s="26">
        <f t="shared" si="456"/>
        <v>92.231404958677686</v>
      </c>
      <c r="T285" s="26">
        <f t="shared" si="457"/>
        <v>185.68338237667871</v>
      </c>
      <c r="U285" s="26" t="str">
        <f>IF(VLOOKUP($C285,COS!$B$8:$I$991,8,FALSE)=1,"UWFE","IBU")</f>
        <v>UWFE</v>
      </c>
      <c r="V285" s="26">
        <f t="shared" ref="V285" si="459">MIN(IF(IF($AA$3=2,AND(E285=1,G285=1,L285=1,L289=1,M285=1,U285="IBU"),AND(E285=1,G285=1,L285=1,L289=1,M285=1)),T285,0),I285)</f>
        <v>0</v>
      </c>
      <c r="W285" s="26"/>
      <c r="X285" s="26"/>
      <c r="Y285" s="26"/>
      <c r="Z285" s="26"/>
      <c r="AA285" s="26"/>
      <c r="AB285" s="33"/>
    </row>
    <row r="286" spans="1:28" x14ac:dyDescent="0.3">
      <c r="A286" s="32">
        <f>VLOOKUP(YEAR(C286),Flags!$A$13:$B$95,2,FALSE)</f>
        <v>1</v>
      </c>
      <c r="B286" s="24">
        <f t="shared" si="432"/>
        <v>1952</v>
      </c>
      <c r="C286" s="25">
        <v>19175</v>
      </c>
      <c r="D286" s="26">
        <f>VLOOKUP($C286,COS!$B$8:$H$991,3,FALSE)</f>
        <v>6688.24560546875</v>
      </c>
      <c r="E286" s="24">
        <f>IF(D286&gt;=IF(MONTH($C286)=4,$C$3,IF(MONTH($C286)=5,$C$4,IF(MONTH($C286)=6,$C$5,IF(MONTH($C286)=7,$C$6,"ERROR")))),1,0)</f>
        <v>0</v>
      </c>
      <c r="F286" s="26">
        <f>VLOOKUP($C286,COS!$B$8:$H$991,7,FALSE)</f>
        <v>51.496559143066406</v>
      </c>
      <c r="G286" s="24">
        <f>IF(F286&lt;=IF(MONTH($C286)=4,$F$3,IF(MONTH($C286)=5,$F$4,IF(MONTH($C286)=6,$F$5,IF(MONTH($C286)=7,$F$6,"ERROR")))),1,0)</f>
        <v>1</v>
      </c>
      <c r="H286" s="26">
        <f>IF(J286=1,D286-$C$5,0)</f>
        <v>0</v>
      </c>
      <c r="I286" s="26">
        <f t="shared" si="450"/>
        <v>0</v>
      </c>
      <c r="J286" s="24">
        <f t="shared" si="451"/>
        <v>0</v>
      </c>
      <c r="K286" s="26">
        <f>VLOOKUP($C286,COS!$B$8:$H$991,2,FALSE)</f>
        <v>4500</v>
      </c>
      <c r="L286" s="24">
        <f t="shared" si="435"/>
        <v>1</v>
      </c>
      <c r="M286" s="24">
        <f t="shared" si="436"/>
        <v>0</v>
      </c>
      <c r="N286" s="26">
        <f>VLOOKUP($C286,COS!$B$8:$H$991,5,FALSE)</f>
        <v>1056.9393310546875</v>
      </c>
      <c r="O286" s="26">
        <f t="shared" si="454"/>
        <v>62.892257715650828</v>
      </c>
      <c r="P286" s="26">
        <f>VLOOKUP($C286,COS!$B$8:$H$991,6,FALSE)</f>
        <v>2224.63916015625</v>
      </c>
      <c r="Q286" s="26">
        <f t="shared" si="455"/>
        <v>132.37522275309917</v>
      </c>
      <c r="R286" s="26">
        <f>MIN(IF(MONTH($C286)=4,$S$3,IF(MONTH($C286)=5,$S$4,IF(MONTH($C286)=6,$S$5,IF(MONTH($C286)=7,$S$6,"ERROR")))),MAX(VLOOKUP($C286,COS!$B$8:$K$991,10,FALSE)-IF(MONTH($C286)=4,$Y$3,IF(MONTH($C286)=5,$Y$4,IF(MONTH($C286)=6,$Y$5,IF(MONTH($C286)=7,$Y$6,"ERROR")))),0),MAX(VLOOKUP($C286,COS!$B$8:$K$991,9,FALSE)-IF(MONTH($C286)=4,$V$3,IF(MONTH($C286)=5,$V$4,IF(MONTH($C286)=6,$V$5,IF(MONTH($C286)=7,$V$6,"ERROR"))))-VLOOKUP($C286,COS!$B$8:$K$991,6,FALSE)/2,0))</f>
        <v>1500</v>
      </c>
      <c r="S286" s="26">
        <f t="shared" si="456"/>
        <v>89.256198347107429</v>
      </c>
      <c r="T286" s="26">
        <f t="shared" si="457"/>
        <v>186.88993858148243</v>
      </c>
      <c r="U286" s="26" t="str">
        <f>IF(VLOOKUP($C286,COS!$B$8:$I$991,8,FALSE)=1,"UWFE","IBU")</f>
        <v>UWFE</v>
      </c>
      <c r="V286" s="26">
        <f t="shared" ref="V286" si="460">MIN(IF(IF($AA$3=2,AND(E286=1,G286=1,L286=1,L289=1,M286=1,U286="IBU"),AND(E286=1,G286=1,L286=1,L289=1,M286=1)),T286,0),I286)</f>
        <v>0</v>
      </c>
      <c r="W286" s="26"/>
      <c r="X286" s="26"/>
      <c r="Y286" s="26"/>
      <c r="Z286" s="26"/>
      <c r="AA286" s="26"/>
      <c r="AB286" s="33"/>
    </row>
    <row r="287" spans="1:28" x14ac:dyDescent="0.3">
      <c r="A287" s="32">
        <f>VLOOKUP(YEAR(C287),Flags!$A$13:$B$95,2,FALSE)</f>
        <v>1</v>
      </c>
      <c r="B287" s="24">
        <f t="shared" si="432"/>
        <v>1952</v>
      </c>
      <c r="C287" s="25">
        <v>19206</v>
      </c>
      <c r="D287" s="26">
        <f>VLOOKUP($C287,COS!$B$8:$H$991,3,FALSE)</f>
        <v>9808.591796875</v>
      </c>
      <c r="E287" s="24">
        <f>IF(D287&gt;=IF(MONTH($C287)=4,$C$3,IF(MONTH($C287)=5,$C$4,IF(MONTH($C287)=6,$C$5,IF(MONTH($C287)=7,$C$6,"ERROR")))),1,0)</f>
        <v>0</v>
      </c>
      <c r="F287" s="26">
        <f>VLOOKUP($C287,COS!$B$8:$H$991,7,FALSE)</f>
        <v>52.452281951904297</v>
      </c>
      <c r="G287" s="24">
        <f>IF(F287&lt;=IF(MONTH($C287)=4,$F$3,IF(MONTH($C287)=5,$F$4,IF(MONTH($C287)=6,$F$5,IF(MONTH($C287)=7,$F$6,"ERROR")))),1,0)</f>
        <v>1</v>
      </c>
      <c r="H287" s="26">
        <f>IF(J287=1,D287-$C$6,0)</f>
        <v>0</v>
      </c>
      <c r="I287" s="26">
        <f t="shared" si="450"/>
        <v>0</v>
      </c>
      <c r="J287" s="24">
        <f t="shared" si="451"/>
        <v>0</v>
      </c>
      <c r="K287" s="26">
        <f>VLOOKUP($C287,COS!$B$8:$H$991,2,FALSE)</f>
        <v>4145.533203125</v>
      </c>
      <c r="L287" s="24">
        <f t="shared" si="435"/>
        <v>1</v>
      </c>
      <c r="M287" s="24">
        <f t="shared" si="436"/>
        <v>0</v>
      </c>
      <c r="N287" s="26">
        <f>VLOOKUP($C287,COS!$B$8:$H$991,5,FALSE)</f>
        <v>1272.6998291015625</v>
      </c>
      <c r="O287" s="26">
        <f t="shared" si="454"/>
        <v>78.255262219137393</v>
      </c>
      <c r="P287" s="26">
        <f>VLOOKUP($C287,COS!$B$8:$H$991,6,FALSE)</f>
        <v>2503.0556640625</v>
      </c>
      <c r="Q287" s="26">
        <f t="shared" si="455"/>
        <v>153.90689372417353</v>
      </c>
      <c r="R287" s="26">
        <f>MIN(IF(MONTH($C287)=4,$S$3,IF(MONTH($C287)=5,$S$4,IF(MONTH($C287)=6,$S$5,IF(MONTH($C287)=7,$S$6,"ERROR")))),MAX(VLOOKUP($C287,COS!$B$8:$K$991,10,FALSE)-IF(MONTH($C287)=4,$Y$3,IF(MONTH($C287)=5,$Y$4,IF(MONTH($C287)=6,$Y$5,IF(MONTH($C287)=7,$Y$6,"ERROR")))),0),MAX(VLOOKUP($C287,COS!$B$8:$K$991,9,FALSE)-IF(MONTH($C287)=4,$V$3,IF(MONTH($C287)=5,$V$4,IF(MONTH($C287)=6,$V$5,IF(MONTH($C287)=7,$V$6,"ERROR"))))-VLOOKUP($C287,COS!$B$8:$K$991,6,FALSE)/2,0))</f>
        <v>1500</v>
      </c>
      <c r="S287" s="26">
        <f t="shared" si="456"/>
        <v>92.231404958677686</v>
      </c>
      <c r="T287" s="26">
        <f t="shared" si="457"/>
        <v>208.31248293033315</v>
      </c>
      <c r="U287" s="26" t="str">
        <f>IF(VLOOKUP($C287,COS!$B$8:$I$991,8,FALSE)=1,"UWFE","IBU")</f>
        <v>UWFE</v>
      </c>
      <c r="V287" s="26">
        <f t="shared" ref="V287" si="461">MIN(IF(IF($AA$3=2,AND(E287=1,G287=1,L287=1,L289=1,M287=1,U287="IBU"),AND(E287=1,G287=1,L287=1,L289=1,M287=1)),T287,0),I287)</f>
        <v>0</v>
      </c>
      <c r="W287" s="26"/>
      <c r="X287" s="26"/>
      <c r="Y287" s="26"/>
      <c r="Z287" s="26"/>
      <c r="AA287" s="26"/>
      <c r="AB287" s="33"/>
    </row>
    <row r="288" spans="1:28" x14ac:dyDescent="0.3">
      <c r="A288" s="32">
        <f>VLOOKUP(YEAR(C288),Flags!$A$13:$B$95,2,FALSE)</f>
        <v>1</v>
      </c>
      <c r="B288" s="24">
        <f t="shared" si="432"/>
        <v>1952</v>
      </c>
      <c r="C288" s="25">
        <v>19237</v>
      </c>
      <c r="D288" s="26"/>
      <c r="E288" s="24"/>
      <c r="F288" s="26"/>
      <c r="G288" s="24"/>
      <c r="H288" s="24"/>
      <c r="I288" s="26"/>
      <c r="J288" s="24"/>
      <c r="K288" s="26"/>
      <c r="L288" s="24"/>
      <c r="M288" s="24"/>
      <c r="N288" s="26"/>
      <c r="O288" s="26"/>
      <c r="P288" s="26"/>
      <c r="Q288" s="26"/>
      <c r="R288" s="26"/>
      <c r="S288" s="26"/>
      <c r="T288" s="26"/>
      <c r="U288" s="26"/>
      <c r="V288" s="26"/>
      <c r="W288" s="26">
        <f>MAX($C$7-VLOOKUP($C288,COS!$B$8:$H$991,3,FALSE),0)</f>
        <v>88187.6650390625</v>
      </c>
      <c r="X288" s="26">
        <f t="shared" si="448"/>
        <v>5422.4481643853305</v>
      </c>
      <c r="Y288" s="26">
        <f>VLOOKUP($C288,COS!$B$8:$H$991,4,FALSE)</f>
        <v>0</v>
      </c>
      <c r="Z288" s="26">
        <f t="shared" si="449"/>
        <v>0</v>
      </c>
      <c r="AA288" s="26">
        <f t="shared" ref="AA288:AA292" si="462">MIN(W288,Y288)</f>
        <v>0</v>
      </c>
      <c r="AB288" s="33">
        <f t="shared" ref="AB288" si="463">AA288*DAY($C288)*86400/43560/1000*IF(MONTH($C288)=8,$P$3,IF(MONTH($C288)=9,$P$4,IF(MONTH($C288)=10,$P$5,IF(MONTH($C288)=11,$P$6,IF(MONTH($C288)=12,$P$7,NA())))))</f>
        <v>0</v>
      </c>
    </row>
    <row r="289" spans="1:28" x14ac:dyDescent="0.3">
      <c r="A289" s="32">
        <f>VLOOKUP(YEAR(C289),Flags!$A$13:$B$95,2,FALSE)</f>
        <v>1</v>
      </c>
      <c r="B289" s="24">
        <f t="shared" si="432"/>
        <v>1952</v>
      </c>
      <c r="C289" s="25">
        <v>19267</v>
      </c>
      <c r="D289" s="26"/>
      <c r="E289" s="24"/>
      <c r="F289" s="26"/>
      <c r="G289" s="24"/>
      <c r="H289" s="24"/>
      <c r="I289" s="26"/>
      <c r="J289" s="24"/>
      <c r="K289" s="26">
        <f>VLOOKUP($C289,COS!$B$8:$H$991,2,FALSE)</f>
        <v>3316.7529296875</v>
      </c>
      <c r="L289" s="24">
        <f t="shared" ref="L289" si="464">IF(AND(K289&gt;$I$7,K289&lt;$I$8),1,0)</f>
        <v>1</v>
      </c>
      <c r="M289" s="24"/>
      <c r="N289" s="26"/>
      <c r="O289" s="26"/>
      <c r="P289" s="26"/>
      <c r="Q289" s="26"/>
      <c r="R289" s="26"/>
      <c r="S289" s="26"/>
      <c r="T289" s="26"/>
      <c r="U289" s="26"/>
      <c r="V289" s="26"/>
      <c r="W289" s="26">
        <f>MAX($C$8-VLOOKUP($C289,COS!$B$8:$H$991,3,FALSE),0)</f>
        <v>87814.3583984375</v>
      </c>
      <c r="X289" s="26">
        <f t="shared" si="448"/>
        <v>5225.3171939566118</v>
      </c>
      <c r="Y289" s="26">
        <f>VLOOKUP($C289,COS!$B$8:$H$991,4,FALSE)</f>
        <v>38.310874938964844</v>
      </c>
      <c r="Z289" s="26">
        <f t="shared" si="449"/>
        <v>2.2796553682689824</v>
      </c>
      <c r="AA289" s="26">
        <f t="shared" si="462"/>
        <v>38.310874938964844</v>
      </c>
      <c r="AB289" s="33">
        <f t="shared" si="446"/>
        <v>2.2796553682689824</v>
      </c>
    </row>
    <row r="290" spans="1:28" x14ac:dyDescent="0.3">
      <c r="A290" s="32">
        <f>VLOOKUP(YEAR(C290),Flags!$A$13:$B$95,2,FALSE)</f>
        <v>1</v>
      </c>
      <c r="B290" s="24">
        <f t="shared" si="432"/>
        <v>1952</v>
      </c>
      <c r="C290" s="25">
        <v>19298</v>
      </c>
      <c r="D290" s="26"/>
      <c r="E290" s="24"/>
      <c r="F290" s="26"/>
      <c r="G290" s="26"/>
      <c r="H290" s="26"/>
      <c r="I290" s="26"/>
      <c r="J290" s="26"/>
      <c r="K290" s="26"/>
      <c r="L290" s="24"/>
      <c r="M290" s="24"/>
      <c r="N290" s="26"/>
      <c r="O290" s="26"/>
      <c r="P290" s="26"/>
      <c r="Q290" s="26"/>
      <c r="R290" s="26"/>
      <c r="S290" s="26"/>
      <c r="T290" s="26"/>
      <c r="U290" s="26"/>
      <c r="V290" s="26"/>
      <c r="W290" s="26">
        <f>MAX($C$9-VLOOKUP($C290,COS!$B$8:$H$991,3,FALSE),0)</f>
        <v>92103.11669921875</v>
      </c>
      <c r="X290" s="26">
        <f t="shared" si="448"/>
        <v>5663.1999028279961</v>
      </c>
      <c r="Y290" s="26">
        <f>VLOOKUP($C290,COS!$B$8:$H$991,4,FALSE)</f>
        <v>203.00856018066406</v>
      </c>
      <c r="Z290" s="26">
        <f t="shared" si="449"/>
        <v>12.482509816067278</v>
      </c>
      <c r="AA290" s="26">
        <f t="shared" si="462"/>
        <v>203.00856018066406</v>
      </c>
      <c r="AB290" s="33">
        <f t="shared" si="446"/>
        <v>12.482509816067278</v>
      </c>
    </row>
    <row r="291" spans="1:28" x14ac:dyDescent="0.3">
      <c r="A291" s="32">
        <f>VLOOKUP(YEAR(C291),Flags!$A$13:$B$95,2,FALSE)</f>
        <v>1</v>
      </c>
      <c r="B291" s="24">
        <f t="shared" si="432"/>
        <v>1952</v>
      </c>
      <c r="C291" s="25">
        <v>19328</v>
      </c>
      <c r="D291" s="26"/>
      <c r="E291" s="24"/>
      <c r="F291" s="26"/>
      <c r="G291" s="26"/>
      <c r="H291" s="26"/>
      <c r="I291" s="26"/>
      <c r="J291" s="26"/>
      <c r="K291" s="26"/>
      <c r="L291" s="24"/>
      <c r="M291" s="24"/>
      <c r="N291" s="26"/>
      <c r="O291" s="26"/>
      <c r="P291" s="26"/>
      <c r="Q291" s="26"/>
      <c r="R291" s="26"/>
      <c r="S291" s="26"/>
      <c r="T291" s="26"/>
      <c r="U291" s="26"/>
      <c r="V291" s="26"/>
      <c r="W291" s="26">
        <f>MAX($C$10-VLOOKUP($C291,COS!$B$8:$H$991,3,FALSE),0)</f>
        <v>89899.2255859375</v>
      </c>
      <c r="X291" s="26">
        <f t="shared" si="448"/>
        <v>5349.3754067665295</v>
      </c>
      <c r="Y291" s="26">
        <f>VLOOKUP($C291,COS!$B$8:$H$991,4,FALSE)</f>
        <v>736.8885498046875</v>
      </c>
      <c r="Z291" s="26">
        <f t="shared" si="449"/>
        <v>43.847913707386361</v>
      </c>
      <c r="AA291" s="26">
        <f t="shared" si="462"/>
        <v>736.8885498046875</v>
      </c>
      <c r="AB291" s="33">
        <f t="shared" si="446"/>
        <v>21.923956853693181</v>
      </c>
    </row>
    <row r="292" spans="1:28" x14ac:dyDescent="0.3">
      <c r="A292" s="34">
        <f>VLOOKUP(YEAR(C292),Flags!$A$13:$B$95,2,FALSE)</f>
        <v>1</v>
      </c>
      <c r="B292" s="35">
        <f t="shared" si="432"/>
        <v>1952</v>
      </c>
      <c r="C292" s="36">
        <v>19359</v>
      </c>
      <c r="D292" s="37"/>
      <c r="E292" s="35"/>
      <c r="F292" s="37"/>
      <c r="G292" s="37"/>
      <c r="H292" s="37"/>
      <c r="I292" s="37"/>
      <c r="J292" s="37"/>
      <c r="K292" s="37"/>
      <c r="L292" s="35"/>
      <c r="M292" s="35"/>
      <c r="N292" s="37"/>
      <c r="O292" s="37"/>
      <c r="P292" s="37"/>
      <c r="Q292" s="37"/>
      <c r="R292" s="37"/>
      <c r="S292" s="37"/>
      <c r="T292" s="37"/>
      <c r="U292" s="37"/>
      <c r="V292" s="37"/>
      <c r="W292" s="37">
        <f>MAX($C$11-VLOOKUP($C292,COS!$B$8:$H$991,3,FALSE),0)</f>
        <v>0</v>
      </c>
      <c r="X292" s="37">
        <f t="shared" si="448"/>
        <v>0</v>
      </c>
      <c r="Y292" s="37">
        <f>VLOOKUP($C292,COS!$B$8:$H$991,4,FALSE)</f>
        <v>0</v>
      </c>
      <c r="Z292" s="37">
        <f t="shared" si="449"/>
        <v>0</v>
      </c>
      <c r="AA292" s="37">
        <f t="shared" si="462"/>
        <v>0</v>
      </c>
      <c r="AB292" s="38">
        <f t="shared" si="446"/>
        <v>0</v>
      </c>
    </row>
    <row r="293" spans="1:28" x14ac:dyDescent="0.3">
      <c r="A293" s="27">
        <f>VLOOKUP(YEAR(C293),Flags!$A$13:$B$95,2,FALSE)</f>
        <v>1</v>
      </c>
      <c r="B293" s="28">
        <f t="shared" si="432"/>
        <v>1953</v>
      </c>
      <c r="C293" s="29">
        <v>19479</v>
      </c>
      <c r="D293" s="30">
        <f>VLOOKUP($C293,COS!$B$8:$H$991,3,FALSE)</f>
        <v>5435.791015625</v>
      </c>
      <c r="E293" s="28">
        <f>IF(D293&gt;=IF(MONTH($C293)=4,$C$3,IF(MONTH($C293)=5,$C$4,IF(MONTH($C293)=6,$C$5,IF(MONTH($C293)=7,$C$6,"ERROR")))),1,0)</f>
        <v>0</v>
      </c>
      <c r="F293" s="30">
        <f>VLOOKUP($C293,COS!$B$8:$H$991,7,FALSE)</f>
        <v>48.983604431152344</v>
      </c>
      <c r="G293" s="28">
        <f>IF(F293&lt;=IF(MONTH($C293)=4,$F$3,IF(MONTH($C293)=5,$F$4,IF(MONTH($C293)=6,$F$5,IF(MONTH($C293)=7,$F$6,"ERROR")))),1,0)</f>
        <v>1</v>
      </c>
      <c r="H293" s="30">
        <f>IF(J293=1,D293-$C$3,0)</f>
        <v>0</v>
      </c>
      <c r="I293" s="30">
        <f t="shared" si="450"/>
        <v>0</v>
      </c>
      <c r="J293" s="28">
        <f t="shared" ref="J293:J296" si="465">IF(AND(E293=1,G293=1),1,0)</f>
        <v>0</v>
      </c>
      <c r="K293" s="30">
        <f>VLOOKUP($C293,COS!$B$8:$H$991,2,FALSE)</f>
        <v>4552</v>
      </c>
      <c r="L293" s="28">
        <f t="shared" ref="L293" si="466">IF(K293&lt;=IF(MONTH($C293)=4,$I$3,IF(MONTH($C293)=5,$I$4,IF(MONTH($C293)=6,$I$5,IF(MONTH($C293)=7,$I$6,"ERROR")))),1,0)</f>
        <v>1</v>
      </c>
      <c r="M293" s="28">
        <f t="shared" ref="M293" si="467">VLOOKUP($A293,$L$3:$M$7,2,FALSE)</f>
        <v>0</v>
      </c>
      <c r="N293" s="30">
        <f>VLOOKUP($C293,COS!$B$8:$H$991,5,FALSE)</f>
        <v>445.47723388671875</v>
      </c>
      <c r="O293" s="30">
        <f t="shared" ref="O293:O296" si="468">N293*DAY($C293)*86400/43560/1000</f>
        <v>26.507736231275828</v>
      </c>
      <c r="P293" s="30">
        <f>VLOOKUP($C293,COS!$B$8:$H$991,6,FALSE)</f>
        <v>432.80410766601563</v>
      </c>
      <c r="Q293" s="30">
        <f t="shared" ref="Q293:Q296" si="469">P293*DAY($C293)*86400/43560/1000</f>
        <v>25.753632852853823</v>
      </c>
      <c r="R293" s="30">
        <f>MIN(IF(MONTH($C293)=4,$S$3,IF(MONTH($C293)=5,$S$4,IF(MONTH($C293)=6,$S$5,IF(MONTH($C293)=7,$S$6,"ERROR")))),MAX(VLOOKUP($C293,COS!$B$8:$K$991,10,FALSE)-IF(MONTH($C293)=4,$Y$3,IF(MONTH($C293)=5,$Y$4,IF(MONTH($C293)=6,$Y$5,IF(MONTH($C293)=7,$Y$6,"ERROR")))),0),MAX(VLOOKUP($C293,COS!$B$8:$K$991,9,FALSE)-IF(MONTH($C293)=4,$V$3,IF(MONTH($C293)=5,$V$4,IF(MONTH($C293)=6,$V$5,IF(MONTH($C293)=7,$V$6,"ERROR"))))-VLOOKUP($C293,COS!$B$8:$K$991,6,FALSE)/2,0))</f>
        <v>1500</v>
      </c>
      <c r="S293" s="30">
        <f t="shared" ref="S293:S296" si="470">R293*DAY($C293)*86400/43560/1000</f>
        <v>89.256198347107429</v>
      </c>
      <c r="T293" s="30">
        <f t="shared" ref="T293:T296" si="471">(O293+Q293)/2+S293</f>
        <v>115.38688288917226</v>
      </c>
      <c r="U293" s="30" t="str">
        <f>IF(VLOOKUP($C293,COS!$B$8:$I$991,8,FALSE)=1,"UWFE","IBU")</f>
        <v>UWFE</v>
      </c>
      <c r="V293" s="30">
        <f t="shared" ref="V293" si="472">MIN(IF(IF($AA$3=2,AND(E293=1,G293=1,L293=1,L298=1,M293=1,U293="IBU"),AND(E293=1,G293=1,L293=1,L298=1,M293=1)),T293,0),I293)</f>
        <v>0</v>
      </c>
      <c r="W293" s="30"/>
      <c r="X293" s="30"/>
      <c r="Y293" s="30"/>
      <c r="Z293" s="30"/>
      <c r="AA293" s="30"/>
      <c r="AB293" s="31"/>
    </row>
    <row r="294" spans="1:28" x14ac:dyDescent="0.3">
      <c r="A294" s="32">
        <f>VLOOKUP(YEAR(C294),Flags!$A$13:$B$95,2,FALSE)</f>
        <v>1</v>
      </c>
      <c r="B294" s="24">
        <f t="shared" si="432"/>
        <v>1953</v>
      </c>
      <c r="C294" s="25">
        <v>19510</v>
      </c>
      <c r="D294" s="26">
        <f>VLOOKUP($C294,COS!$B$8:$H$991,3,FALSE)</f>
        <v>9500.9638671875</v>
      </c>
      <c r="E294" s="24">
        <f>IF(D294&gt;=IF(MONTH($C294)=4,$C$3,IF(MONTH($C294)=5,$C$4,IF(MONTH($C294)=6,$C$5,IF(MONTH($C294)=7,$C$6,"ERROR")))),1,0)</f>
        <v>1</v>
      </c>
      <c r="F294" s="26">
        <f>VLOOKUP($C294,COS!$B$8:$H$991,7,FALSE)</f>
        <v>48.526103973388672</v>
      </c>
      <c r="G294" s="24">
        <f>IF(F294&lt;=IF(MONTH($C294)=4,$F$3,IF(MONTH($C294)=5,$F$4,IF(MONTH($C294)=6,$F$5,IF(MONTH($C294)=7,$F$6,"ERROR")))),1,0)</f>
        <v>1</v>
      </c>
      <c r="H294" s="26">
        <f>IF(J294=1,D294-$C$4,0)</f>
        <v>3500.9638671875</v>
      </c>
      <c r="I294" s="26">
        <f t="shared" si="450"/>
        <v>215.26587745351239</v>
      </c>
      <c r="J294" s="24">
        <f t="shared" si="465"/>
        <v>1</v>
      </c>
      <c r="K294" s="26">
        <f>VLOOKUP($C294,COS!$B$8:$H$991,2,FALSE)</f>
        <v>4552</v>
      </c>
      <c r="L294" s="24">
        <f t="shared" si="435"/>
        <v>1</v>
      </c>
      <c r="M294" s="24">
        <f t="shared" si="436"/>
        <v>0</v>
      </c>
      <c r="N294" s="26">
        <f>VLOOKUP($C294,COS!$B$8:$H$991,5,FALSE)</f>
        <v>730.5885009765625</v>
      </c>
      <c r="O294" s="26">
        <f t="shared" si="468"/>
        <v>44.922135927815084</v>
      </c>
      <c r="P294" s="26">
        <f>VLOOKUP($C294,COS!$B$8:$H$991,6,FALSE)</f>
        <v>2213.400634765625</v>
      </c>
      <c r="Q294" s="26">
        <f t="shared" si="469"/>
        <v>136.09670018724174</v>
      </c>
      <c r="R294" s="26">
        <f>MIN(IF(MONTH($C294)=4,$S$3,IF(MONTH($C294)=5,$S$4,IF(MONTH($C294)=6,$S$5,IF(MONTH($C294)=7,$S$6,"ERROR")))),MAX(VLOOKUP($C294,COS!$B$8:$K$991,10,FALSE)-IF(MONTH($C294)=4,$Y$3,IF(MONTH($C294)=5,$Y$4,IF(MONTH($C294)=6,$Y$5,IF(MONTH($C294)=7,$Y$6,"ERROR")))),0),MAX(VLOOKUP($C294,COS!$B$8:$K$991,9,FALSE)-IF(MONTH($C294)=4,$V$3,IF(MONTH($C294)=5,$V$4,IF(MONTH($C294)=6,$V$5,IF(MONTH($C294)=7,$V$6,"ERROR"))))-VLOOKUP($C294,COS!$B$8:$K$991,6,FALSE)/2,0))</f>
        <v>1500</v>
      </c>
      <c r="S294" s="26">
        <f t="shared" si="470"/>
        <v>92.231404958677686</v>
      </c>
      <c r="T294" s="26">
        <f t="shared" si="471"/>
        <v>182.74082301620609</v>
      </c>
      <c r="U294" s="26" t="str">
        <f>IF(VLOOKUP($C294,COS!$B$8:$I$991,8,FALSE)=1,"UWFE","IBU")</f>
        <v>UWFE</v>
      </c>
      <c r="V294" s="26">
        <f t="shared" ref="V294" si="473">MIN(IF(IF($AA$3=2,AND(E294=1,G294=1,L294=1,L298=1,M294=1,U294="IBU"),AND(E294=1,G294=1,L294=1,L298=1,M294=1)),T294,0),I294)</f>
        <v>0</v>
      </c>
      <c r="W294" s="26"/>
      <c r="X294" s="26"/>
      <c r="Y294" s="26"/>
      <c r="Z294" s="26"/>
      <c r="AA294" s="26"/>
      <c r="AB294" s="33"/>
    </row>
    <row r="295" spans="1:28" x14ac:dyDescent="0.3">
      <c r="A295" s="32">
        <f>VLOOKUP(YEAR(C295),Flags!$A$13:$B$95,2,FALSE)</f>
        <v>1</v>
      </c>
      <c r="B295" s="24">
        <f t="shared" si="432"/>
        <v>1953</v>
      </c>
      <c r="C295" s="25">
        <v>19540</v>
      </c>
      <c r="D295" s="26">
        <f>VLOOKUP($C295,COS!$B$8:$H$991,3,FALSE)</f>
        <v>8763.9052734375</v>
      </c>
      <c r="E295" s="24">
        <f>IF(D295&gt;=IF(MONTH($C295)=4,$C$3,IF(MONTH($C295)=5,$C$4,IF(MONTH($C295)=6,$C$5,IF(MONTH($C295)=7,$C$6,"ERROR")))),1,0)</f>
        <v>0</v>
      </c>
      <c r="F295" s="26">
        <f>VLOOKUP($C295,COS!$B$8:$H$991,7,FALSE)</f>
        <v>50.420295715332031</v>
      </c>
      <c r="G295" s="24">
        <f>IF(F295&lt;=IF(MONTH($C295)=4,$F$3,IF(MONTH($C295)=5,$F$4,IF(MONTH($C295)=6,$F$5,IF(MONTH($C295)=7,$F$6,"ERROR")))),1,0)</f>
        <v>1</v>
      </c>
      <c r="H295" s="26">
        <f>IF(J295=1,D295-$C$5,0)</f>
        <v>0</v>
      </c>
      <c r="I295" s="26">
        <f t="shared" si="450"/>
        <v>0</v>
      </c>
      <c r="J295" s="24">
        <f t="shared" si="465"/>
        <v>0</v>
      </c>
      <c r="K295" s="26">
        <f>VLOOKUP($C295,COS!$B$8:$H$991,2,FALSE)</f>
        <v>4500</v>
      </c>
      <c r="L295" s="24">
        <f t="shared" si="435"/>
        <v>1</v>
      </c>
      <c r="M295" s="24">
        <f t="shared" si="436"/>
        <v>0</v>
      </c>
      <c r="N295" s="26">
        <f>VLOOKUP($C295,COS!$B$8:$H$991,5,FALSE)</f>
        <v>1097.9736328125</v>
      </c>
      <c r="O295" s="26">
        <f t="shared" si="468"/>
        <v>65.333968233471069</v>
      </c>
      <c r="P295" s="26">
        <f>VLOOKUP($C295,COS!$B$8:$H$991,6,FALSE)</f>
        <v>2273.646484375</v>
      </c>
      <c r="Q295" s="26">
        <f t="shared" si="469"/>
        <v>135.29136105371902</v>
      </c>
      <c r="R295" s="26">
        <f>MIN(IF(MONTH($C295)=4,$S$3,IF(MONTH($C295)=5,$S$4,IF(MONTH($C295)=6,$S$5,IF(MONTH($C295)=7,$S$6,"ERROR")))),MAX(VLOOKUP($C295,COS!$B$8:$K$991,10,FALSE)-IF(MONTH($C295)=4,$Y$3,IF(MONTH($C295)=5,$Y$4,IF(MONTH($C295)=6,$Y$5,IF(MONTH($C295)=7,$Y$6,"ERROR")))),0),MAX(VLOOKUP($C295,COS!$B$8:$K$991,9,FALSE)-IF(MONTH($C295)=4,$V$3,IF(MONTH($C295)=5,$V$4,IF(MONTH($C295)=6,$V$5,IF(MONTH($C295)=7,$V$6,"ERROR"))))-VLOOKUP($C295,COS!$B$8:$K$991,6,FALSE)/2,0))</f>
        <v>1500</v>
      </c>
      <c r="S295" s="26">
        <f t="shared" si="470"/>
        <v>89.256198347107429</v>
      </c>
      <c r="T295" s="26">
        <f t="shared" si="471"/>
        <v>189.56886299070248</v>
      </c>
      <c r="U295" s="26" t="str">
        <f>IF(VLOOKUP($C295,COS!$B$8:$I$991,8,FALSE)=1,"UWFE","IBU")</f>
        <v>UWFE</v>
      </c>
      <c r="V295" s="26">
        <f t="shared" ref="V295" si="474">MIN(IF(IF($AA$3=2,AND(E295=1,G295=1,L295=1,L298=1,M295=1,U295="IBU"),AND(E295=1,G295=1,L295=1,L298=1,M295=1)),T295,0),I295)</f>
        <v>0</v>
      </c>
      <c r="W295" s="26"/>
      <c r="X295" s="26"/>
      <c r="Y295" s="26"/>
      <c r="Z295" s="26"/>
      <c r="AA295" s="26"/>
      <c r="AB295" s="33"/>
    </row>
    <row r="296" spans="1:28" x14ac:dyDescent="0.3">
      <c r="A296" s="32">
        <f>VLOOKUP(YEAR(C296),Flags!$A$13:$B$95,2,FALSE)</f>
        <v>1</v>
      </c>
      <c r="B296" s="24">
        <f t="shared" si="432"/>
        <v>1953</v>
      </c>
      <c r="C296" s="25">
        <v>19571</v>
      </c>
      <c r="D296" s="26">
        <f>VLOOKUP($C296,COS!$B$8:$H$991,3,FALSE)</f>
        <v>14905.9033203125</v>
      </c>
      <c r="E296" s="24">
        <f>IF(D296&gt;=IF(MONTH($C296)=4,$C$3,IF(MONTH($C296)=5,$C$4,IF(MONTH($C296)=6,$C$5,IF(MONTH($C296)=7,$C$6,"ERROR")))),1,0)</f>
        <v>1</v>
      </c>
      <c r="F296" s="26">
        <f>VLOOKUP($C296,COS!$B$8:$H$991,7,FALSE)</f>
        <v>51.294979095458984</v>
      </c>
      <c r="G296" s="24">
        <f>IF(F296&lt;=IF(MONTH($C296)=4,$F$3,IF(MONTH($C296)=5,$F$4,IF(MONTH($C296)=6,$F$5,IF(MONTH($C296)=7,$F$6,"ERROR")))),1,0)</f>
        <v>1</v>
      </c>
      <c r="H296" s="26">
        <f>IF(J296=1,D296-$C$6,0)</f>
        <v>2905.9033203125</v>
      </c>
      <c r="I296" s="26">
        <f t="shared" si="450"/>
        <v>178.67703060433885</v>
      </c>
      <c r="J296" s="24">
        <f t="shared" si="465"/>
        <v>1</v>
      </c>
      <c r="K296" s="26">
        <f>VLOOKUP($C296,COS!$B$8:$H$991,2,FALSE)</f>
        <v>3867.513427734375</v>
      </c>
      <c r="L296" s="24">
        <f t="shared" si="435"/>
        <v>1</v>
      </c>
      <c r="M296" s="24">
        <f t="shared" si="436"/>
        <v>0</v>
      </c>
      <c r="N296" s="26">
        <f>VLOOKUP($C296,COS!$B$8:$H$991,5,FALSE)</f>
        <v>1282.49609375</v>
      </c>
      <c r="O296" s="26">
        <f t="shared" si="468"/>
        <v>78.857611053719012</v>
      </c>
      <c r="P296" s="26">
        <f>VLOOKUP($C296,COS!$B$8:$H$991,6,FALSE)</f>
        <v>2616.67822265625</v>
      </c>
      <c r="Q296" s="26">
        <f t="shared" si="469"/>
        <v>160.89327253357436</v>
      </c>
      <c r="R296" s="26">
        <f>MIN(IF(MONTH($C296)=4,$S$3,IF(MONTH($C296)=5,$S$4,IF(MONTH($C296)=6,$S$5,IF(MONTH($C296)=7,$S$6,"ERROR")))),MAX(VLOOKUP($C296,COS!$B$8:$K$991,10,FALSE)-IF(MONTH($C296)=4,$Y$3,IF(MONTH($C296)=5,$Y$4,IF(MONTH($C296)=6,$Y$5,IF(MONTH($C296)=7,$Y$6,"ERROR")))),0),MAX(VLOOKUP($C296,COS!$B$8:$K$991,9,FALSE)-IF(MONTH($C296)=4,$V$3,IF(MONTH($C296)=5,$V$4,IF(MONTH($C296)=6,$V$5,IF(MONTH($C296)=7,$V$6,"ERROR"))))-VLOOKUP($C296,COS!$B$8:$K$991,6,FALSE)/2,0))</f>
        <v>1500</v>
      </c>
      <c r="S296" s="26">
        <f t="shared" si="470"/>
        <v>92.231404958677686</v>
      </c>
      <c r="T296" s="26">
        <f t="shared" si="471"/>
        <v>212.10684675232437</v>
      </c>
      <c r="U296" s="26" t="str">
        <f>IF(VLOOKUP($C296,COS!$B$8:$I$991,8,FALSE)=1,"UWFE","IBU")</f>
        <v>IBU</v>
      </c>
      <c r="V296" s="26">
        <f t="shared" ref="V296" si="475">MIN(IF(IF($AA$3=2,AND(E296=1,G296=1,L296=1,L298=1,M296=1,U296="IBU"),AND(E296=1,G296=1,L296=1,L298=1,M296=1)),T296,0),I296)</f>
        <v>0</v>
      </c>
      <c r="W296" s="26"/>
      <c r="X296" s="26"/>
      <c r="Y296" s="26"/>
      <c r="Z296" s="26"/>
      <c r="AA296" s="26"/>
      <c r="AB296" s="33"/>
    </row>
    <row r="297" spans="1:28" x14ac:dyDescent="0.3">
      <c r="A297" s="32">
        <f>VLOOKUP(YEAR(C297),Flags!$A$13:$B$95,2,FALSE)</f>
        <v>1</v>
      </c>
      <c r="B297" s="24">
        <f t="shared" si="432"/>
        <v>1953</v>
      </c>
      <c r="C297" s="25">
        <v>19602</v>
      </c>
      <c r="D297" s="26"/>
      <c r="E297" s="24"/>
      <c r="F297" s="26"/>
      <c r="G297" s="24"/>
      <c r="H297" s="24"/>
      <c r="I297" s="26"/>
      <c r="J297" s="24"/>
      <c r="K297" s="26"/>
      <c r="L297" s="24"/>
      <c r="M297" s="24"/>
      <c r="N297" s="26"/>
      <c r="O297" s="26"/>
      <c r="P297" s="26"/>
      <c r="Q297" s="26"/>
      <c r="R297" s="26"/>
      <c r="S297" s="26"/>
      <c r="T297" s="26"/>
      <c r="U297" s="26"/>
      <c r="V297" s="26"/>
      <c r="W297" s="26">
        <f>MAX($C$7-VLOOKUP($C297,COS!$B$8:$H$991,3,FALSE),0)</f>
        <v>89655.0712890625</v>
      </c>
      <c r="X297" s="26">
        <f t="shared" si="448"/>
        <v>5512.6754577737602</v>
      </c>
      <c r="Y297" s="26">
        <f>VLOOKUP($C297,COS!$B$8:$H$991,4,FALSE)</f>
        <v>19.638147354125977</v>
      </c>
      <c r="Z297" s="26">
        <f t="shared" si="449"/>
        <v>1.2075026141710519</v>
      </c>
      <c r="AA297" s="26">
        <f t="shared" ref="AA297:AA301" si="476">MIN(W297,Y297)</f>
        <v>19.638147354125977</v>
      </c>
      <c r="AB297" s="33">
        <f t="shared" ref="AB297" si="477">AA297*DAY($C297)*86400/43560/1000*IF(MONTH($C297)=8,$P$3,IF(MONTH($C297)=9,$P$4,IF(MONTH($C297)=10,$P$5,IF(MONTH($C297)=11,$P$6,IF(MONTH($C297)=12,$P$7,NA())))))</f>
        <v>1.2075026141710519</v>
      </c>
    </row>
    <row r="298" spans="1:28" x14ac:dyDescent="0.3">
      <c r="A298" s="32">
        <f>VLOOKUP(YEAR(C298),Flags!$A$13:$B$95,2,FALSE)</f>
        <v>1</v>
      </c>
      <c r="B298" s="24">
        <f t="shared" si="432"/>
        <v>1953</v>
      </c>
      <c r="C298" s="25">
        <v>19632</v>
      </c>
      <c r="D298" s="26"/>
      <c r="E298" s="24"/>
      <c r="F298" s="26"/>
      <c r="G298" s="24"/>
      <c r="H298" s="24"/>
      <c r="I298" s="26"/>
      <c r="J298" s="24"/>
      <c r="K298" s="26">
        <f>VLOOKUP($C298,COS!$B$8:$H$991,2,FALSE)</f>
        <v>3007.05029296875</v>
      </c>
      <c r="L298" s="24">
        <f t="shared" ref="L298" si="478">IF(AND(K298&gt;$I$7,K298&lt;$I$8),1,0)</f>
        <v>1</v>
      </c>
      <c r="M298" s="24"/>
      <c r="N298" s="26"/>
      <c r="O298" s="26"/>
      <c r="P298" s="26"/>
      <c r="Q298" s="26"/>
      <c r="R298" s="26"/>
      <c r="S298" s="26"/>
      <c r="T298" s="26"/>
      <c r="U298" s="26"/>
      <c r="V298" s="26"/>
      <c r="W298" s="26">
        <f>MAX($C$8-VLOOKUP($C298,COS!$B$8:$H$991,3,FALSE),0)</f>
        <v>85167.98828125</v>
      </c>
      <c r="X298" s="26">
        <f t="shared" si="448"/>
        <v>5067.8472365702482</v>
      </c>
      <c r="Y298" s="26">
        <f>VLOOKUP($C298,COS!$B$8:$H$991,4,FALSE)</f>
        <v>0</v>
      </c>
      <c r="Z298" s="26">
        <f t="shared" si="449"/>
        <v>0</v>
      </c>
      <c r="AA298" s="26">
        <f t="shared" si="476"/>
        <v>0</v>
      </c>
      <c r="AB298" s="33">
        <f t="shared" si="446"/>
        <v>0</v>
      </c>
    </row>
    <row r="299" spans="1:28" x14ac:dyDescent="0.3">
      <c r="A299" s="32">
        <f>VLOOKUP(YEAR(C299),Flags!$A$13:$B$95,2,FALSE)</f>
        <v>1</v>
      </c>
      <c r="B299" s="24">
        <f t="shared" si="432"/>
        <v>1953</v>
      </c>
      <c r="C299" s="25">
        <v>19663</v>
      </c>
      <c r="D299" s="26"/>
      <c r="E299" s="24"/>
      <c r="F299" s="26"/>
      <c r="G299" s="26"/>
      <c r="H299" s="26"/>
      <c r="I299" s="26"/>
      <c r="J299" s="26"/>
      <c r="K299" s="26"/>
      <c r="L299" s="24"/>
      <c r="M299" s="24"/>
      <c r="N299" s="26"/>
      <c r="O299" s="26"/>
      <c r="P299" s="26"/>
      <c r="Q299" s="26"/>
      <c r="R299" s="26"/>
      <c r="S299" s="26"/>
      <c r="T299" s="26"/>
      <c r="U299" s="26"/>
      <c r="V299" s="26"/>
      <c r="W299" s="26">
        <f>MAX($C$9-VLOOKUP($C299,COS!$B$8:$H$991,3,FALSE),0)</f>
        <v>90385.5849609375</v>
      </c>
      <c r="X299" s="26">
        <f t="shared" si="448"/>
        <v>5557.5929926394629</v>
      </c>
      <c r="Y299" s="26">
        <f>VLOOKUP($C299,COS!$B$8:$H$991,4,FALSE)</f>
        <v>1224.5797119140625</v>
      </c>
      <c r="Z299" s="26">
        <f t="shared" si="449"/>
        <v>75.296471542484511</v>
      </c>
      <c r="AA299" s="26">
        <f t="shared" si="476"/>
        <v>1224.5797119140625</v>
      </c>
      <c r="AB299" s="33">
        <f t="shared" si="446"/>
        <v>75.296471542484511</v>
      </c>
    </row>
    <row r="300" spans="1:28" x14ac:dyDescent="0.3">
      <c r="A300" s="32">
        <f>VLOOKUP(YEAR(C300),Flags!$A$13:$B$95,2,FALSE)</f>
        <v>1</v>
      </c>
      <c r="B300" s="24">
        <f t="shared" si="432"/>
        <v>1953</v>
      </c>
      <c r="C300" s="25">
        <v>19693</v>
      </c>
      <c r="D300" s="26"/>
      <c r="E300" s="24"/>
      <c r="F300" s="26"/>
      <c r="G300" s="26"/>
      <c r="H300" s="26"/>
      <c r="I300" s="26"/>
      <c r="J300" s="26"/>
      <c r="K300" s="26"/>
      <c r="L300" s="24"/>
      <c r="M300" s="24"/>
      <c r="N300" s="26"/>
      <c r="O300" s="26"/>
      <c r="P300" s="26"/>
      <c r="Q300" s="26"/>
      <c r="R300" s="26"/>
      <c r="S300" s="26"/>
      <c r="T300" s="26"/>
      <c r="U300" s="26"/>
      <c r="V300" s="26"/>
      <c r="W300" s="26">
        <f>MAX($C$10-VLOOKUP($C300,COS!$B$8:$H$991,3,FALSE),0)</f>
        <v>88062.6611328125</v>
      </c>
      <c r="X300" s="26">
        <f t="shared" si="448"/>
        <v>5240.0922326962809</v>
      </c>
      <c r="Y300" s="26">
        <f>VLOOKUP($C300,COS!$B$8:$H$991,4,FALSE)</f>
        <v>1707.279296875</v>
      </c>
      <c r="Z300" s="26">
        <f t="shared" si="449"/>
        <v>101.59017303719008</v>
      </c>
      <c r="AA300" s="26">
        <f t="shared" si="476"/>
        <v>1707.279296875</v>
      </c>
      <c r="AB300" s="33">
        <f t="shared" si="446"/>
        <v>50.795086518595042</v>
      </c>
    </row>
    <row r="301" spans="1:28" x14ac:dyDescent="0.3">
      <c r="A301" s="34">
        <f>VLOOKUP(YEAR(C301),Flags!$A$13:$B$95,2,FALSE)</f>
        <v>1</v>
      </c>
      <c r="B301" s="35">
        <f t="shared" si="432"/>
        <v>1953</v>
      </c>
      <c r="C301" s="36">
        <v>19724</v>
      </c>
      <c r="D301" s="37"/>
      <c r="E301" s="35"/>
      <c r="F301" s="37"/>
      <c r="G301" s="37"/>
      <c r="H301" s="37"/>
      <c r="I301" s="37"/>
      <c r="J301" s="37"/>
      <c r="K301" s="37"/>
      <c r="L301" s="35"/>
      <c r="M301" s="35"/>
      <c r="N301" s="37"/>
      <c r="O301" s="37"/>
      <c r="P301" s="37"/>
      <c r="Q301" s="37"/>
      <c r="R301" s="37"/>
      <c r="S301" s="37"/>
      <c r="T301" s="37"/>
      <c r="U301" s="37"/>
      <c r="V301" s="37"/>
      <c r="W301" s="37">
        <f>MAX($C$11-VLOOKUP($C301,COS!$B$8:$H$991,3,FALSE),0)</f>
        <v>0</v>
      </c>
      <c r="X301" s="37">
        <f t="shared" si="448"/>
        <v>0</v>
      </c>
      <c r="Y301" s="37">
        <f>VLOOKUP($C301,COS!$B$8:$H$991,4,FALSE)</f>
        <v>98.75079345703125</v>
      </c>
      <c r="Z301" s="37">
        <f t="shared" si="449"/>
        <v>6.0719496142174583</v>
      </c>
      <c r="AA301" s="37">
        <f t="shared" si="476"/>
        <v>0</v>
      </c>
      <c r="AB301" s="38">
        <f t="shared" si="446"/>
        <v>0</v>
      </c>
    </row>
    <row r="302" spans="1:28" x14ac:dyDescent="0.3">
      <c r="A302" s="27">
        <f>VLOOKUP(YEAR(C302),Flags!$A$13:$B$95,2,FALSE)</f>
        <v>2</v>
      </c>
      <c r="B302" s="28">
        <f t="shared" si="432"/>
        <v>1954</v>
      </c>
      <c r="C302" s="29">
        <v>19844</v>
      </c>
      <c r="D302" s="30">
        <f>VLOOKUP($C302,COS!$B$8:$H$991,3,FALSE)</f>
        <v>10966.724609375</v>
      </c>
      <c r="E302" s="28">
        <f>IF(D302&gt;=IF(MONTH($C302)=4,$C$3,IF(MONTH($C302)=5,$C$4,IF(MONTH($C302)=6,$C$5,IF(MONTH($C302)=7,$C$6,"ERROR")))),1,0)</f>
        <v>1</v>
      </c>
      <c r="F302" s="30">
        <f>VLOOKUP($C302,COS!$B$8:$H$991,7,FALSE)</f>
        <v>48.739151000976563</v>
      </c>
      <c r="G302" s="28">
        <f>IF(F302&lt;=IF(MONTH($C302)=4,$F$3,IF(MONTH($C302)=5,$F$4,IF(MONTH($C302)=6,$F$5,IF(MONTH($C302)=7,$F$6,"ERROR")))),1,0)</f>
        <v>1</v>
      </c>
      <c r="H302" s="30">
        <f>IF(J302=1,D302-$C$3,0)</f>
        <v>4966.724609375</v>
      </c>
      <c r="I302" s="30">
        <f t="shared" si="450"/>
        <v>295.54063791322312</v>
      </c>
      <c r="J302" s="28">
        <f t="shared" ref="J302:J305" si="479">IF(AND(E302=1,G302=1),1,0)</f>
        <v>1</v>
      </c>
      <c r="K302" s="30">
        <f>VLOOKUP($C302,COS!$B$8:$H$991,2,FALSE)</f>
        <v>4546</v>
      </c>
      <c r="L302" s="28">
        <f t="shared" ref="L302" si="480">IF(K302&lt;=IF(MONTH($C302)=4,$I$3,IF(MONTH($C302)=5,$I$4,IF(MONTH($C302)=6,$I$5,IF(MONTH($C302)=7,$I$6,"ERROR")))),1,0)</f>
        <v>1</v>
      </c>
      <c r="M302" s="28">
        <f t="shared" ref="M302" si="481">VLOOKUP($A302,$L$3:$M$7,2,FALSE)</f>
        <v>0</v>
      </c>
      <c r="N302" s="30">
        <f>VLOOKUP($C302,COS!$B$8:$H$991,5,FALSE)</f>
        <v>33.86962890625</v>
      </c>
      <c r="O302" s="30">
        <f t="shared" ref="O302:O305" si="482">N302*DAY($C302)*86400/43560/1000</f>
        <v>2.0153828770661155</v>
      </c>
      <c r="P302" s="30">
        <f>VLOOKUP($C302,COS!$B$8:$H$991,6,FALSE)</f>
        <v>347.92138671875</v>
      </c>
      <c r="Q302" s="30">
        <f t="shared" ref="Q302:Q305" si="483">P302*DAY($C302)*86400/43560/1000</f>
        <v>20.702760201446281</v>
      </c>
      <c r="R302" s="30">
        <f>MIN(IF(MONTH($C302)=4,$S$3,IF(MONTH($C302)=5,$S$4,IF(MONTH($C302)=6,$S$5,IF(MONTH($C302)=7,$S$6,"ERROR")))),MAX(VLOOKUP($C302,COS!$B$8:$K$991,10,FALSE)-IF(MONTH($C302)=4,$Y$3,IF(MONTH($C302)=5,$Y$4,IF(MONTH($C302)=6,$Y$5,IF(MONTH($C302)=7,$Y$6,"ERROR")))),0),MAX(VLOOKUP($C302,COS!$B$8:$K$991,9,FALSE)-IF(MONTH($C302)=4,$V$3,IF(MONTH($C302)=5,$V$4,IF(MONTH($C302)=6,$V$5,IF(MONTH($C302)=7,$V$6,"ERROR"))))-VLOOKUP($C302,COS!$B$8:$K$991,6,FALSE)/2,0))</f>
        <v>1500</v>
      </c>
      <c r="S302" s="30">
        <f t="shared" ref="S302:S305" si="484">R302*DAY($C302)*86400/43560/1000</f>
        <v>89.256198347107429</v>
      </c>
      <c r="T302" s="30">
        <f t="shared" ref="T302:T305" si="485">(O302+Q302)/2+S302</f>
        <v>100.61526988636362</v>
      </c>
      <c r="U302" s="30" t="str">
        <f>IF(VLOOKUP($C302,COS!$B$8:$I$991,8,FALSE)=1,"UWFE","IBU")</f>
        <v>UWFE</v>
      </c>
      <c r="V302" s="30">
        <f t="shared" ref="V302" si="486">MIN(IF(IF($AA$3=2,AND(E302=1,G302=1,L302=1,L307=1,M302=1,U302="IBU"),AND(E302=1,G302=1,L302=1,L307=1,M302=1)),T302,0),I302)</f>
        <v>0</v>
      </c>
      <c r="W302" s="30"/>
      <c r="X302" s="30"/>
      <c r="Y302" s="30"/>
      <c r="Z302" s="30"/>
      <c r="AA302" s="30"/>
      <c r="AB302" s="31"/>
    </row>
    <row r="303" spans="1:28" x14ac:dyDescent="0.3">
      <c r="A303" s="32">
        <f>VLOOKUP(YEAR(C303),Flags!$A$13:$B$95,2,FALSE)</f>
        <v>2</v>
      </c>
      <c r="B303" s="24">
        <f t="shared" si="432"/>
        <v>1954</v>
      </c>
      <c r="C303" s="25">
        <v>19875</v>
      </c>
      <c r="D303" s="26">
        <f>VLOOKUP($C303,COS!$B$8:$H$991,3,FALSE)</f>
        <v>7140.4267578125</v>
      </c>
      <c r="E303" s="24">
        <f>IF(D303&gt;=IF(MONTH($C303)=4,$C$3,IF(MONTH($C303)=5,$C$4,IF(MONTH($C303)=6,$C$5,IF(MONTH($C303)=7,$C$6,"ERROR")))),1,0)</f>
        <v>1</v>
      </c>
      <c r="F303" s="26">
        <f>VLOOKUP($C303,COS!$B$8:$H$991,7,FALSE)</f>
        <v>50.82733154296875</v>
      </c>
      <c r="G303" s="24">
        <f>IF(F303&lt;=IF(MONTH($C303)=4,$F$3,IF(MONTH($C303)=5,$F$4,IF(MONTH($C303)=6,$F$5,IF(MONTH($C303)=7,$F$6,"ERROR")))),1,0)</f>
        <v>1</v>
      </c>
      <c r="H303" s="26">
        <f>IF(J303=1,D303-$C$4,0)</f>
        <v>1140.4267578125</v>
      </c>
      <c r="I303" s="26">
        <f t="shared" si="450"/>
        <v>70.122108083677688</v>
      </c>
      <c r="J303" s="24">
        <f t="shared" si="479"/>
        <v>1</v>
      </c>
      <c r="K303" s="26">
        <f>VLOOKUP($C303,COS!$B$8:$H$991,2,FALSE)</f>
        <v>4520.74951171875</v>
      </c>
      <c r="L303" s="24">
        <f t="shared" si="435"/>
        <v>1</v>
      </c>
      <c r="M303" s="24">
        <f t="shared" si="436"/>
        <v>0</v>
      </c>
      <c r="N303" s="26">
        <f>VLOOKUP($C303,COS!$B$8:$H$991,5,FALSE)</f>
        <v>705.2218017578125</v>
      </c>
      <c r="O303" s="26">
        <f t="shared" si="482"/>
        <v>43.362398389075409</v>
      </c>
      <c r="P303" s="26">
        <f>VLOOKUP($C303,COS!$B$8:$H$991,6,FALSE)</f>
        <v>2247.10107421875</v>
      </c>
      <c r="Q303" s="26">
        <f t="shared" si="483"/>
        <v>138.16885943956612</v>
      </c>
      <c r="R303" s="26">
        <f>MIN(IF(MONTH($C303)=4,$S$3,IF(MONTH($C303)=5,$S$4,IF(MONTH($C303)=6,$S$5,IF(MONTH($C303)=7,$S$6,"ERROR")))),MAX(VLOOKUP($C303,COS!$B$8:$K$991,10,FALSE)-IF(MONTH($C303)=4,$Y$3,IF(MONTH($C303)=5,$Y$4,IF(MONTH($C303)=6,$Y$5,IF(MONTH($C303)=7,$Y$6,"ERROR")))),0),MAX(VLOOKUP($C303,COS!$B$8:$K$991,9,FALSE)-IF(MONTH($C303)=4,$V$3,IF(MONTH($C303)=5,$V$4,IF(MONTH($C303)=6,$V$5,IF(MONTH($C303)=7,$V$6,"ERROR"))))-VLOOKUP($C303,COS!$B$8:$K$991,6,FALSE)/2,0))</f>
        <v>1500</v>
      </c>
      <c r="S303" s="26">
        <f t="shared" si="484"/>
        <v>92.231404958677686</v>
      </c>
      <c r="T303" s="26">
        <f t="shared" si="485"/>
        <v>182.99703387299843</v>
      </c>
      <c r="U303" s="26" t="str">
        <f>IF(VLOOKUP($C303,COS!$B$8:$I$991,8,FALSE)=1,"UWFE","IBU")</f>
        <v>UWFE</v>
      </c>
      <c r="V303" s="26">
        <f t="shared" ref="V303" si="487">MIN(IF(IF($AA$3=2,AND(E303=1,G303=1,L303=1,L307=1,M303=1,U303="IBU"),AND(E303=1,G303=1,L303=1,L307=1,M303=1)),T303,0),I303)</f>
        <v>0</v>
      </c>
      <c r="W303" s="26"/>
      <c r="X303" s="26"/>
      <c r="Y303" s="26"/>
      <c r="Z303" s="26"/>
      <c r="AA303" s="26"/>
      <c r="AB303" s="33"/>
    </row>
    <row r="304" spans="1:28" x14ac:dyDescent="0.3">
      <c r="A304" s="32">
        <f>VLOOKUP(YEAR(C304),Flags!$A$13:$B$95,2,FALSE)</f>
        <v>2</v>
      </c>
      <c r="B304" s="24">
        <f t="shared" si="432"/>
        <v>1954</v>
      </c>
      <c r="C304" s="25">
        <v>19905</v>
      </c>
      <c r="D304" s="26">
        <f>VLOOKUP($C304,COS!$B$8:$H$991,3,FALSE)</f>
        <v>10288.154296875</v>
      </c>
      <c r="E304" s="24">
        <f>IF(D304&gt;=IF(MONTH($C304)=4,$C$3,IF(MONTH($C304)=5,$C$4,IF(MONTH($C304)=6,$C$5,IF(MONTH($C304)=7,$C$6,"ERROR")))),1,0)</f>
        <v>1</v>
      </c>
      <c r="F304" s="26">
        <f>VLOOKUP($C304,COS!$B$8:$H$991,7,FALSE)</f>
        <v>50.714031219482422</v>
      </c>
      <c r="G304" s="24">
        <f>IF(F304&lt;=IF(MONTH($C304)=4,$F$3,IF(MONTH($C304)=5,$F$4,IF(MONTH($C304)=6,$F$5,IF(MONTH($C304)=7,$F$6,"ERROR")))),1,0)</f>
        <v>1</v>
      </c>
      <c r="H304" s="26">
        <f>IF(J304=1,D304-$C$5,0)</f>
        <v>288.154296875</v>
      </c>
      <c r="I304" s="26">
        <f t="shared" si="450"/>
        <v>17.14637138429752</v>
      </c>
      <c r="J304" s="24">
        <f t="shared" si="479"/>
        <v>1</v>
      </c>
      <c r="K304" s="26">
        <f>VLOOKUP($C304,COS!$B$8:$H$991,2,FALSE)</f>
        <v>4172.916015625</v>
      </c>
      <c r="L304" s="24">
        <f t="shared" si="435"/>
        <v>1</v>
      </c>
      <c r="M304" s="24">
        <f t="shared" si="436"/>
        <v>0</v>
      </c>
      <c r="N304" s="26">
        <f>VLOOKUP($C304,COS!$B$8:$H$991,5,FALSE)</f>
        <v>1051.88525390625</v>
      </c>
      <c r="O304" s="26">
        <f t="shared" si="482"/>
        <v>62.591519240702482</v>
      </c>
      <c r="P304" s="26">
        <f>VLOOKUP($C304,COS!$B$8:$H$991,6,FALSE)</f>
        <v>2396.154541015625</v>
      </c>
      <c r="Q304" s="26">
        <f t="shared" si="483"/>
        <v>142.58109665547522</v>
      </c>
      <c r="R304" s="26">
        <f>MIN(IF(MONTH($C304)=4,$S$3,IF(MONTH($C304)=5,$S$4,IF(MONTH($C304)=6,$S$5,IF(MONTH($C304)=7,$S$6,"ERROR")))),MAX(VLOOKUP($C304,COS!$B$8:$K$991,10,FALSE)-IF(MONTH($C304)=4,$Y$3,IF(MONTH($C304)=5,$Y$4,IF(MONTH($C304)=6,$Y$5,IF(MONTH($C304)=7,$Y$6,"ERROR")))),0),MAX(VLOOKUP($C304,COS!$B$8:$K$991,9,FALSE)-IF(MONTH($C304)=4,$V$3,IF(MONTH($C304)=5,$V$4,IF(MONTH($C304)=6,$V$5,IF(MONTH($C304)=7,$V$6,"ERROR"))))-VLOOKUP($C304,COS!$B$8:$K$991,6,FALSE)/2,0))</f>
        <v>1500</v>
      </c>
      <c r="S304" s="26">
        <f t="shared" si="484"/>
        <v>89.256198347107429</v>
      </c>
      <c r="T304" s="26">
        <f t="shared" si="485"/>
        <v>191.8425062951963</v>
      </c>
      <c r="U304" s="26" t="str">
        <f>IF(VLOOKUP($C304,COS!$B$8:$I$991,8,FALSE)=1,"UWFE","IBU")</f>
        <v>IBU</v>
      </c>
      <c r="V304" s="26">
        <f t="shared" ref="V304" si="488">MIN(IF(IF($AA$3=2,AND(E304=1,G304=1,L304=1,L307=1,M304=1,U304="IBU"),AND(E304=1,G304=1,L304=1,L307=1,M304=1)),T304,0),I304)</f>
        <v>0</v>
      </c>
      <c r="W304" s="26"/>
      <c r="X304" s="26"/>
      <c r="Y304" s="26"/>
      <c r="Z304" s="26"/>
      <c r="AA304" s="26"/>
      <c r="AB304" s="33"/>
    </row>
    <row r="305" spans="1:28" x14ac:dyDescent="0.3">
      <c r="A305" s="32">
        <f>VLOOKUP(YEAR(C305),Flags!$A$13:$B$95,2,FALSE)</f>
        <v>2</v>
      </c>
      <c r="B305" s="24">
        <f t="shared" si="432"/>
        <v>1954</v>
      </c>
      <c r="C305" s="25">
        <v>19936</v>
      </c>
      <c r="D305" s="26">
        <f>VLOOKUP($C305,COS!$B$8:$H$991,3,FALSE)</f>
        <v>16000</v>
      </c>
      <c r="E305" s="24">
        <f>IF(D305&gt;=IF(MONTH($C305)=4,$C$3,IF(MONTH($C305)=5,$C$4,IF(MONTH($C305)=6,$C$5,IF(MONTH($C305)=7,$C$6,"ERROR")))),1,0)</f>
        <v>1</v>
      </c>
      <c r="F305" s="26">
        <f>VLOOKUP($C305,COS!$B$8:$H$991,7,FALSE)</f>
        <v>51.326705932617188</v>
      </c>
      <c r="G305" s="24">
        <f>IF(F305&lt;=IF(MONTH($C305)=4,$F$3,IF(MONTH($C305)=5,$F$4,IF(MONTH($C305)=6,$F$5,IF(MONTH($C305)=7,$F$6,"ERROR")))),1,0)</f>
        <v>1</v>
      </c>
      <c r="H305" s="26">
        <f>IF(J305=1,D305-$C$6,0)</f>
        <v>4000</v>
      </c>
      <c r="I305" s="26">
        <f t="shared" si="450"/>
        <v>245.95041322314049</v>
      </c>
      <c r="J305" s="24">
        <f t="shared" si="479"/>
        <v>1</v>
      </c>
      <c r="K305" s="26">
        <f>VLOOKUP($C305,COS!$B$8:$H$991,2,FALSE)</f>
        <v>3484.43505859375</v>
      </c>
      <c r="L305" s="24">
        <f t="shared" si="435"/>
        <v>1</v>
      </c>
      <c r="M305" s="24">
        <f t="shared" si="436"/>
        <v>0</v>
      </c>
      <c r="N305" s="26">
        <f>VLOOKUP($C305,COS!$B$8:$H$991,5,FALSE)</f>
        <v>1187.869384765625</v>
      </c>
      <c r="O305" s="26">
        <f t="shared" si="482"/>
        <v>73.039241509555779</v>
      </c>
      <c r="P305" s="26">
        <f>VLOOKUP($C305,COS!$B$8:$H$991,6,FALSE)</f>
        <v>2562.892822265625</v>
      </c>
      <c r="Q305" s="26">
        <f t="shared" si="483"/>
        <v>157.58613717071282</v>
      </c>
      <c r="R305" s="26">
        <f>MIN(IF(MONTH($C305)=4,$S$3,IF(MONTH($C305)=5,$S$4,IF(MONTH($C305)=6,$S$5,IF(MONTH($C305)=7,$S$6,"ERROR")))),MAX(VLOOKUP($C305,COS!$B$8:$K$991,10,FALSE)-IF(MONTH($C305)=4,$Y$3,IF(MONTH($C305)=5,$Y$4,IF(MONTH($C305)=6,$Y$5,IF(MONTH($C305)=7,$Y$6,"ERROR")))),0),MAX(VLOOKUP($C305,COS!$B$8:$K$991,9,FALSE)-IF(MONTH($C305)=4,$V$3,IF(MONTH($C305)=5,$V$4,IF(MONTH($C305)=6,$V$5,IF(MONTH($C305)=7,$V$6,"ERROR"))))-VLOOKUP($C305,COS!$B$8:$K$991,6,FALSE)/2,0))</f>
        <v>1500</v>
      </c>
      <c r="S305" s="26">
        <f t="shared" si="484"/>
        <v>92.231404958677686</v>
      </c>
      <c r="T305" s="26">
        <f t="shared" si="485"/>
        <v>207.54409429881198</v>
      </c>
      <c r="U305" s="26" t="str">
        <f>IF(VLOOKUP($C305,COS!$B$8:$I$991,8,FALSE)=1,"UWFE","IBU")</f>
        <v>IBU</v>
      </c>
      <c r="V305" s="26">
        <f t="shared" ref="V305" si="489">MIN(IF(IF($AA$3=2,AND(E305=1,G305=1,L305=1,L307=1,M305=1,U305="IBU"),AND(E305=1,G305=1,L305=1,L307=1,M305=1)),T305,0),I305)</f>
        <v>0</v>
      </c>
      <c r="W305" s="26"/>
      <c r="X305" s="26"/>
      <c r="Y305" s="26"/>
      <c r="Z305" s="26"/>
      <c r="AA305" s="26"/>
      <c r="AB305" s="33"/>
    </row>
    <row r="306" spans="1:28" x14ac:dyDescent="0.3">
      <c r="A306" s="32">
        <f>VLOOKUP(YEAR(C306),Flags!$A$13:$B$95,2,FALSE)</f>
        <v>2</v>
      </c>
      <c r="B306" s="24">
        <f t="shared" si="432"/>
        <v>1954</v>
      </c>
      <c r="C306" s="25">
        <v>19967</v>
      </c>
      <c r="D306" s="26"/>
      <c r="E306" s="24"/>
      <c r="F306" s="26"/>
      <c r="G306" s="24"/>
      <c r="H306" s="24"/>
      <c r="I306" s="26"/>
      <c r="J306" s="24"/>
      <c r="K306" s="26"/>
      <c r="L306" s="24"/>
      <c r="M306" s="24"/>
      <c r="N306" s="26"/>
      <c r="O306" s="26"/>
      <c r="P306" s="26"/>
      <c r="Q306" s="26"/>
      <c r="R306" s="26"/>
      <c r="S306" s="26"/>
      <c r="T306" s="26"/>
      <c r="U306" s="26"/>
      <c r="V306" s="26"/>
      <c r="W306" s="26">
        <f>MAX($C$7-VLOOKUP($C306,COS!$B$8:$H$991,3,FALSE),0)</f>
        <v>89107.3271484375</v>
      </c>
      <c r="X306" s="26">
        <f t="shared" si="448"/>
        <v>5478.9959833419425</v>
      </c>
      <c r="Y306" s="26">
        <f>VLOOKUP($C306,COS!$B$8:$H$991,4,FALSE)</f>
        <v>0</v>
      </c>
      <c r="Z306" s="26">
        <f t="shared" si="449"/>
        <v>0</v>
      </c>
      <c r="AA306" s="26">
        <f t="shared" ref="AA306:AA310" si="490">MIN(W306,Y306)</f>
        <v>0</v>
      </c>
      <c r="AB306" s="33">
        <f t="shared" ref="AB306" si="491">AA306*DAY($C306)*86400/43560/1000*IF(MONTH($C306)=8,$P$3,IF(MONTH($C306)=9,$P$4,IF(MONTH($C306)=10,$P$5,IF(MONTH($C306)=11,$P$6,IF(MONTH($C306)=12,$P$7,NA())))))</f>
        <v>0</v>
      </c>
    </row>
    <row r="307" spans="1:28" x14ac:dyDescent="0.3">
      <c r="A307" s="32">
        <f>VLOOKUP(YEAR(C307),Flags!$A$13:$B$95,2,FALSE)</f>
        <v>2</v>
      </c>
      <c r="B307" s="24">
        <f t="shared" si="432"/>
        <v>1954</v>
      </c>
      <c r="C307" s="25">
        <v>19997</v>
      </c>
      <c r="D307" s="26"/>
      <c r="E307" s="24"/>
      <c r="F307" s="26"/>
      <c r="G307" s="24"/>
      <c r="H307" s="24"/>
      <c r="I307" s="26"/>
      <c r="J307" s="24"/>
      <c r="K307" s="26">
        <f>VLOOKUP($C307,COS!$B$8:$H$991,2,FALSE)</f>
        <v>2910.68115234375</v>
      </c>
      <c r="L307" s="24">
        <f t="shared" ref="L307" si="492">IF(AND(K307&gt;$I$7,K307&lt;$I$8),1,0)</f>
        <v>1</v>
      </c>
      <c r="M307" s="24"/>
      <c r="N307" s="26"/>
      <c r="O307" s="26"/>
      <c r="P307" s="26"/>
      <c r="Q307" s="26"/>
      <c r="R307" s="26"/>
      <c r="S307" s="26"/>
      <c r="T307" s="26"/>
      <c r="U307" s="26"/>
      <c r="V307" s="26"/>
      <c r="W307" s="26">
        <f>MAX($C$8-VLOOKUP($C307,COS!$B$8:$H$991,3,FALSE),0)</f>
        <v>89705.0009765625</v>
      </c>
      <c r="X307" s="26">
        <f t="shared" si="448"/>
        <v>5337.8182399276857</v>
      </c>
      <c r="Y307" s="26">
        <f>VLOOKUP($C307,COS!$B$8:$H$991,4,FALSE)</f>
        <v>0</v>
      </c>
      <c r="Z307" s="26">
        <f t="shared" si="449"/>
        <v>0</v>
      </c>
      <c r="AA307" s="26">
        <f t="shared" si="490"/>
        <v>0</v>
      </c>
      <c r="AB307" s="33">
        <f t="shared" si="446"/>
        <v>0</v>
      </c>
    </row>
    <row r="308" spans="1:28" x14ac:dyDescent="0.3">
      <c r="A308" s="32">
        <f>VLOOKUP(YEAR(C308),Flags!$A$13:$B$95,2,FALSE)</f>
        <v>2</v>
      </c>
      <c r="B308" s="24">
        <f t="shared" si="432"/>
        <v>1954</v>
      </c>
      <c r="C308" s="25">
        <v>20028</v>
      </c>
      <c r="D308" s="26"/>
      <c r="E308" s="24"/>
      <c r="F308" s="26"/>
      <c r="G308" s="26"/>
      <c r="H308" s="26"/>
      <c r="I308" s="26"/>
      <c r="J308" s="26"/>
      <c r="K308" s="26"/>
      <c r="L308" s="24"/>
      <c r="M308" s="24"/>
      <c r="N308" s="26"/>
      <c r="O308" s="26"/>
      <c r="P308" s="26"/>
      <c r="Q308" s="26"/>
      <c r="R308" s="26"/>
      <c r="S308" s="26"/>
      <c r="T308" s="26"/>
      <c r="U308" s="26"/>
      <c r="V308" s="26"/>
      <c r="W308" s="26">
        <f>MAX($C$9-VLOOKUP($C308,COS!$B$8:$H$991,3,FALSE),0)</f>
        <v>92851.60400390625</v>
      </c>
      <c r="X308" s="26">
        <f t="shared" si="448"/>
        <v>5709.2225932980373</v>
      </c>
      <c r="Y308" s="26">
        <f>VLOOKUP($C308,COS!$B$8:$H$991,4,FALSE)</f>
        <v>798.4456787109375</v>
      </c>
      <c r="Z308" s="26">
        <f t="shared" si="449"/>
        <v>49.094511153796482</v>
      </c>
      <c r="AA308" s="26">
        <f t="shared" si="490"/>
        <v>798.4456787109375</v>
      </c>
      <c r="AB308" s="33">
        <f t="shared" si="446"/>
        <v>49.094511153796482</v>
      </c>
    </row>
    <row r="309" spans="1:28" x14ac:dyDescent="0.3">
      <c r="A309" s="32">
        <f>VLOOKUP(YEAR(C309),Flags!$A$13:$B$95,2,FALSE)</f>
        <v>2</v>
      </c>
      <c r="B309" s="24">
        <f t="shared" si="432"/>
        <v>1954</v>
      </c>
      <c r="C309" s="25">
        <v>20058</v>
      </c>
      <c r="D309" s="26"/>
      <c r="E309" s="24"/>
      <c r="F309" s="26"/>
      <c r="G309" s="26"/>
      <c r="H309" s="26"/>
      <c r="I309" s="26"/>
      <c r="J309" s="26"/>
      <c r="K309" s="26"/>
      <c r="L309" s="24"/>
      <c r="M309" s="24"/>
      <c r="N309" s="26"/>
      <c r="O309" s="26"/>
      <c r="P309" s="26"/>
      <c r="Q309" s="26"/>
      <c r="R309" s="26"/>
      <c r="S309" s="26"/>
      <c r="T309" s="26"/>
      <c r="U309" s="26"/>
      <c r="V309" s="26"/>
      <c r="W309" s="26">
        <f>MAX($C$10-VLOOKUP($C309,COS!$B$8:$H$991,3,FALSE),0)</f>
        <v>92153.25146484375</v>
      </c>
      <c r="X309" s="26">
        <f t="shared" si="448"/>
        <v>5483.4992607179747</v>
      </c>
      <c r="Y309" s="26">
        <f>VLOOKUP($C309,COS!$B$8:$H$991,4,FALSE)</f>
        <v>832.2525634765625</v>
      </c>
      <c r="Z309" s="26">
        <f t="shared" si="449"/>
        <v>49.522466587035126</v>
      </c>
      <c r="AA309" s="26">
        <f t="shared" si="490"/>
        <v>832.2525634765625</v>
      </c>
      <c r="AB309" s="33">
        <f t="shared" si="446"/>
        <v>24.761233293517563</v>
      </c>
    </row>
    <row r="310" spans="1:28" x14ac:dyDescent="0.3">
      <c r="A310" s="34">
        <f>VLOOKUP(YEAR(C310),Flags!$A$13:$B$95,2,FALSE)</f>
        <v>2</v>
      </c>
      <c r="B310" s="35">
        <f t="shared" si="432"/>
        <v>1954</v>
      </c>
      <c r="C310" s="36">
        <v>20089</v>
      </c>
      <c r="D310" s="37"/>
      <c r="E310" s="35"/>
      <c r="F310" s="37"/>
      <c r="G310" s="37"/>
      <c r="H310" s="37"/>
      <c r="I310" s="37"/>
      <c r="J310" s="37"/>
      <c r="K310" s="37"/>
      <c r="L310" s="35"/>
      <c r="M310" s="35"/>
      <c r="N310" s="37"/>
      <c r="O310" s="37"/>
      <c r="P310" s="37"/>
      <c r="Q310" s="37"/>
      <c r="R310" s="37"/>
      <c r="S310" s="37"/>
      <c r="T310" s="37"/>
      <c r="U310" s="37"/>
      <c r="V310" s="37"/>
      <c r="W310" s="37">
        <f>MAX($C$11-VLOOKUP($C310,COS!$B$8:$H$991,3,FALSE),0)</f>
        <v>0</v>
      </c>
      <c r="X310" s="37">
        <f t="shared" si="448"/>
        <v>0</v>
      </c>
      <c r="Y310" s="37">
        <f>VLOOKUP($C310,COS!$B$8:$H$991,4,FALSE)</f>
        <v>0</v>
      </c>
      <c r="Z310" s="37">
        <f t="shared" si="449"/>
        <v>0</v>
      </c>
      <c r="AA310" s="37">
        <f t="shared" si="490"/>
        <v>0</v>
      </c>
      <c r="AB310" s="38">
        <f t="shared" si="446"/>
        <v>0</v>
      </c>
    </row>
    <row r="311" spans="1:28" x14ac:dyDescent="0.3">
      <c r="A311" s="27">
        <f>VLOOKUP(YEAR(C311),Flags!$A$13:$B$95,2,FALSE)</f>
        <v>4</v>
      </c>
      <c r="B311" s="28">
        <f t="shared" si="432"/>
        <v>1955</v>
      </c>
      <c r="C311" s="29">
        <v>20209</v>
      </c>
      <c r="D311" s="30">
        <f>VLOOKUP($C311,COS!$B$8:$H$991,3,FALSE)</f>
        <v>3250</v>
      </c>
      <c r="E311" s="28">
        <f>IF(D311&gt;=IF(MONTH($C311)=4,$C$3,IF(MONTH($C311)=5,$C$4,IF(MONTH($C311)=6,$C$5,IF(MONTH($C311)=7,$C$6,"ERROR")))),1,0)</f>
        <v>0</v>
      </c>
      <c r="F311" s="30">
        <f>VLOOKUP($C311,COS!$B$8:$H$991,7,FALSE)</f>
        <v>50.451328277587891</v>
      </c>
      <c r="G311" s="28">
        <f>IF(F311&lt;=IF(MONTH($C311)=4,$F$3,IF(MONTH($C311)=5,$F$4,IF(MONTH($C311)=6,$F$5,IF(MONTH($C311)=7,$F$6,"ERROR")))),1,0)</f>
        <v>1</v>
      </c>
      <c r="H311" s="30">
        <f>IF(J311=1,D311-$C$3,0)</f>
        <v>0</v>
      </c>
      <c r="I311" s="30">
        <f t="shared" si="450"/>
        <v>0</v>
      </c>
      <c r="J311" s="28">
        <f t="shared" ref="J311:J314" si="493">IF(AND(E311=1,G311=1),1,0)</f>
        <v>0</v>
      </c>
      <c r="K311" s="30">
        <f>VLOOKUP($C311,COS!$B$8:$H$991,2,FALSE)</f>
        <v>3900.966552734375</v>
      </c>
      <c r="L311" s="28">
        <f t="shared" ref="L311" si="494">IF(K311&lt;=IF(MONTH($C311)=4,$I$3,IF(MONTH($C311)=5,$I$4,IF(MONTH($C311)=6,$I$5,IF(MONTH($C311)=7,$I$6,"ERROR")))),1,0)</f>
        <v>1</v>
      </c>
      <c r="M311" s="28">
        <f t="shared" ref="M311" si="495">VLOOKUP($A311,$L$3:$M$7,2,FALSE)</f>
        <v>1</v>
      </c>
      <c r="N311" s="30">
        <f>VLOOKUP($C311,COS!$B$8:$H$991,5,FALSE)</f>
        <v>222.8968505859375</v>
      </c>
      <c r="O311" s="30">
        <f t="shared" ref="O311:O314" si="496">N311*DAY($C311)*86400/43560/1000</f>
        <v>13.26328367122934</v>
      </c>
      <c r="P311" s="30">
        <f>VLOOKUP($C311,COS!$B$8:$H$991,6,FALSE)</f>
        <v>466.9581298828125</v>
      </c>
      <c r="Q311" s="30">
        <f t="shared" ref="Q311:Q314" si="497">P311*DAY($C311)*86400/43560/1000</f>
        <v>27.785938307076446</v>
      </c>
      <c r="R311" s="30">
        <f>MIN(IF(MONTH($C311)=4,$S$3,IF(MONTH($C311)=5,$S$4,IF(MONTH($C311)=6,$S$5,IF(MONTH($C311)=7,$S$6,"ERROR")))),MAX(VLOOKUP($C311,COS!$B$8:$K$991,10,FALSE)-IF(MONTH($C311)=4,$Y$3,IF(MONTH($C311)=5,$Y$4,IF(MONTH($C311)=6,$Y$5,IF(MONTH($C311)=7,$Y$6,"ERROR")))),0),MAX(VLOOKUP($C311,COS!$B$8:$K$991,9,FALSE)-IF(MONTH($C311)=4,$V$3,IF(MONTH($C311)=5,$V$4,IF(MONTH($C311)=6,$V$5,IF(MONTH($C311)=7,$V$6,"ERROR"))))-VLOOKUP($C311,COS!$B$8:$K$991,6,FALSE)/2,0))</f>
        <v>1500</v>
      </c>
      <c r="S311" s="30">
        <f t="shared" ref="S311:S314" si="498">R311*DAY($C311)*86400/43560/1000</f>
        <v>89.256198347107429</v>
      </c>
      <c r="T311" s="30">
        <f t="shared" ref="T311:T314" si="499">(O311+Q311)/2+S311</f>
        <v>109.78080933626032</v>
      </c>
      <c r="U311" s="30" t="str">
        <f>IF(VLOOKUP($C311,COS!$B$8:$I$991,8,FALSE)=1,"UWFE","IBU")</f>
        <v>UWFE</v>
      </c>
      <c r="V311" s="30">
        <f t="shared" ref="V311" si="500">MIN(IF(IF($AA$3=2,AND(E311=1,G311=1,L311=1,L316=1,M311=1,U311="IBU"),AND(E311=1,G311=1,L311=1,L316=1,M311=1)),T311,0),I311)</f>
        <v>0</v>
      </c>
      <c r="W311" s="30"/>
      <c r="X311" s="30"/>
      <c r="Y311" s="30"/>
      <c r="Z311" s="30"/>
      <c r="AA311" s="30"/>
      <c r="AB311" s="31"/>
    </row>
    <row r="312" spans="1:28" x14ac:dyDescent="0.3">
      <c r="A312" s="32">
        <f>VLOOKUP(YEAR(C312),Flags!$A$13:$B$95,2,FALSE)</f>
        <v>4</v>
      </c>
      <c r="B312" s="24">
        <f t="shared" si="432"/>
        <v>1955</v>
      </c>
      <c r="C312" s="25">
        <v>20240</v>
      </c>
      <c r="D312" s="26">
        <f>VLOOKUP($C312,COS!$B$8:$H$991,3,FALSE)</f>
        <v>5268.8193359375</v>
      </c>
      <c r="E312" s="24">
        <f>IF(D312&gt;=IF(MONTH($C312)=4,$C$3,IF(MONTH($C312)=5,$C$4,IF(MONTH($C312)=6,$C$5,IF(MONTH($C312)=7,$C$6,"ERROR")))),1,0)</f>
        <v>0</v>
      </c>
      <c r="F312" s="26">
        <f>VLOOKUP($C312,COS!$B$8:$H$991,7,FALSE)</f>
        <v>51.616672515869141</v>
      </c>
      <c r="G312" s="24">
        <f>IF(F312&lt;=IF(MONTH($C312)=4,$F$3,IF(MONTH($C312)=5,$F$4,IF(MONTH($C312)=6,$F$5,IF(MONTH($C312)=7,$F$6,"ERROR")))),1,0)</f>
        <v>1</v>
      </c>
      <c r="H312" s="26">
        <f>IF(J312=1,D312-$C$4,0)</f>
        <v>0</v>
      </c>
      <c r="I312" s="26">
        <f t="shared" si="450"/>
        <v>0</v>
      </c>
      <c r="J312" s="24">
        <f t="shared" si="493"/>
        <v>0</v>
      </c>
      <c r="K312" s="26">
        <f>VLOOKUP($C312,COS!$B$8:$H$991,2,FALSE)</f>
        <v>4019.9189453125</v>
      </c>
      <c r="L312" s="24">
        <f t="shared" si="435"/>
        <v>1</v>
      </c>
      <c r="M312" s="24">
        <f t="shared" si="436"/>
        <v>1</v>
      </c>
      <c r="N312" s="26">
        <f>VLOOKUP($C312,COS!$B$8:$H$991,5,FALSE)</f>
        <v>365.389892578125</v>
      </c>
      <c r="O312" s="26">
        <f t="shared" si="496"/>
        <v>22.466948766787191</v>
      </c>
      <c r="P312" s="26">
        <f>VLOOKUP($C312,COS!$B$8:$H$991,6,FALSE)</f>
        <v>2265.77197265625</v>
      </c>
      <c r="Q312" s="26">
        <f t="shared" si="497"/>
        <v>139.31688823605373</v>
      </c>
      <c r="R312" s="26">
        <f>MIN(IF(MONTH($C312)=4,$S$3,IF(MONTH($C312)=5,$S$4,IF(MONTH($C312)=6,$S$5,IF(MONTH($C312)=7,$S$6,"ERROR")))),MAX(VLOOKUP($C312,COS!$B$8:$K$991,10,FALSE)-IF(MONTH($C312)=4,$Y$3,IF(MONTH($C312)=5,$Y$4,IF(MONTH($C312)=6,$Y$5,IF(MONTH($C312)=7,$Y$6,"ERROR")))),0),MAX(VLOOKUP($C312,COS!$B$8:$K$991,9,FALSE)-IF(MONTH($C312)=4,$V$3,IF(MONTH($C312)=5,$V$4,IF(MONTH($C312)=6,$V$5,IF(MONTH($C312)=7,$V$6,"ERROR"))))-VLOOKUP($C312,COS!$B$8:$K$991,6,FALSE)/2,0))</f>
        <v>1486.18310546875</v>
      </c>
      <c r="S312" s="26">
        <f t="shared" si="498"/>
        <v>91.38183722882232</v>
      </c>
      <c r="T312" s="26">
        <f t="shared" si="499"/>
        <v>172.27375573024278</v>
      </c>
      <c r="U312" s="26" t="str">
        <f>IF(VLOOKUP($C312,COS!$B$8:$I$991,8,FALSE)=1,"UWFE","IBU")</f>
        <v>UWFE</v>
      </c>
      <c r="V312" s="26">
        <f t="shared" ref="V312" si="501">MIN(IF(IF($AA$3=2,AND(E312=1,G312=1,L312=1,L316=1,M312=1,U312="IBU"),AND(E312=1,G312=1,L312=1,L316=1,M312=1)),T312,0),I312)</f>
        <v>0</v>
      </c>
      <c r="W312" s="26"/>
      <c r="X312" s="26"/>
      <c r="Y312" s="26"/>
      <c r="Z312" s="26"/>
      <c r="AA312" s="26"/>
      <c r="AB312" s="33"/>
    </row>
    <row r="313" spans="1:28" x14ac:dyDescent="0.3">
      <c r="A313" s="32">
        <f>VLOOKUP(YEAR(C313),Flags!$A$13:$B$95,2,FALSE)</f>
        <v>4</v>
      </c>
      <c r="B313" s="24">
        <f t="shared" si="432"/>
        <v>1955</v>
      </c>
      <c r="C313" s="25">
        <v>20270</v>
      </c>
      <c r="D313" s="26">
        <f>VLOOKUP($C313,COS!$B$8:$H$991,3,FALSE)</f>
        <v>9586.744140625</v>
      </c>
      <c r="E313" s="24">
        <f>IF(D313&gt;=IF(MONTH($C313)=4,$C$3,IF(MONTH($C313)=5,$C$4,IF(MONTH($C313)=6,$C$5,IF(MONTH($C313)=7,$C$6,"ERROR")))),1,0)</f>
        <v>0</v>
      </c>
      <c r="F313" s="26">
        <f>VLOOKUP($C313,COS!$B$8:$H$991,7,FALSE)</f>
        <v>51.253532409667969</v>
      </c>
      <c r="G313" s="24">
        <f>IF(F313&lt;=IF(MONTH($C313)=4,$F$3,IF(MONTH($C313)=5,$F$4,IF(MONTH($C313)=6,$F$5,IF(MONTH($C313)=7,$F$6,"ERROR")))),1,0)</f>
        <v>1</v>
      </c>
      <c r="H313" s="26">
        <f>IF(J313=1,D313-$C$5,0)</f>
        <v>0</v>
      </c>
      <c r="I313" s="26">
        <f t="shared" si="450"/>
        <v>0</v>
      </c>
      <c r="J313" s="24">
        <f t="shared" si="493"/>
        <v>0</v>
      </c>
      <c r="K313" s="26">
        <f>VLOOKUP($C313,COS!$B$8:$H$991,2,FALSE)</f>
        <v>3710.103271484375</v>
      </c>
      <c r="L313" s="24">
        <f t="shared" si="435"/>
        <v>1</v>
      </c>
      <c r="M313" s="24">
        <f t="shared" si="436"/>
        <v>1</v>
      </c>
      <c r="N313" s="26">
        <f>VLOOKUP($C313,COS!$B$8:$H$991,5,FALSE)</f>
        <v>444.3331298828125</v>
      </c>
      <c r="O313" s="26">
        <f t="shared" si="496"/>
        <v>26.439657315340909</v>
      </c>
      <c r="P313" s="26">
        <f>VLOOKUP($C313,COS!$B$8:$H$991,6,FALSE)</f>
        <v>2712.6806640625</v>
      </c>
      <c r="Q313" s="26">
        <f t="shared" si="497"/>
        <v>161.41570893595042</v>
      </c>
      <c r="R313" s="26">
        <f>MIN(IF(MONTH($C313)=4,$S$3,IF(MONTH($C313)=5,$S$4,IF(MONTH($C313)=6,$S$5,IF(MONTH($C313)=7,$S$6,"ERROR")))),MAX(VLOOKUP($C313,COS!$B$8:$K$991,10,FALSE)-IF(MONTH($C313)=4,$Y$3,IF(MONTH($C313)=5,$Y$4,IF(MONTH($C313)=6,$Y$5,IF(MONTH($C313)=7,$Y$6,"ERROR")))),0),MAX(VLOOKUP($C313,COS!$B$8:$K$991,9,FALSE)-IF(MONTH($C313)=4,$V$3,IF(MONTH($C313)=5,$V$4,IF(MONTH($C313)=6,$V$5,IF(MONTH($C313)=7,$V$6,"ERROR"))))-VLOOKUP($C313,COS!$B$8:$K$991,6,FALSE)/2,0))</f>
        <v>1500</v>
      </c>
      <c r="S313" s="26">
        <f t="shared" si="498"/>
        <v>89.256198347107429</v>
      </c>
      <c r="T313" s="26">
        <f t="shared" si="499"/>
        <v>183.18388147275311</v>
      </c>
      <c r="U313" s="26" t="str">
        <f>IF(VLOOKUP($C313,COS!$B$8:$I$991,8,FALSE)=1,"UWFE","IBU")</f>
        <v>IBU</v>
      </c>
      <c r="V313" s="26">
        <f t="shared" ref="V313" si="502">MIN(IF(IF($AA$3=2,AND(E313=1,G313=1,L313=1,L316=1,M313=1,U313="IBU"),AND(E313=1,G313=1,L313=1,L316=1,M313=1)),T313,0),I313)</f>
        <v>0</v>
      </c>
      <c r="W313" s="26"/>
      <c r="X313" s="26"/>
      <c r="Y313" s="26"/>
      <c r="Z313" s="26"/>
      <c r="AA313" s="26"/>
      <c r="AB313" s="33"/>
    </row>
    <row r="314" spans="1:28" x14ac:dyDescent="0.3">
      <c r="A314" s="32">
        <f>VLOOKUP(YEAR(C314),Flags!$A$13:$B$95,2,FALSE)</f>
        <v>4</v>
      </c>
      <c r="B314" s="24">
        <f t="shared" si="432"/>
        <v>1955</v>
      </c>
      <c r="C314" s="25">
        <v>20301</v>
      </c>
      <c r="D314" s="26">
        <f>VLOOKUP($C314,COS!$B$8:$H$991,3,FALSE)</f>
        <v>14380.9560546875</v>
      </c>
      <c r="E314" s="24">
        <f>IF(D314&gt;=IF(MONTH($C314)=4,$C$3,IF(MONTH($C314)=5,$C$4,IF(MONTH($C314)=6,$C$5,IF(MONTH($C314)=7,$C$6,"ERROR")))),1,0)</f>
        <v>1</v>
      </c>
      <c r="F314" s="26">
        <f>VLOOKUP($C314,COS!$B$8:$H$991,7,FALSE)</f>
        <v>51.871387481689453</v>
      </c>
      <c r="G314" s="24">
        <f>IF(F314&lt;=IF(MONTH($C314)=4,$F$3,IF(MONTH($C314)=5,$F$4,IF(MONTH($C314)=6,$F$5,IF(MONTH($C314)=7,$F$6,"ERROR")))),1,0)</f>
        <v>1</v>
      </c>
      <c r="H314" s="26">
        <f>IF(J314=1,D314-$C$6,0)</f>
        <v>2380.9560546875</v>
      </c>
      <c r="I314" s="26">
        <f t="shared" si="450"/>
        <v>146.39928137913225</v>
      </c>
      <c r="J314" s="24">
        <f t="shared" si="493"/>
        <v>1</v>
      </c>
      <c r="K314" s="26">
        <f>VLOOKUP($C314,COS!$B$8:$H$991,2,FALSE)</f>
        <v>3124.154052734375</v>
      </c>
      <c r="L314" s="24">
        <f t="shared" si="435"/>
        <v>1</v>
      </c>
      <c r="M314" s="24">
        <f t="shared" si="436"/>
        <v>1</v>
      </c>
      <c r="N314" s="26">
        <f>VLOOKUP($C314,COS!$B$8:$H$991,5,FALSE)</f>
        <v>487.44525146484375</v>
      </c>
      <c r="O314" s="26">
        <f t="shared" si="496"/>
        <v>29.971840255358988</v>
      </c>
      <c r="P314" s="26">
        <f>VLOOKUP($C314,COS!$B$8:$H$991,6,FALSE)</f>
        <v>2538.07568359375</v>
      </c>
      <c r="Q314" s="26">
        <f t="shared" si="497"/>
        <v>156.06019079287191</v>
      </c>
      <c r="R314" s="26">
        <f>MIN(IF(MONTH($C314)=4,$S$3,IF(MONTH($C314)=5,$S$4,IF(MONTH($C314)=6,$S$5,IF(MONTH($C314)=7,$S$6,"ERROR")))),MAX(VLOOKUP($C314,COS!$B$8:$K$991,10,FALSE)-IF(MONTH($C314)=4,$Y$3,IF(MONTH($C314)=5,$Y$4,IF(MONTH($C314)=6,$Y$5,IF(MONTH($C314)=7,$Y$6,"ERROR")))),0),MAX(VLOOKUP($C314,COS!$B$8:$K$991,9,FALSE)-IF(MONTH($C314)=4,$V$3,IF(MONTH($C314)=5,$V$4,IF(MONTH($C314)=6,$V$5,IF(MONTH($C314)=7,$V$6,"ERROR"))))-VLOOKUP($C314,COS!$B$8:$K$991,6,FALSE)/2,0))</f>
        <v>1500</v>
      </c>
      <c r="S314" s="26">
        <f t="shared" si="498"/>
        <v>92.231404958677686</v>
      </c>
      <c r="T314" s="26">
        <f t="shared" si="499"/>
        <v>185.24742048279313</v>
      </c>
      <c r="U314" s="26" t="str">
        <f>IF(VLOOKUP($C314,COS!$B$8:$I$991,8,FALSE)=1,"UWFE","IBU")</f>
        <v>IBU</v>
      </c>
      <c r="V314" s="26">
        <f t="shared" ref="V314" si="503">MIN(IF(IF($AA$3=2,AND(E314=1,G314=1,L314=1,L316=1,M314=1,U314="IBU"),AND(E314=1,G314=1,L314=1,L316=1,M314=1)),T314,0),I314)</f>
        <v>146.39928137913225</v>
      </c>
      <c r="W314" s="26"/>
      <c r="X314" s="26"/>
      <c r="Y314" s="26"/>
      <c r="Z314" s="26"/>
      <c r="AA314" s="26"/>
      <c r="AB314" s="33"/>
    </row>
    <row r="315" spans="1:28" x14ac:dyDescent="0.3">
      <c r="A315" s="32">
        <f>VLOOKUP(YEAR(C315),Flags!$A$13:$B$95,2,FALSE)</f>
        <v>4</v>
      </c>
      <c r="B315" s="24">
        <f t="shared" si="432"/>
        <v>1955</v>
      </c>
      <c r="C315" s="25">
        <v>20332</v>
      </c>
      <c r="D315" s="26"/>
      <c r="E315" s="24"/>
      <c r="F315" s="26"/>
      <c r="G315" s="24"/>
      <c r="H315" s="24"/>
      <c r="I315" s="26"/>
      <c r="J315" s="24"/>
      <c r="K315" s="26"/>
      <c r="L315" s="24"/>
      <c r="M315" s="24"/>
      <c r="N315" s="26"/>
      <c r="O315" s="26"/>
      <c r="P315" s="26"/>
      <c r="Q315" s="26"/>
      <c r="R315" s="26"/>
      <c r="S315" s="26"/>
      <c r="T315" s="26"/>
      <c r="U315" s="26"/>
      <c r="V315" s="26"/>
      <c r="W315" s="26">
        <f>MAX($C$7-VLOOKUP($C315,COS!$B$8:$H$991,3,FALSE),0)</f>
        <v>91467.5400390625</v>
      </c>
      <c r="X315" s="26">
        <f t="shared" si="448"/>
        <v>5624.1198172778923</v>
      </c>
      <c r="Y315" s="26">
        <f>VLOOKUP($C315,COS!$B$8:$H$991,4,FALSE)</f>
        <v>1565.8887939453125</v>
      </c>
      <c r="Z315" s="26">
        <f t="shared" si="449"/>
        <v>96.282748983083678</v>
      </c>
      <c r="AA315" s="26">
        <f t="shared" ref="AA315:AA319" si="504">MIN(W315,Y315)</f>
        <v>1565.8887939453125</v>
      </c>
      <c r="AB315" s="33">
        <f t="shared" ref="AB315" si="505">AA315*DAY($C315)*86400/43560/1000*IF(MONTH($C315)=8,$P$3,IF(MONTH($C315)=9,$P$4,IF(MONTH($C315)=10,$P$5,IF(MONTH($C315)=11,$P$6,IF(MONTH($C315)=12,$P$7,NA())))))</f>
        <v>96.282748983083678</v>
      </c>
    </row>
    <row r="316" spans="1:28" x14ac:dyDescent="0.3">
      <c r="A316" s="32">
        <f>VLOOKUP(YEAR(C316),Flags!$A$13:$B$95,2,FALSE)</f>
        <v>4</v>
      </c>
      <c r="B316" s="24">
        <f t="shared" si="432"/>
        <v>1955</v>
      </c>
      <c r="C316" s="25">
        <v>20362</v>
      </c>
      <c r="D316" s="26"/>
      <c r="E316" s="24"/>
      <c r="F316" s="26"/>
      <c r="G316" s="24"/>
      <c r="H316" s="24"/>
      <c r="I316" s="26"/>
      <c r="J316" s="24"/>
      <c r="K316" s="26">
        <f>VLOOKUP($C316,COS!$B$8:$H$991,2,FALSE)</f>
        <v>2864.943603515625</v>
      </c>
      <c r="L316" s="24">
        <f t="shared" ref="L316" si="506">IF(AND(K316&gt;$I$7,K316&lt;$I$8),1,0)</f>
        <v>1</v>
      </c>
      <c r="M316" s="24"/>
      <c r="N316" s="26"/>
      <c r="O316" s="26"/>
      <c r="P316" s="26"/>
      <c r="Q316" s="26"/>
      <c r="R316" s="26"/>
      <c r="S316" s="26"/>
      <c r="T316" s="26"/>
      <c r="U316" s="26"/>
      <c r="V316" s="26"/>
      <c r="W316" s="26">
        <f>MAX($C$8-VLOOKUP($C316,COS!$B$8:$H$991,3,FALSE),0)</f>
        <v>95723.19287109375</v>
      </c>
      <c r="X316" s="26">
        <f t="shared" si="448"/>
        <v>5695.9255262138431</v>
      </c>
      <c r="Y316" s="26">
        <f>VLOOKUP($C316,COS!$B$8:$H$991,4,FALSE)</f>
        <v>813.69903564453125</v>
      </c>
      <c r="Z316" s="26">
        <f t="shared" si="449"/>
        <v>48.418455013558884</v>
      </c>
      <c r="AA316" s="26">
        <f t="shared" si="504"/>
        <v>813.69903564453125</v>
      </c>
      <c r="AB316" s="33">
        <f t="shared" si="446"/>
        <v>48.418455013558884</v>
      </c>
    </row>
    <row r="317" spans="1:28" x14ac:dyDescent="0.3">
      <c r="A317" s="32">
        <f>VLOOKUP(YEAR(C317),Flags!$A$13:$B$95,2,FALSE)</f>
        <v>4</v>
      </c>
      <c r="B317" s="24">
        <f t="shared" si="432"/>
        <v>1955</v>
      </c>
      <c r="C317" s="25">
        <v>20393</v>
      </c>
      <c r="D317" s="26"/>
      <c r="E317" s="24"/>
      <c r="F317" s="26"/>
      <c r="G317" s="26"/>
      <c r="H317" s="26"/>
      <c r="I317" s="26"/>
      <c r="J317" s="26"/>
      <c r="K317" s="26"/>
      <c r="L317" s="24"/>
      <c r="M317" s="24"/>
      <c r="N317" s="26"/>
      <c r="O317" s="26"/>
      <c r="P317" s="26"/>
      <c r="Q317" s="26"/>
      <c r="R317" s="26"/>
      <c r="S317" s="26"/>
      <c r="T317" s="26"/>
      <c r="U317" s="26"/>
      <c r="V317" s="26"/>
      <c r="W317" s="26">
        <f>MAX($C$9-VLOOKUP($C317,COS!$B$8:$H$991,3,FALSE),0)</f>
        <v>94019.69970703125</v>
      </c>
      <c r="X317" s="26">
        <f t="shared" si="448"/>
        <v>5781.0459985149791</v>
      </c>
      <c r="Y317" s="26">
        <f>VLOOKUP($C317,COS!$B$8:$H$991,4,FALSE)</f>
        <v>1413.0872802734375</v>
      </c>
      <c r="Z317" s="26">
        <f t="shared" si="449"/>
        <v>86.887350125903922</v>
      </c>
      <c r="AA317" s="26">
        <f t="shared" si="504"/>
        <v>1413.0872802734375</v>
      </c>
      <c r="AB317" s="33">
        <f t="shared" si="446"/>
        <v>86.887350125903922</v>
      </c>
    </row>
    <row r="318" spans="1:28" x14ac:dyDescent="0.3">
      <c r="A318" s="32">
        <f>VLOOKUP(YEAR(C318),Flags!$A$13:$B$95,2,FALSE)</f>
        <v>4</v>
      </c>
      <c r="B318" s="24">
        <f t="shared" si="432"/>
        <v>1955</v>
      </c>
      <c r="C318" s="25">
        <v>20423</v>
      </c>
      <c r="D318" s="26"/>
      <c r="E318" s="24"/>
      <c r="F318" s="26"/>
      <c r="G318" s="26"/>
      <c r="H318" s="26"/>
      <c r="I318" s="26"/>
      <c r="J318" s="26"/>
      <c r="K318" s="26"/>
      <c r="L318" s="24"/>
      <c r="M318" s="24"/>
      <c r="N318" s="26"/>
      <c r="O318" s="26"/>
      <c r="P318" s="26"/>
      <c r="Q318" s="26"/>
      <c r="R318" s="26"/>
      <c r="S318" s="26"/>
      <c r="T318" s="26"/>
      <c r="U318" s="26"/>
      <c r="V318" s="26"/>
      <c r="W318" s="26">
        <f>MAX($C$10-VLOOKUP($C318,COS!$B$8:$H$991,3,FALSE),0)</f>
        <v>96749</v>
      </c>
      <c r="X318" s="26">
        <f t="shared" si="448"/>
        <v>5756.965289256198</v>
      </c>
      <c r="Y318" s="26">
        <f>VLOOKUP($C318,COS!$B$8:$H$991,4,FALSE)</f>
        <v>1431.478759765625</v>
      </c>
      <c r="Z318" s="26">
        <f t="shared" si="449"/>
        <v>85.178901407541332</v>
      </c>
      <c r="AA318" s="26">
        <f t="shared" si="504"/>
        <v>1431.478759765625</v>
      </c>
      <c r="AB318" s="33">
        <f t="shared" si="446"/>
        <v>42.589450703770666</v>
      </c>
    </row>
    <row r="319" spans="1:28" x14ac:dyDescent="0.3">
      <c r="A319" s="34">
        <f>VLOOKUP(YEAR(C319),Flags!$A$13:$B$95,2,FALSE)</f>
        <v>4</v>
      </c>
      <c r="B319" s="35">
        <f t="shared" si="432"/>
        <v>1955</v>
      </c>
      <c r="C319" s="36">
        <v>20454</v>
      </c>
      <c r="D319" s="37"/>
      <c r="E319" s="35"/>
      <c r="F319" s="37"/>
      <c r="G319" s="37"/>
      <c r="H319" s="37"/>
      <c r="I319" s="37"/>
      <c r="J319" s="37"/>
      <c r="K319" s="37"/>
      <c r="L319" s="35"/>
      <c r="M319" s="35"/>
      <c r="N319" s="37"/>
      <c r="O319" s="37"/>
      <c r="P319" s="37"/>
      <c r="Q319" s="37"/>
      <c r="R319" s="37"/>
      <c r="S319" s="37"/>
      <c r="T319" s="37"/>
      <c r="U319" s="37"/>
      <c r="V319" s="37"/>
      <c r="W319" s="37">
        <f>MAX($C$11-VLOOKUP($C319,COS!$B$8:$H$991,3,FALSE),0)</f>
        <v>0</v>
      </c>
      <c r="X319" s="37">
        <f t="shared" si="448"/>
        <v>0</v>
      </c>
      <c r="Y319" s="37">
        <f>VLOOKUP($C319,COS!$B$8:$H$991,4,FALSE)</f>
        <v>0</v>
      </c>
      <c r="Z319" s="37">
        <f t="shared" si="449"/>
        <v>0</v>
      </c>
      <c r="AA319" s="37">
        <f t="shared" si="504"/>
        <v>0</v>
      </c>
      <c r="AB319" s="38">
        <f t="shared" si="446"/>
        <v>0</v>
      </c>
    </row>
    <row r="320" spans="1:28" x14ac:dyDescent="0.3">
      <c r="A320" s="27">
        <f>VLOOKUP(YEAR(C320),Flags!$A$13:$B$95,2,FALSE)</f>
        <v>1</v>
      </c>
      <c r="B320" s="28">
        <f t="shared" si="432"/>
        <v>1956</v>
      </c>
      <c r="C320" s="29">
        <v>20575</v>
      </c>
      <c r="D320" s="30">
        <f>VLOOKUP($C320,COS!$B$8:$H$991,3,FALSE)</f>
        <v>3250</v>
      </c>
      <c r="E320" s="28">
        <f>IF(D320&gt;=IF(MONTH($C320)=4,$C$3,IF(MONTH($C320)=5,$C$4,IF(MONTH($C320)=6,$C$5,IF(MONTH($C320)=7,$C$6,"ERROR")))),1,0)</f>
        <v>0</v>
      </c>
      <c r="F320" s="30">
        <f>VLOOKUP($C320,COS!$B$8:$H$991,7,FALSE)</f>
        <v>49.895095825195313</v>
      </c>
      <c r="G320" s="28">
        <f>IF(F320&lt;=IF(MONTH($C320)=4,$F$3,IF(MONTH($C320)=5,$F$4,IF(MONTH($C320)=6,$F$5,IF(MONTH($C320)=7,$F$6,"ERROR")))),1,0)</f>
        <v>1</v>
      </c>
      <c r="H320" s="30">
        <f>IF(J320=1,D320-$C$3,0)</f>
        <v>0</v>
      </c>
      <c r="I320" s="30">
        <f t="shared" si="450"/>
        <v>0</v>
      </c>
      <c r="J320" s="28">
        <f t="shared" ref="J320:J323" si="507">IF(AND(E320=1,G320=1),1,0)</f>
        <v>0</v>
      </c>
      <c r="K320" s="30">
        <f>VLOOKUP($C320,COS!$B$8:$H$991,2,FALSE)</f>
        <v>4525.97607421875</v>
      </c>
      <c r="L320" s="28">
        <f t="shared" ref="L320" si="508">IF(K320&lt;=IF(MONTH($C320)=4,$I$3,IF(MONTH($C320)=5,$I$4,IF(MONTH($C320)=6,$I$5,IF(MONTH($C320)=7,$I$6,"ERROR")))),1,0)</f>
        <v>1</v>
      </c>
      <c r="M320" s="28">
        <f t="shared" ref="M320" si="509">VLOOKUP($A320,$L$3:$M$7,2,FALSE)</f>
        <v>0</v>
      </c>
      <c r="N320" s="30">
        <f>VLOOKUP($C320,COS!$B$8:$H$991,5,FALSE)</f>
        <v>274.44708251953125</v>
      </c>
      <c r="O320" s="30">
        <f t="shared" ref="O320:O323" si="510">N320*DAY($C320)*86400/43560/1000</f>
        <v>16.330735488765498</v>
      </c>
      <c r="P320" s="30">
        <f>VLOOKUP($C320,COS!$B$8:$H$991,6,FALSE)</f>
        <v>472.98532104492188</v>
      </c>
      <c r="Q320" s="30">
        <f t="shared" ref="Q320:Q323" si="511">P320*DAY($C320)*86400/43560/1000</f>
        <v>28.144581086970557</v>
      </c>
      <c r="R320" s="30">
        <f>MIN(IF(MONTH($C320)=4,$S$3,IF(MONTH($C320)=5,$S$4,IF(MONTH($C320)=6,$S$5,IF(MONTH($C320)=7,$S$6,"ERROR")))),MAX(VLOOKUP($C320,COS!$B$8:$K$991,10,FALSE)-IF(MONTH($C320)=4,$Y$3,IF(MONTH($C320)=5,$Y$4,IF(MONTH($C320)=6,$Y$5,IF(MONTH($C320)=7,$Y$6,"ERROR")))),0),MAX(VLOOKUP($C320,COS!$B$8:$K$991,9,FALSE)-IF(MONTH($C320)=4,$V$3,IF(MONTH($C320)=5,$V$4,IF(MONTH($C320)=6,$V$5,IF(MONTH($C320)=7,$V$6,"ERROR"))))-VLOOKUP($C320,COS!$B$8:$K$991,6,FALSE)/2,0))</f>
        <v>1500</v>
      </c>
      <c r="S320" s="30">
        <f t="shared" ref="S320:S323" si="512">R320*DAY($C320)*86400/43560/1000</f>
        <v>89.256198347107429</v>
      </c>
      <c r="T320" s="30">
        <f t="shared" ref="T320:T323" si="513">(O320+Q320)/2+S320</f>
        <v>111.49385663497546</v>
      </c>
      <c r="U320" s="30" t="str">
        <f>IF(VLOOKUP($C320,COS!$B$8:$I$991,8,FALSE)=1,"UWFE","IBU")</f>
        <v>UWFE</v>
      </c>
      <c r="V320" s="30">
        <f t="shared" ref="V320" si="514">MIN(IF(IF($AA$3=2,AND(E320=1,G320=1,L320=1,L325=1,M320=1,U320="IBU"),AND(E320=1,G320=1,L320=1,L325=1,M320=1)),T320,0),I320)</f>
        <v>0</v>
      </c>
      <c r="W320" s="30"/>
      <c r="X320" s="30"/>
      <c r="Y320" s="30"/>
      <c r="Z320" s="30"/>
      <c r="AA320" s="30"/>
      <c r="AB320" s="31"/>
    </row>
    <row r="321" spans="1:28" x14ac:dyDescent="0.3">
      <c r="A321" s="32">
        <f>VLOOKUP(YEAR(C321),Flags!$A$13:$B$95,2,FALSE)</f>
        <v>1</v>
      </c>
      <c r="B321" s="24">
        <f t="shared" si="432"/>
        <v>1956</v>
      </c>
      <c r="C321" s="25">
        <v>20606</v>
      </c>
      <c r="D321" s="26">
        <f>VLOOKUP($C321,COS!$B$8:$H$991,3,FALSE)</f>
        <v>9877.4130859375</v>
      </c>
      <c r="E321" s="24">
        <f>IF(D321&gt;=IF(MONTH($C321)=4,$C$3,IF(MONTH($C321)=5,$C$4,IF(MONTH($C321)=6,$C$5,IF(MONTH($C321)=7,$C$6,"ERROR")))),1,0)</f>
        <v>1</v>
      </c>
      <c r="F321" s="26">
        <f>VLOOKUP($C321,COS!$B$8:$H$991,7,FALSE)</f>
        <v>47.875160217285156</v>
      </c>
      <c r="G321" s="24">
        <f>IF(F321&lt;=IF(MONTH($C321)=4,$F$3,IF(MONTH($C321)=5,$F$4,IF(MONTH($C321)=6,$F$5,IF(MONTH($C321)=7,$F$6,"ERROR")))),1,0)</f>
        <v>1</v>
      </c>
      <c r="H321" s="26">
        <f>IF(J321=1,D321-$C$4,0)</f>
        <v>3877.4130859375</v>
      </c>
      <c r="I321" s="26">
        <f t="shared" si="450"/>
        <v>238.41283768078512</v>
      </c>
      <c r="J321" s="24">
        <f t="shared" si="507"/>
        <v>1</v>
      </c>
      <c r="K321" s="26">
        <f>VLOOKUP($C321,COS!$B$8:$H$991,2,FALSE)</f>
        <v>4552</v>
      </c>
      <c r="L321" s="24">
        <f t="shared" si="435"/>
        <v>1</v>
      </c>
      <c r="M321" s="24">
        <f t="shared" si="436"/>
        <v>0</v>
      </c>
      <c r="N321" s="26">
        <f>VLOOKUP($C321,COS!$B$8:$H$991,5,FALSE)</f>
        <v>735.657470703125</v>
      </c>
      <c r="O321" s="26">
        <f t="shared" si="510"/>
        <v>45.233814727530991</v>
      </c>
      <c r="P321" s="26">
        <f>VLOOKUP($C321,COS!$B$8:$H$991,6,FALSE)</f>
        <v>2024.16015625</v>
      </c>
      <c r="Q321" s="26">
        <f t="shared" si="511"/>
        <v>124.46075671487603</v>
      </c>
      <c r="R321" s="26">
        <f>MIN(IF(MONTH($C321)=4,$S$3,IF(MONTH($C321)=5,$S$4,IF(MONTH($C321)=6,$S$5,IF(MONTH($C321)=7,$S$6,"ERROR")))),MAX(VLOOKUP($C321,COS!$B$8:$K$991,10,FALSE)-IF(MONTH($C321)=4,$Y$3,IF(MONTH($C321)=5,$Y$4,IF(MONTH($C321)=6,$Y$5,IF(MONTH($C321)=7,$Y$6,"ERROR")))),0),MAX(VLOOKUP($C321,COS!$B$8:$K$991,9,FALSE)-IF(MONTH($C321)=4,$V$3,IF(MONTH($C321)=5,$V$4,IF(MONTH($C321)=6,$V$5,IF(MONTH($C321)=7,$V$6,"ERROR"))))-VLOOKUP($C321,COS!$B$8:$K$991,6,FALSE)/2,0))</f>
        <v>1500</v>
      </c>
      <c r="S321" s="26">
        <f t="shared" si="512"/>
        <v>92.231404958677686</v>
      </c>
      <c r="T321" s="26">
        <f t="shared" si="513"/>
        <v>177.07869067988119</v>
      </c>
      <c r="U321" s="26" t="str">
        <f>IF(VLOOKUP($C321,COS!$B$8:$I$991,8,FALSE)=1,"UWFE","IBU")</f>
        <v>UWFE</v>
      </c>
      <c r="V321" s="26">
        <f t="shared" ref="V321" si="515">MIN(IF(IF($AA$3=2,AND(E321=1,G321=1,L321=1,L325=1,M321=1,U321="IBU"),AND(E321=1,G321=1,L321=1,L325=1,M321=1)),T321,0),I321)</f>
        <v>0</v>
      </c>
      <c r="W321" s="26"/>
      <c r="X321" s="26"/>
      <c r="Y321" s="26"/>
      <c r="Z321" s="26"/>
      <c r="AA321" s="26"/>
      <c r="AB321" s="33"/>
    </row>
    <row r="322" spans="1:28" x14ac:dyDescent="0.3">
      <c r="A322" s="32">
        <f>VLOOKUP(YEAR(C322),Flags!$A$13:$B$95,2,FALSE)</f>
        <v>1</v>
      </c>
      <c r="B322" s="24">
        <f t="shared" si="432"/>
        <v>1956</v>
      </c>
      <c r="C322" s="25">
        <v>20636</v>
      </c>
      <c r="D322" s="26">
        <f>VLOOKUP($C322,COS!$B$8:$H$991,3,FALSE)</f>
        <v>7543.416015625</v>
      </c>
      <c r="E322" s="24">
        <f>IF(D322&gt;=IF(MONTH($C322)=4,$C$3,IF(MONTH($C322)=5,$C$4,IF(MONTH($C322)=6,$C$5,IF(MONTH($C322)=7,$C$6,"ERROR")))),1,0)</f>
        <v>0</v>
      </c>
      <c r="F322" s="26">
        <f>VLOOKUP($C322,COS!$B$8:$H$991,7,FALSE)</f>
        <v>50.089691162109375</v>
      </c>
      <c r="G322" s="24">
        <f>IF(F322&lt;=IF(MONTH($C322)=4,$F$3,IF(MONTH($C322)=5,$F$4,IF(MONTH($C322)=6,$F$5,IF(MONTH($C322)=7,$F$6,"ERROR")))),1,0)</f>
        <v>1</v>
      </c>
      <c r="H322" s="26">
        <f>IF(J322=1,D322-$C$5,0)</f>
        <v>0</v>
      </c>
      <c r="I322" s="26">
        <f t="shared" si="450"/>
        <v>0</v>
      </c>
      <c r="J322" s="24">
        <f t="shared" si="507"/>
        <v>0</v>
      </c>
      <c r="K322" s="26">
        <f>VLOOKUP($C322,COS!$B$8:$H$991,2,FALSE)</f>
        <v>4426.123046875</v>
      </c>
      <c r="L322" s="24">
        <f t="shared" si="435"/>
        <v>1</v>
      </c>
      <c r="M322" s="24">
        <f t="shared" si="436"/>
        <v>0</v>
      </c>
      <c r="N322" s="26">
        <f>VLOOKUP($C322,COS!$B$8:$H$991,5,FALSE)</f>
        <v>1099.9310302734375</v>
      </c>
      <c r="O322" s="26">
        <f t="shared" si="510"/>
        <v>65.450441470816116</v>
      </c>
      <c r="P322" s="26">
        <f>VLOOKUP($C322,COS!$B$8:$H$991,6,FALSE)</f>
        <v>2200.53125</v>
      </c>
      <c r="Q322" s="26">
        <f t="shared" si="511"/>
        <v>130.94070247933885</v>
      </c>
      <c r="R322" s="26">
        <f>MIN(IF(MONTH($C322)=4,$S$3,IF(MONTH($C322)=5,$S$4,IF(MONTH($C322)=6,$S$5,IF(MONTH($C322)=7,$S$6,"ERROR")))),MAX(VLOOKUP($C322,COS!$B$8:$K$991,10,FALSE)-IF(MONTH($C322)=4,$Y$3,IF(MONTH($C322)=5,$Y$4,IF(MONTH($C322)=6,$Y$5,IF(MONTH($C322)=7,$Y$6,"ERROR")))),0),MAX(VLOOKUP($C322,COS!$B$8:$K$991,9,FALSE)-IF(MONTH($C322)=4,$V$3,IF(MONTH($C322)=5,$V$4,IF(MONTH($C322)=6,$V$5,IF(MONTH($C322)=7,$V$6,"ERROR"))))-VLOOKUP($C322,COS!$B$8:$K$991,6,FALSE)/2,0))</f>
        <v>1500</v>
      </c>
      <c r="S322" s="26">
        <f t="shared" si="512"/>
        <v>89.256198347107429</v>
      </c>
      <c r="T322" s="26">
        <f t="shared" si="513"/>
        <v>187.45177032218493</v>
      </c>
      <c r="U322" s="26" t="str">
        <f>IF(VLOOKUP($C322,COS!$B$8:$I$991,8,FALSE)=1,"UWFE","IBU")</f>
        <v>UWFE</v>
      </c>
      <c r="V322" s="26">
        <f t="shared" ref="V322" si="516">MIN(IF(IF($AA$3=2,AND(E322=1,G322=1,L322=1,L325=1,M322=1,U322="IBU"),AND(E322=1,G322=1,L322=1,L325=1,M322=1)),T322,0),I322)</f>
        <v>0</v>
      </c>
      <c r="W322" s="26"/>
      <c r="X322" s="26"/>
      <c r="Y322" s="26"/>
      <c r="Z322" s="26"/>
      <c r="AA322" s="26"/>
      <c r="AB322" s="33"/>
    </row>
    <row r="323" spans="1:28" x14ac:dyDescent="0.3">
      <c r="A323" s="32">
        <f>VLOOKUP(YEAR(C323),Flags!$A$13:$B$95,2,FALSE)</f>
        <v>1</v>
      </c>
      <c r="B323" s="24">
        <f t="shared" si="432"/>
        <v>1956</v>
      </c>
      <c r="C323" s="25">
        <v>20667</v>
      </c>
      <c r="D323" s="26">
        <f>VLOOKUP($C323,COS!$B$8:$H$991,3,FALSE)</f>
        <v>11823.966796875</v>
      </c>
      <c r="E323" s="24">
        <f>IF(D323&gt;=IF(MONTH($C323)=4,$C$3,IF(MONTH($C323)=5,$C$4,IF(MONTH($C323)=6,$C$5,IF(MONTH($C323)=7,$C$6,"ERROR")))),1,0)</f>
        <v>0</v>
      </c>
      <c r="F323" s="26">
        <f>VLOOKUP($C323,COS!$B$8:$H$991,7,FALSE)</f>
        <v>50.282562255859375</v>
      </c>
      <c r="G323" s="24">
        <f>IF(F323&lt;=IF(MONTH($C323)=4,$F$3,IF(MONTH($C323)=5,$F$4,IF(MONTH($C323)=6,$F$5,IF(MONTH($C323)=7,$F$6,"ERROR")))),1,0)</f>
        <v>1</v>
      </c>
      <c r="H323" s="26">
        <f>IF(J323=1,D323-$C$6,0)</f>
        <v>0</v>
      </c>
      <c r="I323" s="26">
        <f t="shared" si="450"/>
        <v>0</v>
      </c>
      <c r="J323" s="24">
        <f t="shared" si="507"/>
        <v>0</v>
      </c>
      <c r="K323" s="26">
        <f>VLOOKUP($C323,COS!$B$8:$H$991,2,FALSE)</f>
        <v>3905.54736328125</v>
      </c>
      <c r="L323" s="24">
        <f t="shared" si="435"/>
        <v>1</v>
      </c>
      <c r="M323" s="24">
        <f t="shared" si="436"/>
        <v>0</v>
      </c>
      <c r="N323" s="26">
        <f>VLOOKUP($C323,COS!$B$8:$H$991,5,FALSE)</f>
        <v>1282.6153564453125</v>
      </c>
      <c r="O323" s="26">
        <f t="shared" si="510"/>
        <v>78.86494423101756</v>
      </c>
      <c r="P323" s="26">
        <f>VLOOKUP($C323,COS!$B$8:$H$991,6,FALSE)</f>
        <v>2616.67822265625</v>
      </c>
      <c r="Q323" s="26">
        <f t="shared" si="511"/>
        <v>160.89327253357436</v>
      </c>
      <c r="R323" s="26">
        <f>MIN(IF(MONTH($C323)=4,$S$3,IF(MONTH($C323)=5,$S$4,IF(MONTH($C323)=6,$S$5,IF(MONTH($C323)=7,$S$6,"ERROR")))),MAX(VLOOKUP($C323,COS!$B$8:$K$991,10,FALSE)-IF(MONTH($C323)=4,$Y$3,IF(MONTH($C323)=5,$Y$4,IF(MONTH($C323)=6,$Y$5,IF(MONTH($C323)=7,$Y$6,"ERROR")))),0),MAX(VLOOKUP($C323,COS!$B$8:$K$991,9,FALSE)-IF(MONTH($C323)=4,$V$3,IF(MONTH($C323)=5,$V$4,IF(MONTH($C323)=6,$V$5,IF(MONTH($C323)=7,$V$6,"ERROR"))))-VLOOKUP($C323,COS!$B$8:$K$991,6,FALSE)/2,0))</f>
        <v>1500</v>
      </c>
      <c r="S323" s="26">
        <f t="shared" si="512"/>
        <v>92.231404958677686</v>
      </c>
      <c r="T323" s="26">
        <f t="shared" si="513"/>
        <v>212.11051334097363</v>
      </c>
      <c r="U323" s="26" t="str">
        <f>IF(VLOOKUP($C323,COS!$B$8:$I$991,8,FALSE)=1,"UWFE","IBU")</f>
        <v>IBU</v>
      </c>
      <c r="V323" s="26">
        <f t="shared" ref="V323" si="517">MIN(IF(IF($AA$3=2,AND(E323=1,G323=1,L323=1,L325=1,M323=1,U323="IBU"),AND(E323=1,G323=1,L323=1,L325=1,M323=1)),T323,0),I323)</f>
        <v>0</v>
      </c>
      <c r="W323" s="26"/>
      <c r="X323" s="26"/>
      <c r="Y323" s="26"/>
      <c r="Z323" s="26"/>
      <c r="AA323" s="26"/>
      <c r="AB323" s="33"/>
    </row>
    <row r="324" spans="1:28" x14ac:dyDescent="0.3">
      <c r="A324" s="32">
        <f>VLOOKUP(YEAR(C324),Flags!$A$13:$B$95,2,FALSE)</f>
        <v>1</v>
      </c>
      <c r="B324" s="24">
        <f t="shared" si="432"/>
        <v>1956</v>
      </c>
      <c r="C324" s="25">
        <v>20698</v>
      </c>
      <c r="D324" s="26"/>
      <c r="E324" s="24"/>
      <c r="F324" s="26"/>
      <c r="G324" s="24"/>
      <c r="H324" s="24"/>
      <c r="I324" s="26"/>
      <c r="J324" s="24"/>
      <c r="K324" s="26"/>
      <c r="L324" s="24"/>
      <c r="M324" s="24"/>
      <c r="N324" s="26"/>
      <c r="O324" s="26"/>
      <c r="P324" s="26"/>
      <c r="Q324" s="26"/>
      <c r="R324" s="26"/>
      <c r="S324" s="26"/>
      <c r="T324" s="26"/>
      <c r="U324" s="26"/>
      <c r="V324" s="26"/>
      <c r="W324" s="26">
        <f>MAX($C$7-VLOOKUP($C324,COS!$B$8:$H$991,3,FALSE),0)</f>
        <v>90474.158203125</v>
      </c>
      <c r="X324" s="26">
        <f t="shared" si="448"/>
        <v>5563.0391490185948</v>
      </c>
      <c r="Y324" s="26">
        <f>VLOOKUP($C324,COS!$B$8:$H$991,4,FALSE)</f>
        <v>0</v>
      </c>
      <c r="Z324" s="26">
        <f t="shared" si="449"/>
        <v>0</v>
      </c>
      <c r="AA324" s="26">
        <f t="shared" ref="AA324:AA328" si="518">MIN(W324,Y324)</f>
        <v>0</v>
      </c>
      <c r="AB324" s="33">
        <f t="shared" ref="AB324" si="519">AA324*DAY($C324)*86400/43560/1000*IF(MONTH($C324)=8,$P$3,IF(MONTH($C324)=9,$P$4,IF(MONTH($C324)=10,$P$5,IF(MONTH($C324)=11,$P$6,IF(MONTH($C324)=12,$P$7,NA())))))</f>
        <v>0</v>
      </c>
    </row>
    <row r="325" spans="1:28" x14ac:dyDescent="0.3">
      <c r="A325" s="32">
        <f>VLOOKUP(YEAR(C325),Flags!$A$13:$B$95,2,FALSE)</f>
        <v>1</v>
      </c>
      <c r="B325" s="24">
        <f t="shared" si="432"/>
        <v>1956</v>
      </c>
      <c r="C325" s="25">
        <v>20728</v>
      </c>
      <c r="D325" s="26"/>
      <c r="E325" s="24"/>
      <c r="F325" s="26"/>
      <c r="G325" s="24"/>
      <c r="H325" s="24"/>
      <c r="I325" s="26"/>
      <c r="J325" s="24"/>
      <c r="K325" s="26">
        <f>VLOOKUP($C325,COS!$B$8:$H$991,2,FALSE)</f>
        <v>3055.82763671875</v>
      </c>
      <c r="L325" s="24">
        <f t="shared" ref="L325" si="520">IF(AND(K325&gt;$I$7,K325&lt;$I$8),1,0)</f>
        <v>1</v>
      </c>
      <c r="M325" s="24"/>
      <c r="N325" s="26"/>
      <c r="O325" s="26"/>
      <c r="P325" s="26"/>
      <c r="Q325" s="26"/>
      <c r="R325" s="26"/>
      <c r="S325" s="26"/>
      <c r="T325" s="26"/>
      <c r="U325" s="26"/>
      <c r="V325" s="26"/>
      <c r="W325" s="26">
        <f>MAX($C$8-VLOOKUP($C325,COS!$B$8:$H$991,3,FALSE),0)</f>
        <v>84431.8017578125</v>
      </c>
      <c r="X325" s="26">
        <f t="shared" si="448"/>
        <v>5024.0410963326449</v>
      </c>
      <c r="Y325" s="26">
        <f>VLOOKUP($C325,COS!$B$8:$H$991,4,FALSE)</f>
        <v>0</v>
      </c>
      <c r="Z325" s="26">
        <f t="shared" si="449"/>
        <v>0</v>
      </c>
      <c r="AA325" s="26">
        <f t="shared" si="518"/>
        <v>0</v>
      </c>
      <c r="AB325" s="33">
        <f t="shared" si="446"/>
        <v>0</v>
      </c>
    </row>
    <row r="326" spans="1:28" x14ac:dyDescent="0.3">
      <c r="A326" s="32">
        <f>VLOOKUP(YEAR(C326),Flags!$A$13:$B$95,2,FALSE)</f>
        <v>1</v>
      </c>
      <c r="B326" s="24">
        <f t="shared" si="432"/>
        <v>1956</v>
      </c>
      <c r="C326" s="25">
        <v>20759</v>
      </c>
      <c r="D326" s="26"/>
      <c r="E326" s="24"/>
      <c r="F326" s="26"/>
      <c r="G326" s="26"/>
      <c r="H326" s="26"/>
      <c r="I326" s="26"/>
      <c r="J326" s="26"/>
      <c r="K326" s="26"/>
      <c r="L326" s="24"/>
      <c r="M326" s="24"/>
      <c r="N326" s="26"/>
      <c r="O326" s="26"/>
      <c r="P326" s="26"/>
      <c r="Q326" s="26"/>
      <c r="R326" s="26"/>
      <c r="S326" s="26"/>
      <c r="T326" s="26"/>
      <c r="U326" s="26"/>
      <c r="V326" s="26"/>
      <c r="W326" s="26">
        <f>MAX($C$9-VLOOKUP($C326,COS!$B$8:$H$991,3,FALSE),0)</f>
        <v>92823.07568359375</v>
      </c>
      <c r="X326" s="26">
        <f t="shared" si="448"/>
        <v>5707.4684552556819</v>
      </c>
      <c r="Y326" s="26">
        <f>VLOOKUP($C326,COS!$B$8:$H$991,4,FALSE)</f>
        <v>524.9937744140625</v>
      </c>
      <c r="Z326" s="26">
        <f t="shared" si="449"/>
        <v>32.28060893917872</v>
      </c>
      <c r="AA326" s="26">
        <f t="shared" si="518"/>
        <v>524.9937744140625</v>
      </c>
      <c r="AB326" s="33">
        <f t="shared" si="446"/>
        <v>32.28060893917872</v>
      </c>
    </row>
    <row r="327" spans="1:28" x14ac:dyDescent="0.3">
      <c r="A327" s="32">
        <f>VLOOKUP(YEAR(C327),Flags!$A$13:$B$95,2,FALSE)</f>
        <v>1</v>
      </c>
      <c r="B327" s="24">
        <f t="shared" si="432"/>
        <v>1956</v>
      </c>
      <c r="C327" s="25">
        <v>20789</v>
      </c>
      <c r="D327" s="26"/>
      <c r="E327" s="24"/>
      <c r="F327" s="26"/>
      <c r="G327" s="26"/>
      <c r="H327" s="26"/>
      <c r="I327" s="26"/>
      <c r="J327" s="26"/>
      <c r="K327" s="26"/>
      <c r="L327" s="24"/>
      <c r="M327" s="24"/>
      <c r="N327" s="26"/>
      <c r="O327" s="26"/>
      <c r="P327" s="26"/>
      <c r="Q327" s="26"/>
      <c r="R327" s="26"/>
      <c r="S327" s="26"/>
      <c r="T327" s="26"/>
      <c r="U327" s="26"/>
      <c r="V327" s="26"/>
      <c r="W327" s="26">
        <f>MAX($C$10-VLOOKUP($C327,COS!$B$8:$H$991,3,FALSE),0)</f>
        <v>87816.908203125</v>
      </c>
      <c r="X327" s="26">
        <f t="shared" si="448"/>
        <v>5225.4689178719009</v>
      </c>
      <c r="Y327" s="26">
        <f>VLOOKUP($C327,COS!$B$8:$H$991,4,FALSE)</f>
        <v>630.58831787109375</v>
      </c>
      <c r="Z327" s="26">
        <f t="shared" si="449"/>
        <v>37.522610650180788</v>
      </c>
      <c r="AA327" s="26">
        <f t="shared" si="518"/>
        <v>630.58831787109375</v>
      </c>
      <c r="AB327" s="33">
        <f t="shared" si="446"/>
        <v>18.761305325090394</v>
      </c>
    </row>
    <row r="328" spans="1:28" x14ac:dyDescent="0.3">
      <c r="A328" s="34">
        <f>VLOOKUP(YEAR(C328),Flags!$A$13:$B$95,2,FALSE)</f>
        <v>1</v>
      </c>
      <c r="B328" s="35">
        <f t="shared" si="432"/>
        <v>1956</v>
      </c>
      <c r="C328" s="36">
        <v>20820</v>
      </c>
      <c r="D328" s="37"/>
      <c r="E328" s="35"/>
      <c r="F328" s="37"/>
      <c r="G328" s="37"/>
      <c r="H328" s="37"/>
      <c r="I328" s="37"/>
      <c r="J328" s="37"/>
      <c r="K328" s="37"/>
      <c r="L328" s="35"/>
      <c r="M328" s="35"/>
      <c r="N328" s="37"/>
      <c r="O328" s="37"/>
      <c r="P328" s="37"/>
      <c r="Q328" s="37"/>
      <c r="R328" s="37"/>
      <c r="S328" s="37"/>
      <c r="T328" s="37"/>
      <c r="U328" s="37"/>
      <c r="V328" s="37"/>
      <c r="W328" s="37">
        <f>MAX($C$11-VLOOKUP($C328,COS!$B$8:$H$991,3,FALSE),0)</f>
        <v>0</v>
      </c>
      <c r="X328" s="37">
        <f t="shared" si="448"/>
        <v>0</v>
      </c>
      <c r="Y328" s="37">
        <f>VLOOKUP($C328,COS!$B$8:$H$991,4,FALSE)</f>
        <v>0</v>
      </c>
      <c r="Z328" s="37">
        <f t="shared" si="449"/>
        <v>0</v>
      </c>
      <c r="AA328" s="37">
        <f t="shared" si="518"/>
        <v>0</v>
      </c>
      <c r="AB328" s="38">
        <f t="shared" si="446"/>
        <v>0</v>
      </c>
    </row>
    <row r="329" spans="1:28" x14ac:dyDescent="0.3">
      <c r="A329" s="27">
        <f>VLOOKUP(YEAR(C329),Flags!$A$13:$B$95,2,FALSE)</f>
        <v>2</v>
      </c>
      <c r="B329" s="28">
        <f t="shared" si="432"/>
        <v>1957</v>
      </c>
      <c r="C329" s="29">
        <v>20940</v>
      </c>
      <c r="D329" s="30">
        <f>VLOOKUP($C329,COS!$B$8:$H$991,3,FALSE)</f>
        <v>3250</v>
      </c>
      <c r="E329" s="28">
        <f>IF(D329&gt;=IF(MONTH($C329)=4,$C$3,IF(MONTH($C329)=5,$C$4,IF(MONTH($C329)=6,$C$5,IF(MONTH($C329)=7,$C$6,"ERROR")))),1,0)</f>
        <v>0</v>
      </c>
      <c r="F329" s="30">
        <f>VLOOKUP($C329,COS!$B$8:$H$991,7,FALSE)</f>
        <v>51.217433929443359</v>
      </c>
      <c r="G329" s="28">
        <f>IF(F329&lt;=IF(MONTH($C329)=4,$F$3,IF(MONTH($C329)=5,$F$4,IF(MONTH($C329)=6,$F$5,IF(MONTH($C329)=7,$F$6,"ERROR")))),1,0)</f>
        <v>1</v>
      </c>
      <c r="H329" s="30">
        <f>IF(J329=1,D329-$C$3,0)</f>
        <v>0</v>
      </c>
      <c r="I329" s="30">
        <f t="shared" si="450"/>
        <v>0</v>
      </c>
      <c r="J329" s="28">
        <f t="shared" ref="J329:J332" si="521">IF(AND(E329=1,G329=1),1,0)</f>
        <v>0</v>
      </c>
      <c r="K329" s="30">
        <f>VLOOKUP($C329,COS!$B$8:$H$991,2,FALSE)</f>
        <v>4535.75439453125</v>
      </c>
      <c r="L329" s="28">
        <f t="shared" ref="L329" si="522">IF(K329&lt;=IF(MONTH($C329)=4,$I$3,IF(MONTH($C329)=5,$I$4,IF(MONTH($C329)=6,$I$5,IF(MONTH($C329)=7,$I$6,"ERROR")))),1,0)</f>
        <v>1</v>
      </c>
      <c r="M329" s="28">
        <f t="shared" ref="M329" si="523">VLOOKUP($A329,$L$3:$M$7,2,FALSE)</f>
        <v>0</v>
      </c>
      <c r="N329" s="30">
        <f>VLOOKUP($C329,COS!$B$8:$H$991,5,FALSE)</f>
        <v>473.61004638671875</v>
      </c>
      <c r="O329" s="30">
        <f t="shared" ref="O329:O332" si="524">N329*DAY($C329)*86400/43560/1000</f>
        <v>28.18175482631715</v>
      </c>
      <c r="P329" s="30">
        <f>VLOOKUP($C329,COS!$B$8:$H$991,6,FALSE)</f>
        <v>459.42416381835938</v>
      </c>
      <c r="Q329" s="30">
        <f t="shared" ref="Q329:Q332" si="525">P329*DAY($C329)*86400/43560/1000</f>
        <v>27.33763619415031</v>
      </c>
      <c r="R329" s="30">
        <f>MIN(IF(MONTH($C329)=4,$S$3,IF(MONTH($C329)=5,$S$4,IF(MONTH($C329)=6,$S$5,IF(MONTH($C329)=7,$S$6,"ERROR")))),MAX(VLOOKUP($C329,COS!$B$8:$K$991,10,FALSE)-IF(MONTH($C329)=4,$Y$3,IF(MONTH($C329)=5,$Y$4,IF(MONTH($C329)=6,$Y$5,IF(MONTH($C329)=7,$Y$6,"ERROR")))),0),MAX(VLOOKUP($C329,COS!$B$8:$K$991,9,FALSE)-IF(MONTH($C329)=4,$V$3,IF(MONTH($C329)=5,$V$4,IF(MONTH($C329)=6,$V$5,IF(MONTH($C329)=7,$V$6,"ERROR"))))-VLOOKUP($C329,COS!$B$8:$K$991,6,FALSE)/2,0))</f>
        <v>1500</v>
      </c>
      <c r="S329" s="30">
        <f t="shared" ref="S329:S332" si="526">R329*DAY($C329)*86400/43560/1000</f>
        <v>89.256198347107429</v>
      </c>
      <c r="T329" s="30">
        <f t="shared" ref="T329:T332" si="527">(O329+Q329)/2+S329</f>
        <v>117.01589385734115</v>
      </c>
      <c r="U329" s="30" t="str">
        <f>IF(VLOOKUP($C329,COS!$B$8:$I$991,8,FALSE)=1,"UWFE","IBU")</f>
        <v>UWFE</v>
      </c>
      <c r="V329" s="30">
        <f t="shared" ref="V329" si="528">MIN(IF(IF($AA$3=2,AND(E329=1,G329=1,L329=1,L334=1,M329=1,U329="IBU"),AND(E329=1,G329=1,L329=1,L334=1,M329=1)),T329,0),I329)</f>
        <v>0</v>
      </c>
      <c r="W329" s="30"/>
      <c r="X329" s="30"/>
      <c r="Y329" s="30"/>
      <c r="Z329" s="30"/>
      <c r="AA329" s="30"/>
      <c r="AB329" s="31"/>
    </row>
    <row r="330" spans="1:28" x14ac:dyDescent="0.3">
      <c r="A330" s="32">
        <f>VLOOKUP(YEAR(C330),Flags!$A$13:$B$95,2,FALSE)</f>
        <v>2</v>
      </c>
      <c r="B330" s="24">
        <f t="shared" si="432"/>
        <v>1957</v>
      </c>
      <c r="C330" s="25">
        <v>20971</v>
      </c>
      <c r="D330" s="26">
        <f>VLOOKUP($C330,COS!$B$8:$H$991,3,FALSE)</f>
        <v>10383.798828125</v>
      </c>
      <c r="E330" s="24">
        <f>IF(D330&gt;=IF(MONTH($C330)=4,$C$3,IF(MONTH($C330)=5,$C$4,IF(MONTH($C330)=6,$C$5,IF(MONTH($C330)=7,$C$6,"ERROR")))),1,0)</f>
        <v>1</v>
      </c>
      <c r="F330" s="26">
        <f>VLOOKUP($C330,COS!$B$8:$H$991,7,FALSE)</f>
        <v>50.116058349609375</v>
      </c>
      <c r="G330" s="24">
        <f>IF(F330&lt;=IF(MONTH($C330)=4,$F$3,IF(MONTH($C330)=5,$F$4,IF(MONTH($C330)=6,$F$5,IF(MONTH($C330)=7,$F$6,"ERROR")))),1,0)</f>
        <v>1</v>
      </c>
      <c r="H330" s="26">
        <f>IF(J330=1,D330-$C$4,0)</f>
        <v>4383.798828125</v>
      </c>
      <c r="I330" s="26">
        <f t="shared" si="450"/>
        <v>269.54928331611569</v>
      </c>
      <c r="J330" s="24">
        <f t="shared" si="521"/>
        <v>1</v>
      </c>
      <c r="K330" s="26">
        <f>VLOOKUP($C330,COS!$B$8:$H$991,2,FALSE)</f>
        <v>4552</v>
      </c>
      <c r="L330" s="24">
        <f t="shared" si="435"/>
        <v>1</v>
      </c>
      <c r="M330" s="24">
        <f t="shared" si="436"/>
        <v>0</v>
      </c>
      <c r="N330" s="26">
        <f>VLOOKUP($C330,COS!$B$8:$H$991,5,FALSE)</f>
        <v>717.7584228515625</v>
      </c>
      <c r="O330" s="26">
        <f t="shared" si="524"/>
        <v>44.133245173682852</v>
      </c>
      <c r="P330" s="26">
        <f>VLOOKUP($C330,COS!$B$8:$H$991,6,FALSE)</f>
        <v>2044.89892578125</v>
      </c>
      <c r="Q330" s="26">
        <f t="shared" si="525"/>
        <v>125.73593394886363</v>
      </c>
      <c r="R330" s="26">
        <f>MIN(IF(MONTH($C330)=4,$S$3,IF(MONTH($C330)=5,$S$4,IF(MONTH($C330)=6,$S$5,IF(MONTH($C330)=7,$S$6,"ERROR")))),MAX(VLOOKUP($C330,COS!$B$8:$K$991,10,FALSE)-IF(MONTH($C330)=4,$Y$3,IF(MONTH($C330)=5,$Y$4,IF(MONTH($C330)=6,$Y$5,IF(MONTH($C330)=7,$Y$6,"ERROR")))),0),MAX(VLOOKUP($C330,COS!$B$8:$K$991,9,FALSE)-IF(MONTH($C330)=4,$V$3,IF(MONTH($C330)=5,$V$4,IF(MONTH($C330)=6,$V$5,IF(MONTH($C330)=7,$V$6,"ERROR"))))-VLOOKUP($C330,COS!$B$8:$K$991,6,FALSE)/2,0))</f>
        <v>1500</v>
      </c>
      <c r="S330" s="26">
        <f t="shared" si="526"/>
        <v>92.231404958677686</v>
      </c>
      <c r="T330" s="26">
        <f t="shared" si="527"/>
        <v>177.16599451995091</v>
      </c>
      <c r="U330" s="26" t="str">
        <f>IF(VLOOKUP($C330,COS!$B$8:$I$991,8,FALSE)=1,"UWFE","IBU")</f>
        <v>UWFE</v>
      </c>
      <c r="V330" s="26">
        <f t="shared" ref="V330" si="529">MIN(IF(IF($AA$3=2,AND(E330=1,G330=1,L330=1,L334=1,M330=1,U330="IBU"),AND(E330=1,G330=1,L330=1,L334=1,M330=1)),T330,0),I330)</f>
        <v>0</v>
      </c>
      <c r="W330" s="26"/>
      <c r="X330" s="26"/>
      <c r="Y330" s="26"/>
      <c r="Z330" s="26"/>
      <c r="AA330" s="26"/>
      <c r="AB330" s="33"/>
    </row>
    <row r="331" spans="1:28" x14ac:dyDescent="0.3">
      <c r="A331" s="32">
        <f>VLOOKUP(YEAR(C331),Flags!$A$13:$B$95,2,FALSE)</f>
        <v>2</v>
      </c>
      <c r="B331" s="24">
        <f t="shared" si="432"/>
        <v>1957</v>
      </c>
      <c r="C331" s="25">
        <v>21001</v>
      </c>
      <c r="D331" s="26">
        <f>VLOOKUP($C331,COS!$B$8:$H$991,3,FALSE)</f>
        <v>9041.25390625</v>
      </c>
      <c r="E331" s="24">
        <f>IF(D331&gt;=IF(MONTH($C331)=4,$C$3,IF(MONTH($C331)=5,$C$4,IF(MONTH($C331)=6,$C$5,IF(MONTH($C331)=7,$C$6,"ERROR")))),1,0)</f>
        <v>0</v>
      </c>
      <c r="F331" s="26">
        <f>VLOOKUP($C331,COS!$B$8:$H$991,7,FALSE)</f>
        <v>52.248523712158203</v>
      </c>
      <c r="G331" s="24">
        <f>IF(F331&lt;=IF(MONTH($C331)=4,$F$3,IF(MONTH($C331)=5,$F$4,IF(MONTH($C331)=6,$F$5,IF(MONTH($C331)=7,$F$6,"ERROR")))),1,0)</f>
        <v>1</v>
      </c>
      <c r="H331" s="26">
        <f>IF(J331=1,D331-$C$5,0)</f>
        <v>0</v>
      </c>
      <c r="I331" s="26">
        <f t="shared" si="450"/>
        <v>0</v>
      </c>
      <c r="J331" s="24">
        <f t="shared" si="521"/>
        <v>0</v>
      </c>
      <c r="K331" s="26">
        <f>VLOOKUP($C331,COS!$B$8:$H$991,2,FALSE)</f>
        <v>4290.39404296875</v>
      </c>
      <c r="L331" s="24">
        <f t="shared" si="435"/>
        <v>1</v>
      </c>
      <c r="M331" s="24">
        <f t="shared" si="436"/>
        <v>0</v>
      </c>
      <c r="N331" s="26">
        <f>VLOOKUP($C331,COS!$B$8:$H$991,5,FALSE)</f>
        <v>866.60247802734375</v>
      </c>
      <c r="O331" s="26">
        <f t="shared" si="524"/>
        <v>51.566428444602273</v>
      </c>
      <c r="P331" s="26">
        <f>VLOOKUP($C331,COS!$B$8:$H$991,6,FALSE)</f>
        <v>2422.49462890625</v>
      </c>
      <c r="Q331" s="26">
        <f t="shared" si="525"/>
        <v>144.14844072830579</v>
      </c>
      <c r="R331" s="26">
        <f>MIN(IF(MONTH($C331)=4,$S$3,IF(MONTH($C331)=5,$S$4,IF(MONTH($C331)=6,$S$5,IF(MONTH($C331)=7,$S$6,"ERROR")))),MAX(VLOOKUP($C331,COS!$B$8:$K$991,10,FALSE)-IF(MONTH($C331)=4,$Y$3,IF(MONTH($C331)=5,$Y$4,IF(MONTH($C331)=6,$Y$5,IF(MONTH($C331)=7,$Y$6,"ERROR")))),0),MAX(VLOOKUP($C331,COS!$B$8:$K$991,9,FALSE)-IF(MONTH($C331)=4,$V$3,IF(MONTH($C331)=5,$V$4,IF(MONTH($C331)=6,$V$5,IF(MONTH($C331)=7,$V$6,"ERROR"))))-VLOOKUP($C331,COS!$B$8:$K$991,6,FALSE)/2,0))</f>
        <v>1500</v>
      </c>
      <c r="S331" s="26">
        <f t="shared" si="526"/>
        <v>89.256198347107429</v>
      </c>
      <c r="T331" s="26">
        <f t="shared" si="527"/>
        <v>187.11363293356146</v>
      </c>
      <c r="U331" s="26" t="str">
        <f>IF(VLOOKUP($C331,COS!$B$8:$I$991,8,FALSE)=1,"UWFE","IBU")</f>
        <v>IBU</v>
      </c>
      <c r="V331" s="26">
        <f t="shared" ref="V331" si="530">MIN(IF(IF($AA$3=2,AND(E331=1,G331=1,L331=1,L334=1,M331=1,U331="IBU"),AND(E331=1,G331=1,L331=1,L334=1,M331=1)),T331,0),I331)</f>
        <v>0</v>
      </c>
      <c r="W331" s="26"/>
      <c r="X331" s="26"/>
      <c r="Y331" s="26"/>
      <c r="Z331" s="26"/>
      <c r="AA331" s="26"/>
      <c r="AB331" s="33"/>
    </row>
    <row r="332" spans="1:28" x14ac:dyDescent="0.3">
      <c r="A332" s="32">
        <f>VLOOKUP(YEAR(C332),Flags!$A$13:$B$95,2,FALSE)</f>
        <v>2</v>
      </c>
      <c r="B332" s="24">
        <f t="shared" si="432"/>
        <v>1957</v>
      </c>
      <c r="C332" s="25">
        <v>21032</v>
      </c>
      <c r="D332" s="26">
        <f>VLOOKUP($C332,COS!$B$8:$H$991,3,FALSE)</f>
        <v>16000</v>
      </c>
      <c r="E332" s="24">
        <f>IF(D332&gt;=IF(MONTH($C332)=4,$C$3,IF(MONTH($C332)=5,$C$4,IF(MONTH($C332)=6,$C$5,IF(MONTH($C332)=7,$C$6,"ERROR")))),1,0)</f>
        <v>1</v>
      </c>
      <c r="F332" s="26">
        <f>VLOOKUP($C332,COS!$B$8:$H$991,7,FALSE)</f>
        <v>51.816173553466797</v>
      </c>
      <c r="G332" s="24">
        <f>IF(F332&lt;=IF(MONTH($C332)=4,$F$3,IF(MONTH($C332)=5,$F$4,IF(MONTH($C332)=6,$F$5,IF(MONTH($C332)=7,$F$6,"ERROR")))),1,0)</f>
        <v>1</v>
      </c>
      <c r="H332" s="26">
        <f>IF(J332=1,D332-$C$6,0)</f>
        <v>4000</v>
      </c>
      <c r="I332" s="26">
        <f t="shared" si="450"/>
        <v>245.95041322314049</v>
      </c>
      <c r="J332" s="24">
        <f t="shared" si="521"/>
        <v>1</v>
      </c>
      <c r="K332" s="26">
        <f>VLOOKUP($C332,COS!$B$8:$H$991,2,FALSE)</f>
        <v>3601.666259765625</v>
      </c>
      <c r="L332" s="24">
        <f t="shared" si="435"/>
        <v>1</v>
      </c>
      <c r="M332" s="24">
        <f t="shared" si="436"/>
        <v>0</v>
      </c>
      <c r="N332" s="26">
        <f>VLOOKUP($C332,COS!$B$8:$H$991,5,FALSE)</f>
        <v>947.87957763671875</v>
      </c>
      <c r="O332" s="26">
        <f t="shared" si="524"/>
        <v>58.282843451381709</v>
      </c>
      <c r="P332" s="26">
        <f>VLOOKUP($C332,COS!$B$8:$H$991,6,FALSE)</f>
        <v>2467.689453125</v>
      </c>
      <c r="Q332" s="26">
        <f t="shared" si="525"/>
        <v>151.73231017561986</v>
      </c>
      <c r="R332" s="26">
        <f>MIN(IF(MONTH($C332)=4,$S$3,IF(MONTH($C332)=5,$S$4,IF(MONTH($C332)=6,$S$5,IF(MONTH($C332)=7,$S$6,"ERROR")))),MAX(VLOOKUP($C332,COS!$B$8:$K$991,10,FALSE)-IF(MONTH($C332)=4,$Y$3,IF(MONTH($C332)=5,$Y$4,IF(MONTH($C332)=6,$Y$5,IF(MONTH($C332)=7,$Y$6,"ERROR")))),0),MAX(VLOOKUP($C332,COS!$B$8:$K$991,9,FALSE)-IF(MONTH($C332)=4,$V$3,IF(MONTH($C332)=5,$V$4,IF(MONTH($C332)=6,$V$5,IF(MONTH($C332)=7,$V$6,"ERROR"))))-VLOOKUP($C332,COS!$B$8:$K$991,6,FALSE)/2,0))</f>
        <v>1500</v>
      </c>
      <c r="S332" s="26">
        <f t="shared" si="526"/>
        <v>92.231404958677686</v>
      </c>
      <c r="T332" s="26">
        <f t="shared" si="527"/>
        <v>197.23898177217848</v>
      </c>
      <c r="U332" s="26" t="str">
        <f>IF(VLOOKUP($C332,COS!$B$8:$I$991,8,FALSE)=1,"UWFE","IBU")</f>
        <v>IBU</v>
      </c>
      <c r="V332" s="26">
        <f t="shared" ref="V332" si="531">MIN(IF(IF($AA$3=2,AND(E332=1,G332=1,L332=1,L334=1,M332=1,U332="IBU"),AND(E332=1,G332=1,L332=1,L334=1,M332=1)),T332,0),I332)</f>
        <v>0</v>
      </c>
      <c r="W332" s="26"/>
      <c r="X332" s="26"/>
      <c r="Y332" s="26"/>
      <c r="Z332" s="26"/>
      <c r="AA332" s="26"/>
      <c r="AB332" s="33"/>
    </row>
    <row r="333" spans="1:28" x14ac:dyDescent="0.3">
      <c r="A333" s="32">
        <f>VLOOKUP(YEAR(C333),Flags!$A$13:$B$95,2,FALSE)</f>
        <v>2</v>
      </c>
      <c r="B333" s="24">
        <f t="shared" si="432"/>
        <v>1957</v>
      </c>
      <c r="C333" s="25">
        <v>21063</v>
      </c>
      <c r="D333" s="26"/>
      <c r="E333" s="24"/>
      <c r="F333" s="26"/>
      <c r="G333" s="24"/>
      <c r="H333" s="24"/>
      <c r="I333" s="26"/>
      <c r="J333" s="24"/>
      <c r="K333" s="26"/>
      <c r="L333" s="24"/>
      <c r="M333" s="24"/>
      <c r="N333" s="26"/>
      <c r="O333" s="26"/>
      <c r="P333" s="26"/>
      <c r="Q333" s="26"/>
      <c r="R333" s="26"/>
      <c r="S333" s="26"/>
      <c r="T333" s="26"/>
      <c r="U333" s="26"/>
      <c r="V333" s="26"/>
      <c r="W333" s="26">
        <f>MAX($C$7-VLOOKUP($C333,COS!$B$8:$H$991,3,FALSE),0)</f>
        <v>89621.1240234375</v>
      </c>
      <c r="X333" s="26">
        <f t="shared" si="448"/>
        <v>5510.5881217716942</v>
      </c>
      <c r="Y333" s="26">
        <f>VLOOKUP($C333,COS!$B$8:$H$991,4,FALSE)</f>
        <v>972.99468994140625</v>
      </c>
      <c r="Z333" s="26">
        <f t="shared" si="449"/>
        <v>59.827111513752584</v>
      </c>
      <c r="AA333" s="26">
        <f t="shared" ref="AA333:AA337" si="532">MIN(W333,Y333)</f>
        <v>972.99468994140625</v>
      </c>
      <c r="AB333" s="33">
        <f t="shared" ref="AB333" si="533">AA333*DAY($C333)*86400/43560/1000*IF(MONTH($C333)=8,$P$3,IF(MONTH($C333)=9,$P$4,IF(MONTH($C333)=10,$P$5,IF(MONTH($C333)=11,$P$6,IF(MONTH($C333)=12,$P$7,NA())))))</f>
        <v>59.827111513752584</v>
      </c>
    </row>
    <row r="334" spans="1:28" x14ac:dyDescent="0.3">
      <c r="A334" s="32">
        <f>VLOOKUP(YEAR(C334),Flags!$A$13:$B$95,2,FALSE)</f>
        <v>2</v>
      </c>
      <c r="B334" s="24">
        <f t="shared" si="432"/>
        <v>1957</v>
      </c>
      <c r="C334" s="25">
        <v>21093</v>
      </c>
      <c r="D334" s="26"/>
      <c r="E334" s="24"/>
      <c r="F334" s="26"/>
      <c r="G334" s="24"/>
      <c r="H334" s="24"/>
      <c r="I334" s="26"/>
      <c r="J334" s="24"/>
      <c r="K334" s="26">
        <f>VLOOKUP($C334,COS!$B$8:$H$991,2,FALSE)</f>
        <v>3041.052978515625</v>
      </c>
      <c r="L334" s="24">
        <f t="shared" ref="L334" si="534">IF(AND(K334&gt;$I$7,K334&lt;$I$8),1,0)</f>
        <v>1</v>
      </c>
      <c r="M334" s="24"/>
      <c r="N334" s="26"/>
      <c r="O334" s="26"/>
      <c r="P334" s="26"/>
      <c r="Q334" s="26"/>
      <c r="R334" s="26"/>
      <c r="S334" s="26"/>
      <c r="T334" s="26"/>
      <c r="U334" s="26"/>
      <c r="V334" s="26"/>
      <c r="W334" s="26">
        <f>MAX($C$8-VLOOKUP($C334,COS!$B$8:$H$991,3,FALSE),0)</f>
        <v>90649.27734375</v>
      </c>
      <c r="X334" s="26">
        <f t="shared" si="448"/>
        <v>5394.0065857438012</v>
      </c>
      <c r="Y334" s="26">
        <f>VLOOKUP($C334,COS!$B$8:$H$991,4,FALSE)</f>
        <v>579.7745361328125</v>
      </c>
      <c r="Z334" s="26">
        <f t="shared" si="449"/>
        <v>34.498980662448346</v>
      </c>
      <c r="AA334" s="26">
        <f t="shared" si="532"/>
        <v>579.7745361328125</v>
      </c>
      <c r="AB334" s="33">
        <f t="shared" si="446"/>
        <v>34.498980662448346</v>
      </c>
    </row>
    <row r="335" spans="1:28" x14ac:dyDescent="0.3">
      <c r="A335" s="32">
        <f>VLOOKUP(YEAR(C335),Flags!$A$13:$B$95,2,FALSE)</f>
        <v>2</v>
      </c>
      <c r="B335" s="24">
        <f t="shared" ref="B335:B398" si="535">YEAR(C335)</f>
        <v>1957</v>
      </c>
      <c r="C335" s="25">
        <v>21124</v>
      </c>
      <c r="D335" s="26"/>
      <c r="E335" s="24"/>
      <c r="F335" s="26"/>
      <c r="G335" s="26"/>
      <c r="H335" s="26"/>
      <c r="I335" s="26"/>
      <c r="J335" s="26"/>
      <c r="K335" s="26"/>
      <c r="L335" s="24"/>
      <c r="M335" s="24"/>
      <c r="N335" s="26"/>
      <c r="O335" s="26"/>
      <c r="P335" s="26"/>
      <c r="Q335" s="26"/>
      <c r="R335" s="26"/>
      <c r="S335" s="26"/>
      <c r="T335" s="26"/>
      <c r="U335" s="26"/>
      <c r="V335" s="26"/>
      <c r="W335" s="26">
        <f>MAX($C$9-VLOOKUP($C335,COS!$B$8:$H$991,3,FALSE),0)</f>
        <v>94373.61279296875</v>
      </c>
      <c r="X335" s="26">
        <f t="shared" si="448"/>
        <v>5802.8072659478312</v>
      </c>
      <c r="Y335" s="26">
        <f>VLOOKUP($C335,COS!$B$8:$H$991,4,FALSE)</f>
        <v>1307.7252197265625</v>
      </c>
      <c r="Z335" s="26">
        <f t="shared" si="449"/>
        <v>80.40888954351756</v>
      </c>
      <c r="AA335" s="26">
        <f t="shared" si="532"/>
        <v>1307.7252197265625</v>
      </c>
      <c r="AB335" s="33">
        <f t="shared" si="446"/>
        <v>80.40888954351756</v>
      </c>
    </row>
    <row r="336" spans="1:28" x14ac:dyDescent="0.3">
      <c r="A336" s="32">
        <f>VLOOKUP(YEAR(C336),Flags!$A$13:$B$95,2,FALSE)</f>
        <v>2</v>
      </c>
      <c r="B336" s="24">
        <f t="shared" si="535"/>
        <v>1957</v>
      </c>
      <c r="C336" s="25">
        <v>21154</v>
      </c>
      <c r="D336" s="26"/>
      <c r="E336" s="24"/>
      <c r="F336" s="26"/>
      <c r="G336" s="26"/>
      <c r="H336" s="26"/>
      <c r="I336" s="26"/>
      <c r="J336" s="26"/>
      <c r="K336" s="26"/>
      <c r="L336" s="24"/>
      <c r="M336" s="24"/>
      <c r="N336" s="26"/>
      <c r="O336" s="26"/>
      <c r="P336" s="26"/>
      <c r="Q336" s="26"/>
      <c r="R336" s="26"/>
      <c r="S336" s="26"/>
      <c r="T336" s="26"/>
      <c r="U336" s="26"/>
      <c r="V336" s="26"/>
      <c r="W336" s="26">
        <f>MAX($C$10-VLOOKUP($C336,COS!$B$8:$H$991,3,FALSE),0)</f>
        <v>91059.4033203125</v>
      </c>
      <c r="X336" s="26">
        <f t="shared" si="448"/>
        <v>5418.410776084711</v>
      </c>
      <c r="Y336" s="26">
        <f>VLOOKUP($C336,COS!$B$8:$H$991,4,FALSE)</f>
        <v>2291.82421875</v>
      </c>
      <c r="Z336" s="26">
        <f t="shared" si="449"/>
        <v>136.37301136363635</v>
      </c>
      <c r="AA336" s="26">
        <f t="shared" si="532"/>
        <v>2291.82421875</v>
      </c>
      <c r="AB336" s="33">
        <f t="shared" si="446"/>
        <v>68.186505681818176</v>
      </c>
    </row>
    <row r="337" spans="1:28" x14ac:dyDescent="0.3">
      <c r="A337" s="34">
        <f>VLOOKUP(YEAR(C337),Flags!$A$13:$B$95,2,FALSE)</f>
        <v>2</v>
      </c>
      <c r="B337" s="35">
        <f t="shared" si="535"/>
        <v>1957</v>
      </c>
      <c r="C337" s="36">
        <v>21185</v>
      </c>
      <c r="D337" s="37"/>
      <c r="E337" s="35"/>
      <c r="F337" s="37"/>
      <c r="G337" s="37"/>
      <c r="H337" s="37"/>
      <c r="I337" s="37"/>
      <c r="J337" s="37"/>
      <c r="K337" s="37"/>
      <c r="L337" s="35"/>
      <c r="M337" s="35"/>
      <c r="N337" s="37"/>
      <c r="O337" s="37"/>
      <c r="P337" s="37"/>
      <c r="Q337" s="37"/>
      <c r="R337" s="37"/>
      <c r="S337" s="37"/>
      <c r="T337" s="37"/>
      <c r="U337" s="37"/>
      <c r="V337" s="37"/>
      <c r="W337" s="37">
        <f>MAX($C$11-VLOOKUP($C337,COS!$B$8:$H$991,3,FALSE),0)</f>
        <v>0</v>
      </c>
      <c r="X337" s="37">
        <f t="shared" si="448"/>
        <v>0</v>
      </c>
      <c r="Y337" s="37">
        <f>VLOOKUP($C337,COS!$B$8:$H$991,4,FALSE)</f>
        <v>0</v>
      </c>
      <c r="Z337" s="37">
        <f t="shared" si="449"/>
        <v>0</v>
      </c>
      <c r="AA337" s="37">
        <f t="shared" si="532"/>
        <v>0</v>
      </c>
      <c r="AB337" s="38">
        <f t="shared" si="446"/>
        <v>0</v>
      </c>
    </row>
    <row r="338" spans="1:28" x14ac:dyDescent="0.3">
      <c r="A338" s="27">
        <f>VLOOKUP(YEAR(C338),Flags!$A$13:$B$95,2,FALSE)</f>
        <v>1</v>
      </c>
      <c r="B338" s="28">
        <f t="shared" si="535"/>
        <v>1958</v>
      </c>
      <c r="C338" s="29">
        <v>21305</v>
      </c>
      <c r="D338" s="30">
        <f>VLOOKUP($C338,COS!$B$8:$H$991,3,FALSE)</f>
        <v>11542.2392578125</v>
      </c>
      <c r="E338" s="28">
        <f>IF(D338&gt;=IF(MONTH($C338)=4,$C$3,IF(MONTH($C338)=5,$C$4,IF(MONTH($C338)=6,$C$5,IF(MONTH($C338)=7,$C$6,"ERROR")))),1,0)</f>
        <v>1</v>
      </c>
      <c r="F338" s="30">
        <f>VLOOKUP($C338,COS!$B$8:$H$991,7,FALSE)</f>
        <v>47.772865295410156</v>
      </c>
      <c r="G338" s="28">
        <f>IF(F338&lt;=IF(MONTH($C338)=4,$F$3,IF(MONTH($C338)=5,$F$4,IF(MONTH($C338)=6,$F$5,IF(MONTH($C338)=7,$F$6,"ERROR")))),1,0)</f>
        <v>1</v>
      </c>
      <c r="H338" s="30">
        <f>IF(J338=1,D338-$C$3,0)</f>
        <v>5542.2392578125</v>
      </c>
      <c r="I338" s="30">
        <f t="shared" si="450"/>
        <v>329.78613765495868</v>
      </c>
      <c r="J338" s="28">
        <f t="shared" ref="J338:J341" si="536">IF(AND(E338=1,G338=1),1,0)</f>
        <v>1</v>
      </c>
      <c r="K338" s="30">
        <f>VLOOKUP($C338,COS!$B$8:$H$991,2,FALSE)</f>
        <v>4173</v>
      </c>
      <c r="L338" s="28">
        <f t="shared" ref="L338:L395" si="537">IF(K338&lt;=IF(MONTH($C338)=4,$I$3,IF(MONTH($C338)=5,$I$4,IF(MONTH($C338)=6,$I$5,IF(MONTH($C338)=7,$I$6,"ERROR")))),1,0)</f>
        <v>1</v>
      </c>
      <c r="M338" s="28">
        <f t="shared" ref="M338:M395" si="538">VLOOKUP($A338,$L$3:$M$7,2,FALSE)</f>
        <v>0</v>
      </c>
      <c r="N338" s="30">
        <f>VLOOKUP($C338,COS!$B$8:$H$991,5,FALSE)</f>
        <v>28.527523040771484</v>
      </c>
      <c r="O338" s="30">
        <f t="shared" ref="O338:O341" si="539">N338*DAY($C338)*86400/43560/1000</f>
        <v>1.6975055032525181</v>
      </c>
      <c r="P338" s="30">
        <f>VLOOKUP($C338,COS!$B$8:$H$991,6,FALSE)</f>
        <v>286.142822265625</v>
      </c>
      <c r="Q338" s="30">
        <f t="shared" ref="Q338:Q341" si="540">P338*DAY($C338)*86400/43560/1000</f>
        <v>17.026680333161156</v>
      </c>
      <c r="R338" s="30">
        <f>MIN(IF(MONTH($C338)=4,$S$3,IF(MONTH($C338)=5,$S$4,IF(MONTH($C338)=6,$S$5,IF(MONTH($C338)=7,$S$6,"ERROR")))),MAX(VLOOKUP($C338,COS!$B$8:$K$991,10,FALSE)-IF(MONTH($C338)=4,$Y$3,IF(MONTH($C338)=5,$Y$4,IF(MONTH($C338)=6,$Y$5,IF(MONTH($C338)=7,$Y$6,"ERROR")))),0),MAX(VLOOKUP($C338,COS!$B$8:$K$991,9,FALSE)-IF(MONTH($C338)=4,$V$3,IF(MONTH($C338)=5,$V$4,IF(MONTH($C338)=6,$V$5,IF(MONTH($C338)=7,$V$6,"ERROR"))))-VLOOKUP($C338,COS!$B$8:$K$991,6,FALSE)/2,0))</f>
        <v>1500</v>
      </c>
      <c r="S338" s="30">
        <f t="shared" ref="S338:S341" si="541">R338*DAY($C338)*86400/43560/1000</f>
        <v>89.256198347107429</v>
      </c>
      <c r="T338" s="30">
        <f t="shared" ref="T338:T341" si="542">(O338+Q338)/2+S338</f>
        <v>98.618291265314269</v>
      </c>
      <c r="U338" s="30" t="str">
        <f>IF(VLOOKUP($C338,COS!$B$8:$I$991,8,FALSE)=1,"UWFE","IBU")</f>
        <v>UWFE</v>
      </c>
      <c r="V338" s="30">
        <f t="shared" ref="V338" si="543">MIN(IF(IF($AA$3=2,AND(E338=1,G338=1,L338=1,L343=1,M338=1,U338="IBU"),AND(E338=1,G338=1,L338=1,L343=1,M338=1)),T338,0),I338)</f>
        <v>0</v>
      </c>
      <c r="W338" s="30"/>
      <c r="X338" s="30"/>
      <c r="Y338" s="30"/>
      <c r="Z338" s="30"/>
      <c r="AA338" s="30"/>
      <c r="AB338" s="31"/>
    </row>
    <row r="339" spans="1:28" x14ac:dyDescent="0.3">
      <c r="A339" s="32">
        <f>VLOOKUP(YEAR(C339),Flags!$A$13:$B$95,2,FALSE)</f>
        <v>1</v>
      </c>
      <c r="B339" s="24">
        <f t="shared" si="535"/>
        <v>1958</v>
      </c>
      <c r="C339" s="25">
        <v>21336</v>
      </c>
      <c r="D339" s="26">
        <f>VLOOKUP($C339,COS!$B$8:$H$991,3,FALSE)</f>
        <v>6985.326171875</v>
      </c>
      <c r="E339" s="24">
        <f>IF(D339&gt;=IF(MONTH($C339)=4,$C$3,IF(MONTH($C339)=5,$C$4,IF(MONTH($C339)=6,$C$5,IF(MONTH($C339)=7,$C$6,"ERROR")))),1,0)</f>
        <v>1</v>
      </c>
      <c r="F339" s="26">
        <f>VLOOKUP($C339,COS!$B$8:$H$991,7,FALSE)</f>
        <v>51.385059356689453</v>
      </c>
      <c r="G339" s="24">
        <f>IF(F339&lt;=IF(MONTH($C339)=4,$F$3,IF(MONTH($C339)=5,$F$4,IF(MONTH($C339)=6,$F$5,IF(MONTH($C339)=7,$F$6,"ERROR")))),1,0)</f>
        <v>1</v>
      </c>
      <c r="H339" s="26">
        <f>IF(J339=1,D339-$C$4,0)</f>
        <v>985.326171875</v>
      </c>
      <c r="I339" s="26">
        <f t="shared" si="450"/>
        <v>60.585344783057849</v>
      </c>
      <c r="J339" s="24">
        <f t="shared" si="536"/>
        <v>1</v>
      </c>
      <c r="K339" s="26">
        <f>VLOOKUP($C339,COS!$B$8:$H$991,2,FALSE)</f>
        <v>4552</v>
      </c>
      <c r="L339" s="24">
        <f t="shared" si="537"/>
        <v>1</v>
      </c>
      <c r="M339" s="24">
        <f t="shared" si="538"/>
        <v>0</v>
      </c>
      <c r="N339" s="26">
        <f>VLOOKUP($C339,COS!$B$8:$H$991,5,FALSE)</f>
        <v>454.28439331054688</v>
      </c>
      <c r="O339" s="26">
        <f t="shared" si="539"/>
        <v>27.932858563888171</v>
      </c>
      <c r="P339" s="26">
        <f>VLOOKUP($C339,COS!$B$8:$H$991,6,FALSE)</f>
        <v>1943.7978515625</v>
      </c>
      <c r="Q339" s="26">
        <f t="shared" si="540"/>
        <v>119.5194712035124</v>
      </c>
      <c r="R339" s="26">
        <f>MIN(IF(MONTH($C339)=4,$S$3,IF(MONTH($C339)=5,$S$4,IF(MONTH($C339)=6,$S$5,IF(MONTH($C339)=7,$S$6,"ERROR")))),MAX(VLOOKUP($C339,COS!$B$8:$K$991,10,FALSE)-IF(MONTH($C339)=4,$Y$3,IF(MONTH($C339)=5,$Y$4,IF(MONTH($C339)=6,$Y$5,IF(MONTH($C339)=7,$Y$6,"ERROR")))),0),MAX(VLOOKUP($C339,COS!$B$8:$K$991,9,FALSE)-IF(MONTH($C339)=4,$V$3,IF(MONTH($C339)=5,$V$4,IF(MONTH($C339)=6,$V$5,IF(MONTH($C339)=7,$V$6,"ERROR"))))-VLOOKUP($C339,COS!$B$8:$K$991,6,FALSE)/2,0))</f>
        <v>1500</v>
      </c>
      <c r="S339" s="26">
        <f t="shared" si="541"/>
        <v>92.231404958677686</v>
      </c>
      <c r="T339" s="26">
        <f t="shared" si="542"/>
        <v>165.95756984237795</v>
      </c>
      <c r="U339" s="26" t="str">
        <f>IF(VLOOKUP($C339,COS!$B$8:$I$991,8,FALSE)=1,"UWFE","IBU")</f>
        <v>UWFE</v>
      </c>
      <c r="V339" s="26">
        <f t="shared" ref="V339" si="544">MIN(IF(IF($AA$3=2,AND(E339=1,G339=1,L339=1,L343=1,M339=1,U339="IBU"),AND(E339=1,G339=1,L339=1,L343=1,M339=1)),T339,0),I339)</f>
        <v>0</v>
      </c>
      <c r="W339" s="26"/>
      <c r="X339" s="26"/>
      <c r="Y339" s="26"/>
      <c r="Z339" s="26"/>
      <c r="AA339" s="26"/>
      <c r="AB339" s="33"/>
    </row>
    <row r="340" spans="1:28" x14ac:dyDescent="0.3">
      <c r="A340" s="32">
        <f>VLOOKUP(YEAR(C340),Flags!$A$13:$B$95,2,FALSE)</f>
        <v>1</v>
      </c>
      <c r="B340" s="24">
        <f t="shared" si="535"/>
        <v>1958</v>
      </c>
      <c r="C340" s="25">
        <v>21366</v>
      </c>
      <c r="D340" s="26">
        <f>VLOOKUP($C340,COS!$B$8:$H$991,3,FALSE)</f>
        <v>8232.15234375</v>
      </c>
      <c r="E340" s="24">
        <f>IF(D340&gt;=IF(MONTH($C340)=4,$C$3,IF(MONTH($C340)=5,$C$4,IF(MONTH($C340)=6,$C$5,IF(MONTH($C340)=7,$C$6,"ERROR")))),1,0)</f>
        <v>0</v>
      </c>
      <c r="F340" s="26">
        <f>VLOOKUP($C340,COS!$B$8:$H$991,7,FALSE)</f>
        <v>51.681552886962891</v>
      </c>
      <c r="G340" s="24">
        <f>IF(F340&lt;=IF(MONTH($C340)=4,$F$3,IF(MONTH($C340)=5,$F$4,IF(MONTH($C340)=6,$F$5,IF(MONTH($C340)=7,$F$6,"ERROR")))),1,0)</f>
        <v>1</v>
      </c>
      <c r="H340" s="26">
        <f>IF(J340=1,D340-$C$5,0)</f>
        <v>0</v>
      </c>
      <c r="I340" s="26">
        <f t="shared" si="450"/>
        <v>0</v>
      </c>
      <c r="J340" s="24">
        <f t="shared" si="536"/>
        <v>0</v>
      </c>
      <c r="K340" s="26">
        <f>VLOOKUP($C340,COS!$B$8:$H$991,2,FALSE)</f>
        <v>4500</v>
      </c>
      <c r="L340" s="24">
        <f t="shared" si="537"/>
        <v>1</v>
      </c>
      <c r="M340" s="24">
        <f t="shared" si="538"/>
        <v>0</v>
      </c>
      <c r="N340" s="26">
        <f>VLOOKUP($C340,COS!$B$8:$H$991,5,FALSE)</f>
        <v>1154.1927490234375</v>
      </c>
      <c r="O340" s="26">
        <f t="shared" si="539"/>
        <v>68.679237958419421</v>
      </c>
      <c r="P340" s="26">
        <f>VLOOKUP($C340,COS!$B$8:$H$991,6,FALSE)</f>
        <v>2269.72607421875</v>
      </c>
      <c r="Q340" s="26">
        <f t="shared" si="540"/>
        <v>135.05808044938016</v>
      </c>
      <c r="R340" s="26">
        <f>MIN(IF(MONTH($C340)=4,$S$3,IF(MONTH($C340)=5,$S$4,IF(MONTH($C340)=6,$S$5,IF(MONTH($C340)=7,$S$6,"ERROR")))),MAX(VLOOKUP($C340,COS!$B$8:$K$991,10,FALSE)-IF(MONTH($C340)=4,$Y$3,IF(MONTH($C340)=5,$Y$4,IF(MONTH($C340)=6,$Y$5,IF(MONTH($C340)=7,$Y$6,"ERROR")))),0),MAX(VLOOKUP($C340,COS!$B$8:$K$991,9,FALSE)-IF(MONTH($C340)=4,$V$3,IF(MONTH($C340)=5,$V$4,IF(MONTH($C340)=6,$V$5,IF(MONTH($C340)=7,$V$6,"ERROR"))))-VLOOKUP($C340,COS!$B$8:$K$991,6,FALSE)/2,0))</f>
        <v>1500</v>
      </c>
      <c r="S340" s="26">
        <f t="shared" si="541"/>
        <v>89.256198347107429</v>
      </c>
      <c r="T340" s="26">
        <f t="shared" si="542"/>
        <v>191.12485755100721</v>
      </c>
      <c r="U340" s="26" t="str">
        <f>IF(VLOOKUP($C340,COS!$B$8:$I$991,8,FALSE)=1,"UWFE","IBU")</f>
        <v>UWFE</v>
      </c>
      <c r="V340" s="26">
        <f t="shared" ref="V340" si="545">MIN(IF(IF($AA$3=2,AND(E340=1,G340=1,L340=1,L343=1,M340=1,U340="IBU"),AND(E340=1,G340=1,L340=1,L343=1,M340=1)),T340,0),I340)</f>
        <v>0</v>
      </c>
      <c r="W340" s="26"/>
      <c r="X340" s="26"/>
      <c r="Y340" s="26"/>
      <c r="Z340" s="26"/>
      <c r="AA340" s="26"/>
      <c r="AB340" s="33"/>
    </row>
    <row r="341" spans="1:28" x14ac:dyDescent="0.3">
      <c r="A341" s="32">
        <f>VLOOKUP(YEAR(C341),Flags!$A$13:$B$95,2,FALSE)</f>
        <v>1</v>
      </c>
      <c r="B341" s="24">
        <f t="shared" si="535"/>
        <v>1958</v>
      </c>
      <c r="C341" s="25">
        <v>21397</v>
      </c>
      <c r="D341" s="26">
        <f>VLOOKUP($C341,COS!$B$8:$H$991,3,FALSE)</f>
        <v>12357.0048828125</v>
      </c>
      <c r="E341" s="24">
        <f>IF(D341&gt;=IF(MONTH($C341)=4,$C$3,IF(MONTH($C341)=5,$C$4,IF(MONTH($C341)=6,$C$5,IF(MONTH($C341)=7,$C$6,"ERROR")))),1,0)</f>
        <v>1</v>
      </c>
      <c r="F341" s="26">
        <f>VLOOKUP($C341,COS!$B$8:$H$991,7,FALSE)</f>
        <v>52.224693298339844</v>
      </c>
      <c r="G341" s="24">
        <f>IF(F341&lt;=IF(MONTH($C341)=4,$F$3,IF(MONTH($C341)=5,$F$4,IF(MONTH($C341)=6,$F$5,IF(MONTH($C341)=7,$F$6,"ERROR")))),1,0)</f>
        <v>1</v>
      </c>
      <c r="H341" s="26">
        <f>IF(J341=1,D341-$C$6,0)</f>
        <v>357.0048828125</v>
      </c>
      <c r="I341" s="26">
        <f t="shared" si="450"/>
        <v>21.951374612603306</v>
      </c>
      <c r="J341" s="24">
        <f t="shared" si="536"/>
        <v>1</v>
      </c>
      <c r="K341" s="26">
        <f>VLOOKUP($C341,COS!$B$8:$H$991,2,FALSE)</f>
        <v>4105.73681640625</v>
      </c>
      <c r="L341" s="24">
        <f t="shared" si="537"/>
        <v>1</v>
      </c>
      <c r="M341" s="24">
        <f t="shared" si="538"/>
        <v>0</v>
      </c>
      <c r="N341" s="26">
        <f>VLOOKUP($C341,COS!$B$8:$H$991,5,FALSE)</f>
        <v>1329.9095458984375</v>
      </c>
      <c r="O341" s="26">
        <f t="shared" si="539"/>
        <v>81.772950590779956</v>
      </c>
      <c r="P341" s="26">
        <f>VLOOKUP($C341,COS!$B$8:$H$991,6,FALSE)</f>
        <v>2552.21142578125</v>
      </c>
      <c r="Q341" s="26">
        <f t="shared" si="540"/>
        <v>156.92936370092974</v>
      </c>
      <c r="R341" s="26">
        <f>MIN(IF(MONTH($C341)=4,$S$3,IF(MONTH($C341)=5,$S$4,IF(MONTH($C341)=6,$S$5,IF(MONTH($C341)=7,$S$6,"ERROR")))),MAX(VLOOKUP($C341,COS!$B$8:$K$991,10,FALSE)-IF(MONTH($C341)=4,$Y$3,IF(MONTH($C341)=5,$Y$4,IF(MONTH($C341)=6,$Y$5,IF(MONTH($C341)=7,$Y$6,"ERROR")))),0),MAX(VLOOKUP($C341,COS!$B$8:$K$991,9,FALSE)-IF(MONTH($C341)=4,$V$3,IF(MONTH($C341)=5,$V$4,IF(MONTH($C341)=6,$V$5,IF(MONTH($C341)=7,$V$6,"ERROR"))))-VLOOKUP($C341,COS!$B$8:$K$991,6,FALSE)/2,0))</f>
        <v>1500</v>
      </c>
      <c r="S341" s="26">
        <f t="shared" si="541"/>
        <v>92.231404958677686</v>
      </c>
      <c r="T341" s="26">
        <f t="shared" si="542"/>
        <v>211.58256210453254</v>
      </c>
      <c r="U341" s="26" t="str">
        <f>IF(VLOOKUP($C341,COS!$B$8:$I$991,8,FALSE)=1,"UWFE","IBU")</f>
        <v>IBU</v>
      </c>
      <c r="V341" s="26">
        <f t="shared" ref="V341" si="546">MIN(IF(IF($AA$3=2,AND(E341=1,G341=1,L341=1,L343=1,M341=1,U341="IBU"),AND(E341=1,G341=1,L341=1,L343=1,M341=1)),T341,0),I341)</f>
        <v>0</v>
      </c>
      <c r="W341" s="26"/>
      <c r="X341" s="26"/>
      <c r="Y341" s="26"/>
      <c r="Z341" s="26"/>
      <c r="AA341" s="26"/>
      <c r="AB341" s="33"/>
    </row>
    <row r="342" spans="1:28" x14ac:dyDescent="0.3">
      <c r="A342" s="32">
        <f>VLOOKUP(YEAR(C342),Flags!$A$13:$B$95,2,FALSE)</f>
        <v>1</v>
      </c>
      <c r="B342" s="24">
        <f t="shared" si="535"/>
        <v>1958</v>
      </c>
      <c r="C342" s="25">
        <v>21428</v>
      </c>
      <c r="D342" s="26"/>
      <c r="E342" s="24"/>
      <c r="F342" s="26"/>
      <c r="G342" s="24"/>
      <c r="H342" s="24"/>
      <c r="I342" s="26"/>
      <c r="J342" s="24"/>
      <c r="K342" s="26"/>
      <c r="L342" s="24"/>
      <c r="M342" s="24"/>
      <c r="N342" s="26"/>
      <c r="O342" s="26"/>
      <c r="P342" s="26"/>
      <c r="Q342" s="26"/>
      <c r="R342" s="26"/>
      <c r="S342" s="26"/>
      <c r="T342" s="26"/>
      <c r="U342" s="26"/>
      <c r="V342" s="26"/>
      <c r="W342" s="26">
        <f>MAX($C$7-VLOOKUP($C342,COS!$B$8:$H$991,3,FALSE),0)</f>
        <v>87940.8720703125</v>
      </c>
      <c r="X342" s="26">
        <f t="shared" si="448"/>
        <v>5407.2734562241731</v>
      </c>
      <c r="Y342" s="26">
        <f>VLOOKUP($C342,COS!$B$8:$H$991,4,FALSE)</f>
        <v>0</v>
      </c>
      <c r="Z342" s="26">
        <f t="shared" si="449"/>
        <v>0</v>
      </c>
      <c r="AA342" s="26">
        <f t="shared" ref="AA342:AA346" si="547">MIN(W342,Y342)</f>
        <v>0</v>
      </c>
      <c r="AB342" s="33">
        <f t="shared" ref="AB342:AB400" si="548">AA342*DAY($C342)*86400/43560/1000*IF(MONTH($C342)=8,$P$3,IF(MONTH($C342)=9,$P$4,IF(MONTH($C342)=10,$P$5,IF(MONTH($C342)=11,$P$6,IF(MONTH($C342)=12,$P$7,NA())))))</f>
        <v>0</v>
      </c>
    </row>
    <row r="343" spans="1:28" x14ac:dyDescent="0.3">
      <c r="A343" s="32">
        <f>VLOOKUP(YEAR(C343),Flags!$A$13:$B$95,2,FALSE)</f>
        <v>1</v>
      </c>
      <c r="B343" s="24">
        <f t="shared" si="535"/>
        <v>1958</v>
      </c>
      <c r="C343" s="25">
        <v>21458</v>
      </c>
      <c r="D343" s="26"/>
      <c r="E343" s="24"/>
      <c r="F343" s="26"/>
      <c r="G343" s="24"/>
      <c r="H343" s="24"/>
      <c r="I343" s="26"/>
      <c r="J343" s="24"/>
      <c r="K343" s="26">
        <f>VLOOKUP($C343,COS!$B$8:$H$991,2,FALSE)</f>
        <v>3174.58203125</v>
      </c>
      <c r="L343" s="24">
        <f t="shared" ref="L343" si="549">IF(AND(K343&gt;$I$7,K343&lt;$I$8),1,0)</f>
        <v>1</v>
      </c>
      <c r="M343" s="24"/>
      <c r="N343" s="26"/>
      <c r="O343" s="26"/>
      <c r="P343" s="26"/>
      <c r="Q343" s="26"/>
      <c r="R343" s="26"/>
      <c r="S343" s="26"/>
      <c r="T343" s="26"/>
      <c r="U343" s="26"/>
      <c r="V343" s="26"/>
      <c r="W343" s="26">
        <f>MAX($C$8-VLOOKUP($C343,COS!$B$8:$H$991,3,FALSE),0)</f>
        <v>84527.9521484375</v>
      </c>
      <c r="X343" s="26">
        <f t="shared" si="448"/>
        <v>5029.7624418904961</v>
      </c>
      <c r="Y343" s="26">
        <f>VLOOKUP($C343,COS!$B$8:$H$991,4,FALSE)</f>
        <v>0</v>
      </c>
      <c r="Z343" s="26">
        <f t="shared" si="449"/>
        <v>0</v>
      </c>
      <c r="AA343" s="26">
        <f t="shared" si="547"/>
        <v>0</v>
      </c>
      <c r="AB343" s="33">
        <f t="shared" si="548"/>
        <v>0</v>
      </c>
    </row>
    <row r="344" spans="1:28" x14ac:dyDescent="0.3">
      <c r="A344" s="32">
        <f>VLOOKUP(YEAR(C344),Flags!$A$13:$B$95,2,FALSE)</f>
        <v>1</v>
      </c>
      <c r="B344" s="24">
        <f t="shared" si="535"/>
        <v>1958</v>
      </c>
      <c r="C344" s="25">
        <v>21489</v>
      </c>
      <c r="D344" s="26"/>
      <c r="E344" s="24"/>
      <c r="F344" s="26"/>
      <c r="G344" s="26"/>
      <c r="H344" s="26"/>
      <c r="I344" s="26"/>
      <c r="J344" s="26"/>
      <c r="K344" s="26"/>
      <c r="L344" s="24"/>
      <c r="M344" s="24"/>
      <c r="N344" s="26"/>
      <c r="O344" s="26"/>
      <c r="P344" s="26"/>
      <c r="Q344" s="26"/>
      <c r="R344" s="26"/>
      <c r="S344" s="26"/>
      <c r="T344" s="26"/>
      <c r="U344" s="26"/>
      <c r="V344" s="26"/>
      <c r="W344" s="26">
        <f>MAX($C$9-VLOOKUP($C344,COS!$B$8:$H$991,3,FALSE),0)</f>
        <v>92967.86865234375</v>
      </c>
      <c r="X344" s="26">
        <f t="shared" si="448"/>
        <v>5716.3714278796488</v>
      </c>
      <c r="Y344" s="26">
        <f>VLOOKUP($C344,COS!$B$8:$H$991,4,FALSE)</f>
        <v>50.698928833007813</v>
      </c>
      <c r="Z344" s="26">
        <f t="shared" si="449"/>
        <v>3.117355624112216</v>
      </c>
      <c r="AA344" s="26">
        <f t="shared" si="547"/>
        <v>50.698928833007813</v>
      </c>
      <c r="AB344" s="33">
        <f t="shared" si="548"/>
        <v>3.117355624112216</v>
      </c>
    </row>
    <row r="345" spans="1:28" x14ac:dyDescent="0.3">
      <c r="A345" s="32">
        <f>VLOOKUP(YEAR(C345),Flags!$A$13:$B$95,2,FALSE)</f>
        <v>1</v>
      </c>
      <c r="B345" s="24">
        <f t="shared" si="535"/>
        <v>1958</v>
      </c>
      <c r="C345" s="25">
        <v>21519</v>
      </c>
      <c r="D345" s="26"/>
      <c r="E345" s="24"/>
      <c r="F345" s="26"/>
      <c r="G345" s="26"/>
      <c r="H345" s="26"/>
      <c r="I345" s="26"/>
      <c r="J345" s="26"/>
      <c r="K345" s="26"/>
      <c r="L345" s="24"/>
      <c r="M345" s="24"/>
      <c r="N345" s="26"/>
      <c r="O345" s="26"/>
      <c r="P345" s="26"/>
      <c r="Q345" s="26"/>
      <c r="R345" s="26"/>
      <c r="S345" s="26"/>
      <c r="T345" s="26"/>
      <c r="U345" s="26"/>
      <c r="V345" s="26"/>
      <c r="W345" s="26">
        <f>MAX($C$10-VLOOKUP($C345,COS!$B$8:$H$991,3,FALSE),0)</f>
        <v>88886.1259765625</v>
      </c>
      <c r="X345" s="26">
        <f t="shared" si="448"/>
        <v>5289.091793646694</v>
      </c>
      <c r="Y345" s="26">
        <f>VLOOKUP($C345,COS!$B$8:$H$991,4,FALSE)</f>
        <v>1516.7578125</v>
      </c>
      <c r="Z345" s="26">
        <f t="shared" si="449"/>
        <v>90.253357438016522</v>
      </c>
      <c r="AA345" s="26">
        <f t="shared" si="547"/>
        <v>1516.7578125</v>
      </c>
      <c r="AB345" s="33">
        <f t="shared" si="548"/>
        <v>45.126678719008261</v>
      </c>
    </row>
    <row r="346" spans="1:28" x14ac:dyDescent="0.3">
      <c r="A346" s="34">
        <f>VLOOKUP(YEAR(C346),Flags!$A$13:$B$95,2,FALSE)</f>
        <v>1</v>
      </c>
      <c r="B346" s="35">
        <f t="shared" si="535"/>
        <v>1958</v>
      </c>
      <c r="C346" s="36">
        <v>21550</v>
      </c>
      <c r="D346" s="37"/>
      <c r="E346" s="35"/>
      <c r="F346" s="37"/>
      <c r="G346" s="37"/>
      <c r="H346" s="37"/>
      <c r="I346" s="37"/>
      <c r="J346" s="37"/>
      <c r="K346" s="37"/>
      <c r="L346" s="35"/>
      <c r="M346" s="35"/>
      <c r="N346" s="37"/>
      <c r="O346" s="37"/>
      <c r="P346" s="37"/>
      <c r="Q346" s="37"/>
      <c r="R346" s="37"/>
      <c r="S346" s="37"/>
      <c r="T346" s="37"/>
      <c r="U346" s="37"/>
      <c r="V346" s="37"/>
      <c r="W346" s="37">
        <f>MAX($C$11-VLOOKUP($C346,COS!$B$8:$H$991,3,FALSE),0)</f>
        <v>0</v>
      </c>
      <c r="X346" s="37">
        <f t="shared" si="448"/>
        <v>0</v>
      </c>
      <c r="Y346" s="37">
        <f>VLOOKUP($C346,COS!$B$8:$H$991,4,FALSE)</f>
        <v>0</v>
      </c>
      <c r="Z346" s="37">
        <f t="shared" si="449"/>
        <v>0</v>
      </c>
      <c r="AA346" s="37">
        <f t="shared" si="547"/>
        <v>0</v>
      </c>
      <c r="AB346" s="38">
        <f t="shared" si="548"/>
        <v>0</v>
      </c>
    </row>
    <row r="347" spans="1:28" x14ac:dyDescent="0.3">
      <c r="A347" s="27">
        <f>VLOOKUP(YEAR(C347),Flags!$A$13:$B$95,2,FALSE)</f>
        <v>3</v>
      </c>
      <c r="B347" s="28">
        <f t="shared" si="535"/>
        <v>1959</v>
      </c>
      <c r="C347" s="29">
        <v>21670</v>
      </c>
      <c r="D347" s="30">
        <f>VLOOKUP($C347,COS!$B$8:$H$991,3,FALSE)</f>
        <v>4176.9140625</v>
      </c>
      <c r="E347" s="28">
        <f>IF(D347&gt;=IF(MONTH($C347)=4,$C$3,IF(MONTH($C347)=5,$C$4,IF(MONTH($C347)=6,$C$5,IF(MONTH($C347)=7,$C$6,"ERROR")))),1,0)</f>
        <v>0</v>
      </c>
      <c r="F347" s="30">
        <f>VLOOKUP($C347,COS!$B$8:$H$991,7,FALSE)</f>
        <v>52.521034240722656</v>
      </c>
      <c r="G347" s="28">
        <f>IF(F347&lt;=IF(MONTH($C347)=4,$F$3,IF(MONTH($C347)=5,$F$4,IF(MONTH($C347)=6,$F$5,IF(MONTH($C347)=7,$F$6,"ERROR")))),1,0)</f>
        <v>1</v>
      </c>
      <c r="H347" s="30">
        <f>IF(J347=1,D347-$C$3,0)</f>
        <v>0</v>
      </c>
      <c r="I347" s="30">
        <f t="shared" si="450"/>
        <v>0</v>
      </c>
      <c r="J347" s="28">
        <f t="shared" ref="J347:J350" si="550">IF(AND(E347=1,G347=1),1,0)</f>
        <v>0</v>
      </c>
      <c r="K347" s="30">
        <f>VLOOKUP($C347,COS!$B$8:$H$991,2,FALSE)</f>
        <v>4402.98779296875</v>
      </c>
      <c r="L347" s="28">
        <f t="shared" ref="L347" si="551">IF(K347&lt;=IF(MONTH($C347)=4,$I$3,IF(MONTH($C347)=5,$I$4,IF(MONTH($C347)=6,$I$5,IF(MONTH($C347)=7,$I$6,"ERROR")))),1,0)</f>
        <v>1</v>
      </c>
      <c r="M347" s="28">
        <f t="shared" ref="M347" si="552">VLOOKUP($A347,$L$3:$M$7,2,FALSE)</f>
        <v>0</v>
      </c>
      <c r="N347" s="30">
        <f>VLOOKUP($C347,COS!$B$8:$H$991,5,FALSE)</f>
        <v>220.10430908203125</v>
      </c>
      <c r="O347" s="30">
        <f t="shared" ref="O347:O350" si="553">N347*DAY($C347)*86400/43560/1000</f>
        <v>13.097115912319216</v>
      </c>
      <c r="P347" s="30">
        <f>VLOOKUP($C347,COS!$B$8:$H$991,6,FALSE)</f>
        <v>554.8544921875</v>
      </c>
      <c r="Q347" s="30">
        <f t="shared" ref="Q347:Q350" si="554">P347*DAY($C347)*86400/43560/1000</f>
        <v>33.01613507231405</v>
      </c>
      <c r="R347" s="30">
        <f>MIN(IF(MONTH($C347)=4,$S$3,IF(MONTH($C347)=5,$S$4,IF(MONTH($C347)=6,$S$5,IF(MONTH($C347)=7,$S$6,"ERROR")))),MAX(VLOOKUP($C347,COS!$B$8:$K$991,10,FALSE)-IF(MONTH($C347)=4,$Y$3,IF(MONTH($C347)=5,$Y$4,IF(MONTH($C347)=6,$Y$5,IF(MONTH($C347)=7,$Y$6,"ERROR")))),0),MAX(VLOOKUP($C347,COS!$B$8:$K$991,9,FALSE)-IF(MONTH($C347)=4,$V$3,IF(MONTH($C347)=5,$V$4,IF(MONTH($C347)=6,$V$5,IF(MONTH($C347)=7,$V$6,"ERROR"))))-VLOOKUP($C347,COS!$B$8:$K$991,6,FALSE)/2,0))</f>
        <v>1474.0966796875</v>
      </c>
      <c r="S347" s="30">
        <f t="shared" ref="S347:S350" si="555">R347*DAY($C347)*86400/43560/1000</f>
        <v>87.71484375</v>
      </c>
      <c r="T347" s="30">
        <f t="shared" ref="T347:T350" si="556">(O347+Q347)/2+S347</f>
        <v>110.77146924231664</v>
      </c>
      <c r="U347" s="30" t="str">
        <f>IF(VLOOKUP($C347,COS!$B$8:$I$991,8,FALSE)=1,"UWFE","IBU")</f>
        <v>UWFE</v>
      </c>
      <c r="V347" s="30">
        <f t="shared" ref="V347" si="557">MIN(IF(IF($AA$3=2,AND(E347=1,G347=1,L347=1,L352=1,M347=1,U347="IBU"),AND(E347=1,G347=1,L347=1,L352=1,M347=1)),T347,0),I347)</f>
        <v>0</v>
      </c>
      <c r="W347" s="30"/>
      <c r="X347" s="30"/>
      <c r="Y347" s="30"/>
      <c r="Z347" s="30"/>
      <c r="AA347" s="30"/>
      <c r="AB347" s="31"/>
    </row>
    <row r="348" spans="1:28" x14ac:dyDescent="0.3">
      <c r="A348" s="32">
        <f>VLOOKUP(YEAR(C348),Flags!$A$13:$B$95,2,FALSE)</f>
        <v>3</v>
      </c>
      <c r="B348" s="24">
        <f t="shared" si="535"/>
        <v>1959</v>
      </c>
      <c r="C348" s="25">
        <v>21701</v>
      </c>
      <c r="D348" s="26">
        <f>VLOOKUP($C348,COS!$B$8:$H$991,3,FALSE)</f>
        <v>8032.080078125</v>
      </c>
      <c r="E348" s="24">
        <f>IF(D348&gt;=IF(MONTH($C348)=4,$C$3,IF(MONTH($C348)=5,$C$4,IF(MONTH($C348)=6,$C$5,IF(MONTH($C348)=7,$C$6,"ERROR")))),1,0)</f>
        <v>1</v>
      </c>
      <c r="F348" s="26">
        <f>VLOOKUP($C348,COS!$B$8:$H$991,7,FALSE)</f>
        <v>51.603923797607422</v>
      </c>
      <c r="G348" s="24">
        <f>IF(F348&lt;=IF(MONTH($C348)=4,$F$3,IF(MONTH($C348)=5,$F$4,IF(MONTH($C348)=6,$F$5,IF(MONTH($C348)=7,$F$6,"ERROR")))),1,0)</f>
        <v>1</v>
      </c>
      <c r="H348" s="26">
        <f>IF(J348=1,D348-$C$4,0)</f>
        <v>2032.080078125</v>
      </c>
      <c r="I348" s="26">
        <f t="shared" ref="I348:I411" si="558">H348*DAY($C348)*86400/43560/1000</f>
        <v>124.94773372933884</v>
      </c>
      <c r="J348" s="24">
        <f t="shared" si="550"/>
        <v>1</v>
      </c>
      <c r="K348" s="26">
        <f>VLOOKUP($C348,COS!$B$8:$H$991,2,FALSE)</f>
        <v>4231.4052734375</v>
      </c>
      <c r="L348" s="24">
        <f t="shared" si="537"/>
        <v>1</v>
      </c>
      <c r="M348" s="24">
        <f t="shared" si="538"/>
        <v>0</v>
      </c>
      <c r="N348" s="26">
        <f>VLOOKUP($C348,COS!$B$8:$H$991,5,FALSE)</f>
        <v>634.8975830078125</v>
      </c>
      <c r="O348" s="26">
        <f t="shared" si="553"/>
        <v>39.03833072378616</v>
      </c>
      <c r="P348" s="26">
        <f>VLOOKUP($C348,COS!$B$8:$H$991,6,FALSE)</f>
        <v>2338.357666015625</v>
      </c>
      <c r="Q348" s="26">
        <f t="shared" si="554"/>
        <v>143.78000855501034</v>
      </c>
      <c r="R348" s="26">
        <f>MIN(IF(MONTH($C348)=4,$S$3,IF(MONTH($C348)=5,$S$4,IF(MONTH($C348)=6,$S$5,IF(MONTH($C348)=7,$S$6,"ERROR")))),MAX(VLOOKUP($C348,COS!$B$8:$K$991,10,FALSE)-IF(MONTH($C348)=4,$Y$3,IF(MONTH($C348)=5,$Y$4,IF(MONTH($C348)=6,$Y$5,IF(MONTH($C348)=7,$Y$6,"ERROR")))),0),MAX(VLOOKUP($C348,COS!$B$8:$K$991,9,FALSE)-IF(MONTH($C348)=4,$V$3,IF(MONTH($C348)=5,$V$4,IF(MONTH($C348)=6,$V$5,IF(MONTH($C348)=7,$V$6,"ERROR"))))-VLOOKUP($C348,COS!$B$8:$K$991,6,FALSE)/2,0))</f>
        <v>1500</v>
      </c>
      <c r="S348" s="26">
        <f t="shared" si="555"/>
        <v>92.231404958677686</v>
      </c>
      <c r="T348" s="26">
        <f t="shared" si="556"/>
        <v>183.64057459807594</v>
      </c>
      <c r="U348" s="26" t="str">
        <f>IF(VLOOKUP($C348,COS!$B$8:$I$991,8,FALSE)=1,"UWFE","IBU")</f>
        <v>UWFE</v>
      </c>
      <c r="V348" s="26">
        <f t="shared" ref="V348" si="559">MIN(IF(IF($AA$3=2,AND(E348=1,G348=1,L348=1,L352=1,M348=1,U348="IBU"),AND(E348=1,G348=1,L348=1,L352=1,M348=1)),T348,0),I348)</f>
        <v>0</v>
      </c>
      <c r="W348" s="26"/>
      <c r="X348" s="26"/>
      <c r="Y348" s="26"/>
      <c r="Z348" s="26"/>
      <c r="AA348" s="26"/>
      <c r="AB348" s="33"/>
    </row>
    <row r="349" spans="1:28" x14ac:dyDescent="0.3">
      <c r="A349" s="32">
        <f>VLOOKUP(YEAR(C349),Flags!$A$13:$B$95,2,FALSE)</f>
        <v>3</v>
      </c>
      <c r="B349" s="24">
        <f t="shared" si="535"/>
        <v>1959</v>
      </c>
      <c r="C349" s="25">
        <v>21731</v>
      </c>
      <c r="D349" s="26">
        <f>VLOOKUP($C349,COS!$B$8:$H$991,3,FALSE)</f>
        <v>12238.9375</v>
      </c>
      <c r="E349" s="24">
        <f>IF(D349&gt;=IF(MONTH($C349)=4,$C$3,IF(MONTH($C349)=5,$C$4,IF(MONTH($C349)=6,$C$5,IF(MONTH($C349)=7,$C$6,"ERROR")))),1,0)</f>
        <v>1</v>
      </c>
      <c r="F349" s="26">
        <f>VLOOKUP($C349,COS!$B$8:$H$991,7,FALSE)</f>
        <v>51.942916870117188</v>
      </c>
      <c r="G349" s="24">
        <f>IF(F349&lt;=IF(MONTH($C349)=4,$F$3,IF(MONTH($C349)=5,$F$4,IF(MONTH($C349)=6,$F$5,IF(MONTH($C349)=7,$F$6,"ERROR")))),1,0)</f>
        <v>1</v>
      </c>
      <c r="H349" s="26">
        <f>IF(J349=1,D349-$C$5,0)</f>
        <v>2238.9375</v>
      </c>
      <c r="I349" s="26">
        <f t="shared" si="558"/>
        <v>133.22603305785125</v>
      </c>
      <c r="J349" s="24">
        <f t="shared" si="550"/>
        <v>1</v>
      </c>
      <c r="K349" s="26">
        <f>VLOOKUP($C349,COS!$B$8:$H$991,2,FALSE)</f>
        <v>3758.05615234375</v>
      </c>
      <c r="L349" s="24">
        <f t="shared" si="537"/>
        <v>1</v>
      </c>
      <c r="M349" s="24">
        <f t="shared" si="538"/>
        <v>0</v>
      </c>
      <c r="N349" s="26">
        <f>VLOOKUP($C349,COS!$B$8:$H$991,5,FALSE)</f>
        <v>756.1251220703125</v>
      </c>
      <c r="O349" s="26">
        <f t="shared" si="553"/>
        <v>44.992569247159089</v>
      </c>
      <c r="P349" s="26">
        <f>VLOOKUP($C349,COS!$B$8:$H$991,6,FALSE)</f>
        <v>2677.335693359375</v>
      </c>
      <c r="Q349" s="26">
        <f t="shared" si="554"/>
        <v>159.31253712551654</v>
      </c>
      <c r="R349" s="26">
        <f>MIN(IF(MONTH($C349)=4,$S$3,IF(MONTH($C349)=5,$S$4,IF(MONTH($C349)=6,$S$5,IF(MONTH($C349)=7,$S$6,"ERROR")))),MAX(VLOOKUP($C349,COS!$B$8:$K$991,10,FALSE)-IF(MONTH($C349)=4,$Y$3,IF(MONTH($C349)=5,$Y$4,IF(MONTH($C349)=6,$Y$5,IF(MONTH($C349)=7,$Y$6,"ERROR")))),0),MAX(VLOOKUP($C349,COS!$B$8:$K$991,9,FALSE)-IF(MONTH($C349)=4,$V$3,IF(MONTH($C349)=5,$V$4,IF(MONTH($C349)=6,$V$5,IF(MONTH($C349)=7,$V$6,"ERROR"))))-VLOOKUP($C349,COS!$B$8:$K$991,6,FALSE)/2,0))</f>
        <v>1500</v>
      </c>
      <c r="S349" s="26">
        <f t="shared" si="555"/>
        <v>89.256198347107429</v>
      </c>
      <c r="T349" s="26">
        <f t="shared" si="556"/>
        <v>191.40875153344524</v>
      </c>
      <c r="U349" s="26" t="str">
        <f>IF(VLOOKUP($C349,COS!$B$8:$I$991,8,FALSE)=1,"UWFE","IBU")</f>
        <v>IBU</v>
      </c>
      <c r="V349" s="26">
        <f t="shared" ref="V349" si="560">MIN(IF(IF($AA$3=2,AND(E349=1,G349=1,L349=1,L352=1,M349=1,U349="IBU"),AND(E349=1,G349=1,L349=1,L352=1,M349=1)),T349,0),I349)</f>
        <v>0</v>
      </c>
      <c r="W349" s="26"/>
      <c r="X349" s="26"/>
      <c r="Y349" s="26"/>
      <c r="Z349" s="26"/>
      <c r="AA349" s="26"/>
      <c r="AB349" s="33"/>
    </row>
    <row r="350" spans="1:28" x14ac:dyDescent="0.3">
      <c r="A350" s="32">
        <f>VLOOKUP(YEAR(C350),Flags!$A$13:$B$95,2,FALSE)</f>
        <v>3</v>
      </c>
      <c r="B350" s="24">
        <f t="shared" si="535"/>
        <v>1959</v>
      </c>
      <c r="C350" s="25">
        <v>21762</v>
      </c>
      <c r="D350" s="26">
        <f>VLOOKUP($C350,COS!$B$8:$H$991,3,FALSE)</f>
        <v>16000</v>
      </c>
      <c r="E350" s="24">
        <f>IF(D350&gt;=IF(MONTH($C350)=4,$C$3,IF(MONTH($C350)=5,$C$4,IF(MONTH($C350)=6,$C$5,IF(MONTH($C350)=7,$C$6,"ERROR")))),1,0)</f>
        <v>1</v>
      </c>
      <c r="F350" s="26">
        <f>VLOOKUP($C350,COS!$B$8:$H$991,7,FALSE)</f>
        <v>52.936290740966797</v>
      </c>
      <c r="G350" s="24">
        <f>IF(F350&lt;=IF(MONTH($C350)=4,$F$3,IF(MONTH($C350)=5,$F$4,IF(MONTH($C350)=6,$F$5,IF(MONTH($C350)=7,$F$6,"ERROR")))),1,0)</f>
        <v>1</v>
      </c>
      <c r="H350" s="26">
        <f>IF(J350=1,D350-$C$6,0)</f>
        <v>4000</v>
      </c>
      <c r="I350" s="26">
        <f t="shared" si="558"/>
        <v>245.95041322314049</v>
      </c>
      <c r="J350" s="24">
        <f t="shared" si="550"/>
        <v>1</v>
      </c>
      <c r="K350" s="26">
        <f>VLOOKUP($C350,COS!$B$8:$H$991,2,FALSE)</f>
        <v>3122.560546875</v>
      </c>
      <c r="L350" s="24">
        <f t="shared" si="537"/>
        <v>1</v>
      </c>
      <c r="M350" s="24">
        <f t="shared" si="538"/>
        <v>0</v>
      </c>
      <c r="N350" s="26">
        <f>VLOOKUP($C350,COS!$B$8:$H$991,5,FALSE)</f>
        <v>824.85052490234375</v>
      </c>
      <c r="O350" s="26">
        <f t="shared" si="553"/>
        <v>50.718081861763942</v>
      </c>
      <c r="P350" s="26">
        <f>VLOOKUP($C350,COS!$B$8:$H$991,6,FALSE)</f>
        <v>2537.385498046875</v>
      </c>
      <c r="Q350" s="26">
        <f t="shared" si="554"/>
        <v>156.01775293775825</v>
      </c>
      <c r="R350" s="26">
        <f>MIN(IF(MONTH($C350)=4,$S$3,IF(MONTH($C350)=5,$S$4,IF(MONTH($C350)=6,$S$5,IF(MONTH($C350)=7,$S$6,"ERROR")))),MAX(VLOOKUP($C350,COS!$B$8:$K$991,10,FALSE)-IF(MONTH($C350)=4,$Y$3,IF(MONTH($C350)=5,$Y$4,IF(MONTH($C350)=6,$Y$5,IF(MONTH($C350)=7,$Y$6,"ERROR")))),0),MAX(VLOOKUP($C350,COS!$B$8:$K$991,9,FALSE)-IF(MONTH($C350)=4,$V$3,IF(MONTH($C350)=5,$V$4,IF(MONTH($C350)=6,$V$5,IF(MONTH($C350)=7,$V$6,"ERROR"))))-VLOOKUP($C350,COS!$B$8:$K$991,6,FALSE)/2,0))</f>
        <v>1500</v>
      </c>
      <c r="S350" s="26">
        <f t="shared" si="555"/>
        <v>92.231404958677686</v>
      </c>
      <c r="T350" s="26">
        <f t="shared" si="556"/>
        <v>195.59932235843877</v>
      </c>
      <c r="U350" s="26" t="str">
        <f>IF(VLOOKUP($C350,COS!$B$8:$I$991,8,FALSE)=1,"UWFE","IBU")</f>
        <v>IBU</v>
      </c>
      <c r="V350" s="26">
        <f t="shared" ref="V350" si="561">MIN(IF(IF($AA$3=2,AND(E350=1,G350=1,L350=1,L352=1,M350=1,U350="IBU"),AND(E350=1,G350=1,L350=1,L352=1,M350=1)),T350,0),I350)</f>
        <v>0</v>
      </c>
      <c r="W350" s="26"/>
      <c r="X350" s="26"/>
      <c r="Y350" s="26"/>
      <c r="Z350" s="26"/>
      <c r="AA350" s="26"/>
      <c r="AB350" s="33"/>
    </row>
    <row r="351" spans="1:28" x14ac:dyDescent="0.3">
      <c r="A351" s="32">
        <f>VLOOKUP(YEAR(C351),Flags!$A$13:$B$95,2,FALSE)</f>
        <v>3</v>
      </c>
      <c r="B351" s="24">
        <f t="shared" si="535"/>
        <v>1959</v>
      </c>
      <c r="C351" s="25">
        <v>21793</v>
      </c>
      <c r="D351" s="26"/>
      <c r="E351" s="24"/>
      <c r="F351" s="26"/>
      <c r="G351" s="24"/>
      <c r="H351" s="24"/>
      <c r="I351" s="26"/>
      <c r="J351" s="24"/>
      <c r="K351" s="26"/>
      <c r="L351" s="24"/>
      <c r="M351" s="24"/>
      <c r="N351" s="26"/>
      <c r="O351" s="26"/>
      <c r="P351" s="26"/>
      <c r="Q351" s="26"/>
      <c r="R351" s="26"/>
      <c r="S351" s="26"/>
      <c r="T351" s="26"/>
      <c r="U351" s="26"/>
      <c r="V351" s="26"/>
      <c r="W351" s="26">
        <f>MAX($C$7-VLOOKUP($C351,COS!$B$8:$H$991,3,FALSE),0)</f>
        <v>87769.9443359375</v>
      </c>
      <c r="X351" s="26">
        <f t="shared" ref="X351:X414" si="562">W351*DAY($C351)*86400/43560/1000</f>
        <v>5396.7635194989671</v>
      </c>
      <c r="Y351" s="26">
        <f>VLOOKUP($C351,COS!$B$8:$H$991,4,FALSE)</f>
        <v>580.99884033203125</v>
      </c>
      <c r="Z351" s="26">
        <f t="shared" ref="Z351:Z414" si="563">Y351*DAY($C351)*86400/43560/1000</f>
        <v>35.724226215457129</v>
      </c>
      <c r="AA351" s="26">
        <f t="shared" ref="AA351:AA355" si="564">MIN(W351,Y351)</f>
        <v>580.99884033203125</v>
      </c>
      <c r="AB351" s="33">
        <f t="shared" ref="AB351" si="565">AA351*DAY($C351)*86400/43560/1000*IF(MONTH($C351)=8,$P$3,IF(MONTH($C351)=9,$P$4,IF(MONTH($C351)=10,$P$5,IF(MONTH($C351)=11,$P$6,IF(MONTH($C351)=12,$P$7,NA())))))</f>
        <v>35.724226215457129</v>
      </c>
    </row>
    <row r="352" spans="1:28" x14ac:dyDescent="0.3">
      <c r="A352" s="32">
        <f>VLOOKUP(YEAR(C352),Flags!$A$13:$B$95,2,FALSE)</f>
        <v>3</v>
      </c>
      <c r="B352" s="24">
        <f t="shared" si="535"/>
        <v>1959</v>
      </c>
      <c r="C352" s="25">
        <v>21823</v>
      </c>
      <c r="D352" s="26"/>
      <c r="E352" s="24"/>
      <c r="F352" s="26"/>
      <c r="G352" s="24"/>
      <c r="H352" s="24"/>
      <c r="I352" s="26"/>
      <c r="J352" s="24"/>
      <c r="K352" s="26">
        <f>VLOOKUP($C352,COS!$B$8:$H$991,2,FALSE)</f>
        <v>2777.299560546875</v>
      </c>
      <c r="L352" s="24">
        <f t="shared" ref="L352" si="566">IF(AND(K352&gt;$I$7,K352&lt;$I$8),1,0)</f>
        <v>1</v>
      </c>
      <c r="M352" s="24"/>
      <c r="N352" s="26"/>
      <c r="O352" s="26"/>
      <c r="P352" s="26"/>
      <c r="Q352" s="26"/>
      <c r="R352" s="26"/>
      <c r="S352" s="26"/>
      <c r="T352" s="26"/>
      <c r="U352" s="26"/>
      <c r="V352" s="26"/>
      <c r="W352" s="26">
        <f>MAX($C$8-VLOOKUP($C352,COS!$B$8:$H$991,3,FALSE),0)</f>
        <v>94751.353515625</v>
      </c>
      <c r="X352" s="26">
        <f t="shared" si="562"/>
        <v>5638.0970686983474</v>
      </c>
      <c r="Y352" s="26">
        <f>VLOOKUP($C352,COS!$B$8:$H$991,4,FALSE)</f>
        <v>162.466064453125</v>
      </c>
      <c r="Z352" s="26">
        <f t="shared" si="563"/>
        <v>9.66740218233471</v>
      </c>
      <c r="AA352" s="26">
        <f t="shared" si="564"/>
        <v>162.466064453125</v>
      </c>
      <c r="AB352" s="33">
        <f t="shared" si="548"/>
        <v>9.66740218233471</v>
      </c>
    </row>
    <row r="353" spans="1:28" x14ac:dyDescent="0.3">
      <c r="A353" s="32">
        <f>VLOOKUP(YEAR(C353),Flags!$A$13:$B$95,2,FALSE)</f>
        <v>3</v>
      </c>
      <c r="B353" s="24">
        <f t="shared" si="535"/>
        <v>1959</v>
      </c>
      <c r="C353" s="25">
        <v>21854</v>
      </c>
      <c r="D353" s="26"/>
      <c r="E353" s="24"/>
      <c r="F353" s="26"/>
      <c r="G353" s="26"/>
      <c r="H353" s="26"/>
      <c r="I353" s="26"/>
      <c r="J353" s="26"/>
      <c r="K353" s="26"/>
      <c r="L353" s="24"/>
      <c r="M353" s="24"/>
      <c r="N353" s="26"/>
      <c r="O353" s="26"/>
      <c r="P353" s="26"/>
      <c r="Q353" s="26"/>
      <c r="R353" s="26"/>
      <c r="S353" s="26"/>
      <c r="T353" s="26"/>
      <c r="U353" s="26"/>
      <c r="V353" s="26"/>
      <c r="W353" s="26">
        <f>MAX($C$9-VLOOKUP($C353,COS!$B$8:$H$991,3,FALSE),0)</f>
        <v>93413.3603515625</v>
      </c>
      <c r="X353" s="26">
        <f t="shared" si="562"/>
        <v>5743.7636447572313</v>
      </c>
      <c r="Y353" s="26">
        <f>VLOOKUP($C353,COS!$B$8:$H$991,4,FALSE)</f>
        <v>1540.0111083984375</v>
      </c>
      <c r="Z353" s="26">
        <f t="shared" si="563"/>
        <v>94.691592119705575</v>
      </c>
      <c r="AA353" s="26">
        <f t="shared" si="564"/>
        <v>1540.0111083984375</v>
      </c>
      <c r="AB353" s="33">
        <f t="shared" si="548"/>
        <v>94.691592119705575</v>
      </c>
    </row>
    <row r="354" spans="1:28" x14ac:dyDescent="0.3">
      <c r="A354" s="32">
        <f>VLOOKUP(YEAR(C354),Flags!$A$13:$B$95,2,FALSE)</f>
        <v>3</v>
      </c>
      <c r="B354" s="24">
        <f t="shared" si="535"/>
        <v>1959</v>
      </c>
      <c r="C354" s="25">
        <v>21884</v>
      </c>
      <c r="D354" s="26"/>
      <c r="E354" s="24"/>
      <c r="F354" s="26"/>
      <c r="G354" s="26"/>
      <c r="H354" s="26"/>
      <c r="I354" s="26"/>
      <c r="J354" s="26"/>
      <c r="K354" s="26"/>
      <c r="L354" s="24"/>
      <c r="M354" s="24"/>
      <c r="N354" s="26"/>
      <c r="O354" s="26"/>
      <c r="P354" s="26"/>
      <c r="Q354" s="26"/>
      <c r="R354" s="26"/>
      <c r="S354" s="26"/>
      <c r="T354" s="26"/>
      <c r="U354" s="26"/>
      <c r="V354" s="26"/>
      <c r="W354" s="26">
        <f>MAX($C$10-VLOOKUP($C354,COS!$B$8:$H$991,3,FALSE),0)</f>
        <v>92727.755859375</v>
      </c>
      <c r="X354" s="26">
        <f t="shared" si="562"/>
        <v>5517.6846461776859</v>
      </c>
      <c r="Y354" s="26">
        <f>VLOOKUP($C354,COS!$B$8:$H$991,4,FALSE)</f>
        <v>1347.0540771484375</v>
      </c>
      <c r="Z354" s="26">
        <f t="shared" si="563"/>
        <v>80.155283929493805</v>
      </c>
      <c r="AA354" s="26">
        <f t="shared" si="564"/>
        <v>1347.0540771484375</v>
      </c>
      <c r="AB354" s="33">
        <f t="shared" si="548"/>
        <v>40.077641964746903</v>
      </c>
    </row>
    <row r="355" spans="1:28" x14ac:dyDescent="0.3">
      <c r="A355" s="34">
        <f>VLOOKUP(YEAR(C355),Flags!$A$13:$B$95,2,FALSE)</f>
        <v>3</v>
      </c>
      <c r="B355" s="35">
        <f t="shared" si="535"/>
        <v>1959</v>
      </c>
      <c r="C355" s="36">
        <v>21915</v>
      </c>
      <c r="D355" s="37"/>
      <c r="E355" s="35"/>
      <c r="F355" s="37"/>
      <c r="G355" s="37"/>
      <c r="H355" s="37"/>
      <c r="I355" s="37"/>
      <c r="J355" s="37"/>
      <c r="K355" s="37"/>
      <c r="L355" s="35"/>
      <c r="M355" s="35"/>
      <c r="N355" s="37"/>
      <c r="O355" s="37"/>
      <c r="P355" s="37"/>
      <c r="Q355" s="37"/>
      <c r="R355" s="37"/>
      <c r="S355" s="37"/>
      <c r="T355" s="37"/>
      <c r="U355" s="37"/>
      <c r="V355" s="37"/>
      <c r="W355" s="37">
        <f>MAX($C$11-VLOOKUP($C355,COS!$B$8:$H$991,3,FALSE),0)</f>
        <v>0</v>
      </c>
      <c r="X355" s="37">
        <f t="shared" si="562"/>
        <v>0</v>
      </c>
      <c r="Y355" s="37">
        <f>VLOOKUP($C355,COS!$B$8:$H$991,4,FALSE)</f>
        <v>2025.1993408203125</v>
      </c>
      <c r="Z355" s="37">
        <f t="shared" si="563"/>
        <v>124.52465368349691</v>
      </c>
      <c r="AA355" s="37">
        <f t="shared" si="564"/>
        <v>0</v>
      </c>
      <c r="AB355" s="38">
        <f t="shared" si="548"/>
        <v>0</v>
      </c>
    </row>
    <row r="356" spans="1:28" x14ac:dyDescent="0.3">
      <c r="A356" s="27">
        <f>VLOOKUP(YEAR(C356),Flags!$A$13:$B$95,2,FALSE)</f>
        <v>4</v>
      </c>
      <c r="B356" s="28">
        <f t="shared" si="535"/>
        <v>1960</v>
      </c>
      <c r="C356" s="29">
        <v>22036</v>
      </c>
      <c r="D356" s="30">
        <f>VLOOKUP($C356,COS!$B$8:$H$991,3,FALSE)</f>
        <v>7127.0625</v>
      </c>
      <c r="E356" s="28">
        <f>IF(D356&gt;=IF(MONTH($C356)=4,$C$3,IF(MONTH($C356)=5,$C$4,IF(MONTH($C356)=6,$C$5,IF(MONTH($C356)=7,$C$6,"ERROR")))),1,0)</f>
        <v>1</v>
      </c>
      <c r="F356" s="30">
        <f>VLOOKUP($C356,COS!$B$8:$H$991,7,FALSE)</f>
        <v>49.91119384765625</v>
      </c>
      <c r="G356" s="28">
        <f>IF(F356&lt;=IF(MONTH($C356)=4,$F$3,IF(MONTH($C356)=5,$F$4,IF(MONTH($C356)=6,$F$5,IF(MONTH($C356)=7,$F$6,"ERROR")))),1,0)</f>
        <v>1</v>
      </c>
      <c r="H356" s="30">
        <f>IF(J356=1,D356-$C$3,0)</f>
        <v>1127.0625</v>
      </c>
      <c r="I356" s="30">
        <f t="shared" si="558"/>
        <v>67.064876033057857</v>
      </c>
      <c r="J356" s="28">
        <f t="shared" ref="J356:J359" si="567">IF(AND(E356=1,G356=1),1,0)</f>
        <v>1</v>
      </c>
      <c r="K356" s="30">
        <f>VLOOKUP($C356,COS!$B$8:$H$991,2,FALSE)</f>
        <v>4172.98876953125</v>
      </c>
      <c r="L356" s="28">
        <f t="shared" ref="L356" si="568">IF(K356&lt;=IF(MONTH($C356)=4,$I$3,IF(MONTH($C356)=5,$I$4,IF(MONTH($C356)=6,$I$5,IF(MONTH($C356)=7,$I$6,"ERROR")))),1,0)</f>
        <v>1</v>
      </c>
      <c r="M356" s="28">
        <f t="shared" ref="M356" si="569">VLOOKUP($A356,$L$3:$M$7,2,FALSE)</f>
        <v>1</v>
      </c>
      <c r="N356" s="30">
        <f>VLOOKUP($C356,COS!$B$8:$H$991,5,FALSE)</f>
        <v>16.487361907958984</v>
      </c>
      <c r="O356" s="30">
        <f t="shared" ref="O356:O359" si="570">N356*DAY($C356)*86400/43560/1000</f>
        <v>0.98106616311822048</v>
      </c>
      <c r="P356" s="30">
        <f>VLOOKUP($C356,COS!$B$8:$H$991,6,FALSE)</f>
        <v>466.45590209960938</v>
      </c>
      <c r="Q356" s="30">
        <f t="shared" ref="Q356:Q359" si="571">P356*DAY($C356)*86400/43560/1000</f>
        <v>27.756053678654443</v>
      </c>
      <c r="R356" s="30">
        <f>MIN(IF(MONTH($C356)=4,$S$3,IF(MONTH($C356)=5,$S$4,IF(MONTH($C356)=6,$S$5,IF(MONTH($C356)=7,$S$6,"ERROR")))),MAX(VLOOKUP($C356,COS!$B$8:$K$991,10,FALSE)-IF(MONTH($C356)=4,$Y$3,IF(MONTH($C356)=5,$Y$4,IF(MONTH($C356)=6,$Y$5,IF(MONTH($C356)=7,$Y$6,"ERROR")))),0),MAX(VLOOKUP($C356,COS!$B$8:$K$991,9,FALSE)-IF(MONTH($C356)=4,$V$3,IF(MONTH($C356)=5,$V$4,IF(MONTH($C356)=6,$V$5,IF(MONTH($C356)=7,$V$6,"ERROR"))))-VLOOKUP($C356,COS!$B$8:$K$991,6,FALSE)/2,0))</f>
        <v>1500</v>
      </c>
      <c r="S356" s="30">
        <f t="shared" ref="S356:S359" si="572">R356*DAY($C356)*86400/43560/1000</f>
        <v>89.256198347107429</v>
      </c>
      <c r="T356" s="30">
        <f t="shared" ref="T356:T359" si="573">(O356+Q356)/2+S356</f>
        <v>103.62475826799376</v>
      </c>
      <c r="U356" s="30" t="str">
        <f>IF(VLOOKUP($C356,COS!$B$8:$I$991,8,FALSE)=1,"UWFE","IBU")</f>
        <v>UWFE</v>
      </c>
      <c r="V356" s="30">
        <f t="shared" ref="V356" si="574">MIN(IF(IF($AA$3=2,AND(E356=1,G356=1,L356=1,L361=1,M356=1,U356="IBU"),AND(E356=1,G356=1,L356=1,L361=1,M356=1)),T356,0),I356)</f>
        <v>0</v>
      </c>
      <c r="W356" s="30"/>
      <c r="X356" s="30"/>
      <c r="Y356" s="30"/>
      <c r="Z356" s="30"/>
      <c r="AA356" s="30"/>
      <c r="AB356" s="31"/>
    </row>
    <row r="357" spans="1:28" x14ac:dyDescent="0.3">
      <c r="A357" s="32">
        <f>VLOOKUP(YEAR(C357),Flags!$A$13:$B$95,2,FALSE)</f>
        <v>4</v>
      </c>
      <c r="B357" s="24">
        <f t="shared" si="535"/>
        <v>1960</v>
      </c>
      <c r="C357" s="25">
        <v>22067</v>
      </c>
      <c r="D357" s="26">
        <f>VLOOKUP($C357,COS!$B$8:$H$991,3,FALSE)</f>
        <v>4957.14453125</v>
      </c>
      <c r="E357" s="24">
        <f>IF(D357&gt;=IF(MONTH($C357)=4,$C$3,IF(MONTH($C357)=5,$C$4,IF(MONTH($C357)=6,$C$5,IF(MONTH($C357)=7,$C$6,"ERROR")))),1,0)</f>
        <v>0</v>
      </c>
      <c r="F357" s="26">
        <f>VLOOKUP($C357,COS!$B$8:$H$991,7,FALSE)</f>
        <v>52.527271270751953</v>
      </c>
      <c r="G357" s="24">
        <f>IF(F357&lt;=IF(MONTH($C357)=4,$F$3,IF(MONTH($C357)=5,$F$4,IF(MONTH($C357)=6,$F$5,IF(MONTH($C357)=7,$F$6,"ERROR")))),1,0)</f>
        <v>1</v>
      </c>
      <c r="H357" s="26">
        <f>IF(J357=1,D357-$C$4,0)</f>
        <v>0</v>
      </c>
      <c r="I357" s="26">
        <f t="shared" si="558"/>
        <v>0</v>
      </c>
      <c r="J357" s="24">
        <f t="shared" si="567"/>
        <v>0</v>
      </c>
      <c r="K357" s="26">
        <f>VLOOKUP($C357,COS!$B$8:$H$991,2,FALSE)</f>
        <v>4264.8515625</v>
      </c>
      <c r="L357" s="24">
        <f t="shared" si="537"/>
        <v>1</v>
      </c>
      <c r="M357" s="24">
        <f t="shared" si="538"/>
        <v>1</v>
      </c>
      <c r="N357" s="26">
        <f>VLOOKUP($C357,COS!$B$8:$H$991,5,FALSE)</f>
        <v>320.07254028320313</v>
      </c>
      <c r="O357" s="26">
        <f t="shared" si="570"/>
        <v>19.680493386008521</v>
      </c>
      <c r="P357" s="26">
        <f>VLOOKUP($C357,COS!$B$8:$H$991,6,FALSE)</f>
        <v>2099.86279296875</v>
      </c>
      <c r="Q357" s="26">
        <f t="shared" si="571"/>
        <v>129.1155304106405</v>
      </c>
      <c r="R357" s="26">
        <f>MIN(IF(MONTH($C357)=4,$S$3,IF(MONTH($C357)=5,$S$4,IF(MONTH($C357)=6,$S$5,IF(MONTH($C357)=7,$S$6,"ERROR")))),MAX(VLOOKUP($C357,COS!$B$8:$K$991,10,FALSE)-IF(MONTH($C357)=4,$Y$3,IF(MONTH($C357)=5,$Y$4,IF(MONTH($C357)=6,$Y$5,IF(MONTH($C357)=7,$Y$6,"ERROR")))),0),MAX(VLOOKUP($C357,COS!$B$8:$K$991,9,FALSE)-IF(MONTH($C357)=4,$V$3,IF(MONTH($C357)=5,$V$4,IF(MONTH($C357)=6,$V$5,IF(MONTH($C357)=7,$V$6,"ERROR"))))-VLOOKUP($C357,COS!$B$8:$K$991,6,FALSE)/2,0))</f>
        <v>998.0751953125</v>
      </c>
      <c r="S357" s="26">
        <f t="shared" si="572"/>
        <v>61.36925167871901</v>
      </c>
      <c r="T357" s="26">
        <f t="shared" si="573"/>
        <v>135.76726357704354</v>
      </c>
      <c r="U357" s="26" t="str">
        <f>IF(VLOOKUP($C357,COS!$B$8:$I$991,8,FALSE)=1,"UWFE","IBU")</f>
        <v>UWFE</v>
      </c>
      <c r="V357" s="26">
        <f t="shared" ref="V357" si="575">MIN(IF(IF($AA$3=2,AND(E357=1,G357=1,L357=1,L361=1,M357=1,U357="IBU"),AND(E357=1,G357=1,L357=1,L361=1,M357=1)),T357,0),I357)</f>
        <v>0</v>
      </c>
      <c r="W357" s="26"/>
      <c r="X357" s="26"/>
      <c r="Y357" s="26"/>
      <c r="Z357" s="26"/>
      <c r="AA357" s="26"/>
      <c r="AB357" s="33"/>
    </row>
    <row r="358" spans="1:28" x14ac:dyDescent="0.3">
      <c r="A358" s="32">
        <f>VLOOKUP(YEAR(C358),Flags!$A$13:$B$95,2,FALSE)</f>
        <v>4</v>
      </c>
      <c r="B358" s="24">
        <f t="shared" si="535"/>
        <v>1960</v>
      </c>
      <c r="C358" s="25">
        <v>22097</v>
      </c>
      <c r="D358" s="26">
        <f>VLOOKUP($C358,COS!$B$8:$H$991,3,FALSE)</f>
        <v>13233.97265625</v>
      </c>
      <c r="E358" s="24">
        <f>IF(D358&gt;=IF(MONTH($C358)=4,$C$3,IF(MONTH($C358)=5,$C$4,IF(MONTH($C358)=6,$C$5,IF(MONTH($C358)=7,$C$6,"ERROR")))),1,0)</f>
        <v>1</v>
      </c>
      <c r="F358" s="26">
        <f>VLOOKUP($C358,COS!$B$8:$H$991,7,FALSE)</f>
        <v>51.440536499023438</v>
      </c>
      <c r="G358" s="24">
        <f>IF(F358&lt;=IF(MONTH($C358)=4,$F$3,IF(MONTH($C358)=5,$F$4,IF(MONTH($C358)=6,$F$5,IF(MONTH($C358)=7,$F$6,"ERROR")))),1,0)</f>
        <v>1</v>
      </c>
      <c r="H358" s="26">
        <f>IF(J358=1,D358-$C$5,0)</f>
        <v>3233.97265625</v>
      </c>
      <c r="I358" s="26">
        <f t="shared" si="558"/>
        <v>192.43473657024794</v>
      </c>
      <c r="J358" s="24">
        <f t="shared" si="567"/>
        <v>1</v>
      </c>
      <c r="K358" s="26">
        <f>VLOOKUP($C358,COS!$B$8:$H$991,2,FALSE)</f>
        <v>3735.558837890625</v>
      </c>
      <c r="L358" s="24">
        <f t="shared" si="537"/>
        <v>1</v>
      </c>
      <c r="M358" s="24">
        <f t="shared" si="538"/>
        <v>1</v>
      </c>
      <c r="N358" s="26">
        <f>VLOOKUP($C358,COS!$B$8:$H$991,5,FALSE)</f>
        <v>457.70184326171875</v>
      </c>
      <c r="O358" s="26">
        <f t="shared" si="570"/>
        <v>27.2351510040031</v>
      </c>
      <c r="P358" s="26">
        <f>VLOOKUP($C358,COS!$B$8:$H$991,6,FALSE)</f>
        <v>2712.6806640625</v>
      </c>
      <c r="Q358" s="26">
        <f t="shared" si="571"/>
        <v>161.41570893595042</v>
      </c>
      <c r="R358" s="26">
        <f>MIN(IF(MONTH($C358)=4,$S$3,IF(MONTH($C358)=5,$S$4,IF(MONTH($C358)=6,$S$5,IF(MONTH($C358)=7,$S$6,"ERROR")))),MAX(VLOOKUP($C358,COS!$B$8:$K$991,10,FALSE)-IF(MONTH($C358)=4,$Y$3,IF(MONTH($C358)=5,$Y$4,IF(MONTH($C358)=6,$Y$5,IF(MONTH($C358)=7,$Y$6,"ERROR")))),0),MAX(VLOOKUP($C358,COS!$B$8:$K$991,9,FALSE)-IF(MONTH($C358)=4,$V$3,IF(MONTH($C358)=5,$V$4,IF(MONTH($C358)=6,$V$5,IF(MONTH($C358)=7,$V$6,"ERROR"))))-VLOOKUP($C358,COS!$B$8:$K$991,6,FALSE)/2,0))</f>
        <v>1500</v>
      </c>
      <c r="S358" s="26">
        <f t="shared" si="572"/>
        <v>89.256198347107429</v>
      </c>
      <c r="T358" s="26">
        <f t="shared" si="573"/>
        <v>183.58162831708421</v>
      </c>
      <c r="U358" s="26" t="str">
        <f>IF(VLOOKUP($C358,COS!$B$8:$I$991,8,FALSE)=1,"UWFE","IBU")</f>
        <v>IBU</v>
      </c>
      <c r="V358" s="26">
        <f t="shared" ref="V358" si="576">MIN(IF(IF($AA$3=2,AND(E358=1,G358=1,L358=1,L361=1,M358=1,U358="IBU"),AND(E358=1,G358=1,L358=1,L361=1,M358=1)),T358,0),I358)</f>
        <v>183.58162831708421</v>
      </c>
      <c r="W358" s="26"/>
      <c r="X358" s="26"/>
      <c r="Y358" s="26"/>
      <c r="Z358" s="26"/>
      <c r="AA358" s="26"/>
      <c r="AB358" s="33"/>
    </row>
    <row r="359" spans="1:28" x14ac:dyDescent="0.3">
      <c r="A359" s="32">
        <f>VLOOKUP(YEAR(C359),Flags!$A$13:$B$95,2,FALSE)</f>
        <v>4</v>
      </c>
      <c r="B359" s="24">
        <f t="shared" si="535"/>
        <v>1960</v>
      </c>
      <c r="C359" s="25">
        <v>22128</v>
      </c>
      <c r="D359" s="26">
        <f>VLOOKUP($C359,COS!$B$8:$H$991,3,FALSE)</f>
        <v>13995.5498046875</v>
      </c>
      <c r="E359" s="24">
        <f>IF(D359&gt;=IF(MONTH($C359)=4,$C$3,IF(MONTH($C359)=5,$C$4,IF(MONTH($C359)=6,$C$5,IF(MONTH($C359)=7,$C$6,"ERROR")))),1,0)</f>
        <v>1</v>
      </c>
      <c r="F359" s="26">
        <f>VLOOKUP($C359,COS!$B$8:$H$991,7,FALSE)</f>
        <v>52.7860107421875</v>
      </c>
      <c r="G359" s="24">
        <f>IF(F359&lt;=IF(MONTH($C359)=4,$F$3,IF(MONTH($C359)=5,$F$4,IF(MONTH($C359)=6,$F$5,IF(MONTH($C359)=7,$F$6,"ERROR")))),1,0)</f>
        <v>1</v>
      </c>
      <c r="H359" s="26">
        <f>IF(J359=1,D359-$C$6,0)</f>
        <v>1995.5498046875</v>
      </c>
      <c r="I359" s="26">
        <f t="shared" si="558"/>
        <v>122.70157476756198</v>
      </c>
      <c r="J359" s="24">
        <f t="shared" si="567"/>
        <v>1</v>
      </c>
      <c r="K359" s="26">
        <f>VLOOKUP($C359,COS!$B$8:$H$991,2,FALSE)</f>
        <v>3174.995361328125</v>
      </c>
      <c r="L359" s="24">
        <f t="shared" si="537"/>
        <v>1</v>
      </c>
      <c r="M359" s="24">
        <f t="shared" si="538"/>
        <v>1</v>
      </c>
      <c r="N359" s="26">
        <f>VLOOKUP($C359,COS!$B$8:$H$991,5,FALSE)</f>
        <v>499.1810302734375</v>
      </c>
      <c r="O359" s="26">
        <f t="shared" si="570"/>
        <v>30.69344516722624</v>
      </c>
      <c r="P359" s="26">
        <f>VLOOKUP($C359,COS!$B$8:$H$991,6,FALSE)</f>
        <v>2441.261474609375</v>
      </c>
      <c r="Q359" s="26">
        <f t="shared" si="571"/>
        <v>150.10731711647728</v>
      </c>
      <c r="R359" s="26">
        <f>MIN(IF(MONTH($C359)=4,$S$3,IF(MONTH($C359)=5,$S$4,IF(MONTH($C359)=6,$S$5,IF(MONTH($C359)=7,$S$6,"ERROR")))),MAX(VLOOKUP($C359,COS!$B$8:$K$991,10,FALSE)-IF(MONTH($C359)=4,$Y$3,IF(MONTH($C359)=5,$Y$4,IF(MONTH($C359)=6,$Y$5,IF(MONTH($C359)=7,$Y$6,"ERROR")))),0),MAX(VLOOKUP($C359,COS!$B$8:$K$991,9,FALSE)-IF(MONTH($C359)=4,$V$3,IF(MONTH($C359)=5,$V$4,IF(MONTH($C359)=6,$V$5,IF(MONTH($C359)=7,$V$6,"ERROR"))))-VLOOKUP($C359,COS!$B$8:$K$991,6,FALSE)/2,0))</f>
        <v>1500</v>
      </c>
      <c r="S359" s="26">
        <f t="shared" si="572"/>
        <v>92.231404958677686</v>
      </c>
      <c r="T359" s="26">
        <f t="shared" si="573"/>
        <v>182.63178610052944</v>
      </c>
      <c r="U359" s="26" t="str">
        <f>IF(VLOOKUP($C359,COS!$B$8:$I$991,8,FALSE)=1,"UWFE","IBU")</f>
        <v>IBU</v>
      </c>
      <c r="V359" s="26">
        <f t="shared" ref="V359" si="577">MIN(IF(IF($AA$3=2,AND(E359=1,G359=1,L359=1,L361=1,M359=1,U359="IBU"),AND(E359=1,G359=1,L359=1,L361=1,M359=1)),T359,0),I359)</f>
        <v>122.70157476756198</v>
      </c>
      <c r="W359" s="26"/>
      <c r="X359" s="26"/>
      <c r="Y359" s="26"/>
      <c r="Z359" s="26"/>
      <c r="AA359" s="26"/>
      <c r="AB359" s="33"/>
    </row>
    <row r="360" spans="1:28" x14ac:dyDescent="0.3">
      <c r="A360" s="32">
        <f>VLOOKUP(YEAR(C360),Flags!$A$13:$B$95,2,FALSE)</f>
        <v>4</v>
      </c>
      <c r="B360" s="24">
        <f t="shared" si="535"/>
        <v>1960</v>
      </c>
      <c r="C360" s="25">
        <v>22159</v>
      </c>
      <c r="D360" s="26"/>
      <c r="E360" s="24"/>
      <c r="F360" s="26"/>
      <c r="G360" s="24"/>
      <c r="H360" s="24"/>
      <c r="I360" s="26"/>
      <c r="J360" s="24"/>
      <c r="K360" s="26"/>
      <c r="L360" s="24"/>
      <c r="M360" s="24"/>
      <c r="N360" s="26"/>
      <c r="O360" s="26"/>
      <c r="P360" s="26"/>
      <c r="Q360" s="26"/>
      <c r="R360" s="26"/>
      <c r="S360" s="26"/>
      <c r="T360" s="26"/>
      <c r="U360" s="26"/>
      <c r="V360" s="26"/>
      <c r="W360" s="26">
        <f>MAX($C$7-VLOOKUP($C360,COS!$B$8:$H$991,3,FALSE),0)</f>
        <v>90376.2197265625</v>
      </c>
      <c r="X360" s="26">
        <f t="shared" si="562"/>
        <v>5557.0171468233475</v>
      </c>
      <c r="Y360" s="26">
        <f>VLOOKUP($C360,COS!$B$8:$H$991,4,FALSE)</f>
        <v>1283.5350341796875</v>
      </c>
      <c r="Z360" s="26">
        <f t="shared" si="563"/>
        <v>78.921493010717967</v>
      </c>
      <c r="AA360" s="26">
        <f t="shared" ref="AA360:AA364" si="578">MIN(W360,Y360)</f>
        <v>1283.5350341796875</v>
      </c>
      <c r="AB360" s="33">
        <f t="shared" ref="AB360" si="579">AA360*DAY($C360)*86400/43560/1000*IF(MONTH($C360)=8,$P$3,IF(MONTH($C360)=9,$P$4,IF(MONTH($C360)=10,$P$5,IF(MONTH($C360)=11,$P$6,IF(MONTH($C360)=12,$P$7,NA())))))</f>
        <v>78.921493010717967</v>
      </c>
    </row>
    <row r="361" spans="1:28" x14ac:dyDescent="0.3">
      <c r="A361" s="32">
        <f>VLOOKUP(YEAR(C361),Flags!$A$13:$B$95,2,FALSE)</f>
        <v>4</v>
      </c>
      <c r="B361" s="24">
        <f t="shared" si="535"/>
        <v>1960</v>
      </c>
      <c r="C361" s="25">
        <v>22189</v>
      </c>
      <c r="D361" s="26"/>
      <c r="E361" s="24"/>
      <c r="F361" s="26"/>
      <c r="G361" s="24"/>
      <c r="H361" s="24"/>
      <c r="I361" s="26"/>
      <c r="J361" s="24"/>
      <c r="K361" s="26">
        <f>VLOOKUP($C361,COS!$B$8:$H$991,2,FALSE)</f>
        <v>2747.35986328125</v>
      </c>
      <c r="L361" s="24">
        <f t="shared" ref="L361" si="580">IF(AND(K361&gt;$I$7,K361&lt;$I$8),1,0)</f>
        <v>1</v>
      </c>
      <c r="M361" s="24"/>
      <c r="N361" s="26"/>
      <c r="O361" s="26"/>
      <c r="P361" s="26"/>
      <c r="Q361" s="26"/>
      <c r="R361" s="26"/>
      <c r="S361" s="26"/>
      <c r="T361" s="26"/>
      <c r="U361" s="26"/>
      <c r="V361" s="26"/>
      <c r="W361" s="26">
        <f>MAX($C$8-VLOOKUP($C361,COS!$B$8:$H$991,3,FALSE),0)</f>
        <v>93859.93212890625</v>
      </c>
      <c r="X361" s="26">
        <f t="shared" si="562"/>
        <v>5585.0538126291322</v>
      </c>
      <c r="Y361" s="26">
        <f>VLOOKUP($C361,COS!$B$8:$H$991,4,FALSE)</f>
        <v>1185.9482421875</v>
      </c>
      <c r="Z361" s="26">
        <f t="shared" si="563"/>
        <v>70.568821022727278</v>
      </c>
      <c r="AA361" s="26">
        <f t="shared" si="578"/>
        <v>1185.9482421875</v>
      </c>
      <c r="AB361" s="33">
        <f t="shared" si="548"/>
        <v>70.568821022727278</v>
      </c>
    </row>
    <row r="362" spans="1:28" x14ac:dyDescent="0.3">
      <c r="A362" s="32">
        <f>VLOOKUP(YEAR(C362),Flags!$A$13:$B$95,2,FALSE)</f>
        <v>4</v>
      </c>
      <c r="B362" s="24">
        <f t="shared" si="535"/>
        <v>1960</v>
      </c>
      <c r="C362" s="25">
        <v>22220</v>
      </c>
      <c r="D362" s="26"/>
      <c r="E362" s="24"/>
      <c r="F362" s="26"/>
      <c r="G362" s="26"/>
      <c r="H362" s="26"/>
      <c r="I362" s="26"/>
      <c r="J362" s="26"/>
      <c r="K362" s="26"/>
      <c r="L362" s="24"/>
      <c r="M362" s="24"/>
      <c r="N362" s="26"/>
      <c r="O362" s="26"/>
      <c r="P362" s="26"/>
      <c r="Q362" s="26"/>
      <c r="R362" s="26"/>
      <c r="S362" s="26"/>
      <c r="T362" s="26"/>
      <c r="U362" s="26"/>
      <c r="V362" s="26"/>
      <c r="W362" s="26">
        <f>MAX($C$9-VLOOKUP($C362,COS!$B$8:$H$991,3,FALSE),0)</f>
        <v>93911.3974609375</v>
      </c>
      <c r="X362" s="26">
        <f t="shared" si="562"/>
        <v>5774.3867529700419</v>
      </c>
      <c r="Y362" s="26">
        <f>VLOOKUP($C362,COS!$B$8:$H$991,4,FALSE)</f>
        <v>1660.7847900390625</v>
      </c>
      <c r="Z362" s="26">
        <f t="shared" si="563"/>
        <v>102.11767634620351</v>
      </c>
      <c r="AA362" s="26">
        <f t="shared" si="578"/>
        <v>1660.7847900390625</v>
      </c>
      <c r="AB362" s="33">
        <f t="shared" si="548"/>
        <v>102.11767634620351</v>
      </c>
    </row>
    <row r="363" spans="1:28" x14ac:dyDescent="0.3">
      <c r="A363" s="32">
        <f>VLOOKUP(YEAR(C363),Flags!$A$13:$B$95,2,FALSE)</f>
        <v>4</v>
      </c>
      <c r="B363" s="24">
        <f t="shared" si="535"/>
        <v>1960</v>
      </c>
      <c r="C363" s="25">
        <v>22250</v>
      </c>
      <c r="D363" s="26"/>
      <c r="E363" s="24"/>
      <c r="F363" s="26"/>
      <c r="G363" s="26"/>
      <c r="H363" s="26"/>
      <c r="I363" s="26"/>
      <c r="J363" s="26"/>
      <c r="K363" s="26"/>
      <c r="L363" s="24"/>
      <c r="M363" s="24"/>
      <c r="N363" s="26"/>
      <c r="O363" s="26"/>
      <c r="P363" s="26"/>
      <c r="Q363" s="26"/>
      <c r="R363" s="26"/>
      <c r="S363" s="26"/>
      <c r="T363" s="26"/>
      <c r="U363" s="26"/>
      <c r="V363" s="26"/>
      <c r="W363" s="26">
        <f>MAX($C$10-VLOOKUP($C363,COS!$B$8:$H$991,3,FALSE),0)</f>
        <v>96749</v>
      </c>
      <c r="X363" s="26">
        <f t="shared" si="562"/>
        <v>5756.965289256198</v>
      </c>
      <c r="Y363" s="26">
        <f>VLOOKUP($C363,COS!$B$8:$H$991,4,FALSE)</f>
        <v>409.7125244140625</v>
      </c>
      <c r="Z363" s="26">
        <f t="shared" si="563"/>
        <v>24.379588229597108</v>
      </c>
      <c r="AA363" s="26">
        <f t="shared" si="578"/>
        <v>409.7125244140625</v>
      </c>
      <c r="AB363" s="33">
        <f t="shared" si="548"/>
        <v>12.189794114798554</v>
      </c>
    </row>
    <row r="364" spans="1:28" x14ac:dyDescent="0.3">
      <c r="A364" s="34">
        <f>VLOOKUP(YEAR(C364),Flags!$A$13:$B$95,2,FALSE)</f>
        <v>4</v>
      </c>
      <c r="B364" s="35">
        <f t="shared" si="535"/>
        <v>1960</v>
      </c>
      <c r="C364" s="36">
        <v>22281</v>
      </c>
      <c r="D364" s="37"/>
      <c r="E364" s="35"/>
      <c r="F364" s="37"/>
      <c r="G364" s="37"/>
      <c r="H364" s="37"/>
      <c r="I364" s="37"/>
      <c r="J364" s="37"/>
      <c r="K364" s="37"/>
      <c r="L364" s="35"/>
      <c r="M364" s="35"/>
      <c r="N364" s="37"/>
      <c r="O364" s="37"/>
      <c r="P364" s="37"/>
      <c r="Q364" s="37"/>
      <c r="R364" s="37"/>
      <c r="S364" s="37"/>
      <c r="T364" s="37"/>
      <c r="U364" s="37"/>
      <c r="V364" s="37"/>
      <c r="W364" s="37">
        <f>MAX($C$11-VLOOKUP($C364,COS!$B$8:$H$991,3,FALSE),0)</f>
        <v>0</v>
      </c>
      <c r="X364" s="37">
        <f t="shared" si="562"/>
        <v>0</v>
      </c>
      <c r="Y364" s="37">
        <f>VLOOKUP($C364,COS!$B$8:$H$991,4,FALSE)</f>
        <v>2387.1279296875</v>
      </c>
      <c r="Z364" s="37">
        <f t="shared" si="563"/>
        <v>146.77877518078512</v>
      </c>
      <c r="AA364" s="37">
        <f t="shared" si="578"/>
        <v>0</v>
      </c>
      <c r="AB364" s="38">
        <f t="shared" si="548"/>
        <v>0</v>
      </c>
    </row>
    <row r="365" spans="1:28" x14ac:dyDescent="0.3">
      <c r="A365" s="27">
        <f>VLOOKUP(YEAR(C365),Flags!$A$13:$B$95,2,FALSE)</f>
        <v>4</v>
      </c>
      <c r="B365" s="28">
        <f t="shared" si="535"/>
        <v>1961</v>
      </c>
      <c r="C365" s="29">
        <v>22401</v>
      </c>
      <c r="D365" s="30">
        <f>VLOOKUP($C365,COS!$B$8:$H$991,3,FALSE)</f>
        <v>3330.927978515625</v>
      </c>
      <c r="E365" s="28">
        <f>IF(D365&gt;=IF(MONTH($C365)=4,$C$3,IF(MONTH($C365)=5,$C$4,IF(MONTH($C365)=6,$C$5,IF(MONTH($C365)=7,$C$6,"ERROR")))),1,0)</f>
        <v>0</v>
      </c>
      <c r="F365" s="30">
        <f>VLOOKUP($C365,COS!$B$8:$H$991,7,FALSE)</f>
        <v>51.26251220703125</v>
      </c>
      <c r="G365" s="28">
        <f>IF(F365&lt;=IF(MONTH($C365)=4,$F$3,IF(MONTH($C365)=5,$F$4,IF(MONTH($C365)=6,$F$5,IF(MONTH($C365)=7,$F$6,"ERROR")))),1,0)</f>
        <v>1</v>
      </c>
      <c r="H365" s="30">
        <f>IF(J365=1,D365-$C$3,0)</f>
        <v>0</v>
      </c>
      <c r="I365" s="30">
        <f t="shared" si="558"/>
        <v>0</v>
      </c>
      <c r="J365" s="28">
        <f t="shared" ref="J365:J368" si="581">IF(AND(E365=1,G365=1),1,0)</f>
        <v>0</v>
      </c>
      <c r="K365" s="30">
        <f>VLOOKUP($C365,COS!$B$8:$H$991,2,FALSE)</f>
        <v>4552</v>
      </c>
      <c r="L365" s="28">
        <f t="shared" ref="L365" si="582">IF(K365&lt;=IF(MONTH($C365)=4,$I$3,IF(MONTH($C365)=5,$I$4,IF(MONTH($C365)=6,$I$5,IF(MONTH($C365)=7,$I$6,"ERROR")))),1,0)</f>
        <v>1</v>
      </c>
      <c r="M365" s="28">
        <f t="shared" ref="M365" si="583">VLOOKUP($A365,$L$3:$M$7,2,FALSE)</f>
        <v>1</v>
      </c>
      <c r="N365" s="30">
        <f>VLOOKUP($C365,COS!$B$8:$H$991,5,FALSE)</f>
        <v>224.14614868164063</v>
      </c>
      <c r="O365" s="30">
        <f t="shared" ref="O365:O368" si="584">N365*DAY($C365)*86400/43560/1000</f>
        <v>13.3376220703125</v>
      </c>
      <c r="P365" s="30">
        <f>VLOOKUP($C365,COS!$B$8:$H$991,6,FALSE)</f>
        <v>461.4332275390625</v>
      </c>
      <c r="Q365" s="30">
        <f t="shared" ref="Q365:Q368" si="585">P365*DAY($C365)*86400/43560/1000</f>
        <v>27.457183787448347</v>
      </c>
      <c r="R365" s="30">
        <f>MIN(IF(MONTH($C365)=4,$S$3,IF(MONTH($C365)=5,$S$4,IF(MONTH($C365)=6,$S$5,IF(MONTH($C365)=7,$S$6,"ERROR")))),MAX(VLOOKUP($C365,COS!$B$8:$K$991,10,FALSE)-IF(MONTH($C365)=4,$Y$3,IF(MONTH($C365)=5,$Y$4,IF(MONTH($C365)=6,$Y$5,IF(MONTH($C365)=7,$Y$6,"ERROR")))),0),MAX(VLOOKUP($C365,COS!$B$8:$K$991,9,FALSE)-IF(MONTH($C365)=4,$V$3,IF(MONTH($C365)=5,$V$4,IF(MONTH($C365)=6,$V$5,IF(MONTH($C365)=7,$V$6,"ERROR"))))-VLOOKUP($C365,COS!$B$8:$K$991,6,FALSE)/2,0))</f>
        <v>1500</v>
      </c>
      <c r="S365" s="30">
        <f t="shared" ref="S365:S368" si="586">R365*DAY($C365)*86400/43560/1000</f>
        <v>89.256198347107429</v>
      </c>
      <c r="T365" s="30">
        <f t="shared" ref="T365:T368" si="587">(O365+Q365)/2+S365</f>
        <v>109.65360127598785</v>
      </c>
      <c r="U365" s="30" t="str">
        <f>IF(VLOOKUP($C365,COS!$B$8:$I$991,8,FALSE)=1,"UWFE","IBU")</f>
        <v>UWFE</v>
      </c>
      <c r="V365" s="30">
        <f t="shared" ref="V365" si="588">MIN(IF(IF($AA$3=2,AND(E365=1,G365=1,L365=1,L370=1,M365=1,U365="IBU"),AND(E365=1,G365=1,L365=1,L370=1,M365=1)),T365,0),I365)</f>
        <v>0</v>
      </c>
      <c r="W365" s="30"/>
      <c r="X365" s="30"/>
      <c r="Y365" s="30"/>
      <c r="Z365" s="30"/>
      <c r="AA365" s="30"/>
      <c r="AB365" s="31"/>
    </row>
    <row r="366" spans="1:28" x14ac:dyDescent="0.3">
      <c r="A366" s="32">
        <f>VLOOKUP(YEAR(C366),Flags!$A$13:$B$95,2,FALSE)</f>
        <v>4</v>
      </c>
      <c r="B366" s="24">
        <f t="shared" si="535"/>
        <v>1961</v>
      </c>
      <c r="C366" s="25">
        <v>22432</v>
      </c>
      <c r="D366" s="26">
        <f>VLOOKUP($C366,COS!$B$8:$H$991,3,FALSE)</f>
        <v>7787.1884765625</v>
      </c>
      <c r="E366" s="24">
        <f>IF(D366&gt;=IF(MONTH($C366)=4,$C$3,IF(MONTH($C366)=5,$C$4,IF(MONTH($C366)=6,$C$5,IF(MONTH($C366)=7,$C$6,"ERROR")))),1,0)</f>
        <v>1</v>
      </c>
      <c r="F366" s="26">
        <f>VLOOKUP($C366,COS!$B$8:$H$991,7,FALSE)</f>
        <v>50.240604400634766</v>
      </c>
      <c r="G366" s="24">
        <f>IF(F366&lt;=IF(MONTH($C366)=4,$F$3,IF(MONTH($C366)=5,$F$4,IF(MONTH($C366)=6,$F$5,IF(MONTH($C366)=7,$F$6,"ERROR")))),1,0)</f>
        <v>1</v>
      </c>
      <c r="H366" s="26">
        <f>IF(J366=1,D366-$C$4,0)</f>
        <v>1787.1884765625</v>
      </c>
      <c r="I366" s="26">
        <f t="shared" si="558"/>
        <v>109.88993607954545</v>
      </c>
      <c r="J366" s="24">
        <f t="shared" si="581"/>
        <v>1</v>
      </c>
      <c r="K366" s="26">
        <f>VLOOKUP($C366,COS!$B$8:$H$991,2,FALSE)</f>
        <v>4502.27978515625</v>
      </c>
      <c r="L366" s="24">
        <f t="shared" si="537"/>
        <v>1</v>
      </c>
      <c r="M366" s="24">
        <f t="shared" si="538"/>
        <v>1</v>
      </c>
      <c r="N366" s="26">
        <f>VLOOKUP($C366,COS!$B$8:$H$991,5,FALSE)</f>
        <v>270.762451171875</v>
      </c>
      <c r="O366" s="26">
        <f t="shared" si="584"/>
        <v>16.648534187758266</v>
      </c>
      <c r="P366" s="26">
        <f>VLOOKUP($C366,COS!$B$8:$H$991,6,FALSE)</f>
        <v>2241.916259765625</v>
      </c>
      <c r="Q366" s="26">
        <f t="shared" si="585"/>
        <v>137.85005762525824</v>
      </c>
      <c r="R366" s="26">
        <f>MIN(IF(MONTH($C366)=4,$S$3,IF(MONTH($C366)=5,$S$4,IF(MONTH($C366)=6,$S$5,IF(MONTH($C366)=7,$S$6,"ERROR")))),MAX(VLOOKUP($C366,COS!$B$8:$K$991,10,FALSE)-IF(MONTH($C366)=4,$Y$3,IF(MONTH($C366)=5,$Y$4,IF(MONTH($C366)=6,$Y$5,IF(MONTH($C366)=7,$Y$6,"ERROR")))),0),MAX(VLOOKUP($C366,COS!$B$8:$K$991,9,FALSE)-IF(MONTH($C366)=4,$V$3,IF(MONTH($C366)=5,$V$4,IF(MONTH($C366)=6,$V$5,IF(MONTH($C366)=7,$V$6,"ERROR"))))-VLOOKUP($C366,COS!$B$8:$K$991,6,FALSE)/2,0))</f>
        <v>1500</v>
      </c>
      <c r="S366" s="26">
        <f t="shared" si="586"/>
        <v>92.231404958677686</v>
      </c>
      <c r="T366" s="26">
        <f t="shared" si="587"/>
        <v>169.48070086518595</v>
      </c>
      <c r="U366" s="26" t="str">
        <f>IF(VLOOKUP($C366,COS!$B$8:$I$991,8,FALSE)=1,"UWFE","IBU")</f>
        <v>UWFE</v>
      </c>
      <c r="V366" s="26">
        <f t="shared" ref="V366" si="589">MIN(IF(IF($AA$3=2,AND(E366=1,G366=1,L366=1,L370=1,M366=1,U366="IBU"),AND(E366=1,G366=1,L366=1,L370=1,M366=1)),T366,0),I366)</f>
        <v>0</v>
      </c>
      <c r="W366" s="26"/>
      <c r="X366" s="26"/>
      <c r="Y366" s="26"/>
      <c r="Z366" s="26"/>
      <c r="AA366" s="26"/>
      <c r="AB366" s="33"/>
    </row>
    <row r="367" spans="1:28" x14ac:dyDescent="0.3">
      <c r="A367" s="32">
        <f>VLOOKUP(YEAR(C367),Flags!$A$13:$B$95,2,FALSE)</f>
        <v>4</v>
      </c>
      <c r="B367" s="24">
        <f t="shared" si="535"/>
        <v>1961</v>
      </c>
      <c r="C367" s="25">
        <v>22462</v>
      </c>
      <c r="D367" s="26">
        <f>VLOOKUP($C367,COS!$B$8:$H$991,3,FALSE)</f>
        <v>10063.0751953125</v>
      </c>
      <c r="E367" s="24">
        <f>IF(D367&gt;=IF(MONTH($C367)=4,$C$3,IF(MONTH($C367)=5,$C$4,IF(MONTH($C367)=6,$C$5,IF(MONTH($C367)=7,$C$6,"ERROR")))),1,0)</f>
        <v>1</v>
      </c>
      <c r="F367" s="26">
        <f>VLOOKUP($C367,COS!$B$8:$H$991,7,FALSE)</f>
        <v>51.530010223388672</v>
      </c>
      <c r="G367" s="24">
        <f>IF(F367&lt;=IF(MONTH($C367)=4,$F$3,IF(MONTH($C367)=5,$F$4,IF(MONTH($C367)=6,$F$5,IF(MONTH($C367)=7,$F$6,"ERROR")))),1,0)</f>
        <v>1</v>
      </c>
      <c r="H367" s="26">
        <f>IF(J367=1,D367-$C$5,0)</f>
        <v>63.0751953125</v>
      </c>
      <c r="I367" s="26">
        <f t="shared" si="558"/>
        <v>3.7532347623966942</v>
      </c>
      <c r="J367" s="24">
        <f t="shared" si="581"/>
        <v>1</v>
      </c>
      <c r="K367" s="26">
        <f>VLOOKUP($C367,COS!$B$8:$H$991,2,FALSE)</f>
        <v>4143.28564453125</v>
      </c>
      <c r="L367" s="24">
        <f t="shared" si="537"/>
        <v>1</v>
      </c>
      <c r="M367" s="24">
        <f t="shared" si="538"/>
        <v>1</v>
      </c>
      <c r="N367" s="26">
        <f>VLOOKUP($C367,COS!$B$8:$H$991,5,FALSE)</f>
        <v>520.3306884765625</v>
      </c>
      <c r="O367" s="26">
        <f t="shared" si="584"/>
        <v>30.961826091167357</v>
      </c>
      <c r="P367" s="26">
        <f>VLOOKUP($C367,COS!$B$8:$H$991,6,FALSE)</f>
        <v>2605.465576171875</v>
      </c>
      <c r="Q367" s="26">
        <f t="shared" si="585"/>
        <v>155.03596816890496</v>
      </c>
      <c r="R367" s="26">
        <f>MIN(IF(MONTH($C367)=4,$S$3,IF(MONTH($C367)=5,$S$4,IF(MONTH($C367)=6,$S$5,IF(MONTH($C367)=7,$S$6,"ERROR")))),MAX(VLOOKUP($C367,COS!$B$8:$K$991,10,FALSE)-IF(MONTH($C367)=4,$Y$3,IF(MONTH($C367)=5,$Y$4,IF(MONTH($C367)=6,$Y$5,IF(MONTH($C367)=7,$Y$6,"ERROR")))),0),MAX(VLOOKUP($C367,COS!$B$8:$K$991,9,FALSE)-IF(MONTH($C367)=4,$V$3,IF(MONTH($C367)=5,$V$4,IF(MONTH($C367)=6,$V$5,IF(MONTH($C367)=7,$V$6,"ERROR"))))-VLOOKUP($C367,COS!$B$8:$K$991,6,FALSE)/2,0))</f>
        <v>1500</v>
      </c>
      <c r="S367" s="26">
        <f t="shared" si="586"/>
        <v>89.256198347107429</v>
      </c>
      <c r="T367" s="26">
        <f t="shared" si="587"/>
        <v>182.25509547714358</v>
      </c>
      <c r="U367" s="26" t="str">
        <f>IF(VLOOKUP($C367,COS!$B$8:$I$991,8,FALSE)=1,"UWFE","IBU")</f>
        <v>IBU</v>
      </c>
      <c r="V367" s="26">
        <f t="shared" ref="V367" si="590">MIN(IF(IF($AA$3=2,AND(E367=1,G367=1,L367=1,L370=1,M367=1,U367="IBU"),AND(E367=1,G367=1,L367=1,L370=1,M367=1)),T367,0),I367)</f>
        <v>3.7532347623966942</v>
      </c>
      <c r="W367" s="26"/>
      <c r="X367" s="26"/>
      <c r="Y367" s="26"/>
      <c r="Z367" s="26"/>
      <c r="AA367" s="26"/>
      <c r="AB367" s="33"/>
    </row>
    <row r="368" spans="1:28" x14ac:dyDescent="0.3">
      <c r="A368" s="32">
        <f>VLOOKUP(YEAR(C368),Flags!$A$13:$B$95,2,FALSE)</f>
        <v>4</v>
      </c>
      <c r="B368" s="24">
        <f t="shared" si="535"/>
        <v>1961</v>
      </c>
      <c r="C368" s="25">
        <v>22493</v>
      </c>
      <c r="D368" s="26">
        <f>VLOOKUP($C368,COS!$B$8:$H$991,3,FALSE)</f>
        <v>16000</v>
      </c>
      <c r="E368" s="24">
        <f>IF(D368&gt;=IF(MONTH($C368)=4,$C$3,IF(MONTH($C368)=5,$C$4,IF(MONTH($C368)=6,$C$5,IF(MONTH($C368)=7,$C$6,"ERROR")))),1,0)</f>
        <v>1</v>
      </c>
      <c r="F368" s="26">
        <f>VLOOKUP($C368,COS!$B$8:$H$991,7,FALSE)</f>
        <v>51.374370574951172</v>
      </c>
      <c r="G368" s="24">
        <f>IF(F368&lt;=IF(MONTH($C368)=4,$F$3,IF(MONTH($C368)=5,$F$4,IF(MONTH($C368)=6,$F$5,IF(MONTH($C368)=7,$F$6,"ERROR")))),1,0)</f>
        <v>1</v>
      </c>
      <c r="H368" s="26">
        <f>IF(J368=1,D368-$C$6,0)</f>
        <v>4000</v>
      </c>
      <c r="I368" s="26">
        <f t="shared" si="558"/>
        <v>245.95041322314049</v>
      </c>
      <c r="J368" s="24">
        <f t="shared" si="581"/>
        <v>1</v>
      </c>
      <c r="K368" s="26">
        <f>VLOOKUP($C368,COS!$B$8:$H$991,2,FALSE)</f>
        <v>3417.93798828125</v>
      </c>
      <c r="L368" s="24">
        <f t="shared" si="537"/>
        <v>1</v>
      </c>
      <c r="M368" s="24">
        <f t="shared" si="538"/>
        <v>1</v>
      </c>
      <c r="N368" s="26">
        <f>VLOOKUP($C368,COS!$B$8:$H$991,5,FALSE)</f>
        <v>610.17608642578125</v>
      </c>
      <c r="O368" s="26">
        <f t="shared" si="584"/>
        <v>37.518265148824895</v>
      </c>
      <c r="P368" s="26">
        <f>VLOOKUP($C368,COS!$B$8:$H$991,6,FALSE)</f>
        <v>2538.07568359375</v>
      </c>
      <c r="Q368" s="26">
        <f t="shared" si="585"/>
        <v>156.06019079287191</v>
      </c>
      <c r="R368" s="26">
        <f>MIN(IF(MONTH($C368)=4,$S$3,IF(MONTH($C368)=5,$S$4,IF(MONTH($C368)=6,$S$5,IF(MONTH($C368)=7,$S$6,"ERROR")))),MAX(VLOOKUP($C368,COS!$B$8:$K$991,10,FALSE)-IF(MONTH($C368)=4,$Y$3,IF(MONTH($C368)=5,$Y$4,IF(MONTH($C368)=6,$Y$5,IF(MONTH($C368)=7,$Y$6,"ERROR")))),0),MAX(VLOOKUP($C368,COS!$B$8:$K$991,9,FALSE)-IF(MONTH($C368)=4,$V$3,IF(MONTH($C368)=5,$V$4,IF(MONTH($C368)=6,$V$5,IF(MONTH($C368)=7,$V$6,"ERROR"))))-VLOOKUP($C368,COS!$B$8:$K$991,6,FALSE)/2,0))</f>
        <v>1500</v>
      </c>
      <c r="S368" s="26">
        <f t="shared" si="586"/>
        <v>92.231404958677686</v>
      </c>
      <c r="T368" s="26">
        <f t="shared" si="587"/>
        <v>189.02063292952607</v>
      </c>
      <c r="U368" s="26" t="str">
        <f>IF(VLOOKUP($C368,COS!$B$8:$I$991,8,FALSE)=1,"UWFE","IBU")</f>
        <v>IBU</v>
      </c>
      <c r="V368" s="26">
        <f t="shared" ref="V368" si="591">MIN(IF(IF($AA$3=2,AND(E368=1,G368=1,L368=1,L370=1,M368=1,U368="IBU"),AND(E368=1,G368=1,L368=1,L370=1,M368=1)),T368,0),I368)</f>
        <v>189.02063292952607</v>
      </c>
      <c r="W368" s="26"/>
      <c r="X368" s="26"/>
      <c r="Y368" s="26"/>
      <c r="Z368" s="26"/>
      <c r="AA368" s="26"/>
      <c r="AB368" s="33"/>
    </row>
    <row r="369" spans="1:28" x14ac:dyDescent="0.3">
      <c r="A369" s="32">
        <f>VLOOKUP(YEAR(C369),Flags!$A$13:$B$95,2,FALSE)</f>
        <v>4</v>
      </c>
      <c r="B369" s="24">
        <f t="shared" si="535"/>
        <v>1961</v>
      </c>
      <c r="C369" s="25">
        <v>22524</v>
      </c>
      <c r="D369" s="26"/>
      <c r="E369" s="24"/>
      <c r="F369" s="26"/>
      <c r="G369" s="24"/>
      <c r="H369" s="24"/>
      <c r="I369" s="26"/>
      <c r="J369" s="24"/>
      <c r="K369" s="26"/>
      <c r="L369" s="24"/>
      <c r="M369" s="24"/>
      <c r="N369" s="26"/>
      <c r="O369" s="26"/>
      <c r="P369" s="26"/>
      <c r="Q369" s="26"/>
      <c r="R369" s="26"/>
      <c r="S369" s="26"/>
      <c r="T369" s="26"/>
      <c r="U369" s="26"/>
      <c r="V369" s="26"/>
      <c r="W369" s="26">
        <f>MAX($C$7-VLOOKUP($C369,COS!$B$8:$H$991,3,FALSE),0)</f>
        <v>90140.421875</v>
      </c>
      <c r="X369" s="26">
        <f t="shared" si="562"/>
        <v>5542.5185020661156</v>
      </c>
      <c r="Y369" s="26">
        <f>VLOOKUP($C369,COS!$B$8:$H$991,4,FALSE)</f>
        <v>3366.373779296875</v>
      </c>
      <c r="Z369" s="26">
        <f t="shared" si="563"/>
        <v>206.99025552040288</v>
      </c>
      <c r="AA369" s="26">
        <f t="shared" ref="AA369:AA373" si="592">MIN(W369,Y369)</f>
        <v>3366.373779296875</v>
      </c>
      <c r="AB369" s="33">
        <f t="shared" ref="AB369" si="593">AA369*DAY($C369)*86400/43560/1000*IF(MONTH($C369)=8,$P$3,IF(MONTH($C369)=9,$P$4,IF(MONTH($C369)=10,$P$5,IF(MONTH($C369)=11,$P$6,IF(MONTH($C369)=12,$P$7,NA())))))</f>
        <v>206.99025552040288</v>
      </c>
    </row>
    <row r="370" spans="1:28" x14ac:dyDescent="0.3">
      <c r="A370" s="32">
        <f>VLOOKUP(YEAR(C370),Flags!$A$13:$B$95,2,FALSE)</f>
        <v>4</v>
      </c>
      <c r="B370" s="24">
        <f t="shared" si="535"/>
        <v>1961</v>
      </c>
      <c r="C370" s="25">
        <v>22554</v>
      </c>
      <c r="D370" s="26"/>
      <c r="E370" s="24"/>
      <c r="F370" s="26"/>
      <c r="G370" s="24"/>
      <c r="H370" s="24"/>
      <c r="I370" s="26"/>
      <c r="J370" s="24"/>
      <c r="K370" s="26">
        <f>VLOOKUP($C370,COS!$B$8:$H$991,2,FALSE)</f>
        <v>3030.294189453125</v>
      </c>
      <c r="L370" s="24">
        <f t="shared" ref="L370" si="594">IF(AND(K370&gt;$I$7,K370&lt;$I$8),1,0)</f>
        <v>1</v>
      </c>
      <c r="M370" s="24"/>
      <c r="N370" s="26"/>
      <c r="O370" s="26"/>
      <c r="P370" s="26"/>
      <c r="Q370" s="26"/>
      <c r="R370" s="26"/>
      <c r="S370" s="26"/>
      <c r="T370" s="26"/>
      <c r="U370" s="26"/>
      <c r="V370" s="26"/>
      <c r="W370" s="26">
        <f>MAX($C$8-VLOOKUP($C370,COS!$B$8:$H$991,3,FALSE),0)</f>
        <v>94542.38232421875</v>
      </c>
      <c r="X370" s="26">
        <f t="shared" si="562"/>
        <v>5625.6624192923546</v>
      </c>
      <c r="Y370" s="26">
        <f>VLOOKUP($C370,COS!$B$8:$H$991,4,FALSE)</f>
        <v>1068.3673095703125</v>
      </c>
      <c r="Z370" s="26">
        <f t="shared" si="563"/>
        <v>63.572269660382233</v>
      </c>
      <c r="AA370" s="26">
        <f t="shared" si="592"/>
        <v>1068.3673095703125</v>
      </c>
      <c r="AB370" s="33">
        <f t="shared" si="548"/>
        <v>63.572269660382233</v>
      </c>
    </row>
    <row r="371" spans="1:28" x14ac:dyDescent="0.3">
      <c r="A371" s="32">
        <f>VLOOKUP(YEAR(C371),Flags!$A$13:$B$95,2,FALSE)</f>
        <v>4</v>
      </c>
      <c r="B371" s="24">
        <f t="shared" si="535"/>
        <v>1961</v>
      </c>
      <c r="C371" s="25">
        <v>22585</v>
      </c>
      <c r="D371" s="26"/>
      <c r="E371" s="24"/>
      <c r="F371" s="26"/>
      <c r="G371" s="26"/>
      <c r="H371" s="26"/>
      <c r="I371" s="26"/>
      <c r="J371" s="26"/>
      <c r="K371" s="26"/>
      <c r="L371" s="24"/>
      <c r="M371" s="24"/>
      <c r="N371" s="26"/>
      <c r="O371" s="26"/>
      <c r="P371" s="26"/>
      <c r="Q371" s="26"/>
      <c r="R371" s="26"/>
      <c r="S371" s="26"/>
      <c r="T371" s="26"/>
      <c r="U371" s="26"/>
      <c r="V371" s="26"/>
      <c r="W371" s="26">
        <f>MAX($C$9-VLOOKUP($C371,COS!$B$8:$H$991,3,FALSE),0)</f>
        <v>92871.4130859375</v>
      </c>
      <c r="X371" s="26">
        <f t="shared" si="562"/>
        <v>5710.4406062758271</v>
      </c>
      <c r="Y371" s="26">
        <f>VLOOKUP($C371,COS!$B$8:$H$991,4,FALSE)</f>
        <v>2354.580322265625</v>
      </c>
      <c r="Z371" s="26">
        <f t="shared" si="563"/>
        <v>144.77750080707645</v>
      </c>
      <c r="AA371" s="26">
        <f t="shared" si="592"/>
        <v>2354.580322265625</v>
      </c>
      <c r="AB371" s="33">
        <f t="shared" si="548"/>
        <v>144.77750080707645</v>
      </c>
    </row>
    <row r="372" spans="1:28" x14ac:dyDescent="0.3">
      <c r="A372" s="32">
        <f>VLOOKUP(YEAR(C372),Flags!$A$13:$B$95,2,FALSE)</f>
        <v>4</v>
      </c>
      <c r="B372" s="24">
        <f t="shared" si="535"/>
        <v>1961</v>
      </c>
      <c r="C372" s="25">
        <v>22615</v>
      </c>
      <c r="D372" s="26"/>
      <c r="E372" s="24"/>
      <c r="F372" s="26"/>
      <c r="G372" s="26"/>
      <c r="H372" s="26"/>
      <c r="I372" s="26"/>
      <c r="J372" s="26"/>
      <c r="K372" s="26"/>
      <c r="L372" s="24"/>
      <c r="M372" s="24"/>
      <c r="N372" s="26"/>
      <c r="O372" s="26"/>
      <c r="P372" s="26"/>
      <c r="Q372" s="26"/>
      <c r="R372" s="26"/>
      <c r="S372" s="26"/>
      <c r="T372" s="26"/>
      <c r="U372" s="26"/>
      <c r="V372" s="26"/>
      <c r="W372" s="26">
        <f>MAX($C$10-VLOOKUP($C372,COS!$B$8:$H$991,3,FALSE),0)</f>
        <v>95558.98876953125</v>
      </c>
      <c r="X372" s="26">
        <f t="shared" si="562"/>
        <v>5686.1547036415295</v>
      </c>
      <c r="Y372" s="26">
        <f>VLOOKUP($C372,COS!$B$8:$H$991,4,FALSE)</f>
        <v>1388.96728515625</v>
      </c>
      <c r="Z372" s="26">
        <f t="shared" si="563"/>
        <v>82.649293001033058</v>
      </c>
      <c r="AA372" s="26">
        <f t="shared" si="592"/>
        <v>1388.96728515625</v>
      </c>
      <c r="AB372" s="33">
        <f t="shared" si="548"/>
        <v>41.324646500516529</v>
      </c>
    </row>
    <row r="373" spans="1:28" x14ac:dyDescent="0.3">
      <c r="A373" s="34">
        <f>VLOOKUP(YEAR(C373),Flags!$A$13:$B$95,2,FALSE)</f>
        <v>4</v>
      </c>
      <c r="B373" s="35">
        <f t="shared" si="535"/>
        <v>1961</v>
      </c>
      <c r="C373" s="36">
        <v>22646</v>
      </c>
      <c r="D373" s="37"/>
      <c r="E373" s="35"/>
      <c r="F373" s="37"/>
      <c r="G373" s="37"/>
      <c r="H373" s="37"/>
      <c r="I373" s="37"/>
      <c r="J373" s="37"/>
      <c r="K373" s="37"/>
      <c r="L373" s="35"/>
      <c r="M373" s="35"/>
      <c r="N373" s="37"/>
      <c r="O373" s="37"/>
      <c r="P373" s="37"/>
      <c r="Q373" s="37"/>
      <c r="R373" s="37"/>
      <c r="S373" s="37"/>
      <c r="T373" s="37"/>
      <c r="U373" s="37"/>
      <c r="V373" s="37"/>
      <c r="W373" s="37">
        <f>MAX($C$11-VLOOKUP($C373,COS!$B$8:$H$991,3,FALSE),0)</f>
        <v>0</v>
      </c>
      <c r="X373" s="37">
        <f t="shared" si="562"/>
        <v>0</v>
      </c>
      <c r="Y373" s="37">
        <f>VLOOKUP($C373,COS!$B$8:$H$991,4,FALSE)</f>
        <v>1553.054443359375</v>
      </c>
      <c r="Z373" s="37">
        <f t="shared" si="563"/>
        <v>95.493595525568182</v>
      </c>
      <c r="AA373" s="37">
        <f t="shared" si="592"/>
        <v>0</v>
      </c>
      <c r="AB373" s="38">
        <f t="shared" si="548"/>
        <v>0</v>
      </c>
    </row>
    <row r="374" spans="1:28" x14ac:dyDescent="0.3">
      <c r="A374" s="27">
        <f>VLOOKUP(YEAR(C374),Flags!$A$13:$B$95,2,FALSE)</f>
        <v>3</v>
      </c>
      <c r="B374" s="28">
        <f t="shared" si="535"/>
        <v>1962</v>
      </c>
      <c r="C374" s="29">
        <v>22766</v>
      </c>
      <c r="D374" s="30">
        <f>VLOOKUP($C374,COS!$B$8:$H$991,3,FALSE)</f>
        <v>3754.135009765625</v>
      </c>
      <c r="E374" s="28">
        <f>IF(D374&gt;=IF(MONTH($C374)=4,$C$3,IF(MONTH($C374)=5,$C$4,IF(MONTH($C374)=6,$C$5,IF(MONTH($C374)=7,$C$6,"ERROR")))),1,0)</f>
        <v>0</v>
      </c>
      <c r="F374" s="30">
        <f>VLOOKUP($C374,COS!$B$8:$H$991,7,FALSE)</f>
        <v>51.116634368896484</v>
      </c>
      <c r="G374" s="28">
        <f>IF(F374&lt;=IF(MONTH($C374)=4,$F$3,IF(MONTH($C374)=5,$F$4,IF(MONTH($C374)=6,$F$5,IF(MONTH($C374)=7,$F$6,"ERROR")))),1,0)</f>
        <v>1</v>
      </c>
      <c r="H374" s="30">
        <f>IF(J374=1,D374-$C$3,0)</f>
        <v>0</v>
      </c>
      <c r="I374" s="30">
        <f t="shared" si="558"/>
        <v>0</v>
      </c>
      <c r="J374" s="28">
        <f t="shared" ref="J374:J377" si="595">IF(AND(E374=1,G374=1),1,0)</f>
        <v>0</v>
      </c>
      <c r="K374" s="30">
        <f>VLOOKUP($C374,COS!$B$8:$H$991,2,FALSE)</f>
        <v>4552</v>
      </c>
      <c r="L374" s="28">
        <f t="shared" ref="L374" si="596">IF(K374&lt;=IF(MONTH($C374)=4,$I$3,IF(MONTH($C374)=5,$I$4,IF(MONTH($C374)=6,$I$5,IF(MONTH($C374)=7,$I$6,"ERROR")))),1,0)</f>
        <v>1</v>
      </c>
      <c r="M374" s="28">
        <f t="shared" ref="M374" si="597">VLOOKUP($A374,$L$3:$M$7,2,FALSE)</f>
        <v>0</v>
      </c>
      <c r="N374" s="30">
        <f>VLOOKUP($C374,COS!$B$8:$H$991,5,FALSE)</f>
        <v>412.55120849609375</v>
      </c>
      <c r="O374" s="30">
        <f t="shared" ref="O374:O377" si="598">N374*DAY($C374)*86400/43560/1000</f>
        <v>24.548501662577479</v>
      </c>
      <c r="P374" s="30">
        <f>VLOOKUP($C374,COS!$B$8:$H$991,6,FALSE)</f>
        <v>496.0894775390625</v>
      </c>
      <c r="Q374" s="30">
        <f t="shared" ref="Q374:Q377" si="599">P374*DAY($C374)*86400/43560/1000</f>
        <v>29.519373870092974</v>
      </c>
      <c r="R374" s="30">
        <f>MIN(IF(MONTH($C374)=4,$S$3,IF(MONTH($C374)=5,$S$4,IF(MONTH($C374)=6,$S$5,IF(MONTH($C374)=7,$S$6,"ERROR")))),MAX(VLOOKUP($C374,COS!$B$8:$K$991,10,FALSE)-IF(MONTH($C374)=4,$Y$3,IF(MONTH($C374)=5,$Y$4,IF(MONTH($C374)=6,$Y$5,IF(MONTH($C374)=7,$Y$6,"ERROR")))),0),MAX(VLOOKUP($C374,COS!$B$8:$K$991,9,FALSE)-IF(MONTH($C374)=4,$V$3,IF(MONTH($C374)=5,$V$4,IF(MONTH($C374)=6,$V$5,IF(MONTH($C374)=7,$V$6,"ERROR"))))-VLOOKUP($C374,COS!$B$8:$K$991,6,FALSE)/2,0))</f>
        <v>1500</v>
      </c>
      <c r="S374" s="30">
        <f t="shared" ref="S374:S377" si="600">R374*DAY($C374)*86400/43560/1000</f>
        <v>89.256198347107429</v>
      </c>
      <c r="T374" s="30">
        <f t="shared" ref="T374:T377" si="601">(O374+Q374)/2+S374</f>
        <v>116.29013611344266</v>
      </c>
      <c r="U374" s="30" t="str">
        <f>IF(VLOOKUP($C374,COS!$B$8:$I$991,8,FALSE)=1,"UWFE","IBU")</f>
        <v>UWFE</v>
      </c>
      <c r="V374" s="30">
        <f t="shared" ref="V374" si="602">MIN(IF(IF($AA$3=2,AND(E374=1,G374=1,L374=1,L379=1,M374=1,U374="IBU"),AND(E374=1,G374=1,L374=1,L379=1,M374=1)),T374,0),I374)</f>
        <v>0</v>
      </c>
      <c r="W374" s="30"/>
      <c r="X374" s="30"/>
      <c r="Y374" s="30"/>
      <c r="Z374" s="30"/>
      <c r="AA374" s="30"/>
      <c r="AB374" s="31"/>
    </row>
    <row r="375" spans="1:28" x14ac:dyDescent="0.3">
      <c r="A375" s="32">
        <f>VLOOKUP(YEAR(C375),Flags!$A$13:$B$95,2,FALSE)</f>
        <v>3</v>
      </c>
      <c r="B375" s="24">
        <f t="shared" si="535"/>
        <v>1962</v>
      </c>
      <c r="C375" s="25">
        <v>22797</v>
      </c>
      <c r="D375" s="26">
        <f>VLOOKUP($C375,COS!$B$8:$H$991,3,FALSE)</f>
        <v>8163.22021484375</v>
      </c>
      <c r="E375" s="24">
        <f>IF(D375&gt;=IF(MONTH($C375)=4,$C$3,IF(MONTH($C375)=5,$C$4,IF(MONTH($C375)=6,$C$5,IF(MONTH($C375)=7,$C$6,"ERROR")))),1,0)</f>
        <v>1</v>
      </c>
      <c r="F375" s="26">
        <f>VLOOKUP($C375,COS!$B$8:$H$991,7,FALSE)</f>
        <v>49.783451080322266</v>
      </c>
      <c r="G375" s="24">
        <f>IF(F375&lt;=IF(MONTH($C375)=4,$F$3,IF(MONTH($C375)=5,$F$4,IF(MONTH($C375)=6,$F$5,IF(MONTH($C375)=7,$F$6,"ERROR")))),1,0)</f>
        <v>1</v>
      </c>
      <c r="H375" s="26">
        <f>IF(J375=1,D375-$C$4,0)</f>
        <v>2163.22021484375</v>
      </c>
      <c r="I375" s="26">
        <f t="shared" si="558"/>
        <v>133.01122643336777</v>
      </c>
      <c r="J375" s="24">
        <f t="shared" si="595"/>
        <v>1</v>
      </c>
      <c r="K375" s="26">
        <f>VLOOKUP($C375,COS!$B$8:$H$991,2,FALSE)</f>
        <v>4418.89453125</v>
      </c>
      <c r="L375" s="24">
        <f t="shared" si="537"/>
        <v>1</v>
      </c>
      <c r="M375" s="24">
        <f t="shared" si="538"/>
        <v>0</v>
      </c>
      <c r="N375" s="26">
        <f>VLOOKUP($C375,COS!$B$8:$H$991,5,FALSE)</f>
        <v>657.1561279296875</v>
      </c>
      <c r="O375" s="26">
        <f t="shared" si="598"/>
        <v>40.406955304106404</v>
      </c>
      <c r="P375" s="26">
        <f>VLOOKUP($C375,COS!$B$8:$H$991,6,FALSE)</f>
        <v>2288.578369140625</v>
      </c>
      <c r="Q375" s="26">
        <f t="shared" si="599"/>
        <v>140.71919889591942</v>
      </c>
      <c r="R375" s="26">
        <f>MIN(IF(MONTH($C375)=4,$S$3,IF(MONTH($C375)=5,$S$4,IF(MONTH($C375)=6,$S$5,IF(MONTH($C375)=7,$S$6,"ERROR")))),MAX(VLOOKUP($C375,COS!$B$8:$K$991,10,FALSE)-IF(MONTH($C375)=4,$Y$3,IF(MONTH($C375)=5,$Y$4,IF(MONTH($C375)=6,$Y$5,IF(MONTH($C375)=7,$Y$6,"ERROR")))),0),MAX(VLOOKUP($C375,COS!$B$8:$K$991,9,FALSE)-IF(MONTH($C375)=4,$V$3,IF(MONTH($C375)=5,$V$4,IF(MONTH($C375)=6,$V$5,IF(MONTH($C375)=7,$V$6,"ERROR"))))-VLOOKUP($C375,COS!$B$8:$K$991,6,FALSE)/2,0))</f>
        <v>1500</v>
      </c>
      <c r="S375" s="26">
        <f t="shared" si="600"/>
        <v>92.231404958677686</v>
      </c>
      <c r="T375" s="26">
        <f t="shared" si="601"/>
        <v>182.79448205869062</v>
      </c>
      <c r="U375" s="26" t="str">
        <f>IF(VLOOKUP($C375,COS!$B$8:$I$991,8,FALSE)=1,"UWFE","IBU")</f>
        <v>UWFE</v>
      </c>
      <c r="V375" s="26">
        <f t="shared" ref="V375" si="603">MIN(IF(IF($AA$3=2,AND(E375=1,G375=1,L375=1,L379=1,M375=1,U375="IBU"),AND(E375=1,G375=1,L375=1,L379=1,M375=1)),T375,0),I375)</f>
        <v>0</v>
      </c>
      <c r="W375" s="26"/>
      <c r="X375" s="26"/>
      <c r="Y375" s="26"/>
      <c r="Z375" s="26"/>
      <c r="AA375" s="26"/>
      <c r="AB375" s="33"/>
    </row>
    <row r="376" spans="1:28" x14ac:dyDescent="0.3">
      <c r="A376" s="32">
        <f>VLOOKUP(YEAR(C376),Flags!$A$13:$B$95,2,FALSE)</f>
        <v>3</v>
      </c>
      <c r="B376" s="24">
        <f t="shared" si="535"/>
        <v>1962</v>
      </c>
      <c r="C376" s="25">
        <v>22827</v>
      </c>
      <c r="D376" s="26">
        <f>VLOOKUP($C376,COS!$B$8:$H$991,3,FALSE)</f>
        <v>9541.0107421875</v>
      </c>
      <c r="E376" s="24">
        <f>IF(D376&gt;=IF(MONTH($C376)=4,$C$3,IF(MONTH($C376)=5,$C$4,IF(MONTH($C376)=6,$C$5,IF(MONTH($C376)=7,$C$6,"ERROR")))),1,0)</f>
        <v>0</v>
      </c>
      <c r="F376" s="26">
        <f>VLOOKUP($C376,COS!$B$8:$H$991,7,FALSE)</f>
        <v>50.677501678466797</v>
      </c>
      <c r="G376" s="24">
        <f>IF(F376&lt;=IF(MONTH($C376)=4,$F$3,IF(MONTH($C376)=5,$F$4,IF(MONTH($C376)=6,$F$5,IF(MONTH($C376)=7,$F$6,"ERROR")))),1,0)</f>
        <v>1</v>
      </c>
      <c r="H376" s="26">
        <f>IF(J376=1,D376-$C$5,0)</f>
        <v>0</v>
      </c>
      <c r="I376" s="26">
        <f t="shared" si="558"/>
        <v>0</v>
      </c>
      <c r="J376" s="24">
        <f t="shared" si="595"/>
        <v>0</v>
      </c>
      <c r="K376" s="26">
        <f>VLOOKUP($C376,COS!$B$8:$H$991,2,FALSE)</f>
        <v>4081.933837890625</v>
      </c>
      <c r="L376" s="24">
        <f t="shared" si="537"/>
        <v>1</v>
      </c>
      <c r="M376" s="24">
        <f t="shared" si="538"/>
        <v>0</v>
      </c>
      <c r="N376" s="26">
        <f>VLOOKUP($C376,COS!$B$8:$H$991,5,FALSE)</f>
        <v>805.975830078125</v>
      </c>
      <c r="O376" s="26">
        <f t="shared" si="598"/>
        <v>47.95889236828512</v>
      </c>
      <c r="P376" s="26">
        <f>VLOOKUP($C376,COS!$B$8:$H$991,6,FALSE)</f>
        <v>2523.65283203125</v>
      </c>
      <c r="Q376" s="26">
        <f t="shared" si="599"/>
        <v>150.1677718233471</v>
      </c>
      <c r="R376" s="26">
        <f>MIN(IF(MONTH($C376)=4,$S$3,IF(MONTH($C376)=5,$S$4,IF(MONTH($C376)=6,$S$5,IF(MONTH($C376)=7,$S$6,"ERROR")))),MAX(VLOOKUP($C376,COS!$B$8:$K$991,10,FALSE)-IF(MONTH($C376)=4,$Y$3,IF(MONTH($C376)=5,$Y$4,IF(MONTH($C376)=6,$Y$5,IF(MONTH($C376)=7,$Y$6,"ERROR")))),0),MAX(VLOOKUP($C376,COS!$B$8:$K$991,9,FALSE)-IF(MONTH($C376)=4,$V$3,IF(MONTH($C376)=5,$V$4,IF(MONTH($C376)=6,$V$5,IF(MONTH($C376)=7,$V$6,"ERROR"))))-VLOOKUP($C376,COS!$B$8:$K$991,6,FALSE)/2,0))</f>
        <v>1500</v>
      </c>
      <c r="S376" s="26">
        <f t="shared" si="600"/>
        <v>89.256198347107429</v>
      </c>
      <c r="T376" s="26">
        <f t="shared" si="601"/>
        <v>188.31953044292354</v>
      </c>
      <c r="U376" s="26" t="str">
        <f>IF(VLOOKUP($C376,COS!$B$8:$I$991,8,FALSE)=1,"UWFE","IBU")</f>
        <v>IBU</v>
      </c>
      <c r="V376" s="26">
        <f t="shared" ref="V376" si="604">MIN(IF(IF($AA$3=2,AND(E376=1,G376=1,L376=1,L379=1,M376=1,U376="IBU"),AND(E376=1,G376=1,L376=1,L379=1,M376=1)),T376,0),I376)</f>
        <v>0</v>
      </c>
      <c r="W376" s="26"/>
      <c r="X376" s="26"/>
      <c r="Y376" s="26"/>
      <c r="Z376" s="26"/>
      <c r="AA376" s="26"/>
      <c r="AB376" s="33"/>
    </row>
    <row r="377" spans="1:28" x14ac:dyDescent="0.3">
      <c r="A377" s="32">
        <f>VLOOKUP(YEAR(C377),Flags!$A$13:$B$95,2,FALSE)</f>
        <v>3</v>
      </c>
      <c r="B377" s="24">
        <f t="shared" si="535"/>
        <v>1962</v>
      </c>
      <c r="C377" s="25">
        <v>22858</v>
      </c>
      <c r="D377" s="26">
        <f>VLOOKUP($C377,COS!$B$8:$H$991,3,FALSE)</f>
        <v>15542.783203125</v>
      </c>
      <c r="E377" s="24">
        <f>IF(D377&gt;=IF(MONTH($C377)=4,$C$3,IF(MONTH($C377)=5,$C$4,IF(MONTH($C377)=6,$C$5,IF(MONTH($C377)=7,$C$6,"ERROR")))),1,0)</f>
        <v>1</v>
      </c>
      <c r="F377" s="26">
        <f>VLOOKUP($C377,COS!$B$8:$H$991,7,FALSE)</f>
        <v>50.507843017578125</v>
      </c>
      <c r="G377" s="24">
        <f>IF(F377&lt;=IF(MONTH($C377)=4,$F$3,IF(MONTH($C377)=5,$F$4,IF(MONTH($C377)=6,$F$5,IF(MONTH($C377)=7,$F$6,"ERROR")))),1,0)</f>
        <v>1</v>
      </c>
      <c r="H377" s="26">
        <f>IF(J377=1,D377-$C$6,0)</f>
        <v>3542.783203125</v>
      </c>
      <c r="I377" s="26">
        <f t="shared" si="558"/>
        <v>217.83724819214873</v>
      </c>
      <c r="J377" s="24">
        <f t="shared" si="595"/>
        <v>1</v>
      </c>
      <c r="K377" s="26">
        <f>VLOOKUP($C377,COS!$B$8:$H$991,2,FALSE)</f>
        <v>3381.171142578125</v>
      </c>
      <c r="L377" s="24">
        <f t="shared" si="537"/>
        <v>1</v>
      </c>
      <c r="M377" s="24">
        <f t="shared" si="538"/>
        <v>0</v>
      </c>
      <c r="N377" s="26">
        <f>VLOOKUP($C377,COS!$B$8:$H$991,5,FALSE)</f>
        <v>930.34075927734375</v>
      </c>
      <c r="O377" s="26">
        <f t="shared" si="598"/>
        <v>57.20442354564824</v>
      </c>
      <c r="P377" s="26">
        <f>VLOOKUP($C377,COS!$B$8:$H$991,6,FALSE)</f>
        <v>2537.385498046875</v>
      </c>
      <c r="Q377" s="26">
        <f t="shared" si="599"/>
        <v>156.01775293775825</v>
      </c>
      <c r="R377" s="26">
        <f>MIN(IF(MONTH($C377)=4,$S$3,IF(MONTH($C377)=5,$S$4,IF(MONTH($C377)=6,$S$5,IF(MONTH($C377)=7,$S$6,"ERROR")))),MAX(VLOOKUP($C377,COS!$B$8:$K$991,10,FALSE)-IF(MONTH($C377)=4,$Y$3,IF(MONTH($C377)=5,$Y$4,IF(MONTH($C377)=6,$Y$5,IF(MONTH($C377)=7,$Y$6,"ERROR")))),0),MAX(VLOOKUP($C377,COS!$B$8:$K$991,9,FALSE)-IF(MONTH($C377)=4,$V$3,IF(MONTH($C377)=5,$V$4,IF(MONTH($C377)=6,$V$5,IF(MONTH($C377)=7,$V$6,"ERROR"))))-VLOOKUP($C377,COS!$B$8:$K$991,6,FALSE)/2,0))</f>
        <v>1500</v>
      </c>
      <c r="S377" s="26">
        <f t="shared" si="600"/>
        <v>92.231404958677686</v>
      </c>
      <c r="T377" s="26">
        <f t="shared" si="601"/>
        <v>198.84249320038094</v>
      </c>
      <c r="U377" s="26" t="str">
        <f>IF(VLOOKUP($C377,COS!$B$8:$I$991,8,FALSE)=1,"UWFE","IBU")</f>
        <v>IBU</v>
      </c>
      <c r="V377" s="26">
        <f t="shared" ref="V377" si="605">MIN(IF(IF($AA$3=2,AND(E377=1,G377=1,L377=1,L379=1,M377=1,U377="IBU"),AND(E377=1,G377=1,L377=1,L379=1,M377=1)),T377,0),I377)</f>
        <v>0</v>
      </c>
      <c r="W377" s="26"/>
      <c r="X377" s="26"/>
      <c r="Y377" s="26"/>
      <c r="Z377" s="26"/>
      <c r="AA377" s="26"/>
      <c r="AB377" s="33"/>
    </row>
    <row r="378" spans="1:28" x14ac:dyDescent="0.3">
      <c r="A378" s="32">
        <f>VLOOKUP(YEAR(C378),Flags!$A$13:$B$95,2,FALSE)</f>
        <v>3</v>
      </c>
      <c r="B378" s="24">
        <f t="shared" si="535"/>
        <v>1962</v>
      </c>
      <c r="C378" s="25">
        <v>22889</v>
      </c>
      <c r="D378" s="26"/>
      <c r="E378" s="24"/>
      <c r="F378" s="26"/>
      <c r="G378" s="24"/>
      <c r="H378" s="24"/>
      <c r="I378" s="26"/>
      <c r="J378" s="24"/>
      <c r="K378" s="26"/>
      <c r="L378" s="24"/>
      <c r="M378" s="24"/>
      <c r="N378" s="26"/>
      <c r="O378" s="26"/>
      <c r="P378" s="26"/>
      <c r="Q378" s="26"/>
      <c r="R378" s="26"/>
      <c r="S378" s="26"/>
      <c r="T378" s="26"/>
      <c r="U378" s="26"/>
      <c r="V378" s="26"/>
      <c r="W378" s="26">
        <f>MAX($C$7-VLOOKUP($C378,COS!$B$8:$H$991,3,FALSE),0)</f>
        <v>90501.505859375</v>
      </c>
      <c r="X378" s="26">
        <f t="shared" si="562"/>
        <v>5564.7206908574381</v>
      </c>
      <c r="Y378" s="26">
        <f>VLOOKUP($C378,COS!$B$8:$H$991,4,FALSE)</f>
        <v>326.0140380859375</v>
      </c>
      <c r="Z378" s="26">
        <f t="shared" si="563"/>
        <v>20.045821845945248</v>
      </c>
      <c r="AA378" s="26">
        <f t="shared" ref="AA378:AA382" si="606">MIN(W378,Y378)</f>
        <v>326.0140380859375</v>
      </c>
      <c r="AB378" s="33">
        <f t="shared" ref="AB378" si="607">AA378*DAY($C378)*86400/43560/1000*IF(MONTH($C378)=8,$P$3,IF(MONTH($C378)=9,$P$4,IF(MONTH($C378)=10,$P$5,IF(MONTH($C378)=11,$P$6,IF(MONTH($C378)=12,$P$7,NA())))))</f>
        <v>20.045821845945248</v>
      </c>
    </row>
    <row r="379" spans="1:28" x14ac:dyDescent="0.3">
      <c r="A379" s="32">
        <f>VLOOKUP(YEAR(C379),Flags!$A$13:$B$95,2,FALSE)</f>
        <v>3</v>
      </c>
      <c r="B379" s="24">
        <f t="shared" si="535"/>
        <v>1962</v>
      </c>
      <c r="C379" s="25">
        <v>22919</v>
      </c>
      <c r="D379" s="26"/>
      <c r="E379" s="24"/>
      <c r="F379" s="26"/>
      <c r="G379" s="24"/>
      <c r="H379" s="24"/>
      <c r="I379" s="26"/>
      <c r="J379" s="24"/>
      <c r="K379" s="26">
        <f>VLOOKUP($C379,COS!$B$8:$H$991,2,FALSE)</f>
        <v>3012.717529296875</v>
      </c>
      <c r="L379" s="24">
        <f t="shared" ref="L379" si="608">IF(AND(K379&gt;$I$7,K379&lt;$I$8),1,0)</f>
        <v>1</v>
      </c>
      <c r="M379" s="24"/>
      <c r="N379" s="26"/>
      <c r="O379" s="26"/>
      <c r="P379" s="26"/>
      <c r="Q379" s="26"/>
      <c r="R379" s="26"/>
      <c r="S379" s="26"/>
      <c r="T379" s="26"/>
      <c r="U379" s="26"/>
      <c r="V379" s="26"/>
      <c r="W379" s="26">
        <f>MAX($C$8-VLOOKUP($C379,COS!$B$8:$H$991,3,FALSE),0)</f>
        <v>94563.63525390625</v>
      </c>
      <c r="X379" s="26">
        <f t="shared" si="562"/>
        <v>5626.9270564307853</v>
      </c>
      <c r="Y379" s="26">
        <f>VLOOKUP($C379,COS!$B$8:$H$991,4,FALSE)</f>
        <v>0</v>
      </c>
      <c r="Z379" s="26">
        <f t="shared" si="563"/>
        <v>0</v>
      </c>
      <c r="AA379" s="26">
        <f t="shared" si="606"/>
        <v>0</v>
      </c>
      <c r="AB379" s="33">
        <f t="shared" si="548"/>
        <v>0</v>
      </c>
    </row>
    <row r="380" spans="1:28" x14ac:dyDescent="0.3">
      <c r="A380" s="32">
        <f>VLOOKUP(YEAR(C380),Flags!$A$13:$B$95,2,FALSE)</f>
        <v>3</v>
      </c>
      <c r="B380" s="24">
        <f t="shared" si="535"/>
        <v>1962</v>
      </c>
      <c r="C380" s="25">
        <v>22950</v>
      </c>
      <c r="D380" s="26"/>
      <c r="E380" s="24"/>
      <c r="F380" s="26"/>
      <c r="G380" s="26"/>
      <c r="H380" s="26"/>
      <c r="I380" s="26"/>
      <c r="J380" s="26"/>
      <c r="K380" s="26"/>
      <c r="L380" s="24"/>
      <c r="M380" s="24"/>
      <c r="N380" s="26"/>
      <c r="O380" s="26"/>
      <c r="P380" s="26"/>
      <c r="Q380" s="26"/>
      <c r="R380" s="26"/>
      <c r="S380" s="26"/>
      <c r="T380" s="26"/>
      <c r="U380" s="26"/>
      <c r="V380" s="26"/>
      <c r="W380" s="26">
        <f>MAX($C$9-VLOOKUP($C380,COS!$B$8:$H$991,3,FALSE),0)</f>
        <v>91099.30859375</v>
      </c>
      <c r="X380" s="26">
        <f t="shared" si="562"/>
        <v>5601.478148243802</v>
      </c>
      <c r="Y380" s="26">
        <f>VLOOKUP($C380,COS!$B$8:$H$991,4,FALSE)</f>
        <v>0</v>
      </c>
      <c r="Z380" s="26">
        <f t="shared" si="563"/>
        <v>0</v>
      </c>
      <c r="AA380" s="26">
        <f t="shared" si="606"/>
        <v>0</v>
      </c>
      <c r="AB380" s="33">
        <f t="shared" si="548"/>
        <v>0</v>
      </c>
    </row>
    <row r="381" spans="1:28" x14ac:dyDescent="0.3">
      <c r="A381" s="32">
        <f>VLOOKUP(YEAR(C381),Flags!$A$13:$B$95,2,FALSE)</f>
        <v>3</v>
      </c>
      <c r="B381" s="24">
        <f t="shared" si="535"/>
        <v>1962</v>
      </c>
      <c r="C381" s="25">
        <v>22980</v>
      </c>
      <c r="D381" s="26"/>
      <c r="E381" s="24"/>
      <c r="F381" s="26"/>
      <c r="G381" s="26"/>
      <c r="H381" s="26"/>
      <c r="I381" s="26"/>
      <c r="J381" s="26"/>
      <c r="K381" s="26"/>
      <c r="L381" s="24"/>
      <c r="M381" s="24"/>
      <c r="N381" s="26"/>
      <c r="O381" s="26"/>
      <c r="P381" s="26"/>
      <c r="Q381" s="26"/>
      <c r="R381" s="26"/>
      <c r="S381" s="26"/>
      <c r="T381" s="26"/>
      <c r="U381" s="26"/>
      <c r="V381" s="26"/>
      <c r="W381" s="26">
        <f>MAX($C$10-VLOOKUP($C381,COS!$B$8:$H$991,3,FALSE),0)</f>
        <v>94435.6953125</v>
      </c>
      <c r="X381" s="26">
        <f t="shared" si="562"/>
        <v>5619.3141012396691</v>
      </c>
      <c r="Y381" s="26">
        <f>VLOOKUP($C381,COS!$B$8:$H$991,4,FALSE)</f>
        <v>0</v>
      </c>
      <c r="Z381" s="26">
        <f t="shared" si="563"/>
        <v>0</v>
      </c>
      <c r="AA381" s="26">
        <f t="shared" si="606"/>
        <v>0</v>
      </c>
      <c r="AB381" s="33">
        <f t="shared" si="548"/>
        <v>0</v>
      </c>
    </row>
    <row r="382" spans="1:28" x14ac:dyDescent="0.3">
      <c r="A382" s="34">
        <f>VLOOKUP(YEAR(C382),Flags!$A$13:$B$95,2,FALSE)</f>
        <v>3</v>
      </c>
      <c r="B382" s="35">
        <f t="shared" si="535"/>
        <v>1962</v>
      </c>
      <c r="C382" s="36">
        <v>23011</v>
      </c>
      <c r="D382" s="37"/>
      <c r="E382" s="35"/>
      <c r="F382" s="37"/>
      <c r="G382" s="37"/>
      <c r="H382" s="37"/>
      <c r="I382" s="37"/>
      <c r="J382" s="37"/>
      <c r="K382" s="37"/>
      <c r="L382" s="35"/>
      <c r="M382" s="35"/>
      <c r="N382" s="37"/>
      <c r="O382" s="37"/>
      <c r="P382" s="37"/>
      <c r="Q382" s="37"/>
      <c r="R382" s="37"/>
      <c r="S382" s="37"/>
      <c r="T382" s="37"/>
      <c r="U382" s="37"/>
      <c r="V382" s="37"/>
      <c r="W382" s="37">
        <f>MAX($C$11-VLOOKUP($C382,COS!$B$8:$H$991,3,FALSE),0)</f>
        <v>0</v>
      </c>
      <c r="X382" s="37">
        <f t="shared" si="562"/>
        <v>0</v>
      </c>
      <c r="Y382" s="37">
        <f>VLOOKUP($C382,COS!$B$8:$H$991,4,FALSE)</f>
        <v>0</v>
      </c>
      <c r="Z382" s="37">
        <f t="shared" si="563"/>
        <v>0</v>
      </c>
      <c r="AA382" s="37">
        <f t="shared" si="606"/>
        <v>0</v>
      </c>
      <c r="AB382" s="38">
        <f t="shared" si="548"/>
        <v>0</v>
      </c>
    </row>
    <row r="383" spans="1:28" x14ac:dyDescent="0.3">
      <c r="A383" s="27">
        <f>VLOOKUP(YEAR(C383),Flags!$A$13:$B$95,2,FALSE)</f>
        <v>1</v>
      </c>
      <c r="B383" s="28">
        <f t="shared" si="535"/>
        <v>1963</v>
      </c>
      <c r="C383" s="29">
        <v>23131</v>
      </c>
      <c r="D383" s="30">
        <f>VLOOKUP($C383,COS!$B$8:$H$991,3,FALSE)</f>
        <v>30893.44921875</v>
      </c>
      <c r="E383" s="28">
        <f>IF(D383&gt;=IF(MONTH($C383)=4,$C$3,IF(MONTH($C383)=5,$C$4,IF(MONTH($C383)=6,$C$5,IF(MONTH($C383)=7,$C$6,"ERROR")))),1,0)</f>
        <v>1</v>
      </c>
      <c r="F383" s="30">
        <f>VLOOKUP($C383,COS!$B$8:$H$991,7,FALSE)</f>
        <v>48.021064758300781</v>
      </c>
      <c r="G383" s="28">
        <f>IF(F383&lt;=IF(MONTH($C383)=4,$F$3,IF(MONTH($C383)=5,$F$4,IF(MONTH($C383)=6,$F$5,IF(MONTH($C383)=7,$F$6,"ERROR")))),1,0)</f>
        <v>1</v>
      </c>
      <c r="H383" s="30">
        <f>IF(J383=1,D383-$C$3,0)</f>
        <v>24893.44921875</v>
      </c>
      <c r="I383" s="30">
        <f t="shared" si="558"/>
        <v>1481.2630940082643</v>
      </c>
      <c r="J383" s="28">
        <f t="shared" ref="J383:J386" si="609">IF(AND(E383=1,G383=1),1,0)</f>
        <v>1</v>
      </c>
      <c r="K383" s="30">
        <f>VLOOKUP($C383,COS!$B$8:$H$991,2,FALSE)</f>
        <v>4137</v>
      </c>
      <c r="L383" s="28">
        <f t="shared" ref="L383" si="610">IF(K383&lt;=IF(MONTH($C383)=4,$I$3,IF(MONTH($C383)=5,$I$4,IF(MONTH($C383)=6,$I$5,IF(MONTH($C383)=7,$I$6,"ERROR")))),1,0)</f>
        <v>1</v>
      </c>
      <c r="M383" s="28">
        <f t="shared" ref="M383" si="611">VLOOKUP($A383,$L$3:$M$7,2,FALSE)</f>
        <v>0</v>
      </c>
      <c r="N383" s="30">
        <f>VLOOKUP($C383,COS!$B$8:$H$991,5,FALSE)</f>
        <v>15.700532913208008</v>
      </c>
      <c r="O383" s="30">
        <f t="shared" ref="O383:O386" si="612">N383*DAY($C383)*86400/43560/1000</f>
        <v>0.93424658657105497</v>
      </c>
      <c r="P383" s="30">
        <f>VLOOKUP($C383,COS!$B$8:$H$991,6,FALSE)</f>
        <v>254.50013732910156</v>
      </c>
      <c r="Q383" s="30">
        <f t="shared" ref="Q383:Q386" si="613">P383*DAY($C383)*86400/43560/1000</f>
        <v>15.143809824541581</v>
      </c>
      <c r="R383" s="30">
        <f>MIN(IF(MONTH($C383)=4,$S$3,IF(MONTH($C383)=5,$S$4,IF(MONTH($C383)=6,$S$5,IF(MONTH($C383)=7,$S$6,"ERROR")))),MAX(VLOOKUP($C383,COS!$B$8:$K$991,10,FALSE)-IF(MONTH($C383)=4,$Y$3,IF(MONTH($C383)=5,$Y$4,IF(MONTH($C383)=6,$Y$5,IF(MONTH($C383)=7,$Y$6,"ERROR")))),0),MAX(VLOOKUP($C383,COS!$B$8:$K$991,9,FALSE)-IF(MONTH($C383)=4,$V$3,IF(MONTH($C383)=5,$V$4,IF(MONTH($C383)=6,$V$5,IF(MONTH($C383)=7,$V$6,"ERROR"))))-VLOOKUP($C383,COS!$B$8:$K$991,6,FALSE)/2,0))</f>
        <v>1500</v>
      </c>
      <c r="S383" s="30">
        <f t="shared" ref="S383:S386" si="614">R383*DAY($C383)*86400/43560/1000</f>
        <v>89.256198347107429</v>
      </c>
      <c r="T383" s="30">
        <f t="shared" ref="T383:T386" si="615">(O383+Q383)/2+S383</f>
        <v>97.295226552663749</v>
      </c>
      <c r="U383" s="30" t="str">
        <f>IF(VLOOKUP($C383,COS!$B$8:$I$991,8,FALSE)=1,"UWFE","IBU")</f>
        <v>UWFE</v>
      </c>
      <c r="V383" s="30">
        <f t="shared" ref="V383" si="616">MIN(IF(IF($AA$3=2,AND(E383=1,G383=1,L383=1,L388=1,M383=1,U383="IBU"),AND(E383=1,G383=1,L383=1,L388=1,M383=1)),T383,0),I383)</f>
        <v>0</v>
      </c>
      <c r="W383" s="30"/>
      <c r="X383" s="30"/>
      <c r="Y383" s="30"/>
      <c r="Z383" s="30"/>
      <c r="AA383" s="30"/>
      <c r="AB383" s="31"/>
    </row>
    <row r="384" spans="1:28" x14ac:dyDescent="0.3">
      <c r="A384" s="32">
        <f>VLOOKUP(YEAR(C384),Flags!$A$13:$B$95,2,FALSE)</f>
        <v>1</v>
      </c>
      <c r="B384" s="24">
        <f t="shared" si="535"/>
        <v>1963</v>
      </c>
      <c r="C384" s="25">
        <v>23162</v>
      </c>
      <c r="D384" s="26">
        <f>VLOOKUP($C384,COS!$B$8:$H$991,3,FALSE)</f>
        <v>4724.07177734375</v>
      </c>
      <c r="E384" s="24">
        <f>IF(D384&gt;=IF(MONTH($C384)=4,$C$3,IF(MONTH($C384)=5,$C$4,IF(MONTH($C384)=6,$C$5,IF(MONTH($C384)=7,$C$6,"ERROR")))),1,0)</f>
        <v>0</v>
      </c>
      <c r="F384" s="26">
        <f>VLOOKUP($C384,COS!$B$8:$H$991,7,FALSE)</f>
        <v>52.657608032226563</v>
      </c>
      <c r="G384" s="24">
        <f>IF(F384&lt;=IF(MONTH($C384)=4,$F$3,IF(MONTH($C384)=5,$F$4,IF(MONTH($C384)=6,$F$5,IF(MONTH($C384)=7,$F$6,"ERROR")))),1,0)</f>
        <v>1</v>
      </c>
      <c r="H384" s="26">
        <f>IF(J384=1,D384-$C$4,0)</f>
        <v>0</v>
      </c>
      <c r="I384" s="26">
        <f t="shared" si="558"/>
        <v>0</v>
      </c>
      <c r="J384" s="24">
        <f t="shared" si="609"/>
        <v>0</v>
      </c>
      <c r="K384" s="26">
        <f>VLOOKUP($C384,COS!$B$8:$H$991,2,FALSE)</f>
        <v>4552</v>
      </c>
      <c r="L384" s="24">
        <f t="shared" si="537"/>
        <v>1</v>
      </c>
      <c r="M384" s="24">
        <f t="shared" si="538"/>
        <v>0</v>
      </c>
      <c r="N384" s="26">
        <f>VLOOKUP($C384,COS!$B$8:$H$991,5,FALSE)</f>
        <v>528.83221435546875</v>
      </c>
      <c r="O384" s="26">
        <f t="shared" si="612"/>
        <v>32.516625411608985</v>
      </c>
      <c r="P384" s="26">
        <f>VLOOKUP($C384,COS!$B$8:$H$991,6,FALSE)</f>
        <v>2086.376220703125</v>
      </c>
      <c r="Q384" s="26">
        <f t="shared" si="613"/>
        <v>128.28627340521695</v>
      </c>
      <c r="R384" s="26">
        <f>MIN(IF(MONTH($C384)=4,$S$3,IF(MONTH($C384)=5,$S$4,IF(MONTH($C384)=6,$S$5,IF(MONTH($C384)=7,$S$6,"ERROR")))),MAX(VLOOKUP($C384,COS!$B$8:$K$991,10,FALSE)-IF(MONTH($C384)=4,$Y$3,IF(MONTH($C384)=5,$Y$4,IF(MONTH($C384)=6,$Y$5,IF(MONTH($C384)=7,$Y$6,"ERROR")))),0),MAX(VLOOKUP($C384,COS!$B$8:$K$991,9,FALSE)-IF(MONTH($C384)=4,$V$3,IF(MONTH($C384)=5,$V$4,IF(MONTH($C384)=6,$V$5,IF(MONTH($C384)=7,$V$6,"ERROR"))))-VLOOKUP($C384,COS!$B$8:$K$991,6,FALSE)/2,0))</f>
        <v>1500</v>
      </c>
      <c r="S384" s="26">
        <f t="shared" si="614"/>
        <v>92.231404958677686</v>
      </c>
      <c r="T384" s="26">
        <f t="shared" si="615"/>
        <v>172.63285436709066</v>
      </c>
      <c r="U384" s="26" t="str">
        <f>IF(VLOOKUP($C384,COS!$B$8:$I$991,8,FALSE)=1,"UWFE","IBU")</f>
        <v>UWFE</v>
      </c>
      <c r="V384" s="26">
        <f t="shared" ref="V384" si="617">MIN(IF(IF($AA$3=2,AND(E384=1,G384=1,L384=1,L388=1,M384=1,U384="IBU"),AND(E384=1,G384=1,L384=1,L388=1,M384=1)),T384,0),I384)</f>
        <v>0</v>
      </c>
      <c r="W384" s="26"/>
      <c r="X384" s="26"/>
      <c r="Y384" s="26"/>
      <c r="Z384" s="26"/>
      <c r="AA384" s="26"/>
      <c r="AB384" s="33"/>
    </row>
    <row r="385" spans="1:28" x14ac:dyDescent="0.3">
      <c r="A385" s="32">
        <f>VLOOKUP(YEAR(C385),Flags!$A$13:$B$95,2,FALSE)</f>
        <v>1</v>
      </c>
      <c r="B385" s="24">
        <f t="shared" si="535"/>
        <v>1963</v>
      </c>
      <c r="C385" s="25">
        <v>23192</v>
      </c>
      <c r="D385" s="26">
        <f>VLOOKUP($C385,COS!$B$8:$H$991,3,FALSE)</f>
        <v>8594.71875</v>
      </c>
      <c r="E385" s="24">
        <f>IF(D385&gt;=IF(MONTH($C385)=4,$C$3,IF(MONTH($C385)=5,$C$4,IF(MONTH($C385)=6,$C$5,IF(MONTH($C385)=7,$C$6,"ERROR")))),1,0)</f>
        <v>0</v>
      </c>
      <c r="F385" s="26">
        <f>VLOOKUP($C385,COS!$B$8:$H$991,7,FALSE)</f>
        <v>52.543663024902344</v>
      </c>
      <c r="G385" s="24">
        <f>IF(F385&lt;=IF(MONTH($C385)=4,$F$3,IF(MONTH($C385)=5,$F$4,IF(MONTH($C385)=6,$F$5,IF(MONTH($C385)=7,$F$6,"ERROR")))),1,0)</f>
        <v>1</v>
      </c>
      <c r="H385" s="26">
        <f>IF(J385=1,D385-$C$5,0)</f>
        <v>0</v>
      </c>
      <c r="I385" s="26">
        <f t="shared" si="558"/>
        <v>0</v>
      </c>
      <c r="J385" s="24">
        <f t="shared" si="609"/>
        <v>0</v>
      </c>
      <c r="K385" s="26">
        <f>VLOOKUP($C385,COS!$B$8:$H$991,2,FALSE)</f>
        <v>4318.48828125</v>
      </c>
      <c r="L385" s="24">
        <f t="shared" si="537"/>
        <v>1</v>
      </c>
      <c r="M385" s="24">
        <f t="shared" si="538"/>
        <v>0</v>
      </c>
      <c r="N385" s="26">
        <f>VLOOKUP($C385,COS!$B$8:$H$991,5,FALSE)</f>
        <v>1228.4559326171875</v>
      </c>
      <c r="O385" s="26">
        <f t="shared" si="612"/>
        <v>73.098204254907031</v>
      </c>
      <c r="P385" s="26">
        <f>VLOOKUP($C385,COS!$B$8:$H$991,6,FALSE)</f>
        <v>2324.6142578125</v>
      </c>
      <c r="Q385" s="26">
        <f t="shared" si="613"/>
        <v>138.3241541838843</v>
      </c>
      <c r="R385" s="26">
        <f>MIN(IF(MONTH($C385)=4,$S$3,IF(MONTH($C385)=5,$S$4,IF(MONTH($C385)=6,$S$5,IF(MONTH($C385)=7,$S$6,"ERROR")))),MAX(VLOOKUP($C385,COS!$B$8:$K$991,10,FALSE)-IF(MONTH($C385)=4,$Y$3,IF(MONTH($C385)=5,$Y$4,IF(MONTH($C385)=6,$Y$5,IF(MONTH($C385)=7,$Y$6,"ERROR")))),0),MAX(VLOOKUP($C385,COS!$B$8:$K$991,9,FALSE)-IF(MONTH($C385)=4,$V$3,IF(MONTH($C385)=5,$V$4,IF(MONTH($C385)=6,$V$5,IF(MONTH($C385)=7,$V$6,"ERROR"))))-VLOOKUP($C385,COS!$B$8:$K$991,6,FALSE)/2,0))</f>
        <v>1500</v>
      </c>
      <c r="S385" s="26">
        <f t="shared" si="614"/>
        <v>89.256198347107429</v>
      </c>
      <c r="T385" s="26">
        <f t="shared" si="615"/>
        <v>194.9673775665031</v>
      </c>
      <c r="U385" s="26" t="str">
        <f>IF(VLOOKUP($C385,COS!$B$8:$I$991,8,FALSE)=1,"UWFE","IBU")</f>
        <v>IBU</v>
      </c>
      <c r="V385" s="26">
        <f t="shared" ref="V385" si="618">MIN(IF(IF($AA$3=2,AND(E385=1,G385=1,L385=1,L388=1,M385=1,U385="IBU"),AND(E385=1,G385=1,L385=1,L388=1,M385=1)),T385,0),I385)</f>
        <v>0</v>
      </c>
      <c r="W385" s="26"/>
      <c r="X385" s="26"/>
      <c r="Y385" s="26"/>
      <c r="Z385" s="26"/>
      <c r="AA385" s="26"/>
      <c r="AB385" s="33"/>
    </row>
    <row r="386" spans="1:28" x14ac:dyDescent="0.3">
      <c r="A386" s="32">
        <f>VLOOKUP(YEAR(C386),Flags!$A$13:$B$95,2,FALSE)</f>
        <v>1</v>
      </c>
      <c r="B386" s="24">
        <f t="shared" si="535"/>
        <v>1963</v>
      </c>
      <c r="C386" s="25">
        <v>23223</v>
      </c>
      <c r="D386" s="26">
        <f>VLOOKUP($C386,COS!$B$8:$H$991,3,FALSE)</f>
        <v>16000</v>
      </c>
      <c r="E386" s="24">
        <f>IF(D386&gt;=IF(MONTH($C386)=4,$C$3,IF(MONTH($C386)=5,$C$4,IF(MONTH($C386)=6,$C$5,IF(MONTH($C386)=7,$C$6,"ERROR")))),1,0)</f>
        <v>1</v>
      </c>
      <c r="F386" s="26">
        <f>VLOOKUP($C386,COS!$B$8:$H$991,7,FALSE)</f>
        <v>52.109561920166016</v>
      </c>
      <c r="G386" s="24">
        <f>IF(F386&lt;=IF(MONTH($C386)=4,$F$3,IF(MONTH($C386)=5,$F$4,IF(MONTH($C386)=6,$F$5,IF(MONTH($C386)=7,$F$6,"ERROR")))),1,0)</f>
        <v>1</v>
      </c>
      <c r="H386" s="26">
        <f>IF(J386=1,D386-$C$6,0)</f>
        <v>4000</v>
      </c>
      <c r="I386" s="26">
        <f t="shared" si="558"/>
        <v>245.95041322314049</v>
      </c>
      <c r="J386" s="24">
        <f t="shared" si="609"/>
        <v>1</v>
      </c>
      <c r="K386" s="26">
        <f>VLOOKUP($C386,COS!$B$8:$H$991,2,FALSE)</f>
        <v>3649.526611328125</v>
      </c>
      <c r="L386" s="24">
        <f t="shared" si="537"/>
        <v>1</v>
      </c>
      <c r="M386" s="24">
        <f t="shared" si="538"/>
        <v>0</v>
      </c>
      <c r="N386" s="26">
        <f>VLOOKUP($C386,COS!$B$8:$H$991,5,FALSE)</f>
        <v>1381.7017822265625</v>
      </c>
      <c r="O386" s="26">
        <f t="shared" si="612"/>
        <v>84.957531072443174</v>
      </c>
      <c r="P386" s="26">
        <f>VLOOKUP($C386,COS!$B$8:$H$991,6,FALSE)</f>
        <v>2521.474853515625</v>
      </c>
      <c r="Q386" s="26">
        <f t="shared" si="613"/>
        <v>155.0394455384814</v>
      </c>
      <c r="R386" s="26">
        <f>MIN(IF(MONTH($C386)=4,$S$3,IF(MONTH($C386)=5,$S$4,IF(MONTH($C386)=6,$S$5,IF(MONTH($C386)=7,$S$6,"ERROR")))),MAX(VLOOKUP($C386,COS!$B$8:$K$991,10,FALSE)-IF(MONTH($C386)=4,$Y$3,IF(MONTH($C386)=5,$Y$4,IF(MONTH($C386)=6,$Y$5,IF(MONTH($C386)=7,$Y$6,"ERROR")))),0),MAX(VLOOKUP($C386,COS!$B$8:$K$991,9,FALSE)-IF(MONTH($C386)=4,$V$3,IF(MONTH($C386)=5,$V$4,IF(MONTH($C386)=6,$V$5,IF(MONTH($C386)=7,$V$6,"ERROR"))))-VLOOKUP($C386,COS!$B$8:$K$991,6,FALSE)/2,0))</f>
        <v>1500</v>
      </c>
      <c r="S386" s="26">
        <f t="shared" si="614"/>
        <v>92.231404958677686</v>
      </c>
      <c r="T386" s="26">
        <f t="shared" si="615"/>
        <v>212.22989326413997</v>
      </c>
      <c r="U386" s="26" t="str">
        <f>IF(VLOOKUP($C386,COS!$B$8:$I$991,8,FALSE)=1,"UWFE","IBU")</f>
        <v>IBU</v>
      </c>
      <c r="V386" s="26">
        <f t="shared" ref="V386" si="619">MIN(IF(IF($AA$3=2,AND(E386=1,G386=1,L386=1,L388=1,M386=1,U386="IBU"),AND(E386=1,G386=1,L386=1,L388=1,M386=1)),T386,0),I386)</f>
        <v>0</v>
      </c>
      <c r="W386" s="26"/>
      <c r="X386" s="26"/>
      <c r="Y386" s="26"/>
      <c r="Z386" s="26"/>
      <c r="AA386" s="26"/>
      <c r="AB386" s="33"/>
    </row>
    <row r="387" spans="1:28" x14ac:dyDescent="0.3">
      <c r="A387" s="32">
        <f>VLOOKUP(YEAR(C387),Flags!$A$13:$B$95,2,FALSE)</f>
        <v>1</v>
      </c>
      <c r="B387" s="24">
        <f t="shared" si="535"/>
        <v>1963</v>
      </c>
      <c r="C387" s="25">
        <v>23254</v>
      </c>
      <c r="D387" s="26"/>
      <c r="E387" s="24"/>
      <c r="F387" s="26"/>
      <c r="G387" s="24"/>
      <c r="H387" s="24"/>
      <c r="I387" s="26"/>
      <c r="J387" s="24"/>
      <c r="K387" s="26"/>
      <c r="L387" s="24"/>
      <c r="M387" s="24"/>
      <c r="N387" s="26"/>
      <c r="O387" s="26"/>
      <c r="P387" s="26"/>
      <c r="Q387" s="26"/>
      <c r="R387" s="26"/>
      <c r="S387" s="26"/>
      <c r="T387" s="26"/>
      <c r="U387" s="26"/>
      <c r="V387" s="26"/>
      <c r="W387" s="26">
        <f>MAX($C$7-VLOOKUP($C387,COS!$B$8:$H$991,3,FALSE),0)</f>
        <v>89286.853515625</v>
      </c>
      <c r="X387" s="26">
        <f t="shared" si="562"/>
        <v>5490.0346293904959</v>
      </c>
      <c r="Y387" s="26">
        <f>VLOOKUP($C387,COS!$B$8:$H$991,4,FALSE)</f>
        <v>0</v>
      </c>
      <c r="Z387" s="26">
        <f t="shared" si="563"/>
        <v>0</v>
      </c>
      <c r="AA387" s="26">
        <f t="shared" ref="AA387:AA391" si="620">MIN(W387,Y387)</f>
        <v>0</v>
      </c>
      <c r="AB387" s="33">
        <f t="shared" ref="AB387" si="621">AA387*DAY($C387)*86400/43560/1000*IF(MONTH($C387)=8,$P$3,IF(MONTH($C387)=9,$P$4,IF(MONTH($C387)=10,$P$5,IF(MONTH($C387)=11,$P$6,IF(MONTH($C387)=12,$P$7,NA())))))</f>
        <v>0</v>
      </c>
    </row>
    <row r="388" spans="1:28" x14ac:dyDescent="0.3">
      <c r="A388" s="32">
        <f>VLOOKUP(YEAR(C388),Flags!$A$13:$B$95,2,FALSE)</f>
        <v>1</v>
      </c>
      <c r="B388" s="24">
        <f t="shared" si="535"/>
        <v>1963</v>
      </c>
      <c r="C388" s="25">
        <v>23284</v>
      </c>
      <c r="D388" s="26"/>
      <c r="E388" s="24"/>
      <c r="F388" s="26"/>
      <c r="G388" s="24"/>
      <c r="H388" s="24"/>
      <c r="I388" s="26"/>
      <c r="J388" s="24"/>
      <c r="K388" s="26">
        <f>VLOOKUP($C388,COS!$B$8:$H$991,2,FALSE)</f>
        <v>2718.105712890625</v>
      </c>
      <c r="L388" s="24">
        <f t="shared" ref="L388" si="622">IF(AND(K388&gt;$I$7,K388&lt;$I$8),1,0)</f>
        <v>1</v>
      </c>
      <c r="M388" s="24"/>
      <c r="N388" s="26"/>
      <c r="O388" s="26"/>
      <c r="P388" s="26"/>
      <c r="Q388" s="26"/>
      <c r="R388" s="26"/>
      <c r="S388" s="26"/>
      <c r="T388" s="26"/>
      <c r="U388" s="26"/>
      <c r="V388" s="26"/>
      <c r="W388" s="26">
        <f>MAX($C$8-VLOOKUP($C388,COS!$B$8:$H$991,3,FALSE),0)</f>
        <v>84976.9580078125</v>
      </c>
      <c r="X388" s="26">
        <f t="shared" si="562"/>
        <v>5056.4801459194214</v>
      </c>
      <c r="Y388" s="26">
        <f>VLOOKUP($C388,COS!$B$8:$H$991,4,FALSE)</f>
        <v>0</v>
      </c>
      <c r="Z388" s="26">
        <f t="shared" si="563"/>
        <v>0</v>
      </c>
      <c r="AA388" s="26">
        <f t="shared" si="620"/>
        <v>0</v>
      </c>
      <c r="AB388" s="33">
        <f t="shared" si="548"/>
        <v>0</v>
      </c>
    </row>
    <row r="389" spans="1:28" x14ac:dyDescent="0.3">
      <c r="A389" s="32">
        <f>VLOOKUP(YEAR(C389),Flags!$A$13:$B$95,2,FALSE)</f>
        <v>1</v>
      </c>
      <c r="B389" s="24">
        <f t="shared" si="535"/>
        <v>1963</v>
      </c>
      <c r="C389" s="25">
        <v>23315</v>
      </c>
      <c r="D389" s="26"/>
      <c r="E389" s="24"/>
      <c r="F389" s="26"/>
      <c r="G389" s="26"/>
      <c r="H389" s="26"/>
      <c r="I389" s="26"/>
      <c r="J389" s="26"/>
      <c r="K389" s="26"/>
      <c r="L389" s="24"/>
      <c r="M389" s="24"/>
      <c r="N389" s="26"/>
      <c r="O389" s="26"/>
      <c r="P389" s="26"/>
      <c r="Q389" s="26"/>
      <c r="R389" s="26"/>
      <c r="S389" s="26"/>
      <c r="T389" s="26"/>
      <c r="U389" s="26"/>
      <c r="V389" s="26"/>
      <c r="W389" s="26">
        <f>MAX($C$9-VLOOKUP($C389,COS!$B$8:$H$991,3,FALSE),0)</f>
        <v>92588.90966796875</v>
      </c>
      <c r="X389" s="26">
        <f t="shared" si="562"/>
        <v>5693.0701481792357</v>
      </c>
      <c r="Y389" s="26">
        <f>VLOOKUP($C389,COS!$B$8:$H$991,4,FALSE)</f>
        <v>1189.5572509765625</v>
      </c>
      <c r="Z389" s="26">
        <f t="shared" si="563"/>
        <v>73.143024357567143</v>
      </c>
      <c r="AA389" s="26">
        <f t="shared" si="620"/>
        <v>1189.5572509765625</v>
      </c>
      <c r="AB389" s="33">
        <f t="shared" si="548"/>
        <v>73.143024357567143</v>
      </c>
    </row>
    <row r="390" spans="1:28" x14ac:dyDescent="0.3">
      <c r="A390" s="32">
        <f>VLOOKUP(YEAR(C390),Flags!$A$13:$B$95,2,FALSE)</f>
        <v>1</v>
      </c>
      <c r="B390" s="24">
        <f t="shared" si="535"/>
        <v>1963</v>
      </c>
      <c r="C390" s="25">
        <v>23345</v>
      </c>
      <c r="D390" s="26"/>
      <c r="E390" s="24"/>
      <c r="F390" s="26"/>
      <c r="G390" s="26"/>
      <c r="H390" s="26"/>
      <c r="I390" s="26"/>
      <c r="J390" s="26"/>
      <c r="K390" s="26"/>
      <c r="L390" s="24"/>
      <c r="M390" s="24"/>
      <c r="N390" s="26"/>
      <c r="O390" s="26"/>
      <c r="P390" s="26"/>
      <c r="Q390" s="26"/>
      <c r="R390" s="26"/>
      <c r="S390" s="26"/>
      <c r="T390" s="26"/>
      <c r="U390" s="26"/>
      <c r="V390" s="26"/>
      <c r="W390" s="26">
        <f>MAX($C$10-VLOOKUP($C390,COS!$B$8:$H$991,3,FALSE),0)</f>
        <v>93790.83056640625</v>
      </c>
      <c r="X390" s="26">
        <f t="shared" si="562"/>
        <v>5580.9419841167355</v>
      </c>
      <c r="Y390" s="26">
        <f>VLOOKUP($C390,COS!$B$8:$H$991,4,FALSE)</f>
        <v>1109.0794677734375</v>
      </c>
      <c r="Z390" s="26">
        <f t="shared" si="563"/>
        <v>65.994811305526866</v>
      </c>
      <c r="AA390" s="26">
        <f t="shared" si="620"/>
        <v>1109.0794677734375</v>
      </c>
      <c r="AB390" s="33">
        <f t="shared" si="548"/>
        <v>32.997405652763433</v>
      </c>
    </row>
    <row r="391" spans="1:28" x14ac:dyDescent="0.3">
      <c r="A391" s="34">
        <f>VLOOKUP(YEAR(C391),Flags!$A$13:$B$95,2,FALSE)</f>
        <v>1</v>
      </c>
      <c r="B391" s="35">
        <f t="shared" si="535"/>
        <v>1963</v>
      </c>
      <c r="C391" s="36">
        <v>23376</v>
      </c>
      <c r="D391" s="37"/>
      <c r="E391" s="35"/>
      <c r="F391" s="37"/>
      <c r="G391" s="37"/>
      <c r="H391" s="37"/>
      <c r="I391" s="37"/>
      <c r="J391" s="37"/>
      <c r="K391" s="37"/>
      <c r="L391" s="35"/>
      <c r="M391" s="35"/>
      <c r="N391" s="37"/>
      <c r="O391" s="37"/>
      <c r="P391" s="37"/>
      <c r="Q391" s="37"/>
      <c r="R391" s="37"/>
      <c r="S391" s="37"/>
      <c r="T391" s="37"/>
      <c r="U391" s="37"/>
      <c r="V391" s="37"/>
      <c r="W391" s="37">
        <f>MAX($C$11-VLOOKUP($C391,COS!$B$8:$H$991,3,FALSE),0)</f>
        <v>0</v>
      </c>
      <c r="X391" s="37">
        <f t="shared" si="562"/>
        <v>0</v>
      </c>
      <c r="Y391" s="37">
        <f>VLOOKUP($C391,COS!$B$8:$H$991,4,FALSE)</f>
        <v>347.96035766601563</v>
      </c>
      <c r="Z391" s="37">
        <f t="shared" si="563"/>
        <v>21.395248438307078</v>
      </c>
      <c r="AA391" s="37">
        <f t="shared" si="620"/>
        <v>0</v>
      </c>
      <c r="AB391" s="38">
        <f t="shared" si="548"/>
        <v>0</v>
      </c>
    </row>
    <row r="392" spans="1:28" x14ac:dyDescent="0.3">
      <c r="A392" s="27">
        <f>VLOOKUP(YEAR(C392),Flags!$A$13:$B$95,2,FALSE)</f>
        <v>4</v>
      </c>
      <c r="B392" s="28">
        <f t="shared" si="535"/>
        <v>1964</v>
      </c>
      <c r="C392" s="29">
        <v>23497</v>
      </c>
      <c r="D392" s="30">
        <f>VLOOKUP($C392,COS!$B$8:$H$991,3,FALSE)</f>
        <v>6091.94580078125</v>
      </c>
      <c r="E392" s="28">
        <f>IF(D392&gt;=IF(MONTH($C392)=4,$C$3,IF(MONTH($C392)=5,$C$4,IF(MONTH($C392)=6,$C$5,IF(MONTH($C392)=7,$C$6,"ERROR")))),1,0)</f>
        <v>1</v>
      </c>
      <c r="F392" s="30">
        <f>VLOOKUP($C392,COS!$B$8:$H$991,7,FALSE)</f>
        <v>49.550472259521484</v>
      </c>
      <c r="G392" s="28">
        <f>IF(F392&lt;=IF(MONTH($C392)=4,$F$3,IF(MONTH($C392)=5,$F$4,IF(MONTH($C392)=6,$F$5,IF(MONTH($C392)=7,$F$6,"ERROR")))),1,0)</f>
        <v>1</v>
      </c>
      <c r="H392" s="30">
        <f>IF(J392=1,D392-$C$3,0)</f>
        <v>91.94580078125</v>
      </c>
      <c r="I392" s="30">
        <f t="shared" si="558"/>
        <v>5.4711550878099171</v>
      </c>
      <c r="J392" s="28">
        <f t="shared" ref="J392:J395" si="623">IF(AND(E392=1,G392=1),1,0)</f>
        <v>1</v>
      </c>
      <c r="K392" s="30">
        <f>VLOOKUP($C392,COS!$B$8:$H$991,2,FALSE)</f>
        <v>3746.64306640625</v>
      </c>
      <c r="L392" s="28">
        <f t="shared" ref="L392" si="624">IF(K392&lt;=IF(MONTH($C392)=4,$I$3,IF(MONTH($C392)=5,$I$4,IF(MONTH($C392)=6,$I$5,IF(MONTH($C392)=7,$I$6,"ERROR")))),1,0)</f>
        <v>1</v>
      </c>
      <c r="M392" s="28">
        <f t="shared" ref="M392" si="625">VLOOKUP($A392,$L$3:$M$7,2,FALSE)</f>
        <v>1</v>
      </c>
      <c r="N392" s="30">
        <f>VLOOKUP($C392,COS!$B$8:$H$991,5,FALSE)</f>
        <v>316.77880859375</v>
      </c>
      <c r="O392" s="30">
        <f t="shared" ref="O392:O395" si="626">N392*DAY($C392)*86400/43560/1000</f>
        <v>18.849648114669421</v>
      </c>
      <c r="P392" s="30">
        <f>VLOOKUP($C392,COS!$B$8:$H$991,6,FALSE)</f>
        <v>564.8997802734375</v>
      </c>
      <c r="Q392" s="30">
        <f t="shared" ref="Q392:Q395" si="627">P392*DAY($C392)*86400/43560/1000</f>
        <v>33.613871222882231</v>
      </c>
      <c r="R392" s="30">
        <f>MIN(IF(MONTH($C392)=4,$S$3,IF(MONTH($C392)=5,$S$4,IF(MONTH($C392)=6,$S$5,IF(MONTH($C392)=7,$S$6,"ERROR")))),MAX(VLOOKUP($C392,COS!$B$8:$K$991,10,FALSE)-IF(MONTH($C392)=4,$Y$3,IF(MONTH($C392)=5,$Y$4,IF(MONTH($C392)=6,$Y$5,IF(MONTH($C392)=7,$Y$6,"ERROR")))),0),MAX(VLOOKUP($C392,COS!$B$8:$K$991,9,FALSE)-IF(MONTH($C392)=4,$V$3,IF(MONTH($C392)=5,$V$4,IF(MONTH($C392)=6,$V$5,IF(MONTH($C392)=7,$V$6,"ERROR"))))-VLOOKUP($C392,COS!$B$8:$K$991,6,FALSE)/2,0))</f>
        <v>1500</v>
      </c>
      <c r="S392" s="30">
        <f t="shared" ref="S392:S395" si="628">R392*DAY($C392)*86400/43560/1000</f>
        <v>89.256198347107429</v>
      </c>
      <c r="T392" s="30">
        <f t="shared" ref="T392:T395" si="629">(O392+Q392)/2+S392</f>
        <v>115.48795801588325</v>
      </c>
      <c r="U392" s="30" t="str">
        <f>IF(VLOOKUP($C392,COS!$B$8:$I$991,8,FALSE)=1,"UWFE","IBU")</f>
        <v>UWFE</v>
      </c>
      <c r="V392" s="30">
        <f t="shared" ref="V392" si="630">MIN(IF(IF($AA$3=2,AND(E392=1,G392=1,L392=1,L397=1,M392=1,U392="IBU"),AND(E392=1,G392=1,L392=1,L397=1,M392=1)),T392,0),I392)</f>
        <v>0</v>
      </c>
      <c r="W392" s="30"/>
      <c r="X392" s="30"/>
      <c r="Y392" s="30"/>
      <c r="Z392" s="30"/>
      <c r="AA392" s="30"/>
      <c r="AB392" s="31"/>
    </row>
    <row r="393" spans="1:28" x14ac:dyDescent="0.3">
      <c r="A393" s="32">
        <f>VLOOKUP(YEAR(C393),Flags!$A$13:$B$95,2,FALSE)</f>
        <v>4</v>
      </c>
      <c r="B393" s="24">
        <f t="shared" si="535"/>
        <v>1964</v>
      </c>
      <c r="C393" s="25">
        <v>23528</v>
      </c>
      <c r="D393" s="26">
        <f>VLOOKUP($C393,COS!$B$8:$H$991,3,FALSE)</f>
        <v>6700.63427734375</v>
      </c>
      <c r="E393" s="24">
        <f>IF(D393&gt;=IF(MONTH($C393)=4,$C$3,IF(MONTH($C393)=5,$C$4,IF(MONTH($C393)=6,$C$5,IF(MONTH($C393)=7,$C$6,"ERROR")))),1,0)</f>
        <v>1</v>
      </c>
      <c r="F393" s="26">
        <f>VLOOKUP($C393,COS!$B$8:$H$991,7,FALSE)</f>
        <v>50.719039916992188</v>
      </c>
      <c r="G393" s="24">
        <f>IF(F393&lt;=IF(MONTH($C393)=4,$F$3,IF(MONTH($C393)=5,$F$4,IF(MONTH($C393)=6,$F$5,IF(MONTH($C393)=7,$F$6,"ERROR")))),1,0)</f>
        <v>1</v>
      </c>
      <c r="H393" s="26">
        <f>IF(J393=1,D393-$C$4,0)</f>
        <v>700.63427734375</v>
      </c>
      <c r="I393" s="26">
        <f t="shared" si="558"/>
        <v>43.080322507747937</v>
      </c>
      <c r="J393" s="24">
        <f t="shared" si="623"/>
        <v>1</v>
      </c>
      <c r="K393" s="26">
        <f>VLOOKUP($C393,COS!$B$8:$H$991,2,FALSE)</f>
        <v>3609.5830078125</v>
      </c>
      <c r="L393" s="24">
        <f t="shared" si="537"/>
        <v>1</v>
      </c>
      <c r="M393" s="24">
        <f t="shared" si="538"/>
        <v>1</v>
      </c>
      <c r="N393" s="26">
        <f>VLOOKUP($C393,COS!$B$8:$H$991,5,FALSE)</f>
        <v>332.74734497070313</v>
      </c>
      <c r="O393" s="26">
        <f t="shared" si="626"/>
        <v>20.459836748611828</v>
      </c>
      <c r="P393" s="26">
        <f>VLOOKUP($C393,COS!$B$8:$H$991,6,FALSE)</f>
        <v>2309.841796875</v>
      </c>
      <c r="Q393" s="26">
        <f t="shared" si="627"/>
        <v>142.02663610537189</v>
      </c>
      <c r="R393" s="26">
        <f>MIN(IF(MONTH($C393)=4,$S$3,IF(MONTH($C393)=5,$S$4,IF(MONTH($C393)=6,$S$5,IF(MONTH($C393)=7,$S$6,"ERROR")))),MAX(VLOOKUP($C393,COS!$B$8:$K$991,10,FALSE)-IF(MONTH($C393)=4,$Y$3,IF(MONTH($C393)=5,$Y$4,IF(MONTH($C393)=6,$Y$5,IF(MONTH($C393)=7,$Y$6,"ERROR")))),0),MAX(VLOOKUP($C393,COS!$B$8:$K$991,9,FALSE)-IF(MONTH($C393)=4,$V$3,IF(MONTH($C393)=5,$V$4,IF(MONTH($C393)=6,$V$5,IF(MONTH($C393)=7,$V$6,"ERROR"))))-VLOOKUP($C393,COS!$B$8:$K$991,6,FALSE)/2,0))</f>
        <v>1500</v>
      </c>
      <c r="S393" s="26">
        <f t="shared" si="628"/>
        <v>92.231404958677686</v>
      </c>
      <c r="T393" s="26">
        <f t="shared" si="629"/>
        <v>173.47464138566954</v>
      </c>
      <c r="U393" s="26" t="str">
        <f>IF(VLOOKUP($C393,COS!$B$8:$I$991,8,FALSE)=1,"UWFE","IBU")</f>
        <v>UWFE</v>
      </c>
      <c r="V393" s="26">
        <f t="shared" ref="V393" si="631">MIN(IF(IF($AA$3=2,AND(E393=1,G393=1,L393=1,L397=1,M393=1,U393="IBU"),AND(E393=1,G393=1,L393=1,L397=1,M393=1)),T393,0),I393)</f>
        <v>0</v>
      </c>
      <c r="W393" s="26"/>
      <c r="X393" s="26"/>
      <c r="Y393" s="26"/>
      <c r="Z393" s="26"/>
      <c r="AA393" s="26"/>
      <c r="AB393" s="33"/>
    </row>
    <row r="394" spans="1:28" x14ac:dyDescent="0.3">
      <c r="A394" s="32">
        <f>VLOOKUP(YEAR(C394),Flags!$A$13:$B$95,2,FALSE)</f>
        <v>4</v>
      </c>
      <c r="B394" s="24">
        <f t="shared" si="535"/>
        <v>1964</v>
      </c>
      <c r="C394" s="25">
        <v>23558</v>
      </c>
      <c r="D394" s="26">
        <f>VLOOKUP($C394,COS!$B$8:$H$991,3,FALSE)</f>
        <v>8947.9150390625</v>
      </c>
      <c r="E394" s="24">
        <f>IF(D394&gt;=IF(MONTH($C394)=4,$C$3,IF(MONTH($C394)=5,$C$4,IF(MONTH($C394)=6,$C$5,IF(MONTH($C394)=7,$C$6,"ERROR")))),1,0)</f>
        <v>0</v>
      </c>
      <c r="F394" s="26">
        <f>VLOOKUP($C394,COS!$B$8:$H$991,7,FALSE)</f>
        <v>51.899105072021484</v>
      </c>
      <c r="G394" s="24">
        <f>IF(F394&lt;=IF(MONTH($C394)=4,$F$3,IF(MONTH($C394)=5,$F$4,IF(MONTH($C394)=6,$F$5,IF(MONTH($C394)=7,$F$6,"ERROR")))),1,0)</f>
        <v>1</v>
      </c>
      <c r="H394" s="26">
        <f>IF(J394=1,D394-$C$5,0)</f>
        <v>0</v>
      </c>
      <c r="I394" s="26">
        <f t="shared" si="558"/>
        <v>0</v>
      </c>
      <c r="J394" s="24">
        <f t="shared" si="623"/>
        <v>0</v>
      </c>
      <c r="K394" s="26">
        <f>VLOOKUP($C394,COS!$B$8:$H$991,2,FALSE)</f>
        <v>3402.844970703125</v>
      </c>
      <c r="L394" s="24">
        <f t="shared" si="537"/>
        <v>1</v>
      </c>
      <c r="M394" s="24">
        <f t="shared" si="538"/>
        <v>1</v>
      </c>
      <c r="N394" s="26">
        <f>VLOOKUP($C394,COS!$B$8:$H$991,5,FALSE)</f>
        <v>359.117431640625</v>
      </c>
      <c r="O394" s="26">
        <f t="shared" si="626"/>
        <v>21.368971138946282</v>
      </c>
      <c r="P394" s="26">
        <f>VLOOKUP($C394,COS!$B$8:$H$991,6,FALSE)</f>
        <v>2607.746826171875</v>
      </c>
      <c r="Q394" s="26">
        <f t="shared" si="627"/>
        <v>155.17171197055785</v>
      </c>
      <c r="R394" s="26">
        <f>MIN(IF(MONTH($C394)=4,$S$3,IF(MONTH($C394)=5,$S$4,IF(MONTH($C394)=6,$S$5,IF(MONTH($C394)=7,$S$6,"ERROR")))),MAX(VLOOKUP($C394,COS!$B$8:$K$991,10,FALSE)-IF(MONTH($C394)=4,$Y$3,IF(MONTH($C394)=5,$Y$4,IF(MONTH($C394)=6,$Y$5,IF(MONTH($C394)=7,$Y$6,"ERROR")))),0),MAX(VLOOKUP($C394,COS!$B$8:$K$991,9,FALSE)-IF(MONTH($C394)=4,$V$3,IF(MONTH($C394)=5,$V$4,IF(MONTH($C394)=6,$V$5,IF(MONTH($C394)=7,$V$6,"ERROR"))))-VLOOKUP($C394,COS!$B$8:$K$991,6,FALSE)/2,0))</f>
        <v>1500</v>
      </c>
      <c r="S394" s="26">
        <f t="shared" si="628"/>
        <v>89.256198347107429</v>
      </c>
      <c r="T394" s="26">
        <f t="shared" si="629"/>
        <v>177.52653990185951</v>
      </c>
      <c r="U394" s="26" t="str">
        <f>IF(VLOOKUP($C394,COS!$B$8:$I$991,8,FALSE)=1,"UWFE","IBU")</f>
        <v>IBU</v>
      </c>
      <c r="V394" s="26">
        <f t="shared" ref="V394" si="632">MIN(IF(IF($AA$3=2,AND(E394=1,G394=1,L394=1,L397=1,M394=1,U394="IBU"),AND(E394=1,G394=1,L394=1,L397=1,M394=1)),T394,0),I394)</f>
        <v>0</v>
      </c>
      <c r="W394" s="26"/>
      <c r="X394" s="26"/>
      <c r="Y394" s="26"/>
      <c r="Z394" s="26"/>
      <c r="AA394" s="26"/>
      <c r="AB394" s="33"/>
    </row>
    <row r="395" spans="1:28" x14ac:dyDescent="0.3">
      <c r="A395" s="32">
        <f>VLOOKUP(YEAR(C395),Flags!$A$13:$B$95,2,FALSE)</f>
        <v>4</v>
      </c>
      <c r="B395" s="24">
        <f t="shared" si="535"/>
        <v>1964</v>
      </c>
      <c r="C395" s="25">
        <v>23589</v>
      </c>
      <c r="D395" s="26">
        <f>VLOOKUP($C395,COS!$B$8:$H$991,3,FALSE)</f>
        <v>14511.1044921875</v>
      </c>
      <c r="E395" s="24">
        <f>IF(D395&gt;=IF(MONTH($C395)=4,$C$3,IF(MONTH($C395)=5,$C$4,IF(MONTH($C395)=6,$C$5,IF(MONTH($C395)=7,$C$6,"ERROR")))),1,0)</f>
        <v>1</v>
      </c>
      <c r="F395" s="26">
        <f>VLOOKUP($C395,COS!$B$8:$H$991,7,FALSE)</f>
        <v>52.263500213623047</v>
      </c>
      <c r="G395" s="24">
        <f>IF(F395&lt;=IF(MONTH($C395)=4,$F$3,IF(MONTH($C395)=5,$F$4,IF(MONTH($C395)=6,$F$5,IF(MONTH($C395)=7,$F$6,"ERROR")))),1,0)</f>
        <v>1</v>
      </c>
      <c r="H395" s="26">
        <f>IF(J395=1,D395-$C$6,0)</f>
        <v>2511.1044921875</v>
      </c>
      <c r="I395" s="26">
        <f t="shared" si="558"/>
        <v>154.401796875</v>
      </c>
      <c r="J395" s="24">
        <f t="shared" si="623"/>
        <v>1</v>
      </c>
      <c r="K395" s="26">
        <f>VLOOKUP($C395,COS!$B$8:$H$991,2,FALSE)</f>
        <v>2786.120361328125</v>
      </c>
      <c r="L395" s="24">
        <f t="shared" si="537"/>
        <v>1</v>
      </c>
      <c r="M395" s="24">
        <f t="shared" si="538"/>
        <v>1</v>
      </c>
      <c r="N395" s="26">
        <f>VLOOKUP($C395,COS!$B$8:$H$991,5,FALSE)</f>
        <v>422.46829223632813</v>
      </c>
      <c r="O395" s="26">
        <f t="shared" si="626"/>
        <v>25.976562762299842</v>
      </c>
      <c r="P395" s="26">
        <f>VLOOKUP($C395,COS!$B$8:$H$991,6,FALSE)</f>
        <v>2533.61962890625</v>
      </c>
      <c r="Q395" s="26">
        <f t="shared" si="627"/>
        <v>155.78619866993802</v>
      </c>
      <c r="R395" s="26">
        <f>MIN(IF(MONTH($C395)=4,$S$3,IF(MONTH($C395)=5,$S$4,IF(MONTH($C395)=6,$S$5,IF(MONTH($C395)=7,$S$6,"ERROR")))),MAX(VLOOKUP($C395,COS!$B$8:$K$991,10,FALSE)-IF(MONTH($C395)=4,$Y$3,IF(MONTH($C395)=5,$Y$4,IF(MONTH($C395)=6,$Y$5,IF(MONTH($C395)=7,$Y$6,"ERROR")))),0),MAX(VLOOKUP($C395,COS!$B$8:$K$991,9,FALSE)-IF(MONTH($C395)=4,$V$3,IF(MONTH($C395)=5,$V$4,IF(MONTH($C395)=6,$V$5,IF(MONTH($C395)=7,$V$6,"ERROR"))))-VLOOKUP($C395,COS!$B$8:$K$991,6,FALSE)/2,0))</f>
        <v>1500</v>
      </c>
      <c r="S395" s="26">
        <f t="shared" si="628"/>
        <v>92.231404958677686</v>
      </c>
      <c r="T395" s="26">
        <f t="shared" si="629"/>
        <v>183.11278567479661</v>
      </c>
      <c r="U395" s="26" t="str">
        <f>IF(VLOOKUP($C395,COS!$B$8:$I$991,8,FALSE)=1,"UWFE","IBU")</f>
        <v>IBU</v>
      </c>
      <c r="V395" s="26">
        <f t="shared" ref="V395" si="633">MIN(IF(IF($AA$3=2,AND(E395=1,G395=1,L395=1,L397=1,M395=1,U395="IBU"),AND(E395=1,G395=1,L395=1,L397=1,M395=1)),T395,0),I395)</f>
        <v>154.401796875</v>
      </c>
      <c r="W395" s="26"/>
      <c r="X395" s="26"/>
      <c r="Y395" s="26"/>
      <c r="Z395" s="26"/>
      <c r="AA395" s="26"/>
      <c r="AB395" s="33"/>
    </row>
    <row r="396" spans="1:28" x14ac:dyDescent="0.3">
      <c r="A396" s="32">
        <f>VLOOKUP(YEAR(C396),Flags!$A$13:$B$95,2,FALSE)</f>
        <v>4</v>
      </c>
      <c r="B396" s="24">
        <f t="shared" si="535"/>
        <v>1964</v>
      </c>
      <c r="C396" s="25">
        <v>23620</v>
      </c>
      <c r="D396" s="26"/>
      <c r="E396" s="24"/>
      <c r="F396" s="26"/>
      <c r="G396" s="24"/>
      <c r="H396" s="24"/>
      <c r="I396" s="26"/>
      <c r="J396" s="24"/>
      <c r="K396" s="26"/>
      <c r="L396" s="24"/>
      <c r="M396" s="24"/>
      <c r="N396" s="26"/>
      <c r="O396" s="26"/>
      <c r="P396" s="26"/>
      <c r="Q396" s="26"/>
      <c r="R396" s="26"/>
      <c r="S396" s="26"/>
      <c r="T396" s="26"/>
      <c r="U396" s="26"/>
      <c r="V396" s="26"/>
      <c r="W396" s="26">
        <f>MAX($C$7-VLOOKUP($C396,COS!$B$8:$H$991,3,FALSE),0)</f>
        <v>91194.7255859375</v>
      </c>
      <c r="X396" s="26">
        <f t="shared" si="562"/>
        <v>5607.3451104080577</v>
      </c>
      <c r="Y396" s="26">
        <f>VLOOKUP($C396,COS!$B$8:$H$991,4,FALSE)</f>
        <v>771.8970947265625</v>
      </c>
      <c r="Z396" s="26">
        <f t="shared" si="563"/>
        <v>47.462102353434915</v>
      </c>
      <c r="AA396" s="26">
        <f t="shared" ref="AA396:AA400" si="634">MIN(W396,Y396)</f>
        <v>771.8970947265625</v>
      </c>
      <c r="AB396" s="33">
        <f t="shared" ref="AB396" si="635">AA396*DAY($C396)*86400/43560/1000*IF(MONTH($C396)=8,$P$3,IF(MONTH($C396)=9,$P$4,IF(MONTH($C396)=10,$P$5,IF(MONTH($C396)=11,$P$6,IF(MONTH($C396)=12,$P$7,NA())))))</f>
        <v>47.462102353434915</v>
      </c>
    </row>
    <row r="397" spans="1:28" x14ac:dyDescent="0.3">
      <c r="A397" s="32">
        <f>VLOOKUP(YEAR(C397),Flags!$A$13:$B$95,2,FALSE)</f>
        <v>4</v>
      </c>
      <c r="B397" s="24">
        <f t="shared" si="535"/>
        <v>1964</v>
      </c>
      <c r="C397" s="25">
        <v>23650</v>
      </c>
      <c r="D397" s="26"/>
      <c r="E397" s="24"/>
      <c r="F397" s="26"/>
      <c r="G397" s="24"/>
      <c r="H397" s="24"/>
      <c r="I397" s="26"/>
      <c r="J397" s="24"/>
      <c r="K397" s="26">
        <f>VLOOKUP($C397,COS!$B$8:$H$991,2,FALSE)</f>
        <v>2475.959716796875</v>
      </c>
      <c r="L397" s="24">
        <f t="shared" ref="L397" si="636">IF(AND(K397&gt;$I$7,K397&lt;$I$8),1,0)</f>
        <v>1</v>
      </c>
      <c r="M397" s="24"/>
      <c r="N397" s="26"/>
      <c r="O397" s="26"/>
      <c r="P397" s="26"/>
      <c r="Q397" s="26"/>
      <c r="R397" s="26"/>
      <c r="S397" s="26"/>
      <c r="T397" s="26"/>
      <c r="U397" s="26"/>
      <c r="V397" s="26"/>
      <c r="W397" s="26">
        <f>MAX($C$8-VLOOKUP($C397,COS!$B$8:$H$991,3,FALSE),0)</f>
        <v>95000.587890625</v>
      </c>
      <c r="X397" s="26">
        <f t="shared" si="562"/>
        <v>5652.9275439049579</v>
      </c>
      <c r="Y397" s="26">
        <f>VLOOKUP($C397,COS!$B$8:$H$991,4,FALSE)</f>
        <v>1010.355224609375</v>
      </c>
      <c r="Z397" s="26">
        <f t="shared" si="563"/>
        <v>60.120310885847111</v>
      </c>
      <c r="AA397" s="26">
        <f t="shared" si="634"/>
        <v>1010.355224609375</v>
      </c>
      <c r="AB397" s="33">
        <f t="shared" si="548"/>
        <v>60.120310885847111</v>
      </c>
    </row>
    <row r="398" spans="1:28" x14ac:dyDescent="0.3">
      <c r="A398" s="32">
        <f>VLOOKUP(YEAR(C398),Flags!$A$13:$B$95,2,FALSE)</f>
        <v>4</v>
      </c>
      <c r="B398" s="24">
        <f t="shared" si="535"/>
        <v>1964</v>
      </c>
      <c r="C398" s="25">
        <v>23681</v>
      </c>
      <c r="D398" s="26"/>
      <c r="E398" s="24"/>
      <c r="F398" s="26"/>
      <c r="G398" s="26"/>
      <c r="H398" s="26"/>
      <c r="I398" s="26"/>
      <c r="J398" s="26"/>
      <c r="K398" s="26"/>
      <c r="L398" s="24"/>
      <c r="M398" s="24"/>
      <c r="N398" s="26"/>
      <c r="O398" s="26"/>
      <c r="P398" s="26"/>
      <c r="Q398" s="26"/>
      <c r="R398" s="26"/>
      <c r="S398" s="26"/>
      <c r="T398" s="26"/>
      <c r="U398" s="26"/>
      <c r="V398" s="26"/>
      <c r="W398" s="26">
        <f>MAX($C$9-VLOOKUP($C398,COS!$B$8:$H$991,3,FALSE),0)</f>
        <v>94941.07861328125</v>
      </c>
      <c r="X398" s="26">
        <f t="shared" si="562"/>
        <v>5837.6993791967971</v>
      </c>
      <c r="Y398" s="26">
        <f>VLOOKUP($C398,COS!$B$8:$H$991,4,FALSE)</f>
        <v>1503.157470703125</v>
      </c>
      <c r="Z398" s="26">
        <f t="shared" si="563"/>
        <v>92.425550264721082</v>
      </c>
      <c r="AA398" s="26">
        <f t="shared" si="634"/>
        <v>1503.157470703125</v>
      </c>
      <c r="AB398" s="33">
        <f t="shared" si="548"/>
        <v>92.425550264721082</v>
      </c>
    </row>
    <row r="399" spans="1:28" x14ac:dyDescent="0.3">
      <c r="A399" s="32">
        <f>VLOOKUP(YEAR(C399),Flags!$A$13:$B$95,2,FALSE)</f>
        <v>4</v>
      </c>
      <c r="B399" s="24">
        <f t="shared" ref="B399:B462" si="637">YEAR(C399)</f>
        <v>1964</v>
      </c>
      <c r="C399" s="25">
        <v>23711</v>
      </c>
      <c r="D399" s="26"/>
      <c r="E399" s="24"/>
      <c r="F399" s="26"/>
      <c r="G399" s="26"/>
      <c r="H399" s="26"/>
      <c r="I399" s="26"/>
      <c r="J399" s="26"/>
      <c r="K399" s="26"/>
      <c r="L399" s="24"/>
      <c r="M399" s="24"/>
      <c r="N399" s="26"/>
      <c r="O399" s="26"/>
      <c r="P399" s="26"/>
      <c r="Q399" s="26"/>
      <c r="R399" s="26"/>
      <c r="S399" s="26"/>
      <c r="T399" s="26"/>
      <c r="U399" s="26"/>
      <c r="V399" s="26"/>
      <c r="W399" s="26">
        <f>MAX($C$10-VLOOKUP($C399,COS!$B$8:$H$991,3,FALSE),0)</f>
        <v>96749</v>
      </c>
      <c r="X399" s="26">
        <f t="shared" si="562"/>
        <v>5756.965289256198</v>
      </c>
      <c r="Y399" s="26">
        <f>VLOOKUP($C399,COS!$B$8:$H$991,4,FALSE)</f>
        <v>1991.6624755859375</v>
      </c>
      <c r="Z399" s="26">
        <f t="shared" si="563"/>
        <v>118.51214730759297</v>
      </c>
      <c r="AA399" s="26">
        <f t="shared" si="634"/>
        <v>1991.6624755859375</v>
      </c>
      <c r="AB399" s="33">
        <f t="shared" si="548"/>
        <v>59.256073653796484</v>
      </c>
    </row>
    <row r="400" spans="1:28" x14ac:dyDescent="0.3">
      <c r="A400" s="34">
        <f>VLOOKUP(YEAR(C400),Flags!$A$13:$B$95,2,FALSE)</f>
        <v>4</v>
      </c>
      <c r="B400" s="35">
        <f t="shared" si="637"/>
        <v>1964</v>
      </c>
      <c r="C400" s="36">
        <v>23742</v>
      </c>
      <c r="D400" s="37"/>
      <c r="E400" s="35"/>
      <c r="F400" s="37"/>
      <c r="G400" s="37"/>
      <c r="H400" s="37"/>
      <c r="I400" s="37"/>
      <c r="J400" s="37"/>
      <c r="K400" s="37"/>
      <c r="L400" s="35"/>
      <c r="M400" s="35"/>
      <c r="N400" s="37"/>
      <c r="O400" s="37"/>
      <c r="P400" s="37"/>
      <c r="Q400" s="37"/>
      <c r="R400" s="37"/>
      <c r="S400" s="37"/>
      <c r="T400" s="37"/>
      <c r="U400" s="37"/>
      <c r="V400" s="37"/>
      <c r="W400" s="37">
        <f>MAX($C$11-VLOOKUP($C400,COS!$B$8:$H$991,3,FALSE),0)</f>
        <v>0</v>
      </c>
      <c r="X400" s="37">
        <f t="shared" si="562"/>
        <v>0</v>
      </c>
      <c r="Y400" s="37">
        <f>VLOOKUP($C400,COS!$B$8:$H$991,4,FALSE)</f>
        <v>0</v>
      </c>
      <c r="Z400" s="37">
        <f t="shared" si="563"/>
        <v>0</v>
      </c>
      <c r="AA400" s="37">
        <f t="shared" si="634"/>
        <v>0</v>
      </c>
      <c r="AB400" s="38">
        <f t="shared" si="548"/>
        <v>0</v>
      </c>
    </row>
    <row r="401" spans="1:28" x14ac:dyDescent="0.3">
      <c r="A401" s="27">
        <f>VLOOKUP(YEAR(C401),Flags!$A$13:$B$95,2,FALSE)</f>
        <v>1</v>
      </c>
      <c r="B401" s="28">
        <f t="shared" si="637"/>
        <v>1965</v>
      </c>
      <c r="C401" s="29">
        <v>23862</v>
      </c>
      <c r="D401" s="30">
        <f>VLOOKUP($C401,COS!$B$8:$H$991,3,FALSE)</f>
        <v>6748.35888671875</v>
      </c>
      <c r="E401" s="28">
        <f>IF(D401&gt;=IF(MONTH($C401)=4,$C$3,IF(MONTH($C401)=5,$C$4,IF(MONTH($C401)=6,$C$5,IF(MONTH($C401)=7,$C$6,"ERROR")))),1,0)</f>
        <v>1</v>
      </c>
      <c r="F401" s="30">
        <f>VLOOKUP($C401,COS!$B$8:$H$991,7,FALSE)</f>
        <v>46.947509765625</v>
      </c>
      <c r="G401" s="28">
        <f>IF(F401&lt;=IF(MONTH($C401)=4,$F$3,IF(MONTH($C401)=5,$F$4,IF(MONTH($C401)=6,$F$5,IF(MONTH($C401)=7,$F$6,"ERROR")))),1,0)</f>
        <v>1</v>
      </c>
      <c r="H401" s="30">
        <f>IF(J401=1,D401-$C$3,0)</f>
        <v>748.35888671875</v>
      </c>
      <c r="I401" s="30">
        <f t="shared" si="558"/>
        <v>44.530446151859508</v>
      </c>
      <c r="J401" s="28">
        <f t="shared" ref="J401:J404" si="638">IF(AND(E401=1,G401=1),1,0)</f>
        <v>1</v>
      </c>
      <c r="K401" s="30">
        <f>VLOOKUP($C401,COS!$B$8:$H$991,2,FALSE)</f>
        <v>4500</v>
      </c>
      <c r="L401" s="28">
        <f t="shared" ref="L401:L458" si="639">IF(K401&lt;=IF(MONTH($C401)=4,$I$3,IF(MONTH($C401)=5,$I$4,IF(MONTH($C401)=6,$I$5,IF(MONTH($C401)=7,$I$6,"ERROR")))),1,0)</f>
        <v>1</v>
      </c>
      <c r="M401" s="28">
        <f t="shared" ref="M401:M458" si="640">VLOOKUP($A401,$L$3:$M$7,2,FALSE)</f>
        <v>0</v>
      </c>
      <c r="N401" s="30">
        <f>VLOOKUP($C401,COS!$B$8:$H$991,5,FALSE)</f>
        <v>15.99506664276123</v>
      </c>
      <c r="O401" s="30">
        <f t="shared" ref="O401:O404" si="641">N401*DAY($C401)*86400/43560/1000</f>
        <v>0.95177256056099879</v>
      </c>
      <c r="P401" s="30">
        <f>VLOOKUP($C401,COS!$B$8:$H$991,6,FALSE)</f>
        <v>409.699951171875</v>
      </c>
      <c r="Q401" s="30">
        <f t="shared" ref="Q401:Q404" si="642">P401*DAY($C401)*86400/43560/1000</f>
        <v>24.378840069731407</v>
      </c>
      <c r="R401" s="30">
        <f>MIN(IF(MONTH($C401)=4,$S$3,IF(MONTH($C401)=5,$S$4,IF(MONTH($C401)=6,$S$5,IF(MONTH($C401)=7,$S$6,"ERROR")))),MAX(VLOOKUP($C401,COS!$B$8:$K$991,10,FALSE)-IF(MONTH($C401)=4,$Y$3,IF(MONTH($C401)=5,$Y$4,IF(MONTH($C401)=6,$Y$5,IF(MONTH($C401)=7,$Y$6,"ERROR")))),0),MAX(VLOOKUP($C401,COS!$B$8:$K$991,9,FALSE)-IF(MONTH($C401)=4,$V$3,IF(MONTH($C401)=5,$V$4,IF(MONTH($C401)=6,$V$5,IF(MONTH($C401)=7,$V$6,"ERROR"))))-VLOOKUP($C401,COS!$B$8:$K$991,6,FALSE)/2,0))</f>
        <v>1500</v>
      </c>
      <c r="S401" s="30">
        <f t="shared" ref="S401:S404" si="643">R401*DAY($C401)*86400/43560/1000</f>
        <v>89.256198347107429</v>
      </c>
      <c r="T401" s="30">
        <f t="shared" ref="T401:T404" si="644">(O401+Q401)/2+S401</f>
        <v>101.92150466225362</v>
      </c>
      <c r="U401" s="30" t="str">
        <f>IF(VLOOKUP($C401,COS!$B$8:$I$991,8,FALSE)=1,"UWFE","IBU")</f>
        <v>UWFE</v>
      </c>
      <c r="V401" s="30">
        <f t="shared" ref="V401" si="645">MIN(IF(IF($AA$3=2,AND(E401=1,G401=1,L401=1,L406=1,M401=1,U401="IBU"),AND(E401=1,G401=1,L401=1,L406=1,M401=1)),T401,0),I401)</f>
        <v>0</v>
      </c>
      <c r="W401" s="30"/>
      <c r="X401" s="30"/>
      <c r="Y401" s="30"/>
      <c r="Z401" s="30"/>
      <c r="AA401" s="30"/>
      <c r="AB401" s="31"/>
    </row>
    <row r="402" spans="1:28" x14ac:dyDescent="0.3">
      <c r="A402" s="32">
        <f>VLOOKUP(YEAR(C402),Flags!$A$13:$B$95,2,FALSE)</f>
        <v>1</v>
      </c>
      <c r="B402" s="24">
        <f t="shared" si="637"/>
        <v>1965</v>
      </c>
      <c r="C402" s="25">
        <v>23893</v>
      </c>
      <c r="D402" s="26">
        <f>VLOOKUP($C402,COS!$B$8:$H$991,3,FALSE)</f>
        <v>6685.54638671875</v>
      </c>
      <c r="E402" s="24">
        <f>IF(D402&gt;=IF(MONTH($C402)=4,$C$3,IF(MONTH($C402)=5,$C$4,IF(MONTH($C402)=6,$C$5,IF(MONTH($C402)=7,$C$6,"ERROR")))),1,0)</f>
        <v>1</v>
      </c>
      <c r="F402" s="26">
        <f>VLOOKUP($C402,COS!$B$8:$H$991,7,FALSE)</f>
        <v>49.095413208007813</v>
      </c>
      <c r="G402" s="24">
        <f>IF(F402&lt;=IF(MONTH($C402)=4,$F$3,IF(MONTH($C402)=5,$F$4,IF(MONTH($C402)=6,$F$5,IF(MONTH($C402)=7,$F$6,"ERROR")))),1,0)</f>
        <v>1</v>
      </c>
      <c r="H402" s="26">
        <f>IF(J402=1,D402-$C$4,0)</f>
        <v>685.54638671875</v>
      </c>
      <c r="I402" s="26">
        <f t="shared" si="558"/>
        <v>42.152604274276861</v>
      </c>
      <c r="J402" s="24">
        <f t="shared" si="638"/>
        <v>1</v>
      </c>
      <c r="K402" s="26">
        <f>VLOOKUP($C402,COS!$B$8:$H$991,2,FALSE)</f>
        <v>4530.5419921875</v>
      </c>
      <c r="L402" s="24">
        <f t="shared" si="639"/>
        <v>1</v>
      </c>
      <c r="M402" s="24">
        <f t="shared" si="640"/>
        <v>0</v>
      </c>
      <c r="N402" s="26">
        <f>VLOOKUP($C402,COS!$B$8:$H$991,5,FALSE)</f>
        <v>633.97503662109375</v>
      </c>
      <c r="O402" s="26">
        <f t="shared" si="641"/>
        <v>38.981605557528411</v>
      </c>
      <c r="P402" s="26">
        <f>VLOOKUP($C402,COS!$B$8:$H$991,6,FALSE)</f>
        <v>2257.9951171875</v>
      </c>
      <c r="Q402" s="26">
        <f t="shared" si="642"/>
        <v>138.83870803202478</v>
      </c>
      <c r="R402" s="26">
        <f>MIN(IF(MONTH($C402)=4,$S$3,IF(MONTH($C402)=5,$S$4,IF(MONTH($C402)=6,$S$5,IF(MONTH($C402)=7,$S$6,"ERROR")))),MAX(VLOOKUP($C402,COS!$B$8:$K$991,10,FALSE)-IF(MONTH($C402)=4,$Y$3,IF(MONTH($C402)=5,$Y$4,IF(MONTH($C402)=6,$Y$5,IF(MONTH($C402)=7,$Y$6,"ERROR")))),0),MAX(VLOOKUP($C402,COS!$B$8:$K$991,9,FALSE)-IF(MONTH($C402)=4,$V$3,IF(MONTH($C402)=5,$V$4,IF(MONTH($C402)=6,$V$5,IF(MONTH($C402)=7,$V$6,"ERROR"))))-VLOOKUP($C402,COS!$B$8:$K$991,6,FALSE)/2,0))</f>
        <v>1500</v>
      </c>
      <c r="S402" s="26">
        <f t="shared" si="643"/>
        <v>92.231404958677686</v>
      </c>
      <c r="T402" s="26">
        <f t="shared" si="644"/>
        <v>181.14156175345428</v>
      </c>
      <c r="U402" s="26" t="str">
        <f>IF(VLOOKUP($C402,COS!$B$8:$I$991,8,FALSE)=1,"UWFE","IBU")</f>
        <v>UWFE</v>
      </c>
      <c r="V402" s="26">
        <f t="shared" ref="V402" si="646">MIN(IF(IF($AA$3=2,AND(E402=1,G402=1,L402=1,L406=1,M402=1,U402="IBU"),AND(E402=1,G402=1,L402=1,L406=1,M402=1)),T402,0),I402)</f>
        <v>0</v>
      </c>
      <c r="W402" s="26"/>
      <c r="X402" s="26"/>
      <c r="Y402" s="26"/>
      <c r="Z402" s="26"/>
      <c r="AA402" s="26"/>
      <c r="AB402" s="33"/>
    </row>
    <row r="403" spans="1:28" x14ac:dyDescent="0.3">
      <c r="A403" s="32">
        <f>VLOOKUP(YEAR(C403),Flags!$A$13:$B$95,2,FALSE)</f>
        <v>1</v>
      </c>
      <c r="B403" s="24">
        <f t="shared" si="637"/>
        <v>1965</v>
      </c>
      <c r="C403" s="25">
        <v>23923</v>
      </c>
      <c r="D403" s="26">
        <f>VLOOKUP($C403,COS!$B$8:$H$991,3,FALSE)</f>
        <v>8087.30908203125</v>
      </c>
      <c r="E403" s="24">
        <f>IF(D403&gt;=IF(MONTH($C403)=4,$C$3,IF(MONTH($C403)=5,$C$4,IF(MONTH($C403)=6,$C$5,IF(MONTH($C403)=7,$C$6,"ERROR")))),1,0)</f>
        <v>0</v>
      </c>
      <c r="F403" s="26">
        <f>VLOOKUP($C403,COS!$B$8:$H$991,7,FALSE)</f>
        <v>49.536151885986328</v>
      </c>
      <c r="G403" s="24">
        <f>IF(F403&lt;=IF(MONTH($C403)=4,$F$3,IF(MONTH($C403)=5,$F$4,IF(MONTH($C403)=6,$F$5,IF(MONTH($C403)=7,$F$6,"ERROR")))),1,0)</f>
        <v>1</v>
      </c>
      <c r="H403" s="26">
        <f>IF(J403=1,D403-$C$5,0)</f>
        <v>0</v>
      </c>
      <c r="I403" s="26">
        <f t="shared" si="558"/>
        <v>0</v>
      </c>
      <c r="J403" s="24">
        <f t="shared" si="638"/>
        <v>0</v>
      </c>
      <c r="K403" s="26">
        <f>VLOOKUP($C403,COS!$B$8:$H$991,2,FALSE)</f>
        <v>4283.341796875</v>
      </c>
      <c r="L403" s="24">
        <f t="shared" si="639"/>
        <v>1</v>
      </c>
      <c r="M403" s="24">
        <f t="shared" si="640"/>
        <v>0</v>
      </c>
      <c r="N403" s="26">
        <f>VLOOKUP($C403,COS!$B$8:$H$991,5,FALSE)</f>
        <v>838.3341064453125</v>
      </c>
      <c r="O403" s="26">
        <f t="shared" si="641"/>
        <v>49.884343524018597</v>
      </c>
      <c r="P403" s="26">
        <f>VLOOKUP($C403,COS!$B$8:$H$991,6,FALSE)</f>
        <v>2334.416015625</v>
      </c>
      <c r="Q403" s="26">
        <f t="shared" si="642"/>
        <v>138.90739927685951</v>
      </c>
      <c r="R403" s="26">
        <f>MIN(IF(MONTH($C403)=4,$S$3,IF(MONTH($C403)=5,$S$4,IF(MONTH($C403)=6,$S$5,IF(MONTH($C403)=7,$S$6,"ERROR")))),MAX(VLOOKUP($C403,COS!$B$8:$K$991,10,FALSE)-IF(MONTH($C403)=4,$Y$3,IF(MONTH($C403)=5,$Y$4,IF(MONTH($C403)=6,$Y$5,IF(MONTH($C403)=7,$Y$6,"ERROR")))),0),MAX(VLOOKUP($C403,COS!$B$8:$K$991,9,FALSE)-IF(MONTH($C403)=4,$V$3,IF(MONTH($C403)=5,$V$4,IF(MONTH($C403)=6,$V$5,IF(MONTH($C403)=7,$V$6,"ERROR"))))-VLOOKUP($C403,COS!$B$8:$K$991,6,FALSE)/2,0))</f>
        <v>1500</v>
      </c>
      <c r="S403" s="26">
        <f t="shared" si="643"/>
        <v>89.256198347107429</v>
      </c>
      <c r="T403" s="26">
        <f t="shared" si="644"/>
        <v>183.65206974754648</v>
      </c>
      <c r="U403" s="26" t="str">
        <f>IF(VLOOKUP($C403,COS!$B$8:$I$991,8,FALSE)=1,"UWFE","IBU")</f>
        <v>UWFE</v>
      </c>
      <c r="V403" s="26">
        <f t="shared" ref="V403" si="647">MIN(IF(IF($AA$3=2,AND(E403=1,G403=1,L403=1,L406=1,M403=1,U403="IBU"),AND(E403=1,G403=1,L403=1,L406=1,M403=1)),T403,0),I403)</f>
        <v>0</v>
      </c>
      <c r="W403" s="26"/>
      <c r="X403" s="26"/>
      <c r="Y403" s="26"/>
      <c r="Z403" s="26"/>
      <c r="AA403" s="26"/>
      <c r="AB403" s="33"/>
    </row>
    <row r="404" spans="1:28" x14ac:dyDescent="0.3">
      <c r="A404" s="32">
        <f>VLOOKUP(YEAR(C404),Flags!$A$13:$B$95,2,FALSE)</f>
        <v>1</v>
      </c>
      <c r="B404" s="24">
        <f t="shared" si="637"/>
        <v>1965</v>
      </c>
      <c r="C404" s="25">
        <v>23954</v>
      </c>
      <c r="D404" s="26">
        <f>VLOOKUP($C404,COS!$B$8:$H$991,3,FALSE)</f>
        <v>16000</v>
      </c>
      <c r="E404" s="24">
        <f>IF(D404&gt;=IF(MONTH($C404)=4,$C$3,IF(MONTH($C404)=5,$C$4,IF(MONTH($C404)=6,$C$5,IF(MONTH($C404)=7,$C$6,"ERROR")))),1,0)</f>
        <v>1</v>
      </c>
      <c r="F404" s="26">
        <f>VLOOKUP($C404,COS!$B$8:$H$991,7,FALSE)</f>
        <v>49.443107604980469</v>
      </c>
      <c r="G404" s="24">
        <f>IF(F404&lt;=IF(MONTH($C404)=4,$F$3,IF(MONTH($C404)=5,$F$4,IF(MONTH($C404)=6,$F$5,IF(MONTH($C404)=7,$F$6,"ERROR")))),1,0)</f>
        <v>1</v>
      </c>
      <c r="H404" s="26">
        <f>IF(J404=1,D404-$C$6,0)</f>
        <v>4000</v>
      </c>
      <c r="I404" s="26">
        <f t="shared" si="558"/>
        <v>245.95041322314049</v>
      </c>
      <c r="J404" s="24">
        <f t="shared" si="638"/>
        <v>1</v>
      </c>
      <c r="K404" s="26">
        <f>VLOOKUP($C404,COS!$B$8:$H$991,2,FALSE)</f>
        <v>3588.650146484375</v>
      </c>
      <c r="L404" s="24">
        <f t="shared" si="639"/>
        <v>1</v>
      </c>
      <c r="M404" s="24">
        <f t="shared" si="640"/>
        <v>0</v>
      </c>
      <c r="N404" s="26">
        <f>VLOOKUP($C404,COS!$B$8:$H$991,5,FALSE)</f>
        <v>922.08319091796875</v>
      </c>
      <c r="O404" s="26">
        <f t="shared" si="641"/>
        <v>56.696685458096589</v>
      </c>
      <c r="P404" s="26">
        <f>VLOOKUP($C404,COS!$B$8:$H$991,6,FALSE)</f>
        <v>2612.073486328125</v>
      </c>
      <c r="Q404" s="26">
        <f t="shared" si="642"/>
        <v>160.61013833290289</v>
      </c>
      <c r="R404" s="26">
        <f>MIN(IF(MONTH($C404)=4,$S$3,IF(MONTH($C404)=5,$S$4,IF(MONTH($C404)=6,$S$5,IF(MONTH($C404)=7,$S$6,"ERROR")))),MAX(VLOOKUP($C404,COS!$B$8:$K$991,10,FALSE)-IF(MONTH($C404)=4,$Y$3,IF(MONTH($C404)=5,$Y$4,IF(MONTH($C404)=6,$Y$5,IF(MONTH($C404)=7,$Y$6,"ERROR")))),0),MAX(VLOOKUP($C404,COS!$B$8:$K$991,9,FALSE)-IF(MONTH($C404)=4,$V$3,IF(MONTH($C404)=5,$V$4,IF(MONTH($C404)=6,$V$5,IF(MONTH($C404)=7,$V$6,"ERROR"))))-VLOOKUP($C404,COS!$B$8:$K$991,6,FALSE)/2,0))</f>
        <v>1500</v>
      </c>
      <c r="S404" s="26">
        <f t="shared" si="643"/>
        <v>92.231404958677686</v>
      </c>
      <c r="T404" s="26">
        <f t="shared" si="644"/>
        <v>200.88481685417742</v>
      </c>
      <c r="U404" s="26" t="str">
        <f>IF(VLOOKUP($C404,COS!$B$8:$I$991,8,FALSE)=1,"UWFE","IBU")</f>
        <v>IBU</v>
      </c>
      <c r="V404" s="26">
        <f t="shared" ref="V404" si="648">MIN(IF(IF($AA$3=2,AND(E404=1,G404=1,L404=1,L406=1,M404=1,U404="IBU"),AND(E404=1,G404=1,L404=1,L406=1,M404=1)),T404,0),I404)</f>
        <v>0</v>
      </c>
      <c r="W404" s="26"/>
      <c r="X404" s="26"/>
      <c r="Y404" s="26"/>
      <c r="Z404" s="26"/>
      <c r="AA404" s="26"/>
      <c r="AB404" s="33"/>
    </row>
    <row r="405" spans="1:28" x14ac:dyDescent="0.3">
      <c r="A405" s="32">
        <f>VLOOKUP(YEAR(C405),Flags!$A$13:$B$95,2,FALSE)</f>
        <v>1</v>
      </c>
      <c r="B405" s="24">
        <f t="shared" si="637"/>
        <v>1965</v>
      </c>
      <c r="C405" s="25">
        <v>23985</v>
      </c>
      <c r="D405" s="26"/>
      <c r="E405" s="24"/>
      <c r="F405" s="26"/>
      <c r="G405" s="24"/>
      <c r="H405" s="24"/>
      <c r="I405" s="26"/>
      <c r="J405" s="24"/>
      <c r="K405" s="26"/>
      <c r="L405" s="24"/>
      <c r="M405" s="24"/>
      <c r="N405" s="26"/>
      <c r="O405" s="26"/>
      <c r="P405" s="26"/>
      <c r="Q405" s="26"/>
      <c r="R405" s="26"/>
      <c r="S405" s="26"/>
      <c r="T405" s="26"/>
      <c r="U405" s="26"/>
      <c r="V405" s="26"/>
      <c r="W405" s="26">
        <f>MAX($C$7-VLOOKUP($C405,COS!$B$8:$H$991,3,FALSE),0)</f>
        <v>91045.6005859375</v>
      </c>
      <c r="X405" s="26">
        <f t="shared" si="562"/>
        <v>5598.1757715650829</v>
      </c>
      <c r="Y405" s="26">
        <f>VLOOKUP($C405,COS!$B$8:$H$991,4,FALSE)</f>
        <v>0</v>
      </c>
      <c r="Z405" s="26">
        <f t="shared" si="563"/>
        <v>0</v>
      </c>
      <c r="AA405" s="26">
        <f t="shared" ref="AA405:AA409" si="649">MIN(W405,Y405)</f>
        <v>0</v>
      </c>
      <c r="AB405" s="33">
        <f t="shared" ref="AB405:AB463" si="650">AA405*DAY($C405)*86400/43560/1000*IF(MONTH($C405)=8,$P$3,IF(MONTH($C405)=9,$P$4,IF(MONTH($C405)=10,$P$5,IF(MONTH($C405)=11,$P$6,IF(MONTH($C405)=12,$P$7,NA())))))</f>
        <v>0</v>
      </c>
    </row>
    <row r="406" spans="1:28" x14ac:dyDescent="0.3">
      <c r="A406" s="32">
        <f>VLOOKUP(YEAR(C406),Flags!$A$13:$B$95,2,FALSE)</f>
        <v>1</v>
      </c>
      <c r="B406" s="24">
        <f t="shared" si="637"/>
        <v>1965</v>
      </c>
      <c r="C406" s="25">
        <v>24015</v>
      </c>
      <c r="D406" s="26"/>
      <c r="E406" s="24"/>
      <c r="F406" s="26"/>
      <c r="G406" s="24"/>
      <c r="H406" s="24"/>
      <c r="I406" s="26"/>
      <c r="J406" s="24"/>
      <c r="K406" s="26">
        <f>VLOOKUP($C406,COS!$B$8:$H$991,2,FALSE)</f>
        <v>2849.32861328125</v>
      </c>
      <c r="L406" s="24">
        <f t="shared" ref="L406" si="651">IF(AND(K406&gt;$I$7,K406&lt;$I$8),1,0)</f>
        <v>1</v>
      </c>
      <c r="M406" s="24"/>
      <c r="N406" s="26"/>
      <c r="O406" s="26"/>
      <c r="P406" s="26"/>
      <c r="Q406" s="26"/>
      <c r="R406" s="26"/>
      <c r="S406" s="26"/>
      <c r="T406" s="26"/>
      <c r="U406" s="26"/>
      <c r="V406" s="26"/>
      <c r="W406" s="26">
        <f>MAX($C$8-VLOOKUP($C406,COS!$B$8:$H$991,3,FALSE),0)</f>
        <v>86410.6357421875</v>
      </c>
      <c r="X406" s="26">
        <f t="shared" si="562"/>
        <v>5141.7898954028924</v>
      </c>
      <c r="Y406" s="26">
        <f>VLOOKUP($C406,COS!$B$8:$H$991,4,FALSE)</f>
        <v>0</v>
      </c>
      <c r="Z406" s="26">
        <f t="shared" si="563"/>
        <v>0</v>
      </c>
      <c r="AA406" s="26">
        <f t="shared" si="649"/>
        <v>0</v>
      </c>
      <c r="AB406" s="33">
        <f t="shared" si="650"/>
        <v>0</v>
      </c>
    </row>
    <row r="407" spans="1:28" x14ac:dyDescent="0.3">
      <c r="A407" s="32">
        <f>VLOOKUP(YEAR(C407),Flags!$A$13:$B$95,2,FALSE)</f>
        <v>1</v>
      </c>
      <c r="B407" s="24">
        <f t="shared" si="637"/>
        <v>1965</v>
      </c>
      <c r="C407" s="25">
        <v>24046</v>
      </c>
      <c r="D407" s="26"/>
      <c r="E407" s="24"/>
      <c r="F407" s="26"/>
      <c r="G407" s="26"/>
      <c r="H407" s="26"/>
      <c r="I407" s="26"/>
      <c r="J407" s="26"/>
      <c r="K407" s="26"/>
      <c r="L407" s="24"/>
      <c r="M407" s="24"/>
      <c r="N407" s="26"/>
      <c r="O407" s="26"/>
      <c r="P407" s="26"/>
      <c r="Q407" s="26"/>
      <c r="R407" s="26"/>
      <c r="S407" s="26"/>
      <c r="T407" s="26"/>
      <c r="U407" s="26"/>
      <c r="V407" s="26"/>
      <c r="W407" s="26">
        <f>MAX($C$9-VLOOKUP($C407,COS!$B$8:$H$991,3,FALSE),0)</f>
        <v>91501.974609375</v>
      </c>
      <c r="X407" s="26">
        <f t="shared" si="562"/>
        <v>5626.2371164772721</v>
      </c>
      <c r="Y407" s="26">
        <f>VLOOKUP($C407,COS!$B$8:$H$991,4,FALSE)</f>
        <v>958.20550537109375</v>
      </c>
      <c r="Z407" s="26">
        <f t="shared" si="563"/>
        <v>58.917759999677166</v>
      </c>
      <c r="AA407" s="26">
        <f t="shared" si="649"/>
        <v>958.20550537109375</v>
      </c>
      <c r="AB407" s="33">
        <f t="shared" si="650"/>
        <v>58.917759999677166</v>
      </c>
    </row>
    <row r="408" spans="1:28" x14ac:dyDescent="0.3">
      <c r="A408" s="32">
        <f>VLOOKUP(YEAR(C408),Flags!$A$13:$B$95,2,FALSE)</f>
        <v>1</v>
      </c>
      <c r="B408" s="24">
        <f t="shared" si="637"/>
        <v>1965</v>
      </c>
      <c r="C408" s="25">
        <v>24076</v>
      </c>
      <c r="D408" s="26"/>
      <c r="E408" s="24"/>
      <c r="F408" s="26"/>
      <c r="G408" s="26"/>
      <c r="H408" s="26"/>
      <c r="I408" s="26"/>
      <c r="J408" s="26"/>
      <c r="K408" s="26"/>
      <c r="L408" s="24"/>
      <c r="M408" s="24"/>
      <c r="N408" s="26"/>
      <c r="O408" s="26"/>
      <c r="P408" s="26"/>
      <c r="Q408" s="26"/>
      <c r="R408" s="26"/>
      <c r="S408" s="26"/>
      <c r="T408" s="26"/>
      <c r="U408" s="26"/>
      <c r="V408" s="26"/>
      <c r="W408" s="26">
        <f>MAX($C$10-VLOOKUP($C408,COS!$B$8:$H$991,3,FALSE),0)</f>
        <v>92705.76025390625</v>
      </c>
      <c r="X408" s="26">
        <f t="shared" si="562"/>
        <v>5516.3758167613632</v>
      </c>
      <c r="Y408" s="26">
        <f>VLOOKUP($C408,COS!$B$8:$H$991,4,FALSE)</f>
        <v>425.12249755859375</v>
      </c>
      <c r="Z408" s="26">
        <f t="shared" si="563"/>
        <v>25.296545309271693</v>
      </c>
      <c r="AA408" s="26">
        <f t="shared" si="649"/>
        <v>425.12249755859375</v>
      </c>
      <c r="AB408" s="33">
        <f t="shared" si="650"/>
        <v>12.648272654635846</v>
      </c>
    </row>
    <row r="409" spans="1:28" x14ac:dyDescent="0.3">
      <c r="A409" s="34">
        <f>VLOOKUP(YEAR(C409),Flags!$A$13:$B$95,2,FALSE)</f>
        <v>1</v>
      </c>
      <c r="B409" s="35">
        <f t="shared" si="637"/>
        <v>1965</v>
      </c>
      <c r="C409" s="36">
        <v>24107</v>
      </c>
      <c r="D409" s="37"/>
      <c r="E409" s="35"/>
      <c r="F409" s="37"/>
      <c r="G409" s="37"/>
      <c r="H409" s="37"/>
      <c r="I409" s="37"/>
      <c r="J409" s="37"/>
      <c r="K409" s="37"/>
      <c r="L409" s="35"/>
      <c r="M409" s="35"/>
      <c r="N409" s="37"/>
      <c r="O409" s="37"/>
      <c r="P409" s="37"/>
      <c r="Q409" s="37"/>
      <c r="R409" s="37"/>
      <c r="S409" s="37"/>
      <c r="T409" s="37"/>
      <c r="U409" s="37"/>
      <c r="V409" s="37"/>
      <c r="W409" s="37">
        <f>MAX($C$11-VLOOKUP($C409,COS!$B$8:$H$991,3,FALSE),0)</f>
        <v>0</v>
      </c>
      <c r="X409" s="37">
        <f t="shared" si="562"/>
        <v>0</v>
      </c>
      <c r="Y409" s="37">
        <f>VLOOKUP($C409,COS!$B$8:$H$991,4,FALSE)</f>
        <v>0</v>
      </c>
      <c r="Z409" s="37">
        <f t="shared" si="563"/>
        <v>0</v>
      </c>
      <c r="AA409" s="37">
        <f t="shared" si="649"/>
        <v>0</v>
      </c>
      <c r="AB409" s="38">
        <f t="shared" si="650"/>
        <v>0</v>
      </c>
    </row>
    <row r="410" spans="1:28" x14ac:dyDescent="0.3">
      <c r="A410" s="27">
        <f>VLOOKUP(YEAR(C410),Flags!$A$13:$B$95,2,FALSE)</f>
        <v>3</v>
      </c>
      <c r="B410" s="28">
        <f t="shared" si="637"/>
        <v>1966</v>
      </c>
      <c r="C410" s="29">
        <v>24227</v>
      </c>
      <c r="D410" s="30">
        <f>VLOOKUP($C410,COS!$B$8:$H$991,3,FALSE)</f>
        <v>4292.888671875</v>
      </c>
      <c r="E410" s="28">
        <f>IF(D410&gt;=IF(MONTH($C410)=4,$C$3,IF(MONTH($C410)=5,$C$4,IF(MONTH($C410)=6,$C$5,IF(MONTH($C410)=7,$C$6,"ERROR")))),1,0)</f>
        <v>0</v>
      </c>
      <c r="F410" s="30">
        <f>VLOOKUP($C410,COS!$B$8:$H$991,7,FALSE)</f>
        <v>49.869205474853516</v>
      </c>
      <c r="G410" s="28">
        <f>IF(F410&lt;=IF(MONTH($C410)=4,$F$3,IF(MONTH($C410)=5,$F$4,IF(MONTH($C410)=6,$F$5,IF(MONTH($C410)=7,$F$6,"ERROR")))),1,0)</f>
        <v>1</v>
      </c>
      <c r="H410" s="30">
        <f>IF(J410=1,D410-$C$3,0)</f>
        <v>0</v>
      </c>
      <c r="I410" s="30">
        <f t="shared" si="558"/>
        <v>0</v>
      </c>
      <c r="J410" s="28">
        <f t="shared" ref="J410:J413" si="652">IF(AND(E410=1,G410=1),1,0)</f>
        <v>0</v>
      </c>
      <c r="K410" s="30">
        <f>VLOOKUP($C410,COS!$B$8:$H$991,2,FALSE)</f>
        <v>4552</v>
      </c>
      <c r="L410" s="28">
        <f t="shared" ref="L410" si="653">IF(K410&lt;=IF(MONTH($C410)=4,$I$3,IF(MONTH($C410)=5,$I$4,IF(MONTH($C410)=6,$I$5,IF(MONTH($C410)=7,$I$6,"ERROR")))),1,0)</f>
        <v>1</v>
      </c>
      <c r="M410" s="28">
        <f t="shared" ref="M410" si="654">VLOOKUP($A410,$L$3:$M$7,2,FALSE)</f>
        <v>0</v>
      </c>
      <c r="N410" s="30">
        <f>VLOOKUP($C410,COS!$B$8:$H$991,5,FALSE)</f>
        <v>529.82769775390625</v>
      </c>
      <c r="O410" s="30">
        <f t="shared" ref="O410:O413" si="655">N410*DAY($C410)*86400/43560/1000</f>
        <v>31.526937387009298</v>
      </c>
      <c r="P410" s="30">
        <f>VLOOKUP($C410,COS!$B$8:$H$991,6,FALSE)</f>
        <v>552.3431396484375</v>
      </c>
      <c r="Q410" s="30">
        <f t="shared" ref="Q410:Q413" si="656">P410*DAY($C410)*86400/43560/1000</f>
        <v>32.86669921875</v>
      </c>
      <c r="R410" s="30">
        <f>MIN(IF(MONTH($C410)=4,$S$3,IF(MONTH($C410)=5,$S$4,IF(MONTH($C410)=6,$S$5,IF(MONTH($C410)=7,$S$6,"ERROR")))),MAX(VLOOKUP($C410,COS!$B$8:$K$991,10,FALSE)-IF(MONTH($C410)=4,$Y$3,IF(MONTH($C410)=5,$Y$4,IF(MONTH($C410)=6,$Y$5,IF(MONTH($C410)=7,$Y$6,"ERROR")))),0),MAX(VLOOKUP($C410,COS!$B$8:$K$991,9,FALSE)-IF(MONTH($C410)=4,$V$3,IF(MONTH($C410)=5,$V$4,IF(MONTH($C410)=6,$V$5,IF(MONTH($C410)=7,$V$6,"ERROR"))))-VLOOKUP($C410,COS!$B$8:$K$991,6,FALSE)/2,0))</f>
        <v>1500</v>
      </c>
      <c r="S410" s="30">
        <f t="shared" ref="S410:S413" si="657">R410*DAY($C410)*86400/43560/1000</f>
        <v>89.256198347107429</v>
      </c>
      <c r="T410" s="30">
        <f t="shared" ref="T410:T413" si="658">(O410+Q410)/2+S410</f>
        <v>121.45301664998708</v>
      </c>
      <c r="U410" s="30" t="str">
        <f>IF(VLOOKUP($C410,COS!$B$8:$I$991,8,FALSE)=1,"UWFE","IBU")</f>
        <v>UWFE</v>
      </c>
      <c r="V410" s="30">
        <f t="shared" ref="V410" si="659">MIN(IF(IF($AA$3=2,AND(E410=1,G410=1,L410=1,L415=1,M410=1,U410="IBU"),AND(E410=1,G410=1,L410=1,L415=1,M410=1)),T410,0),I410)</f>
        <v>0</v>
      </c>
      <c r="W410" s="30"/>
      <c r="X410" s="30"/>
      <c r="Y410" s="30"/>
      <c r="Z410" s="30"/>
      <c r="AA410" s="30"/>
      <c r="AB410" s="31"/>
    </row>
    <row r="411" spans="1:28" x14ac:dyDescent="0.3">
      <c r="A411" s="32">
        <f>VLOOKUP(YEAR(C411),Flags!$A$13:$B$95,2,FALSE)</f>
        <v>3</v>
      </c>
      <c r="B411" s="24">
        <f t="shared" si="637"/>
        <v>1966</v>
      </c>
      <c r="C411" s="25">
        <v>24258</v>
      </c>
      <c r="D411" s="26">
        <f>VLOOKUP($C411,COS!$B$8:$H$991,3,FALSE)</f>
        <v>8730.6591796875</v>
      </c>
      <c r="E411" s="24">
        <f>IF(D411&gt;=IF(MONTH($C411)=4,$C$3,IF(MONTH($C411)=5,$C$4,IF(MONTH($C411)=6,$C$5,IF(MONTH($C411)=7,$C$6,"ERROR")))),1,0)</f>
        <v>1</v>
      </c>
      <c r="F411" s="26">
        <f>VLOOKUP($C411,COS!$B$8:$H$991,7,FALSE)</f>
        <v>49.472553253173828</v>
      </c>
      <c r="G411" s="24">
        <f>IF(F411&lt;=IF(MONTH($C411)=4,$F$3,IF(MONTH($C411)=5,$F$4,IF(MONTH($C411)=6,$F$5,IF(MONTH($C411)=7,$F$6,"ERROR")))),1,0)</f>
        <v>1</v>
      </c>
      <c r="H411" s="26">
        <f>IF(J411=1,D411-$C$4,0)</f>
        <v>2730.6591796875</v>
      </c>
      <c r="I411" s="26">
        <f t="shared" si="558"/>
        <v>167.90168840392562</v>
      </c>
      <c r="J411" s="24">
        <f t="shared" si="652"/>
        <v>1</v>
      </c>
      <c r="K411" s="26">
        <f>VLOOKUP($C411,COS!$B$8:$H$991,2,FALSE)</f>
        <v>4347.7724609375</v>
      </c>
      <c r="L411" s="24">
        <f t="shared" si="639"/>
        <v>1</v>
      </c>
      <c r="M411" s="24">
        <f t="shared" si="640"/>
        <v>0</v>
      </c>
      <c r="N411" s="26">
        <f>VLOOKUP($C411,COS!$B$8:$H$991,5,FALSE)</f>
        <v>640.74652099609375</v>
      </c>
      <c r="O411" s="26">
        <f t="shared" si="655"/>
        <v>39.397967902569732</v>
      </c>
      <c r="P411" s="26">
        <f>VLOOKUP($C411,COS!$B$8:$H$991,6,FALSE)</f>
        <v>2340.425048828125</v>
      </c>
      <c r="Q411" s="26">
        <f t="shared" si="656"/>
        <v>143.90712696926653</v>
      </c>
      <c r="R411" s="26">
        <f>MIN(IF(MONTH($C411)=4,$S$3,IF(MONTH($C411)=5,$S$4,IF(MONTH($C411)=6,$S$5,IF(MONTH($C411)=7,$S$6,"ERROR")))),MAX(VLOOKUP($C411,COS!$B$8:$K$991,10,FALSE)-IF(MONTH($C411)=4,$Y$3,IF(MONTH($C411)=5,$Y$4,IF(MONTH($C411)=6,$Y$5,IF(MONTH($C411)=7,$Y$6,"ERROR")))),0),MAX(VLOOKUP($C411,COS!$B$8:$K$991,9,FALSE)-IF(MONTH($C411)=4,$V$3,IF(MONTH($C411)=5,$V$4,IF(MONTH($C411)=6,$V$5,IF(MONTH($C411)=7,$V$6,"ERROR"))))-VLOOKUP($C411,COS!$B$8:$K$991,6,FALSE)/2,0))</f>
        <v>1500</v>
      </c>
      <c r="S411" s="26">
        <f t="shared" si="657"/>
        <v>92.231404958677686</v>
      </c>
      <c r="T411" s="26">
        <f t="shared" si="658"/>
        <v>183.88395239459584</v>
      </c>
      <c r="U411" s="26" t="str">
        <f>IF(VLOOKUP($C411,COS!$B$8:$I$991,8,FALSE)=1,"UWFE","IBU")</f>
        <v>IBU</v>
      </c>
      <c r="V411" s="26">
        <f t="shared" ref="V411" si="660">MIN(IF(IF($AA$3=2,AND(E411=1,G411=1,L411=1,L415=1,M411=1,U411="IBU"),AND(E411=1,G411=1,L411=1,L415=1,M411=1)),T411,0),I411)</f>
        <v>0</v>
      </c>
      <c r="W411" s="26"/>
      <c r="X411" s="26"/>
      <c r="Y411" s="26"/>
      <c r="Z411" s="26"/>
      <c r="AA411" s="26"/>
      <c r="AB411" s="33"/>
    </row>
    <row r="412" spans="1:28" x14ac:dyDescent="0.3">
      <c r="A412" s="32">
        <f>VLOOKUP(YEAR(C412),Flags!$A$13:$B$95,2,FALSE)</f>
        <v>3</v>
      </c>
      <c r="B412" s="24">
        <f t="shared" si="637"/>
        <v>1966</v>
      </c>
      <c r="C412" s="25">
        <v>24288</v>
      </c>
      <c r="D412" s="26">
        <f>VLOOKUP($C412,COS!$B$8:$H$991,3,FALSE)</f>
        <v>13508.86328125</v>
      </c>
      <c r="E412" s="24">
        <f>IF(D412&gt;=IF(MONTH($C412)=4,$C$3,IF(MONTH($C412)=5,$C$4,IF(MONTH($C412)=6,$C$5,IF(MONTH($C412)=7,$C$6,"ERROR")))),1,0)</f>
        <v>1</v>
      </c>
      <c r="F412" s="26">
        <f>VLOOKUP($C412,COS!$B$8:$H$991,7,FALSE)</f>
        <v>49.86444091796875</v>
      </c>
      <c r="G412" s="24">
        <f>IF(F412&lt;=IF(MONTH($C412)=4,$F$3,IF(MONTH($C412)=5,$F$4,IF(MONTH($C412)=6,$F$5,IF(MONTH($C412)=7,$F$6,"ERROR")))),1,0)</f>
        <v>1</v>
      </c>
      <c r="H412" s="26">
        <f>IF(J412=1,D412-$C$5,0)</f>
        <v>3508.86328125</v>
      </c>
      <c r="I412" s="26">
        <f t="shared" ref="I412:I475" si="661">H412*DAY($C412)*86400/43560/1000</f>
        <v>208.79186466942147</v>
      </c>
      <c r="J412" s="24">
        <f t="shared" si="652"/>
        <v>1</v>
      </c>
      <c r="K412" s="26">
        <f>VLOOKUP($C412,COS!$B$8:$H$991,2,FALSE)</f>
        <v>3800.234375</v>
      </c>
      <c r="L412" s="24">
        <f t="shared" si="639"/>
        <v>1</v>
      </c>
      <c r="M412" s="24">
        <f t="shared" si="640"/>
        <v>0</v>
      </c>
      <c r="N412" s="26">
        <f>VLOOKUP($C412,COS!$B$8:$H$991,5,FALSE)</f>
        <v>770.628173828125</v>
      </c>
      <c r="O412" s="26">
        <f t="shared" si="655"/>
        <v>45.85556075671488</v>
      </c>
      <c r="P412" s="26">
        <f>VLOOKUP($C412,COS!$B$8:$H$991,6,FALSE)</f>
        <v>2661.6142578125</v>
      </c>
      <c r="Q412" s="26">
        <f t="shared" si="656"/>
        <v>158.37704674586777</v>
      </c>
      <c r="R412" s="26">
        <f>MIN(IF(MONTH($C412)=4,$S$3,IF(MONTH($C412)=5,$S$4,IF(MONTH($C412)=6,$S$5,IF(MONTH($C412)=7,$S$6,"ERROR")))),MAX(VLOOKUP($C412,COS!$B$8:$K$991,10,FALSE)-IF(MONTH($C412)=4,$Y$3,IF(MONTH($C412)=5,$Y$4,IF(MONTH($C412)=6,$Y$5,IF(MONTH($C412)=7,$Y$6,"ERROR")))),0),MAX(VLOOKUP($C412,COS!$B$8:$K$991,9,FALSE)-IF(MONTH($C412)=4,$V$3,IF(MONTH($C412)=5,$V$4,IF(MONTH($C412)=6,$V$5,IF(MONTH($C412)=7,$V$6,"ERROR"))))-VLOOKUP($C412,COS!$B$8:$K$991,6,FALSE)/2,0))</f>
        <v>1500</v>
      </c>
      <c r="S412" s="26">
        <f t="shared" si="657"/>
        <v>89.256198347107429</v>
      </c>
      <c r="T412" s="26">
        <f t="shared" si="658"/>
        <v>191.37250209839874</v>
      </c>
      <c r="U412" s="26" t="str">
        <f>IF(VLOOKUP($C412,COS!$B$8:$I$991,8,FALSE)=1,"UWFE","IBU")</f>
        <v>IBU</v>
      </c>
      <c r="V412" s="26">
        <f t="shared" ref="V412" si="662">MIN(IF(IF($AA$3=2,AND(E412=1,G412=1,L412=1,L415=1,M412=1,U412="IBU"),AND(E412=1,G412=1,L412=1,L415=1,M412=1)),T412,0),I412)</f>
        <v>0</v>
      </c>
      <c r="W412" s="26"/>
      <c r="X412" s="26"/>
      <c r="Y412" s="26"/>
      <c r="Z412" s="26"/>
      <c r="AA412" s="26"/>
      <c r="AB412" s="33"/>
    </row>
    <row r="413" spans="1:28" x14ac:dyDescent="0.3">
      <c r="A413" s="32">
        <f>VLOOKUP(YEAR(C413),Flags!$A$13:$B$95,2,FALSE)</f>
        <v>3</v>
      </c>
      <c r="B413" s="24">
        <f t="shared" si="637"/>
        <v>1966</v>
      </c>
      <c r="C413" s="25">
        <v>24319</v>
      </c>
      <c r="D413" s="26">
        <f>VLOOKUP($C413,COS!$B$8:$H$991,3,FALSE)</f>
        <v>16000</v>
      </c>
      <c r="E413" s="24">
        <f>IF(D413&gt;=IF(MONTH($C413)=4,$C$3,IF(MONTH($C413)=5,$C$4,IF(MONTH($C413)=6,$C$5,IF(MONTH($C413)=7,$C$6,"ERROR")))),1,0)</f>
        <v>1</v>
      </c>
      <c r="F413" s="26">
        <f>VLOOKUP($C413,COS!$B$8:$H$991,7,FALSE)</f>
        <v>50.834873199462891</v>
      </c>
      <c r="G413" s="24">
        <f>IF(F413&lt;=IF(MONTH($C413)=4,$F$3,IF(MONTH($C413)=5,$F$4,IF(MONTH($C413)=6,$F$5,IF(MONTH($C413)=7,$F$6,"ERROR")))),1,0)</f>
        <v>1</v>
      </c>
      <c r="H413" s="26">
        <f>IF(J413=1,D413-$C$6,0)</f>
        <v>4000</v>
      </c>
      <c r="I413" s="26">
        <f t="shared" si="661"/>
        <v>245.95041322314049</v>
      </c>
      <c r="J413" s="24">
        <f t="shared" si="652"/>
        <v>1</v>
      </c>
      <c r="K413" s="26">
        <f>VLOOKUP($C413,COS!$B$8:$H$991,2,FALSE)</f>
        <v>3119.609375</v>
      </c>
      <c r="L413" s="24">
        <f t="shared" si="639"/>
        <v>1</v>
      </c>
      <c r="M413" s="24">
        <f t="shared" si="640"/>
        <v>0</v>
      </c>
      <c r="N413" s="26">
        <f>VLOOKUP($C413,COS!$B$8:$H$991,5,FALSE)</f>
        <v>838.9403076171875</v>
      </c>
      <c r="O413" s="26">
        <f t="shared" si="655"/>
        <v>51.584428831998963</v>
      </c>
      <c r="P413" s="26">
        <f>VLOOKUP($C413,COS!$B$8:$H$991,6,FALSE)</f>
        <v>2521.163330078125</v>
      </c>
      <c r="Q413" s="26">
        <f t="shared" si="656"/>
        <v>155.02029070893593</v>
      </c>
      <c r="R413" s="26">
        <f>MIN(IF(MONTH($C413)=4,$S$3,IF(MONTH($C413)=5,$S$4,IF(MONTH($C413)=6,$S$5,IF(MONTH($C413)=7,$S$6,"ERROR")))),MAX(VLOOKUP($C413,COS!$B$8:$K$991,10,FALSE)-IF(MONTH($C413)=4,$Y$3,IF(MONTH($C413)=5,$Y$4,IF(MONTH($C413)=6,$Y$5,IF(MONTH($C413)=7,$Y$6,"ERROR")))),0),MAX(VLOOKUP($C413,COS!$B$8:$K$991,9,FALSE)-IF(MONTH($C413)=4,$V$3,IF(MONTH($C413)=5,$V$4,IF(MONTH($C413)=6,$V$5,IF(MONTH($C413)=7,$V$6,"ERROR"))))-VLOOKUP($C413,COS!$B$8:$K$991,6,FALSE)/2,0))</f>
        <v>1500</v>
      </c>
      <c r="S413" s="26">
        <f t="shared" si="657"/>
        <v>92.231404958677686</v>
      </c>
      <c r="T413" s="26">
        <f t="shared" si="658"/>
        <v>195.53376472914513</v>
      </c>
      <c r="U413" s="26" t="str">
        <f>IF(VLOOKUP($C413,COS!$B$8:$I$991,8,FALSE)=1,"UWFE","IBU")</f>
        <v>IBU</v>
      </c>
      <c r="V413" s="26">
        <f t="shared" ref="V413" si="663">MIN(IF(IF($AA$3=2,AND(E413=1,G413=1,L413=1,L415=1,M413=1,U413="IBU"),AND(E413=1,G413=1,L413=1,L415=1,M413=1)),T413,0),I413)</f>
        <v>0</v>
      </c>
      <c r="W413" s="26"/>
      <c r="X413" s="26"/>
      <c r="Y413" s="26"/>
      <c r="Z413" s="26"/>
      <c r="AA413" s="26"/>
      <c r="AB413" s="33"/>
    </row>
    <row r="414" spans="1:28" x14ac:dyDescent="0.3">
      <c r="A414" s="32">
        <f>VLOOKUP(YEAR(C414),Flags!$A$13:$B$95,2,FALSE)</f>
        <v>3</v>
      </c>
      <c r="B414" s="24">
        <f t="shared" si="637"/>
        <v>1966</v>
      </c>
      <c r="C414" s="25">
        <v>24350</v>
      </c>
      <c r="D414" s="26"/>
      <c r="E414" s="24"/>
      <c r="F414" s="26"/>
      <c r="G414" s="24"/>
      <c r="H414" s="24"/>
      <c r="I414" s="26"/>
      <c r="J414" s="24"/>
      <c r="K414" s="26"/>
      <c r="L414" s="24"/>
      <c r="M414" s="24"/>
      <c r="N414" s="26"/>
      <c r="O414" s="26"/>
      <c r="P414" s="26"/>
      <c r="Q414" s="26"/>
      <c r="R414" s="26"/>
      <c r="S414" s="26"/>
      <c r="T414" s="26"/>
      <c r="U414" s="26"/>
      <c r="V414" s="26"/>
      <c r="W414" s="26">
        <f>MAX($C$7-VLOOKUP($C414,COS!$B$8:$H$991,3,FALSE),0)</f>
        <v>87234.4794921875</v>
      </c>
      <c r="X414" s="26">
        <f t="shared" si="562"/>
        <v>5363.8390696022725</v>
      </c>
      <c r="Y414" s="26">
        <f>VLOOKUP($C414,COS!$B$8:$H$991,4,FALSE)</f>
        <v>442.35452270507813</v>
      </c>
      <c r="Z414" s="26">
        <f t="shared" si="563"/>
        <v>27.199319412609761</v>
      </c>
      <c r="AA414" s="26">
        <f t="shared" ref="AA414:AA418" si="664">MIN(W414,Y414)</f>
        <v>442.35452270507813</v>
      </c>
      <c r="AB414" s="33">
        <f t="shared" ref="AB414" si="665">AA414*DAY($C414)*86400/43560/1000*IF(MONTH($C414)=8,$P$3,IF(MONTH($C414)=9,$P$4,IF(MONTH($C414)=10,$P$5,IF(MONTH($C414)=11,$P$6,IF(MONTH($C414)=12,$P$7,NA())))))</f>
        <v>27.199319412609761</v>
      </c>
    </row>
    <row r="415" spans="1:28" x14ac:dyDescent="0.3">
      <c r="A415" s="32">
        <f>VLOOKUP(YEAR(C415),Flags!$A$13:$B$95,2,FALSE)</f>
        <v>3</v>
      </c>
      <c r="B415" s="24">
        <f t="shared" si="637"/>
        <v>1966</v>
      </c>
      <c r="C415" s="25">
        <v>24380</v>
      </c>
      <c r="D415" s="26"/>
      <c r="E415" s="24"/>
      <c r="F415" s="26"/>
      <c r="G415" s="24"/>
      <c r="H415" s="24"/>
      <c r="I415" s="26"/>
      <c r="J415" s="24"/>
      <c r="K415" s="26">
        <f>VLOOKUP($C415,COS!$B$8:$H$991,2,FALSE)</f>
        <v>2583.3671875</v>
      </c>
      <c r="L415" s="24">
        <f t="shared" ref="L415" si="666">IF(AND(K415&gt;$I$7,K415&lt;$I$8),1,0)</f>
        <v>1</v>
      </c>
      <c r="M415" s="24"/>
      <c r="N415" s="26"/>
      <c r="O415" s="26"/>
      <c r="P415" s="26"/>
      <c r="Q415" s="26"/>
      <c r="R415" s="26"/>
      <c r="S415" s="26"/>
      <c r="T415" s="26"/>
      <c r="U415" s="26"/>
      <c r="V415" s="26"/>
      <c r="W415" s="26">
        <f>MAX($C$8-VLOOKUP($C415,COS!$B$8:$H$991,3,FALSE),0)</f>
        <v>92546.88525390625</v>
      </c>
      <c r="X415" s="26">
        <f t="shared" ref="X415:X478" si="667">W415*DAY($C415)*86400/43560/1000</f>
        <v>5506.9220977530995</v>
      </c>
      <c r="Y415" s="26">
        <f>VLOOKUP($C415,COS!$B$8:$H$991,4,FALSE)</f>
        <v>418.4725341796875</v>
      </c>
      <c r="Z415" s="26">
        <f t="shared" ref="Z415:Z478" si="668">Y415*DAY($C415)*86400/43560/1000</f>
        <v>24.900845009039259</v>
      </c>
      <c r="AA415" s="26">
        <f t="shared" si="664"/>
        <v>418.4725341796875</v>
      </c>
      <c r="AB415" s="33">
        <f t="shared" si="650"/>
        <v>24.900845009039259</v>
      </c>
    </row>
    <row r="416" spans="1:28" x14ac:dyDescent="0.3">
      <c r="A416" s="32">
        <f>VLOOKUP(YEAR(C416),Flags!$A$13:$B$95,2,FALSE)</f>
        <v>3</v>
      </c>
      <c r="B416" s="24">
        <f t="shared" si="637"/>
        <v>1966</v>
      </c>
      <c r="C416" s="25">
        <v>24411</v>
      </c>
      <c r="D416" s="26"/>
      <c r="E416" s="24"/>
      <c r="F416" s="26"/>
      <c r="G416" s="26"/>
      <c r="H416" s="26"/>
      <c r="I416" s="26"/>
      <c r="J416" s="26"/>
      <c r="K416" s="26"/>
      <c r="L416" s="24"/>
      <c r="M416" s="24"/>
      <c r="N416" s="26"/>
      <c r="O416" s="26"/>
      <c r="P416" s="26"/>
      <c r="Q416" s="26"/>
      <c r="R416" s="26"/>
      <c r="S416" s="26"/>
      <c r="T416" s="26"/>
      <c r="U416" s="26"/>
      <c r="V416" s="26"/>
      <c r="W416" s="26">
        <f>MAX($C$9-VLOOKUP($C416,COS!$B$8:$H$991,3,FALSE),0)</f>
        <v>93829.6923828125</v>
      </c>
      <c r="X416" s="26">
        <f t="shared" si="667"/>
        <v>5769.3629035382237</v>
      </c>
      <c r="Y416" s="26">
        <f>VLOOKUP($C416,COS!$B$8:$H$991,4,FALSE)</f>
        <v>1319.8214111328125</v>
      </c>
      <c r="Z416" s="26">
        <f t="shared" si="668"/>
        <v>81.15265536221591</v>
      </c>
      <c r="AA416" s="26">
        <f t="shared" si="664"/>
        <v>1319.8214111328125</v>
      </c>
      <c r="AB416" s="33">
        <f t="shared" si="650"/>
        <v>81.15265536221591</v>
      </c>
    </row>
    <row r="417" spans="1:28" x14ac:dyDescent="0.3">
      <c r="A417" s="32">
        <f>VLOOKUP(YEAR(C417),Flags!$A$13:$B$95,2,FALSE)</f>
        <v>3</v>
      </c>
      <c r="B417" s="24">
        <f t="shared" si="637"/>
        <v>1966</v>
      </c>
      <c r="C417" s="25">
        <v>24441</v>
      </c>
      <c r="D417" s="26"/>
      <c r="E417" s="24"/>
      <c r="F417" s="26"/>
      <c r="G417" s="26"/>
      <c r="H417" s="26"/>
      <c r="I417" s="26"/>
      <c r="J417" s="26"/>
      <c r="K417" s="26"/>
      <c r="L417" s="24"/>
      <c r="M417" s="24"/>
      <c r="N417" s="26"/>
      <c r="O417" s="26"/>
      <c r="P417" s="26"/>
      <c r="Q417" s="26"/>
      <c r="R417" s="26"/>
      <c r="S417" s="26"/>
      <c r="T417" s="26"/>
      <c r="U417" s="26"/>
      <c r="V417" s="26"/>
      <c r="W417" s="26">
        <f>MAX($C$10-VLOOKUP($C417,COS!$B$8:$H$991,3,FALSE),0)</f>
        <v>96749</v>
      </c>
      <c r="X417" s="26">
        <f t="shared" si="667"/>
        <v>5756.965289256198</v>
      </c>
      <c r="Y417" s="26">
        <f>VLOOKUP($C417,COS!$B$8:$H$991,4,FALSE)</f>
        <v>1161.37109375</v>
      </c>
      <c r="Z417" s="26">
        <f t="shared" si="668"/>
        <v>69.10637913223141</v>
      </c>
      <c r="AA417" s="26">
        <f t="shared" si="664"/>
        <v>1161.37109375</v>
      </c>
      <c r="AB417" s="33">
        <f t="shared" si="650"/>
        <v>34.553189566115705</v>
      </c>
    </row>
    <row r="418" spans="1:28" x14ac:dyDescent="0.3">
      <c r="A418" s="34">
        <f>VLOOKUP(YEAR(C418),Flags!$A$13:$B$95,2,FALSE)</f>
        <v>3</v>
      </c>
      <c r="B418" s="35">
        <f t="shared" si="637"/>
        <v>1966</v>
      </c>
      <c r="C418" s="36">
        <v>24472</v>
      </c>
      <c r="D418" s="37"/>
      <c r="E418" s="35"/>
      <c r="F418" s="37"/>
      <c r="G418" s="37"/>
      <c r="H418" s="37"/>
      <c r="I418" s="37"/>
      <c r="J418" s="37"/>
      <c r="K418" s="37"/>
      <c r="L418" s="35"/>
      <c r="M418" s="35"/>
      <c r="N418" s="37"/>
      <c r="O418" s="37"/>
      <c r="P418" s="37"/>
      <c r="Q418" s="37"/>
      <c r="R418" s="37"/>
      <c r="S418" s="37"/>
      <c r="T418" s="37"/>
      <c r="U418" s="37"/>
      <c r="V418" s="37"/>
      <c r="W418" s="37">
        <f>MAX($C$11-VLOOKUP($C418,COS!$B$8:$H$991,3,FALSE),0)</f>
        <v>0</v>
      </c>
      <c r="X418" s="37">
        <f t="shared" si="667"/>
        <v>0</v>
      </c>
      <c r="Y418" s="37">
        <f>VLOOKUP($C418,COS!$B$8:$H$991,4,FALSE)</f>
        <v>0</v>
      </c>
      <c r="Z418" s="37">
        <f t="shared" si="668"/>
        <v>0</v>
      </c>
      <c r="AA418" s="37">
        <f t="shared" si="664"/>
        <v>0</v>
      </c>
      <c r="AB418" s="38">
        <f t="shared" si="650"/>
        <v>0</v>
      </c>
    </row>
    <row r="419" spans="1:28" x14ac:dyDescent="0.3">
      <c r="A419" s="27">
        <f>VLOOKUP(YEAR(C419),Flags!$A$13:$B$95,2,FALSE)</f>
        <v>1</v>
      </c>
      <c r="B419" s="28">
        <f t="shared" si="637"/>
        <v>1967</v>
      </c>
      <c r="C419" s="29">
        <v>24592</v>
      </c>
      <c r="D419" s="30">
        <f>VLOOKUP($C419,COS!$B$8:$H$991,3,FALSE)</f>
        <v>10209.6708984375</v>
      </c>
      <c r="E419" s="28">
        <f>IF(D419&gt;=IF(MONTH($C419)=4,$C$3,IF(MONTH($C419)=5,$C$4,IF(MONTH($C419)=6,$C$5,IF(MONTH($C419)=7,$C$6,"ERROR")))),1,0)</f>
        <v>1</v>
      </c>
      <c r="F419" s="30">
        <f>VLOOKUP($C419,COS!$B$8:$H$991,7,FALSE)</f>
        <v>47.143501281738281</v>
      </c>
      <c r="G419" s="28">
        <f>IF(F419&lt;=IF(MONTH($C419)=4,$F$3,IF(MONTH($C419)=5,$F$4,IF(MONTH($C419)=6,$F$5,IF(MONTH($C419)=7,$F$6,"ERROR")))),1,0)</f>
        <v>1</v>
      </c>
      <c r="H419" s="30">
        <f>IF(J419=1,D419-$C$3,0)</f>
        <v>4209.6708984375</v>
      </c>
      <c r="I419" s="30">
        <f t="shared" si="661"/>
        <v>250.49281379132231</v>
      </c>
      <c r="J419" s="28">
        <f t="shared" ref="J419:J422" si="669">IF(AND(E419=1,G419=1),1,0)</f>
        <v>1</v>
      </c>
      <c r="K419" s="30">
        <f>VLOOKUP($C419,COS!$B$8:$H$991,2,FALSE)</f>
        <v>4479</v>
      </c>
      <c r="L419" s="28">
        <f t="shared" ref="L419" si="670">IF(K419&lt;=IF(MONTH($C419)=4,$I$3,IF(MONTH($C419)=5,$I$4,IF(MONTH($C419)=6,$I$5,IF(MONTH($C419)=7,$I$6,"ERROR")))),1,0)</f>
        <v>1</v>
      </c>
      <c r="M419" s="28">
        <f t="shared" ref="M419" si="671">VLOOKUP($A419,$L$3:$M$7,2,FALSE)</f>
        <v>0</v>
      </c>
      <c r="N419" s="30">
        <f>VLOOKUP($C419,COS!$B$8:$H$991,5,FALSE)</f>
        <v>39.870414733886719</v>
      </c>
      <c r="O419" s="30">
        <f t="shared" ref="O419:O422" si="672">N419*DAY($C419)*86400/43560/1000</f>
        <v>2.3724544304461519</v>
      </c>
      <c r="P419" s="30">
        <f>VLOOKUP($C419,COS!$B$8:$H$991,6,FALSE)</f>
        <v>237.42314147949219</v>
      </c>
      <c r="Q419" s="30">
        <f t="shared" ref="Q419:Q422" si="673">P419*DAY($C419)*86400/43560/1000</f>
        <v>14.127658005391272</v>
      </c>
      <c r="R419" s="30">
        <f>MIN(IF(MONTH($C419)=4,$S$3,IF(MONTH($C419)=5,$S$4,IF(MONTH($C419)=6,$S$5,IF(MONTH($C419)=7,$S$6,"ERROR")))),MAX(VLOOKUP($C419,COS!$B$8:$K$991,10,FALSE)-IF(MONTH($C419)=4,$Y$3,IF(MONTH($C419)=5,$Y$4,IF(MONTH($C419)=6,$Y$5,IF(MONTH($C419)=7,$Y$6,"ERROR")))),0),MAX(VLOOKUP($C419,COS!$B$8:$K$991,9,FALSE)-IF(MONTH($C419)=4,$V$3,IF(MONTH($C419)=5,$V$4,IF(MONTH($C419)=6,$V$5,IF(MONTH($C419)=7,$V$6,"ERROR"))))-VLOOKUP($C419,COS!$B$8:$K$991,6,FALSE)/2,0))</f>
        <v>1500</v>
      </c>
      <c r="S419" s="30">
        <f t="shared" ref="S419:S422" si="674">R419*DAY($C419)*86400/43560/1000</f>
        <v>89.256198347107429</v>
      </c>
      <c r="T419" s="30">
        <f t="shared" ref="T419:T422" si="675">(O419+Q419)/2+S419</f>
        <v>97.50625456502614</v>
      </c>
      <c r="U419" s="30" t="str">
        <f>IF(VLOOKUP($C419,COS!$B$8:$I$991,8,FALSE)=1,"UWFE","IBU")</f>
        <v>UWFE</v>
      </c>
      <c r="V419" s="30">
        <f t="shared" ref="V419" si="676">MIN(IF(IF($AA$3=2,AND(E419=1,G419=1,L419=1,L424=1,M419=1,U419="IBU"),AND(E419=1,G419=1,L419=1,L424=1,M419=1)),T419,0),I419)</f>
        <v>0</v>
      </c>
      <c r="W419" s="30"/>
      <c r="X419" s="30"/>
      <c r="Y419" s="30"/>
      <c r="Z419" s="30"/>
      <c r="AA419" s="30"/>
      <c r="AB419" s="31"/>
    </row>
    <row r="420" spans="1:28" x14ac:dyDescent="0.3">
      <c r="A420" s="32">
        <f>VLOOKUP(YEAR(C420),Flags!$A$13:$B$95,2,FALSE)</f>
        <v>1</v>
      </c>
      <c r="B420" s="24">
        <f t="shared" si="637"/>
        <v>1967</v>
      </c>
      <c r="C420" s="25">
        <v>24623</v>
      </c>
      <c r="D420" s="26">
        <f>VLOOKUP($C420,COS!$B$8:$H$991,3,FALSE)</f>
        <v>12507.45703125</v>
      </c>
      <c r="E420" s="24">
        <f>IF(D420&gt;=IF(MONTH($C420)=4,$C$3,IF(MONTH($C420)=5,$C$4,IF(MONTH($C420)=6,$C$5,IF(MONTH($C420)=7,$C$6,"ERROR")))),1,0)</f>
        <v>1</v>
      </c>
      <c r="F420" s="26">
        <f>VLOOKUP($C420,COS!$B$8:$H$991,7,FALSE)</f>
        <v>48.993885040283203</v>
      </c>
      <c r="G420" s="24">
        <f>IF(F420&lt;=IF(MONTH($C420)=4,$F$3,IF(MONTH($C420)=5,$F$4,IF(MONTH($C420)=6,$F$5,IF(MONTH($C420)=7,$F$6,"ERROR")))),1,0)</f>
        <v>1</v>
      </c>
      <c r="H420" s="26">
        <f>IF(J420=1,D420-$C$4,0)</f>
        <v>6507.45703125</v>
      </c>
      <c r="I420" s="26">
        <f t="shared" si="661"/>
        <v>400.12793646694212</v>
      </c>
      <c r="J420" s="24">
        <f t="shared" si="669"/>
        <v>1</v>
      </c>
      <c r="K420" s="26">
        <f>VLOOKUP($C420,COS!$B$8:$H$991,2,FALSE)</f>
        <v>4552</v>
      </c>
      <c r="L420" s="24">
        <f t="shared" si="639"/>
        <v>1</v>
      </c>
      <c r="M420" s="24">
        <f t="shared" si="640"/>
        <v>0</v>
      </c>
      <c r="N420" s="26">
        <f>VLOOKUP($C420,COS!$B$8:$H$991,5,FALSE)</f>
        <v>634.8349609375</v>
      </c>
      <c r="O420" s="26">
        <f t="shared" si="672"/>
        <v>39.034480242768595</v>
      </c>
      <c r="P420" s="26">
        <f>VLOOKUP($C420,COS!$B$8:$H$991,6,FALSE)</f>
        <v>2252.28564453125</v>
      </c>
      <c r="Q420" s="26">
        <f t="shared" si="673"/>
        <v>138.48764624225205</v>
      </c>
      <c r="R420" s="26">
        <f>MIN(IF(MONTH($C420)=4,$S$3,IF(MONTH($C420)=5,$S$4,IF(MONTH($C420)=6,$S$5,IF(MONTH($C420)=7,$S$6,"ERROR")))),MAX(VLOOKUP($C420,COS!$B$8:$K$991,10,FALSE)-IF(MONTH($C420)=4,$Y$3,IF(MONTH($C420)=5,$Y$4,IF(MONTH($C420)=6,$Y$5,IF(MONTH($C420)=7,$Y$6,"ERROR")))),0),MAX(VLOOKUP($C420,COS!$B$8:$K$991,9,FALSE)-IF(MONTH($C420)=4,$V$3,IF(MONTH($C420)=5,$V$4,IF(MONTH($C420)=6,$V$5,IF(MONTH($C420)=7,$V$6,"ERROR"))))-VLOOKUP($C420,COS!$B$8:$K$991,6,FALSE)/2,0))</f>
        <v>1500</v>
      </c>
      <c r="S420" s="26">
        <f t="shared" si="674"/>
        <v>92.231404958677686</v>
      </c>
      <c r="T420" s="26">
        <f t="shared" si="675"/>
        <v>180.99246820118799</v>
      </c>
      <c r="U420" s="26" t="str">
        <f>IF(VLOOKUP($C420,COS!$B$8:$I$991,8,FALSE)=1,"UWFE","IBU")</f>
        <v>UWFE</v>
      </c>
      <c r="V420" s="26">
        <f t="shared" ref="V420" si="677">MIN(IF(IF($AA$3=2,AND(E420=1,G420=1,L420=1,L424=1,M420=1,U420="IBU"),AND(E420=1,G420=1,L420=1,L424=1,M420=1)),T420,0),I420)</f>
        <v>0</v>
      </c>
      <c r="W420" s="26"/>
      <c r="X420" s="26"/>
      <c r="Y420" s="26"/>
      <c r="Z420" s="26"/>
      <c r="AA420" s="26"/>
      <c r="AB420" s="33"/>
    </row>
    <row r="421" spans="1:28" x14ac:dyDescent="0.3">
      <c r="A421" s="32">
        <f>VLOOKUP(YEAR(C421),Flags!$A$13:$B$95,2,FALSE)</f>
        <v>1</v>
      </c>
      <c r="B421" s="24">
        <f t="shared" si="637"/>
        <v>1967</v>
      </c>
      <c r="C421" s="25">
        <v>24653</v>
      </c>
      <c r="D421" s="26">
        <f>VLOOKUP($C421,COS!$B$8:$H$991,3,FALSE)</f>
        <v>8491.80078125</v>
      </c>
      <c r="E421" s="24">
        <f>IF(D421&gt;=IF(MONTH($C421)=4,$C$3,IF(MONTH($C421)=5,$C$4,IF(MONTH($C421)=6,$C$5,IF(MONTH($C421)=7,$C$6,"ERROR")))),1,0)</f>
        <v>0</v>
      </c>
      <c r="F421" s="26">
        <f>VLOOKUP($C421,COS!$B$8:$H$991,7,FALSE)</f>
        <v>51.173347473144531</v>
      </c>
      <c r="G421" s="24">
        <f>IF(F421&lt;=IF(MONTH($C421)=4,$F$3,IF(MONTH($C421)=5,$F$4,IF(MONTH($C421)=6,$F$5,IF(MONTH($C421)=7,$F$6,"ERROR")))),1,0)</f>
        <v>1</v>
      </c>
      <c r="H421" s="26">
        <f>IF(J421=1,D421-$C$5,0)</f>
        <v>0</v>
      </c>
      <c r="I421" s="26">
        <f t="shared" si="661"/>
        <v>0</v>
      </c>
      <c r="J421" s="24">
        <f t="shared" si="669"/>
        <v>0</v>
      </c>
      <c r="K421" s="26">
        <f>VLOOKUP($C421,COS!$B$8:$H$991,2,FALSE)</f>
        <v>4500</v>
      </c>
      <c r="L421" s="24">
        <f t="shared" si="639"/>
        <v>1</v>
      </c>
      <c r="M421" s="24">
        <f t="shared" si="640"/>
        <v>0</v>
      </c>
      <c r="N421" s="26">
        <f>VLOOKUP($C421,COS!$B$8:$H$991,5,FALSE)</f>
        <v>937.7822265625</v>
      </c>
      <c r="O421" s="26">
        <f t="shared" si="672"/>
        <v>55.801917613636363</v>
      </c>
      <c r="P421" s="26">
        <f>VLOOKUP($C421,COS!$B$8:$H$991,6,FALSE)</f>
        <v>2001.16455078125</v>
      </c>
      <c r="Q421" s="26">
        <f t="shared" si="673"/>
        <v>119.0775600464876</v>
      </c>
      <c r="R421" s="26">
        <f>MIN(IF(MONTH($C421)=4,$S$3,IF(MONTH($C421)=5,$S$4,IF(MONTH($C421)=6,$S$5,IF(MONTH($C421)=7,$S$6,"ERROR")))),MAX(VLOOKUP($C421,COS!$B$8:$K$991,10,FALSE)-IF(MONTH($C421)=4,$Y$3,IF(MONTH($C421)=5,$Y$4,IF(MONTH($C421)=6,$Y$5,IF(MONTH($C421)=7,$Y$6,"ERROR")))),0),MAX(VLOOKUP($C421,COS!$B$8:$K$991,9,FALSE)-IF(MONTH($C421)=4,$V$3,IF(MONTH($C421)=5,$V$4,IF(MONTH($C421)=6,$V$5,IF(MONTH($C421)=7,$V$6,"ERROR"))))-VLOOKUP($C421,COS!$B$8:$K$991,6,FALSE)/2,0))</f>
        <v>1500</v>
      </c>
      <c r="S421" s="26">
        <f t="shared" si="674"/>
        <v>89.256198347107429</v>
      </c>
      <c r="T421" s="26">
        <f t="shared" si="675"/>
        <v>176.69593717716941</v>
      </c>
      <c r="U421" s="26" t="str">
        <f>IF(VLOOKUP($C421,COS!$B$8:$I$991,8,FALSE)=1,"UWFE","IBU")</f>
        <v>UWFE</v>
      </c>
      <c r="V421" s="26">
        <f t="shared" ref="V421" si="678">MIN(IF(IF($AA$3=2,AND(E421=1,G421=1,L421=1,L424=1,M421=1,U421="IBU"),AND(E421=1,G421=1,L421=1,L424=1,M421=1)),T421,0),I421)</f>
        <v>0</v>
      </c>
      <c r="W421" s="26"/>
      <c r="X421" s="26"/>
      <c r="Y421" s="26"/>
      <c r="Z421" s="26"/>
      <c r="AA421" s="26"/>
      <c r="AB421" s="33"/>
    </row>
    <row r="422" spans="1:28" x14ac:dyDescent="0.3">
      <c r="A422" s="32">
        <f>VLOOKUP(YEAR(C422),Flags!$A$13:$B$95,2,FALSE)</f>
        <v>1</v>
      </c>
      <c r="B422" s="24">
        <f t="shared" si="637"/>
        <v>1967</v>
      </c>
      <c r="C422" s="25">
        <v>24684</v>
      </c>
      <c r="D422" s="26">
        <f>VLOOKUP($C422,COS!$B$8:$H$991,3,FALSE)</f>
        <v>11558.0478515625</v>
      </c>
      <c r="E422" s="24">
        <f>IF(D422&gt;=IF(MONTH($C422)=4,$C$3,IF(MONTH($C422)=5,$C$4,IF(MONTH($C422)=6,$C$5,IF(MONTH($C422)=7,$C$6,"ERROR")))),1,0)</f>
        <v>0</v>
      </c>
      <c r="F422" s="26">
        <f>VLOOKUP($C422,COS!$B$8:$H$991,7,FALSE)</f>
        <v>52.531658172607422</v>
      </c>
      <c r="G422" s="24">
        <f>IF(F422&lt;=IF(MONTH($C422)=4,$F$3,IF(MONTH($C422)=5,$F$4,IF(MONTH($C422)=6,$F$5,IF(MONTH($C422)=7,$F$6,"ERROR")))),1,0)</f>
        <v>1</v>
      </c>
      <c r="H422" s="26">
        <f>IF(J422=1,D422-$C$6,0)</f>
        <v>0</v>
      </c>
      <c r="I422" s="26">
        <f t="shared" si="661"/>
        <v>0</v>
      </c>
      <c r="J422" s="24">
        <f t="shared" si="669"/>
        <v>0</v>
      </c>
      <c r="K422" s="26">
        <f>VLOOKUP($C422,COS!$B$8:$H$991,2,FALSE)</f>
        <v>4019.93115234375</v>
      </c>
      <c r="L422" s="24">
        <f t="shared" si="639"/>
        <v>1</v>
      </c>
      <c r="M422" s="24">
        <f t="shared" si="640"/>
        <v>0</v>
      </c>
      <c r="N422" s="26">
        <f>VLOOKUP($C422,COS!$B$8:$H$991,5,FALSE)</f>
        <v>1366.88818359375</v>
      </c>
      <c r="O422" s="26">
        <f t="shared" si="672"/>
        <v>84.046678396177683</v>
      </c>
      <c r="P422" s="26">
        <f>VLOOKUP($C422,COS!$B$8:$H$991,6,FALSE)</f>
        <v>2516.8701171875</v>
      </c>
      <c r="Q422" s="26">
        <f t="shared" si="673"/>
        <v>154.75631133780993</v>
      </c>
      <c r="R422" s="26">
        <f>MIN(IF(MONTH($C422)=4,$S$3,IF(MONTH($C422)=5,$S$4,IF(MONTH($C422)=6,$S$5,IF(MONTH($C422)=7,$S$6,"ERROR")))),MAX(VLOOKUP($C422,COS!$B$8:$K$991,10,FALSE)-IF(MONTH($C422)=4,$Y$3,IF(MONTH($C422)=5,$Y$4,IF(MONTH($C422)=6,$Y$5,IF(MONTH($C422)=7,$Y$6,"ERROR")))),0),MAX(VLOOKUP($C422,COS!$B$8:$K$991,9,FALSE)-IF(MONTH($C422)=4,$V$3,IF(MONTH($C422)=5,$V$4,IF(MONTH($C422)=6,$V$5,IF(MONTH($C422)=7,$V$6,"ERROR"))))-VLOOKUP($C422,COS!$B$8:$K$991,6,FALSE)/2,0))</f>
        <v>1500</v>
      </c>
      <c r="S422" s="26">
        <f t="shared" si="674"/>
        <v>92.231404958677686</v>
      </c>
      <c r="T422" s="26">
        <f t="shared" si="675"/>
        <v>211.63289982567147</v>
      </c>
      <c r="U422" s="26" t="str">
        <f>IF(VLOOKUP($C422,COS!$B$8:$I$991,8,FALSE)=1,"UWFE","IBU")</f>
        <v>UWFE</v>
      </c>
      <c r="V422" s="26">
        <f t="shared" ref="V422" si="679">MIN(IF(IF($AA$3=2,AND(E422=1,G422=1,L422=1,L424=1,M422=1,U422="IBU"),AND(E422=1,G422=1,L422=1,L424=1,M422=1)),T422,0),I422)</f>
        <v>0</v>
      </c>
      <c r="W422" s="26"/>
      <c r="X422" s="26"/>
      <c r="Y422" s="26"/>
      <c r="Z422" s="26"/>
      <c r="AA422" s="26"/>
      <c r="AB422" s="33"/>
    </row>
    <row r="423" spans="1:28" x14ac:dyDescent="0.3">
      <c r="A423" s="32">
        <f>VLOOKUP(YEAR(C423),Flags!$A$13:$B$95,2,FALSE)</f>
        <v>1</v>
      </c>
      <c r="B423" s="24">
        <f t="shared" si="637"/>
        <v>1967</v>
      </c>
      <c r="C423" s="25">
        <v>24715</v>
      </c>
      <c r="D423" s="26"/>
      <c r="E423" s="24"/>
      <c r="F423" s="26"/>
      <c r="G423" s="24"/>
      <c r="H423" s="24"/>
      <c r="I423" s="26"/>
      <c r="J423" s="24"/>
      <c r="K423" s="26"/>
      <c r="L423" s="24"/>
      <c r="M423" s="24"/>
      <c r="N423" s="26"/>
      <c r="O423" s="26"/>
      <c r="P423" s="26"/>
      <c r="Q423" s="26"/>
      <c r="R423" s="26"/>
      <c r="S423" s="26"/>
      <c r="T423" s="26"/>
      <c r="U423" s="26"/>
      <c r="V423" s="26"/>
      <c r="W423" s="26">
        <f>MAX($C$7-VLOOKUP($C423,COS!$B$8:$H$991,3,FALSE),0)</f>
        <v>89940.6201171875</v>
      </c>
      <c r="X423" s="26">
        <f t="shared" si="667"/>
        <v>5530.2331708419424</v>
      </c>
      <c r="Y423" s="26">
        <f>VLOOKUP($C423,COS!$B$8:$H$991,4,FALSE)</f>
        <v>0</v>
      </c>
      <c r="Z423" s="26">
        <f t="shared" si="668"/>
        <v>0</v>
      </c>
      <c r="AA423" s="26">
        <f t="shared" ref="AA423:AA427" si="680">MIN(W423,Y423)</f>
        <v>0</v>
      </c>
      <c r="AB423" s="33">
        <f t="shared" ref="AB423" si="681">AA423*DAY($C423)*86400/43560/1000*IF(MONTH($C423)=8,$P$3,IF(MONTH($C423)=9,$P$4,IF(MONTH($C423)=10,$P$5,IF(MONTH($C423)=11,$P$6,IF(MONTH($C423)=12,$P$7,NA())))))</f>
        <v>0</v>
      </c>
    </row>
    <row r="424" spans="1:28" x14ac:dyDescent="0.3">
      <c r="A424" s="32">
        <f>VLOOKUP(YEAR(C424),Flags!$A$13:$B$95,2,FALSE)</f>
        <v>1</v>
      </c>
      <c r="B424" s="24">
        <f t="shared" si="637"/>
        <v>1967</v>
      </c>
      <c r="C424" s="25">
        <v>24745</v>
      </c>
      <c r="D424" s="26"/>
      <c r="E424" s="24"/>
      <c r="F424" s="26"/>
      <c r="G424" s="24"/>
      <c r="H424" s="24"/>
      <c r="I424" s="26"/>
      <c r="J424" s="24"/>
      <c r="K424" s="26">
        <f>VLOOKUP($C424,COS!$B$8:$H$991,2,FALSE)</f>
        <v>3126.86767578125</v>
      </c>
      <c r="L424" s="24">
        <f t="shared" ref="L424" si="682">IF(AND(K424&gt;$I$7,K424&lt;$I$8),1,0)</f>
        <v>1</v>
      </c>
      <c r="M424" s="24"/>
      <c r="N424" s="26"/>
      <c r="O424" s="26"/>
      <c r="P424" s="26"/>
      <c r="Q424" s="26"/>
      <c r="R424" s="26"/>
      <c r="S424" s="26"/>
      <c r="T424" s="26"/>
      <c r="U424" s="26"/>
      <c r="V424" s="26"/>
      <c r="W424" s="26">
        <f>MAX($C$8-VLOOKUP($C424,COS!$B$8:$H$991,3,FALSE),0)</f>
        <v>84275.95703125</v>
      </c>
      <c r="X424" s="26">
        <f t="shared" si="667"/>
        <v>5014.7676911157023</v>
      </c>
      <c r="Y424" s="26">
        <f>VLOOKUP($C424,COS!$B$8:$H$991,4,FALSE)</f>
        <v>0</v>
      </c>
      <c r="Z424" s="26">
        <f t="shared" si="668"/>
        <v>0</v>
      </c>
      <c r="AA424" s="26">
        <f t="shared" si="680"/>
        <v>0</v>
      </c>
      <c r="AB424" s="33">
        <f t="shared" si="650"/>
        <v>0</v>
      </c>
    </row>
    <row r="425" spans="1:28" x14ac:dyDescent="0.3">
      <c r="A425" s="32">
        <f>VLOOKUP(YEAR(C425),Flags!$A$13:$B$95,2,FALSE)</f>
        <v>1</v>
      </c>
      <c r="B425" s="24">
        <f t="shared" si="637"/>
        <v>1967</v>
      </c>
      <c r="C425" s="25">
        <v>24776</v>
      </c>
      <c r="D425" s="26"/>
      <c r="E425" s="24"/>
      <c r="F425" s="26"/>
      <c r="G425" s="26"/>
      <c r="H425" s="26"/>
      <c r="I425" s="26"/>
      <c r="J425" s="26"/>
      <c r="K425" s="26"/>
      <c r="L425" s="24"/>
      <c r="M425" s="24"/>
      <c r="N425" s="26"/>
      <c r="O425" s="26"/>
      <c r="P425" s="26"/>
      <c r="Q425" s="26"/>
      <c r="R425" s="26"/>
      <c r="S425" s="26"/>
      <c r="T425" s="26"/>
      <c r="U425" s="26"/>
      <c r="V425" s="26"/>
      <c r="W425" s="26">
        <f>MAX($C$9-VLOOKUP($C425,COS!$B$8:$H$991,3,FALSE),0)</f>
        <v>94715.58154296875</v>
      </c>
      <c r="X425" s="26">
        <f t="shared" si="667"/>
        <v>5823.8341047908061</v>
      </c>
      <c r="Y425" s="26">
        <f>VLOOKUP($C425,COS!$B$8:$H$991,4,FALSE)</f>
        <v>302.17996215820313</v>
      </c>
      <c r="Z425" s="26">
        <f t="shared" si="668"/>
        <v>18.580321640140756</v>
      </c>
      <c r="AA425" s="26">
        <f t="shared" si="680"/>
        <v>302.17996215820313</v>
      </c>
      <c r="AB425" s="33">
        <f t="shared" si="650"/>
        <v>18.580321640140756</v>
      </c>
    </row>
    <row r="426" spans="1:28" x14ac:dyDescent="0.3">
      <c r="A426" s="32">
        <f>VLOOKUP(YEAR(C426),Flags!$A$13:$B$95,2,FALSE)</f>
        <v>1</v>
      </c>
      <c r="B426" s="24">
        <f t="shared" si="637"/>
        <v>1967</v>
      </c>
      <c r="C426" s="25">
        <v>24806</v>
      </c>
      <c r="D426" s="26"/>
      <c r="E426" s="24"/>
      <c r="F426" s="26"/>
      <c r="G426" s="26"/>
      <c r="H426" s="26"/>
      <c r="I426" s="26"/>
      <c r="J426" s="26"/>
      <c r="K426" s="26"/>
      <c r="L426" s="24"/>
      <c r="M426" s="24"/>
      <c r="N426" s="26"/>
      <c r="O426" s="26"/>
      <c r="P426" s="26"/>
      <c r="Q426" s="26"/>
      <c r="R426" s="26"/>
      <c r="S426" s="26"/>
      <c r="T426" s="26"/>
      <c r="U426" s="26"/>
      <c r="V426" s="26"/>
      <c r="W426" s="26">
        <f>MAX($C$10-VLOOKUP($C426,COS!$B$8:$H$991,3,FALSE),0)</f>
        <v>91235.603515625</v>
      </c>
      <c r="X426" s="26">
        <f t="shared" si="667"/>
        <v>5428.895415805785</v>
      </c>
      <c r="Y426" s="26">
        <f>VLOOKUP($C426,COS!$B$8:$H$991,4,FALSE)</f>
        <v>1725.1964111328125</v>
      </c>
      <c r="Z426" s="26">
        <f t="shared" si="668"/>
        <v>102.65631537319214</v>
      </c>
      <c r="AA426" s="26">
        <f t="shared" si="680"/>
        <v>1725.1964111328125</v>
      </c>
      <c r="AB426" s="33">
        <f t="shared" si="650"/>
        <v>51.328157686596072</v>
      </c>
    </row>
    <row r="427" spans="1:28" x14ac:dyDescent="0.3">
      <c r="A427" s="34">
        <f>VLOOKUP(YEAR(C427),Flags!$A$13:$B$95,2,FALSE)</f>
        <v>1</v>
      </c>
      <c r="B427" s="35">
        <f t="shared" si="637"/>
        <v>1967</v>
      </c>
      <c r="C427" s="36">
        <v>24837</v>
      </c>
      <c r="D427" s="37"/>
      <c r="E427" s="35"/>
      <c r="F427" s="37"/>
      <c r="G427" s="37"/>
      <c r="H427" s="37"/>
      <c r="I427" s="37"/>
      <c r="J427" s="37"/>
      <c r="K427" s="37"/>
      <c r="L427" s="35"/>
      <c r="M427" s="35"/>
      <c r="N427" s="37"/>
      <c r="O427" s="37"/>
      <c r="P427" s="37"/>
      <c r="Q427" s="37"/>
      <c r="R427" s="37"/>
      <c r="S427" s="37"/>
      <c r="T427" s="37"/>
      <c r="U427" s="37"/>
      <c r="V427" s="37"/>
      <c r="W427" s="37">
        <f>MAX($C$11-VLOOKUP($C427,COS!$B$8:$H$991,3,FALSE),0)</f>
        <v>0</v>
      </c>
      <c r="X427" s="37">
        <f t="shared" si="667"/>
        <v>0</v>
      </c>
      <c r="Y427" s="37">
        <f>VLOOKUP($C427,COS!$B$8:$H$991,4,FALSE)</f>
        <v>0</v>
      </c>
      <c r="Z427" s="37">
        <f t="shared" si="668"/>
        <v>0</v>
      </c>
      <c r="AA427" s="37">
        <f t="shared" si="680"/>
        <v>0</v>
      </c>
      <c r="AB427" s="38">
        <f t="shared" si="650"/>
        <v>0</v>
      </c>
    </row>
    <row r="428" spans="1:28" x14ac:dyDescent="0.3">
      <c r="A428" s="27">
        <f>VLOOKUP(YEAR(C428),Flags!$A$13:$B$95,2,FALSE)</f>
        <v>3</v>
      </c>
      <c r="B428" s="28">
        <f t="shared" si="637"/>
        <v>1968</v>
      </c>
      <c r="C428" s="29">
        <v>24958</v>
      </c>
      <c r="D428" s="30">
        <f>VLOOKUP($C428,COS!$B$8:$H$991,3,FALSE)</f>
        <v>3250</v>
      </c>
      <c r="E428" s="28">
        <f>IF(D428&gt;=IF(MONTH($C428)=4,$C$3,IF(MONTH($C428)=5,$C$4,IF(MONTH($C428)=6,$C$5,IF(MONTH($C428)=7,$C$6,"ERROR")))),1,0)</f>
        <v>0</v>
      </c>
      <c r="F428" s="30">
        <f>VLOOKUP($C428,COS!$B$8:$H$991,7,FALSE)</f>
        <v>51.910366058349609</v>
      </c>
      <c r="G428" s="28">
        <f>IF(F428&lt;=IF(MONTH($C428)=4,$F$3,IF(MONTH($C428)=5,$F$4,IF(MONTH($C428)=6,$F$5,IF(MONTH($C428)=7,$F$6,"ERROR")))),1,0)</f>
        <v>1</v>
      </c>
      <c r="H428" s="30">
        <f>IF(J428=1,D428-$C$3,0)</f>
        <v>0</v>
      </c>
      <c r="I428" s="30">
        <f t="shared" si="661"/>
        <v>0</v>
      </c>
      <c r="J428" s="28">
        <f t="shared" ref="J428:J431" si="683">IF(AND(E428=1,G428=1),1,0)</f>
        <v>0</v>
      </c>
      <c r="K428" s="30">
        <f>VLOOKUP($C428,COS!$B$8:$H$991,2,FALSE)</f>
        <v>4387.3369140625</v>
      </c>
      <c r="L428" s="28">
        <f t="shared" ref="L428" si="684">IF(K428&lt;=IF(MONTH($C428)=4,$I$3,IF(MONTH($C428)=5,$I$4,IF(MONTH($C428)=6,$I$5,IF(MONTH($C428)=7,$I$6,"ERROR")))),1,0)</f>
        <v>1</v>
      </c>
      <c r="M428" s="28">
        <f t="shared" ref="M428" si="685">VLOOKUP($A428,$L$3:$M$7,2,FALSE)</f>
        <v>0</v>
      </c>
      <c r="N428" s="30">
        <f>VLOOKUP($C428,COS!$B$8:$H$991,5,FALSE)</f>
        <v>372.8587646484375</v>
      </c>
      <c r="O428" s="30">
        <f t="shared" ref="O428:O431" si="686">N428*DAY($C428)*86400/43560/1000</f>
        <v>22.186637235278926</v>
      </c>
      <c r="P428" s="30">
        <f>VLOOKUP($C428,COS!$B$8:$H$991,6,FALSE)</f>
        <v>480.01702880859375</v>
      </c>
      <c r="Q428" s="30">
        <f t="shared" ref="Q428:Q431" si="687">P428*DAY($C428)*86400/43560/1000</f>
        <v>28.562996755552685</v>
      </c>
      <c r="R428" s="30">
        <f>MIN(IF(MONTH($C428)=4,$S$3,IF(MONTH($C428)=5,$S$4,IF(MONTH($C428)=6,$S$5,IF(MONTH($C428)=7,$S$6,"ERROR")))),MAX(VLOOKUP($C428,COS!$B$8:$K$991,10,FALSE)-IF(MONTH($C428)=4,$Y$3,IF(MONTH($C428)=5,$Y$4,IF(MONTH($C428)=6,$Y$5,IF(MONTH($C428)=7,$Y$6,"ERROR")))),0),MAX(VLOOKUP($C428,COS!$B$8:$K$991,9,FALSE)-IF(MONTH($C428)=4,$V$3,IF(MONTH($C428)=5,$V$4,IF(MONTH($C428)=6,$V$5,IF(MONTH($C428)=7,$V$6,"ERROR"))))-VLOOKUP($C428,COS!$B$8:$K$991,6,FALSE)/2,0))</f>
        <v>1012.0751953125</v>
      </c>
      <c r="S428" s="30">
        <f t="shared" ref="S428:S431" si="688">R428*DAY($C428)*86400/43560/1000</f>
        <v>60.22265625</v>
      </c>
      <c r="T428" s="30">
        <f t="shared" ref="T428:T431" si="689">(O428+Q428)/2+S428</f>
        <v>85.597473245415813</v>
      </c>
      <c r="U428" s="30" t="str">
        <f>IF(VLOOKUP($C428,COS!$B$8:$I$991,8,FALSE)=1,"UWFE","IBU")</f>
        <v>UWFE</v>
      </c>
      <c r="V428" s="30">
        <f t="shared" ref="V428" si="690">MIN(IF(IF($AA$3=2,AND(E428=1,G428=1,L428=1,L433=1,M428=1,U428="IBU"),AND(E428=1,G428=1,L428=1,L433=1,M428=1)),T428,0),I428)</f>
        <v>0</v>
      </c>
      <c r="W428" s="30"/>
      <c r="X428" s="30"/>
      <c r="Y428" s="30"/>
      <c r="Z428" s="30"/>
      <c r="AA428" s="30"/>
      <c r="AB428" s="31"/>
    </row>
    <row r="429" spans="1:28" x14ac:dyDescent="0.3">
      <c r="A429" s="32">
        <f>VLOOKUP(YEAR(C429),Flags!$A$13:$B$95,2,FALSE)</f>
        <v>3</v>
      </c>
      <c r="B429" s="24">
        <f t="shared" si="637"/>
        <v>1968</v>
      </c>
      <c r="C429" s="25">
        <v>24989</v>
      </c>
      <c r="D429" s="26">
        <f>VLOOKUP($C429,COS!$B$8:$H$991,3,FALSE)</f>
        <v>7092.59228515625</v>
      </c>
      <c r="E429" s="24">
        <f>IF(D429&gt;=IF(MONTH($C429)=4,$C$3,IF(MONTH($C429)=5,$C$4,IF(MONTH($C429)=6,$C$5,IF(MONTH($C429)=7,$C$6,"ERROR")))),1,0)</f>
        <v>1</v>
      </c>
      <c r="F429" s="26">
        <f>VLOOKUP($C429,COS!$B$8:$H$991,7,FALSE)</f>
        <v>51.028709411621094</v>
      </c>
      <c r="G429" s="24">
        <f>IF(F429&lt;=IF(MONTH($C429)=4,$F$3,IF(MONTH($C429)=5,$F$4,IF(MONTH($C429)=6,$F$5,IF(MONTH($C429)=7,$F$6,"ERROR")))),1,0)</f>
        <v>1</v>
      </c>
      <c r="H429" s="26">
        <f>IF(J429=1,D429-$C$4,0)</f>
        <v>1092.59228515625</v>
      </c>
      <c r="I429" s="26">
        <f t="shared" si="661"/>
        <v>67.180881004648768</v>
      </c>
      <c r="J429" s="24">
        <f t="shared" si="683"/>
        <v>1</v>
      </c>
      <c r="K429" s="26">
        <f>VLOOKUP($C429,COS!$B$8:$H$991,2,FALSE)</f>
        <v>4254.63671875</v>
      </c>
      <c r="L429" s="24">
        <f t="shared" si="639"/>
        <v>1</v>
      </c>
      <c r="M429" s="24">
        <f t="shared" si="640"/>
        <v>0</v>
      </c>
      <c r="N429" s="26">
        <f>VLOOKUP($C429,COS!$B$8:$H$991,5,FALSE)</f>
        <v>578.8367919921875</v>
      </c>
      <c r="O429" s="26">
        <f t="shared" si="686"/>
        <v>35.591287044808887</v>
      </c>
      <c r="P429" s="26">
        <f>VLOOKUP($C429,COS!$B$8:$H$991,6,FALSE)</f>
        <v>2198.37158203125</v>
      </c>
      <c r="Q429" s="26">
        <f t="shared" si="687"/>
        <v>135.17259975464876</v>
      </c>
      <c r="R429" s="26">
        <f>MIN(IF(MONTH($C429)=4,$S$3,IF(MONTH($C429)=5,$S$4,IF(MONTH($C429)=6,$S$5,IF(MONTH($C429)=7,$S$6,"ERROR")))),MAX(VLOOKUP($C429,COS!$B$8:$K$991,10,FALSE)-IF(MONTH($C429)=4,$Y$3,IF(MONTH($C429)=5,$Y$4,IF(MONTH($C429)=6,$Y$5,IF(MONTH($C429)=7,$Y$6,"ERROR")))),0),MAX(VLOOKUP($C429,COS!$B$8:$K$991,9,FALSE)-IF(MONTH($C429)=4,$V$3,IF(MONTH($C429)=5,$V$4,IF(MONTH($C429)=6,$V$5,IF(MONTH($C429)=7,$V$6,"ERROR"))))-VLOOKUP($C429,COS!$B$8:$K$991,6,FALSE)/2,0))</f>
        <v>1500</v>
      </c>
      <c r="S429" s="26">
        <f t="shared" si="688"/>
        <v>92.231404958677686</v>
      </c>
      <c r="T429" s="26">
        <f t="shared" si="689"/>
        <v>177.61334835840651</v>
      </c>
      <c r="U429" s="26" t="str">
        <f>IF(VLOOKUP($C429,COS!$B$8:$I$991,8,FALSE)=1,"UWFE","IBU")</f>
        <v>UWFE</v>
      </c>
      <c r="V429" s="26">
        <f t="shared" ref="V429" si="691">MIN(IF(IF($AA$3=2,AND(E429=1,G429=1,L429=1,L433=1,M429=1,U429="IBU"),AND(E429=1,G429=1,L429=1,L433=1,M429=1)),T429,0),I429)</f>
        <v>0</v>
      </c>
      <c r="W429" s="26"/>
      <c r="X429" s="26"/>
      <c r="Y429" s="26"/>
      <c r="Z429" s="26"/>
      <c r="AA429" s="26"/>
      <c r="AB429" s="33"/>
    </row>
    <row r="430" spans="1:28" x14ac:dyDescent="0.3">
      <c r="A430" s="32">
        <f>VLOOKUP(YEAR(C430),Flags!$A$13:$B$95,2,FALSE)</f>
        <v>3</v>
      </c>
      <c r="B430" s="24">
        <f t="shared" si="637"/>
        <v>1968</v>
      </c>
      <c r="C430" s="25">
        <v>25019</v>
      </c>
      <c r="D430" s="26">
        <f>VLOOKUP($C430,COS!$B$8:$H$991,3,FALSE)</f>
        <v>13090.2783203125</v>
      </c>
      <c r="E430" s="24">
        <f>IF(D430&gt;=IF(MONTH($C430)=4,$C$3,IF(MONTH($C430)=5,$C$4,IF(MONTH($C430)=6,$C$5,IF(MONTH($C430)=7,$C$6,"ERROR")))),1,0)</f>
        <v>1</v>
      </c>
      <c r="F430" s="26">
        <f>VLOOKUP($C430,COS!$B$8:$H$991,7,FALSE)</f>
        <v>50.739017486572266</v>
      </c>
      <c r="G430" s="24">
        <f>IF(F430&lt;=IF(MONTH($C430)=4,$F$3,IF(MONTH($C430)=5,$F$4,IF(MONTH($C430)=6,$F$5,IF(MONTH($C430)=7,$F$6,"ERROR")))),1,0)</f>
        <v>1</v>
      </c>
      <c r="H430" s="26">
        <f>IF(J430=1,D430-$C$5,0)</f>
        <v>3090.2783203125</v>
      </c>
      <c r="I430" s="26">
        <f t="shared" si="661"/>
        <v>183.884329803719</v>
      </c>
      <c r="J430" s="24">
        <f t="shared" si="683"/>
        <v>1</v>
      </c>
      <c r="K430" s="26">
        <f>VLOOKUP($C430,COS!$B$8:$H$991,2,FALSE)</f>
        <v>3698.470458984375</v>
      </c>
      <c r="L430" s="24">
        <f t="shared" si="639"/>
        <v>1</v>
      </c>
      <c r="M430" s="24">
        <f t="shared" si="640"/>
        <v>0</v>
      </c>
      <c r="N430" s="26">
        <f>VLOOKUP($C430,COS!$B$8:$H$991,5,FALSE)</f>
        <v>708.03900146484375</v>
      </c>
      <c r="O430" s="26">
        <f t="shared" si="686"/>
        <v>42.131246368155992</v>
      </c>
      <c r="P430" s="26">
        <f>VLOOKUP($C430,COS!$B$8:$H$991,6,FALSE)</f>
        <v>2497.662353515625</v>
      </c>
      <c r="Q430" s="26">
        <f t="shared" si="687"/>
        <v>148.62123095299586</v>
      </c>
      <c r="R430" s="26">
        <f>MIN(IF(MONTH($C430)=4,$S$3,IF(MONTH($C430)=5,$S$4,IF(MONTH($C430)=6,$S$5,IF(MONTH($C430)=7,$S$6,"ERROR")))),MAX(VLOOKUP($C430,COS!$B$8:$K$991,10,FALSE)-IF(MONTH($C430)=4,$Y$3,IF(MONTH($C430)=5,$Y$4,IF(MONTH($C430)=6,$Y$5,IF(MONTH($C430)=7,$Y$6,"ERROR")))),0),MAX(VLOOKUP($C430,COS!$B$8:$K$991,9,FALSE)-IF(MONTH($C430)=4,$V$3,IF(MONTH($C430)=5,$V$4,IF(MONTH($C430)=6,$V$5,IF(MONTH($C430)=7,$V$6,"ERROR"))))-VLOOKUP($C430,COS!$B$8:$K$991,6,FALSE)/2,0))</f>
        <v>1500</v>
      </c>
      <c r="S430" s="26">
        <f t="shared" si="688"/>
        <v>89.256198347107429</v>
      </c>
      <c r="T430" s="26">
        <f t="shared" si="689"/>
        <v>184.63243700768334</v>
      </c>
      <c r="U430" s="26" t="str">
        <f>IF(VLOOKUP($C430,COS!$B$8:$I$991,8,FALSE)=1,"UWFE","IBU")</f>
        <v>IBU</v>
      </c>
      <c r="V430" s="26">
        <f t="shared" ref="V430" si="692">MIN(IF(IF($AA$3=2,AND(E430=1,G430=1,L430=1,L433=1,M430=1,U430="IBU"),AND(E430=1,G430=1,L430=1,L433=1,M430=1)),T430,0),I430)</f>
        <v>0</v>
      </c>
      <c r="W430" s="26"/>
      <c r="X430" s="26"/>
      <c r="Y430" s="26"/>
      <c r="Z430" s="26"/>
      <c r="AA430" s="26"/>
      <c r="AB430" s="33"/>
    </row>
    <row r="431" spans="1:28" x14ac:dyDescent="0.3">
      <c r="A431" s="32">
        <f>VLOOKUP(YEAR(C431),Flags!$A$13:$B$95,2,FALSE)</f>
        <v>3</v>
      </c>
      <c r="B431" s="24">
        <f t="shared" si="637"/>
        <v>1968</v>
      </c>
      <c r="C431" s="25">
        <v>25050</v>
      </c>
      <c r="D431" s="26">
        <f>VLOOKUP($C431,COS!$B$8:$H$991,3,FALSE)</f>
        <v>16000</v>
      </c>
      <c r="E431" s="24">
        <f>IF(D431&gt;=IF(MONTH($C431)=4,$C$3,IF(MONTH($C431)=5,$C$4,IF(MONTH($C431)=6,$C$5,IF(MONTH($C431)=7,$C$6,"ERROR")))),1,0)</f>
        <v>1</v>
      </c>
      <c r="F431" s="26">
        <f>VLOOKUP($C431,COS!$B$8:$H$991,7,FALSE)</f>
        <v>51.892650604248047</v>
      </c>
      <c r="G431" s="24">
        <f>IF(F431&lt;=IF(MONTH($C431)=4,$F$3,IF(MONTH($C431)=5,$F$4,IF(MONTH($C431)=6,$F$5,IF(MONTH($C431)=7,$F$6,"ERROR")))),1,0)</f>
        <v>1</v>
      </c>
      <c r="H431" s="26">
        <f>IF(J431=1,D431-$C$6,0)</f>
        <v>4000</v>
      </c>
      <c r="I431" s="26">
        <f t="shared" si="661"/>
        <v>245.95041322314049</v>
      </c>
      <c r="J431" s="24">
        <f t="shared" si="683"/>
        <v>1</v>
      </c>
      <c r="K431" s="26">
        <f>VLOOKUP($C431,COS!$B$8:$H$991,2,FALSE)</f>
        <v>3020.87158203125</v>
      </c>
      <c r="L431" s="24">
        <f t="shared" si="639"/>
        <v>1</v>
      </c>
      <c r="M431" s="24">
        <f t="shared" si="640"/>
        <v>0</v>
      </c>
      <c r="N431" s="26">
        <f>VLOOKUP($C431,COS!$B$8:$H$991,5,FALSE)</f>
        <v>869.43463134765625</v>
      </c>
      <c r="O431" s="26">
        <f t="shared" si="686"/>
        <v>53.459451712616215</v>
      </c>
      <c r="P431" s="26">
        <f>VLOOKUP($C431,COS!$B$8:$H$991,6,FALSE)</f>
        <v>2537.385498046875</v>
      </c>
      <c r="Q431" s="26">
        <f t="shared" si="687"/>
        <v>156.01775293775825</v>
      </c>
      <c r="R431" s="26">
        <f>MIN(IF(MONTH($C431)=4,$S$3,IF(MONTH($C431)=5,$S$4,IF(MONTH($C431)=6,$S$5,IF(MONTH($C431)=7,$S$6,"ERROR")))),MAX(VLOOKUP($C431,COS!$B$8:$K$991,10,FALSE)-IF(MONTH($C431)=4,$Y$3,IF(MONTH($C431)=5,$Y$4,IF(MONTH($C431)=6,$Y$5,IF(MONTH($C431)=7,$Y$6,"ERROR")))),0),MAX(VLOOKUP($C431,COS!$B$8:$K$991,9,FALSE)-IF(MONTH($C431)=4,$V$3,IF(MONTH($C431)=5,$V$4,IF(MONTH($C431)=6,$V$5,IF(MONTH($C431)=7,$V$6,"ERROR"))))-VLOOKUP($C431,COS!$B$8:$K$991,6,FALSE)/2,0))</f>
        <v>1500</v>
      </c>
      <c r="S431" s="26">
        <f t="shared" si="688"/>
        <v>92.231404958677686</v>
      </c>
      <c r="T431" s="26">
        <f t="shared" si="689"/>
        <v>196.9700072838649</v>
      </c>
      <c r="U431" s="26" t="str">
        <f>IF(VLOOKUP($C431,COS!$B$8:$I$991,8,FALSE)=1,"UWFE","IBU")</f>
        <v>IBU</v>
      </c>
      <c r="V431" s="26">
        <f t="shared" ref="V431" si="693">MIN(IF(IF($AA$3=2,AND(E431=1,G431=1,L431=1,L433=1,M431=1,U431="IBU"),AND(E431=1,G431=1,L431=1,L433=1,M431=1)),T431,0),I431)</f>
        <v>0</v>
      </c>
      <c r="W431" s="26"/>
      <c r="X431" s="26"/>
      <c r="Y431" s="26"/>
      <c r="Z431" s="26"/>
      <c r="AA431" s="26"/>
      <c r="AB431" s="33"/>
    </row>
    <row r="432" spans="1:28" x14ac:dyDescent="0.3">
      <c r="A432" s="32">
        <f>VLOOKUP(YEAR(C432),Flags!$A$13:$B$95,2,FALSE)</f>
        <v>3</v>
      </c>
      <c r="B432" s="24">
        <f t="shared" si="637"/>
        <v>1968</v>
      </c>
      <c r="C432" s="25">
        <v>25081</v>
      </c>
      <c r="D432" s="26"/>
      <c r="E432" s="24"/>
      <c r="F432" s="26"/>
      <c r="G432" s="24"/>
      <c r="H432" s="24"/>
      <c r="I432" s="26"/>
      <c r="J432" s="24"/>
      <c r="K432" s="26"/>
      <c r="L432" s="24"/>
      <c r="M432" s="24"/>
      <c r="N432" s="26"/>
      <c r="O432" s="26"/>
      <c r="P432" s="26"/>
      <c r="Q432" s="26"/>
      <c r="R432" s="26"/>
      <c r="S432" s="26"/>
      <c r="T432" s="26"/>
      <c r="U432" s="26"/>
      <c r="V432" s="26"/>
      <c r="W432" s="26">
        <f>MAX($C$7-VLOOKUP($C432,COS!$B$8:$H$991,3,FALSE),0)</f>
        <v>91885.423828125</v>
      </c>
      <c r="X432" s="26">
        <f t="shared" si="667"/>
        <v>5649.8144899276858</v>
      </c>
      <c r="Y432" s="26">
        <f>VLOOKUP($C432,COS!$B$8:$H$991,4,FALSE)</f>
        <v>520.4456787109375</v>
      </c>
      <c r="Z432" s="26">
        <f t="shared" si="668"/>
        <v>32.000957434788219</v>
      </c>
      <c r="AA432" s="26">
        <f t="shared" ref="AA432:AA436" si="694">MIN(W432,Y432)</f>
        <v>520.4456787109375</v>
      </c>
      <c r="AB432" s="33">
        <f t="shared" ref="AB432" si="695">AA432*DAY($C432)*86400/43560/1000*IF(MONTH($C432)=8,$P$3,IF(MONTH($C432)=9,$P$4,IF(MONTH($C432)=10,$P$5,IF(MONTH($C432)=11,$P$6,IF(MONTH($C432)=12,$P$7,NA())))))</f>
        <v>32.000957434788219</v>
      </c>
    </row>
    <row r="433" spans="1:28" x14ac:dyDescent="0.3">
      <c r="A433" s="32">
        <f>VLOOKUP(YEAR(C433),Flags!$A$13:$B$95,2,FALSE)</f>
        <v>3</v>
      </c>
      <c r="B433" s="24">
        <f t="shared" si="637"/>
        <v>1968</v>
      </c>
      <c r="C433" s="25">
        <v>25111</v>
      </c>
      <c r="D433" s="26"/>
      <c r="E433" s="24"/>
      <c r="F433" s="26"/>
      <c r="G433" s="24"/>
      <c r="H433" s="24"/>
      <c r="I433" s="26"/>
      <c r="J433" s="24"/>
      <c r="K433" s="26">
        <f>VLOOKUP($C433,COS!$B$8:$H$991,2,FALSE)</f>
        <v>2794.065185546875</v>
      </c>
      <c r="L433" s="24">
        <f t="shared" ref="L433" si="696">IF(AND(K433&gt;$I$7,K433&lt;$I$8),1,0)</f>
        <v>1</v>
      </c>
      <c r="M433" s="24"/>
      <c r="N433" s="26"/>
      <c r="O433" s="26"/>
      <c r="P433" s="26"/>
      <c r="Q433" s="26"/>
      <c r="R433" s="26"/>
      <c r="S433" s="26"/>
      <c r="T433" s="26"/>
      <c r="U433" s="26"/>
      <c r="V433" s="26"/>
      <c r="W433" s="26">
        <f>MAX($C$8-VLOOKUP($C433,COS!$B$8:$H$991,3,FALSE),0)</f>
        <v>93395.6298828125</v>
      </c>
      <c r="X433" s="26">
        <f t="shared" si="667"/>
        <v>5557.4259103822315</v>
      </c>
      <c r="Y433" s="26">
        <f>VLOOKUP($C433,COS!$B$8:$H$991,4,FALSE)</f>
        <v>164.13697814941406</v>
      </c>
      <c r="Z433" s="26">
        <f t="shared" si="668"/>
        <v>9.76682845186596</v>
      </c>
      <c r="AA433" s="26">
        <f t="shared" si="694"/>
        <v>164.13697814941406</v>
      </c>
      <c r="AB433" s="33">
        <f t="shared" si="650"/>
        <v>9.76682845186596</v>
      </c>
    </row>
    <row r="434" spans="1:28" x14ac:dyDescent="0.3">
      <c r="A434" s="32">
        <f>VLOOKUP(YEAR(C434),Flags!$A$13:$B$95,2,FALSE)</f>
        <v>3</v>
      </c>
      <c r="B434" s="24">
        <f t="shared" si="637"/>
        <v>1968</v>
      </c>
      <c r="C434" s="25">
        <v>25142</v>
      </c>
      <c r="D434" s="26"/>
      <c r="E434" s="24"/>
      <c r="F434" s="26"/>
      <c r="G434" s="26"/>
      <c r="H434" s="26"/>
      <c r="I434" s="26"/>
      <c r="J434" s="26"/>
      <c r="K434" s="26"/>
      <c r="L434" s="24"/>
      <c r="M434" s="24"/>
      <c r="N434" s="26"/>
      <c r="O434" s="26"/>
      <c r="P434" s="26"/>
      <c r="Q434" s="26"/>
      <c r="R434" s="26"/>
      <c r="S434" s="26"/>
      <c r="T434" s="26"/>
      <c r="U434" s="26"/>
      <c r="V434" s="26"/>
      <c r="W434" s="26">
        <f>MAX($C$9-VLOOKUP($C434,COS!$B$8:$H$991,3,FALSE),0)</f>
        <v>94950.54296875</v>
      </c>
      <c r="X434" s="26">
        <f t="shared" si="667"/>
        <v>5838.2813197314053</v>
      </c>
      <c r="Y434" s="26">
        <f>VLOOKUP($C434,COS!$B$8:$H$991,4,FALSE)</f>
        <v>1019.0936889648438</v>
      </c>
      <c r="Z434" s="26">
        <f t="shared" si="668"/>
        <v>62.661628478499487</v>
      </c>
      <c r="AA434" s="26">
        <f t="shared" si="694"/>
        <v>1019.0936889648438</v>
      </c>
      <c r="AB434" s="33">
        <f t="shared" si="650"/>
        <v>62.661628478499487</v>
      </c>
    </row>
    <row r="435" spans="1:28" x14ac:dyDescent="0.3">
      <c r="A435" s="32">
        <f>VLOOKUP(YEAR(C435),Flags!$A$13:$B$95,2,FALSE)</f>
        <v>3</v>
      </c>
      <c r="B435" s="24">
        <f t="shared" si="637"/>
        <v>1968</v>
      </c>
      <c r="C435" s="25">
        <v>25172</v>
      </c>
      <c r="D435" s="26"/>
      <c r="E435" s="24"/>
      <c r="F435" s="26"/>
      <c r="G435" s="26"/>
      <c r="H435" s="26"/>
      <c r="I435" s="26"/>
      <c r="J435" s="26"/>
      <c r="K435" s="26"/>
      <c r="L435" s="24"/>
      <c r="M435" s="24"/>
      <c r="N435" s="26"/>
      <c r="O435" s="26"/>
      <c r="P435" s="26"/>
      <c r="Q435" s="26"/>
      <c r="R435" s="26"/>
      <c r="S435" s="26"/>
      <c r="T435" s="26"/>
      <c r="U435" s="26"/>
      <c r="V435" s="26"/>
      <c r="W435" s="26">
        <f>MAX($C$10-VLOOKUP($C435,COS!$B$8:$H$991,3,FALSE),0)</f>
        <v>96749</v>
      </c>
      <c r="X435" s="26">
        <f t="shared" si="667"/>
        <v>5756.965289256198</v>
      </c>
      <c r="Y435" s="26">
        <f>VLOOKUP($C435,COS!$B$8:$H$991,4,FALSE)</f>
        <v>448.95883178710938</v>
      </c>
      <c r="Z435" s="26">
        <f t="shared" si="668"/>
        <v>26.714905693117252</v>
      </c>
      <c r="AA435" s="26">
        <f t="shared" si="694"/>
        <v>448.95883178710938</v>
      </c>
      <c r="AB435" s="33">
        <f t="shared" si="650"/>
        <v>13.357452846558626</v>
      </c>
    </row>
    <row r="436" spans="1:28" x14ac:dyDescent="0.3">
      <c r="A436" s="34">
        <f>VLOOKUP(YEAR(C436),Flags!$A$13:$B$95,2,FALSE)</f>
        <v>3</v>
      </c>
      <c r="B436" s="35">
        <f t="shared" si="637"/>
        <v>1968</v>
      </c>
      <c r="C436" s="36">
        <v>25203</v>
      </c>
      <c r="D436" s="37"/>
      <c r="E436" s="35"/>
      <c r="F436" s="37"/>
      <c r="G436" s="37"/>
      <c r="H436" s="37"/>
      <c r="I436" s="37"/>
      <c r="J436" s="37"/>
      <c r="K436" s="37"/>
      <c r="L436" s="35"/>
      <c r="M436" s="35"/>
      <c r="N436" s="37"/>
      <c r="O436" s="37"/>
      <c r="P436" s="37"/>
      <c r="Q436" s="37"/>
      <c r="R436" s="37"/>
      <c r="S436" s="37"/>
      <c r="T436" s="37"/>
      <c r="U436" s="37"/>
      <c r="V436" s="37"/>
      <c r="W436" s="37">
        <f>MAX($C$11-VLOOKUP($C436,COS!$B$8:$H$991,3,FALSE),0)</f>
        <v>0</v>
      </c>
      <c r="X436" s="37">
        <f t="shared" si="667"/>
        <v>0</v>
      </c>
      <c r="Y436" s="37">
        <f>VLOOKUP($C436,COS!$B$8:$H$991,4,FALSE)</f>
        <v>0</v>
      </c>
      <c r="Z436" s="37">
        <f t="shared" si="668"/>
        <v>0</v>
      </c>
      <c r="AA436" s="37">
        <f t="shared" si="694"/>
        <v>0</v>
      </c>
      <c r="AB436" s="38">
        <f t="shared" si="650"/>
        <v>0</v>
      </c>
    </row>
    <row r="437" spans="1:28" x14ac:dyDescent="0.3">
      <c r="A437" s="27">
        <f>VLOOKUP(YEAR(C437),Flags!$A$13:$B$95,2,FALSE)</f>
        <v>1</v>
      </c>
      <c r="B437" s="28">
        <f t="shared" si="637"/>
        <v>1969</v>
      </c>
      <c r="C437" s="29">
        <v>25323</v>
      </c>
      <c r="D437" s="30">
        <f>VLOOKUP($C437,COS!$B$8:$H$991,3,FALSE)</f>
        <v>9669.7626953125</v>
      </c>
      <c r="E437" s="28">
        <f>IF(D437&gt;=IF(MONTH($C437)=4,$C$3,IF(MONTH($C437)=5,$C$4,IF(MONTH($C437)=6,$C$5,IF(MONTH($C437)=7,$C$6,"ERROR")))),1,0)</f>
        <v>1</v>
      </c>
      <c r="F437" s="30">
        <f>VLOOKUP($C437,COS!$B$8:$H$991,7,FALSE)</f>
        <v>46.990718841552734</v>
      </c>
      <c r="G437" s="28">
        <f>IF(F437&lt;=IF(MONTH($C437)=4,$F$3,IF(MONTH($C437)=5,$F$4,IF(MONTH($C437)=6,$F$5,IF(MONTH($C437)=7,$F$6,"ERROR")))),1,0)</f>
        <v>1</v>
      </c>
      <c r="H437" s="30">
        <f>IF(J437=1,D437-$C$3,0)</f>
        <v>3669.7626953125</v>
      </c>
      <c r="I437" s="30">
        <f t="shared" si="661"/>
        <v>218.36604467975206</v>
      </c>
      <c r="J437" s="28">
        <f t="shared" ref="J437:J440" si="697">IF(AND(E437=1,G437=1),1,0)</f>
        <v>1</v>
      </c>
      <c r="K437" s="30">
        <f>VLOOKUP($C437,COS!$B$8:$H$991,2,FALSE)</f>
        <v>4434</v>
      </c>
      <c r="L437" s="28">
        <f t="shared" ref="L437" si="698">IF(K437&lt;=IF(MONTH($C437)=4,$I$3,IF(MONTH($C437)=5,$I$4,IF(MONTH($C437)=6,$I$5,IF(MONTH($C437)=7,$I$6,"ERROR")))),1,0)</f>
        <v>1</v>
      </c>
      <c r="M437" s="28">
        <f t="shared" ref="M437" si="699">VLOOKUP($A437,$L$3:$M$7,2,FALSE)</f>
        <v>0</v>
      </c>
      <c r="N437" s="30">
        <f>VLOOKUP($C437,COS!$B$8:$H$991,5,FALSE)</f>
        <v>171.73318481445313</v>
      </c>
      <c r="O437" s="30">
        <f t="shared" ref="O437:O440" si="700">N437*DAY($C437)*86400/43560/1000</f>
        <v>10.218834137719524</v>
      </c>
      <c r="P437" s="30">
        <f>VLOOKUP($C437,COS!$B$8:$H$991,6,FALSE)</f>
        <v>463.4422607421875</v>
      </c>
      <c r="Q437" s="30">
        <f t="shared" ref="Q437:Q440" si="701">P437*DAY($C437)*86400/43560/1000</f>
        <v>27.576729564824383</v>
      </c>
      <c r="R437" s="30">
        <f>MIN(IF(MONTH($C437)=4,$S$3,IF(MONTH($C437)=5,$S$4,IF(MONTH($C437)=6,$S$5,IF(MONTH($C437)=7,$S$6,"ERROR")))),MAX(VLOOKUP($C437,COS!$B$8:$K$991,10,FALSE)-IF(MONTH($C437)=4,$Y$3,IF(MONTH($C437)=5,$Y$4,IF(MONTH($C437)=6,$Y$5,IF(MONTH($C437)=7,$Y$6,"ERROR")))),0),MAX(VLOOKUP($C437,COS!$B$8:$K$991,9,FALSE)-IF(MONTH($C437)=4,$V$3,IF(MONTH($C437)=5,$V$4,IF(MONTH($C437)=6,$V$5,IF(MONTH($C437)=7,$V$6,"ERROR"))))-VLOOKUP($C437,COS!$B$8:$K$991,6,FALSE)/2,0))</f>
        <v>1500</v>
      </c>
      <c r="S437" s="30">
        <f t="shared" ref="S437:S440" si="702">R437*DAY($C437)*86400/43560/1000</f>
        <v>89.256198347107429</v>
      </c>
      <c r="T437" s="30">
        <f t="shared" ref="T437:T440" si="703">(O437+Q437)/2+S437</f>
        <v>108.15398019837939</v>
      </c>
      <c r="U437" s="30" t="str">
        <f>IF(VLOOKUP($C437,COS!$B$8:$I$991,8,FALSE)=1,"UWFE","IBU")</f>
        <v>UWFE</v>
      </c>
      <c r="V437" s="30">
        <f t="shared" ref="V437" si="704">MIN(IF(IF($AA$3=2,AND(E437=1,G437=1,L437=1,L442=1,M437=1,U437="IBU"),AND(E437=1,G437=1,L437=1,L442=1,M437=1)),T437,0),I437)</f>
        <v>0</v>
      </c>
      <c r="W437" s="30"/>
      <c r="X437" s="30"/>
      <c r="Y437" s="30"/>
      <c r="Z437" s="30"/>
      <c r="AA437" s="30"/>
      <c r="AB437" s="31"/>
    </row>
    <row r="438" spans="1:28" x14ac:dyDescent="0.3">
      <c r="A438" s="32">
        <f>VLOOKUP(YEAR(C438),Flags!$A$13:$B$95,2,FALSE)</f>
        <v>1</v>
      </c>
      <c r="B438" s="24">
        <f t="shared" si="637"/>
        <v>1969</v>
      </c>
      <c r="C438" s="25">
        <v>25354</v>
      </c>
      <c r="D438" s="26">
        <f>VLOOKUP($C438,COS!$B$8:$H$991,3,FALSE)</f>
        <v>9579.4580078125</v>
      </c>
      <c r="E438" s="24">
        <f>IF(D438&gt;=IF(MONTH($C438)=4,$C$3,IF(MONTH($C438)=5,$C$4,IF(MONTH($C438)=6,$C$5,IF(MONTH($C438)=7,$C$6,"ERROR")))),1,0)</f>
        <v>1</v>
      </c>
      <c r="F438" s="26">
        <f>VLOOKUP($C438,COS!$B$8:$H$991,7,FALSE)</f>
        <v>48.872310638427734</v>
      </c>
      <c r="G438" s="24">
        <f>IF(F438&lt;=IF(MONTH($C438)=4,$F$3,IF(MONTH($C438)=5,$F$4,IF(MONTH($C438)=6,$F$5,IF(MONTH($C438)=7,$F$6,"ERROR")))),1,0)</f>
        <v>1</v>
      </c>
      <c r="H438" s="26">
        <f>IF(J438=1,D438-$C$4,0)</f>
        <v>3579.4580078125</v>
      </c>
      <c r="I438" s="26">
        <f t="shared" si="661"/>
        <v>220.09229403409091</v>
      </c>
      <c r="J438" s="24">
        <f t="shared" si="697"/>
        <v>1</v>
      </c>
      <c r="K438" s="26">
        <f>VLOOKUP($C438,COS!$B$8:$H$991,2,FALSE)</f>
        <v>4552</v>
      </c>
      <c r="L438" s="24">
        <f t="shared" si="639"/>
        <v>1</v>
      </c>
      <c r="M438" s="24">
        <f t="shared" si="640"/>
        <v>0</v>
      </c>
      <c r="N438" s="26">
        <f>VLOOKUP($C438,COS!$B$8:$H$991,5,FALSE)</f>
        <v>779.53582763671875</v>
      </c>
      <c r="O438" s="26">
        <f t="shared" si="700"/>
        <v>47.931789732373453</v>
      </c>
      <c r="P438" s="26">
        <f>VLOOKUP($C438,COS!$B$8:$H$991,6,FALSE)</f>
        <v>2345.609619140625</v>
      </c>
      <c r="Q438" s="26">
        <f t="shared" si="701"/>
        <v>144.22591377195246</v>
      </c>
      <c r="R438" s="26">
        <f>MIN(IF(MONTH($C438)=4,$S$3,IF(MONTH($C438)=5,$S$4,IF(MONTH($C438)=6,$S$5,IF(MONTH($C438)=7,$S$6,"ERROR")))),MAX(VLOOKUP($C438,COS!$B$8:$K$991,10,FALSE)-IF(MONTH($C438)=4,$Y$3,IF(MONTH($C438)=5,$Y$4,IF(MONTH($C438)=6,$Y$5,IF(MONTH($C438)=7,$Y$6,"ERROR")))),0),MAX(VLOOKUP($C438,COS!$B$8:$K$991,9,FALSE)-IF(MONTH($C438)=4,$V$3,IF(MONTH($C438)=5,$V$4,IF(MONTH($C438)=6,$V$5,IF(MONTH($C438)=7,$V$6,"ERROR"))))-VLOOKUP($C438,COS!$B$8:$K$991,6,FALSE)/2,0))</f>
        <v>1500</v>
      </c>
      <c r="S438" s="26">
        <f t="shared" si="702"/>
        <v>92.231404958677686</v>
      </c>
      <c r="T438" s="26">
        <f t="shared" si="703"/>
        <v>188.31025671084063</v>
      </c>
      <c r="U438" s="26" t="str">
        <f>IF(VLOOKUP($C438,COS!$B$8:$I$991,8,FALSE)=1,"UWFE","IBU")</f>
        <v>UWFE</v>
      </c>
      <c r="V438" s="26">
        <f t="shared" ref="V438" si="705">MIN(IF(IF($AA$3=2,AND(E438=1,G438=1,L438=1,L442=1,M438=1,U438="IBU"),AND(E438=1,G438=1,L438=1,L442=1,M438=1)),T438,0),I438)</f>
        <v>0</v>
      </c>
      <c r="W438" s="26"/>
      <c r="X438" s="26"/>
      <c r="Y438" s="26"/>
      <c r="Z438" s="26"/>
      <c r="AA438" s="26"/>
      <c r="AB438" s="33"/>
    </row>
    <row r="439" spans="1:28" x14ac:dyDescent="0.3">
      <c r="A439" s="32">
        <f>VLOOKUP(YEAR(C439),Flags!$A$13:$B$95,2,FALSE)</f>
        <v>1</v>
      </c>
      <c r="B439" s="24">
        <f t="shared" si="637"/>
        <v>1969</v>
      </c>
      <c r="C439" s="25">
        <v>25384</v>
      </c>
      <c r="D439" s="26">
        <f>VLOOKUP($C439,COS!$B$8:$H$991,3,FALSE)</f>
        <v>8011.47998046875</v>
      </c>
      <c r="E439" s="24">
        <f>IF(D439&gt;=IF(MONTH($C439)=4,$C$3,IF(MONTH($C439)=5,$C$4,IF(MONTH($C439)=6,$C$5,IF(MONTH($C439)=7,$C$6,"ERROR")))),1,0)</f>
        <v>0</v>
      </c>
      <c r="F439" s="26">
        <f>VLOOKUP($C439,COS!$B$8:$H$991,7,FALSE)</f>
        <v>50.501800537109375</v>
      </c>
      <c r="G439" s="24">
        <f>IF(F439&lt;=IF(MONTH($C439)=4,$F$3,IF(MONTH($C439)=5,$F$4,IF(MONTH($C439)=6,$F$5,IF(MONTH($C439)=7,$F$6,"ERROR")))),1,0)</f>
        <v>1</v>
      </c>
      <c r="H439" s="26">
        <f>IF(J439=1,D439-$C$5,0)</f>
        <v>0</v>
      </c>
      <c r="I439" s="26">
        <f t="shared" si="661"/>
        <v>0</v>
      </c>
      <c r="J439" s="24">
        <f t="shared" si="697"/>
        <v>0</v>
      </c>
      <c r="K439" s="26">
        <f>VLOOKUP($C439,COS!$B$8:$H$991,2,FALSE)</f>
        <v>4403.0791015625</v>
      </c>
      <c r="L439" s="24">
        <f t="shared" si="639"/>
        <v>1</v>
      </c>
      <c r="M439" s="24">
        <f t="shared" si="640"/>
        <v>0</v>
      </c>
      <c r="N439" s="26">
        <f>VLOOKUP($C439,COS!$B$8:$H$991,5,FALSE)</f>
        <v>1103.256591796875</v>
      </c>
      <c r="O439" s="26">
        <f t="shared" si="700"/>
        <v>65.648326123450417</v>
      </c>
      <c r="P439" s="26">
        <f>VLOOKUP($C439,COS!$B$8:$H$991,6,FALSE)</f>
        <v>2226.01513671875</v>
      </c>
      <c r="Q439" s="26">
        <f t="shared" si="701"/>
        <v>132.45709904442148</v>
      </c>
      <c r="R439" s="26">
        <f>MIN(IF(MONTH($C439)=4,$S$3,IF(MONTH($C439)=5,$S$4,IF(MONTH($C439)=6,$S$5,IF(MONTH($C439)=7,$S$6,"ERROR")))),MAX(VLOOKUP($C439,COS!$B$8:$K$991,10,FALSE)-IF(MONTH($C439)=4,$Y$3,IF(MONTH($C439)=5,$Y$4,IF(MONTH($C439)=6,$Y$5,IF(MONTH($C439)=7,$Y$6,"ERROR")))),0),MAX(VLOOKUP($C439,COS!$B$8:$K$991,9,FALSE)-IF(MONTH($C439)=4,$V$3,IF(MONTH($C439)=5,$V$4,IF(MONTH($C439)=6,$V$5,IF(MONTH($C439)=7,$V$6,"ERROR"))))-VLOOKUP($C439,COS!$B$8:$K$991,6,FALSE)/2,0))</f>
        <v>1500</v>
      </c>
      <c r="S439" s="26">
        <f t="shared" si="702"/>
        <v>89.256198347107429</v>
      </c>
      <c r="T439" s="26">
        <f t="shared" si="703"/>
        <v>188.30891093104339</v>
      </c>
      <c r="U439" s="26" t="str">
        <f>IF(VLOOKUP($C439,COS!$B$8:$I$991,8,FALSE)=1,"UWFE","IBU")</f>
        <v>UWFE</v>
      </c>
      <c r="V439" s="26">
        <f t="shared" ref="V439" si="706">MIN(IF(IF($AA$3=2,AND(E439=1,G439=1,L439=1,L442=1,M439=1,U439="IBU"),AND(E439=1,G439=1,L439=1,L442=1,M439=1)),T439,0),I439)</f>
        <v>0</v>
      </c>
      <c r="W439" s="26"/>
      <c r="X439" s="26"/>
      <c r="Y439" s="26"/>
      <c r="Z439" s="26"/>
      <c r="AA439" s="26"/>
      <c r="AB439" s="33"/>
    </row>
    <row r="440" spans="1:28" x14ac:dyDescent="0.3">
      <c r="A440" s="32">
        <f>VLOOKUP(YEAR(C440),Flags!$A$13:$B$95,2,FALSE)</f>
        <v>1</v>
      </c>
      <c r="B440" s="24">
        <f t="shared" si="637"/>
        <v>1969</v>
      </c>
      <c r="C440" s="25">
        <v>25415</v>
      </c>
      <c r="D440" s="26">
        <f>VLOOKUP($C440,COS!$B$8:$H$991,3,FALSE)</f>
        <v>11045.078125</v>
      </c>
      <c r="E440" s="24">
        <f>IF(D440&gt;=IF(MONTH($C440)=4,$C$3,IF(MONTH($C440)=5,$C$4,IF(MONTH($C440)=6,$C$5,IF(MONTH($C440)=7,$C$6,"ERROR")))),1,0)</f>
        <v>0</v>
      </c>
      <c r="F440" s="26">
        <f>VLOOKUP($C440,COS!$B$8:$H$991,7,FALSE)</f>
        <v>51.50872802734375</v>
      </c>
      <c r="G440" s="24">
        <f>IF(F440&lt;=IF(MONTH($C440)=4,$F$3,IF(MONTH($C440)=5,$F$4,IF(MONTH($C440)=6,$F$5,IF(MONTH($C440)=7,$F$6,"ERROR")))),1,0)</f>
        <v>1</v>
      </c>
      <c r="H440" s="26">
        <f>IF(J440=1,D440-$C$6,0)</f>
        <v>0</v>
      </c>
      <c r="I440" s="26">
        <f t="shared" si="661"/>
        <v>0</v>
      </c>
      <c r="J440" s="24">
        <f t="shared" si="697"/>
        <v>0</v>
      </c>
      <c r="K440" s="26">
        <f>VLOOKUP($C440,COS!$B$8:$H$991,2,FALSE)</f>
        <v>3947.457763671875</v>
      </c>
      <c r="L440" s="24">
        <f t="shared" si="639"/>
        <v>1</v>
      </c>
      <c r="M440" s="24">
        <f t="shared" si="640"/>
        <v>0</v>
      </c>
      <c r="N440" s="26">
        <f>VLOOKUP($C440,COS!$B$8:$H$991,5,FALSE)</f>
        <v>1249.15625</v>
      </c>
      <c r="O440" s="26">
        <f t="shared" si="700"/>
        <v>76.807623966942145</v>
      </c>
      <c r="P440" s="26">
        <f>VLOOKUP($C440,COS!$B$8:$H$991,6,FALSE)</f>
        <v>2516.8701171875</v>
      </c>
      <c r="Q440" s="26">
        <f t="shared" si="701"/>
        <v>154.75631133780993</v>
      </c>
      <c r="R440" s="26">
        <f>MIN(IF(MONTH($C440)=4,$S$3,IF(MONTH($C440)=5,$S$4,IF(MONTH($C440)=6,$S$5,IF(MONTH($C440)=7,$S$6,"ERROR")))),MAX(VLOOKUP($C440,COS!$B$8:$K$991,10,FALSE)-IF(MONTH($C440)=4,$Y$3,IF(MONTH($C440)=5,$Y$4,IF(MONTH($C440)=6,$Y$5,IF(MONTH($C440)=7,$Y$6,"ERROR")))),0),MAX(VLOOKUP($C440,COS!$B$8:$K$991,9,FALSE)-IF(MONTH($C440)=4,$V$3,IF(MONTH($C440)=5,$V$4,IF(MONTH($C440)=6,$V$5,IF(MONTH($C440)=7,$V$6,"ERROR"))))-VLOOKUP($C440,COS!$B$8:$K$991,6,FALSE)/2,0))</f>
        <v>1500</v>
      </c>
      <c r="S440" s="26">
        <f t="shared" si="702"/>
        <v>92.231404958677686</v>
      </c>
      <c r="T440" s="26">
        <f t="shared" si="703"/>
        <v>208.01337261105374</v>
      </c>
      <c r="U440" s="26" t="str">
        <f>IF(VLOOKUP($C440,COS!$B$8:$I$991,8,FALSE)=1,"UWFE","IBU")</f>
        <v>IBU</v>
      </c>
      <c r="V440" s="26">
        <f t="shared" ref="V440" si="707">MIN(IF(IF($AA$3=2,AND(E440=1,G440=1,L440=1,L442=1,M440=1,U440="IBU"),AND(E440=1,G440=1,L440=1,L442=1,M440=1)),T440,0),I440)</f>
        <v>0</v>
      </c>
      <c r="W440" s="26"/>
      <c r="X440" s="26"/>
      <c r="Y440" s="26"/>
      <c r="Z440" s="26"/>
      <c r="AA440" s="26"/>
      <c r="AB440" s="33"/>
    </row>
    <row r="441" spans="1:28" x14ac:dyDescent="0.3">
      <c r="A441" s="32">
        <f>VLOOKUP(YEAR(C441),Flags!$A$13:$B$95,2,FALSE)</f>
        <v>1</v>
      </c>
      <c r="B441" s="24">
        <f t="shared" si="637"/>
        <v>1969</v>
      </c>
      <c r="C441" s="25">
        <v>25446</v>
      </c>
      <c r="D441" s="26"/>
      <c r="E441" s="24"/>
      <c r="F441" s="26"/>
      <c r="G441" s="24"/>
      <c r="H441" s="24"/>
      <c r="I441" s="26"/>
      <c r="J441" s="24"/>
      <c r="K441" s="26"/>
      <c r="L441" s="24"/>
      <c r="M441" s="24"/>
      <c r="N441" s="26"/>
      <c r="O441" s="26"/>
      <c r="P441" s="26"/>
      <c r="Q441" s="26"/>
      <c r="R441" s="26"/>
      <c r="S441" s="26"/>
      <c r="T441" s="26"/>
      <c r="U441" s="26"/>
      <c r="V441" s="26"/>
      <c r="W441" s="26">
        <f>MAX($C$7-VLOOKUP($C441,COS!$B$8:$H$991,3,FALSE),0)</f>
        <v>89532.791015625</v>
      </c>
      <c r="X441" s="26">
        <f t="shared" si="667"/>
        <v>5505.1567368285123</v>
      </c>
      <c r="Y441" s="26">
        <f>VLOOKUP($C441,COS!$B$8:$H$991,4,FALSE)</f>
        <v>0</v>
      </c>
      <c r="Z441" s="26">
        <f t="shared" si="668"/>
        <v>0</v>
      </c>
      <c r="AA441" s="26">
        <f t="shared" ref="AA441:AA445" si="708">MIN(W441,Y441)</f>
        <v>0</v>
      </c>
      <c r="AB441" s="33">
        <f t="shared" ref="AB441" si="709">AA441*DAY($C441)*86400/43560/1000*IF(MONTH($C441)=8,$P$3,IF(MONTH($C441)=9,$P$4,IF(MONTH($C441)=10,$P$5,IF(MONTH($C441)=11,$P$6,IF(MONTH($C441)=12,$P$7,NA())))))</f>
        <v>0</v>
      </c>
    </row>
    <row r="442" spans="1:28" x14ac:dyDescent="0.3">
      <c r="A442" s="32">
        <f>VLOOKUP(YEAR(C442),Flags!$A$13:$B$95,2,FALSE)</f>
        <v>1</v>
      </c>
      <c r="B442" s="24">
        <f t="shared" si="637"/>
        <v>1969</v>
      </c>
      <c r="C442" s="25">
        <v>25476</v>
      </c>
      <c r="D442" s="26"/>
      <c r="E442" s="24"/>
      <c r="F442" s="26"/>
      <c r="G442" s="24"/>
      <c r="H442" s="24"/>
      <c r="I442" s="26"/>
      <c r="J442" s="24"/>
      <c r="K442" s="26">
        <f>VLOOKUP($C442,COS!$B$8:$H$991,2,FALSE)</f>
        <v>3239.390869140625</v>
      </c>
      <c r="L442" s="24">
        <f t="shared" ref="L442" si="710">IF(AND(K442&gt;$I$7,K442&lt;$I$8),1,0)</f>
        <v>1</v>
      </c>
      <c r="M442" s="24"/>
      <c r="N442" s="26"/>
      <c r="O442" s="26"/>
      <c r="P442" s="26"/>
      <c r="Q442" s="26"/>
      <c r="R442" s="26"/>
      <c r="S442" s="26"/>
      <c r="T442" s="26"/>
      <c r="U442" s="26"/>
      <c r="V442" s="26"/>
      <c r="W442" s="26">
        <f>MAX($C$8-VLOOKUP($C442,COS!$B$8:$H$991,3,FALSE),0)</f>
        <v>88147.01953125</v>
      </c>
      <c r="X442" s="26">
        <f t="shared" si="667"/>
        <v>5245.1119059917355</v>
      </c>
      <c r="Y442" s="26">
        <f>VLOOKUP($C442,COS!$B$8:$H$991,4,FALSE)</f>
        <v>42.857669830322266</v>
      </c>
      <c r="Z442" s="26">
        <f t="shared" si="668"/>
        <v>2.5502084527133912</v>
      </c>
      <c r="AA442" s="26">
        <f t="shared" si="708"/>
        <v>42.857669830322266</v>
      </c>
      <c r="AB442" s="33">
        <f t="shared" si="650"/>
        <v>2.5502084527133912</v>
      </c>
    </row>
    <row r="443" spans="1:28" x14ac:dyDescent="0.3">
      <c r="A443" s="32">
        <f>VLOOKUP(YEAR(C443),Flags!$A$13:$B$95,2,FALSE)</f>
        <v>1</v>
      </c>
      <c r="B443" s="24">
        <f t="shared" si="637"/>
        <v>1969</v>
      </c>
      <c r="C443" s="25">
        <v>25507</v>
      </c>
      <c r="D443" s="26"/>
      <c r="E443" s="24"/>
      <c r="F443" s="26"/>
      <c r="G443" s="26"/>
      <c r="H443" s="26"/>
      <c r="I443" s="26"/>
      <c r="J443" s="26"/>
      <c r="K443" s="26"/>
      <c r="L443" s="24"/>
      <c r="M443" s="24"/>
      <c r="N443" s="26"/>
      <c r="O443" s="26"/>
      <c r="P443" s="26"/>
      <c r="Q443" s="26"/>
      <c r="R443" s="26"/>
      <c r="S443" s="26"/>
      <c r="T443" s="26"/>
      <c r="U443" s="26"/>
      <c r="V443" s="26"/>
      <c r="W443" s="26">
        <f>MAX($C$9-VLOOKUP($C443,COS!$B$8:$H$991,3,FALSE),0)</f>
        <v>93281.42724609375</v>
      </c>
      <c r="X443" s="26">
        <f t="shared" si="667"/>
        <v>5735.6513943052687</v>
      </c>
      <c r="Y443" s="26">
        <f>VLOOKUP($C443,COS!$B$8:$H$991,4,FALSE)</f>
        <v>245.98057556152344</v>
      </c>
      <c r="Z443" s="26">
        <f t="shared" si="668"/>
        <v>15.124756051055655</v>
      </c>
      <c r="AA443" s="26">
        <f t="shared" si="708"/>
        <v>245.98057556152344</v>
      </c>
      <c r="AB443" s="33">
        <f t="shared" si="650"/>
        <v>15.124756051055655</v>
      </c>
    </row>
    <row r="444" spans="1:28" x14ac:dyDescent="0.3">
      <c r="A444" s="32">
        <f>VLOOKUP(YEAR(C444),Flags!$A$13:$B$95,2,FALSE)</f>
        <v>1</v>
      </c>
      <c r="B444" s="24">
        <f t="shared" si="637"/>
        <v>1969</v>
      </c>
      <c r="C444" s="25">
        <v>25537</v>
      </c>
      <c r="D444" s="26"/>
      <c r="E444" s="24"/>
      <c r="F444" s="26"/>
      <c r="G444" s="26"/>
      <c r="H444" s="26"/>
      <c r="I444" s="26"/>
      <c r="J444" s="26"/>
      <c r="K444" s="26"/>
      <c r="L444" s="24"/>
      <c r="M444" s="24"/>
      <c r="N444" s="26"/>
      <c r="O444" s="26"/>
      <c r="P444" s="26"/>
      <c r="Q444" s="26"/>
      <c r="R444" s="26"/>
      <c r="S444" s="26"/>
      <c r="T444" s="26"/>
      <c r="U444" s="26"/>
      <c r="V444" s="26"/>
      <c r="W444" s="26">
        <f>MAX($C$10-VLOOKUP($C444,COS!$B$8:$H$991,3,FALSE),0)</f>
        <v>92833.80517578125</v>
      </c>
      <c r="X444" s="26">
        <f t="shared" si="667"/>
        <v>5523.995018724173</v>
      </c>
      <c r="Y444" s="26">
        <f>VLOOKUP($C444,COS!$B$8:$H$991,4,FALSE)</f>
        <v>0</v>
      </c>
      <c r="Z444" s="26">
        <f t="shared" si="668"/>
        <v>0</v>
      </c>
      <c r="AA444" s="26">
        <f t="shared" si="708"/>
        <v>0</v>
      </c>
      <c r="AB444" s="33">
        <f t="shared" si="650"/>
        <v>0</v>
      </c>
    </row>
    <row r="445" spans="1:28" x14ac:dyDescent="0.3">
      <c r="A445" s="34">
        <f>VLOOKUP(YEAR(C445),Flags!$A$13:$B$95,2,FALSE)</f>
        <v>1</v>
      </c>
      <c r="B445" s="35">
        <f t="shared" si="637"/>
        <v>1969</v>
      </c>
      <c r="C445" s="36">
        <v>25568</v>
      </c>
      <c r="D445" s="37"/>
      <c r="E445" s="35"/>
      <c r="F445" s="37"/>
      <c r="G445" s="37"/>
      <c r="H445" s="37"/>
      <c r="I445" s="37"/>
      <c r="J445" s="37"/>
      <c r="K445" s="37"/>
      <c r="L445" s="35"/>
      <c r="M445" s="35"/>
      <c r="N445" s="37"/>
      <c r="O445" s="37"/>
      <c r="P445" s="37"/>
      <c r="Q445" s="37"/>
      <c r="R445" s="37"/>
      <c r="S445" s="37"/>
      <c r="T445" s="37"/>
      <c r="U445" s="37"/>
      <c r="V445" s="37"/>
      <c r="W445" s="37">
        <f>MAX($C$11-VLOOKUP($C445,COS!$B$8:$H$991,3,FALSE),0)</f>
        <v>0</v>
      </c>
      <c r="X445" s="37">
        <f t="shared" si="667"/>
        <v>0</v>
      </c>
      <c r="Y445" s="37">
        <f>VLOOKUP($C445,COS!$B$8:$H$991,4,FALSE)</f>
        <v>0</v>
      </c>
      <c r="Z445" s="37">
        <f t="shared" si="668"/>
        <v>0</v>
      </c>
      <c r="AA445" s="37">
        <f t="shared" si="708"/>
        <v>0</v>
      </c>
      <c r="AB445" s="38">
        <f t="shared" si="650"/>
        <v>0</v>
      </c>
    </row>
    <row r="446" spans="1:28" x14ac:dyDescent="0.3">
      <c r="A446" s="27">
        <f>VLOOKUP(YEAR(C446),Flags!$A$13:$B$95,2,FALSE)</f>
        <v>1</v>
      </c>
      <c r="B446" s="28">
        <f t="shared" si="637"/>
        <v>1970</v>
      </c>
      <c r="C446" s="29">
        <v>25688</v>
      </c>
      <c r="D446" s="30">
        <f>VLOOKUP($C446,COS!$B$8:$H$991,3,FALSE)</f>
        <v>3250</v>
      </c>
      <c r="E446" s="28">
        <f>IF(D446&gt;=IF(MONTH($C446)=4,$C$3,IF(MONTH($C446)=5,$C$4,IF(MONTH($C446)=6,$C$5,IF(MONTH($C446)=7,$C$6,"ERROR")))),1,0)</f>
        <v>0</v>
      </c>
      <c r="F446" s="30">
        <f>VLOOKUP($C446,COS!$B$8:$H$991,7,FALSE)</f>
        <v>49.804428100585938</v>
      </c>
      <c r="G446" s="28">
        <f>IF(F446&lt;=IF(MONTH($C446)=4,$F$3,IF(MONTH($C446)=5,$F$4,IF(MONTH($C446)=6,$F$5,IF(MONTH($C446)=7,$F$6,"ERROR")))),1,0)</f>
        <v>1</v>
      </c>
      <c r="H446" s="30">
        <f>IF(J446=1,D446-$C$3,0)</f>
        <v>0</v>
      </c>
      <c r="I446" s="30">
        <f t="shared" si="661"/>
        <v>0</v>
      </c>
      <c r="J446" s="28">
        <f t="shared" ref="J446:J449" si="711">IF(AND(E446=1,G446=1),1,0)</f>
        <v>0</v>
      </c>
      <c r="K446" s="30">
        <f>VLOOKUP($C446,COS!$B$8:$H$991,2,FALSE)</f>
        <v>4291.064453125</v>
      </c>
      <c r="L446" s="28">
        <f t="shared" ref="L446" si="712">IF(K446&lt;=IF(MONTH($C446)=4,$I$3,IF(MONTH($C446)=5,$I$4,IF(MONTH($C446)=6,$I$5,IF(MONTH($C446)=7,$I$6,"ERROR")))),1,0)</f>
        <v>1</v>
      </c>
      <c r="M446" s="28">
        <f t="shared" ref="M446" si="713">VLOOKUP($A446,$L$3:$M$7,2,FALSE)</f>
        <v>0</v>
      </c>
      <c r="N446" s="30">
        <f>VLOOKUP($C446,COS!$B$8:$H$991,5,FALSE)</f>
        <v>73.196624755859375</v>
      </c>
      <c r="O446" s="30">
        <f t="shared" ref="O446:O449" si="714">N446*DAY($C446)*86400/43560/1000</f>
        <v>4.3555016383651859</v>
      </c>
      <c r="P446" s="30">
        <f>VLOOKUP($C446,COS!$B$8:$H$991,6,FALSE)</f>
        <v>508.6461181640625</v>
      </c>
      <c r="Q446" s="30">
        <f t="shared" ref="Q446:Q449" si="715">P446*DAY($C446)*86400/43560/1000</f>
        <v>30.266545874225205</v>
      </c>
      <c r="R446" s="30">
        <f>MIN(IF(MONTH($C446)=4,$S$3,IF(MONTH($C446)=5,$S$4,IF(MONTH($C446)=6,$S$5,IF(MONTH($C446)=7,$S$6,"ERROR")))),MAX(VLOOKUP($C446,COS!$B$8:$K$991,10,FALSE)-IF(MONTH($C446)=4,$Y$3,IF(MONTH($C446)=5,$Y$4,IF(MONTH($C446)=6,$Y$5,IF(MONTH($C446)=7,$Y$6,"ERROR")))),0),MAX(VLOOKUP($C446,COS!$B$8:$K$991,9,FALSE)-IF(MONTH($C446)=4,$V$3,IF(MONTH($C446)=5,$V$4,IF(MONTH($C446)=6,$V$5,IF(MONTH($C446)=7,$V$6,"ERROR"))))-VLOOKUP($C446,COS!$B$8:$K$991,6,FALSE)/2,0))</f>
        <v>713.98388671875</v>
      </c>
      <c r="S446" s="30">
        <f t="shared" ref="S446:S449" si="716">R446*DAY($C446)*86400/43560/1000</f>
        <v>42.484991606404961</v>
      </c>
      <c r="T446" s="30">
        <f t="shared" ref="T446:T449" si="717">(O446+Q446)/2+S446</f>
        <v>59.79601536270016</v>
      </c>
      <c r="U446" s="30" t="str">
        <f>IF(VLOOKUP($C446,COS!$B$8:$I$991,8,FALSE)=1,"UWFE","IBU")</f>
        <v>UWFE</v>
      </c>
      <c r="V446" s="30">
        <f t="shared" ref="V446" si="718">MIN(IF(IF($AA$3=2,AND(E446=1,G446=1,L446=1,L451=1,M446=1,U446="IBU"),AND(E446=1,G446=1,L446=1,L451=1,M446=1)),T446,0),I446)</f>
        <v>0</v>
      </c>
      <c r="W446" s="30"/>
      <c r="X446" s="30"/>
      <c r="Y446" s="30"/>
      <c r="Z446" s="30"/>
      <c r="AA446" s="30"/>
      <c r="AB446" s="31"/>
    </row>
    <row r="447" spans="1:28" x14ac:dyDescent="0.3">
      <c r="A447" s="32">
        <f>VLOOKUP(YEAR(C447),Flags!$A$13:$B$95,2,FALSE)</f>
        <v>1</v>
      </c>
      <c r="B447" s="24">
        <f t="shared" si="637"/>
        <v>1970</v>
      </c>
      <c r="C447" s="25">
        <v>25719</v>
      </c>
      <c r="D447" s="26">
        <f>VLOOKUP($C447,COS!$B$8:$H$991,3,FALSE)</f>
        <v>6423.0224609375</v>
      </c>
      <c r="E447" s="24">
        <f>IF(D447&gt;=IF(MONTH($C447)=4,$C$3,IF(MONTH($C447)=5,$C$4,IF(MONTH($C447)=6,$C$5,IF(MONTH($C447)=7,$C$6,"ERROR")))),1,0)</f>
        <v>1</v>
      </c>
      <c r="F447" s="26">
        <f>VLOOKUP($C447,COS!$B$8:$H$991,7,FALSE)</f>
        <v>49.899898529052734</v>
      </c>
      <c r="G447" s="24">
        <f>IF(F447&lt;=IF(MONTH($C447)=4,$F$3,IF(MONTH($C447)=5,$F$4,IF(MONTH($C447)=6,$F$5,IF(MONTH($C447)=7,$F$6,"ERROR")))),1,0)</f>
        <v>1</v>
      </c>
      <c r="H447" s="26">
        <f>IF(J447=1,D447-$C$4,0)</f>
        <v>423.0224609375</v>
      </c>
      <c r="I447" s="26">
        <f t="shared" si="661"/>
        <v>26.010637267561982</v>
      </c>
      <c r="J447" s="24">
        <f t="shared" si="711"/>
        <v>1</v>
      </c>
      <c r="K447" s="26">
        <f>VLOOKUP($C447,COS!$B$8:$H$991,2,FALSE)</f>
        <v>4231.88427734375</v>
      </c>
      <c r="L447" s="24">
        <f t="shared" si="639"/>
        <v>1</v>
      </c>
      <c r="M447" s="24">
        <f t="shared" si="640"/>
        <v>0</v>
      </c>
      <c r="N447" s="26">
        <f>VLOOKUP($C447,COS!$B$8:$H$991,5,FALSE)</f>
        <v>572.192626953125</v>
      </c>
      <c r="O447" s="26">
        <f t="shared" si="714"/>
        <v>35.182753260588839</v>
      </c>
      <c r="P447" s="26">
        <f>VLOOKUP($C447,COS!$B$8:$H$991,6,FALSE)</f>
        <v>2315.026611328125</v>
      </c>
      <c r="Q447" s="26">
        <f t="shared" si="715"/>
        <v>142.34543791967974</v>
      </c>
      <c r="R447" s="26">
        <f>MIN(IF(MONTH($C447)=4,$S$3,IF(MONTH($C447)=5,$S$4,IF(MONTH($C447)=6,$S$5,IF(MONTH($C447)=7,$S$6,"ERROR")))),MAX(VLOOKUP($C447,COS!$B$8:$K$991,10,FALSE)-IF(MONTH($C447)=4,$Y$3,IF(MONTH($C447)=5,$Y$4,IF(MONTH($C447)=6,$Y$5,IF(MONTH($C447)=7,$Y$6,"ERROR")))),0),MAX(VLOOKUP($C447,COS!$B$8:$K$991,9,FALSE)-IF(MONTH($C447)=4,$V$3,IF(MONTH($C447)=5,$V$4,IF(MONTH($C447)=6,$V$5,IF(MONTH($C447)=7,$V$6,"ERROR"))))-VLOOKUP($C447,COS!$B$8:$K$991,6,FALSE)/2,0))</f>
        <v>1500</v>
      </c>
      <c r="S447" s="26">
        <f t="shared" si="716"/>
        <v>92.231404958677686</v>
      </c>
      <c r="T447" s="26">
        <f t="shared" si="717"/>
        <v>180.99550054881198</v>
      </c>
      <c r="U447" s="26" t="str">
        <f>IF(VLOOKUP($C447,COS!$B$8:$I$991,8,FALSE)=1,"UWFE","IBU")</f>
        <v>UWFE</v>
      </c>
      <c r="V447" s="26">
        <f t="shared" ref="V447" si="719">MIN(IF(IF($AA$3=2,AND(E447=1,G447=1,L447=1,L451=1,M447=1,U447="IBU"),AND(E447=1,G447=1,L447=1,L451=1,M447=1)),T447,0),I447)</f>
        <v>0</v>
      </c>
      <c r="W447" s="26"/>
      <c r="X447" s="26"/>
      <c r="Y447" s="26"/>
      <c r="Z447" s="26"/>
      <c r="AA447" s="26"/>
      <c r="AB447" s="33"/>
    </row>
    <row r="448" spans="1:28" x14ac:dyDescent="0.3">
      <c r="A448" s="32">
        <f>VLOOKUP(YEAR(C448),Flags!$A$13:$B$95,2,FALSE)</f>
        <v>1</v>
      </c>
      <c r="B448" s="24">
        <f t="shared" si="637"/>
        <v>1970</v>
      </c>
      <c r="C448" s="25">
        <v>25749</v>
      </c>
      <c r="D448" s="26">
        <f>VLOOKUP($C448,COS!$B$8:$H$991,3,FALSE)</f>
        <v>11296.083984375</v>
      </c>
      <c r="E448" s="24">
        <f>IF(D448&gt;=IF(MONTH($C448)=4,$C$3,IF(MONTH($C448)=5,$C$4,IF(MONTH($C448)=6,$C$5,IF(MONTH($C448)=7,$C$6,"ERROR")))),1,0)</f>
        <v>1</v>
      </c>
      <c r="F448" s="26">
        <f>VLOOKUP($C448,COS!$B$8:$H$991,7,FALSE)</f>
        <v>49.374355316162109</v>
      </c>
      <c r="G448" s="24">
        <f>IF(F448&lt;=IF(MONTH($C448)=4,$F$3,IF(MONTH($C448)=5,$F$4,IF(MONTH($C448)=6,$F$5,IF(MONTH($C448)=7,$F$6,"ERROR")))),1,0)</f>
        <v>1</v>
      </c>
      <c r="H448" s="26">
        <f>IF(J448=1,D448-$C$5,0)</f>
        <v>1296.083984375</v>
      </c>
      <c r="I448" s="26">
        <f t="shared" si="661"/>
        <v>77.122352789256198</v>
      </c>
      <c r="J448" s="24">
        <f t="shared" si="711"/>
        <v>1</v>
      </c>
      <c r="K448" s="26">
        <f>VLOOKUP($C448,COS!$B$8:$H$991,2,FALSE)</f>
        <v>3804.720947265625</v>
      </c>
      <c r="L448" s="24">
        <f t="shared" si="639"/>
        <v>1</v>
      </c>
      <c r="M448" s="24">
        <f t="shared" si="640"/>
        <v>0</v>
      </c>
      <c r="N448" s="26">
        <f>VLOOKUP($C448,COS!$B$8:$H$991,5,FALSE)</f>
        <v>657.61016845703125</v>
      </c>
      <c r="O448" s="26">
        <f t="shared" si="714"/>
        <v>39.130522420583681</v>
      </c>
      <c r="P448" s="26">
        <f>VLOOKUP($C448,COS!$B$8:$H$991,6,FALSE)</f>
        <v>2256.00390625</v>
      </c>
      <c r="Q448" s="26">
        <f t="shared" si="715"/>
        <v>134.24155475206612</v>
      </c>
      <c r="R448" s="26">
        <f>MIN(IF(MONTH($C448)=4,$S$3,IF(MONTH($C448)=5,$S$4,IF(MONTH($C448)=6,$S$5,IF(MONTH($C448)=7,$S$6,"ERROR")))),MAX(VLOOKUP($C448,COS!$B$8:$K$991,10,FALSE)-IF(MONTH($C448)=4,$Y$3,IF(MONTH($C448)=5,$Y$4,IF(MONTH($C448)=6,$Y$5,IF(MONTH($C448)=7,$Y$6,"ERROR")))),0),MAX(VLOOKUP($C448,COS!$B$8:$K$991,9,FALSE)-IF(MONTH($C448)=4,$V$3,IF(MONTH($C448)=5,$V$4,IF(MONTH($C448)=6,$V$5,IF(MONTH($C448)=7,$V$6,"ERROR"))))-VLOOKUP($C448,COS!$B$8:$K$991,6,FALSE)/2,0))</f>
        <v>1500</v>
      </c>
      <c r="S448" s="26">
        <f t="shared" si="716"/>
        <v>89.256198347107429</v>
      </c>
      <c r="T448" s="26">
        <f t="shared" si="717"/>
        <v>175.94223693343233</v>
      </c>
      <c r="U448" s="26" t="str">
        <f>IF(VLOOKUP($C448,COS!$B$8:$I$991,8,FALSE)=1,"UWFE","IBU")</f>
        <v>IBU</v>
      </c>
      <c r="V448" s="26">
        <f t="shared" ref="V448" si="720">MIN(IF(IF($AA$3=2,AND(E448=1,G448=1,L448=1,L451=1,M448=1,U448="IBU"),AND(E448=1,G448=1,L448=1,L451=1,M448=1)),T448,0),I448)</f>
        <v>0</v>
      </c>
      <c r="W448" s="26"/>
      <c r="X448" s="26"/>
      <c r="Y448" s="26"/>
      <c r="Z448" s="26"/>
      <c r="AA448" s="26"/>
      <c r="AB448" s="33"/>
    </row>
    <row r="449" spans="1:28" x14ac:dyDescent="0.3">
      <c r="A449" s="32">
        <f>VLOOKUP(YEAR(C449),Flags!$A$13:$B$95,2,FALSE)</f>
        <v>1</v>
      </c>
      <c r="B449" s="24">
        <f t="shared" si="637"/>
        <v>1970</v>
      </c>
      <c r="C449" s="25">
        <v>25780</v>
      </c>
      <c r="D449" s="26">
        <f>VLOOKUP($C449,COS!$B$8:$H$991,3,FALSE)</f>
        <v>15933.296875</v>
      </c>
      <c r="E449" s="24">
        <f>IF(D449&gt;=IF(MONTH($C449)=4,$C$3,IF(MONTH($C449)=5,$C$4,IF(MONTH($C449)=6,$C$5,IF(MONTH($C449)=7,$C$6,"ERROR")))),1,0)</f>
        <v>1</v>
      </c>
      <c r="F449" s="26">
        <f>VLOOKUP($C449,COS!$B$8:$H$991,7,FALSE)</f>
        <v>50.264232635498047</v>
      </c>
      <c r="G449" s="24">
        <f>IF(F449&lt;=IF(MONTH($C449)=4,$F$3,IF(MONTH($C449)=5,$F$4,IF(MONTH($C449)=6,$F$5,IF(MONTH($C449)=7,$F$6,"ERROR")))),1,0)</f>
        <v>1</v>
      </c>
      <c r="H449" s="26">
        <f>IF(J449=1,D449-$C$6,0)</f>
        <v>3933.296875</v>
      </c>
      <c r="I449" s="26">
        <f t="shared" si="661"/>
        <v>241.84899793388431</v>
      </c>
      <c r="J449" s="24">
        <f t="shared" si="711"/>
        <v>1</v>
      </c>
      <c r="K449" s="26">
        <f>VLOOKUP($C449,COS!$B$8:$H$991,2,FALSE)</f>
        <v>3122.0966796875</v>
      </c>
      <c r="L449" s="24">
        <f t="shared" si="639"/>
        <v>1</v>
      </c>
      <c r="M449" s="24">
        <f t="shared" si="640"/>
        <v>0</v>
      </c>
      <c r="N449" s="26">
        <f>VLOOKUP($C449,COS!$B$8:$H$991,5,FALSE)</f>
        <v>784.4171142578125</v>
      </c>
      <c r="O449" s="26">
        <f t="shared" si="714"/>
        <v>48.231928347753097</v>
      </c>
      <c r="P449" s="26">
        <f>VLOOKUP($C449,COS!$B$8:$H$991,6,FALSE)</f>
        <v>2616.67822265625</v>
      </c>
      <c r="Q449" s="26">
        <f t="shared" si="715"/>
        <v>160.89327253357436</v>
      </c>
      <c r="R449" s="26">
        <f>MIN(IF(MONTH($C449)=4,$S$3,IF(MONTH($C449)=5,$S$4,IF(MONTH($C449)=6,$S$5,IF(MONTH($C449)=7,$S$6,"ERROR")))),MAX(VLOOKUP($C449,COS!$B$8:$K$991,10,FALSE)-IF(MONTH($C449)=4,$Y$3,IF(MONTH($C449)=5,$Y$4,IF(MONTH($C449)=6,$Y$5,IF(MONTH($C449)=7,$Y$6,"ERROR")))),0),MAX(VLOOKUP($C449,COS!$B$8:$K$991,9,FALSE)-IF(MONTH($C449)=4,$V$3,IF(MONTH($C449)=5,$V$4,IF(MONTH($C449)=6,$V$5,IF(MONTH($C449)=7,$V$6,"ERROR"))))-VLOOKUP($C449,COS!$B$8:$K$991,6,FALSE)/2,0))</f>
        <v>1500</v>
      </c>
      <c r="S449" s="26">
        <f t="shared" si="716"/>
        <v>92.231404958677686</v>
      </c>
      <c r="T449" s="26">
        <f t="shared" si="717"/>
        <v>196.79400539934142</v>
      </c>
      <c r="U449" s="26" t="str">
        <f>IF(VLOOKUP($C449,COS!$B$8:$I$991,8,FALSE)=1,"UWFE","IBU")</f>
        <v>IBU</v>
      </c>
      <c r="V449" s="26">
        <f t="shared" ref="V449" si="721">MIN(IF(IF($AA$3=2,AND(E449=1,G449=1,L449=1,L451=1,M449=1,U449="IBU"),AND(E449=1,G449=1,L449=1,L451=1,M449=1)),T449,0),I449)</f>
        <v>0</v>
      </c>
      <c r="W449" s="26"/>
      <c r="X449" s="26"/>
      <c r="Y449" s="26"/>
      <c r="Z449" s="26"/>
      <c r="AA449" s="26"/>
      <c r="AB449" s="33"/>
    </row>
    <row r="450" spans="1:28" x14ac:dyDescent="0.3">
      <c r="A450" s="32">
        <f>VLOOKUP(YEAR(C450),Flags!$A$13:$B$95,2,FALSE)</f>
        <v>1</v>
      </c>
      <c r="B450" s="24">
        <f t="shared" si="637"/>
        <v>1970</v>
      </c>
      <c r="C450" s="25">
        <v>25811</v>
      </c>
      <c r="D450" s="26"/>
      <c r="E450" s="24"/>
      <c r="F450" s="26"/>
      <c r="G450" s="24"/>
      <c r="H450" s="24"/>
      <c r="I450" s="26"/>
      <c r="J450" s="24"/>
      <c r="K450" s="26"/>
      <c r="L450" s="24"/>
      <c r="M450" s="24"/>
      <c r="N450" s="26"/>
      <c r="O450" s="26"/>
      <c r="P450" s="26"/>
      <c r="Q450" s="26"/>
      <c r="R450" s="26"/>
      <c r="S450" s="26"/>
      <c r="T450" s="26"/>
      <c r="U450" s="26"/>
      <c r="V450" s="26"/>
      <c r="W450" s="26">
        <f>MAX($C$7-VLOOKUP($C450,COS!$B$8:$H$991,3,FALSE),0)</f>
        <v>89359.1201171875</v>
      </c>
      <c r="X450" s="26">
        <f t="shared" si="667"/>
        <v>5494.4781295196281</v>
      </c>
      <c r="Y450" s="26">
        <f>VLOOKUP($C450,COS!$B$8:$H$991,4,FALSE)</f>
        <v>0</v>
      </c>
      <c r="Z450" s="26">
        <f t="shared" si="668"/>
        <v>0</v>
      </c>
      <c r="AA450" s="26">
        <f t="shared" ref="AA450:AA454" si="722">MIN(W450,Y450)</f>
        <v>0</v>
      </c>
      <c r="AB450" s="33">
        <f t="shared" ref="AB450" si="723">AA450*DAY($C450)*86400/43560/1000*IF(MONTH($C450)=8,$P$3,IF(MONTH($C450)=9,$P$4,IF(MONTH($C450)=10,$P$5,IF(MONTH($C450)=11,$P$6,IF(MONTH($C450)=12,$P$7,NA())))))</f>
        <v>0</v>
      </c>
    </row>
    <row r="451" spans="1:28" x14ac:dyDescent="0.3">
      <c r="A451" s="32">
        <f>VLOOKUP(YEAR(C451),Flags!$A$13:$B$95,2,FALSE)</f>
        <v>1</v>
      </c>
      <c r="B451" s="24">
        <f t="shared" si="637"/>
        <v>1970</v>
      </c>
      <c r="C451" s="25">
        <v>25841</v>
      </c>
      <c r="D451" s="26"/>
      <c r="E451" s="24"/>
      <c r="F451" s="26"/>
      <c r="G451" s="24"/>
      <c r="H451" s="24"/>
      <c r="I451" s="26"/>
      <c r="J451" s="24"/>
      <c r="K451" s="26">
        <f>VLOOKUP($C451,COS!$B$8:$H$991,2,FALSE)</f>
        <v>2249.6484375</v>
      </c>
      <c r="L451" s="24">
        <f t="shared" ref="L451" si="724">IF(AND(K451&gt;$I$7,K451&lt;$I$8),1,0)</f>
        <v>1</v>
      </c>
      <c r="M451" s="24"/>
      <c r="N451" s="26"/>
      <c r="O451" s="26"/>
      <c r="P451" s="26"/>
      <c r="Q451" s="26"/>
      <c r="R451" s="26"/>
      <c r="S451" s="26"/>
      <c r="T451" s="26"/>
      <c r="U451" s="26"/>
      <c r="V451" s="26"/>
      <c r="W451" s="26">
        <f>MAX($C$8-VLOOKUP($C451,COS!$B$8:$H$991,3,FALSE),0)</f>
        <v>84248.9375</v>
      </c>
      <c r="X451" s="26">
        <f t="shared" si="667"/>
        <v>5013.1599173553714</v>
      </c>
      <c r="Y451" s="26">
        <f>VLOOKUP($C451,COS!$B$8:$H$991,4,FALSE)</f>
        <v>762.34381103515625</v>
      </c>
      <c r="Z451" s="26">
        <f t="shared" si="668"/>
        <v>45.362606937629131</v>
      </c>
      <c r="AA451" s="26">
        <f t="shared" si="722"/>
        <v>762.34381103515625</v>
      </c>
      <c r="AB451" s="33">
        <f t="shared" si="650"/>
        <v>45.362606937629131</v>
      </c>
    </row>
    <row r="452" spans="1:28" x14ac:dyDescent="0.3">
      <c r="A452" s="32">
        <f>VLOOKUP(YEAR(C452),Flags!$A$13:$B$95,2,FALSE)</f>
        <v>1</v>
      </c>
      <c r="B452" s="24">
        <f t="shared" si="637"/>
        <v>1970</v>
      </c>
      <c r="C452" s="25">
        <v>25872</v>
      </c>
      <c r="D452" s="26"/>
      <c r="E452" s="24"/>
      <c r="F452" s="26"/>
      <c r="G452" s="26"/>
      <c r="H452" s="26"/>
      <c r="I452" s="26"/>
      <c r="J452" s="26"/>
      <c r="K452" s="26"/>
      <c r="L452" s="24"/>
      <c r="M452" s="24"/>
      <c r="N452" s="26"/>
      <c r="O452" s="26"/>
      <c r="P452" s="26"/>
      <c r="Q452" s="26"/>
      <c r="R452" s="26"/>
      <c r="S452" s="26"/>
      <c r="T452" s="26"/>
      <c r="U452" s="26"/>
      <c r="V452" s="26"/>
      <c r="W452" s="26">
        <f>MAX($C$9-VLOOKUP($C452,COS!$B$8:$H$991,3,FALSE),0)</f>
        <v>90155.1904296875</v>
      </c>
      <c r="X452" s="26">
        <f t="shared" si="667"/>
        <v>5543.426585098141</v>
      </c>
      <c r="Y452" s="26">
        <f>VLOOKUP($C452,COS!$B$8:$H$991,4,FALSE)</f>
        <v>958.85076904296875</v>
      </c>
      <c r="Z452" s="26">
        <f t="shared" si="668"/>
        <v>58.957435716361054</v>
      </c>
      <c r="AA452" s="26">
        <f t="shared" si="722"/>
        <v>958.85076904296875</v>
      </c>
      <c r="AB452" s="33">
        <f t="shared" si="650"/>
        <v>58.957435716361054</v>
      </c>
    </row>
    <row r="453" spans="1:28" x14ac:dyDescent="0.3">
      <c r="A453" s="32">
        <f>VLOOKUP(YEAR(C453),Flags!$A$13:$B$95,2,FALSE)</f>
        <v>1</v>
      </c>
      <c r="B453" s="24">
        <f t="shared" si="637"/>
        <v>1970</v>
      </c>
      <c r="C453" s="25">
        <v>25902</v>
      </c>
      <c r="D453" s="26"/>
      <c r="E453" s="24"/>
      <c r="F453" s="26"/>
      <c r="G453" s="26"/>
      <c r="H453" s="26"/>
      <c r="I453" s="26"/>
      <c r="J453" s="26"/>
      <c r="K453" s="26"/>
      <c r="L453" s="24"/>
      <c r="M453" s="24"/>
      <c r="N453" s="26"/>
      <c r="O453" s="26"/>
      <c r="P453" s="26"/>
      <c r="Q453" s="26"/>
      <c r="R453" s="26"/>
      <c r="S453" s="26"/>
      <c r="T453" s="26"/>
      <c r="U453" s="26"/>
      <c r="V453" s="26"/>
      <c r="W453" s="26">
        <f>MAX($C$10-VLOOKUP($C453,COS!$B$8:$H$991,3,FALSE),0)</f>
        <v>94202.6669921875</v>
      </c>
      <c r="X453" s="26">
        <f t="shared" si="667"/>
        <v>5605.4479532541327</v>
      </c>
      <c r="Y453" s="26">
        <f>VLOOKUP($C453,COS!$B$8:$H$991,4,FALSE)</f>
        <v>1112.5506591796875</v>
      </c>
      <c r="Z453" s="26">
        <f t="shared" si="668"/>
        <v>66.201361537964871</v>
      </c>
      <c r="AA453" s="26">
        <f t="shared" si="722"/>
        <v>1112.5506591796875</v>
      </c>
      <c r="AB453" s="33">
        <f t="shared" si="650"/>
        <v>33.100680768982436</v>
      </c>
    </row>
    <row r="454" spans="1:28" x14ac:dyDescent="0.3">
      <c r="A454" s="34">
        <f>VLOOKUP(YEAR(C454),Flags!$A$13:$B$95,2,FALSE)</f>
        <v>1</v>
      </c>
      <c r="B454" s="35">
        <f t="shared" si="637"/>
        <v>1970</v>
      </c>
      <c r="C454" s="36">
        <v>25933</v>
      </c>
      <c r="D454" s="37"/>
      <c r="E454" s="35"/>
      <c r="F454" s="37"/>
      <c r="G454" s="37"/>
      <c r="H454" s="37"/>
      <c r="I454" s="37"/>
      <c r="J454" s="37"/>
      <c r="K454" s="37"/>
      <c r="L454" s="35"/>
      <c r="M454" s="35"/>
      <c r="N454" s="37"/>
      <c r="O454" s="37"/>
      <c r="P454" s="37"/>
      <c r="Q454" s="37"/>
      <c r="R454" s="37"/>
      <c r="S454" s="37"/>
      <c r="T454" s="37"/>
      <c r="U454" s="37"/>
      <c r="V454" s="37"/>
      <c r="W454" s="37">
        <f>MAX($C$11-VLOOKUP($C454,COS!$B$8:$H$991,3,FALSE),0)</f>
        <v>0</v>
      </c>
      <c r="X454" s="37">
        <f t="shared" si="667"/>
        <v>0</v>
      </c>
      <c r="Y454" s="37">
        <f>VLOOKUP($C454,COS!$B$8:$H$991,4,FALSE)</f>
        <v>0</v>
      </c>
      <c r="Z454" s="37">
        <f t="shared" si="668"/>
        <v>0</v>
      </c>
      <c r="AA454" s="37">
        <f t="shared" si="722"/>
        <v>0</v>
      </c>
      <c r="AB454" s="38">
        <f t="shared" si="650"/>
        <v>0</v>
      </c>
    </row>
    <row r="455" spans="1:28" x14ac:dyDescent="0.3">
      <c r="A455" s="27">
        <f>VLOOKUP(YEAR(C455),Flags!$A$13:$B$95,2,FALSE)</f>
        <v>1</v>
      </c>
      <c r="B455" s="28">
        <f t="shared" si="637"/>
        <v>1971</v>
      </c>
      <c r="C455" s="29">
        <v>26053</v>
      </c>
      <c r="D455" s="30">
        <f>VLOOKUP($C455,COS!$B$8:$H$991,3,FALSE)</f>
        <v>3250</v>
      </c>
      <c r="E455" s="28">
        <f>IF(D455&gt;=IF(MONTH($C455)=4,$C$3,IF(MONTH($C455)=5,$C$4,IF(MONTH($C455)=6,$C$5,IF(MONTH($C455)=7,$C$6,"ERROR")))),1,0)</f>
        <v>0</v>
      </c>
      <c r="F455" s="30">
        <f>VLOOKUP($C455,COS!$B$8:$H$991,7,FALSE)</f>
        <v>50.101123809814453</v>
      </c>
      <c r="G455" s="28">
        <f>IF(F455&lt;=IF(MONTH($C455)=4,$F$3,IF(MONTH($C455)=5,$F$4,IF(MONTH($C455)=6,$F$5,IF(MONTH($C455)=7,$F$6,"ERROR")))),1,0)</f>
        <v>1</v>
      </c>
      <c r="H455" s="30">
        <f>IF(J455=1,D455-$C$3,0)</f>
        <v>0</v>
      </c>
      <c r="I455" s="30">
        <f t="shared" si="661"/>
        <v>0</v>
      </c>
      <c r="J455" s="28">
        <f t="shared" ref="J455:J458" si="725">IF(AND(E455=1,G455=1),1,0)</f>
        <v>0</v>
      </c>
      <c r="K455" s="30">
        <f>VLOOKUP($C455,COS!$B$8:$H$991,2,FALSE)</f>
        <v>4470.4140625</v>
      </c>
      <c r="L455" s="28">
        <f t="shared" ref="L455" si="726">IF(K455&lt;=IF(MONTH($C455)=4,$I$3,IF(MONTH($C455)=5,$I$4,IF(MONTH($C455)=6,$I$5,IF(MONTH($C455)=7,$I$6,"ERROR")))),1,0)</f>
        <v>1</v>
      </c>
      <c r="M455" s="28">
        <f t="shared" ref="M455" si="727">VLOOKUP($A455,$L$3:$M$7,2,FALSE)</f>
        <v>0</v>
      </c>
      <c r="N455" s="30">
        <f>VLOOKUP($C455,COS!$B$8:$H$991,5,FALSE)</f>
        <v>663.01629638671875</v>
      </c>
      <c r="O455" s="30">
        <f t="shared" ref="O455:O458" si="728">N455*DAY($C455)*86400/43560/1000</f>
        <v>39.452209371771694</v>
      </c>
      <c r="P455" s="30">
        <f>VLOOKUP($C455,COS!$B$8:$H$991,6,FALSE)</f>
        <v>563.3929443359375</v>
      </c>
      <c r="Q455" s="30">
        <f t="shared" ref="Q455:Q458" si="729">P455*DAY($C455)*86400/43560/1000</f>
        <v>33.524208258006198</v>
      </c>
      <c r="R455" s="30">
        <f>MIN(IF(MONTH($C455)=4,$S$3,IF(MONTH($C455)=5,$S$4,IF(MONTH($C455)=6,$S$5,IF(MONTH($C455)=7,$S$6,"ERROR")))),MAX(VLOOKUP($C455,COS!$B$8:$K$991,10,FALSE)-IF(MONTH($C455)=4,$Y$3,IF(MONTH($C455)=5,$Y$4,IF(MONTH($C455)=6,$Y$5,IF(MONTH($C455)=7,$Y$6,"ERROR")))),0),MAX(VLOOKUP($C455,COS!$B$8:$K$991,9,FALSE)-IF(MONTH($C455)=4,$V$3,IF(MONTH($C455)=5,$V$4,IF(MONTH($C455)=6,$V$5,IF(MONTH($C455)=7,$V$6,"ERROR"))))-VLOOKUP($C455,COS!$B$8:$K$991,6,FALSE)/2,0))</f>
        <v>1500</v>
      </c>
      <c r="S455" s="30">
        <f t="shared" ref="S455:S458" si="730">R455*DAY($C455)*86400/43560/1000</f>
        <v>89.256198347107429</v>
      </c>
      <c r="T455" s="30">
        <f t="shared" ref="T455:T458" si="731">(O455+Q455)/2+S455</f>
        <v>125.74440716199638</v>
      </c>
      <c r="U455" s="30" t="str">
        <f>IF(VLOOKUP($C455,COS!$B$8:$I$991,8,FALSE)=1,"UWFE","IBU")</f>
        <v>UWFE</v>
      </c>
      <c r="V455" s="30">
        <f t="shared" ref="V455" si="732">MIN(IF(IF($AA$3=2,AND(E455=1,G455=1,L455=1,L460=1,M455=1,U455="IBU"),AND(E455=1,G455=1,L455=1,L460=1,M455=1)),T455,0),I455)</f>
        <v>0</v>
      </c>
      <c r="W455" s="30"/>
      <c r="X455" s="30"/>
      <c r="Y455" s="30"/>
      <c r="Z455" s="30"/>
      <c r="AA455" s="30"/>
      <c r="AB455" s="31"/>
    </row>
    <row r="456" spans="1:28" x14ac:dyDescent="0.3">
      <c r="A456" s="32">
        <f>VLOOKUP(YEAR(C456),Flags!$A$13:$B$95,2,FALSE)</f>
        <v>1</v>
      </c>
      <c r="B456" s="24">
        <f t="shared" si="637"/>
        <v>1971</v>
      </c>
      <c r="C456" s="25">
        <v>26084</v>
      </c>
      <c r="D456" s="26">
        <f>VLOOKUP($C456,COS!$B$8:$H$991,3,FALSE)</f>
        <v>8956.8486328125</v>
      </c>
      <c r="E456" s="24">
        <f>IF(D456&gt;=IF(MONTH($C456)=4,$C$3,IF(MONTH($C456)=5,$C$4,IF(MONTH($C456)=6,$C$5,IF(MONTH($C456)=7,$C$6,"ERROR")))),1,0)</f>
        <v>1</v>
      </c>
      <c r="F456" s="26">
        <f>VLOOKUP($C456,COS!$B$8:$H$991,7,FALSE)</f>
        <v>49.074142456054688</v>
      </c>
      <c r="G456" s="24">
        <f>IF(F456&lt;=IF(MONTH($C456)=4,$F$3,IF(MONTH($C456)=5,$F$4,IF(MONTH($C456)=6,$F$5,IF(MONTH($C456)=7,$F$6,"ERROR")))),1,0)</f>
        <v>1</v>
      </c>
      <c r="H456" s="26">
        <f>IF(J456=1,D456-$C$4,0)</f>
        <v>2956.8486328125</v>
      </c>
      <c r="I456" s="26">
        <f t="shared" si="661"/>
        <v>181.8095357696281</v>
      </c>
      <c r="J456" s="24">
        <f t="shared" si="725"/>
        <v>1</v>
      </c>
      <c r="K456" s="26">
        <f>VLOOKUP($C456,COS!$B$8:$H$991,2,FALSE)</f>
        <v>4552</v>
      </c>
      <c r="L456" s="24">
        <f t="shared" si="639"/>
        <v>1</v>
      </c>
      <c r="M456" s="24">
        <f t="shared" si="640"/>
        <v>0</v>
      </c>
      <c r="N456" s="26">
        <f>VLOOKUP($C456,COS!$B$8:$H$991,5,FALSE)</f>
        <v>722.55084228515625</v>
      </c>
      <c r="O456" s="26">
        <f t="shared" si="728"/>
        <v>44.427919558690597</v>
      </c>
      <c r="P456" s="26">
        <f>VLOOKUP($C456,COS!$B$8:$H$991,6,FALSE)</f>
        <v>1990.4598388671875</v>
      </c>
      <c r="Q456" s="26">
        <f t="shared" si="729"/>
        <v>122.3886049683626</v>
      </c>
      <c r="R456" s="26">
        <f>MIN(IF(MONTH($C456)=4,$S$3,IF(MONTH($C456)=5,$S$4,IF(MONTH($C456)=6,$S$5,IF(MONTH($C456)=7,$S$6,"ERROR")))),MAX(VLOOKUP($C456,COS!$B$8:$K$991,10,FALSE)-IF(MONTH($C456)=4,$Y$3,IF(MONTH($C456)=5,$Y$4,IF(MONTH($C456)=6,$Y$5,IF(MONTH($C456)=7,$Y$6,"ERROR")))),0),MAX(VLOOKUP($C456,COS!$B$8:$K$991,9,FALSE)-IF(MONTH($C456)=4,$V$3,IF(MONTH($C456)=5,$V$4,IF(MONTH($C456)=6,$V$5,IF(MONTH($C456)=7,$V$6,"ERROR"))))-VLOOKUP($C456,COS!$B$8:$K$991,6,FALSE)/2,0))</f>
        <v>1500</v>
      </c>
      <c r="S456" s="26">
        <f t="shared" si="730"/>
        <v>92.231404958677686</v>
      </c>
      <c r="T456" s="26">
        <f t="shared" si="731"/>
        <v>175.63966722220428</v>
      </c>
      <c r="U456" s="26" t="str">
        <f>IF(VLOOKUP($C456,COS!$B$8:$I$991,8,FALSE)=1,"UWFE","IBU")</f>
        <v>UWFE</v>
      </c>
      <c r="V456" s="26">
        <f t="shared" ref="V456" si="733">MIN(IF(IF($AA$3=2,AND(E456=1,G456=1,L456=1,L460=1,M456=1,U456="IBU"),AND(E456=1,G456=1,L456=1,L460=1,M456=1)),T456,0),I456)</f>
        <v>0</v>
      </c>
      <c r="W456" s="26"/>
      <c r="X456" s="26"/>
      <c r="Y456" s="26"/>
      <c r="Z456" s="26"/>
      <c r="AA456" s="26"/>
      <c r="AB456" s="33"/>
    </row>
    <row r="457" spans="1:28" x14ac:dyDescent="0.3">
      <c r="A457" s="32">
        <f>VLOOKUP(YEAR(C457),Flags!$A$13:$B$95,2,FALSE)</f>
        <v>1</v>
      </c>
      <c r="B457" s="24">
        <f t="shared" si="637"/>
        <v>1971</v>
      </c>
      <c r="C457" s="25">
        <v>26114</v>
      </c>
      <c r="D457" s="26">
        <f>VLOOKUP($C457,COS!$B$8:$H$991,3,FALSE)</f>
        <v>7962.24658203125</v>
      </c>
      <c r="E457" s="24">
        <f>IF(D457&gt;=IF(MONTH($C457)=4,$C$3,IF(MONTH($C457)=5,$C$4,IF(MONTH($C457)=6,$C$5,IF(MONTH($C457)=7,$C$6,"ERROR")))),1,0)</f>
        <v>0</v>
      </c>
      <c r="F457" s="26">
        <f>VLOOKUP($C457,COS!$B$8:$H$991,7,FALSE)</f>
        <v>51.377964019775391</v>
      </c>
      <c r="G457" s="24">
        <f>IF(F457&lt;=IF(MONTH($C457)=4,$F$3,IF(MONTH($C457)=5,$F$4,IF(MONTH($C457)=6,$F$5,IF(MONTH($C457)=7,$F$6,"ERROR")))),1,0)</f>
        <v>1</v>
      </c>
      <c r="H457" s="26">
        <f>IF(J457=1,D457-$C$5,0)</f>
        <v>0</v>
      </c>
      <c r="I457" s="26">
        <f t="shared" si="661"/>
        <v>0</v>
      </c>
      <c r="J457" s="24">
        <f t="shared" si="725"/>
        <v>0</v>
      </c>
      <c r="K457" s="26">
        <f>VLOOKUP($C457,COS!$B$8:$H$991,2,FALSE)</f>
        <v>4500</v>
      </c>
      <c r="L457" s="24">
        <f t="shared" si="639"/>
        <v>1</v>
      </c>
      <c r="M457" s="24">
        <f t="shared" si="640"/>
        <v>0</v>
      </c>
      <c r="N457" s="26">
        <f>VLOOKUP($C457,COS!$B$8:$H$991,5,FALSE)</f>
        <v>865.0386962890625</v>
      </c>
      <c r="O457" s="26">
        <f t="shared" si="728"/>
        <v>51.473376969266532</v>
      </c>
      <c r="P457" s="26">
        <f>VLOOKUP($C457,COS!$B$8:$H$991,6,FALSE)</f>
        <v>2342.25732421875</v>
      </c>
      <c r="Q457" s="26">
        <f t="shared" si="729"/>
        <v>139.37398954028924</v>
      </c>
      <c r="R457" s="26">
        <f>MIN(IF(MONTH($C457)=4,$S$3,IF(MONTH($C457)=5,$S$4,IF(MONTH($C457)=6,$S$5,IF(MONTH($C457)=7,$S$6,"ERROR")))),MAX(VLOOKUP($C457,COS!$B$8:$K$991,10,FALSE)-IF(MONTH($C457)=4,$Y$3,IF(MONTH($C457)=5,$Y$4,IF(MONTH($C457)=6,$Y$5,IF(MONTH($C457)=7,$Y$6,"ERROR")))),0),MAX(VLOOKUP($C457,COS!$B$8:$K$991,9,FALSE)-IF(MONTH($C457)=4,$V$3,IF(MONTH($C457)=5,$V$4,IF(MONTH($C457)=6,$V$5,IF(MONTH($C457)=7,$V$6,"ERROR"))))-VLOOKUP($C457,COS!$B$8:$K$991,6,FALSE)/2,0))</f>
        <v>1500</v>
      </c>
      <c r="S457" s="26">
        <f t="shared" si="730"/>
        <v>89.256198347107429</v>
      </c>
      <c r="T457" s="26">
        <f t="shared" si="731"/>
        <v>184.67988160188531</v>
      </c>
      <c r="U457" s="26" t="str">
        <f>IF(VLOOKUP($C457,COS!$B$8:$I$991,8,FALSE)=1,"UWFE","IBU")</f>
        <v>UWFE</v>
      </c>
      <c r="V457" s="26">
        <f t="shared" ref="V457" si="734">MIN(IF(IF($AA$3=2,AND(E457=1,G457=1,L457=1,L460=1,M457=1,U457="IBU"),AND(E457=1,G457=1,L457=1,L460=1,M457=1)),T457,0),I457)</f>
        <v>0</v>
      </c>
      <c r="W457" s="26"/>
      <c r="X457" s="26"/>
      <c r="Y457" s="26"/>
      <c r="Z457" s="26"/>
      <c r="AA457" s="26"/>
      <c r="AB457" s="33"/>
    </row>
    <row r="458" spans="1:28" x14ac:dyDescent="0.3">
      <c r="A458" s="32">
        <f>VLOOKUP(YEAR(C458),Flags!$A$13:$B$95,2,FALSE)</f>
        <v>1</v>
      </c>
      <c r="B458" s="24">
        <f t="shared" si="637"/>
        <v>1971</v>
      </c>
      <c r="C458" s="25">
        <v>26145</v>
      </c>
      <c r="D458" s="26">
        <f>VLOOKUP($C458,COS!$B$8:$H$991,3,FALSE)</f>
        <v>15771.30859375</v>
      </c>
      <c r="E458" s="24">
        <f>IF(D458&gt;=IF(MONTH($C458)=4,$C$3,IF(MONTH($C458)=5,$C$4,IF(MONTH($C458)=6,$C$5,IF(MONTH($C458)=7,$C$6,"ERROR")))),1,0)</f>
        <v>1</v>
      </c>
      <c r="F458" s="26">
        <f>VLOOKUP($C458,COS!$B$8:$H$991,7,FALSE)</f>
        <v>51.168178558349609</v>
      </c>
      <c r="G458" s="24">
        <f>IF(F458&lt;=IF(MONTH($C458)=4,$F$3,IF(MONTH($C458)=5,$F$4,IF(MONTH($C458)=6,$F$5,IF(MONTH($C458)=7,$F$6,"ERROR")))),1,0)</f>
        <v>1</v>
      </c>
      <c r="H458" s="26">
        <f>IF(J458=1,D458-$C$6,0)</f>
        <v>3771.30859375</v>
      </c>
      <c r="I458" s="26">
        <f t="shared" si="661"/>
        <v>231.88872675619837</v>
      </c>
      <c r="J458" s="24">
        <f t="shared" si="725"/>
        <v>1</v>
      </c>
      <c r="K458" s="26">
        <f>VLOOKUP($C458,COS!$B$8:$H$991,2,FALSE)</f>
        <v>3763.6337890625</v>
      </c>
      <c r="L458" s="24">
        <f t="shared" si="639"/>
        <v>1</v>
      </c>
      <c r="M458" s="24">
        <f t="shared" si="640"/>
        <v>0</v>
      </c>
      <c r="N458" s="26">
        <f>VLOOKUP($C458,COS!$B$8:$H$991,5,FALSE)</f>
        <v>964.21917724609375</v>
      </c>
      <c r="O458" s="26">
        <f t="shared" si="728"/>
        <v>59.287526270338326</v>
      </c>
      <c r="P458" s="26">
        <f>VLOOKUP($C458,COS!$B$8:$H$991,6,FALSE)</f>
        <v>2521.474853515625</v>
      </c>
      <c r="Q458" s="26">
        <f t="shared" si="729"/>
        <v>155.0394455384814</v>
      </c>
      <c r="R458" s="26">
        <f>MIN(IF(MONTH($C458)=4,$S$3,IF(MONTH($C458)=5,$S$4,IF(MONTH($C458)=6,$S$5,IF(MONTH($C458)=7,$S$6,"ERROR")))),MAX(VLOOKUP($C458,COS!$B$8:$K$991,10,FALSE)-IF(MONTH($C458)=4,$Y$3,IF(MONTH($C458)=5,$Y$4,IF(MONTH($C458)=6,$Y$5,IF(MONTH($C458)=7,$Y$6,"ERROR")))),0),MAX(VLOOKUP($C458,COS!$B$8:$K$991,9,FALSE)-IF(MONTH($C458)=4,$V$3,IF(MONTH($C458)=5,$V$4,IF(MONTH($C458)=6,$V$5,IF(MONTH($C458)=7,$V$6,"ERROR"))))-VLOOKUP($C458,COS!$B$8:$K$991,6,FALSE)/2,0))</f>
        <v>1500</v>
      </c>
      <c r="S458" s="26">
        <f t="shared" si="730"/>
        <v>92.231404958677686</v>
      </c>
      <c r="T458" s="26">
        <f t="shared" si="731"/>
        <v>199.39489086308754</v>
      </c>
      <c r="U458" s="26" t="str">
        <f>IF(VLOOKUP($C458,COS!$B$8:$I$991,8,FALSE)=1,"UWFE","IBU")</f>
        <v>IBU</v>
      </c>
      <c r="V458" s="26">
        <f t="shared" ref="V458" si="735">MIN(IF(IF($AA$3=2,AND(E458=1,G458=1,L458=1,L460=1,M458=1,U458="IBU"),AND(E458=1,G458=1,L458=1,L460=1,M458=1)),T458,0),I458)</f>
        <v>0</v>
      </c>
      <c r="W458" s="26"/>
      <c r="X458" s="26"/>
      <c r="Y458" s="26"/>
      <c r="Z458" s="26"/>
      <c r="AA458" s="26"/>
      <c r="AB458" s="33"/>
    </row>
    <row r="459" spans="1:28" x14ac:dyDescent="0.3">
      <c r="A459" s="32">
        <f>VLOOKUP(YEAR(C459),Flags!$A$13:$B$95,2,FALSE)</f>
        <v>1</v>
      </c>
      <c r="B459" s="24">
        <f t="shared" si="637"/>
        <v>1971</v>
      </c>
      <c r="C459" s="25">
        <v>26176</v>
      </c>
      <c r="D459" s="26"/>
      <c r="E459" s="24"/>
      <c r="F459" s="26"/>
      <c r="G459" s="24"/>
      <c r="H459" s="24"/>
      <c r="I459" s="26"/>
      <c r="J459" s="24"/>
      <c r="K459" s="26"/>
      <c r="L459" s="24"/>
      <c r="M459" s="24"/>
      <c r="N459" s="26"/>
      <c r="O459" s="26"/>
      <c r="P459" s="26"/>
      <c r="Q459" s="26"/>
      <c r="R459" s="26"/>
      <c r="S459" s="26"/>
      <c r="T459" s="26"/>
      <c r="U459" s="26"/>
      <c r="V459" s="26"/>
      <c r="W459" s="26">
        <f>MAX($C$7-VLOOKUP($C459,COS!$B$8:$H$991,3,FALSE),0)</f>
        <v>90534.529296875</v>
      </c>
      <c r="X459" s="26">
        <f t="shared" si="667"/>
        <v>5566.7512228822316</v>
      </c>
      <c r="Y459" s="26">
        <f>VLOOKUP($C459,COS!$B$8:$H$991,4,FALSE)</f>
        <v>367.70223999023438</v>
      </c>
      <c r="Z459" s="26">
        <f t="shared" si="668"/>
        <v>22.609129467168131</v>
      </c>
      <c r="AA459" s="26">
        <f t="shared" ref="AA459:AA463" si="736">MIN(W459,Y459)</f>
        <v>367.70223999023438</v>
      </c>
      <c r="AB459" s="33">
        <f t="shared" ref="AB459" si="737">AA459*DAY($C459)*86400/43560/1000*IF(MONTH($C459)=8,$P$3,IF(MONTH($C459)=9,$P$4,IF(MONTH($C459)=10,$P$5,IF(MONTH($C459)=11,$P$6,IF(MONTH($C459)=12,$P$7,NA())))))</f>
        <v>22.609129467168131</v>
      </c>
    </row>
    <row r="460" spans="1:28" x14ac:dyDescent="0.3">
      <c r="A460" s="32">
        <f>VLOOKUP(YEAR(C460),Flags!$A$13:$B$95,2,FALSE)</f>
        <v>1</v>
      </c>
      <c r="B460" s="24">
        <f t="shared" si="637"/>
        <v>1971</v>
      </c>
      <c r="C460" s="25">
        <v>26206</v>
      </c>
      <c r="D460" s="26"/>
      <c r="E460" s="24"/>
      <c r="F460" s="26"/>
      <c r="G460" s="24"/>
      <c r="H460" s="24"/>
      <c r="I460" s="26"/>
      <c r="J460" s="24"/>
      <c r="K460" s="26">
        <f>VLOOKUP($C460,COS!$B$8:$H$991,2,FALSE)</f>
        <v>2942.9580078125</v>
      </c>
      <c r="L460" s="24">
        <f t="shared" ref="L460" si="738">IF(AND(K460&gt;$I$7,K460&lt;$I$8),1,0)</f>
        <v>1</v>
      </c>
      <c r="M460" s="24"/>
      <c r="N460" s="26"/>
      <c r="O460" s="26"/>
      <c r="P460" s="26"/>
      <c r="Q460" s="26"/>
      <c r="R460" s="26"/>
      <c r="S460" s="26"/>
      <c r="T460" s="26"/>
      <c r="U460" s="26"/>
      <c r="V460" s="26"/>
      <c r="W460" s="26">
        <f>MAX($C$8-VLOOKUP($C460,COS!$B$8:$H$991,3,FALSE),0)</f>
        <v>86539.259765625</v>
      </c>
      <c r="X460" s="26">
        <f t="shared" si="667"/>
        <v>5149.4435563016523</v>
      </c>
      <c r="Y460" s="26">
        <f>VLOOKUP($C460,COS!$B$8:$H$991,4,FALSE)</f>
        <v>0</v>
      </c>
      <c r="Z460" s="26">
        <f t="shared" si="668"/>
        <v>0</v>
      </c>
      <c r="AA460" s="26">
        <f t="shared" si="736"/>
        <v>0</v>
      </c>
      <c r="AB460" s="33">
        <f t="shared" si="650"/>
        <v>0</v>
      </c>
    </row>
    <row r="461" spans="1:28" x14ac:dyDescent="0.3">
      <c r="A461" s="32">
        <f>VLOOKUP(YEAR(C461),Flags!$A$13:$B$95,2,FALSE)</f>
        <v>1</v>
      </c>
      <c r="B461" s="24">
        <f t="shared" si="637"/>
        <v>1971</v>
      </c>
      <c r="C461" s="25">
        <v>26237</v>
      </c>
      <c r="D461" s="26"/>
      <c r="E461" s="24"/>
      <c r="F461" s="26"/>
      <c r="G461" s="26"/>
      <c r="H461" s="26"/>
      <c r="I461" s="26"/>
      <c r="J461" s="26"/>
      <c r="K461" s="26"/>
      <c r="L461" s="24"/>
      <c r="M461" s="24"/>
      <c r="N461" s="26"/>
      <c r="O461" s="26"/>
      <c r="P461" s="26"/>
      <c r="Q461" s="26"/>
      <c r="R461" s="26"/>
      <c r="S461" s="26"/>
      <c r="T461" s="26"/>
      <c r="U461" s="26"/>
      <c r="V461" s="26"/>
      <c r="W461" s="26">
        <f>MAX($C$9-VLOOKUP($C461,COS!$B$8:$H$991,3,FALSE),0)</f>
        <v>91401.7578125</v>
      </c>
      <c r="X461" s="26">
        <f t="shared" si="667"/>
        <v>5620.075025826447</v>
      </c>
      <c r="Y461" s="26">
        <f>VLOOKUP($C461,COS!$B$8:$H$991,4,FALSE)</f>
        <v>1216.479248046875</v>
      </c>
      <c r="Z461" s="26">
        <f t="shared" si="668"/>
        <v>74.798393433626032</v>
      </c>
      <c r="AA461" s="26">
        <f t="shared" si="736"/>
        <v>1216.479248046875</v>
      </c>
      <c r="AB461" s="33">
        <f t="shared" si="650"/>
        <v>74.798393433626032</v>
      </c>
    </row>
    <row r="462" spans="1:28" x14ac:dyDescent="0.3">
      <c r="A462" s="32">
        <f>VLOOKUP(YEAR(C462),Flags!$A$13:$B$95,2,FALSE)</f>
        <v>1</v>
      </c>
      <c r="B462" s="24">
        <f t="shared" si="637"/>
        <v>1971</v>
      </c>
      <c r="C462" s="25">
        <v>26267</v>
      </c>
      <c r="D462" s="26"/>
      <c r="E462" s="24"/>
      <c r="F462" s="26"/>
      <c r="G462" s="26"/>
      <c r="H462" s="26"/>
      <c r="I462" s="26"/>
      <c r="J462" s="26"/>
      <c r="K462" s="26"/>
      <c r="L462" s="24"/>
      <c r="M462" s="24"/>
      <c r="N462" s="26"/>
      <c r="O462" s="26"/>
      <c r="P462" s="26"/>
      <c r="Q462" s="26"/>
      <c r="R462" s="26"/>
      <c r="S462" s="26"/>
      <c r="T462" s="26"/>
      <c r="U462" s="26"/>
      <c r="V462" s="26"/>
      <c r="W462" s="26">
        <f>MAX($C$10-VLOOKUP($C462,COS!$B$8:$H$991,3,FALSE),0)</f>
        <v>87564.6484375</v>
      </c>
      <c r="X462" s="26">
        <f t="shared" si="667"/>
        <v>5210.4584194214876</v>
      </c>
      <c r="Y462" s="26">
        <f>VLOOKUP($C462,COS!$B$8:$H$991,4,FALSE)</f>
        <v>1703.5538330078125</v>
      </c>
      <c r="Z462" s="26">
        <f t="shared" si="668"/>
        <v>101.36849254261364</v>
      </c>
      <c r="AA462" s="26">
        <f t="shared" si="736"/>
        <v>1703.5538330078125</v>
      </c>
      <c r="AB462" s="33">
        <f t="shared" si="650"/>
        <v>50.684246271306819</v>
      </c>
    </row>
    <row r="463" spans="1:28" x14ac:dyDescent="0.3">
      <c r="A463" s="34">
        <f>VLOOKUP(YEAR(C463),Flags!$A$13:$B$95,2,FALSE)</f>
        <v>1</v>
      </c>
      <c r="B463" s="35">
        <f t="shared" ref="B463:B526" si="739">YEAR(C463)</f>
        <v>1971</v>
      </c>
      <c r="C463" s="36">
        <v>26298</v>
      </c>
      <c r="D463" s="37"/>
      <c r="E463" s="35"/>
      <c r="F463" s="37"/>
      <c r="G463" s="37"/>
      <c r="H463" s="37"/>
      <c r="I463" s="37"/>
      <c r="J463" s="37"/>
      <c r="K463" s="37"/>
      <c r="L463" s="35"/>
      <c r="M463" s="35"/>
      <c r="N463" s="37"/>
      <c r="O463" s="37"/>
      <c r="P463" s="37"/>
      <c r="Q463" s="37"/>
      <c r="R463" s="37"/>
      <c r="S463" s="37"/>
      <c r="T463" s="37"/>
      <c r="U463" s="37"/>
      <c r="V463" s="37"/>
      <c r="W463" s="37">
        <f>MAX($C$11-VLOOKUP($C463,COS!$B$8:$H$991,3,FALSE),0)</f>
        <v>0</v>
      </c>
      <c r="X463" s="37">
        <f t="shared" si="667"/>
        <v>0</v>
      </c>
      <c r="Y463" s="37">
        <f>VLOOKUP($C463,COS!$B$8:$H$991,4,FALSE)</f>
        <v>0</v>
      </c>
      <c r="Z463" s="37">
        <f t="shared" si="668"/>
        <v>0</v>
      </c>
      <c r="AA463" s="37">
        <f t="shared" si="736"/>
        <v>0</v>
      </c>
      <c r="AB463" s="38">
        <f t="shared" si="650"/>
        <v>0</v>
      </c>
    </row>
    <row r="464" spans="1:28" x14ac:dyDescent="0.3">
      <c r="A464" s="27">
        <f>VLOOKUP(YEAR(C464),Flags!$A$13:$B$95,2,FALSE)</f>
        <v>3</v>
      </c>
      <c r="B464" s="28">
        <f t="shared" si="739"/>
        <v>1972</v>
      </c>
      <c r="C464" s="29">
        <v>26419</v>
      </c>
      <c r="D464" s="30">
        <f>VLOOKUP($C464,COS!$B$8:$H$991,3,FALSE)</f>
        <v>4466.64501953125</v>
      </c>
      <c r="E464" s="28">
        <f>IF(D464&gt;=IF(MONTH($C464)=4,$C$3,IF(MONTH($C464)=5,$C$4,IF(MONTH($C464)=6,$C$5,IF(MONTH($C464)=7,$C$6,"ERROR")))),1,0)</f>
        <v>0</v>
      </c>
      <c r="F464" s="30">
        <f>VLOOKUP($C464,COS!$B$8:$H$991,7,FALSE)</f>
        <v>50.082248687744141</v>
      </c>
      <c r="G464" s="28">
        <f>IF(F464&lt;=IF(MONTH($C464)=4,$F$3,IF(MONTH($C464)=5,$F$4,IF(MONTH($C464)=6,$F$5,IF(MONTH($C464)=7,$F$6,"ERROR")))),1,0)</f>
        <v>1</v>
      </c>
      <c r="H464" s="30">
        <f>IF(J464=1,D464-$C$3,0)</f>
        <v>0</v>
      </c>
      <c r="I464" s="30">
        <f t="shared" si="661"/>
        <v>0</v>
      </c>
      <c r="J464" s="28">
        <f t="shared" ref="J464:J467" si="740">IF(AND(E464=1,G464=1),1,0)</f>
        <v>0</v>
      </c>
      <c r="K464" s="30">
        <f>VLOOKUP($C464,COS!$B$8:$H$991,2,FALSE)</f>
        <v>4552</v>
      </c>
      <c r="L464" s="28">
        <f t="shared" ref="L464:L521" si="741">IF(K464&lt;=IF(MONTH($C464)=4,$I$3,IF(MONTH($C464)=5,$I$4,IF(MONTH($C464)=6,$I$5,IF(MONTH($C464)=7,$I$6,"ERROR")))),1,0)</f>
        <v>1</v>
      </c>
      <c r="M464" s="28">
        <f t="shared" ref="M464:M521" si="742">VLOOKUP($A464,$L$3:$M$7,2,FALSE)</f>
        <v>0</v>
      </c>
      <c r="N464" s="30">
        <f>VLOOKUP($C464,COS!$B$8:$H$991,5,FALSE)</f>
        <v>323.25350952148438</v>
      </c>
      <c r="O464" s="30">
        <f t="shared" ref="O464:O467" si="743">N464*DAY($C464)*86400/43560/1000</f>
        <v>19.23491957483213</v>
      </c>
      <c r="P464" s="30">
        <f>VLOOKUP($C464,COS!$B$8:$H$991,6,FALSE)</f>
        <v>539.28424072265625</v>
      </c>
      <c r="Q464" s="30">
        <f t="shared" ref="Q464:Q467" si="744">P464*DAY($C464)*86400/43560/1000</f>
        <v>32.08964077027376</v>
      </c>
      <c r="R464" s="30">
        <f>MIN(IF(MONTH($C464)=4,$S$3,IF(MONTH($C464)=5,$S$4,IF(MONTH($C464)=6,$S$5,IF(MONTH($C464)=7,$S$6,"ERROR")))),MAX(VLOOKUP($C464,COS!$B$8:$K$991,10,FALSE)-IF(MONTH($C464)=4,$Y$3,IF(MONTH($C464)=5,$Y$4,IF(MONTH($C464)=6,$Y$5,IF(MONTH($C464)=7,$Y$6,"ERROR")))),0),MAX(VLOOKUP($C464,COS!$B$8:$K$991,9,FALSE)-IF(MONTH($C464)=4,$V$3,IF(MONTH($C464)=5,$V$4,IF(MONTH($C464)=6,$V$5,IF(MONTH($C464)=7,$V$6,"ERROR"))))-VLOOKUP($C464,COS!$B$8:$K$991,6,FALSE)/2,0))</f>
        <v>1500</v>
      </c>
      <c r="S464" s="30">
        <f t="shared" ref="S464:S467" si="745">R464*DAY($C464)*86400/43560/1000</f>
        <v>89.256198347107429</v>
      </c>
      <c r="T464" s="30">
        <f t="shared" ref="T464:T467" si="746">(O464+Q464)/2+S464</f>
        <v>114.91847851966037</v>
      </c>
      <c r="U464" s="30" t="str">
        <f>IF(VLOOKUP($C464,COS!$B$8:$I$991,8,FALSE)=1,"UWFE","IBU")</f>
        <v>UWFE</v>
      </c>
      <c r="V464" s="30">
        <f t="shared" ref="V464" si="747">MIN(IF(IF($AA$3=2,AND(E464=1,G464=1,L464=1,L469=1,M464=1,U464="IBU"),AND(E464=1,G464=1,L464=1,L469=1,M464=1)),T464,0),I464)</f>
        <v>0</v>
      </c>
      <c r="W464" s="30"/>
      <c r="X464" s="30"/>
      <c r="Y464" s="30"/>
      <c r="Z464" s="30"/>
      <c r="AA464" s="30"/>
      <c r="AB464" s="31"/>
    </row>
    <row r="465" spans="1:28" x14ac:dyDescent="0.3">
      <c r="A465" s="32">
        <f>VLOOKUP(YEAR(C465),Flags!$A$13:$B$95,2,FALSE)</f>
        <v>3</v>
      </c>
      <c r="B465" s="24">
        <f t="shared" si="739"/>
        <v>1972</v>
      </c>
      <c r="C465" s="25">
        <v>26450</v>
      </c>
      <c r="D465" s="26">
        <f>VLOOKUP($C465,COS!$B$8:$H$991,3,FALSE)</f>
        <v>7295.134765625</v>
      </c>
      <c r="E465" s="24">
        <f>IF(D465&gt;=IF(MONTH($C465)=4,$C$3,IF(MONTH($C465)=5,$C$4,IF(MONTH($C465)=6,$C$5,IF(MONTH($C465)=7,$C$6,"ERROR")))),1,0)</f>
        <v>1</v>
      </c>
      <c r="F465" s="26">
        <f>VLOOKUP($C465,COS!$B$8:$H$991,7,FALSE)</f>
        <v>50.610748291015625</v>
      </c>
      <c r="G465" s="24">
        <f>IF(F465&lt;=IF(MONTH($C465)=4,$F$3,IF(MONTH($C465)=5,$F$4,IF(MONTH($C465)=6,$F$5,IF(MONTH($C465)=7,$F$6,"ERROR")))),1,0)</f>
        <v>1</v>
      </c>
      <c r="H465" s="26">
        <f>IF(J465=1,D465-$C$4,0)</f>
        <v>1295.134765625</v>
      </c>
      <c r="I465" s="26">
        <f t="shared" si="661"/>
        <v>79.634732696280992</v>
      </c>
      <c r="J465" s="24">
        <f t="shared" si="740"/>
        <v>1</v>
      </c>
      <c r="K465" s="26">
        <f>VLOOKUP($C465,COS!$B$8:$H$991,2,FALSE)</f>
        <v>4444.4248046875</v>
      </c>
      <c r="L465" s="24">
        <f t="shared" si="741"/>
        <v>1</v>
      </c>
      <c r="M465" s="24">
        <f t="shared" si="742"/>
        <v>0</v>
      </c>
      <c r="N465" s="26">
        <f>VLOOKUP($C465,COS!$B$8:$H$991,5,FALSE)</f>
        <v>214.1783447265625</v>
      </c>
      <c r="O465" s="26">
        <f t="shared" si="743"/>
        <v>13.169313097236572</v>
      </c>
      <c r="P465" s="26">
        <f>VLOOKUP($C465,COS!$B$8:$H$991,6,FALSE)</f>
        <v>2237.25634765625</v>
      </c>
      <c r="Q465" s="26">
        <f t="shared" si="744"/>
        <v>137.56353079803719</v>
      </c>
      <c r="R465" s="26">
        <f>MIN(IF(MONTH($C465)=4,$S$3,IF(MONTH($C465)=5,$S$4,IF(MONTH($C465)=6,$S$5,IF(MONTH($C465)=7,$S$6,"ERROR")))),MAX(VLOOKUP($C465,COS!$B$8:$K$991,10,FALSE)-IF(MONTH($C465)=4,$Y$3,IF(MONTH($C465)=5,$Y$4,IF(MONTH($C465)=6,$Y$5,IF(MONTH($C465)=7,$Y$6,"ERROR")))),0),MAX(VLOOKUP($C465,COS!$B$8:$K$991,9,FALSE)-IF(MONTH($C465)=4,$V$3,IF(MONTH($C465)=5,$V$4,IF(MONTH($C465)=6,$V$5,IF(MONTH($C465)=7,$V$6,"ERROR"))))-VLOOKUP($C465,COS!$B$8:$K$991,6,FALSE)/2,0))</f>
        <v>1500</v>
      </c>
      <c r="S465" s="26">
        <f t="shared" si="745"/>
        <v>92.231404958677686</v>
      </c>
      <c r="T465" s="26">
        <f t="shared" si="746"/>
        <v>167.59782690631457</v>
      </c>
      <c r="U465" s="26" t="str">
        <f>IF(VLOOKUP($C465,COS!$B$8:$I$991,8,FALSE)=1,"UWFE","IBU")</f>
        <v>UWFE</v>
      </c>
      <c r="V465" s="26">
        <f t="shared" ref="V465" si="748">MIN(IF(IF($AA$3=2,AND(E465=1,G465=1,L465=1,L469=1,M465=1,U465="IBU"),AND(E465=1,G465=1,L465=1,L469=1,M465=1)),T465,0),I465)</f>
        <v>0</v>
      </c>
      <c r="W465" s="26"/>
      <c r="X465" s="26"/>
      <c r="Y465" s="26"/>
      <c r="Z465" s="26"/>
      <c r="AA465" s="26"/>
      <c r="AB465" s="33"/>
    </row>
    <row r="466" spans="1:28" x14ac:dyDescent="0.3">
      <c r="A466" s="32">
        <f>VLOOKUP(YEAR(C466),Flags!$A$13:$B$95,2,FALSE)</f>
        <v>3</v>
      </c>
      <c r="B466" s="24">
        <f t="shared" si="739"/>
        <v>1972</v>
      </c>
      <c r="C466" s="25">
        <v>26480</v>
      </c>
      <c r="D466" s="26">
        <f>VLOOKUP($C466,COS!$B$8:$H$991,3,FALSE)</f>
        <v>13446.5849609375</v>
      </c>
      <c r="E466" s="24">
        <f>IF(D466&gt;=IF(MONTH($C466)=4,$C$3,IF(MONTH($C466)=5,$C$4,IF(MONTH($C466)=6,$C$5,IF(MONTH($C466)=7,$C$6,"ERROR")))),1,0)</f>
        <v>1</v>
      </c>
      <c r="F466" s="26">
        <f>VLOOKUP($C466,COS!$B$8:$H$991,7,FALSE)</f>
        <v>50.5291748046875</v>
      </c>
      <c r="G466" s="24">
        <f>IF(F466&lt;=IF(MONTH($C466)=4,$F$3,IF(MONTH($C466)=5,$F$4,IF(MONTH($C466)=6,$F$5,IF(MONTH($C466)=7,$F$6,"ERROR")))),1,0)</f>
        <v>1</v>
      </c>
      <c r="H466" s="26">
        <f>IF(J466=1,D466-$C$5,0)</f>
        <v>3446.5849609375</v>
      </c>
      <c r="I466" s="26">
        <f t="shared" si="661"/>
        <v>205.0860472623967</v>
      </c>
      <c r="J466" s="24">
        <f t="shared" si="740"/>
        <v>1</v>
      </c>
      <c r="K466" s="26">
        <f>VLOOKUP($C466,COS!$B$8:$H$991,2,FALSE)</f>
        <v>3879.44091796875</v>
      </c>
      <c r="L466" s="24">
        <f t="shared" si="741"/>
        <v>1</v>
      </c>
      <c r="M466" s="24">
        <f t="shared" si="742"/>
        <v>0</v>
      </c>
      <c r="N466" s="26">
        <f>VLOOKUP($C466,COS!$B$8:$H$991,5,FALSE)</f>
        <v>428.46661376953125</v>
      </c>
      <c r="O466" s="26">
        <f t="shared" si="743"/>
        <v>25.495534042484504</v>
      </c>
      <c r="P466" s="26">
        <f>VLOOKUP($C466,COS!$B$8:$H$991,6,FALSE)</f>
        <v>2616.696044921875</v>
      </c>
      <c r="Q466" s="26">
        <f t="shared" si="744"/>
        <v>155.70422746642564</v>
      </c>
      <c r="R466" s="26">
        <f>MIN(IF(MONTH($C466)=4,$S$3,IF(MONTH($C466)=5,$S$4,IF(MONTH($C466)=6,$S$5,IF(MONTH($C466)=7,$S$6,"ERROR")))),MAX(VLOOKUP($C466,COS!$B$8:$K$991,10,FALSE)-IF(MONTH($C466)=4,$Y$3,IF(MONTH($C466)=5,$Y$4,IF(MONTH($C466)=6,$Y$5,IF(MONTH($C466)=7,$Y$6,"ERROR")))),0),MAX(VLOOKUP($C466,COS!$B$8:$K$991,9,FALSE)-IF(MONTH($C466)=4,$V$3,IF(MONTH($C466)=5,$V$4,IF(MONTH($C466)=6,$V$5,IF(MONTH($C466)=7,$V$6,"ERROR"))))-VLOOKUP($C466,COS!$B$8:$K$991,6,FALSE)/2,0))</f>
        <v>1500</v>
      </c>
      <c r="S466" s="26">
        <f t="shared" si="745"/>
        <v>89.256198347107429</v>
      </c>
      <c r="T466" s="26">
        <f t="shared" si="746"/>
        <v>179.8560791015625</v>
      </c>
      <c r="U466" s="26" t="str">
        <f>IF(VLOOKUP($C466,COS!$B$8:$I$991,8,FALSE)=1,"UWFE","IBU")</f>
        <v>IBU</v>
      </c>
      <c r="V466" s="26">
        <f t="shared" ref="V466" si="749">MIN(IF(IF($AA$3=2,AND(E466=1,G466=1,L466=1,L469=1,M466=1,U466="IBU"),AND(E466=1,G466=1,L466=1,L469=1,M466=1)),T466,0),I466)</f>
        <v>0</v>
      </c>
      <c r="W466" s="26"/>
      <c r="X466" s="26"/>
      <c r="Y466" s="26"/>
      <c r="Z466" s="26"/>
      <c r="AA466" s="26"/>
      <c r="AB466" s="33"/>
    </row>
    <row r="467" spans="1:28" x14ac:dyDescent="0.3">
      <c r="A467" s="32">
        <f>VLOOKUP(YEAR(C467),Flags!$A$13:$B$95,2,FALSE)</f>
        <v>3</v>
      </c>
      <c r="B467" s="24">
        <f t="shared" si="739"/>
        <v>1972</v>
      </c>
      <c r="C467" s="25">
        <v>26511</v>
      </c>
      <c r="D467" s="26">
        <f>VLOOKUP($C467,COS!$B$8:$H$991,3,FALSE)</f>
        <v>15975.8271484375</v>
      </c>
      <c r="E467" s="24">
        <f>IF(D467&gt;=IF(MONTH($C467)=4,$C$3,IF(MONTH($C467)=5,$C$4,IF(MONTH($C467)=6,$C$5,IF(MONTH($C467)=7,$C$6,"ERROR")))),1,0)</f>
        <v>1</v>
      </c>
      <c r="F467" s="26">
        <f>VLOOKUP($C467,COS!$B$8:$H$991,7,FALSE)</f>
        <v>51.616970062255859</v>
      </c>
      <c r="G467" s="24">
        <f>IF(F467&lt;=IF(MONTH($C467)=4,$F$3,IF(MONTH($C467)=5,$F$4,IF(MONTH($C467)=6,$F$5,IF(MONTH($C467)=7,$F$6,"ERROR")))),1,0)</f>
        <v>1</v>
      </c>
      <c r="H467" s="26">
        <f>IF(J467=1,D467-$C$6,0)</f>
        <v>3975.8271484375</v>
      </c>
      <c r="I467" s="26">
        <f t="shared" si="661"/>
        <v>244.46408251549585</v>
      </c>
      <c r="J467" s="24">
        <f t="shared" si="740"/>
        <v>1</v>
      </c>
      <c r="K467" s="26">
        <f>VLOOKUP($C467,COS!$B$8:$H$991,2,FALSE)</f>
        <v>3200</v>
      </c>
      <c r="L467" s="24">
        <f t="shared" si="741"/>
        <v>1</v>
      </c>
      <c r="M467" s="24">
        <f t="shared" si="742"/>
        <v>0</v>
      </c>
      <c r="N467" s="26">
        <f>VLOOKUP($C467,COS!$B$8:$H$991,5,FALSE)</f>
        <v>484.07479858398438</v>
      </c>
      <c r="O467" s="26">
        <f t="shared" si="743"/>
        <v>29.764599185659868</v>
      </c>
      <c r="P467" s="26">
        <f>VLOOKUP($C467,COS!$B$8:$H$991,6,FALSE)</f>
        <v>2537.385498046875</v>
      </c>
      <c r="Q467" s="26">
        <f t="shared" si="744"/>
        <v>156.01775293775825</v>
      </c>
      <c r="R467" s="26">
        <f>MIN(IF(MONTH($C467)=4,$S$3,IF(MONTH($C467)=5,$S$4,IF(MONTH($C467)=6,$S$5,IF(MONTH($C467)=7,$S$6,"ERROR")))),MAX(VLOOKUP($C467,COS!$B$8:$K$991,10,FALSE)-IF(MONTH($C467)=4,$Y$3,IF(MONTH($C467)=5,$Y$4,IF(MONTH($C467)=6,$Y$5,IF(MONTH($C467)=7,$Y$6,"ERROR")))),0),MAX(VLOOKUP($C467,COS!$B$8:$K$991,9,FALSE)-IF(MONTH($C467)=4,$V$3,IF(MONTH($C467)=5,$V$4,IF(MONTH($C467)=6,$V$5,IF(MONTH($C467)=7,$V$6,"ERROR"))))-VLOOKUP($C467,COS!$B$8:$K$991,6,FALSE)/2,0))</f>
        <v>1500</v>
      </c>
      <c r="S467" s="26">
        <f t="shared" si="745"/>
        <v>92.231404958677686</v>
      </c>
      <c r="T467" s="26">
        <f t="shared" si="746"/>
        <v>185.12258102038675</v>
      </c>
      <c r="U467" s="26" t="str">
        <f>IF(VLOOKUP($C467,COS!$B$8:$I$991,8,FALSE)=1,"UWFE","IBU")</f>
        <v>IBU</v>
      </c>
      <c r="V467" s="26">
        <f t="shared" ref="V467" si="750">MIN(IF(IF($AA$3=2,AND(E467=1,G467=1,L467=1,L469=1,M467=1,U467="IBU"),AND(E467=1,G467=1,L467=1,L469=1,M467=1)),T467,0),I467)</f>
        <v>0</v>
      </c>
      <c r="W467" s="26"/>
      <c r="X467" s="26"/>
      <c r="Y467" s="26"/>
      <c r="Z467" s="26"/>
      <c r="AA467" s="26"/>
      <c r="AB467" s="33"/>
    </row>
    <row r="468" spans="1:28" x14ac:dyDescent="0.3">
      <c r="A468" s="32">
        <f>VLOOKUP(YEAR(C468),Flags!$A$13:$B$95,2,FALSE)</f>
        <v>3</v>
      </c>
      <c r="B468" s="24">
        <f t="shared" si="739"/>
        <v>1972</v>
      </c>
      <c r="C468" s="25">
        <v>26542</v>
      </c>
      <c r="D468" s="26"/>
      <c r="E468" s="24"/>
      <c r="F468" s="26"/>
      <c r="G468" s="24"/>
      <c r="H468" s="24"/>
      <c r="I468" s="26"/>
      <c r="J468" s="24"/>
      <c r="K468" s="26"/>
      <c r="L468" s="24"/>
      <c r="M468" s="24"/>
      <c r="N468" s="26"/>
      <c r="O468" s="26"/>
      <c r="P468" s="26"/>
      <c r="Q468" s="26"/>
      <c r="R468" s="26"/>
      <c r="S468" s="26"/>
      <c r="T468" s="26"/>
      <c r="U468" s="26"/>
      <c r="V468" s="26"/>
      <c r="W468" s="26">
        <f>MAX($C$7-VLOOKUP($C468,COS!$B$8:$H$991,3,FALSE),0)</f>
        <v>89878.541015625</v>
      </c>
      <c r="X468" s="26">
        <f t="shared" si="667"/>
        <v>5526.4160756714873</v>
      </c>
      <c r="Y468" s="26">
        <f>VLOOKUP($C468,COS!$B$8:$H$991,4,FALSE)</f>
        <v>1250.875732421875</v>
      </c>
      <c r="Z468" s="26">
        <f t="shared" si="668"/>
        <v>76.913350819989674</v>
      </c>
      <c r="AA468" s="26">
        <f t="shared" ref="AA468:AA472" si="751">MIN(W468,Y468)</f>
        <v>1250.875732421875</v>
      </c>
      <c r="AB468" s="33">
        <f t="shared" ref="AB468:AB526" si="752">AA468*DAY($C468)*86400/43560/1000*IF(MONTH($C468)=8,$P$3,IF(MONTH($C468)=9,$P$4,IF(MONTH($C468)=10,$P$5,IF(MONTH($C468)=11,$P$6,IF(MONTH($C468)=12,$P$7,NA())))))</f>
        <v>76.913350819989674</v>
      </c>
    </row>
    <row r="469" spans="1:28" x14ac:dyDescent="0.3">
      <c r="A469" s="32">
        <f>VLOOKUP(YEAR(C469),Flags!$A$13:$B$95,2,FALSE)</f>
        <v>3</v>
      </c>
      <c r="B469" s="24">
        <f t="shared" si="739"/>
        <v>1972</v>
      </c>
      <c r="C469" s="25">
        <v>26572</v>
      </c>
      <c r="D469" s="26"/>
      <c r="E469" s="24"/>
      <c r="F469" s="26"/>
      <c r="G469" s="24"/>
      <c r="H469" s="24"/>
      <c r="I469" s="26"/>
      <c r="J469" s="24"/>
      <c r="K469" s="26">
        <f>VLOOKUP($C469,COS!$B$8:$H$991,2,FALSE)</f>
        <v>2958.29638671875</v>
      </c>
      <c r="L469" s="24">
        <f t="shared" ref="L469" si="753">IF(AND(K469&gt;$I$7,K469&lt;$I$8),1,0)</f>
        <v>1</v>
      </c>
      <c r="M469" s="24"/>
      <c r="N469" s="26"/>
      <c r="O469" s="26"/>
      <c r="P469" s="26"/>
      <c r="Q469" s="26"/>
      <c r="R469" s="26"/>
      <c r="S469" s="26"/>
      <c r="T469" s="26"/>
      <c r="U469" s="26"/>
      <c r="V469" s="26"/>
      <c r="W469" s="26">
        <f>MAX($C$8-VLOOKUP($C469,COS!$B$8:$H$991,3,FALSE),0)</f>
        <v>95242.72265625</v>
      </c>
      <c r="X469" s="26">
        <f t="shared" si="667"/>
        <v>5667.3355630165288</v>
      </c>
      <c r="Y469" s="26">
        <f>VLOOKUP($C469,COS!$B$8:$H$991,4,FALSE)</f>
        <v>954.7808837890625</v>
      </c>
      <c r="Z469" s="26">
        <f t="shared" si="668"/>
        <v>56.813407961002063</v>
      </c>
      <c r="AA469" s="26">
        <f t="shared" si="751"/>
        <v>954.7808837890625</v>
      </c>
      <c r="AB469" s="33">
        <f t="shared" si="752"/>
        <v>56.813407961002063</v>
      </c>
    </row>
    <row r="470" spans="1:28" x14ac:dyDescent="0.3">
      <c r="A470" s="32">
        <f>VLOOKUP(YEAR(C470),Flags!$A$13:$B$95,2,FALSE)</f>
        <v>3</v>
      </c>
      <c r="B470" s="24">
        <f t="shared" si="739"/>
        <v>1972</v>
      </c>
      <c r="C470" s="25">
        <v>26603</v>
      </c>
      <c r="D470" s="26"/>
      <c r="E470" s="24"/>
      <c r="F470" s="26"/>
      <c r="G470" s="26"/>
      <c r="H470" s="26"/>
      <c r="I470" s="26"/>
      <c r="J470" s="26"/>
      <c r="K470" s="26"/>
      <c r="L470" s="24"/>
      <c r="M470" s="24"/>
      <c r="N470" s="26"/>
      <c r="O470" s="26"/>
      <c r="P470" s="26"/>
      <c r="Q470" s="26"/>
      <c r="R470" s="26"/>
      <c r="S470" s="26"/>
      <c r="T470" s="26"/>
      <c r="U470" s="26"/>
      <c r="V470" s="26"/>
      <c r="W470" s="26">
        <f>MAX($C$9-VLOOKUP($C470,COS!$B$8:$H$991,3,FALSE),0)</f>
        <v>95128.9990234375</v>
      </c>
      <c r="X470" s="26">
        <f t="shared" si="667"/>
        <v>5849.2541548295458</v>
      </c>
      <c r="Y470" s="26">
        <f>VLOOKUP($C470,COS!$B$8:$H$991,4,FALSE)</f>
        <v>439.72247314453125</v>
      </c>
      <c r="Z470" s="26">
        <f t="shared" si="668"/>
        <v>27.037480993349689</v>
      </c>
      <c r="AA470" s="26">
        <f t="shared" si="751"/>
        <v>439.72247314453125</v>
      </c>
      <c r="AB470" s="33">
        <f t="shared" si="752"/>
        <v>27.037480993349689</v>
      </c>
    </row>
    <row r="471" spans="1:28" x14ac:dyDescent="0.3">
      <c r="A471" s="32">
        <f>VLOOKUP(YEAR(C471),Flags!$A$13:$B$95,2,FALSE)</f>
        <v>3</v>
      </c>
      <c r="B471" s="24">
        <f t="shared" si="739"/>
        <v>1972</v>
      </c>
      <c r="C471" s="25">
        <v>26633</v>
      </c>
      <c r="D471" s="26"/>
      <c r="E471" s="24"/>
      <c r="F471" s="26"/>
      <c r="G471" s="26"/>
      <c r="H471" s="26"/>
      <c r="I471" s="26"/>
      <c r="J471" s="26"/>
      <c r="K471" s="26"/>
      <c r="L471" s="24"/>
      <c r="M471" s="24"/>
      <c r="N471" s="26"/>
      <c r="O471" s="26"/>
      <c r="P471" s="26"/>
      <c r="Q471" s="26"/>
      <c r="R471" s="26"/>
      <c r="S471" s="26"/>
      <c r="T471" s="26"/>
      <c r="U471" s="26"/>
      <c r="V471" s="26"/>
      <c r="W471" s="26">
        <f>MAX($C$10-VLOOKUP($C471,COS!$B$8:$H$991,3,FALSE),0)</f>
        <v>96243.074462890625</v>
      </c>
      <c r="X471" s="26">
        <f t="shared" si="667"/>
        <v>5726.8606291967972</v>
      </c>
      <c r="Y471" s="26">
        <f>VLOOKUP($C471,COS!$B$8:$H$991,4,FALSE)</f>
        <v>2301.576171875</v>
      </c>
      <c r="Z471" s="26">
        <f t="shared" si="668"/>
        <v>136.95329287190083</v>
      </c>
      <c r="AA471" s="26">
        <f t="shared" si="751"/>
        <v>2301.576171875</v>
      </c>
      <c r="AB471" s="33">
        <f t="shared" si="752"/>
        <v>68.476646435950414</v>
      </c>
    </row>
    <row r="472" spans="1:28" x14ac:dyDescent="0.3">
      <c r="A472" s="34">
        <f>VLOOKUP(YEAR(C472),Flags!$A$13:$B$95,2,FALSE)</f>
        <v>3</v>
      </c>
      <c r="B472" s="35">
        <f t="shared" si="739"/>
        <v>1972</v>
      </c>
      <c r="C472" s="36">
        <v>26664</v>
      </c>
      <c r="D472" s="37"/>
      <c r="E472" s="35"/>
      <c r="F472" s="37"/>
      <c r="G472" s="37"/>
      <c r="H472" s="37"/>
      <c r="I472" s="37"/>
      <c r="J472" s="37"/>
      <c r="K472" s="37"/>
      <c r="L472" s="35"/>
      <c r="M472" s="35"/>
      <c r="N472" s="37"/>
      <c r="O472" s="37"/>
      <c r="P472" s="37"/>
      <c r="Q472" s="37"/>
      <c r="R472" s="37"/>
      <c r="S472" s="37"/>
      <c r="T472" s="37"/>
      <c r="U472" s="37"/>
      <c r="V472" s="37"/>
      <c r="W472" s="37">
        <f>MAX($C$11-VLOOKUP($C472,COS!$B$8:$H$991,3,FALSE),0)</f>
        <v>0</v>
      </c>
      <c r="X472" s="37">
        <f t="shared" si="667"/>
        <v>0</v>
      </c>
      <c r="Y472" s="37">
        <f>VLOOKUP($C472,COS!$B$8:$H$991,4,FALSE)</f>
        <v>0</v>
      </c>
      <c r="Z472" s="37">
        <f t="shared" si="668"/>
        <v>0</v>
      </c>
      <c r="AA472" s="37">
        <f t="shared" si="751"/>
        <v>0</v>
      </c>
      <c r="AB472" s="38">
        <f t="shared" si="752"/>
        <v>0</v>
      </c>
    </row>
    <row r="473" spans="1:28" x14ac:dyDescent="0.3">
      <c r="A473" s="27">
        <f>VLOOKUP(YEAR(C473),Flags!$A$13:$B$95,2,FALSE)</f>
        <v>2</v>
      </c>
      <c r="B473" s="28">
        <f t="shared" si="739"/>
        <v>1973</v>
      </c>
      <c r="C473" s="29">
        <v>26784</v>
      </c>
      <c r="D473" s="30">
        <f>VLOOKUP($C473,COS!$B$8:$H$991,3,FALSE)</f>
        <v>3250</v>
      </c>
      <c r="E473" s="28">
        <f>IF(D473&gt;=IF(MONTH($C473)=4,$C$3,IF(MONTH($C473)=5,$C$4,IF(MONTH($C473)=6,$C$5,IF(MONTH($C473)=7,$C$6,"ERROR")))),1,0)</f>
        <v>0</v>
      </c>
      <c r="F473" s="30">
        <f>VLOOKUP($C473,COS!$B$8:$H$991,7,FALSE)</f>
        <v>50.581394195556641</v>
      </c>
      <c r="G473" s="28">
        <f>IF(F473&lt;=IF(MONTH($C473)=4,$F$3,IF(MONTH($C473)=5,$F$4,IF(MONTH($C473)=6,$F$5,IF(MONTH($C473)=7,$F$6,"ERROR")))),1,0)</f>
        <v>1</v>
      </c>
      <c r="H473" s="30">
        <f>IF(J473=1,D473-$C$3,0)</f>
        <v>0</v>
      </c>
      <c r="I473" s="30">
        <f t="shared" si="661"/>
        <v>0</v>
      </c>
      <c r="J473" s="28">
        <f t="shared" ref="J473:J476" si="754">IF(AND(E473=1,G473=1),1,0)</f>
        <v>0</v>
      </c>
      <c r="K473" s="30">
        <f>VLOOKUP($C473,COS!$B$8:$H$991,2,FALSE)</f>
        <v>4464.4716796875</v>
      </c>
      <c r="L473" s="28">
        <f t="shared" ref="L473" si="755">IF(K473&lt;=IF(MONTH($C473)=4,$I$3,IF(MONTH($C473)=5,$I$4,IF(MONTH($C473)=6,$I$5,IF(MONTH($C473)=7,$I$6,"ERROR")))),1,0)</f>
        <v>1</v>
      </c>
      <c r="M473" s="28">
        <f t="shared" ref="M473" si="756">VLOOKUP($A473,$L$3:$M$7,2,FALSE)</f>
        <v>0</v>
      </c>
      <c r="N473" s="30">
        <f>VLOOKUP($C473,COS!$B$8:$H$991,5,FALSE)</f>
        <v>411.989013671875</v>
      </c>
      <c r="O473" s="30">
        <f t="shared" ref="O473:O476" si="757">N473*DAY($C473)*86400/43560/1000</f>
        <v>24.515048747417357</v>
      </c>
      <c r="P473" s="30">
        <f>VLOOKUP($C473,COS!$B$8:$H$991,6,FALSE)</f>
        <v>453.39697265625</v>
      </c>
      <c r="Q473" s="30">
        <f t="shared" ref="Q473:Q476" si="758">P473*DAY($C473)*86400/43560/1000</f>
        <v>26.978993414256198</v>
      </c>
      <c r="R473" s="30">
        <f>MIN(IF(MONTH($C473)=4,$S$3,IF(MONTH($C473)=5,$S$4,IF(MONTH($C473)=6,$S$5,IF(MONTH($C473)=7,$S$6,"ERROR")))),MAX(VLOOKUP($C473,COS!$B$8:$K$991,10,FALSE)-IF(MONTH($C473)=4,$Y$3,IF(MONTH($C473)=5,$Y$4,IF(MONTH($C473)=6,$Y$5,IF(MONTH($C473)=7,$Y$6,"ERROR")))),0),MAX(VLOOKUP($C473,COS!$B$8:$K$991,9,FALSE)-IF(MONTH($C473)=4,$V$3,IF(MONTH($C473)=5,$V$4,IF(MONTH($C473)=6,$V$5,IF(MONTH($C473)=7,$V$6,"ERROR"))))-VLOOKUP($C473,COS!$B$8:$K$991,6,FALSE)/2,0))</f>
        <v>1500</v>
      </c>
      <c r="S473" s="30">
        <f t="shared" ref="S473:S476" si="759">R473*DAY($C473)*86400/43560/1000</f>
        <v>89.256198347107429</v>
      </c>
      <c r="T473" s="30">
        <f t="shared" ref="T473:T476" si="760">(O473+Q473)/2+S473</f>
        <v>115.0032194279442</v>
      </c>
      <c r="U473" s="30" t="str">
        <f>IF(VLOOKUP($C473,COS!$B$8:$I$991,8,FALSE)=1,"UWFE","IBU")</f>
        <v>UWFE</v>
      </c>
      <c r="V473" s="30">
        <f t="shared" ref="V473" si="761">MIN(IF(IF($AA$3=2,AND(E473=1,G473=1,L473=1,L478=1,M473=1,U473="IBU"),AND(E473=1,G473=1,L473=1,L478=1,M473=1)),T473,0),I473)</f>
        <v>0</v>
      </c>
      <c r="W473" s="30"/>
      <c r="X473" s="30"/>
      <c r="Y473" s="30"/>
      <c r="Z473" s="30"/>
      <c r="AA473" s="30"/>
      <c r="AB473" s="31"/>
    </row>
    <row r="474" spans="1:28" x14ac:dyDescent="0.3">
      <c r="A474" s="32">
        <f>VLOOKUP(YEAR(C474),Flags!$A$13:$B$95,2,FALSE)</f>
        <v>2</v>
      </c>
      <c r="B474" s="24">
        <f t="shared" si="739"/>
        <v>1973</v>
      </c>
      <c r="C474" s="25">
        <v>26815</v>
      </c>
      <c r="D474" s="26">
        <f>VLOOKUP($C474,COS!$B$8:$H$991,3,FALSE)</f>
        <v>6365.75537109375</v>
      </c>
      <c r="E474" s="24">
        <f>IF(D474&gt;=IF(MONTH($C474)=4,$C$3,IF(MONTH($C474)=5,$C$4,IF(MONTH($C474)=6,$C$5,IF(MONTH($C474)=7,$C$6,"ERROR")))),1,0)</f>
        <v>1</v>
      </c>
      <c r="F474" s="26">
        <f>VLOOKUP($C474,COS!$B$8:$H$991,7,FALSE)</f>
        <v>51.265758514404297</v>
      </c>
      <c r="G474" s="24">
        <f>IF(F474&lt;=IF(MONTH($C474)=4,$F$3,IF(MONTH($C474)=5,$F$4,IF(MONTH($C474)=6,$F$5,IF(MONTH($C474)=7,$F$6,"ERROR")))),1,0)</f>
        <v>1</v>
      </c>
      <c r="H474" s="26">
        <f>IF(J474=1,D474-$C$4,0)</f>
        <v>365.75537109375</v>
      </c>
      <c r="I474" s="26">
        <f t="shared" si="661"/>
        <v>22.489421164772729</v>
      </c>
      <c r="J474" s="24">
        <f t="shared" si="754"/>
        <v>1</v>
      </c>
      <c r="K474" s="26">
        <f>VLOOKUP($C474,COS!$B$8:$H$991,2,FALSE)</f>
        <v>4489.771484375</v>
      </c>
      <c r="L474" s="24">
        <f t="shared" si="741"/>
        <v>1</v>
      </c>
      <c r="M474" s="24">
        <f t="shared" si="742"/>
        <v>0</v>
      </c>
      <c r="N474" s="26">
        <f>VLOOKUP($C474,COS!$B$8:$H$991,5,FALSE)</f>
        <v>753.90789794921875</v>
      </c>
      <c r="O474" s="26">
        <f t="shared" si="757"/>
        <v>46.355989758199897</v>
      </c>
      <c r="P474" s="26">
        <f>VLOOKUP($C474,COS!$B$8:$H$991,6,FALSE)</f>
        <v>2250.21826171875</v>
      </c>
      <c r="Q474" s="26">
        <f t="shared" si="758"/>
        <v>138.36052782799587</v>
      </c>
      <c r="R474" s="26">
        <f>MIN(IF(MONTH($C474)=4,$S$3,IF(MONTH($C474)=5,$S$4,IF(MONTH($C474)=6,$S$5,IF(MONTH($C474)=7,$S$6,"ERROR")))),MAX(VLOOKUP($C474,COS!$B$8:$K$991,10,FALSE)-IF(MONTH($C474)=4,$Y$3,IF(MONTH($C474)=5,$Y$4,IF(MONTH($C474)=6,$Y$5,IF(MONTH($C474)=7,$Y$6,"ERROR")))),0),MAX(VLOOKUP($C474,COS!$B$8:$K$991,9,FALSE)-IF(MONTH($C474)=4,$V$3,IF(MONTH($C474)=5,$V$4,IF(MONTH($C474)=6,$V$5,IF(MONTH($C474)=7,$V$6,"ERROR"))))-VLOOKUP($C474,COS!$B$8:$K$991,6,FALSE)/2,0))</f>
        <v>1500</v>
      </c>
      <c r="S474" s="26">
        <f t="shared" si="759"/>
        <v>92.231404958677686</v>
      </c>
      <c r="T474" s="26">
        <f t="shared" si="760"/>
        <v>184.58966375177556</v>
      </c>
      <c r="U474" s="26" t="str">
        <f>IF(VLOOKUP($C474,COS!$B$8:$I$991,8,FALSE)=1,"UWFE","IBU")</f>
        <v>UWFE</v>
      </c>
      <c r="V474" s="26">
        <f t="shared" ref="V474" si="762">MIN(IF(IF($AA$3=2,AND(E474=1,G474=1,L474=1,L478=1,M474=1,U474="IBU"),AND(E474=1,G474=1,L474=1,L478=1,M474=1)),T474,0),I474)</f>
        <v>0</v>
      </c>
      <c r="W474" s="26"/>
      <c r="X474" s="26"/>
      <c r="Y474" s="26"/>
      <c r="Z474" s="26"/>
      <c r="AA474" s="26"/>
      <c r="AB474" s="33"/>
    </row>
    <row r="475" spans="1:28" x14ac:dyDescent="0.3">
      <c r="A475" s="32">
        <f>VLOOKUP(YEAR(C475),Flags!$A$13:$B$95,2,FALSE)</f>
        <v>2</v>
      </c>
      <c r="B475" s="24">
        <f t="shared" si="739"/>
        <v>1973</v>
      </c>
      <c r="C475" s="25">
        <v>26845</v>
      </c>
      <c r="D475" s="26">
        <f>VLOOKUP($C475,COS!$B$8:$H$991,3,FALSE)</f>
        <v>13158.140625</v>
      </c>
      <c r="E475" s="24">
        <f>IF(D475&gt;=IF(MONTH($C475)=4,$C$3,IF(MONTH($C475)=5,$C$4,IF(MONTH($C475)=6,$C$5,IF(MONTH($C475)=7,$C$6,"ERROR")))),1,0)</f>
        <v>1</v>
      </c>
      <c r="F475" s="26">
        <f>VLOOKUP($C475,COS!$B$8:$H$991,7,FALSE)</f>
        <v>49.900630950927734</v>
      </c>
      <c r="G475" s="24">
        <f>IF(F475&lt;=IF(MONTH($C475)=4,$F$3,IF(MONTH($C475)=5,$F$4,IF(MONTH($C475)=6,$F$5,IF(MONTH($C475)=7,$F$6,"ERROR")))),1,0)</f>
        <v>1</v>
      </c>
      <c r="H475" s="26">
        <f>IF(J475=1,D475-$C$5,0)</f>
        <v>3158.140625</v>
      </c>
      <c r="I475" s="26">
        <f t="shared" si="661"/>
        <v>187.92241735537189</v>
      </c>
      <c r="J475" s="24">
        <f t="shared" si="754"/>
        <v>1</v>
      </c>
      <c r="K475" s="26">
        <f>VLOOKUP($C475,COS!$B$8:$H$991,2,FALSE)</f>
        <v>3919.55078125</v>
      </c>
      <c r="L475" s="24">
        <f t="shared" si="741"/>
        <v>1</v>
      </c>
      <c r="M475" s="24">
        <f t="shared" si="742"/>
        <v>0</v>
      </c>
      <c r="N475" s="26">
        <f>VLOOKUP($C475,COS!$B$8:$H$991,5,FALSE)</f>
        <v>1050.899658203125</v>
      </c>
      <c r="O475" s="26">
        <f t="shared" si="757"/>
        <v>62.532872223657023</v>
      </c>
      <c r="P475" s="26">
        <f>VLOOKUP($C475,COS!$B$8:$H$991,6,FALSE)</f>
        <v>2424.520751953125</v>
      </c>
      <c r="Q475" s="26">
        <f t="shared" si="758"/>
        <v>144.26900342200415</v>
      </c>
      <c r="R475" s="26">
        <f>MIN(IF(MONTH($C475)=4,$S$3,IF(MONTH($C475)=5,$S$4,IF(MONTH($C475)=6,$S$5,IF(MONTH($C475)=7,$S$6,"ERROR")))),MAX(VLOOKUP($C475,COS!$B$8:$K$991,10,FALSE)-IF(MONTH($C475)=4,$Y$3,IF(MONTH($C475)=5,$Y$4,IF(MONTH($C475)=6,$Y$5,IF(MONTH($C475)=7,$Y$6,"ERROR")))),0),MAX(VLOOKUP($C475,COS!$B$8:$K$991,9,FALSE)-IF(MONTH($C475)=4,$V$3,IF(MONTH($C475)=5,$V$4,IF(MONTH($C475)=6,$V$5,IF(MONTH($C475)=7,$V$6,"ERROR"))))-VLOOKUP($C475,COS!$B$8:$K$991,6,FALSE)/2,0))</f>
        <v>1500</v>
      </c>
      <c r="S475" s="26">
        <f t="shared" si="759"/>
        <v>89.256198347107429</v>
      </c>
      <c r="T475" s="26">
        <f t="shared" si="760"/>
        <v>192.65713616993801</v>
      </c>
      <c r="U475" s="26" t="str">
        <f>IF(VLOOKUP($C475,COS!$B$8:$I$991,8,FALSE)=1,"UWFE","IBU")</f>
        <v>IBU</v>
      </c>
      <c r="V475" s="26">
        <f t="shared" ref="V475" si="763">MIN(IF(IF($AA$3=2,AND(E475=1,G475=1,L475=1,L478=1,M475=1,U475="IBU"),AND(E475=1,G475=1,L475=1,L478=1,M475=1)),T475,0),I475)</f>
        <v>0</v>
      </c>
      <c r="W475" s="26"/>
      <c r="X475" s="26"/>
      <c r="Y475" s="26"/>
      <c r="Z475" s="26"/>
      <c r="AA475" s="26"/>
      <c r="AB475" s="33"/>
    </row>
    <row r="476" spans="1:28" x14ac:dyDescent="0.3">
      <c r="A476" s="32">
        <f>VLOOKUP(YEAR(C476),Flags!$A$13:$B$95,2,FALSE)</f>
        <v>2</v>
      </c>
      <c r="B476" s="24">
        <f t="shared" si="739"/>
        <v>1973</v>
      </c>
      <c r="C476" s="25">
        <v>26876</v>
      </c>
      <c r="D476" s="26">
        <f>VLOOKUP($C476,COS!$B$8:$H$991,3,FALSE)</f>
        <v>16000</v>
      </c>
      <c r="E476" s="24">
        <f>IF(D476&gt;=IF(MONTH($C476)=4,$C$3,IF(MONTH($C476)=5,$C$4,IF(MONTH($C476)=6,$C$5,IF(MONTH($C476)=7,$C$6,"ERROR")))),1,0)</f>
        <v>1</v>
      </c>
      <c r="F476" s="26">
        <f>VLOOKUP($C476,COS!$B$8:$H$991,7,FALSE)</f>
        <v>50.579265594482422</v>
      </c>
      <c r="G476" s="24">
        <f>IF(F476&lt;=IF(MONTH($C476)=4,$F$3,IF(MONTH($C476)=5,$F$4,IF(MONTH($C476)=6,$F$5,IF(MONTH($C476)=7,$F$6,"ERROR")))),1,0)</f>
        <v>1</v>
      </c>
      <c r="H476" s="26">
        <f>IF(J476=1,D476-$C$6,0)</f>
        <v>4000</v>
      </c>
      <c r="I476" s="26">
        <f t="shared" ref="I476:I539" si="764">H476*DAY($C476)*86400/43560/1000</f>
        <v>245.95041322314049</v>
      </c>
      <c r="J476" s="24">
        <f t="shared" si="754"/>
        <v>1</v>
      </c>
      <c r="K476" s="26">
        <f>VLOOKUP($C476,COS!$B$8:$H$991,2,FALSE)</f>
        <v>3219.93359375</v>
      </c>
      <c r="L476" s="24">
        <f t="shared" si="741"/>
        <v>1</v>
      </c>
      <c r="M476" s="24">
        <f t="shared" si="742"/>
        <v>0</v>
      </c>
      <c r="N476" s="26">
        <f>VLOOKUP($C476,COS!$B$8:$H$991,5,FALSE)</f>
        <v>1148.61376953125</v>
      </c>
      <c r="O476" s="26">
        <f t="shared" si="757"/>
        <v>70.625507812500004</v>
      </c>
      <c r="P476" s="26">
        <f>VLOOKUP($C476,COS!$B$8:$H$991,6,FALSE)</f>
        <v>2522.65771484375</v>
      </c>
      <c r="Q476" s="26">
        <f t="shared" si="758"/>
        <v>155.1121768465909</v>
      </c>
      <c r="R476" s="26">
        <f>MIN(IF(MONTH($C476)=4,$S$3,IF(MONTH($C476)=5,$S$4,IF(MONTH($C476)=6,$S$5,IF(MONTH($C476)=7,$S$6,"ERROR")))),MAX(VLOOKUP($C476,COS!$B$8:$K$991,10,FALSE)-IF(MONTH($C476)=4,$Y$3,IF(MONTH($C476)=5,$Y$4,IF(MONTH($C476)=6,$Y$5,IF(MONTH($C476)=7,$Y$6,"ERROR")))),0),MAX(VLOOKUP($C476,COS!$B$8:$K$991,9,FALSE)-IF(MONTH($C476)=4,$V$3,IF(MONTH($C476)=5,$V$4,IF(MONTH($C476)=6,$V$5,IF(MONTH($C476)=7,$V$6,"ERROR"))))-VLOOKUP($C476,COS!$B$8:$K$991,6,FALSE)/2,0))</f>
        <v>1500</v>
      </c>
      <c r="S476" s="26">
        <f t="shared" si="759"/>
        <v>92.231404958677686</v>
      </c>
      <c r="T476" s="26">
        <f t="shared" si="760"/>
        <v>205.10024728822316</v>
      </c>
      <c r="U476" s="26" t="str">
        <f>IF(VLOOKUP($C476,COS!$B$8:$I$991,8,FALSE)=1,"UWFE","IBU")</f>
        <v>IBU</v>
      </c>
      <c r="V476" s="26">
        <f t="shared" ref="V476" si="765">MIN(IF(IF($AA$3=2,AND(E476=1,G476=1,L476=1,L478=1,M476=1,U476="IBU"),AND(E476=1,G476=1,L476=1,L478=1,M476=1)),T476,0),I476)</f>
        <v>0</v>
      </c>
      <c r="W476" s="26"/>
      <c r="X476" s="26"/>
      <c r="Y476" s="26"/>
      <c r="Z476" s="26"/>
      <c r="AA476" s="26"/>
      <c r="AB476" s="33"/>
    </row>
    <row r="477" spans="1:28" x14ac:dyDescent="0.3">
      <c r="A477" s="32">
        <f>VLOOKUP(YEAR(C477),Flags!$A$13:$B$95,2,FALSE)</f>
        <v>2</v>
      </c>
      <c r="B477" s="24">
        <f t="shared" si="739"/>
        <v>1973</v>
      </c>
      <c r="C477" s="25">
        <v>26907</v>
      </c>
      <c r="D477" s="26"/>
      <c r="E477" s="24"/>
      <c r="F477" s="26"/>
      <c r="G477" s="24"/>
      <c r="H477" s="24"/>
      <c r="I477" s="26"/>
      <c r="J477" s="24"/>
      <c r="K477" s="26"/>
      <c r="L477" s="24"/>
      <c r="M477" s="24"/>
      <c r="N477" s="26"/>
      <c r="O477" s="26"/>
      <c r="P477" s="26"/>
      <c r="Q477" s="26"/>
      <c r="R477" s="26"/>
      <c r="S477" s="26"/>
      <c r="T477" s="26"/>
      <c r="U477" s="26"/>
      <c r="V477" s="26"/>
      <c r="W477" s="26">
        <f>MAX($C$7-VLOOKUP($C477,COS!$B$8:$H$991,3,FALSE),0)</f>
        <v>91231.0947265625</v>
      </c>
      <c r="X477" s="26">
        <f t="shared" si="667"/>
        <v>5609.5813616993801</v>
      </c>
      <c r="Y477" s="26">
        <f>VLOOKUP($C477,COS!$B$8:$H$991,4,FALSE)</f>
        <v>266.08578491210938</v>
      </c>
      <c r="Z477" s="26">
        <f t="shared" si="668"/>
        <v>16.360977187984247</v>
      </c>
      <c r="AA477" s="26">
        <f t="shared" ref="AA477:AA481" si="766">MIN(W477,Y477)</f>
        <v>266.08578491210938</v>
      </c>
      <c r="AB477" s="33">
        <f t="shared" ref="AB477" si="767">AA477*DAY($C477)*86400/43560/1000*IF(MONTH($C477)=8,$P$3,IF(MONTH($C477)=9,$P$4,IF(MONTH($C477)=10,$P$5,IF(MONTH($C477)=11,$P$6,IF(MONTH($C477)=12,$P$7,NA())))))</f>
        <v>16.360977187984247</v>
      </c>
    </row>
    <row r="478" spans="1:28" x14ac:dyDescent="0.3">
      <c r="A478" s="32">
        <f>VLOOKUP(YEAR(C478),Flags!$A$13:$B$95,2,FALSE)</f>
        <v>2</v>
      </c>
      <c r="B478" s="24">
        <f t="shared" si="739"/>
        <v>1973</v>
      </c>
      <c r="C478" s="25">
        <v>26937</v>
      </c>
      <c r="D478" s="26"/>
      <c r="E478" s="24"/>
      <c r="F478" s="26"/>
      <c r="G478" s="24"/>
      <c r="H478" s="24"/>
      <c r="I478" s="26"/>
      <c r="J478" s="24"/>
      <c r="K478" s="26">
        <f>VLOOKUP($C478,COS!$B$8:$H$991,2,FALSE)</f>
        <v>2805.609619140625</v>
      </c>
      <c r="L478" s="24">
        <f t="shared" ref="L478" si="768">IF(AND(K478&gt;$I$7,K478&lt;$I$8),1,0)</f>
        <v>1</v>
      </c>
      <c r="M478" s="24"/>
      <c r="N478" s="26"/>
      <c r="O478" s="26"/>
      <c r="P478" s="26"/>
      <c r="Q478" s="26"/>
      <c r="R478" s="26"/>
      <c r="S478" s="26"/>
      <c r="T478" s="26"/>
      <c r="U478" s="26"/>
      <c r="V478" s="26"/>
      <c r="W478" s="26">
        <f>MAX($C$8-VLOOKUP($C478,COS!$B$8:$H$991,3,FALSE),0)</f>
        <v>90741.9873046875</v>
      </c>
      <c r="X478" s="26">
        <f t="shared" si="667"/>
        <v>5399.5232115185954</v>
      </c>
      <c r="Y478" s="26">
        <f>VLOOKUP($C478,COS!$B$8:$H$991,4,FALSE)</f>
        <v>632.89453125</v>
      </c>
      <c r="Z478" s="26">
        <f t="shared" si="668"/>
        <v>37.659839876033061</v>
      </c>
      <c r="AA478" s="26">
        <f t="shared" si="766"/>
        <v>632.89453125</v>
      </c>
      <c r="AB478" s="33">
        <f t="shared" si="752"/>
        <v>37.659839876033061</v>
      </c>
    </row>
    <row r="479" spans="1:28" x14ac:dyDescent="0.3">
      <c r="A479" s="32">
        <f>VLOOKUP(YEAR(C479),Flags!$A$13:$B$95,2,FALSE)</f>
        <v>2</v>
      </c>
      <c r="B479" s="24">
        <f t="shared" si="739"/>
        <v>1973</v>
      </c>
      <c r="C479" s="25">
        <v>26968</v>
      </c>
      <c r="D479" s="26"/>
      <c r="E479" s="24"/>
      <c r="F479" s="26"/>
      <c r="G479" s="26"/>
      <c r="H479" s="26"/>
      <c r="I479" s="26"/>
      <c r="J479" s="26"/>
      <c r="K479" s="26"/>
      <c r="L479" s="24"/>
      <c r="M479" s="24"/>
      <c r="N479" s="26"/>
      <c r="O479" s="26"/>
      <c r="P479" s="26"/>
      <c r="Q479" s="26"/>
      <c r="R479" s="26"/>
      <c r="S479" s="26"/>
      <c r="T479" s="26"/>
      <c r="U479" s="26"/>
      <c r="V479" s="26"/>
      <c r="W479" s="26">
        <f>MAX($C$9-VLOOKUP($C479,COS!$B$8:$H$991,3,FALSE),0)</f>
        <v>94903.3291015625</v>
      </c>
      <c r="X479" s="26">
        <f t="shared" ref="X479:X542" si="769">W479*DAY($C479)*86400/43560/1000</f>
        <v>5835.378252195248</v>
      </c>
      <c r="Y479" s="26">
        <f>VLOOKUP($C479,COS!$B$8:$H$991,4,FALSE)</f>
        <v>827.64825439453125</v>
      </c>
      <c r="Z479" s="26">
        <f t="shared" ref="Z479:Z542" si="770">Y479*DAY($C479)*86400/43560/1000</f>
        <v>50.890107542936462</v>
      </c>
      <c r="AA479" s="26">
        <f t="shared" si="766"/>
        <v>827.64825439453125</v>
      </c>
      <c r="AB479" s="33">
        <f t="shared" si="752"/>
        <v>50.890107542936462</v>
      </c>
    </row>
    <row r="480" spans="1:28" x14ac:dyDescent="0.3">
      <c r="A480" s="32">
        <f>VLOOKUP(YEAR(C480),Flags!$A$13:$B$95,2,FALSE)</f>
        <v>2</v>
      </c>
      <c r="B480" s="24">
        <f t="shared" si="739"/>
        <v>1973</v>
      </c>
      <c r="C480" s="25">
        <v>26998</v>
      </c>
      <c r="D480" s="26"/>
      <c r="E480" s="24"/>
      <c r="F480" s="26"/>
      <c r="G480" s="26"/>
      <c r="H480" s="26"/>
      <c r="I480" s="26"/>
      <c r="J480" s="26"/>
      <c r="K480" s="26"/>
      <c r="L480" s="24"/>
      <c r="M480" s="24"/>
      <c r="N480" s="26"/>
      <c r="O480" s="26"/>
      <c r="P480" s="26"/>
      <c r="Q480" s="26"/>
      <c r="R480" s="26"/>
      <c r="S480" s="26"/>
      <c r="T480" s="26"/>
      <c r="U480" s="26"/>
      <c r="V480" s="26"/>
      <c r="W480" s="26">
        <f>MAX($C$10-VLOOKUP($C480,COS!$B$8:$H$991,3,FALSE),0)</f>
        <v>71353.306640625</v>
      </c>
      <c r="X480" s="26">
        <f t="shared" si="769"/>
        <v>4245.8165934917361</v>
      </c>
      <c r="Y480" s="26">
        <f>VLOOKUP($C480,COS!$B$8:$H$991,4,FALSE)</f>
        <v>0</v>
      </c>
      <c r="Z480" s="26">
        <f t="shared" si="770"/>
        <v>0</v>
      </c>
      <c r="AA480" s="26">
        <f t="shared" si="766"/>
        <v>0</v>
      </c>
      <c r="AB480" s="33">
        <f t="shared" si="752"/>
        <v>0</v>
      </c>
    </row>
    <row r="481" spans="1:28" x14ac:dyDescent="0.3">
      <c r="A481" s="34">
        <f>VLOOKUP(YEAR(C481),Flags!$A$13:$B$95,2,FALSE)</f>
        <v>2</v>
      </c>
      <c r="B481" s="35">
        <f t="shared" si="739"/>
        <v>1973</v>
      </c>
      <c r="C481" s="36">
        <v>27029</v>
      </c>
      <c r="D481" s="37"/>
      <c r="E481" s="35"/>
      <c r="F481" s="37"/>
      <c r="G481" s="37"/>
      <c r="H481" s="37"/>
      <c r="I481" s="37"/>
      <c r="J481" s="37"/>
      <c r="K481" s="37"/>
      <c r="L481" s="35"/>
      <c r="M481" s="35"/>
      <c r="N481" s="37"/>
      <c r="O481" s="37"/>
      <c r="P481" s="37"/>
      <c r="Q481" s="37"/>
      <c r="R481" s="37"/>
      <c r="S481" s="37"/>
      <c r="T481" s="37"/>
      <c r="U481" s="37"/>
      <c r="V481" s="37"/>
      <c r="W481" s="37">
        <f>MAX($C$11-VLOOKUP($C481,COS!$B$8:$H$991,3,FALSE),0)</f>
        <v>0</v>
      </c>
      <c r="X481" s="37">
        <f t="shared" si="769"/>
        <v>0</v>
      </c>
      <c r="Y481" s="37">
        <f>VLOOKUP($C481,COS!$B$8:$H$991,4,FALSE)</f>
        <v>0</v>
      </c>
      <c r="Z481" s="37">
        <f t="shared" si="770"/>
        <v>0</v>
      </c>
      <c r="AA481" s="37">
        <f t="shared" si="766"/>
        <v>0</v>
      </c>
      <c r="AB481" s="38">
        <f t="shared" si="752"/>
        <v>0</v>
      </c>
    </row>
    <row r="482" spans="1:28" x14ac:dyDescent="0.3">
      <c r="A482" s="27">
        <f>VLOOKUP(YEAR(C482),Flags!$A$13:$B$95,2,FALSE)</f>
        <v>1</v>
      </c>
      <c r="B482" s="28">
        <f t="shared" si="739"/>
        <v>1974</v>
      </c>
      <c r="C482" s="29">
        <v>27149</v>
      </c>
      <c r="D482" s="30">
        <f>VLOOKUP($C482,COS!$B$8:$H$991,3,FALSE)</f>
        <v>5857.21484375</v>
      </c>
      <c r="E482" s="28">
        <f>IF(D482&gt;=IF(MONTH($C482)=4,$C$3,IF(MONTH($C482)=5,$C$4,IF(MONTH($C482)=6,$C$5,IF(MONTH($C482)=7,$C$6,"ERROR")))),1,0)</f>
        <v>0</v>
      </c>
      <c r="F482" s="30">
        <f>VLOOKUP($C482,COS!$B$8:$H$991,7,FALSE)</f>
        <v>48.415458679199219</v>
      </c>
      <c r="G482" s="28">
        <f>IF(F482&lt;=IF(MONTH($C482)=4,$F$3,IF(MONTH($C482)=5,$F$4,IF(MONTH($C482)=6,$F$5,IF(MONTH($C482)=7,$F$6,"ERROR")))),1,0)</f>
        <v>1</v>
      </c>
      <c r="H482" s="30">
        <f>IF(J482=1,D482-$C$3,0)</f>
        <v>0</v>
      </c>
      <c r="I482" s="30">
        <f t="shared" si="764"/>
        <v>0</v>
      </c>
      <c r="J482" s="28">
        <f t="shared" ref="J482:J485" si="771">IF(AND(E482=1,G482=1),1,0)</f>
        <v>0</v>
      </c>
      <c r="K482" s="30">
        <f>VLOOKUP($C482,COS!$B$8:$H$991,2,FALSE)</f>
        <v>4289</v>
      </c>
      <c r="L482" s="28">
        <f t="shared" ref="L482" si="772">IF(K482&lt;=IF(MONTH($C482)=4,$I$3,IF(MONTH($C482)=5,$I$4,IF(MONTH($C482)=6,$I$5,IF(MONTH($C482)=7,$I$6,"ERROR")))),1,0)</f>
        <v>1</v>
      </c>
      <c r="M482" s="28">
        <f t="shared" ref="M482" si="773">VLOOKUP($A482,$L$3:$M$7,2,FALSE)</f>
        <v>0</v>
      </c>
      <c r="N482" s="30">
        <f>VLOOKUP($C482,COS!$B$8:$H$991,5,FALSE)</f>
        <v>44.716442108154297</v>
      </c>
      <c r="O482" s="30">
        <f t="shared" ref="O482:O485" si="774">N482*DAY($C482)*86400/43560/1000</f>
        <v>2.6608130841215778</v>
      </c>
      <c r="P482" s="30">
        <f>VLOOKUP($C482,COS!$B$8:$H$991,6,FALSE)</f>
        <v>403.17050170898438</v>
      </c>
      <c r="Q482" s="30">
        <f t="shared" ref="Q482:Q485" si="775">P482*DAY($C482)*86400/43560/1000</f>
        <v>23.990310845493283</v>
      </c>
      <c r="R482" s="30">
        <f>MIN(IF(MONTH($C482)=4,$S$3,IF(MONTH($C482)=5,$S$4,IF(MONTH($C482)=6,$S$5,IF(MONTH($C482)=7,$S$6,"ERROR")))),MAX(VLOOKUP($C482,COS!$B$8:$K$991,10,FALSE)-IF(MONTH($C482)=4,$Y$3,IF(MONTH($C482)=5,$Y$4,IF(MONTH($C482)=6,$Y$5,IF(MONTH($C482)=7,$Y$6,"ERROR")))),0),MAX(VLOOKUP($C482,COS!$B$8:$K$991,9,FALSE)-IF(MONTH($C482)=4,$V$3,IF(MONTH($C482)=5,$V$4,IF(MONTH($C482)=6,$V$5,IF(MONTH($C482)=7,$V$6,"ERROR"))))-VLOOKUP($C482,COS!$B$8:$K$991,6,FALSE)/2,0))</f>
        <v>1500</v>
      </c>
      <c r="S482" s="30">
        <f t="shared" ref="S482:S485" si="776">R482*DAY($C482)*86400/43560/1000</f>
        <v>89.256198347107429</v>
      </c>
      <c r="T482" s="30">
        <f t="shared" ref="T482:T485" si="777">(O482+Q482)/2+S482</f>
        <v>102.58176031191486</v>
      </c>
      <c r="U482" s="30" t="str">
        <f>IF(VLOOKUP($C482,COS!$B$8:$I$991,8,FALSE)=1,"UWFE","IBU")</f>
        <v>UWFE</v>
      </c>
      <c r="V482" s="30">
        <f t="shared" ref="V482" si="778">MIN(IF(IF($AA$3=2,AND(E482=1,G482=1,L482=1,L487=1,M482=1,U482="IBU"),AND(E482=1,G482=1,L482=1,L487=1,M482=1)),T482,0),I482)</f>
        <v>0</v>
      </c>
      <c r="W482" s="30"/>
      <c r="X482" s="30"/>
      <c r="Y482" s="30"/>
      <c r="Z482" s="30"/>
      <c r="AA482" s="30"/>
      <c r="AB482" s="31"/>
    </row>
    <row r="483" spans="1:28" x14ac:dyDescent="0.3">
      <c r="A483" s="32">
        <f>VLOOKUP(YEAR(C483),Flags!$A$13:$B$95,2,FALSE)</f>
        <v>1</v>
      </c>
      <c r="B483" s="24">
        <f t="shared" si="739"/>
        <v>1974</v>
      </c>
      <c r="C483" s="25">
        <v>27180</v>
      </c>
      <c r="D483" s="26">
        <f>VLOOKUP($C483,COS!$B$8:$H$991,3,FALSE)</f>
        <v>5594.63427734375</v>
      </c>
      <c r="E483" s="24">
        <f>IF(D483&gt;=IF(MONTH($C483)=4,$C$3,IF(MONTH($C483)=5,$C$4,IF(MONTH($C483)=6,$C$5,IF(MONTH($C483)=7,$C$6,"ERROR")))),1,0)</f>
        <v>0</v>
      </c>
      <c r="F483" s="26">
        <f>VLOOKUP($C483,COS!$B$8:$H$991,7,FALSE)</f>
        <v>50.93426513671875</v>
      </c>
      <c r="G483" s="24">
        <f>IF(F483&lt;=IF(MONTH($C483)=4,$F$3,IF(MONTH($C483)=5,$F$4,IF(MONTH($C483)=6,$F$5,IF(MONTH($C483)=7,$F$6,"ERROR")))),1,0)</f>
        <v>1</v>
      </c>
      <c r="H483" s="26">
        <f>IF(J483=1,D483-$C$4,0)</f>
        <v>0</v>
      </c>
      <c r="I483" s="26">
        <f t="shared" si="764"/>
        <v>0</v>
      </c>
      <c r="J483" s="24">
        <f t="shared" si="771"/>
        <v>0</v>
      </c>
      <c r="K483" s="26">
        <f>VLOOKUP($C483,COS!$B$8:$H$991,2,FALSE)</f>
        <v>4515.02880859375</v>
      </c>
      <c r="L483" s="24">
        <f t="shared" si="741"/>
        <v>1</v>
      </c>
      <c r="M483" s="24">
        <f t="shared" si="742"/>
        <v>0</v>
      </c>
      <c r="N483" s="26">
        <f>VLOOKUP($C483,COS!$B$8:$H$991,5,FALSE)</f>
        <v>762.792724609375</v>
      </c>
      <c r="O483" s="26">
        <f t="shared" si="774"/>
        <v>46.902296455320247</v>
      </c>
      <c r="P483" s="26">
        <f>VLOOKUP($C483,COS!$B$8:$H$991,6,FALSE)</f>
        <v>2255.40283203125</v>
      </c>
      <c r="Q483" s="26">
        <f t="shared" si="775"/>
        <v>138.67931463068183</v>
      </c>
      <c r="R483" s="26">
        <f>MIN(IF(MONTH($C483)=4,$S$3,IF(MONTH($C483)=5,$S$4,IF(MONTH($C483)=6,$S$5,IF(MONTH($C483)=7,$S$6,"ERROR")))),MAX(VLOOKUP($C483,COS!$B$8:$K$991,10,FALSE)-IF(MONTH($C483)=4,$Y$3,IF(MONTH($C483)=5,$Y$4,IF(MONTH($C483)=6,$Y$5,IF(MONTH($C483)=7,$Y$6,"ERROR")))),0),MAX(VLOOKUP($C483,COS!$B$8:$K$991,9,FALSE)-IF(MONTH($C483)=4,$V$3,IF(MONTH($C483)=5,$V$4,IF(MONTH($C483)=6,$V$5,IF(MONTH($C483)=7,$V$6,"ERROR"))))-VLOOKUP($C483,COS!$B$8:$K$991,6,FALSE)/2,0))</f>
        <v>1500</v>
      </c>
      <c r="S483" s="26">
        <f t="shared" si="776"/>
        <v>92.231404958677686</v>
      </c>
      <c r="T483" s="26">
        <f t="shared" si="777"/>
        <v>185.02221050167873</v>
      </c>
      <c r="U483" s="26" t="str">
        <f>IF(VLOOKUP($C483,COS!$B$8:$I$991,8,FALSE)=1,"UWFE","IBU")</f>
        <v>UWFE</v>
      </c>
      <c r="V483" s="26">
        <f t="shared" ref="V483" si="779">MIN(IF(IF($AA$3=2,AND(E483=1,G483=1,L483=1,L487=1,M483=1,U483="IBU"),AND(E483=1,G483=1,L483=1,L487=1,M483=1)),T483,0),I483)</f>
        <v>0</v>
      </c>
      <c r="W483" s="26"/>
      <c r="X483" s="26"/>
      <c r="Y483" s="26"/>
      <c r="Z483" s="26"/>
      <c r="AA483" s="26"/>
      <c r="AB483" s="33"/>
    </row>
    <row r="484" spans="1:28" x14ac:dyDescent="0.3">
      <c r="A484" s="32">
        <f>VLOOKUP(YEAR(C484),Flags!$A$13:$B$95,2,FALSE)</f>
        <v>1</v>
      </c>
      <c r="B484" s="24">
        <f t="shared" si="739"/>
        <v>1974</v>
      </c>
      <c r="C484" s="25">
        <v>27210</v>
      </c>
      <c r="D484" s="26">
        <f>VLOOKUP($C484,COS!$B$8:$H$991,3,FALSE)</f>
        <v>8124.50732421875</v>
      </c>
      <c r="E484" s="24">
        <f>IF(D484&gt;=IF(MONTH($C484)=4,$C$3,IF(MONTH($C484)=5,$C$4,IF(MONTH($C484)=6,$C$5,IF(MONTH($C484)=7,$C$6,"ERROR")))),1,0)</f>
        <v>0</v>
      </c>
      <c r="F484" s="26">
        <f>VLOOKUP($C484,COS!$B$8:$H$991,7,FALSE)</f>
        <v>51.255088806152344</v>
      </c>
      <c r="G484" s="24">
        <f>IF(F484&lt;=IF(MONTH($C484)=4,$F$3,IF(MONTH($C484)=5,$F$4,IF(MONTH($C484)=6,$F$5,IF(MONTH($C484)=7,$F$6,"ERROR")))),1,0)</f>
        <v>1</v>
      </c>
      <c r="H484" s="26">
        <f>IF(J484=1,D484-$C$5,0)</f>
        <v>0</v>
      </c>
      <c r="I484" s="26">
        <f t="shared" si="764"/>
        <v>0</v>
      </c>
      <c r="J484" s="24">
        <f t="shared" si="771"/>
        <v>0</v>
      </c>
      <c r="K484" s="26">
        <f>VLOOKUP($C484,COS!$B$8:$H$991,2,FALSE)</f>
        <v>4359.88232421875</v>
      </c>
      <c r="L484" s="24">
        <f t="shared" si="741"/>
        <v>1</v>
      </c>
      <c r="M484" s="24">
        <f t="shared" si="742"/>
        <v>0</v>
      </c>
      <c r="N484" s="26">
        <f>VLOOKUP($C484,COS!$B$8:$H$991,5,FALSE)</f>
        <v>1221.2120361328125</v>
      </c>
      <c r="O484" s="26">
        <f t="shared" si="774"/>
        <v>72.667162480630168</v>
      </c>
      <c r="P484" s="26">
        <f>VLOOKUP($C484,COS!$B$8:$H$991,6,FALSE)</f>
        <v>2328.534912109375</v>
      </c>
      <c r="Q484" s="26">
        <f t="shared" si="775"/>
        <v>138.55744931559917</v>
      </c>
      <c r="R484" s="26">
        <f>MIN(IF(MONTH($C484)=4,$S$3,IF(MONTH($C484)=5,$S$4,IF(MONTH($C484)=6,$S$5,IF(MONTH($C484)=7,$S$6,"ERROR")))),MAX(VLOOKUP($C484,COS!$B$8:$K$991,10,FALSE)-IF(MONTH($C484)=4,$Y$3,IF(MONTH($C484)=5,$Y$4,IF(MONTH($C484)=6,$Y$5,IF(MONTH($C484)=7,$Y$6,"ERROR")))),0),MAX(VLOOKUP($C484,COS!$B$8:$K$991,9,FALSE)-IF(MONTH($C484)=4,$V$3,IF(MONTH($C484)=5,$V$4,IF(MONTH($C484)=6,$V$5,IF(MONTH($C484)=7,$V$6,"ERROR"))))-VLOOKUP($C484,COS!$B$8:$K$991,6,FALSE)/2,0))</f>
        <v>1500</v>
      </c>
      <c r="S484" s="26">
        <f t="shared" si="776"/>
        <v>89.256198347107429</v>
      </c>
      <c r="T484" s="26">
        <f t="shared" si="777"/>
        <v>194.86850424522208</v>
      </c>
      <c r="U484" s="26" t="str">
        <f>IF(VLOOKUP($C484,COS!$B$8:$I$991,8,FALSE)=1,"UWFE","IBU")</f>
        <v>UWFE</v>
      </c>
      <c r="V484" s="26">
        <f t="shared" ref="V484" si="780">MIN(IF(IF($AA$3=2,AND(E484=1,G484=1,L484=1,L487=1,M484=1,U484="IBU"),AND(E484=1,G484=1,L484=1,L487=1,M484=1)),T484,0),I484)</f>
        <v>0</v>
      </c>
      <c r="W484" s="26"/>
      <c r="X484" s="26"/>
      <c r="Y484" s="26"/>
      <c r="Z484" s="26"/>
      <c r="AA484" s="26"/>
      <c r="AB484" s="33"/>
    </row>
    <row r="485" spans="1:28" x14ac:dyDescent="0.3">
      <c r="A485" s="32">
        <f>VLOOKUP(YEAR(C485),Flags!$A$13:$B$95,2,FALSE)</f>
        <v>1</v>
      </c>
      <c r="B485" s="24">
        <f t="shared" si="739"/>
        <v>1974</v>
      </c>
      <c r="C485" s="25">
        <v>27241</v>
      </c>
      <c r="D485" s="26">
        <f>VLOOKUP($C485,COS!$B$8:$H$991,3,FALSE)</f>
        <v>12602.3798828125</v>
      </c>
      <c r="E485" s="24">
        <f>IF(D485&gt;=IF(MONTH($C485)=4,$C$3,IF(MONTH($C485)=5,$C$4,IF(MONTH($C485)=6,$C$5,IF(MONTH($C485)=7,$C$6,"ERROR")))),1,0)</f>
        <v>1</v>
      </c>
      <c r="F485" s="26">
        <f>VLOOKUP($C485,COS!$B$8:$H$991,7,FALSE)</f>
        <v>51.680782318115234</v>
      </c>
      <c r="G485" s="24">
        <f>IF(F485&lt;=IF(MONTH($C485)=4,$F$3,IF(MONTH($C485)=5,$F$4,IF(MONTH($C485)=6,$F$5,IF(MONTH($C485)=7,$F$6,"ERROR")))),1,0)</f>
        <v>1</v>
      </c>
      <c r="H485" s="26">
        <f>IF(J485=1,D485-$C$6,0)</f>
        <v>602.3798828125</v>
      </c>
      <c r="I485" s="26">
        <f t="shared" si="764"/>
        <v>37.038895273760332</v>
      </c>
      <c r="J485" s="24">
        <f t="shared" si="771"/>
        <v>1</v>
      </c>
      <c r="K485" s="26">
        <f>VLOOKUP($C485,COS!$B$8:$H$991,2,FALSE)</f>
        <v>3927.6494140625</v>
      </c>
      <c r="L485" s="24">
        <f t="shared" si="741"/>
        <v>1</v>
      </c>
      <c r="M485" s="24">
        <f t="shared" si="742"/>
        <v>0</v>
      </c>
      <c r="N485" s="26">
        <f>VLOOKUP($C485,COS!$B$8:$H$991,5,FALSE)</f>
        <v>1157.809326171875</v>
      </c>
      <c r="O485" s="26">
        <f t="shared" si="774"/>
        <v>71.190920551394626</v>
      </c>
      <c r="P485" s="26">
        <f>VLOOKUP($C485,COS!$B$8:$H$991,6,FALSE)</f>
        <v>2265.91064453125</v>
      </c>
      <c r="Q485" s="26">
        <f t="shared" si="775"/>
        <v>139.32541483729338</v>
      </c>
      <c r="R485" s="26">
        <f>MIN(IF(MONTH($C485)=4,$S$3,IF(MONTH($C485)=5,$S$4,IF(MONTH($C485)=6,$S$5,IF(MONTH($C485)=7,$S$6,"ERROR")))),MAX(VLOOKUP($C485,COS!$B$8:$K$991,10,FALSE)-IF(MONTH($C485)=4,$Y$3,IF(MONTH($C485)=5,$Y$4,IF(MONTH($C485)=6,$Y$5,IF(MONTH($C485)=7,$Y$6,"ERROR")))),0),MAX(VLOOKUP($C485,COS!$B$8:$K$991,9,FALSE)-IF(MONTH($C485)=4,$V$3,IF(MONTH($C485)=5,$V$4,IF(MONTH($C485)=6,$V$5,IF(MONTH($C485)=7,$V$6,"ERROR"))))-VLOOKUP($C485,COS!$B$8:$K$991,6,FALSE)/2,0))</f>
        <v>1500</v>
      </c>
      <c r="S485" s="26">
        <f t="shared" si="776"/>
        <v>92.231404958677686</v>
      </c>
      <c r="T485" s="26">
        <f t="shared" si="777"/>
        <v>197.4895726530217</v>
      </c>
      <c r="U485" s="26" t="str">
        <f>IF(VLOOKUP($C485,COS!$B$8:$I$991,8,FALSE)=1,"UWFE","IBU")</f>
        <v>IBU</v>
      </c>
      <c r="V485" s="26">
        <f t="shared" ref="V485" si="781">MIN(IF(IF($AA$3=2,AND(E485=1,G485=1,L485=1,L487=1,M485=1,U485="IBU"),AND(E485=1,G485=1,L485=1,L487=1,M485=1)),T485,0),I485)</f>
        <v>0</v>
      </c>
      <c r="W485" s="26"/>
      <c r="X485" s="26"/>
      <c r="Y485" s="26"/>
      <c r="Z485" s="26"/>
      <c r="AA485" s="26"/>
      <c r="AB485" s="33"/>
    </row>
    <row r="486" spans="1:28" x14ac:dyDescent="0.3">
      <c r="A486" s="32">
        <f>VLOOKUP(YEAR(C486),Flags!$A$13:$B$95,2,FALSE)</f>
        <v>1</v>
      </c>
      <c r="B486" s="24">
        <f t="shared" si="739"/>
        <v>1974</v>
      </c>
      <c r="C486" s="25">
        <v>27272</v>
      </c>
      <c r="D486" s="26"/>
      <c r="E486" s="24"/>
      <c r="F486" s="26"/>
      <c r="G486" s="24"/>
      <c r="H486" s="24"/>
      <c r="I486" s="26"/>
      <c r="J486" s="24"/>
      <c r="K486" s="26"/>
      <c r="L486" s="24"/>
      <c r="M486" s="24"/>
      <c r="N486" s="26"/>
      <c r="O486" s="26"/>
      <c r="P486" s="26"/>
      <c r="Q486" s="26"/>
      <c r="R486" s="26"/>
      <c r="S486" s="26"/>
      <c r="T486" s="26"/>
      <c r="U486" s="26"/>
      <c r="V486" s="26"/>
      <c r="W486" s="26">
        <f>MAX($C$7-VLOOKUP($C486,COS!$B$8:$H$991,3,FALSE),0)</f>
        <v>90403.6591796875</v>
      </c>
      <c r="X486" s="26">
        <f t="shared" si="769"/>
        <v>5558.7043330320248</v>
      </c>
      <c r="Y486" s="26">
        <f>VLOOKUP($C486,COS!$B$8:$H$991,4,FALSE)</f>
        <v>0</v>
      </c>
      <c r="Z486" s="26">
        <f t="shared" si="770"/>
        <v>0</v>
      </c>
      <c r="AA486" s="26">
        <f t="shared" ref="AA486:AA490" si="782">MIN(W486,Y486)</f>
        <v>0</v>
      </c>
      <c r="AB486" s="33">
        <f t="shared" ref="AB486" si="783">AA486*DAY($C486)*86400/43560/1000*IF(MONTH($C486)=8,$P$3,IF(MONTH($C486)=9,$P$4,IF(MONTH($C486)=10,$P$5,IF(MONTH($C486)=11,$P$6,IF(MONTH($C486)=12,$P$7,NA())))))</f>
        <v>0</v>
      </c>
    </row>
    <row r="487" spans="1:28" x14ac:dyDescent="0.3">
      <c r="A487" s="32">
        <f>VLOOKUP(YEAR(C487),Flags!$A$13:$B$95,2,FALSE)</f>
        <v>1</v>
      </c>
      <c r="B487" s="24">
        <f t="shared" si="739"/>
        <v>1974</v>
      </c>
      <c r="C487" s="25">
        <v>27302</v>
      </c>
      <c r="D487" s="26"/>
      <c r="E487" s="24"/>
      <c r="F487" s="26"/>
      <c r="G487" s="24"/>
      <c r="H487" s="24"/>
      <c r="I487" s="26"/>
      <c r="J487" s="24"/>
      <c r="K487" s="26">
        <f>VLOOKUP($C487,COS!$B$8:$H$991,2,FALSE)</f>
        <v>3201.753173828125</v>
      </c>
      <c r="L487" s="24">
        <f t="shared" ref="L487" si="784">IF(AND(K487&gt;$I$7,K487&lt;$I$8),1,0)</f>
        <v>1</v>
      </c>
      <c r="M487" s="24"/>
      <c r="N487" s="26"/>
      <c r="O487" s="26"/>
      <c r="P487" s="26"/>
      <c r="Q487" s="26"/>
      <c r="R487" s="26"/>
      <c r="S487" s="26"/>
      <c r="T487" s="26"/>
      <c r="U487" s="26"/>
      <c r="V487" s="26"/>
      <c r="W487" s="26">
        <f>MAX($C$8-VLOOKUP($C487,COS!$B$8:$H$991,3,FALSE),0)</f>
        <v>86925.96875</v>
      </c>
      <c r="X487" s="26">
        <f t="shared" si="769"/>
        <v>5172.4543388429747</v>
      </c>
      <c r="Y487" s="26">
        <f>VLOOKUP($C487,COS!$B$8:$H$991,4,FALSE)</f>
        <v>0</v>
      </c>
      <c r="Z487" s="26">
        <f t="shared" si="770"/>
        <v>0</v>
      </c>
      <c r="AA487" s="26">
        <f t="shared" si="782"/>
        <v>0</v>
      </c>
      <c r="AB487" s="33">
        <f t="shared" si="752"/>
        <v>0</v>
      </c>
    </row>
    <row r="488" spans="1:28" x14ac:dyDescent="0.3">
      <c r="A488" s="32">
        <f>VLOOKUP(YEAR(C488),Flags!$A$13:$B$95,2,FALSE)</f>
        <v>1</v>
      </c>
      <c r="B488" s="24">
        <f t="shared" si="739"/>
        <v>1974</v>
      </c>
      <c r="C488" s="25">
        <v>27333</v>
      </c>
      <c r="D488" s="26"/>
      <c r="E488" s="24"/>
      <c r="F488" s="26"/>
      <c r="G488" s="26"/>
      <c r="H488" s="26"/>
      <c r="I488" s="26"/>
      <c r="J488" s="26"/>
      <c r="K488" s="26"/>
      <c r="L488" s="24"/>
      <c r="M488" s="24"/>
      <c r="N488" s="26"/>
      <c r="O488" s="26"/>
      <c r="P488" s="26"/>
      <c r="Q488" s="26"/>
      <c r="R488" s="26"/>
      <c r="S488" s="26"/>
      <c r="T488" s="26"/>
      <c r="U488" s="26"/>
      <c r="V488" s="26"/>
      <c r="W488" s="26">
        <f>MAX($C$9-VLOOKUP($C488,COS!$B$8:$H$991,3,FALSE),0)</f>
        <v>91203.32421875</v>
      </c>
      <c r="X488" s="26">
        <f t="shared" si="769"/>
        <v>5607.8738197314051</v>
      </c>
      <c r="Y488" s="26">
        <f>VLOOKUP($C488,COS!$B$8:$H$991,4,FALSE)</f>
        <v>1233.3179931640625</v>
      </c>
      <c r="Z488" s="26">
        <f t="shared" si="770"/>
        <v>75.833767513558882</v>
      </c>
      <c r="AA488" s="26">
        <f t="shared" si="782"/>
        <v>1233.3179931640625</v>
      </c>
      <c r="AB488" s="33">
        <f t="shared" si="752"/>
        <v>75.833767513558882</v>
      </c>
    </row>
    <row r="489" spans="1:28" x14ac:dyDescent="0.3">
      <c r="A489" s="32">
        <f>VLOOKUP(YEAR(C489),Flags!$A$13:$B$95,2,FALSE)</f>
        <v>1</v>
      </c>
      <c r="B489" s="24">
        <f t="shared" si="739"/>
        <v>1974</v>
      </c>
      <c r="C489" s="25">
        <v>27363</v>
      </c>
      <c r="D489" s="26"/>
      <c r="E489" s="24"/>
      <c r="F489" s="26"/>
      <c r="G489" s="26"/>
      <c r="H489" s="26"/>
      <c r="I489" s="26"/>
      <c r="J489" s="26"/>
      <c r="K489" s="26"/>
      <c r="L489" s="24"/>
      <c r="M489" s="24"/>
      <c r="N489" s="26"/>
      <c r="O489" s="26"/>
      <c r="P489" s="26"/>
      <c r="Q489" s="26"/>
      <c r="R489" s="26"/>
      <c r="S489" s="26"/>
      <c r="T489" s="26"/>
      <c r="U489" s="26"/>
      <c r="V489" s="26"/>
      <c r="W489" s="26">
        <f>MAX($C$10-VLOOKUP($C489,COS!$B$8:$H$991,3,FALSE),0)</f>
        <v>87555.9794921875</v>
      </c>
      <c r="X489" s="26">
        <f t="shared" si="769"/>
        <v>5209.9425813533062</v>
      </c>
      <c r="Y489" s="26">
        <f>VLOOKUP($C489,COS!$B$8:$H$991,4,FALSE)</f>
        <v>1391.8277587890625</v>
      </c>
      <c r="Z489" s="26">
        <f t="shared" si="770"/>
        <v>82.819503002324367</v>
      </c>
      <c r="AA489" s="26">
        <f t="shared" si="782"/>
        <v>1391.8277587890625</v>
      </c>
      <c r="AB489" s="33">
        <f t="shared" si="752"/>
        <v>41.409751501162184</v>
      </c>
    </row>
    <row r="490" spans="1:28" x14ac:dyDescent="0.3">
      <c r="A490" s="34">
        <f>VLOOKUP(YEAR(C490),Flags!$A$13:$B$95,2,FALSE)</f>
        <v>1</v>
      </c>
      <c r="B490" s="35">
        <f t="shared" si="739"/>
        <v>1974</v>
      </c>
      <c r="C490" s="36">
        <v>27394</v>
      </c>
      <c r="D490" s="37"/>
      <c r="E490" s="35"/>
      <c r="F490" s="37"/>
      <c r="G490" s="37"/>
      <c r="H490" s="37"/>
      <c r="I490" s="37"/>
      <c r="J490" s="37"/>
      <c r="K490" s="37"/>
      <c r="L490" s="35"/>
      <c r="M490" s="35"/>
      <c r="N490" s="37"/>
      <c r="O490" s="37"/>
      <c r="P490" s="37"/>
      <c r="Q490" s="37"/>
      <c r="R490" s="37"/>
      <c r="S490" s="37"/>
      <c r="T490" s="37"/>
      <c r="U490" s="37"/>
      <c r="V490" s="37"/>
      <c r="W490" s="37">
        <f>MAX($C$11-VLOOKUP($C490,COS!$B$8:$H$991,3,FALSE),0)</f>
        <v>0</v>
      </c>
      <c r="X490" s="37">
        <f t="shared" si="769"/>
        <v>0</v>
      </c>
      <c r="Y490" s="37">
        <f>VLOOKUP($C490,COS!$B$8:$H$991,4,FALSE)</f>
        <v>0</v>
      </c>
      <c r="Z490" s="37">
        <f t="shared" si="770"/>
        <v>0</v>
      </c>
      <c r="AA490" s="37">
        <f t="shared" si="782"/>
        <v>0</v>
      </c>
      <c r="AB490" s="38">
        <f t="shared" si="752"/>
        <v>0</v>
      </c>
    </row>
    <row r="491" spans="1:28" x14ac:dyDescent="0.3">
      <c r="A491" s="27">
        <f>VLOOKUP(YEAR(C491),Flags!$A$13:$B$95,2,FALSE)</f>
        <v>1</v>
      </c>
      <c r="B491" s="28">
        <f t="shared" si="739"/>
        <v>1975</v>
      </c>
      <c r="C491" s="29">
        <v>27514</v>
      </c>
      <c r="D491" s="30">
        <f>VLOOKUP($C491,COS!$B$8:$H$991,3,FALSE)</f>
        <v>3250</v>
      </c>
      <c r="E491" s="28">
        <f>IF(D491&gt;=IF(MONTH($C491)=4,$C$3,IF(MONTH($C491)=5,$C$4,IF(MONTH($C491)=6,$C$5,IF(MONTH($C491)=7,$C$6,"ERROR")))),1,0)</f>
        <v>0</v>
      </c>
      <c r="F491" s="30">
        <f>VLOOKUP($C491,COS!$B$8:$H$991,7,FALSE)</f>
        <v>50.470378875732422</v>
      </c>
      <c r="G491" s="28">
        <f>IF(F491&lt;=IF(MONTH($C491)=4,$F$3,IF(MONTH($C491)=5,$F$4,IF(MONTH($C491)=6,$F$5,IF(MONTH($C491)=7,$F$6,"ERROR")))),1,0)</f>
        <v>1</v>
      </c>
      <c r="H491" s="30">
        <f>IF(J491=1,D491-$C$3,0)</f>
        <v>0</v>
      </c>
      <c r="I491" s="30">
        <f t="shared" si="764"/>
        <v>0</v>
      </c>
      <c r="J491" s="28">
        <f t="shared" ref="J491:J494" si="785">IF(AND(E491=1,G491=1),1,0)</f>
        <v>0</v>
      </c>
      <c r="K491" s="30">
        <f>VLOOKUP($C491,COS!$B$8:$H$991,2,FALSE)</f>
        <v>4449.69873046875</v>
      </c>
      <c r="L491" s="28">
        <f t="shared" ref="L491" si="786">IF(K491&lt;=IF(MONTH($C491)=4,$I$3,IF(MONTH($C491)=5,$I$4,IF(MONTH($C491)=6,$I$5,IF(MONTH($C491)=7,$I$6,"ERROR")))),1,0)</f>
        <v>1</v>
      </c>
      <c r="M491" s="28">
        <f t="shared" ref="M491" si="787">VLOOKUP($A491,$L$3:$M$7,2,FALSE)</f>
        <v>0</v>
      </c>
      <c r="N491" s="30">
        <f>VLOOKUP($C491,COS!$B$8:$H$991,5,FALSE)</f>
        <v>348.71612548828125</v>
      </c>
      <c r="O491" s="30">
        <f t="shared" ref="O491:O494" si="788">N491*DAY($C491)*86400/43560/1000</f>
        <v>20.750050442277892</v>
      </c>
      <c r="P491" s="30">
        <f>VLOOKUP($C491,COS!$B$8:$H$991,6,FALSE)</f>
        <v>422.25656127929688</v>
      </c>
      <c r="Q491" s="30">
        <f t="shared" ref="Q491:Q494" si="789">P491*DAY($C491)*86400/43560/1000</f>
        <v>25.12601025794163</v>
      </c>
      <c r="R491" s="30">
        <f>MIN(IF(MONTH($C491)=4,$S$3,IF(MONTH($C491)=5,$S$4,IF(MONTH($C491)=6,$S$5,IF(MONTH($C491)=7,$S$6,"ERROR")))),MAX(VLOOKUP($C491,COS!$B$8:$K$991,10,FALSE)-IF(MONTH($C491)=4,$Y$3,IF(MONTH($C491)=5,$Y$4,IF(MONTH($C491)=6,$Y$5,IF(MONTH($C491)=7,$Y$6,"ERROR")))),0),MAX(VLOOKUP($C491,COS!$B$8:$K$991,9,FALSE)-IF(MONTH($C491)=4,$V$3,IF(MONTH($C491)=5,$V$4,IF(MONTH($C491)=6,$V$5,IF(MONTH($C491)=7,$V$6,"ERROR"))))-VLOOKUP($C491,COS!$B$8:$K$991,6,FALSE)/2,0))</f>
        <v>1500</v>
      </c>
      <c r="S491" s="30">
        <f t="shared" ref="S491:S494" si="790">R491*DAY($C491)*86400/43560/1000</f>
        <v>89.256198347107429</v>
      </c>
      <c r="T491" s="30">
        <f t="shared" ref="T491:T494" si="791">(O491+Q491)/2+S491</f>
        <v>112.1942286972172</v>
      </c>
      <c r="U491" s="30" t="str">
        <f>IF(VLOOKUP($C491,COS!$B$8:$I$991,8,FALSE)=1,"UWFE","IBU")</f>
        <v>UWFE</v>
      </c>
      <c r="V491" s="30">
        <f t="shared" ref="V491" si="792">MIN(IF(IF($AA$3=2,AND(E491=1,G491=1,L491=1,L496=1,M491=1,U491="IBU"),AND(E491=1,G491=1,L491=1,L496=1,M491=1)),T491,0),I491)</f>
        <v>0</v>
      </c>
      <c r="W491" s="30"/>
      <c r="X491" s="30"/>
      <c r="Y491" s="30"/>
      <c r="Z491" s="30"/>
      <c r="AA491" s="30"/>
      <c r="AB491" s="31"/>
    </row>
    <row r="492" spans="1:28" x14ac:dyDescent="0.3">
      <c r="A492" s="32">
        <f>VLOOKUP(YEAR(C492),Flags!$A$13:$B$95,2,FALSE)</f>
        <v>1</v>
      </c>
      <c r="B492" s="24">
        <f t="shared" si="739"/>
        <v>1975</v>
      </c>
      <c r="C492" s="25">
        <v>27545</v>
      </c>
      <c r="D492" s="26">
        <f>VLOOKUP($C492,COS!$B$8:$H$991,3,FALSE)</f>
        <v>9954.1455078125</v>
      </c>
      <c r="E492" s="24">
        <f>IF(D492&gt;=IF(MONTH($C492)=4,$C$3,IF(MONTH($C492)=5,$C$4,IF(MONTH($C492)=6,$C$5,IF(MONTH($C492)=7,$C$6,"ERROR")))),1,0)</f>
        <v>1</v>
      </c>
      <c r="F492" s="26">
        <f>VLOOKUP($C492,COS!$B$8:$H$991,7,FALSE)</f>
        <v>50.279342651367188</v>
      </c>
      <c r="G492" s="24">
        <f>IF(F492&lt;=IF(MONTH($C492)=4,$F$3,IF(MONTH($C492)=5,$F$4,IF(MONTH($C492)=6,$F$5,IF(MONTH($C492)=7,$F$6,"ERROR")))),1,0)</f>
        <v>1</v>
      </c>
      <c r="H492" s="26">
        <f>IF(J492=1,D492-$C$4,0)</f>
        <v>3954.1455078125</v>
      </c>
      <c r="I492" s="26">
        <f t="shared" si="764"/>
        <v>243.13093039772727</v>
      </c>
      <c r="J492" s="24">
        <f t="shared" si="785"/>
        <v>1</v>
      </c>
      <c r="K492" s="26">
        <f>VLOOKUP($C492,COS!$B$8:$H$991,2,FALSE)</f>
        <v>4552</v>
      </c>
      <c r="L492" s="24">
        <f t="shared" si="741"/>
        <v>1</v>
      </c>
      <c r="M492" s="24">
        <f t="shared" si="742"/>
        <v>0</v>
      </c>
      <c r="N492" s="26">
        <f>VLOOKUP($C492,COS!$B$8:$H$991,5,FALSE)</f>
        <v>880.44073486328125</v>
      </c>
      <c r="O492" s="26">
        <f t="shared" si="788"/>
        <v>54.136190639527378</v>
      </c>
      <c r="P492" s="26">
        <f>VLOOKUP($C492,COS!$B$8:$H$991,6,FALSE)</f>
        <v>2314.501708984375</v>
      </c>
      <c r="Q492" s="26">
        <f t="shared" si="789"/>
        <v>142.31316293259297</v>
      </c>
      <c r="R492" s="26">
        <f>MIN(IF(MONTH($C492)=4,$S$3,IF(MONTH($C492)=5,$S$4,IF(MONTH($C492)=6,$S$5,IF(MONTH($C492)=7,$S$6,"ERROR")))),MAX(VLOOKUP($C492,COS!$B$8:$K$991,10,FALSE)-IF(MONTH($C492)=4,$Y$3,IF(MONTH($C492)=5,$Y$4,IF(MONTH($C492)=6,$Y$5,IF(MONTH($C492)=7,$Y$6,"ERROR")))),0),MAX(VLOOKUP($C492,COS!$B$8:$K$991,9,FALSE)-IF(MONTH($C492)=4,$V$3,IF(MONTH($C492)=5,$V$4,IF(MONTH($C492)=6,$V$5,IF(MONTH($C492)=7,$V$6,"ERROR"))))-VLOOKUP($C492,COS!$B$8:$K$991,6,FALSE)/2,0))</f>
        <v>1500</v>
      </c>
      <c r="S492" s="26">
        <f t="shared" si="790"/>
        <v>92.231404958677686</v>
      </c>
      <c r="T492" s="26">
        <f t="shared" si="791"/>
        <v>190.45608174473784</v>
      </c>
      <c r="U492" s="26" t="str">
        <f>IF(VLOOKUP($C492,COS!$B$8:$I$991,8,FALSE)=1,"UWFE","IBU")</f>
        <v>UWFE</v>
      </c>
      <c r="V492" s="26">
        <f t="shared" ref="V492" si="793">MIN(IF(IF($AA$3=2,AND(E492=1,G492=1,L492=1,L496=1,M492=1,U492="IBU"),AND(E492=1,G492=1,L492=1,L496=1,M492=1)),T492,0),I492)</f>
        <v>0</v>
      </c>
      <c r="W492" s="26"/>
      <c r="X492" s="26"/>
      <c r="Y492" s="26"/>
      <c r="Z492" s="26"/>
      <c r="AA492" s="26"/>
      <c r="AB492" s="33"/>
    </row>
    <row r="493" spans="1:28" x14ac:dyDescent="0.3">
      <c r="A493" s="32">
        <f>VLOOKUP(YEAR(C493),Flags!$A$13:$B$95,2,FALSE)</f>
        <v>1</v>
      </c>
      <c r="B493" s="24">
        <f t="shared" si="739"/>
        <v>1975</v>
      </c>
      <c r="C493" s="25">
        <v>27575</v>
      </c>
      <c r="D493" s="26">
        <f>VLOOKUP($C493,COS!$B$8:$H$991,3,FALSE)</f>
        <v>8908.6064453125</v>
      </c>
      <c r="E493" s="24">
        <f>IF(D493&gt;=IF(MONTH($C493)=4,$C$3,IF(MONTH($C493)=5,$C$4,IF(MONTH($C493)=6,$C$5,IF(MONTH($C493)=7,$C$6,"ERROR")))),1,0)</f>
        <v>0</v>
      </c>
      <c r="F493" s="26">
        <f>VLOOKUP($C493,COS!$B$8:$H$991,7,FALSE)</f>
        <v>51.962612152099609</v>
      </c>
      <c r="G493" s="24">
        <f>IF(F493&lt;=IF(MONTH($C493)=4,$F$3,IF(MONTH($C493)=5,$F$4,IF(MONTH($C493)=6,$F$5,IF(MONTH($C493)=7,$F$6,"ERROR")))),1,0)</f>
        <v>1</v>
      </c>
      <c r="H493" s="26">
        <f>IF(J493=1,D493-$C$5,0)</f>
        <v>0</v>
      </c>
      <c r="I493" s="26">
        <f t="shared" si="764"/>
        <v>0</v>
      </c>
      <c r="J493" s="24">
        <f t="shared" si="785"/>
        <v>0</v>
      </c>
      <c r="K493" s="26">
        <f>VLOOKUP($C493,COS!$B$8:$H$991,2,FALSE)</f>
        <v>4422.015625</v>
      </c>
      <c r="L493" s="24">
        <f t="shared" si="741"/>
        <v>1</v>
      </c>
      <c r="M493" s="24">
        <f t="shared" si="742"/>
        <v>0</v>
      </c>
      <c r="N493" s="26">
        <f>VLOOKUP($C493,COS!$B$8:$H$991,5,FALSE)</f>
        <v>1191.22607421875</v>
      </c>
      <c r="O493" s="26">
        <f t="shared" si="788"/>
        <v>70.882873837809925</v>
      </c>
      <c r="P493" s="26">
        <f>VLOOKUP($C493,COS!$B$8:$H$991,6,FALSE)</f>
        <v>2278.943359375</v>
      </c>
      <c r="Q493" s="26">
        <f t="shared" si="789"/>
        <v>135.60654700413224</v>
      </c>
      <c r="R493" s="26">
        <f>MIN(IF(MONTH($C493)=4,$S$3,IF(MONTH($C493)=5,$S$4,IF(MONTH($C493)=6,$S$5,IF(MONTH($C493)=7,$S$6,"ERROR")))),MAX(VLOOKUP($C493,COS!$B$8:$K$991,10,FALSE)-IF(MONTH($C493)=4,$Y$3,IF(MONTH($C493)=5,$Y$4,IF(MONTH($C493)=6,$Y$5,IF(MONTH($C493)=7,$Y$6,"ERROR")))),0),MAX(VLOOKUP($C493,COS!$B$8:$K$991,9,FALSE)-IF(MONTH($C493)=4,$V$3,IF(MONTH($C493)=5,$V$4,IF(MONTH($C493)=6,$V$5,IF(MONTH($C493)=7,$V$6,"ERROR"))))-VLOOKUP($C493,COS!$B$8:$K$991,6,FALSE)/2,0))</f>
        <v>1500</v>
      </c>
      <c r="S493" s="26">
        <f t="shared" si="790"/>
        <v>89.256198347107429</v>
      </c>
      <c r="T493" s="26">
        <f t="shared" si="791"/>
        <v>192.50090876807849</v>
      </c>
      <c r="U493" s="26" t="str">
        <f>IF(VLOOKUP($C493,COS!$B$8:$I$991,8,FALSE)=1,"UWFE","IBU")</f>
        <v>UWFE</v>
      </c>
      <c r="V493" s="26">
        <f t="shared" ref="V493" si="794">MIN(IF(IF($AA$3=2,AND(E493=1,G493=1,L493=1,L496=1,M493=1,U493="IBU"),AND(E493=1,G493=1,L493=1,L496=1,M493=1)),T493,0),I493)</f>
        <v>0</v>
      </c>
      <c r="W493" s="26"/>
      <c r="X493" s="26"/>
      <c r="Y493" s="26"/>
      <c r="Z493" s="26"/>
      <c r="AA493" s="26"/>
      <c r="AB493" s="33"/>
    </row>
    <row r="494" spans="1:28" x14ac:dyDescent="0.3">
      <c r="A494" s="32">
        <f>VLOOKUP(YEAR(C494),Flags!$A$13:$B$95,2,FALSE)</f>
        <v>1</v>
      </c>
      <c r="B494" s="24">
        <f t="shared" si="739"/>
        <v>1975</v>
      </c>
      <c r="C494" s="25">
        <v>27606</v>
      </c>
      <c r="D494" s="26">
        <f>VLOOKUP($C494,COS!$B$8:$H$991,3,FALSE)</f>
        <v>13871.7421875</v>
      </c>
      <c r="E494" s="24">
        <f>IF(D494&gt;=IF(MONTH($C494)=4,$C$3,IF(MONTH($C494)=5,$C$4,IF(MONTH($C494)=6,$C$5,IF(MONTH($C494)=7,$C$6,"ERROR")))),1,0)</f>
        <v>1</v>
      </c>
      <c r="F494" s="26">
        <f>VLOOKUP($C494,COS!$B$8:$H$991,7,FALSE)</f>
        <v>52.175071716308594</v>
      </c>
      <c r="G494" s="24">
        <f>IF(F494&lt;=IF(MONTH($C494)=4,$F$3,IF(MONTH($C494)=5,$F$4,IF(MONTH($C494)=6,$F$5,IF(MONTH($C494)=7,$F$6,"ERROR")))),1,0)</f>
        <v>1</v>
      </c>
      <c r="H494" s="26">
        <f>IF(J494=1,D494-$C$6,0)</f>
        <v>1871.7421875</v>
      </c>
      <c r="I494" s="26">
        <f t="shared" si="764"/>
        <v>115.08894111570247</v>
      </c>
      <c r="J494" s="24">
        <f t="shared" si="785"/>
        <v>1</v>
      </c>
      <c r="K494" s="26">
        <f>VLOOKUP($C494,COS!$B$8:$H$991,2,FALSE)</f>
        <v>3940.190673828125</v>
      </c>
      <c r="L494" s="24">
        <f t="shared" si="741"/>
        <v>1</v>
      </c>
      <c r="M494" s="24">
        <f t="shared" si="742"/>
        <v>0</v>
      </c>
      <c r="N494" s="26">
        <f>VLOOKUP($C494,COS!$B$8:$H$991,5,FALSE)</f>
        <v>1259.2373046875</v>
      </c>
      <c r="O494" s="26">
        <f t="shared" si="788"/>
        <v>77.427483858471078</v>
      </c>
      <c r="P494" s="26">
        <f>VLOOKUP($C494,COS!$B$8:$H$991,6,FALSE)</f>
        <v>2566.025634765625</v>
      </c>
      <c r="Q494" s="26">
        <f t="shared" si="789"/>
        <v>157.77876630294421</v>
      </c>
      <c r="R494" s="26">
        <f>MIN(IF(MONTH($C494)=4,$S$3,IF(MONTH($C494)=5,$S$4,IF(MONTH($C494)=6,$S$5,IF(MONTH($C494)=7,$S$6,"ERROR")))),MAX(VLOOKUP($C494,COS!$B$8:$K$991,10,FALSE)-IF(MONTH($C494)=4,$Y$3,IF(MONTH($C494)=5,$Y$4,IF(MONTH($C494)=6,$Y$5,IF(MONTH($C494)=7,$Y$6,"ERROR")))),0),MAX(VLOOKUP($C494,COS!$B$8:$K$991,9,FALSE)-IF(MONTH($C494)=4,$V$3,IF(MONTH($C494)=5,$V$4,IF(MONTH($C494)=6,$V$5,IF(MONTH($C494)=7,$V$6,"ERROR"))))-VLOOKUP($C494,COS!$B$8:$K$991,6,FALSE)/2,0))</f>
        <v>1500</v>
      </c>
      <c r="S494" s="26">
        <f t="shared" si="790"/>
        <v>92.231404958677686</v>
      </c>
      <c r="T494" s="26">
        <f t="shared" si="791"/>
        <v>209.83453003938533</v>
      </c>
      <c r="U494" s="26" t="str">
        <f>IF(VLOOKUP($C494,COS!$B$8:$I$991,8,FALSE)=1,"UWFE","IBU")</f>
        <v>IBU</v>
      </c>
      <c r="V494" s="26">
        <f t="shared" ref="V494" si="795">MIN(IF(IF($AA$3=2,AND(E494=1,G494=1,L494=1,L496=1,M494=1,U494="IBU"),AND(E494=1,G494=1,L494=1,L496=1,M494=1)),T494,0),I494)</f>
        <v>0</v>
      </c>
      <c r="W494" s="26"/>
      <c r="X494" s="26"/>
      <c r="Y494" s="26"/>
      <c r="Z494" s="26"/>
      <c r="AA494" s="26"/>
      <c r="AB494" s="33"/>
    </row>
    <row r="495" spans="1:28" x14ac:dyDescent="0.3">
      <c r="A495" s="32">
        <f>VLOOKUP(YEAR(C495),Flags!$A$13:$B$95,2,FALSE)</f>
        <v>1</v>
      </c>
      <c r="B495" s="24">
        <f t="shared" si="739"/>
        <v>1975</v>
      </c>
      <c r="C495" s="25">
        <v>27637</v>
      </c>
      <c r="D495" s="26"/>
      <c r="E495" s="24"/>
      <c r="F495" s="26"/>
      <c r="G495" s="24"/>
      <c r="H495" s="24"/>
      <c r="I495" s="26"/>
      <c r="J495" s="24"/>
      <c r="K495" s="26"/>
      <c r="L495" s="24"/>
      <c r="M495" s="24"/>
      <c r="N495" s="26"/>
      <c r="O495" s="26"/>
      <c r="P495" s="26"/>
      <c r="Q495" s="26"/>
      <c r="R495" s="26"/>
      <c r="S495" s="26"/>
      <c r="T495" s="26"/>
      <c r="U495" s="26"/>
      <c r="V495" s="26"/>
      <c r="W495" s="26">
        <f>MAX($C$7-VLOOKUP($C495,COS!$B$8:$H$991,3,FALSE),0)</f>
        <v>90235.9765625</v>
      </c>
      <c r="X495" s="26">
        <f t="shared" si="769"/>
        <v>5548.3939307851242</v>
      </c>
      <c r="Y495" s="26">
        <f>VLOOKUP($C495,COS!$B$8:$H$991,4,FALSE)</f>
        <v>0</v>
      </c>
      <c r="Z495" s="26">
        <f t="shared" si="770"/>
        <v>0</v>
      </c>
      <c r="AA495" s="26">
        <f t="shared" ref="AA495:AA499" si="796">MIN(W495,Y495)</f>
        <v>0</v>
      </c>
      <c r="AB495" s="33">
        <f t="shared" ref="AB495" si="797">AA495*DAY($C495)*86400/43560/1000*IF(MONTH($C495)=8,$P$3,IF(MONTH($C495)=9,$P$4,IF(MONTH($C495)=10,$P$5,IF(MONTH($C495)=11,$P$6,IF(MONTH($C495)=12,$P$7,NA())))))</f>
        <v>0</v>
      </c>
    </row>
    <row r="496" spans="1:28" x14ac:dyDescent="0.3">
      <c r="A496" s="32">
        <f>VLOOKUP(YEAR(C496),Flags!$A$13:$B$95,2,FALSE)</f>
        <v>1</v>
      </c>
      <c r="B496" s="24">
        <f t="shared" si="739"/>
        <v>1975</v>
      </c>
      <c r="C496" s="25">
        <v>27667</v>
      </c>
      <c r="D496" s="26"/>
      <c r="E496" s="24"/>
      <c r="F496" s="26"/>
      <c r="G496" s="24"/>
      <c r="H496" s="24"/>
      <c r="I496" s="26"/>
      <c r="J496" s="24"/>
      <c r="K496" s="26">
        <f>VLOOKUP($C496,COS!$B$8:$H$991,2,FALSE)</f>
        <v>3139.902587890625</v>
      </c>
      <c r="L496" s="24">
        <f t="shared" ref="L496" si="798">IF(AND(K496&gt;$I$7,K496&lt;$I$8),1,0)</f>
        <v>1</v>
      </c>
      <c r="M496" s="24"/>
      <c r="N496" s="26"/>
      <c r="O496" s="26"/>
      <c r="P496" s="26"/>
      <c r="Q496" s="26"/>
      <c r="R496" s="26"/>
      <c r="S496" s="26"/>
      <c r="T496" s="26"/>
      <c r="U496" s="26"/>
      <c r="V496" s="26"/>
      <c r="W496" s="26">
        <f>MAX($C$8-VLOOKUP($C496,COS!$B$8:$H$991,3,FALSE),0)</f>
        <v>84908.5556640625</v>
      </c>
      <c r="X496" s="26">
        <f t="shared" si="769"/>
        <v>5052.4099238119834</v>
      </c>
      <c r="Y496" s="26">
        <f>VLOOKUP($C496,COS!$B$8:$H$991,4,FALSE)</f>
        <v>0</v>
      </c>
      <c r="Z496" s="26">
        <f t="shared" si="770"/>
        <v>0</v>
      </c>
      <c r="AA496" s="26">
        <f t="shared" si="796"/>
        <v>0</v>
      </c>
      <c r="AB496" s="33">
        <f t="shared" si="752"/>
        <v>0</v>
      </c>
    </row>
    <row r="497" spans="1:28" x14ac:dyDescent="0.3">
      <c r="A497" s="32">
        <f>VLOOKUP(YEAR(C497),Flags!$A$13:$B$95,2,FALSE)</f>
        <v>1</v>
      </c>
      <c r="B497" s="24">
        <f t="shared" si="739"/>
        <v>1975</v>
      </c>
      <c r="C497" s="25">
        <v>27698</v>
      </c>
      <c r="D497" s="26"/>
      <c r="E497" s="24"/>
      <c r="F497" s="26"/>
      <c r="G497" s="26"/>
      <c r="H497" s="26"/>
      <c r="I497" s="26"/>
      <c r="J497" s="26"/>
      <c r="K497" s="26"/>
      <c r="L497" s="24"/>
      <c r="M497" s="24"/>
      <c r="N497" s="26"/>
      <c r="O497" s="26"/>
      <c r="P497" s="26"/>
      <c r="Q497" s="26"/>
      <c r="R497" s="26"/>
      <c r="S497" s="26"/>
      <c r="T497" s="26"/>
      <c r="U497" s="26"/>
      <c r="V497" s="26"/>
      <c r="W497" s="26">
        <f>MAX($C$9-VLOOKUP($C497,COS!$B$8:$H$991,3,FALSE),0)</f>
        <v>93899.6826171875</v>
      </c>
      <c r="X497" s="26">
        <f t="shared" si="769"/>
        <v>5773.6664353047518</v>
      </c>
      <c r="Y497" s="26">
        <f>VLOOKUP($C497,COS!$B$8:$H$991,4,FALSE)</f>
        <v>935.7257080078125</v>
      </c>
      <c r="Z497" s="26">
        <f t="shared" si="770"/>
        <v>57.535531137009293</v>
      </c>
      <c r="AA497" s="26">
        <f t="shared" si="796"/>
        <v>935.7257080078125</v>
      </c>
      <c r="AB497" s="33">
        <f t="shared" si="752"/>
        <v>57.535531137009293</v>
      </c>
    </row>
    <row r="498" spans="1:28" x14ac:dyDescent="0.3">
      <c r="A498" s="32">
        <f>VLOOKUP(YEAR(C498),Flags!$A$13:$B$95,2,FALSE)</f>
        <v>1</v>
      </c>
      <c r="B498" s="24">
        <f t="shared" si="739"/>
        <v>1975</v>
      </c>
      <c r="C498" s="25">
        <v>27728</v>
      </c>
      <c r="D498" s="26"/>
      <c r="E498" s="24"/>
      <c r="F498" s="26"/>
      <c r="G498" s="26"/>
      <c r="H498" s="26"/>
      <c r="I498" s="26"/>
      <c r="J498" s="26"/>
      <c r="K498" s="26"/>
      <c r="L498" s="24"/>
      <c r="M498" s="24"/>
      <c r="N498" s="26"/>
      <c r="O498" s="26"/>
      <c r="P498" s="26"/>
      <c r="Q498" s="26"/>
      <c r="R498" s="26"/>
      <c r="S498" s="26"/>
      <c r="T498" s="26"/>
      <c r="U498" s="26"/>
      <c r="V498" s="26"/>
      <c r="W498" s="26">
        <f>MAX($C$10-VLOOKUP($C498,COS!$B$8:$H$991,3,FALSE),0)</f>
        <v>90029.630859375</v>
      </c>
      <c r="X498" s="26">
        <f t="shared" si="769"/>
        <v>5357.1350594008263</v>
      </c>
      <c r="Y498" s="26">
        <f>VLOOKUP($C498,COS!$B$8:$H$991,4,FALSE)</f>
        <v>1105.79541015625</v>
      </c>
      <c r="Z498" s="26">
        <f t="shared" si="770"/>
        <v>65.799396306818181</v>
      </c>
      <c r="AA498" s="26">
        <f t="shared" si="796"/>
        <v>1105.79541015625</v>
      </c>
      <c r="AB498" s="33">
        <f t="shared" si="752"/>
        <v>32.899698153409091</v>
      </c>
    </row>
    <row r="499" spans="1:28" x14ac:dyDescent="0.3">
      <c r="A499" s="34">
        <f>VLOOKUP(YEAR(C499),Flags!$A$13:$B$95,2,FALSE)</f>
        <v>1</v>
      </c>
      <c r="B499" s="35">
        <f t="shared" si="739"/>
        <v>1975</v>
      </c>
      <c r="C499" s="36">
        <v>27759</v>
      </c>
      <c r="D499" s="37"/>
      <c r="E499" s="35"/>
      <c r="F499" s="37"/>
      <c r="G499" s="37"/>
      <c r="H499" s="37"/>
      <c r="I499" s="37"/>
      <c r="J499" s="37"/>
      <c r="K499" s="37"/>
      <c r="L499" s="35"/>
      <c r="M499" s="35"/>
      <c r="N499" s="37"/>
      <c r="O499" s="37"/>
      <c r="P499" s="37"/>
      <c r="Q499" s="37"/>
      <c r="R499" s="37"/>
      <c r="S499" s="37"/>
      <c r="T499" s="37"/>
      <c r="U499" s="37"/>
      <c r="V499" s="37"/>
      <c r="W499" s="37">
        <f>MAX($C$11-VLOOKUP($C499,COS!$B$8:$H$991,3,FALSE),0)</f>
        <v>0</v>
      </c>
      <c r="X499" s="37">
        <f t="shared" si="769"/>
        <v>0</v>
      </c>
      <c r="Y499" s="37">
        <f>VLOOKUP($C499,COS!$B$8:$H$991,4,FALSE)</f>
        <v>0</v>
      </c>
      <c r="Z499" s="37">
        <f t="shared" si="770"/>
        <v>0</v>
      </c>
      <c r="AA499" s="37">
        <f t="shared" si="796"/>
        <v>0</v>
      </c>
      <c r="AB499" s="38">
        <f t="shared" si="752"/>
        <v>0</v>
      </c>
    </row>
    <row r="500" spans="1:28" x14ac:dyDescent="0.3">
      <c r="A500" s="27">
        <f>VLOOKUP(YEAR(C500),Flags!$A$13:$B$95,2,FALSE)</f>
        <v>4</v>
      </c>
      <c r="B500" s="28">
        <f t="shared" si="739"/>
        <v>1976</v>
      </c>
      <c r="C500" s="29">
        <v>27880</v>
      </c>
      <c r="D500" s="30">
        <f>VLOOKUP($C500,COS!$B$8:$H$991,3,FALSE)</f>
        <v>3250</v>
      </c>
      <c r="E500" s="28">
        <f>IF(D500&gt;=IF(MONTH($C500)=4,$C$3,IF(MONTH($C500)=5,$C$4,IF(MONTH($C500)=6,$C$5,IF(MONTH($C500)=7,$C$6,"ERROR")))),1,0)</f>
        <v>0</v>
      </c>
      <c r="F500" s="30">
        <f>VLOOKUP($C500,COS!$B$8:$H$991,7,FALSE)</f>
        <v>51.587924957275391</v>
      </c>
      <c r="G500" s="28">
        <f>IF(F500&lt;=IF(MONTH($C500)=4,$F$3,IF(MONTH($C500)=5,$F$4,IF(MONTH($C500)=6,$F$5,IF(MONTH($C500)=7,$F$6,"ERROR")))),1,0)</f>
        <v>1</v>
      </c>
      <c r="H500" s="30">
        <f>IF(J500=1,D500-$C$3,0)</f>
        <v>0</v>
      </c>
      <c r="I500" s="30">
        <f t="shared" si="764"/>
        <v>0</v>
      </c>
      <c r="J500" s="28">
        <f t="shared" ref="J500:J503" si="799">IF(AND(E500=1,G500=1),1,0)</f>
        <v>0</v>
      </c>
      <c r="K500" s="30">
        <f>VLOOKUP($C500,COS!$B$8:$H$991,2,FALSE)</f>
        <v>3878.489990234375</v>
      </c>
      <c r="L500" s="28">
        <f t="shared" ref="L500" si="800">IF(K500&lt;=IF(MONTH($C500)=4,$I$3,IF(MONTH($C500)=5,$I$4,IF(MONTH($C500)=6,$I$5,IF(MONTH($C500)=7,$I$6,"ERROR")))),1,0)</f>
        <v>1</v>
      </c>
      <c r="M500" s="28">
        <f t="shared" ref="M500" si="801">VLOOKUP($A500,$L$3:$M$7,2,FALSE)</f>
        <v>1</v>
      </c>
      <c r="N500" s="30">
        <f>VLOOKUP($C500,COS!$B$8:$H$991,5,FALSE)</f>
        <v>162.41636657714844</v>
      </c>
      <c r="O500" s="30">
        <f t="shared" ref="O500:O503" si="802">N500*DAY($C500)*86400/43560/1000</f>
        <v>9.6644449533509817</v>
      </c>
      <c r="P500" s="30">
        <f>VLOOKUP($C500,COS!$B$8:$H$991,6,FALSE)</f>
        <v>525.2208251953125</v>
      </c>
      <c r="Q500" s="30">
        <f t="shared" ref="Q500:Q503" si="803">P500*DAY($C500)*86400/43560/1000</f>
        <v>31.252809433109505</v>
      </c>
      <c r="R500" s="30">
        <f>MIN(IF(MONTH($C500)=4,$S$3,IF(MONTH($C500)=5,$S$4,IF(MONTH($C500)=6,$S$5,IF(MONTH($C500)=7,$S$6,"ERROR")))),MAX(VLOOKUP($C500,COS!$B$8:$K$991,10,FALSE)-IF(MONTH($C500)=4,$Y$3,IF(MONTH($C500)=5,$Y$4,IF(MONTH($C500)=6,$Y$5,IF(MONTH($C500)=7,$Y$6,"ERROR")))),0),MAX(VLOOKUP($C500,COS!$B$8:$K$991,9,FALSE)-IF(MONTH($C500)=4,$V$3,IF(MONTH($C500)=5,$V$4,IF(MONTH($C500)=6,$V$5,IF(MONTH($C500)=7,$V$6,"ERROR"))))-VLOOKUP($C500,COS!$B$8:$K$991,6,FALSE)/2,0))</f>
        <v>1238.28173828125</v>
      </c>
      <c r="S500" s="30">
        <f t="shared" ref="S500:S503" si="804">R500*DAY($C500)*86400/43560/1000</f>
        <v>73.68288029442148</v>
      </c>
      <c r="T500" s="30">
        <f t="shared" ref="T500:T503" si="805">(O500+Q500)/2+S500</f>
        <v>94.141507487651722</v>
      </c>
      <c r="U500" s="30" t="str">
        <f>IF(VLOOKUP($C500,COS!$B$8:$I$991,8,FALSE)=1,"UWFE","IBU")</f>
        <v>UWFE</v>
      </c>
      <c r="V500" s="30">
        <f t="shared" ref="V500" si="806">MIN(IF(IF($AA$3=2,AND(E500=1,G500=1,L500=1,L505=1,M500=1,U500="IBU"),AND(E500=1,G500=1,L500=1,L505=1,M500=1)),T500,0),I500)</f>
        <v>0</v>
      </c>
      <c r="W500" s="30"/>
      <c r="X500" s="30"/>
      <c r="Y500" s="30"/>
      <c r="Z500" s="30"/>
      <c r="AA500" s="30"/>
      <c r="AB500" s="31"/>
    </row>
    <row r="501" spans="1:28" x14ac:dyDescent="0.3">
      <c r="A501" s="32">
        <f>VLOOKUP(YEAR(C501),Flags!$A$13:$B$95,2,FALSE)</f>
        <v>4</v>
      </c>
      <c r="B501" s="24">
        <f t="shared" si="739"/>
        <v>1976</v>
      </c>
      <c r="C501" s="25">
        <v>27911</v>
      </c>
      <c r="D501" s="26">
        <f>VLOOKUP($C501,COS!$B$8:$H$991,3,FALSE)</f>
        <v>10081.5947265625</v>
      </c>
      <c r="E501" s="24">
        <f>IF(D501&gt;=IF(MONTH($C501)=4,$C$3,IF(MONTH($C501)=5,$C$4,IF(MONTH($C501)=6,$C$5,IF(MONTH($C501)=7,$C$6,"ERROR")))),1,0)</f>
        <v>1</v>
      </c>
      <c r="F501" s="26">
        <f>VLOOKUP($C501,COS!$B$8:$H$991,7,FALSE)</f>
        <v>51.443138122558594</v>
      </c>
      <c r="G501" s="24">
        <f>IF(F501&lt;=IF(MONTH($C501)=4,$F$3,IF(MONTH($C501)=5,$F$4,IF(MONTH($C501)=6,$F$5,IF(MONTH($C501)=7,$F$6,"ERROR")))),1,0)</f>
        <v>1</v>
      </c>
      <c r="H501" s="26">
        <f>IF(J501=1,D501-$C$4,0)</f>
        <v>4081.5947265625</v>
      </c>
      <c r="I501" s="26">
        <f t="shared" si="764"/>
        <v>250.9674774018595</v>
      </c>
      <c r="J501" s="24">
        <f t="shared" si="799"/>
        <v>1</v>
      </c>
      <c r="K501" s="26">
        <f>VLOOKUP($C501,COS!$B$8:$H$991,2,FALSE)</f>
        <v>3615.4599609375</v>
      </c>
      <c r="L501" s="24">
        <f t="shared" si="741"/>
        <v>1</v>
      </c>
      <c r="M501" s="24">
        <f t="shared" si="742"/>
        <v>1</v>
      </c>
      <c r="N501" s="26">
        <f>VLOOKUP($C501,COS!$B$8:$H$991,5,FALSE)</f>
        <v>197.63545227050781</v>
      </c>
      <c r="O501" s="26">
        <f t="shared" si="802"/>
        <v>12.152130288368415</v>
      </c>
      <c r="P501" s="26">
        <f>VLOOKUP($C501,COS!$B$8:$H$991,6,FALSE)</f>
        <v>2397.456298828125</v>
      </c>
      <c r="Q501" s="26">
        <f t="shared" si="803"/>
        <v>147.41384184529957</v>
      </c>
      <c r="R501" s="26">
        <f>MIN(IF(MONTH($C501)=4,$S$3,IF(MONTH($C501)=5,$S$4,IF(MONTH($C501)=6,$S$5,IF(MONTH($C501)=7,$S$6,"ERROR")))),MAX(VLOOKUP($C501,COS!$B$8:$K$991,10,FALSE)-IF(MONTH($C501)=4,$Y$3,IF(MONTH($C501)=5,$Y$4,IF(MONTH($C501)=6,$Y$5,IF(MONTH($C501)=7,$Y$6,"ERROR")))),0),MAX(VLOOKUP($C501,COS!$B$8:$K$991,9,FALSE)-IF(MONTH($C501)=4,$V$3,IF(MONTH($C501)=5,$V$4,IF(MONTH($C501)=6,$V$5,IF(MONTH($C501)=7,$V$6,"ERROR"))))-VLOOKUP($C501,COS!$B$8:$K$991,6,FALSE)/2,0))</f>
        <v>1500</v>
      </c>
      <c r="S501" s="26">
        <f t="shared" si="804"/>
        <v>92.231404958677686</v>
      </c>
      <c r="T501" s="26">
        <f t="shared" si="805"/>
        <v>172.01439102551169</v>
      </c>
      <c r="U501" s="26" t="str">
        <f>IF(VLOOKUP($C501,COS!$B$8:$I$991,8,FALSE)=1,"UWFE","IBU")</f>
        <v>IBU</v>
      </c>
      <c r="V501" s="26">
        <f t="shared" ref="V501" si="807">MIN(IF(IF($AA$3=2,AND(E501=1,G501=1,L501=1,L505=1,M501=1,U501="IBU"),AND(E501=1,G501=1,L501=1,L505=1,M501=1)),T501,0),I501)</f>
        <v>172.01439102551169</v>
      </c>
      <c r="W501" s="26"/>
      <c r="X501" s="26"/>
      <c r="Y501" s="26"/>
      <c r="Z501" s="26"/>
      <c r="AA501" s="26"/>
      <c r="AB501" s="33"/>
    </row>
    <row r="502" spans="1:28" x14ac:dyDescent="0.3">
      <c r="A502" s="32">
        <f>VLOOKUP(YEAR(C502),Flags!$A$13:$B$95,2,FALSE)</f>
        <v>4</v>
      </c>
      <c r="B502" s="24">
        <f t="shared" si="739"/>
        <v>1976</v>
      </c>
      <c r="C502" s="25">
        <v>27941</v>
      </c>
      <c r="D502" s="26">
        <f>VLOOKUP($C502,COS!$B$8:$H$991,3,FALSE)</f>
        <v>9693.1298828125</v>
      </c>
      <c r="E502" s="24">
        <f>IF(D502&gt;=IF(MONTH($C502)=4,$C$3,IF(MONTH($C502)=5,$C$4,IF(MONTH($C502)=6,$C$5,IF(MONTH($C502)=7,$C$6,"ERROR")))),1,0)</f>
        <v>0</v>
      </c>
      <c r="F502" s="26">
        <f>VLOOKUP($C502,COS!$B$8:$H$991,7,FALSE)</f>
        <v>52.964691162109375</v>
      </c>
      <c r="G502" s="24">
        <f>IF(F502&lt;=IF(MONTH($C502)=4,$F$3,IF(MONTH($C502)=5,$F$4,IF(MONTH($C502)=6,$F$5,IF(MONTH($C502)=7,$F$6,"ERROR")))),1,0)</f>
        <v>1</v>
      </c>
      <c r="H502" s="26">
        <f>IF(J502=1,D502-$C$5,0)</f>
        <v>0</v>
      </c>
      <c r="I502" s="26">
        <f t="shared" si="764"/>
        <v>0</v>
      </c>
      <c r="J502" s="24">
        <f t="shared" si="799"/>
        <v>0</v>
      </c>
      <c r="K502" s="26">
        <f>VLOOKUP($C502,COS!$B$8:$H$991,2,FALSE)</f>
        <v>3290.374755859375</v>
      </c>
      <c r="L502" s="24">
        <f t="shared" si="741"/>
        <v>1</v>
      </c>
      <c r="M502" s="24">
        <f t="shared" si="742"/>
        <v>1</v>
      </c>
      <c r="N502" s="26">
        <f>VLOOKUP($C502,COS!$B$8:$H$991,5,FALSE)</f>
        <v>220.81330871582031</v>
      </c>
      <c r="O502" s="26">
        <f t="shared" si="802"/>
        <v>13.139304320280216</v>
      </c>
      <c r="P502" s="26">
        <f>VLOOKUP($C502,COS!$B$8:$H$991,6,FALSE)</f>
        <v>2496.31787109375</v>
      </c>
      <c r="Q502" s="26">
        <f t="shared" si="803"/>
        <v>148.54122869318184</v>
      </c>
      <c r="R502" s="26">
        <f>MIN(IF(MONTH($C502)=4,$S$3,IF(MONTH($C502)=5,$S$4,IF(MONTH($C502)=6,$S$5,IF(MONTH($C502)=7,$S$6,"ERROR")))),MAX(VLOOKUP($C502,COS!$B$8:$K$991,10,FALSE)-IF(MONTH($C502)=4,$Y$3,IF(MONTH($C502)=5,$Y$4,IF(MONTH($C502)=6,$Y$5,IF(MONTH($C502)=7,$Y$6,"ERROR")))),0),MAX(VLOOKUP($C502,COS!$B$8:$K$991,9,FALSE)-IF(MONTH($C502)=4,$V$3,IF(MONTH($C502)=5,$V$4,IF(MONTH($C502)=6,$V$5,IF(MONTH($C502)=7,$V$6,"ERROR"))))-VLOOKUP($C502,COS!$B$8:$K$991,6,FALSE)/2,0))</f>
        <v>1500</v>
      </c>
      <c r="S502" s="26">
        <f t="shared" si="804"/>
        <v>89.256198347107429</v>
      </c>
      <c r="T502" s="26">
        <f t="shared" si="805"/>
        <v>170.09646485383846</v>
      </c>
      <c r="U502" s="26" t="str">
        <f>IF(VLOOKUP($C502,COS!$B$8:$I$991,8,FALSE)=1,"UWFE","IBU")</f>
        <v>IBU</v>
      </c>
      <c r="V502" s="26">
        <f t="shared" ref="V502" si="808">MIN(IF(IF($AA$3=2,AND(E502=1,G502=1,L502=1,L505=1,M502=1,U502="IBU"),AND(E502=1,G502=1,L502=1,L505=1,M502=1)),T502,0),I502)</f>
        <v>0</v>
      </c>
      <c r="W502" s="26"/>
      <c r="X502" s="26"/>
      <c r="Y502" s="26"/>
      <c r="Z502" s="26"/>
      <c r="AA502" s="26"/>
      <c r="AB502" s="33"/>
    </row>
    <row r="503" spans="1:28" x14ac:dyDescent="0.3">
      <c r="A503" s="32">
        <f>VLOOKUP(YEAR(C503),Flags!$A$13:$B$95,2,FALSE)</f>
        <v>4</v>
      </c>
      <c r="B503" s="24">
        <f t="shared" si="739"/>
        <v>1976</v>
      </c>
      <c r="C503" s="25">
        <v>27972</v>
      </c>
      <c r="D503" s="26">
        <f>VLOOKUP($C503,COS!$B$8:$H$991,3,FALSE)</f>
        <v>13307.634765625</v>
      </c>
      <c r="E503" s="24">
        <f>IF(D503&gt;=IF(MONTH($C503)=4,$C$3,IF(MONTH($C503)=5,$C$4,IF(MONTH($C503)=6,$C$5,IF(MONTH($C503)=7,$C$6,"ERROR")))),1,0)</f>
        <v>1</v>
      </c>
      <c r="F503" s="26">
        <f>VLOOKUP($C503,COS!$B$8:$H$991,7,FALSE)</f>
        <v>54.076438903808594</v>
      </c>
      <c r="G503" s="24">
        <f>IF(F503&lt;=IF(MONTH($C503)=4,$F$3,IF(MONTH($C503)=5,$F$4,IF(MONTH($C503)=6,$F$5,IF(MONTH($C503)=7,$F$6,"ERROR")))),1,0)</f>
        <v>0</v>
      </c>
      <c r="H503" s="26">
        <f>IF(J503=1,D503-$C$6,0)</f>
        <v>0</v>
      </c>
      <c r="I503" s="26">
        <f t="shared" si="764"/>
        <v>0</v>
      </c>
      <c r="J503" s="24">
        <f t="shared" si="799"/>
        <v>0</v>
      </c>
      <c r="K503" s="26">
        <f>VLOOKUP($C503,COS!$B$8:$H$991,2,FALSE)</f>
        <v>2839.34033203125</v>
      </c>
      <c r="L503" s="24">
        <f t="shared" si="741"/>
        <v>1</v>
      </c>
      <c r="M503" s="24">
        <f t="shared" si="742"/>
        <v>1</v>
      </c>
      <c r="N503" s="26">
        <f>VLOOKUP($C503,COS!$B$8:$H$991,5,FALSE)</f>
        <v>243.29853820800781</v>
      </c>
      <c r="O503" s="26">
        <f t="shared" si="802"/>
        <v>14.959844002211391</v>
      </c>
      <c r="P503" s="26">
        <f>VLOOKUP($C503,COS!$B$8:$H$991,6,FALSE)</f>
        <v>2326.644775390625</v>
      </c>
      <c r="Q503" s="26">
        <f t="shared" si="803"/>
        <v>143.05981098269626</v>
      </c>
      <c r="R503" s="26">
        <f>MIN(IF(MONTH($C503)=4,$S$3,IF(MONTH($C503)=5,$S$4,IF(MONTH($C503)=6,$S$5,IF(MONTH($C503)=7,$S$6,"ERROR")))),MAX(VLOOKUP($C503,COS!$B$8:$K$991,10,FALSE)-IF(MONTH($C503)=4,$Y$3,IF(MONTH($C503)=5,$Y$4,IF(MONTH($C503)=6,$Y$5,IF(MONTH($C503)=7,$Y$6,"ERROR")))),0),MAX(VLOOKUP($C503,COS!$B$8:$K$991,9,FALSE)-IF(MONTH($C503)=4,$V$3,IF(MONTH($C503)=5,$V$4,IF(MONTH($C503)=6,$V$5,IF(MONTH($C503)=7,$V$6,"ERROR"))))-VLOOKUP($C503,COS!$B$8:$K$991,6,FALSE)/2,0))</f>
        <v>1500</v>
      </c>
      <c r="S503" s="26">
        <f t="shared" si="804"/>
        <v>92.231404958677686</v>
      </c>
      <c r="T503" s="26">
        <f t="shared" si="805"/>
        <v>171.24123245113151</v>
      </c>
      <c r="U503" s="26" t="str">
        <f>IF(VLOOKUP($C503,COS!$B$8:$I$991,8,FALSE)=1,"UWFE","IBU")</f>
        <v>IBU</v>
      </c>
      <c r="V503" s="26">
        <f t="shared" ref="V503" si="809">MIN(IF(IF($AA$3=2,AND(E503=1,G503=1,L503=1,L505=1,M503=1,U503="IBU"),AND(E503=1,G503=1,L503=1,L505=1,M503=1)),T503,0),I503)</f>
        <v>0</v>
      </c>
      <c r="W503" s="26"/>
      <c r="X503" s="26"/>
      <c r="Y503" s="26"/>
      <c r="Z503" s="26"/>
      <c r="AA503" s="26"/>
      <c r="AB503" s="33"/>
    </row>
    <row r="504" spans="1:28" x14ac:dyDescent="0.3">
      <c r="A504" s="32">
        <f>VLOOKUP(YEAR(C504),Flags!$A$13:$B$95,2,FALSE)</f>
        <v>4</v>
      </c>
      <c r="B504" s="24">
        <f t="shared" si="739"/>
        <v>1976</v>
      </c>
      <c r="C504" s="25">
        <v>28003</v>
      </c>
      <c r="D504" s="26"/>
      <c r="E504" s="24"/>
      <c r="F504" s="26"/>
      <c r="G504" s="24"/>
      <c r="H504" s="24"/>
      <c r="I504" s="26"/>
      <c r="J504" s="24"/>
      <c r="K504" s="26"/>
      <c r="L504" s="24"/>
      <c r="M504" s="24"/>
      <c r="N504" s="26"/>
      <c r="O504" s="26"/>
      <c r="P504" s="26"/>
      <c r="Q504" s="26"/>
      <c r="R504" s="26"/>
      <c r="S504" s="26"/>
      <c r="T504" s="26"/>
      <c r="U504" s="26"/>
      <c r="V504" s="26"/>
      <c r="W504" s="26">
        <f>MAX($C$7-VLOOKUP($C504,COS!$B$8:$H$991,3,FALSE),0)</f>
        <v>93360.21484375</v>
      </c>
      <c r="X504" s="26">
        <f t="shared" si="769"/>
        <v>5740.4958548553714</v>
      </c>
      <c r="Y504" s="26">
        <f>VLOOKUP($C504,COS!$B$8:$H$991,4,FALSE)</f>
        <v>1948.8914794921875</v>
      </c>
      <c r="Z504" s="26">
        <f t="shared" si="770"/>
        <v>119.83266617704028</v>
      </c>
      <c r="AA504" s="26">
        <f t="shared" ref="AA504:AA508" si="810">MIN(W504,Y504)</f>
        <v>1948.8914794921875</v>
      </c>
      <c r="AB504" s="33">
        <f t="shared" ref="AB504" si="811">AA504*DAY($C504)*86400/43560/1000*IF(MONTH($C504)=8,$P$3,IF(MONTH($C504)=9,$P$4,IF(MONTH($C504)=10,$P$5,IF(MONTH($C504)=11,$P$6,IF(MONTH($C504)=12,$P$7,NA())))))</f>
        <v>119.83266617704028</v>
      </c>
    </row>
    <row r="505" spans="1:28" x14ac:dyDescent="0.3">
      <c r="A505" s="32">
        <f>VLOOKUP(YEAR(C505),Flags!$A$13:$B$95,2,FALSE)</f>
        <v>4</v>
      </c>
      <c r="B505" s="24">
        <f t="shared" si="739"/>
        <v>1976</v>
      </c>
      <c r="C505" s="25">
        <v>28033</v>
      </c>
      <c r="D505" s="26"/>
      <c r="E505" s="24"/>
      <c r="F505" s="26"/>
      <c r="G505" s="24"/>
      <c r="H505" s="24"/>
      <c r="I505" s="26"/>
      <c r="J505" s="24"/>
      <c r="K505" s="26">
        <f>VLOOKUP($C505,COS!$B$8:$H$991,2,FALSE)</f>
        <v>2776.3486328125</v>
      </c>
      <c r="L505" s="24">
        <f t="shared" ref="L505" si="812">IF(AND(K505&gt;$I$7,K505&lt;$I$8),1,0)</f>
        <v>1</v>
      </c>
      <c r="M505" s="24"/>
      <c r="N505" s="26"/>
      <c r="O505" s="26"/>
      <c r="P505" s="26"/>
      <c r="Q505" s="26"/>
      <c r="R505" s="26"/>
      <c r="S505" s="26"/>
      <c r="T505" s="26"/>
      <c r="U505" s="26"/>
      <c r="V505" s="26"/>
      <c r="W505" s="26">
        <f>MAX($C$8-VLOOKUP($C505,COS!$B$8:$H$991,3,FALSE),0)</f>
        <v>95118.068359375</v>
      </c>
      <c r="X505" s="26">
        <f t="shared" si="769"/>
        <v>5659.9181172520657</v>
      </c>
      <c r="Y505" s="26">
        <f>VLOOKUP($C505,COS!$B$8:$H$991,4,FALSE)</f>
        <v>1649.7568359375</v>
      </c>
      <c r="Z505" s="26">
        <f t="shared" si="770"/>
        <v>98.167348915289253</v>
      </c>
      <c r="AA505" s="26">
        <f t="shared" si="810"/>
        <v>1649.7568359375</v>
      </c>
      <c r="AB505" s="33">
        <f t="shared" si="752"/>
        <v>98.167348915289253</v>
      </c>
    </row>
    <row r="506" spans="1:28" x14ac:dyDescent="0.3">
      <c r="A506" s="32">
        <f>VLOOKUP(YEAR(C506),Flags!$A$13:$B$95,2,FALSE)</f>
        <v>4</v>
      </c>
      <c r="B506" s="24">
        <f t="shared" si="739"/>
        <v>1976</v>
      </c>
      <c r="C506" s="25">
        <v>28064</v>
      </c>
      <c r="D506" s="26"/>
      <c r="E506" s="24"/>
      <c r="F506" s="26"/>
      <c r="G506" s="26"/>
      <c r="H506" s="26"/>
      <c r="I506" s="26"/>
      <c r="J506" s="26"/>
      <c r="K506" s="26"/>
      <c r="L506" s="24"/>
      <c r="M506" s="24"/>
      <c r="N506" s="26"/>
      <c r="O506" s="26"/>
      <c r="P506" s="26"/>
      <c r="Q506" s="26"/>
      <c r="R506" s="26"/>
      <c r="S506" s="26"/>
      <c r="T506" s="26"/>
      <c r="U506" s="26"/>
      <c r="V506" s="26"/>
      <c r="W506" s="26">
        <f>MAX($C$9-VLOOKUP($C506,COS!$B$8:$H$991,3,FALSE),0)</f>
        <v>92269.14697265625</v>
      </c>
      <c r="X506" s="26">
        <f t="shared" si="769"/>
        <v>5673.4087064178721</v>
      </c>
      <c r="Y506" s="26">
        <f>VLOOKUP($C506,COS!$B$8:$H$991,4,FALSE)</f>
        <v>1735.9190673828125</v>
      </c>
      <c r="Z506" s="26">
        <f t="shared" si="770"/>
        <v>106.73750298618285</v>
      </c>
      <c r="AA506" s="26">
        <f t="shared" si="810"/>
        <v>1735.9190673828125</v>
      </c>
      <c r="AB506" s="33">
        <f t="shared" si="752"/>
        <v>106.73750298618285</v>
      </c>
    </row>
    <row r="507" spans="1:28" x14ac:dyDescent="0.3">
      <c r="A507" s="32">
        <f>VLOOKUP(YEAR(C507),Flags!$A$13:$B$95,2,FALSE)</f>
        <v>4</v>
      </c>
      <c r="B507" s="24">
        <f t="shared" si="739"/>
        <v>1976</v>
      </c>
      <c r="C507" s="25">
        <v>28094</v>
      </c>
      <c r="D507" s="26"/>
      <c r="E507" s="24"/>
      <c r="F507" s="26"/>
      <c r="G507" s="26"/>
      <c r="H507" s="26"/>
      <c r="I507" s="26"/>
      <c r="J507" s="26"/>
      <c r="K507" s="26"/>
      <c r="L507" s="24"/>
      <c r="M507" s="24"/>
      <c r="N507" s="26"/>
      <c r="O507" s="26"/>
      <c r="P507" s="26"/>
      <c r="Q507" s="26"/>
      <c r="R507" s="26"/>
      <c r="S507" s="26"/>
      <c r="T507" s="26"/>
      <c r="U507" s="26"/>
      <c r="V507" s="26"/>
      <c r="W507" s="26">
        <f>MAX($C$10-VLOOKUP($C507,COS!$B$8:$H$991,3,FALSE),0)</f>
        <v>92605.25439453125</v>
      </c>
      <c r="X507" s="26">
        <f t="shared" si="769"/>
        <v>5510.3953028150827</v>
      </c>
      <c r="Y507" s="26">
        <f>VLOOKUP($C507,COS!$B$8:$H$991,4,FALSE)</f>
        <v>1444.778564453125</v>
      </c>
      <c r="Z507" s="26">
        <f t="shared" si="770"/>
        <v>85.970294744318181</v>
      </c>
      <c r="AA507" s="26">
        <f t="shared" si="810"/>
        <v>1444.778564453125</v>
      </c>
      <c r="AB507" s="33">
        <f t="shared" si="752"/>
        <v>42.985147372159091</v>
      </c>
    </row>
    <row r="508" spans="1:28" x14ac:dyDescent="0.3">
      <c r="A508" s="34">
        <f>VLOOKUP(YEAR(C508),Flags!$A$13:$B$95,2,FALSE)</f>
        <v>4</v>
      </c>
      <c r="B508" s="35">
        <f t="shared" si="739"/>
        <v>1976</v>
      </c>
      <c r="C508" s="36">
        <v>28125</v>
      </c>
      <c r="D508" s="37"/>
      <c r="E508" s="35"/>
      <c r="F508" s="37"/>
      <c r="G508" s="37"/>
      <c r="H508" s="37"/>
      <c r="I508" s="37"/>
      <c r="J508" s="37"/>
      <c r="K508" s="37"/>
      <c r="L508" s="35"/>
      <c r="M508" s="35"/>
      <c r="N508" s="37"/>
      <c r="O508" s="37"/>
      <c r="P508" s="37"/>
      <c r="Q508" s="37"/>
      <c r="R508" s="37"/>
      <c r="S508" s="37"/>
      <c r="T508" s="37"/>
      <c r="U508" s="37"/>
      <c r="V508" s="37"/>
      <c r="W508" s="37">
        <f>MAX($C$11-VLOOKUP($C508,COS!$B$8:$H$991,3,FALSE),0)</f>
        <v>0</v>
      </c>
      <c r="X508" s="37">
        <f t="shared" si="769"/>
        <v>0</v>
      </c>
      <c r="Y508" s="37">
        <f>VLOOKUP($C508,COS!$B$8:$H$991,4,FALSE)</f>
        <v>2446.426025390625</v>
      </c>
      <c r="Z508" s="37">
        <f t="shared" si="770"/>
        <v>150.42487296616736</v>
      </c>
      <c r="AA508" s="37">
        <f t="shared" si="810"/>
        <v>0</v>
      </c>
      <c r="AB508" s="38">
        <f t="shared" si="752"/>
        <v>0</v>
      </c>
    </row>
    <row r="509" spans="1:28" x14ac:dyDescent="0.3">
      <c r="A509" s="27">
        <f>VLOOKUP(YEAR(C509),Flags!$A$13:$B$95,2,FALSE)</f>
        <v>5</v>
      </c>
      <c r="B509" s="28">
        <f t="shared" si="739"/>
        <v>1977</v>
      </c>
      <c r="C509" s="29">
        <v>28245</v>
      </c>
      <c r="D509" s="30">
        <f>VLOOKUP($C509,COS!$B$8:$H$991,3,FALSE)</f>
        <v>7071.7509765625</v>
      </c>
      <c r="E509" s="28">
        <f>IF(D509&gt;=IF(MONTH($C509)=4,$C$3,IF(MONTH($C509)=5,$C$4,IF(MONTH($C509)=6,$C$5,IF(MONTH($C509)=7,$C$6,"ERROR")))),1,0)</f>
        <v>1</v>
      </c>
      <c r="F509" s="30">
        <f>VLOOKUP($C509,COS!$B$8:$H$991,7,FALSE)</f>
        <v>50.791873931884766</v>
      </c>
      <c r="G509" s="28">
        <f>IF(F509&lt;=IF(MONTH($C509)=4,$F$3,IF(MONTH($C509)=5,$F$4,IF(MONTH($C509)=6,$F$5,IF(MONTH($C509)=7,$F$6,"ERROR")))),1,0)</f>
        <v>1</v>
      </c>
      <c r="H509" s="30">
        <f>IF(J509=1,D509-$C$3,0)</f>
        <v>1071.7509765625</v>
      </c>
      <c r="I509" s="30">
        <f t="shared" si="764"/>
        <v>63.773611828512394</v>
      </c>
      <c r="J509" s="28">
        <f t="shared" ref="J509:J512" si="813">IF(AND(E509=1,G509=1),1,0)</f>
        <v>1</v>
      </c>
      <c r="K509" s="30">
        <f>VLOOKUP($C509,COS!$B$8:$H$991,2,FALSE)</f>
        <v>1944.6558837890625</v>
      </c>
      <c r="L509" s="28">
        <f t="shared" ref="L509" si="814">IF(K509&lt;=IF(MONTH($C509)=4,$I$3,IF(MONTH($C509)=5,$I$4,IF(MONTH($C509)=6,$I$5,IF(MONTH($C509)=7,$I$6,"ERROR")))),1,0)</f>
        <v>1</v>
      </c>
      <c r="M509" s="28">
        <f t="shared" ref="M509" si="815">VLOOKUP($A509,$L$3:$M$7,2,FALSE)</f>
        <v>1</v>
      </c>
      <c r="N509" s="30">
        <f>VLOOKUP($C509,COS!$B$8:$H$991,5,FALSE)</f>
        <v>201.60958862304688</v>
      </c>
      <c r="O509" s="30">
        <f t="shared" ref="O509:O512" si="816">N509*DAY($C509)*86400/43560/1000</f>
        <v>11.996603620544938</v>
      </c>
      <c r="P509" s="30">
        <f>VLOOKUP($C509,COS!$B$8:$H$991,6,FALSE)</f>
        <v>581.802490234375</v>
      </c>
      <c r="Q509" s="30">
        <f t="shared" ref="Q509:Q512" si="817">P509*DAY($C509)*86400/43560/1000</f>
        <v>34.619652311466943</v>
      </c>
      <c r="R509" s="30">
        <f>MIN(IF(MONTH($C509)=4,$S$3,IF(MONTH($C509)=5,$S$4,IF(MONTH($C509)=6,$S$5,IF(MONTH($C509)=7,$S$6,"ERROR")))),MAX(VLOOKUP($C509,COS!$B$8:$K$991,10,FALSE)-IF(MONTH($C509)=4,$Y$3,IF(MONTH($C509)=5,$Y$4,IF(MONTH($C509)=6,$Y$5,IF(MONTH($C509)=7,$Y$6,"ERROR")))),0),MAX(VLOOKUP($C509,COS!$B$8:$K$991,9,FALSE)-IF(MONTH($C509)=4,$V$3,IF(MONTH($C509)=5,$V$4,IF(MONTH($C509)=6,$V$5,IF(MONTH($C509)=7,$V$6,"ERROR"))))-VLOOKUP($C509,COS!$B$8:$K$991,6,FALSE)/2,0))</f>
        <v>1500</v>
      </c>
      <c r="S509" s="30">
        <f t="shared" ref="S509:S512" si="818">R509*DAY($C509)*86400/43560/1000</f>
        <v>89.256198347107429</v>
      </c>
      <c r="T509" s="30">
        <f t="shared" ref="T509:T512" si="819">(O509+Q509)/2+S509</f>
        <v>112.56432631311337</v>
      </c>
      <c r="U509" s="30" t="str">
        <f>IF(VLOOKUP($C509,COS!$B$8:$I$991,8,FALSE)=1,"UWFE","IBU")</f>
        <v>IBU</v>
      </c>
      <c r="V509" s="30">
        <f t="shared" ref="V509" si="820">MIN(IF(IF($AA$3=2,AND(E509=1,G509=1,L509=1,L514=1,M509=1,U509="IBU"),AND(E509=1,G509=1,L509=1,L514=1,M509=1)),T509,0),I509)</f>
        <v>63.773611828512394</v>
      </c>
      <c r="W509" s="30"/>
      <c r="X509" s="30"/>
      <c r="Y509" s="30"/>
      <c r="Z509" s="30"/>
      <c r="AA509" s="30"/>
      <c r="AB509" s="31"/>
    </row>
    <row r="510" spans="1:28" x14ac:dyDescent="0.3">
      <c r="A510" s="32">
        <f>VLOOKUP(YEAR(C510),Flags!$A$13:$B$95,2,FALSE)</f>
        <v>5</v>
      </c>
      <c r="B510" s="24">
        <f t="shared" si="739"/>
        <v>1977</v>
      </c>
      <c r="C510" s="25">
        <v>28276</v>
      </c>
      <c r="D510" s="26">
        <f>VLOOKUP($C510,COS!$B$8:$H$991,3,FALSE)</f>
        <v>5902.6396484375</v>
      </c>
      <c r="E510" s="24">
        <f>IF(D510&gt;=IF(MONTH($C510)=4,$C$3,IF(MONTH($C510)=5,$C$4,IF(MONTH($C510)=6,$C$5,IF(MONTH($C510)=7,$C$6,"ERROR")))),1,0)</f>
        <v>0</v>
      </c>
      <c r="F510" s="26">
        <f>VLOOKUP($C510,COS!$B$8:$H$991,7,FALSE)</f>
        <v>52.327152252197266</v>
      </c>
      <c r="G510" s="24">
        <f>IF(F510&lt;=IF(MONTH($C510)=4,$F$3,IF(MONTH($C510)=5,$F$4,IF(MONTH($C510)=6,$F$5,IF(MONTH($C510)=7,$F$6,"ERROR")))),1,0)</f>
        <v>1</v>
      </c>
      <c r="H510" s="26">
        <f>IF(J510=1,D510-$C$4,0)</f>
        <v>0</v>
      </c>
      <c r="I510" s="26">
        <f t="shared" si="764"/>
        <v>0</v>
      </c>
      <c r="J510" s="24">
        <f t="shared" si="813"/>
        <v>0</v>
      </c>
      <c r="K510" s="26">
        <f>VLOOKUP($C510,COS!$B$8:$H$991,2,FALSE)</f>
        <v>1775.2607421875</v>
      </c>
      <c r="L510" s="24">
        <f t="shared" si="741"/>
        <v>1</v>
      </c>
      <c r="M510" s="24">
        <f t="shared" si="742"/>
        <v>1</v>
      </c>
      <c r="N510" s="26">
        <f>VLOOKUP($C510,COS!$B$8:$H$991,5,FALSE)</f>
        <v>129.15513610839844</v>
      </c>
      <c r="O510" s="26">
        <f t="shared" si="816"/>
        <v>7.941439773937887</v>
      </c>
      <c r="P510" s="26">
        <f>VLOOKUP($C510,COS!$B$8:$H$991,6,FALSE)</f>
        <v>1768.8984375</v>
      </c>
      <c r="Q510" s="26">
        <f t="shared" si="817"/>
        <v>108.76532541322314</v>
      </c>
      <c r="R510" s="26">
        <f>MIN(IF(MONTH($C510)=4,$S$3,IF(MONTH($C510)=5,$S$4,IF(MONTH($C510)=6,$S$5,IF(MONTH($C510)=7,$S$6,"ERROR")))),MAX(VLOOKUP($C510,COS!$B$8:$K$991,10,FALSE)-IF(MONTH($C510)=4,$Y$3,IF(MONTH($C510)=5,$Y$4,IF(MONTH($C510)=6,$Y$5,IF(MONTH($C510)=7,$Y$6,"ERROR")))),0),MAX(VLOOKUP($C510,COS!$B$8:$K$991,9,FALSE)-IF(MONTH($C510)=4,$V$3,IF(MONTH($C510)=5,$V$4,IF(MONTH($C510)=6,$V$5,IF(MONTH($C510)=7,$V$6,"ERROR"))))-VLOOKUP($C510,COS!$B$8:$K$991,6,FALSE)/2,0))</f>
        <v>1500</v>
      </c>
      <c r="S510" s="26">
        <f t="shared" si="818"/>
        <v>92.231404958677686</v>
      </c>
      <c r="T510" s="26">
        <f t="shared" si="819"/>
        <v>150.58478755225821</v>
      </c>
      <c r="U510" s="26" t="str">
        <f>IF(VLOOKUP($C510,COS!$B$8:$I$991,8,FALSE)=1,"UWFE","IBU")</f>
        <v>IBU</v>
      </c>
      <c r="V510" s="26">
        <f t="shared" ref="V510" si="821">MIN(IF(IF($AA$3=2,AND(E510=1,G510=1,L510=1,L514=1,M510=1,U510="IBU"),AND(E510=1,G510=1,L510=1,L514=1,M510=1)),T510,0),I510)</f>
        <v>0</v>
      </c>
      <c r="W510" s="26"/>
      <c r="X510" s="26"/>
      <c r="Y510" s="26"/>
      <c r="Z510" s="26"/>
      <c r="AA510" s="26"/>
      <c r="AB510" s="33"/>
    </row>
    <row r="511" spans="1:28" x14ac:dyDescent="0.3">
      <c r="A511" s="32">
        <f>VLOOKUP(YEAR(C511),Flags!$A$13:$B$95,2,FALSE)</f>
        <v>5</v>
      </c>
      <c r="B511" s="24">
        <f t="shared" si="739"/>
        <v>1977</v>
      </c>
      <c r="C511" s="25">
        <v>28306</v>
      </c>
      <c r="D511" s="26">
        <f>VLOOKUP($C511,COS!$B$8:$H$991,3,FALSE)</f>
        <v>12227.62890625</v>
      </c>
      <c r="E511" s="24">
        <f>IF(D511&gt;=IF(MONTH($C511)=4,$C$3,IF(MONTH($C511)=5,$C$4,IF(MONTH($C511)=6,$C$5,IF(MONTH($C511)=7,$C$6,"ERROR")))),1,0)</f>
        <v>1</v>
      </c>
      <c r="F511" s="26">
        <f>VLOOKUP($C511,COS!$B$8:$H$991,7,FALSE)</f>
        <v>54.287090301513672</v>
      </c>
      <c r="G511" s="24">
        <f>IF(F511&lt;=IF(MONTH($C511)=4,$F$3,IF(MONTH($C511)=5,$F$4,IF(MONTH($C511)=6,$F$5,IF(MONTH($C511)=7,$F$6,"ERROR")))),1,0)</f>
        <v>1</v>
      </c>
      <c r="H511" s="26">
        <f>IF(J511=1,D511-$C$5,0)</f>
        <v>2227.62890625</v>
      </c>
      <c r="I511" s="26">
        <f t="shared" si="764"/>
        <v>132.55312499999999</v>
      </c>
      <c r="J511" s="24">
        <f t="shared" si="813"/>
        <v>1</v>
      </c>
      <c r="K511" s="26">
        <f>VLOOKUP($C511,COS!$B$8:$H$991,2,FALSE)</f>
        <v>1227.3997802734375</v>
      </c>
      <c r="L511" s="24">
        <f t="shared" si="741"/>
        <v>1</v>
      </c>
      <c r="M511" s="24">
        <f t="shared" si="742"/>
        <v>1</v>
      </c>
      <c r="N511" s="26">
        <f>VLOOKUP($C511,COS!$B$8:$H$991,5,FALSE)</f>
        <v>215.26878356933594</v>
      </c>
      <c r="O511" s="26">
        <f t="shared" si="816"/>
        <v>12.809382162803461</v>
      </c>
      <c r="P511" s="26">
        <f>VLOOKUP($C511,COS!$B$8:$H$991,6,FALSE)</f>
        <v>2477.72265625</v>
      </c>
      <c r="Q511" s="26">
        <f t="shared" si="817"/>
        <v>147.43473657024794</v>
      </c>
      <c r="R511" s="26">
        <f>MIN(IF(MONTH($C511)=4,$S$3,IF(MONTH($C511)=5,$S$4,IF(MONTH($C511)=6,$S$5,IF(MONTH($C511)=7,$S$6,"ERROR")))),MAX(VLOOKUP($C511,COS!$B$8:$K$991,10,FALSE)-IF(MONTH($C511)=4,$Y$3,IF(MONTH($C511)=5,$Y$4,IF(MONTH($C511)=6,$Y$5,IF(MONTH($C511)=7,$Y$6,"ERROR")))),0),MAX(VLOOKUP($C511,COS!$B$8:$K$991,9,FALSE)-IF(MONTH($C511)=4,$V$3,IF(MONTH($C511)=5,$V$4,IF(MONTH($C511)=6,$V$5,IF(MONTH($C511)=7,$V$6,"ERROR"))))-VLOOKUP($C511,COS!$B$8:$K$991,6,FALSE)/2,0))</f>
        <v>1500</v>
      </c>
      <c r="S511" s="26">
        <f t="shared" si="818"/>
        <v>89.256198347107429</v>
      </c>
      <c r="T511" s="26">
        <f t="shared" si="819"/>
        <v>169.37825771363313</v>
      </c>
      <c r="U511" s="26" t="str">
        <f>IF(VLOOKUP($C511,COS!$B$8:$I$991,8,FALSE)=1,"UWFE","IBU")</f>
        <v>IBU</v>
      </c>
      <c r="V511" s="26">
        <f t="shared" ref="V511" si="822">MIN(IF(IF($AA$3=2,AND(E511=1,G511=1,L511=1,L514=1,M511=1,U511="IBU"),AND(E511=1,G511=1,L511=1,L514=1,M511=1)),T511,0),I511)</f>
        <v>132.55312499999999</v>
      </c>
      <c r="W511" s="26"/>
      <c r="X511" s="26"/>
      <c r="Y511" s="26"/>
      <c r="Z511" s="26"/>
      <c r="AA511" s="26"/>
      <c r="AB511" s="33"/>
    </row>
    <row r="512" spans="1:28" x14ac:dyDescent="0.3">
      <c r="A512" s="32">
        <f>VLOOKUP(YEAR(C512),Flags!$A$13:$B$95,2,FALSE)</f>
        <v>5</v>
      </c>
      <c r="B512" s="24">
        <f t="shared" si="739"/>
        <v>1977</v>
      </c>
      <c r="C512" s="25">
        <v>28337</v>
      </c>
      <c r="D512" s="26">
        <f>VLOOKUP($C512,COS!$B$8:$H$991,3,FALSE)</f>
        <v>12847.9814453125</v>
      </c>
      <c r="E512" s="24">
        <f>IF(D512&gt;=IF(MONTH($C512)=4,$C$3,IF(MONTH($C512)=5,$C$4,IF(MONTH($C512)=6,$C$5,IF(MONTH($C512)=7,$C$6,"ERROR")))),1,0)</f>
        <v>1</v>
      </c>
      <c r="F512" s="26">
        <f>VLOOKUP($C512,COS!$B$8:$H$991,7,FALSE)</f>
        <v>56.79901123046875</v>
      </c>
      <c r="G512" s="24">
        <f>IF(F512&lt;=IF(MONTH($C512)=4,$F$3,IF(MONTH($C512)=5,$F$4,IF(MONTH($C512)=6,$F$5,IF(MONTH($C512)=7,$F$6,"ERROR")))),1,0)</f>
        <v>0</v>
      </c>
      <c r="H512" s="26">
        <f>IF(J512=1,D512-$C$6,0)</f>
        <v>0</v>
      </c>
      <c r="I512" s="26">
        <f t="shared" si="764"/>
        <v>0</v>
      </c>
      <c r="J512" s="24">
        <f t="shared" si="813"/>
        <v>0</v>
      </c>
      <c r="K512" s="26">
        <f>VLOOKUP($C512,COS!$B$8:$H$991,2,FALSE)</f>
        <v>674.0113525390625</v>
      </c>
      <c r="L512" s="24">
        <f t="shared" si="741"/>
        <v>1</v>
      </c>
      <c r="M512" s="24">
        <f t="shared" si="742"/>
        <v>1</v>
      </c>
      <c r="N512" s="26">
        <f>VLOOKUP($C512,COS!$B$8:$H$991,5,FALSE)</f>
        <v>236.5211181640625</v>
      </c>
      <c r="O512" s="26">
        <f t="shared" si="816"/>
        <v>14.543116687112603</v>
      </c>
      <c r="P512" s="26">
        <f>VLOOKUP($C512,COS!$B$8:$H$991,6,FALSE)</f>
        <v>2273.37158203125</v>
      </c>
      <c r="Q512" s="26">
        <f t="shared" si="817"/>
        <v>139.78417000258267</v>
      </c>
      <c r="R512" s="26">
        <f>MIN(IF(MONTH($C512)=4,$S$3,IF(MONTH($C512)=5,$S$4,IF(MONTH($C512)=6,$S$5,IF(MONTH($C512)=7,$S$6,"ERROR")))),MAX(VLOOKUP($C512,COS!$B$8:$K$991,10,FALSE)-IF(MONTH($C512)=4,$Y$3,IF(MONTH($C512)=5,$Y$4,IF(MONTH($C512)=6,$Y$5,IF(MONTH($C512)=7,$Y$6,"ERROR")))),0),MAX(VLOOKUP($C512,COS!$B$8:$K$991,9,FALSE)-IF(MONTH($C512)=4,$V$3,IF(MONTH($C512)=5,$V$4,IF(MONTH($C512)=6,$V$5,IF(MONTH($C512)=7,$V$6,"ERROR"))))-VLOOKUP($C512,COS!$B$8:$K$991,6,FALSE)/2,0))</f>
        <v>1500</v>
      </c>
      <c r="S512" s="26">
        <f t="shared" si="818"/>
        <v>92.231404958677686</v>
      </c>
      <c r="T512" s="26">
        <f t="shared" si="819"/>
        <v>169.39504830352533</v>
      </c>
      <c r="U512" s="26" t="str">
        <f>IF(VLOOKUP($C512,COS!$B$8:$I$991,8,FALSE)=1,"UWFE","IBU")</f>
        <v>IBU</v>
      </c>
      <c r="V512" s="26">
        <f t="shared" ref="V512" si="823">MIN(IF(IF($AA$3=2,AND(E512=1,G512=1,L512=1,L514=1,M512=1,U512="IBU"),AND(E512=1,G512=1,L512=1,L514=1,M512=1)),T512,0),I512)</f>
        <v>0</v>
      </c>
      <c r="W512" s="26"/>
      <c r="X512" s="26"/>
      <c r="Y512" s="26"/>
      <c r="Z512" s="26"/>
      <c r="AA512" s="26"/>
      <c r="AB512" s="33"/>
    </row>
    <row r="513" spans="1:28" x14ac:dyDescent="0.3">
      <c r="A513" s="32">
        <f>VLOOKUP(YEAR(C513),Flags!$A$13:$B$95,2,FALSE)</f>
        <v>5</v>
      </c>
      <c r="B513" s="24">
        <f t="shared" si="739"/>
        <v>1977</v>
      </c>
      <c r="C513" s="25">
        <v>28368</v>
      </c>
      <c r="D513" s="26"/>
      <c r="E513" s="24"/>
      <c r="F513" s="26"/>
      <c r="G513" s="24"/>
      <c r="H513" s="24"/>
      <c r="I513" s="26"/>
      <c r="J513" s="24"/>
      <c r="K513" s="26"/>
      <c r="L513" s="24"/>
      <c r="M513" s="24"/>
      <c r="N513" s="26"/>
      <c r="O513" s="26"/>
      <c r="P513" s="26"/>
      <c r="Q513" s="26"/>
      <c r="R513" s="26"/>
      <c r="S513" s="26"/>
      <c r="T513" s="26"/>
      <c r="U513" s="26"/>
      <c r="V513" s="26"/>
      <c r="W513" s="26">
        <f>MAX($C$7-VLOOKUP($C513,COS!$B$8:$H$991,3,FALSE),0)</f>
        <v>90811.39453125</v>
      </c>
      <c r="X513" s="26">
        <f t="shared" si="769"/>
        <v>5583.7750025826454</v>
      </c>
      <c r="Y513" s="26">
        <f>VLOOKUP($C513,COS!$B$8:$H$991,4,FALSE)</f>
        <v>3103.3232421875</v>
      </c>
      <c r="Z513" s="26">
        <f t="shared" si="770"/>
        <v>190.81590844524794</v>
      </c>
      <c r="AA513" s="26">
        <f t="shared" ref="AA513:AA517" si="824">MIN(W513,Y513)</f>
        <v>3103.3232421875</v>
      </c>
      <c r="AB513" s="33">
        <f t="shared" ref="AB513" si="825">AA513*DAY($C513)*86400/43560/1000*IF(MONTH($C513)=8,$P$3,IF(MONTH($C513)=9,$P$4,IF(MONTH($C513)=10,$P$5,IF(MONTH($C513)=11,$P$6,IF(MONTH($C513)=12,$P$7,NA())))))</f>
        <v>190.81590844524794</v>
      </c>
    </row>
    <row r="514" spans="1:28" x14ac:dyDescent="0.3">
      <c r="A514" s="32">
        <f>VLOOKUP(YEAR(C514),Flags!$A$13:$B$95,2,FALSE)</f>
        <v>5</v>
      </c>
      <c r="B514" s="24">
        <f t="shared" si="739"/>
        <v>1977</v>
      </c>
      <c r="C514" s="25">
        <v>28398</v>
      </c>
      <c r="D514" s="26"/>
      <c r="E514" s="24"/>
      <c r="F514" s="26"/>
      <c r="G514" s="24"/>
      <c r="H514" s="24"/>
      <c r="I514" s="26"/>
      <c r="J514" s="24"/>
      <c r="K514" s="26">
        <f>VLOOKUP($C514,COS!$B$8:$H$991,2,FALSE)</f>
        <v>550</v>
      </c>
      <c r="L514" s="24">
        <f t="shared" ref="L514" si="826">IF(AND(K514&gt;$I$7,K514&lt;$I$8),1,0)</f>
        <v>1</v>
      </c>
      <c r="M514" s="24"/>
      <c r="N514" s="26"/>
      <c r="O514" s="26"/>
      <c r="P514" s="26"/>
      <c r="Q514" s="26"/>
      <c r="R514" s="26"/>
      <c r="S514" s="26"/>
      <c r="T514" s="26"/>
      <c r="U514" s="26"/>
      <c r="V514" s="26"/>
      <c r="W514" s="26">
        <f>MAX($C$8-VLOOKUP($C514,COS!$B$8:$H$991,3,FALSE),0)</f>
        <v>96010.7861328125</v>
      </c>
      <c r="X514" s="26">
        <f t="shared" si="769"/>
        <v>5713.0385136880168</v>
      </c>
      <c r="Y514" s="26">
        <f>VLOOKUP($C514,COS!$B$8:$H$991,4,FALSE)</f>
        <v>2002.165283203125</v>
      </c>
      <c r="Z514" s="26">
        <f t="shared" si="770"/>
        <v>119.13710776084712</v>
      </c>
      <c r="AA514" s="26">
        <f t="shared" si="824"/>
        <v>2002.165283203125</v>
      </c>
      <c r="AB514" s="33">
        <f t="shared" si="752"/>
        <v>119.13710776084712</v>
      </c>
    </row>
    <row r="515" spans="1:28" x14ac:dyDescent="0.3">
      <c r="A515" s="32">
        <f>VLOOKUP(YEAR(C515),Flags!$A$13:$B$95,2,FALSE)</f>
        <v>5</v>
      </c>
      <c r="B515" s="24">
        <f t="shared" si="739"/>
        <v>1977</v>
      </c>
      <c r="C515" s="25">
        <v>28429</v>
      </c>
      <c r="D515" s="26"/>
      <c r="E515" s="24"/>
      <c r="F515" s="26"/>
      <c r="G515" s="26"/>
      <c r="H515" s="26"/>
      <c r="I515" s="26"/>
      <c r="J515" s="26"/>
      <c r="K515" s="26"/>
      <c r="L515" s="24"/>
      <c r="M515" s="24"/>
      <c r="N515" s="26"/>
      <c r="O515" s="26"/>
      <c r="P515" s="26"/>
      <c r="Q515" s="26"/>
      <c r="R515" s="26"/>
      <c r="S515" s="26"/>
      <c r="T515" s="26"/>
      <c r="U515" s="26"/>
      <c r="V515" s="26"/>
      <c r="W515" s="26">
        <f>MAX($C$9-VLOOKUP($C515,COS!$B$8:$H$991,3,FALSE),0)</f>
        <v>93437.82080078125</v>
      </c>
      <c r="X515" s="26">
        <f t="shared" si="769"/>
        <v>5745.2676591554746</v>
      </c>
      <c r="Y515" s="26">
        <f>VLOOKUP($C515,COS!$B$8:$H$991,4,FALSE)</f>
        <v>1799.302734375</v>
      </c>
      <c r="Z515" s="26">
        <f t="shared" si="770"/>
        <v>110.63481275826447</v>
      </c>
      <c r="AA515" s="26">
        <f t="shared" si="824"/>
        <v>1799.302734375</v>
      </c>
      <c r="AB515" s="33">
        <f t="shared" si="752"/>
        <v>110.63481275826447</v>
      </c>
    </row>
    <row r="516" spans="1:28" x14ac:dyDescent="0.3">
      <c r="A516" s="32">
        <f>VLOOKUP(YEAR(C516),Flags!$A$13:$B$95,2,FALSE)</f>
        <v>5</v>
      </c>
      <c r="B516" s="24">
        <f t="shared" si="739"/>
        <v>1977</v>
      </c>
      <c r="C516" s="25">
        <v>28459</v>
      </c>
      <c r="D516" s="26"/>
      <c r="E516" s="24"/>
      <c r="F516" s="26"/>
      <c r="G516" s="26"/>
      <c r="H516" s="26"/>
      <c r="I516" s="26"/>
      <c r="J516" s="26"/>
      <c r="K516" s="26"/>
      <c r="L516" s="24"/>
      <c r="M516" s="24"/>
      <c r="N516" s="26"/>
      <c r="O516" s="26"/>
      <c r="P516" s="26"/>
      <c r="Q516" s="26"/>
      <c r="R516" s="26"/>
      <c r="S516" s="26"/>
      <c r="T516" s="26"/>
      <c r="U516" s="26"/>
      <c r="V516" s="26"/>
      <c r="W516" s="26">
        <f>MAX($C$10-VLOOKUP($C516,COS!$B$8:$H$991,3,FALSE),0)</f>
        <v>96634.680419921875</v>
      </c>
      <c r="X516" s="26">
        <f t="shared" si="769"/>
        <v>5750.1628018465908</v>
      </c>
      <c r="Y516" s="26">
        <f>VLOOKUP($C516,COS!$B$8:$H$991,4,FALSE)</f>
        <v>1647.787109375</v>
      </c>
      <c r="Z516" s="26">
        <f t="shared" si="770"/>
        <v>98.05014204545455</v>
      </c>
      <c r="AA516" s="26">
        <f t="shared" si="824"/>
        <v>1647.787109375</v>
      </c>
      <c r="AB516" s="33">
        <f t="shared" si="752"/>
        <v>49.025071022727275</v>
      </c>
    </row>
    <row r="517" spans="1:28" x14ac:dyDescent="0.3">
      <c r="A517" s="34">
        <f>VLOOKUP(YEAR(C517),Flags!$A$13:$B$95,2,FALSE)</f>
        <v>5</v>
      </c>
      <c r="B517" s="35">
        <f t="shared" si="739"/>
        <v>1977</v>
      </c>
      <c r="C517" s="36">
        <v>28490</v>
      </c>
      <c r="D517" s="37"/>
      <c r="E517" s="35"/>
      <c r="F517" s="37"/>
      <c r="G517" s="37"/>
      <c r="H517" s="37"/>
      <c r="I517" s="37"/>
      <c r="J517" s="37"/>
      <c r="K517" s="37"/>
      <c r="L517" s="35"/>
      <c r="M517" s="35"/>
      <c r="N517" s="37"/>
      <c r="O517" s="37"/>
      <c r="P517" s="37"/>
      <c r="Q517" s="37"/>
      <c r="R517" s="37"/>
      <c r="S517" s="37"/>
      <c r="T517" s="37"/>
      <c r="U517" s="37"/>
      <c r="V517" s="37"/>
      <c r="W517" s="37">
        <f>MAX($C$11-VLOOKUP($C517,COS!$B$8:$H$991,3,FALSE),0)</f>
        <v>0</v>
      </c>
      <c r="X517" s="37">
        <f t="shared" si="769"/>
        <v>0</v>
      </c>
      <c r="Y517" s="37">
        <f>VLOOKUP($C517,COS!$B$8:$H$991,4,FALSE)</f>
        <v>1898.17529296875</v>
      </c>
      <c r="Z517" s="37">
        <f t="shared" si="770"/>
        <v>116.71424941890496</v>
      </c>
      <c r="AA517" s="37">
        <f t="shared" si="824"/>
        <v>0</v>
      </c>
      <c r="AB517" s="38">
        <f t="shared" si="752"/>
        <v>0</v>
      </c>
    </row>
    <row r="518" spans="1:28" x14ac:dyDescent="0.3">
      <c r="A518" s="27">
        <f>VLOOKUP(YEAR(C518),Flags!$A$13:$B$95,2,FALSE)</f>
        <v>2</v>
      </c>
      <c r="B518" s="28">
        <f t="shared" si="739"/>
        <v>1978</v>
      </c>
      <c r="C518" s="29">
        <v>28610</v>
      </c>
      <c r="D518" s="30">
        <f>VLOOKUP($C518,COS!$B$8:$H$991,3,FALSE)</f>
        <v>5366.947265625</v>
      </c>
      <c r="E518" s="28">
        <f>IF(D518&gt;=IF(MONTH($C518)=4,$C$3,IF(MONTH($C518)=5,$C$4,IF(MONTH($C518)=6,$C$5,IF(MONTH($C518)=7,$C$6,"ERROR")))),1,0)</f>
        <v>0</v>
      </c>
      <c r="F518" s="30">
        <f>VLOOKUP($C518,COS!$B$8:$H$991,7,FALSE)</f>
        <v>47.174221038818359</v>
      </c>
      <c r="G518" s="28">
        <f>IF(F518&lt;=IF(MONTH($C518)=4,$F$3,IF(MONTH($C518)=5,$F$4,IF(MONTH($C518)=6,$F$5,IF(MONTH($C518)=7,$F$6,"ERROR")))),1,0)</f>
        <v>1</v>
      </c>
      <c r="H518" s="30">
        <f>IF(J518=1,D518-$C$3,0)</f>
        <v>0</v>
      </c>
      <c r="I518" s="30">
        <f t="shared" si="764"/>
        <v>0</v>
      </c>
      <c r="J518" s="28">
        <f t="shared" ref="J518:J521" si="827">IF(AND(E518=1,G518=1),1,0)</f>
        <v>0</v>
      </c>
      <c r="K518" s="30">
        <f>VLOOKUP($C518,COS!$B$8:$H$991,2,FALSE)</f>
        <v>4552</v>
      </c>
      <c r="L518" s="28">
        <f t="shared" ref="L518" si="828">IF(K518&lt;=IF(MONTH($C518)=4,$I$3,IF(MONTH($C518)=5,$I$4,IF(MONTH($C518)=6,$I$5,IF(MONTH($C518)=7,$I$6,"ERROR")))),1,0)</f>
        <v>1</v>
      </c>
      <c r="M518" s="28">
        <f t="shared" ref="M518" si="829">VLOOKUP($A518,$L$3:$M$7,2,FALSE)</f>
        <v>0</v>
      </c>
      <c r="N518" s="30">
        <f>VLOOKUP($C518,COS!$B$8:$H$991,5,FALSE)</f>
        <v>14.349928855895996</v>
      </c>
      <c r="O518" s="30">
        <f t="shared" ref="O518:O521" si="830">N518*DAY($C518)*86400/43560/1000</f>
        <v>0.85388006415248896</v>
      </c>
      <c r="P518" s="30">
        <f>VLOOKUP($C518,COS!$B$8:$H$991,6,FALSE)</f>
        <v>353.44631958007813</v>
      </c>
      <c r="Q518" s="30">
        <f t="shared" ref="Q518:Q521" si="831">P518*DAY($C518)*86400/43560/1000</f>
        <v>21.031516536996385</v>
      </c>
      <c r="R518" s="30">
        <f>MIN(IF(MONTH($C518)=4,$S$3,IF(MONTH($C518)=5,$S$4,IF(MONTH($C518)=6,$S$5,IF(MONTH($C518)=7,$S$6,"ERROR")))),MAX(VLOOKUP($C518,COS!$B$8:$K$991,10,FALSE)-IF(MONTH($C518)=4,$Y$3,IF(MONTH($C518)=5,$Y$4,IF(MONTH($C518)=6,$Y$5,IF(MONTH($C518)=7,$Y$6,"ERROR")))),0),MAX(VLOOKUP($C518,COS!$B$8:$K$991,9,FALSE)-IF(MONTH($C518)=4,$V$3,IF(MONTH($C518)=5,$V$4,IF(MONTH($C518)=6,$V$5,IF(MONTH($C518)=7,$V$6,"ERROR"))))-VLOOKUP($C518,COS!$B$8:$K$991,6,FALSE)/2,0))</f>
        <v>1500</v>
      </c>
      <c r="S518" s="30">
        <f t="shared" ref="S518:S521" si="832">R518*DAY($C518)*86400/43560/1000</f>
        <v>89.256198347107429</v>
      </c>
      <c r="T518" s="30">
        <f t="shared" ref="T518:T521" si="833">(O518+Q518)/2+S518</f>
        <v>100.19889664768186</v>
      </c>
      <c r="U518" s="30" t="str">
        <f>IF(VLOOKUP($C518,COS!$B$8:$I$991,8,FALSE)=1,"UWFE","IBU")</f>
        <v>UWFE</v>
      </c>
      <c r="V518" s="30">
        <f t="shared" ref="V518" si="834">MIN(IF(IF($AA$3=2,AND(E518=1,G518=1,L518=1,L523=1,M518=1,U518="IBU"),AND(E518=1,G518=1,L518=1,L523=1,M518=1)),T518,0),I518)</f>
        <v>0</v>
      </c>
      <c r="W518" s="30"/>
      <c r="X518" s="30"/>
      <c r="Y518" s="30"/>
      <c r="Z518" s="30"/>
      <c r="AA518" s="30"/>
      <c r="AB518" s="31"/>
    </row>
    <row r="519" spans="1:28" x14ac:dyDescent="0.3">
      <c r="A519" s="32">
        <f>VLOOKUP(YEAR(C519),Flags!$A$13:$B$95,2,FALSE)</f>
        <v>2</v>
      </c>
      <c r="B519" s="24">
        <f t="shared" si="739"/>
        <v>1978</v>
      </c>
      <c r="C519" s="25">
        <v>28641</v>
      </c>
      <c r="D519" s="26">
        <f>VLOOKUP($C519,COS!$B$8:$H$991,3,FALSE)</f>
        <v>8295.84765625</v>
      </c>
      <c r="E519" s="24">
        <f>IF(D519&gt;=IF(MONTH($C519)=4,$C$3,IF(MONTH($C519)=5,$C$4,IF(MONTH($C519)=6,$C$5,IF(MONTH($C519)=7,$C$6,"ERROR")))),1,0)</f>
        <v>1</v>
      </c>
      <c r="F519" s="26">
        <f>VLOOKUP($C519,COS!$B$8:$H$991,7,FALSE)</f>
        <v>48.754131317138672</v>
      </c>
      <c r="G519" s="24">
        <f>IF(F519&lt;=IF(MONTH($C519)=4,$F$3,IF(MONTH($C519)=5,$F$4,IF(MONTH($C519)=6,$F$5,IF(MONTH($C519)=7,$F$6,"ERROR")))),1,0)</f>
        <v>1</v>
      </c>
      <c r="H519" s="26">
        <f>IF(J519=1,D519-$C$4,0)</f>
        <v>2295.84765625</v>
      </c>
      <c r="I519" s="26">
        <f t="shared" si="764"/>
        <v>141.16616993801654</v>
      </c>
      <c r="J519" s="24">
        <f t="shared" si="827"/>
        <v>1</v>
      </c>
      <c r="K519" s="26">
        <f>VLOOKUP($C519,COS!$B$8:$H$991,2,FALSE)</f>
        <v>4552</v>
      </c>
      <c r="L519" s="24">
        <f t="shared" si="741"/>
        <v>1</v>
      </c>
      <c r="M519" s="24">
        <f t="shared" si="742"/>
        <v>0</v>
      </c>
      <c r="N519" s="26">
        <f>VLOOKUP($C519,COS!$B$8:$H$991,5,FALSE)</f>
        <v>802.34027099609375</v>
      </c>
      <c r="O519" s="26">
        <f t="shared" si="830"/>
        <v>49.333980299263942</v>
      </c>
      <c r="P519" s="26">
        <f>VLOOKUP($C519,COS!$B$8:$H$991,6,FALSE)</f>
        <v>2254.8779296875</v>
      </c>
      <c r="Q519" s="26">
        <f t="shared" si="831"/>
        <v>138.64703964359506</v>
      </c>
      <c r="R519" s="26">
        <f>MIN(IF(MONTH($C519)=4,$S$3,IF(MONTH($C519)=5,$S$4,IF(MONTH($C519)=6,$S$5,IF(MONTH($C519)=7,$S$6,"ERROR")))),MAX(VLOOKUP($C519,COS!$B$8:$K$991,10,FALSE)-IF(MONTH($C519)=4,$Y$3,IF(MONTH($C519)=5,$Y$4,IF(MONTH($C519)=6,$Y$5,IF(MONTH($C519)=7,$Y$6,"ERROR")))),0),MAX(VLOOKUP($C519,COS!$B$8:$K$991,9,FALSE)-IF(MONTH($C519)=4,$V$3,IF(MONTH($C519)=5,$V$4,IF(MONTH($C519)=6,$V$5,IF(MONTH($C519)=7,$V$6,"ERROR"))))-VLOOKUP($C519,COS!$B$8:$K$991,6,FALSE)/2,0))</f>
        <v>1500</v>
      </c>
      <c r="S519" s="26">
        <f t="shared" si="832"/>
        <v>92.231404958677686</v>
      </c>
      <c r="T519" s="26">
        <f t="shared" si="833"/>
        <v>186.22191493010718</v>
      </c>
      <c r="U519" s="26" t="str">
        <f>IF(VLOOKUP($C519,COS!$B$8:$I$991,8,FALSE)=1,"UWFE","IBU")</f>
        <v>UWFE</v>
      </c>
      <c r="V519" s="26">
        <f t="shared" ref="V519" si="835">MIN(IF(IF($AA$3=2,AND(E519=1,G519=1,L519=1,L523=1,M519=1,U519="IBU"),AND(E519=1,G519=1,L519=1,L523=1,M519=1)),T519,0),I519)</f>
        <v>0</v>
      </c>
      <c r="W519" s="26"/>
      <c r="X519" s="26"/>
      <c r="Y519" s="26"/>
      <c r="Z519" s="26"/>
      <c r="AA519" s="26"/>
      <c r="AB519" s="33"/>
    </row>
    <row r="520" spans="1:28" x14ac:dyDescent="0.3">
      <c r="A520" s="32">
        <f>VLOOKUP(YEAR(C520),Flags!$A$13:$B$95,2,FALSE)</f>
        <v>2</v>
      </c>
      <c r="B520" s="24">
        <f t="shared" si="739"/>
        <v>1978</v>
      </c>
      <c r="C520" s="25">
        <v>28671</v>
      </c>
      <c r="D520" s="26">
        <f>VLOOKUP($C520,COS!$B$8:$H$991,3,FALSE)</f>
        <v>9561.716796875</v>
      </c>
      <c r="E520" s="24">
        <f>IF(D520&gt;=IF(MONTH($C520)=4,$C$3,IF(MONTH($C520)=5,$C$4,IF(MONTH($C520)=6,$C$5,IF(MONTH($C520)=7,$C$6,"ERROR")))),1,0)</f>
        <v>0</v>
      </c>
      <c r="F520" s="26">
        <f>VLOOKUP($C520,COS!$B$8:$H$991,7,FALSE)</f>
        <v>49.9637451171875</v>
      </c>
      <c r="G520" s="24">
        <f>IF(F520&lt;=IF(MONTH($C520)=4,$F$3,IF(MONTH($C520)=5,$F$4,IF(MONTH($C520)=6,$F$5,IF(MONTH($C520)=7,$F$6,"ERROR")))),1,0)</f>
        <v>1</v>
      </c>
      <c r="H520" s="26">
        <f>IF(J520=1,D520-$C$5,0)</f>
        <v>0</v>
      </c>
      <c r="I520" s="26">
        <f t="shared" si="764"/>
        <v>0</v>
      </c>
      <c r="J520" s="24">
        <f t="shared" si="827"/>
        <v>0</v>
      </c>
      <c r="K520" s="26">
        <f>VLOOKUP($C520,COS!$B$8:$H$991,2,FALSE)</f>
        <v>4231.4814453125</v>
      </c>
      <c r="L520" s="24">
        <f t="shared" si="741"/>
        <v>1</v>
      </c>
      <c r="M520" s="24">
        <f t="shared" si="742"/>
        <v>0</v>
      </c>
      <c r="N520" s="26">
        <f>VLOOKUP($C520,COS!$B$8:$H$991,5,FALSE)</f>
        <v>1242.423828125</v>
      </c>
      <c r="O520" s="26">
        <f t="shared" si="830"/>
        <v>73.929351756198344</v>
      </c>
      <c r="P520" s="26">
        <f>VLOOKUP($C520,COS!$B$8:$H$991,6,FALSE)</f>
        <v>2349.44482421875</v>
      </c>
      <c r="Q520" s="26">
        <f t="shared" si="831"/>
        <v>139.80167549070248</v>
      </c>
      <c r="R520" s="26">
        <f>MIN(IF(MONTH($C520)=4,$S$3,IF(MONTH($C520)=5,$S$4,IF(MONTH($C520)=6,$S$5,IF(MONTH($C520)=7,$S$6,"ERROR")))),MAX(VLOOKUP($C520,COS!$B$8:$K$991,10,FALSE)-IF(MONTH($C520)=4,$Y$3,IF(MONTH($C520)=5,$Y$4,IF(MONTH($C520)=6,$Y$5,IF(MONTH($C520)=7,$Y$6,"ERROR")))),0),MAX(VLOOKUP($C520,COS!$B$8:$K$991,9,FALSE)-IF(MONTH($C520)=4,$V$3,IF(MONTH($C520)=5,$V$4,IF(MONTH($C520)=6,$V$5,IF(MONTH($C520)=7,$V$6,"ERROR"))))-VLOOKUP($C520,COS!$B$8:$K$991,6,FALSE)/2,0))</f>
        <v>1500</v>
      </c>
      <c r="S520" s="26">
        <f t="shared" si="832"/>
        <v>89.256198347107429</v>
      </c>
      <c r="T520" s="26">
        <f t="shared" si="833"/>
        <v>196.12171197055784</v>
      </c>
      <c r="U520" s="26" t="str">
        <f>IF(VLOOKUP($C520,COS!$B$8:$I$991,8,FALSE)=1,"UWFE","IBU")</f>
        <v>UWFE</v>
      </c>
      <c r="V520" s="26">
        <f t="shared" ref="V520" si="836">MIN(IF(IF($AA$3=2,AND(E520=1,G520=1,L520=1,L523=1,M520=1,U520="IBU"),AND(E520=1,G520=1,L520=1,L523=1,M520=1)),T520,0),I520)</f>
        <v>0</v>
      </c>
      <c r="W520" s="26"/>
      <c r="X520" s="26"/>
      <c r="Y520" s="26"/>
      <c r="Z520" s="26"/>
      <c r="AA520" s="26"/>
      <c r="AB520" s="33"/>
    </row>
    <row r="521" spans="1:28" x14ac:dyDescent="0.3">
      <c r="A521" s="32">
        <f>VLOOKUP(YEAR(C521),Flags!$A$13:$B$95,2,FALSE)</f>
        <v>2</v>
      </c>
      <c r="B521" s="24">
        <f t="shared" si="739"/>
        <v>1978</v>
      </c>
      <c r="C521" s="25">
        <v>28702</v>
      </c>
      <c r="D521" s="26">
        <f>VLOOKUP($C521,COS!$B$8:$H$991,3,FALSE)</f>
        <v>13248.9892578125</v>
      </c>
      <c r="E521" s="24">
        <f>IF(D521&gt;=IF(MONTH($C521)=4,$C$3,IF(MONTH($C521)=5,$C$4,IF(MONTH($C521)=6,$C$5,IF(MONTH($C521)=7,$C$6,"ERROR")))),1,0)</f>
        <v>1</v>
      </c>
      <c r="F521" s="26">
        <f>VLOOKUP($C521,COS!$B$8:$H$991,7,FALSE)</f>
        <v>50.877964019775391</v>
      </c>
      <c r="G521" s="24">
        <f>IF(F521&lt;=IF(MONTH($C521)=4,$F$3,IF(MONTH($C521)=5,$F$4,IF(MONTH($C521)=6,$F$5,IF(MONTH($C521)=7,$F$6,"ERROR")))),1,0)</f>
        <v>1</v>
      </c>
      <c r="H521" s="26">
        <f>IF(J521=1,D521-$C$6,0)</f>
        <v>1248.9892578125</v>
      </c>
      <c r="I521" s="26">
        <f t="shared" si="764"/>
        <v>76.797356017561981</v>
      </c>
      <c r="J521" s="24">
        <f t="shared" si="827"/>
        <v>1</v>
      </c>
      <c r="K521" s="26">
        <f>VLOOKUP($C521,COS!$B$8:$H$991,2,FALSE)</f>
        <v>3678.985107421875</v>
      </c>
      <c r="L521" s="24">
        <f t="shared" si="741"/>
        <v>1</v>
      </c>
      <c r="M521" s="24">
        <f t="shared" si="742"/>
        <v>0</v>
      </c>
      <c r="N521" s="26">
        <f>VLOOKUP($C521,COS!$B$8:$H$991,5,FALSE)</f>
        <v>1355.9876708984375</v>
      </c>
      <c r="O521" s="26">
        <f t="shared" si="830"/>
        <v>83.376431995738628</v>
      </c>
      <c r="P521" s="26">
        <f>VLOOKUP($C521,COS!$B$8:$H$991,6,FALSE)</f>
        <v>2562.892822265625</v>
      </c>
      <c r="Q521" s="26">
        <f t="shared" si="831"/>
        <v>157.58613717071282</v>
      </c>
      <c r="R521" s="26">
        <f>MIN(IF(MONTH($C521)=4,$S$3,IF(MONTH($C521)=5,$S$4,IF(MONTH($C521)=6,$S$5,IF(MONTH($C521)=7,$S$6,"ERROR")))),MAX(VLOOKUP($C521,COS!$B$8:$K$991,10,FALSE)-IF(MONTH($C521)=4,$Y$3,IF(MONTH($C521)=5,$Y$4,IF(MONTH($C521)=6,$Y$5,IF(MONTH($C521)=7,$Y$6,"ERROR")))),0),MAX(VLOOKUP($C521,COS!$B$8:$K$991,9,FALSE)-IF(MONTH($C521)=4,$V$3,IF(MONTH($C521)=5,$V$4,IF(MONTH($C521)=6,$V$5,IF(MONTH($C521)=7,$V$6,"ERROR"))))-VLOOKUP($C521,COS!$B$8:$K$991,6,FALSE)/2,0))</f>
        <v>1500</v>
      </c>
      <c r="S521" s="26">
        <f t="shared" si="832"/>
        <v>92.231404958677686</v>
      </c>
      <c r="T521" s="26">
        <f t="shared" si="833"/>
        <v>212.71268954190339</v>
      </c>
      <c r="U521" s="26" t="str">
        <f>IF(VLOOKUP($C521,COS!$B$8:$I$991,8,FALSE)=1,"UWFE","IBU")</f>
        <v>IBU</v>
      </c>
      <c r="V521" s="26">
        <f t="shared" ref="V521" si="837">MIN(IF(IF($AA$3=2,AND(E521=1,G521=1,L521=1,L523=1,M521=1,U521="IBU"),AND(E521=1,G521=1,L521=1,L523=1,M521=1)),T521,0),I521)</f>
        <v>0</v>
      </c>
      <c r="W521" s="26"/>
      <c r="X521" s="26"/>
      <c r="Y521" s="26"/>
      <c r="Z521" s="26"/>
      <c r="AA521" s="26"/>
      <c r="AB521" s="33"/>
    </row>
    <row r="522" spans="1:28" x14ac:dyDescent="0.3">
      <c r="A522" s="32">
        <f>VLOOKUP(YEAR(C522),Flags!$A$13:$B$95,2,FALSE)</f>
        <v>2</v>
      </c>
      <c r="B522" s="24">
        <f t="shared" si="739"/>
        <v>1978</v>
      </c>
      <c r="C522" s="25">
        <v>28733</v>
      </c>
      <c r="D522" s="26"/>
      <c r="E522" s="24"/>
      <c r="F522" s="26"/>
      <c r="G522" s="24"/>
      <c r="H522" s="24"/>
      <c r="I522" s="26"/>
      <c r="J522" s="24"/>
      <c r="K522" s="26"/>
      <c r="L522" s="24"/>
      <c r="M522" s="24"/>
      <c r="N522" s="26"/>
      <c r="O522" s="26"/>
      <c r="P522" s="26"/>
      <c r="Q522" s="26"/>
      <c r="R522" s="26"/>
      <c r="S522" s="26"/>
      <c r="T522" s="26"/>
      <c r="U522" s="26"/>
      <c r="V522" s="26"/>
      <c r="W522" s="26">
        <f>MAX($C$7-VLOOKUP($C522,COS!$B$8:$H$991,3,FALSE),0)</f>
        <v>90311.0869140625</v>
      </c>
      <c r="X522" s="26">
        <f t="shared" si="769"/>
        <v>5553.0122862861563</v>
      </c>
      <c r="Y522" s="26">
        <f>VLOOKUP($C522,COS!$B$8:$H$991,4,FALSE)</f>
        <v>138.08555603027344</v>
      </c>
      <c r="Z522" s="26">
        <f t="shared" si="770"/>
        <v>8.490549891448218</v>
      </c>
      <c r="AA522" s="26">
        <f t="shared" ref="AA522:AA526" si="838">MIN(W522,Y522)</f>
        <v>138.08555603027344</v>
      </c>
      <c r="AB522" s="33">
        <f t="shared" ref="AB522" si="839">AA522*DAY($C522)*86400/43560/1000*IF(MONTH($C522)=8,$P$3,IF(MONTH($C522)=9,$P$4,IF(MONTH($C522)=10,$P$5,IF(MONTH($C522)=11,$P$6,IF(MONTH($C522)=12,$P$7,NA())))))</f>
        <v>8.490549891448218</v>
      </c>
    </row>
    <row r="523" spans="1:28" x14ac:dyDescent="0.3">
      <c r="A523" s="32">
        <f>VLOOKUP(YEAR(C523),Flags!$A$13:$B$95,2,FALSE)</f>
        <v>2</v>
      </c>
      <c r="B523" s="24">
        <f t="shared" si="739"/>
        <v>1978</v>
      </c>
      <c r="C523" s="25">
        <v>28763</v>
      </c>
      <c r="D523" s="26"/>
      <c r="E523" s="24"/>
      <c r="F523" s="26"/>
      <c r="G523" s="24"/>
      <c r="H523" s="24"/>
      <c r="I523" s="26"/>
      <c r="J523" s="24"/>
      <c r="K523" s="26">
        <f>VLOOKUP($C523,COS!$B$8:$H$991,2,FALSE)</f>
        <v>3233.942626953125</v>
      </c>
      <c r="L523" s="24">
        <f t="shared" ref="L523" si="840">IF(AND(K523&gt;$I$7,K523&lt;$I$8),1,0)</f>
        <v>1</v>
      </c>
      <c r="M523" s="24"/>
      <c r="N523" s="26"/>
      <c r="O523" s="26"/>
      <c r="P523" s="26"/>
      <c r="Q523" s="26"/>
      <c r="R523" s="26"/>
      <c r="S523" s="26"/>
      <c r="T523" s="26"/>
      <c r="U523" s="26"/>
      <c r="V523" s="26"/>
      <c r="W523" s="26">
        <f>MAX($C$8-VLOOKUP($C523,COS!$B$8:$H$991,3,FALSE),0)</f>
        <v>93316.7197265625</v>
      </c>
      <c r="X523" s="26">
        <f t="shared" si="769"/>
        <v>5552.7304300103306</v>
      </c>
      <c r="Y523" s="26">
        <f>VLOOKUP($C523,COS!$B$8:$H$991,4,FALSE)</f>
        <v>124.30649566650391</v>
      </c>
      <c r="Z523" s="26">
        <f t="shared" si="770"/>
        <v>7.3967501553622164</v>
      </c>
      <c r="AA523" s="26">
        <f t="shared" si="838"/>
        <v>124.30649566650391</v>
      </c>
      <c r="AB523" s="33">
        <f t="shared" si="752"/>
        <v>7.3967501553622164</v>
      </c>
    </row>
    <row r="524" spans="1:28" x14ac:dyDescent="0.3">
      <c r="A524" s="32">
        <f>VLOOKUP(YEAR(C524),Flags!$A$13:$B$95,2,FALSE)</f>
        <v>2</v>
      </c>
      <c r="B524" s="24">
        <f t="shared" si="739"/>
        <v>1978</v>
      </c>
      <c r="C524" s="25">
        <v>28794</v>
      </c>
      <c r="D524" s="26"/>
      <c r="E524" s="24"/>
      <c r="F524" s="26"/>
      <c r="G524" s="26"/>
      <c r="H524" s="26"/>
      <c r="I524" s="26"/>
      <c r="J524" s="26"/>
      <c r="K524" s="26"/>
      <c r="L524" s="24"/>
      <c r="M524" s="24"/>
      <c r="N524" s="26"/>
      <c r="O524" s="26"/>
      <c r="P524" s="26"/>
      <c r="Q524" s="26"/>
      <c r="R524" s="26"/>
      <c r="S524" s="26"/>
      <c r="T524" s="26"/>
      <c r="U524" s="26"/>
      <c r="V524" s="26"/>
      <c r="W524" s="26">
        <f>MAX($C$9-VLOOKUP($C524,COS!$B$8:$H$991,3,FALSE),0)</f>
        <v>94237.51806640625</v>
      </c>
      <c r="X524" s="26">
        <f t="shared" si="769"/>
        <v>5794.4391273889469</v>
      </c>
      <c r="Y524" s="26">
        <f>VLOOKUP($C524,COS!$B$8:$H$991,4,FALSE)</f>
        <v>308.338623046875</v>
      </c>
      <c r="Z524" s="26">
        <f t="shared" si="770"/>
        <v>18.959002937758264</v>
      </c>
      <c r="AA524" s="26">
        <f t="shared" si="838"/>
        <v>308.338623046875</v>
      </c>
      <c r="AB524" s="33">
        <f t="shared" si="752"/>
        <v>18.959002937758264</v>
      </c>
    </row>
    <row r="525" spans="1:28" x14ac:dyDescent="0.3">
      <c r="A525" s="32">
        <f>VLOOKUP(YEAR(C525),Flags!$A$13:$B$95,2,FALSE)</f>
        <v>2</v>
      </c>
      <c r="B525" s="24">
        <f t="shared" si="739"/>
        <v>1978</v>
      </c>
      <c r="C525" s="25">
        <v>28824</v>
      </c>
      <c r="D525" s="26"/>
      <c r="E525" s="24"/>
      <c r="F525" s="26"/>
      <c r="G525" s="26"/>
      <c r="H525" s="26"/>
      <c r="I525" s="26"/>
      <c r="J525" s="26"/>
      <c r="K525" s="26"/>
      <c r="L525" s="24"/>
      <c r="M525" s="24"/>
      <c r="N525" s="26"/>
      <c r="O525" s="26"/>
      <c r="P525" s="26"/>
      <c r="Q525" s="26"/>
      <c r="R525" s="26"/>
      <c r="S525" s="26"/>
      <c r="T525" s="26"/>
      <c r="U525" s="26"/>
      <c r="V525" s="26"/>
      <c r="W525" s="26">
        <f>MAX($C$10-VLOOKUP($C525,COS!$B$8:$H$991,3,FALSE),0)</f>
        <v>90817.384765625</v>
      </c>
      <c r="X525" s="26">
        <f t="shared" si="769"/>
        <v>5404.0096720041329</v>
      </c>
      <c r="Y525" s="26">
        <f>VLOOKUP($C525,COS!$B$8:$H$991,4,FALSE)</f>
        <v>283.46884155273438</v>
      </c>
      <c r="Z525" s="26">
        <f t="shared" si="770"/>
        <v>16.867567431237088</v>
      </c>
      <c r="AA525" s="26">
        <f t="shared" si="838"/>
        <v>283.46884155273438</v>
      </c>
      <c r="AB525" s="33">
        <f t="shared" si="752"/>
        <v>8.433783715618544</v>
      </c>
    </row>
    <row r="526" spans="1:28" x14ac:dyDescent="0.3">
      <c r="A526" s="34">
        <f>VLOOKUP(YEAR(C526),Flags!$A$13:$B$95,2,FALSE)</f>
        <v>2</v>
      </c>
      <c r="B526" s="35">
        <f t="shared" si="739"/>
        <v>1978</v>
      </c>
      <c r="C526" s="36">
        <v>28855</v>
      </c>
      <c r="D526" s="37"/>
      <c r="E526" s="35"/>
      <c r="F526" s="37"/>
      <c r="G526" s="37"/>
      <c r="H526" s="37"/>
      <c r="I526" s="37"/>
      <c r="J526" s="37"/>
      <c r="K526" s="37"/>
      <c r="L526" s="35"/>
      <c r="M526" s="35"/>
      <c r="N526" s="37"/>
      <c r="O526" s="37"/>
      <c r="P526" s="37"/>
      <c r="Q526" s="37"/>
      <c r="R526" s="37"/>
      <c r="S526" s="37"/>
      <c r="T526" s="37"/>
      <c r="U526" s="37"/>
      <c r="V526" s="37"/>
      <c r="W526" s="37">
        <f>MAX($C$11-VLOOKUP($C526,COS!$B$8:$H$991,3,FALSE),0)</f>
        <v>0</v>
      </c>
      <c r="X526" s="37">
        <f t="shared" si="769"/>
        <v>0</v>
      </c>
      <c r="Y526" s="37">
        <f>VLOOKUP($C526,COS!$B$8:$H$991,4,FALSE)</f>
        <v>569.04254150390625</v>
      </c>
      <c r="Z526" s="37">
        <f t="shared" si="770"/>
        <v>34.989062056107954</v>
      </c>
      <c r="AA526" s="37">
        <f t="shared" si="838"/>
        <v>0</v>
      </c>
      <c r="AB526" s="38">
        <f t="shared" si="752"/>
        <v>0</v>
      </c>
    </row>
    <row r="527" spans="1:28" x14ac:dyDescent="0.3">
      <c r="A527" s="27">
        <f>VLOOKUP(YEAR(C527),Flags!$A$13:$B$95,2,FALSE)</f>
        <v>4</v>
      </c>
      <c r="B527" s="28">
        <f t="shared" ref="B527:B590" si="841">YEAR(C527)</f>
        <v>1979</v>
      </c>
      <c r="C527" s="29">
        <v>28975</v>
      </c>
      <c r="D527" s="30">
        <f>VLOOKUP($C527,COS!$B$8:$H$991,3,FALSE)</f>
        <v>3250</v>
      </c>
      <c r="E527" s="28">
        <f>IF(D527&gt;=IF(MONTH($C527)=4,$C$3,IF(MONTH($C527)=5,$C$4,IF(MONTH($C527)=6,$C$5,IF(MONTH($C527)=7,$C$6,"ERROR")))),1,0)</f>
        <v>0</v>
      </c>
      <c r="F527" s="30">
        <f>VLOOKUP($C527,COS!$B$8:$H$991,7,FALSE)</f>
        <v>51.270172119140625</v>
      </c>
      <c r="G527" s="28">
        <f>IF(F527&lt;=IF(MONTH($C527)=4,$F$3,IF(MONTH($C527)=5,$F$4,IF(MONTH($C527)=6,$F$5,IF(MONTH($C527)=7,$F$6,"ERROR")))),1,0)</f>
        <v>1</v>
      </c>
      <c r="H527" s="30">
        <f>IF(J527=1,D527-$C$3,0)</f>
        <v>0</v>
      </c>
      <c r="I527" s="30">
        <f t="shared" si="764"/>
        <v>0</v>
      </c>
      <c r="J527" s="28">
        <f t="shared" ref="J527:J530" si="842">IF(AND(E527=1,G527=1),1,0)</f>
        <v>0</v>
      </c>
      <c r="K527" s="30">
        <f>VLOOKUP($C527,COS!$B$8:$H$991,2,FALSE)</f>
        <v>4053.44189453125</v>
      </c>
      <c r="L527" s="28">
        <f t="shared" ref="L527:L584" si="843">IF(K527&lt;=IF(MONTH($C527)=4,$I$3,IF(MONTH($C527)=5,$I$4,IF(MONTH($C527)=6,$I$5,IF(MONTH($C527)=7,$I$6,"ERROR")))),1,0)</f>
        <v>1</v>
      </c>
      <c r="M527" s="28">
        <f t="shared" ref="M527:M584" si="844">VLOOKUP($A527,$L$3:$M$7,2,FALSE)</f>
        <v>1</v>
      </c>
      <c r="N527" s="30">
        <f>VLOOKUP($C527,COS!$B$8:$H$991,5,FALSE)</f>
        <v>214.24491882324219</v>
      </c>
      <c r="O527" s="30">
        <f t="shared" ref="O527:O530" si="845">N527*DAY($C527)*86400/43560/1000</f>
        <v>12.748457979564824</v>
      </c>
      <c r="P527" s="30">
        <f>VLOOKUP($C527,COS!$B$8:$H$991,6,FALSE)</f>
        <v>439.33358764648438</v>
      </c>
      <c r="Q527" s="30">
        <f t="shared" ref="Q527:Q530" si="846">P527*DAY($C527)*86400/43560/1000</f>
        <v>26.142163893013944</v>
      </c>
      <c r="R527" s="30">
        <f>MIN(IF(MONTH($C527)=4,$S$3,IF(MONTH($C527)=5,$S$4,IF(MONTH($C527)=6,$S$5,IF(MONTH($C527)=7,$S$6,"ERROR")))),MAX(VLOOKUP($C527,COS!$B$8:$K$991,10,FALSE)-IF(MONTH($C527)=4,$Y$3,IF(MONTH($C527)=5,$Y$4,IF(MONTH($C527)=6,$Y$5,IF(MONTH($C527)=7,$Y$6,"ERROR")))),0),MAX(VLOOKUP($C527,COS!$B$8:$K$991,9,FALSE)-IF(MONTH($C527)=4,$V$3,IF(MONTH($C527)=5,$V$4,IF(MONTH($C527)=6,$V$5,IF(MONTH($C527)=7,$V$6,"ERROR"))))-VLOOKUP($C527,COS!$B$8:$K$991,6,FALSE)/2,0))</f>
        <v>1500</v>
      </c>
      <c r="S527" s="30">
        <f t="shared" ref="S527:S530" si="847">R527*DAY($C527)*86400/43560/1000</f>
        <v>89.256198347107429</v>
      </c>
      <c r="T527" s="30">
        <f t="shared" ref="T527:T530" si="848">(O527+Q527)/2+S527</f>
        <v>108.70150928339682</v>
      </c>
      <c r="U527" s="30" t="str">
        <f>IF(VLOOKUP($C527,COS!$B$8:$I$991,8,FALSE)=1,"UWFE","IBU")</f>
        <v>UWFE</v>
      </c>
      <c r="V527" s="30">
        <f t="shared" ref="V527" si="849">MIN(IF(IF($AA$3=2,AND(E527=1,G527=1,L527=1,L532=1,M527=1,U527="IBU"),AND(E527=1,G527=1,L527=1,L532=1,M527=1)),T527,0),I527)</f>
        <v>0</v>
      </c>
      <c r="W527" s="30"/>
      <c r="X527" s="30"/>
      <c r="Y527" s="30"/>
      <c r="Z527" s="30"/>
      <c r="AA527" s="30"/>
      <c r="AB527" s="31"/>
    </row>
    <row r="528" spans="1:28" x14ac:dyDescent="0.3">
      <c r="A528" s="32">
        <f>VLOOKUP(YEAR(C528),Flags!$A$13:$B$95,2,FALSE)</f>
        <v>4</v>
      </c>
      <c r="B528" s="24">
        <f t="shared" si="841"/>
        <v>1979</v>
      </c>
      <c r="C528" s="25">
        <v>29006</v>
      </c>
      <c r="D528" s="26">
        <f>VLOOKUP($C528,COS!$B$8:$H$991,3,FALSE)</f>
        <v>4739.0380859375</v>
      </c>
      <c r="E528" s="24">
        <f>IF(D528&gt;=IF(MONTH($C528)=4,$C$3,IF(MONTH($C528)=5,$C$4,IF(MONTH($C528)=6,$C$5,IF(MONTH($C528)=7,$C$6,"ERROR")))),1,0)</f>
        <v>0</v>
      </c>
      <c r="F528" s="26">
        <f>VLOOKUP($C528,COS!$B$8:$H$991,7,FALSE)</f>
        <v>53.222888946533203</v>
      </c>
      <c r="G528" s="24">
        <f>IF(F528&lt;=IF(MONTH($C528)=4,$F$3,IF(MONTH($C528)=5,$F$4,IF(MONTH($C528)=6,$F$5,IF(MONTH($C528)=7,$F$6,"ERROR")))),1,0)</f>
        <v>1</v>
      </c>
      <c r="H528" s="26">
        <f>IF(J528=1,D528-$C$4,0)</f>
        <v>0</v>
      </c>
      <c r="I528" s="26">
        <f t="shared" si="764"/>
        <v>0</v>
      </c>
      <c r="J528" s="24">
        <f t="shared" si="842"/>
        <v>0</v>
      </c>
      <c r="K528" s="26">
        <f>VLOOKUP($C528,COS!$B$8:$H$991,2,FALSE)</f>
        <v>4220.81298828125</v>
      </c>
      <c r="L528" s="24">
        <f t="shared" si="843"/>
        <v>1</v>
      </c>
      <c r="M528" s="24">
        <f t="shared" si="844"/>
        <v>1</v>
      </c>
      <c r="N528" s="26">
        <f>VLOOKUP($C528,COS!$B$8:$H$991,5,FALSE)</f>
        <v>321.92453002929688</v>
      </c>
      <c r="O528" s="26">
        <f t="shared" si="845"/>
        <v>19.794367796842717</v>
      </c>
      <c r="P528" s="26">
        <f>VLOOKUP($C528,COS!$B$8:$H$991,6,FALSE)</f>
        <v>2260.58740234375</v>
      </c>
      <c r="Q528" s="26">
        <f t="shared" si="846"/>
        <v>138.99810143336776</v>
      </c>
      <c r="R528" s="26">
        <f>MIN(IF(MONTH($C528)=4,$S$3,IF(MONTH($C528)=5,$S$4,IF(MONTH($C528)=6,$S$5,IF(MONTH($C528)=7,$S$6,"ERROR")))),MAX(VLOOKUP($C528,COS!$B$8:$K$991,10,FALSE)-IF(MONTH($C528)=4,$Y$3,IF(MONTH($C528)=5,$Y$4,IF(MONTH($C528)=6,$Y$5,IF(MONTH($C528)=7,$Y$6,"ERROR")))),0),MAX(VLOOKUP($C528,COS!$B$8:$K$991,9,FALSE)-IF(MONTH($C528)=4,$V$3,IF(MONTH($C528)=5,$V$4,IF(MONTH($C528)=6,$V$5,IF(MONTH($C528)=7,$V$6,"ERROR"))))-VLOOKUP($C528,COS!$B$8:$K$991,6,FALSE)/2,0))</f>
        <v>1374.939453125</v>
      </c>
      <c r="S528" s="26">
        <f t="shared" si="847"/>
        <v>84.541731663223132</v>
      </c>
      <c r="T528" s="26">
        <f t="shared" si="848"/>
        <v>163.93796627832836</v>
      </c>
      <c r="U528" s="26" t="str">
        <f>IF(VLOOKUP($C528,COS!$B$8:$I$991,8,FALSE)=1,"UWFE","IBU")</f>
        <v>UWFE</v>
      </c>
      <c r="V528" s="26">
        <f t="shared" ref="V528" si="850">MIN(IF(IF($AA$3=2,AND(E528=1,G528=1,L528=1,L532=1,M528=1,U528="IBU"),AND(E528=1,G528=1,L528=1,L532=1,M528=1)),T528,0),I528)</f>
        <v>0</v>
      </c>
      <c r="W528" s="26"/>
      <c r="X528" s="26"/>
      <c r="Y528" s="26"/>
      <c r="Z528" s="26"/>
      <c r="AA528" s="26"/>
      <c r="AB528" s="33"/>
    </row>
    <row r="529" spans="1:28" x14ac:dyDescent="0.3">
      <c r="A529" s="32">
        <f>VLOOKUP(YEAR(C529),Flags!$A$13:$B$95,2,FALSE)</f>
        <v>4</v>
      </c>
      <c r="B529" s="24">
        <f t="shared" si="841"/>
        <v>1979</v>
      </c>
      <c r="C529" s="25">
        <v>29036</v>
      </c>
      <c r="D529" s="26">
        <f>VLOOKUP($C529,COS!$B$8:$H$991,3,FALSE)</f>
        <v>10586.1376953125</v>
      </c>
      <c r="E529" s="24">
        <f>IF(D529&gt;=IF(MONTH($C529)=4,$C$3,IF(MONTH($C529)=5,$C$4,IF(MONTH($C529)=6,$C$5,IF(MONTH($C529)=7,$C$6,"ERROR")))),1,0)</f>
        <v>1</v>
      </c>
      <c r="F529" s="26">
        <f>VLOOKUP($C529,COS!$B$8:$H$991,7,FALSE)</f>
        <v>51.544940948486328</v>
      </c>
      <c r="G529" s="24">
        <f>IF(F529&lt;=IF(MONTH($C529)=4,$F$3,IF(MONTH($C529)=5,$F$4,IF(MONTH($C529)=6,$F$5,IF(MONTH($C529)=7,$F$6,"ERROR")))),1,0)</f>
        <v>1</v>
      </c>
      <c r="H529" s="26">
        <f>IF(J529=1,D529-$C$5,0)</f>
        <v>586.1376953125</v>
      </c>
      <c r="I529" s="26">
        <f t="shared" si="764"/>
        <v>34.877614927685947</v>
      </c>
      <c r="J529" s="24">
        <f t="shared" si="842"/>
        <v>1</v>
      </c>
      <c r="K529" s="26">
        <f>VLOOKUP($C529,COS!$B$8:$H$991,2,FALSE)</f>
        <v>3800.5693359375</v>
      </c>
      <c r="L529" s="24">
        <f t="shared" si="843"/>
        <v>1</v>
      </c>
      <c r="M529" s="24">
        <f t="shared" si="844"/>
        <v>1</v>
      </c>
      <c r="N529" s="26">
        <f>VLOOKUP($C529,COS!$B$8:$H$991,5,FALSE)</f>
        <v>618.16412353515625</v>
      </c>
      <c r="O529" s="26">
        <f t="shared" si="845"/>
        <v>36.783319747546486</v>
      </c>
      <c r="P529" s="26">
        <f>VLOOKUP($C529,COS!$B$8:$H$991,6,FALSE)</f>
        <v>2677.335693359375</v>
      </c>
      <c r="Q529" s="26">
        <f t="shared" si="846"/>
        <v>159.31253712551654</v>
      </c>
      <c r="R529" s="26">
        <f>MIN(IF(MONTH($C529)=4,$S$3,IF(MONTH($C529)=5,$S$4,IF(MONTH($C529)=6,$S$5,IF(MONTH($C529)=7,$S$6,"ERROR")))),MAX(VLOOKUP($C529,COS!$B$8:$K$991,10,FALSE)-IF(MONTH($C529)=4,$Y$3,IF(MONTH($C529)=5,$Y$4,IF(MONTH($C529)=6,$Y$5,IF(MONTH($C529)=7,$Y$6,"ERROR")))),0),MAX(VLOOKUP($C529,COS!$B$8:$K$991,9,FALSE)-IF(MONTH($C529)=4,$V$3,IF(MONTH($C529)=5,$V$4,IF(MONTH($C529)=6,$V$5,IF(MONTH($C529)=7,$V$6,"ERROR"))))-VLOOKUP($C529,COS!$B$8:$K$991,6,FALSE)/2,0))</f>
        <v>1500</v>
      </c>
      <c r="S529" s="26">
        <f t="shared" si="847"/>
        <v>89.256198347107429</v>
      </c>
      <c r="T529" s="26">
        <f t="shared" si="848"/>
        <v>187.30412678363894</v>
      </c>
      <c r="U529" s="26" t="str">
        <f>IF(VLOOKUP($C529,COS!$B$8:$I$991,8,FALSE)=1,"UWFE","IBU")</f>
        <v>IBU</v>
      </c>
      <c r="V529" s="26">
        <f t="shared" ref="V529" si="851">MIN(IF(IF($AA$3=2,AND(E529=1,G529=1,L529=1,L532=1,M529=1,U529="IBU"),AND(E529=1,G529=1,L529=1,L532=1,M529=1)),T529,0),I529)</f>
        <v>34.877614927685947</v>
      </c>
      <c r="W529" s="26"/>
      <c r="X529" s="26"/>
      <c r="Y529" s="26"/>
      <c r="Z529" s="26"/>
      <c r="AA529" s="26"/>
      <c r="AB529" s="33"/>
    </row>
    <row r="530" spans="1:28" x14ac:dyDescent="0.3">
      <c r="A530" s="32">
        <f>VLOOKUP(YEAR(C530),Flags!$A$13:$B$95,2,FALSE)</f>
        <v>4</v>
      </c>
      <c r="B530" s="24">
        <f t="shared" si="841"/>
        <v>1979</v>
      </c>
      <c r="C530" s="25">
        <v>29067</v>
      </c>
      <c r="D530" s="26">
        <f>VLOOKUP($C530,COS!$B$8:$H$991,3,FALSE)</f>
        <v>10198.0205078125</v>
      </c>
      <c r="E530" s="24">
        <f>IF(D530&gt;=IF(MONTH($C530)=4,$C$3,IF(MONTH($C530)=5,$C$4,IF(MONTH($C530)=6,$C$5,IF(MONTH($C530)=7,$C$6,"ERROR")))),1,0)</f>
        <v>0</v>
      </c>
      <c r="F530" s="26">
        <f>VLOOKUP($C530,COS!$B$8:$H$991,7,FALSE)</f>
        <v>52.837936401367188</v>
      </c>
      <c r="G530" s="24">
        <f>IF(F530&lt;=IF(MONTH($C530)=4,$F$3,IF(MONTH($C530)=5,$F$4,IF(MONTH($C530)=6,$F$5,IF(MONTH($C530)=7,$F$6,"ERROR")))),1,0)</f>
        <v>1</v>
      </c>
      <c r="H530" s="26">
        <f>IF(J530=1,D530-$C$6,0)</f>
        <v>0</v>
      </c>
      <c r="I530" s="26">
        <f t="shared" si="764"/>
        <v>0</v>
      </c>
      <c r="J530" s="24">
        <f t="shared" si="842"/>
        <v>0</v>
      </c>
      <c r="K530" s="26">
        <f>VLOOKUP($C530,COS!$B$8:$H$991,2,FALSE)</f>
        <v>3407.86474609375</v>
      </c>
      <c r="L530" s="24">
        <f t="shared" si="843"/>
        <v>1</v>
      </c>
      <c r="M530" s="24">
        <f t="shared" si="844"/>
        <v>1</v>
      </c>
      <c r="N530" s="26">
        <f>VLOOKUP($C530,COS!$B$8:$H$991,5,FALSE)</f>
        <v>673.1793212890625</v>
      </c>
      <c r="O530" s="26">
        <f t="shared" si="845"/>
        <v>41.392183061079542</v>
      </c>
      <c r="P530" s="26">
        <f>VLOOKUP($C530,COS!$B$8:$H$991,6,FALSE)</f>
        <v>2632.5888671875</v>
      </c>
      <c r="Q530" s="26">
        <f t="shared" si="846"/>
        <v>161.87157993285126</v>
      </c>
      <c r="R530" s="26">
        <f>MIN(IF(MONTH($C530)=4,$S$3,IF(MONTH($C530)=5,$S$4,IF(MONTH($C530)=6,$S$5,IF(MONTH($C530)=7,$S$6,"ERROR")))),MAX(VLOOKUP($C530,COS!$B$8:$K$991,10,FALSE)-IF(MONTH($C530)=4,$Y$3,IF(MONTH($C530)=5,$Y$4,IF(MONTH($C530)=6,$Y$5,IF(MONTH($C530)=7,$Y$6,"ERROR")))),0),MAX(VLOOKUP($C530,COS!$B$8:$K$991,9,FALSE)-IF(MONTH($C530)=4,$V$3,IF(MONTH($C530)=5,$V$4,IF(MONTH($C530)=6,$V$5,IF(MONTH($C530)=7,$V$6,"ERROR"))))-VLOOKUP($C530,COS!$B$8:$K$991,6,FALSE)/2,0))</f>
        <v>1500</v>
      </c>
      <c r="S530" s="26">
        <f t="shared" si="847"/>
        <v>92.231404958677686</v>
      </c>
      <c r="T530" s="26">
        <f t="shared" si="848"/>
        <v>193.86328645564311</v>
      </c>
      <c r="U530" s="26" t="str">
        <f>IF(VLOOKUP($C530,COS!$B$8:$I$991,8,FALSE)=1,"UWFE","IBU")</f>
        <v>IBU</v>
      </c>
      <c r="V530" s="26">
        <f t="shared" ref="V530" si="852">MIN(IF(IF($AA$3=2,AND(E530=1,G530=1,L530=1,L532=1,M530=1,U530="IBU"),AND(E530=1,G530=1,L530=1,L532=1,M530=1)),T530,0),I530)</f>
        <v>0</v>
      </c>
      <c r="W530" s="26"/>
      <c r="X530" s="26"/>
      <c r="Y530" s="26"/>
      <c r="Z530" s="26"/>
      <c r="AA530" s="26"/>
      <c r="AB530" s="33"/>
    </row>
    <row r="531" spans="1:28" x14ac:dyDescent="0.3">
      <c r="A531" s="32">
        <f>VLOOKUP(YEAR(C531),Flags!$A$13:$B$95,2,FALSE)</f>
        <v>4</v>
      </c>
      <c r="B531" s="24">
        <f t="shared" si="841"/>
        <v>1979</v>
      </c>
      <c r="C531" s="25">
        <v>29098</v>
      </c>
      <c r="D531" s="26"/>
      <c r="E531" s="24"/>
      <c r="F531" s="26"/>
      <c r="G531" s="24"/>
      <c r="H531" s="24"/>
      <c r="I531" s="26"/>
      <c r="J531" s="24"/>
      <c r="K531" s="26"/>
      <c r="L531" s="24"/>
      <c r="M531" s="24"/>
      <c r="N531" s="26"/>
      <c r="O531" s="26"/>
      <c r="P531" s="26"/>
      <c r="Q531" s="26"/>
      <c r="R531" s="26"/>
      <c r="S531" s="26"/>
      <c r="T531" s="26"/>
      <c r="U531" s="26"/>
      <c r="V531" s="26"/>
      <c r="W531" s="26">
        <f>MAX($C$7-VLOOKUP($C531,COS!$B$8:$H$991,3,FALSE),0)</f>
        <v>91695.837890625</v>
      </c>
      <c r="X531" s="26">
        <f t="shared" si="769"/>
        <v>5638.1573050103307</v>
      </c>
      <c r="Y531" s="26">
        <f>VLOOKUP($C531,COS!$B$8:$H$991,4,FALSE)</f>
        <v>53.124755859375</v>
      </c>
      <c r="Z531" s="26">
        <f t="shared" si="770"/>
        <v>3.2665139139979336</v>
      </c>
      <c r="AA531" s="26">
        <f t="shared" ref="AA531:AA535" si="853">MIN(W531,Y531)</f>
        <v>53.124755859375</v>
      </c>
      <c r="AB531" s="33">
        <f t="shared" ref="AB531:AB589" si="854">AA531*DAY($C531)*86400/43560/1000*IF(MONTH($C531)=8,$P$3,IF(MONTH($C531)=9,$P$4,IF(MONTH($C531)=10,$P$5,IF(MONTH($C531)=11,$P$6,IF(MONTH($C531)=12,$P$7,NA())))))</f>
        <v>3.2665139139979336</v>
      </c>
    </row>
    <row r="532" spans="1:28" x14ac:dyDescent="0.3">
      <c r="A532" s="32">
        <f>VLOOKUP(YEAR(C532),Flags!$A$13:$B$95,2,FALSE)</f>
        <v>4</v>
      </c>
      <c r="B532" s="24">
        <f t="shared" si="841"/>
        <v>1979</v>
      </c>
      <c r="C532" s="25">
        <v>29128</v>
      </c>
      <c r="D532" s="26"/>
      <c r="E532" s="24"/>
      <c r="F532" s="26"/>
      <c r="G532" s="24"/>
      <c r="H532" s="24"/>
      <c r="I532" s="26"/>
      <c r="J532" s="24"/>
      <c r="K532" s="26">
        <f>VLOOKUP($C532,COS!$B$8:$H$991,2,FALSE)</f>
        <v>3119.8076171875</v>
      </c>
      <c r="L532" s="24">
        <f t="shared" ref="L532" si="855">IF(AND(K532&gt;$I$7,K532&lt;$I$8),1,0)</f>
        <v>1</v>
      </c>
      <c r="M532" s="24"/>
      <c r="N532" s="26"/>
      <c r="O532" s="26"/>
      <c r="P532" s="26"/>
      <c r="Q532" s="26"/>
      <c r="R532" s="26"/>
      <c r="S532" s="26"/>
      <c r="T532" s="26"/>
      <c r="U532" s="26"/>
      <c r="V532" s="26"/>
      <c r="W532" s="26">
        <f>MAX($C$8-VLOOKUP($C532,COS!$B$8:$H$991,3,FALSE),0)</f>
        <v>95203.8974609375</v>
      </c>
      <c r="X532" s="26">
        <f t="shared" si="769"/>
        <v>5665.025303460744</v>
      </c>
      <c r="Y532" s="26">
        <f>VLOOKUP($C532,COS!$B$8:$H$991,4,FALSE)</f>
        <v>0</v>
      </c>
      <c r="Z532" s="26">
        <f t="shared" si="770"/>
        <v>0</v>
      </c>
      <c r="AA532" s="26">
        <f t="shared" si="853"/>
        <v>0</v>
      </c>
      <c r="AB532" s="33">
        <f t="shared" si="854"/>
        <v>0</v>
      </c>
    </row>
    <row r="533" spans="1:28" x14ac:dyDescent="0.3">
      <c r="A533" s="32">
        <f>VLOOKUP(YEAR(C533),Flags!$A$13:$B$95,2,FALSE)</f>
        <v>4</v>
      </c>
      <c r="B533" s="24">
        <f t="shared" si="841"/>
        <v>1979</v>
      </c>
      <c r="C533" s="25">
        <v>29159</v>
      </c>
      <c r="D533" s="26"/>
      <c r="E533" s="24"/>
      <c r="F533" s="26"/>
      <c r="G533" s="26"/>
      <c r="H533" s="26"/>
      <c r="I533" s="26"/>
      <c r="J533" s="26"/>
      <c r="K533" s="26"/>
      <c r="L533" s="24"/>
      <c r="M533" s="24"/>
      <c r="N533" s="26"/>
      <c r="O533" s="26"/>
      <c r="P533" s="26"/>
      <c r="Q533" s="26"/>
      <c r="R533" s="26"/>
      <c r="S533" s="26"/>
      <c r="T533" s="26"/>
      <c r="U533" s="26"/>
      <c r="V533" s="26"/>
      <c r="W533" s="26">
        <f>MAX($C$9-VLOOKUP($C533,COS!$B$8:$H$991,3,FALSE),0)</f>
        <v>95850.04736328125</v>
      </c>
      <c r="X533" s="26">
        <f t="shared" si="769"/>
        <v>5893.5896891141529</v>
      </c>
      <c r="Y533" s="26">
        <f>VLOOKUP($C533,COS!$B$8:$H$991,4,FALSE)</f>
        <v>801.079833984375</v>
      </c>
      <c r="Z533" s="26">
        <f t="shared" si="770"/>
        <v>49.256479048295454</v>
      </c>
      <c r="AA533" s="26">
        <f t="shared" si="853"/>
        <v>801.079833984375</v>
      </c>
      <c r="AB533" s="33">
        <f t="shared" si="854"/>
        <v>49.256479048295454</v>
      </c>
    </row>
    <row r="534" spans="1:28" x14ac:dyDescent="0.3">
      <c r="A534" s="32">
        <f>VLOOKUP(YEAR(C534),Flags!$A$13:$B$95,2,FALSE)</f>
        <v>4</v>
      </c>
      <c r="B534" s="24">
        <f t="shared" si="841"/>
        <v>1979</v>
      </c>
      <c r="C534" s="25">
        <v>29189</v>
      </c>
      <c r="D534" s="26"/>
      <c r="E534" s="24"/>
      <c r="F534" s="26"/>
      <c r="G534" s="26"/>
      <c r="H534" s="26"/>
      <c r="I534" s="26"/>
      <c r="J534" s="26"/>
      <c r="K534" s="26"/>
      <c r="L534" s="24"/>
      <c r="M534" s="24"/>
      <c r="N534" s="26"/>
      <c r="O534" s="26"/>
      <c r="P534" s="26"/>
      <c r="Q534" s="26"/>
      <c r="R534" s="26"/>
      <c r="S534" s="26"/>
      <c r="T534" s="26"/>
      <c r="U534" s="26"/>
      <c r="V534" s="26"/>
      <c r="W534" s="26">
        <f>MAX($C$10-VLOOKUP($C534,COS!$B$8:$H$991,3,FALSE),0)</f>
        <v>94181.76708984375</v>
      </c>
      <c r="X534" s="26">
        <f t="shared" si="769"/>
        <v>5604.2043227014465</v>
      </c>
      <c r="Y534" s="26">
        <f>VLOOKUP($C534,COS!$B$8:$H$991,4,FALSE)</f>
        <v>1226.431884765625</v>
      </c>
      <c r="Z534" s="26">
        <f t="shared" si="770"/>
        <v>72.977765043904967</v>
      </c>
      <c r="AA534" s="26">
        <f t="shared" si="853"/>
        <v>1226.431884765625</v>
      </c>
      <c r="AB534" s="33">
        <f t="shared" si="854"/>
        <v>36.488882521952483</v>
      </c>
    </row>
    <row r="535" spans="1:28" x14ac:dyDescent="0.3">
      <c r="A535" s="34">
        <f>VLOOKUP(YEAR(C535),Flags!$A$13:$B$95,2,FALSE)</f>
        <v>4</v>
      </c>
      <c r="B535" s="35">
        <f t="shared" si="841"/>
        <v>1979</v>
      </c>
      <c r="C535" s="36">
        <v>29220</v>
      </c>
      <c r="D535" s="37"/>
      <c r="E535" s="35"/>
      <c r="F535" s="37"/>
      <c r="G535" s="37"/>
      <c r="H535" s="37"/>
      <c r="I535" s="37"/>
      <c r="J535" s="37"/>
      <c r="K535" s="37"/>
      <c r="L535" s="35"/>
      <c r="M535" s="35"/>
      <c r="N535" s="37"/>
      <c r="O535" s="37"/>
      <c r="P535" s="37"/>
      <c r="Q535" s="37"/>
      <c r="R535" s="37"/>
      <c r="S535" s="37"/>
      <c r="T535" s="37"/>
      <c r="U535" s="37"/>
      <c r="V535" s="37"/>
      <c r="W535" s="37">
        <f>MAX($C$11-VLOOKUP($C535,COS!$B$8:$H$991,3,FALSE),0)</f>
        <v>0</v>
      </c>
      <c r="X535" s="37">
        <f t="shared" si="769"/>
        <v>0</v>
      </c>
      <c r="Y535" s="37">
        <f>VLOOKUP($C535,COS!$B$8:$H$991,4,FALSE)</f>
        <v>0</v>
      </c>
      <c r="Z535" s="37">
        <f t="shared" si="770"/>
        <v>0</v>
      </c>
      <c r="AA535" s="37">
        <f t="shared" si="853"/>
        <v>0</v>
      </c>
      <c r="AB535" s="38">
        <f t="shared" si="854"/>
        <v>0</v>
      </c>
    </row>
    <row r="536" spans="1:28" x14ac:dyDescent="0.3">
      <c r="A536" s="27">
        <f>VLOOKUP(YEAR(C536),Flags!$A$13:$B$95,2,FALSE)</f>
        <v>2</v>
      </c>
      <c r="B536" s="28">
        <f t="shared" si="841"/>
        <v>1980</v>
      </c>
      <c r="C536" s="29">
        <v>29341</v>
      </c>
      <c r="D536" s="30">
        <f>VLOOKUP($C536,COS!$B$8:$H$991,3,FALSE)</f>
        <v>3250</v>
      </c>
      <c r="E536" s="28">
        <f>IF(D536&gt;=IF(MONTH($C536)=4,$C$3,IF(MONTH($C536)=5,$C$4,IF(MONTH($C536)=6,$C$5,IF(MONTH($C536)=7,$C$6,"ERROR")))),1,0)</f>
        <v>0</v>
      </c>
      <c r="F536" s="30">
        <f>VLOOKUP($C536,COS!$B$8:$H$991,7,FALSE)</f>
        <v>50.949337005615234</v>
      </c>
      <c r="G536" s="28">
        <f>IF(F536&lt;=IF(MONTH($C536)=4,$F$3,IF(MONTH($C536)=5,$F$4,IF(MONTH($C536)=6,$F$5,IF(MONTH($C536)=7,$F$6,"ERROR")))),1,0)</f>
        <v>1</v>
      </c>
      <c r="H536" s="30">
        <f>IF(J536=1,D536-$C$3,0)</f>
        <v>0</v>
      </c>
      <c r="I536" s="30">
        <f t="shared" si="764"/>
        <v>0</v>
      </c>
      <c r="J536" s="28">
        <f t="shared" ref="J536:J539" si="856">IF(AND(E536=1,G536=1),1,0)</f>
        <v>0</v>
      </c>
      <c r="K536" s="30">
        <f>VLOOKUP($C536,COS!$B$8:$H$991,2,FALSE)</f>
        <v>4390.5458984375</v>
      </c>
      <c r="L536" s="28">
        <f t="shared" ref="L536" si="857">IF(K536&lt;=IF(MONTH($C536)=4,$I$3,IF(MONTH($C536)=5,$I$4,IF(MONTH($C536)=6,$I$5,IF(MONTH($C536)=7,$I$6,"ERROR")))),1,0)</f>
        <v>1</v>
      </c>
      <c r="M536" s="28">
        <f t="shared" ref="M536" si="858">VLOOKUP($A536,$L$3:$M$7,2,FALSE)</f>
        <v>0</v>
      </c>
      <c r="N536" s="30">
        <f>VLOOKUP($C536,COS!$B$8:$H$991,5,FALSE)</f>
        <v>343.85354614257813</v>
      </c>
      <c r="O536" s="30">
        <f t="shared" ref="O536:O539" si="859">N536*DAY($C536)*86400/43560/1000</f>
        <v>20.460706877905476</v>
      </c>
      <c r="P536" s="30">
        <f>VLOOKUP($C536,COS!$B$8:$H$991,6,FALSE)</f>
        <v>435.81771850585938</v>
      </c>
      <c r="Q536" s="30">
        <f t="shared" ref="Q536:Q539" si="860">P536*DAY($C536)*86400/43560/1000</f>
        <v>25.932955150761881</v>
      </c>
      <c r="R536" s="30">
        <f>MIN(IF(MONTH($C536)=4,$S$3,IF(MONTH($C536)=5,$S$4,IF(MONTH($C536)=6,$S$5,IF(MONTH($C536)=7,$S$6,"ERROR")))),MAX(VLOOKUP($C536,COS!$B$8:$K$991,10,FALSE)-IF(MONTH($C536)=4,$Y$3,IF(MONTH($C536)=5,$Y$4,IF(MONTH($C536)=6,$Y$5,IF(MONTH($C536)=7,$Y$6,"ERROR")))),0),MAX(VLOOKUP($C536,COS!$B$8:$K$991,9,FALSE)-IF(MONTH($C536)=4,$V$3,IF(MONTH($C536)=5,$V$4,IF(MONTH($C536)=6,$V$5,IF(MONTH($C536)=7,$V$6,"ERROR"))))-VLOOKUP($C536,COS!$B$8:$K$991,6,FALSE)/2,0))</f>
        <v>1500</v>
      </c>
      <c r="S536" s="30">
        <f t="shared" ref="S536:S539" si="861">R536*DAY($C536)*86400/43560/1000</f>
        <v>89.256198347107429</v>
      </c>
      <c r="T536" s="30">
        <f t="shared" ref="T536:T539" si="862">(O536+Q536)/2+S536</f>
        <v>112.45302936144111</v>
      </c>
      <c r="U536" s="30" t="str">
        <f>IF(VLOOKUP($C536,COS!$B$8:$I$991,8,FALSE)=1,"UWFE","IBU")</f>
        <v>UWFE</v>
      </c>
      <c r="V536" s="30">
        <f t="shared" ref="V536" si="863">MIN(IF(IF($AA$3=2,AND(E536=1,G536=1,L536=1,L541=1,M536=1,U536="IBU"),AND(E536=1,G536=1,L536=1,L541=1,M536=1)),T536,0),I536)</f>
        <v>0</v>
      </c>
      <c r="W536" s="30"/>
      <c r="X536" s="30"/>
      <c r="Y536" s="30"/>
      <c r="Z536" s="30"/>
      <c r="AA536" s="30"/>
      <c r="AB536" s="31"/>
    </row>
    <row r="537" spans="1:28" x14ac:dyDescent="0.3">
      <c r="A537" s="32">
        <f>VLOOKUP(YEAR(C537),Flags!$A$13:$B$95,2,FALSE)</f>
        <v>2</v>
      </c>
      <c r="B537" s="24">
        <f t="shared" si="841"/>
        <v>1980</v>
      </c>
      <c r="C537" s="25">
        <v>29372</v>
      </c>
      <c r="D537" s="26">
        <f>VLOOKUP($C537,COS!$B$8:$H$991,3,FALSE)</f>
        <v>6651.8935546875</v>
      </c>
      <c r="E537" s="24">
        <f>IF(D537&gt;=IF(MONTH($C537)=4,$C$3,IF(MONTH($C537)=5,$C$4,IF(MONTH($C537)=6,$C$5,IF(MONTH($C537)=7,$C$6,"ERROR")))),1,0)</f>
        <v>1</v>
      </c>
      <c r="F537" s="26">
        <f>VLOOKUP($C537,COS!$B$8:$H$991,7,FALSE)</f>
        <v>50.088848114013672</v>
      </c>
      <c r="G537" s="24">
        <f>IF(F537&lt;=IF(MONTH($C537)=4,$F$3,IF(MONTH($C537)=5,$F$4,IF(MONTH($C537)=6,$F$5,IF(MONTH($C537)=7,$F$6,"ERROR")))),1,0)</f>
        <v>1</v>
      </c>
      <c r="H537" s="26">
        <f>IF(J537=1,D537-$C$4,0)</f>
        <v>651.8935546875</v>
      </c>
      <c r="I537" s="26">
        <f t="shared" si="764"/>
        <v>40.083372288223138</v>
      </c>
      <c r="J537" s="24">
        <f t="shared" si="856"/>
        <v>1</v>
      </c>
      <c r="K537" s="26">
        <f>VLOOKUP($C537,COS!$B$8:$H$991,2,FALSE)</f>
        <v>4360.00341796875</v>
      </c>
      <c r="L537" s="24">
        <f t="shared" si="843"/>
        <v>1</v>
      </c>
      <c r="M537" s="24">
        <f t="shared" si="844"/>
        <v>0</v>
      </c>
      <c r="N537" s="26">
        <f>VLOOKUP($C537,COS!$B$8:$H$991,5,FALSE)</f>
        <v>671.396728515625</v>
      </c>
      <c r="O537" s="26">
        <f t="shared" si="859"/>
        <v>41.282575703770661</v>
      </c>
      <c r="P537" s="26">
        <f>VLOOKUP($C537,COS!$B$8:$H$991,6,FALSE)</f>
        <v>2141.340087890625</v>
      </c>
      <c r="Q537" s="26">
        <f t="shared" si="860"/>
        <v>131.6658698669938</v>
      </c>
      <c r="R537" s="26">
        <f>MIN(IF(MONTH($C537)=4,$S$3,IF(MONTH($C537)=5,$S$4,IF(MONTH($C537)=6,$S$5,IF(MONTH($C537)=7,$S$6,"ERROR")))),MAX(VLOOKUP($C537,COS!$B$8:$K$991,10,FALSE)-IF(MONTH($C537)=4,$Y$3,IF(MONTH($C537)=5,$Y$4,IF(MONTH($C537)=6,$Y$5,IF(MONTH($C537)=7,$Y$6,"ERROR")))),0),MAX(VLOOKUP($C537,COS!$B$8:$K$991,9,FALSE)-IF(MONTH($C537)=4,$V$3,IF(MONTH($C537)=5,$V$4,IF(MONTH($C537)=6,$V$5,IF(MONTH($C537)=7,$V$6,"ERROR"))))-VLOOKUP($C537,COS!$B$8:$K$991,6,FALSE)/2,0))</f>
        <v>1500</v>
      </c>
      <c r="S537" s="26">
        <f t="shared" si="861"/>
        <v>92.231404958677686</v>
      </c>
      <c r="T537" s="26">
        <f t="shared" si="862"/>
        <v>178.70562774405994</v>
      </c>
      <c r="U537" s="26" t="str">
        <f>IF(VLOOKUP($C537,COS!$B$8:$I$991,8,FALSE)=1,"UWFE","IBU")</f>
        <v>UWFE</v>
      </c>
      <c r="V537" s="26">
        <f t="shared" ref="V537" si="864">MIN(IF(IF($AA$3=2,AND(E537=1,G537=1,L537=1,L541=1,M537=1,U537="IBU"),AND(E537=1,G537=1,L537=1,L541=1,M537=1)),T537,0),I537)</f>
        <v>0</v>
      </c>
      <c r="W537" s="26"/>
      <c r="X537" s="26"/>
      <c r="Y537" s="26"/>
      <c r="Z537" s="26"/>
      <c r="AA537" s="26"/>
      <c r="AB537" s="33"/>
    </row>
    <row r="538" spans="1:28" x14ac:dyDescent="0.3">
      <c r="A538" s="32">
        <f>VLOOKUP(YEAR(C538),Flags!$A$13:$B$95,2,FALSE)</f>
        <v>2</v>
      </c>
      <c r="B538" s="24">
        <f t="shared" si="841"/>
        <v>1980</v>
      </c>
      <c r="C538" s="25">
        <v>29402</v>
      </c>
      <c r="D538" s="26">
        <f>VLOOKUP($C538,COS!$B$8:$H$991,3,FALSE)</f>
        <v>9056.001953125</v>
      </c>
      <c r="E538" s="24">
        <f>IF(D538&gt;=IF(MONTH($C538)=4,$C$3,IF(MONTH($C538)=5,$C$4,IF(MONTH($C538)=6,$C$5,IF(MONTH($C538)=7,$C$6,"ERROR")))),1,0)</f>
        <v>0</v>
      </c>
      <c r="F538" s="26">
        <f>VLOOKUP($C538,COS!$B$8:$H$991,7,FALSE)</f>
        <v>51.123935699462891</v>
      </c>
      <c r="G538" s="24">
        <f>IF(F538&lt;=IF(MONTH($C538)=4,$F$3,IF(MONTH($C538)=5,$F$4,IF(MONTH($C538)=6,$F$5,IF(MONTH($C538)=7,$F$6,"ERROR")))),1,0)</f>
        <v>1</v>
      </c>
      <c r="H538" s="26">
        <f>IF(J538=1,D538-$C$5,0)</f>
        <v>0</v>
      </c>
      <c r="I538" s="26">
        <f t="shared" si="764"/>
        <v>0</v>
      </c>
      <c r="J538" s="24">
        <f t="shared" si="856"/>
        <v>0</v>
      </c>
      <c r="K538" s="26">
        <f>VLOOKUP($C538,COS!$B$8:$H$991,2,FALSE)</f>
        <v>4114.19091796875</v>
      </c>
      <c r="L538" s="24">
        <f t="shared" si="843"/>
        <v>1</v>
      </c>
      <c r="M538" s="24">
        <f t="shared" si="844"/>
        <v>0</v>
      </c>
      <c r="N538" s="26">
        <f>VLOOKUP($C538,COS!$B$8:$H$991,5,FALSE)</f>
        <v>914.7728271484375</v>
      </c>
      <c r="O538" s="26">
        <f t="shared" si="859"/>
        <v>54.432763268336778</v>
      </c>
      <c r="P538" s="26">
        <f>VLOOKUP($C538,COS!$B$8:$H$991,6,FALSE)</f>
        <v>2280.555419921875</v>
      </c>
      <c r="Q538" s="26">
        <f t="shared" si="860"/>
        <v>135.70247126807851</v>
      </c>
      <c r="R538" s="26">
        <f>MIN(IF(MONTH($C538)=4,$S$3,IF(MONTH($C538)=5,$S$4,IF(MONTH($C538)=6,$S$5,IF(MONTH($C538)=7,$S$6,"ERROR")))),MAX(VLOOKUP($C538,COS!$B$8:$K$991,10,FALSE)-IF(MONTH($C538)=4,$Y$3,IF(MONTH($C538)=5,$Y$4,IF(MONTH($C538)=6,$Y$5,IF(MONTH($C538)=7,$Y$6,"ERROR")))),0),MAX(VLOOKUP($C538,COS!$B$8:$K$991,9,FALSE)-IF(MONTH($C538)=4,$V$3,IF(MONTH($C538)=5,$V$4,IF(MONTH($C538)=6,$V$5,IF(MONTH($C538)=7,$V$6,"ERROR"))))-VLOOKUP($C538,COS!$B$8:$K$991,6,FALSE)/2,0))</f>
        <v>1500</v>
      </c>
      <c r="S538" s="26">
        <f t="shared" si="861"/>
        <v>89.256198347107429</v>
      </c>
      <c r="T538" s="26">
        <f t="shared" si="862"/>
        <v>184.32381561531508</v>
      </c>
      <c r="U538" s="26" t="str">
        <f>IF(VLOOKUP($C538,COS!$B$8:$I$991,8,FALSE)=1,"UWFE","IBU")</f>
        <v>UWFE</v>
      </c>
      <c r="V538" s="26">
        <f t="shared" ref="V538" si="865">MIN(IF(IF($AA$3=2,AND(E538=1,G538=1,L538=1,L541=1,M538=1,U538="IBU"),AND(E538=1,G538=1,L538=1,L541=1,M538=1)),T538,0),I538)</f>
        <v>0</v>
      </c>
      <c r="W538" s="26"/>
      <c r="X538" s="26"/>
      <c r="Y538" s="26"/>
      <c r="Z538" s="26"/>
      <c r="AA538" s="26"/>
      <c r="AB538" s="33"/>
    </row>
    <row r="539" spans="1:28" x14ac:dyDescent="0.3">
      <c r="A539" s="32">
        <f>VLOOKUP(YEAR(C539),Flags!$A$13:$B$95,2,FALSE)</f>
        <v>2</v>
      </c>
      <c r="B539" s="24">
        <f t="shared" si="841"/>
        <v>1980</v>
      </c>
      <c r="C539" s="25">
        <v>29433</v>
      </c>
      <c r="D539" s="26">
        <f>VLOOKUP($C539,COS!$B$8:$H$991,3,FALSE)</f>
        <v>11086.111328125</v>
      </c>
      <c r="E539" s="24">
        <f>IF(D539&gt;=IF(MONTH($C539)=4,$C$3,IF(MONTH($C539)=5,$C$4,IF(MONTH($C539)=6,$C$5,IF(MONTH($C539)=7,$C$6,"ERROR")))),1,0)</f>
        <v>0</v>
      </c>
      <c r="F539" s="26">
        <f>VLOOKUP($C539,COS!$B$8:$H$991,7,FALSE)</f>
        <v>51.426025390625</v>
      </c>
      <c r="G539" s="24">
        <f>IF(F539&lt;=IF(MONTH($C539)=4,$F$3,IF(MONTH($C539)=5,$F$4,IF(MONTH($C539)=6,$F$5,IF(MONTH($C539)=7,$F$6,"ERROR")))),1,0)</f>
        <v>1</v>
      </c>
      <c r="H539" s="26">
        <f>IF(J539=1,D539-$C$6,0)</f>
        <v>0</v>
      </c>
      <c r="I539" s="26">
        <f t="shared" si="764"/>
        <v>0</v>
      </c>
      <c r="J539" s="24">
        <f t="shared" si="856"/>
        <v>0</v>
      </c>
      <c r="K539" s="26">
        <f>VLOOKUP($C539,COS!$B$8:$H$991,2,FALSE)</f>
        <v>3708.154052734375</v>
      </c>
      <c r="L539" s="24">
        <f t="shared" si="843"/>
        <v>1</v>
      </c>
      <c r="M539" s="24">
        <f t="shared" si="844"/>
        <v>0</v>
      </c>
      <c r="N539" s="26">
        <f>VLOOKUP($C539,COS!$B$8:$H$991,5,FALSE)</f>
        <v>1062.265380859375</v>
      </c>
      <c r="O539" s="26">
        <f t="shared" si="859"/>
        <v>65.316152343750005</v>
      </c>
      <c r="P539" s="26">
        <f>VLOOKUP($C539,COS!$B$8:$H$991,6,FALSE)</f>
        <v>2538.12646484375</v>
      </c>
      <c r="Q539" s="26">
        <f t="shared" si="860"/>
        <v>156.06331321022728</v>
      </c>
      <c r="R539" s="26">
        <f>MIN(IF(MONTH($C539)=4,$S$3,IF(MONTH($C539)=5,$S$4,IF(MONTH($C539)=6,$S$5,IF(MONTH($C539)=7,$S$6,"ERROR")))),MAX(VLOOKUP($C539,COS!$B$8:$K$991,10,FALSE)-IF(MONTH($C539)=4,$Y$3,IF(MONTH($C539)=5,$Y$4,IF(MONTH($C539)=6,$Y$5,IF(MONTH($C539)=7,$Y$6,"ERROR")))),0),MAX(VLOOKUP($C539,COS!$B$8:$K$991,9,FALSE)-IF(MONTH($C539)=4,$V$3,IF(MONTH($C539)=5,$V$4,IF(MONTH($C539)=6,$V$5,IF(MONTH($C539)=7,$V$6,"ERROR"))))-VLOOKUP($C539,COS!$B$8:$K$991,6,FALSE)/2,0))</f>
        <v>1500</v>
      </c>
      <c r="S539" s="26">
        <f t="shared" si="861"/>
        <v>92.231404958677686</v>
      </c>
      <c r="T539" s="26">
        <f t="shared" si="862"/>
        <v>202.92113773566632</v>
      </c>
      <c r="U539" s="26" t="str">
        <f>IF(VLOOKUP($C539,COS!$B$8:$I$991,8,FALSE)=1,"UWFE","IBU")</f>
        <v>IBU</v>
      </c>
      <c r="V539" s="26">
        <f t="shared" ref="V539" si="866">MIN(IF(IF($AA$3=2,AND(E539=1,G539=1,L539=1,L541=1,M539=1,U539="IBU"),AND(E539=1,G539=1,L539=1,L541=1,M539=1)),T539,0),I539)</f>
        <v>0</v>
      </c>
      <c r="W539" s="26"/>
      <c r="X539" s="26"/>
      <c r="Y539" s="26"/>
      <c r="Z539" s="26"/>
      <c r="AA539" s="26"/>
      <c r="AB539" s="33"/>
    </row>
    <row r="540" spans="1:28" x14ac:dyDescent="0.3">
      <c r="A540" s="32">
        <f>VLOOKUP(YEAR(C540),Flags!$A$13:$B$95,2,FALSE)</f>
        <v>2</v>
      </c>
      <c r="B540" s="24">
        <f t="shared" si="841"/>
        <v>1980</v>
      </c>
      <c r="C540" s="25">
        <v>29464</v>
      </c>
      <c r="D540" s="26"/>
      <c r="E540" s="24"/>
      <c r="F540" s="26"/>
      <c r="G540" s="24"/>
      <c r="H540" s="24"/>
      <c r="I540" s="26"/>
      <c r="J540" s="24"/>
      <c r="K540" s="26"/>
      <c r="L540" s="24"/>
      <c r="M540" s="24"/>
      <c r="N540" s="26"/>
      <c r="O540" s="26"/>
      <c r="P540" s="26"/>
      <c r="Q540" s="26"/>
      <c r="R540" s="26"/>
      <c r="S540" s="26"/>
      <c r="T540" s="26"/>
      <c r="U540" s="26"/>
      <c r="V540" s="26"/>
      <c r="W540" s="26">
        <f>MAX($C$7-VLOOKUP($C540,COS!$B$8:$H$991,3,FALSE),0)</f>
        <v>90859.5693359375</v>
      </c>
      <c r="X540" s="26">
        <f t="shared" si="769"/>
        <v>5586.7371558626037</v>
      </c>
      <c r="Y540" s="26">
        <f>VLOOKUP($C540,COS!$B$8:$H$991,4,FALSE)</f>
        <v>0</v>
      </c>
      <c r="Z540" s="26">
        <f t="shared" si="770"/>
        <v>0</v>
      </c>
      <c r="AA540" s="26">
        <f t="shared" ref="AA540:AA544" si="867">MIN(W540,Y540)</f>
        <v>0</v>
      </c>
      <c r="AB540" s="33">
        <f t="shared" ref="AB540" si="868">AA540*DAY($C540)*86400/43560/1000*IF(MONTH($C540)=8,$P$3,IF(MONTH($C540)=9,$P$4,IF(MONTH($C540)=10,$P$5,IF(MONTH($C540)=11,$P$6,IF(MONTH($C540)=12,$P$7,NA())))))</f>
        <v>0</v>
      </c>
    </row>
    <row r="541" spans="1:28" x14ac:dyDescent="0.3">
      <c r="A541" s="32">
        <f>VLOOKUP(YEAR(C541),Flags!$A$13:$B$95,2,FALSE)</f>
        <v>2</v>
      </c>
      <c r="B541" s="24">
        <f t="shared" si="841"/>
        <v>1980</v>
      </c>
      <c r="C541" s="25">
        <v>29494</v>
      </c>
      <c r="D541" s="26"/>
      <c r="E541" s="24"/>
      <c r="F541" s="26"/>
      <c r="G541" s="24"/>
      <c r="H541" s="24"/>
      <c r="I541" s="26"/>
      <c r="J541" s="24"/>
      <c r="K541" s="26">
        <f>VLOOKUP($C541,COS!$B$8:$H$991,2,FALSE)</f>
        <v>3161.38623046875</v>
      </c>
      <c r="L541" s="24">
        <f t="shared" ref="L541" si="869">IF(AND(K541&gt;$I$7,K541&lt;$I$8),1,0)</f>
        <v>1</v>
      </c>
      <c r="M541" s="24"/>
      <c r="N541" s="26"/>
      <c r="O541" s="26"/>
      <c r="P541" s="26"/>
      <c r="Q541" s="26"/>
      <c r="R541" s="26"/>
      <c r="S541" s="26"/>
      <c r="T541" s="26"/>
      <c r="U541" s="26"/>
      <c r="V541" s="26"/>
      <c r="W541" s="26">
        <f>MAX($C$8-VLOOKUP($C541,COS!$B$8:$H$991,3,FALSE),0)</f>
        <v>91065.9287109375</v>
      </c>
      <c r="X541" s="26">
        <f t="shared" si="769"/>
        <v>5418.7990637913226</v>
      </c>
      <c r="Y541" s="26">
        <f>VLOOKUP($C541,COS!$B$8:$H$991,4,FALSE)</f>
        <v>103.58695983886719</v>
      </c>
      <c r="Z541" s="26">
        <f t="shared" si="770"/>
        <v>6.1638521557011883</v>
      </c>
      <c r="AA541" s="26">
        <f t="shared" si="867"/>
        <v>103.58695983886719</v>
      </c>
      <c r="AB541" s="33">
        <f t="shared" si="854"/>
        <v>6.1638521557011883</v>
      </c>
    </row>
    <row r="542" spans="1:28" x14ac:dyDescent="0.3">
      <c r="A542" s="32">
        <f>VLOOKUP(YEAR(C542),Flags!$A$13:$B$95,2,FALSE)</f>
        <v>2</v>
      </c>
      <c r="B542" s="24">
        <f t="shared" si="841"/>
        <v>1980</v>
      </c>
      <c r="C542" s="25">
        <v>29525</v>
      </c>
      <c r="D542" s="26"/>
      <c r="E542" s="24"/>
      <c r="F542" s="26"/>
      <c r="G542" s="26"/>
      <c r="H542" s="26"/>
      <c r="I542" s="26"/>
      <c r="J542" s="26"/>
      <c r="K542" s="26"/>
      <c r="L542" s="24"/>
      <c r="M542" s="24"/>
      <c r="N542" s="26"/>
      <c r="O542" s="26"/>
      <c r="P542" s="26"/>
      <c r="Q542" s="26"/>
      <c r="R542" s="26"/>
      <c r="S542" s="26"/>
      <c r="T542" s="26"/>
      <c r="U542" s="26"/>
      <c r="V542" s="26"/>
      <c r="W542" s="26">
        <f>MAX($C$9-VLOOKUP($C542,COS!$B$8:$H$991,3,FALSE),0)</f>
        <v>93740.7666015625</v>
      </c>
      <c r="X542" s="26">
        <f t="shared" si="769"/>
        <v>5763.8950703770661</v>
      </c>
      <c r="Y542" s="26">
        <f>VLOOKUP($C542,COS!$B$8:$H$991,4,FALSE)</f>
        <v>295.8243408203125</v>
      </c>
      <c r="Z542" s="26">
        <f t="shared" si="770"/>
        <v>18.189529716554752</v>
      </c>
      <c r="AA542" s="26">
        <f t="shared" si="867"/>
        <v>295.8243408203125</v>
      </c>
      <c r="AB542" s="33">
        <f t="shared" si="854"/>
        <v>18.189529716554752</v>
      </c>
    </row>
    <row r="543" spans="1:28" x14ac:dyDescent="0.3">
      <c r="A543" s="32">
        <f>VLOOKUP(YEAR(C543),Flags!$A$13:$B$95,2,FALSE)</f>
        <v>2</v>
      </c>
      <c r="B543" s="24">
        <f t="shared" si="841"/>
        <v>1980</v>
      </c>
      <c r="C543" s="25">
        <v>29555</v>
      </c>
      <c r="D543" s="26"/>
      <c r="E543" s="24"/>
      <c r="F543" s="26"/>
      <c r="G543" s="26"/>
      <c r="H543" s="26"/>
      <c r="I543" s="26"/>
      <c r="J543" s="26"/>
      <c r="K543" s="26"/>
      <c r="L543" s="24"/>
      <c r="M543" s="24"/>
      <c r="N543" s="26"/>
      <c r="O543" s="26"/>
      <c r="P543" s="26"/>
      <c r="Q543" s="26"/>
      <c r="R543" s="26"/>
      <c r="S543" s="26"/>
      <c r="T543" s="26"/>
      <c r="U543" s="26"/>
      <c r="V543" s="26"/>
      <c r="W543" s="26">
        <f>MAX($C$10-VLOOKUP($C543,COS!$B$8:$H$991,3,FALSE),0)</f>
        <v>89348.224609375</v>
      </c>
      <c r="X543" s="26">
        <f t="shared" ref="X543:X606" si="870">W543*DAY($C543)*86400/43560/1000</f>
        <v>5316.5885717975207</v>
      </c>
      <c r="Y543" s="26">
        <f>VLOOKUP($C543,COS!$B$8:$H$991,4,FALSE)</f>
        <v>250.89311218261719</v>
      </c>
      <c r="Z543" s="26">
        <f t="shared" ref="Z543:Z606" si="871">Y543*DAY($C543)*86400/43560/1000</f>
        <v>14.929176923263173</v>
      </c>
      <c r="AA543" s="26">
        <f t="shared" si="867"/>
        <v>250.89311218261719</v>
      </c>
      <c r="AB543" s="33">
        <f t="shared" si="854"/>
        <v>7.4645884616315863</v>
      </c>
    </row>
    <row r="544" spans="1:28" x14ac:dyDescent="0.3">
      <c r="A544" s="34">
        <f>VLOOKUP(YEAR(C544),Flags!$A$13:$B$95,2,FALSE)</f>
        <v>2</v>
      </c>
      <c r="B544" s="35">
        <f t="shared" si="841"/>
        <v>1980</v>
      </c>
      <c r="C544" s="36">
        <v>29586</v>
      </c>
      <c r="D544" s="37"/>
      <c r="E544" s="35"/>
      <c r="F544" s="37"/>
      <c r="G544" s="37"/>
      <c r="H544" s="37"/>
      <c r="I544" s="37"/>
      <c r="J544" s="37"/>
      <c r="K544" s="37"/>
      <c r="L544" s="35"/>
      <c r="M544" s="35"/>
      <c r="N544" s="37"/>
      <c r="O544" s="37"/>
      <c r="P544" s="37"/>
      <c r="Q544" s="37"/>
      <c r="R544" s="37"/>
      <c r="S544" s="37"/>
      <c r="T544" s="37"/>
      <c r="U544" s="37"/>
      <c r="V544" s="37"/>
      <c r="W544" s="37">
        <f>MAX($C$11-VLOOKUP($C544,COS!$B$8:$H$991,3,FALSE),0)</f>
        <v>0</v>
      </c>
      <c r="X544" s="37">
        <f t="shared" si="870"/>
        <v>0</v>
      </c>
      <c r="Y544" s="37">
        <f>VLOOKUP($C544,COS!$B$8:$H$991,4,FALSE)</f>
        <v>0</v>
      </c>
      <c r="Z544" s="37">
        <f t="shared" si="871"/>
        <v>0</v>
      </c>
      <c r="AA544" s="37">
        <f t="shared" si="867"/>
        <v>0</v>
      </c>
      <c r="AB544" s="38">
        <f t="shared" si="854"/>
        <v>0</v>
      </c>
    </row>
    <row r="545" spans="1:28" x14ac:dyDescent="0.3">
      <c r="A545" s="27">
        <f>VLOOKUP(YEAR(C545),Flags!$A$13:$B$95,2,FALSE)</f>
        <v>4</v>
      </c>
      <c r="B545" s="28">
        <f t="shared" si="841"/>
        <v>1981</v>
      </c>
      <c r="C545" s="29">
        <v>29706</v>
      </c>
      <c r="D545" s="30">
        <f>VLOOKUP($C545,COS!$B$8:$H$991,3,FALSE)</f>
        <v>3250</v>
      </c>
      <c r="E545" s="28">
        <f>IF(D545&gt;=IF(MONTH($C545)=4,$C$3,IF(MONTH($C545)=5,$C$4,IF(MONTH($C545)=6,$C$5,IF(MONTH($C545)=7,$C$6,"ERROR")))),1,0)</f>
        <v>0</v>
      </c>
      <c r="F545" s="30">
        <f>VLOOKUP($C545,COS!$B$8:$H$991,7,FALSE)</f>
        <v>51.835830688476563</v>
      </c>
      <c r="G545" s="28">
        <f>IF(F545&lt;=IF(MONTH($C545)=4,$F$3,IF(MONTH($C545)=5,$F$4,IF(MONTH($C545)=6,$F$5,IF(MONTH($C545)=7,$F$6,"ERROR")))),1,0)</f>
        <v>1</v>
      </c>
      <c r="H545" s="30">
        <f>IF(J545=1,D545-$C$3,0)</f>
        <v>0</v>
      </c>
      <c r="I545" s="30">
        <f t="shared" ref="I545:I608" si="872">H545*DAY($C545)*86400/43560/1000</f>
        <v>0</v>
      </c>
      <c r="J545" s="28">
        <f t="shared" ref="J545:J548" si="873">IF(AND(E545=1,G545=1),1,0)</f>
        <v>0</v>
      </c>
      <c r="K545" s="30">
        <f>VLOOKUP($C545,COS!$B$8:$H$991,2,FALSE)</f>
        <v>4273.45361328125</v>
      </c>
      <c r="L545" s="28">
        <f t="shared" ref="L545" si="874">IF(K545&lt;=IF(MONTH($C545)=4,$I$3,IF(MONTH($C545)=5,$I$4,IF(MONTH($C545)=6,$I$5,IF(MONTH($C545)=7,$I$6,"ERROR")))),1,0)</f>
        <v>1</v>
      </c>
      <c r="M545" s="28">
        <f t="shared" ref="M545" si="875">VLOOKUP($A545,$L$3:$M$7,2,FALSE)</f>
        <v>1</v>
      </c>
      <c r="N545" s="30">
        <f>VLOOKUP($C545,COS!$B$8:$H$991,5,FALSE)</f>
        <v>216.92788696289063</v>
      </c>
      <c r="O545" s="30">
        <f t="shared" ref="O545:O548" si="876">N545*DAY($C545)*86400/43560/1000</f>
        <v>12.908105670519111</v>
      </c>
      <c r="P545" s="30">
        <f>VLOOKUP($C545,COS!$B$8:$H$991,6,FALSE)</f>
        <v>405.1795654296875</v>
      </c>
      <c r="Q545" s="30">
        <f t="shared" ref="Q545:Q548" si="877">P545*DAY($C545)*86400/43560/1000</f>
        <v>24.109858438791321</v>
      </c>
      <c r="R545" s="30">
        <f>MIN(IF(MONTH($C545)=4,$S$3,IF(MONTH($C545)=5,$S$4,IF(MONTH($C545)=6,$S$5,IF(MONTH($C545)=7,$S$6,"ERROR")))),MAX(VLOOKUP($C545,COS!$B$8:$K$991,10,FALSE)-IF(MONTH($C545)=4,$Y$3,IF(MONTH($C545)=5,$Y$4,IF(MONTH($C545)=6,$Y$5,IF(MONTH($C545)=7,$Y$6,"ERROR")))),0),MAX(VLOOKUP($C545,COS!$B$8:$K$991,9,FALSE)-IF(MONTH($C545)=4,$V$3,IF(MONTH($C545)=5,$V$4,IF(MONTH($C545)=6,$V$5,IF(MONTH($C545)=7,$V$6,"ERROR"))))-VLOOKUP($C545,COS!$B$8:$K$991,6,FALSE)/2,0))</f>
        <v>1500</v>
      </c>
      <c r="S545" s="30">
        <f t="shared" ref="S545:S548" si="878">R545*DAY($C545)*86400/43560/1000</f>
        <v>89.256198347107429</v>
      </c>
      <c r="T545" s="30">
        <f t="shared" ref="T545:T548" si="879">(O545+Q545)/2+S545</f>
        <v>107.76518040176265</v>
      </c>
      <c r="U545" s="30" t="str">
        <f>IF(VLOOKUP($C545,COS!$B$8:$I$991,8,FALSE)=1,"UWFE","IBU")</f>
        <v>UWFE</v>
      </c>
      <c r="V545" s="30">
        <f t="shared" ref="V545" si="880">MIN(IF(IF($AA$3=2,AND(E545=1,G545=1,L545=1,L550=1,M545=1,U545="IBU"),AND(E545=1,G545=1,L545=1,L550=1,M545=1)),T545,0),I545)</f>
        <v>0</v>
      </c>
      <c r="W545" s="30"/>
      <c r="X545" s="30"/>
      <c r="Y545" s="30"/>
      <c r="Z545" s="30"/>
      <c r="AA545" s="30"/>
      <c r="AB545" s="31"/>
    </row>
    <row r="546" spans="1:28" x14ac:dyDescent="0.3">
      <c r="A546" s="32">
        <f>VLOOKUP(YEAR(C546),Flags!$A$13:$B$95,2,FALSE)</f>
        <v>4</v>
      </c>
      <c r="B546" s="24">
        <f t="shared" si="841"/>
        <v>1981</v>
      </c>
      <c r="C546" s="25">
        <v>29737</v>
      </c>
      <c r="D546" s="26">
        <f>VLOOKUP($C546,COS!$B$8:$H$991,3,FALSE)</f>
        <v>7636.04248046875</v>
      </c>
      <c r="E546" s="24">
        <f>IF(D546&gt;=IF(MONTH($C546)=4,$C$3,IF(MONTH($C546)=5,$C$4,IF(MONTH($C546)=6,$C$5,IF(MONTH($C546)=7,$C$6,"ERROR")))),1,0)</f>
        <v>1</v>
      </c>
      <c r="F546" s="26">
        <f>VLOOKUP($C546,COS!$B$8:$H$991,7,FALSE)</f>
        <v>50.98291015625</v>
      </c>
      <c r="G546" s="24">
        <f>IF(F546&lt;=IF(MONTH($C546)=4,$F$3,IF(MONTH($C546)=5,$F$4,IF(MONTH($C546)=6,$F$5,IF(MONTH($C546)=7,$F$6,"ERROR")))),1,0)</f>
        <v>1</v>
      </c>
      <c r="H546" s="26">
        <f>IF(J546=1,D546-$C$4,0)</f>
        <v>1636.04248046875</v>
      </c>
      <c r="I546" s="26">
        <f t="shared" si="872"/>
        <v>100.59633103047521</v>
      </c>
      <c r="J546" s="24">
        <f t="shared" si="873"/>
        <v>1</v>
      </c>
      <c r="K546" s="26">
        <f>VLOOKUP($C546,COS!$B$8:$H$991,2,FALSE)</f>
        <v>4072.649658203125</v>
      </c>
      <c r="L546" s="24">
        <f t="shared" si="843"/>
        <v>1</v>
      </c>
      <c r="M546" s="24">
        <f t="shared" si="844"/>
        <v>1</v>
      </c>
      <c r="N546" s="26">
        <f>VLOOKUP($C546,COS!$B$8:$H$991,5,FALSE)</f>
        <v>512.199951171875</v>
      </c>
      <c r="O546" s="26">
        <f t="shared" si="876"/>
        <v>31.493947410898759</v>
      </c>
      <c r="P546" s="26">
        <f>VLOOKUP($C546,COS!$B$8:$H$991,6,FALSE)</f>
        <v>2162.07861328125</v>
      </c>
      <c r="Q546" s="26">
        <f t="shared" si="877"/>
        <v>132.94103208935951</v>
      </c>
      <c r="R546" s="26">
        <f>MIN(IF(MONTH($C546)=4,$S$3,IF(MONTH($C546)=5,$S$4,IF(MONTH($C546)=6,$S$5,IF(MONTH($C546)=7,$S$6,"ERROR")))),MAX(VLOOKUP($C546,COS!$B$8:$K$991,10,FALSE)-IF(MONTH($C546)=4,$Y$3,IF(MONTH($C546)=5,$Y$4,IF(MONTH($C546)=6,$Y$5,IF(MONTH($C546)=7,$Y$6,"ERROR")))),0),MAX(VLOOKUP($C546,COS!$B$8:$K$991,9,FALSE)-IF(MONTH($C546)=4,$V$3,IF(MONTH($C546)=5,$V$4,IF(MONTH($C546)=6,$V$5,IF(MONTH($C546)=7,$V$6,"ERROR"))))-VLOOKUP($C546,COS!$B$8:$K$991,6,FALSE)/2,0))</f>
        <v>1500</v>
      </c>
      <c r="S546" s="26">
        <f t="shared" si="878"/>
        <v>92.231404958677686</v>
      </c>
      <c r="T546" s="26">
        <f t="shared" si="879"/>
        <v>174.44889470880682</v>
      </c>
      <c r="U546" s="26" t="str">
        <f>IF(VLOOKUP($C546,COS!$B$8:$I$991,8,FALSE)=1,"UWFE","IBU")</f>
        <v>IBU</v>
      </c>
      <c r="V546" s="26">
        <f t="shared" ref="V546" si="881">MIN(IF(IF($AA$3=2,AND(E546=1,G546=1,L546=1,L550=1,M546=1,U546="IBU"),AND(E546=1,G546=1,L546=1,L550=1,M546=1)),T546,0),I546)</f>
        <v>100.59633103047521</v>
      </c>
      <c r="W546" s="26"/>
      <c r="X546" s="26"/>
      <c r="Y546" s="26"/>
      <c r="Z546" s="26"/>
      <c r="AA546" s="26"/>
      <c r="AB546" s="33"/>
    </row>
    <row r="547" spans="1:28" x14ac:dyDescent="0.3">
      <c r="A547" s="32">
        <f>VLOOKUP(YEAR(C547),Flags!$A$13:$B$95,2,FALSE)</f>
        <v>4</v>
      </c>
      <c r="B547" s="24">
        <f t="shared" si="841"/>
        <v>1981</v>
      </c>
      <c r="C547" s="25">
        <v>29767</v>
      </c>
      <c r="D547" s="26">
        <f>VLOOKUP($C547,COS!$B$8:$H$991,3,FALSE)</f>
        <v>14118.259765625</v>
      </c>
      <c r="E547" s="24">
        <f>IF(D547&gt;=IF(MONTH($C547)=4,$C$3,IF(MONTH($C547)=5,$C$4,IF(MONTH($C547)=6,$C$5,IF(MONTH($C547)=7,$C$6,"ERROR")))),1,0)</f>
        <v>1</v>
      </c>
      <c r="F547" s="26">
        <f>VLOOKUP($C547,COS!$B$8:$H$991,7,FALSE)</f>
        <v>50.939315795898438</v>
      </c>
      <c r="G547" s="24">
        <f>IF(F547&lt;=IF(MONTH($C547)=4,$F$3,IF(MONTH($C547)=5,$F$4,IF(MONTH($C547)=6,$F$5,IF(MONTH($C547)=7,$F$6,"ERROR")))),1,0)</f>
        <v>1</v>
      </c>
      <c r="H547" s="26">
        <f>IF(J547=1,D547-$C$5,0)</f>
        <v>4118.259765625</v>
      </c>
      <c r="I547" s="26">
        <f t="shared" si="872"/>
        <v>245.0534736570248</v>
      </c>
      <c r="J547" s="24">
        <f t="shared" si="873"/>
        <v>1</v>
      </c>
      <c r="K547" s="26">
        <f>VLOOKUP($C547,COS!$B$8:$H$991,2,FALSE)</f>
        <v>3447.17138671875</v>
      </c>
      <c r="L547" s="24">
        <f t="shared" si="843"/>
        <v>1</v>
      </c>
      <c r="M547" s="24">
        <f t="shared" si="844"/>
        <v>1</v>
      </c>
      <c r="N547" s="26">
        <f>VLOOKUP($C547,COS!$B$8:$H$991,5,FALSE)</f>
        <v>824.02752685546875</v>
      </c>
      <c r="O547" s="26">
        <f t="shared" si="876"/>
        <v>49.033042920325407</v>
      </c>
      <c r="P547" s="26">
        <f>VLOOKUP($C547,COS!$B$8:$H$991,6,FALSE)</f>
        <v>2714.961669921875</v>
      </c>
      <c r="Q547" s="26">
        <f t="shared" si="877"/>
        <v>161.55143821022727</v>
      </c>
      <c r="R547" s="26">
        <f>MIN(IF(MONTH($C547)=4,$S$3,IF(MONTH($C547)=5,$S$4,IF(MONTH($C547)=6,$S$5,IF(MONTH($C547)=7,$S$6,"ERROR")))),MAX(VLOOKUP($C547,COS!$B$8:$K$991,10,FALSE)-IF(MONTH($C547)=4,$Y$3,IF(MONTH($C547)=5,$Y$4,IF(MONTH($C547)=6,$Y$5,IF(MONTH($C547)=7,$Y$6,"ERROR")))),0),MAX(VLOOKUP($C547,COS!$B$8:$K$991,9,FALSE)-IF(MONTH($C547)=4,$V$3,IF(MONTH($C547)=5,$V$4,IF(MONTH($C547)=6,$V$5,IF(MONTH($C547)=7,$V$6,"ERROR"))))-VLOOKUP($C547,COS!$B$8:$K$991,6,FALSE)/2,0))</f>
        <v>1500</v>
      </c>
      <c r="S547" s="26">
        <f t="shared" si="878"/>
        <v>89.256198347107429</v>
      </c>
      <c r="T547" s="26">
        <f t="shared" si="879"/>
        <v>194.54843891238377</v>
      </c>
      <c r="U547" s="26" t="str">
        <f>IF(VLOOKUP($C547,COS!$B$8:$I$991,8,FALSE)=1,"UWFE","IBU")</f>
        <v>IBU</v>
      </c>
      <c r="V547" s="26">
        <f t="shared" ref="V547" si="882">MIN(IF(IF($AA$3=2,AND(E547=1,G547=1,L547=1,L550=1,M547=1,U547="IBU"),AND(E547=1,G547=1,L547=1,L550=1,M547=1)),T547,0),I547)</f>
        <v>194.54843891238377</v>
      </c>
      <c r="W547" s="26"/>
      <c r="X547" s="26"/>
      <c r="Y547" s="26"/>
      <c r="Z547" s="26"/>
      <c r="AA547" s="26"/>
      <c r="AB547" s="33"/>
    </row>
    <row r="548" spans="1:28" x14ac:dyDescent="0.3">
      <c r="A548" s="32">
        <f>VLOOKUP(YEAR(C548),Flags!$A$13:$B$95,2,FALSE)</f>
        <v>4</v>
      </c>
      <c r="B548" s="24">
        <f t="shared" si="841"/>
        <v>1981</v>
      </c>
      <c r="C548" s="25">
        <v>29798</v>
      </c>
      <c r="D548" s="26">
        <f>VLOOKUP($C548,COS!$B$8:$H$991,3,FALSE)</f>
        <v>16000</v>
      </c>
      <c r="E548" s="24">
        <f>IF(D548&gt;=IF(MONTH($C548)=4,$C$3,IF(MONTH($C548)=5,$C$4,IF(MONTH($C548)=6,$C$5,IF(MONTH($C548)=7,$C$6,"ERROR")))),1,0)</f>
        <v>1</v>
      </c>
      <c r="F548" s="26">
        <f>VLOOKUP($C548,COS!$B$8:$H$991,7,FALSE)</f>
        <v>52.245452880859375</v>
      </c>
      <c r="G548" s="24">
        <f>IF(F548&lt;=IF(MONTH($C548)=4,$F$3,IF(MONTH($C548)=5,$F$4,IF(MONTH($C548)=6,$F$5,IF(MONTH($C548)=7,$F$6,"ERROR")))),1,0)</f>
        <v>1</v>
      </c>
      <c r="H548" s="26">
        <f>IF(J548=1,D548-$C$6,0)</f>
        <v>4000</v>
      </c>
      <c r="I548" s="26">
        <f t="shared" si="872"/>
        <v>245.95041322314049</v>
      </c>
      <c r="J548" s="24">
        <f t="shared" si="873"/>
        <v>1</v>
      </c>
      <c r="K548" s="26">
        <f>VLOOKUP($C548,COS!$B$8:$H$991,2,FALSE)</f>
        <v>2809.813720703125</v>
      </c>
      <c r="L548" s="24">
        <f t="shared" si="843"/>
        <v>1</v>
      </c>
      <c r="M548" s="24">
        <f t="shared" si="844"/>
        <v>1</v>
      </c>
      <c r="N548" s="26">
        <f>VLOOKUP($C548,COS!$B$8:$H$991,5,FALSE)</f>
        <v>902.334716796875</v>
      </c>
      <c r="O548" s="26">
        <f t="shared" si="876"/>
        <v>55.48239911544421</v>
      </c>
      <c r="P548" s="26">
        <f>VLOOKUP($C548,COS!$B$8:$H$991,6,FALSE)</f>
        <v>2538.07568359375</v>
      </c>
      <c r="Q548" s="26">
        <f t="shared" si="877"/>
        <v>156.06019079287191</v>
      </c>
      <c r="R548" s="26">
        <f>MIN(IF(MONTH($C548)=4,$S$3,IF(MONTH($C548)=5,$S$4,IF(MONTH($C548)=6,$S$5,IF(MONTH($C548)=7,$S$6,"ERROR")))),MAX(VLOOKUP($C548,COS!$B$8:$K$991,10,FALSE)-IF(MONTH($C548)=4,$Y$3,IF(MONTH($C548)=5,$Y$4,IF(MONTH($C548)=6,$Y$5,IF(MONTH($C548)=7,$Y$6,"ERROR")))),0),MAX(VLOOKUP($C548,COS!$B$8:$K$991,9,FALSE)-IF(MONTH($C548)=4,$V$3,IF(MONTH($C548)=5,$V$4,IF(MONTH($C548)=6,$V$5,IF(MONTH($C548)=7,$V$6,"ERROR"))))-VLOOKUP($C548,COS!$B$8:$K$991,6,FALSE)/2,0))</f>
        <v>1500</v>
      </c>
      <c r="S548" s="26">
        <f t="shared" si="878"/>
        <v>92.231404958677686</v>
      </c>
      <c r="T548" s="26">
        <f t="shared" si="879"/>
        <v>198.00269991283574</v>
      </c>
      <c r="U548" s="26" t="str">
        <f>IF(VLOOKUP($C548,COS!$B$8:$I$991,8,FALSE)=1,"UWFE","IBU")</f>
        <v>IBU</v>
      </c>
      <c r="V548" s="26">
        <f t="shared" ref="V548" si="883">MIN(IF(IF($AA$3=2,AND(E548=1,G548=1,L548=1,L550=1,M548=1,U548="IBU"),AND(E548=1,G548=1,L548=1,L550=1,M548=1)),T548,0),I548)</f>
        <v>198.00269991283574</v>
      </c>
      <c r="W548" s="26"/>
      <c r="X548" s="26"/>
      <c r="Y548" s="26"/>
      <c r="Z548" s="26"/>
      <c r="AA548" s="26"/>
      <c r="AB548" s="33"/>
    </row>
    <row r="549" spans="1:28" x14ac:dyDescent="0.3">
      <c r="A549" s="32">
        <f>VLOOKUP(YEAR(C549),Flags!$A$13:$B$95,2,FALSE)</f>
        <v>4</v>
      </c>
      <c r="B549" s="24">
        <f t="shared" si="841"/>
        <v>1981</v>
      </c>
      <c r="C549" s="25">
        <v>29829</v>
      </c>
      <c r="D549" s="26"/>
      <c r="E549" s="24"/>
      <c r="F549" s="26"/>
      <c r="G549" s="24"/>
      <c r="H549" s="24"/>
      <c r="I549" s="26"/>
      <c r="J549" s="24"/>
      <c r="K549" s="26"/>
      <c r="L549" s="24"/>
      <c r="M549" s="24"/>
      <c r="N549" s="26"/>
      <c r="O549" s="26"/>
      <c r="P549" s="26"/>
      <c r="Q549" s="26"/>
      <c r="R549" s="26"/>
      <c r="S549" s="26"/>
      <c r="T549" s="26"/>
      <c r="U549" s="26"/>
      <c r="V549" s="26"/>
      <c r="W549" s="26">
        <f>MAX($C$7-VLOOKUP($C549,COS!$B$8:$H$991,3,FALSE),0)</f>
        <v>91031.4130859375</v>
      </c>
      <c r="X549" s="26">
        <f t="shared" si="870"/>
        <v>5597.3034161931819</v>
      </c>
      <c r="Y549" s="26">
        <f>VLOOKUP($C549,COS!$B$8:$H$991,4,FALSE)</f>
        <v>3055.62109375</v>
      </c>
      <c r="Z549" s="26">
        <f t="shared" si="871"/>
        <v>187.88281766528925</v>
      </c>
      <c r="AA549" s="26">
        <f t="shared" ref="AA549:AA553" si="884">MIN(W549,Y549)</f>
        <v>3055.62109375</v>
      </c>
      <c r="AB549" s="33">
        <f t="shared" ref="AB549" si="885">AA549*DAY($C549)*86400/43560/1000*IF(MONTH($C549)=8,$P$3,IF(MONTH($C549)=9,$P$4,IF(MONTH($C549)=10,$P$5,IF(MONTH($C549)=11,$P$6,IF(MONTH($C549)=12,$P$7,NA())))))</f>
        <v>187.88281766528925</v>
      </c>
    </row>
    <row r="550" spans="1:28" x14ac:dyDescent="0.3">
      <c r="A550" s="32">
        <f>VLOOKUP(YEAR(C550),Flags!$A$13:$B$95,2,FALSE)</f>
        <v>4</v>
      </c>
      <c r="B550" s="24">
        <f t="shared" si="841"/>
        <v>1981</v>
      </c>
      <c r="C550" s="25">
        <v>29859</v>
      </c>
      <c r="D550" s="26"/>
      <c r="E550" s="24"/>
      <c r="F550" s="26"/>
      <c r="G550" s="24"/>
      <c r="H550" s="24"/>
      <c r="I550" s="26"/>
      <c r="J550" s="24"/>
      <c r="K550" s="26">
        <f>VLOOKUP($C550,COS!$B$8:$H$991,2,FALSE)</f>
        <v>2475.966796875</v>
      </c>
      <c r="L550" s="24">
        <f t="shared" ref="L550" si="886">IF(AND(K550&gt;$I$7,K550&lt;$I$8),1,0)</f>
        <v>1</v>
      </c>
      <c r="M550" s="24"/>
      <c r="N550" s="26"/>
      <c r="O550" s="26"/>
      <c r="P550" s="26"/>
      <c r="Q550" s="26"/>
      <c r="R550" s="26"/>
      <c r="S550" s="26"/>
      <c r="T550" s="26"/>
      <c r="U550" s="26"/>
      <c r="V550" s="26"/>
      <c r="W550" s="26">
        <f>MAX($C$8-VLOOKUP($C550,COS!$B$8:$H$991,3,FALSE),0)</f>
        <v>94645.4052734375</v>
      </c>
      <c r="X550" s="26">
        <f t="shared" si="870"/>
        <v>5631.7927104855371</v>
      </c>
      <c r="Y550" s="26">
        <f>VLOOKUP($C550,COS!$B$8:$H$991,4,FALSE)</f>
        <v>917.53326416015625</v>
      </c>
      <c r="Z550" s="26">
        <f t="shared" si="871"/>
        <v>54.597020677298552</v>
      </c>
      <c r="AA550" s="26">
        <f t="shared" si="884"/>
        <v>917.53326416015625</v>
      </c>
      <c r="AB550" s="33">
        <f t="shared" si="854"/>
        <v>54.597020677298552</v>
      </c>
    </row>
    <row r="551" spans="1:28" x14ac:dyDescent="0.3">
      <c r="A551" s="32">
        <f>VLOOKUP(YEAR(C551),Flags!$A$13:$B$95,2,FALSE)</f>
        <v>4</v>
      </c>
      <c r="B551" s="24">
        <f t="shared" si="841"/>
        <v>1981</v>
      </c>
      <c r="C551" s="25">
        <v>29890</v>
      </c>
      <c r="D551" s="26"/>
      <c r="E551" s="24"/>
      <c r="F551" s="26"/>
      <c r="G551" s="26"/>
      <c r="H551" s="26"/>
      <c r="I551" s="26"/>
      <c r="J551" s="26"/>
      <c r="K551" s="26"/>
      <c r="L551" s="24"/>
      <c r="M551" s="24"/>
      <c r="N551" s="26"/>
      <c r="O551" s="26"/>
      <c r="P551" s="26"/>
      <c r="Q551" s="26"/>
      <c r="R551" s="26"/>
      <c r="S551" s="26"/>
      <c r="T551" s="26"/>
      <c r="U551" s="26"/>
      <c r="V551" s="26"/>
      <c r="W551" s="26">
        <f>MAX($C$9-VLOOKUP($C551,COS!$B$8:$H$991,3,FALSE),0)</f>
        <v>96679.089599609375</v>
      </c>
      <c r="X551" s="26">
        <f t="shared" si="870"/>
        <v>5944.5655092652378</v>
      </c>
      <c r="Y551" s="26">
        <f>VLOOKUP($C551,COS!$B$8:$H$991,4,FALSE)</f>
        <v>1399.4996337890625</v>
      </c>
      <c r="Z551" s="26">
        <f t="shared" si="871"/>
        <v>86.051878309013418</v>
      </c>
      <c r="AA551" s="26">
        <f t="shared" si="884"/>
        <v>1399.4996337890625</v>
      </c>
      <c r="AB551" s="33">
        <f t="shared" si="854"/>
        <v>86.051878309013418</v>
      </c>
    </row>
    <row r="552" spans="1:28" x14ac:dyDescent="0.3">
      <c r="A552" s="32">
        <f>VLOOKUP(YEAR(C552),Flags!$A$13:$B$95,2,FALSE)</f>
        <v>4</v>
      </c>
      <c r="B552" s="24">
        <f t="shared" si="841"/>
        <v>1981</v>
      </c>
      <c r="C552" s="25">
        <v>29920</v>
      </c>
      <c r="D552" s="26"/>
      <c r="E552" s="24"/>
      <c r="F552" s="26"/>
      <c r="G552" s="26"/>
      <c r="H552" s="26"/>
      <c r="I552" s="26"/>
      <c r="J552" s="26"/>
      <c r="K552" s="26"/>
      <c r="L552" s="24"/>
      <c r="M552" s="24"/>
      <c r="N552" s="26"/>
      <c r="O552" s="26"/>
      <c r="P552" s="26"/>
      <c r="Q552" s="26"/>
      <c r="R552" s="26"/>
      <c r="S552" s="26"/>
      <c r="T552" s="26"/>
      <c r="U552" s="26"/>
      <c r="V552" s="26"/>
      <c r="W552" s="26">
        <f>MAX($C$10-VLOOKUP($C552,COS!$B$8:$H$991,3,FALSE),0)</f>
        <v>91684.076171875</v>
      </c>
      <c r="X552" s="26">
        <f t="shared" si="870"/>
        <v>5455.5813920454539</v>
      </c>
      <c r="Y552" s="26">
        <f>VLOOKUP($C552,COS!$B$8:$H$991,4,FALSE)</f>
        <v>0</v>
      </c>
      <c r="Z552" s="26">
        <f t="shared" si="871"/>
        <v>0</v>
      </c>
      <c r="AA552" s="26">
        <f t="shared" si="884"/>
        <v>0</v>
      </c>
      <c r="AB552" s="33">
        <f t="shared" si="854"/>
        <v>0</v>
      </c>
    </row>
    <row r="553" spans="1:28" x14ac:dyDescent="0.3">
      <c r="A553" s="34">
        <f>VLOOKUP(YEAR(C553),Flags!$A$13:$B$95,2,FALSE)</f>
        <v>4</v>
      </c>
      <c r="B553" s="35">
        <f t="shared" si="841"/>
        <v>1981</v>
      </c>
      <c r="C553" s="36">
        <v>29951</v>
      </c>
      <c r="D553" s="37"/>
      <c r="E553" s="35"/>
      <c r="F553" s="37"/>
      <c r="G553" s="37"/>
      <c r="H553" s="37"/>
      <c r="I553" s="37"/>
      <c r="J553" s="37"/>
      <c r="K553" s="37"/>
      <c r="L553" s="35"/>
      <c r="M553" s="35"/>
      <c r="N553" s="37"/>
      <c r="O553" s="37"/>
      <c r="P553" s="37"/>
      <c r="Q553" s="37"/>
      <c r="R553" s="37"/>
      <c r="S553" s="37"/>
      <c r="T553" s="37"/>
      <c r="U553" s="37"/>
      <c r="V553" s="37"/>
      <c r="W553" s="37">
        <f>MAX($C$11-VLOOKUP($C553,COS!$B$8:$H$991,3,FALSE),0)</f>
        <v>0</v>
      </c>
      <c r="X553" s="37">
        <f t="shared" si="870"/>
        <v>0</v>
      </c>
      <c r="Y553" s="37">
        <f>VLOOKUP($C553,COS!$B$8:$H$991,4,FALSE)</f>
        <v>0</v>
      </c>
      <c r="Z553" s="37">
        <f t="shared" si="871"/>
        <v>0</v>
      </c>
      <c r="AA553" s="37">
        <f t="shared" si="884"/>
        <v>0</v>
      </c>
      <c r="AB553" s="38">
        <f t="shared" si="854"/>
        <v>0</v>
      </c>
    </row>
    <row r="554" spans="1:28" x14ac:dyDescent="0.3">
      <c r="A554" s="27">
        <f>VLOOKUP(YEAR(C554),Flags!$A$13:$B$95,2,FALSE)</f>
        <v>1</v>
      </c>
      <c r="B554" s="28">
        <f t="shared" si="841"/>
        <v>1982</v>
      </c>
      <c r="C554" s="29">
        <v>30071</v>
      </c>
      <c r="D554" s="30">
        <f>VLOOKUP($C554,COS!$B$8:$H$991,3,FALSE)</f>
        <v>24913.6875</v>
      </c>
      <c r="E554" s="28">
        <f>IF(D554&gt;=IF(MONTH($C554)=4,$C$3,IF(MONTH($C554)=5,$C$4,IF(MONTH($C554)=6,$C$5,IF(MONTH($C554)=7,$C$6,"ERROR")))),1,0)</f>
        <v>1</v>
      </c>
      <c r="F554" s="30">
        <f>VLOOKUP($C554,COS!$B$8:$H$991,7,FALSE)</f>
        <v>46.657176971435547</v>
      </c>
      <c r="G554" s="28">
        <f>IF(F554&lt;=IF(MONTH($C554)=4,$F$3,IF(MONTH($C554)=5,$F$4,IF(MONTH($C554)=6,$F$5,IF(MONTH($C554)=7,$F$6,"ERROR")))),1,0)</f>
        <v>1</v>
      </c>
      <c r="H554" s="30">
        <f>IF(J554=1,D554-$C$3,0)</f>
        <v>18913.6875</v>
      </c>
      <c r="I554" s="30">
        <f t="shared" si="872"/>
        <v>1125.442561983471</v>
      </c>
      <c r="J554" s="28">
        <f t="shared" ref="J554:J557" si="887">IF(AND(E554=1,G554=1),1,0)</f>
        <v>1</v>
      </c>
      <c r="K554" s="30">
        <f>VLOOKUP($C554,COS!$B$8:$H$991,2,FALSE)</f>
        <v>4094</v>
      </c>
      <c r="L554" s="28">
        <f t="shared" ref="L554" si="888">IF(K554&lt;=IF(MONTH($C554)=4,$I$3,IF(MONTH($C554)=5,$I$4,IF(MONTH($C554)=6,$I$5,IF(MONTH($C554)=7,$I$6,"ERROR")))),1,0)</f>
        <v>1</v>
      </c>
      <c r="M554" s="28">
        <f t="shared" ref="M554" si="889">VLOOKUP($A554,$L$3:$M$7,2,FALSE)</f>
        <v>0</v>
      </c>
      <c r="N554" s="30">
        <f>VLOOKUP($C554,COS!$B$8:$H$991,5,FALSE)</f>
        <v>47.432540893554688</v>
      </c>
      <c r="O554" s="30">
        <f t="shared" ref="O554:O557" si="890">N554*DAY($C554)*86400/43560/1000</f>
        <v>2.8224321854016012</v>
      </c>
      <c r="P554" s="30">
        <f>VLOOKUP($C554,COS!$B$8:$H$991,6,FALSE)</f>
        <v>305.73114013671875</v>
      </c>
      <c r="Q554" s="30">
        <f t="shared" ref="Q554:Q557" si="891">P554*DAY($C554)*86400/43560/1000</f>
        <v>18.192266189953511</v>
      </c>
      <c r="R554" s="30">
        <f>MIN(IF(MONTH($C554)=4,$S$3,IF(MONTH($C554)=5,$S$4,IF(MONTH($C554)=6,$S$5,IF(MONTH($C554)=7,$S$6,"ERROR")))),MAX(VLOOKUP($C554,COS!$B$8:$K$991,10,FALSE)-IF(MONTH($C554)=4,$Y$3,IF(MONTH($C554)=5,$Y$4,IF(MONTH($C554)=6,$Y$5,IF(MONTH($C554)=7,$Y$6,"ERROR")))),0),MAX(VLOOKUP($C554,COS!$B$8:$K$991,9,FALSE)-IF(MONTH($C554)=4,$V$3,IF(MONTH($C554)=5,$V$4,IF(MONTH($C554)=6,$V$5,IF(MONTH($C554)=7,$V$6,"ERROR"))))-VLOOKUP($C554,COS!$B$8:$K$991,6,FALSE)/2,0))</f>
        <v>1500</v>
      </c>
      <c r="S554" s="30">
        <f t="shared" ref="S554:S557" si="892">R554*DAY($C554)*86400/43560/1000</f>
        <v>89.256198347107429</v>
      </c>
      <c r="T554" s="30">
        <f t="shared" ref="T554:T557" si="893">(O554+Q554)/2+S554</f>
        <v>99.76354753478499</v>
      </c>
      <c r="U554" s="30" t="str">
        <f>IF(VLOOKUP($C554,COS!$B$8:$I$991,8,FALSE)=1,"UWFE","IBU")</f>
        <v>UWFE</v>
      </c>
      <c r="V554" s="30">
        <f t="shared" ref="V554" si="894">MIN(IF(IF($AA$3=2,AND(E554=1,G554=1,L554=1,L559=1,M554=1,U554="IBU"),AND(E554=1,G554=1,L554=1,L559=1,M554=1)),T554,0),I554)</f>
        <v>0</v>
      </c>
      <c r="W554" s="30"/>
      <c r="X554" s="30"/>
      <c r="Y554" s="30"/>
      <c r="Z554" s="30"/>
      <c r="AA554" s="30"/>
      <c r="AB554" s="31"/>
    </row>
    <row r="555" spans="1:28" x14ac:dyDescent="0.3">
      <c r="A555" s="32">
        <f>VLOOKUP(YEAR(C555),Flags!$A$13:$B$95,2,FALSE)</f>
        <v>1</v>
      </c>
      <c r="B555" s="24">
        <f t="shared" si="841"/>
        <v>1982</v>
      </c>
      <c r="C555" s="25">
        <v>30102</v>
      </c>
      <c r="D555" s="26">
        <f>VLOOKUP($C555,COS!$B$8:$H$991,3,FALSE)</f>
        <v>3472.723876953125</v>
      </c>
      <c r="E555" s="24">
        <f>IF(D555&gt;=IF(MONTH($C555)=4,$C$3,IF(MONTH($C555)=5,$C$4,IF(MONTH($C555)=6,$C$5,IF(MONTH($C555)=7,$C$6,"ERROR")))),1,0)</f>
        <v>0</v>
      </c>
      <c r="F555" s="26">
        <f>VLOOKUP($C555,COS!$B$8:$H$991,7,FALSE)</f>
        <v>53.570789337158203</v>
      </c>
      <c r="G555" s="24">
        <f>IF(F555&lt;=IF(MONTH($C555)=4,$F$3,IF(MONTH($C555)=5,$F$4,IF(MONTH($C555)=6,$F$5,IF(MONTH($C555)=7,$F$6,"ERROR")))),1,0)</f>
        <v>1</v>
      </c>
      <c r="H555" s="26">
        <f>IF(J555=1,D555-$C$4,0)</f>
        <v>0</v>
      </c>
      <c r="I555" s="26">
        <f t="shared" si="872"/>
        <v>0</v>
      </c>
      <c r="J555" s="24">
        <f t="shared" si="887"/>
        <v>0</v>
      </c>
      <c r="K555" s="26">
        <f>VLOOKUP($C555,COS!$B$8:$H$991,2,FALSE)</f>
        <v>4481.19091796875</v>
      </c>
      <c r="L555" s="24">
        <f t="shared" si="843"/>
        <v>1</v>
      </c>
      <c r="M555" s="24">
        <f t="shared" si="844"/>
        <v>0</v>
      </c>
      <c r="N555" s="26">
        <f>VLOOKUP($C555,COS!$B$8:$H$991,5,FALSE)</f>
        <v>674.9888916015625</v>
      </c>
      <c r="O555" s="26">
        <f t="shared" si="890"/>
        <v>41.503449202608472</v>
      </c>
      <c r="P555" s="26">
        <f>VLOOKUP($C555,COS!$B$8:$H$991,6,FALSE)</f>
        <v>2221.702392578125</v>
      </c>
      <c r="Q555" s="26">
        <f t="shared" si="891"/>
        <v>136.60715537835745</v>
      </c>
      <c r="R555" s="26">
        <f>MIN(IF(MONTH($C555)=4,$S$3,IF(MONTH($C555)=5,$S$4,IF(MONTH($C555)=6,$S$5,IF(MONTH($C555)=7,$S$6,"ERROR")))),MAX(VLOOKUP($C555,COS!$B$8:$K$991,10,FALSE)-IF(MONTH($C555)=4,$Y$3,IF(MONTH($C555)=5,$Y$4,IF(MONTH($C555)=6,$Y$5,IF(MONTH($C555)=7,$Y$6,"ERROR")))),0),MAX(VLOOKUP($C555,COS!$B$8:$K$991,9,FALSE)-IF(MONTH($C555)=4,$V$3,IF(MONTH($C555)=5,$V$4,IF(MONTH($C555)=6,$V$5,IF(MONTH($C555)=7,$V$6,"ERROR"))))-VLOOKUP($C555,COS!$B$8:$K$991,6,FALSE)/2,0))</f>
        <v>858.08984375</v>
      </c>
      <c r="S555" s="26">
        <f t="shared" si="892"/>
        <v>52.761887913223134</v>
      </c>
      <c r="T555" s="26">
        <f t="shared" si="893"/>
        <v>141.8171902037061</v>
      </c>
      <c r="U555" s="26" t="str">
        <f>IF(VLOOKUP($C555,COS!$B$8:$I$991,8,FALSE)=1,"UWFE","IBU")</f>
        <v>UWFE</v>
      </c>
      <c r="V555" s="26">
        <f t="shared" ref="V555" si="895">MIN(IF(IF($AA$3=2,AND(E555=1,G555=1,L555=1,L559=1,M555=1,U555="IBU"),AND(E555=1,G555=1,L555=1,L559=1,M555=1)),T555,0),I555)</f>
        <v>0</v>
      </c>
      <c r="W555" s="26"/>
      <c r="X555" s="26"/>
      <c r="Y555" s="26"/>
      <c r="Z555" s="26"/>
      <c r="AA555" s="26"/>
      <c r="AB555" s="33"/>
    </row>
    <row r="556" spans="1:28" x14ac:dyDescent="0.3">
      <c r="A556" s="32">
        <f>VLOOKUP(YEAR(C556),Flags!$A$13:$B$95,2,FALSE)</f>
        <v>1</v>
      </c>
      <c r="B556" s="24">
        <f t="shared" si="841"/>
        <v>1982</v>
      </c>
      <c r="C556" s="25">
        <v>30132</v>
      </c>
      <c r="D556" s="26">
        <f>VLOOKUP($C556,COS!$B$8:$H$991,3,FALSE)</f>
        <v>6372.11962890625</v>
      </c>
      <c r="E556" s="24">
        <f>IF(D556&gt;=IF(MONTH($C556)=4,$C$3,IF(MONTH($C556)=5,$C$4,IF(MONTH($C556)=6,$C$5,IF(MONTH($C556)=7,$C$6,"ERROR")))),1,0)</f>
        <v>0</v>
      </c>
      <c r="F556" s="26">
        <f>VLOOKUP($C556,COS!$B$8:$H$991,7,FALSE)</f>
        <v>52.376934051513672</v>
      </c>
      <c r="G556" s="24">
        <f>IF(F556&lt;=IF(MONTH($C556)=4,$F$3,IF(MONTH($C556)=5,$F$4,IF(MONTH($C556)=6,$F$5,IF(MONTH($C556)=7,$F$6,"ERROR")))),1,0)</f>
        <v>1</v>
      </c>
      <c r="H556" s="26">
        <f>IF(J556=1,D556-$C$5,0)</f>
        <v>0</v>
      </c>
      <c r="I556" s="26">
        <f t="shared" si="872"/>
        <v>0</v>
      </c>
      <c r="J556" s="24">
        <f t="shared" si="887"/>
        <v>0</v>
      </c>
      <c r="K556" s="26">
        <f>VLOOKUP($C556,COS!$B$8:$H$991,2,FALSE)</f>
        <v>4397.3564453125</v>
      </c>
      <c r="L556" s="24">
        <f t="shared" si="843"/>
        <v>1</v>
      </c>
      <c r="M556" s="24">
        <f t="shared" si="844"/>
        <v>0</v>
      </c>
      <c r="N556" s="26">
        <f>VLOOKUP($C556,COS!$B$8:$H$991,5,FALSE)</f>
        <v>1084.0577392578125</v>
      </c>
      <c r="O556" s="26">
        <f t="shared" si="890"/>
        <v>64.505915063274784</v>
      </c>
      <c r="P556" s="26">
        <f>VLOOKUP($C556,COS!$B$8:$H$991,6,FALSE)</f>
        <v>2094.6748046875</v>
      </c>
      <c r="Q556" s="26">
        <f t="shared" si="891"/>
        <v>124.64180655991736</v>
      </c>
      <c r="R556" s="26">
        <f>MIN(IF(MONTH($C556)=4,$S$3,IF(MONTH($C556)=5,$S$4,IF(MONTH($C556)=6,$S$5,IF(MONTH($C556)=7,$S$6,"ERROR")))),MAX(VLOOKUP($C556,COS!$B$8:$K$991,10,FALSE)-IF(MONTH($C556)=4,$Y$3,IF(MONTH($C556)=5,$Y$4,IF(MONTH($C556)=6,$Y$5,IF(MONTH($C556)=7,$Y$6,"ERROR")))),0),MAX(VLOOKUP($C556,COS!$B$8:$K$991,9,FALSE)-IF(MONTH($C556)=4,$V$3,IF(MONTH($C556)=5,$V$4,IF(MONTH($C556)=6,$V$5,IF(MONTH($C556)=7,$V$6,"ERROR"))))-VLOOKUP($C556,COS!$B$8:$K$991,6,FALSE)/2,0))</f>
        <v>1500</v>
      </c>
      <c r="S556" s="26">
        <f t="shared" si="892"/>
        <v>89.256198347107429</v>
      </c>
      <c r="T556" s="26">
        <f t="shared" si="893"/>
        <v>183.83005915870348</v>
      </c>
      <c r="U556" s="26" t="str">
        <f>IF(VLOOKUP($C556,COS!$B$8:$I$991,8,FALSE)=1,"UWFE","IBU")</f>
        <v>UWFE</v>
      </c>
      <c r="V556" s="26">
        <f t="shared" ref="V556" si="896">MIN(IF(IF($AA$3=2,AND(E556=1,G556=1,L556=1,L559=1,M556=1,U556="IBU"),AND(E556=1,G556=1,L556=1,L559=1,M556=1)),T556,0),I556)</f>
        <v>0</v>
      </c>
      <c r="W556" s="26"/>
      <c r="X556" s="26"/>
      <c r="Y556" s="26"/>
      <c r="Z556" s="26"/>
      <c r="AA556" s="26"/>
      <c r="AB556" s="33"/>
    </row>
    <row r="557" spans="1:28" x14ac:dyDescent="0.3">
      <c r="A557" s="32">
        <f>VLOOKUP(YEAR(C557),Flags!$A$13:$B$95,2,FALSE)</f>
        <v>1</v>
      </c>
      <c r="B557" s="24">
        <f t="shared" si="841"/>
        <v>1982</v>
      </c>
      <c r="C557" s="25">
        <v>30163</v>
      </c>
      <c r="D557" s="26">
        <f>VLOOKUP($C557,COS!$B$8:$H$991,3,FALSE)</f>
        <v>10502.37890625</v>
      </c>
      <c r="E557" s="24">
        <f>IF(D557&gt;=IF(MONTH($C557)=4,$C$3,IF(MONTH($C557)=5,$C$4,IF(MONTH($C557)=6,$C$5,IF(MONTH($C557)=7,$C$6,"ERROR")))),1,0)</f>
        <v>0</v>
      </c>
      <c r="F557" s="26">
        <f>VLOOKUP($C557,COS!$B$8:$H$991,7,FALSE)</f>
        <v>52.655227661132813</v>
      </c>
      <c r="G557" s="24">
        <f>IF(F557&lt;=IF(MONTH($C557)=4,$F$3,IF(MONTH($C557)=5,$F$4,IF(MONTH($C557)=6,$F$5,IF(MONTH($C557)=7,$F$6,"ERROR")))),1,0)</f>
        <v>1</v>
      </c>
      <c r="H557" s="26">
        <f>IF(J557=1,D557-$C$6,0)</f>
        <v>0</v>
      </c>
      <c r="I557" s="26">
        <f t="shared" si="872"/>
        <v>0</v>
      </c>
      <c r="J557" s="24">
        <f t="shared" si="887"/>
        <v>0</v>
      </c>
      <c r="K557" s="26">
        <f>VLOOKUP($C557,COS!$B$8:$H$991,2,FALSE)</f>
        <v>4071.590576171875</v>
      </c>
      <c r="L557" s="24">
        <f t="shared" si="843"/>
        <v>1</v>
      </c>
      <c r="M557" s="24">
        <f t="shared" si="844"/>
        <v>0</v>
      </c>
      <c r="N557" s="26">
        <f>VLOOKUP($C557,COS!$B$8:$H$991,5,FALSE)</f>
        <v>1375.2449951171875</v>
      </c>
      <c r="O557" s="26">
        <f t="shared" si="890"/>
        <v>84.560518708032035</v>
      </c>
      <c r="P557" s="26">
        <f>VLOOKUP($C557,COS!$B$8:$H$991,6,FALSE)</f>
        <v>2616.67822265625</v>
      </c>
      <c r="Q557" s="26">
        <f t="shared" si="891"/>
        <v>160.89327253357436</v>
      </c>
      <c r="R557" s="26">
        <f>MIN(IF(MONTH($C557)=4,$S$3,IF(MONTH($C557)=5,$S$4,IF(MONTH($C557)=6,$S$5,IF(MONTH($C557)=7,$S$6,"ERROR")))),MAX(VLOOKUP($C557,COS!$B$8:$K$991,10,FALSE)-IF(MONTH($C557)=4,$Y$3,IF(MONTH($C557)=5,$Y$4,IF(MONTH($C557)=6,$Y$5,IF(MONTH($C557)=7,$Y$6,"ERROR")))),0),MAX(VLOOKUP($C557,COS!$B$8:$K$991,9,FALSE)-IF(MONTH($C557)=4,$V$3,IF(MONTH($C557)=5,$V$4,IF(MONTH($C557)=6,$V$5,IF(MONTH($C557)=7,$V$6,"ERROR"))))-VLOOKUP($C557,COS!$B$8:$K$991,6,FALSE)/2,0))</f>
        <v>1500</v>
      </c>
      <c r="S557" s="26">
        <f t="shared" si="892"/>
        <v>92.231404958677686</v>
      </c>
      <c r="T557" s="26">
        <f t="shared" si="893"/>
        <v>214.95830057948086</v>
      </c>
      <c r="U557" s="26" t="str">
        <f>IF(VLOOKUP($C557,COS!$B$8:$I$991,8,FALSE)=1,"UWFE","IBU")</f>
        <v>IBU</v>
      </c>
      <c r="V557" s="26">
        <f t="shared" ref="V557" si="897">MIN(IF(IF($AA$3=2,AND(E557=1,G557=1,L557=1,L559=1,M557=1,U557="IBU"),AND(E557=1,G557=1,L557=1,L559=1,M557=1)),T557,0),I557)</f>
        <v>0</v>
      </c>
      <c r="W557" s="26"/>
      <c r="X557" s="26"/>
      <c r="Y557" s="26"/>
      <c r="Z557" s="26"/>
      <c r="AA557" s="26"/>
      <c r="AB557" s="33"/>
    </row>
    <row r="558" spans="1:28" x14ac:dyDescent="0.3">
      <c r="A558" s="32">
        <f>VLOOKUP(YEAR(C558),Flags!$A$13:$B$95,2,FALSE)</f>
        <v>1</v>
      </c>
      <c r="B558" s="24">
        <f t="shared" si="841"/>
        <v>1982</v>
      </c>
      <c r="C558" s="25">
        <v>30194</v>
      </c>
      <c r="D558" s="26"/>
      <c r="E558" s="24"/>
      <c r="F558" s="26"/>
      <c r="G558" s="24"/>
      <c r="H558" s="24"/>
      <c r="I558" s="26"/>
      <c r="J558" s="24"/>
      <c r="K558" s="26"/>
      <c r="L558" s="24"/>
      <c r="M558" s="24"/>
      <c r="N558" s="26"/>
      <c r="O558" s="26"/>
      <c r="P558" s="26"/>
      <c r="Q558" s="26"/>
      <c r="R558" s="26"/>
      <c r="S558" s="26"/>
      <c r="T558" s="26"/>
      <c r="U558" s="26"/>
      <c r="V558" s="26"/>
      <c r="W558" s="26">
        <f>MAX($C$7-VLOOKUP($C558,COS!$B$8:$H$991,3,FALSE),0)</f>
        <v>90771.0556640625</v>
      </c>
      <c r="X558" s="26">
        <f t="shared" si="870"/>
        <v>5581.2946623192147</v>
      </c>
      <c r="Y558" s="26">
        <f>VLOOKUP($C558,COS!$B$8:$H$991,4,FALSE)</f>
        <v>0</v>
      </c>
      <c r="Z558" s="26">
        <f t="shared" si="871"/>
        <v>0</v>
      </c>
      <c r="AA558" s="26">
        <f t="shared" ref="AA558:AA562" si="898">MIN(W558,Y558)</f>
        <v>0</v>
      </c>
      <c r="AB558" s="33">
        <f t="shared" ref="AB558" si="899">AA558*DAY($C558)*86400/43560/1000*IF(MONTH($C558)=8,$P$3,IF(MONTH($C558)=9,$P$4,IF(MONTH($C558)=10,$P$5,IF(MONTH($C558)=11,$P$6,IF(MONTH($C558)=12,$P$7,NA())))))</f>
        <v>0</v>
      </c>
    </row>
    <row r="559" spans="1:28" x14ac:dyDescent="0.3">
      <c r="A559" s="32">
        <f>VLOOKUP(YEAR(C559),Flags!$A$13:$B$95,2,FALSE)</f>
        <v>1</v>
      </c>
      <c r="B559" s="24">
        <f t="shared" si="841"/>
        <v>1982</v>
      </c>
      <c r="C559" s="25">
        <v>30224</v>
      </c>
      <c r="D559" s="26"/>
      <c r="E559" s="24"/>
      <c r="F559" s="26"/>
      <c r="G559" s="24"/>
      <c r="H559" s="24"/>
      <c r="I559" s="26"/>
      <c r="J559" s="24"/>
      <c r="K559" s="26">
        <f>VLOOKUP($C559,COS!$B$8:$H$991,2,FALSE)</f>
        <v>3400</v>
      </c>
      <c r="L559" s="24">
        <f t="shared" ref="L559" si="900">IF(AND(K559&gt;$I$7,K559&lt;$I$8),1,0)</f>
        <v>1</v>
      </c>
      <c r="M559" s="24"/>
      <c r="N559" s="26"/>
      <c r="O559" s="26"/>
      <c r="P559" s="26"/>
      <c r="Q559" s="26"/>
      <c r="R559" s="26"/>
      <c r="S559" s="26"/>
      <c r="T559" s="26"/>
      <c r="U559" s="26"/>
      <c r="V559" s="26"/>
      <c r="W559" s="26">
        <f>MAX($C$8-VLOOKUP($C559,COS!$B$8:$H$991,3,FALSE),0)</f>
        <v>90620.83984375</v>
      </c>
      <c r="X559" s="26">
        <f t="shared" si="870"/>
        <v>5392.3144369834708</v>
      </c>
      <c r="Y559" s="26">
        <f>VLOOKUP($C559,COS!$B$8:$H$991,4,FALSE)</f>
        <v>0</v>
      </c>
      <c r="Z559" s="26">
        <f t="shared" si="871"/>
        <v>0</v>
      </c>
      <c r="AA559" s="26">
        <f t="shared" si="898"/>
        <v>0</v>
      </c>
      <c r="AB559" s="33">
        <f t="shared" si="854"/>
        <v>0</v>
      </c>
    </row>
    <row r="560" spans="1:28" x14ac:dyDescent="0.3">
      <c r="A560" s="32">
        <f>VLOOKUP(YEAR(C560),Flags!$A$13:$B$95,2,FALSE)</f>
        <v>1</v>
      </c>
      <c r="B560" s="24">
        <f t="shared" si="841"/>
        <v>1982</v>
      </c>
      <c r="C560" s="25">
        <v>30255</v>
      </c>
      <c r="D560" s="26"/>
      <c r="E560" s="24"/>
      <c r="F560" s="26"/>
      <c r="G560" s="26"/>
      <c r="H560" s="26"/>
      <c r="I560" s="26"/>
      <c r="J560" s="26"/>
      <c r="K560" s="26"/>
      <c r="L560" s="24"/>
      <c r="M560" s="24"/>
      <c r="N560" s="26"/>
      <c r="O560" s="26"/>
      <c r="P560" s="26"/>
      <c r="Q560" s="26"/>
      <c r="R560" s="26"/>
      <c r="S560" s="26"/>
      <c r="T560" s="26"/>
      <c r="U560" s="26"/>
      <c r="V560" s="26"/>
      <c r="W560" s="26">
        <f>MAX($C$9-VLOOKUP($C560,COS!$B$8:$H$991,3,FALSE),0)</f>
        <v>92108.1201171875</v>
      </c>
      <c r="X560" s="26">
        <f t="shared" si="870"/>
        <v>5663.507551007232</v>
      </c>
      <c r="Y560" s="26">
        <f>VLOOKUP($C560,COS!$B$8:$H$991,4,FALSE)</f>
        <v>0</v>
      </c>
      <c r="Z560" s="26">
        <f t="shared" si="871"/>
        <v>0</v>
      </c>
      <c r="AA560" s="26">
        <f t="shared" si="898"/>
        <v>0</v>
      </c>
      <c r="AB560" s="33">
        <f t="shared" si="854"/>
        <v>0</v>
      </c>
    </row>
    <row r="561" spans="1:28" x14ac:dyDescent="0.3">
      <c r="A561" s="32">
        <f>VLOOKUP(YEAR(C561),Flags!$A$13:$B$95,2,FALSE)</f>
        <v>1</v>
      </c>
      <c r="B561" s="24">
        <f t="shared" si="841"/>
        <v>1982</v>
      </c>
      <c r="C561" s="25">
        <v>30285</v>
      </c>
      <c r="D561" s="26"/>
      <c r="E561" s="24"/>
      <c r="F561" s="26"/>
      <c r="G561" s="26"/>
      <c r="H561" s="26"/>
      <c r="I561" s="26"/>
      <c r="J561" s="26"/>
      <c r="K561" s="26"/>
      <c r="L561" s="24"/>
      <c r="M561" s="24"/>
      <c r="N561" s="26"/>
      <c r="O561" s="26"/>
      <c r="P561" s="26"/>
      <c r="Q561" s="26"/>
      <c r="R561" s="26"/>
      <c r="S561" s="26"/>
      <c r="T561" s="26"/>
      <c r="U561" s="26"/>
      <c r="V561" s="26"/>
      <c r="W561" s="26">
        <f>MAX($C$10-VLOOKUP($C561,COS!$B$8:$H$991,3,FALSE),0)</f>
        <v>93024.1962890625</v>
      </c>
      <c r="X561" s="26">
        <f t="shared" si="870"/>
        <v>5535.3240767045463</v>
      </c>
      <c r="Y561" s="26">
        <f>VLOOKUP($C561,COS!$B$8:$H$991,4,FALSE)</f>
        <v>0</v>
      </c>
      <c r="Z561" s="26">
        <f t="shared" si="871"/>
        <v>0</v>
      </c>
      <c r="AA561" s="26">
        <f t="shared" si="898"/>
        <v>0</v>
      </c>
      <c r="AB561" s="33">
        <f t="shared" si="854"/>
        <v>0</v>
      </c>
    </row>
    <row r="562" spans="1:28" x14ac:dyDescent="0.3">
      <c r="A562" s="34">
        <f>VLOOKUP(YEAR(C562),Flags!$A$13:$B$95,2,FALSE)</f>
        <v>1</v>
      </c>
      <c r="B562" s="35">
        <f t="shared" si="841"/>
        <v>1982</v>
      </c>
      <c r="C562" s="36">
        <v>30316</v>
      </c>
      <c r="D562" s="37"/>
      <c r="E562" s="35"/>
      <c r="F562" s="37"/>
      <c r="G562" s="37"/>
      <c r="H562" s="37"/>
      <c r="I562" s="37"/>
      <c r="J562" s="37"/>
      <c r="K562" s="37"/>
      <c r="L562" s="35"/>
      <c r="M562" s="35"/>
      <c r="N562" s="37"/>
      <c r="O562" s="37"/>
      <c r="P562" s="37"/>
      <c r="Q562" s="37"/>
      <c r="R562" s="37"/>
      <c r="S562" s="37"/>
      <c r="T562" s="37"/>
      <c r="U562" s="37"/>
      <c r="V562" s="37"/>
      <c r="W562" s="37">
        <f>MAX($C$11-VLOOKUP($C562,COS!$B$8:$H$991,3,FALSE),0)</f>
        <v>0</v>
      </c>
      <c r="X562" s="37">
        <f t="shared" si="870"/>
        <v>0</v>
      </c>
      <c r="Y562" s="37">
        <f>VLOOKUP($C562,COS!$B$8:$H$991,4,FALSE)</f>
        <v>0</v>
      </c>
      <c r="Z562" s="37">
        <f t="shared" si="871"/>
        <v>0</v>
      </c>
      <c r="AA562" s="37">
        <f t="shared" si="898"/>
        <v>0</v>
      </c>
      <c r="AB562" s="38">
        <f t="shared" si="854"/>
        <v>0</v>
      </c>
    </row>
    <row r="563" spans="1:28" x14ac:dyDescent="0.3">
      <c r="A563" s="27">
        <f>VLOOKUP(YEAR(C563),Flags!$A$13:$B$95,2,FALSE)</f>
        <v>1</v>
      </c>
      <c r="B563" s="28">
        <f t="shared" si="841"/>
        <v>1983</v>
      </c>
      <c r="C563" s="29">
        <v>30436</v>
      </c>
      <c r="D563" s="30">
        <f>VLOOKUP($C563,COS!$B$8:$H$991,3,FALSE)</f>
        <v>21283.287109375</v>
      </c>
      <c r="E563" s="28">
        <f>IF(D563&gt;=IF(MONTH($C563)=4,$C$3,IF(MONTH($C563)=5,$C$4,IF(MONTH($C563)=6,$C$5,IF(MONTH($C563)=7,$C$6,"ERROR")))),1,0)</f>
        <v>1</v>
      </c>
      <c r="F563" s="30">
        <f>VLOOKUP($C563,COS!$B$8:$H$991,7,FALSE)</f>
        <v>47.246109008789063</v>
      </c>
      <c r="G563" s="28">
        <f>IF(F563&lt;=IF(MONTH($C563)=4,$F$3,IF(MONTH($C563)=5,$F$4,IF(MONTH($C563)=6,$F$5,IF(MONTH($C563)=7,$F$6,"ERROR")))),1,0)</f>
        <v>1</v>
      </c>
      <c r="H563" s="30">
        <f>IF(J563=1,D563-$C$3,0)</f>
        <v>15283.287109375</v>
      </c>
      <c r="I563" s="30">
        <f t="shared" si="872"/>
        <v>909.4187370867769</v>
      </c>
      <c r="J563" s="28">
        <f t="shared" ref="J563:J566" si="901">IF(AND(E563=1,G563=1),1,0)</f>
        <v>1</v>
      </c>
      <c r="K563" s="30">
        <f>VLOOKUP($C563,COS!$B$8:$H$991,2,FALSE)</f>
        <v>4074</v>
      </c>
      <c r="L563" s="28">
        <f t="shared" ref="L563" si="902">IF(K563&lt;=IF(MONTH($C563)=4,$I$3,IF(MONTH($C563)=5,$I$4,IF(MONTH($C563)=6,$I$5,IF(MONTH($C563)=7,$I$6,"ERROR")))),1,0)</f>
        <v>1</v>
      </c>
      <c r="M563" s="28">
        <f t="shared" ref="M563" si="903">VLOOKUP($A563,$L$3:$M$7,2,FALSE)</f>
        <v>0</v>
      </c>
      <c r="N563" s="30">
        <f>VLOOKUP($C563,COS!$B$8:$H$991,5,FALSE)</f>
        <v>21.902835845947266</v>
      </c>
      <c r="O563" s="30">
        <f t="shared" ref="O563:O566" si="904">N563*DAY($C563)*86400/43560/1000</f>
        <v>1.3033092404200026</v>
      </c>
      <c r="P563" s="30">
        <f>VLOOKUP($C563,COS!$B$8:$H$991,6,FALSE)</f>
        <v>283.12924194335938</v>
      </c>
      <c r="Q563" s="30">
        <f t="shared" ref="Q563:Q566" si="905">P563*DAY($C563)*86400/43560/1000</f>
        <v>16.847359851175103</v>
      </c>
      <c r="R563" s="30">
        <f>MIN(IF(MONTH($C563)=4,$S$3,IF(MONTH($C563)=5,$S$4,IF(MONTH($C563)=6,$S$5,IF(MONTH($C563)=7,$S$6,"ERROR")))),MAX(VLOOKUP($C563,COS!$B$8:$K$991,10,FALSE)-IF(MONTH($C563)=4,$Y$3,IF(MONTH($C563)=5,$Y$4,IF(MONTH($C563)=6,$Y$5,IF(MONTH($C563)=7,$Y$6,"ERROR")))),0),MAX(VLOOKUP($C563,COS!$B$8:$K$991,9,FALSE)-IF(MONTH($C563)=4,$V$3,IF(MONTH($C563)=5,$V$4,IF(MONTH($C563)=6,$V$5,IF(MONTH($C563)=7,$V$6,"ERROR"))))-VLOOKUP($C563,COS!$B$8:$K$991,6,FALSE)/2,0))</f>
        <v>1500</v>
      </c>
      <c r="S563" s="30">
        <f t="shared" ref="S563:S566" si="906">R563*DAY($C563)*86400/43560/1000</f>
        <v>89.256198347107429</v>
      </c>
      <c r="T563" s="30">
        <f t="shared" ref="T563:T566" si="907">(O563+Q563)/2+S563</f>
        <v>98.331532892904988</v>
      </c>
      <c r="U563" s="30" t="str">
        <f>IF(VLOOKUP($C563,COS!$B$8:$I$991,8,FALSE)=1,"UWFE","IBU")</f>
        <v>UWFE</v>
      </c>
      <c r="V563" s="30">
        <f t="shared" ref="V563" si="908">MIN(IF(IF($AA$3=2,AND(E563=1,G563=1,L563=1,L568=1,M563=1,U563="IBU"),AND(E563=1,G563=1,L563=1,L568=1,M563=1)),T563,0),I563)</f>
        <v>0</v>
      </c>
      <c r="W563" s="30"/>
      <c r="X563" s="30"/>
      <c r="Y563" s="30"/>
      <c r="Z563" s="30"/>
      <c r="AA563" s="30"/>
      <c r="AB563" s="31"/>
    </row>
    <row r="564" spans="1:28" x14ac:dyDescent="0.3">
      <c r="A564" s="32">
        <f>VLOOKUP(YEAR(C564),Flags!$A$13:$B$95,2,FALSE)</f>
        <v>1</v>
      </c>
      <c r="B564" s="24">
        <f t="shared" si="841"/>
        <v>1983</v>
      </c>
      <c r="C564" s="25">
        <v>30467</v>
      </c>
      <c r="D564" s="26">
        <f>VLOOKUP($C564,COS!$B$8:$H$991,3,FALSE)</f>
        <v>9426.208984375</v>
      </c>
      <c r="E564" s="24">
        <f>IF(D564&gt;=IF(MONTH($C564)=4,$C$3,IF(MONTH($C564)=5,$C$4,IF(MONTH($C564)=6,$C$5,IF(MONTH($C564)=7,$C$6,"ERROR")))),1,0)</f>
        <v>1</v>
      </c>
      <c r="F564" s="26">
        <f>VLOOKUP($C564,COS!$B$8:$H$991,7,FALSE)</f>
        <v>51.257026672363281</v>
      </c>
      <c r="G564" s="24">
        <f>IF(F564&lt;=IF(MONTH($C564)=4,$F$3,IF(MONTH($C564)=5,$F$4,IF(MONTH($C564)=6,$F$5,IF(MONTH($C564)=7,$F$6,"ERROR")))),1,0)</f>
        <v>1</v>
      </c>
      <c r="H564" s="26">
        <f>IF(J564=1,D564-$C$4,0)</f>
        <v>3426.208984375</v>
      </c>
      <c r="I564" s="26">
        <f t="shared" si="872"/>
        <v>210.66937887396696</v>
      </c>
      <c r="J564" s="24">
        <f t="shared" si="901"/>
        <v>1</v>
      </c>
      <c r="K564" s="26">
        <f>VLOOKUP($C564,COS!$B$8:$H$991,2,FALSE)</f>
        <v>4552</v>
      </c>
      <c r="L564" s="24">
        <f t="shared" si="843"/>
        <v>1</v>
      </c>
      <c r="M564" s="24">
        <f t="shared" si="844"/>
        <v>0</v>
      </c>
      <c r="N564" s="26">
        <f>VLOOKUP($C564,COS!$B$8:$H$991,5,FALSE)</f>
        <v>574.8585205078125</v>
      </c>
      <c r="O564" s="26">
        <f t="shared" si="904"/>
        <v>35.346672665934918</v>
      </c>
      <c r="P564" s="26">
        <f>VLOOKUP($C564,COS!$B$8:$H$991,6,FALSE)</f>
        <v>2133.038330078125</v>
      </c>
      <c r="Q564" s="26">
        <f t="shared" si="905"/>
        <v>131.15541467587809</v>
      </c>
      <c r="R564" s="26">
        <f>MIN(IF(MONTH($C564)=4,$S$3,IF(MONTH($C564)=5,$S$4,IF(MONTH($C564)=6,$S$5,IF(MONTH($C564)=7,$S$6,"ERROR")))),MAX(VLOOKUP($C564,COS!$B$8:$K$991,10,FALSE)-IF(MONTH($C564)=4,$Y$3,IF(MONTH($C564)=5,$Y$4,IF(MONTH($C564)=6,$Y$5,IF(MONTH($C564)=7,$Y$6,"ERROR")))),0),MAX(VLOOKUP($C564,COS!$B$8:$K$991,9,FALSE)-IF(MONTH($C564)=4,$V$3,IF(MONTH($C564)=5,$V$4,IF(MONTH($C564)=6,$V$5,IF(MONTH($C564)=7,$V$6,"ERROR"))))-VLOOKUP($C564,COS!$B$8:$K$991,6,FALSE)/2,0))</f>
        <v>1500</v>
      </c>
      <c r="S564" s="26">
        <f t="shared" si="906"/>
        <v>92.231404958677686</v>
      </c>
      <c r="T564" s="26">
        <f t="shared" si="907"/>
        <v>175.48244862958421</v>
      </c>
      <c r="U564" s="26" t="str">
        <f>IF(VLOOKUP($C564,COS!$B$8:$I$991,8,FALSE)=1,"UWFE","IBU")</f>
        <v>UWFE</v>
      </c>
      <c r="V564" s="26">
        <f t="shared" ref="V564" si="909">MIN(IF(IF($AA$3=2,AND(E564=1,G564=1,L564=1,L568=1,M564=1,U564="IBU"),AND(E564=1,G564=1,L564=1,L568=1,M564=1)),T564,0),I564)</f>
        <v>0</v>
      </c>
      <c r="W564" s="26"/>
      <c r="X564" s="26"/>
      <c r="Y564" s="26"/>
      <c r="Z564" s="26"/>
      <c r="AA564" s="26"/>
      <c r="AB564" s="33"/>
    </row>
    <row r="565" spans="1:28" x14ac:dyDescent="0.3">
      <c r="A565" s="32">
        <f>VLOOKUP(YEAR(C565),Flags!$A$13:$B$95,2,FALSE)</f>
        <v>1</v>
      </c>
      <c r="B565" s="24">
        <f t="shared" si="841"/>
        <v>1983</v>
      </c>
      <c r="C565" s="25">
        <v>30497</v>
      </c>
      <c r="D565" s="26">
        <f>VLOOKUP($C565,COS!$B$8:$H$991,3,FALSE)</f>
        <v>12851.6533203125</v>
      </c>
      <c r="E565" s="24">
        <f>IF(D565&gt;=IF(MONTH($C565)=4,$C$3,IF(MONTH($C565)=5,$C$4,IF(MONTH($C565)=6,$C$5,IF(MONTH($C565)=7,$C$6,"ERROR")))),1,0)</f>
        <v>1</v>
      </c>
      <c r="F565" s="26">
        <f>VLOOKUP($C565,COS!$B$8:$H$991,7,FALSE)</f>
        <v>52.077590942382813</v>
      </c>
      <c r="G565" s="24">
        <f>IF(F565&lt;=IF(MONTH($C565)=4,$F$3,IF(MONTH($C565)=5,$F$4,IF(MONTH($C565)=6,$F$5,IF(MONTH($C565)=7,$F$6,"ERROR")))),1,0)</f>
        <v>1</v>
      </c>
      <c r="H565" s="26">
        <f>IF(J565=1,D565-$C$5,0)</f>
        <v>2851.6533203125</v>
      </c>
      <c r="I565" s="26">
        <f t="shared" si="872"/>
        <v>169.68515625000001</v>
      </c>
      <c r="J565" s="24">
        <f t="shared" si="901"/>
        <v>1</v>
      </c>
      <c r="K565" s="26">
        <f>VLOOKUP($C565,COS!$B$8:$H$991,2,FALSE)</f>
        <v>4500</v>
      </c>
      <c r="L565" s="24">
        <f t="shared" si="843"/>
        <v>1</v>
      </c>
      <c r="M565" s="24">
        <f t="shared" si="844"/>
        <v>0</v>
      </c>
      <c r="N565" s="26">
        <f>VLOOKUP($C565,COS!$B$8:$H$991,5,FALSE)</f>
        <v>1170.465087890625</v>
      </c>
      <c r="O565" s="26">
        <f t="shared" si="904"/>
        <v>69.647509362086765</v>
      </c>
      <c r="P565" s="26">
        <f>VLOOKUP($C565,COS!$B$8:$H$991,6,FALSE)</f>
        <v>2257.964111328125</v>
      </c>
      <c r="Q565" s="26">
        <f t="shared" si="905"/>
        <v>134.35819505423555</v>
      </c>
      <c r="R565" s="26">
        <f>MIN(IF(MONTH($C565)=4,$S$3,IF(MONTH($C565)=5,$S$4,IF(MONTH($C565)=6,$S$5,IF(MONTH($C565)=7,$S$6,"ERROR")))),MAX(VLOOKUP($C565,COS!$B$8:$K$991,10,FALSE)-IF(MONTH($C565)=4,$Y$3,IF(MONTH($C565)=5,$Y$4,IF(MONTH($C565)=6,$Y$5,IF(MONTH($C565)=7,$Y$6,"ERROR")))),0),MAX(VLOOKUP($C565,COS!$B$8:$K$991,9,FALSE)-IF(MONTH($C565)=4,$V$3,IF(MONTH($C565)=5,$V$4,IF(MONTH($C565)=6,$V$5,IF(MONTH($C565)=7,$V$6,"ERROR"))))-VLOOKUP($C565,COS!$B$8:$K$991,6,FALSE)/2,0))</f>
        <v>1500</v>
      </c>
      <c r="S565" s="26">
        <f t="shared" si="906"/>
        <v>89.256198347107429</v>
      </c>
      <c r="T565" s="26">
        <f t="shared" si="907"/>
        <v>191.25905055526857</v>
      </c>
      <c r="U565" s="26" t="str">
        <f>IF(VLOOKUP($C565,COS!$B$8:$I$991,8,FALSE)=1,"UWFE","IBU")</f>
        <v>UWFE</v>
      </c>
      <c r="V565" s="26">
        <f t="shared" ref="V565" si="910">MIN(IF(IF($AA$3=2,AND(E565=1,G565=1,L565=1,L568=1,M565=1,U565="IBU"),AND(E565=1,G565=1,L565=1,L568=1,M565=1)),T565,0),I565)</f>
        <v>0</v>
      </c>
      <c r="W565" s="26"/>
      <c r="X565" s="26"/>
      <c r="Y565" s="26"/>
      <c r="Z565" s="26"/>
      <c r="AA565" s="26"/>
      <c r="AB565" s="33"/>
    </row>
    <row r="566" spans="1:28" x14ac:dyDescent="0.3">
      <c r="A566" s="32">
        <f>VLOOKUP(YEAR(C566),Flags!$A$13:$B$95,2,FALSE)</f>
        <v>1</v>
      </c>
      <c r="B566" s="24">
        <f t="shared" si="841"/>
        <v>1983</v>
      </c>
      <c r="C566" s="25">
        <v>30528</v>
      </c>
      <c r="D566" s="26">
        <f>VLOOKUP($C566,COS!$B$8:$H$991,3,FALSE)</f>
        <v>13464.8525390625</v>
      </c>
      <c r="E566" s="24">
        <f>IF(D566&gt;=IF(MONTH($C566)=4,$C$3,IF(MONTH($C566)=5,$C$4,IF(MONTH($C566)=6,$C$5,IF(MONTH($C566)=7,$C$6,"ERROR")))),1,0)</f>
        <v>1</v>
      </c>
      <c r="F566" s="26">
        <f>VLOOKUP($C566,COS!$B$8:$H$991,7,FALSE)</f>
        <v>52.801334381103516</v>
      </c>
      <c r="G566" s="24">
        <f>IF(F566&lt;=IF(MONTH($C566)=4,$F$3,IF(MONTH($C566)=5,$F$4,IF(MONTH($C566)=6,$F$5,IF(MONTH($C566)=7,$F$6,"ERROR")))),1,0)</f>
        <v>1</v>
      </c>
      <c r="H566" s="26">
        <f>IF(J566=1,D566-$C$6,0)</f>
        <v>1464.8525390625</v>
      </c>
      <c r="I566" s="26">
        <f t="shared" si="872"/>
        <v>90.070271823347113</v>
      </c>
      <c r="J566" s="24">
        <f t="shared" si="901"/>
        <v>1</v>
      </c>
      <c r="K566" s="26">
        <f>VLOOKUP($C566,COS!$B$8:$H$991,2,FALSE)</f>
        <v>4150</v>
      </c>
      <c r="L566" s="24">
        <f t="shared" si="843"/>
        <v>1</v>
      </c>
      <c r="M566" s="24">
        <f t="shared" si="844"/>
        <v>0</v>
      </c>
      <c r="N566" s="26">
        <f>VLOOKUP($C566,COS!$B$8:$H$991,5,FALSE)</f>
        <v>1382.7108154296875</v>
      </c>
      <c r="O566" s="26">
        <f t="shared" si="904"/>
        <v>85.01957410575929</v>
      </c>
      <c r="P566" s="26">
        <f>VLOOKUP($C566,COS!$B$8:$H$991,6,FALSE)</f>
        <v>2616.67822265625</v>
      </c>
      <c r="Q566" s="26">
        <f t="shared" si="905"/>
        <v>160.89327253357436</v>
      </c>
      <c r="R566" s="26">
        <f>MIN(IF(MONTH($C566)=4,$S$3,IF(MONTH($C566)=5,$S$4,IF(MONTH($C566)=6,$S$5,IF(MONTH($C566)=7,$S$6,"ERROR")))),MAX(VLOOKUP($C566,COS!$B$8:$K$991,10,FALSE)-IF(MONTH($C566)=4,$Y$3,IF(MONTH($C566)=5,$Y$4,IF(MONTH($C566)=6,$Y$5,IF(MONTH($C566)=7,$Y$6,"ERROR")))),0),MAX(VLOOKUP($C566,COS!$B$8:$K$991,9,FALSE)-IF(MONTH($C566)=4,$V$3,IF(MONTH($C566)=5,$V$4,IF(MONTH($C566)=6,$V$5,IF(MONTH($C566)=7,$V$6,"ERROR"))))-VLOOKUP($C566,COS!$B$8:$K$991,6,FALSE)/2,0))</f>
        <v>1500</v>
      </c>
      <c r="S566" s="26">
        <f t="shared" si="906"/>
        <v>92.231404958677686</v>
      </c>
      <c r="T566" s="26">
        <f t="shared" si="907"/>
        <v>215.18782827834451</v>
      </c>
      <c r="U566" s="26" t="str">
        <f>IF(VLOOKUP($C566,COS!$B$8:$I$991,8,FALSE)=1,"UWFE","IBU")</f>
        <v>UWFE</v>
      </c>
      <c r="V566" s="26">
        <f t="shared" ref="V566" si="911">MIN(IF(IF($AA$3=2,AND(E566=1,G566=1,L566=1,L568=1,M566=1,U566="IBU"),AND(E566=1,G566=1,L566=1,L568=1,M566=1)),T566,0),I566)</f>
        <v>0</v>
      </c>
      <c r="W566" s="26"/>
      <c r="X566" s="26"/>
      <c r="Y566" s="26"/>
      <c r="Z566" s="26"/>
      <c r="AA566" s="26"/>
      <c r="AB566" s="33"/>
    </row>
    <row r="567" spans="1:28" x14ac:dyDescent="0.3">
      <c r="A567" s="32">
        <f>VLOOKUP(YEAR(C567),Flags!$A$13:$B$95,2,FALSE)</f>
        <v>1</v>
      </c>
      <c r="B567" s="24">
        <f t="shared" si="841"/>
        <v>1983</v>
      </c>
      <c r="C567" s="25">
        <v>30559</v>
      </c>
      <c r="D567" s="26"/>
      <c r="E567" s="24"/>
      <c r="F567" s="26"/>
      <c r="G567" s="24"/>
      <c r="H567" s="24"/>
      <c r="I567" s="26"/>
      <c r="J567" s="24"/>
      <c r="K567" s="26"/>
      <c r="L567" s="24"/>
      <c r="M567" s="24"/>
      <c r="N567" s="26"/>
      <c r="O567" s="26"/>
      <c r="P567" s="26"/>
      <c r="Q567" s="26"/>
      <c r="R567" s="26"/>
      <c r="S567" s="26"/>
      <c r="T567" s="26"/>
      <c r="U567" s="26"/>
      <c r="V567" s="26"/>
      <c r="W567" s="26">
        <f>MAX($C$7-VLOOKUP($C567,COS!$B$8:$H$991,3,FALSE),0)</f>
        <v>86628.7666015625</v>
      </c>
      <c r="X567" s="26">
        <f t="shared" si="870"/>
        <v>5326.5952356663229</v>
      </c>
      <c r="Y567" s="26">
        <f>VLOOKUP($C567,COS!$B$8:$H$991,4,FALSE)</f>
        <v>0</v>
      </c>
      <c r="Z567" s="26">
        <f t="shared" si="871"/>
        <v>0</v>
      </c>
      <c r="AA567" s="26">
        <f t="shared" ref="AA567:AA571" si="912">MIN(W567,Y567)</f>
        <v>0</v>
      </c>
      <c r="AB567" s="33">
        <f t="shared" ref="AB567" si="913">AA567*DAY($C567)*86400/43560/1000*IF(MONTH($C567)=8,$P$3,IF(MONTH($C567)=9,$P$4,IF(MONTH($C567)=10,$P$5,IF(MONTH($C567)=11,$P$6,IF(MONTH($C567)=12,$P$7,NA())))))</f>
        <v>0</v>
      </c>
    </row>
    <row r="568" spans="1:28" x14ac:dyDescent="0.3">
      <c r="A568" s="32">
        <f>VLOOKUP(YEAR(C568),Flags!$A$13:$B$95,2,FALSE)</f>
        <v>1</v>
      </c>
      <c r="B568" s="24">
        <f t="shared" si="841"/>
        <v>1983</v>
      </c>
      <c r="C568" s="25">
        <v>30589</v>
      </c>
      <c r="D568" s="26"/>
      <c r="E568" s="24"/>
      <c r="F568" s="26"/>
      <c r="G568" s="24"/>
      <c r="H568" s="24"/>
      <c r="I568" s="26"/>
      <c r="J568" s="24"/>
      <c r="K568" s="26">
        <f>VLOOKUP($C568,COS!$B$8:$H$991,2,FALSE)</f>
        <v>3400</v>
      </c>
      <c r="L568" s="24">
        <f t="shared" ref="L568" si="914">IF(AND(K568&gt;$I$7,K568&lt;$I$8),1,0)</f>
        <v>1</v>
      </c>
      <c r="M568" s="24"/>
      <c r="N568" s="26"/>
      <c r="O568" s="26"/>
      <c r="P568" s="26"/>
      <c r="Q568" s="26"/>
      <c r="R568" s="26"/>
      <c r="S568" s="26"/>
      <c r="T568" s="26"/>
      <c r="U568" s="26"/>
      <c r="V568" s="26"/>
      <c r="W568" s="26">
        <f>MAX($C$8-VLOOKUP($C568,COS!$B$8:$H$991,3,FALSE),0)</f>
        <v>87804.103515625</v>
      </c>
      <c r="X568" s="26">
        <f t="shared" si="870"/>
        <v>5224.7069860537194</v>
      </c>
      <c r="Y568" s="26">
        <f>VLOOKUP($C568,COS!$B$8:$H$991,4,FALSE)</f>
        <v>0</v>
      </c>
      <c r="Z568" s="26">
        <f t="shared" si="871"/>
        <v>0</v>
      </c>
      <c r="AA568" s="26">
        <f t="shared" si="912"/>
        <v>0</v>
      </c>
      <c r="AB568" s="33">
        <f t="shared" si="854"/>
        <v>0</v>
      </c>
    </row>
    <row r="569" spans="1:28" x14ac:dyDescent="0.3">
      <c r="A569" s="32">
        <f>VLOOKUP(YEAR(C569),Flags!$A$13:$B$95,2,FALSE)</f>
        <v>1</v>
      </c>
      <c r="B569" s="24">
        <f t="shared" si="841"/>
        <v>1983</v>
      </c>
      <c r="C569" s="25">
        <v>30620</v>
      </c>
      <c r="D569" s="26"/>
      <c r="E569" s="24"/>
      <c r="F569" s="26"/>
      <c r="G569" s="26"/>
      <c r="H569" s="26"/>
      <c r="I569" s="26"/>
      <c r="J569" s="26"/>
      <c r="K569" s="26"/>
      <c r="L569" s="24"/>
      <c r="M569" s="24"/>
      <c r="N569" s="26"/>
      <c r="O569" s="26"/>
      <c r="P569" s="26"/>
      <c r="Q569" s="26"/>
      <c r="R569" s="26"/>
      <c r="S569" s="26"/>
      <c r="T569" s="26"/>
      <c r="U569" s="26"/>
      <c r="V569" s="26"/>
      <c r="W569" s="26">
        <f>MAX($C$9-VLOOKUP($C569,COS!$B$8:$H$991,3,FALSE),0)</f>
        <v>90957.4501953125</v>
      </c>
      <c r="X569" s="26">
        <f t="shared" si="870"/>
        <v>5592.7556153150827</v>
      </c>
      <c r="Y569" s="26">
        <f>VLOOKUP($C569,COS!$B$8:$H$991,4,FALSE)</f>
        <v>322.68313598632813</v>
      </c>
      <c r="Z569" s="26">
        <f t="shared" si="871"/>
        <v>19.84101265899406</v>
      </c>
      <c r="AA569" s="26">
        <f t="shared" si="912"/>
        <v>322.68313598632813</v>
      </c>
      <c r="AB569" s="33">
        <f t="shared" si="854"/>
        <v>19.84101265899406</v>
      </c>
    </row>
    <row r="570" spans="1:28" x14ac:dyDescent="0.3">
      <c r="A570" s="32">
        <f>VLOOKUP(YEAR(C570),Flags!$A$13:$B$95,2,FALSE)</f>
        <v>1</v>
      </c>
      <c r="B570" s="24">
        <f t="shared" si="841"/>
        <v>1983</v>
      </c>
      <c r="C570" s="25">
        <v>30650</v>
      </c>
      <c r="D570" s="26"/>
      <c r="E570" s="24"/>
      <c r="F570" s="26"/>
      <c r="G570" s="26"/>
      <c r="H570" s="26"/>
      <c r="I570" s="26"/>
      <c r="J570" s="26"/>
      <c r="K570" s="26"/>
      <c r="L570" s="24"/>
      <c r="M570" s="24"/>
      <c r="N570" s="26"/>
      <c r="O570" s="26"/>
      <c r="P570" s="26"/>
      <c r="Q570" s="26"/>
      <c r="R570" s="26"/>
      <c r="S570" s="26"/>
      <c r="T570" s="26"/>
      <c r="U570" s="26"/>
      <c r="V570" s="26"/>
      <c r="W570" s="26">
        <f>MAX($C$10-VLOOKUP($C570,COS!$B$8:$H$991,3,FALSE),0)</f>
        <v>86177.234375</v>
      </c>
      <c r="X570" s="26">
        <f t="shared" si="870"/>
        <v>5127.901549586777</v>
      </c>
      <c r="Y570" s="26">
        <f>VLOOKUP($C570,COS!$B$8:$H$991,4,FALSE)</f>
        <v>0</v>
      </c>
      <c r="Z570" s="26">
        <f t="shared" si="871"/>
        <v>0</v>
      </c>
      <c r="AA570" s="26">
        <f t="shared" si="912"/>
        <v>0</v>
      </c>
      <c r="AB570" s="33">
        <f t="shared" si="854"/>
        <v>0</v>
      </c>
    </row>
    <row r="571" spans="1:28" x14ac:dyDescent="0.3">
      <c r="A571" s="34">
        <f>VLOOKUP(YEAR(C571),Flags!$A$13:$B$95,2,FALSE)</f>
        <v>1</v>
      </c>
      <c r="B571" s="35">
        <f t="shared" si="841"/>
        <v>1983</v>
      </c>
      <c r="C571" s="36">
        <v>30681</v>
      </c>
      <c r="D571" s="37"/>
      <c r="E571" s="35"/>
      <c r="F571" s="37"/>
      <c r="G571" s="37"/>
      <c r="H571" s="37"/>
      <c r="I571" s="37"/>
      <c r="J571" s="37"/>
      <c r="K571" s="37"/>
      <c r="L571" s="35"/>
      <c r="M571" s="35"/>
      <c r="N571" s="37"/>
      <c r="O571" s="37"/>
      <c r="P571" s="37"/>
      <c r="Q571" s="37"/>
      <c r="R571" s="37"/>
      <c r="S571" s="37"/>
      <c r="T571" s="37"/>
      <c r="U571" s="37"/>
      <c r="V571" s="37"/>
      <c r="W571" s="37">
        <f>MAX($C$11-VLOOKUP($C571,COS!$B$8:$H$991,3,FALSE),0)</f>
        <v>0</v>
      </c>
      <c r="X571" s="37">
        <f t="shared" si="870"/>
        <v>0</v>
      </c>
      <c r="Y571" s="37">
        <f>VLOOKUP($C571,COS!$B$8:$H$991,4,FALSE)</f>
        <v>0</v>
      </c>
      <c r="Z571" s="37">
        <f t="shared" si="871"/>
        <v>0</v>
      </c>
      <c r="AA571" s="37">
        <f t="shared" si="912"/>
        <v>0</v>
      </c>
      <c r="AB571" s="38">
        <f t="shared" si="854"/>
        <v>0</v>
      </c>
    </row>
    <row r="572" spans="1:28" x14ac:dyDescent="0.3">
      <c r="A572" s="27">
        <f>VLOOKUP(YEAR(C572),Flags!$A$13:$B$95,2,FALSE)</f>
        <v>1</v>
      </c>
      <c r="B572" s="28">
        <f t="shared" si="841"/>
        <v>1984</v>
      </c>
      <c r="C572" s="29">
        <v>30802</v>
      </c>
      <c r="D572" s="30">
        <f>VLOOKUP($C572,COS!$B$8:$H$991,3,FALSE)</f>
        <v>3741.849609375</v>
      </c>
      <c r="E572" s="28">
        <f>IF(D572&gt;=IF(MONTH($C572)=4,$C$3,IF(MONTH($C572)=5,$C$4,IF(MONTH($C572)=6,$C$5,IF(MONTH($C572)=7,$C$6,"ERROR")))),1,0)</f>
        <v>0</v>
      </c>
      <c r="F572" s="30">
        <f>VLOOKUP($C572,COS!$B$8:$H$991,7,FALSE)</f>
        <v>49.945255279541016</v>
      </c>
      <c r="G572" s="28">
        <f>IF(F572&lt;=IF(MONTH($C572)=4,$F$3,IF(MONTH($C572)=5,$F$4,IF(MONTH($C572)=6,$F$5,IF(MONTH($C572)=7,$F$6,"ERROR")))),1,0)</f>
        <v>1</v>
      </c>
      <c r="H572" s="30">
        <f>IF(J572=1,D572-$C$3,0)</f>
        <v>0</v>
      </c>
      <c r="I572" s="30">
        <f t="shared" si="872"/>
        <v>0</v>
      </c>
      <c r="J572" s="28">
        <f t="shared" ref="J572:J575" si="915">IF(AND(E572=1,G572=1),1,0)</f>
        <v>0</v>
      </c>
      <c r="K572" s="30">
        <f>VLOOKUP($C572,COS!$B$8:$H$991,2,FALSE)</f>
        <v>4552</v>
      </c>
      <c r="L572" s="28">
        <f t="shared" ref="L572" si="916">IF(K572&lt;=IF(MONTH($C572)=4,$I$3,IF(MONTH($C572)=5,$I$4,IF(MONTH($C572)=6,$I$5,IF(MONTH($C572)=7,$I$6,"ERROR")))),1,0)</f>
        <v>1</v>
      </c>
      <c r="M572" s="28">
        <f t="shared" ref="M572" si="917">VLOOKUP($A572,$L$3:$M$7,2,FALSE)</f>
        <v>0</v>
      </c>
      <c r="N572" s="30">
        <f>VLOOKUP($C572,COS!$B$8:$H$991,5,FALSE)</f>
        <v>325.60305786132813</v>
      </c>
      <c r="O572" s="30">
        <f t="shared" ref="O572:O575" si="918">N572*DAY($C572)*86400/43560/1000</f>
        <v>19.374727409930269</v>
      </c>
      <c r="P572" s="30">
        <f>VLOOKUP($C572,COS!$B$8:$H$991,6,FALSE)</f>
        <v>551.338623046875</v>
      </c>
      <c r="Q572" s="30">
        <f t="shared" ref="Q572:Q575" si="919">P572*DAY($C572)*86400/43560/1000</f>
        <v>32.806926330061984</v>
      </c>
      <c r="R572" s="30">
        <f>MIN(IF(MONTH($C572)=4,$S$3,IF(MONTH($C572)=5,$S$4,IF(MONTH($C572)=6,$S$5,IF(MONTH($C572)=7,$S$6,"ERROR")))),MAX(VLOOKUP($C572,COS!$B$8:$K$991,10,FALSE)-IF(MONTH($C572)=4,$Y$3,IF(MONTH($C572)=5,$Y$4,IF(MONTH($C572)=6,$Y$5,IF(MONTH($C572)=7,$Y$6,"ERROR")))),0),MAX(VLOOKUP($C572,COS!$B$8:$K$991,9,FALSE)-IF(MONTH($C572)=4,$V$3,IF(MONTH($C572)=5,$V$4,IF(MONTH($C572)=6,$V$5,IF(MONTH($C572)=7,$V$6,"ERROR"))))-VLOOKUP($C572,COS!$B$8:$K$991,6,FALSE)/2,0))</f>
        <v>1500</v>
      </c>
      <c r="S572" s="30">
        <f t="shared" ref="S572:S575" si="920">R572*DAY($C572)*86400/43560/1000</f>
        <v>89.256198347107429</v>
      </c>
      <c r="T572" s="30">
        <f t="shared" ref="T572:T575" si="921">(O572+Q572)/2+S572</f>
        <v>115.34702521710355</v>
      </c>
      <c r="U572" s="30" t="str">
        <f>IF(VLOOKUP($C572,COS!$B$8:$I$991,8,FALSE)=1,"UWFE","IBU")</f>
        <v>UWFE</v>
      </c>
      <c r="V572" s="30">
        <f t="shared" ref="V572" si="922">MIN(IF(IF($AA$3=2,AND(E572=1,G572=1,L572=1,L577=1,M572=1,U572="IBU"),AND(E572=1,G572=1,L572=1,L577=1,M572=1)),T572,0),I572)</f>
        <v>0</v>
      </c>
      <c r="W572" s="30"/>
      <c r="X572" s="30"/>
      <c r="Y572" s="30"/>
      <c r="Z572" s="30"/>
      <c r="AA572" s="30"/>
      <c r="AB572" s="31"/>
    </row>
    <row r="573" spans="1:28" x14ac:dyDescent="0.3">
      <c r="A573" s="32">
        <f>VLOOKUP(YEAR(C573),Flags!$A$13:$B$95,2,FALSE)</f>
        <v>1</v>
      </c>
      <c r="B573" s="24">
        <f t="shared" si="841"/>
        <v>1984</v>
      </c>
      <c r="C573" s="25">
        <v>30833</v>
      </c>
      <c r="D573" s="26">
        <f>VLOOKUP($C573,COS!$B$8:$H$991,3,FALSE)</f>
        <v>7339.09130859375</v>
      </c>
      <c r="E573" s="24">
        <f>IF(D573&gt;=IF(MONTH($C573)=4,$C$3,IF(MONTH($C573)=5,$C$4,IF(MONTH($C573)=6,$C$5,IF(MONTH($C573)=7,$C$6,"ERROR")))),1,0)</f>
        <v>1</v>
      </c>
      <c r="F573" s="26">
        <f>VLOOKUP($C573,COS!$B$8:$H$991,7,FALSE)</f>
        <v>50.413700103759766</v>
      </c>
      <c r="G573" s="24">
        <f>IF(F573&lt;=IF(MONTH($C573)=4,$F$3,IF(MONTH($C573)=5,$F$4,IF(MONTH($C573)=6,$F$5,IF(MONTH($C573)=7,$F$6,"ERROR")))),1,0)</f>
        <v>1</v>
      </c>
      <c r="H573" s="26">
        <f>IF(J573=1,D573-$C$4,0)</f>
        <v>1339.09130859375</v>
      </c>
      <c r="I573" s="26">
        <f t="shared" si="872"/>
        <v>82.33751517303719</v>
      </c>
      <c r="J573" s="24">
        <f t="shared" si="915"/>
        <v>1</v>
      </c>
      <c r="K573" s="26">
        <f>VLOOKUP($C573,COS!$B$8:$H$991,2,FALSE)</f>
        <v>4539.20361328125</v>
      </c>
      <c r="L573" s="24">
        <f t="shared" si="843"/>
        <v>1</v>
      </c>
      <c r="M573" s="24">
        <f t="shared" si="844"/>
        <v>0</v>
      </c>
      <c r="N573" s="26">
        <f>VLOOKUP($C573,COS!$B$8:$H$991,5,FALSE)</f>
        <v>787.246337890625</v>
      </c>
      <c r="O573" s="26">
        <f t="shared" si="918"/>
        <v>48.405890528150827</v>
      </c>
      <c r="P573" s="26">
        <f>VLOOKUP($C573,COS!$B$8:$H$991,6,FALSE)</f>
        <v>2330.58056640625</v>
      </c>
      <c r="Q573" s="26">
        <f t="shared" si="919"/>
        <v>143.30181333935951</v>
      </c>
      <c r="R573" s="26">
        <f>MIN(IF(MONTH($C573)=4,$S$3,IF(MONTH($C573)=5,$S$4,IF(MONTH($C573)=6,$S$5,IF(MONTH($C573)=7,$S$6,"ERROR")))),MAX(VLOOKUP($C573,COS!$B$8:$K$991,10,FALSE)-IF(MONTH($C573)=4,$Y$3,IF(MONTH($C573)=5,$Y$4,IF(MONTH($C573)=6,$Y$5,IF(MONTH($C573)=7,$Y$6,"ERROR")))),0),MAX(VLOOKUP($C573,COS!$B$8:$K$991,9,FALSE)-IF(MONTH($C573)=4,$V$3,IF(MONTH($C573)=5,$V$4,IF(MONTH($C573)=6,$V$5,IF(MONTH($C573)=7,$V$6,"ERROR"))))-VLOOKUP($C573,COS!$B$8:$K$991,6,FALSE)/2,0))</f>
        <v>1500</v>
      </c>
      <c r="S573" s="26">
        <f t="shared" si="920"/>
        <v>92.231404958677686</v>
      </c>
      <c r="T573" s="26">
        <f t="shared" si="921"/>
        <v>188.08525689243285</v>
      </c>
      <c r="U573" s="26" t="str">
        <f>IF(VLOOKUP($C573,COS!$B$8:$I$991,8,FALSE)=1,"UWFE","IBU")</f>
        <v>UWFE</v>
      </c>
      <c r="V573" s="26">
        <f t="shared" ref="V573" si="923">MIN(IF(IF($AA$3=2,AND(E573=1,G573=1,L573=1,L577=1,M573=1,U573="IBU"),AND(E573=1,G573=1,L573=1,L577=1,M573=1)),T573,0),I573)</f>
        <v>0</v>
      </c>
      <c r="W573" s="26"/>
      <c r="X573" s="26"/>
      <c r="Y573" s="26"/>
      <c r="Z573" s="26"/>
      <c r="AA573" s="26"/>
      <c r="AB573" s="33"/>
    </row>
    <row r="574" spans="1:28" x14ac:dyDescent="0.3">
      <c r="A574" s="32">
        <f>VLOOKUP(YEAR(C574),Flags!$A$13:$B$95,2,FALSE)</f>
        <v>1</v>
      </c>
      <c r="B574" s="24">
        <f t="shared" si="841"/>
        <v>1984</v>
      </c>
      <c r="C574" s="25">
        <v>30863</v>
      </c>
      <c r="D574" s="26">
        <f>VLOOKUP($C574,COS!$B$8:$H$991,3,FALSE)</f>
        <v>11324.5849609375</v>
      </c>
      <c r="E574" s="24">
        <f>IF(D574&gt;=IF(MONTH($C574)=4,$C$3,IF(MONTH($C574)=5,$C$4,IF(MONTH($C574)=6,$C$5,IF(MONTH($C574)=7,$C$6,"ERROR")))),1,0)</f>
        <v>1</v>
      </c>
      <c r="F574" s="26">
        <f>VLOOKUP($C574,COS!$B$8:$H$991,7,FALSE)</f>
        <v>50.518535614013672</v>
      </c>
      <c r="G574" s="24">
        <f>IF(F574&lt;=IF(MONTH($C574)=4,$F$3,IF(MONTH($C574)=5,$F$4,IF(MONTH($C574)=6,$F$5,IF(MONTH($C574)=7,$F$6,"ERROR")))),1,0)</f>
        <v>1</v>
      </c>
      <c r="H574" s="26">
        <f>IF(J574=1,D574-$C$5,0)</f>
        <v>1324.5849609375</v>
      </c>
      <c r="I574" s="26">
        <f t="shared" si="872"/>
        <v>78.818278667355372</v>
      </c>
      <c r="J574" s="24">
        <f t="shared" si="915"/>
        <v>1</v>
      </c>
      <c r="K574" s="26">
        <f>VLOOKUP($C574,COS!$B$8:$H$991,2,FALSE)</f>
        <v>4156.24755859375</v>
      </c>
      <c r="L574" s="24">
        <f t="shared" si="843"/>
        <v>1</v>
      </c>
      <c r="M574" s="24">
        <f t="shared" si="844"/>
        <v>0</v>
      </c>
      <c r="N574" s="26">
        <f>VLOOKUP($C574,COS!$B$8:$H$991,5,FALSE)</f>
        <v>904.4803466796875</v>
      </c>
      <c r="O574" s="26">
        <f t="shared" si="918"/>
        <v>53.820318149535126</v>
      </c>
      <c r="P574" s="26">
        <f>VLOOKUP($C574,COS!$B$8:$H$991,6,FALSE)</f>
        <v>2326.57470703125</v>
      </c>
      <c r="Q574" s="26">
        <f t="shared" si="919"/>
        <v>138.44080901342974</v>
      </c>
      <c r="R574" s="26">
        <f>MIN(IF(MONTH($C574)=4,$S$3,IF(MONTH($C574)=5,$S$4,IF(MONTH($C574)=6,$S$5,IF(MONTH($C574)=7,$S$6,"ERROR")))),MAX(VLOOKUP($C574,COS!$B$8:$K$991,10,FALSE)-IF(MONTH($C574)=4,$Y$3,IF(MONTH($C574)=5,$Y$4,IF(MONTH($C574)=6,$Y$5,IF(MONTH($C574)=7,$Y$6,"ERROR")))),0),MAX(VLOOKUP($C574,COS!$B$8:$K$991,9,FALSE)-IF(MONTH($C574)=4,$V$3,IF(MONTH($C574)=5,$V$4,IF(MONTH($C574)=6,$V$5,IF(MONTH($C574)=7,$V$6,"ERROR"))))-VLOOKUP($C574,COS!$B$8:$K$991,6,FALSE)/2,0))</f>
        <v>1500</v>
      </c>
      <c r="S574" s="26">
        <f t="shared" si="920"/>
        <v>89.256198347107429</v>
      </c>
      <c r="T574" s="26">
        <f t="shared" si="921"/>
        <v>185.38676192858986</v>
      </c>
      <c r="U574" s="26" t="str">
        <f>IF(VLOOKUP($C574,COS!$B$8:$I$991,8,FALSE)=1,"UWFE","IBU")</f>
        <v>IBU</v>
      </c>
      <c r="V574" s="26">
        <f t="shared" ref="V574" si="924">MIN(IF(IF($AA$3=2,AND(E574=1,G574=1,L574=1,L577=1,M574=1,U574="IBU"),AND(E574=1,G574=1,L574=1,L577=1,M574=1)),T574,0),I574)</f>
        <v>0</v>
      </c>
      <c r="W574" s="26"/>
      <c r="X574" s="26"/>
      <c r="Y574" s="26"/>
      <c r="Z574" s="26"/>
      <c r="AA574" s="26"/>
      <c r="AB574" s="33"/>
    </row>
    <row r="575" spans="1:28" x14ac:dyDescent="0.3">
      <c r="A575" s="32">
        <f>VLOOKUP(YEAR(C575),Flags!$A$13:$B$95,2,FALSE)</f>
        <v>1</v>
      </c>
      <c r="B575" s="24">
        <f t="shared" si="841"/>
        <v>1984</v>
      </c>
      <c r="C575" s="25">
        <v>30894</v>
      </c>
      <c r="D575" s="26">
        <f>VLOOKUP($C575,COS!$B$8:$H$991,3,FALSE)</f>
        <v>16000</v>
      </c>
      <c r="E575" s="24">
        <f>IF(D575&gt;=IF(MONTH($C575)=4,$C$3,IF(MONTH($C575)=5,$C$4,IF(MONTH($C575)=6,$C$5,IF(MONTH($C575)=7,$C$6,"ERROR")))),1,0)</f>
        <v>1</v>
      </c>
      <c r="F575" s="26">
        <f>VLOOKUP($C575,COS!$B$8:$H$991,7,FALSE)</f>
        <v>51.311916351318359</v>
      </c>
      <c r="G575" s="24">
        <f>IF(F575&lt;=IF(MONTH($C575)=4,$F$3,IF(MONTH($C575)=5,$F$4,IF(MONTH($C575)=6,$F$5,IF(MONTH($C575)=7,$F$6,"ERROR")))),1,0)</f>
        <v>1</v>
      </c>
      <c r="H575" s="26">
        <f>IF(J575=1,D575-$C$6,0)</f>
        <v>4000</v>
      </c>
      <c r="I575" s="26">
        <f t="shared" si="872"/>
        <v>245.95041322314049</v>
      </c>
      <c r="J575" s="24">
        <f t="shared" si="915"/>
        <v>1</v>
      </c>
      <c r="K575" s="26">
        <f>VLOOKUP($C575,COS!$B$8:$H$991,2,FALSE)</f>
        <v>3457.78173828125</v>
      </c>
      <c r="L575" s="24">
        <f t="shared" si="843"/>
        <v>1</v>
      </c>
      <c r="M575" s="24">
        <f t="shared" si="844"/>
        <v>0</v>
      </c>
      <c r="N575" s="26">
        <f>VLOOKUP($C575,COS!$B$8:$H$991,5,FALSE)</f>
        <v>1002.6513061523438</v>
      </c>
      <c r="O575" s="26">
        <f t="shared" si="918"/>
        <v>61.650625766722627</v>
      </c>
      <c r="P575" s="26">
        <f>VLOOKUP($C575,COS!$B$8:$H$991,6,FALSE)</f>
        <v>2616.67822265625</v>
      </c>
      <c r="Q575" s="26">
        <f t="shared" si="919"/>
        <v>160.89327253357436</v>
      </c>
      <c r="R575" s="26">
        <f>MIN(IF(MONTH($C575)=4,$S$3,IF(MONTH($C575)=5,$S$4,IF(MONTH($C575)=6,$S$5,IF(MONTH($C575)=7,$S$6,"ERROR")))),MAX(VLOOKUP($C575,COS!$B$8:$K$991,10,FALSE)-IF(MONTH($C575)=4,$Y$3,IF(MONTH($C575)=5,$Y$4,IF(MONTH($C575)=6,$Y$5,IF(MONTH($C575)=7,$Y$6,"ERROR")))),0),MAX(VLOOKUP($C575,COS!$B$8:$K$991,9,FALSE)-IF(MONTH($C575)=4,$V$3,IF(MONTH($C575)=5,$V$4,IF(MONTH($C575)=6,$V$5,IF(MONTH($C575)=7,$V$6,"ERROR"))))-VLOOKUP($C575,COS!$B$8:$K$991,6,FALSE)/2,0))</f>
        <v>1500</v>
      </c>
      <c r="S575" s="26">
        <f t="shared" si="920"/>
        <v>92.231404958677686</v>
      </c>
      <c r="T575" s="26">
        <f t="shared" si="921"/>
        <v>203.50335410882616</v>
      </c>
      <c r="U575" s="26" t="str">
        <f>IF(VLOOKUP($C575,COS!$B$8:$I$991,8,FALSE)=1,"UWFE","IBU")</f>
        <v>IBU</v>
      </c>
      <c r="V575" s="26">
        <f t="shared" ref="V575" si="925">MIN(IF(IF($AA$3=2,AND(E575=1,G575=1,L575=1,L577=1,M575=1,U575="IBU"),AND(E575=1,G575=1,L575=1,L577=1,M575=1)),T575,0),I575)</f>
        <v>0</v>
      </c>
      <c r="W575" s="26"/>
      <c r="X575" s="26"/>
      <c r="Y575" s="26"/>
      <c r="Z575" s="26"/>
      <c r="AA575" s="26"/>
      <c r="AB575" s="33"/>
    </row>
    <row r="576" spans="1:28" x14ac:dyDescent="0.3">
      <c r="A576" s="32">
        <f>VLOOKUP(YEAR(C576),Flags!$A$13:$B$95,2,FALSE)</f>
        <v>1</v>
      </c>
      <c r="B576" s="24">
        <f t="shared" si="841"/>
        <v>1984</v>
      </c>
      <c r="C576" s="25">
        <v>30925</v>
      </c>
      <c r="D576" s="26"/>
      <c r="E576" s="24"/>
      <c r="F576" s="26"/>
      <c r="G576" s="24"/>
      <c r="H576" s="24"/>
      <c r="I576" s="26"/>
      <c r="J576" s="24"/>
      <c r="K576" s="26"/>
      <c r="L576" s="24"/>
      <c r="M576" s="24"/>
      <c r="N576" s="26"/>
      <c r="O576" s="26"/>
      <c r="P576" s="26"/>
      <c r="Q576" s="26"/>
      <c r="R576" s="26"/>
      <c r="S576" s="26"/>
      <c r="T576" s="26"/>
      <c r="U576" s="26"/>
      <c r="V576" s="26"/>
      <c r="W576" s="26">
        <f>MAX($C$7-VLOOKUP($C576,COS!$B$8:$H$991,3,FALSE),0)</f>
        <v>91391.3505859375</v>
      </c>
      <c r="X576" s="26">
        <f t="shared" si="870"/>
        <v>5619.4351104080579</v>
      </c>
      <c r="Y576" s="26">
        <f>VLOOKUP($C576,COS!$B$8:$H$991,4,FALSE)</f>
        <v>0</v>
      </c>
      <c r="Z576" s="26">
        <f t="shared" si="871"/>
        <v>0</v>
      </c>
      <c r="AA576" s="26">
        <f t="shared" ref="AA576:AA580" si="926">MIN(W576,Y576)</f>
        <v>0</v>
      </c>
      <c r="AB576" s="33">
        <f t="shared" ref="AB576" si="927">AA576*DAY($C576)*86400/43560/1000*IF(MONTH($C576)=8,$P$3,IF(MONTH($C576)=9,$P$4,IF(MONTH($C576)=10,$P$5,IF(MONTH($C576)=11,$P$6,IF(MONTH($C576)=12,$P$7,NA())))))</f>
        <v>0</v>
      </c>
    </row>
    <row r="577" spans="1:28" x14ac:dyDescent="0.3">
      <c r="A577" s="32">
        <f>VLOOKUP(YEAR(C577),Flags!$A$13:$B$95,2,FALSE)</f>
        <v>1</v>
      </c>
      <c r="B577" s="24">
        <f t="shared" si="841"/>
        <v>1984</v>
      </c>
      <c r="C577" s="25">
        <v>30955</v>
      </c>
      <c r="D577" s="26"/>
      <c r="E577" s="24"/>
      <c r="F577" s="26"/>
      <c r="G577" s="24"/>
      <c r="H577" s="24"/>
      <c r="I577" s="26"/>
      <c r="J577" s="24"/>
      <c r="K577" s="26">
        <f>VLOOKUP($C577,COS!$B$8:$H$991,2,FALSE)</f>
        <v>2599.457763671875</v>
      </c>
      <c r="L577" s="24">
        <f t="shared" ref="L577" si="928">IF(AND(K577&gt;$I$7,K577&lt;$I$8),1,0)</f>
        <v>1</v>
      </c>
      <c r="M577" s="24"/>
      <c r="N577" s="26"/>
      <c r="O577" s="26"/>
      <c r="P577" s="26"/>
      <c r="Q577" s="26"/>
      <c r="R577" s="26"/>
      <c r="S577" s="26"/>
      <c r="T577" s="26"/>
      <c r="U577" s="26"/>
      <c r="V577" s="26"/>
      <c r="W577" s="26">
        <f>MAX($C$8-VLOOKUP($C577,COS!$B$8:$H$991,3,FALSE),0)</f>
        <v>83999</v>
      </c>
      <c r="X577" s="26">
        <f t="shared" si="870"/>
        <v>4998.2876033057846</v>
      </c>
      <c r="Y577" s="26">
        <f>VLOOKUP($C577,COS!$B$8:$H$991,4,FALSE)</f>
        <v>489.46258544921875</v>
      </c>
      <c r="Z577" s="26">
        <f t="shared" si="871"/>
        <v>29.12504640689566</v>
      </c>
      <c r="AA577" s="26">
        <f t="shared" si="926"/>
        <v>489.46258544921875</v>
      </c>
      <c r="AB577" s="33">
        <f t="shared" si="854"/>
        <v>29.12504640689566</v>
      </c>
    </row>
    <row r="578" spans="1:28" x14ac:dyDescent="0.3">
      <c r="A578" s="32">
        <f>VLOOKUP(YEAR(C578),Flags!$A$13:$B$95,2,FALSE)</f>
        <v>1</v>
      </c>
      <c r="B578" s="24">
        <f t="shared" si="841"/>
        <v>1984</v>
      </c>
      <c r="C578" s="25">
        <v>30986</v>
      </c>
      <c r="D578" s="26"/>
      <c r="E578" s="24"/>
      <c r="F578" s="26"/>
      <c r="G578" s="26"/>
      <c r="H578" s="26"/>
      <c r="I578" s="26"/>
      <c r="J578" s="26"/>
      <c r="K578" s="26"/>
      <c r="L578" s="24"/>
      <c r="M578" s="24"/>
      <c r="N578" s="26"/>
      <c r="O578" s="26"/>
      <c r="P578" s="26"/>
      <c r="Q578" s="26"/>
      <c r="R578" s="26"/>
      <c r="S578" s="26"/>
      <c r="T578" s="26"/>
      <c r="U578" s="26"/>
      <c r="V578" s="26"/>
      <c r="W578" s="26">
        <f>MAX($C$9-VLOOKUP($C578,COS!$B$8:$H$991,3,FALSE),0)</f>
        <v>92538.021484375</v>
      </c>
      <c r="X578" s="26">
        <f t="shared" si="870"/>
        <v>5689.9411557334706</v>
      </c>
      <c r="Y578" s="26">
        <f>VLOOKUP($C578,COS!$B$8:$H$991,4,FALSE)</f>
        <v>692.67999267578125</v>
      </c>
      <c r="Z578" s="26">
        <f t="shared" si="871"/>
        <v>42.591232607502583</v>
      </c>
      <c r="AA578" s="26">
        <f t="shared" si="926"/>
        <v>692.67999267578125</v>
      </c>
      <c r="AB578" s="33">
        <f t="shared" si="854"/>
        <v>42.591232607502583</v>
      </c>
    </row>
    <row r="579" spans="1:28" x14ac:dyDescent="0.3">
      <c r="A579" s="32">
        <f>VLOOKUP(YEAR(C579),Flags!$A$13:$B$95,2,FALSE)</f>
        <v>1</v>
      </c>
      <c r="B579" s="24">
        <f t="shared" si="841"/>
        <v>1984</v>
      </c>
      <c r="C579" s="25">
        <v>31016</v>
      </c>
      <c r="D579" s="26"/>
      <c r="E579" s="24"/>
      <c r="F579" s="26"/>
      <c r="G579" s="26"/>
      <c r="H579" s="26"/>
      <c r="I579" s="26"/>
      <c r="J579" s="26"/>
      <c r="K579" s="26"/>
      <c r="L579" s="24"/>
      <c r="M579" s="24"/>
      <c r="N579" s="26"/>
      <c r="O579" s="26"/>
      <c r="P579" s="26"/>
      <c r="Q579" s="26"/>
      <c r="R579" s="26"/>
      <c r="S579" s="26"/>
      <c r="T579" s="26"/>
      <c r="U579" s="26"/>
      <c r="V579" s="26"/>
      <c r="W579" s="26">
        <f>MAX($C$10-VLOOKUP($C579,COS!$B$8:$H$991,3,FALSE),0)</f>
        <v>96749</v>
      </c>
      <c r="X579" s="26">
        <f t="shared" si="870"/>
        <v>5756.965289256198</v>
      </c>
      <c r="Y579" s="26">
        <f>VLOOKUP($C579,COS!$B$8:$H$991,4,FALSE)</f>
        <v>0</v>
      </c>
      <c r="Z579" s="26">
        <f t="shared" si="871"/>
        <v>0</v>
      </c>
      <c r="AA579" s="26">
        <f t="shared" si="926"/>
        <v>0</v>
      </c>
      <c r="AB579" s="33">
        <f t="shared" si="854"/>
        <v>0</v>
      </c>
    </row>
    <row r="580" spans="1:28" x14ac:dyDescent="0.3">
      <c r="A580" s="34">
        <f>VLOOKUP(YEAR(C580),Flags!$A$13:$B$95,2,FALSE)</f>
        <v>1</v>
      </c>
      <c r="B580" s="35">
        <f t="shared" si="841"/>
        <v>1984</v>
      </c>
      <c r="C580" s="36">
        <v>31047</v>
      </c>
      <c r="D580" s="37"/>
      <c r="E580" s="35"/>
      <c r="F580" s="37"/>
      <c r="G580" s="37"/>
      <c r="H580" s="37"/>
      <c r="I580" s="37"/>
      <c r="J580" s="37"/>
      <c r="K580" s="37"/>
      <c r="L580" s="35"/>
      <c r="M580" s="35"/>
      <c r="N580" s="37"/>
      <c r="O580" s="37"/>
      <c r="P580" s="37"/>
      <c r="Q580" s="37"/>
      <c r="R580" s="37"/>
      <c r="S580" s="37"/>
      <c r="T580" s="37"/>
      <c r="U580" s="37"/>
      <c r="V580" s="37"/>
      <c r="W580" s="37">
        <f>MAX($C$11-VLOOKUP($C580,COS!$B$8:$H$991,3,FALSE),0)</f>
        <v>0</v>
      </c>
      <c r="X580" s="37">
        <f t="shared" si="870"/>
        <v>0</v>
      </c>
      <c r="Y580" s="37">
        <f>VLOOKUP($C580,COS!$B$8:$H$991,4,FALSE)</f>
        <v>0</v>
      </c>
      <c r="Z580" s="37">
        <f t="shared" si="871"/>
        <v>0</v>
      </c>
      <c r="AA580" s="37">
        <f t="shared" si="926"/>
        <v>0</v>
      </c>
      <c r="AB580" s="38">
        <f t="shared" si="854"/>
        <v>0</v>
      </c>
    </row>
    <row r="581" spans="1:28" x14ac:dyDescent="0.3">
      <c r="A581" s="27">
        <f>VLOOKUP(YEAR(C581),Flags!$A$13:$B$95,2,FALSE)</f>
        <v>3</v>
      </c>
      <c r="B581" s="28">
        <f t="shared" si="841"/>
        <v>1985</v>
      </c>
      <c r="C581" s="29">
        <v>31167</v>
      </c>
      <c r="D581" s="30">
        <f>VLOOKUP($C581,COS!$B$8:$H$991,3,FALSE)</f>
        <v>3250</v>
      </c>
      <c r="E581" s="28">
        <f>IF(D581&gt;=IF(MONTH($C581)=4,$C$3,IF(MONTH($C581)=5,$C$4,IF(MONTH($C581)=6,$C$5,IF(MONTH($C581)=7,$C$6,"ERROR")))),1,0)</f>
        <v>0</v>
      </c>
      <c r="F581" s="30">
        <f>VLOOKUP($C581,COS!$B$8:$H$991,7,FALSE)</f>
        <v>52.461292266845703</v>
      </c>
      <c r="G581" s="28">
        <f>IF(F581&lt;=IF(MONTH($C581)=4,$F$3,IF(MONTH($C581)=5,$F$4,IF(MONTH($C581)=6,$F$5,IF(MONTH($C581)=7,$F$6,"ERROR")))),1,0)</f>
        <v>1</v>
      </c>
      <c r="H581" s="30">
        <f>IF(J581=1,D581-$C$3,0)</f>
        <v>0</v>
      </c>
      <c r="I581" s="30">
        <f t="shared" si="872"/>
        <v>0</v>
      </c>
      <c r="J581" s="28">
        <f t="shared" ref="J581:J584" si="929">IF(AND(E581=1,G581=1),1,0)</f>
        <v>0</v>
      </c>
      <c r="K581" s="30">
        <f>VLOOKUP($C581,COS!$B$8:$H$991,2,FALSE)</f>
        <v>3952.674072265625</v>
      </c>
      <c r="L581" s="28">
        <f t="shared" ref="L581" si="930">IF(K581&lt;=IF(MONTH($C581)=4,$I$3,IF(MONTH($C581)=5,$I$4,IF(MONTH($C581)=6,$I$5,IF(MONTH($C581)=7,$I$6,"ERROR")))),1,0)</f>
        <v>1</v>
      </c>
      <c r="M581" s="28">
        <f t="shared" ref="M581" si="931">VLOOKUP($A581,$L$3:$M$7,2,FALSE)</f>
        <v>0</v>
      </c>
      <c r="N581" s="30">
        <f>VLOOKUP($C581,COS!$B$8:$H$991,5,FALSE)</f>
        <v>325.05386352539063</v>
      </c>
      <c r="O581" s="30">
        <f t="shared" ref="O581:O584" si="932">N581*DAY($C581)*86400/43560/1000</f>
        <v>19.342048077543907</v>
      </c>
      <c r="P581" s="30">
        <f>VLOOKUP($C581,COS!$B$8:$H$991,6,FALSE)</f>
        <v>469.97174072265625</v>
      </c>
      <c r="Q581" s="30">
        <f t="shared" ref="Q581:Q584" si="933">P581*DAY($C581)*86400/43560/1000</f>
        <v>27.965260604984504</v>
      </c>
      <c r="R581" s="30">
        <f>MIN(IF(MONTH($C581)=4,$S$3,IF(MONTH($C581)=5,$S$4,IF(MONTH($C581)=6,$S$5,IF(MONTH($C581)=7,$S$6,"ERROR")))),MAX(VLOOKUP($C581,COS!$B$8:$K$991,10,FALSE)-IF(MONTH($C581)=4,$Y$3,IF(MONTH($C581)=5,$Y$4,IF(MONTH($C581)=6,$Y$5,IF(MONTH($C581)=7,$Y$6,"ERROR")))),0),MAX(VLOOKUP($C581,COS!$B$8:$K$991,9,FALSE)-IF(MONTH($C581)=4,$V$3,IF(MONTH($C581)=5,$V$4,IF(MONTH($C581)=6,$V$5,IF(MONTH($C581)=7,$V$6,"ERROR"))))-VLOOKUP($C581,COS!$B$8:$K$991,6,FALSE)/2,0))</f>
        <v>1164.9433288574219</v>
      </c>
      <c r="S581" s="30">
        <f t="shared" ref="S581:S584" si="934">R581*DAY($C581)*86400/43560/1000</f>
        <v>69.318941882425108</v>
      </c>
      <c r="T581" s="30">
        <f t="shared" ref="T581:T584" si="935">(O581+Q581)/2+S581</f>
        <v>92.972596223689322</v>
      </c>
      <c r="U581" s="30" t="str">
        <f>IF(VLOOKUP($C581,COS!$B$8:$I$991,8,FALSE)=1,"UWFE","IBU")</f>
        <v>UWFE</v>
      </c>
      <c r="V581" s="30">
        <f t="shared" ref="V581" si="936">MIN(IF(IF($AA$3=2,AND(E581=1,G581=1,L581=1,L586=1,M581=1,U581="IBU"),AND(E581=1,G581=1,L581=1,L586=1,M581=1)),T581,0),I581)</f>
        <v>0</v>
      </c>
      <c r="W581" s="30"/>
      <c r="X581" s="30"/>
      <c r="Y581" s="30"/>
      <c r="Z581" s="30"/>
      <c r="AA581" s="30"/>
      <c r="AB581" s="31"/>
    </row>
    <row r="582" spans="1:28" x14ac:dyDescent="0.3">
      <c r="A582" s="32">
        <f>VLOOKUP(YEAR(C582),Flags!$A$13:$B$95,2,FALSE)</f>
        <v>3</v>
      </c>
      <c r="B582" s="24">
        <f t="shared" si="841"/>
        <v>1985</v>
      </c>
      <c r="C582" s="25">
        <v>31198</v>
      </c>
      <c r="D582" s="26">
        <f>VLOOKUP($C582,COS!$B$8:$H$991,3,FALSE)</f>
        <v>8077.96923828125</v>
      </c>
      <c r="E582" s="24">
        <f>IF(D582&gt;=IF(MONTH($C582)=4,$C$3,IF(MONTH($C582)=5,$C$4,IF(MONTH($C582)=6,$C$5,IF(MONTH($C582)=7,$C$6,"ERROR")))),1,0)</f>
        <v>1</v>
      </c>
      <c r="F582" s="26">
        <f>VLOOKUP($C582,COS!$B$8:$H$991,7,FALSE)</f>
        <v>50.861595153808594</v>
      </c>
      <c r="G582" s="24">
        <f>IF(F582&lt;=IF(MONTH($C582)=4,$F$3,IF(MONTH($C582)=5,$F$4,IF(MONTH($C582)=6,$F$5,IF(MONTH($C582)=7,$F$6,"ERROR")))),1,0)</f>
        <v>1</v>
      </c>
      <c r="H582" s="26">
        <f>IF(J582=1,D582-$C$4,0)</f>
        <v>2077.96923828125</v>
      </c>
      <c r="I582" s="26">
        <f t="shared" si="872"/>
        <v>127.76934820506197</v>
      </c>
      <c r="J582" s="24">
        <f t="shared" si="929"/>
        <v>1</v>
      </c>
      <c r="K582" s="26">
        <f>VLOOKUP($C582,COS!$B$8:$H$991,2,FALSE)</f>
        <v>3694.770751953125</v>
      </c>
      <c r="L582" s="24">
        <f t="shared" si="843"/>
        <v>1</v>
      </c>
      <c r="M582" s="24">
        <f t="shared" si="844"/>
        <v>0</v>
      </c>
      <c r="N582" s="26">
        <f>VLOOKUP($C582,COS!$B$8:$H$991,5,FALSE)</f>
        <v>497.94390869140625</v>
      </c>
      <c r="O582" s="26">
        <f t="shared" si="932"/>
        <v>30.617377526149276</v>
      </c>
      <c r="P582" s="26">
        <f>VLOOKUP($C582,COS!$B$8:$H$991,6,FALSE)</f>
        <v>2340.425048828125</v>
      </c>
      <c r="Q582" s="26">
        <f t="shared" si="933"/>
        <v>143.90712696926653</v>
      </c>
      <c r="R582" s="26">
        <f>MIN(IF(MONTH($C582)=4,$S$3,IF(MONTH($C582)=5,$S$4,IF(MONTH($C582)=6,$S$5,IF(MONTH($C582)=7,$S$6,"ERROR")))),MAX(VLOOKUP($C582,COS!$B$8:$K$991,10,FALSE)-IF(MONTH($C582)=4,$Y$3,IF(MONTH($C582)=5,$Y$4,IF(MONTH($C582)=6,$Y$5,IF(MONTH($C582)=7,$Y$6,"ERROR")))),0),MAX(VLOOKUP($C582,COS!$B$8:$K$991,9,FALSE)-IF(MONTH($C582)=4,$V$3,IF(MONTH($C582)=5,$V$4,IF(MONTH($C582)=6,$V$5,IF(MONTH($C582)=7,$V$6,"ERROR"))))-VLOOKUP($C582,COS!$B$8:$K$991,6,FALSE)/2,0))</f>
        <v>1500</v>
      </c>
      <c r="S582" s="26">
        <f t="shared" si="934"/>
        <v>92.231404958677686</v>
      </c>
      <c r="T582" s="26">
        <f t="shared" si="935"/>
        <v>179.49365720638559</v>
      </c>
      <c r="U582" s="26" t="str">
        <f>IF(VLOOKUP($C582,COS!$B$8:$I$991,8,FALSE)=1,"UWFE","IBU")</f>
        <v>IBU</v>
      </c>
      <c r="V582" s="26">
        <f t="shared" ref="V582" si="937">MIN(IF(IF($AA$3=2,AND(E582=1,G582=1,L582=1,L586=1,M582=1,U582="IBU"),AND(E582=1,G582=1,L582=1,L586=1,M582=1)),T582,0),I582)</f>
        <v>0</v>
      </c>
      <c r="W582" s="26"/>
      <c r="X582" s="26"/>
      <c r="Y582" s="26"/>
      <c r="Z582" s="26"/>
      <c r="AA582" s="26"/>
      <c r="AB582" s="33"/>
    </row>
    <row r="583" spans="1:28" x14ac:dyDescent="0.3">
      <c r="A583" s="32">
        <f>VLOOKUP(YEAR(C583),Flags!$A$13:$B$95,2,FALSE)</f>
        <v>3</v>
      </c>
      <c r="B583" s="24">
        <f t="shared" si="841"/>
        <v>1985</v>
      </c>
      <c r="C583" s="25">
        <v>31228</v>
      </c>
      <c r="D583" s="26">
        <f>VLOOKUP($C583,COS!$B$8:$H$991,3,FALSE)</f>
        <v>12637.884765625</v>
      </c>
      <c r="E583" s="24">
        <f>IF(D583&gt;=IF(MONTH($C583)=4,$C$3,IF(MONTH($C583)=5,$C$4,IF(MONTH($C583)=6,$C$5,IF(MONTH($C583)=7,$C$6,"ERROR")))),1,0)</f>
        <v>1</v>
      </c>
      <c r="F583" s="26">
        <f>VLOOKUP($C583,COS!$B$8:$H$991,7,FALSE)</f>
        <v>51.714122772216797</v>
      </c>
      <c r="G583" s="24">
        <f>IF(F583&lt;=IF(MONTH($C583)=4,$F$3,IF(MONTH($C583)=5,$F$4,IF(MONTH($C583)=6,$F$5,IF(MONTH($C583)=7,$F$6,"ERROR")))),1,0)</f>
        <v>1</v>
      </c>
      <c r="H583" s="26">
        <f>IF(J583=1,D583-$C$5,0)</f>
        <v>2637.884765625</v>
      </c>
      <c r="I583" s="26">
        <f t="shared" si="872"/>
        <v>156.96504390495866</v>
      </c>
      <c r="J583" s="24">
        <f t="shared" si="929"/>
        <v>1</v>
      </c>
      <c r="K583" s="26">
        <f>VLOOKUP($C583,COS!$B$8:$H$991,2,FALSE)</f>
        <v>3196.5283203125</v>
      </c>
      <c r="L583" s="24">
        <f t="shared" si="843"/>
        <v>1</v>
      </c>
      <c r="M583" s="24">
        <f t="shared" si="844"/>
        <v>0</v>
      </c>
      <c r="N583" s="26">
        <f>VLOOKUP($C583,COS!$B$8:$H$991,5,FALSE)</f>
        <v>737.8311767578125</v>
      </c>
      <c r="O583" s="26">
        <f t="shared" si="932"/>
        <v>43.904003906249997</v>
      </c>
      <c r="P583" s="26">
        <f>VLOOKUP($C583,COS!$B$8:$H$991,6,FALSE)</f>
        <v>2708.118408203125</v>
      </c>
      <c r="Q583" s="26">
        <f t="shared" si="933"/>
        <v>161.14423586002064</v>
      </c>
      <c r="R583" s="26">
        <f>MIN(IF(MONTH($C583)=4,$S$3,IF(MONTH($C583)=5,$S$4,IF(MONTH($C583)=6,$S$5,IF(MONTH($C583)=7,$S$6,"ERROR")))),MAX(VLOOKUP($C583,COS!$B$8:$K$991,10,FALSE)-IF(MONTH($C583)=4,$Y$3,IF(MONTH($C583)=5,$Y$4,IF(MONTH($C583)=6,$Y$5,IF(MONTH($C583)=7,$Y$6,"ERROR")))),0),MAX(VLOOKUP($C583,COS!$B$8:$K$991,9,FALSE)-IF(MONTH($C583)=4,$V$3,IF(MONTH($C583)=5,$V$4,IF(MONTH($C583)=6,$V$5,IF(MONTH($C583)=7,$V$6,"ERROR"))))-VLOOKUP($C583,COS!$B$8:$K$991,6,FALSE)/2,0))</f>
        <v>1500</v>
      </c>
      <c r="S583" s="26">
        <f t="shared" si="934"/>
        <v>89.256198347107429</v>
      </c>
      <c r="T583" s="26">
        <f t="shared" si="935"/>
        <v>191.78031823024276</v>
      </c>
      <c r="U583" s="26" t="str">
        <f>IF(VLOOKUP($C583,COS!$B$8:$I$991,8,FALSE)=1,"UWFE","IBU")</f>
        <v>IBU</v>
      </c>
      <c r="V583" s="26">
        <f t="shared" ref="V583" si="938">MIN(IF(IF($AA$3=2,AND(E583=1,G583=1,L583=1,L586=1,M583=1,U583="IBU"),AND(E583=1,G583=1,L583=1,L586=1,M583=1)),T583,0),I583)</f>
        <v>0</v>
      </c>
      <c r="W583" s="26"/>
      <c r="X583" s="26"/>
      <c r="Y583" s="26"/>
      <c r="Z583" s="26"/>
      <c r="AA583" s="26"/>
      <c r="AB583" s="33"/>
    </row>
    <row r="584" spans="1:28" x14ac:dyDescent="0.3">
      <c r="A584" s="32">
        <f>VLOOKUP(YEAR(C584),Flags!$A$13:$B$95,2,FALSE)</f>
        <v>3</v>
      </c>
      <c r="B584" s="24">
        <f t="shared" si="841"/>
        <v>1985</v>
      </c>
      <c r="C584" s="25">
        <v>31259</v>
      </c>
      <c r="D584" s="26">
        <f>VLOOKUP($C584,COS!$B$8:$H$991,3,FALSE)</f>
        <v>15330.47265625</v>
      </c>
      <c r="E584" s="24">
        <f>IF(D584&gt;=IF(MONTH($C584)=4,$C$3,IF(MONTH($C584)=5,$C$4,IF(MONTH($C584)=6,$C$5,IF(MONTH($C584)=7,$C$6,"ERROR")))),1,0)</f>
        <v>1</v>
      </c>
      <c r="F584" s="26">
        <f>VLOOKUP($C584,COS!$B$8:$H$991,7,FALSE)</f>
        <v>53.327499389648438</v>
      </c>
      <c r="G584" s="24">
        <f>IF(F584&lt;=IF(MONTH($C584)=4,$F$3,IF(MONTH($C584)=5,$F$4,IF(MONTH($C584)=6,$F$5,IF(MONTH($C584)=7,$F$6,"ERROR")))),1,0)</f>
        <v>1</v>
      </c>
      <c r="H584" s="26">
        <f>IF(J584=1,D584-$C$6,0)</f>
        <v>3330.47265625</v>
      </c>
      <c r="I584" s="26">
        <f t="shared" si="872"/>
        <v>204.78278150826446</v>
      </c>
      <c r="J584" s="24">
        <f t="shared" si="929"/>
        <v>1</v>
      </c>
      <c r="K584" s="26">
        <f>VLOOKUP($C584,COS!$B$8:$H$991,2,FALSE)</f>
        <v>2582.746337890625</v>
      </c>
      <c r="L584" s="24">
        <f t="shared" si="843"/>
        <v>1</v>
      </c>
      <c r="M584" s="24">
        <f t="shared" si="844"/>
        <v>0</v>
      </c>
      <c r="N584" s="26">
        <f>VLOOKUP($C584,COS!$B$8:$H$991,5,FALSE)</f>
        <v>805.3907470703125</v>
      </c>
      <c r="O584" s="26">
        <f t="shared" si="932"/>
        <v>49.521546762009294</v>
      </c>
      <c r="P584" s="26">
        <f>VLOOKUP($C584,COS!$B$8:$H$991,6,FALSE)</f>
        <v>2442.872314453125</v>
      </c>
      <c r="Q584" s="26">
        <f t="shared" si="933"/>
        <v>150.20636379777892</v>
      </c>
      <c r="R584" s="26">
        <f>MIN(IF(MONTH($C584)=4,$S$3,IF(MONTH($C584)=5,$S$4,IF(MONTH($C584)=6,$S$5,IF(MONTH($C584)=7,$S$6,"ERROR")))),MAX(VLOOKUP($C584,COS!$B$8:$K$991,10,FALSE)-IF(MONTH($C584)=4,$Y$3,IF(MONTH($C584)=5,$Y$4,IF(MONTH($C584)=6,$Y$5,IF(MONTH($C584)=7,$Y$6,"ERROR")))),0),MAX(VLOOKUP($C584,COS!$B$8:$K$991,9,FALSE)-IF(MONTH($C584)=4,$V$3,IF(MONTH($C584)=5,$V$4,IF(MONTH($C584)=6,$V$5,IF(MONTH($C584)=7,$V$6,"ERROR"))))-VLOOKUP($C584,COS!$B$8:$K$991,6,FALSE)/2,0))</f>
        <v>1500</v>
      </c>
      <c r="S584" s="26">
        <f t="shared" si="934"/>
        <v>92.231404958677686</v>
      </c>
      <c r="T584" s="26">
        <f t="shared" si="935"/>
        <v>192.0953602385718</v>
      </c>
      <c r="U584" s="26" t="str">
        <f>IF(VLOOKUP($C584,COS!$B$8:$I$991,8,FALSE)=1,"UWFE","IBU")</f>
        <v>IBU</v>
      </c>
      <c r="V584" s="26">
        <f t="shared" ref="V584" si="939">MIN(IF(IF($AA$3=2,AND(E584=1,G584=1,L584=1,L586=1,M584=1,U584="IBU"),AND(E584=1,G584=1,L584=1,L586=1,M584=1)),T584,0),I584)</f>
        <v>0</v>
      </c>
      <c r="W584" s="26"/>
      <c r="X584" s="26"/>
      <c r="Y584" s="26"/>
      <c r="Z584" s="26"/>
      <c r="AA584" s="26"/>
      <c r="AB584" s="33"/>
    </row>
    <row r="585" spans="1:28" x14ac:dyDescent="0.3">
      <c r="A585" s="32">
        <f>VLOOKUP(YEAR(C585),Flags!$A$13:$B$95,2,FALSE)</f>
        <v>3</v>
      </c>
      <c r="B585" s="24">
        <f t="shared" si="841"/>
        <v>1985</v>
      </c>
      <c r="C585" s="25">
        <v>31290</v>
      </c>
      <c r="D585" s="26"/>
      <c r="E585" s="24"/>
      <c r="F585" s="26"/>
      <c r="G585" s="24"/>
      <c r="H585" s="24"/>
      <c r="I585" s="26"/>
      <c r="J585" s="24"/>
      <c r="K585" s="26"/>
      <c r="L585" s="24"/>
      <c r="M585" s="24"/>
      <c r="N585" s="26"/>
      <c r="O585" s="26"/>
      <c r="P585" s="26"/>
      <c r="Q585" s="26"/>
      <c r="R585" s="26"/>
      <c r="S585" s="26"/>
      <c r="T585" s="26"/>
      <c r="U585" s="26"/>
      <c r="V585" s="26"/>
      <c r="W585" s="26">
        <f>MAX($C$7-VLOOKUP($C585,COS!$B$8:$H$991,3,FALSE),0)</f>
        <v>88180.107421875</v>
      </c>
      <c r="X585" s="26">
        <f t="shared" si="870"/>
        <v>5421.9834646177687</v>
      </c>
      <c r="Y585" s="26">
        <f>VLOOKUP($C585,COS!$B$8:$H$991,4,FALSE)</f>
        <v>2388.483154296875</v>
      </c>
      <c r="Z585" s="26">
        <f t="shared" si="871"/>
        <v>146.86210469395661</v>
      </c>
      <c r="AA585" s="26">
        <f t="shared" ref="AA585:AA589" si="940">MIN(W585,Y585)</f>
        <v>2388.483154296875</v>
      </c>
      <c r="AB585" s="33">
        <f t="shared" ref="AB585" si="941">AA585*DAY($C585)*86400/43560/1000*IF(MONTH($C585)=8,$P$3,IF(MONTH($C585)=9,$P$4,IF(MONTH($C585)=10,$P$5,IF(MONTH($C585)=11,$P$6,IF(MONTH($C585)=12,$P$7,NA())))))</f>
        <v>146.86210469395661</v>
      </c>
    </row>
    <row r="586" spans="1:28" x14ac:dyDescent="0.3">
      <c r="A586" s="32">
        <f>VLOOKUP(YEAR(C586),Flags!$A$13:$B$95,2,FALSE)</f>
        <v>3</v>
      </c>
      <c r="B586" s="24">
        <f t="shared" si="841"/>
        <v>1985</v>
      </c>
      <c r="C586" s="25">
        <v>31320</v>
      </c>
      <c r="D586" s="26"/>
      <c r="E586" s="24"/>
      <c r="F586" s="26"/>
      <c r="G586" s="24"/>
      <c r="H586" s="24"/>
      <c r="I586" s="26"/>
      <c r="J586" s="24"/>
      <c r="K586" s="26">
        <f>VLOOKUP($C586,COS!$B$8:$H$991,2,FALSE)</f>
        <v>2217.799560546875</v>
      </c>
      <c r="L586" s="24">
        <f t="shared" ref="L586" si="942">IF(AND(K586&gt;$I$7,K586&lt;$I$8),1,0)</f>
        <v>1</v>
      </c>
      <c r="M586" s="24"/>
      <c r="N586" s="26"/>
      <c r="O586" s="26"/>
      <c r="P586" s="26"/>
      <c r="Q586" s="26"/>
      <c r="R586" s="26"/>
      <c r="S586" s="26"/>
      <c r="T586" s="26"/>
      <c r="U586" s="26"/>
      <c r="V586" s="26"/>
      <c r="W586" s="26">
        <f>MAX($C$8-VLOOKUP($C586,COS!$B$8:$H$991,3,FALSE),0)</f>
        <v>94424.607421875</v>
      </c>
      <c r="X586" s="26">
        <f t="shared" si="870"/>
        <v>5618.6543259297514</v>
      </c>
      <c r="Y586" s="26">
        <f>VLOOKUP($C586,COS!$B$8:$H$991,4,FALSE)</f>
        <v>202.43043518066406</v>
      </c>
      <c r="Z586" s="26">
        <f t="shared" si="871"/>
        <v>12.045447382651084</v>
      </c>
      <c r="AA586" s="26">
        <f t="shared" si="940"/>
        <v>202.43043518066406</v>
      </c>
      <c r="AB586" s="33">
        <f t="shared" si="854"/>
        <v>12.045447382651084</v>
      </c>
    </row>
    <row r="587" spans="1:28" x14ac:dyDescent="0.3">
      <c r="A587" s="32">
        <f>VLOOKUP(YEAR(C587),Flags!$A$13:$B$95,2,FALSE)</f>
        <v>3</v>
      </c>
      <c r="B587" s="24">
        <f t="shared" si="841"/>
        <v>1985</v>
      </c>
      <c r="C587" s="25">
        <v>31351</v>
      </c>
      <c r="D587" s="26"/>
      <c r="E587" s="24"/>
      <c r="F587" s="26"/>
      <c r="G587" s="26"/>
      <c r="H587" s="26"/>
      <c r="I587" s="26"/>
      <c r="J587" s="26"/>
      <c r="K587" s="26"/>
      <c r="L587" s="24"/>
      <c r="M587" s="24"/>
      <c r="N587" s="26"/>
      <c r="O587" s="26"/>
      <c r="P587" s="26"/>
      <c r="Q587" s="26"/>
      <c r="R587" s="26"/>
      <c r="S587" s="26"/>
      <c r="T587" s="26"/>
      <c r="U587" s="26"/>
      <c r="V587" s="26"/>
      <c r="W587" s="26">
        <f>MAX($C$9-VLOOKUP($C587,COS!$B$8:$H$991,3,FALSE),0)</f>
        <v>95205.248046875</v>
      </c>
      <c r="X587" s="26">
        <f t="shared" si="870"/>
        <v>5853.942524535124</v>
      </c>
      <c r="Y587" s="26">
        <f>VLOOKUP($C587,COS!$B$8:$H$991,4,FALSE)</f>
        <v>1064.7911376953125</v>
      </c>
      <c r="Z587" s="26">
        <f t="shared" si="871"/>
        <v>65.471455078125004</v>
      </c>
      <c r="AA587" s="26">
        <f t="shared" si="940"/>
        <v>1064.7911376953125</v>
      </c>
      <c r="AB587" s="33">
        <f t="shared" si="854"/>
        <v>65.471455078125004</v>
      </c>
    </row>
    <row r="588" spans="1:28" x14ac:dyDescent="0.3">
      <c r="A588" s="32">
        <f>VLOOKUP(YEAR(C588),Flags!$A$13:$B$95,2,FALSE)</f>
        <v>3</v>
      </c>
      <c r="B588" s="24">
        <f t="shared" si="841"/>
        <v>1985</v>
      </c>
      <c r="C588" s="25">
        <v>31381</v>
      </c>
      <c r="D588" s="26"/>
      <c r="E588" s="24"/>
      <c r="F588" s="26"/>
      <c r="G588" s="26"/>
      <c r="H588" s="26"/>
      <c r="I588" s="26"/>
      <c r="J588" s="26"/>
      <c r="K588" s="26"/>
      <c r="L588" s="24"/>
      <c r="M588" s="24"/>
      <c r="N588" s="26"/>
      <c r="O588" s="26"/>
      <c r="P588" s="26"/>
      <c r="Q588" s="26"/>
      <c r="R588" s="26"/>
      <c r="S588" s="26"/>
      <c r="T588" s="26"/>
      <c r="U588" s="26"/>
      <c r="V588" s="26"/>
      <c r="W588" s="26">
        <f>MAX($C$10-VLOOKUP($C588,COS!$B$8:$H$991,3,FALSE),0)</f>
        <v>96373.38037109375</v>
      </c>
      <c r="X588" s="26">
        <f t="shared" si="870"/>
        <v>5734.6143691890502</v>
      </c>
      <c r="Y588" s="26">
        <f>VLOOKUP($C588,COS!$B$8:$H$991,4,FALSE)</f>
        <v>110.72906494140625</v>
      </c>
      <c r="Z588" s="26">
        <f t="shared" si="871"/>
        <v>6.5888369221332646</v>
      </c>
      <c r="AA588" s="26">
        <f t="shared" si="940"/>
        <v>110.72906494140625</v>
      </c>
      <c r="AB588" s="33">
        <f t="shared" si="854"/>
        <v>3.2944184610666323</v>
      </c>
    </row>
    <row r="589" spans="1:28" x14ac:dyDescent="0.3">
      <c r="A589" s="34">
        <f>VLOOKUP(YEAR(C589),Flags!$A$13:$B$95,2,FALSE)</f>
        <v>3</v>
      </c>
      <c r="B589" s="35">
        <f t="shared" si="841"/>
        <v>1985</v>
      </c>
      <c r="C589" s="36">
        <v>31412</v>
      </c>
      <c r="D589" s="37"/>
      <c r="E589" s="35"/>
      <c r="F589" s="37"/>
      <c r="G589" s="37"/>
      <c r="H589" s="37"/>
      <c r="I589" s="37"/>
      <c r="J589" s="37"/>
      <c r="K589" s="37"/>
      <c r="L589" s="35"/>
      <c r="M589" s="35"/>
      <c r="N589" s="37"/>
      <c r="O589" s="37"/>
      <c r="P589" s="37"/>
      <c r="Q589" s="37"/>
      <c r="R589" s="37"/>
      <c r="S589" s="37"/>
      <c r="T589" s="37"/>
      <c r="U589" s="37"/>
      <c r="V589" s="37"/>
      <c r="W589" s="37">
        <f>MAX($C$11-VLOOKUP($C589,COS!$B$8:$H$991,3,FALSE),0)</f>
        <v>0</v>
      </c>
      <c r="X589" s="37">
        <f t="shared" si="870"/>
        <v>0</v>
      </c>
      <c r="Y589" s="37">
        <f>VLOOKUP($C589,COS!$B$8:$H$991,4,FALSE)</f>
        <v>364.45733642578125</v>
      </c>
      <c r="Z589" s="37">
        <f t="shared" si="871"/>
        <v>22.409608124031507</v>
      </c>
      <c r="AA589" s="37">
        <f t="shared" si="940"/>
        <v>0</v>
      </c>
      <c r="AB589" s="38">
        <f t="shared" si="854"/>
        <v>0</v>
      </c>
    </row>
    <row r="590" spans="1:28" x14ac:dyDescent="0.3">
      <c r="A590" s="27">
        <f>VLOOKUP(YEAR(C590),Flags!$A$13:$B$95,2,FALSE)</f>
        <v>1</v>
      </c>
      <c r="B590" s="28">
        <f t="shared" si="841"/>
        <v>1986</v>
      </c>
      <c r="C590" s="29">
        <v>31532</v>
      </c>
      <c r="D590" s="30">
        <f>VLOOKUP($C590,COS!$B$8:$H$991,3,FALSE)</f>
        <v>3250</v>
      </c>
      <c r="E590" s="28">
        <f>IF(D590&gt;=IF(MONTH($C590)=4,$C$3,IF(MONTH($C590)=5,$C$4,IF(MONTH($C590)=6,$C$5,IF(MONTH($C590)=7,$C$6,"ERROR")))),1,0)</f>
        <v>0</v>
      </c>
      <c r="F590" s="30">
        <f>VLOOKUP($C590,COS!$B$8:$H$991,7,FALSE)</f>
        <v>51.891460418701172</v>
      </c>
      <c r="G590" s="28">
        <f>IF(F590&lt;=IF(MONTH($C590)=4,$F$3,IF(MONTH($C590)=5,$F$4,IF(MONTH($C590)=6,$F$5,IF(MONTH($C590)=7,$F$6,"ERROR")))),1,0)</f>
        <v>1</v>
      </c>
      <c r="H590" s="30">
        <f>IF(J590=1,D590-$C$3,0)</f>
        <v>0</v>
      </c>
      <c r="I590" s="30">
        <f t="shared" si="872"/>
        <v>0</v>
      </c>
      <c r="J590" s="28">
        <f t="shared" ref="J590:J593" si="943">IF(AND(E590=1,G590=1),1,0)</f>
        <v>0</v>
      </c>
      <c r="K590" s="30">
        <f>VLOOKUP($C590,COS!$B$8:$H$991,2,FALSE)</f>
        <v>4012.635986328125</v>
      </c>
      <c r="L590" s="28">
        <f t="shared" ref="L590:L647" si="944">IF(K590&lt;=IF(MONTH($C590)=4,$I$3,IF(MONTH($C590)=5,$I$4,IF(MONTH($C590)=6,$I$5,IF(MONTH($C590)=7,$I$6,"ERROR")))),1,0)</f>
        <v>1</v>
      </c>
      <c r="M590" s="28">
        <f t="shared" ref="M590:M647" si="945">VLOOKUP($A590,$L$3:$M$7,2,FALSE)</f>
        <v>0</v>
      </c>
      <c r="N590" s="30">
        <f>VLOOKUP($C590,COS!$B$8:$H$991,5,FALSE)</f>
        <v>174.09121704101563</v>
      </c>
      <c r="O590" s="30">
        <f t="shared" ref="O590:O593" si="946">N590*DAY($C590)*86400/43560/1000</f>
        <v>10.359146799134814</v>
      </c>
      <c r="P590" s="30">
        <f>VLOOKUP($C590,COS!$B$8:$H$991,6,FALSE)</f>
        <v>419.7452392578125</v>
      </c>
      <c r="Q590" s="30">
        <f t="shared" ref="Q590:Q593" si="947">P590*DAY($C590)*86400/43560/1000</f>
        <v>24.976576220299588</v>
      </c>
      <c r="R590" s="30">
        <f>MIN(IF(MONTH($C590)=4,$S$3,IF(MONTH($C590)=5,$S$4,IF(MONTH($C590)=6,$S$5,IF(MONTH($C590)=7,$S$6,"ERROR")))),MAX(VLOOKUP($C590,COS!$B$8:$K$991,10,FALSE)-IF(MONTH($C590)=4,$Y$3,IF(MONTH($C590)=5,$Y$4,IF(MONTH($C590)=6,$Y$5,IF(MONTH($C590)=7,$Y$6,"ERROR")))),0),MAX(VLOOKUP($C590,COS!$B$8:$K$991,9,FALSE)-IF(MONTH($C590)=4,$V$3,IF(MONTH($C590)=5,$V$4,IF(MONTH($C590)=6,$V$5,IF(MONTH($C590)=7,$V$6,"ERROR"))))-VLOOKUP($C590,COS!$B$8:$K$991,6,FALSE)/2,0))</f>
        <v>1500</v>
      </c>
      <c r="S590" s="30">
        <f t="shared" ref="S590:S593" si="948">R590*DAY($C590)*86400/43560/1000</f>
        <v>89.256198347107429</v>
      </c>
      <c r="T590" s="30">
        <f t="shared" ref="T590:T593" si="949">(O590+Q590)/2+S590</f>
        <v>106.92405985682463</v>
      </c>
      <c r="U590" s="30" t="str">
        <f>IF(VLOOKUP($C590,COS!$B$8:$I$991,8,FALSE)=1,"UWFE","IBU")</f>
        <v>UWFE</v>
      </c>
      <c r="V590" s="30">
        <f t="shared" ref="V590" si="950">MIN(IF(IF($AA$3=2,AND(E590=1,G590=1,L590=1,L595=1,M590=1,U590="IBU"),AND(E590=1,G590=1,L590=1,L595=1,M590=1)),T590,0),I590)</f>
        <v>0</v>
      </c>
      <c r="W590" s="30"/>
      <c r="X590" s="30"/>
      <c r="Y590" s="30"/>
      <c r="Z590" s="30"/>
      <c r="AA590" s="30"/>
      <c r="AB590" s="31"/>
    </row>
    <row r="591" spans="1:28" x14ac:dyDescent="0.3">
      <c r="A591" s="32">
        <f>VLOOKUP(YEAR(C591),Flags!$A$13:$B$95,2,FALSE)</f>
        <v>1</v>
      </c>
      <c r="B591" s="24">
        <f t="shared" ref="B591:B654" si="951">YEAR(C591)</f>
        <v>1986</v>
      </c>
      <c r="C591" s="25">
        <v>31563</v>
      </c>
      <c r="D591" s="26">
        <f>VLOOKUP($C591,COS!$B$8:$H$991,3,FALSE)</f>
        <v>6404.04443359375</v>
      </c>
      <c r="E591" s="24">
        <f>IF(D591&gt;=IF(MONTH($C591)=4,$C$3,IF(MONTH($C591)=5,$C$4,IF(MONTH($C591)=6,$C$5,IF(MONTH($C591)=7,$C$6,"ERROR")))),1,0)</f>
        <v>1</v>
      </c>
      <c r="F591" s="26">
        <f>VLOOKUP($C591,COS!$B$8:$H$991,7,FALSE)</f>
        <v>50.922679901123047</v>
      </c>
      <c r="G591" s="24">
        <f>IF(F591&lt;=IF(MONTH($C591)=4,$F$3,IF(MONTH($C591)=5,$F$4,IF(MONTH($C591)=6,$F$5,IF(MONTH($C591)=7,$F$6,"ERROR")))),1,0)</f>
        <v>1</v>
      </c>
      <c r="H591" s="26">
        <f>IF(J591=1,D591-$C$4,0)</f>
        <v>404.04443359375</v>
      </c>
      <c r="I591" s="26">
        <f t="shared" si="872"/>
        <v>24.843723850723141</v>
      </c>
      <c r="J591" s="24">
        <f t="shared" si="943"/>
        <v>1</v>
      </c>
      <c r="K591" s="26">
        <f>VLOOKUP($C591,COS!$B$8:$H$991,2,FALSE)</f>
        <v>4026.975341796875</v>
      </c>
      <c r="L591" s="24">
        <f t="shared" si="944"/>
        <v>1</v>
      </c>
      <c r="M591" s="24">
        <f t="shared" si="945"/>
        <v>0</v>
      </c>
      <c r="N591" s="26">
        <f>VLOOKUP($C591,COS!$B$8:$H$991,5,FALSE)</f>
        <v>294.54061889648438</v>
      </c>
      <c r="O591" s="26">
        <f t="shared" si="946"/>
        <v>18.110596732147467</v>
      </c>
      <c r="P591" s="26">
        <f>VLOOKUP($C591,COS!$B$8:$H$991,6,FALSE)</f>
        <v>2245.033447265625</v>
      </c>
      <c r="Q591" s="26">
        <f t="shared" si="947"/>
        <v>138.04172601368802</v>
      </c>
      <c r="R591" s="26">
        <f>MIN(IF(MONTH($C591)=4,$S$3,IF(MONTH($C591)=5,$S$4,IF(MONTH($C591)=6,$S$5,IF(MONTH($C591)=7,$S$6,"ERROR")))),MAX(VLOOKUP($C591,COS!$B$8:$K$991,10,FALSE)-IF(MONTH($C591)=4,$Y$3,IF(MONTH($C591)=5,$Y$4,IF(MONTH($C591)=6,$Y$5,IF(MONTH($C591)=7,$Y$6,"ERROR")))),0),MAX(VLOOKUP($C591,COS!$B$8:$K$991,9,FALSE)-IF(MONTH($C591)=4,$V$3,IF(MONTH($C591)=5,$V$4,IF(MONTH($C591)=6,$V$5,IF(MONTH($C591)=7,$V$6,"ERROR"))))-VLOOKUP($C591,COS!$B$8:$K$991,6,FALSE)/2,0))</f>
        <v>1500</v>
      </c>
      <c r="S591" s="26">
        <f t="shared" si="948"/>
        <v>92.231404958677686</v>
      </c>
      <c r="T591" s="26">
        <f t="shared" si="949"/>
        <v>170.30756633159541</v>
      </c>
      <c r="U591" s="26" t="str">
        <f>IF(VLOOKUP($C591,COS!$B$8:$I$991,8,FALSE)=1,"UWFE","IBU")</f>
        <v>UWFE</v>
      </c>
      <c r="V591" s="26">
        <f t="shared" ref="V591" si="952">MIN(IF(IF($AA$3=2,AND(E591=1,G591=1,L591=1,L595=1,M591=1,U591="IBU"),AND(E591=1,G591=1,L591=1,L595=1,M591=1)),T591,0),I591)</f>
        <v>0</v>
      </c>
      <c r="W591" s="26"/>
      <c r="X591" s="26"/>
      <c r="Y591" s="26"/>
      <c r="Z591" s="26"/>
      <c r="AA591" s="26"/>
      <c r="AB591" s="33"/>
    </row>
    <row r="592" spans="1:28" x14ac:dyDescent="0.3">
      <c r="A592" s="32">
        <f>VLOOKUP(YEAR(C592),Flags!$A$13:$B$95,2,FALSE)</f>
        <v>1</v>
      </c>
      <c r="B592" s="24">
        <f t="shared" si="951"/>
        <v>1986</v>
      </c>
      <c r="C592" s="25">
        <v>31593</v>
      </c>
      <c r="D592" s="26">
        <f>VLOOKUP($C592,COS!$B$8:$H$991,3,FALSE)</f>
        <v>8645.5615234375</v>
      </c>
      <c r="E592" s="24">
        <f>IF(D592&gt;=IF(MONTH($C592)=4,$C$3,IF(MONTH($C592)=5,$C$4,IF(MONTH($C592)=6,$C$5,IF(MONTH($C592)=7,$C$6,"ERROR")))),1,0)</f>
        <v>0</v>
      </c>
      <c r="F592" s="26">
        <f>VLOOKUP($C592,COS!$B$8:$H$991,7,FALSE)</f>
        <v>51.637722015380859</v>
      </c>
      <c r="G592" s="24">
        <f>IF(F592&lt;=IF(MONTH($C592)=4,$F$3,IF(MONTH($C592)=5,$F$4,IF(MONTH($C592)=6,$F$5,IF(MONTH($C592)=7,$F$6,"ERROR")))),1,0)</f>
        <v>1</v>
      </c>
      <c r="H592" s="26">
        <f>IF(J592=1,D592-$C$5,0)</f>
        <v>0</v>
      </c>
      <c r="I592" s="26">
        <f t="shared" si="872"/>
        <v>0</v>
      </c>
      <c r="J592" s="24">
        <f t="shared" si="943"/>
        <v>0</v>
      </c>
      <c r="K592" s="26">
        <f>VLOOKUP($C592,COS!$B$8:$H$991,2,FALSE)</f>
        <v>3745.956298828125</v>
      </c>
      <c r="L592" s="24">
        <f t="shared" si="944"/>
        <v>1</v>
      </c>
      <c r="M592" s="24">
        <f t="shared" si="945"/>
        <v>0</v>
      </c>
      <c r="N592" s="26">
        <f>VLOOKUP($C592,COS!$B$8:$H$991,5,FALSE)</f>
        <v>616.0546875</v>
      </c>
      <c r="O592" s="26">
        <f t="shared" si="946"/>
        <v>36.657799586776861</v>
      </c>
      <c r="P592" s="26">
        <f>VLOOKUP($C592,COS!$B$8:$H$991,6,FALSE)</f>
        <v>2278.943359375</v>
      </c>
      <c r="Q592" s="26">
        <f t="shared" si="947"/>
        <v>135.60654700413224</v>
      </c>
      <c r="R592" s="26">
        <f>MIN(IF(MONTH($C592)=4,$S$3,IF(MONTH($C592)=5,$S$4,IF(MONTH($C592)=6,$S$5,IF(MONTH($C592)=7,$S$6,"ERROR")))),MAX(VLOOKUP($C592,COS!$B$8:$K$991,10,FALSE)-IF(MONTH($C592)=4,$Y$3,IF(MONTH($C592)=5,$Y$4,IF(MONTH($C592)=6,$Y$5,IF(MONTH($C592)=7,$Y$6,"ERROR")))),0),MAX(VLOOKUP($C592,COS!$B$8:$K$991,9,FALSE)-IF(MONTH($C592)=4,$V$3,IF(MONTH($C592)=5,$V$4,IF(MONTH($C592)=6,$V$5,IF(MONTH($C592)=7,$V$6,"ERROR"))))-VLOOKUP($C592,COS!$B$8:$K$991,6,FALSE)/2,0))</f>
        <v>1500</v>
      </c>
      <c r="S592" s="26">
        <f t="shared" si="948"/>
        <v>89.256198347107429</v>
      </c>
      <c r="T592" s="26">
        <f t="shared" si="949"/>
        <v>175.38837164256199</v>
      </c>
      <c r="U592" s="26" t="str">
        <f>IF(VLOOKUP($C592,COS!$B$8:$I$991,8,FALSE)=1,"UWFE","IBU")</f>
        <v>IBU</v>
      </c>
      <c r="V592" s="26">
        <f t="shared" ref="V592" si="953">MIN(IF(IF($AA$3=2,AND(E592=1,G592=1,L592=1,L595=1,M592=1,U592="IBU"),AND(E592=1,G592=1,L592=1,L595=1,M592=1)),T592,0),I592)</f>
        <v>0</v>
      </c>
      <c r="W592" s="26"/>
      <c r="X592" s="26"/>
      <c r="Y592" s="26"/>
      <c r="Z592" s="26"/>
      <c r="AA592" s="26"/>
      <c r="AB592" s="33"/>
    </row>
    <row r="593" spans="1:28" x14ac:dyDescent="0.3">
      <c r="A593" s="32">
        <f>VLOOKUP(YEAR(C593),Flags!$A$13:$B$95,2,FALSE)</f>
        <v>1</v>
      </c>
      <c r="B593" s="24">
        <f t="shared" si="951"/>
        <v>1986</v>
      </c>
      <c r="C593" s="25">
        <v>31624</v>
      </c>
      <c r="D593" s="26">
        <f>VLOOKUP($C593,COS!$B$8:$H$991,3,FALSE)</f>
        <v>12633.615234375</v>
      </c>
      <c r="E593" s="24">
        <f>IF(D593&gt;=IF(MONTH($C593)=4,$C$3,IF(MONTH($C593)=5,$C$4,IF(MONTH($C593)=6,$C$5,IF(MONTH($C593)=7,$C$6,"ERROR")))),1,0)</f>
        <v>1</v>
      </c>
      <c r="F593" s="26">
        <f>VLOOKUP($C593,COS!$B$8:$H$991,7,FALSE)</f>
        <v>51.914817810058594</v>
      </c>
      <c r="G593" s="24">
        <f>IF(F593&lt;=IF(MONTH($C593)=4,$F$3,IF(MONTH($C593)=5,$F$4,IF(MONTH($C593)=6,$F$5,IF(MONTH($C593)=7,$F$6,"ERROR")))),1,0)</f>
        <v>1</v>
      </c>
      <c r="H593" s="26">
        <f>IF(J593=1,D593-$C$6,0)</f>
        <v>633.615234375</v>
      </c>
      <c r="I593" s="26">
        <f t="shared" si="872"/>
        <v>38.959482179752065</v>
      </c>
      <c r="J593" s="24">
        <f t="shared" si="943"/>
        <v>1</v>
      </c>
      <c r="K593" s="26">
        <f>VLOOKUP($C593,COS!$B$8:$H$991,2,FALSE)</f>
        <v>3301.90478515625</v>
      </c>
      <c r="L593" s="24">
        <f t="shared" si="944"/>
        <v>1</v>
      </c>
      <c r="M593" s="24">
        <f t="shared" si="945"/>
        <v>0</v>
      </c>
      <c r="N593" s="26">
        <f>VLOOKUP($C593,COS!$B$8:$H$991,5,FALSE)</f>
        <v>673.447265625</v>
      </c>
      <c r="O593" s="26">
        <f t="shared" si="946"/>
        <v>41.408658316115705</v>
      </c>
      <c r="P593" s="26">
        <f>VLOOKUP($C593,COS!$B$8:$H$991,6,FALSE)</f>
        <v>2521.474853515625</v>
      </c>
      <c r="Q593" s="26">
        <f t="shared" si="947"/>
        <v>155.0394455384814</v>
      </c>
      <c r="R593" s="26">
        <f>MIN(IF(MONTH($C593)=4,$S$3,IF(MONTH($C593)=5,$S$4,IF(MONTH($C593)=6,$S$5,IF(MONTH($C593)=7,$S$6,"ERROR")))),MAX(VLOOKUP($C593,COS!$B$8:$K$991,10,FALSE)-IF(MONTH($C593)=4,$Y$3,IF(MONTH($C593)=5,$Y$4,IF(MONTH($C593)=6,$Y$5,IF(MONTH($C593)=7,$Y$6,"ERROR")))),0),MAX(VLOOKUP($C593,COS!$B$8:$K$991,9,FALSE)-IF(MONTH($C593)=4,$V$3,IF(MONTH($C593)=5,$V$4,IF(MONTH($C593)=6,$V$5,IF(MONTH($C593)=7,$V$6,"ERROR"))))-VLOOKUP($C593,COS!$B$8:$K$991,6,FALSE)/2,0))</f>
        <v>1500</v>
      </c>
      <c r="S593" s="26">
        <f t="shared" si="948"/>
        <v>92.231404958677686</v>
      </c>
      <c r="T593" s="26">
        <f t="shared" si="949"/>
        <v>190.45545688597622</v>
      </c>
      <c r="U593" s="26" t="str">
        <f>IF(VLOOKUP($C593,COS!$B$8:$I$991,8,FALSE)=1,"UWFE","IBU")</f>
        <v>IBU</v>
      </c>
      <c r="V593" s="26">
        <f t="shared" ref="V593" si="954">MIN(IF(IF($AA$3=2,AND(E593=1,G593=1,L593=1,L595=1,M593=1,U593="IBU"),AND(E593=1,G593=1,L593=1,L595=1,M593=1)),T593,0),I593)</f>
        <v>0</v>
      </c>
      <c r="W593" s="26"/>
      <c r="X593" s="26"/>
      <c r="Y593" s="26"/>
      <c r="Z593" s="26"/>
      <c r="AA593" s="26"/>
      <c r="AB593" s="33"/>
    </row>
    <row r="594" spans="1:28" x14ac:dyDescent="0.3">
      <c r="A594" s="32">
        <f>VLOOKUP(YEAR(C594),Flags!$A$13:$B$95,2,FALSE)</f>
        <v>1</v>
      </c>
      <c r="B594" s="24">
        <f t="shared" si="951"/>
        <v>1986</v>
      </c>
      <c r="C594" s="25">
        <v>31655</v>
      </c>
      <c r="D594" s="26"/>
      <c r="E594" s="24"/>
      <c r="F594" s="26"/>
      <c r="G594" s="24"/>
      <c r="H594" s="24"/>
      <c r="I594" s="26"/>
      <c r="J594" s="24"/>
      <c r="K594" s="26"/>
      <c r="L594" s="24"/>
      <c r="M594" s="24"/>
      <c r="N594" s="26"/>
      <c r="O594" s="26"/>
      <c r="P594" s="26"/>
      <c r="Q594" s="26"/>
      <c r="R594" s="26"/>
      <c r="S594" s="26"/>
      <c r="T594" s="26"/>
      <c r="U594" s="26"/>
      <c r="V594" s="26"/>
      <c r="W594" s="26">
        <f>MAX($C$7-VLOOKUP($C594,COS!$B$8:$H$991,3,FALSE),0)</f>
        <v>90769.2431640625</v>
      </c>
      <c r="X594" s="26">
        <f t="shared" si="870"/>
        <v>5581.1832160382237</v>
      </c>
      <c r="Y594" s="26">
        <f>VLOOKUP($C594,COS!$B$8:$H$991,4,FALSE)</f>
        <v>387.97982788085938</v>
      </c>
      <c r="Z594" s="26">
        <f t="shared" si="871"/>
        <v>23.855949747385072</v>
      </c>
      <c r="AA594" s="26">
        <f t="shared" ref="AA594:AA598" si="955">MIN(W594,Y594)</f>
        <v>387.97982788085938</v>
      </c>
      <c r="AB594" s="33">
        <f t="shared" ref="AB594:AB652" si="956">AA594*DAY($C594)*86400/43560/1000*IF(MONTH($C594)=8,$P$3,IF(MONTH($C594)=9,$P$4,IF(MONTH($C594)=10,$P$5,IF(MONTH($C594)=11,$P$6,IF(MONTH($C594)=12,$P$7,NA())))))</f>
        <v>23.855949747385072</v>
      </c>
    </row>
    <row r="595" spans="1:28" x14ac:dyDescent="0.3">
      <c r="A595" s="32">
        <f>VLOOKUP(YEAR(C595),Flags!$A$13:$B$95,2,FALSE)</f>
        <v>1</v>
      </c>
      <c r="B595" s="24">
        <f t="shared" si="951"/>
        <v>1986</v>
      </c>
      <c r="C595" s="25">
        <v>31685</v>
      </c>
      <c r="D595" s="26"/>
      <c r="E595" s="24"/>
      <c r="F595" s="26"/>
      <c r="G595" s="24"/>
      <c r="H595" s="24"/>
      <c r="I595" s="26"/>
      <c r="J595" s="24"/>
      <c r="K595" s="26">
        <f>VLOOKUP($C595,COS!$B$8:$H$991,2,FALSE)</f>
        <v>2914.57763671875</v>
      </c>
      <c r="L595" s="24">
        <f t="shared" ref="L595" si="957">IF(AND(K595&gt;$I$7,K595&lt;$I$8),1,0)</f>
        <v>1</v>
      </c>
      <c r="M595" s="24"/>
      <c r="N595" s="26"/>
      <c r="O595" s="26"/>
      <c r="P595" s="26"/>
      <c r="Q595" s="26"/>
      <c r="R595" s="26"/>
      <c r="S595" s="26"/>
      <c r="T595" s="26"/>
      <c r="U595" s="26"/>
      <c r="V595" s="26"/>
      <c r="W595" s="26">
        <f>MAX($C$8-VLOOKUP($C595,COS!$B$8:$H$991,3,FALSE),0)</f>
        <v>92355.841796875</v>
      </c>
      <c r="X595" s="26">
        <f t="shared" si="870"/>
        <v>5495.5542226239668</v>
      </c>
      <c r="Y595" s="26">
        <f>VLOOKUP($C595,COS!$B$8:$H$991,4,FALSE)</f>
        <v>343.38613891601563</v>
      </c>
      <c r="Z595" s="26">
        <f t="shared" si="871"/>
        <v>20.432894216490187</v>
      </c>
      <c r="AA595" s="26">
        <f t="shared" si="955"/>
        <v>343.38613891601563</v>
      </c>
      <c r="AB595" s="33">
        <f t="shared" si="956"/>
        <v>20.432894216490187</v>
      </c>
    </row>
    <row r="596" spans="1:28" x14ac:dyDescent="0.3">
      <c r="A596" s="32">
        <f>VLOOKUP(YEAR(C596),Flags!$A$13:$B$95,2,FALSE)</f>
        <v>1</v>
      </c>
      <c r="B596" s="24">
        <f t="shared" si="951"/>
        <v>1986</v>
      </c>
      <c r="C596" s="25">
        <v>31716</v>
      </c>
      <c r="D596" s="26"/>
      <c r="E596" s="24"/>
      <c r="F596" s="26"/>
      <c r="G596" s="26"/>
      <c r="H596" s="26"/>
      <c r="I596" s="26"/>
      <c r="J596" s="26"/>
      <c r="K596" s="26"/>
      <c r="L596" s="24"/>
      <c r="M596" s="24"/>
      <c r="N596" s="26"/>
      <c r="O596" s="26"/>
      <c r="P596" s="26"/>
      <c r="Q596" s="26"/>
      <c r="R596" s="26"/>
      <c r="S596" s="26"/>
      <c r="T596" s="26"/>
      <c r="U596" s="26"/>
      <c r="V596" s="26"/>
      <c r="W596" s="26">
        <f>MAX($C$9-VLOOKUP($C596,COS!$B$8:$H$991,3,FALSE),0)</f>
        <v>93664.2392578125</v>
      </c>
      <c r="X596" s="26">
        <f t="shared" si="870"/>
        <v>5759.1895874225211</v>
      </c>
      <c r="Y596" s="26">
        <f>VLOOKUP($C596,COS!$B$8:$H$991,4,FALSE)</f>
        <v>539.67193603515625</v>
      </c>
      <c r="Z596" s="26">
        <f t="shared" si="871"/>
        <v>33.183133918194734</v>
      </c>
      <c r="AA596" s="26">
        <f t="shared" si="955"/>
        <v>539.67193603515625</v>
      </c>
      <c r="AB596" s="33">
        <f t="shared" si="956"/>
        <v>33.183133918194734</v>
      </c>
    </row>
    <row r="597" spans="1:28" x14ac:dyDescent="0.3">
      <c r="A597" s="32">
        <f>VLOOKUP(YEAR(C597),Flags!$A$13:$B$95,2,FALSE)</f>
        <v>1</v>
      </c>
      <c r="B597" s="24">
        <f t="shared" si="951"/>
        <v>1986</v>
      </c>
      <c r="C597" s="25">
        <v>31746</v>
      </c>
      <c r="D597" s="26"/>
      <c r="E597" s="24"/>
      <c r="F597" s="26"/>
      <c r="G597" s="26"/>
      <c r="H597" s="26"/>
      <c r="I597" s="26"/>
      <c r="J597" s="26"/>
      <c r="K597" s="26"/>
      <c r="L597" s="24"/>
      <c r="M597" s="24"/>
      <c r="N597" s="26"/>
      <c r="O597" s="26"/>
      <c r="P597" s="26"/>
      <c r="Q597" s="26"/>
      <c r="R597" s="26"/>
      <c r="S597" s="26"/>
      <c r="T597" s="26"/>
      <c r="U597" s="26"/>
      <c r="V597" s="26"/>
      <c r="W597" s="26">
        <f>MAX($C$10-VLOOKUP($C597,COS!$B$8:$H$991,3,FALSE),0)</f>
        <v>89193.92578125</v>
      </c>
      <c r="X597" s="26">
        <f t="shared" si="870"/>
        <v>5307.4071539256202</v>
      </c>
      <c r="Y597" s="26">
        <f>VLOOKUP($C597,COS!$B$8:$H$991,4,FALSE)</f>
        <v>3081.6455078125</v>
      </c>
      <c r="Z597" s="26">
        <f t="shared" si="871"/>
        <v>183.37064178719007</v>
      </c>
      <c r="AA597" s="26">
        <f t="shared" si="955"/>
        <v>3081.6455078125</v>
      </c>
      <c r="AB597" s="33">
        <f t="shared" si="956"/>
        <v>91.685320893595033</v>
      </c>
    </row>
    <row r="598" spans="1:28" x14ac:dyDescent="0.3">
      <c r="A598" s="34">
        <f>VLOOKUP(YEAR(C598),Flags!$A$13:$B$95,2,FALSE)</f>
        <v>1</v>
      </c>
      <c r="B598" s="35">
        <f t="shared" si="951"/>
        <v>1986</v>
      </c>
      <c r="C598" s="36">
        <v>31777</v>
      </c>
      <c r="D598" s="37"/>
      <c r="E598" s="35"/>
      <c r="F598" s="37"/>
      <c r="G598" s="37"/>
      <c r="H598" s="37"/>
      <c r="I598" s="37"/>
      <c r="J598" s="37"/>
      <c r="K598" s="37"/>
      <c r="L598" s="35"/>
      <c r="M598" s="35"/>
      <c r="N598" s="37"/>
      <c r="O598" s="37"/>
      <c r="P598" s="37"/>
      <c r="Q598" s="37"/>
      <c r="R598" s="37"/>
      <c r="S598" s="37"/>
      <c r="T598" s="37"/>
      <c r="U598" s="37"/>
      <c r="V598" s="37"/>
      <c r="W598" s="37">
        <f>MAX($C$11-VLOOKUP($C598,COS!$B$8:$H$991,3,FALSE),0)</f>
        <v>0</v>
      </c>
      <c r="X598" s="37">
        <f t="shared" si="870"/>
        <v>0</v>
      </c>
      <c r="Y598" s="37">
        <f>VLOOKUP($C598,COS!$B$8:$H$991,4,FALSE)</f>
        <v>442.69561767578125</v>
      </c>
      <c r="Z598" s="37">
        <f t="shared" si="871"/>
        <v>27.220292524857957</v>
      </c>
      <c r="AA598" s="37">
        <f t="shared" si="955"/>
        <v>0</v>
      </c>
      <c r="AB598" s="38">
        <f t="shared" si="956"/>
        <v>0</v>
      </c>
    </row>
    <row r="599" spans="1:28" x14ac:dyDescent="0.3">
      <c r="A599" s="27">
        <f>VLOOKUP(YEAR(C599),Flags!$A$13:$B$95,2,FALSE)</f>
        <v>4</v>
      </c>
      <c r="B599" s="28">
        <f t="shared" si="951"/>
        <v>1987</v>
      </c>
      <c r="C599" s="29">
        <v>31897</v>
      </c>
      <c r="D599" s="30">
        <f>VLOOKUP($C599,COS!$B$8:$H$991,3,FALSE)</f>
        <v>5294.4443359375</v>
      </c>
      <c r="E599" s="28">
        <f>IF(D599&gt;=IF(MONTH($C599)=4,$C$3,IF(MONTH($C599)=5,$C$4,IF(MONTH($C599)=6,$C$5,IF(MONTH($C599)=7,$C$6,"ERROR")))),1,0)</f>
        <v>0</v>
      </c>
      <c r="F599" s="30">
        <f>VLOOKUP($C599,COS!$B$8:$H$991,7,FALSE)</f>
        <v>50.914810180664063</v>
      </c>
      <c r="G599" s="28">
        <f>IF(F599&lt;=IF(MONTH($C599)=4,$F$3,IF(MONTH($C599)=5,$F$4,IF(MONTH($C599)=6,$F$5,IF(MONTH($C599)=7,$F$6,"ERROR")))),1,0)</f>
        <v>1</v>
      </c>
      <c r="H599" s="30">
        <f>IF(J599=1,D599-$C$3,0)</f>
        <v>0</v>
      </c>
      <c r="I599" s="30">
        <f t="shared" si="872"/>
        <v>0</v>
      </c>
      <c r="J599" s="28">
        <f t="shared" ref="J599:J602" si="958">IF(AND(E599=1,G599=1),1,0)</f>
        <v>0</v>
      </c>
      <c r="K599" s="30">
        <f>VLOOKUP($C599,COS!$B$8:$H$991,2,FALSE)</f>
        <v>3623.035888671875</v>
      </c>
      <c r="L599" s="28">
        <f t="shared" ref="L599" si="959">IF(K599&lt;=IF(MONTH($C599)=4,$I$3,IF(MONTH($C599)=5,$I$4,IF(MONTH($C599)=6,$I$5,IF(MONTH($C599)=7,$I$6,"ERROR")))),1,0)</f>
        <v>1</v>
      </c>
      <c r="M599" s="28">
        <f t="shared" ref="M599" si="960">VLOOKUP($A599,$L$3:$M$7,2,FALSE)</f>
        <v>1</v>
      </c>
      <c r="N599" s="30">
        <f>VLOOKUP($C599,COS!$B$8:$H$991,5,FALSE)</f>
        <v>182.17179870605469</v>
      </c>
      <c r="O599" s="30">
        <f t="shared" ref="O599:O602" si="961">N599*DAY($C599)*86400/43560/1000</f>
        <v>10.839974799037966</v>
      </c>
      <c r="P599" s="30">
        <f>VLOOKUP($C599,COS!$B$8:$H$991,6,FALSE)</f>
        <v>465.95361328125</v>
      </c>
      <c r="Q599" s="30">
        <f t="shared" ref="Q599:Q602" si="962">P599*DAY($C599)*86400/43560/1000</f>
        <v>27.72616541838843</v>
      </c>
      <c r="R599" s="30">
        <f>MIN(IF(MONTH($C599)=4,$S$3,IF(MONTH($C599)=5,$S$4,IF(MONTH($C599)=6,$S$5,IF(MONTH($C599)=7,$S$6,"ERROR")))),MAX(VLOOKUP($C599,COS!$B$8:$K$991,10,FALSE)-IF(MONTH($C599)=4,$Y$3,IF(MONTH($C599)=5,$Y$4,IF(MONTH($C599)=6,$Y$5,IF(MONTH($C599)=7,$Y$6,"ERROR")))),0),MAX(VLOOKUP($C599,COS!$B$8:$K$991,9,FALSE)-IF(MONTH($C599)=4,$V$3,IF(MONTH($C599)=5,$V$4,IF(MONTH($C599)=6,$V$5,IF(MONTH($C599)=7,$V$6,"ERROR"))))-VLOOKUP($C599,COS!$B$8:$K$991,6,FALSE)/2,0))</f>
        <v>1500</v>
      </c>
      <c r="S599" s="30">
        <f t="shared" ref="S599:S602" si="963">R599*DAY($C599)*86400/43560/1000</f>
        <v>89.256198347107429</v>
      </c>
      <c r="T599" s="30">
        <f t="shared" ref="T599:T602" si="964">(O599+Q599)/2+S599</f>
        <v>108.53926845582063</v>
      </c>
      <c r="U599" s="30" t="str">
        <f>IF(VLOOKUP($C599,COS!$B$8:$I$991,8,FALSE)=1,"UWFE","IBU")</f>
        <v>UWFE</v>
      </c>
      <c r="V599" s="30">
        <f t="shared" ref="V599" si="965">MIN(IF(IF($AA$3=2,AND(E599=1,G599=1,L599=1,L604=1,M599=1,U599="IBU"),AND(E599=1,G599=1,L599=1,L604=1,M599=1)),T599,0),I599)</f>
        <v>0</v>
      </c>
      <c r="W599" s="30"/>
      <c r="X599" s="30"/>
      <c r="Y599" s="30"/>
      <c r="Z599" s="30"/>
      <c r="AA599" s="30"/>
      <c r="AB599" s="31"/>
    </row>
    <row r="600" spans="1:28" x14ac:dyDescent="0.3">
      <c r="A600" s="32">
        <f>VLOOKUP(YEAR(C600),Flags!$A$13:$B$95,2,FALSE)</f>
        <v>4</v>
      </c>
      <c r="B600" s="24">
        <f t="shared" si="951"/>
        <v>1987</v>
      </c>
      <c r="C600" s="25">
        <v>31928</v>
      </c>
      <c r="D600" s="26">
        <f>VLOOKUP($C600,COS!$B$8:$H$991,3,FALSE)</f>
        <v>9427.30078125</v>
      </c>
      <c r="E600" s="24">
        <f>IF(D600&gt;=IF(MONTH($C600)=4,$C$3,IF(MONTH($C600)=5,$C$4,IF(MONTH($C600)=6,$C$5,IF(MONTH($C600)=7,$C$6,"ERROR")))),1,0)</f>
        <v>1</v>
      </c>
      <c r="F600" s="26">
        <f>VLOOKUP($C600,COS!$B$8:$H$991,7,FALSE)</f>
        <v>50.738330841064453</v>
      </c>
      <c r="G600" s="24">
        <f>IF(F600&lt;=IF(MONTH($C600)=4,$F$3,IF(MONTH($C600)=5,$F$4,IF(MONTH($C600)=6,$F$5,IF(MONTH($C600)=7,$F$6,"ERROR")))),1,0)</f>
        <v>1</v>
      </c>
      <c r="H600" s="26">
        <f>IF(J600=1,D600-$C$4,0)</f>
        <v>3427.30078125</v>
      </c>
      <c r="I600" s="26">
        <f t="shared" si="872"/>
        <v>210.73651084710744</v>
      </c>
      <c r="J600" s="24">
        <f t="shared" si="958"/>
        <v>1</v>
      </c>
      <c r="K600" s="26">
        <f>VLOOKUP($C600,COS!$B$8:$H$991,2,FALSE)</f>
        <v>3278.966796875</v>
      </c>
      <c r="L600" s="24">
        <f t="shared" si="944"/>
        <v>1</v>
      </c>
      <c r="M600" s="24">
        <f t="shared" si="945"/>
        <v>1</v>
      </c>
      <c r="N600" s="26">
        <f>VLOOKUP($C600,COS!$B$8:$H$991,5,FALSE)</f>
        <v>250.50456237792969</v>
      </c>
      <c r="O600" s="26">
        <f t="shared" si="961"/>
        <v>15.402925157783447</v>
      </c>
      <c r="P600" s="26">
        <f>VLOOKUP($C600,COS!$B$8:$H$991,6,FALSE)</f>
        <v>2345.609619140625</v>
      </c>
      <c r="Q600" s="26">
        <f t="shared" si="962"/>
        <v>144.22591377195246</v>
      </c>
      <c r="R600" s="26">
        <f>MIN(IF(MONTH($C600)=4,$S$3,IF(MONTH($C600)=5,$S$4,IF(MONTH($C600)=6,$S$5,IF(MONTH($C600)=7,$S$6,"ERROR")))),MAX(VLOOKUP($C600,COS!$B$8:$K$991,10,FALSE)-IF(MONTH($C600)=4,$Y$3,IF(MONTH($C600)=5,$Y$4,IF(MONTH($C600)=6,$Y$5,IF(MONTH($C600)=7,$Y$6,"ERROR")))),0),MAX(VLOOKUP($C600,COS!$B$8:$K$991,9,FALSE)-IF(MONTH($C600)=4,$V$3,IF(MONTH($C600)=5,$V$4,IF(MONTH($C600)=6,$V$5,IF(MONTH($C600)=7,$V$6,"ERROR"))))-VLOOKUP($C600,COS!$B$8:$K$991,6,FALSE)/2,0))</f>
        <v>1500</v>
      </c>
      <c r="S600" s="26">
        <f t="shared" si="963"/>
        <v>92.231404958677686</v>
      </c>
      <c r="T600" s="26">
        <f t="shared" si="964"/>
        <v>172.04582442354564</v>
      </c>
      <c r="U600" s="26" t="str">
        <f>IF(VLOOKUP($C600,COS!$B$8:$I$991,8,FALSE)=1,"UWFE","IBU")</f>
        <v>IBU</v>
      </c>
      <c r="V600" s="26">
        <f t="shared" ref="V600" si="966">MIN(IF(IF($AA$3=2,AND(E600=1,G600=1,L600=1,L604=1,M600=1,U600="IBU"),AND(E600=1,G600=1,L600=1,L604=1,M600=1)),T600,0),I600)</f>
        <v>172.04582442354564</v>
      </c>
      <c r="W600" s="26"/>
      <c r="X600" s="26"/>
      <c r="Y600" s="26"/>
      <c r="Z600" s="26"/>
      <c r="AA600" s="26"/>
      <c r="AB600" s="33"/>
    </row>
    <row r="601" spans="1:28" x14ac:dyDescent="0.3">
      <c r="A601" s="32">
        <f>VLOOKUP(YEAR(C601),Flags!$A$13:$B$95,2,FALSE)</f>
        <v>4</v>
      </c>
      <c r="B601" s="24">
        <f t="shared" si="951"/>
        <v>1987</v>
      </c>
      <c r="C601" s="25">
        <v>31958</v>
      </c>
      <c r="D601" s="26">
        <f>VLOOKUP($C601,COS!$B$8:$H$991,3,FALSE)</f>
        <v>12915.80859375</v>
      </c>
      <c r="E601" s="24">
        <f>IF(D601&gt;=IF(MONTH($C601)=4,$C$3,IF(MONTH($C601)=5,$C$4,IF(MONTH($C601)=6,$C$5,IF(MONTH($C601)=7,$C$6,"ERROR")))),1,0)</f>
        <v>1</v>
      </c>
      <c r="F601" s="26">
        <f>VLOOKUP($C601,COS!$B$8:$H$991,7,FALSE)</f>
        <v>52.064525604248047</v>
      </c>
      <c r="G601" s="24">
        <f>IF(F601&lt;=IF(MONTH($C601)=4,$F$3,IF(MONTH($C601)=5,$F$4,IF(MONTH($C601)=6,$F$5,IF(MONTH($C601)=7,$F$6,"ERROR")))),1,0)</f>
        <v>1</v>
      </c>
      <c r="H601" s="26">
        <f>IF(J601=1,D601-$C$5,0)</f>
        <v>2915.80859375</v>
      </c>
      <c r="I601" s="26">
        <f t="shared" si="872"/>
        <v>173.50266012396696</v>
      </c>
      <c r="J601" s="24">
        <f t="shared" si="958"/>
        <v>1</v>
      </c>
      <c r="K601" s="26">
        <f>VLOOKUP($C601,COS!$B$8:$H$991,2,FALSE)</f>
        <v>2849.214111328125</v>
      </c>
      <c r="L601" s="24">
        <f t="shared" si="944"/>
        <v>1</v>
      </c>
      <c r="M601" s="24">
        <f t="shared" si="945"/>
        <v>1</v>
      </c>
      <c r="N601" s="26">
        <f>VLOOKUP($C601,COS!$B$8:$H$991,5,FALSE)</f>
        <v>294.71493530273438</v>
      </c>
      <c r="O601" s="26">
        <f t="shared" si="961"/>
        <v>17.536756480823865</v>
      </c>
      <c r="P601" s="26">
        <f>VLOOKUP($C601,COS!$B$8:$H$991,6,FALSE)</f>
        <v>2714.961669921875</v>
      </c>
      <c r="Q601" s="26">
        <f t="shared" si="962"/>
        <v>161.55143821022727</v>
      </c>
      <c r="R601" s="26">
        <f>MIN(IF(MONTH($C601)=4,$S$3,IF(MONTH($C601)=5,$S$4,IF(MONTH($C601)=6,$S$5,IF(MONTH($C601)=7,$S$6,"ERROR")))),MAX(VLOOKUP($C601,COS!$B$8:$K$991,10,FALSE)-IF(MONTH($C601)=4,$Y$3,IF(MONTH($C601)=5,$Y$4,IF(MONTH($C601)=6,$Y$5,IF(MONTH($C601)=7,$Y$6,"ERROR")))),0),MAX(VLOOKUP($C601,COS!$B$8:$K$991,9,FALSE)-IF(MONTH($C601)=4,$V$3,IF(MONTH($C601)=5,$V$4,IF(MONTH($C601)=6,$V$5,IF(MONTH($C601)=7,$V$6,"ERROR"))))-VLOOKUP($C601,COS!$B$8:$K$991,6,FALSE)/2,0))</f>
        <v>1500</v>
      </c>
      <c r="S601" s="26">
        <f t="shared" si="963"/>
        <v>89.256198347107429</v>
      </c>
      <c r="T601" s="26">
        <f t="shared" si="964"/>
        <v>178.800295692633</v>
      </c>
      <c r="U601" s="26" t="str">
        <f>IF(VLOOKUP($C601,COS!$B$8:$I$991,8,FALSE)=1,"UWFE","IBU")</f>
        <v>IBU</v>
      </c>
      <c r="V601" s="26">
        <f t="shared" ref="V601" si="967">MIN(IF(IF($AA$3=2,AND(E601=1,G601=1,L601=1,L604=1,M601=1,U601="IBU"),AND(E601=1,G601=1,L601=1,L604=1,M601=1)),T601,0),I601)</f>
        <v>173.50266012396696</v>
      </c>
      <c r="W601" s="26"/>
      <c r="X601" s="26"/>
      <c r="Y601" s="26"/>
      <c r="Z601" s="26"/>
      <c r="AA601" s="26"/>
      <c r="AB601" s="33"/>
    </row>
    <row r="602" spans="1:28" x14ac:dyDescent="0.3">
      <c r="A602" s="32">
        <f>VLOOKUP(YEAR(C602),Flags!$A$13:$B$95,2,FALSE)</f>
        <v>4</v>
      </c>
      <c r="B602" s="24">
        <f t="shared" si="951"/>
        <v>1987</v>
      </c>
      <c r="C602" s="25">
        <v>31989</v>
      </c>
      <c r="D602" s="26">
        <f>VLOOKUP($C602,COS!$B$8:$H$991,3,FALSE)</f>
        <v>12279.78515625</v>
      </c>
      <c r="E602" s="24">
        <f>IF(D602&gt;=IF(MONTH($C602)=4,$C$3,IF(MONTH($C602)=5,$C$4,IF(MONTH($C602)=6,$C$5,IF(MONTH($C602)=7,$C$6,"ERROR")))),1,0)</f>
        <v>1</v>
      </c>
      <c r="F602" s="26">
        <f>VLOOKUP($C602,COS!$B$8:$H$991,7,FALSE)</f>
        <v>53.705059051513672</v>
      </c>
      <c r="G602" s="24">
        <f>IF(F602&lt;=IF(MONTH($C602)=4,$F$3,IF(MONTH($C602)=5,$F$4,IF(MONTH($C602)=6,$F$5,IF(MONTH($C602)=7,$F$6,"ERROR")))),1,0)</f>
        <v>0</v>
      </c>
      <c r="H602" s="26">
        <f>IF(J602=1,D602-$C$6,0)</f>
        <v>0</v>
      </c>
      <c r="I602" s="26">
        <f t="shared" si="872"/>
        <v>0</v>
      </c>
      <c r="J602" s="24">
        <f t="shared" si="958"/>
        <v>0</v>
      </c>
      <c r="K602" s="26">
        <f>VLOOKUP($C602,COS!$B$8:$H$991,2,FALSE)</f>
        <v>2473.188232421875</v>
      </c>
      <c r="L602" s="24">
        <f t="shared" si="944"/>
        <v>1</v>
      </c>
      <c r="M602" s="24">
        <f t="shared" si="945"/>
        <v>1</v>
      </c>
      <c r="N602" s="26">
        <f>VLOOKUP($C602,COS!$B$8:$H$991,5,FALSE)</f>
        <v>320.8253173828125</v>
      </c>
      <c r="O602" s="26">
        <f t="shared" si="961"/>
        <v>19.726779845686984</v>
      </c>
      <c r="P602" s="26">
        <f>VLOOKUP($C602,COS!$B$8:$H$991,6,FALSE)</f>
        <v>2538.07568359375</v>
      </c>
      <c r="Q602" s="26">
        <f t="shared" si="962"/>
        <v>156.06019079287191</v>
      </c>
      <c r="R602" s="26">
        <f>MIN(IF(MONTH($C602)=4,$S$3,IF(MONTH($C602)=5,$S$4,IF(MONTH($C602)=6,$S$5,IF(MONTH($C602)=7,$S$6,"ERROR")))),MAX(VLOOKUP($C602,COS!$B$8:$K$991,10,FALSE)-IF(MONTH($C602)=4,$Y$3,IF(MONTH($C602)=5,$Y$4,IF(MONTH($C602)=6,$Y$5,IF(MONTH($C602)=7,$Y$6,"ERROR")))),0),MAX(VLOOKUP($C602,COS!$B$8:$K$991,9,FALSE)-IF(MONTH($C602)=4,$V$3,IF(MONTH($C602)=5,$V$4,IF(MONTH($C602)=6,$V$5,IF(MONTH($C602)=7,$V$6,"ERROR"))))-VLOOKUP($C602,COS!$B$8:$K$991,6,FALSE)/2,0))</f>
        <v>1500</v>
      </c>
      <c r="S602" s="26">
        <f t="shared" si="963"/>
        <v>92.231404958677686</v>
      </c>
      <c r="T602" s="26">
        <f t="shared" si="964"/>
        <v>180.12489027795715</v>
      </c>
      <c r="U602" s="26" t="str">
        <f>IF(VLOOKUP($C602,COS!$B$8:$I$991,8,FALSE)=1,"UWFE","IBU")</f>
        <v>IBU</v>
      </c>
      <c r="V602" s="26">
        <f t="shared" ref="V602" si="968">MIN(IF(IF($AA$3=2,AND(E602=1,G602=1,L602=1,L604=1,M602=1,U602="IBU"),AND(E602=1,G602=1,L602=1,L604=1,M602=1)),T602,0),I602)</f>
        <v>0</v>
      </c>
      <c r="W602" s="26"/>
      <c r="X602" s="26"/>
      <c r="Y602" s="26"/>
      <c r="Z602" s="26"/>
      <c r="AA602" s="26"/>
      <c r="AB602" s="33"/>
    </row>
    <row r="603" spans="1:28" x14ac:dyDescent="0.3">
      <c r="A603" s="32">
        <f>VLOOKUP(YEAR(C603),Flags!$A$13:$B$95,2,FALSE)</f>
        <v>4</v>
      </c>
      <c r="B603" s="24">
        <f t="shared" si="951"/>
        <v>1987</v>
      </c>
      <c r="C603" s="25">
        <v>32020</v>
      </c>
      <c r="D603" s="26"/>
      <c r="E603" s="24"/>
      <c r="F603" s="26"/>
      <c r="G603" s="24"/>
      <c r="H603" s="24"/>
      <c r="I603" s="26"/>
      <c r="J603" s="24"/>
      <c r="K603" s="26"/>
      <c r="L603" s="24"/>
      <c r="M603" s="24"/>
      <c r="N603" s="26"/>
      <c r="O603" s="26"/>
      <c r="P603" s="26"/>
      <c r="Q603" s="26"/>
      <c r="R603" s="26"/>
      <c r="S603" s="26"/>
      <c r="T603" s="26"/>
      <c r="U603" s="26"/>
      <c r="V603" s="26"/>
      <c r="W603" s="26">
        <f>MAX($C$7-VLOOKUP($C603,COS!$B$8:$H$991,3,FALSE),0)</f>
        <v>92401.0830078125</v>
      </c>
      <c r="X603" s="26">
        <f t="shared" si="870"/>
        <v>5681.5211370092975</v>
      </c>
      <c r="Y603" s="26">
        <f>VLOOKUP($C603,COS!$B$8:$H$991,4,FALSE)</f>
        <v>2881.91650390625</v>
      </c>
      <c r="Z603" s="26">
        <f t="shared" si="871"/>
        <v>177.20213875258267</v>
      </c>
      <c r="AA603" s="26">
        <f t="shared" ref="AA603:AA607" si="969">MIN(W603,Y603)</f>
        <v>2881.91650390625</v>
      </c>
      <c r="AB603" s="33">
        <f t="shared" ref="AB603" si="970">AA603*DAY($C603)*86400/43560/1000*IF(MONTH($C603)=8,$P$3,IF(MONTH($C603)=9,$P$4,IF(MONTH($C603)=10,$P$5,IF(MONTH($C603)=11,$P$6,IF(MONTH($C603)=12,$P$7,NA())))))</f>
        <v>177.20213875258267</v>
      </c>
    </row>
    <row r="604" spans="1:28" x14ac:dyDescent="0.3">
      <c r="A604" s="32">
        <f>VLOOKUP(YEAR(C604),Flags!$A$13:$B$95,2,FALSE)</f>
        <v>4</v>
      </c>
      <c r="B604" s="24">
        <f t="shared" si="951"/>
        <v>1987</v>
      </c>
      <c r="C604" s="25">
        <v>32050</v>
      </c>
      <c r="D604" s="26"/>
      <c r="E604" s="24"/>
      <c r="F604" s="26"/>
      <c r="G604" s="24"/>
      <c r="H604" s="24"/>
      <c r="I604" s="26"/>
      <c r="J604" s="24"/>
      <c r="K604" s="26">
        <f>VLOOKUP($C604,COS!$B$8:$H$991,2,FALSE)</f>
        <v>2192.67578125</v>
      </c>
      <c r="L604" s="24">
        <f t="shared" ref="L604" si="971">IF(AND(K604&gt;$I$7,K604&lt;$I$8),1,0)</f>
        <v>1</v>
      </c>
      <c r="M604" s="24"/>
      <c r="N604" s="26"/>
      <c r="O604" s="26"/>
      <c r="P604" s="26"/>
      <c r="Q604" s="26"/>
      <c r="R604" s="26"/>
      <c r="S604" s="26"/>
      <c r="T604" s="26"/>
      <c r="U604" s="26"/>
      <c r="V604" s="26"/>
      <c r="W604" s="26">
        <f>MAX($C$8-VLOOKUP($C604,COS!$B$8:$H$991,3,FALSE),0)</f>
        <v>94661.54638671875</v>
      </c>
      <c r="X604" s="26">
        <f t="shared" si="870"/>
        <v>5632.7531734245867</v>
      </c>
      <c r="Y604" s="26">
        <f>VLOOKUP($C604,COS!$B$8:$H$991,4,FALSE)</f>
        <v>1887.955078125</v>
      </c>
      <c r="Z604" s="26">
        <f t="shared" si="871"/>
        <v>112.34112861570247</v>
      </c>
      <c r="AA604" s="26">
        <f t="shared" si="969"/>
        <v>1887.955078125</v>
      </c>
      <c r="AB604" s="33">
        <f t="shared" si="956"/>
        <v>112.34112861570247</v>
      </c>
    </row>
    <row r="605" spans="1:28" x14ac:dyDescent="0.3">
      <c r="A605" s="32">
        <f>VLOOKUP(YEAR(C605),Flags!$A$13:$B$95,2,FALSE)</f>
        <v>4</v>
      </c>
      <c r="B605" s="24">
        <f t="shared" si="951"/>
        <v>1987</v>
      </c>
      <c r="C605" s="25">
        <v>32081</v>
      </c>
      <c r="D605" s="26"/>
      <c r="E605" s="24"/>
      <c r="F605" s="26"/>
      <c r="G605" s="26"/>
      <c r="H605" s="26"/>
      <c r="I605" s="26"/>
      <c r="J605" s="26"/>
      <c r="K605" s="26"/>
      <c r="L605" s="24"/>
      <c r="M605" s="24"/>
      <c r="N605" s="26"/>
      <c r="O605" s="26"/>
      <c r="P605" s="26"/>
      <c r="Q605" s="26"/>
      <c r="R605" s="26"/>
      <c r="S605" s="26"/>
      <c r="T605" s="26"/>
      <c r="U605" s="26"/>
      <c r="V605" s="26"/>
      <c r="W605" s="26">
        <f>MAX($C$9-VLOOKUP($C605,COS!$B$8:$H$991,3,FALSE),0)</f>
        <v>93485.296875</v>
      </c>
      <c r="X605" s="26">
        <f t="shared" si="870"/>
        <v>5748.1868491735531</v>
      </c>
      <c r="Y605" s="26">
        <f>VLOOKUP($C605,COS!$B$8:$H$991,4,FALSE)</f>
        <v>1710.297119140625</v>
      </c>
      <c r="Z605" s="26">
        <f t="shared" si="871"/>
        <v>105.16207079674588</v>
      </c>
      <c r="AA605" s="26">
        <f t="shared" si="969"/>
        <v>1710.297119140625</v>
      </c>
      <c r="AB605" s="33">
        <f t="shared" si="956"/>
        <v>105.16207079674588</v>
      </c>
    </row>
    <row r="606" spans="1:28" x14ac:dyDescent="0.3">
      <c r="A606" s="32">
        <f>VLOOKUP(YEAR(C606),Flags!$A$13:$B$95,2,FALSE)</f>
        <v>4</v>
      </c>
      <c r="B606" s="24">
        <f t="shared" si="951"/>
        <v>1987</v>
      </c>
      <c r="C606" s="25">
        <v>32111</v>
      </c>
      <c r="D606" s="26"/>
      <c r="E606" s="24"/>
      <c r="F606" s="26"/>
      <c r="G606" s="26"/>
      <c r="H606" s="26"/>
      <c r="I606" s="26"/>
      <c r="J606" s="26"/>
      <c r="K606" s="26"/>
      <c r="L606" s="24"/>
      <c r="M606" s="24"/>
      <c r="N606" s="26"/>
      <c r="O606" s="26"/>
      <c r="P606" s="26"/>
      <c r="Q606" s="26"/>
      <c r="R606" s="26"/>
      <c r="S606" s="26"/>
      <c r="T606" s="26"/>
      <c r="U606" s="26"/>
      <c r="V606" s="26"/>
      <c r="W606" s="26">
        <f>MAX($C$10-VLOOKUP($C606,COS!$B$8:$H$991,3,FALSE),0)</f>
        <v>95803.09228515625</v>
      </c>
      <c r="X606" s="26">
        <f t="shared" si="870"/>
        <v>5700.67987151343</v>
      </c>
      <c r="Y606" s="26">
        <f>VLOOKUP($C606,COS!$B$8:$H$991,4,FALSE)</f>
        <v>1824.783935546875</v>
      </c>
      <c r="Z606" s="26">
        <f t="shared" si="871"/>
        <v>108.58218459452479</v>
      </c>
      <c r="AA606" s="26">
        <f t="shared" si="969"/>
        <v>1824.783935546875</v>
      </c>
      <c r="AB606" s="33">
        <f t="shared" si="956"/>
        <v>54.291092297262395</v>
      </c>
    </row>
    <row r="607" spans="1:28" x14ac:dyDescent="0.3">
      <c r="A607" s="34">
        <f>VLOOKUP(YEAR(C607),Flags!$A$13:$B$95,2,FALSE)</f>
        <v>4</v>
      </c>
      <c r="B607" s="35">
        <f t="shared" si="951"/>
        <v>1987</v>
      </c>
      <c r="C607" s="36">
        <v>32142</v>
      </c>
      <c r="D607" s="37"/>
      <c r="E607" s="35"/>
      <c r="F607" s="37"/>
      <c r="G607" s="37"/>
      <c r="H607" s="37"/>
      <c r="I607" s="37"/>
      <c r="J607" s="37"/>
      <c r="K607" s="37"/>
      <c r="L607" s="35"/>
      <c r="M607" s="35"/>
      <c r="N607" s="37"/>
      <c r="O607" s="37"/>
      <c r="P607" s="37"/>
      <c r="Q607" s="37"/>
      <c r="R607" s="37"/>
      <c r="S607" s="37"/>
      <c r="T607" s="37"/>
      <c r="U607" s="37"/>
      <c r="V607" s="37"/>
      <c r="W607" s="37">
        <f>MAX($C$11-VLOOKUP($C607,COS!$B$8:$H$991,3,FALSE),0)</f>
        <v>0</v>
      </c>
      <c r="X607" s="37">
        <f t="shared" ref="X607:X670" si="972">W607*DAY($C607)*86400/43560/1000</f>
        <v>0</v>
      </c>
      <c r="Y607" s="37">
        <f>VLOOKUP($C607,COS!$B$8:$H$991,4,FALSE)</f>
        <v>906.1927490234375</v>
      </c>
      <c r="Z607" s="37">
        <f t="shared" ref="Z607:Z670" si="973">Y607*DAY($C607)*86400/43560/1000</f>
        <v>55.719620270532026</v>
      </c>
      <c r="AA607" s="37">
        <f t="shared" si="969"/>
        <v>0</v>
      </c>
      <c r="AB607" s="38">
        <f t="shared" si="956"/>
        <v>0</v>
      </c>
    </row>
    <row r="608" spans="1:28" x14ac:dyDescent="0.3">
      <c r="A608" s="27">
        <f>VLOOKUP(YEAR(C608),Flags!$A$13:$B$95,2,FALSE)</f>
        <v>5</v>
      </c>
      <c r="B608" s="28">
        <f t="shared" si="951"/>
        <v>1988</v>
      </c>
      <c r="C608" s="29">
        <v>32263</v>
      </c>
      <c r="D608" s="30">
        <f>VLOOKUP($C608,COS!$B$8:$H$991,3,FALSE)</f>
        <v>3250</v>
      </c>
      <c r="E608" s="28">
        <f>IF(D608&gt;=IF(MONTH($C608)=4,$C$3,IF(MONTH($C608)=5,$C$4,IF(MONTH($C608)=6,$C$5,IF(MONTH($C608)=7,$C$6,"ERROR")))),1,0)</f>
        <v>0</v>
      </c>
      <c r="F608" s="30">
        <f>VLOOKUP($C608,COS!$B$8:$H$991,7,FALSE)</f>
        <v>51.376628875732422</v>
      </c>
      <c r="G608" s="28">
        <f>IF(F608&lt;=IF(MONTH($C608)=4,$F$3,IF(MONTH($C608)=5,$F$4,IF(MONTH($C608)=6,$F$5,IF(MONTH($C608)=7,$F$6,"ERROR")))),1,0)</f>
        <v>1</v>
      </c>
      <c r="H608" s="30">
        <f>IF(J608=1,D608-$C$3,0)</f>
        <v>0</v>
      </c>
      <c r="I608" s="30">
        <f t="shared" si="872"/>
        <v>0</v>
      </c>
      <c r="J608" s="28">
        <f t="shared" ref="J608:J611" si="974">IF(AND(E608=1,G608=1),1,0)</f>
        <v>0</v>
      </c>
      <c r="K608" s="30">
        <f>VLOOKUP($C608,COS!$B$8:$H$991,2,FALSE)</f>
        <v>3432.6455078125</v>
      </c>
      <c r="L608" s="28">
        <f t="shared" ref="L608" si="975">IF(K608&lt;=IF(MONTH($C608)=4,$I$3,IF(MONTH($C608)=5,$I$4,IF(MONTH($C608)=6,$I$5,IF(MONTH($C608)=7,$I$6,"ERROR")))),1,0)</f>
        <v>1</v>
      </c>
      <c r="M608" s="28">
        <f t="shared" ref="M608" si="976">VLOOKUP($A608,$L$3:$M$7,2,FALSE)</f>
        <v>1</v>
      </c>
      <c r="N608" s="30">
        <f>VLOOKUP($C608,COS!$B$8:$H$991,5,FALSE)</f>
        <v>119.56303405761719</v>
      </c>
      <c r="O608" s="30">
        <f t="shared" ref="O608:O611" si="977">N608*DAY($C608)*86400/43560/1000</f>
        <v>7.1144945885524278</v>
      </c>
      <c r="P608" s="30">
        <f>VLOOKUP($C608,COS!$B$8:$H$991,6,FALSE)</f>
        <v>472.98532104492188</v>
      </c>
      <c r="Q608" s="30">
        <f t="shared" ref="Q608:Q611" si="978">P608*DAY($C608)*86400/43560/1000</f>
        <v>28.144581086970557</v>
      </c>
      <c r="R608" s="30">
        <f>MIN(IF(MONTH($C608)=4,$S$3,IF(MONTH($C608)=5,$S$4,IF(MONTH($C608)=6,$S$5,IF(MONTH($C608)=7,$S$6,"ERROR")))),MAX(VLOOKUP($C608,COS!$B$8:$K$991,10,FALSE)-IF(MONTH($C608)=4,$Y$3,IF(MONTH($C608)=5,$Y$4,IF(MONTH($C608)=6,$Y$5,IF(MONTH($C608)=7,$Y$6,"ERROR")))),0),MAX(VLOOKUP($C608,COS!$B$8:$K$991,9,FALSE)-IF(MONTH($C608)=4,$V$3,IF(MONTH($C608)=5,$V$4,IF(MONTH($C608)=6,$V$5,IF(MONTH($C608)=7,$V$6,"ERROR"))))-VLOOKUP($C608,COS!$B$8:$K$991,6,FALSE)/2,0))</f>
        <v>764.98193359375</v>
      </c>
      <c r="S608" s="30">
        <f t="shared" ref="S608:S611" si="979">R608*DAY($C608)*86400/43560/1000</f>
        <v>45.519586131198345</v>
      </c>
      <c r="T608" s="30">
        <f t="shared" ref="T608:T611" si="980">(O608+Q608)/2+S608</f>
        <v>63.149123968959842</v>
      </c>
      <c r="U608" s="30" t="str">
        <f>IF(VLOOKUP($C608,COS!$B$8:$I$991,8,FALSE)=1,"UWFE","IBU")</f>
        <v>UWFE</v>
      </c>
      <c r="V608" s="30">
        <f t="shared" ref="V608" si="981">MIN(IF(IF($AA$3=2,AND(E608=1,G608=1,L608=1,L613=1,M608=1,U608="IBU"),AND(E608=1,G608=1,L608=1,L613=1,M608=1)),T608,0),I608)</f>
        <v>0</v>
      </c>
      <c r="W608" s="30"/>
      <c r="X608" s="30"/>
      <c r="Y608" s="30"/>
      <c r="Z608" s="30"/>
      <c r="AA608" s="30"/>
      <c r="AB608" s="31"/>
    </row>
    <row r="609" spans="1:28" x14ac:dyDescent="0.3">
      <c r="A609" s="32">
        <f>VLOOKUP(YEAR(C609),Flags!$A$13:$B$95,2,FALSE)</f>
        <v>5</v>
      </c>
      <c r="B609" s="24">
        <f t="shared" si="951"/>
        <v>1988</v>
      </c>
      <c r="C609" s="25">
        <v>32294</v>
      </c>
      <c r="D609" s="26">
        <f>VLOOKUP($C609,COS!$B$8:$H$991,3,FALSE)</f>
        <v>6883.46142578125</v>
      </c>
      <c r="E609" s="24">
        <f>IF(D609&gt;=IF(MONTH($C609)=4,$C$3,IF(MONTH($C609)=5,$C$4,IF(MONTH($C609)=6,$C$5,IF(MONTH($C609)=7,$C$6,"ERROR")))),1,0)</f>
        <v>1</v>
      </c>
      <c r="F609" s="26">
        <f>VLOOKUP($C609,COS!$B$8:$H$991,7,FALSE)</f>
        <v>51.008148193359375</v>
      </c>
      <c r="G609" s="24">
        <f>IF(F609&lt;=IF(MONTH($C609)=4,$F$3,IF(MONTH($C609)=5,$F$4,IF(MONTH($C609)=6,$F$5,IF(MONTH($C609)=7,$F$6,"ERROR")))),1,0)</f>
        <v>1</v>
      </c>
      <c r="H609" s="26">
        <f>IF(J609=1,D609-$C$4,0)</f>
        <v>883.46142578125</v>
      </c>
      <c r="I609" s="26">
        <f t="shared" ref="I609:I672" si="982">H609*DAY($C609)*86400/43560/1000</f>
        <v>54.321925684400824</v>
      </c>
      <c r="J609" s="24">
        <f t="shared" si="974"/>
        <v>1</v>
      </c>
      <c r="K609" s="26">
        <f>VLOOKUP($C609,COS!$B$8:$H$991,2,FALSE)</f>
        <v>3330.71044921875</v>
      </c>
      <c r="L609" s="24">
        <f t="shared" si="944"/>
        <v>1</v>
      </c>
      <c r="M609" s="24">
        <f t="shared" si="945"/>
        <v>1</v>
      </c>
      <c r="N609" s="26">
        <f>VLOOKUP($C609,COS!$B$8:$H$991,5,FALSE)</f>
        <v>152.79158020019531</v>
      </c>
      <c r="O609" s="26">
        <f t="shared" si="977"/>
        <v>9.3947880718136627</v>
      </c>
      <c r="P609" s="26">
        <f>VLOOKUP($C609,COS!$B$8:$H$991,6,FALSE)</f>
        <v>2086.376220703125</v>
      </c>
      <c r="Q609" s="26">
        <f t="shared" si="978"/>
        <v>128.28627340521695</v>
      </c>
      <c r="R609" s="26">
        <f>MIN(IF(MONTH($C609)=4,$S$3,IF(MONTH($C609)=5,$S$4,IF(MONTH($C609)=6,$S$5,IF(MONTH($C609)=7,$S$6,"ERROR")))),MAX(VLOOKUP($C609,COS!$B$8:$K$991,10,FALSE)-IF(MONTH($C609)=4,$Y$3,IF(MONTH($C609)=5,$Y$4,IF(MONTH($C609)=6,$Y$5,IF(MONTH($C609)=7,$Y$6,"ERROR")))),0),MAX(VLOOKUP($C609,COS!$B$8:$K$991,9,FALSE)-IF(MONTH($C609)=4,$V$3,IF(MONTH($C609)=5,$V$4,IF(MONTH($C609)=6,$V$5,IF(MONTH($C609)=7,$V$6,"ERROR"))))-VLOOKUP($C609,COS!$B$8:$K$991,6,FALSE)/2,0))</f>
        <v>1500</v>
      </c>
      <c r="S609" s="26">
        <f t="shared" si="979"/>
        <v>92.231404958677686</v>
      </c>
      <c r="T609" s="26">
        <f t="shared" si="980"/>
        <v>161.071935697193</v>
      </c>
      <c r="U609" s="26" t="str">
        <f>IF(VLOOKUP($C609,COS!$B$8:$I$991,8,FALSE)=1,"UWFE","IBU")</f>
        <v>IBU</v>
      </c>
      <c r="V609" s="26">
        <f t="shared" ref="V609" si="983">MIN(IF(IF($AA$3=2,AND(E609=1,G609=1,L609=1,L613=1,M609=1,U609="IBU"),AND(E609=1,G609=1,L609=1,L613=1,M609=1)),T609,0),I609)</f>
        <v>54.321925684400824</v>
      </c>
      <c r="W609" s="26"/>
      <c r="X609" s="26"/>
      <c r="Y609" s="26"/>
      <c r="Z609" s="26"/>
      <c r="AA609" s="26"/>
      <c r="AB609" s="33"/>
    </row>
    <row r="610" spans="1:28" x14ac:dyDescent="0.3">
      <c r="A610" s="32">
        <f>VLOOKUP(YEAR(C610),Flags!$A$13:$B$95,2,FALSE)</f>
        <v>5</v>
      </c>
      <c r="B610" s="24">
        <f t="shared" si="951"/>
        <v>1988</v>
      </c>
      <c r="C610" s="25">
        <v>32324</v>
      </c>
      <c r="D610" s="26">
        <f>VLOOKUP($C610,COS!$B$8:$H$991,3,FALSE)</f>
        <v>10946.3818359375</v>
      </c>
      <c r="E610" s="24">
        <f>IF(D610&gt;=IF(MONTH($C610)=4,$C$3,IF(MONTH($C610)=5,$C$4,IF(MONTH($C610)=6,$C$5,IF(MONTH($C610)=7,$C$6,"ERROR")))),1,0)</f>
        <v>1</v>
      </c>
      <c r="F610" s="26">
        <f>VLOOKUP($C610,COS!$B$8:$H$991,7,FALSE)</f>
        <v>51.772979736328125</v>
      </c>
      <c r="G610" s="24">
        <f>IF(F610&lt;=IF(MONTH($C610)=4,$F$3,IF(MONTH($C610)=5,$F$4,IF(MONTH($C610)=6,$F$5,IF(MONTH($C610)=7,$F$6,"ERROR")))),1,0)</f>
        <v>1</v>
      </c>
      <c r="H610" s="26">
        <f>IF(J610=1,D610-$C$5,0)</f>
        <v>946.3818359375</v>
      </c>
      <c r="I610" s="26">
        <f t="shared" si="982"/>
        <v>56.31362990702479</v>
      </c>
      <c r="J610" s="24">
        <f t="shared" si="974"/>
        <v>1</v>
      </c>
      <c r="K610" s="26">
        <f>VLOOKUP($C610,COS!$B$8:$H$991,2,FALSE)</f>
        <v>2960.935791015625</v>
      </c>
      <c r="L610" s="24">
        <f t="shared" si="944"/>
        <v>1</v>
      </c>
      <c r="M610" s="24">
        <f t="shared" si="945"/>
        <v>1</v>
      </c>
      <c r="N610" s="26">
        <f>VLOOKUP($C610,COS!$B$8:$H$991,5,FALSE)</f>
        <v>203.79988098144531</v>
      </c>
      <c r="O610" s="26">
        <f t="shared" si="977"/>
        <v>12.126935066664515</v>
      </c>
      <c r="P610" s="26">
        <f>VLOOKUP($C610,COS!$B$8:$H$991,6,FALSE)</f>
        <v>2416.343017578125</v>
      </c>
      <c r="Q610" s="26">
        <f t="shared" si="978"/>
        <v>143.78239443440083</v>
      </c>
      <c r="R610" s="26">
        <f>MIN(IF(MONTH($C610)=4,$S$3,IF(MONTH($C610)=5,$S$4,IF(MONTH($C610)=6,$S$5,IF(MONTH($C610)=7,$S$6,"ERROR")))),MAX(VLOOKUP($C610,COS!$B$8:$K$991,10,FALSE)-IF(MONTH($C610)=4,$Y$3,IF(MONTH($C610)=5,$Y$4,IF(MONTH($C610)=6,$Y$5,IF(MONTH($C610)=7,$Y$6,"ERROR")))),0),MAX(VLOOKUP($C610,COS!$B$8:$K$991,9,FALSE)-IF(MONTH($C610)=4,$V$3,IF(MONTH($C610)=5,$V$4,IF(MONTH($C610)=6,$V$5,IF(MONTH($C610)=7,$V$6,"ERROR"))))-VLOOKUP($C610,COS!$B$8:$K$991,6,FALSE)/2,0))</f>
        <v>1500</v>
      </c>
      <c r="S610" s="26">
        <f t="shared" si="979"/>
        <v>89.256198347107429</v>
      </c>
      <c r="T610" s="26">
        <f t="shared" si="980"/>
        <v>167.2108630976401</v>
      </c>
      <c r="U610" s="26" t="str">
        <f>IF(VLOOKUP($C610,COS!$B$8:$I$991,8,FALSE)=1,"UWFE","IBU")</f>
        <v>IBU</v>
      </c>
      <c r="V610" s="26">
        <f t="shared" ref="V610" si="984">MIN(IF(IF($AA$3=2,AND(E610=1,G610=1,L610=1,L613=1,M610=1,U610="IBU"),AND(E610=1,G610=1,L610=1,L613=1,M610=1)),T610,0),I610)</f>
        <v>56.31362990702479</v>
      </c>
      <c r="W610" s="26"/>
      <c r="X610" s="26"/>
      <c r="Y610" s="26"/>
      <c r="Z610" s="26"/>
      <c r="AA610" s="26"/>
      <c r="AB610" s="33"/>
    </row>
    <row r="611" spans="1:28" x14ac:dyDescent="0.3">
      <c r="A611" s="32">
        <f>VLOOKUP(YEAR(C611),Flags!$A$13:$B$95,2,FALSE)</f>
        <v>5</v>
      </c>
      <c r="B611" s="24">
        <f t="shared" si="951"/>
        <v>1988</v>
      </c>
      <c r="C611" s="25">
        <v>32355</v>
      </c>
      <c r="D611" s="26">
        <f>VLOOKUP($C611,COS!$B$8:$H$991,3,FALSE)</f>
        <v>11770.708984375</v>
      </c>
      <c r="E611" s="24">
        <f>IF(D611&gt;=IF(MONTH($C611)=4,$C$3,IF(MONTH($C611)=5,$C$4,IF(MONTH($C611)=6,$C$5,IF(MONTH($C611)=7,$C$6,"ERROR")))),1,0)</f>
        <v>0</v>
      </c>
      <c r="F611" s="26">
        <f>VLOOKUP($C611,COS!$B$8:$H$991,7,FALSE)</f>
        <v>53.894107818603516</v>
      </c>
      <c r="G611" s="24">
        <f>IF(F611&lt;=IF(MONTH($C611)=4,$F$3,IF(MONTH($C611)=5,$F$4,IF(MONTH($C611)=6,$F$5,IF(MONTH($C611)=7,$F$6,"ERROR")))),1,0)</f>
        <v>0</v>
      </c>
      <c r="H611" s="26">
        <f>IF(J611=1,D611-$C$6,0)</f>
        <v>0</v>
      </c>
      <c r="I611" s="26">
        <f t="shared" si="982"/>
        <v>0</v>
      </c>
      <c r="J611" s="24">
        <f t="shared" si="974"/>
        <v>0</v>
      </c>
      <c r="K611" s="26">
        <f>VLOOKUP($C611,COS!$B$8:$H$991,2,FALSE)</f>
        <v>2490.652587890625</v>
      </c>
      <c r="L611" s="24">
        <f t="shared" si="944"/>
        <v>1</v>
      </c>
      <c r="M611" s="24">
        <f t="shared" si="945"/>
        <v>1</v>
      </c>
      <c r="N611" s="26">
        <f>VLOOKUP($C611,COS!$B$8:$H$991,5,FALSE)</f>
        <v>242.14094543457031</v>
      </c>
      <c r="O611" s="26">
        <f t="shared" si="977"/>
        <v>14.888666396968622</v>
      </c>
      <c r="P611" s="26">
        <f>VLOOKUP($C611,COS!$B$8:$H$991,6,FALSE)</f>
        <v>2326.644775390625</v>
      </c>
      <c r="Q611" s="26">
        <f t="shared" si="978"/>
        <v>143.05981098269626</v>
      </c>
      <c r="R611" s="26">
        <f>MIN(IF(MONTH($C611)=4,$S$3,IF(MONTH($C611)=5,$S$4,IF(MONTH($C611)=6,$S$5,IF(MONTH($C611)=7,$S$6,"ERROR")))),MAX(VLOOKUP($C611,COS!$B$8:$K$991,10,FALSE)-IF(MONTH($C611)=4,$Y$3,IF(MONTH($C611)=5,$Y$4,IF(MONTH($C611)=6,$Y$5,IF(MONTH($C611)=7,$Y$6,"ERROR")))),0),MAX(VLOOKUP($C611,COS!$B$8:$K$991,9,FALSE)-IF(MONTH($C611)=4,$V$3,IF(MONTH($C611)=5,$V$4,IF(MONTH($C611)=6,$V$5,IF(MONTH($C611)=7,$V$6,"ERROR"))))-VLOOKUP($C611,COS!$B$8:$K$991,6,FALSE)/2,0))</f>
        <v>1500</v>
      </c>
      <c r="S611" s="26">
        <f t="shared" si="979"/>
        <v>92.231404958677686</v>
      </c>
      <c r="T611" s="26">
        <f t="shared" si="980"/>
        <v>171.20564364851015</v>
      </c>
      <c r="U611" s="26" t="str">
        <f>IF(VLOOKUP($C611,COS!$B$8:$I$991,8,FALSE)=1,"UWFE","IBU")</f>
        <v>IBU</v>
      </c>
      <c r="V611" s="26">
        <f t="shared" ref="V611" si="985">MIN(IF(IF($AA$3=2,AND(E611=1,G611=1,L611=1,L613=1,M611=1,U611="IBU"),AND(E611=1,G611=1,L611=1,L613=1,M611=1)),T611,0),I611)</f>
        <v>0</v>
      </c>
      <c r="W611" s="26"/>
      <c r="X611" s="26"/>
      <c r="Y611" s="26"/>
      <c r="Z611" s="26"/>
      <c r="AA611" s="26"/>
      <c r="AB611" s="33"/>
    </row>
    <row r="612" spans="1:28" x14ac:dyDescent="0.3">
      <c r="A612" s="32">
        <f>VLOOKUP(YEAR(C612),Flags!$A$13:$B$95,2,FALSE)</f>
        <v>5</v>
      </c>
      <c r="B612" s="24">
        <f t="shared" si="951"/>
        <v>1988</v>
      </c>
      <c r="C612" s="25">
        <v>32386</v>
      </c>
      <c r="D612" s="26"/>
      <c r="E612" s="24"/>
      <c r="F612" s="26"/>
      <c r="G612" s="24"/>
      <c r="H612" s="24"/>
      <c r="I612" s="26"/>
      <c r="J612" s="24"/>
      <c r="K612" s="26"/>
      <c r="L612" s="24"/>
      <c r="M612" s="24"/>
      <c r="N612" s="26"/>
      <c r="O612" s="26"/>
      <c r="P612" s="26"/>
      <c r="Q612" s="26"/>
      <c r="R612" s="26"/>
      <c r="S612" s="26"/>
      <c r="T612" s="26"/>
      <c r="U612" s="26"/>
      <c r="V612" s="26"/>
      <c r="W612" s="26">
        <f>MAX($C$7-VLOOKUP($C612,COS!$B$8:$H$991,3,FALSE),0)</f>
        <v>92407.8330078125</v>
      </c>
      <c r="X612" s="26">
        <f t="shared" si="972"/>
        <v>5681.9361783316117</v>
      </c>
      <c r="Y612" s="26">
        <f>VLOOKUP($C612,COS!$B$8:$H$991,4,FALSE)</f>
        <v>2363.936279296875</v>
      </c>
      <c r="Z612" s="26">
        <f t="shared" si="973"/>
        <v>145.35277618155993</v>
      </c>
      <c r="AA612" s="26">
        <f t="shared" ref="AA612:AA616" si="986">MIN(W612,Y612)</f>
        <v>2363.936279296875</v>
      </c>
      <c r="AB612" s="33">
        <f t="shared" ref="AB612" si="987">AA612*DAY($C612)*86400/43560/1000*IF(MONTH($C612)=8,$P$3,IF(MONTH($C612)=9,$P$4,IF(MONTH($C612)=10,$P$5,IF(MONTH($C612)=11,$P$6,IF(MONTH($C612)=12,$P$7,NA())))))</f>
        <v>145.35277618155993</v>
      </c>
    </row>
    <row r="613" spans="1:28" x14ac:dyDescent="0.3">
      <c r="A613" s="32">
        <f>VLOOKUP(YEAR(C613),Flags!$A$13:$B$95,2,FALSE)</f>
        <v>5</v>
      </c>
      <c r="B613" s="24">
        <f t="shared" si="951"/>
        <v>1988</v>
      </c>
      <c r="C613" s="25">
        <v>32416</v>
      </c>
      <c r="D613" s="26"/>
      <c r="E613" s="24"/>
      <c r="F613" s="26"/>
      <c r="G613" s="24"/>
      <c r="H613" s="24"/>
      <c r="I613" s="26"/>
      <c r="J613" s="24"/>
      <c r="K613" s="26">
        <f>VLOOKUP($C613,COS!$B$8:$H$991,2,FALSE)</f>
        <v>2110.7509765625</v>
      </c>
      <c r="L613" s="24">
        <f t="shared" ref="L613" si="988">IF(AND(K613&gt;$I$7,K613&lt;$I$8),1,0)</f>
        <v>1</v>
      </c>
      <c r="M613" s="24"/>
      <c r="N613" s="26"/>
      <c r="O613" s="26"/>
      <c r="P613" s="26"/>
      <c r="Q613" s="26"/>
      <c r="R613" s="26"/>
      <c r="S613" s="26"/>
      <c r="T613" s="26"/>
      <c r="U613" s="26"/>
      <c r="V613" s="26"/>
      <c r="W613" s="26">
        <f>MAX($C$8-VLOOKUP($C613,COS!$B$8:$H$991,3,FALSE),0)</f>
        <v>94115.951171875</v>
      </c>
      <c r="X613" s="26">
        <f t="shared" si="972"/>
        <v>5600.2880036157021</v>
      </c>
      <c r="Y613" s="26">
        <f>VLOOKUP($C613,COS!$B$8:$H$991,4,FALSE)</f>
        <v>1955.6697998046875</v>
      </c>
      <c r="Z613" s="26">
        <f t="shared" si="973"/>
        <v>116.37043436854339</v>
      </c>
      <c r="AA613" s="26">
        <f t="shared" si="986"/>
        <v>1955.6697998046875</v>
      </c>
      <c r="AB613" s="33">
        <f t="shared" si="956"/>
        <v>116.37043436854339</v>
      </c>
    </row>
    <row r="614" spans="1:28" x14ac:dyDescent="0.3">
      <c r="A614" s="32">
        <f>VLOOKUP(YEAR(C614),Flags!$A$13:$B$95,2,FALSE)</f>
        <v>5</v>
      </c>
      <c r="B614" s="24">
        <f t="shared" si="951"/>
        <v>1988</v>
      </c>
      <c r="C614" s="25">
        <v>32447</v>
      </c>
      <c r="D614" s="26"/>
      <c r="E614" s="24"/>
      <c r="F614" s="26"/>
      <c r="G614" s="26"/>
      <c r="H614" s="26"/>
      <c r="I614" s="26"/>
      <c r="J614" s="26"/>
      <c r="K614" s="26"/>
      <c r="L614" s="24"/>
      <c r="M614" s="24"/>
      <c r="N614" s="26"/>
      <c r="O614" s="26"/>
      <c r="P614" s="26"/>
      <c r="Q614" s="26"/>
      <c r="R614" s="26"/>
      <c r="S614" s="26"/>
      <c r="T614" s="26"/>
      <c r="U614" s="26"/>
      <c r="V614" s="26"/>
      <c r="W614" s="26">
        <f>MAX($C$9-VLOOKUP($C614,COS!$B$8:$H$991,3,FALSE),0)</f>
        <v>94431.38720703125</v>
      </c>
      <c r="X614" s="26">
        <f t="shared" si="972"/>
        <v>5806.3596762009302</v>
      </c>
      <c r="Y614" s="26">
        <f>VLOOKUP($C614,COS!$B$8:$H$991,4,FALSE)</f>
        <v>1615.891357421875</v>
      </c>
      <c r="Z614" s="26">
        <f t="shared" si="973"/>
        <v>99.357286770402894</v>
      </c>
      <c r="AA614" s="26">
        <f t="shared" si="986"/>
        <v>1615.891357421875</v>
      </c>
      <c r="AB614" s="33">
        <f t="shared" si="956"/>
        <v>99.357286770402894</v>
      </c>
    </row>
    <row r="615" spans="1:28" x14ac:dyDescent="0.3">
      <c r="A615" s="32">
        <f>VLOOKUP(YEAR(C615),Flags!$A$13:$B$95,2,FALSE)</f>
        <v>5</v>
      </c>
      <c r="B615" s="24">
        <f t="shared" si="951"/>
        <v>1988</v>
      </c>
      <c r="C615" s="25">
        <v>32477</v>
      </c>
      <c r="D615" s="26"/>
      <c r="E615" s="24"/>
      <c r="F615" s="26"/>
      <c r="G615" s="26"/>
      <c r="H615" s="26"/>
      <c r="I615" s="26"/>
      <c r="J615" s="26"/>
      <c r="K615" s="26"/>
      <c r="L615" s="24"/>
      <c r="M615" s="24"/>
      <c r="N615" s="26"/>
      <c r="O615" s="26"/>
      <c r="P615" s="26"/>
      <c r="Q615" s="26"/>
      <c r="R615" s="26"/>
      <c r="S615" s="26"/>
      <c r="T615" s="26"/>
      <c r="U615" s="26"/>
      <c r="V615" s="26"/>
      <c r="W615" s="26">
        <f>MAX($C$10-VLOOKUP($C615,COS!$B$8:$H$991,3,FALSE),0)</f>
        <v>96749</v>
      </c>
      <c r="X615" s="26">
        <f t="shared" si="972"/>
        <v>5756.965289256198</v>
      </c>
      <c r="Y615" s="26">
        <f>VLOOKUP($C615,COS!$B$8:$H$991,4,FALSE)</f>
        <v>1854.902587890625</v>
      </c>
      <c r="Z615" s="26">
        <f t="shared" si="973"/>
        <v>110.37436886621902</v>
      </c>
      <c r="AA615" s="26">
        <f t="shared" si="986"/>
        <v>1854.902587890625</v>
      </c>
      <c r="AB615" s="33">
        <f t="shared" si="956"/>
        <v>55.187184433109508</v>
      </c>
    </row>
    <row r="616" spans="1:28" x14ac:dyDescent="0.3">
      <c r="A616" s="34">
        <f>VLOOKUP(YEAR(C616),Flags!$A$13:$B$95,2,FALSE)</f>
        <v>5</v>
      </c>
      <c r="B616" s="35">
        <f t="shared" si="951"/>
        <v>1988</v>
      </c>
      <c r="C616" s="36">
        <v>32508</v>
      </c>
      <c r="D616" s="37"/>
      <c r="E616" s="35"/>
      <c r="F616" s="37"/>
      <c r="G616" s="37"/>
      <c r="H616" s="37"/>
      <c r="I616" s="37"/>
      <c r="J616" s="37"/>
      <c r="K616" s="37"/>
      <c r="L616" s="35"/>
      <c r="M616" s="35"/>
      <c r="N616" s="37"/>
      <c r="O616" s="37"/>
      <c r="P616" s="37"/>
      <c r="Q616" s="37"/>
      <c r="R616" s="37"/>
      <c r="S616" s="37"/>
      <c r="T616" s="37"/>
      <c r="U616" s="37"/>
      <c r="V616" s="37"/>
      <c r="W616" s="37">
        <f>MAX($C$11-VLOOKUP($C616,COS!$B$8:$H$991,3,FALSE),0)</f>
        <v>0</v>
      </c>
      <c r="X616" s="37">
        <f t="shared" si="972"/>
        <v>0</v>
      </c>
      <c r="Y616" s="37">
        <f>VLOOKUP($C616,COS!$B$8:$H$991,4,FALSE)</f>
        <v>1030.474853515625</v>
      </c>
      <c r="Z616" s="37">
        <f t="shared" si="973"/>
        <v>63.361429009555785</v>
      </c>
      <c r="AA616" s="37">
        <f t="shared" si="986"/>
        <v>0</v>
      </c>
      <c r="AB616" s="38">
        <f t="shared" si="956"/>
        <v>0</v>
      </c>
    </row>
    <row r="617" spans="1:28" x14ac:dyDescent="0.3">
      <c r="A617" s="27">
        <f>VLOOKUP(YEAR(C617),Flags!$A$13:$B$95,2,FALSE)</f>
        <v>4</v>
      </c>
      <c r="B617" s="28">
        <f t="shared" si="951"/>
        <v>1989</v>
      </c>
      <c r="C617" s="29">
        <v>32628</v>
      </c>
      <c r="D617" s="30">
        <f>VLOOKUP($C617,COS!$B$8:$H$991,3,FALSE)</f>
        <v>3250</v>
      </c>
      <c r="E617" s="28">
        <f>IF(D617&gt;=IF(MONTH($C617)=4,$C$3,IF(MONTH($C617)=5,$C$4,IF(MONTH($C617)=6,$C$5,IF(MONTH($C617)=7,$C$6,"ERROR")))),1,0)</f>
        <v>0</v>
      </c>
      <c r="F617" s="30">
        <f>VLOOKUP($C617,COS!$B$8:$H$991,7,FALSE)</f>
        <v>52.776580810546875</v>
      </c>
      <c r="G617" s="28">
        <f>IF(F617&lt;=IF(MONTH($C617)=4,$F$3,IF(MONTH($C617)=5,$F$4,IF(MONTH($C617)=6,$F$5,IF(MONTH($C617)=7,$F$6,"ERROR")))),1,0)</f>
        <v>1</v>
      </c>
      <c r="H617" s="30">
        <f>IF(J617=1,D617-$C$3,0)</f>
        <v>0</v>
      </c>
      <c r="I617" s="30">
        <f t="shared" si="982"/>
        <v>0</v>
      </c>
      <c r="J617" s="28">
        <f t="shared" ref="J617:J620" si="989">IF(AND(E617=1,G617=1),1,0)</f>
        <v>0</v>
      </c>
      <c r="K617" s="30">
        <f>VLOOKUP($C617,COS!$B$8:$H$991,2,FALSE)</f>
        <v>4257.525390625</v>
      </c>
      <c r="L617" s="28">
        <f t="shared" ref="L617" si="990">IF(K617&lt;=IF(MONTH($C617)=4,$I$3,IF(MONTH($C617)=5,$I$4,IF(MONTH($C617)=6,$I$5,IF(MONTH($C617)=7,$I$6,"ERROR")))),1,0)</f>
        <v>1</v>
      </c>
      <c r="M617" s="28">
        <f t="shared" ref="M617" si="991">VLOOKUP($A617,$L$3:$M$7,2,FALSE)</f>
        <v>1</v>
      </c>
      <c r="N617" s="30">
        <f>VLOOKUP($C617,COS!$B$8:$H$991,5,FALSE)</f>
        <v>278.56231689453125</v>
      </c>
      <c r="O617" s="30">
        <f t="shared" ref="O617:O620" si="992">N617*DAY($C617)*86400/43560/1000</f>
        <v>16.575608939178718</v>
      </c>
      <c r="P617" s="30">
        <f>VLOOKUP($C617,COS!$B$8:$H$991,6,FALSE)</f>
        <v>448.37432861328125</v>
      </c>
      <c r="Q617" s="30">
        <f t="shared" ref="Q617:Q620" si="993">P617*DAY($C617)*86400/43560/1000</f>
        <v>26.680125338972108</v>
      </c>
      <c r="R617" s="30">
        <f>MIN(IF(MONTH($C617)=4,$S$3,IF(MONTH($C617)=5,$S$4,IF(MONTH($C617)=6,$S$5,IF(MONTH($C617)=7,$S$6,"ERROR")))),MAX(VLOOKUP($C617,COS!$B$8:$K$991,10,FALSE)-IF(MONTH($C617)=4,$Y$3,IF(MONTH($C617)=5,$Y$4,IF(MONTH($C617)=6,$Y$5,IF(MONTH($C617)=7,$Y$6,"ERROR")))),0),MAX(VLOOKUP($C617,COS!$B$8:$K$991,9,FALSE)-IF(MONTH($C617)=4,$V$3,IF(MONTH($C617)=5,$V$4,IF(MONTH($C617)=6,$V$5,IF(MONTH($C617)=7,$V$6,"ERROR"))))-VLOOKUP($C617,COS!$B$8:$K$991,6,FALSE)/2,0))</f>
        <v>1500</v>
      </c>
      <c r="S617" s="30">
        <f t="shared" ref="S617:S620" si="994">R617*DAY($C617)*86400/43560/1000</f>
        <v>89.256198347107429</v>
      </c>
      <c r="T617" s="30">
        <f t="shared" ref="T617:T620" si="995">(O617+Q617)/2+S617</f>
        <v>110.88406548618283</v>
      </c>
      <c r="U617" s="30" t="str">
        <f>IF(VLOOKUP($C617,COS!$B$8:$I$991,8,FALSE)=1,"UWFE","IBU")</f>
        <v>UWFE</v>
      </c>
      <c r="V617" s="30">
        <f t="shared" ref="V617" si="996">MIN(IF(IF($AA$3=2,AND(E617=1,G617=1,L617=1,L622=1,M617=1,U617="IBU"),AND(E617=1,G617=1,L617=1,L622=1,M617=1)),T617,0),I617)</f>
        <v>0</v>
      </c>
      <c r="W617" s="30"/>
      <c r="X617" s="30"/>
      <c r="Y617" s="30"/>
      <c r="Z617" s="30"/>
      <c r="AA617" s="30"/>
      <c r="AB617" s="31"/>
    </row>
    <row r="618" spans="1:28" x14ac:dyDescent="0.3">
      <c r="A618" s="32">
        <f>VLOOKUP(YEAR(C618),Flags!$A$13:$B$95,2,FALSE)</f>
        <v>4</v>
      </c>
      <c r="B618" s="24">
        <f t="shared" si="951"/>
        <v>1989</v>
      </c>
      <c r="C618" s="25">
        <v>32659</v>
      </c>
      <c r="D618" s="26">
        <f>VLOOKUP($C618,COS!$B$8:$H$991,3,FALSE)</f>
        <v>10011.177734375</v>
      </c>
      <c r="E618" s="24">
        <f>IF(D618&gt;=IF(MONTH($C618)=4,$C$3,IF(MONTH($C618)=5,$C$4,IF(MONTH($C618)=6,$C$5,IF(MONTH($C618)=7,$C$6,"ERROR")))),1,0)</f>
        <v>1</v>
      </c>
      <c r="F618" s="26">
        <f>VLOOKUP($C618,COS!$B$8:$H$991,7,FALSE)</f>
        <v>50.918426513671875</v>
      </c>
      <c r="G618" s="24">
        <f>IF(F618&lt;=IF(MONTH($C618)=4,$F$3,IF(MONTH($C618)=5,$F$4,IF(MONTH($C618)=6,$F$5,IF(MONTH($C618)=7,$F$6,"ERROR")))),1,0)</f>
        <v>1</v>
      </c>
      <c r="H618" s="26">
        <f>IF(J618=1,D618-$C$4,0)</f>
        <v>4011.177734375</v>
      </c>
      <c r="I618" s="26">
        <f t="shared" si="982"/>
        <v>246.63770532024793</v>
      </c>
      <c r="J618" s="24">
        <f t="shared" si="989"/>
        <v>1</v>
      </c>
      <c r="K618" s="26">
        <f>VLOOKUP($C618,COS!$B$8:$H$991,2,FALSE)</f>
        <v>3934.481689453125</v>
      </c>
      <c r="L618" s="24">
        <f t="shared" si="944"/>
        <v>1</v>
      </c>
      <c r="M618" s="24">
        <f t="shared" si="945"/>
        <v>1</v>
      </c>
      <c r="N618" s="26">
        <f>VLOOKUP($C618,COS!$B$8:$H$991,5,FALSE)</f>
        <v>317.6539306640625</v>
      </c>
      <c r="O618" s="26">
        <f t="shared" si="992"/>
        <v>19.531778877195247</v>
      </c>
      <c r="P618" s="26">
        <f>VLOOKUP($C618,COS!$B$8:$H$991,6,FALSE)</f>
        <v>2368.940673828125</v>
      </c>
      <c r="Q618" s="26">
        <f t="shared" si="993"/>
        <v>145.66048440728304</v>
      </c>
      <c r="R618" s="26">
        <f>MIN(IF(MONTH($C618)=4,$S$3,IF(MONTH($C618)=5,$S$4,IF(MONTH($C618)=6,$S$5,IF(MONTH($C618)=7,$S$6,"ERROR")))),MAX(VLOOKUP($C618,COS!$B$8:$K$991,10,FALSE)-IF(MONTH($C618)=4,$Y$3,IF(MONTH($C618)=5,$Y$4,IF(MONTH($C618)=6,$Y$5,IF(MONTH($C618)=7,$Y$6,"ERROR")))),0),MAX(VLOOKUP($C618,COS!$B$8:$K$991,9,FALSE)-IF(MONTH($C618)=4,$V$3,IF(MONTH($C618)=5,$V$4,IF(MONTH($C618)=6,$V$5,IF(MONTH($C618)=7,$V$6,"ERROR"))))-VLOOKUP($C618,COS!$B$8:$K$991,6,FALSE)/2,0))</f>
        <v>1500</v>
      </c>
      <c r="S618" s="26">
        <f t="shared" si="994"/>
        <v>92.231404958677686</v>
      </c>
      <c r="T618" s="26">
        <f t="shared" si="995"/>
        <v>174.82753660091683</v>
      </c>
      <c r="U618" s="26" t="str">
        <f>IF(VLOOKUP($C618,COS!$B$8:$I$991,8,FALSE)=1,"UWFE","IBU")</f>
        <v>IBU</v>
      </c>
      <c r="V618" s="26">
        <f t="shared" ref="V618" si="997">MIN(IF(IF($AA$3=2,AND(E618=1,G618=1,L618=1,L622=1,M618=1,U618="IBU"),AND(E618=1,G618=1,L618=1,L622=1,M618=1)),T618,0),I618)</f>
        <v>174.82753660091683</v>
      </c>
      <c r="W618" s="26"/>
      <c r="X618" s="26"/>
      <c r="Y618" s="26"/>
      <c r="Z618" s="26"/>
      <c r="AA618" s="26"/>
      <c r="AB618" s="33"/>
    </row>
    <row r="619" spans="1:28" x14ac:dyDescent="0.3">
      <c r="A619" s="32">
        <f>VLOOKUP(YEAR(C619),Flags!$A$13:$B$95,2,FALSE)</f>
        <v>4</v>
      </c>
      <c r="B619" s="24">
        <f t="shared" si="951"/>
        <v>1989</v>
      </c>
      <c r="C619" s="25">
        <v>32689</v>
      </c>
      <c r="D619" s="26">
        <f>VLOOKUP($C619,COS!$B$8:$H$991,3,FALSE)</f>
        <v>11206.92578125</v>
      </c>
      <c r="E619" s="24">
        <f>IF(D619&gt;=IF(MONTH($C619)=4,$C$3,IF(MONTH($C619)=5,$C$4,IF(MONTH($C619)=6,$C$5,IF(MONTH($C619)=7,$C$6,"ERROR")))),1,0)</f>
        <v>1</v>
      </c>
      <c r="F619" s="26">
        <f>VLOOKUP($C619,COS!$B$8:$H$991,7,FALSE)</f>
        <v>51.800579071044922</v>
      </c>
      <c r="G619" s="24">
        <f>IF(F619&lt;=IF(MONTH($C619)=4,$F$3,IF(MONTH($C619)=5,$F$4,IF(MONTH($C619)=6,$F$5,IF(MONTH($C619)=7,$F$6,"ERROR")))),1,0)</f>
        <v>1</v>
      </c>
      <c r="H619" s="26">
        <f>IF(J619=1,D619-$C$5,0)</f>
        <v>1206.92578125</v>
      </c>
      <c r="I619" s="26">
        <f t="shared" si="982"/>
        <v>71.817071280991726</v>
      </c>
      <c r="J619" s="24">
        <f t="shared" si="989"/>
        <v>1</v>
      </c>
      <c r="K619" s="26">
        <f>VLOOKUP($C619,COS!$B$8:$H$991,2,FALSE)</f>
        <v>3457.87646484375</v>
      </c>
      <c r="L619" s="24">
        <f t="shared" si="944"/>
        <v>1</v>
      </c>
      <c r="M619" s="24">
        <f t="shared" si="945"/>
        <v>1</v>
      </c>
      <c r="N619" s="26">
        <f>VLOOKUP($C619,COS!$B$8:$H$991,5,FALSE)</f>
        <v>517.07537841796875</v>
      </c>
      <c r="O619" s="26">
        <f t="shared" si="992"/>
        <v>30.768121690986568</v>
      </c>
      <c r="P619" s="26">
        <f>VLOOKUP($C619,COS!$B$8:$H$991,6,FALSE)</f>
        <v>2621.433837890625</v>
      </c>
      <c r="Q619" s="26">
        <f t="shared" si="993"/>
        <v>155.98614572572316</v>
      </c>
      <c r="R619" s="26">
        <f>MIN(IF(MONTH($C619)=4,$S$3,IF(MONTH($C619)=5,$S$4,IF(MONTH($C619)=6,$S$5,IF(MONTH($C619)=7,$S$6,"ERROR")))),MAX(VLOOKUP($C619,COS!$B$8:$K$991,10,FALSE)-IF(MONTH($C619)=4,$Y$3,IF(MONTH($C619)=5,$Y$4,IF(MONTH($C619)=6,$Y$5,IF(MONTH($C619)=7,$Y$6,"ERROR")))),0),MAX(VLOOKUP($C619,COS!$B$8:$K$991,9,FALSE)-IF(MONTH($C619)=4,$V$3,IF(MONTH($C619)=5,$V$4,IF(MONTH($C619)=6,$V$5,IF(MONTH($C619)=7,$V$6,"ERROR"))))-VLOOKUP($C619,COS!$B$8:$K$991,6,FALSE)/2,0))</f>
        <v>1500</v>
      </c>
      <c r="S619" s="26">
        <f t="shared" si="994"/>
        <v>89.256198347107429</v>
      </c>
      <c r="T619" s="26">
        <f t="shared" si="995"/>
        <v>182.63333205546229</v>
      </c>
      <c r="U619" s="26" t="str">
        <f>IF(VLOOKUP($C619,COS!$B$8:$I$991,8,FALSE)=1,"UWFE","IBU")</f>
        <v>IBU</v>
      </c>
      <c r="V619" s="26">
        <f t="shared" ref="V619" si="998">MIN(IF(IF($AA$3=2,AND(E619=1,G619=1,L619=1,L622=1,M619=1,U619="IBU"),AND(E619=1,G619=1,L619=1,L622=1,M619=1)),T619,0),I619)</f>
        <v>71.817071280991726</v>
      </c>
      <c r="W619" s="26"/>
      <c r="X619" s="26"/>
      <c r="Y619" s="26"/>
      <c r="Z619" s="26"/>
      <c r="AA619" s="26"/>
      <c r="AB619" s="33"/>
    </row>
    <row r="620" spans="1:28" x14ac:dyDescent="0.3">
      <c r="A620" s="32">
        <f>VLOOKUP(YEAR(C620),Flags!$A$13:$B$95,2,FALSE)</f>
        <v>4</v>
      </c>
      <c r="B620" s="24">
        <f t="shared" si="951"/>
        <v>1989</v>
      </c>
      <c r="C620" s="25">
        <v>32720</v>
      </c>
      <c r="D620" s="26">
        <f>VLOOKUP($C620,COS!$B$8:$H$991,3,FALSE)</f>
        <v>12592.146484375</v>
      </c>
      <c r="E620" s="24">
        <f>IF(D620&gt;=IF(MONTH($C620)=4,$C$3,IF(MONTH($C620)=5,$C$4,IF(MONTH($C620)=6,$C$5,IF(MONTH($C620)=7,$C$6,"ERROR")))),1,0)</f>
        <v>1</v>
      </c>
      <c r="F620" s="26">
        <f>VLOOKUP($C620,COS!$B$8:$H$991,7,FALSE)</f>
        <v>53.21966552734375</v>
      </c>
      <c r="G620" s="24">
        <f>IF(F620&lt;=IF(MONTH($C620)=4,$F$3,IF(MONTH($C620)=5,$F$4,IF(MONTH($C620)=6,$F$5,IF(MONTH($C620)=7,$F$6,"ERROR")))),1,0)</f>
        <v>1</v>
      </c>
      <c r="H620" s="26">
        <f>IF(J620=1,D620-$C$6,0)</f>
        <v>592.146484375</v>
      </c>
      <c r="I620" s="26">
        <f t="shared" si="982"/>
        <v>36.409668130165286</v>
      </c>
      <c r="J620" s="24">
        <f t="shared" si="989"/>
        <v>1</v>
      </c>
      <c r="K620" s="26">
        <f>VLOOKUP($C620,COS!$B$8:$H$991,2,FALSE)</f>
        <v>2918.839599609375</v>
      </c>
      <c r="L620" s="24">
        <f t="shared" si="944"/>
        <v>1</v>
      </c>
      <c r="M620" s="24">
        <f t="shared" si="945"/>
        <v>1</v>
      </c>
      <c r="N620" s="26">
        <f>VLOOKUP($C620,COS!$B$8:$H$991,5,FALSE)</f>
        <v>602.97808837890625</v>
      </c>
      <c r="O620" s="26">
        <f t="shared" si="992"/>
        <v>37.075677500322833</v>
      </c>
      <c r="P620" s="26">
        <f>VLOOKUP($C620,COS!$B$8:$H$991,6,FALSE)</f>
        <v>2442.872314453125</v>
      </c>
      <c r="Q620" s="26">
        <f t="shared" si="993"/>
        <v>150.20636379777892</v>
      </c>
      <c r="R620" s="26">
        <f>MIN(IF(MONTH($C620)=4,$S$3,IF(MONTH($C620)=5,$S$4,IF(MONTH($C620)=6,$S$5,IF(MONTH($C620)=7,$S$6,"ERROR")))),MAX(VLOOKUP($C620,COS!$B$8:$K$991,10,FALSE)-IF(MONTH($C620)=4,$Y$3,IF(MONTH($C620)=5,$Y$4,IF(MONTH($C620)=6,$Y$5,IF(MONTH($C620)=7,$Y$6,"ERROR")))),0),MAX(VLOOKUP($C620,COS!$B$8:$K$991,9,FALSE)-IF(MONTH($C620)=4,$V$3,IF(MONTH($C620)=5,$V$4,IF(MONTH($C620)=6,$V$5,IF(MONTH($C620)=7,$V$6,"ERROR"))))-VLOOKUP($C620,COS!$B$8:$K$991,6,FALSE)/2,0))</f>
        <v>1500</v>
      </c>
      <c r="S620" s="26">
        <f t="shared" si="994"/>
        <v>92.231404958677686</v>
      </c>
      <c r="T620" s="26">
        <f t="shared" si="995"/>
        <v>185.87242560772856</v>
      </c>
      <c r="U620" s="26" t="str">
        <f>IF(VLOOKUP($C620,COS!$B$8:$I$991,8,FALSE)=1,"UWFE","IBU")</f>
        <v>IBU</v>
      </c>
      <c r="V620" s="26">
        <f t="shared" ref="V620" si="999">MIN(IF(IF($AA$3=2,AND(E620=1,G620=1,L620=1,L622=1,M620=1,U620="IBU"),AND(E620=1,G620=1,L620=1,L622=1,M620=1)),T620,0),I620)</f>
        <v>36.409668130165286</v>
      </c>
      <c r="W620" s="26"/>
      <c r="X620" s="26"/>
      <c r="Y620" s="26"/>
      <c r="Z620" s="26"/>
      <c r="AA620" s="26"/>
      <c r="AB620" s="33"/>
    </row>
    <row r="621" spans="1:28" x14ac:dyDescent="0.3">
      <c r="A621" s="32">
        <f>VLOOKUP(YEAR(C621),Flags!$A$13:$B$95,2,FALSE)</f>
        <v>4</v>
      </c>
      <c r="B621" s="24">
        <f t="shared" si="951"/>
        <v>1989</v>
      </c>
      <c r="C621" s="25">
        <v>32751</v>
      </c>
      <c r="D621" s="26"/>
      <c r="E621" s="24"/>
      <c r="F621" s="26"/>
      <c r="G621" s="24"/>
      <c r="H621" s="24"/>
      <c r="I621" s="26"/>
      <c r="J621" s="24"/>
      <c r="K621" s="26"/>
      <c r="L621" s="24"/>
      <c r="M621" s="24"/>
      <c r="N621" s="26"/>
      <c r="O621" s="26"/>
      <c r="P621" s="26"/>
      <c r="Q621" s="26"/>
      <c r="R621" s="26"/>
      <c r="S621" s="26"/>
      <c r="T621" s="26"/>
      <c r="U621" s="26"/>
      <c r="V621" s="26"/>
      <c r="W621" s="26">
        <f>MAX($C$7-VLOOKUP($C621,COS!$B$8:$H$991,3,FALSE),0)</f>
        <v>91856.2431640625</v>
      </c>
      <c r="X621" s="26">
        <f t="shared" si="972"/>
        <v>5648.0202408316118</v>
      </c>
      <c r="Y621" s="26">
        <f>VLOOKUP($C621,COS!$B$8:$H$991,4,FALSE)</f>
        <v>2140.86328125</v>
      </c>
      <c r="Z621" s="26">
        <f t="shared" si="973"/>
        <v>131.63655216942149</v>
      </c>
      <c r="AA621" s="26">
        <f t="shared" ref="AA621:AA625" si="1000">MIN(W621,Y621)</f>
        <v>2140.86328125</v>
      </c>
      <c r="AB621" s="33">
        <f t="shared" ref="AB621" si="1001">AA621*DAY($C621)*86400/43560/1000*IF(MONTH($C621)=8,$P$3,IF(MONTH($C621)=9,$P$4,IF(MONTH($C621)=10,$P$5,IF(MONTH($C621)=11,$P$6,IF(MONTH($C621)=12,$P$7,NA())))))</f>
        <v>131.63655216942149</v>
      </c>
    </row>
    <row r="622" spans="1:28" x14ac:dyDescent="0.3">
      <c r="A622" s="32">
        <f>VLOOKUP(YEAR(C622),Flags!$A$13:$B$95,2,FALSE)</f>
        <v>4</v>
      </c>
      <c r="B622" s="24">
        <f t="shared" si="951"/>
        <v>1989</v>
      </c>
      <c r="C622" s="25">
        <v>32781</v>
      </c>
      <c r="D622" s="26"/>
      <c r="E622" s="24"/>
      <c r="F622" s="26"/>
      <c r="G622" s="24"/>
      <c r="H622" s="24"/>
      <c r="I622" s="26"/>
      <c r="J622" s="24"/>
      <c r="K622" s="26">
        <f>VLOOKUP($C622,COS!$B$8:$H$991,2,FALSE)</f>
        <v>2659.4970703125</v>
      </c>
      <c r="L622" s="24">
        <f t="shared" ref="L622" si="1002">IF(AND(K622&gt;$I$7,K622&lt;$I$8),1,0)</f>
        <v>1</v>
      </c>
      <c r="M622" s="24"/>
      <c r="N622" s="26"/>
      <c r="O622" s="26"/>
      <c r="P622" s="26"/>
      <c r="Q622" s="26"/>
      <c r="R622" s="26"/>
      <c r="S622" s="26"/>
      <c r="T622" s="26"/>
      <c r="U622" s="26"/>
      <c r="V622" s="26"/>
      <c r="W622" s="26">
        <f>MAX($C$8-VLOOKUP($C622,COS!$B$8:$H$991,3,FALSE),0)</f>
        <v>96571.319580078125</v>
      </c>
      <c r="X622" s="26">
        <f t="shared" si="972"/>
        <v>5746.3925700542359</v>
      </c>
      <c r="Y622" s="26">
        <f>VLOOKUP($C622,COS!$B$8:$H$991,4,FALSE)</f>
        <v>447.037109375</v>
      </c>
      <c r="Z622" s="26">
        <f t="shared" si="973"/>
        <v>26.600555268595041</v>
      </c>
      <c r="AA622" s="26">
        <f t="shared" si="1000"/>
        <v>447.037109375</v>
      </c>
      <c r="AB622" s="33">
        <f t="shared" si="956"/>
        <v>26.600555268595041</v>
      </c>
    </row>
    <row r="623" spans="1:28" x14ac:dyDescent="0.3">
      <c r="A623" s="32">
        <f>VLOOKUP(YEAR(C623),Flags!$A$13:$B$95,2,FALSE)</f>
        <v>4</v>
      </c>
      <c r="B623" s="24">
        <f t="shared" si="951"/>
        <v>1989</v>
      </c>
      <c r="C623" s="25">
        <v>32812</v>
      </c>
      <c r="D623" s="26"/>
      <c r="E623" s="24"/>
      <c r="F623" s="26"/>
      <c r="G623" s="26"/>
      <c r="H623" s="26"/>
      <c r="I623" s="26"/>
      <c r="J623" s="26"/>
      <c r="K623" s="26"/>
      <c r="L623" s="24"/>
      <c r="M623" s="24"/>
      <c r="N623" s="26"/>
      <c r="O623" s="26"/>
      <c r="P623" s="26"/>
      <c r="Q623" s="26"/>
      <c r="R623" s="26"/>
      <c r="S623" s="26"/>
      <c r="T623" s="26"/>
      <c r="U623" s="26"/>
      <c r="V623" s="26"/>
      <c r="W623" s="26">
        <f>MAX($C$9-VLOOKUP($C623,COS!$B$8:$H$991,3,FALSE),0)</f>
        <v>95860.29296875</v>
      </c>
      <c r="X623" s="26">
        <f t="shared" si="972"/>
        <v>5894.2196668388433</v>
      </c>
      <c r="Y623" s="26">
        <f>VLOOKUP($C623,COS!$B$8:$H$991,4,FALSE)</f>
        <v>977.87164306640625</v>
      </c>
      <c r="Z623" s="26">
        <f t="shared" si="973"/>
        <v>60.126983672843487</v>
      </c>
      <c r="AA623" s="26">
        <f t="shared" si="1000"/>
        <v>977.87164306640625</v>
      </c>
      <c r="AB623" s="33">
        <f t="shared" si="956"/>
        <v>60.126983672843487</v>
      </c>
    </row>
    <row r="624" spans="1:28" x14ac:dyDescent="0.3">
      <c r="A624" s="32">
        <f>VLOOKUP(YEAR(C624),Flags!$A$13:$B$95,2,FALSE)</f>
        <v>4</v>
      </c>
      <c r="B624" s="24">
        <f t="shared" si="951"/>
        <v>1989</v>
      </c>
      <c r="C624" s="25">
        <v>32842</v>
      </c>
      <c r="D624" s="26"/>
      <c r="E624" s="24"/>
      <c r="F624" s="26"/>
      <c r="G624" s="26"/>
      <c r="H624" s="26"/>
      <c r="I624" s="26"/>
      <c r="J624" s="26"/>
      <c r="K624" s="26"/>
      <c r="L624" s="24"/>
      <c r="M624" s="24"/>
      <c r="N624" s="26"/>
      <c r="O624" s="26"/>
      <c r="P624" s="26"/>
      <c r="Q624" s="26"/>
      <c r="R624" s="26"/>
      <c r="S624" s="26"/>
      <c r="T624" s="26"/>
      <c r="U624" s="26"/>
      <c r="V624" s="26"/>
      <c r="W624" s="26">
        <f>MAX($C$10-VLOOKUP($C624,COS!$B$8:$H$991,3,FALSE),0)</f>
        <v>94450.890625</v>
      </c>
      <c r="X624" s="26">
        <f t="shared" si="972"/>
        <v>5620.2182851239668</v>
      </c>
      <c r="Y624" s="26">
        <f>VLOOKUP($C624,COS!$B$8:$H$991,4,FALSE)</f>
        <v>1557.039306640625</v>
      </c>
      <c r="Z624" s="26">
        <f t="shared" si="973"/>
        <v>92.650272791838844</v>
      </c>
      <c r="AA624" s="26">
        <f t="shared" si="1000"/>
        <v>1557.039306640625</v>
      </c>
      <c r="AB624" s="33">
        <f t="shared" si="956"/>
        <v>46.325136395919422</v>
      </c>
    </row>
    <row r="625" spans="1:28" x14ac:dyDescent="0.3">
      <c r="A625" s="34">
        <f>VLOOKUP(YEAR(C625),Flags!$A$13:$B$95,2,FALSE)</f>
        <v>4</v>
      </c>
      <c r="B625" s="35">
        <f t="shared" si="951"/>
        <v>1989</v>
      </c>
      <c r="C625" s="36">
        <v>32873</v>
      </c>
      <c r="D625" s="37"/>
      <c r="E625" s="35"/>
      <c r="F625" s="37"/>
      <c r="G625" s="37"/>
      <c r="H625" s="37"/>
      <c r="I625" s="37"/>
      <c r="J625" s="37"/>
      <c r="K625" s="37"/>
      <c r="L625" s="35"/>
      <c r="M625" s="35"/>
      <c r="N625" s="37"/>
      <c r="O625" s="37"/>
      <c r="P625" s="37"/>
      <c r="Q625" s="37"/>
      <c r="R625" s="37"/>
      <c r="S625" s="37"/>
      <c r="T625" s="37"/>
      <c r="U625" s="37"/>
      <c r="V625" s="37"/>
      <c r="W625" s="37">
        <f>MAX($C$11-VLOOKUP($C625,COS!$B$8:$H$991,3,FALSE),0)</f>
        <v>0</v>
      </c>
      <c r="X625" s="37">
        <f t="shared" si="972"/>
        <v>0</v>
      </c>
      <c r="Y625" s="37">
        <f>VLOOKUP($C625,COS!$B$8:$H$991,4,FALSE)</f>
        <v>2009.1300048828125</v>
      </c>
      <c r="Z625" s="37">
        <f t="shared" si="973"/>
        <v>123.5365887299845</v>
      </c>
      <c r="AA625" s="37">
        <f t="shared" si="1000"/>
        <v>0</v>
      </c>
      <c r="AB625" s="38">
        <f t="shared" si="956"/>
        <v>0</v>
      </c>
    </row>
    <row r="626" spans="1:28" x14ac:dyDescent="0.3">
      <c r="A626" s="27">
        <f>VLOOKUP(YEAR(C626),Flags!$A$13:$B$95,2,FALSE)</f>
        <v>5</v>
      </c>
      <c r="B626" s="28">
        <f t="shared" si="951"/>
        <v>1990</v>
      </c>
      <c r="C626" s="29">
        <v>32993</v>
      </c>
      <c r="D626" s="30">
        <f>VLOOKUP($C626,COS!$B$8:$H$991,3,FALSE)</f>
        <v>3250</v>
      </c>
      <c r="E626" s="28">
        <f>IF(D626&gt;=IF(MONTH($C626)=4,$C$3,IF(MONTH($C626)=5,$C$4,IF(MONTH($C626)=6,$C$5,IF(MONTH($C626)=7,$C$6,"ERROR")))),1,0)</f>
        <v>0</v>
      </c>
      <c r="F626" s="30">
        <f>VLOOKUP($C626,COS!$B$8:$H$991,7,FALSE)</f>
        <v>52.837333679199219</v>
      </c>
      <c r="G626" s="28">
        <f>IF(F626&lt;=IF(MONTH($C626)=4,$F$3,IF(MONTH($C626)=5,$F$4,IF(MONTH($C626)=6,$F$5,IF(MONTH($C626)=7,$F$6,"ERROR")))),1,0)</f>
        <v>1</v>
      </c>
      <c r="H626" s="30">
        <f>IF(J626=1,D626-$C$3,0)</f>
        <v>0</v>
      </c>
      <c r="I626" s="30">
        <f t="shared" si="982"/>
        <v>0</v>
      </c>
      <c r="J626" s="28">
        <f t="shared" ref="J626:J629" si="1003">IF(AND(E626=1,G626=1),1,0)</f>
        <v>0</v>
      </c>
      <c r="K626" s="30">
        <f>VLOOKUP($C626,COS!$B$8:$H$991,2,FALSE)</f>
        <v>3255.982421875</v>
      </c>
      <c r="L626" s="28">
        <f t="shared" ref="L626" si="1004">IF(K626&lt;=IF(MONTH($C626)=4,$I$3,IF(MONTH($C626)=5,$I$4,IF(MONTH($C626)=6,$I$5,IF(MONTH($C626)=7,$I$6,"ERROR")))),1,0)</f>
        <v>1</v>
      </c>
      <c r="M626" s="28">
        <f t="shared" ref="M626" si="1005">VLOOKUP($A626,$L$3:$M$7,2,FALSE)</f>
        <v>1</v>
      </c>
      <c r="N626" s="30">
        <f>VLOOKUP($C626,COS!$B$8:$H$991,5,FALSE)</f>
        <v>164.3074951171875</v>
      </c>
      <c r="O626" s="30">
        <f t="shared" ref="O626:O629" si="1006">N626*DAY($C626)*86400/43560/1000</f>
        <v>9.7769749160640487</v>
      </c>
      <c r="P626" s="30">
        <f>VLOOKUP($C626,COS!$B$8:$H$991,6,FALSE)</f>
        <v>546.31597900390625</v>
      </c>
      <c r="Q626" s="30">
        <f t="shared" ref="Q626:Q629" si="1007">P626*DAY($C626)*86400/43560/1000</f>
        <v>32.508058254777893</v>
      </c>
      <c r="R626" s="30">
        <f>MIN(IF(MONTH($C626)=4,$S$3,IF(MONTH($C626)=5,$S$4,IF(MONTH($C626)=6,$S$5,IF(MONTH($C626)=7,$S$6,"ERROR")))),MAX(VLOOKUP($C626,COS!$B$8:$K$991,10,FALSE)-IF(MONTH($C626)=4,$Y$3,IF(MONTH($C626)=5,$Y$4,IF(MONTH($C626)=6,$Y$5,IF(MONTH($C626)=7,$Y$6,"ERROR")))),0),MAX(VLOOKUP($C626,COS!$B$8:$K$991,9,FALSE)-IF(MONTH($C626)=4,$V$3,IF(MONTH($C626)=5,$V$4,IF(MONTH($C626)=6,$V$5,IF(MONTH($C626)=7,$V$6,"ERROR"))))-VLOOKUP($C626,COS!$B$8:$K$991,6,FALSE)/2,0))</f>
        <v>0</v>
      </c>
      <c r="S626" s="30">
        <f t="shared" ref="S626:S629" si="1008">R626*DAY($C626)*86400/43560/1000</f>
        <v>0</v>
      </c>
      <c r="T626" s="30">
        <f t="shared" ref="T626:T629" si="1009">(O626+Q626)/2+S626</f>
        <v>21.142516585420971</v>
      </c>
      <c r="U626" s="30" t="str">
        <f>IF(VLOOKUP($C626,COS!$B$8:$I$991,8,FALSE)=1,"UWFE","IBU")</f>
        <v>UWFE</v>
      </c>
      <c r="V626" s="30">
        <f t="shared" ref="V626" si="1010">MIN(IF(IF($AA$3=2,AND(E626=1,G626=1,L626=1,L631=1,M626=1,U626="IBU"),AND(E626=1,G626=1,L626=1,L631=1,M626=1)),T626,0),I626)</f>
        <v>0</v>
      </c>
      <c r="W626" s="30"/>
      <c r="X626" s="30"/>
      <c r="Y626" s="30"/>
      <c r="Z626" s="30"/>
      <c r="AA626" s="30"/>
      <c r="AB626" s="31"/>
    </row>
    <row r="627" spans="1:28" x14ac:dyDescent="0.3">
      <c r="A627" s="32">
        <f>VLOOKUP(YEAR(C627),Flags!$A$13:$B$95,2,FALSE)</f>
        <v>5</v>
      </c>
      <c r="B627" s="24">
        <f t="shared" si="951"/>
        <v>1990</v>
      </c>
      <c r="C627" s="25">
        <v>33024</v>
      </c>
      <c r="D627" s="26">
        <f>VLOOKUP($C627,COS!$B$8:$H$991,3,FALSE)</f>
        <v>5630.49853515625</v>
      </c>
      <c r="E627" s="24">
        <f>IF(D627&gt;=IF(MONTH($C627)=4,$C$3,IF(MONTH($C627)=5,$C$4,IF(MONTH($C627)=6,$C$5,IF(MONTH($C627)=7,$C$6,"ERROR")))),1,0)</f>
        <v>0</v>
      </c>
      <c r="F627" s="26">
        <f>VLOOKUP($C627,COS!$B$8:$H$991,7,FALSE)</f>
        <v>52.459934234619141</v>
      </c>
      <c r="G627" s="24">
        <f>IF(F627&lt;=IF(MONTH($C627)=4,$F$3,IF(MONTH($C627)=5,$F$4,IF(MONTH($C627)=6,$F$5,IF(MONTH($C627)=7,$F$6,"ERROR")))),1,0)</f>
        <v>1</v>
      </c>
      <c r="H627" s="26">
        <f>IF(J627=1,D627-$C$4,0)</f>
        <v>0</v>
      </c>
      <c r="I627" s="26">
        <f t="shared" si="982"/>
        <v>0</v>
      </c>
      <c r="J627" s="24">
        <f t="shared" si="1003"/>
        <v>0</v>
      </c>
      <c r="K627" s="26">
        <f>VLOOKUP($C627,COS!$B$8:$H$991,2,FALSE)</f>
        <v>3362.06884765625</v>
      </c>
      <c r="L627" s="24">
        <f t="shared" si="944"/>
        <v>1</v>
      </c>
      <c r="M627" s="24">
        <f t="shared" si="945"/>
        <v>1</v>
      </c>
      <c r="N627" s="26">
        <f>VLOOKUP($C627,COS!$B$8:$H$991,5,FALSE)</f>
        <v>102.29715728759766</v>
      </c>
      <c r="O627" s="26">
        <f t="shared" si="1006"/>
        <v>6.2900070266093104</v>
      </c>
      <c r="P627" s="26">
        <f>VLOOKUP($C627,COS!$B$8:$H$991,6,FALSE)</f>
        <v>1666.94287109375</v>
      </c>
      <c r="Q627" s="26">
        <f t="shared" si="1007"/>
        <v>102.49632199121901</v>
      </c>
      <c r="R627" s="26">
        <f>MIN(IF(MONTH($C627)=4,$S$3,IF(MONTH($C627)=5,$S$4,IF(MONTH($C627)=6,$S$5,IF(MONTH($C627)=7,$S$6,"ERROR")))),MAX(VLOOKUP($C627,COS!$B$8:$K$991,10,FALSE)-IF(MONTH($C627)=4,$Y$3,IF(MONTH($C627)=5,$Y$4,IF(MONTH($C627)=6,$Y$5,IF(MONTH($C627)=7,$Y$6,"ERROR")))),0),MAX(VLOOKUP($C627,COS!$B$8:$K$991,9,FALSE)-IF(MONTH($C627)=4,$V$3,IF(MONTH($C627)=5,$V$4,IF(MONTH($C627)=6,$V$5,IF(MONTH($C627)=7,$V$6,"ERROR"))))-VLOOKUP($C627,COS!$B$8:$K$991,6,FALSE)/2,0))</f>
        <v>1500</v>
      </c>
      <c r="S627" s="26">
        <f t="shared" si="1008"/>
        <v>92.231404958677686</v>
      </c>
      <c r="T627" s="26">
        <f t="shared" si="1009"/>
        <v>146.62456946759184</v>
      </c>
      <c r="U627" s="26" t="str">
        <f>IF(VLOOKUP($C627,COS!$B$8:$I$991,8,FALSE)=1,"UWFE","IBU")</f>
        <v>UWFE</v>
      </c>
      <c r="V627" s="26">
        <f t="shared" ref="V627" si="1011">MIN(IF(IF($AA$3=2,AND(E627=1,G627=1,L627=1,L631=1,M627=1,U627="IBU"),AND(E627=1,G627=1,L627=1,L631=1,M627=1)),T627,0),I627)</f>
        <v>0</v>
      </c>
      <c r="W627" s="26"/>
      <c r="X627" s="26"/>
      <c r="Y627" s="26"/>
      <c r="Z627" s="26"/>
      <c r="AA627" s="26"/>
      <c r="AB627" s="33"/>
    </row>
    <row r="628" spans="1:28" x14ac:dyDescent="0.3">
      <c r="A628" s="32">
        <f>VLOOKUP(YEAR(C628),Flags!$A$13:$B$95,2,FALSE)</f>
        <v>5</v>
      </c>
      <c r="B628" s="24">
        <f t="shared" si="951"/>
        <v>1990</v>
      </c>
      <c r="C628" s="25">
        <v>33054</v>
      </c>
      <c r="D628" s="26">
        <f>VLOOKUP($C628,COS!$B$8:$H$991,3,FALSE)</f>
        <v>8063.263671875</v>
      </c>
      <c r="E628" s="24">
        <f>IF(D628&gt;=IF(MONTH($C628)=4,$C$3,IF(MONTH($C628)=5,$C$4,IF(MONTH($C628)=6,$C$5,IF(MONTH($C628)=7,$C$6,"ERROR")))),1,0)</f>
        <v>0</v>
      </c>
      <c r="F628" s="26">
        <f>VLOOKUP($C628,COS!$B$8:$H$991,7,FALSE)</f>
        <v>53.181201934814453</v>
      </c>
      <c r="G628" s="24">
        <f>IF(F628&lt;=IF(MONTH($C628)=4,$F$3,IF(MONTH($C628)=5,$F$4,IF(MONTH($C628)=6,$F$5,IF(MONTH($C628)=7,$F$6,"ERROR")))),1,0)</f>
        <v>1</v>
      </c>
      <c r="H628" s="26">
        <f>IF(J628=1,D628-$C$5,0)</f>
        <v>0</v>
      </c>
      <c r="I628" s="26">
        <f t="shared" si="982"/>
        <v>0</v>
      </c>
      <c r="J628" s="24">
        <f t="shared" si="1003"/>
        <v>0</v>
      </c>
      <c r="K628" s="26">
        <f>VLOOKUP($C628,COS!$B$8:$H$991,2,FALSE)</f>
        <v>3180.568359375</v>
      </c>
      <c r="L628" s="24">
        <f t="shared" si="944"/>
        <v>1</v>
      </c>
      <c r="M628" s="24">
        <f t="shared" si="945"/>
        <v>1</v>
      </c>
      <c r="N628" s="26">
        <f>VLOOKUP($C628,COS!$B$8:$H$991,5,FALSE)</f>
        <v>206.65235900878906</v>
      </c>
      <c r="O628" s="26">
        <f t="shared" si="1006"/>
        <v>12.296669296390753</v>
      </c>
      <c r="P628" s="26">
        <f>VLOOKUP($C628,COS!$B$8:$H$991,6,FALSE)</f>
        <v>2506.8408203125</v>
      </c>
      <c r="Q628" s="26">
        <f t="shared" si="1007"/>
        <v>149.16738765495867</v>
      </c>
      <c r="R628" s="26">
        <f>MIN(IF(MONTH($C628)=4,$S$3,IF(MONTH($C628)=5,$S$4,IF(MONTH($C628)=6,$S$5,IF(MONTH($C628)=7,$S$6,"ERROR")))),MAX(VLOOKUP($C628,COS!$B$8:$K$991,10,FALSE)-IF(MONTH($C628)=4,$Y$3,IF(MONTH($C628)=5,$Y$4,IF(MONTH($C628)=6,$Y$5,IF(MONTH($C628)=7,$Y$6,"ERROR")))),0),MAX(VLOOKUP($C628,COS!$B$8:$K$991,9,FALSE)-IF(MONTH($C628)=4,$V$3,IF(MONTH($C628)=5,$V$4,IF(MONTH($C628)=6,$V$5,IF(MONTH($C628)=7,$V$6,"ERROR"))))-VLOOKUP($C628,COS!$B$8:$K$991,6,FALSE)/2,0))</f>
        <v>1500</v>
      </c>
      <c r="S628" s="26">
        <f t="shared" si="1008"/>
        <v>89.256198347107429</v>
      </c>
      <c r="T628" s="26">
        <f t="shared" si="1009"/>
        <v>169.98822682278214</v>
      </c>
      <c r="U628" s="26" t="str">
        <f>IF(VLOOKUP($C628,COS!$B$8:$I$991,8,FALSE)=1,"UWFE","IBU")</f>
        <v>IBU</v>
      </c>
      <c r="V628" s="26">
        <f t="shared" ref="V628" si="1012">MIN(IF(IF($AA$3=2,AND(E628=1,G628=1,L628=1,L631=1,M628=1,U628="IBU"),AND(E628=1,G628=1,L628=1,L631=1,M628=1)),T628,0),I628)</f>
        <v>0</v>
      </c>
      <c r="W628" s="26"/>
      <c r="X628" s="26"/>
      <c r="Y628" s="26"/>
      <c r="Z628" s="26"/>
      <c r="AA628" s="26"/>
      <c r="AB628" s="33"/>
    </row>
    <row r="629" spans="1:28" x14ac:dyDescent="0.3">
      <c r="A629" s="32">
        <f>VLOOKUP(YEAR(C629),Flags!$A$13:$B$95,2,FALSE)</f>
        <v>5</v>
      </c>
      <c r="B629" s="24">
        <f t="shared" si="951"/>
        <v>1990</v>
      </c>
      <c r="C629" s="25">
        <v>33085</v>
      </c>
      <c r="D629" s="26">
        <f>VLOOKUP($C629,COS!$B$8:$H$991,3,FALSE)</f>
        <v>12447.279296875</v>
      </c>
      <c r="E629" s="24">
        <f>IF(D629&gt;=IF(MONTH($C629)=4,$C$3,IF(MONTH($C629)=5,$C$4,IF(MONTH($C629)=6,$C$5,IF(MONTH($C629)=7,$C$6,"ERROR")))),1,0)</f>
        <v>1</v>
      </c>
      <c r="F629" s="26">
        <f>VLOOKUP($C629,COS!$B$8:$H$991,7,FALSE)</f>
        <v>53.944061279296875</v>
      </c>
      <c r="G629" s="24">
        <f>IF(F629&lt;=IF(MONTH($C629)=4,$F$3,IF(MONTH($C629)=5,$F$4,IF(MONTH($C629)=6,$F$5,IF(MONTH($C629)=7,$F$6,"ERROR")))),1,0)</f>
        <v>0</v>
      </c>
      <c r="H629" s="26">
        <f>IF(J629=1,D629-$C$6,0)</f>
        <v>0</v>
      </c>
      <c r="I629" s="26">
        <f t="shared" si="982"/>
        <v>0</v>
      </c>
      <c r="J629" s="24">
        <f t="shared" si="1003"/>
        <v>0</v>
      </c>
      <c r="K629" s="26">
        <f>VLOOKUP($C629,COS!$B$8:$H$991,2,FALSE)</f>
        <v>2634.774169921875</v>
      </c>
      <c r="L629" s="24">
        <f t="shared" si="944"/>
        <v>1</v>
      </c>
      <c r="M629" s="24">
        <f t="shared" si="945"/>
        <v>1</v>
      </c>
      <c r="N629" s="26">
        <f>VLOOKUP($C629,COS!$B$8:$H$991,5,FALSE)</f>
        <v>227.43785095214844</v>
      </c>
      <c r="O629" s="26">
        <f t="shared" si="1006"/>
        <v>13.984608356065987</v>
      </c>
      <c r="P629" s="26">
        <f>VLOOKUP($C629,COS!$B$8:$H$991,6,FALSE)</f>
        <v>2326.644775390625</v>
      </c>
      <c r="Q629" s="26">
        <f t="shared" si="1007"/>
        <v>143.05981098269626</v>
      </c>
      <c r="R629" s="26">
        <f>MIN(IF(MONTH($C629)=4,$S$3,IF(MONTH($C629)=5,$S$4,IF(MONTH($C629)=6,$S$5,IF(MONTH($C629)=7,$S$6,"ERROR")))),MAX(VLOOKUP($C629,COS!$B$8:$K$991,10,FALSE)-IF(MONTH($C629)=4,$Y$3,IF(MONTH($C629)=5,$Y$4,IF(MONTH($C629)=6,$Y$5,IF(MONTH($C629)=7,$Y$6,"ERROR")))),0),MAX(VLOOKUP($C629,COS!$B$8:$K$991,9,FALSE)-IF(MONTH($C629)=4,$V$3,IF(MONTH($C629)=5,$V$4,IF(MONTH($C629)=6,$V$5,IF(MONTH($C629)=7,$V$6,"ERROR"))))-VLOOKUP($C629,COS!$B$8:$K$991,6,FALSE)/2,0))</f>
        <v>1500</v>
      </c>
      <c r="S629" s="26">
        <f t="shared" si="1008"/>
        <v>92.231404958677686</v>
      </c>
      <c r="T629" s="26">
        <f t="shared" si="1009"/>
        <v>170.75361462805881</v>
      </c>
      <c r="U629" s="26" t="str">
        <f>IF(VLOOKUP($C629,COS!$B$8:$I$991,8,FALSE)=1,"UWFE","IBU")</f>
        <v>IBU</v>
      </c>
      <c r="V629" s="26">
        <f t="shared" ref="V629" si="1013">MIN(IF(IF($AA$3=2,AND(E629=1,G629=1,L629=1,L631=1,M629=1,U629="IBU"),AND(E629=1,G629=1,L629=1,L631=1,M629=1)),T629,0),I629)</f>
        <v>0</v>
      </c>
      <c r="W629" s="26"/>
      <c r="X629" s="26"/>
      <c r="Y629" s="26"/>
      <c r="Z629" s="26"/>
      <c r="AA629" s="26"/>
      <c r="AB629" s="33"/>
    </row>
    <row r="630" spans="1:28" x14ac:dyDescent="0.3">
      <c r="A630" s="32">
        <f>VLOOKUP(YEAR(C630),Flags!$A$13:$B$95,2,FALSE)</f>
        <v>5</v>
      </c>
      <c r="B630" s="24">
        <f t="shared" si="951"/>
        <v>1990</v>
      </c>
      <c r="C630" s="25">
        <v>33116</v>
      </c>
      <c r="D630" s="26"/>
      <c r="E630" s="24"/>
      <c r="F630" s="26"/>
      <c r="G630" s="24"/>
      <c r="H630" s="24"/>
      <c r="I630" s="26"/>
      <c r="J630" s="24"/>
      <c r="K630" s="26"/>
      <c r="L630" s="24"/>
      <c r="M630" s="24"/>
      <c r="N630" s="26"/>
      <c r="O630" s="26"/>
      <c r="P630" s="26"/>
      <c r="Q630" s="26"/>
      <c r="R630" s="26"/>
      <c r="S630" s="26"/>
      <c r="T630" s="26"/>
      <c r="U630" s="26"/>
      <c r="V630" s="26"/>
      <c r="W630" s="26">
        <f>MAX($C$7-VLOOKUP($C630,COS!$B$8:$H$991,3,FALSE),0)</f>
        <v>91987.85546875</v>
      </c>
      <c r="X630" s="26">
        <f t="shared" si="972"/>
        <v>5656.1127660123966</v>
      </c>
      <c r="Y630" s="26">
        <f>VLOOKUP($C630,COS!$B$8:$H$991,4,FALSE)</f>
        <v>3233.810302734375</v>
      </c>
      <c r="Z630" s="26">
        <f t="shared" si="973"/>
        <v>198.83924506069215</v>
      </c>
      <c r="AA630" s="26">
        <f t="shared" ref="AA630:AA634" si="1014">MIN(W630,Y630)</f>
        <v>3233.810302734375</v>
      </c>
      <c r="AB630" s="33">
        <f t="shared" ref="AB630" si="1015">AA630*DAY($C630)*86400/43560/1000*IF(MONTH($C630)=8,$P$3,IF(MONTH($C630)=9,$P$4,IF(MONTH($C630)=10,$P$5,IF(MONTH($C630)=11,$P$6,IF(MONTH($C630)=12,$P$7,NA())))))</f>
        <v>198.83924506069215</v>
      </c>
    </row>
    <row r="631" spans="1:28" x14ac:dyDescent="0.3">
      <c r="A631" s="32">
        <f>VLOOKUP(YEAR(C631),Flags!$A$13:$B$95,2,FALSE)</f>
        <v>5</v>
      </c>
      <c r="B631" s="24">
        <f t="shared" si="951"/>
        <v>1990</v>
      </c>
      <c r="C631" s="25">
        <v>33146</v>
      </c>
      <c r="D631" s="26"/>
      <c r="E631" s="24"/>
      <c r="F631" s="26"/>
      <c r="G631" s="24"/>
      <c r="H631" s="24"/>
      <c r="I631" s="26"/>
      <c r="J631" s="24"/>
      <c r="K631" s="26">
        <f>VLOOKUP($C631,COS!$B$8:$H$991,2,FALSE)</f>
        <v>2239.517822265625</v>
      </c>
      <c r="L631" s="24">
        <f t="shared" ref="L631" si="1016">IF(AND(K631&gt;$I$7,K631&lt;$I$8),1,0)</f>
        <v>1</v>
      </c>
      <c r="M631" s="24"/>
      <c r="N631" s="26"/>
      <c r="O631" s="26"/>
      <c r="P631" s="26"/>
      <c r="Q631" s="26"/>
      <c r="R631" s="26"/>
      <c r="S631" s="26"/>
      <c r="T631" s="26"/>
      <c r="U631" s="26"/>
      <c r="V631" s="26"/>
      <c r="W631" s="26">
        <f>MAX($C$8-VLOOKUP($C631,COS!$B$8:$H$991,3,FALSE),0)</f>
        <v>94345.31689453125</v>
      </c>
      <c r="X631" s="26">
        <f t="shared" si="972"/>
        <v>5613.9362119059915</v>
      </c>
      <c r="Y631" s="26">
        <f>VLOOKUP($C631,COS!$B$8:$H$991,4,FALSE)</f>
        <v>1878.513671875</v>
      </c>
      <c r="Z631" s="26">
        <f t="shared" si="973"/>
        <v>111.77932592975208</v>
      </c>
      <c r="AA631" s="26">
        <f t="shared" si="1014"/>
        <v>1878.513671875</v>
      </c>
      <c r="AB631" s="33">
        <f t="shared" si="956"/>
        <v>111.77932592975208</v>
      </c>
    </row>
    <row r="632" spans="1:28" x14ac:dyDescent="0.3">
      <c r="A632" s="32">
        <f>VLOOKUP(YEAR(C632),Flags!$A$13:$B$95,2,FALSE)</f>
        <v>5</v>
      </c>
      <c r="B632" s="24">
        <f t="shared" si="951"/>
        <v>1990</v>
      </c>
      <c r="C632" s="25">
        <v>33177</v>
      </c>
      <c r="D632" s="26"/>
      <c r="E632" s="24"/>
      <c r="F632" s="26"/>
      <c r="G632" s="26"/>
      <c r="H632" s="26"/>
      <c r="I632" s="26"/>
      <c r="J632" s="26"/>
      <c r="K632" s="26"/>
      <c r="L632" s="24"/>
      <c r="M632" s="24"/>
      <c r="N632" s="26"/>
      <c r="O632" s="26"/>
      <c r="P632" s="26"/>
      <c r="Q632" s="26"/>
      <c r="R632" s="26"/>
      <c r="S632" s="26"/>
      <c r="T632" s="26"/>
      <c r="U632" s="26"/>
      <c r="V632" s="26"/>
      <c r="W632" s="26">
        <f>MAX($C$9-VLOOKUP($C632,COS!$B$8:$H$991,3,FALSE),0)</f>
        <v>94935.169921875</v>
      </c>
      <c r="X632" s="26">
        <f t="shared" si="972"/>
        <v>5837.3360679235529</v>
      </c>
      <c r="Y632" s="26">
        <f>VLOOKUP($C632,COS!$B$8:$H$991,4,FALSE)</f>
        <v>1555.8990478515625</v>
      </c>
      <c r="Z632" s="26">
        <f t="shared" si="973"/>
        <v>95.668503438145663</v>
      </c>
      <c r="AA632" s="26">
        <f t="shared" si="1014"/>
        <v>1555.8990478515625</v>
      </c>
      <c r="AB632" s="33">
        <f t="shared" si="956"/>
        <v>95.668503438145663</v>
      </c>
    </row>
    <row r="633" spans="1:28" x14ac:dyDescent="0.3">
      <c r="A633" s="32">
        <f>VLOOKUP(YEAR(C633),Flags!$A$13:$B$95,2,FALSE)</f>
        <v>5</v>
      </c>
      <c r="B633" s="24">
        <f t="shared" si="951"/>
        <v>1990</v>
      </c>
      <c r="C633" s="25">
        <v>33207</v>
      </c>
      <c r="D633" s="26"/>
      <c r="E633" s="24"/>
      <c r="F633" s="26"/>
      <c r="G633" s="26"/>
      <c r="H633" s="26"/>
      <c r="I633" s="26"/>
      <c r="J633" s="26"/>
      <c r="K633" s="26"/>
      <c r="L633" s="24"/>
      <c r="M633" s="24"/>
      <c r="N633" s="26"/>
      <c r="O633" s="26"/>
      <c r="P633" s="26"/>
      <c r="Q633" s="26"/>
      <c r="R633" s="26"/>
      <c r="S633" s="26"/>
      <c r="T633" s="26"/>
      <c r="U633" s="26"/>
      <c r="V633" s="26"/>
      <c r="W633" s="26">
        <f>MAX($C$10-VLOOKUP($C633,COS!$B$8:$H$991,3,FALSE),0)</f>
        <v>95913.387451171875</v>
      </c>
      <c r="X633" s="26">
        <f t="shared" si="972"/>
        <v>5707.2428896565079</v>
      </c>
      <c r="Y633" s="26">
        <f>VLOOKUP($C633,COS!$B$8:$H$991,4,FALSE)</f>
        <v>1488.062255859375</v>
      </c>
      <c r="Z633" s="26">
        <f t="shared" si="973"/>
        <v>88.545853241219007</v>
      </c>
      <c r="AA633" s="26">
        <f t="shared" si="1014"/>
        <v>1488.062255859375</v>
      </c>
      <c r="AB633" s="33">
        <f t="shared" si="956"/>
        <v>44.272926620609503</v>
      </c>
    </row>
    <row r="634" spans="1:28" x14ac:dyDescent="0.3">
      <c r="A634" s="34">
        <f>VLOOKUP(YEAR(C634),Flags!$A$13:$B$95,2,FALSE)</f>
        <v>5</v>
      </c>
      <c r="B634" s="35">
        <f t="shared" si="951"/>
        <v>1990</v>
      </c>
      <c r="C634" s="36">
        <v>33238</v>
      </c>
      <c r="D634" s="37"/>
      <c r="E634" s="35"/>
      <c r="F634" s="37"/>
      <c r="G634" s="37"/>
      <c r="H634" s="37"/>
      <c r="I634" s="37"/>
      <c r="J634" s="37"/>
      <c r="K634" s="37"/>
      <c r="L634" s="35"/>
      <c r="M634" s="35"/>
      <c r="N634" s="37"/>
      <c r="O634" s="37"/>
      <c r="P634" s="37"/>
      <c r="Q634" s="37"/>
      <c r="R634" s="37"/>
      <c r="S634" s="37"/>
      <c r="T634" s="37"/>
      <c r="U634" s="37"/>
      <c r="V634" s="37"/>
      <c r="W634" s="37">
        <f>MAX($C$11-VLOOKUP($C634,COS!$B$8:$H$991,3,FALSE),0)</f>
        <v>0</v>
      </c>
      <c r="X634" s="37">
        <f t="shared" si="972"/>
        <v>0</v>
      </c>
      <c r="Y634" s="37">
        <f>VLOOKUP($C634,COS!$B$8:$H$991,4,FALSE)</f>
        <v>3086.0771484375</v>
      </c>
      <c r="Z634" s="37">
        <f t="shared" si="973"/>
        <v>189.75548747417355</v>
      </c>
      <c r="AA634" s="37">
        <f t="shared" si="1014"/>
        <v>0</v>
      </c>
      <c r="AB634" s="38">
        <f t="shared" si="956"/>
        <v>0</v>
      </c>
    </row>
    <row r="635" spans="1:28" x14ac:dyDescent="0.3">
      <c r="A635" s="27">
        <f>VLOOKUP(YEAR(C635),Flags!$A$13:$B$95,2,FALSE)</f>
        <v>5</v>
      </c>
      <c r="B635" s="28">
        <f t="shared" si="951"/>
        <v>1991</v>
      </c>
      <c r="C635" s="29">
        <v>33358</v>
      </c>
      <c r="D635" s="30">
        <f>VLOOKUP($C635,COS!$B$8:$H$991,3,FALSE)</f>
        <v>3250</v>
      </c>
      <c r="E635" s="28">
        <f>IF(D635&gt;=IF(MONTH($C635)=4,$C$3,IF(MONTH($C635)=5,$C$4,IF(MONTH($C635)=6,$C$5,IF(MONTH($C635)=7,$C$6,"ERROR")))),1,0)</f>
        <v>0</v>
      </c>
      <c r="F635" s="30">
        <f>VLOOKUP($C635,COS!$B$8:$H$991,7,FALSE)</f>
        <v>52.174777984619141</v>
      </c>
      <c r="G635" s="28">
        <f>IF(F635&lt;=IF(MONTH($C635)=4,$F$3,IF(MONTH($C635)=5,$F$4,IF(MONTH($C635)=6,$F$5,IF(MONTH($C635)=7,$F$6,"ERROR")))),1,0)</f>
        <v>1</v>
      </c>
      <c r="H635" s="30">
        <f>IF(J635=1,D635-$C$3,0)</f>
        <v>0</v>
      </c>
      <c r="I635" s="30">
        <f t="shared" si="982"/>
        <v>0</v>
      </c>
      <c r="J635" s="28">
        <f t="shared" ref="J635:J638" si="1017">IF(AND(E635=1,G635=1),1,0)</f>
        <v>0</v>
      </c>
      <c r="K635" s="30">
        <f>VLOOKUP($C635,COS!$B$8:$H$991,2,FALSE)</f>
        <v>2608.74365234375</v>
      </c>
      <c r="L635" s="28">
        <f t="shared" ref="L635" si="1018">IF(K635&lt;=IF(MONTH($C635)=4,$I$3,IF(MONTH($C635)=5,$I$4,IF(MONTH($C635)=6,$I$5,IF(MONTH($C635)=7,$I$6,"ERROR")))),1,0)</f>
        <v>1</v>
      </c>
      <c r="M635" s="28">
        <f t="shared" ref="M635" si="1019">VLOOKUP($A635,$L$3:$M$7,2,FALSE)</f>
        <v>1</v>
      </c>
      <c r="N635" s="30">
        <f>VLOOKUP($C635,COS!$B$8:$H$991,5,FALSE)</f>
        <v>99.786216735839844</v>
      </c>
      <c r="O635" s="30">
        <f t="shared" ref="O635:O638" si="1020">N635*DAY($C635)*86400/43560/1000</f>
        <v>5.9376922355210482</v>
      </c>
      <c r="P635" s="30">
        <f>VLOOKUP($C635,COS!$B$8:$H$991,6,FALSE)</f>
        <v>390.43963623046875</v>
      </c>
      <c r="Q635" s="30">
        <f t="shared" ref="Q635:Q638" si="1021">P635*DAY($C635)*86400/43560/1000</f>
        <v>23.232771742639464</v>
      </c>
      <c r="R635" s="30">
        <f>MIN(IF(MONTH($C635)=4,$S$3,IF(MONTH($C635)=5,$S$4,IF(MONTH($C635)=6,$S$5,IF(MONTH($C635)=7,$S$6,"ERROR")))),MAX(VLOOKUP($C635,COS!$B$8:$K$991,10,FALSE)-IF(MONTH($C635)=4,$Y$3,IF(MONTH($C635)=5,$Y$4,IF(MONTH($C635)=6,$Y$5,IF(MONTH($C635)=7,$Y$6,"ERROR")))),0),MAX(VLOOKUP($C635,COS!$B$8:$K$991,9,FALSE)-IF(MONTH($C635)=4,$V$3,IF(MONTH($C635)=5,$V$4,IF(MONTH($C635)=6,$V$5,IF(MONTH($C635)=7,$V$6,"ERROR"))))-VLOOKUP($C635,COS!$B$8:$K$991,6,FALSE)/2,0))</f>
        <v>1454.1971740722656</v>
      </c>
      <c r="S635" s="30">
        <f t="shared" ref="S635:S638" si="1022">R635*DAY($C635)*86400/43560/1000</f>
        <v>86.530740936531515</v>
      </c>
      <c r="T635" s="30">
        <f t="shared" ref="T635:T638" si="1023">(O635+Q635)/2+S635</f>
        <v>101.11597292561177</v>
      </c>
      <c r="U635" s="30" t="str">
        <f>IF(VLOOKUP($C635,COS!$B$8:$I$991,8,FALSE)=1,"UWFE","IBU")</f>
        <v>UWFE</v>
      </c>
      <c r="V635" s="30">
        <f t="shared" ref="V635" si="1024">MIN(IF(IF($AA$3=2,AND(E635=1,G635=1,L635=1,L640=1,M635=1,U635="IBU"),AND(E635=1,G635=1,L635=1,L640=1,M635=1)),T635,0),I635)</f>
        <v>0</v>
      </c>
      <c r="W635" s="30"/>
      <c r="X635" s="30"/>
      <c r="Y635" s="30"/>
      <c r="Z635" s="30"/>
      <c r="AA635" s="30"/>
      <c r="AB635" s="31"/>
    </row>
    <row r="636" spans="1:28" x14ac:dyDescent="0.3">
      <c r="A636" s="32">
        <f>VLOOKUP(YEAR(C636),Flags!$A$13:$B$95,2,FALSE)</f>
        <v>5</v>
      </c>
      <c r="B636" s="24">
        <f t="shared" si="951"/>
        <v>1991</v>
      </c>
      <c r="C636" s="25">
        <v>33389</v>
      </c>
      <c r="D636" s="26">
        <f>VLOOKUP($C636,COS!$B$8:$H$991,3,FALSE)</f>
        <v>6746.265625</v>
      </c>
      <c r="E636" s="24">
        <f>IF(D636&gt;=IF(MONTH($C636)=4,$C$3,IF(MONTH($C636)=5,$C$4,IF(MONTH($C636)=6,$C$5,IF(MONTH($C636)=7,$C$6,"ERROR")))),1,0)</f>
        <v>1</v>
      </c>
      <c r="F636" s="26">
        <f>VLOOKUP($C636,COS!$B$8:$H$991,7,FALSE)</f>
        <v>52.1820068359375</v>
      </c>
      <c r="G636" s="24">
        <f>IF(F636&lt;=IF(MONTH($C636)=4,$F$3,IF(MONTH($C636)=5,$F$4,IF(MONTH($C636)=6,$F$5,IF(MONTH($C636)=7,$F$6,"ERROR")))),1,0)</f>
        <v>1</v>
      </c>
      <c r="H636" s="26">
        <f>IF(J636=1,D636-$C$4,0)</f>
        <v>746.265625</v>
      </c>
      <c r="I636" s="26">
        <f t="shared" si="982"/>
        <v>45.886084710743802</v>
      </c>
      <c r="J636" s="24">
        <f t="shared" si="1017"/>
        <v>1</v>
      </c>
      <c r="K636" s="26">
        <f>VLOOKUP($C636,COS!$B$8:$H$991,2,FALSE)</f>
        <v>2510.05419921875</v>
      </c>
      <c r="L636" s="24">
        <f t="shared" si="944"/>
        <v>1</v>
      </c>
      <c r="M636" s="24">
        <f t="shared" si="945"/>
        <v>1</v>
      </c>
      <c r="N636" s="26">
        <f>VLOOKUP($C636,COS!$B$8:$H$991,5,FALSE)</f>
        <v>265.20388793945313</v>
      </c>
      <c r="O636" s="26">
        <f t="shared" si="1020"/>
        <v>16.306751456772986</v>
      </c>
      <c r="P636" s="26">
        <f>VLOOKUP($C636,COS!$B$8:$H$991,6,FALSE)</f>
        <v>2166.270751953125</v>
      </c>
      <c r="Q636" s="26">
        <f t="shared" si="1021"/>
        <v>133.19879664901859</v>
      </c>
      <c r="R636" s="26">
        <f>MIN(IF(MONTH($C636)=4,$S$3,IF(MONTH($C636)=5,$S$4,IF(MONTH($C636)=6,$S$5,IF(MONTH($C636)=7,$S$6,"ERROR")))),MAX(VLOOKUP($C636,COS!$B$8:$K$991,10,FALSE)-IF(MONTH($C636)=4,$Y$3,IF(MONTH($C636)=5,$Y$4,IF(MONTH($C636)=6,$Y$5,IF(MONTH($C636)=7,$Y$6,"ERROR")))),0),MAX(VLOOKUP($C636,COS!$B$8:$K$991,9,FALSE)-IF(MONTH($C636)=4,$V$3,IF(MONTH($C636)=5,$V$4,IF(MONTH($C636)=6,$V$5,IF(MONTH($C636)=7,$V$6,"ERROR"))))-VLOOKUP($C636,COS!$B$8:$K$991,6,FALSE)/2,0))</f>
        <v>1500</v>
      </c>
      <c r="S636" s="26">
        <f t="shared" si="1022"/>
        <v>92.231404958677686</v>
      </c>
      <c r="T636" s="26">
        <f t="shared" si="1023"/>
        <v>166.98417901157347</v>
      </c>
      <c r="U636" s="26" t="str">
        <f>IF(VLOOKUP($C636,COS!$B$8:$I$991,8,FALSE)=1,"UWFE","IBU")</f>
        <v>UWFE</v>
      </c>
      <c r="V636" s="26">
        <f t="shared" ref="V636" si="1025">MIN(IF(IF($AA$3=2,AND(E636=1,G636=1,L636=1,L640=1,M636=1,U636="IBU"),AND(E636=1,G636=1,L636=1,L640=1,M636=1)),T636,0),I636)</f>
        <v>0</v>
      </c>
      <c r="W636" s="26"/>
      <c r="X636" s="26"/>
      <c r="Y636" s="26"/>
      <c r="Z636" s="26"/>
      <c r="AA636" s="26"/>
      <c r="AB636" s="33"/>
    </row>
    <row r="637" spans="1:28" x14ac:dyDescent="0.3">
      <c r="A637" s="32">
        <f>VLOOKUP(YEAR(C637),Flags!$A$13:$B$95,2,FALSE)</f>
        <v>5</v>
      </c>
      <c r="B637" s="24">
        <f t="shared" si="951"/>
        <v>1991</v>
      </c>
      <c r="C637" s="25">
        <v>33419</v>
      </c>
      <c r="D637" s="26">
        <f>VLOOKUP($C637,COS!$B$8:$H$991,3,FALSE)</f>
        <v>7646.2861328125</v>
      </c>
      <c r="E637" s="24">
        <f>IF(D637&gt;=IF(MONTH($C637)=4,$C$3,IF(MONTH($C637)=5,$C$4,IF(MONTH($C637)=6,$C$5,IF(MONTH($C637)=7,$C$6,"ERROR")))),1,0)</f>
        <v>0</v>
      </c>
      <c r="F637" s="26">
        <f>VLOOKUP($C637,COS!$B$8:$H$991,7,FALSE)</f>
        <v>53.892311096191406</v>
      </c>
      <c r="G637" s="24">
        <f>IF(F637&lt;=IF(MONTH($C637)=4,$F$3,IF(MONTH($C637)=5,$F$4,IF(MONTH($C637)=6,$F$5,IF(MONTH($C637)=7,$F$6,"ERROR")))),1,0)</f>
        <v>1</v>
      </c>
      <c r="H637" s="26">
        <f>IF(J637=1,D637-$C$5,0)</f>
        <v>0</v>
      </c>
      <c r="I637" s="26">
        <f t="shared" si="982"/>
        <v>0</v>
      </c>
      <c r="J637" s="24">
        <f t="shared" si="1017"/>
        <v>0</v>
      </c>
      <c r="K637" s="26">
        <f>VLOOKUP($C637,COS!$B$8:$H$991,2,FALSE)</f>
        <v>2234.704833984375</v>
      </c>
      <c r="L637" s="24">
        <f t="shared" si="944"/>
        <v>1</v>
      </c>
      <c r="M637" s="24">
        <f t="shared" si="945"/>
        <v>1</v>
      </c>
      <c r="N637" s="26">
        <f>VLOOKUP($C637,COS!$B$8:$H$991,5,FALSE)</f>
        <v>362.696044921875</v>
      </c>
      <c r="O637" s="26">
        <f t="shared" si="1020"/>
        <v>21.581913416838844</v>
      </c>
      <c r="P637" s="26">
        <f>VLOOKUP($C637,COS!$B$8:$H$991,6,FALSE)</f>
        <v>2380.910888671875</v>
      </c>
      <c r="Q637" s="26">
        <f t="shared" si="1021"/>
        <v>141.67403635072316</v>
      </c>
      <c r="R637" s="26">
        <f>MIN(IF(MONTH($C637)=4,$S$3,IF(MONTH($C637)=5,$S$4,IF(MONTH($C637)=6,$S$5,IF(MONTH($C637)=7,$S$6,"ERROR")))),MAX(VLOOKUP($C637,COS!$B$8:$K$991,10,FALSE)-IF(MONTH($C637)=4,$Y$3,IF(MONTH($C637)=5,$Y$4,IF(MONTH($C637)=6,$Y$5,IF(MONTH($C637)=7,$Y$6,"ERROR")))),0),MAX(VLOOKUP($C637,COS!$B$8:$K$991,9,FALSE)-IF(MONTH($C637)=4,$V$3,IF(MONTH($C637)=5,$V$4,IF(MONTH($C637)=6,$V$5,IF(MONTH($C637)=7,$V$6,"ERROR"))))-VLOOKUP($C637,COS!$B$8:$K$991,6,FALSE)/2,0))</f>
        <v>1289.97314453125</v>
      </c>
      <c r="S637" s="26">
        <f t="shared" si="1022"/>
        <v>76.758732567148769</v>
      </c>
      <c r="T637" s="26">
        <f t="shared" si="1023"/>
        <v>158.38670745092978</v>
      </c>
      <c r="U637" s="26" t="str">
        <f>IF(VLOOKUP($C637,COS!$B$8:$I$991,8,FALSE)=1,"UWFE","IBU")</f>
        <v>IBU</v>
      </c>
      <c r="V637" s="26">
        <f t="shared" ref="V637" si="1026">MIN(IF(IF($AA$3=2,AND(E637=1,G637=1,L637=1,L640=1,M637=1,U637="IBU"),AND(E637=1,G637=1,L637=1,L640=1,M637=1)),T637,0),I637)</f>
        <v>0</v>
      </c>
      <c r="W637" s="26"/>
      <c r="X637" s="26"/>
      <c r="Y637" s="26"/>
      <c r="Z637" s="26"/>
      <c r="AA637" s="26"/>
      <c r="AB637" s="33"/>
    </row>
    <row r="638" spans="1:28" x14ac:dyDescent="0.3">
      <c r="A638" s="32">
        <f>VLOOKUP(YEAR(C638),Flags!$A$13:$B$95,2,FALSE)</f>
        <v>5</v>
      </c>
      <c r="B638" s="24">
        <f t="shared" si="951"/>
        <v>1991</v>
      </c>
      <c r="C638" s="25">
        <v>33450</v>
      </c>
      <c r="D638" s="26">
        <f>VLOOKUP($C638,COS!$B$8:$H$991,3,FALSE)</f>
        <v>8667.65625</v>
      </c>
      <c r="E638" s="24">
        <f>IF(D638&gt;=IF(MONTH($C638)=4,$C$3,IF(MONTH($C638)=5,$C$4,IF(MONTH($C638)=6,$C$5,IF(MONTH($C638)=7,$C$6,"ERROR")))),1,0)</f>
        <v>0</v>
      </c>
      <c r="F638" s="26">
        <f>VLOOKUP($C638,COS!$B$8:$H$991,7,FALSE)</f>
        <v>56.067035675048828</v>
      </c>
      <c r="G638" s="24">
        <f>IF(F638&lt;=IF(MONTH($C638)=4,$F$3,IF(MONTH($C638)=5,$F$4,IF(MONTH($C638)=6,$F$5,IF(MONTH($C638)=7,$F$6,"ERROR")))),1,0)</f>
        <v>0</v>
      </c>
      <c r="H638" s="26">
        <f>IF(J638=1,D638-$C$6,0)</f>
        <v>0</v>
      </c>
      <c r="I638" s="26">
        <f t="shared" si="982"/>
        <v>0</v>
      </c>
      <c r="J638" s="24">
        <f t="shared" si="1017"/>
        <v>0</v>
      </c>
      <c r="K638" s="26">
        <f>VLOOKUP($C638,COS!$B$8:$H$991,2,FALSE)</f>
        <v>1917.2408447265625</v>
      </c>
      <c r="L638" s="24">
        <f t="shared" si="944"/>
        <v>1</v>
      </c>
      <c r="M638" s="24">
        <f t="shared" si="945"/>
        <v>1</v>
      </c>
      <c r="N638" s="26">
        <f>VLOOKUP($C638,COS!$B$8:$H$991,5,FALSE)</f>
        <v>424.0916748046875</v>
      </c>
      <c r="O638" s="26">
        <f t="shared" si="1020"/>
        <v>26.076380665676655</v>
      </c>
      <c r="P638" s="26">
        <f>VLOOKUP($C638,COS!$B$8:$H$991,6,FALSE)</f>
        <v>2281.4833984375</v>
      </c>
      <c r="Q638" s="26">
        <f t="shared" si="1021"/>
        <v>140.28294615185951</v>
      </c>
      <c r="R638" s="26">
        <f>MIN(IF(MONTH($C638)=4,$S$3,IF(MONTH($C638)=5,$S$4,IF(MONTH($C638)=6,$S$5,IF(MONTH($C638)=7,$S$6,"ERROR")))),MAX(VLOOKUP($C638,COS!$B$8:$K$991,10,FALSE)-IF(MONTH($C638)=4,$Y$3,IF(MONTH($C638)=5,$Y$4,IF(MONTH($C638)=6,$Y$5,IF(MONTH($C638)=7,$Y$6,"ERROR")))),0),MAX(VLOOKUP($C638,COS!$B$8:$K$991,9,FALSE)-IF(MONTH($C638)=4,$V$3,IF(MONTH($C638)=5,$V$4,IF(MONTH($C638)=6,$V$5,IF(MONTH($C638)=7,$V$6,"ERROR"))))-VLOOKUP($C638,COS!$B$8:$K$991,6,FALSE)/2,0))</f>
        <v>1500</v>
      </c>
      <c r="S638" s="26">
        <f t="shared" si="1022"/>
        <v>92.231404958677686</v>
      </c>
      <c r="T638" s="26">
        <f t="shared" si="1023"/>
        <v>175.41106836744575</v>
      </c>
      <c r="U638" s="26" t="str">
        <f>IF(VLOOKUP($C638,COS!$B$8:$I$991,8,FALSE)=1,"UWFE","IBU")</f>
        <v>IBU</v>
      </c>
      <c r="V638" s="26">
        <f t="shared" ref="V638" si="1027">MIN(IF(IF($AA$3=2,AND(E638=1,G638=1,L638=1,L640=1,M638=1,U638="IBU"),AND(E638=1,G638=1,L638=1,L640=1,M638=1)),T638,0),I638)</f>
        <v>0</v>
      </c>
      <c r="W638" s="26"/>
      <c r="X638" s="26"/>
      <c r="Y638" s="26"/>
      <c r="Z638" s="26"/>
      <c r="AA638" s="26"/>
      <c r="AB638" s="33"/>
    </row>
    <row r="639" spans="1:28" x14ac:dyDescent="0.3">
      <c r="A639" s="32">
        <f>VLOOKUP(YEAR(C639),Flags!$A$13:$B$95,2,FALSE)</f>
        <v>5</v>
      </c>
      <c r="B639" s="24">
        <f t="shared" si="951"/>
        <v>1991</v>
      </c>
      <c r="C639" s="25">
        <v>33481</v>
      </c>
      <c r="D639" s="26"/>
      <c r="E639" s="24"/>
      <c r="F639" s="26"/>
      <c r="G639" s="24"/>
      <c r="H639" s="24"/>
      <c r="I639" s="26"/>
      <c r="J639" s="24"/>
      <c r="K639" s="26"/>
      <c r="L639" s="24"/>
      <c r="M639" s="24"/>
      <c r="N639" s="26"/>
      <c r="O639" s="26"/>
      <c r="P639" s="26"/>
      <c r="Q639" s="26"/>
      <c r="R639" s="26"/>
      <c r="S639" s="26"/>
      <c r="T639" s="26"/>
      <c r="U639" s="26"/>
      <c r="V639" s="26"/>
      <c r="W639" s="26">
        <f>MAX($C$7-VLOOKUP($C639,COS!$B$8:$H$991,3,FALSE),0)</f>
        <v>93270.849609375</v>
      </c>
      <c r="X639" s="26">
        <f t="shared" si="972"/>
        <v>5735.0010007747933</v>
      </c>
      <c r="Y639" s="26">
        <f>VLOOKUP($C639,COS!$B$8:$H$991,4,FALSE)</f>
        <v>3158.24462890625</v>
      </c>
      <c r="Z639" s="26">
        <f t="shared" si="973"/>
        <v>194.19289288481406</v>
      </c>
      <c r="AA639" s="26">
        <f t="shared" ref="AA639:AA643" si="1028">MIN(W639,Y639)</f>
        <v>3158.24462890625</v>
      </c>
      <c r="AB639" s="33">
        <f t="shared" ref="AB639" si="1029">AA639*DAY($C639)*86400/43560/1000*IF(MONTH($C639)=8,$P$3,IF(MONTH($C639)=9,$P$4,IF(MONTH($C639)=10,$P$5,IF(MONTH($C639)=11,$P$6,IF(MONTH($C639)=12,$P$7,NA())))))</f>
        <v>194.19289288481406</v>
      </c>
    </row>
    <row r="640" spans="1:28" x14ac:dyDescent="0.3">
      <c r="A640" s="32">
        <f>VLOOKUP(YEAR(C640),Flags!$A$13:$B$95,2,FALSE)</f>
        <v>5</v>
      </c>
      <c r="B640" s="24">
        <f t="shared" si="951"/>
        <v>1991</v>
      </c>
      <c r="C640" s="25">
        <v>33511</v>
      </c>
      <c r="D640" s="26"/>
      <c r="E640" s="24"/>
      <c r="F640" s="26"/>
      <c r="G640" s="24"/>
      <c r="H640" s="24"/>
      <c r="I640" s="26"/>
      <c r="J640" s="24"/>
      <c r="K640" s="26">
        <f>VLOOKUP($C640,COS!$B$8:$H$991,2,FALSE)</f>
        <v>1656.5145263671875</v>
      </c>
      <c r="L640" s="24">
        <f t="shared" ref="L640" si="1030">IF(AND(K640&gt;$I$7,K640&lt;$I$8),1,0)</f>
        <v>1</v>
      </c>
      <c r="M640" s="24"/>
      <c r="N640" s="26"/>
      <c r="O640" s="26"/>
      <c r="P640" s="26"/>
      <c r="Q640" s="26"/>
      <c r="R640" s="26"/>
      <c r="S640" s="26"/>
      <c r="T640" s="26"/>
      <c r="U640" s="26"/>
      <c r="V640" s="26"/>
      <c r="W640" s="26">
        <f>MAX($C$8-VLOOKUP($C640,COS!$B$8:$H$991,3,FALSE),0)</f>
        <v>95645.72998046875</v>
      </c>
      <c r="X640" s="26">
        <f t="shared" si="972"/>
        <v>5691.3161641270653</v>
      </c>
      <c r="Y640" s="26">
        <f>VLOOKUP($C640,COS!$B$8:$H$991,4,FALSE)</f>
        <v>2165.95703125</v>
      </c>
      <c r="Z640" s="26">
        <f t="shared" si="973"/>
        <v>128.88339359504133</v>
      </c>
      <c r="AA640" s="26">
        <f t="shared" si="1028"/>
        <v>2165.95703125</v>
      </c>
      <c r="AB640" s="33">
        <f t="shared" si="956"/>
        <v>128.88339359504133</v>
      </c>
    </row>
    <row r="641" spans="1:28" x14ac:dyDescent="0.3">
      <c r="A641" s="32">
        <f>VLOOKUP(YEAR(C641),Flags!$A$13:$B$95,2,FALSE)</f>
        <v>5</v>
      </c>
      <c r="B641" s="24">
        <f t="shared" si="951"/>
        <v>1991</v>
      </c>
      <c r="C641" s="25">
        <v>33542</v>
      </c>
      <c r="D641" s="26"/>
      <c r="E641" s="24"/>
      <c r="F641" s="26"/>
      <c r="G641" s="26"/>
      <c r="H641" s="26"/>
      <c r="I641" s="26"/>
      <c r="J641" s="26"/>
      <c r="K641" s="26"/>
      <c r="L641" s="24"/>
      <c r="M641" s="24"/>
      <c r="N641" s="26"/>
      <c r="O641" s="26"/>
      <c r="P641" s="26"/>
      <c r="Q641" s="26"/>
      <c r="R641" s="26"/>
      <c r="S641" s="26"/>
      <c r="T641" s="26"/>
      <c r="U641" s="26"/>
      <c r="V641" s="26"/>
      <c r="W641" s="26">
        <f>MAX($C$9-VLOOKUP($C641,COS!$B$8:$H$991,3,FALSE),0)</f>
        <v>94862.1748046875</v>
      </c>
      <c r="X641" s="26">
        <f t="shared" si="972"/>
        <v>5832.8477731146695</v>
      </c>
      <c r="Y641" s="26">
        <f>VLOOKUP($C641,COS!$B$8:$H$991,4,FALSE)</f>
        <v>1365.7271728515625</v>
      </c>
      <c r="Z641" s="26">
        <f t="shared" si="973"/>
        <v>83.975290628228308</v>
      </c>
      <c r="AA641" s="26">
        <f t="shared" si="1028"/>
        <v>1365.7271728515625</v>
      </c>
      <c r="AB641" s="33">
        <f t="shared" si="956"/>
        <v>83.975290628228308</v>
      </c>
    </row>
    <row r="642" spans="1:28" x14ac:dyDescent="0.3">
      <c r="A642" s="32">
        <f>VLOOKUP(YEAR(C642),Flags!$A$13:$B$95,2,FALSE)</f>
        <v>5</v>
      </c>
      <c r="B642" s="24">
        <f t="shared" si="951"/>
        <v>1991</v>
      </c>
      <c r="C642" s="25">
        <v>33572</v>
      </c>
      <c r="D642" s="26"/>
      <c r="E642" s="24"/>
      <c r="F642" s="26"/>
      <c r="G642" s="26"/>
      <c r="H642" s="26"/>
      <c r="I642" s="26"/>
      <c r="J642" s="26"/>
      <c r="K642" s="26"/>
      <c r="L642" s="24"/>
      <c r="M642" s="24"/>
      <c r="N642" s="26"/>
      <c r="O642" s="26"/>
      <c r="P642" s="26"/>
      <c r="Q642" s="26"/>
      <c r="R642" s="26"/>
      <c r="S642" s="26"/>
      <c r="T642" s="26"/>
      <c r="U642" s="26"/>
      <c r="V642" s="26"/>
      <c r="W642" s="26">
        <f>MAX($C$10-VLOOKUP($C642,COS!$B$8:$H$991,3,FALSE),0)</f>
        <v>94541.99853515625</v>
      </c>
      <c r="X642" s="26">
        <f t="shared" si="972"/>
        <v>5625.6395822572313</v>
      </c>
      <c r="Y642" s="26">
        <f>VLOOKUP($C642,COS!$B$8:$H$991,4,FALSE)</f>
        <v>1633.0859375</v>
      </c>
      <c r="Z642" s="26">
        <f t="shared" si="973"/>
        <v>97.175361570247929</v>
      </c>
      <c r="AA642" s="26">
        <f t="shared" si="1028"/>
        <v>1633.0859375</v>
      </c>
      <c r="AB642" s="33">
        <f t="shared" si="956"/>
        <v>48.587680785123965</v>
      </c>
    </row>
    <row r="643" spans="1:28" x14ac:dyDescent="0.3">
      <c r="A643" s="34">
        <f>VLOOKUP(YEAR(C643),Flags!$A$13:$B$95,2,FALSE)</f>
        <v>5</v>
      </c>
      <c r="B643" s="35">
        <f t="shared" si="951"/>
        <v>1991</v>
      </c>
      <c r="C643" s="36">
        <v>33603</v>
      </c>
      <c r="D643" s="37"/>
      <c r="E643" s="35"/>
      <c r="F643" s="37"/>
      <c r="G643" s="37"/>
      <c r="H643" s="37"/>
      <c r="I643" s="37"/>
      <c r="J643" s="37"/>
      <c r="K643" s="37"/>
      <c r="L643" s="35"/>
      <c r="M643" s="35"/>
      <c r="N643" s="37"/>
      <c r="O643" s="37"/>
      <c r="P643" s="37"/>
      <c r="Q643" s="37"/>
      <c r="R643" s="37"/>
      <c r="S643" s="37"/>
      <c r="T643" s="37"/>
      <c r="U643" s="37"/>
      <c r="V643" s="37"/>
      <c r="W643" s="37">
        <f>MAX($C$11-VLOOKUP($C643,COS!$B$8:$H$991,3,FALSE),0)</f>
        <v>0</v>
      </c>
      <c r="X643" s="37">
        <f t="shared" si="972"/>
        <v>0</v>
      </c>
      <c r="Y643" s="37">
        <f>VLOOKUP($C643,COS!$B$8:$H$991,4,FALSE)</f>
        <v>3048.85693359375</v>
      </c>
      <c r="Z643" s="37">
        <f t="shared" si="973"/>
        <v>187.46690566890496</v>
      </c>
      <c r="AA643" s="37">
        <f t="shared" si="1028"/>
        <v>0</v>
      </c>
      <c r="AB643" s="38">
        <f t="shared" si="956"/>
        <v>0</v>
      </c>
    </row>
    <row r="644" spans="1:28" x14ac:dyDescent="0.3">
      <c r="A644" s="27">
        <f>VLOOKUP(YEAR(C644),Flags!$A$13:$B$95,2,FALSE)</f>
        <v>5</v>
      </c>
      <c r="B644" s="28">
        <f t="shared" si="951"/>
        <v>1992</v>
      </c>
      <c r="C644" s="29">
        <v>33724</v>
      </c>
      <c r="D644" s="30">
        <f>VLOOKUP($C644,COS!$B$8:$H$991,3,FALSE)</f>
        <v>3250</v>
      </c>
      <c r="E644" s="28">
        <f>IF(D644&gt;=IF(MONTH($C644)=4,$C$3,IF(MONTH($C644)=5,$C$4,IF(MONTH($C644)=6,$C$5,IF(MONTH($C644)=7,$C$6,"ERROR")))),1,0)</f>
        <v>0</v>
      </c>
      <c r="F644" s="30">
        <f>VLOOKUP($C644,COS!$B$8:$H$991,7,FALSE)</f>
        <v>52.492954254150391</v>
      </c>
      <c r="G644" s="28">
        <f>IF(F644&lt;=IF(MONTH($C644)=4,$F$3,IF(MONTH($C644)=5,$F$4,IF(MONTH($C644)=6,$F$5,IF(MONTH($C644)=7,$F$6,"ERROR")))),1,0)</f>
        <v>1</v>
      </c>
      <c r="H644" s="30">
        <f>IF(J644=1,D644-$C$3,0)</f>
        <v>0</v>
      </c>
      <c r="I644" s="30">
        <f t="shared" si="982"/>
        <v>0</v>
      </c>
      <c r="J644" s="28">
        <f t="shared" ref="J644:J647" si="1031">IF(AND(E644=1,G644=1),1,0)</f>
        <v>0</v>
      </c>
      <c r="K644" s="30">
        <f>VLOOKUP($C644,COS!$B$8:$H$991,2,FALSE)</f>
        <v>2746.148681640625</v>
      </c>
      <c r="L644" s="28">
        <f t="shared" ref="L644" si="1032">IF(K644&lt;=IF(MONTH($C644)=4,$I$3,IF(MONTH($C644)=5,$I$4,IF(MONTH($C644)=6,$I$5,IF(MONTH($C644)=7,$I$6,"ERROR")))),1,0)</f>
        <v>1</v>
      </c>
      <c r="M644" s="28">
        <f t="shared" ref="M644" si="1033">VLOOKUP($A644,$L$3:$M$7,2,FALSE)</f>
        <v>1</v>
      </c>
      <c r="N644" s="30">
        <f>VLOOKUP($C644,COS!$B$8:$H$991,5,FALSE)</f>
        <v>32.692440032958984</v>
      </c>
      <c r="O644" s="30">
        <f t="shared" ref="O644:O647" si="1034">N644*DAY($C644)*86400/43560/1000</f>
        <v>1.9453352746884685</v>
      </c>
      <c r="P644" s="30">
        <f>VLOOKUP($C644,COS!$B$8:$H$991,6,FALSE)</f>
        <v>421.25204467773438</v>
      </c>
      <c r="Q644" s="30">
        <f t="shared" ref="Q644:Q647" si="1035">P644*DAY($C644)*86400/43560/1000</f>
        <v>25.066237369253617</v>
      </c>
      <c r="R644" s="30">
        <f>MIN(IF(MONTH($C644)=4,$S$3,IF(MONTH($C644)=5,$S$4,IF(MONTH($C644)=6,$S$5,IF(MONTH($C644)=7,$S$6,"ERROR")))),MAX(VLOOKUP($C644,COS!$B$8:$K$991,10,FALSE)-IF(MONTH($C644)=4,$Y$3,IF(MONTH($C644)=5,$Y$4,IF(MONTH($C644)=6,$Y$5,IF(MONTH($C644)=7,$Y$6,"ERROR")))),0),MAX(VLOOKUP($C644,COS!$B$8:$K$991,9,FALSE)-IF(MONTH($C644)=4,$V$3,IF(MONTH($C644)=5,$V$4,IF(MONTH($C644)=6,$V$5,IF(MONTH($C644)=7,$V$6,"ERROR"))))-VLOOKUP($C644,COS!$B$8:$K$991,6,FALSE)/2,0))</f>
        <v>1500</v>
      </c>
      <c r="S644" s="30">
        <f t="shared" ref="S644:S647" si="1036">R644*DAY($C644)*86400/43560/1000</f>
        <v>89.256198347107429</v>
      </c>
      <c r="T644" s="30">
        <f t="shared" ref="T644:T647" si="1037">(O644+Q644)/2+S644</f>
        <v>102.76198466907847</v>
      </c>
      <c r="U644" s="30" t="str">
        <f>IF(VLOOKUP($C644,COS!$B$8:$I$991,8,FALSE)=1,"UWFE","IBU")</f>
        <v>UWFE</v>
      </c>
      <c r="V644" s="30">
        <f t="shared" ref="V644" si="1038">MIN(IF(IF($AA$3=2,AND(E644=1,G644=1,L644=1,L649=1,M644=1,U644="IBU"),AND(E644=1,G644=1,L644=1,L649=1,M644=1)),T644,0),I644)</f>
        <v>0</v>
      </c>
      <c r="W644" s="30"/>
      <c r="X644" s="30"/>
      <c r="Y644" s="30"/>
      <c r="Z644" s="30"/>
      <c r="AA644" s="30"/>
      <c r="AB644" s="31"/>
    </row>
    <row r="645" spans="1:28" x14ac:dyDescent="0.3">
      <c r="A645" s="32">
        <f>VLOOKUP(YEAR(C645),Flags!$A$13:$B$95,2,FALSE)</f>
        <v>5</v>
      </c>
      <c r="B645" s="24">
        <f t="shared" si="951"/>
        <v>1992</v>
      </c>
      <c r="C645" s="25">
        <v>33755</v>
      </c>
      <c r="D645" s="26">
        <f>VLOOKUP($C645,COS!$B$8:$H$991,3,FALSE)</f>
        <v>8644.7744140625</v>
      </c>
      <c r="E645" s="24">
        <f>IF(D645&gt;=IF(MONTH($C645)=4,$C$3,IF(MONTH($C645)=5,$C$4,IF(MONTH($C645)=6,$C$5,IF(MONTH($C645)=7,$C$6,"ERROR")))),1,0)</f>
        <v>1</v>
      </c>
      <c r="F645" s="26">
        <f>VLOOKUP($C645,COS!$B$8:$H$991,7,FALSE)</f>
        <v>52.123382568359375</v>
      </c>
      <c r="G645" s="24">
        <f>IF(F645&lt;=IF(MONTH($C645)=4,$F$3,IF(MONTH($C645)=5,$F$4,IF(MONTH($C645)=6,$F$5,IF(MONTH($C645)=7,$F$6,"ERROR")))),1,0)</f>
        <v>1</v>
      </c>
      <c r="H645" s="26">
        <f>IF(J645=1,D645-$C$4,0)</f>
        <v>2644.7744140625</v>
      </c>
      <c r="I645" s="26">
        <f t="shared" si="982"/>
        <v>162.62084000516529</v>
      </c>
      <c r="J645" s="24">
        <f t="shared" si="1031"/>
        <v>1</v>
      </c>
      <c r="K645" s="26">
        <f>VLOOKUP($C645,COS!$B$8:$H$991,2,FALSE)</f>
        <v>2460.489501953125</v>
      </c>
      <c r="L645" s="24">
        <f t="shared" si="944"/>
        <v>1</v>
      </c>
      <c r="M645" s="24">
        <f t="shared" si="945"/>
        <v>1</v>
      </c>
      <c r="N645" s="26">
        <f>VLOOKUP($C645,COS!$B$8:$H$991,5,FALSE)</f>
        <v>10.813337326049805</v>
      </c>
      <c r="O645" s="26">
        <f t="shared" si="1034"/>
        <v>0.66488619591578968</v>
      </c>
      <c r="P645" s="26">
        <f>VLOOKUP($C645,COS!$B$8:$H$991,6,FALSE)</f>
        <v>2317.093994140625</v>
      </c>
      <c r="Q645" s="26">
        <f t="shared" si="1035"/>
        <v>142.47255633393593</v>
      </c>
      <c r="R645" s="26">
        <f>MIN(IF(MONTH($C645)=4,$S$3,IF(MONTH($C645)=5,$S$4,IF(MONTH($C645)=6,$S$5,IF(MONTH($C645)=7,$S$6,"ERROR")))),MAX(VLOOKUP($C645,COS!$B$8:$K$991,10,FALSE)-IF(MONTH($C645)=4,$Y$3,IF(MONTH($C645)=5,$Y$4,IF(MONTH($C645)=6,$Y$5,IF(MONTH($C645)=7,$Y$6,"ERROR")))),0),MAX(VLOOKUP($C645,COS!$B$8:$K$991,9,FALSE)-IF(MONTH($C645)=4,$V$3,IF(MONTH($C645)=5,$V$4,IF(MONTH($C645)=6,$V$5,IF(MONTH($C645)=7,$V$6,"ERROR"))))-VLOOKUP($C645,COS!$B$8:$K$991,6,FALSE)/2,0))</f>
        <v>1500</v>
      </c>
      <c r="S645" s="26">
        <f t="shared" si="1036"/>
        <v>92.231404958677686</v>
      </c>
      <c r="T645" s="26">
        <f t="shared" si="1037"/>
        <v>163.80012622360354</v>
      </c>
      <c r="U645" s="26" t="str">
        <f>IF(VLOOKUP($C645,COS!$B$8:$I$991,8,FALSE)=1,"UWFE","IBU")</f>
        <v>IBU</v>
      </c>
      <c r="V645" s="26">
        <f t="shared" ref="V645" si="1039">MIN(IF(IF($AA$3=2,AND(E645=1,G645=1,L645=1,L649=1,M645=1,U645="IBU"),AND(E645=1,G645=1,L645=1,L649=1,M645=1)),T645,0),I645)</f>
        <v>162.62084000516529</v>
      </c>
      <c r="W645" s="26"/>
      <c r="X645" s="26"/>
      <c r="Y645" s="26"/>
      <c r="Z645" s="26"/>
      <c r="AA645" s="26"/>
      <c r="AB645" s="33"/>
    </row>
    <row r="646" spans="1:28" x14ac:dyDescent="0.3">
      <c r="A646" s="32">
        <f>VLOOKUP(YEAR(C646),Flags!$A$13:$B$95,2,FALSE)</f>
        <v>5</v>
      </c>
      <c r="B646" s="24">
        <f t="shared" si="951"/>
        <v>1992</v>
      </c>
      <c r="C646" s="25">
        <v>33785</v>
      </c>
      <c r="D646" s="26">
        <f>VLOOKUP($C646,COS!$B$8:$H$991,3,FALSE)</f>
        <v>10366.1689453125</v>
      </c>
      <c r="E646" s="24">
        <f>IF(D646&gt;=IF(MONTH($C646)=4,$C$3,IF(MONTH($C646)=5,$C$4,IF(MONTH($C646)=6,$C$5,IF(MONTH($C646)=7,$C$6,"ERROR")))),1,0)</f>
        <v>1</v>
      </c>
      <c r="F646" s="26">
        <f>VLOOKUP($C646,COS!$B$8:$H$991,7,FALSE)</f>
        <v>53.589008331298828</v>
      </c>
      <c r="G646" s="24">
        <f>IF(F646&lt;=IF(MONTH($C646)=4,$F$3,IF(MONTH($C646)=5,$F$4,IF(MONTH($C646)=6,$F$5,IF(MONTH($C646)=7,$F$6,"ERROR")))),1,0)</f>
        <v>1</v>
      </c>
      <c r="H646" s="26">
        <f>IF(J646=1,D646-$C$5,0)</f>
        <v>366.1689453125</v>
      </c>
      <c r="I646" s="26">
        <f t="shared" si="982"/>
        <v>21.788565340909091</v>
      </c>
      <c r="J646" s="24">
        <f t="shared" si="1031"/>
        <v>1</v>
      </c>
      <c r="K646" s="26">
        <f>VLOOKUP($C646,COS!$B$8:$H$991,2,FALSE)</f>
        <v>2027.753173828125</v>
      </c>
      <c r="L646" s="24">
        <f t="shared" si="944"/>
        <v>1</v>
      </c>
      <c r="M646" s="24">
        <f t="shared" si="945"/>
        <v>1</v>
      </c>
      <c r="N646" s="26">
        <f>VLOOKUP($C646,COS!$B$8:$H$991,5,FALSE)</f>
        <v>98.261642456054688</v>
      </c>
      <c r="O646" s="26">
        <f t="shared" si="1034"/>
        <v>5.8469737659801142</v>
      </c>
      <c r="P646" s="26">
        <f>VLOOKUP($C646,COS!$B$8:$H$991,6,FALSE)</f>
        <v>2327.949951171875</v>
      </c>
      <c r="Q646" s="26">
        <f t="shared" si="1035"/>
        <v>138.52264172262394</v>
      </c>
      <c r="R646" s="26">
        <f>MIN(IF(MONTH($C646)=4,$S$3,IF(MONTH($C646)=5,$S$4,IF(MONTH($C646)=6,$S$5,IF(MONTH($C646)=7,$S$6,"ERROR")))),MAX(VLOOKUP($C646,COS!$B$8:$K$991,10,FALSE)-IF(MONTH($C646)=4,$Y$3,IF(MONTH($C646)=5,$Y$4,IF(MONTH($C646)=6,$Y$5,IF(MONTH($C646)=7,$Y$6,"ERROR")))),0),MAX(VLOOKUP($C646,COS!$B$8:$K$991,9,FALSE)-IF(MONTH($C646)=4,$V$3,IF(MONTH($C646)=5,$V$4,IF(MONTH($C646)=6,$V$5,IF(MONTH($C646)=7,$V$6,"ERROR"))))-VLOOKUP($C646,COS!$B$8:$K$991,6,FALSE)/2,0))</f>
        <v>1500</v>
      </c>
      <c r="S646" s="26">
        <f t="shared" si="1036"/>
        <v>89.256198347107429</v>
      </c>
      <c r="T646" s="26">
        <f t="shared" si="1037"/>
        <v>161.44100609140946</v>
      </c>
      <c r="U646" s="26" t="str">
        <f>IF(VLOOKUP($C646,COS!$B$8:$I$991,8,FALSE)=1,"UWFE","IBU")</f>
        <v>IBU</v>
      </c>
      <c r="V646" s="26">
        <f t="shared" ref="V646" si="1040">MIN(IF(IF($AA$3=2,AND(E646=1,G646=1,L646=1,L649=1,M646=1,U646="IBU"),AND(E646=1,G646=1,L646=1,L649=1,M646=1)),T646,0),I646)</f>
        <v>21.788565340909091</v>
      </c>
      <c r="W646" s="26"/>
      <c r="X646" s="26"/>
      <c r="Y646" s="26"/>
      <c r="Z646" s="26"/>
      <c r="AA646" s="26"/>
      <c r="AB646" s="33"/>
    </row>
    <row r="647" spans="1:28" x14ac:dyDescent="0.3">
      <c r="A647" s="32">
        <f>VLOOKUP(YEAR(C647),Flags!$A$13:$B$95,2,FALSE)</f>
        <v>5</v>
      </c>
      <c r="B647" s="24">
        <f t="shared" si="951"/>
        <v>1992</v>
      </c>
      <c r="C647" s="25">
        <v>33816</v>
      </c>
      <c r="D647" s="26">
        <f>VLOOKUP($C647,COS!$B$8:$H$991,3,FALSE)</f>
        <v>9934.8115234375</v>
      </c>
      <c r="E647" s="24">
        <f>IF(D647&gt;=IF(MONTH($C647)=4,$C$3,IF(MONTH($C647)=5,$C$4,IF(MONTH($C647)=6,$C$5,IF(MONTH($C647)=7,$C$6,"ERROR")))),1,0)</f>
        <v>0</v>
      </c>
      <c r="F647" s="26">
        <f>VLOOKUP($C647,COS!$B$8:$H$991,7,FALSE)</f>
        <v>55.741245269775391</v>
      </c>
      <c r="G647" s="24">
        <f>IF(F647&lt;=IF(MONTH($C647)=4,$F$3,IF(MONTH($C647)=5,$F$4,IF(MONTH($C647)=6,$F$5,IF(MONTH($C647)=7,$F$6,"ERROR")))),1,0)</f>
        <v>0</v>
      </c>
      <c r="H647" s="26">
        <f>IF(J647=1,D647-$C$6,0)</f>
        <v>0</v>
      </c>
      <c r="I647" s="26">
        <f t="shared" si="982"/>
        <v>0</v>
      </c>
      <c r="J647" s="24">
        <f t="shared" si="1031"/>
        <v>0</v>
      </c>
      <c r="K647" s="26">
        <f>VLOOKUP($C647,COS!$B$8:$H$991,2,FALSE)</f>
        <v>1648.2286376953125</v>
      </c>
      <c r="L647" s="24">
        <f t="shared" si="944"/>
        <v>1</v>
      </c>
      <c r="M647" s="24">
        <f t="shared" si="945"/>
        <v>1</v>
      </c>
      <c r="N647" s="26">
        <f>VLOOKUP($C647,COS!$B$8:$H$991,5,FALSE)</f>
        <v>123.65061187744141</v>
      </c>
      <c r="O647" s="26">
        <f t="shared" si="1034"/>
        <v>7.6029797716377194</v>
      </c>
      <c r="P647" s="26">
        <f>VLOOKUP($C647,COS!$B$8:$H$991,6,FALSE)</f>
        <v>2316.5048828125</v>
      </c>
      <c r="Q647" s="26">
        <f t="shared" si="1035"/>
        <v>142.43633329028924</v>
      </c>
      <c r="R647" s="26">
        <f>MIN(IF(MONTH($C647)=4,$S$3,IF(MONTH($C647)=5,$S$4,IF(MONTH($C647)=6,$S$5,IF(MONTH($C647)=7,$S$6,"ERROR")))),MAX(VLOOKUP($C647,COS!$B$8:$K$991,10,FALSE)-IF(MONTH($C647)=4,$Y$3,IF(MONTH($C647)=5,$Y$4,IF(MONTH($C647)=6,$Y$5,IF(MONTH($C647)=7,$Y$6,"ERROR")))),0),MAX(VLOOKUP($C647,COS!$B$8:$K$991,9,FALSE)-IF(MONTH($C647)=4,$V$3,IF(MONTH($C647)=5,$V$4,IF(MONTH($C647)=6,$V$5,IF(MONTH($C647)=7,$V$6,"ERROR"))))-VLOOKUP($C647,COS!$B$8:$K$991,6,FALSE)/2,0))</f>
        <v>1500</v>
      </c>
      <c r="S647" s="26">
        <f t="shared" si="1036"/>
        <v>92.231404958677686</v>
      </c>
      <c r="T647" s="26">
        <f t="shared" si="1037"/>
        <v>167.25106148964116</v>
      </c>
      <c r="U647" s="26" t="str">
        <f>IF(VLOOKUP($C647,COS!$B$8:$I$991,8,FALSE)=1,"UWFE","IBU")</f>
        <v>IBU</v>
      </c>
      <c r="V647" s="26">
        <f t="shared" ref="V647" si="1041">MIN(IF(IF($AA$3=2,AND(E647=1,G647=1,L647=1,L649=1,M647=1,U647="IBU"),AND(E647=1,G647=1,L647=1,L649=1,M647=1)),T647,0),I647)</f>
        <v>0</v>
      </c>
      <c r="W647" s="26"/>
      <c r="X647" s="26"/>
      <c r="Y647" s="26"/>
      <c r="Z647" s="26"/>
      <c r="AA647" s="26"/>
      <c r="AB647" s="33"/>
    </row>
    <row r="648" spans="1:28" x14ac:dyDescent="0.3">
      <c r="A648" s="32">
        <f>VLOOKUP(YEAR(C648),Flags!$A$13:$B$95,2,FALSE)</f>
        <v>5</v>
      </c>
      <c r="B648" s="24">
        <f t="shared" si="951"/>
        <v>1992</v>
      </c>
      <c r="C648" s="25">
        <v>33847</v>
      </c>
      <c r="D648" s="26"/>
      <c r="E648" s="24"/>
      <c r="F648" s="26"/>
      <c r="G648" s="24"/>
      <c r="H648" s="24"/>
      <c r="I648" s="26"/>
      <c r="J648" s="24"/>
      <c r="K648" s="26"/>
      <c r="L648" s="24"/>
      <c r="M648" s="24"/>
      <c r="N648" s="26"/>
      <c r="O648" s="26"/>
      <c r="P648" s="26"/>
      <c r="Q648" s="26"/>
      <c r="R648" s="26"/>
      <c r="S648" s="26"/>
      <c r="T648" s="26"/>
      <c r="U648" s="26"/>
      <c r="V648" s="26"/>
      <c r="W648" s="26">
        <f>MAX($C$7-VLOOKUP($C648,COS!$B$8:$H$991,3,FALSE),0)</f>
        <v>92619.11181640625</v>
      </c>
      <c r="X648" s="26">
        <f t="shared" si="972"/>
        <v>5694.9272059013438</v>
      </c>
      <c r="Y648" s="26">
        <f>VLOOKUP($C648,COS!$B$8:$H$991,4,FALSE)</f>
        <v>2159.716552734375</v>
      </c>
      <c r="Z648" s="26">
        <f t="shared" si="973"/>
        <v>132.79579464746902</v>
      </c>
      <c r="AA648" s="26">
        <f t="shared" ref="AA648:AA652" si="1042">MIN(W648,Y648)</f>
        <v>2159.716552734375</v>
      </c>
      <c r="AB648" s="33">
        <f t="shared" ref="AB648" si="1043">AA648*DAY($C648)*86400/43560/1000*IF(MONTH($C648)=8,$P$3,IF(MONTH($C648)=9,$P$4,IF(MONTH($C648)=10,$P$5,IF(MONTH($C648)=11,$P$6,IF(MONTH($C648)=12,$P$7,NA())))))</f>
        <v>132.79579464746902</v>
      </c>
    </row>
    <row r="649" spans="1:28" x14ac:dyDescent="0.3">
      <c r="A649" s="32">
        <f>VLOOKUP(YEAR(C649),Flags!$A$13:$B$95,2,FALSE)</f>
        <v>5</v>
      </c>
      <c r="B649" s="24">
        <f t="shared" si="951"/>
        <v>1992</v>
      </c>
      <c r="C649" s="25">
        <v>33877</v>
      </c>
      <c r="D649" s="26"/>
      <c r="E649" s="24"/>
      <c r="F649" s="26"/>
      <c r="G649" s="24"/>
      <c r="H649" s="24"/>
      <c r="I649" s="26"/>
      <c r="J649" s="24"/>
      <c r="K649" s="26">
        <f>VLOOKUP($C649,COS!$B$8:$H$991,2,FALSE)</f>
        <v>1352.76123046875</v>
      </c>
      <c r="L649" s="24">
        <f t="shared" ref="L649" si="1044">IF(AND(K649&gt;$I$7,K649&lt;$I$8),1,0)</f>
        <v>1</v>
      </c>
      <c r="M649" s="24"/>
      <c r="N649" s="26"/>
      <c r="O649" s="26"/>
      <c r="P649" s="26"/>
      <c r="Q649" s="26"/>
      <c r="R649" s="26"/>
      <c r="S649" s="26"/>
      <c r="T649" s="26"/>
      <c r="U649" s="26"/>
      <c r="V649" s="26"/>
      <c r="W649" s="26">
        <f>MAX($C$8-VLOOKUP($C649,COS!$B$8:$H$991,3,FALSE),0)</f>
        <v>95768.34130859375</v>
      </c>
      <c r="X649" s="26">
        <f t="shared" si="972"/>
        <v>5698.6120448088841</v>
      </c>
      <c r="Y649" s="26">
        <f>VLOOKUP($C649,COS!$B$8:$H$991,4,FALSE)</f>
        <v>1930.2186279296875</v>
      </c>
      <c r="Z649" s="26">
        <f t="shared" si="973"/>
        <v>114.85598447184918</v>
      </c>
      <c r="AA649" s="26">
        <f t="shared" si="1042"/>
        <v>1930.2186279296875</v>
      </c>
      <c r="AB649" s="33">
        <f t="shared" si="956"/>
        <v>114.85598447184918</v>
      </c>
    </row>
    <row r="650" spans="1:28" x14ac:dyDescent="0.3">
      <c r="A650" s="32">
        <f>VLOOKUP(YEAR(C650),Flags!$A$13:$B$95,2,FALSE)</f>
        <v>5</v>
      </c>
      <c r="B650" s="24">
        <f t="shared" si="951"/>
        <v>1992</v>
      </c>
      <c r="C650" s="25">
        <v>33908</v>
      </c>
      <c r="D650" s="26"/>
      <c r="E650" s="24"/>
      <c r="F650" s="26"/>
      <c r="G650" s="26"/>
      <c r="H650" s="26"/>
      <c r="I650" s="26"/>
      <c r="J650" s="26"/>
      <c r="K650" s="26"/>
      <c r="L650" s="24"/>
      <c r="M650" s="24"/>
      <c r="N650" s="26"/>
      <c r="O650" s="26"/>
      <c r="P650" s="26"/>
      <c r="Q650" s="26"/>
      <c r="R650" s="26"/>
      <c r="S650" s="26"/>
      <c r="T650" s="26"/>
      <c r="U650" s="26"/>
      <c r="V650" s="26"/>
      <c r="W650" s="26">
        <f>MAX($C$9-VLOOKUP($C650,COS!$B$8:$H$991,3,FALSE),0)</f>
        <v>94532.16748046875</v>
      </c>
      <c r="X650" s="26">
        <f t="shared" si="972"/>
        <v>5812.5564136751036</v>
      </c>
      <c r="Y650" s="26">
        <f>VLOOKUP($C650,COS!$B$8:$H$991,4,FALSE)</f>
        <v>1311.4129638671875</v>
      </c>
      <c r="Z650" s="26">
        <f t="shared" si="973"/>
        <v>80.635640092329538</v>
      </c>
      <c r="AA650" s="26">
        <f t="shared" si="1042"/>
        <v>1311.4129638671875</v>
      </c>
      <c r="AB650" s="33">
        <f t="shared" si="956"/>
        <v>80.635640092329538</v>
      </c>
    </row>
    <row r="651" spans="1:28" x14ac:dyDescent="0.3">
      <c r="A651" s="32">
        <f>VLOOKUP(YEAR(C651),Flags!$A$13:$B$95,2,FALSE)</f>
        <v>5</v>
      </c>
      <c r="B651" s="24">
        <f t="shared" si="951"/>
        <v>1992</v>
      </c>
      <c r="C651" s="25">
        <v>33938</v>
      </c>
      <c r="D651" s="26"/>
      <c r="E651" s="24"/>
      <c r="F651" s="26"/>
      <c r="G651" s="26"/>
      <c r="H651" s="26"/>
      <c r="I651" s="26"/>
      <c r="J651" s="26"/>
      <c r="K651" s="26"/>
      <c r="L651" s="24"/>
      <c r="M651" s="24"/>
      <c r="N651" s="26"/>
      <c r="O651" s="26"/>
      <c r="P651" s="26"/>
      <c r="Q651" s="26"/>
      <c r="R651" s="26"/>
      <c r="S651" s="26"/>
      <c r="T651" s="26"/>
      <c r="U651" s="26"/>
      <c r="V651" s="26"/>
      <c r="W651" s="26">
        <f>MAX($C$10-VLOOKUP($C651,COS!$B$8:$H$991,3,FALSE),0)</f>
        <v>95167.818359375</v>
      </c>
      <c r="X651" s="26">
        <f t="shared" si="972"/>
        <v>5662.8784478305779</v>
      </c>
      <c r="Y651" s="26">
        <f>VLOOKUP($C651,COS!$B$8:$H$991,4,FALSE)</f>
        <v>1543.501953125</v>
      </c>
      <c r="Z651" s="26">
        <f t="shared" si="973"/>
        <v>91.844744318181824</v>
      </c>
      <c r="AA651" s="26">
        <f t="shared" si="1042"/>
        <v>1543.501953125</v>
      </c>
      <c r="AB651" s="33">
        <f t="shared" si="956"/>
        <v>45.922372159090912</v>
      </c>
    </row>
    <row r="652" spans="1:28" x14ac:dyDescent="0.3">
      <c r="A652" s="34">
        <f>VLOOKUP(YEAR(C652),Flags!$A$13:$B$95,2,FALSE)</f>
        <v>5</v>
      </c>
      <c r="B652" s="35">
        <f t="shared" si="951"/>
        <v>1992</v>
      </c>
      <c r="C652" s="36">
        <v>33969</v>
      </c>
      <c r="D652" s="37"/>
      <c r="E652" s="35"/>
      <c r="F652" s="37"/>
      <c r="G652" s="37"/>
      <c r="H652" s="37"/>
      <c r="I652" s="37"/>
      <c r="J652" s="37"/>
      <c r="K652" s="37"/>
      <c r="L652" s="35"/>
      <c r="M652" s="35"/>
      <c r="N652" s="37"/>
      <c r="O652" s="37"/>
      <c r="P652" s="37"/>
      <c r="Q652" s="37"/>
      <c r="R652" s="37"/>
      <c r="S652" s="37"/>
      <c r="T652" s="37"/>
      <c r="U652" s="37"/>
      <c r="V652" s="37"/>
      <c r="W652" s="37">
        <f>MAX($C$11-VLOOKUP($C652,COS!$B$8:$H$991,3,FALSE),0)</f>
        <v>0</v>
      </c>
      <c r="X652" s="37">
        <f t="shared" si="972"/>
        <v>0</v>
      </c>
      <c r="Y652" s="37">
        <f>VLOOKUP($C652,COS!$B$8:$H$991,4,FALSE)</f>
        <v>1778.0540771484375</v>
      </c>
      <c r="Z652" s="37">
        <f t="shared" si="973"/>
        <v>109.32828375193698</v>
      </c>
      <c r="AA652" s="37">
        <f t="shared" si="1042"/>
        <v>0</v>
      </c>
      <c r="AB652" s="38">
        <f t="shared" si="956"/>
        <v>0</v>
      </c>
    </row>
    <row r="653" spans="1:28" x14ac:dyDescent="0.3">
      <c r="A653" s="27">
        <f>VLOOKUP(YEAR(C653),Flags!$A$13:$B$95,2,FALSE)</f>
        <v>2</v>
      </c>
      <c r="B653" s="28">
        <f t="shared" si="951"/>
        <v>1993</v>
      </c>
      <c r="C653" s="29">
        <v>34089</v>
      </c>
      <c r="D653" s="30">
        <f>VLOOKUP($C653,COS!$B$8:$H$991,3,FALSE)</f>
        <v>4509.7060546875</v>
      </c>
      <c r="E653" s="28">
        <f>IF(D653&gt;=IF(MONTH($C653)=4,$C$3,IF(MONTH($C653)=5,$C$4,IF(MONTH($C653)=6,$C$5,IF(MONTH($C653)=7,$C$6,"ERROR")))),1,0)</f>
        <v>0</v>
      </c>
      <c r="F653" s="30">
        <f>VLOOKUP($C653,COS!$B$8:$H$991,7,FALSE)</f>
        <v>48.90673828125</v>
      </c>
      <c r="G653" s="28">
        <f>IF(F653&lt;=IF(MONTH($C653)=4,$F$3,IF(MONTH($C653)=5,$F$4,IF(MONTH($C653)=6,$F$5,IF(MONTH($C653)=7,$F$6,"ERROR")))),1,0)</f>
        <v>1</v>
      </c>
      <c r="H653" s="30">
        <f>IF(J653=1,D653-$C$3,0)</f>
        <v>0</v>
      </c>
      <c r="I653" s="30">
        <f t="shared" si="982"/>
        <v>0</v>
      </c>
      <c r="J653" s="28">
        <f t="shared" ref="J653:J656" si="1045">IF(AND(E653=1,G653=1),1,0)</f>
        <v>0</v>
      </c>
      <c r="K653" s="30">
        <f>VLOOKUP($C653,COS!$B$8:$H$991,2,FALSE)</f>
        <v>4552</v>
      </c>
      <c r="L653" s="28">
        <f t="shared" ref="L653:L710" si="1046">IF(K653&lt;=IF(MONTH($C653)=4,$I$3,IF(MONTH($C653)=5,$I$4,IF(MONTH($C653)=6,$I$5,IF(MONTH($C653)=7,$I$6,"ERROR")))),1,0)</f>
        <v>1</v>
      </c>
      <c r="M653" s="28">
        <f t="shared" ref="M653:M710" si="1047">VLOOKUP($A653,$L$3:$M$7,2,FALSE)</f>
        <v>0</v>
      </c>
      <c r="N653" s="30">
        <f>VLOOKUP($C653,COS!$B$8:$H$991,5,FALSE)</f>
        <v>455.07608032226563</v>
      </c>
      <c r="O653" s="30">
        <f t="shared" ref="O653:O656" si="1048">N653*DAY($C653)*86400/43560/1000</f>
        <v>27.078907258845557</v>
      </c>
      <c r="P653" s="30">
        <f>VLOOKUP($C653,COS!$B$8:$H$991,6,FALSE)</f>
        <v>445.36074829101563</v>
      </c>
      <c r="Q653" s="30">
        <f t="shared" ref="Q653:Q656" si="1049">P653*DAY($C653)*86400/43560/1000</f>
        <v>26.500804856986054</v>
      </c>
      <c r="R653" s="30">
        <f>MIN(IF(MONTH($C653)=4,$S$3,IF(MONTH($C653)=5,$S$4,IF(MONTH($C653)=6,$S$5,IF(MONTH($C653)=7,$S$6,"ERROR")))),MAX(VLOOKUP($C653,COS!$B$8:$K$991,10,FALSE)-IF(MONTH($C653)=4,$Y$3,IF(MONTH($C653)=5,$Y$4,IF(MONTH($C653)=6,$Y$5,IF(MONTH($C653)=7,$Y$6,"ERROR")))),0),MAX(VLOOKUP($C653,COS!$B$8:$K$991,9,FALSE)-IF(MONTH($C653)=4,$V$3,IF(MONTH($C653)=5,$V$4,IF(MONTH($C653)=6,$V$5,IF(MONTH($C653)=7,$V$6,"ERROR"))))-VLOOKUP($C653,COS!$B$8:$K$991,6,FALSE)/2,0))</f>
        <v>1500</v>
      </c>
      <c r="S653" s="30">
        <f t="shared" ref="S653:S656" si="1050">R653*DAY($C653)*86400/43560/1000</f>
        <v>89.256198347107429</v>
      </c>
      <c r="T653" s="30">
        <f t="shared" ref="T653:T656" si="1051">(O653+Q653)/2+S653</f>
        <v>116.04605440502323</v>
      </c>
      <c r="U653" s="30" t="str">
        <f>IF(VLOOKUP($C653,COS!$B$8:$I$991,8,FALSE)=1,"UWFE","IBU")</f>
        <v>UWFE</v>
      </c>
      <c r="V653" s="30">
        <f t="shared" ref="V653" si="1052">MIN(IF(IF($AA$3=2,AND(E653=1,G653=1,L653=1,L658=1,M653=1,U653="IBU"),AND(E653=1,G653=1,L653=1,L658=1,M653=1)),T653,0),I653)</f>
        <v>0</v>
      </c>
      <c r="W653" s="30"/>
      <c r="X653" s="30"/>
      <c r="Y653" s="30"/>
      <c r="Z653" s="30"/>
      <c r="AA653" s="30"/>
      <c r="AB653" s="31"/>
    </row>
    <row r="654" spans="1:28" x14ac:dyDescent="0.3">
      <c r="A654" s="32">
        <f>VLOOKUP(YEAR(C654),Flags!$A$13:$B$95,2,FALSE)</f>
        <v>2</v>
      </c>
      <c r="B654" s="24">
        <f t="shared" si="951"/>
        <v>1993</v>
      </c>
      <c r="C654" s="25">
        <v>34120</v>
      </c>
      <c r="D654" s="26">
        <f>VLOOKUP($C654,COS!$B$8:$H$991,3,FALSE)</f>
        <v>9188.9970703125</v>
      </c>
      <c r="E654" s="24">
        <f>IF(D654&gt;=IF(MONTH($C654)=4,$C$3,IF(MONTH($C654)=5,$C$4,IF(MONTH($C654)=6,$C$5,IF(MONTH($C654)=7,$C$6,"ERROR")))),1,0)</f>
        <v>1</v>
      </c>
      <c r="F654" s="26">
        <f>VLOOKUP($C654,COS!$B$8:$H$991,7,FALSE)</f>
        <v>49.416866302490234</v>
      </c>
      <c r="G654" s="24">
        <f>IF(F654&lt;=IF(MONTH($C654)=4,$F$3,IF(MONTH($C654)=5,$F$4,IF(MONTH($C654)=6,$F$5,IF(MONTH($C654)=7,$F$6,"ERROR")))),1,0)</f>
        <v>1</v>
      </c>
      <c r="H654" s="26">
        <f>IF(J654=1,D654-$C$4,0)</f>
        <v>3188.9970703125</v>
      </c>
      <c r="I654" s="26">
        <f t="shared" si="982"/>
        <v>196.08378680268595</v>
      </c>
      <c r="J654" s="24">
        <f t="shared" si="1045"/>
        <v>1</v>
      </c>
      <c r="K654" s="26">
        <f>VLOOKUP($C654,COS!$B$8:$H$991,2,FALSE)</f>
        <v>4552</v>
      </c>
      <c r="L654" s="24">
        <f t="shared" si="1046"/>
        <v>1</v>
      </c>
      <c r="M654" s="24">
        <f t="shared" si="1047"/>
        <v>0</v>
      </c>
      <c r="N654" s="26">
        <f>VLOOKUP($C654,COS!$B$8:$H$991,5,FALSE)</f>
        <v>533.46905517578125</v>
      </c>
      <c r="O654" s="26">
        <f t="shared" si="1048"/>
        <v>32.801733640560435</v>
      </c>
      <c r="P654" s="26">
        <f>VLOOKUP($C654,COS!$B$8:$H$991,6,FALSE)</f>
        <v>1840.1044921875</v>
      </c>
      <c r="Q654" s="26">
        <f t="shared" si="1049"/>
        <v>113.14361505681818</v>
      </c>
      <c r="R654" s="26">
        <f>MIN(IF(MONTH($C654)=4,$S$3,IF(MONTH($C654)=5,$S$4,IF(MONTH($C654)=6,$S$5,IF(MONTH($C654)=7,$S$6,"ERROR")))),MAX(VLOOKUP($C654,COS!$B$8:$K$991,10,FALSE)-IF(MONTH($C654)=4,$Y$3,IF(MONTH($C654)=5,$Y$4,IF(MONTH($C654)=6,$Y$5,IF(MONTH($C654)=7,$Y$6,"ERROR")))),0),MAX(VLOOKUP($C654,COS!$B$8:$K$991,9,FALSE)-IF(MONTH($C654)=4,$V$3,IF(MONTH($C654)=5,$V$4,IF(MONTH($C654)=6,$V$5,IF(MONTH($C654)=7,$V$6,"ERROR"))))-VLOOKUP($C654,COS!$B$8:$K$991,6,FALSE)/2,0))</f>
        <v>1500</v>
      </c>
      <c r="S654" s="26">
        <f t="shared" si="1050"/>
        <v>92.231404958677686</v>
      </c>
      <c r="T654" s="26">
        <f t="shared" si="1051"/>
        <v>165.20407930736701</v>
      </c>
      <c r="U654" s="26" t="str">
        <f>IF(VLOOKUP($C654,COS!$B$8:$I$991,8,FALSE)=1,"UWFE","IBU")</f>
        <v>UWFE</v>
      </c>
      <c r="V654" s="26">
        <f t="shared" ref="V654" si="1053">MIN(IF(IF($AA$3=2,AND(E654=1,G654=1,L654=1,L658=1,M654=1,U654="IBU"),AND(E654=1,G654=1,L654=1,L658=1,M654=1)),T654,0),I654)</f>
        <v>0</v>
      </c>
      <c r="W654" s="26"/>
      <c r="X654" s="26"/>
      <c r="Y654" s="26"/>
      <c r="Z654" s="26"/>
      <c r="AA654" s="26"/>
      <c r="AB654" s="33"/>
    </row>
    <row r="655" spans="1:28" x14ac:dyDescent="0.3">
      <c r="A655" s="32">
        <f>VLOOKUP(YEAR(C655),Flags!$A$13:$B$95,2,FALSE)</f>
        <v>2</v>
      </c>
      <c r="B655" s="24">
        <f t="shared" ref="B655:B718" si="1054">YEAR(C655)</f>
        <v>1993</v>
      </c>
      <c r="C655" s="25">
        <v>34150</v>
      </c>
      <c r="D655" s="26">
        <f>VLOOKUP($C655,COS!$B$8:$H$991,3,FALSE)</f>
        <v>8366.6103515625</v>
      </c>
      <c r="E655" s="24">
        <f>IF(D655&gt;=IF(MONTH($C655)=4,$C$3,IF(MONTH($C655)=5,$C$4,IF(MONTH($C655)=6,$C$5,IF(MONTH($C655)=7,$C$6,"ERROR")))),1,0)</f>
        <v>0</v>
      </c>
      <c r="F655" s="26">
        <f>VLOOKUP($C655,COS!$B$8:$H$991,7,FALSE)</f>
        <v>51.333587646484375</v>
      </c>
      <c r="G655" s="24">
        <f>IF(F655&lt;=IF(MONTH($C655)=4,$F$3,IF(MONTH($C655)=5,$F$4,IF(MONTH($C655)=6,$F$5,IF(MONTH($C655)=7,$F$6,"ERROR")))),1,0)</f>
        <v>1</v>
      </c>
      <c r="H655" s="26">
        <f>IF(J655=1,D655-$C$5,0)</f>
        <v>0</v>
      </c>
      <c r="I655" s="26">
        <f t="shared" si="982"/>
        <v>0</v>
      </c>
      <c r="J655" s="24">
        <f t="shared" si="1045"/>
        <v>0</v>
      </c>
      <c r="K655" s="26">
        <f>VLOOKUP($C655,COS!$B$8:$H$991,2,FALSE)</f>
        <v>4500</v>
      </c>
      <c r="L655" s="24">
        <f t="shared" si="1046"/>
        <v>1</v>
      </c>
      <c r="M655" s="24">
        <f t="shared" si="1047"/>
        <v>0</v>
      </c>
      <c r="N655" s="26">
        <f>VLOOKUP($C655,COS!$B$8:$H$991,5,FALSE)</f>
        <v>1014.9423828125</v>
      </c>
      <c r="O655" s="26">
        <f t="shared" si="1048"/>
        <v>60.39326575413223</v>
      </c>
      <c r="P655" s="26">
        <f>VLOOKUP($C655,COS!$B$8:$H$991,6,FALSE)</f>
        <v>2171.25048828125</v>
      </c>
      <c r="Q655" s="26">
        <f t="shared" si="1049"/>
        <v>129.19837616219007</v>
      </c>
      <c r="R655" s="26">
        <f>MIN(IF(MONTH($C655)=4,$S$3,IF(MONTH($C655)=5,$S$4,IF(MONTH($C655)=6,$S$5,IF(MONTH($C655)=7,$S$6,"ERROR")))),MAX(VLOOKUP($C655,COS!$B$8:$K$991,10,FALSE)-IF(MONTH($C655)=4,$Y$3,IF(MONTH($C655)=5,$Y$4,IF(MONTH($C655)=6,$Y$5,IF(MONTH($C655)=7,$Y$6,"ERROR")))),0),MAX(VLOOKUP($C655,COS!$B$8:$K$991,9,FALSE)-IF(MONTH($C655)=4,$V$3,IF(MONTH($C655)=5,$V$4,IF(MONTH($C655)=6,$V$5,IF(MONTH($C655)=7,$V$6,"ERROR"))))-VLOOKUP($C655,COS!$B$8:$K$991,6,FALSE)/2,0))</f>
        <v>1500</v>
      </c>
      <c r="S655" s="26">
        <f t="shared" si="1050"/>
        <v>89.256198347107429</v>
      </c>
      <c r="T655" s="26">
        <f t="shared" si="1051"/>
        <v>184.05201930526857</v>
      </c>
      <c r="U655" s="26" t="str">
        <f>IF(VLOOKUP($C655,COS!$B$8:$I$991,8,FALSE)=1,"UWFE","IBU")</f>
        <v>UWFE</v>
      </c>
      <c r="V655" s="26">
        <f t="shared" ref="V655" si="1055">MIN(IF(IF($AA$3=2,AND(E655=1,G655=1,L655=1,L658=1,M655=1,U655="IBU"),AND(E655=1,G655=1,L655=1,L658=1,M655=1)),T655,0),I655)</f>
        <v>0</v>
      </c>
      <c r="W655" s="26"/>
      <c r="X655" s="26"/>
      <c r="Y655" s="26"/>
      <c r="Z655" s="26"/>
      <c r="AA655" s="26"/>
      <c r="AB655" s="33"/>
    </row>
    <row r="656" spans="1:28" x14ac:dyDescent="0.3">
      <c r="A656" s="32">
        <f>VLOOKUP(YEAR(C656),Flags!$A$13:$B$95,2,FALSE)</f>
        <v>2</v>
      </c>
      <c r="B656" s="24">
        <f t="shared" si="1054"/>
        <v>1993</v>
      </c>
      <c r="C656" s="25">
        <v>34181</v>
      </c>
      <c r="D656" s="26">
        <f>VLOOKUP($C656,COS!$B$8:$H$991,3,FALSE)</f>
        <v>14804.357421875</v>
      </c>
      <c r="E656" s="24">
        <f>IF(D656&gt;=IF(MONTH($C656)=4,$C$3,IF(MONTH($C656)=5,$C$4,IF(MONTH($C656)=6,$C$5,IF(MONTH($C656)=7,$C$6,"ERROR")))),1,0)</f>
        <v>1</v>
      </c>
      <c r="F656" s="26">
        <f>VLOOKUP($C656,COS!$B$8:$H$991,7,FALSE)</f>
        <v>51.517642974853516</v>
      </c>
      <c r="G656" s="24">
        <f>IF(F656&lt;=IF(MONTH($C656)=4,$F$3,IF(MONTH($C656)=5,$F$4,IF(MONTH($C656)=6,$F$5,IF(MONTH($C656)=7,$F$6,"ERROR")))),1,0)</f>
        <v>1</v>
      </c>
      <c r="H656" s="26">
        <f>IF(J656=1,D656-$C$6,0)</f>
        <v>2804.357421875</v>
      </c>
      <c r="I656" s="26">
        <f t="shared" si="982"/>
        <v>172.4332166838843</v>
      </c>
      <c r="J656" s="24">
        <f t="shared" si="1045"/>
        <v>1</v>
      </c>
      <c r="K656" s="26">
        <f>VLOOKUP($C656,COS!$B$8:$H$991,2,FALSE)</f>
        <v>3787.8994140625</v>
      </c>
      <c r="L656" s="24">
        <f t="shared" si="1046"/>
        <v>1</v>
      </c>
      <c r="M656" s="24">
        <f t="shared" si="1047"/>
        <v>0</v>
      </c>
      <c r="N656" s="26">
        <f>VLOOKUP($C656,COS!$B$8:$H$991,5,FALSE)</f>
        <v>1376.93798828125</v>
      </c>
      <c r="O656" s="26">
        <f t="shared" si="1048"/>
        <v>84.664616800103303</v>
      </c>
      <c r="P656" s="26">
        <f>VLOOKUP($C656,COS!$B$8:$H$991,6,FALSE)</f>
        <v>2562.892822265625</v>
      </c>
      <c r="Q656" s="26">
        <f t="shared" si="1049"/>
        <v>157.58613717071282</v>
      </c>
      <c r="R656" s="26">
        <f>MIN(IF(MONTH($C656)=4,$S$3,IF(MONTH($C656)=5,$S$4,IF(MONTH($C656)=6,$S$5,IF(MONTH($C656)=7,$S$6,"ERROR")))),MAX(VLOOKUP($C656,COS!$B$8:$K$991,10,FALSE)-IF(MONTH($C656)=4,$Y$3,IF(MONTH($C656)=5,$Y$4,IF(MONTH($C656)=6,$Y$5,IF(MONTH($C656)=7,$Y$6,"ERROR")))),0),MAX(VLOOKUP($C656,COS!$B$8:$K$991,9,FALSE)-IF(MONTH($C656)=4,$V$3,IF(MONTH($C656)=5,$V$4,IF(MONTH($C656)=6,$V$5,IF(MONTH($C656)=7,$V$6,"ERROR"))))-VLOOKUP($C656,COS!$B$8:$K$991,6,FALSE)/2,0))</f>
        <v>1500</v>
      </c>
      <c r="S656" s="26">
        <f t="shared" si="1050"/>
        <v>92.231404958677686</v>
      </c>
      <c r="T656" s="26">
        <f t="shared" si="1051"/>
        <v>213.35678194408575</v>
      </c>
      <c r="U656" s="26" t="str">
        <f>IF(VLOOKUP($C656,COS!$B$8:$I$991,8,FALSE)=1,"UWFE","IBU")</f>
        <v>IBU</v>
      </c>
      <c r="V656" s="26">
        <f t="shared" ref="V656" si="1056">MIN(IF(IF($AA$3=2,AND(E656=1,G656=1,L656=1,L658=1,M656=1,U656="IBU"),AND(E656=1,G656=1,L656=1,L658=1,M656=1)),T656,0),I656)</f>
        <v>0</v>
      </c>
      <c r="W656" s="26"/>
      <c r="X656" s="26"/>
      <c r="Y656" s="26"/>
      <c r="Z656" s="26"/>
      <c r="AA656" s="26"/>
      <c r="AB656" s="33"/>
    </row>
    <row r="657" spans="1:28" x14ac:dyDescent="0.3">
      <c r="A657" s="32">
        <f>VLOOKUP(YEAR(C657),Flags!$A$13:$B$95,2,FALSE)</f>
        <v>2</v>
      </c>
      <c r="B657" s="24">
        <f t="shared" si="1054"/>
        <v>1993</v>
      </c>
      <c r="C657" s="25">
        <v>34212</v>
      </c>
      <c r="D657" s="26"/>
      <c r="E657" s="24"/>
      <c r="F657" s="26"/>
      <c r="G657" s="24"/>
      <c r="H657" s="24"/>
      <c r="I657" s="26"/>
      <c r="J657" s="24"/>
      <c r="K657" s="26"/>
      <c r="L657" s="24"/>
      <c r="M657" s="24"/>
      <c r="N657" s="26"/>
      <c r="O657" s="26"/>
      <c r="P657" s="26"/>
      <c r="Q657" s="26"/>
      <c r="R657" s="26"/>
      <c r="S657" s="26"/>
      <c r="T657" s="26"/>
      <c r="U657" s="26"/>
      <c r="V657" s="26"/>
      <c r="W657" s="26">
        <f>MAX($C$7-VLOOKUP($C657,COS!$B$8:$H$991,3,FALSE),0)</f>
        <v>90622.63671875</v>
      </c>
      <c r="X657" s="26">
        <f t="shared" si="972"/>
        <v>5572.1687370867767</v>
      </c>
      <c r="Y657" s="26">
        <f>VLOOKUP($C657,COS!$B$8:$H$991,4,FALSE)</f>
        <v>168.43087768554688</v>
      </c>
      <c r="Z657" s="26">
        <f t="shared" si="973"/>
        <v>10.356410991574121</v>
      </c>
      <c r="AA657" s="26">
        <f t="shared" ref="AA657:AA661" si="1057">MIN(W657,Y657)</f>
        <v>168.43087768554688</v>
      </c>
      <c r="AB657" s="33">
        <f t="shared" ref="AB657:AB715" si="1058">AA657*DAY($C657)*86400/43560/1000*IF(MONTH($C657)=8,$P$3,IF(MONTH($C657)=9,$P$4,IF(MONTH($C657)=10,$P$5,IF(MONTH($C657)=11,$P$6,IF(MONTH($C657)=12,$P$7,NA())))))</f>
        <v>10.356410991574121</v>
      </c>
    </row>
    <row r="658" spans="1:28" x14ac:dyDescent="0.3">
      <c r="A658" s="32">
        <f>VLOOKUP(YEAR(C658),Flags!$A$13:$B$95,2,FALSE)</f>
        <v>2</v>
      </c>
      <c r="B658" s="24">
        <f t="shared" si="1054"/>
        <v>1993</v>
      </c>
      <c r="C658" s="25">
        <v>34242</v>
      </c>
      <c r="D658" s="26"/>
      <c r="E658" s="24"/>
      <c r="F658" s="26"/>
      <c r="G658" s="24"/>
      <c r="H658" s="24"/>
      <c r="I658" s="26"/>
      <c r="J658" s="24"/>
      <c r="K658" s="26">
        <f>VLOOKUP($C658,COS!$B$8:$H$991,2,FALSE)</f>
        <v>3136.02685546875</v>
      </c>
      <c r="L658" s="24">
        <f t="shared" ref="L658" si="1059">IF(AND(K658&gt;$I$7,K658&lt;$I$8),1,0)</f>
        <v>1</v>
      </c>
      <c r="M658" s="24"/>
      <c r="N658" s="26"/>
      <c r="O658" s="26"/>
      <c r="P658" s="26"/>
      <c r="Q658" s="26"/>
      <c r="R658" s="26"/>
      <c r="S658" s="26"/>
      <c r="T658" s="26"/>
      <c r="U658" s="26"/>
      <c r="V658" s="26"/>
      <c r="W658" s="26">
        <f>MAX($C$8-VLOOKUP($C658,COS!$B$8:$H$991,3,FALSE),0)</f>
        <v>89617.8046875</v>
      </c>
      <c r="X658" s="26">
        <f t="shared" si="972"/>
        <v>5332.629700413223</v>
      </c>
      <c r="Y658" s="26">
        <f>VLOOKUP($C658,COS!$B$8:$H$991,4,FALSE)</f>
        <v>0</v>
      </c>
      <c r="Z658" s="26">
        <f t="shared" si="973"/>
        <v>0</v>
      </c>
      <c r="AA658" s="26">
        <f t="shared" si="1057"/>
        <v>0</v>
      </c>
      <c r="AB658" s="33">
        <f t="shared" si="1058"/>
        <v>0</v>
      </c>
    </row>
    <row r="659" spans="1:28" x14ac:dyDescent="0.3">
      <c r="A659" s="32">
        <f>VLOOKUP(YEAR(C659),Flags!$A$13:$B$95,2,FALSE)</f>
        <v>2</v>
      </c>
      <c r="B659" s="24">
        <f t="shared" si="1054"/>
        <v>1993</v>
      </c>
      <c r="C659" s="25">
        <v>34273</v>
      </c>
      <c r="D659" s="26"/>
      <c r="E659" s="24"/>
      <c r="F659" s="26"/>
      <c r="G659" s="26"/>
      <c r="H659" s="26"/>
      <c r="I659" s="26"/>
      <c r="J659" s="26"/>
      <c r="K659" s="26"/>
      <c r="L659" s="24"/>
      <c r="M659" s="24"/>
      <c r="N659" s="26"/>
      <c r="O659" s="26"/>
      <c r="P659" s="26"/>
      <c r="Q659" s="26"/>
      <c r="R659" s="26"/>
      <c r="S659" s="26"/>
      <c r="T659" s="26"/>
      <c r="U659" s="26"/>
      <c r="V659" s="26"/>
      <c r="W659" s="26">
        <f>MAX($C$9-VLOOKUP($C659,COS!$B$8:$H$991,3,FALSE),0)</f>
        <v>94269.517578125</v>
      </c>
      <c r="X659" s="26">
        <f t="shared" si="972"/>
        <v>5796.4067006714877</v>
      </c>
      <c r="Y659" s="26">
        <f>VLOOKUP($C659,COS!$B$8:$H$991,4,FALSE)</f>
        <v>766.87762451171875</v>
      </c>
      <c r="Z659" s="26">
        <f t="shared" si="973"/>
        <v>47.1534671600594</v>
      </c>
      <c r="AA659" s="26">
        <f t="shared" si="1057"/>
        <v>766.87762451171875</v>
      </c>
      <c r="AB659" s="33">
        <f t="shared" si="1058"/>
        <v>47.1534671600594</v>
      </c>
    </row>
    <row r="660" spans="1:28" x14ac:dyDescent="0.3">
      <c r="A660" s="32">
        <f>VLOOKUP(YEAR(C660),Flags!$A$13:$B$95,2,FALSE)</f>
        <v>2</v>
      </c>
      <c r="B660" s="24">
        <f t="shared" si="1054"/>
        <v>1993</v>
      </c>
      <c r="C660" s="25">
        <v>34303</v>
      </c>
      <c r="D660" s="26"/>
      <c r="E660" s="24"/>
      <c r="F660" s="26"/>
      <c r="G660" s="26"/>
      <c r="H660" s="26"/>
      <c r="I660" s="26"/>
      <c r="J660" s="26"/>
      <c r="K660" s="26"/>
      <c r="L660" s="24"/>
      <c r="M660" s="24"/>
      <c r="N660" s="26"/>
      <c r="O660" s="26"/>
      <c r="P660" s="26"/>
      <c r="Q660" s="26"/>
      <c r="R660" s="26"/>
      <c r="S660" s="26"/>
      <c r="T660" s="26"/>
      <c r="U660" s="26"/>
      <c r="V660" s="26"/>
      <c r="W660" s="26">
        <f>MAX($C$10-VLOOKUP($C660,COS!$B$8:$H$991,3,FALSE),0)</f>
        <v>89853.9892578125</v>
      </c>
      <c r="X660" s="26">
        <f t="shared" si="972"/>
        <v>5346.6836583161157</v>
      </c>
      <c r="Y660" s="26">
        <f>VLOOKUP($C660,COS!$B$8:$H$991,4,FALSE)</f>
        <v>1359.887451171875</v>
      </c>
      <c r="Z660" s="26">
        <f t="shared" si="973"/>
        <v>80.91892271435951</v>
      </c>
      <c r="AA660" s="26">
        <f t="shared" si="1057"/>
        <v>1359.887451171875</v>
      </c>
      <c r="AB660" s="33">
        <f t="shared" si="1058"/>
        <v>40.459461357179755</v>
      </c>
    </row>
    <row r="661" spans="1:28" x14ac:dyDescent="0.3">
      <c r="A661" s="34">
        <f>VLOOKUP(YEAR(C661),Flags!$A$13:$B$95,2,FALSE)</f>
        <v>2</v>
      </c>
      <c r="B661" s="35">
        <f t="shared" si="1054"/>
        <v>1993</v>
      </c>
      <c r="C661" s="36">
        <v>34334</v>
      </c>
      <c r="D661" s="37"/>
      <c r="E661" s="35"/>
      <c r="F661" s="37"/>
      <c r="G661" s="37"/>
      <c r="H661" s="37"/>
      <c r="I661" s="37"/>
      <c r="J661" s="37"/>
      <c r="K661" s="37"/>
      <c r="L661" s="35"/>
      <c r="M661" s="35"/>
      <c r="N661" s="37"/>
      <c r="O661" s="37"/>
      <c r="P661" s="37"/>
      <c r="Q661" s="37"/>
      <c r="R661" s="37"/>
      <c r="S661" s="37"/>
      <c r="T661" s="37"/>
      <c r="U661" s="37"/>
      <c r="V661" s="37"/>
      <c r="W661" s="37">
        <f>MAX($C$11-VLOOKUP($C661,COS!$B$8:$H$991,3,FALSE),0)</f>
        <v>0</v>
      </c>
      <c r="X661" s="37">
        <f t="shared" si="972"/>
        <v>0</v>
      </c>
      <c r="Y661" s="37">
        <f>VLOOKUP($C661,COS!$B$8:$H$991,4,FALSE)</f>
        <v>188.46723937988281</v>
      </c>
      <c r="Z661" s="37">
        <f t="shared" si="973"/>
        <v>11.588398851126678</v>
      </c>
      <c r="AA661" s="37">
        <f t="shared" si="1057"/>
        <v>0</v>
      </c>
      <c r="AB661" s="38">
        <f t="shared" si="1058"/>
        <v>0</v>
      </c>
    </row>
    <row r="662" spans="1:28" x14ac:dyDescent="0.3">
      <c r="A662" s="27">
        <f>VLOOKUP(YEAR(C662),Flags!$A$13:$B$95,2,FALSE)</f>
        <v>5</v>
      </c>
      <c r="B662" s="28">
        <f t="shared" si="1054"/>
        <v>1994</v>
      </c>
      <c r="C662" s="29">
        <v>34454</v>
      </c>
      <c r="D662" s="30">
        <f>VLOOKUP($C662,COS!$B$8:$H$991,3,FALSE)</f>
        <v>3250</v>
      </c>
      <c r="E662" s="28">
        <f>IF(D662&gt;=IF(MONTH($C662)=4,$C$3,IF(MONTH($C662)=5,$C$4,IF(MONTH($C662)=6,$C$5,IF(MONTH($C662)=7,$C$6,"ERROR")))),1,0)</f>
        <v>0</v>
      </c>
      <c r="F662" s="30">
        <f>VLOOKUP($C662,COS!$B$8:$H$991,7,FALSE)</f>
        <v>52.782566070556641</v>
      </c>
      <c r="G662" s="28">
        <f>IF(F662&lt;=IF(MONTH($C662)=4,$F$3,IF(MONTH($C662)=5,$F$4,IF(MONTH($C662)=6,$F$5,IF(MONTH($C662)=7,$F$6,"ERROR")))),1,0)</f>
        <v>1</v>
      </c>
      <c r="H662" s="30">
        <f>IF(J662=1,D662-$C$3,0)</f>
        <v>0</v>
      </c>
      <c r="I662" s="30">
        <f t="shared" si="982"/>
        <v>0</v>
      </c>
      <c r="J662" s="28">
        <f t="shared" ref="J662:J665" si="1060">IF(AND(E662=1,G662=1),1,0)</f>
        <v>0</v>
      </c>
      <c r="K662" s="30">
        <f>VLOOKUP($C662,COS!$B$8:$H$991,2,FALSE)</f>
        <v>3428.306884765625</v>
      </c>
      <c r="L662" s="28">
        <f t="shared" ref="L662" si="1061">IF(K662&lt;=IF(MONTH($C662)=4,$I$3,IF(MONTH($C662)=5,$I$4,IF(MONTH($C662)=6,$I$5,IF(MONTH($C662)=7,$I$6,"ERROR")))),1,0)</f>
        <v>1</v>
      </c>
      <c r="M662" s="28">
        <f t="shared" ref="M662" si="1062">VLOOKUP($A662,$L$3:$M$7,2,FALSE)</f>
        <v>1</v>
      </c>
      <c r="N662" s="30">
        <f>VLOOKUP($C662,COS!$B$8:$H$991,5,FALSE)</f>
        <v>498.4775390625</v>
      </c>
      <c r="O662" s="30">
        <f t="shared" ref="O662:O665" si="1063">N662*DAY($C662)*86400/43560/1000</f>
        <v>29.661473398760332</v>
      </c>
      <c r="P662" s="30">
        <f>VLOOKUP($C662,COS!$B$8:$H$991,6,FALSE)</f>
        <v>517.51263427734375</v>
      </c>
      <c r="Q662" s="30">
        <f t="shared" ref="Q662:Q665" si="1064">P662*DAY($C662)*86400/43560/1000</f>
        <v>30.794140221461777</v>
      </c>
      <c r="R662" s="30">
        <f>MIN(IF(MONTH($C662)=4,$S$3,IF(MONTH($C662)=5,$S$4,IF(MONTH($C662)=6,$S$5,IF(MONTH($C662)=7,$S$6,"ERROR")))),MAX(VLOOKUP($C662,COS!$B$8:$K$991,10,FALSE)-IF(MONTH($C662)=4,$Y$3,IF(MONTH($C662)=5,$Y$4,IF(MONTH($C662)=6,$Y$5,IF(MONTH($C662)=7,$Y$6,"ERROR")))),0),MAX(VLOOKUP($C662,COS!$B$8:$K$991,9,FALSE)-IF(MONTH($C662)=4,$V$3,IF(MONTH($C662)=5,$V$4,IF(MONTH($C662)=6,$V$5,IF(MONTH($C662)=7,$V$6,"ERROR"))))-VLOOKUP($C662,COS!$B$8:$K$991,6,FALSE)/2,0))</f>
        <v>84.6376953125</v>
      </c>
      <c r="S662" s="30">
        <f t="shared" ref="S662:S665" si="1065">R662*DAY($C662)*86400/43560/1000</f>
        <v>5.0362926136363644</v>
      </c>
      <c r="T662" s="30">
        <f t="shared" ref="T662:T665" si="1066">(O662+Q662)/2+S662</f>
        <v>35.264099423747417</v>
      </c>
      <c r="U662" s="30" t="str">
        <f>IF(VLOOKUP($C662,COS!$B$8:$I$991,8,FALSE)=1,"UWFE","IBU")</f>
        <v>UWFE</v>
      </c>
      <c r="V662" s="30">
        <f t="shared" ref="V662" si="1067">MIN(IF(IF($AA$3=2,AND(E662=1,G662=1,L662=1,L667=1,M662=1,U662="IBU"),AND(E662=1,G662=1,L662=1,L667=1,M662=1)),T662,0),I662)</f>
        <v>0</v>
      </c>
      <c r="W662" s="30"/>
      <c r="X662" s="30"/>
      <c r="Y662" s="30"/>
      <c r="Z662" s="30"/>
      <c r="AA662" s="30"/>
      <c r="AB662" s="31"/>
    </row>
    <row r="663" spans="1:28" x14ac:dyDescent="0.3">
      <c r="A663" s="32">
        <f>VLOOKUP(YEAR(C663),Flags!$A$13:$B$95,2,FALSE)</f>
        <v>5</v>
      </c>
      <c r="B663" s="24">
        <f t="shared" si="1054"/>
        <v>1994</v>
      </c>
      <c r="C663" s="25">
        <v>34485</v>
      </c>
      <c r="D663" s="26">
        <f>VLOOKUP($C663,COS!$B$8:$H$991,3,FALSE)</f>
        <v>5763.49560546875</v>
      </c>
      <c r="E663" s="24">
        <f>IF(D663&gt;=IF(MONTH($C663)=4,$C$3,IF(MONTH($C663)=5,$C$4,IF(MONTH($C663)=6,$C$5,IF(MONTH($C663)=7,$C$6,"ERROR")))),1,0)</f>
        <v>0</v>
      </c>
      <c r="F663" s="26">
        <f>VLOOKUP($C663,COS!$B$8:$H$991,7,FALSE)</f>
        <v>52.981971740722656</v>
      </c>
      <c r="G663" s="24">
        <f>IF(F663&lt;=IF(MONTH($C663)=4,$F$3,IF(MONTH($C663)=5,$F$4,IF(MONTH($C663)=6,$F$5,IF(MONTH($C663)=7,$F$6,"ERROR")))),1,0)</f>
        <v>1</v>
      </c>
      <c r="H663" s="26">
        <f>IF(J663=1,D663-$C$4,0)</f>
        <v>0</v>
      </c>
      <c r="I663" s="26">
        <f t="shared" si="982"/>
        <v>0</v>
      </c>
      <c r="J663" s="24">
        <f t="shared" si="1060"/>
        <v>0</v>
      </c>
      <c r="K663" s="26">
        <f>VLOOKUP($C663,COS!$B$8:$H$991,2,FALSE)</f>
        <v>3315.498291015625</v>
      </c>
      <c r="L663" s="24">
        <f t="shared" si="1046"/>
        <v>1</v>
      </c>
      <c r="M663" s="24">
        <f t="shared" si="1047"/>
        <v>1</v>
      </c>
      <c r="N663" s="26">
        <f>VLOOKUP($C663,COS!$B$8:$H$991,5,FALSE)</f>
        <v>494.24356079101563</v>
      </c>
      <c r="O663" s="26">
        <f t="shared" si="1063"/>
        <v>30.389852002356662</v>
      </c>
      <c r="P663" s="26">
        <f>VLOOKUP($C663,COS!$B$8:$H$991,6,FALSE)</f>
        <v>1839.63671875</v>
      </c>
      <c r="Q663" s="26">
        <f t="shared" si="1064"/>
        <v>113.1148527892562</v>
      </c>
      <c r="R663" s="26">
        <f>MIN(IF(MONTH($C663)=4,$S$3,IF(MONTH($C663)=5,$S$4,IF(MONTH($C663)=6,$S$5,IF(MONTH($C663)=7,$S$6,"ERROR")))),MAX(VLOOKUP($C663,COS!$B$8:$K$991,10,FALSE)-IF(MONTH($C663)=4,$Y$3,IF(MONTH($C663)=5,$Y$4,IF(MONTH($C663)=6,$Y$5,IF(MONTH($C663)=7,$Y$6,"ERROR")))),0),MAX(VLOOKUP($C663,COS!$B$8:$K$991,9,FALSE)-IF(MONTH($C663)=4,$V$3,IF(MONTH($C663)=5,$V$4,IF(MONTH($C663)=6,$V$5,IF(MONTH($C663)=7,$V$6,"ERROR"))))-VLOOKUP($C663,COS!$B$8:$K$991,6,FALSE)/2,0))</f>
        <v>1248.31787109375</v>
      </c>
      <c r="S663" s="26">
        <f t="shared" si="1065"/>
        <v>76.756074057334715</v>
      </c>
      <c r="T663" s="26">
        <f t="shared" si="1066"/>
        <v>148.50842645314117</v>
      </c>
      <c r="U663" s="26" t="str">
        <f>IF(VLOOKUP($C663,COS!$B$8:$I$991,8,FALSE)=1,"UWFE","IBU")</f>
        <v>UWFE</v>
      </c>
      <c r="V663" s="26">
        <f t="shared" ref="V663" si="1068">MIN(IF(IF($AA$3=2,AND(E663=1,G663=1,L663=1,L667=1,M663=1,U663="IBU"),AND(E663=1,G663=1,L663=1,L667=1,M663=1)),T663,0),I663)</f>
        <v>0</v>
      </c>
      <c r="W663" s="26"/>
      <c r="X663" s="26"/>
      <c r="Y663" s="26"/>
      <c r="Z663" s="26"/>
      <c r="AA663" s="26"/>
      <c r="AB663" s="33"/>
    </row>
    <row r="664" spans="1:28" x14ac:dyDescent="0.3">
      <c r="A664" s="32">
        <f>VLOOKUP(YEAR(C664),Flags!$A$13:$B$95,2,FALSE)</f>
        <v>5</v>
      </c>
      <c r="B664" s="24">
        <f t="shared" si="1054"/>
        <v>1994</v>
      </c>
      <c r="C664" s="25">
        <v>34515</v>
      </c>
      <c r="D664" s="26">
        <f>VLOOKUP($C664,COS!$B$8:$H$991,3,FALSE)</f>
        <v>10365.828125</v>
      </c>
      <c r="E664" s="24">
        <f>IF(D664&gt;=IF(MONTH($C664)=4,$C$3,IF(MONTH($C664)=5,$C$4,IF(MONTH($C664)=6,$C$5,IF(MONTH($C664)=7,$C$6,"ERROR")))),1,0)</f>
        <v>1</v>
      </c>
      <c r="F664" s="26">
        <f>VLOOKUP($C664,COS!$B$8:$H$991,7,FALSE)</f>
        <v>52.776744842529297</v>
      </c>
      <c r="G664" s="24">
        <f>IF(F664&lt;=IF(MONTH($C664)=4,$F$3,IF(MONTH($C664)=5,$F$4,IF(MONTH($C664)=6,$F$5,IF(MONTH($C664)=7,$F$6,"ERROR")))),1,0)</f>
        <v>1</v>
      </c>
      <c r="H664" s="26">
        <f>IF(J664=1,D664-$C$5,0)</f>
        <v>365.828125</v>
      </c>
      <c r="I664" s="26">
        <f t="shared" si="982"/>
        <v>21.768285123966944</v>
      </c>
      <c r="J664" s="24">
        <f t="shared" si="1060"/>
        <v>1</v>
      </c>
      <c r="K664" s="26">
        <f>VLOOKUP($C664,COS!$B$8:$H$991,2,FALSE)</f>
        <v>2912.7509765625</v>
      </c>
      <c r="L664" s="24">
        <f t="shared" si="1046"/>
        <v>1</v>
      </c>
      <c r="M664" s="24">
        <f t="shared" si="1047"/>
        <v>1</v>
      </c>
      <c r="N664" s="26">
        <f>VLOOKUP($C664,COS!$B$8:$H$991,5,FALSE)</f>
        <v>825.04803466796875</v>
      </c>
      <c r="O664" s="26">
        <f t="shared" si="1063"/>
        <v>49.093767352143594</v>
      </c>
      <c r="P664" s="26">
        <f>VLOOKUP($C664,COS!$B$8:$H$991,6,FALSE)</f>
        <v>2477.72265625</v>
      </c>
      <c r="Q664" s="26">
        <f t="shared" si="1064"/>
        <v>147.43473657024794</v>
      </c>
      <c r="R664" s="26">
        <f>MIN(IF(MONTH($C664)=4,$S$3,IF(MONTH($C664)=5,$S$4,IF(MONTH($C664)=6,$S$5,IF(MONTH($C664)=7,$S$6,"ERROR")))),MAX(VLOOKUP($C664,COS!$B$8:$K$991,10,FALSE)-IF(MONTH($C664)=4,$Y$3,IF(MONTH($C664)=5,$Y$4,IF(MONTH($C664)=6,$Y$5,IF(MONTH($C664)=7,$Y$6,"ERROR")))),0),MAX(VLOOKUP($C664,COS!$B$8:$K$991,9,FALSE)-IF(MONTH($C664)=4,$V$3,IF(MONTH($C664)=5,$V$4,IF(MONTH($C664)=6,$V$5,IF(MONTH($C664)=7,$V$6,"ERROR"))))-VLOOKUP($C664,COS!$B$8:$K$991,6,FALSE)/2,0))</f>
        <v>1500</v>
      </c>
      <c r="S664" s="26">
        <f t="shared" si="1065"/>
        <v>89.256198347107429</v>
      </c>
      <c r="T664" s="26">
        <f t="shared" si="1066"/>
        <v>187.5204503083032</v>
      </c>
      <c r="U664" s="26" t="str">
        <f>IF(VLOOKUP($C664,COS!$B$8:$I$991,8,FALSE)=1,"UWFE","IBU")</f>
        <v>IBU</v>
      </c>
      <c r="V664" s="26">
        <f t="shared" ref="V664" si="1069">MIN(IF(IF($AA$3=2,AND(E664=1,G664=1,L664=1,L667=1,M664=1,U664="IBU"),AND(E664=1,G664=1,L664=1,L667=1,M664=1)),T664,0),I664)</f>
        <v>21.768285123966944</v>
      </c>
      <c r="W664" s="26"/>
      <c r="X664" s="26"/>
      <c r="Y664" s="26"/>
      <c r="Z664" s="26"/>
      <c r="AA664" s="26"/>
      <c r="AB664" s="33"/>
    </row>
    <row r="665" spans="1:28" x14ac:dyDescent="0.3">
      <c r="A665" s="32">
        <f>VLOOKUP(YEAR(C665),Flags!$A$13:$B$95,2,FALSE)</f>
        <v>5</v>
      </c>
      <c r="B665" s="24">
        <f t="shared" si="1054"/>
        <v>1994</v>
      </c>
      <c r="C665" s="25">
        <v>34546</v>
      </c>
      <c r="D665" s="26">
        <f>VLOOKUP($C665,COS!$B$8:$H$991,3,FALSE)</f>
        <v>14755.16796875</v>
      </c>
      <c r="E665" s="24">
        <f>IF(D665&gt;=IF(MONTH($C665)=4,$C$3,IF(MONTH($C665)=5,$C$4,IF(MONTH($C665)=6,$C$5,IF(MONTH($C665)=7,$C$6,"ERROR")))),1,0)</f>
        <v>1</v>
      </c>
      <c r="F665" s="26">
        <f>VLOOKUP($C665,COS!$B$8:$H$991,7,FALSE)</f>
        <v>54.302021026611328</v>
      </c>
      <c r="G665" s="24">
        <f>IF(F665&lt;=IF(MONTH($C665)=4,$F$3,IF(MONTH($C665)=5,$F$4,IF(MONTH($C665)=6,$F$5,IF(MONTH($C665)=7,$F$6,"ERROR")))),1,0)</f>
        <v>0</v>
      </c>
      <c r="H665" s="26">
        <f>IF(J665=1,D665-$C$6,0)</f>
        <v>0</v>
      </c>
      <c r="I665" s="26">
        <f t="shared" si="982"/>
        <v>0</v>
      </c>
      <c r="J665" s="24">
        <f t="shared" si="1060"/>
        <v>0</v>
      </c>
      <c r="K665" s="26">
        <f>VLOOKUP($C665,COS!$B$8:$H$991,2,FALSE)</f>
        <v>2260.914306640625</v>
      </c>
      <c r="L665" s="24">
        <f t="shared" si="1046"/>
        <v>1</v>
      </c>
      <c r="M665" s="24">
        <f t="shared" si="1047"/>
        <v>1</v>
      </c>
      <c r="N665" s="26">
        <f>VLOOKUP($C665,COS!$B$8:$H$991,5,FALSE)</f>
        <v>905.84417724609375</v>
      </c>
      <c r="O665" s="26">
        <f t="shared" si="1063"/>
        <v>55.698187427363116</v>
      </c>
      <c r="P665" s="26">
        <f>VLOOKUP($C665,COS!$B$8:$H$991,6,FALSE)</f>
        <v>2281.4833984375</v>
      </c>
      <c r="Q665" s="26">
        <f t="shared" si="1064"/>
        <v>140.28294615185951</v>
      </c>
      <c r="R665" s="26">
        <f>MIN(IF(MONTH($C665)=4,$S$3,IF(MONTH($C665)=5,$S$4,IF(MONTH($C665)=6,$S$5,IF(MONTH($C665)=7,$S$6,"ERROR")))),MAX(VLOOKUP($C665,COS!$B$8:$K$991,10,FALSE)-IF(MONTH($C665)=4,$Y$3,IF(MONTH($C665)=5,$Y$4,IF(MONTH($C665)=6,$Y$5,IF(MONTH($C665)=7,$Y$6,"ERROR")))),0),MAX(VLOOKUP($C665,COS!$B$8:$K$991,9,FALSE)-IF(MONTH($C665)=4,$V$3,IF(MONTH($C665)=5,$V$4,IF(MONTH($C665)=6,$V$5,IF(MONTH($C665)=7,$V$6,"ERROR"))))-VLOOKUP($C665,COS!$B$8:$K$991,6,FALSE)/2,0))</f>
        <v>1500</v>
      </c>
      <c r="S665" s="26">
        <f t="shared" si="1065"/>
        <v>92.231404958677686</v>
      </c>
      <c r="T665" s="26">
        <f t="shared" si="1066"/>
        <v>190.22197174828898</v>
      </c>
      <c r="U665" s="26" t="str">
        <f>IF(VLOOKUP($C665,COS!$B$8:$I$991,8,FALSE)=1,"UWFE","IBU")</f>
        <v>IBU</v>
      </c>
      <c r="V665" s="26">
        <f t="shared" ref="V665" si="1070">MIN(IF(IF($AA$3=2,AND(E665=1,G665=1,L665=1,L667=1,M665=1,U665="IBU"),AND(E665=1,G665=1,L665=1,L667=1,M665=1)),T665,0),I665)</f>
        <v>0</v>
      </c>
      <c r="W665" s="26"/>
      <c r="X665" s="26"/>
      <c r="Y665" s="26"/>
      <c r="Z665" s="26"/>
      <c r="AA665" s="26"/>
      <c r="AB665" s="33"/>
    </row>
    <row r="666" spans="1:28" x14ac:dyDescent="0.3">
      <c r="A666" s="32">
        <f>VLOOKUP(YEAR(C666),Flags!$A$13:$B$95,2,FALSE)</f>
        <v>5</v>
      </c>
      <c r="B666" s="24">
        <f t="shared" si="1054"/>
        <v>1994</v>
      </c>
      <c r="C666" s="25">
        <v>34577</v>
      </c>
      <c r="D666" s="26"/>
      <c r="E666" s="24"/>
      <c r="F666" s="26"/>
      <c r="G666" s="24"/>
      <c r="H666" s="24"/>
      <c r="I666" s="26"/>
      <c r="J666" s="24"/>
      <c r="K666" s="26"/>
      <c r="L666" s="24"/>
      <c r="M666" s="24"/>
      <c r="N666" s="26"/>
      <c r="O666" s="26"/>
      <c r="P666" s="26"/>
      <c r="Q666" s="26"/>
      <c r="R666" s="26"/>
      <c r="S666" s="26"/>
      <c r="T666" s="26"/>
      <c r="U666" s="26"/>
      <c r="V666" s="26"/>
      <c r="W666" s="26">
        <f>MAX($C$7-VLOOKUP($C666,COS!$B$8:$H$991,3,FALSE),0)</f>
        <v>91434.9501953125</v>
      </c>
      <c r="X666" s="26">
        <f t="shared" si="972"/>
        <v>5622.1159458935954</v>
      </c>
      <c r="Y666" s="26">
        <f>VLOOKUP($C666,COS!$B$8:$H$991,4,FALSE)</f>
        <v>3456.213134765625</v>
      </c>
      <c r="Z666" s="26">
        <f t="shared" si="973"/>
        <v>212.51426217071281</v>
      </c>
      <c r="AA666" s="26">
        <f t="shared" ref="AA666:AA670" si="1071">MIN(W666,Y666)</f>
        <v>3456.213134765625</v>
      </c>
      <c r="AB666" s="33">
        <f t="shared" ref="AB666" si="1072">AA666*DAY($C666)*86400/43560/1000*IF(MONTH($C666)=8,$P$3,IF(MONTH($C666)=9,$P$4,IF(MONTH($C666)=10,$P$5,IF(MONTH($C666)=11,$P$6,IF(MONTH($C666)=12,$P$7,NA())))))</f>
        <v>212.51426217071281</v>
      </c>
    </row>
    <row r="667" spans="1:28" x14ac:dyDescent="0.3">
      <c r="A667" s="32">
        <f>VLOOKUP(YEAR(C667),Flags!$A$13:$B$95,2,FALSE)</f>
        <v>5</v>
      </c>
      <c r="B667" s="24">
        <f t="shared" si="1054"/>
        <v>1994</v>
      </c>
      <c r="C667" s="25">
        <v>34607</v>
      </c>
      <c r="D667" s="26"/>
      <c r="E667" s="24"/>
      <c r="F667" s="26"/>
      <c r="G667" s="24"/>
      <c r="H667" s="24"/>
      <c r="I667" s="26"/>
      <c r="J667" s="24"/>
      <c r="K667" s="26">
        <f>VLOOKUP($C667,COS!$B$8:$H$991,2,FALSE)</f>
        <v>1881.7786865234375</v>
      </c>
      <c r="L667" s="24">
        <f t="shared" ref="L667" si="1073">IF(AND(K667&gt;$I$7,K667&lt;$I$8),1,0)</f>
        <v>1</v>
      </c>
      <c r="M667" s="24"/>
      <c r="N667" s="26"/>
      <c r="O667" s="26"/>
      <c r="P667" s="26"/>
      <c r="Q667" s="26"/>
      <c r="R667" s="26"/>
      <c r="S667" s="26"/>
      <c r="T667" s="26"/>
      <c r="U667" s="26"/>
      <c r="V667" s="26"/>
      <c r="W667" s="26">
        <f>MAX($C$8-VLOOKUP($C667,COS!$B$8:$H$991,3,FALSE),0)</f>
        <v>95592.1025390625</v>
      </c>
      <c r="X667" s="26">
        <f t="shared" si="972"/>
        <v>5688.1251097623963</v>
      </c>
      <c r="Y667" s="26">
        <f>VLOOKUP($C667,COS!$B$8:$H$991,4,FALSE)</f>
        <v>676.519775390625</v>
      </c>
      <c r="Z667" s="26">
        <f t="shared" si="973"/>
        <v>40.255722172004134</v>
      </c>
      <c r="AA667" s="26">
        <f t="shared" si="1071"/>
        <v>676.519775390625</v>
      </c>
      <c r="AB667" s="33">
        <f t="shared" si="1058"/>
        <v>40.255722172004134</v>
      </c>
    </row>
    <row r="668" spans="1:28" x14ac:dyDescent="0.3">
      <c r="A668" s="32">
        <f>VLOOKUP(YEAR(C668),Flags!$A$13:$B$95,2,FALSE)</f>
        <v>5</v>
      </c>
      <c r="B668" s="24">
        <f t="shared" si="1054"/>
        <v>1994</v>
      </c>
      <c r="C668" s="25">
        <v>34638</v>
      </c>
      <c r="D668" s="26"/>
      <c r="E668" s="24"/>
      <c r="F668" s="26"/>
      <c r="G668" s="26"/>
      <c r="H668" s="26"/>
      <c r="I668" s="26"/>
      <c r="J668" s="26"/>
      <c r="K668" s="26"/>
      <c r="L668" s="24"/>
      <c r="M668" s="24"/>
      <c r="N668" s="26"/>
      <c r="O668" s="26"/>
      <c r="P668" s="26"/>
      <c r="Q668" s="26"/>
      <c r="R668" s="26"/>
      <c r="S668" s="26"/>
      <c r="T668" s="26"/>
      <c r="U668" s="26"/>
      <c r="V668" s="26"/>
      <c r="W668" s="26">
        <f>MAX($C$9-VLOOKUP($C668,COS!$B$8:$H$991,3,FALSE),0)</f>
        <v>95461.50390625</v>
      </c>
      <c r="X668" s="26">
        <f t="shared" si="972"/>
        <v>5869.6990831611565</v>
      </c>
      <c r="Y668" s="26">
        <f>VLOOKUP($C668,COS!$B$8:$H$991,4,FALSE)</f>
        <v>1343.8326416015625</v>
      </c>
      <c r="Z668" s="26">
        <f t="shared" si="973"/>
        <v>82.629048376162189</v>
      </c>
      <c r="AA668" s="26">
        <f t="shared" si="1071"/>
        <v>1343.8326416015625</v>
      </c>
      <c r="AB668" s="33">
        <f t="shared" si="1058"/>
        <v>82.629048376162189</v>
      </c>
    </row>
    <row r="669" spans="1:28" x14ac:dyDescent="0.3">
      <c r="A669" s="32">
        <f>VLOOKUP(YEAR(C669),Flags!$A$13:$B$95,2,FALSE)</f>
        <v>5</v>
      </c>
      <c r="B669" s="24">
        <f t="shared" si="1054"/>
        <v>1994</v>
      </c>
      <c r="C669" s="25">
        <v>34668</v>
      </c>
      <c r="D669" s="26"/>
      <c r="E669" s="24"/>
      <c r="F669" s="26"/>
      <c r="G669" s="26"/>
      <c r="H669" s="26"/>
      <c r="I669" s="26"/>
      <c r="J669" s="26"/>
      <c r="K669" s="26"/>
      <c r="L669" s="24"/>
      <c r="M669" s="24"/>
      <c r="N669" s="26"/>
      <c r="O669" s="26"/>
      <c r="P669" s="26"/>
      <c r="Q669" s="26"/>
      <c r="R669" s="26"/>
      <c r="S669" s="26"/>
      <c r="T669" s="26"/>
      <c r="U669" s="26"/>
      <c r="V669" s="26"/>
      <c r="W669" s="26">
        <f>MAX($C$10-VLOOKUP($C669,COS!$B$8:$H$991,3,FALSE),0)</f>
        <v>96749</v>
      </c>
      <c r="X669" s="26">
        <f t="shared" si="972"/>
        <v>5756.965289256198</v>
      </c>
      <c r="Y669" s="26">
        <f>VLOOKUP($C669,COS!$B$8:$H$991,4,FALSE)</f>
        <v>1050.6527099609375</v>
      </c>
      <c r="Z669" s="26">
        <f t="shared" si="973"/>
        <v>62.51817778279959</v>
      </c>
      <c r="AA669" s="26">
        <f t="shared" si="1071"/>
        <v>1050.6527099609375</v>
      </c>
      <c r="AB669" s="33">
        <f t="shared" si="1058"/>
        <v>31.259088891399795</v>
      </c>
    </row>
    <row r="670" spans="1:28" x14ac:dyDescent="0.3">
      <c r="A670" s="34">
        <f>VLOOKUP(YEAR(C670),Flags!$A$13:$B$95,2,FALSE)</f>
        <v>5</v>
      </c>
      <c r="B670" s="35">
        <f t="shared" si="1054"/>
        <v>1994</v>
      </c>
      <c r="C670" s="36">
        <v>34699</v>
      </c>
      <c r="D670" s="37"/>
      <c r="E670" s="35"/>
      <c r="F670" s="37"/>
      <c r="G670" s="37"/>
      <c r="H670" s="37"/>
      <c r="I670" s="37"/>
      <c r="J670" s="37"/>
      <c r="K670" s="37"/>
      <c r="L670" s="35"/>
      <c r="M670" s="35"/>
      <c r="N670" s="37"/>
      <c r="O670" s="37"/>
      <c r="P670" s="37"/>
      <c r="Q670" s="37"/>
      <c r="R670" s="37"/>
      <c r="S670" s="37"/>
      <c r="T670" s="37"/>
      <c r="U670" s="37"/>
      <c r="V670" s="37"/>
      <c r="W670" s="37">
        <f>MAX($C$11-VLOOKUP($C670,COS!$B$8:$H$991,3,FALSE),0)</f>
        <v>0</v>
      </c>
      <c r="X670" s="37">
        <f t="shared" si="972"/>
        <v>0</v>
      </c>
      <c r="Y670" s="37">
        <f>VLOOKUP($C670,COS!$B$8:$H$991,4,FALSE)</f>
        <v>2007.343505859375</v>
      </c>
      <c r="Z670" s="37">
        <f t="shared" si="973"/>
        <v>123.42674118672521</v>
      </c>
      <c r="AA670" s="37">
        <f t="shared" si="1071"/>
        <v>0</v>
      </c>
      <c r="AB670" s="38">
        <f t="shared" si="1058"/>
        <v>0</v>
      </c>
    </row>
    <row r="671" spans="1:28" x14ac:dyDescent="0.3">
      <c r="A671" s="27">
        <f>VLOOKUP(YEAR(C671),Flags!$A$13:$B$95,2,FALSE)</f>
        <v>1</v>
      </c>
      <c r="B671" s="28">
        <f t="shared" si="1054"/>
        <v>1995</v>
      </c>
      <c r="C671" s="29">
        <v>34819</v>
      </c>
      <c r="D671" s="30">
        <f>VLOOKUP($C671,COS!$B$8:$H$991,3,FALSE)</f>
        <v>7633.5703125</v>
      </c>
      <c r="E671" s="28">
        <f>IF(D671&gt;=IF(MONTH($C671)=4,$C$3,IF(MONTH($C671)=5,$C$4,IF(MONTH($C671)=6,$C$5,IF(MONTH($C671)=7,$C$6,"ERROR")))),1,0)</f>
        <v>1</v>
      </c>
      <c r="F671" s="30">
        <f>VLOOKUP($C671,COS!$B$8:$H$991,7,FALSE)</f>
        <v>49.096889495849609</v>
      </c>
      <c r="G671" s="28">
        <f>IF(F671&lt;=IF(MONTH($C671)=4,$F$3,IF(MONTH($C671)=5,$F$4,IF(MONTH($C671)=6,$F$5,IF(MONTH($C671)=7,$F$6,"ERROR")))),1,0)</f>
        <v>1</v>
      </c>
      <c r="H671" s="30">
        <f>IF(J671=1,D671-$C$3,0)</f>
        <v>1633.5703125</v>
      </c>
      <c r="I671" s="30">
        <f t="shared" si="982"/>
        <v>97.204183884297521</v>
      </c>
      <c r="J671" s="28">
        <f t="shared" ref="J671:J674" si="1074">IF(AND(E671=1,G671=1),1,0)</f>
        <v>1</v>
      </c>
      <c r="K671" s="30">
        <f>VLOOKUP($C671,COS!$B$8:$H$991,2,FALSE)</f>
        <v>4216.7998046875</v>
      </c>
      <c r="L671" s="28">
        <f t="shared" ref="L671" si="1075">IF(K671&lt;=IF(MONTH($C671)=4,$I$3,IF(MONTH($C671)=5,$I$4,IF(MONTH($C671)=6,$I$5,IF(MONTH($C671)=7,$I$6,"ERROR")))),1,0)</f>
        <v>1</v>
      </c>
      <c r="M671" s="28">
        <f t="shared" ref="M671" si="1076">VLOOKUP($A671,$L$3:$M$7,2,FALSE)</f>
        <v>0</v>
      </c>
      <c r="N671" s="30">
        <f>VLOOKUP($C671,COS!$B$8:$H$991,5,FALSE)</f>
        <v>350.99301147460938</v>
      </c>
      <c r="O671" s="30">
        <f t="shared" ref="O671:O674" si="1077">N671*DAY($C671)*86400/43560/1000</f>
        <v>20.885534567084193</v>
      </c>
      <c r="P671" s="30">
        <f>VLOOKUP($C671,COS!$B$8:$H$991,6,FALSE)</f>
        <v>420.74978637695313</v>
      </c>
      <c r="Q671" s="30">
        <f t="shared" ref="Q671:Q674" si="1078">P671*DAY($C671)*86400/43560/1000</f>
        <v>25.036350924909605</v>
      </c>
      <c r="R671" s="30">
        <f>MIN(IF(MONTH($C671)=4,$S$3,IF(MONTH($C671)=5,$S$4,IF(MONTH($C671)=6,$S$5,IF(MONTH($C671)=7,$S$6,"ERROR")))),MAX(VLOOKUP($C671,COS!$B$8:$K$991,10,FALSE)-IF(MONTH($C671)=4,$Y$3,IF(MONTH($C671)=5,$Y$4,IF(MONTH($C671)=6,$Y$5,IF(MONTH($C671)=7,$Y$6,"ERROR")))),0),MAX(VLOOKUP($C671,COS!$B$8:$K$991,9,FALSE)-IF(MONTH($C671)=4,$V$3,IF(MONTH($C671)=5,$V$4,IF(MONTH($C671)=6,$V$5,IF(MONTH($C671)=7,$V$6,"ERROR"))))-VLOOKUP($C671,COS!$B$8:$K$991,6,FALSE)/2,0))</f>
        <v>1500</v>
      </c>
      <c r="S671" s="30">
        <f t="shared" ref="S671:S674" si="1079">R671*DAY($C671)*86400/43560/1000</f>
        <v>89.256198347107429</v>
      </c>
      <c r="T671" s="30">
        <f t="shared" ref="T671:T674" si="1080">(O671+Q671)/2+S671</f>
        <v>112.21714109310433</v>
      </c>
      <c r="U671" s="30" t="str">
        <f>IF(VLOOKUP($C671,COS!$B$8:$I$991,8,FALSE)=1,"UWFE","IBU")</f>
        <v>UWFE</v>
      </c>
      <c r="V671" s="30">
        <f t="shared" ref="V671" si="1081">MIN(IF(IF($AA$3=2,AND(E671=1,G671=1,L671=1,L676=1,M671=1,U671="IBU"),AND(E671=1,G671=1,L671=1,L676=1,M671=1)),T671,0),I671)</f>
        <v>0</v>
      </c>
      <c r="W671" s="30"/>
      <c r="X671" s="30"/>
      <c r="Y671" s="30"/>
      <c r="Z671" s="30"/>
      <c r="AA671" s="30"/>
      <c r="AB671" s="31"/>
    </row>
    <row r="672" spans="1:28" x14ac:dyDescent="0.3">
      <c r="A672" s="32">
        <f>VLOOKUP(YEAR(C672),Flags!$A$13:$B$95,2,FALSE)</f>
        <v>1</v>
      </c>
      <c r="B672" s="24">
        <f t="shared" si="1054"/>
        <v>1995</v>
      </c>
      <c r="C672" s="25">
        <v>34850</v>
      </c>
      <c r="D672" s="26">
        <f>VLOOKUP($C672,COS!$B$8:$H$991,3,FALSE)</f>
        <v>10509.75390625</v>
      </c>
      <c r="E672" s="24">
        <f>IF(D672&gt;=IF(MONTH($C672)=4,$C$3,IF(MONTH($C672)=5,$C$4,IF(MONTH($C672)=6,$C$5,IF(MONTH($C672)=7,$C$6,"ERROR")))),1,0)</f>
        <v>1</v>
      </c>
      <c r="F672" s="26">
        <f>VLOOKUP($C672,COS!$B$8:$H$991,7,FALSE)</f>
        <v>50.252239227294922</v>
      </c>
      <c r="G672" s="24">
        <f>IF(F672&lt;=IF(MONTH($C672)=4,$F$3,IF(MONTH($C672)=5,$F$4,IF(MONTH($C672)=6,$F$5,IF(MONTH($C672)=7,$F$6,"ERROR")))),1,0)</f>
        <v>1</v>
      </c>
      <c r="H672" s="26">
        <f>IF(J672=1,D672-$C$4,0)</f>
        <v>4509.75390625</v>
      </c>
      <c r="I672" s="26">
        <f t="shared" si="982"/>
        <v>277.29395919421489</v>
      </c>
      <c r="J672" s="24">
        <f t="shared" si="1074"/>
        <v>1</v>
      </c>
      <c r="K672" s="26">
        <f>VLOOKUP($C672,COS!$B$8:$H$991,2,FALSE)</f>
        <v>4552</v>
      </c>
      <c r="L672" s="24">
        <f t="shared" si="1046"/>
        <v>1</v>
      </c>
      <c r="M672" s="24">
        <f t="shared" si="1047"/>
        <v>0</v>
      </c>
      <c r="N672" s="26">
        <f>VLOOKUP($C672,COS!$B$8:$H$991,5,FALSE)</f>
        <v>475.432861328125</v>
      </c>
      <c r="O672" s="26">
        <f t="shared" si="1077"/>
        <v>29.233227175878099</v>
      </c>
      <c r="P672" s="26">
        <f>VLOOKUP($C672,COS!$B$8:$H$991,6,FALSE)</f>
        <v>1824.550537109375</v>
      </c>
      <c r="Q672" s="26">
        <f t="shared" si="1078"/>
        <v>112.18723963713842</v>
      </c>
      <c r="R672" s="26">
        <f>MIN(IF(MONTH($C672)=4,$S$3,IF(MONTH($C672)=5,$S$4,IF(MONTH($C672)=6,$S$5,IF(MONTH($C672)=7,$S$6,"ERROR")))),MAX(VLOOKUP($C672,COS!$B$8:$K$991,10,FALSE)-IF(MONTH($C672)=4,$Y$3,IF(MONTH($C672)=5,$Y$4,IF(MONTH($C672)=6,$Y$5,IF(MONTH($C672)=7,$Y$6,"ERROR")))),0),MAX(VLOOKUP($C672,COS!$B$8:$K$991,9,FALSE)-IF(MONTH($C672)=4,$V$3,IF(MONTH($C672)=5,$V$4,IF(MONTH($C672)=6,$V$5,IF(MONTH($C672)=7,$V$6,"ERROR"))))-VLOOKUP($C672,COS!$B$8:$K$991,6,FALSE)/2,0))</f>
        <v>1500</v>
      </c>
      <c r="S672" s="26">
        <f t="shared" si="1079"/>
        <v>92.231404958677686</v>
      </c>
      <c r="T672" s="26">
        <f t="shared" si="1080"/>
        <v>162.94163836518595</v>
      </c>
      <c r="U672" s="26" t="str">
        <f>IF(VLOOKUP($C672,COS!$B$8:$I$991,8,FALSE)=1,"UWFE","IBU")</f>
        <v>UWFE</v>
      </c>
      <c r="V672" s="26">
        <f t="shared" ref="V672" si="1082">MIN(IF(IF($AA$3=2,AND(E672=1,G672=1,L672=1,L676=1,M672=1,U672="IBU"),AND(E672=1,G672=1,L672=1,L676=1,M672=1)),T672,0),I672)</f>
        <v>0</v>
      </c>
      <c r="W672" s="26"/>
      <c r="X672" s="26"/>
      <c r="Y672" s="26"/>
      <c r="Z672" s="26"/>
      <c r="AA672" s="26"/>
      <c r="AB672" s="33"/>
    </row>
    <row r="673" spans="1:28" x14ac:dyDescent="0.3">
      <c r="A673" s="32">
        <f>VLOOKUP(YEAR(C673),Flags!$A$13:$B$95,2,FALSE)</f>
        <v>1</v>
      </c>
      <c r="B673" s="24">
        <f t="shared" si="1054"/>
        <v>1995</v>
      </c>
      <c r="C673" s="25">
        <v>34880</v>
      </c>
      <c r="D673" s="26">
        <f>VLOOKUP($C673,COS!$B$8:$H$991,3,FALSE)</f>
        <v>8446.6552734375</v>
      </c>
      <c r="E673" s="24">
        <f>IF(D673&gt;=IF(MONTH($C673)=4,$C$3,IF(MONTH($C673)=5,$C$4,IF(MONTH($C673)=6,$C$5,IF(MONTH($C673)=7,$C$6,"ERROR")))),1,0)</f>
        <v>0</v>
      </c>
      <c r="F673" s="26">
        <f>VLOOKUP($C673,COS!$B$8:$H$991,7,FALSE)</f>
        <v>52.693340301513672</v>
      </c>
      <c r="G673" s="24">
        <f>IF(F673&lt;=IF(MONTH($C673)=4,$F$3,IF(MONTH($C673)=5,$F$4,IF(MONTH($C673)=6,$F$5,IF(MONTH($C673)=7,$F$6,"ERROR")))),1,0)</f>
        <v>1</v>
      </c>
      <c r="H673" s="26">
        <f>IF(J673=1,D673-$C$5,0)</f>
        <v>0</v>
      </c>
      <c r="I673" s="26">
        <f t="shared" ref="I673:I736" si="1083">H673*DAY($C673)*86400/43560/1000</f>
        <v>0</v>
      </c>
      <c r="J673" s="24">
        <f t="shared" si="1074"/>
        <v>0</v>
      </c>
      <c r="K673" s="26">
        <f>VLOOKUP($C673,COS!$B$8:$H$991,2,FALSE)</f>
        <v>4500</v>
      </c>
      <c r="L673" s="24">
        <f t="shared" si="1046"/>
        <v>1</v>
      </c>
      <c r="M673" s="24">
        <f t="shared" si="1047"/>
        <v>0</v>
      </c>
      <c r="N673" s="26">
        <f>VLOOKUP($C673,COS!$B$8:$H$991,5,FALSE)</f>
        <v>1088.7784423828125</v>
      </c>
      <c r="O673" s="26">
        <f t="shared" si="1077"/>
        <v>64.786816406249997</v>
      </c>
      <c r="P673" s="26">
        <f>VLOOKUP($C673,COS!$B$8:$H$991,6,FALSE)</f>
        <v>2195.234619140625</v>
      </c>
      <c r="Q673" s="26">
        <f t="shared" si="1078"/>
        <v>130.62553105630167</v>
      </c>
      <c r="R673" s="26">
        <f>MIN(IF(MONTH($C673)=4,$S$3,IF(MONTH($C673)=5,$S$4,IF(MONTH($C673)=6,$S$5,IF(MONTH($C673)=7,$S$6,"ERROR")))),MAX(VLOOKUP($C673,COS!$B$8:$K$991,10,FALSE)-IF(MONTH($C673)=4,$Y$3,IF(MONTH($C673)=5,$Y$4,IF(MONTH($C673)=6,$Y$5,IF(MONTH($C673)=7,$Y$6,"ERROR")))),0),MAX(VLOOKUP($C673,COS!$B$8:$K$991,9,FALSE)-IF(MONTH($C673)=4,$V$3,IF(MONTH($C673)=5,$V$4,IF(MONTH($C673)=6,$V$5,IF(MONTH($C673)=7,$V$6,"ERROR"))))-VLOOKUP($C673,COS!$B$8:$K$991,6,FALSE)/2,0))</f>
        <v>1500</v>
      </c>
      <c r="S673" s="26">
        <f t="shared" si="1079"/>
        <v>89.256198347107429</v>
      </c>
      <c r="T673" s="26">
        <f t="shared" si="1080"/>
        <v>186.96237207838328</v>
      </c>
      <c r="U673" s="26" t="str">
        <f>IF(VLOOKUP($C673,COS!$B$8:$I$991,8,FALSE)=1,"UWFE","IBU")</f>
        <v>UWFE</v>
      </c>
      <c r="V673" s="26">
        <f t="shared" ref="V673" si="1084">MIN(IF(IF($AA$3=2,AND(E673=1,G673=1,L673=1,L676=1,M673=1,U673="IBU"),AND(E673=1,G673=1,L673=1,L676=1,M673=1)),T673,0),I673)</f>
        <v>0</v>
      </c>
      <c r="W673" s="26"/>
      <c r="X673" s="26"/>
      <c r="Y673" s="26"/>
      <c r="Z673" s="26"/>
      <c r="AA673" s="26"/>
      <c r="AB673" s="33"/>
    </row>
    <row r="674" spans="1:28" x14ac:dyDescent="0.3">
      <c r="A674" s="32">
        <f>VLOOKUP(YEAR(C674),Flags!$A$13:$B$95,2,FALSE)</f>
        <v>1</v>
      </c>
      <c r="B674" s="24">
        <f t="shared" si="1054"/>
        <v>1995</v>
      </c>
      <c r="C674" s="25">
        <v>34911</v>
      </c>
      <c r="D674" s="26">
        <f>VLOOKUP($C674,COS!$B$8:$H$991,3,FALSE)</f>
        <v>9700.0400390625</v>
      </c>
      <c r="E674" s="24">
        <f>IF(D674&gt;=IF(MONTH($C674)=4,$C$3,IF(MONTH($C674)=5,$C$4,IF(MONTH($C674)=6,$C$5,IF(MONTH($C674)=7,$C$6,"ERROR")))),1,0)</f>
        <v>0</v>
      </c>
      <c r="F674" s="26">
        <f>VLOOKUP($C674,COS!$B$8:$H$991,7,FALSE)</f>
        <v>53.995834350585938</v>
      </c>
      <c r="G674" s="24">
        <f>IF(F674&lt;=IF(MONTH($C674)=4,$F$3,IF(MONTH($C674)=5,$F$4,IF(MONTH($C674)=6,$F$5,IF(MONTH($C674)=7,$F$6,"ERROR")))),1,0)</f>
        <v>0</v>
      </c>
      <c r="H674" s="26">
        <f>IF(J674=1,D674-$C$6,0)</f>
        <v>0</v>
      </c>
      <c r="I674" s="26">
        <f t="shared" si="1083"/>
        <v>0</v>
      </c>
      <c r="J674" s="24">
        <f t="shared" si="1074"/>
        <v>0</v>
      </c>
      <c r="K674" s="26">
        <f>VLOOKUP($C674,COS!$B$8:$H$991,2,FALSE)</f>
        <v>4150</v>
      </c>
      <c r="L674" s="24">
        <f t="shared" si="1046"/>
        <v>1</v>
      </c>
      <c r="M674" s="24">
        <f t="shared" si="1047"/>
        <v>0</v>
      </c>
      <c r="N674" s="26">
        <f>VLOOKUP($C674,COS!$B$8:$H$991,5,FALSE)</f>
        <v>1360.538818359375</v>
      </c>
      <c r="O674" s="26">
        <f t="shared" si="1077"/>
        <v>83.656271145402897</v>
      </c>
      <c r="P674" s="26">
        <f>VLOOKUP($C674,COS!$B$8:$H$991,6,FALSE)</f>
        <v>2616.67822265625</v>
      </c>
      <c r="Q674" s="26">
        <f t="shared" si="1078"/>
        <v>160.89327253357436</v>
      </c>
      <c r="R674" s="26">
        <f>MIN(IF(MONTH($C674)=4,$S$3,IF(MONTH($C674)=5,$S$4,IF(MONTH($C674)=6,$S$5,IF(MONTH($C674)=7,$S$6,"ERROR")))),MAX(VLOOKUP($C674,COS!$B$8:$K$991,10,FALSE)-IF(MONTH($C674)=4,$Y$3,IF(MONTH($C674)=5,$Y$4,IF(MONTH($C674)=6,$Y$5,IF(MONTH($C674)=7,$Y$6,"ERROR")))),0),MAX(VLOOKUP($C674,COS!$B$8:$K$991,9,FALSE)-IF(MONTH($C674)=4,$V$3,IF(MONTH($C674)=5,$V$4,IF(MONTH($C674)=6,$V$5,IF(MONTH($C674)=7,$V$6,"ERROR"))))-VLOOKUP($C674,COS!$B$8:$K$991,6,FALSE)/2,0))</f>
        <v>1500</v>
      </c>
      <c r="S674" s="26">
        <f t="shared" si="1079"/>
        <v>92.231404958677686</v>
      </c>
      <c r="T674" s="26">
        <f t="shared" si="1080"/>
        <v>214.50617679816634</v>
      </c>
      <c r="U674" s="26" t="str">
        <f>IF(VLOOKUP($C674,COS!$B$8:$I$991,8,FALSE)=1,"UWFE","IBU")</f>
        <v>UWFE</v>
      </c>
      <c r="V674" s="26">
        <f t="shared" ref="V674" si="1085">MIN(IF(IF($AA$3=2,AND(E674=1,G674=1,L674=1,L676=1,M674=1,U674="IBU"),AND(E674=1,G674=1,L674=1,L676=1,M674=1)),T674,0),I674)</f>
        <v>0</v>
      </c>
      <c r="W674" s="26"/>
      <c r="X674" s="26"/>
      <c r="Y674" s="26"/>
      <c r="Z674" s="26"/>
      <c r="AA674" s="26"/>
      <c r="AB674" s="33"/>
    </row>
    <row r="675" spans="1:28" x14ac:dyDescent="0.3">
      <c r="A675" s="32">
        <f>VLOOKUP(YEAR(C675),Flags!$A$13:$B$95,2,FALSE)</f>
        <v>1</v>
      </c>
      <c r="B675" s="24">
        <f t="shared" si="1054"/>
        <v>1995</v>
      </c>
      <c r="C675" s="25">
        <v>34942</v>
      </c>
      <c r="D675" s="26"/>
      <c r="E675" s="24"/>
      <c r="F675" s="26"/>
      <c r="G675" s="24"/>
      <c r="H675" s="24"/>
      <c r="I675" s="26"/>
      <c r="J675" s="24"/>
      <c r="K675" s="26"/>
      <c r="L675" s="24"/>
      <c r="M675" s="24"/>
      <c r="N675" s="26"/>
      <c r="O675" s="26"/>
      <c r="P675" s="26"/>
      <c r="Q675" s="26"/>
      <c r="R675" s="26"/>
      <c r="S675" s="26"/>
      <c r="T675" s="26"/>
      <c r="U675" s="26"/>
      <c r="V675" s="26"/>
      <c r="W675" s="26">
        <f>MAX($C$7-VLOOKUP($C675,COS!$B$8:$H$991,3,FALSE),0)</f>
        <v>87744.4052734375</v>
      </c>
      <c r="X675" s="26">
        <f t="shared" ref="X675:X738" si="1086">W675*DAY($C675)*86400/43560/1000</f>
        <v>5395.1931837551647</v>
      </c>
      <c r="Y675" s="26">
        <f>VLOOKUP($C675,COS!$B$8:$H$991,4,FALSE)</f>
        <v>0</v>
      </c>
      <c r="Z675" s="26">
        <f t="shared" ref="Z675:Z738" si="1087">Y675*DAY($C675)*86400/43560/1000</f>
        <v>0</v>
      </c>
      <c r="AA675" s="26">
        <f t="shared" ref="AA675:AA679" si="1088">MIN(W675,Y675)</f>
        <v>0</v>
      </c>
      <c r="AB675" s="33">
        <f t="shared" ref="AB675" si="1089">AA675*DAY($C675)*86400/43560/1000*IF(MONTH($C675)=8,$P$3,IF(MONTH($C675)=9,$P$4,IF(MONTH($C675)=10,$P$5,IF(MONTH($C675)=11,$P$6,IF(MONTH($C675)=12,$P$7,NA())))))</f>
        <v>0</v>
      </c>
    </row>
    <row r="676" spans="1:28" x14ac:dyDescent="0.3">
      <c r="A676" s="32">
        <f>VLOOKUP(YEAR(C676),Flags!$A$13:$B$95,2,FALSE)</f>
        <v>1</v>
      </c>
      <c r="B676" s="24">
        <f t="shared" si="1054"/>
        <v>1995</v>
      </c>
      <c r="C676" s="25">
        <v>34972</v>
      </c>
      <c r="D676" s="26"/>
      <c r="E676" s="24"/>
      <c r="F676" s="26"/>
      <c r="G676" s="24"/>
      <c r="H676" s="24"/>
      <c r="I676" s="26"/>
      <c r="J676" s="24"/>
      <c r="K676" s="26">
        <f>VLOOKUP($C676,COS!$B$8:$H$991,2,FALSE)</f>
        <v>3358.360595703125</v>
      </c>
      <c r="L676" s="24">
        <f t="shared" ref="L676" si="1090">IF(AND(K676&gt;$I$7,K676&lt;$I$8),1,0)</f>
        <v>1</v>
      </c>
      <c r="M676" s="24"/>
      <c r="N676" s="26"/>
      <c r="O676" s="26"/>
      <c r="P676" s="26"/>
      <c r="Q676" s="26"/>
      <c r="R676" s="26"/>
      <c r="S676" s="26"/>
      <c r="T676" s="26"/>
      <c r="U676" s="26"/>
      <c r="V676" s="26"/>
      <c r="W676" s="26">
        <f>MAX($C$8-VLOOKUP($C676,COS!$B$8:$H$991,3,FALSE),0)</f>
        <v>88333.3603515625</v>
      </c>
      <c r="X676" s="26">
        <f t="shared" si="1086"/>
        <v>5256.1999548037193</v>
      </c>
      <c r="Y676" s="26">
        <f>VLOOKUP($C676,COS!$B$8:$H$991,4,FALSE)</f>
        <v>0</v>
      </c>
      <c r="Z676" s="26">
        <f t="shared" si="1087"/>
        <v>0</v>
      </c>
      <c r="AA676" s="26">
        <f t="shared" si="1088"/>
        <v>0</v>
      </c>
      <c r="AB676" s="33">
        <f t="shared" si="1058"/>
        <v>0</v>
      </c>
    </row>
    <row r="677" spans="1:28" x14ac:dyDescent="0.3">
      <c r="A677" s="32">
        <f>VLOOKUP(YEAR(C677),Flags!$A$13:$B$95,2,FALSE)</f>
        <v>1</v>
      </c>
      <c r="B677" s="24">
        <f t="shared" si="1054"/>
        <v>1995</v>
      </c>
      <c r="C677" s="25">
        <v>35003</v>
      </c>
      <c r="D677" s="26"/>
      <c r="E677" s="24"/>
      <c r="F677" s="26"/>
      <c r="G677" s="26"/>
      <c r="H677" s="26"/>
      <c r="I677" s="26"/>
      <c r="J677" s="26"/>
      <c r="K677" s="26"/>
      <c r="L677" s="24"/>
      <c r="M677" s="24"/>
      <c r="N677" s="26"/>
      <c r="O677" s="26"/>
      <c r="P677" s="26"/>
      <c r="Q677" s="26"/>
      <c r="R677" s="26"/>
      <c r="S677" s="26"/>
      <c r="T677" s="26"/>
      <c r="U677" s="26"/>
      <c r="V677" s="26"/>
      <c r="W677" s="26">
        <f>MAX($C$9-VLOOKUP($C677,COS!$B$8:$H$991,3,FALSE),0)</f>
        <v>92444.8486328125</v>
      </c>
      <c r="X677" s="26">
        <f t="shared" si="1086"/>
        <v>5684.2121803977279</v>
      </c>
      <c r="Y677" s="26">
        <f>VLOOKUP($C677,COS!$B$8:$H$991,4,FALSE)</f>
        <v>122.30811309814453</v>
      </c>
      <c r="Z677" s="26">
        <f t="shared" si="1087"/>
        <v>7.5204327392578127</v>
      </c>
      <c r="AA677" s="26">
        <f t="shared" si="1088"/>
        <v>122.30811309814453</v>
      </c>
      <c r="AB677" s="33">
        <f t="shared" si="1058"/>
        <v>7.5204327392578127</v>
      </c>
    </row>
    <row r="678" spans="1:28" x14ac:dyDescent="0.3">
      <c r="A678" s="32">
        <f>VLOOKUP(YEAR(C678),Flags!$A$13:$B$95,2,FALSE)</f>
        <v>1</v>
      </c>
      <c r="B678" s="24">
        <f t="shared" si="1054"/>
        <v>1995</v>
      </c>
      <c r="C678" s="25">
        <v>35033</v>
      </c>
      <c r="D678" s="26"/>
      <c r="E678" s="24"/>
      <c r="F678" s="26"/>
      <c r="G678" s="26"/>
      <c r="H678" s="26"/>
      <c r="I678" s="26"/>
      <c r="J678" s="26"/>
      <c r="K678" s="26"/>
      <c r="L678" s="24"/>
      <c r="M678" s="24"/>
      <c r="N678" s="26"/>
      <c r="O678" s="26"/>
      <c r="P678" s="26"/>
      <c r="Q678" s="26"/>
      <c r="R678" s="26"/>
      <c r="S678" s="26"/>
      <c r="T678" s="26"/>
      <c r="U678" s="26"/>
      <c r="V678" s="26"/>
      <c r="W678" s="26">
        <f>MAX($C$10-VLOOKUP($C678,COS!$B$8:$H$991,3,FALSE),0)</f>
        <v>88843.8232421875</v>
      </c>
      <c r="X678" s="26">
        <f t="shared" si="1086"/>
        <v>5286.5746061466944</v>
      </c>
      <c r="Y678" s="26">
        <f>VLOOKUP($C678,COS!$B$8:$H$991,4,FALSE)</f>
        <v>1767.1361083984375</v>
      </c>
      <c r="Z678" s="26">
        <f t="shared" si="1087"/>
        <v>105.15190066503099</v>
      </c>
      <c r="AA678" s="26">
        <f t="shared" si="1088"/>
        <v>1767.1361083984375</v>
      </c>
      <c r="AB678" s="33">
        <f t="shared" si="1058"/>
        <v>52.575950332515497</v>
      </c>
    </row>
    <row r="679" spans="1:28" x14ac:dyDescent="0.3">
      <c r="A679" s="34">
        <f>VLOOKUP(YEAR(C679),Flags!$A$13:$B$95,2,FALSE)</f>
        <v>1</v>
      </c>
      <c r="B679" s="35">
        <f t="shared" si="1054"/>
        <v>1995</v>
      </c>
      <c r="C679" s="36">
        <v>35064</v>
      </c>
      <c r="D679" s="37"/>
      <c r="E679" s="35"/>
      <c r="F679" s="37"/>
      <c r="G679" s="37"/>
      <c r="H679" s="37"/>
      <c r="I679" s="37"/>
      <c r="J679" s="37"/>
      <c r="K679" s="37"/>
      <c r="L679" s="35"/>
      <c r="M679" s="35"/>
      <c r="N679" s="37"/>
      <c r="O679" s="37"/>
      <c r="P679" s="37"/>
      <c r="Q679" s="37"/>
      <c r="R679" s="37"/>
      <c r="S679" s="37"/>
      <c r="T679" s="37"/>
      <c r="U679" s="37"/>
      <c r="V679" s="37"/>
      <c r="W679" s="37">
        <f>MAX($C$11-VLOOKUP($C679,COS!$B$8:$H$991,3,FALSE),0)</f>
        <v>0</v>
      </c>
      <c r="X679" s="37">
        <f t="shared" si="1086"/>
        <v>0</v>
      </c>
      <c r="Y679" s="37">
        <f>VLOOKUP($C679,COS!$B$8:$H$991,4,FALSE)</f>
        <v>0</v>
      </c>
      <c r="Z679" s="37">
        <f t="shared" si="1087"/>
        <v>0</v>
      </c>
      <c r="AA679" s="37">
        <f t="shared" si="1088"/>
        <v>0</v>
      </c>
      <c r="AB679" s="38">
        <f t="shared" si="1058"/>
        <v>0</v>
      </c>
    </row>
    <row r="680" spans="1:28" x14ac:dyDescent="0.3">
      <c r="A680" s="27">
        <f>VLOOKUP(YEAR(C680),Flags!$A$13:$B$95,2,FALSE)</f>
        <v>1</v>
      </c>
      <c r="B680" s="28">
        <f t="shared" si="1054"/>
        <v>1996</v>
      </c>
      <c r="C680" s="29">
        <v>35185</v>
      </c>
      <c r="D680" s="30">
        <f>VLOOKUP($C680,COS!$B$8:$H$991,3,FALSE)</f>
        <v>3250</v>
      </c>
      <c r="E680" s="28">
        <f>IF(D680&gt;=IF(MONTH($C680)=4,$C$3,IF(MONTH($C680)=5,$C$4,IF(MONTH($C680)=6,$C$5,IF(MONTH($C680)=7,$C$6,"ERROR")))),1,0)</f>
        <v>0</v>
      </c>
      <c r="F680" s="30">
        <f>VLOOKUP($C680,COS!$B$8:$H$991,7,FALSE)</f>
        <v>52.729835510253906</v>
      </c>
      <c r="G680" s="28">
        <f>IF(F680&lt;=IF(MONTH($C680)=4,$F$3,IF(MONTH($C680)=5,$F$4,IF(MONTH($C680)=6,$F$5,IF(MONTH($C680)=7,$F$6,"ERROR")))),1,0)</f>
        <v>1</v>
      </c>
      <c r="H680" s="30">
        <f>IF(J680=1,D680-$C$3,0)</f>
        <v>0</v>
      </c>
      <c r="I680" s="30">
        <f t="shared" si="1083"/>
        <v>0</v>
      </c>
      <c r="J680" s="28">
        <f t="shared" ref="J680:J683" si="1091">IF(AND(E680=1,G680=1),1,0)</f>
        <v>0</v>
      </c>
      <c r="K680" s="30">
        <f>VLOOKUP($C680,COS!$B$8:$H$991,2,FALSE)</f>
        <v>4477.14208984375</v>
      </c>
      <c r="L680" s="28">
        <f t="shared" ref="L680" si="1092">IF(K680&lt;=IF(MONTH($C680)=4,$I$3,IF(MONTH($C680)=5,$I$4,IF(MONTH($C680)=6,$I$5,IF(MONTH($C680)=7,$I$6,"ERROR")))),1,0)</f>
        <v>1</v>
      </c>
      <c r="M680" s="28">
        <f t="shared" ref="M680" si="1093">VLOOKUP($A680,$L$3:$M$7,2,FALSE)</f>
        <v>0</v>
      </c>
      <c r="N680" s="30">
        <f>VLOOKUP($C680,COS!$B$8:$H$991,5,FALSE)</f>
        <v>334.49749755859375</v>
      </c>
      <c r="O680" s="30">
        <f t="shared" ref="O680:O683" si="1094">N680*DAY($C680)*86400/43560/1000</f>
        <v>19.903983325800617</v>
      </c>
      <c r="P680" s="30">
        <f>VLOOKUP($C680,COS!$B$8:$H$991,6,FALSE)</f>
        <v>392.12069702148438</v>
      </c>
      <c r="Q680" s="30">
        <f t="shared" ref="Q680:Q683" si="1095">P680*DAY($C680)*86400/43560/1000</f>
        <v>23.332801806237086</v>
      </c>
      <c r="R680" s="30">
        <f>MIN(IF(MONTH($C680)=4,$S$3,IF(MONTH($C680)=5,$S$4,IF(MONTH($C680)=6,$S$5,IF(MONTH($C680)=7,$S$6,"ERROR")))),MAX(VLOOKUP($C680,COS!$B$8:$K$991,10,FALSE)-IF(MONTH($C680)=4,$Y$3,IF(MONTH($C680)=5,$Y$4,IF(MONTH($C680)=6,$Y$5,IF(MONTH($C680)=7,$Y$6,"ERROR")))),0),MAX(VLOOKUP($C680,COS!$B$8:$K$991,9,FALSE)-IF(MONTH($C680)=4,$V$3,IF(MONTH($C680)=5,$V$4,IF(MONTH($C680)=6,$V$5,IF(MONTH($C680)=7,$V$6,"ERROR"))))-VLOOKUP($C680,COS!$B$8:$K$991,6,FALSE)/2,0))</f>
        <v>1500</v>
      </c>
      <c r="S680" s="30">
        <f t="shared" ref="S680:S683" si="1096">R680*DAY($C680)*86400/43560/1000</f>
        <v>89.256198347107429</v>
      </c>
      <c r="T680" s="30">
        <f t="shared" ref="T680:T683" si="1097">(O680+Q680)/2+S680</f>
        <v>110.87459091312628</v>
      </c>
      <c r="U680" s="30" t="str">
        <f>IF(VLOOKUP($C680,COS!$B$8:$I$991,8,FALSE)=1,"UWFE","IBU")</f>
        <v>UWFE</v>
      </c>
      <c r="V680" s="30">
        <f t="shared" ref="V680" si="1098">MIN(IF(IF($AA$3=2,AND(E680=1,G680=1,L680=1,L685=1,M680=1,U680="IBU"),AND(E680=1,G680=1,L680=1,L685=1,M680=1)),T680,0),I680)</f>
        <v>0</v>
      </c>
      <c r="W680" s="30"/>
      <c r="X680" s="30"/>
      <c r="Y680" s="30"/>
      <c r="Z680" s="30"/>
      <c r="AA680" s="30"/>
      <c r="AB680" s="31"/>
    </row>
    <row r="681" spans="1:28" x14ac:dyDescent="0.3">
      <c r="A681" s="32">
        <f>VLOOKUP(YEAR(C681),Flags!$A$13:$B$95,2,FALSE)</f>
        <v>1</v>
      </c>
      <c r="B681" s="24">
        <f t="shared" si="1054"/>
        <v>1996</v>
      </c>
      <c r="C681" s="25">
        <v>35216</v>
      </c>
      <c r="D681" s="26">
        <f>VLOOKUP($C681,COS!$B$8:$H$991,3,FALSE)</f>
        <v>10559.1572265625</v>
      </c>
      <c r="E681" s="24">
        <f>IF(D681&gt;=IF(MONTH($C681)=4,$C$3,IF(MONTH($C681)=5,$C$4,IF(MONTH($C681)=6,$C$5,IF(MONTH($C681)=7,$C$6,"ERROR")))),1,0)</f>
        <v>1</v>
      </c>
      <c r="F681" s="26">
        <f>VLOOKUP($C681,COS!$B$8:$H$991,7,FALSE)</f>
        <v>51.389583587646484</v>
      </c>
      <c r="G681" s="24">
        <f>IF(F681&lt;=IF(MONTH($C681)=4,$F$3,IF(MONTH($C681)=5,$F$4,IF(MONTH($C681)=6,$F$5,IF(MONTH($C681)=7,$F$6,"ERROR")))),1,0)</f>
        <v>1</v>
      </c>
      <c r="H681" s="26">
        <f>IF(J681=1,D681-$C$4,0)</f>
        <v>4559.1572265625</v>
      </c>
      <c r="I681" s="26">
        <f t="shared" si="1083"/>
        <v>280.33165095557848</v>
      </c>
      <c r="J681" s="24">
        <f t="shared" si="1091"/>
        <v>1</v>
      </c>
      <c r="K681" s="26">
        <f>VLOOKUP($C681,COS!$B$8:$H$991,2,FALSE)</f>
        <v>4552</v>
      </c>
      <c r="L681" s="24">
        <f t="shared" si="1046"/>
        <v>1</v>
      </c>
      <c r="M681" s="24">
        <f t="shared" si="1047"/>
        <v>0</v>
      </c>
      <c r="N681" s="26">
        <f>VLOOKUP($C681,COS!$B$8:$H$991,5,FALSE)</f>
        <v>391.34814453125</v>
      </c>
      <c r="O681" s="26">
        <f t="shared" si="1094"/>
        <v>24.063059465392563</v>
      </c>
      <c r="P681" s="26">
        <f>VLOOKUP($C681,COS!$B$8:$H$991,6,FALSE)</f>
        <v>1692.3414306640625</v>
      </c>
      <c r="Q681" s="26">
        <f t="shared" si="1095"/>
        <v>104.05801854661674</v>
      </c>
      <c r="R681" s="26">
        <f>MIN(IF(MONTH($C681)=4,$S$3,IF(MONTH($C681)=5,$S$4,IF(MONTH($C681)=6,$S$5,IF(MONTH($C681)=7,$S$6,"ERROR")))),MAX(VLOOKUP($C681,COS!$B$8:$K$991,10,FALSE)-IF(MONTH($C681)=4,$Y$3,IF(MONTH($C681)=5,$Y$4,IF(MONTH($C681)=6,$Y$5,IF(MONTH($C681)=7,$Y$6,"ERROR")))),0),MAX(VLOOKUP($C681,COS!$B$8:$K$991,9,FALSE)-IF(MONTH($C681)=4,$V$3,IF(MONTH($C681)=5,$V$4,IF(MONTH($C681)=6,$V$5,IF(MONTH($C681)=7,$V$6,"ERROR"))))-VLOOKUP($C681,COS!$B$8:$K$991,6,FALSE)/2,0))</f>
        <v>1500</v>
      </c>
      <c r="S681" s="26">
        <f t="shared" si="1096"/>
        <v>92.231404958677686</v>
      </c>
      <c r="T681" s="26">
        <f t="shared" si="1097"/>
        <v>156.29194396468233</v>
      </c>
      <c r="U681" s="26" t="str">
        <f>IF(VLOOKUP($C681,COS!$B$8:$I$991,8,FALSE)=1,"UWFE","IBU")</f>
        <v>UWFE</v>
      </c>
      <c r="V681" s="26">
        <f t="shared" ref="V681" si="1099">MIN(IF(IF($AA$3=2,AND(E681=1,G681=1,L681=1,L685=1,M681=1,U681="IBU"),AND(E681=1,G681=1,L681=1,L685=1,M681=1)),T681,0),I681)</f>
        <v>0</v>
      </c>
      <c r="W681" s="26"/>
      <c r="X681" s="26"/>
      <c r="Y681" s="26"/>
      <c r="Z681" s="26"/>
      <c r="AA681" s="26"/>
      <c r="AB681" s="33"/>
    </row>
    <row r="682" spans="1:28" x14ac:dyDescent="0.3">
      <c r="A682" s="32">
        <f>VLOOKUP(YEAR(C682),Flags!$A$13:$B$95,2,FALSE)</f>
        <v>1</v>
      </c>
      <c r="B682" s="24">
        <f t="shared" si="1054"/>
        <v>1996</v>
      </c>
      <c r="C682" s="25">
        <v>35246</v>
      </c>
      <c r="D682" s="26">
        <f>VLOOKUP($C682,COS!$B$8:$H$991,3,FALSE)</f>
        <v>7585.73583984375</v>
      </c>
      <c r="E682" s="24">
        <f>IF(D682&gt;=IF(MONTH($C682)=4,$C$3,IF(MONTH($C682)=5,$C$4,IF(MONTH($C682)=6,$C$5,IF(MONTH($C682)=7,$C$6,"ERROR")))),1,0)</f>
        <v>0</v>
      </c>
      <c r="F682" s="26">
        <f>VLOOKUP($C682,COS!$B$8:$H$991,7,FALSE)</f>
        <v>53.900276184082031</v>
      </c>
      <c r="G682" s="24">
        <f>IF(F682&lt;=IF(MONTH($C682)=4,$F$3,IF(MONTH($C682)=5,$F$4,IF(MONTH($C682)=6,$F$5,IF(MONTH($C682)=7,$F$6,"ERROR")))),1,0)</f>
        <v>1</v>
      </c>
      <c r="H682" s="26">
        <f>IF(J682=1,D682-$C$5,0)</f>
        <v>0</v>
      </c>
      <c r="I682" s="26">
        <f t="shared" si="1083"/>
        <v>0</v>
      </c>
      <c r="J682" s="24">
        <f t="shared" si="1091"/>
        <v>0</v>
      </c>
      <c r="K682" s="26">
        <f>VLOOKUP($C682,COS!$B$8:$H$991,2,FALSE)</f>
        <v>4421.00390625</v>
      </c>
      <c r="L682" s="24">
        <f t="shared" si="1046"/>
        <v>1</v>
      </c>
      <c r="M682" s="24">
        <f t="shared" si="1047"/>
        <v>0</v>
      </c>
      <c r="N682" s="26">
        <f>VLOOKUP($C682,COS!$B$8:$H$991,5,FALSE)</f>
        <v>1206.450439453125</v>
      </c>
      <c r="O682" s="26">
        <f t="shared" si="1094"/>
        <v>71.788786479855375</v>
      </c>
      <c r="P682" s="26">
        <f>VLOOKUP($C682,COS!$B$8:$H$991,6,FALSE)</f>
        <v>2328.534912109375</v>
      </c>
      <c r="Q682" s="26">
        <f t="shared" si="1095"/>
        <v>138.55744931559917</v>
      </c>
      <c r="R682" s="26">
        <f>MIN(IF(MONTH($C682)=4,$S$3,IF(MONTH($C682)=5,$S$4,IF(MONTH($C682)=6,$S$5,IF(MONTH($C682)=7,$S$6,"ERROR")))),MAX(VLOOKUP($C682,COS!$B$8:$K$991,10,FALSE)-IF(MONTH($C682)=4,$Y$3,IF(MONTH($C682)=5,$Y$4,IF(MONTH($C682)=6,$Y$5,IF(MONTH($C682)=7,$Y$6,"ERROR")))),0),MAX(VLOOKUP($C682,COS!$B$8:$K$991,9,FALSE)-IF(MONTH($C682)=4,$V$3,IF(MONTH($C682)=5,$V$4,IF(MONTH($C682)=6,$V$5,IF(MONTH($C682)=7,$V$6,"ERROR"))))-VLOOKUP($C682,COS!$B$8:$K$991,6,FALSE)/2,0))</f>
        <v>1500</v>
      </c>
      <c r="S682" s="26">
        <f t="shared" si="1096"/>
        <v>89.256198347107429</v>
      </c>
      <c r="T682" s="26">
        <f t="shared" si="1097"/>
        <v>194.42931624483469</v>
      </c>
      <c r="U682" s="26" t="str">
        <f>IF(VLOOKUP($C682,COS!$B$8:$I$991,8,FALSE)=1,"UWFE","IBU")</f>
        <v>UWFE</v>
      </c>
      <c r="V682" s="26">
        <f t="shared" ref="V682" si="1100">MIN(IF(IF($AA$3=2,AND(E682=1,G682=1,L682=1,L685=1,M682=1,U682="IBU"),AND(E682=1,G682=1,L682=1,L685=1,M682=1)),T682,0),I682)</f>
        <v>0</v>
      </c>
      <c r="W682" s="26"/>
      <c r="X682" s="26"/>
      <c r="Y682" s="26"/>
      <c r="Z682" s="26"/>
      <c r="AA682" s="26"/>
      <c r="AB682" s="33"/>
    </row>
    <row r="683" spans="1:28" x14ac:dyDescent="0.3">
      <c r="A683" s="32">
        <f>VLOOKUP(YEAR(C683),Flags!$A$13:$B$95,2,FALSE)</f>
        <v>1</v>
      </c>
      <c r="B683" s="24">
        <f t="shared" si="1054"/>
        <v>1996</v>
      </c>
      <c r="C683" s="25">
        <v>35277</v>
      </c>
      <c r="D683" s="26">
        <f>VLOOKUP($C683,COS!$B$8:$H$991,3,FALSE)</f>
        <v>15098.107421875</v>
      </c>
      <c r="E683" s="24">
        <f>IF(D683&gt;=IF(MONTH($C683)=4,$C$3,IF(MONTH($C683)=5,$C$4,IF(MONTH($C683)=6,$C$5,IF(MONTH($C683)=7,$C$6,"ERROR")))),1,0)</f>
        <v>1</v>
      </c>
      <c r="F683" s="26">
        <f>VLOOKUP($C683,COS!$B$8:$H$991,7,FALSE)</f>
        <v>53.102745056152344</v>
      </c>
      <c r="G683" s="24">
        <f>IF(F683&lt;=IF(MONTH($C683)=4,$F$3,IF(MONTH($C683)=5,$F$4,IF(MONTH($C683)=6,$F$5,IF(MONTH($C683)=7,$F$6,"ERROR")))),1,0)</f>
        <v>1</v>
      </c>
      <c r="H683" s="26">
        <f>IF(J683=1,D683-$C$6,0)</f>
        <v>3098.107421875</v>
      </c>
      <c r="I683" s="26">
        <f t="shared" si="1083"/>
        <v>190.49520015495867</v>
      </c>
      <c r="J683" s="24">
        <f t="shared" si="1091"/>
        <v>1</v>
      </c>
      <c r="K683" s="26">
        <f>VLOOKUP($C683,COS!$B$8:$H$991,2,FALSE)</f>
        <v>3708.637451171875</v>
      </c>
      <c r="L683" s="24">
        <f t="shared" si="1046"/>
        <v>1</v>
      </c>
      <c r="M683" s="24">
        <f t="shared" si="1047"/>
        <v>0</v>
      </c>
      <c r="N683" s="26">
        <f>VLOOKUP($C683,COS!$B$8:$H$991,5,FALSE)</f>
        <v>1377.7275390625</v>
      </c>
      <c r="O683" s="26">
        <f t="shared" si="1094"/>
        <v>84.713164385330572</v>
      </c>
      <c r="P683" s="26">
        <f>VLOOKUP($C683,COS!$B$8:$H$991,6,FALSE)</f>
        <v>2521.474853515625</v>
      </c>
      <c r="Q683" s="26">
        <f t="shared" si="1095"/>
        <v>155.0394455384814</v>
      </c>
      <c r="R683" s="26">
        <f>MIN(IF(MONTH($C683)=4,$S$3,IF(MONTH($C683)=5,$S$4,IF(MONTH($C683)=6,$S$5,IF(MONTH($C683)=7,$S$6,"ERROR")))),MAX(VLOOKUP($C683,COS!$B$8:$K$991,10,FALSE)-IF(MONTH($C683)=4,$Y$3,IF(MONTH($C683)=5,$Y$4,IF(MONTH($C683)=6,$Y$5,IF(MONTH($C683)=7,$Y$6,"ERROR")))),0),MAX(VLOOKUP($C683,COS!$B$8:$K$991,9,FALSE)-IF(MONTH($C683)=4,$V$3,IF(MONTH($C683)=5,$V$4,IF(MONTH($C683)=6,$V$5,IF(MONTH($C683)=7,$V$6,"ERROR"))))-VLOOKUP($C683,COS!$B$8:$K$991,6,FALSE)/2,0))</f>
        <v>1500</v>
      </c>
      <c r="S683" s="26">
        <f t="shared" si="1096"/>
        <v>92.231404958677686</v>
      </c>
      <c r="T683" s="26">
        <f t="shared" si="1097"/>
        <v>212.10770992058366</v>
      </c>
      <c r="U683" s="26" t="str">
        <f>IF(VLOOKUP($C683,COS!$B$8:$I$991,8,FALSE)=1,"UWFE","IBU")</f>
        <v>IBU</v>
      </c>
      <c r="V683" s="26">
        <f t="shared" ref="V683" si="1101">MIN(IF(IF($AA$3=2,AND(E683=1,G683=1,L683=1,L685=1,M683=1,U683="IBU"),AND(E683=1,G683=1,L683=1,L685=1,M683=1)),T683,0),I683)</f>
        <v>0</v>
      </c>
      <c r="W683" s="26"/>
      <c r="X683" s="26"/>
      <c r="Y683" s="26"/>
      <c r="Z683" s="26"/>
      <c r="AA683" s="26"/>
      <c r="AB683" s="33"/>
    </row>
    <row r="684" spans="1:28" x14ac:dyDescent="0.3">
      <c r="A684" s="32">
        <f>VLOOKUP(YEAR(C684),Flags!$A$13:$B$95,2,FALSE)</f>
        <v>1</v>
      </c>
      <c r="B684" s="24">
        <f t="shared" si="1054"/>
        <v>1996</v>
      </c>
      <c r="C684" s="25">
        <v>35308</v>
      </c>
      <c r="D684" s="26"/>
      <c r="E684" s="24"/>
      <c r="F684" s="26"/>
      <c r="G684" s="24"/>
      <c r="H684" s="24"/>
      <c r="I684" s="26"/>
      <c r="J684" s="24"/>
      <c r="K684" s="26"/>
      <c r="L684" s="24"/>
      <c r="M684" s="24"/>
      <c r="N684" s="26"/>
      <c r="O684" s="26"/>
      <c r="P684" s="26"/>
      <c r="Q684" s="26"/>
      <c r="R684" s="26"/>
      <c r="S684" s="26"/>
      <c r="T684" s="26"/>
      <c r="U684" s="26"/>
      <c r="V684" s="26"/>
      <c r="W684" s="26">
        <f>MAX($C$7-VLOOKUP($C684,COS!$B$8:$H$991,3,FALSE),0)</f>
        <v>90642.01953125</v>
      </c>
      <c r="X684" s="26">
        <f t="shared" si="1086"/>
        <v>5573.3605397727279</v>
      </c>
      <c r="Y684" s="26">
        <f>VLOOKUP($C684,COS!$B$8:$H$991,4,FALSE)</f>
        <v>0</v>
      </c>
      <c r="Z684" s="26">
        <f t="shared" si="1087"/>
        <v>0</v>
      </c>
      <c r="AA684" s="26">
        <f t="shared" ref="AA684:AA688" si="1102">MIN(W684,Y684)</f>
        <v>0</v>
      </c>
      <c r="AB684" s="33">
        <f t="shared" ref="AB684" si="1103">AA684*DAY($C684)*86400/43560/1000*IF(MONTH($C684)=8,$P$3,IF(MONTH($C684)=9,$P$4,IF(MONTH($C684)=10,$P$5,IF(MONTH($C684)=11,$P$6,IF(MONTH($C684)=12,$P$7,NA())))))</f>
        <v>0</v>
      </c>
    </row>
    <row r="685" spans="1:28" x14ac:dyDescent="0.3">
      <c r="A685" s="32">
        <f>VLOOKUP(YEAR(C685),Flags!$A$13:$B$95,2,FALSE)</f>
        <v>1</v>
      </c>
      <c r="B685" s="24">
        <f t="shared" si="1054"/>
        <v>1996</v>
      </c>
      <c r="C685" s="25">
        <v>35338</v>
      </c>
      <c r="D685" s="26"/>
      <c r="E685" s="24"/>
      <c r="F685" s="26"/>
      <c r="G685" s="24"/>
      <c r="H685" s="24"/>
      <c r="I685" s="26"/>
      <c r="J685" s="24"/>
      <c r="K685" s="26">
        <f>VLOOKUP($C685,COS!$B$8:$H$991,2,FALSE)</f>
        <v>3012.986572265625</v>
      </c>
      <c r="L685" s="24">
        <f t="shared" ref="L685" si="1104">IF(AND(K685&gt;$I$7,K685&lt;$I$8),1,0)</f>
        <v>1</v>
      </c>
      <c r="M685" s="24"/>
      <c r="N685" s="26"/>
      <c r="O685" s="26"/>
      <c r="P685" s="26"/>
      <c r="Q685" s="26"/>
      <c r="R685" s="26"/>
      <c r="S685" s="26"/>
      <c r="T685" s="26"/>
      <c r="U685" s="26"/>
      <c r="V685" s="26"/>
      <c r="W685" s="26">
        <f>MAX($C$8-VLOOKUP($C685,COS!$B$8:$H$991,3,FALSE),0)</f>
        <v>87735.287109375</v>
      </c>
      <c r="X685" s="26">
        <f t="shared" si="1086"/>
        <v>5220.612125516529</v>
      </c>
      <c r="Y685" s="26">
        <f>VLOOKUP($C685,COS!$B$8:$H$991,4,FALSE)</f>
        <v>0</v>
      </c>
      <c r="Z685" s="26">
        <f t="shared" si="1087"/>
        <v>0</v>
      </c>
      <c r="AA685" s="26">
        <f t="shared" si="1102"/>
        <v>0</v>
      </c>
      <c r="AB685" s="33">
        <f t="shared" si="1058"/>
        <v>0</v>
      </c>
    </row>
    <row r="686" spans="1:28" x14ac:dyDescent="0.3">
      <c r="A686" s="32">
        <f>VLOOKUP(YEAR(C686),Flags!$A$13:$B$95,2,FALSE)</f>
        <v>1</v>
      </c>
      <c r="B686" s="24">
        <f t="shared" si="1054"/>
        <v>1996</v>
      </c>
      <c r="C686" s="25">
        <v>35369</v>
      </c>
      <c r="D686" s="26"/>
      <c r="E686" s="24"/>
      <c r="F686" s="26"/>
      <c r="G686" s="26"/>
      <c r="H686" s="26"/>
      <c r="I686" s="26"/>
      <c r="J686" s="26"/>
      <c r="K686" s="26"/>
      <c r="L686" s="24"/>
      <c r="M686" s="24"/>
      <c r="N686" s="26"/>
      <c r="O686" s="26"/>
      <c r="P686" s="26"/>
      <c r="Q686" s="26"/>
      <c r="R686" s="26"/>
      <c r="S686" s="26"/>
      <c r="T686" s="26"/>
      <c r="U686" s="26"/>
      <c r="V686" s="26"/>
      <c r="W686" s="26">
        <f>MAX($C$9-VLOOKUP($C686,COS!$B$8:$H$991,3,FALSE),0)</f>
        <v>90257.6123046875</v>
      </c>
      <c r="X686" s="26">
        <f t="shared" si="1086"/>
        <v>5549.7242607179751</v>
      </c>
      <c r="Y686" s="26">
        <f>VLOOKUP($C686,COS!$B$8:$H$991,4,FALSE)</f>
        <v>729.4923095703125</v>
      </c>
      <c r="Z686" s="26">
        <f t="shared" si="1087"/>
        <v>44.854733745480374</v>
      </c>
      <c r="AA686" s="26">
        <f t="shared" si="1102"/>
        <v>729.4923095703125</v>
      </c>
      <c r="AB686" s="33">
        <f t="shared" si="1058"/>
        <v>44.854733745480374</v>
      </c>
    </row>
    <row r="687" spans="1:28" x14ac:dyDescent="0.3">
      <c r="A687" s="32">
        <f>VLOOKUP(YEAR(C687),Flags!$A$13:$B$95,2,FALSE)</f>
        <v>1</v>
      </c>
      <c r="B687" s="24">
        <f t="shared" si="1054"/>
        <v>1996</v>
      </c>
      <c r="C687" s="25">
        <v>35399</v>
      </c>
      <c r="D687" s="26"/>
      <c r="E687" s="24"/>
      <c r="F687" s="26"/>
      <c r="G687" s="26"/>
      <c r="H687" s="26"/>
      <c r="I687" s="26"/>
      <c r="J687" s="26"/>
      <c r="K687" s="26"/>
      <c r="L687" s="24"/>
      <c r="M687" s="24"/>
      <c r="N687" s="26"/>
      <c r="O687" s="26"/>
      <c r="P687" s="26"/>
      <c r="Q687" s="26"/>
      <c r="R687" s="26"/>
      <c r="S687" s="26"/>
      <c r="T687" s="26"/>
      <c r="U687" s="26"/>
      <c r="V687" s="26"/>
      <c r="W687" s="26">
        <f>MAX($C$10-VLOOKUP($C687,COS!$B$8:$H$991,3,FALSE),0)</f>
        <v>89483.75</v>
      </c>
      <c r="X687" s="26">
        <f t="shared" si="1086"/>
        <v>5324.6528925619832</v>
      </c>
      <c r="Y687" s="26">
        <f>VLOOKUP($C687,COS!$B$8:$H$991,4,FALSE)</f>
        <v>1822.423095703125</v>
      </c>
      <c r="Z687" s="26">
        <f t="shared" si="1087"/>
        <v>108.44170486828513</v>
      </c>
      <c r="AA687" s="26">
        <f t="shared" si="1102"/>
        <v>1822.423095703125</v>
      </c>
      <c r="AB687" s="33">
        <f t="shared" si="1058"/>
        <v>54.220852434142564</v>
      </c>
    </row>
    <row r="688" spans="1:28" x14ac:dyDescent="0.3">
      <c r="A688" s="34">
        <f>VLOOKUP(YEAR(C688),Flags!$A$13:$B$95,2,FALSE)</f>
        <v>1</v>
      </c>
      <c r="B688" s="35">
        <f t="shared" si="1054"/>
        <v>1996</v>
      </c>
      <c r="C688" s="36">
        <v>35430</v>
      </c>
      <c r="D688" s="37"/>
      <c r="E688" s="35"/>
      <c r="F688" s="37"/>
      <c r="G688" s="37"/>
      <c r="H688" s="37"/>
      <c r="I688" s="37"/>
      <c r="J688" s="37"/>
      <c r="K688" s="37"/>
      <c r="L688" s="35"/>
      <c r="M688" s="35"/>
      <c r="N688" s="37"/>
      <c r="O688" s="37"/>
      <c r="P688" s="37"/>
      <c r="Q688" s="37"/>
      <c r="R688" s="37"/>
      <c r="S688" s="37"/>
      <c r="T688" s="37"/>
      <c r="U688" s="37"/>
      <c r="V688" s="37"/>
      <c r="W688" s="37">
        <f>MAX($C$11-VLOOKUP($C688,COS!$B$8:$H$991,3,FALSE),0)</f>
        <v>0</v>
      </c>
      <c r="X688" s="37">
        <f t="shared" si="1086"/>
        <v>0</v>
      </c>
      <c r="Y688" s="37">
        <f>VLOOKUP($C688,COS!$B$8:$H$991,4,FALSE)</f>
        <v>0</v>
      </c>
      <c r="Z688" s="37">
        <f t="shared" si="1087"/>
        <v>0</v>
      </c>
      <c r="AA688" s="37">
        <f t="shared" si="1102"/>
        <v>0</v>
      </c>
      <c r="AB688" s="38">
        <f t="shared" si="1058"/>
        <v>0</v>
      </c>
    </row>
    <row r="689" spans="1:28" x14ac:dyDescent="0.3">
      <c r="A689" s="27">
        <f>VLOOKUP(YEAR(C689),Flags!$A$13:$B$95,2,FALSE)</f>
        <v>1</v>
      </c>
      <c r="B689" s="28">
        <f t="shared" si="1054"/>
        <v>1997</v>
      </c>
      <c r="C689" s="29">
        <v>35550</v>
      </c>
      <c r="D689" s="30">
        <f>VLOOKUP($C689,COS!$B$8:$H$991,3,FALSE)</f>
        <v>3250</v>
      </c>
      <c r="E689" s="28">
        <f>IF(D689&gt;=IF(MONTH($C689)=4,$C$3,IF(MONTH($C689)=5,$C$4,IF(MONTH($C689)=6,$C$5,IF(MONTH($C689)=7,$C$6,"ERROR")))),1,0)</f>
        <v>0</v>
      </c>
      <c r="F689" s="30">
        <f>VLOOKUP($C689,COS!$B$8:$H$991,7,FALSE)</f>
        <v>50.800266265869141</v>
      </c>
      <c r="G689" s="28">
        <f>IF(F689&lt;=IF(MONTH($C689)=4,$F$3,IF(MONTH($C689)=5,$F$4,IF(MONTH($C689)=6,$F$5,IF(MONTH($C689)=7,$F$6,"ERROR")))),1,0)</f>
        <v>1</v>
      </c>
      <c r="H689" s="30">
        <f>IF(J689=1,D689-$C$3,0)</f>
        <v>0</v>
      </c>
      <c r="I689" s="30">
        <f t="shared" si="1083"/>
        <v>0</v>
      </c>
      <c r="J689" s="28">
        <f t="shared" ref="J689:J692" si="1105">IF(AND(E689=1,G689=1),1,0)</f>
        <v>0</v>
      </c>
      <c r="K689" s="30">
        <f>VLOOKUP($C689,COS!$B$8:$H$991,2,FALSE)</f>
        <v>4284.2431640625</v>
      </c>
      <c r="L689" s="28">
        <f t="shared" ref="L689" si="1106">IF(K689&lt;=IF(MONTH($C689)=4,$I$3,IF(MONTH($C689)=5,$I$4,IF(MONTH($C689)=6,$I$5,IF(MONTH($C689)=7,$I$6,"ERROR")))),1,0)</f>
        <v>1</v>
      </c>
      <c r="M689" s="28">
        <f t="shared" ref="M689" si="1107">VLOOKUP($A689,$L$3:$M$7,2,FALSE)</f>
        <v>0</v>
      </c>
      <c r="N689" s="30">
        <f>VLOOKUP($C689,COS!$B$8:$H$991,5,FALSE)</f>
        <v>312.31362915039063</v>
      </c>
      <c r="O689" s="30">
        <f t="shared" ref="O689:O692" si="1108">N689*DAY($C689)*86400/43560/1000</f>
        <v>18.583951486634813</v>
      </c>
      <c r="P689" s="30">
        <f>VLOOKUP($C689,COS!$B$8:$H$991,6,FALSE)</f>
        <v>564.39752197265625</v>
      </c>
      <c r="Q689" s="30">
        <f t="shared" ref="Q689:Q692" si="1109">P689*DAY($C689)*86400/43560/1000</f>
        <v>33.583984778538223</v>
      </c>
      <c r="R689" s="30">
        <f>MIN(IF(MONTH($C689)=4,$S$3,IF(MONTH($C689)=5,$S$4,IF(MONTH($C689)=6,$S$5,IF(MONTH($C689)=7,$S$6,"ERROR")))),MAX(VLOOKUP($C689,COS!$B$8:$K$991,10,FALSE)-IF(MONTH($C689)=4,$Y$3,IF(MONTH($C689)=5,$Y$4,IF(MONTH($C689)=6,$Y$5,IF(MONTH($C689)=7,$Y$6,"ERROR")))),0),MAX(VLOOKUP($C689,COS!$B$8:$K$991,9,FALSE)-IF(MONTH($C689)=4,$V$3,IF(MONTH($C689)=5,$V$4,IF(MONTH($C689)=6,$V$5,IF(MONTH($C689)=7,$V$6,"ERROR"))))-VLOOKUP($C689,COS!$B$8:$K$991,6,FALSE)/2,0))</f>
        <v>1500</v>
      </c>
      <c r="S689" s="30">
        <f t="shared" ref="S689:S692" si="1110">R689*DAY($C689)*86400/43560/1000</f>
        <v>89.256198347107429</v>
      </c>
      <c r="T689" s="30">
        <f t="shared" ref="T689:T692" si="1111">(O689+Q689)/2+S689</f>
        <v>115.34016647969395</v>
      </c>
      <c r="U689" s="30" t="str">
        <f>IF(VLOOKUP($C689,COS!$B$8:$I$991,8,FALSE)=1,"UWFE","IBU")</f>
        <v>UWFE</v>
      </c>
      <c r="V689" s="30">
        <f t="shared" ref="V689" si="1112">MIN(IF(IF($AA$3=2,AND(E689=1,G689=1,L689=1,L694=1,M689=1,U689="IBU"),AND(E689=1,G689=1,L689=1,L694=1,M689=1)),T689,0),I689)</f>
        <v>0</v>
      </c>
      <c r="W689" s="30"/>
      <c r="X689" s="30"/>
      <c r="Y689" s="30"/>
      <c r="Z689" s="30"/>
      <c r="AA689" s="30"/>
      <c r="AB689" s="31"/>
    </row>
    <row r="690" spans="1:28" x14ac:dyDescent="0.3">
      <c r="A690" s="32">
        <f>VLOOKUP(YEAR(C690),Flags!$A$13:$B$95,2,FALSE)</f>
        <v>1</v>
      </c>
      <c r="B690" s="24">
        <f t="shared" si="1054"/>
        <v>1997</v>
      </c>
      <c r="C690" s="25">
        <v>35581</v>
      </c>
      <c r="D690" s="26">
        <f>VLOOKUP($C690,COS!$B$8:$H$991,3,FALSE)</f>
        <v>8600.0205078125</v>
      </c>
      <c r="E690" s="24">
        <f>IF(D690&gt;=IF(MONTH($C690)=4,$C$3,IF(MONTH($C690)=5,$C$4,IF(MONTH($C690)=6,$C$5,IF(MONTH($C690)=7,$C$6,"ERROR")))),1,0)</f>
        <v>1</v>
      </c>
      <c r="F690" s="26">
        <f>VLOOKUP($C690,COS!$B$8:$H$991,7,FALSE)</f>
        <v>50.114212036132813</v>
      </c>
      <c r="G690" s="24">
        <f>IF(F690&lt;=IF(MONTH($C690)=4,$F$3,IF(MONTH($C690)=5,$F$4,IF(MONTH($C690)=6,$F$5,IF(MONTH($C690)=7,$F$6,"ERROR")))),1,0)</f>
        <v>1</v>
      </c>
      <c r="H690" s="26">
        <f>IF(J690=1,D690-$C$4,0)</f>
        <v>2600.0205078125</v>
      </c>
      <c r="I690" s="26">
        <f t="shared" si="1083"/>
        <v>159.86902957128098</v>
      </c>
      <c r="J690" s="24">
        <f t="shared" si="1105"/>
        <v>1</v>
      </c>
      <c r="K690" s="26">
        <f>VLOOKUP($C690,COS!$B$8:$H$991,2,FALSE)</f>
        <v>4051.203369140625</v>
      </c>
      <c r="L690" s="24">
        <f t="shared" si="1046"/>
        <v>1</v>
      </c>
      <c r="M690" s="24">
        <f t="shared" si="1047"/>
        <v>0</v>
      </c>
      <c r="N690" s="26">
        <f>VLOOKUP($C690,COS!$B$8:$H$991,5,FALSE)</f>
        <v>869.624755859375</v>
      </c>
      <c r="O690" s="26">
        <f t="shared" si="1108"/>
        <v>53.471142013171487</v>
      </c>
      <c r="P690" s="26">
        <f>VLOOKUP($C690,COS!$B$8:$H$991,6,FALSE)</f>
        <v>2219.110107421875</v>
      </c>
      <c r="Q690" s="26">
        <f t="shared" si="1109"/>
        <v>136.44776197701447</v>
      </c>
      <c r="R690" s="26">
        <f>MIN(IF(MONTH($C690)=4,$S$3,IF(MONTH($C690)=5,$S$4,IF(MONTH($C690)=6,$S$5,IF(MONTH($C690)=7,$S$6,"ERROR")))),MAX(VLOOKUP($C690,COS!$B$8:$K$991,10,FALSE)-IF(MONTH($C690)=4,$Y$3,IF(MONTH($C690)=5,$Y$4,IF(MONTH($C690)=6,$Y$5,IF(MONTH($C690)=7,$Y$6,"ERROR")))),0),MAX(VLOOKUP($C690,COS!$B$8:$K$991,9,FALSE)-IF(MONTH($C690)=4,$V$3,IF(MONTH($C690)=5,$V$4,IF(MONTH($C690)=6,$V$5,IF(MONTH($C690)=7,$V$6,"ERROR"))))-VLOOKUP($C690,COS!$B$8:$K$991,6,FALSE)/2,0))</f>
        <v>1500</v>
      </c>
      <c r="S690" s="26">
        <f t="shared" si="1110"/>
        <v>92.231404958677686</v>
      </c>
      <c r="T690" s="26">
        <f t="shared" si="1111"/>
        <v>187.19085695377066</v>
      </c>
      <c r="U690" s="26" t="str">
        <f>IF(VLOOKUP($C690,COS!$B$8:$I$991,8,FALSE)=1,"UWFE","IBU")</f>
        <v>UWFE</v>
      </c>
      <c r="V690" s="26">
        <f t="shared" ref="V690" si="1113">MIN(IF(IF($AA$3=2,AND(E690=1,G690=1,L690=1,L694=1,M690=1,U690="IBU"),AND(E690=1,G690=1,L690=1,L694=1,M690=1)),T690,0),I690)</f>
        <v>0</v>
      </c>
      <c r="W690" s="26"/>
      <c r="X690" s="26"/>
      <c r="Y690" s="26"/>
      <c r="Z690" s="26"/>
      <c r="AA690" s="26"/>
      <c r="AB690" s="33"/>
    </row>
    <row r="691" spans="1:28" x14ac:dyDescent="0.3">
      <c r="A691" s="32">
        <f>VLOOKUP(YEAR(C691),Flags!$A$13:$B$95,2,FALSE)</f>
        <v>1</v>
      </c>
      <c r="B691" s="24">
        <f t="shared" si="1054"/>
        <v>1997</v>
      </c>
      <c r="C691" s="25">
        <v>35611</v>
      </c>
      <c r="D691" s="26">
        <f>VLOOKUP($C691,COS!$B$8:$H$991,3,FALSE)</f>
        <v>8785.2919921875</v>
      </c>
      <c r="E691" s="24">
        <f>IF(D691&gt;=IF(MONTH($C691)=4,$C$3,IF(MONTH($C691)=5,$C$4,IF(MONTH($C691)=6,$C$5,IF(MONTH($C691)=7,$C$6,"ERROR")))),1,0)</f>
        <v>0</v>
      </c>
      <c r="F691" s="26">
        <f>VLOOKUP($C691,COS!$B$8:$H$991,7,FALSE)</f>
        <v>50.868202209472656</v>
      </c>
      <c r="G691" s="24">
        <f>IF(F691&lt;=IF(MONTH($C691)=4,$F$3,IF(MONTH($C691)=5,$F$4,IF(MONTH($C691)=6,$F$5,IF(MONTH($C691)=7,$F$6,"ERROR")))),1,0)</f>
        <v>1</v>
      </c>
      <c r="H691" s="26">
        <f>IF(J691=1,D691-$C$5,0)</f>
        <v>0</v>
      </c>
      <c r="I691" s="26">
        <f t="shared" si="1083"/>
        <v>0</v>
      </c>
      <c r="J691" s="24">
        <f t="shared" si="1105"/>
        <v>0</v>
      </c>
      <c r="K691" s="26">
        <f>VLOOKUP($C691,COS!$B$8:$H$991,2,FALSE)</f>
        <v>3776.169677734375</v>
      </c>
      <c r="L691" s="24">
        <f t="shared" si="1046"/>
        <v>1</v>
      </c>
      <c r="M691" s="24">
        <f t="shared" si="1047"/>
        <v>0</v>
      </c>
      <c r="N691" s="26">
        <f>VLOOKUP($C691,COS!$B$8:$H$991,5,FALSE)</f>
        <v>771.67578125</v>
      </c>
      <c r="O691" s="26">
        <f t="shared" si="1108"/>
        <v>45.917897727272731</v>
      </c>
      <c r="P691" s="26">
        <f>VLOOKUP($C691,COS!$B$8:$H$991,6,FALSE)</f>
        <v>2299.130615234375</v>
      </c>
      <c r="Q691" s="26">
        <f t="shared" si="1109"/>
        <v>136.80777214617768</v>
      </c>
      <c r="R691" s="26">
        <f>MIN(IF(MONTH($C691)=4,$S$3,IF(MONTH($C691)=5,$S$4,IF(MONTH($C691)=6,$S$5,IF(MONTH($C691)=7,$S$6,"ERROR")))),MAX(VLOOKUP($C691,COS!$B$8:$K$991,10,FALSE)-IF(MONTH($C691)=4,$Y$3,IF(MONTH($C691)=5,$Y$4,IF(MONTH($C691)=6,$Y$5,IF(MONTH($C691)=7,$Y$6,"ERROR")))),0),MAX(VLOOKUP($C691,COS!$B$8:$K$991,9,FALSE)-IF(MONTH($C691)=4,$V$3,IF(MONTH($C691)=5,$V$4,IF(MONTH($C691)=6,$V$5,IF(MONTH($C691)=7,$V$6,"ERROR"))))-VLOOKUP($C691,COS!$B$8:$K$991,6,FALSE)/2,0))</f>
        <v>1500</v>
      </c>
      <c r="S691" s="26">
        <f t="shared" si="1110"/>
        <v>89.256198347107429</v>
      </c>
      <c r="T691" s="26">
        <f t="shared" si="1111"/>
        <v>180.61903328383264</v>
      </c>
      <c r="U691" s="26" t="str">
        <f>IF(VLOOKUP($C691,COS!$B$8:$I$991,8,FALSE)=1,"UWFE","IBU")</f>
        <v>IBU</v>
      </c>
      <c r="V691" s="26">
        <f t="shared" ref="V691" si="1114">MIN(IF(IF($AA$3=2,AND(E691=1,G691=1,L691=1,L694=1,M691=1,U691="IBU"),AND(E691=1,G691=1,L691=1,L694=1,M691=1)),T691,0),I691)</f>
        <v>0</v>
      </c>
      <c r="W691" s="26"/>
      <c r="X691" s="26"/>
      <c r="Y691" s="26"/>
      <c r="Z691" s="26"/>
      <c r="AA691" s="26"/>
      <c r="AB691" s="33"/>
    </row>
    <row r="692" spans="1:28" x14ac:dyDescent="0.3">
      <c r="A692" s="32">
        <f>VLOOKUP(YEAR(C692),Flags!$A$13:$B$95,2,FALSE)</f>
        <v>1</v>
      </c>
      <c r="B692" s="24">
        <f t="shared" si="1054"/>
        <v>1997</v>
      </c>
      <c r="C692" s="25">
        <v>35642</v>
      </c>
      <c r="D692" s="26">
        <f>VLOOKUP($C692,COS!$B$8:$H$991,3,FALSE)</f>
        <v>15565.1083984375</v>
      </c>
      <c r="E692" s="24">
        <f>IF(D692&gt;=IF(MONTH($C692)=4,$C$3,IF(MONTH($C692)=5,$C$4,IF(MONTH($C692)=6,$C$5,IF(MONTH($C692)=7,$C$6,"ERROR")))),1,0)</f>
        <v>1</v>
      </c>
      <c r="F692" s="26">
        <f>VLOOKUP($C692,COS!$B$8:$H$991,7,FALSE)</f>
        <v>51.028911590576172</v>
      </c>
      <c r="G692" s="24">
        <f>IF(F692&lt;=IF(MONTH($C692)=4,$F$3,IF(MONTH($C692)=5,$F$4,IF(MONTH($C692)=6,$F$5,IF(MONTH($C692)=7,$F$6,"ERROR")))),1,0)</f>
        <v>1</v>
      </c>
      <c r="H692" s="26">
        <f>IF(J692=1,D692-$C$6,0)</f>
        <v>3565.1083984375</v>
      </c>
      <c r="I692" s="26">
        <f t="shared" si="1083"/>
        <v>219.20997094524793</v>
      </c>
      <c r="J692" s="24">
        <f t="shared" si="1105"/>
        <v>1</v>
      </c>
      <c r="K692" s="26">
        <f>VLOOKUP($C692,COS!$B$8:$H$991,2,FALSE)</f>
        <v>3132.19189453125</v>
      </c>
      <c r="L692" s="24">
        <f t="shared" si="1046"/>
        <v>1</v>
      </c>
      <c r="M692" s="24">
        <f t="shared" si="1047"/>
        <v>0</v>
      </c>
      <c r="N692" s="26">
        <f>VLOOKUP($C692,COS!$B$8:$H$991,5,FALSE)</f>
        <v>889.0089111328125</v>
      </c>
      <c r="O692" s="26">
        <f t="shared" si="1108"/>
        <v>54.663027263042359</v>
      </c>
      <c r="P692" s="26">
        <f>VLOOKUP($C692,COS!$B$8:$H$991,6,FALSE)</f>
        <v>2607.468505859375</v>
      </c>
      <c r="Q692" s="26">
        <f t="shared" si="1109"/>
        <v>160.32698912060951</v>
      </c>
      <c r="R692" s="26">
        <f>MIN(IF(MONTH($C692)=4,$S$3,IF(MONTH($C692)=5,$S$4,IF(MONTH($C692)=6,$S$5,IF(MONTH($C692)=7,$S$6,"ERROR")))),MAX(VLOOKUP($C692,COS!$B$8:$K$991,10,FALSE)-IF(MONTH($C692)=4,$Y$3,IF(MONTH($C692)=5,$Y$4,IF(MONTH($C692)=6,$Y$5,IF(MONTH($C692)=7,$Y$6,"ERROR")))),0),MAX(VLOOKUP($C692,COS!$B$8:$K$991,9,FALSE)-IF(MONTH($C692)=4,$V$3,IF(MONTH($C692)=5,$V$4,IF(MONTH($C692)=6,$V$5,IF(MONTH($C692)=7,$V$6,"ERROR"))))-VLOOKUP($C692,COS!$B$8:$K$991,6,FALSE)/2,0))</f>
        <v>1500</v>
      </c>
      <c r="S692" s="26">
        <f t="shared" si="1110"/>
        <v>92.231404958677686</v>
      </c>
      <c r="T692" s="26">
        <f t="shared" si="1111"/>
        <v>199.72641315050362</v>
      </c>
      <c r="U692" s="26" t="str">
        <f>IF(VLOOKUP($C692,COS!$B$8:$I$991,8,FALSE)=1,"UWFE","IBU")</f>
        <v>IBU</v>
      </c>
      <c r="V692" s="26">
        <f t="shared" ref="V692" si="1115">MIN(IF(IF($AA$3=2,AND(E692=1,G692=1,L692=1,L694=1,M692=1,U692="IBU"),AND(E692=1,G692=1,L692=1,L694=1,M692=1)),T692,0),I692)</f>
        <v>0</v>
      </c>
      <c r="W692" s="26"/>
      <c r="X692" s="26"/>
      <c r="Y692" s="26"/>
      <c r="Z692" s="26"/>
      <c r="AA692" s="26"/>
      <c r="AB692" s="33"/>
    </row>
    <row r="693" spans="1:28" x14ac:dyDescent="0.3">
      <c r="A693" s="32">
        <f>VLOOKUP(YEAR(C693),Flags!$A$13:$B$95,2,FALSE)</f>
        <v>1</v>
      </c>
      <c r="B693" s="24">
        <f t="shared" si="1054"/>
        <v>1997</v>
      </c>
      <c r="C693" s="25">
        <v>35673</v>
      </c>
      <c r="D693" s="26"/>
      <c r="E693" s="24"/>
      <c r="F693" s="26"/>
      <c r="G693" s="24"/>
      <c r="H693" s="24"/>
      <c r="I693" s="26"/>
      <c r="J693" s="24"/>
      <c r="K693" s="26"/>
      <c r="L693" s="24"/>
      <c r="M693" s="24"/>
      <c r="N693" s="26"/>
      <c r="O693" s="26"/>
      <c r="P693" s="26"/>
      <c r="Q693" s="26"/>
      <c r="R693" s="26"/>
      <c r="S693" s="26"/>
      <c r="T693" s="26"/>
      <c r="U693" s="26"/>
      <c r="V693" s="26"/>
      <c r="W693" s="26">
        <f>MAX($C$7-VLOOKUP($C693,COS!$B$8:$H$991,3,FALSE),0)</f>
        <v>91754.5810546875</v>
      </c>
      <c r="X693" s="26">
        <f t="shared" si="1086"/>
        <v>5641.7692813791327</v>
      </c>
      <c r="Y693" s="26">
        <f>VLOOKUP($C693,COS!$B$8:$H$991,4,FALSE)</f>
        <v>0</v>
      </c>
      <c r="Z693" s="26">
        <f t="shared" si="1087"/>
        <v>0</v>
      </c>
      <c r="AA693" s="26">
        <f t="shared" ref="AA693:AA697" si="1116">MIN(W693,Y693)</f>
        <v>0</v>
      </c>
      <c r="AB693" s="33">
        <f t="shared" ref="AB693" si="1117">AA693*DAY($C693)*86400/43560/1000*IF(MONTH($C693)=8,$P$3,IF(MONTH($C693)=9,$P$4,IF(MONTH($C693)=10,$P$5,IF(MONTH($C693)=11,$P$6,IF(MONTH($C693)=12,$P$7,NA())))))</f>
        <v>0</v>
      </c>
    </row>
    <row r="694" spans="1:28" x14ac:dyDescent="0.3">
      <c r="A694" s="32">
        <f>VLOOKUP(YEAR(C694),Flags!$A$13:$B$95,2,FALSE)</f>
        <v>1</v>
      </c>
      <c r="B694" s="24">
        <f t="shared" si="1054"/>
        <v>1997</v>
      </c>
      <c r="C694" s="25">
        <v>35703</v>
      </c>
      <c r="D694" s="26"/>
      <c r="E694" s="24"/>
      <c r="F694" s="26"/>
      <c r="G694" s="24"/>
      <c r="H694" s="24"/>
      <c r="I694" s="26"/>
      <c r="J694" s="24"/>
      <c r="K694" s="26">
        <f>VLOOKUP($C694,COS!$B$8:$H$991,2,FALSE)</f>
        <v>2308.70703125</v>
      </c>
      <c r="L694" s="24">
        <f t="shared" ref="L694" si="1118">IF(AND(K694&gt;$I$7,K694&lt;$I$8),1,0)</f>
        <v>1</v>
      </c>
      <c r="M694" s="24"/>
      <c r="N694" s="26"/>
      <c r="O694" s="26"/>
      <c r="P694" s="26"/>
      <c r="Q694" s="26"/>
      <c r="R694" s="26"/>
      <c r="S694" s="26"/>
      <c r="T694" s="26"/>
      <c r="U694" s="26"/>
      <c r="V694" s="26"/>
      <c r="W694" s="26">
        <f>MAX($C$8-VLOOKUP($C694,COS!$B$8:$H$991,3,FALSE),0)</f>
        <v>84248.9375</v>
      </c>
      <c r="X694" s="26">
        <f t="shared" si="1086"/>
        <v>5013.1599173553714</v>
      </c>
      <c r="Y694" s="26">
        <f>VLOOKUP($C694,COS!$B$8:$H$991,4,FALSE)</f>
        <v>0</v>
      </c>
      <c r="Z694" s="26">
        <f t="shared" si="1087"/>
        <v>0</v>
      </c>
      <c r="AA694" s="26">
        <f t="shared" si="1116"/>
        <v>0</v>
      </c>
      <c r="AB694" s="33">
        <f t="shared" si="1058"/>
        <v>0</v>
      </c>
    </row>
    <row r="695" spans="1:28" x14ac:dyDescent="0.3">
      <c r="A695" s="32">
        <f>VLOOKUP(YEAR(C695),Flags!$A$13:$B$95,2,FALSE)</f>
        <v>1</v>
      </c>
      <c r="B695" s="24">
        <f t="shared" si="1054"/>
        <v>1997</v>
      </c>
      <c r="C695" s="25">
        <v>35734</v>
      </c>
      <c r="D695" s="26"/>
      <c r="E695" s="24"/>
      <c r="F695" s="26"/>
      <c r="G695" s="26"/>
      <c r="H695" s="26"/>
      <c r="I695" s="26"/>
      <c r="J695" s="26"/>
      <c r="K695" s="26"/>
      <c r="L695" s="24"/>
      <c r="M695" s="24"/>
      <c r="N695" s="26"/>
      <c r="O695" s="26"/>
      <c r="P695" s="26"/>
      <c r="Q695" s="26"/>
      <c r="R695" s="26"/>
      <c r="S695" s="26"/>
      <c r="T695" s="26"/>
      <c r="U695" s="26"/>
      <c r="V695" s="26"/>
      <c r="W695" s="26">
        <f>MAX($C$9-VLOOKUP($C695,COS!$B$8:$H$991,3,FALSE),0)</f>
        <v>89158.6005859375</v>
      </c>
      <c r="X695" s="26">
        <f t="shared" si="1086"/>
        <v>5482.1486641270658</v>
      </c>
      <c r="Y695" s="26">
        <f>VLOOKUP($C695,COS!$B$8:$H$991,4,FALSE)</f>
        <v>1005.2962646484375</v>
      </c>
      <c r="Z695" s="26">
        <f t="shared" si="1087"/>
        <v>61.813257925490703</v>
      </c>
      <c r="AA695" s="26">
        <f t="shared" si="1116"/>
        <v>1005.2962646484375</v>
      </c>
      <c r="AB695" s="33">
        <f t="shared" si="1058"/>
        <v>61.813257925490703</v>
      </c>
    </row>
    <row r="696" spans="1:28" x14ac:dyDescent="0.3">
      <c r="A696" s="32">
        <f>VLOOKUP(YEAR(C696),Flags!$A$13:$B$95,2,FALSE)</f>
        <v>1</v>
      </c>
      <c r="B696" s="24">
        <f t="shared" si="1054"/>
        <v>1997</v>
      </c>
      <c r="C696" s="25">
        <v>35764</v>
      </c>
      <c r="D696" s="26"/>
      <c r="E696" s="24"/>
      <c r="F696" s="26"/>
      <c r="G696" s="26"/>
      <c r="H696" s="26"/>
      <c r="I696" s="26"/>
      <c r="J696" s="26"/>
      <c r="K696" s="26"/>
      <c r="L696" s="24"/>
      <c r="M696" s="24"/>
      <c r="N696" s="26"/>
      <c r="O696" s="26"/>
      <c r="P696" s="26"/>
      <c r="Q696" s="26"/>
      <c r="R696" s="26"/>
      <c r="S696" s="26"/>
      <c r="T696" s="26"/>
      <c r="U696" s="26"/>
      <c r="V696" s="26"/>
      <c r="W696" s="26">
        <f>MAX($C$10-VLOOKUP($C696,COS!$B$8:$H$991,3,FALSE),0)</f>
        <v>89428.9970703125</v>
      </c>
      <c r="X696" s="26">
        <f t="shared" si="1086"/>
        <v>5321.3948669938018</v>
      </c>
      <c r="Y696" s="26">
        <f>VLOOKUP($C696,COS!$B$8:$H$991,4,FALSE)</f>
        <v>1155.107177734375</v>
      </c>
      <c r="Z696" s="26">
        <f t="shared" si="1087"/>
        <v>68.733650245351242</v>
      </c>
      <c r="AA696" s="26">
        <f t="shared" si="1116"/>
        <v>1155.107177734375</v>
      </c>
      <c r="AB696" s="33">
        <f t="shared" si="1058"/>
        <v>34.366825122675621</v>
      </c>
    </row>
    <row r="697" spans="1:28" x14ac:dyDescent="0.3">
      <c r="A697" s="34">
        <f>VLOOKUP(YEAR(C697),Flags!$A$13:$B$95,2,FALSE)</f>
        <v>1</v>
      </c>
      <c r="B697" s="35">
        <f t="shared" si="1054"/>
        <v>1997</v>
      </c>
      <c r="C697" s="36">
        <v>35795</v>
      </c>
      <c r="D697" s="37"/>
      <c r="E697" s="35"/>
      <c r="F697" s="37"/>
      <c r="G697" s="37"/>
      <c r="H697" s="37"/>
      <c r="I697" s="37"/>
      <c r="J697" s="37"/>
      <c r="K697" s="37"/>
      <c r="L697" s="35"/>
      <c r="M697" s="35"/>
      <c r="N697" s="37"/>
      <c r="O697" s="37"/>
      <c r="P697" s="37"/>
      <c r="Q697" s="37"/>
      <c r="R697" s="37"/>
      <c r="S697" s="37"/>
      <c r="T697" s="37"/>
      <c r="U697" s="37"/>
      <c r="V697" s="37"/>
      <c r="W697" s="37">
        <f>MAX($C$11-VLOOKUP($C697,COS!$B$8:$H$991,3,FALSE),0)</f>
        <v>0</v>
      </c>
      <c r="X697" s="37">
        <f t="shared" si="1086"/>
        <v>0</v>
      </c>
      <c r="Y697" s="37">
        <f>VLOOKUP($C697,COS!$B$8:$H$991,4,FALSE)</f>
        <v>0</v>
      </c>
      <c r="Z697" s="37">
        <f t="shared" si="1087"/>
        <v>0</v>
      </c>
      <c r="AA697" s="37">
        <f t="shared" si="1116"/>
        <v>0</v>
      </c>
      <c r="AB697" s="38">
        <f t="shared" si="1058"/>
        <v>0</v>
      </c>
    </row>
    <row r="698" spans="1:28" x14ac:dyDescent="0.3">
      <c r="A698" s="27">
        <f>VLOOKUP(YEAR(C698),Flags!$A$13:$B$95,2,FALSE)</f>
        <v>1</v>
      </c>
      <c r="B698" s="28">
        <f t="shared" si="1054"/>
        <v>1998</v>
      </c>
      <c r="C698" s="29">
        <v>35915</v>
      </c>
      <c r="D698" s="30">
        <f>VLOOKUP($C698,COS!$B$8:$H$991,3,FALSE)</f>
        <v>3250</v>
      </c>
      <c r="E698" s="28">
        <f>IF(D698&gt;=IF(MONTH($C698)=4,$C$3,IF(MONTH($C698)=5,$C$4,IF(MONTH($C698)=6,$C$5,IF(MONTH($C698)=7,$C$6,"ERROR")))),1,0)</f>
        <v>0</v>
      </c>
      <c r="F698" s="30">
        <f>VLOOKUP($C698,COS!$B$8:$H$991,7,FALSE)</f>
        <v>51.311630249023438</v>
      </c>
      <c r="G698" s="28">
        <f>IF(F698&lt;=IF(MONTH($C698)=4,$F$3,IF(MONTH($C698)=5,$F$4,IF(MONTH($C698)=6,$F$5,IF(MONTH($C698)=7,$F$6,"ERROR")))),1,0)</f>
        <v>1</v>
      </c>
      <c r="H698" s="30">
        <f>IF(J698=1,D698-$C$3,0)</f>
        <v>0</v>
      </c>
      <c r="I698" s="30">
        <f t="shared" si="1083"/>
        <v>0</v>
      </c>
      <c r="J698" s="28">
        <f t="shared" ref="J698:J701" si="1119">IF(AND(E698=1,G698=1),1,0)</f>
        <v>0</v>
      </c>
      <c r="K698" s="30">
        <f>VLOOKUP($C698,COS!$B$8:$H$991,2,FALSE)</f>
        <v>4367.82666015625</v>
      </c>
      <c r="L698" s="28">
        <f t="shared" ref="L698" si="1120">IF(K698&lt;=IF(MONTH($C698)=4,$I$3,IF(MONTH($C698)=5,$I$4,IF(MONTH($C698)=6,$I$5,IF(MONTH($C698)=7,$I$6,"ERROR")))),1,0)</f>
        <v>1</v>
      </c>
      <c r="M698" s="28">
        <f t="shared" ref="M698" si="1121">VLOOKUP($A698,$L$3:$M$7,2,FALSE)</f>
        <v>0</v>
      </c>
      <c r="N698" s="30">
        <f>VLOOKUP($C698,COS!$B$8:$H$991,5,FALSE)</f>
        <v>36.427017211914063</v>
      </c>
      <c r="O698" s="30">
        <f t="shared" ref="O698:O701" si="1122">N698*DAY($C698)*86400/43560/1000</f>
        <v>2.1675580489733988</v>
      </c>
      <c r="P698" s="30">
        <f>VLOOKUP($C698,COS!$B$8:$H$991,6,FALSE)</f>
        <v>359.47348022460938</v>
      </c>
      <c r="Q698" s="30">
        <f t="shared" ref="Q698:Q701" si="1123">P698*DAY($C698)*86400/43560/1000</f>
        <v>21.390157500968492</v>
      </c>
      <c r="R698" s="30">
        <f>MIN(IF(MONTH($C698)=4,$S$3,IF(MONTH($C698)=5,$S$4,IF(MONTH($C698)=6,$S$5,IF(MONTH($C698)=7,$S$6,"ERROR")))),MAX(VLOOKUP($C698,COS!$B$8:$K$991,10,FALSE)-IF(MONTH($C698)=4,$Y$3,IF(MONTH($C698)=5,$Y$4,IF(MONTH($C698)=6,$Y$5,IF(MONTH($C698)=7,$Y$6,"ERROR")))),0),MAX(VLOOKUP($C698,COS!$B$8:$K$991,9,FALSE)-IF(MONTH($C698)=4,$V$3,IF(MONTH($C698)=5,$V$4,IF(MONTH($C698)=6,$V$5,IF(MONTH($C698)=7,$V$6,"ERROR"))))-VLOOKUP($C698,COS!$B$8:$K$991,6,FALSE)/2,0))</f>
        <v>1500</v>
      </c>
      <c r="S698" s="30">
        <f t="shared" ref="S698:S701" si="1124">R698*DAY($C698)*86400/43560/1000</f>
        <v>89.256198347107429</v>
      </c>
      <c r="T698" s="30">
        <f t="shared" ref="T698:T701" si="1125">(O698+Q698)/2+S698</f>
        <v>101.03505612207837</v>
      </c>
      <c r="U698" s="30" t="str">
        <f>IF(VLOOKUP($C698,COS!$B$8:$I$991,8,FALSE)=1,"UWFE","IBU")</f>
        <v>UWFE</v>
      </c>
      <c r="V698" s="30">
        <f t="shared" ref="V698" si="1126">MIN(IF(IF($AA$3=2,AND(E698=1,G698=1,L698=1,L703=1,M698=1,U698="IBU"),AND(E698=1,G698=1,L698=1,L703=1,M698=1)),T698,0),I698)</f>
        <v>0</v>
      </c>
      <c r="W698" s="30"/>
      <c r="X698" s="30"/>
      <c r="Y698" s="30"/>
      <c r="Z698" s="30"/>
      <c r="AA698" s="30"/>
      <c r="AB698" s="31"/>
    </row>
    <row r="699" spans="1:28" x14ac:dyDescent="0.3">
      <c r="A699" s="32">
        <f>VLOOKUP(YEAR(C699),Flags!$A$13:$B$95,2,FALSE)</f>
        <v>1</v>
      </c>
      <c r="B699" s="24">
        <f t="shared" si="1054"/>
        <v>1998</v>
      </c>
      <c r="C699" s="25">
        <v>35946</v>
      </c>
      <c r="D699" s="26">
        <f>VLOOKUP($C699,COS!$B$8:$H$991,3,FALSE)</f>
        <v>14100.6455078125</v>
      </c>
      <c r="E699" s="24">
        <f>IF(D699&gt;=IF(MONTH($C699)=4,$C$3,IF(MONTH($C699)=5,$C$4,IF(MONTH($C699)=6,$C$5,IF(MONTH($C699)=7,$C$6,"ERROR")))),1,0)</f>
        <v>1</v>
      </c>
      <c r="F699" s="26">
        <f>VLOOKUP($C699,COS!$B$8:$H$991,7,FALSE)</f>
        <v>48.434772491455078</v>
      </c>
      <c r="G699" s="24">
        <f>IF(F699&lt;=IF(MONTH($C699)=4,$F$3,IF(MONTH($C699)=5,$F$4,IF(MONTH($C699)=6,$F$5,IF(MONTH($C699)=7,$F$6,"ERROR")))),1,0)</f>
        <v>1</v>
      </c>
      <c r="H699" s="26">
        <f>IF(J699=1,D699-$C$4,0)</f>
        <v>8100.6455078125</v>
      </c>
      <c r="I699" s="26">
        <f t="shared" si="1083"/>
        <v>498.08927750516534</v>
      </c>
      <c r="J699" s="24">
        <f t="shared" si="1119"/>
        <v>1</v>
      </c>
      <c r="K699" s="26">
        <f>VLOOKUP($C699,COS!$B$8:$H$991,2,FALSE)</f>
        <v>4552</v>
      </c>
      <c r="L699" s="24">
        <f t="shared" si="1046"/>
        <v>1</v>
      </c>
      <c r="M699" s="24">
        <f t="shared" si="1047"/>
        <v>0</v>
      </c>
      <c r="N699" s="26">
        <f>VLOOKUP($C699,COS!$B$8:$H$991,5,FALSE)</f>
        <v>95.197517395019531</v>
      </c>
      <c r="O699" s="26">
        <f t="shared" si="1122"/>
        <v>5.8534671852805396</v>
      </c>
      <c r="P699" s="26">
        <f>VLOOKUP($C699,COS!$B$8:$H$991,6,FALSE)</f>
        <v>1202.3902587890625</v>
      </c>
      <c r="Q699" s="26">
        <f t="shared" si="1123"/>
        <v>73.932095251162181</v>
      </c>
      <c r="R699" s="26">
        <f>MIN(IF(MONTH($C699)=4,$S$3,IF(MONTH($C699)=5,$S$4,IF(MONTH($C699)=6,$S$5,IF(MONTH($C699)=7,$S$6,"ERROR")))),MAX(VLOOKUP($C699,COS!$B$8:$K$991,10,FALSE)-IF(MONTH($C699)=4,$Y$3,IF(MONTH($C699)=5,$Y$4,IF(MONTH($C699)=6,$Y$5,IF(MONTH($C699)=7,$Y$6,"ERROR")))),0),MAX(VLOOKUP($C699,COS!$B$8:$K$991,9,FALSE)-IF(MONTH($C699)=4,$V$3,IF(MONTH($C699)=5,$V$4,IF(MONTH($C699)=6,$V$5,IF(MONTH($C699)=7,$V$6,"ERROR"))))-VLOOKUP($C699,COS!$B$8:$K$991,6,FALSE)/2,0))</f>
        <v>1500</v>
      </c>
      <c r="S699" s="26">
        <f t="shared" si="1124"/>
        <v>92.231404958677686</v>
      </c>
      <c r="T699" s="26">
        <f t="shared" si="1125"/>
        <v>132.12418617689906</v>
      </c>
      <c r="U699" s="26" t="str">
        <f>IF(VLOOKUP($C699,COS!$B$8:$I$991,8,FALSE)=1,"UWFE","IBU")</f>
        <v>UWFE</v>
      </c>
      <c r="V699" s="26">
        <f t="shared" ref="V699" si="1127">MIN(IF(IF($AA$3=2,AND(E699=1,G699=1,L699=1,L703=1,M699=1,U699="IBU"),AND(E699=1,G699=1,L699=1,L703=1,M699=1)),T699,0),I699)</f>
        <v>0</v>
      </c>
      <c r="W699" s="26"/>
      <c r="X699" s="26"/>
      <c r="Y699" s="26"/>
      <c r="Z699" s="26"/>
      <c r="AA699" s="26"/>
      <c r="AB699" s="33"/>
    </row>
    <row r="700" spans="1:28" x14ac:dyDescent="0.3">
      <c r="A700" s="32">
        <f>VLOOKUP(YEAR(C700),Flags!$A$13:$B$95,2,FALSE)</f>
        <v>1</v>
      </c>
      <c r="B700" s="24">
        <f t="shared" si="1054"/>
        <v>1998</v>
      </c>
      <c r="C700" s="25">
        <v>35976</v>
      </c>
      <c r="D700" s="26">
        <f>VLOOKUP($C700,COS!$B$8:$H$991,3,FALSE)</f>
        <v>16775.65625</v>
      </c>
      <c r="E700" s="24">
        <f>IF(D700&gt;=IF(MONTH($C700)=4,$C$3,IF(MONTH($C700)=5,$C$4,IF(MONTH($C700)=6,$C$5,IF(MONTH($C700)=7,$C$6,"ERROR")))),1,0)</f>
        <v>1</v>
      </c>
      <c r="F700" s="26">
        <f>VLOOKUP($C700,COS!$B$8:$H$991,7,FALSE)</f>
        <v>50.810955047607422</v>
      </c>
      <c r="G700" s="24">
        <f>IF(F700&lt;=IF(MONTH($C700)=4,$F$3,IF(MONTH($C700)=5,$F$4,IF(MONTH($C700)=6,$F$5,IF(MONTH($C700)=7,$F$6,"ERROR")))),1,0)</f>
        <v>1</v>
      </c>
      <c r="H700" s="26">
        <f>IF(J700=1,D700-$C$5,0)</f>
        <v>6775.65625</v>
      </c>
      <c r="I700" s="26">
        <f t="shared" si="1083"/>
        <v>403.17954545454546</v>
      </c>
      <c r="J700" s="24">
        <f t="shared" si="1119"/>
        <v>1</v>
      </c>
      <c r="K700" s="26">
        <f>VLOOKUP($C700,COS!$B$8:$H$991,2,FALSE)</f>
        <v>4500</v>
      </c>
      <c r="L700" s="24">
        <f t="shared" si="1046"/>
        <v>1</v>
      </c>
      <c r="M700" s="24">
        <f t="shared" si="1047"/>
        <v>0</v>
      </c>
      <c r="N700" s="26">
        <f>VLOOKUP($C700,COS!$B$8:$H$991,5,FALSE)</f>
        <v>1109.75537109375</v>
      </c>
      <c r="O700" s="26">
        <f t="shared" si="1122"/>
        <v>66.035030346074379</v>
      </c>
      <c r="P700" s="26">
        <f>VLOOKUP($C700,COS!$B$8:$H$991,6,FALSE)</f>
        <v>2242.28173828125</v>
      </c>
      <c r="Q700" s="26">
        <f t="shared" si="1123"/>
        <v>133.42502905475206</v>
      </c>
      <c r="R700" s="26">
        <f>MIN(IF(MONTH($C700)=4,$S$3,IF(MONTH($C700)=5,$S$4,IF(MONTH($C700)=6,$S$5,IF(MONTH($C700)=7,$S$6,"ERROR")))),MAX(VLOOKUP($C700,COS!$B$8:$K$991,10,FALSE)-IF(MONTH($C700)=4,$Y$3,IF(MONTH($C700)=5,$Y$4,IF(MONTH($C700)=6,$Y$5,IF(MONTH($C700)=7,$Y$6,"ERROR")))),0),MAX(VLOOKUP($C700,COS!$B$8:$K$991,9,FALSE)-IF(MONTH($C700)=4,$V$3,IF(MONTH($C700)=5,$V$4,IF(MONTH($C700)=6,$V$5,IF(MONTH($C700)=7,$V$6,"ERROR"))))-VLOOKUP($C700,COS!$B$8:$K$991,6,FALSE)/2,0))</f>
        <v>1500</v>
      </c>
      <c r="S700" s="26">
        <f t="shared" si="1124"/>
        <v>89.256198347107429</v>
      </c>
      <c r="T700" s="26">
        <f t="shared" si="1125"/>
        <v>188.98622804752063</v>
      </c>
      <c r="U700" s="26" t="str">
        <f>IF(VLOOKUP($C700,COS!$B$8:$I$991,8,FALSE)=1,"UWFE","IBU")</f>
        <v>UWFE</v>
      </c>
      <c r="V700" s="26">
        <f t="shared" ref="V700" si="1128">MIN(IF(IF($AA$3=2,AND(E700=1,G700=1,L700=1,L703=1,M700=1,U700="IBU"),AND(E700=1,G700=1,L700=1,L703=1,M700=1)),T700,0),I700)</f>
        <v>0</v>
      </c>
      <c r="W700" s="26"/>
      <c r="X700" s="26"/>
      <c r="Y700" s="26"/>
      <c r="Z700" s="26"/>
      <c r="AA700" s="26"/>
      <c r="AB700" s="33"/>
    </row>
    <row r="701" spans="1:28" x14ac:dyDescent="0.3">
      <c r="A701" s="32">
        <f>VLOOKUP(YEAR(C701),Flags!$A$13:$B$95,2,FALSE)</f>
        <v>1</v>
      </c>
      <c r="B701" s="24">
        <f t="shared" si="1054"/>
        <v>1998</v>
      </c>
      <c r="C701" s="25">
        <v>36007</v>
      </c>
      <c r="D701" s="26">
        <f>VLOOKUP($C701,COS!$B$8:$H$991,3,FALSE)</f>
        <v>14362.4873046875</v>
      </c>
      <c r="E701" s="24">
        <f>IF(D701&gt;=IF(MONTH($C701)=4,$C$3,IF(MONTH($C701)=5,$C$4,IF(MONTH($C701)=6,$C$5,IF(MONTH($C701)=7,$C$6,"ERROR")))),1,0)</f>
        <v>1</v>
      </c>
      <c r="F701" s="26">
        <f>VLOOKUP($C701,COS!$B$8:$H$991,7,FALSE)</f>
        <v>53.361946105957031</v>
      </c>
      <c r="G701" s="24">
        <f>IF(F701&lt;=IF(MONTH($C701)=4,$F$3,IF(MONTH($C701)=5,$F$4,IF(MONTH($C701)=6,$F$5,IF(MONTH($C701)=7,$F$6,"ERROR")))),1,0)</f>
        <v>1</v>
      </c>
      <c r="H701" s="26">
        <f>IF(J701=1,D701-$C$6,0)</f>
        <v>2362.4873046875</v>
      </c>
      <c r="I701" s="26">
        <f t="shared" si="1083"/>
        <v>145.2636822055785</v>
      </c>
      <c r="J701" s="24">
        <f t="shared" si="1119"/>
        <v>1</v>
      </c>
      <c r="K701" s="26">
        <f>VLOOKUP($C701,COS!$B$8:$H$991,2,FALSE)</f>
        <v>4150</v>
      </c>
      <c r="L701" s="24">
        <f t="shared" si="1046"/>
        <v>1</v>
      </c>
      <c r="M701" s="24">
        <f t="shared" si="1047"/>
        <v>0</v>
      </c>
      <c r="N701" s="26">
        <f>VLOOKUP($C701,COS!$B$8:$H$991,5,FALSE)</f>
        <v>1396.974609375</v>
      </c>
      <c r="O701" s="26">
        <f t="shared" si="1122"/>
        <v>85.896620609504126</v>
      </c>
      <c r="P701" s="26">
        <f>VLOOKUP($C701,COS!$B$8:$H$991,6,FALSE)</f>
        <v>2616.67822265625</v>
      </c>
      <c r="Q701" s="26">
        <f t="shared" si="1123"/>
        <v>160.89327253357436</v>
      </c>
      <c r="R701" s="26">
        <f>MIN(IF(MONTH($C701)=4,$S$3,IF(MONTH($C701)=5,$S$4,IF(MONTH($C701)=6,$S$5,IF(MONTH($C701)=7,$S$6,"ERROR")))),MAX(VLOOKUP($C701,COS!$B$8:$K$991,10,FALSE)-IF(MONTH($C701)=4,$Y$3,IF(MONTH($C701)=5,$Y$4,IF(MONTH($C701)=6,$Y$5,IF(MONTH($C701)=7,$Y$6,"ERROR")))),0),MAX(VLOOKUP($C701,COS!$B$8:$K$991,9,FALSE)-IF(MONTH($C701)=4,$V$3,IF(MONTH($C701)=5,$V$4,IF(MONTH($C701)=6,$V$5,IF(MONTH($C701)=7,$V$6,"ERROR"))))-VLOOKUP($C701,COS!$B$8:$K$991,6,FALSE)/2,0))</f>
        <v>1500</v>
      </c>
      <c r="S701" s="26">
        <f t="shared" si="1124"/>
        <v>92.231404958677686</v>
      </c>
      <c r="T701" s="26">
        <f t="shared" si="1125"/>
        <v>215.62635153021694</v>
      </c>
      <c r="U701" s="26" t="str">
        <f>IF(VLOOKUP($C701,COS!$B$8:$I$991,8,FALSE)=1,"UWFE","IBU")</f>
        <v>UWFE</v>
      </c>
      <c r="V701" s="26">
        <f t="shared" ref="V701" si="1129">MIN(IF(IF($AA$3=2,AND(E701=1,G701=1,L701=1,L703=1,M701=1,U701="IBU"),AND(E701=1,G701=1,L701=1,L703=1,M701=1)),T701,0),I701)</f>
        <v>0</v>
      </c>
      <c r="W701" s="26"/>
      <c r="X701" s="26"/>
      <c r="Y701" s="26"/>
      <c r="Z701" s="26"/>
      <c r="AA701" s="26"/>
      <c r="AB701" s="33"/>
    </row>
    <row r="702" spans="1:28" x14ac:dyDescent="0.3">
      <c r="A702" s="32">
        <f>VLOOKUP(YEAR(C702),Flags!$A$13:$B$95,2,FALSE)</f>
        <v>1</v>
      </c>
      <c r="B702" s="24">
        <f t="shared" si="1054"/>
        <v>1998</v>
      </c>
      <c r="C702" s="25">
        <v>36038</v>
      </c>
      <c r="D702" s="26"/>
      <c r="E702" s="24"/>
      <c r="F702" s="26"/>
      <c r="G702" s="24"/>
      <c r="H702" s="24"/>
      <c r="I702" s="26"/>
      <c r="J702" s="24"/>
      <c r="K702" s="26"/>
      <c r="L702" s="24"/>
      <c r="M702" s="24"/>
      <c r="N702" s="26"/>
      <c r="O702" s="26"/>
      <c r="P702" s="26"/>
      <c r="Q702" s="26"/>
      <c r="R702" s="26"/>
      <c r="S702" s="26"/>
      <c r="T702" s="26"/>
      <c r="U702" s="26"/>
      <c r="V702" s="26"/>
      <c r="W702" s="26">
        <f>MAX($C$7-VLOOKUP($C702,COS!$B$8:$H$991,3,FALSE),0)</f>
        <v>86468.90625</v>
      </c>
      <c r="X702" s="26">
        <f t="shared" si="1086"/>
        <v>5316.765805785124</v>
      </c>
      <c r="Y702" s="26">
        <f>VLOOKUP($C702,COS!$B$8:$H$991,4,FALSE)</f>
        <v>0</v>
      </c>
      <c r="Z702" s="26">
        <f t="shared" si="1087"/>
        <v>0</v>
      </c>
      <c r="AA702" s="26">
        <f t="shared" ref="AA702:AA706" si="1130">MIN(W702,Y702)</f>
        <v>0</v>
      </c>
      <c r="AB702" s="33">
        <f t="shared" ref="AB702" si="1131">AA702*DAY($C702)*86400/43560/1000*IF(MONTH($C702)=8,$P$3,IF(MONTH($C702)=9,$P$4,IF(MONTH($C702)=10,$P$5,IF(MONTH($C702)=11,$P$6,IF(MONTH($C702)=12,$P$7,NA())))))</f>
        <v>0</v>
      </c>
    </row>
    <row r="703" spans="1:28" x14ac:dyDescent="0.3">
      <c r="A703" s="32">
        <f>VLOOKUP(YEAR(C703),Flags!$A$13:$B$95,2,FALSE)</f>
        <v>1</v>
      </c>
      <c r="B703" s="24">
        <f t="shared" si="1054"/>
        <v>1998</v>
      </c>
      <c r="C703" s="25">
        <v>36068</v>
      </c>
      <c r="D703" s="26"/>
      <c r="E703" s="24"/>
      <c r="F703" s="26"/>
      <c r="G703" s="24"/>
      <c r="H703" s="24"/>
      <c r="I703" s="26"/>
      <c r="J703" s="24"/>
      <c r="K703" s="26">
        <f>VLOOKUP($C703,COS!$B$8:$H$991,2,FALSE)</f>
        <v>3400</v>
      </c>
      <c r="L703" s="24">
        <f t="shared" ref="L703" si="1132">IF(AND(K703&gt;$I$7,K703&lt;$I$8),1,0)</f>
        <v>1</v>
      </c>
      <c r="M703" s="24"/>
      <c r="N703" s="26"/>
      <c r="O703" s="26"/>
      <c r="P703" s="26"/>
      <c r="Q703" s="26"/>
      <c r="R703" s="26"/>
      <c r="S703" s="26"/>
      <c r="T703" s="26"/>
      <c r="U703" s="26"/>
      <c r="V703" s="26"/>
      <c r="W703" s="26">
        <f>MAX($C$8-VLOOKUP($C703,COS!$B$8:$H$991,3,FALSE),0)</f>
        <v>88005.72265625</v>
      </c>
      <c r="X703" s="26">
        <f t="shared" si="1086"/>
        <v>5236.7041580578507</v>
      </c>
      <c r="Y703" s="26">
        <f>VLOOKUP($C703,COS!$B$8:$H$991,4,FALSE)</f>
        <v>0</v>
      </c>
      <c r="Z703" s="26">
        <f t="shared" si="1087"/>
        <v>0</v>
      </c>
      <c r="AA703" s="26">
        <f t="shared" si="1130"/>
        <v>0</v>
      </c>
      <c r="AB703" s="33">
        <f t="shared" si="1058"/>
        <v>0</v>
      </c>
    </row>
    <row r="704" spans="1:28" x14ac:dyDescent="0.3">
      <c r="A704" s="32">
        <f>VLOOKUP(YEAR(C704),Flags!$A$13:$B$95,2,FALSE)</f>
        <v>1</v>
      </c>
      <c r="B704" s="24">
        <f t="shared" si="1054"/>
        <v>1998</v>
      </c>
      <c r="C704" s="25">
        <v>36099</v>
      </c>
      <c r="D704" s="26"/>
      <c r="E704" s="24"/>
      <c r="F704" s="26"/>
      <c r="G704" s="26"/>
      <c r="H704" s="26"/>
      <c r="I704" s="26"/>
      <c r="J704" s="26"/>
      <c r="K704" s="26"/>
      <c r="L704" s="24"/>
      <c r="M704" s="24"/>
      <c r="N704" s="26"/>
      <c r="O704" s="26"/>
      <c r="P704" s="26"/>
      <c r="Q704" s="26"/>
      <c r="R704" s="26"/>
      <c r="S704" s="26"/>
      <c r="T704" s="26"/>
      <c r="U704" s="26"/>
      <c r="V704" s="26"/>
      <c r="W704" s="26">
        <f>MAX($C$9-VLOOKUP($C704,COS!$B$8:$H$991,3,FALSE),0)</f>
        <v>90740.13671875</v>
      </c>
      <c r="X704" s="26">
        <f t="shared" si="1086"/>
        <v>5579.3935304752067</v>
      </c>
      <c r="Y704" s="26">
        <f>VLOOKUP($C704,COS!$B$8:$H$991,4,FALSE)</f>
        <v>53.249282836914063</v>
      </c>
      <c r="Z704" s="26">
        <f t="shared" si="1087"/>
        <v>3.2741707793937245</v>
      </c>
      <c r="AA704" s="26">
        <f t="shared" si="1130"/>
        <v>53.249282836914063</v>
      </c>
      <c r="AB704" s="33">
        <f t="shared" si="1058"/>
        <v>3.2741707793937245</v>
      </c>
    </row>
    <row r="705" spans="1:28" x14ac:dyDescent="0.3">
      <c r="A705" s="32">
        <f>VLOOKUP(YEAR(C705),Flags!$A$13:$B$95,2,FALSE)</f>
        <v>1</v>
      </c>
      <c r="B705" s="24">
        <f t="shared" si="1054"/>
        <v>1998</v>
      </c>
      <c r="C705" s="25">
        <v>36129</v>
      </c>
      <c r="D705" s="26"/>
      <c r="E705" s="24"/>
      <c r="F705" s="26"/>
      <c r="G705" s="26"/>
      <c r="H705" s="26"/>
      <c r="I705" s="26"/>
      <c r="J705" s="26"/>
      <c r="K705" s="26"/>
      <c r="L705" s="24"/>
      <c r="M705" s="24"/>
      <c r="N705" s="26"/>
      <c r="O705" s="26"/>
      <c r="P705" s="26"/>
      <c r="Q705" s="26"/>
      <c r="R705" s="26"/>
      <c r="S705" s="26"/>
      <c r="T705" s="26"/>
      <c r="U705" s="26"/>
      <c r="V705" s="26"/>
      <c r="W705" s="26">
        <f>MAX($C$10-VLOOKUP($C705,COS!$B$8:$H$991,3,FALSE),0)</f>
        <v>88483.4296875</v>
      </c>
      <c r="X705" s="26">
        <f t="shared" si="1086"/>
        <v>5265.129700413223</v>
      </c>
      <c r="Y705" s="26">
        <f>VLOOKUP($C705,COS!$B$8:$H$991,4,FALSE)</f>
        <v>0</v>
      </c>
      <c r="Z705" s="26">
        <f t="shared" si="1087"/>
        <v>0</v>
      </c>
      <c r="AA705" s="26">
        <f t="shared" si="1130"/>
        <v>0</v>
      </c>
      <c r="AB705" s="33">
        <f t="shared" si="1058"/>
        <v>0</v>
      </c>
    </row>
    <row r="706" spans="1:28" x14ac:dyDescent="0.3">
      <c r="A706" s="34">
        <f>VLOOKUP(YEAR(C706),Flags!$A$13:$B$95,2,FALSE)</f>
        <v>1</v>
      </c>
      <c r="B706" s="35">
        <f t="shared" si="1054"/>
        <v>1998</v>
      </c>
      <c r="C706" s="36">
        <v>36160</v>
      </c>
      <c r="D706" s="37"/>
      <c r="E706" s="35"/>
      <c r="F706" s="37"/>
      <c r="G706" s="37"/>
      <c r="H706" s="37"/>
      <c r="I706" s="37"/>
      <c r="J706" s="37"/>
      <c r="K706" s="37"/>
      <c r="L706" s="35"/>
      <c r="M706" s="35"/>
      <c r="N706" s="37"/>
      <c r="O706" s="37"/>
      <c r="P706" s="37"/>
      <c r="Q706" s="37"/>
      <c r="R706" s="37"/>
      <c r="S706" s="37"/>
      <c r="T706" s="37"/>
      <c r="U706" s="37"/>
      <c r="V706" s="37"/>
      <c r="W706" s="37">
        <f>MAX($C$11-VLOOKUP($C706,COS!$B$8:$H$991,3,FALSE),0)</f>
        <v>0</v>
      </c>
      <c r="X706" s="37">
        <f t="shared" si="1086"/>
        <v>0</v>
      </c>
      <c r="Y706" s="37">
        <f>VLOOKUP($C706,COS!$B$8:$H$991,4,FALSE)</f>
        <v>0</v>
      </c>
      <c r="Z706" s="37">
        <f t="shared" si="1087"/>
        <v>0</v>
      </c>
      <c r="AA706" s="37">
        <f t="shared" si="1130"/>
        <v>0</v>
      </c>
      <c r="AB706" s="38">
        <f t="shared" si="1058"/>
        <v>0</v>
      </c>
    </row>
    <row r="707" spans="1:28" x14ac:dyDescent="0.3">
      <c r="A707" s="27">
        <f>VLOOKUP(YEAR(C707),Flags!$A$13:$B$95,2,FALSE)</f>
        <v>1</v>
      </c>
      <c r="B707" s="28">
        <f t="shared" si="1054"/>
        <v>1999</v>
      </c>
      <c r="C707" s="29">
        <v>36280</v>
      </c>
      <c r="D707" s="30">
        <f>VLOOKUP($C707,COS!$B$8:$H$991,3,FALSE)</f>
        <v>3438.072509765625</v>
      </c>
      <c r="E707" s="28">
        <f>IF(D707&gt;=IF(MONTH($C707)=4,$C$3,IF(MONTH($C707)=5,$C$4,IF(MONTH($C707)=6,$C$5,IF(MONTH($C707)=7,$C$6,"ERROR")))),1,0)</f>
        <v>0</v>
      </c>
      <c r="F707" s="30">
        <f>VLOOKUP($C707,COS!$B$8:$H$991,7,FALSE)</f>
        <v>51.189750671386719</v>
      </c>
      <c r="G707" s="28">
        <f>IF(F707&lt;=IF(MONTH($C707)=4,$F$3,IF(MONTH($C707)=5,$F$4,IF(MONTH($C707)=6,$F$5,IF(MONTH($C707)=7,$F$6,"ERROR")))),1,0)</f>
        <v>1</v>
      </c>
      <c r="H707" s="30">
        <f>IF(J707=1,D707-$C$3,0)</f>
        <v>0</v>
      </c>
      <c r="I707" s="30">
        <f t="shared" si="1083"/>
        <v>0</v>
      </c>
      <c r="J707" s="28">
        <f t="shared" ref="J707:J710" si="1133">IF(AND(E707=1,G707=1),1,0)</f>
        <v>0</v>
      </c>
      <c r="K707" s="30">
        <f>VLOOKUP($C707,COS!$B$8:$H$991,2,FALSE)</f>
        <v>4552.10009765625</v>
      </c>
      <c r="L707" s="28">
        <f t="shared" ref="L707" si="1134">IF(K707&lt;=IF(MONTH($C707)=4,$I$3,IF(MONTH($C707)=5,$I$4,IF(MONTH($C707)=6,$I$5,IF(MONTH($C707)=7,$I$6,"ERROR")))),1,0)</f>
        <v>1</v>
      </c>
      <c r="M707" s="28">
        <f t="shared" ref="M707" si="1135">VLOOKUP($A707,$L$3:$M$7,2,FALSE)</f>
        <v>0</v>
      </c>
      <c r="N707" s="30">
        <f>VLOOKUP($C707,COS!$B$8:$H$991,5,FALSE)</f>
        <v>141.06893920898438</v>
      </c>
      <c r="O707" s="30">
        <f t="shared" ref="O707:O710" si="1136">N707*DAY($C707)*86400/43560/1000</f>
        <v>8.3941848124354355</v>
      </c>
      <c r="P707" s="30">
        <f>VLOOKUP($C707,COS!$B$8:$H$991,6,FALSE)</f>
        <v>412.21127319335938</v>
      </c>
      <c r="Q707" s="30">
        <f t="shared" ref="Q707:Q710" si="1137">P707*DAY($C707)*86400/43560/1000</f>
        <v>24.528274107373452</v>
      </c>
      <c r="R707" s="30">
        <f>MIN(IF(MONTH($C707)=4,$S$3,IF(MONTH($C707)=5,$S$4,IF(MONTH($C707)=6,$S$5,IF(MONTH($C707)=7,$S$6,"ERROR")))),MAX(VLOOKUP($C707,COS!$B$8:$K$991,10,FALSE)-IF(MONTH($C707)=4,$Y$3,IF(MONTH($C707)=5,$Y$4,IF(MONTH($C707)=6,$Y$5,IF(MONTH($C707)=7,$Y$6,"ERROR")))),0),MAX(VLOOKUP($C707,COS!$B$8:$K$991,9,FALSE)-IF(MONTH($C707)=4,$V$3,IF(MONTH($C707)=5,$V$4,IF(MONTH($C707)=6,$V$5,IF(MONTH($C707)=7,$V$6,"ERROR"))))-VLOOKUP($C707,COS!$B$8:$K$991,6,FALSE)/2,0))</f>
        <v>1500</v>
      </c>
      <c r="S707" s="30">
        <f t="shared" ref="S707:S710" si="1138">R707*DAY($C707)*86400/43560/1000</f>
        <v>89.256198347107429</v>
      </c>
      <c r="T707" s="30">
        <f t="shared" ref="T707:T710" si="1139">(O707+Q707)/2+S707</f>
        <v>105.71742780701187</v>
      </c>
      <c r="U707" s="30" t="str">
        <f>IF(VLOOKUP($C707,COS!$B$8:$I$991,8,FALSE)=1,"UWFE","IBU")</f>
        <v>UWFE</v>
      </c>
      <c r="V707" s="30">
        <f t="shared" ref="V707" si="1140">MIN(IF(IF($AA$3=2,AND(E707=1,G707=1,L707=1,L712=1,M707=1,U707="IBU"),AND(E707=1,G707=1,L707=1,L712=1,M707=1)),T707,0),I707)</f>
        <v>0</v>
      </c>
      <c r="W707" s="30"/>
      <c r="X707" s="30"/>
      <c r="Y707" s="30"/>
      <c r="Z707" s="30"/>
      <c r="AA707" s="30"/>
      <c r="AB707" s="31"/>
    </row>
    <row r="708" spans="1:28" x14ac:dyDescent="0.3">
      <c r="A708" s="32">
        <f>VLOOKUP(YEAR(C708),Flags!$A$13:$B$95,2,FALSE)</f>
        <v>1</v>
      </c>
      <c r="B708" s="24">
        <f t="shared" si="1054"/>
        <v>1999</v>
      </c>
      <c r="C708" s="25">
        <v>36311</v>
      </c>
      <c r="D708" s="26">
        <f>VLOOKUP($C708,COS!$B$8:$H$991,3,FALSE)</f>
        <v>8437.2080078125</v>
      </c>
      <c r="E708" s="24">
        <f>IF(D708&gt;=IF(MONTH($C708)=4,$C$3,IF(MONTH($C708)=5,$C$4,IF(MONTH($C708)=6,$C$5,IF(MONTH($C708)=7,$C$6,"ERROR")))),1,0)</f>
        <v>1</v>
      </c>
      <c r="F708" s="26">
        <f>VLOOKUP($C708,COS!$B$8:$H$991,7,FALSE)</f>
        <v>50.693416595458984</v>
      </c>
      <c r="G708" s="24">
        <f>IF(F708&lt;=IF(MONTH($C708)=4,$F$3,IF(MONTH($C708)=5,$F$4,IF(MONTH($C708)=6,$F$5,IF(MONTH($C708)=7,$F$6,"ERROR")))),1,0)</f>
        <v>1</v>
      </c>
      <c r="H708" s="26">
        <f>IF(J708=1,D708-$C$4,0)</f>
        <v>2437.2080078125</v>
      </c>
      <c r="I708" s="26">
        <f t="shared" si="1083"/>
        <v>149.85807915805785</v>
      </c>
      <c r="J708" s="24">
        <f t="shared" si="1133"/>
        <v>1</v>
      </c>
      <c r="K708" s="26">
        <f>VLOOKUP($C708,COS!$B$8:$H$991,2,FALSE)</f>
        <v>4552</v>
      </c>
      <c r="L708" s="24">
        <f t="shared" si="1046"/>
        <v>1</v>
      </c>
      <c r="M708" s="24">
        <f t="shared" si="1047"/>
        <v>0</v>
      </c>
      <c r="N708" s="26">
        <f>VLOOKUP($C708,COS!$B$8:$H$991,5,FALSE)</f>
        <v>838.45135498046875</v>
      </c>
      <c r="O708" s="26">
        <f t="shared" si="1136"/>
        <v>51.55436430623709</v>
      </c>
      <c r="P708" s="26">
        <f>VLOOKUP($C708,COS!$B$8:$H$991,6,FALSE)</f>
        <v>2288.578369140625</v>
      </c>
      <c r="Q708" s="26">
        <f t="shared" si="1137"/>
        <v>140.71919889591942</v>
      </c>
      <c r="R708" s="26">
        <f>MIN(IF(MONTH($C708)=4,$S$3,IF(MONTH($C708)=5,$S$4,IF(MONTH($C708)=6,$S$5,IF(MONTH($C708)=7,$S$6,"ERROR")))),MAX(VLOOKUP($C708,COS!$B$8:$K$991,10,FALSE)-IF(MONTH($C708)=4,$Y$3,IF(MONTH($C708)=5,$Y$4,IF(MONTH($C708)=6,$Y$5,IF(MONTH($C708)=7,$Y$6,"ERROR")))),0),MAX(VLOOKUP($C708,COS!$B$8:$K$991,9,FALSE)-IF(MONTH($C708)=4,$V$3,IF(MONTH($C708)=5,$V$4,IF(MONTH($C708)=6,$V$5,IF(MONTH($C708)=7,$V$6,"ERROR"))))-VLOOKUP($C708,COS!$B$8:$K$991,6,FALSE)/2,0))</f>
        <v>1500</v>
      </c>
      <c r="S708" s="26">
        <f t="shared" si="1138"/>
        <v>92.231404958677686</v>
      </c>
      <c r="T708" s="26">
        <f t="shared" si="1139"/>
        <v>188.36818655975594</v>
      </c>
      <c r="U708" s="26" t="str">
        <f>IF(VLOOKUP($C708,COS!$B$8:$I$991,8,FALSE)=1,"UWFE","IBU")</f>
        <v>UWFE</v>
      </c>
      <c r="V708" s="26">
        <f t="shared" ref="V708" si="1141">MIN(IF(IF($AA$3=2,AND(E708=1,G708=1,L708=1,L712=1,M708=1,U708="IBU"),AND(E708=1,G708=1,L708=1,L712=1,M708=1)),T708,0),I708)</f>
        <v>0</v>
      </c>
      <c r="W708" s="26"/>
      <c r="X708" s="26"/>
      <c r="Y708" s="26"/>
      <c r="Z708" s="26"/>
      <c r="AA708" s="26"/>
      <c r="AB708" s="33"/>
    </row>
    <row r="709" spans="1:28" x14ac:dyDescent="0.3">
      <c r="A709" s="32">
        <f>VLOOKUP(YEAR(C709),Flags!$A$13:$B$95,2,FALSE)</f>
        <v>1</v>
      </c>
      <c r="B709" s="24">
        <f t="shared" si="1054"/>
        <v>1999</v>
      </c>
      <c r="C709" s="25">
        <v>36341</v>
      </c>
      <c r="D709" s="26">
        <f>VLOOKUP($C709,COS!$B$8:$H$991,3,FALSE)</f>
        <v>8144.7666015625</v>
      </c>
      <c r="E709" s="24">
        <f>IF(D709&gt;=IF(MONTH($C709)=4,$C$3,IF(MONTH($C709)=5,$C$4,IF(MONTH($C709)=6,$C$5,IF(MONTH($C709)=7,$C$6,"ERROR")))),1,0)</f>
        <v>0</v>
      </c>
      <c r="F709" s="26">
        <f>VLOOKUP($C709,COS!$B$8:$H$991,7,FALSE)</f>
        <v>51.85150146484375</v>
      </c>
      <c r="G709" s="24">
        <f>IF(F709&lt;=IF(MONTH($C709)=4,$F$3,IF(MONTH($C709)=5,$F$4,IF(MONTH($C709)=6,$F$5,IF(MONTH($C709)=7,$F$6,"ERROR")))),1,0)</f>
        <v>1</v>
      </c>
      <c r="H709" s="26">
        <f>IF(J709=1,D709-$C$5,0)</f>
        <v>0</v>
      </c>
      <c r="I709" s="26">
        <f t="shared" si="1083"/>
        <v>0</v>
      </c>
      <c r="J709" s="24">
        <f t="shared" si="1133"/>
        <v>0</v>
      </c>
      <c r="K709" s="26">
        <f>VLOOKUP($C709,COS!$B$8:$H$991,2,FALSE)</f>
        <v>4382.97265625</v>
      </c>
      <c r="L709" s="24">
        <f t="shared" si="1046"/>
        <v>1</v>
      </c>
      <c r="M709" s="24">
        <f t="shared" si="1047"/>
        <v>0</v>
      </c>
      <c r="N709" s="26">
        <f>VLOOKUP($C709,COS!$B$8:$H$991,5,FALSE)</f>
        <v>1060.0843505859375</v>
      </c>
      <c r="O709" s="26">
        <f t="shared" si="1136"/>
        <v>63.079399373708675</v>
      </c>
      <c r="P709" s="26">
        <f>VLOOKUP($C709,COS!$B$8:$H$991,6,FALSE)</f>
        <v>2226.599365234375</v>
      </c>
      <c r="Q709" s="26">
        <f t="shared" si="1137"/>
        <v>132.4918630552686</v>
      </c>
      <c r="R709" s="26">
        <f>MIN(IF(MONTH($C709)=4,$S$3,IF(MONTH($C709)=5,$S$4,IF(MONTH($C709)=6,$S$5,IF(MONTH($C709)=7,$S$6,"ERROR")))),MAX(VLOOKUP($C709,COS!$B$8:$K$991,10,FALSE)-IF(MONTH($C709)=4,$Y$3,IF(MONTH($C709)=5,$Y$4,IF(MONTH($C709)=6,$Y$5,IF(MONTH($C709)=7,$Y$6,"ERROR")))),0),MAX(VLOOKUP($C709,COS!$B$8:$K$991,9,FALSE)-IF(MONTH($C709)=4,$V$3,IF(MONTH($C709)=5,$V$4,IF(MONTH($C709)=6,$V$5,IF(MONTH($C709)=7,$V$6,"ERROR"))))-VLOOKUP($C709,COS!$B$8:$K$991,6,FALSE)/2,0))</f>
        <v>1500</v>
      </c>
      <c r="S709" s="26">
        <f t="shared" si="1138"/>
        <v>89.256198347107429</v>
      </c>
      <c r="T709" s="26">
        <f t="shared" si="1139"/>
        <v>187.04182956159605</v>
      </c>
      <c r="U709" s="26" t="str">
        <f>IF(VLOOKUP($C709,COS!$B$8:$I$991,8,FALSE)=1,"UWFE","IBU")</f>
        <v>UWFE</v>
      </c>
      <c r="V709" s="26">
        <f t="shared" ref="V709" si="1142">MIN(IF(IF($AA$3=2,AND(E709=1,G709=1,L709=1,L712=1,M709=1,U709="IBU"),AND(E709=1,G709=1,L709=1,L712=1,M709=1)),T709,0),I709)</f>
        <v>0</v>
      </c>
      <c r="W709" s="26"/>
      <c r="X709" s="26"/>
      <c r="Y709" s="26"/>
      <c r="Z709" s="26"/>
      <c r="AA709" s="26"/>
      <c r="AB709" s="33"/>
    </row>
    <row r="710" spans="1:28" x14ac:dyDescent="0.3">
      <c r="A710" s="32">
        <f>VLOOKUP(YEAR(C710),Flags!$A$13:$B$95,2,FALSE)</f>
        <v>1</v>
      </c>
      <c r="B710" s="24">
        <f t="shared" si="1054"/>
        <v>1999</v>
      </c>
      <c r="C710" s="25">
        <v>36372</v>
      </c>
      <c r="D710" s="26">
        <f>VLOOKUP($C710,COS!$B$8:$H$991,3,FALSE)</f>
        <v>16000</v>
      </c>
      <c r="E710" s="24">
        <f>IF(D710&gt;=IF(MONTH($C710)=4,$C$3,IF(MONTH($C710)=5,$C$4,IF(MONTH($C710)=6,$C$5,IF(MONTH($C710)=7,$C$6,"ERROR")))),1,0)</f>
        <v>1</v>
      </c>
      <c r="F710" s="26">
        <f>VLOOKUP($C710,COS!$B$8:$H$991,7,FALSE)</f>
        <v>51.293598175048828</v>
      </c>
      <c r="G710" s="24">
        <f>IF(F710&lt;=IF(MONTH($C710)=4,$F$3,IF(MONTH($C710)=5,$F$4,IF(MONTH($C710)=6,$F$5,IF(MONTH($C710)=7,$F$6,"ERROR")))),1,0)</f>
        <v>1</v>
      </c>
      <c r="H710" s="26">
        <f>IF(J710=1,D710-$C$6,0)</f>
        <v>4000</v>
      </c>
      <c r="I710" s="26">
        <f t="shared" si="1083"/>
        <v>245.95041322314049</v>
      </c>
      <c r="J710" s="24">
        <f t="shared" si="1133"/>
        <v>1</v>
      </c>
      <c r="K710" s="26">
        <f>VLOOKUP($C710,COS!$B$8:$H$991,2,FALSE)</f>
        <v>3724.72216796875</v>
      </c>
      <c r="L710" s="24">
        <f t="shared" si="1046"/>
        <v>1</v>
      </c>
      <c r="M710" s="24">
        <f t="shared" si="1047"/>
        <v>0</v>
      </c>
      <c r="N710" s="26">
        <f>VLOOKUP($C710,COS!$B$8:$H$991,5,FALSE)</f>
        <v>1277.9014892578125</v>
      </c>
      <c r="O710" s="26">
        <f t="shared" si="1136"/>
        <v>78.575099835356411</v>
      </c>
      <c r="P710" s="26">
        <f>VLOOKUP($C710,COS!$B$8:$H$991,6,FALSE)</f>
        <v>2616.67822265625</v>
      </c>
      <c r="Q710" s="26">
        <f t="shared" si="1137"/>
        <v>160.89327253357436</v>
      </c>
      <c r="R710" s="26">
        <f>MIN(IF(MONTH($C710)=4,$S$3,IF(MONTH($C710)=5,$S$4,IF(MONTH($C710)=6,$S$5,IF(MONTH($C710)=7,$S$6,"ERROR")))),MAX(VLOOKUP($C710,COS!$B$8:$K$991,10,FALSE)-IF(MONTH($C710)=4,$Y$3,IF(MONTH($C710)=5,$Y$4,IF(MONTH($C710)=6,$Y$5,IF(MONTH($C710)=7,$Y$6,"ERROR")))),0),MAX(VLOOKUP($C710,COS!$B$8:$K$991,9,FALSE)-IF(MONTH($C710)=4,$V$3,IF(MONTH($C710)=5,$V$4,IF(MONTH($C710)=6,$V$5,IF(MONTH($C710)=7,$V$6,"ERROR"))))-VLOOKUP($C710,COS!$B$8:$K$991,6,FALSE)/2,0))</f>
        <v>1500</v>
      </c>
      <c r="S710" s="26">
        <f t="shared" si="1138"/>
        <v>92.231404958677686</v>
      </c>
      <c r="T710" s="26">
        <f t="shared" si="1139"/>
        <v>211.96559114314306</v>
      </c>
      <c r="U710" s="26" t="str">
        <f>IF(VLOOKUP($C710,COS!$B$8:$I$991,8,FALSE)=1,"UWFE","IBU")</f>
        <v>IBU</v>
      </c>
      <c r="V710" s="26">
        <f t="shared" ref="V710" si="1143">MIN(IF(IF($AA$3=2,AND(E710=1,G710=1,L710=1,L712=1,M710=1,U710="IBU"),AND(E710=1,G710=1,L710=1,L712=1,M710=1)),T710,0),I710)</f>
        <v>0</v>
      </c>
      <c r="W710" s="26"/>
      <c r="X710" s="26"/>
      <c r="Y710" s="26"/>
      <c r="Z710" s="26"/>
      <c r="AA710" s="26"/>
      <c r="AB710" s="33"/>
    </row>
    <row r="711" spans="1:28" x14ac:dyDescent="0.3">
      <c r="A711" s="32">
        <f>VLOOKUP(YEAR(C711),Flags!$A$13:$B$95,2,FALSE)</f>
        <v>1</v>
      </c>
      <c r="B711" s="24">
        <f t="shared" si="1054"/>
        <v>1999</v>
      </c>
      <c r="C711" s="25">
        <v>36403</v>
      </c>
      <c r="D711" s="26"/>
      <c r="E711" s="24"/>
      <c r="F711" s="26"/>
      <c r="G711" s="24"/>
      <c r="H711" s="24"/>
      <c r="I711" s="26"/>
      <c r="J711" s="24"/>
      <c r="K711" s="26"/>
      <c r="L711" s="24"/>
      <c r="M711" s="24"/>
      <c r="N711" s="26"/>
      <c r="O711" s="26"/>
      <c r="P711" s="26"/>
      <c r="Q711" s="26"/>
      <c r="R711" s="26"/>
      <c r="S711" s="26"/>
      <c r="T711" s="26"/>
      <c r="U711" s="26"/>
      <c r="V711" s="26"/>
      <c r="W711" s="26">
        <f>MAX($C$7-VLOOKUP($C711,COS!$B$8:$H$991,3,FALSE),0)</f>
        <v>90285.5068359375</v>
      </c>
      <c r="X711" s="26">
        <f t="shared" si="1086"/>
        <v>5551.4394285898761</v>
      </c>
      <c r="Y711" s="26">
        <f>VLOOKUP($C711,COS!$B$8:$H$991,4,FALSE)</f>
        <v>0</v>
      </c>
      <c r="Z711" s="26">
        <f t="shared" si="1087"/>
        <v>0</v>
      </c>
      <c r="AA711" s="26">
        <f t="shared" ref="AA711:AA715" si="1144">MIN(W711,Y711)</f>
        <v>0</v>
      </c>
      <c r="AB711" s="33">
        <f t="shared" ref="AB711" si="1145">AA711*DAY($C711)*86400/43560/1000*IF(MONTH($C711)=8,$P$3,IF(MONTH($C711)=9,$P$4,IF(MONTH($C711)=10,$P$5,IF(MONTH($C711)=11,$P$6,IF(MONTH($C711)=12,$P$7,NA())))))</f>
        <v>0</v>
      </c>
    </row>
    <row r="712" spans="1:28" x14ac:dyDescent="0.3">
      <c r="A712" s="32">
        <f>VLOOKUP(YEAR(C712),Flags!$A$13:$B$95,2,FALSE)</f>
        <v>1</v>
      </c>
      <c r="B712" s="24">
        <f t="shared" si="1054"/>
        <v>1999</v>
      </c>
      <c r="C712" s="25">
        <v>36433</v>
      </c>
      <c r="D712" s="26"/>
      <c r="E712" s="24"/>
      <c r="F712" s="26"/>
      <c r="G712" s="24"/>
      <c r="H712" s="24"/>
      <c r="I712" s="26"/>
      <c r="J712" s="24"/>
      <c r="K712" s="26">
        <f>VLOOKUP($C712,COS!$B$8:$H$991,2,FALSE)</f>
        <v>2879.5078125</v>
      </c>
      <c r="L712" s="24">
        <f t="shared" ref="L712" si="1146">IF(AND(K712&gt;$I$7,K712&lt;$I$8),1,0)</f>
        <v>1</v>
      </c>
      <c r="M712" s="24"/>
      <c r="N712" s="26"/>
      <c r="O712" s="26"/>
      <c r="P712" s="26"/>
      <c r="Q712" s="26"/>
      <c r="R712" s="26"/>
      <c r="S712" s="26"/>
      <c r="T712" s="26"/>
      <c r="U712" s="26"/>
      <c r="V712" s="26"/>
      <c r="W712" s="26">
        <f>MAX($C$8-VLOOKUP($C712,COS!$B$8:$H$991,3,FALSE),0)</f>
        <v>85063.7509765625</v>
      </c>
      <c r="X712" s="26">
        <f t="shared" si="1086"/>
        <v>5061.6446862086777</v>
      </c>
      <c r="Y712" s="26">
        <f>VLOOKUP($C712,COS!$B$8:$H$991,4,FALSE)</f>
        <v>0</v>
      </c>
      <c r="Z712" s="26">
        <f t="shared" si="1087"/>
        <v>0</v>
      </c>
      <c r="AA712" s="26">
        <f t="shared" si="1144"/>
        <v>0</v>
      </c>
      <c r="AB712" s="33">
        <f t="shared" si="1058"/>
        <v>0</v>
      </c>
    </row>
    <row r="713" spans="1:28" x14ac:dyDescent="0.3">
      <c r="A713" s="32">
        <f>VLOOKUP(YEAR(C713),Flags!$A$13:$B$95,2,FALSE)</f>
        <v>1</v>
      </c>
      <c r="B713" s="24">
        <f t="shared" si="1054"/>
        <v>1999</v>
      </c>
      <c r="C713" s="25">
        <v>36464</v>
      </c>
      <c r="D713" s="26"/>
      <c r="E713" s="24"/>
      <c r="F713" s="26"/>
      <c r="G713" s="26"/>
      <c r="H713" s="26"/>
      <c r="I713" s="26"/>
      <c r="J713" s="26"/>
      <c r="K713" s="26"/>
      <c r="L713" s="24"/>
      <c r="M713" s="24"/>
      <c r="N713" s="26"/>
      <c r="O713" s="26"/>
      <c r="P713" s="26"/>
      <c r="Q713" s="26"/>
      <c r="R713" s="26"/>
      <c r="S713" s="26"/>
      <c r="T713" s="26"/>
      <c r="U713" s="26"/>
      <c r="V713" s="26"/>
      <c r="W713" s="26">
        <f>MAX($C$9-VLOOKUP($C713,COS!$B$8:$H$991,3,FALSE),0)</f>
        <v>88700.0185546875</v>
      </c>
      <c r="X713" s="26">
        <f t="shared" si="1086"/>
        <v>5453.9515541064047</v>
      </c>
      <c r="Y713" s="26">
        <f>VLOOKUP($C713,COS!$B$8:$H$991,4,FALSE)</f>
        <v>1020.4207763671875</v>
      </c>
      <c r="Z713" s="26">
        <f t="shared" si="1087"/>
        <v>62.7432279022469</v>
      </c>
      <c r="AA713" s="26">
        <f t="shared" si="1144"/>
        <v>1020.4207763671875</v>
      </c>
      <c r="AB713" s="33">
        <f t="shared" si="1058"/>
        <v>62.7432279022469</v>
      </c>
    </row>
    <row r="714" spans="1:28" x14ac:dyDescent="0.3">
      <c r="A714" s="32">
        <f>VLOOKUP(YEAR(C714),Flags!$A$13:$B$95,2,FALSE)</f>
        <v>1</v>
      </c>
      <c r="B714" s="24">
        <f t="shared" si="1054"/>
        <v>1999</v>
      </c>
      <c r="C714" s="25">
        <v>36494</v>
      </c>
      <c r="D714" s="26"/>
      <c r="E714" s="24"/>
      <c r="F714" s="26"/>
      <c r="G714" s="26"/>
      <c r="H714" s="26"/>
      <c r="I714" s="26"/>
      <c r="J714" s="26"/>
      <c r="K714" s="26"/>
      <c r="L714" s="24"/>
      <c r="M714" s="24"/>
      <c r="N714" s="26"/>
      <c r="O714" s="26"/>
      <c r="P714" s="26"/>
      <c r="Q714" s="26"/>
      <c r="R714" s="26"/>
      <c r="S714" s="26"/>
      <c r="T714" s="26"/>
      <c r="U714" s="26"/>
      <c r="V714" s="26"/>
      <c r="W714" s="26">
        <f>MAX($C$10-VLOOKUP($C714,COS!$B$8:$H$991,3,FALSE),0)</f>
        <v>86044.97265625</v>
      </c>
      <c r="X714" s="26">
        <f t="shared" si="1086"/>
        <v>5120.031430785124</v>
      </c>
      <c r="Y714" s="26">
        <f>VLOOKUP($C714,COS!$B$8:$H$991,4,FALSE)</f>
        <v>1214.3294677734375</v>
      </c>
      <c r="Z714" s="26">
        <f t="shared" si="1087"/>
        <v>72.257621222882221</v>
      </c>
      <c r="AA714" s="26">
        <f t="shared" si="1144"/>
        <v>1214.3294677734375</v>
      </c>
      <c r="AB714" s="33">
        <f t="shared" si="1058"/>
        <v>36.128810611441111</v>
      </c>
    </row>
    <row r="715" spans="1:28" x14ac:dyDescent="0.3">
      <c r="A715" s="34">
        <f>VLOOKUP(YEAR(C715),Flags!$A$13:$B$95,2,FALSE)</f>
        <v>1</v>
      </c>
      <c r="B715" s="35">
        <f t="shared" si="1054"/>
        <v>1999</v>
      </c>
      <c r="C715" s="36">
        <v>36525</v>
      </c>
      <c r="D715" s="37"/>
      <c r="E715" s="35"/>
      <c r="F715" s="37"/>
      <c r="G715" s="37"/>
      <c r="H715" s="37"/>
      <c r="I715" s="37"/>
      <c r="J715" s="37"/>
      <c r="K715" s="37"/>
      <c r="L715" s="35"/>
      <c r="M715" s="35"/>
      <c r="N715" s="37"/>
      <c r="O715" s="37"/>
      <c r="P715" s="37"/>
      <c r="Q715" s="37"/>
      <c r="R715" s="37"/>
      <c r="S715" s="37"/>
      <c r="T715" s="37"/>
      <c r="U715" s="37"/>
      <c r="V715" s="37"/>
      <c r="W715" s="37">
        <f>MAX($C$11-VLOOKUP($C715,COS!$B$8:$H$991,3,FALSE),0)</f>
        <v>0</v>
      </c>
      <c r="X715" s="37">
        <f t="shared" si="1086"/>
        <v>0</v>
      </c>
      <c r="Y715" s="37">
        <f>VLOOKUP($C715,COS!$B$8:$H$991,4,FALSE)</f>
        <v>0</v>
      </c>
      <c r="Z715" s="37">
        <f t="shared" si="1087"/>
        <v>0</v>
      </c>
      <c r="AA715" s="37">
        <f t="shared" si="1144"/>
        <v>0</v>
      </c>
      <c r="AB715" s="38">
        <f t="shared" si="1058"/>
        <v>0</v>
      </c>
    </row>
    <row r="716" spans="1:28" x14ac:dyDescent="0.3">
      <c r="A716" s="27">
        <f>VLOOKUP(YEAR(C716),Flags!$A$13:$B$95,2,FALSE)</f>
        <v>2</v>
      </c>
      <c r="B716" s="28">
        <f t="shared" si="1054"/>
        <v>2000</v>
      </c>
      <c r="C716" s="29">
        <v>36646</v>
      </c>
      <c r="D716" s="30">
        <f>VLOOKUP($C716,COS!$B$8:$H$991,3,FALSE)</f>
        <v>3250</v>
      </c>
      <c r="E716" s="28">
        <f>IF(D716&gt;=IF(MONTH($C716)=4,$C$3,IF(MONTH($C716)=5,$C$4,IF(MONTH($C716)=6,$C$5,IF(MONTH($C716)=7,$C$6,"ERROR")))),1,0)</f>
        <v>0</v>
      </c>
      <c r="F716" s="30">
        <f>VLOOKUP($C716,COS!$B$8:$H$991,7,FALSE)</f>
        <v>53.549808502197266</v>
      </c>
      <c r="G716" s="28">
        <f>IF(F716&lt;=IF(MONTH($C716)=4,$F$3,IF(MONTH($C716)=5,$F$4,IF(MONTH($C716)=6,$F$5,IF(MONTH($C716)=7,$F$6,"ERROR")))),1,0)</f>
        <v>1</v>
      </c>
      <c r="H716" s="30">
        <f>IF(J716=1,D716-$C$3,0)</f>
        <v>0</v>
      </c>
      <c r="I716" s="30">
        <f t="shared" si="1083"/>
        <v>0</v>
      </c>
      <c r="J716" s="28">
        <f t="shared" ref="J716:J719" si="1147">IF(AND(E716=1,G716=1),1,0)</f>
        <v>0</v>
      </c>
      <c r="K716" s="30">
        <f>VLOOKUP($C716,COS!$B$8:$H$991,2,FALSE)</f>
        <v>4550.50927734375</v>
      </c>
      <c r="L716" s="28">
        <f t="shared" ref="L716:L737" si="1148">IF(K716&lt;=IF(MONTH($C716)=4,$I$3,IF(MONTH($C716)=5,$I$4,IF(MONTH($C716)=6,$I$5,IF(MONTH($C716)=7,$I$6,"ERROR")))),1,0)</f>
        <v>1</v>
      </c>
      <c r="M716" s="28">
        <f t="shared" ref="M716:M737" si="1149">VLOOKUP($A716,$L$3:$M$7,2,FALSE)</f>
        <v>0</v>
      </c>
      <c r="N716" s="30">
        <f>VLOOKUP($C716,COS!$B$8:$H$991,5,FALSE)</f>
        <v>37.464950561523438</v>
      </c>
      <c r="O716" s="30">
        <f t="shared" ref="O716:O719" si="1150">N716*DAY($C716)*86400/43560/1000</f>
        <v>2.2293193722559401</v>
      </c>
      <c r="P716" s="30">
        <f>VLOOKUP($C716,COS!$B$8:$H$991,6,FALSE)</f>
        <v>403.17050170898438</v>
      </c>
      <c r="Q716" s="30">
        <f t="shared" ref="Q716:Q719" si="1151">P716*DAY($C716)*86400/43560/1000</f>
        <v>23.990310845493283</v>
      </c>
      <c r="R716" s="30">
        <f>MIN(IF(MONTH($C716)=4,$S$3,IF(MONTH($C716)=5,$S$4,IF(MONTH($C716)=6,$S$5,IF(MONTH($C716)=7,$S$6,"ERROR")))),MAX(VLOOKUP($C716,COS!$B$8:$K$991,10,FALSE)-IF(MONTH($C716)=4,$Y$3,IF(MONTH($C716)=5,$Y$4,IF(MONTH($C716)=6,$Y$5,IF(MONTH($C716)=7,$Y$6,"ERROR")))),0),MAX(VLOOKUP($C716,COS!$B$8:$K$991,9,FALSE)-IF(MONTH($C716)=4,$V$3,IF(MONTH($C716)=5,$V$4,IF(MONTH($C716)=6,$V$5,IF(MONTH($C716)=7,$V$6,"ERROR"))))-VLOOKUP($C716,COS!$B$8:$K$991,6,FALSE)/2,0))</f>
        <v>1500</v>
      </c>
      <c r="S716" s="30">
        <f t="shared" ref="S716:S719" si="1152">R716*DAY($C716)*86400/43560/1000</f>
        <v>89.256198347107429</v>
      </c>
      <c r="T716" s="30">
        <f t="shared" ref="T716:T719" si="1153">(O716+Q716)/2+S716</f>
        <v>102.36601345598204</v>
      </c>
      <c r="U716" s="30" t="str">
        <f>IF(VLOOKUP($C716,COS!$B$8:$I$991,8,FALSE)=1,"UWFE","IBU")</f>
        <v>UWFE</v>
      </c>
      <c r="V716" s="30">
        <f t="shared" ref="V716" si="1154">MIN(IF(IF($AA$3=2,AND(E716=1,G716=1,L716=1,L721=1,M716=1,U716="IBU"),AND(E716=1,G716=1,L716=1,L721=1,M716=1)),T716,0),I716)</f>
        <v>0</v>
      </c>
      <c r="W716" s="30"/>
      <c r="X716" s="30"/>
      <c r="Y716" s="30"/>
      <c r="Z716" s="30"/>
      <c r="AA716" s="30"/>
      <c r="AB716" s="31"/>
    </row>
    <row r="717" spans="1:28" x14ac:dyDescent="0.3">
      <c r="A717" s="32">
        <f>VLOOKUP(YEAR(C717),Flags!$A$13:$B$95,2,FALSE)</f>
        <v>2</v>
      </c>
      <c r="B717" s="24">
        <f t="shared" si="1054"/>
        <v>2000</v>
      </c>
      <c r="C717" s="25">
        <v>36677</v>
      </c>
      <c r="D717" s="26">
        <f>VLOOKUP($C717,COS!$B$8:$H$991,3,FALSE)</f>
        <v>7298.4775390625</v>
      </c>
      <c r="E717" s="24">
        <f>IF(D717&gt;=IF(MONTH($C717)=4,$C$3,IF(MONTH($C717)=5,$C$4,IF(MONTH($C717)=6,$C$5,IF(MONTH($C717)=7,$C$6,"ERROR")))),1,0)</f>
        <v>1</v>
      </c>
      <c r="F717" s="26">
        <f>VLOOKUP($C717,COS!$B$8:$H$991,7,FALSE)</f>
        <v>51.98187255859375</v>
      </c>
      <c r="G717" s="24">
        <f>IF(F717&lt;=IF(MONTH($C717)=4,$F$3,IF(MONTH($C717)=5,$F$4,IF(MONTH($C717)=6,$F$5,IF(MONTH($C717)=7,$F$6,"ERROR")))),1,0)</f>
        <v>1</v>
      </c>
      <c r="H717" s="26">
        <f>IF(J717=1,D717-$C$4,0)</f>
        <v>1298.4775390625</v>
      </c>
      <c r="I717" s="26">
        <f t="shared" si="1083"/>
        <v>79.840271823347109</v>
      </c>
      <c r="J717" s="24">
        <f t="shared" si="1147"/>
        <v>1</v>
      </c>
      <c r="K717" s="26">
        <f>VLOOKUP($C717,COS!$B$8:$H$991,2,FALSE)</f>
        <v>4552</v>
      </c>
      <c r="L717" s="24">
        <f t="shared" si="1148"/>
        <v>1</v>
      </c>
      <c r="M717" s="24">
        <f t="shared" si="1149"/>
        <v>0</v>
      </c>
      <c r="N717" s="26">
        <f>VLOOKUP($C717,COS!$B$8:$H$991,5,FALSE)</f>
        <v>651.51641845703125</v>
      </c>
      <c r="O717" s="26">
        <f t="shared" si="1150"/>
        <v>40.060183085291833</v>
      </c>
      <c r="P717" s="26">
        <f>VLOOKUP($C717,COS!$B$8:$H$991,6,FALSE)</f>
        <v>1855.6585693359375</v>
      </c>
      <c r="Q717" s="26">
        <f t="shared" si="1151"/>
        <v>114.09999798230888</v>
      </c>
      <c r="R717" s="26">
        <f>MIN(IF(MONTH($C717)=4,$S$3,IF(MONTH($C717)=5,$S$4,IF(MONTH($C717)=6,$S$5,IF(MONTH($C717)=7,$S$6,"ERROR")))),MAX(VLOOKUP($C717,COS!$B$8:$K$991,10,FALSE)-IF(MONTH($C717)=4,$Y$3,IF(MONTH($C717)=5,$Y$4,IF(MONTH($C717)=6,$Y$5,IF(MONTH($C717)=7,$Y$6,"ERROR")))),0),MAX(VLOOKUP($C717,COS!$B$8:$K$991,9,FALSE)-IF(MONTH($C717)=4,$V$3,IF(MONTH($C717)=5,$V$4,IF(MONTH($C717)=6,$V$5,IF(MONTH($C717)=7,$V$6,"ERROR"))))-VLOOKUP($C717,COS!$B$8:$K$991,6,FALSE)/2,0))</f>
        <v>1500</v>
      </c>
      <c r="S717" s="26">
        <f t="shared" si="1152"/>
        <v>92.231404958677686</v>
      </c>
      <c r="T717" s="26">
        <f t="shared" si="1153"/>
        <v>169.31149549247806</v>
      </c>
      <c r="U717" s="26" t="str">
        <f>IF(VLOOKUP($C717,COS!$B$8:$I$991,8,FALSE)=1,"UWFE","IBU")</f>
        <v>UWFE</v>
      </c>
      <c r="V717" s="26">
        <f t="shared" ref="V717" si="1155">MIN(IF(IF($AA$3=2,AND(E717=1,G717=1,L717=1,L721=1,M717=1,U717="IBU"),AND(E717=1,G717=1,L717=1,L721=1,M717=1)),T717,0),I717)</f>
        <v>0</v>
      </c>
      <c r="W717" s="26"/>
      <c r="X717" s="26"/>
      <c r="Y717" s="26"/>
      <c r="Z717" s="26"/>
      <c r="AA717" s="26"/>
      <c r="AB717" s="33"/>
    </row>
    <row r="718" spans="1:28" x14ac:dyDescent="0.3">
      <c r="A718" s="32">
        <f>VLOOKUP(YEAR(C718),Flags!$A$13:$B$95,2,FALSE)</f>
        <v>2</v>
      </c>
      <c r="B718" s="24">
        <f t="shared" si="1054"/>
        <v>2000</v>
      </c>
      <c r="C718" s="25">
        <v>36707</v>
      </c>
      <c r="D718" s="26">
        <f>VLOOKUP($C718,COS!$B$8:$H$991,3,FALSE)</f>
        <v>12915.84765625</v>
      </c>
      <c r="E718" s="24">
        <f>IF(D718&gt;=IF(MONTH($C718)=4,$C$3,IF(MONTH($C718)=5,$C$4,IF(MONTH($C718)=6,$C$5,IF(MONTH($C718)=7,$C$6,"ERROR")))),1,0)</f>
        <v>1</v>
      </c>
      <c r="F718" s="26">
        <f>VLOOKUP($C718,COS!$B$8:$H$991,7,FALSE)</f>
        <v>51.933616638183594</v>
      </c>
      <c r="G718" s="24">
        <f>IF(F718&lt;=IF(MONTH($C718)=4,$F$3,IF(MONTH($C718)=5,$F$4,IF(MONTH($C718)=6,$F$5,IF(MONTH($C718)=7,$F$6,"ERROR")))),1,0)</f>
        <v>1</v>
      </c>
      <c r="H718" s="26">
        <f>IF(J718=1,D718-$C$5,0)</f>
        <v>2915.84765625</v>
      </c>
      <c r="I718" s="26">
        <f t="shared" si="1083"/>
        <v>173.50498450413224</v>
      </c>
      <c r="J718" s="24">
        <f t="shared" si="1147"/>
        <v>1</v>
      </c>
      <c r="K718" s="26">
        <f>VLOOKUP($C718,COS!$B$8:$H$991,2,FALSE)</f>
        <v>4064.68359375</v>
      </c>
      <c r="L718" s="24">
        <f t="shared" si="1148"/>
        <v>1</v>
      </c>
      <c r="M718" s="24">
        <f t="shared" si="1149"/>
        <v>0</v>
      </c>
      <c r="N718" s="26">
        <f>VLOOKUP($C718,COS!$B$8:$H$991,5,FALSE)</f>
        <v>1133.98681640625</v>
      </c>
      <c r="O718" s="26">
        <f t="shared" si="1150"/>
        <v>67.476901472107429</v>
      </c>
      <c r="P718" s="26">
        <f>VLOOKUP($C718,COS!$B$8:$H$991,6,FALSE)</f>
        <v>2300.9248046875</v>
      </c>
      <c r="Q718" s="26">
        <f t="shared" si="1151"/>
        <v>136.91453383264462</v>
      </c>
      <c r="R718" s="26">
        <f>MIN(IF(MONTH($C718)=4,$S$3,IF(MONTH($C718)=5,$S$4,IF(MONTH($C718)=6,$S$5,IF(MONTH($C718)=7,$S$6,"ERROR")))),MAX(VLOOKUP($C718,COS!$B$8:$K$991,10,FALSE)-IF(MONTH($C718)=4,$Y$3,IF(MONTH($C718)=5,$Y$4,IF(MONTH($C718)=6,$Y$5,IF(MONTH($C718)=7,$Y$6,"ERROR")))),0),MAX(VLOOKUP($C718,COS!$B$8:$K$991,9,FALSE)-IF(MONTH($C718)=4,$V$3,IF(MONTH($C718)=5,$V$4,IF(MONTH($C718)=6,$V$5,IF(MONTH($C718)=7,$V$6,"ERROR"))))-VLOOKUP($C718,COS!$B$8:$K$991,6,FALSE)/2,0))</f>
        <v>1500</v>
      </c>
      <c r="S718" s="26">
        <f t="shared" si="1152"/>
        <v>89.256198347107429</v>
      </c>
      <c r="T718" s="26">
        <f t="shared" si="1153"/>
        <v>191.45191599948345</v>
      </c>
      <c r="U718" s="26" t="str">
        <f>IF(VLOOKUP($C718,COS!$B$8:$I$991,8,FALSE)=1,"UWFE","IBU")</f>
        <v>IBU</v>
      </c>
      <c r="V718" s="26">
        <f t="shared" ref="V718" si="1156">MIN(IF(IF($AA$3=2,AND(E718=1,G718=1,L718=1,L721=1,M718=1,U718="IBU"),AND(E718=1,G718=1,L718=1,L721=1,M718=1)),T718,0),I718)</f>
        <v>0</v>
      </c>
      <c r="W718" s="26"/>
      <c r="X718" s="26"/>
      <c r="Y718" s="26"/>
      <c r="Z718" s="26"/>
      <c r="AA718" s="26"/>
      <c r="AB718" s="33"/>
    </row>
    <row r="719" spans="1:28" x14ac:dyDescent="0.3">
      <c r="A719" s="32">
        <f>VLOOKUP(YEAR(C719),Flags!$A$13:$B$95,2,FALSE)</f>
        <v>2</v>
      </c>
      <c r="B719" s="24">
        <f t="shared" ref="B719:B742" si="1157">YEAR(C719)</f>
        <v>2000</v>
      </c>
      <c r="C719" s="25">
        <v>36738</v>
      </c>
      <c r="D719" s="26">
        <f>VLOOKUP($C719,COS!$B$8:$H$991,3,FALSE)</f>
        <v>16243.5498046875</v>
      </c>
      <c r="E719" s="24">
        <f>IF(D719&gt;=IF(MONTH($C719)=4,$C$3,IF(MONTH($C719)=5,$C$4,IF(MONTH($C719)=6,$C$5,IF(MONTH($C719)=7,$C$6,"ERROR")))),1,0)</f>
        <v>1</v>
      </c>
      <c r="F719" s="26">
        <f>VLOOKUP($C719,COS!$B$8:$H$991,7,FALSE)</f>
        <v>51.968482971191406</v>
      </c>
      <c r="G719" s="24">
        <f>IF(F719&lt;=IF(MONTH($C719)=4,$F$3,IF(MONTH($C719)=5,$F$4,IF(MONTH($C719)=6,$F$5,IF(MONTH($C719)=7,$F$6,"ERROR")))),1,0)</f>
        <v>1</v>
      </c>
      <c r="H719" s="26">
        <f>IF(J719=1,D719-$C$6,0)</f>
        <v>4243.5498046875</v>
      </c>
      <c r="I719" s="26">
        <f t="shared" si="1083"/>
        <v>260.92570699896697</v>
      </c>
      <c r="J719" s="24">
        <f t="shared" si="1147"/>
        <v>1</v>
      </c>
      <c r="K719" s="26">
        <f>VLOOKUP($C719,COS!$B$8:$H$991,2,FALSE)</f>
        <v>3391.262451171875</v>
      </c>
      <c r="L719" s="24">
        <f t="shared" si="1148"/>
        <v>1</v>
      </c>
      <c r="M719" s="24">
        <f t="shared" si="1149"/>
        <v>0</v>
      </c>
      <c r="N719" s="26">
        <f>VLOOKUP($C719,COS!$B$8:$H$991,5,FALSE)</f>
        <v>1372.8363037109375</v>
      </c>
      <c r="O719" s="26">
        <f t="shared" si="1150"/>
        <v>84.412414046358478</v>
      </c>
      <c r="P719" s="26">
        <f>VLOOKUP($C719,COS!$B$8:$H$991,6,FALSE)</f>
        <v>2562.892822265625</v>
      </c>
      <c r="Q719" s="26">
        <f t="shared" si="1151"/>
        <v>157.58613717071282</v>
      </c>
      <c r="R719" s="26">
        <f>MIN(IF(MONTH($C719)=4,$S$3,IF(MONTH($C719)=5,$S$4,IF(MONTH($C719)=6,$S$5,IF(MONTH($C719)=7,$S$6,"ERROR")))),MAX(VLOOKUP($C719,COS!$B$8:$K$991,10,FALSE)-IF(MONTH($C719)=4,$Y$3,IF(MONTH($C719)=5,$Y$4,IF(MONTH($C719)=6,$Y$5,IF(MONTH($C719)=7,$Y$6,"ERROR")))),0),MAX(VLOOKUP($C719,COS!$B$8:$K$991,9,FALSE)-IF(MONTH($C719)=4,$V$3,IF(MONTH($C719)=5,$V$4,IF(MONTH($C719)=6,$V$5,IF(MONTH($C719)=7,$V$6,"ERROR"))))-VLOOKUP($C719,COS!$B$8:$K$991,6,FALSE)/2,0))</f>
        <v>1500</v>
      </c>
      <c r="S719" s="26">
        <f t="shared" si="1152"/>
        <v>92.231404958677686</v>
      </c>
      <c r="T719" s="26">
        <f t="shared" si="1153"/>
        <v>213.23068056721331</v>
      </c>
      <c r="U719" s="26" t="str">
        <f>IF(VLOOKUP($C719,COS!$B$8:$I$991,8,FALSE)=1,"UWFE","IBU")</f>
        <v>IBU</v>
      </c>
      <c r="V719" s="26">
        <f t="shared" ref="V719" si="1158">MIN(IF(IF($AA$3=2,AND(E719=1,G719=1,L719=1,L721=1,M719=1,U719="IBU"),AND(E719=1,G719=1,L719=1,L721=1,M719=1)),T719,0),I719)</f>
        <v>0</v>
      </c>
      <c r="W719" s="26"/>
      <c r="X719" s="26"/>
      <c r="Y719" s="26"/>
      <c r="Z719" s="26"/>
      <c r="AA719" s="26"/>
      <c r="AB719" s="33"/>
    </row>
    <row r="720" spans="1:28" x14ac:dyDescent="0.3">
      <c r="A720" s="32">
        <f>VLOOKUP(YEAR(C720),Flags!$A$13:$B$95,2,FALSE)</f>
        <v>2</v>
      </c>
      <c r="B720" s="24">
        <f t="shared" si="1157"/>
        <v>2000</v>
      </c>
      <c r="C720" s="25">
        <v>36769</v>
      </c>
      <c r="D720" s="26"/>
      <c r="E720" s="24"/>
      <c r="F720" s="26"/>
      <c r="G720" s="24"/>
      <c r="H720" s="24"/>
      <c r="I720" s="26"/>
      <c r="J720" s="24"/>
      <c r="K720" s="26"/>
      <c r="L720" s="24"/>
      <c r="M720" s="24"/>
      <c r="N720" s="26"/>
      <c r="O720" s="26"/>
      <c r="P720" s="26"/>
      <c r="Q720" s="26"/>
      <c r="R720" s="26"/>
      <c r="S720" s="26"/>
      <c r="T720" s="26"/>
      <c r="U720" s="26"/>
      <c r="V720" s="26"/>
      <c r="W720" s="26">
        <f>MAX($C$7-VLOOKUP($C720,COS!$B$8:$H$991,3,FALSE),0)</f>
        <v>89268.6640625</v>
      </c>
      <c r="X720" s="26">
        <f t="shared" si="1086"/>
        <v>5488.9162035123964</v>
      </c>
      <c r="Y720" s="26">
        <f>VLOOKUP($C720,COS!$B$8:$H$991,4,FALSE)</f>
        <v>0</v>
      </c>
      <c r="Z720" s="26">
        <f t="shared" si="1087"/>
        <v>0</v>
      </c>
      <c r="AA720" s="26">
        <f t="shared" ref="AA720:AA724" si="1159">MIN(W720,Y720)</f>
        <v>0</v>
      </c>
      <c r="AB720" s="33">
        <f t="shared" ref="AB720:AB742" si="1160">AA720*DAY($C720)*86400/43560/1000*IF(MONTH($C720)=8,$P$3,IF(MONTH($C720)=9,$P$4,IF(MONTH($C720)=10,$P$5,IF(MONTH($C720)=11,$P$6,IF(MONTH($C720)=12,$P$7,NA())))))</f>
        <v>0</v>
      </c>
    </row>
    <row r="721" spans="1:28" x14ac:dyDescent="0.3">
      <c r="A721" s="32">
        <f>VLOOKUP(YEAR(C721),Flags!$A$13:$B$95,2,FALSE)</f>
        <v>2</v>
      </c>
      <c r="B721" s="24">
        <f t="shared" si="1157"/>
        <v>2000</v>
      </c>
      <c r="C721" s="25">
        <v>36799</v>
      </c>
      <c r="D721" s="26"/>
      <c r="E721" s="24"/>
      <c r="F721" s="26"/>
      <c r="G721" s="24"/>
      <c r="H721" s="24"/>
      <c r="I721" s="26"/>
      <c r="J721" s="24"/>
      <c r="K721" s="26">
        <f>VLOOKUP($C721,COS!$B$8:$H$991,2,FALSE)</f>
        <v>2897.057861328125</v>
      </c>
      <c r="L721" s="24">
        <f t="shared" ref="L721" si="1161">IF(AND(K721&gt;$I$7,K721&lt;$I$8),1,0)</f>
        <v>1</v>
      </c>
      <c r="M721" s="24"/>
      <c r="N721" s="26"/>
      <c r="O721" s="26"/>
      <c r="P721" s="26"/>
      <c r="Q721" s="26"/>
      <c r="R721" s="26"/>
      <c r="S721" s="26"/>
      <c r="T721" s="26"/>
      <c r="U721" s="26"/>
      <c r="V721" s="26"/>
      <c r="W721" s="26">
        <f>MAX($C$8-VLOOKUP($C721,COS!$B$8:$H$991,3,FALSE),0)</f>
        <v>89757.765625</v>
      </c>
      <c r="X721" s="26">
        <f t="shared" si="1086"/>
        <v>5340.9579545454544</v>
      </c>
      <c r="Y721" s="26">
        <f>VLOOKUP($C721,COS!$B$8:$H$991,4,FALSE)</f>
        <v>0</v>
      </c>
      <c r="Z721" s="26">
        <f t="shared" si="1087"/>
        <v>0</v>
      </c>
      <c r="AA721" s="26">
        <f t="shared" si="1159"/>
        <v>0</v>
      </c>
      <c r="AB721" s="33">
        <f t="shared" si="1160"/>
        <v>0</v>
      </c>
    </row>
    <row r="722" spans="1:28" x14ac:dyDescent="0.3">
      <c r="A722" s="32">
        <f>VLOOKUP(YEAR(C722),Flags!$A$13:$B$95,2,FALSE)</f>
        <v>2</v>
      </c>
      <c r="B722" s="24">
        <f t="shared" si="1157"/>
        <v>2000</v>
      </c>
      <c r="C722" s="25">
        <v>36830</v>
      </c>
      <c r="D722" s="26"/>
      <c r="E722" s="24"/>
      <c r="F722" s="26"/>
      <c r="G722" s="26"/>
      <c r="H722" s="26"/>
      <c r="I722" s="26"/>
      <c r="J722" s="26"/>
      <c r="K722" s="26"/>
      <c r="L722" s="24"/>
      <c r="M722" s="24"/>
      <c r="N722" s="26"/>
      <c r="O722" s="26"/>
      <c r="P722" s="26"/>
      <c r="Q722" s="26"/>
      <c r="R722" s="26"/>
      <c r="S722" s="26"/>
      <c r="T722" s="26"/>
      <c r="U722" s="26"/>
      <c r="V722" s="26"/>
      <c r="W722" s="26">
        <f>MAX($C$9-VLOOKUP($C722,COS!$B$8:$H$991,3,FALSE),0)</f>
        <v>91791.708984375</v>
      </c>
      <c r="X722" s="26">
        <f t="shared" si="1086"/>
        <v>5644.0521887913228</v>
      </c>
      <c r="Y722" s="26">
        <f>VLOOKUP($C722,COS!$B$8:$H$991,4,FALSE)</f>
        <v>877.78619384765625</v>
      </c>
      <c r="Z722" s="26">
        <f t="shared" si="1087"/>
        <v>53.972969274599684</v>
      </c>
      <c r="AA722" s="26">
        <f t="shared" si="1159"/>
        <v>877.78619384765625</v>
      </c>
      <c r="AB722" s="33">
        <f t="shared" si="1160"/>
        <v>53.972969274599684</v>
      </c>
    </row>
    <row r="723" spans="1:28" x14ac:dyDescent="0.3">
      <c r="A723" s="32">
        <f>VLOOKUP(YEAR(C723),Flags!$A$13:$B$95,2,FALSE)</f>
        <v>2</v>
      </c>
      <c r="B723" s="24">
        <f t="shared" si="1157"/>
        <v>2000</v>
      </c>
      <c r="C723" s="25">
        <v>36860</v>
      </c>
      <c r="D723" s="26"/>
      <c r="E723" s="24"/>
      <c r="F723" s="26"/>
      <c r="G723" s="26"/>
      <c r="H723" s="26"/>
      <c r="I723" s="26"/>
      <c r="J723" s="26"/>
      <c r="K723" s="26"/>
      <c r="L723" s="24"/>
      <c r="M723" s="24"/>
      <c r="N723" s="26"/>
      <c r="O723" s="26"/>
      <c r="P723" s="26"/>
      <c r="Q723" s="26"/>
      <c r="R723" s="26"/>
      <c r="S723" s="26"/>
      <c r="T723" s="26"/>
      <c r="U723" s="26"/>
      <c r="V723" s="26"/>
      <c r="W723" s="26">
        <f>MAX($C$10-VLOOKUP($C723,COS!$B$8:$H$991,3,FALSE),0)</f>
        <v>88170.9169921875</v>
      </c>
      <c r="X723" s="26">
        <f t="shared" si="1086"/>
        <v>5246.5339036673549</v>
      </c>
      <c r="Y723" s="26">
        <f>VLOOKUP($C723,COS!$B$8:$H$991,4,FALSE)</f>
        <v>1047.9903564453125</v>
      </c>
      <c r="Z723" s="26">
        <f t="shared" si="1087"/>
        <v>62.359756747159089</v>
      </c>
      <c r="AA723" s="26">
        <f t="shared" si="1159"/>
        <v>1047.9903564453125</v>
      </c>
      <c r="AB723" s="33">
        <f t="shared" si="1160"/>
        <v>31.179878373579545</v>
      </c>
    </row>
    <row r="724" spans="1:28" x14ac:dyDescent="0.3">
      <c r="A724" s="34">
        <f>VLOOKUP(YEAR(C724),Flags!$A$13:$B$95,2,FALSE)</f>
        <v>2</v>
      </c>
      <c r="B724" s="35">
        <f t="shared" si="1157"/>
        <v>2000</v>
      </c>
      <c r="C724" s="36">
        <v>36891</v>
      </c>
      <c r="D724" s="37"/>
      <c r="E724" s="35"/>
      <c r="F724" s="37"/>
      <c r="G724" s="37"/>
      <c r="H724" s="37"/>
      <c r="I724" s="37"/>
      <c r="J724" s="37"/>
      <c r="K724" s="37"/>
      <c r="L724" s="35"/>
      <c r="M724" s="35"/>
      <c r="N724" s="37"/>
      <c r="O724" s="37"/>
      <c r="P724" s="37"/>
      <c r="Q724" s="37"/>
      <c r="R724" s="37"/>
      <c r="S724" s="37"/>
      <c r="T724" s="37"/>
      <c r="U724" s="37"/>
      <c r="V724" s="37"/>
      <c r="W724" s="37">
        <f>MAX($C$11-VLOOKUP($C724,COS!$B$8:$H$991,3,FALSE),0)</f>
        <v>0</v>
      </c>
      <c r="X724" s="37">
        <f t="shared" si="1086"/>
        <v>0</v>
      </c>
      <c r="Y724" s="37">
        <f>VLOOKUP($C724,COS!$B$8:$H$991,4,FALSE)</f>
        <v>1045.7059326171875</v>
      </c>
      <c r="Z724" s="37">
        <f t="shared" si="1087"/>
        <v>64.297951559271695</v>
      </c>
      <c r="AA724" s="37">
        <f t="shared" si="1159"/>
        <v>0</v>
      </c>
      <c r="AB724" s="38">
        <f t="shared" si="1160"/>
        <v>0</v>
      </c>
    </row>
    <row r="725" spans="1:28" x14ac:dyDescent="0.3">
      <c r="A725" s="27">
        <f>VLOOKUP(YEAR(C725),Flags!$A$13:$B$95,2,FALSE)</f>
        <v>4</v>
      </c>
      <c r="B725" s="28">
        <f t="shared" si="1157"/>
        <v>2001</v>
      </c>
      <c r="C725" s="29">
        <v>37011</v>
      </c>
      <c r="D725" s="30">
        <f>VLOOKUP($C725,COS!$B$8:$H$991,3,FALSE)</f>
        <v>3250</v>
      </c>
      <c r="E725" s="28">
        <f>IF(D725&gt;=IF(MONTH($C725)=4,$C$3,IF(MONTH($C725)=5,$C$4,IF(MONTH($C725)=6,$C$5,IF(MONTH($C725)=7,$C$6,"ERROR")))),1,0)</f>
        <v>0</v>
      </c>
      <c r="F725" s="30">
        <f>VLOOKUP($C725,COS!$B$8:$H$991,7,FALSE)</f>
        <v>51.856029510498047</v>
      </c>
      <c r="G725" s="28">
        <f>IF(F725&lt;=IF(MONTH($C725)=4,$F$3,IF(MONTH($C725)=5,$F$4,IF(MONTH($C725)=6,$F$5,IF(MONTH($C725)=7,$F$6,"ERROR")))),1,0)</f>
        <v>1</v>
      </c>
      <c r="H725" s="30">
        <f>IF(J725=1,D725-$C$3,0)</f>
        <v>0</v>
      </c>
      <c r="I725" s="30">
        <f t="shared" si="1083"/>
        <v>0</v>
      </c>
      <c r="J725" s="28">
        <f t="shared" ref="J725:J728" si="1162">IF(AND(E725=1,G725=1),1,0)</f>
        <v>0</v>
      </c>
      <c r="K725" s="30">
        <f>VLOOKUP($C725,COS!$B$8:$H$991,2,FALSE)</f>
        <v>3754.83837890625</v>
      </c>
      <c r="L725" s="28">
        <f t="shared" ref="L725" si="1163">IF(K725&lt;=IF(MONTH($C725)=4,$I$3,IF(MONTH($C725)=5,$I$4,IF(MONTH($C725)=6,$I$5,IF(MONTH($C725)=7,$I$6,"ERROR")))),1,0)</f>
        <v>1</v>
      </c>
      <c r="M725" s="28">
        <f t="shared" ref="M725" si="1164">VLOOKUP($A725,$L$3:$M$7,2,FALSE)</f>
        <v>1</v>
      </c>
      <c r="N725" s="30">
        <f>VLOOKUP($C725,COS!$B$8:$H$991,5,FALSE)</f>
        <v>153.87185668945313</v>
      </c>
      <c r="O725" s="30">
        <f t="shared" ref="O725:O728" si="1165">N725*DAY($C725)*86400/43560/1000</f>
        <v>9.1560113071410125</v>
      </c>
      <c r="P725" s="30">
        <f>VLOOKUP($C725,COS!$B$8:$H$991,6,FALSE)</f>
        <v>425.27017211914063</v>
      </c>
      <c r="Q725" s="30">
        <f t="shared" ref="Q725:Q728" si="1166">P725*DAY($C725)*86400/43560/1000</f>
        <v>25.305332555849692</v>
      </c>
      <c r="R725" s="30">
        <f>MIN(IF(MONTH($C725)=4,$S$3,IF(MONTH($C725)=5,$S$4,IF(MONTH($C725)=6,$S$5,IF(MONTH($C725)=7,$S$6,"ERROR")))),MAX(VLOOKUP($C725,COS!$B$8:$K$991,10,FALSE)-IF(MONTH($C725)=4,$Y$3,IF(MONTH($C725)=5,$Y$4,IF(MONTH($C725)=6,$Y$5,IF(MONTH($C725)=7,$Y$6,"ERROR")))),0),MAX(VLOOKUP($C725,COS!$B$8:$K$991,9,FALSE)-IF(MONTH($C725)=4,$V$3,IF(MONTH($C725)=5,$V$4,IF(MONTH($C725)=6,$V$5,IF(MONTH($C725)=7,$V$6,"ERROR"))))-VLOOKUP($C725,COS!$B$8:$K$991,6,FALSE)/2,0))</f>
        <v>1418.6572265625</v>
      </c>
      <c r="S725" s="30">
        <f t="shared" ref="S725:S728" si="1167">R725*DAY($C725)*86400/43560/1000</f>
        <v>84.415967200413235</v>
      </c>
      <c r="T725" s="30">
        <f t="shared" ref="T725:T728" si="1168">(O725+Q725)/2+S725</f>
        <v>101.64663913190859</v>
      </c>
      <c r="U725" s="30" t="str">
        <f>IF(VLOOKUP($C725,COS!$B$8:$I$991,8,FALSE)=1,"UWFE","IBU")</f>
        <v>UWFE</v>
      </c>
      <c r="V725" s="30">
        <f t="shared" ref="V725" si="1169">MIN(IF(IF($AA$3=2,AND(E725=1,G725=1,L725=1,L730=1,M725=1,U725="IBU"),AND(E725=1,G725=1,L725=1,L730=1,M725=1)),T725,0),I725)</f>
        <v>0</v>
      </c>
      <c r="W725" s="30"/>
      <c r="X725" s="30"/>
      <c r="Y725" s="30"/>
      <c r="Z725" s="30"/>
      <c r="AA725" s="30"/>
      <c r="AB725" s="31"/>
    </row>
    <row r="726" spans="1:28" x14ac:dyDescent="0.3">
      <c r="A726" s="32">
        <f>VLOOKUP(YEAR(C726),Flags!$A$13:$B$95,2,FALSE)</f>
        <v>4</v>
      </c>
      <c r="B726" s="24">
        <f t="shared" si="1157"/>
        <v>2001</v>
      </c>
      <c r="C726" s="25">
        <v>37042</v>
      </c>
      <c r="D726" s="26">
        <f>VLOOKUP($C726,COS!$B$8:$H$991,3,FALSE)</f>
        <v>9349.091796875</v>
      </c>
      <c r="E726" s="24">
        <f>IF(D726&gt;=IF(MONTH($C726)=4,$C$3,IF(MONTH($C726)=5,$C$4,IF(MONTH($C726)=6,$C$5,IF(MONTH($C726)=7,$C$6,"ERROR")))),1,0)</f>
        <v>1</v>
      </c>
      <c r="F726" s="26">
        <f>VLOOKUP($C726,COS!$B$8:$H$991,7,FALSE)</f>
        <v>51.669788360595703</v>
      </c>
      <c r="G726" s="24">
        <f>IF(F726&lt;=IF(MONTH($C726)=4,$F$3,IF(MONTH($C726)=5,$F$4,IF(MONTH($C726)=6,$F$5,IF(MONTH($C726)=7,$F$6,"ERROR")))),1,0)</f>
        <v>1</v>
      </c>
      <c r="H726" s="26">
        <f>IF(J726=1,D726-$C$4,0)</f>
        <v>3349.091796875</v>
      </c>
      <c r="I726" s="26">
        <f t="shared" si="1083"/>
        <v>205.92762784090908</v>
      </c>
      <c r="J726" s="24">
        <f t="shared" si="1162"/>
        <v>1</v>
      </c>
      <c r="K726" s="26">
        <f>VLOOKUP($C726,COS!$B$8:$H$991,2,FALSE)</f>
        <v>3513.1181640625</v>
      </c>
      <c r="L726" s="24">
        <f t="shared" si="1148"/>
        <v>1</v>
      </c>
      <c r="M726" s="24">
        <f t="shared" si="1149"/>
        <v>1</v>
      </c>
      <c r="N726" s="26">
        <f>VLOOKUP($C726,COS!$B$8:$H$991,5,FALSE)</f>
        <v>131.51080322265625</v>
      </c>
      <c r="O726" s="26">
        <f t="shared" si="1165"/>
        <v>8.0862840989798546</v>
      </c>
      <c r="P726" s="26">
        <f>VLOOKUP($C726,COS!$B$8:$H$991,6,FALSE)</f>
        <v>2330.0556640625</v>
      </c>
      <c r="Q726" s="26">
        <f t="shared" si="1166"/>
        <v>143.26953835227275</v>
      </c>
      <c r="R726" s="26">
        <f>MIN(IF(MONTH($C726)=4,$S$3,IF(MONTH($C726)=5,$S$4,IF(MONTH($C726)=6,$S$5,IF(MONTH($C726)=7,$S$6,"ERROR")))),MAX(VLOOKUP($C726,COS!$B$8:$K$991,10,FALSE)-IF(MONTH($C726)=4,$Y$3,IF(MONTH($C726)=5,$Y$4,IF(MONTH($C726)=6,$Y$5,IF(MONTH($C726)=7,$Y$6,"ERROR")))),0),MAX(VLOOKUP($C726,COS!$B$8:$K$991,9,FALSE)-IF(MONTH($C726)=4,$V$3,IF(MONTH($C726)=5,$V$4,IF(MONTH($C726)=6,$V$5,IF(MONTH($C726)=7,$V$6,"ERROR"))))-VLOOKUP($C726,COS!$B$8:$K$991,6,FALSE)/2,0))</f>
        <v>1500</v>
      </c>
      <c r="S726" s="26">
        <f t="shared" si="1167"/>
        <v>92.231404958677686</v>
      </c>
      <c r="T726" s="26">
        <f t="shared" si="1168"/>
        <v>167.90931618430398</v>
      </c>
      <c r="U726" s="26" t="str">
        <f>IF(VLOOKUP($C726,COS!$B$8:$I$991,8,FALSE)=1,"UWFE","IBU")</f>
        <v>IBU</v>
      </c>
      <c r="V726" s="26">
        <f t="shared" ref="V726" si="1170">MIN(IF(IF($AA$3=2,AND(E726=1,G726=1,L726=1,L730=1,M726=1,U726="IBU"),AND(E726=1,G726=1,L726=1,L730=1,M726=1)),T726,0),I726)</f>
        <v>167.90931618430398</v>
      </c>
      <c r="W726" s="26"/>
      <c r="X726" s="26"/>
      <c r="Y726" s="26"/>
      <c r="Z726" s="26"/>
      <c r="AA726" s="26"/>
      <c r="AB726" s="33"/>
    </row>
    <row r="727" spans="1:28" x14ac:dyDescent="0.3">
      <c r="A727" s="32">
        <f>VLOOKUP(YEAR(C727),Flags!$A$13:$B$95,2,FALSE)</f>
        <v>4</v>
      </c>
      <c r="B727" s="24">
        <f t="shared" si="1157"/>
        <v>2001</v>
      </c>
      <c r="C727" s="25">
        <v>37072</v>
      </c>
      <c r="D727" s="26">
        <f>VLOOKUP($C727,COS!$B$8:$H$991,3,FALSE)</f>
        <v>13580.42578125</v>
      </c>
      <c r="E727" s="24">
        <f>IF(D727&gt;=IF(MONTH($C727)=4,$C$3,IF(MONTH($C727)=5,$C$4,IF(MONTH($C727)=6,$C$5,IF(MONTH($C727)=7,$C$6,"ERROR")))),1,0)</f>
        <v>1</v>
      </c>
      <c r="F727" s="26">
        <f>VLOOKUP($C727,COS!$B$8:$H$991,7,FALSE)</f>
        <v>52.129489898681641</v>
      </c>
      <c r="G727" s="24">
        <f>IF(F727&lt;=IF(MONTH($C727)=4,$F$3,IF(MONTH($C727)=5,$F$4,IF(MONTH($C727)=6,$F$5,IF(MONTH($C727)=7,$F$6,"ERROR")))),1,0)</f>
        <v>1</v>
      </c>
      <c r="H727" s="26">
        <f>IF(J727=1,D727-$C$5,0)</f>
        <v>3580.42578125</v>
      </c>
      <c r="I727" s="26">
        <f t="shared" si="1083"/>
        <v>213.0501291322314</v>
      </c>
      <c r="J727" s="24">
        <f t="shared" si="1162"/>
        <v>1</v>
      </c>
      <c r="K727" s="26">
        <f>VLOOKUP($C727,COS!$B$8:$H$991,2,FALSE)</f>
        <v>3084.426025390625</v>
      </c>
      <c r="L727" s="24">
        <f t="shared" si="1148"/>
        <v>1</v>
      </c>
      <c r="M727" s="24">
        <f t="shared" si="1149"/>
        <v>1</v>
      </c>
      <c r="N727" s="26">
        <f>VLOOKUP($C727,COS!$B$8:$H$991,5,FALSE)</f>
        <v>341.73458862304688</v>
      </c>
      <c r="O727" s="26">
        <f t="shared" si="1165"/>
        <v>20.334620149470556</v>
      </c>
      <c r="P727" s="26">
        <f>VLOOKUP($C727,COS!$B$8:$H$991,6,FALSE)</f>
        <v>2635.120849609375</v>
      </c>
      <c r="Q727" s="26">
        <f t="shared" si="1166"/>
        <v>156.80057948088844</v>
      </c>
      <c r="R727" s="26">
        <f>MIN(IF(MONTH($C727)=4,$S$3,IF(MONTH($C727)=5,$S$4,IF(MONTH($C727)=6,$S$5,IF(MONTH($C727)=7,$S$6,"ERROR")))),MAX(VLOOKUP($C727,COS!$B$8:$K$991,10,FALSE)-IF(MONTH($C727)=4,$Y$3,IF(MONTH($C727)=5,$Y$4,IF(MONTH($C727)=6,$Y$5,IF(MONTH($C727)=7,$Y$6,"ERROR")))),0),MAX(VLOOKUP($C727,COS!$B$8:$K$991,9,FALSE)-IF(MONTH($C727)=4,$V$3,IF(MONTH($C727)=5,$V$4,IF(MONTH($C727)=6,$V$5,IF(MONTH($C727)=7,$V$6,"ERROR"))))-VLOOKUP($C727,COS!$B$8:$K$991,6,FALSE)/2,0))</f>
        <v>1500</v>
      </c>
      <c r="S727" s="26">
        <f t="shared" si="1167"/>
        <v>89.256198347107429</v>
      </c>
      <c r="T727" s="26">
        <f t="shared" si="1168"/>
        <v>177.82379816228695</v>
      </c>
      <c r="U727" s="26" t="str">
        <f>IF(VLOOKUP($C727,COS!$B$8:$I$991,8,FALSE)=1,"UWFE","IBU")</f>
        <v>IBU</v>
      </c>
      <c r="V727" s="26">
        <f t="shared" ref="V727" si="1171">MIN(IF(IF($AA$3=2,AND(E727=1,G727=1,L727=1,L730=1,M727=1,U727="IBU"),AND(E727=1,G727=1,L727=1,L730=1,M727=1)),T727,0),I727)</f>
        <v>177.82379816228695</v>
      </c>
      <c r="W727" s="26"/>
      <c r="X727" s="26"/>
      <c r="Y727" s="26"/>
      <c r="Z727" s="26"/>
      <c r="AA727" s="26"/>
      <c r="AB727" s="33"/>
    </row>
    <row r="728" spans="1:28" x14ac:dyDescent="0.3">
      <c r="A728" s="32">
        <f>VLOOKUP(YEAR(C728),Flags!$A$13:$B$95,2,FALSE)</f>
        <v>4</v>
      </c>
      <c r="B728" s="24">
        <f t="shared" si="1157"/>
        <v>2001</v>
      </c>
      <c r="C728" s="25">
        <v>37103</v>
      </c>
      <c r="D728" s="26">
        <f>VLOOKUP($C728,COS!$B$8:$H$991,3,FALSE)</f>
        <v>11758.25</v>
      </c>
      <c r="E728" s="24">
        <f>IF(D728&gt;=IF(MONTH($C728)=4,$C$3,IF(MONTH($C728)=5,$C$4,IF(MONTH($C728)=6,$C$5,IF(MONTH($C728)=7,$C$6,"ERROR")))),1,0)</f>
        <v>0</v>
      </c>
      <c r="F728" s="26">
        <f>VLOOKUP($C728,COS!$B$8:$H$991,7,FALSE)</f>
        <v>54.356548309326172</v>
      </c>
      <c r="G728" s="24">
        <f>IF(F728&lt;=IF(MONTH($C728)=4,$F$3,IF(MONTH($C728)=5,$F$4,IF(MONTH($C728)=6,$F$5,IF(MONTH($C728)=7,$F$6,"ERROR")))),1,0)</f>
        <v>0</v>
      </c>
      <c r="H728" s="26">
        <f>IF(J728=1,D728-$C$6,0)</f>
        <v>0</v>
      </c>
      <c r="I728" s="26">
        <f t="shared" si="1083"/>
        <v>0</v>
      </c>
      <c r="J728" s="24">
        <f t="shared" si="1162"/>
        <v>0</v>
      </c>
      <c r="K728" s="26">
        <f>VLOOKUP($C728,COS!$B$8:$H$991,2,FALSE)</f>
        <v>2758.937255859375</v>
      </c>
      <c r="L728" s="24">
        <f t="shared" si="1148"/>
        <v>1</v>
      </c>
      <c r="M728" s="24">
        <f t="shared" si="1149"/>
        <v>1</v>
      </c>
      <c r="N728" s="26">
        <f>VLOOKUP($C728,COS!$B$8:$H$991,5,FALSE)</f>
        <v>395.15768432617188</v>
      </c>
      <c r="O728" s="26">
        <f t="shared" si="1165"/>
        <v>24.297298937080321</v>
      </c>
      <c r="P728" s="26">
        <f>VLOOKUP($C728,COS!$B$8:$H$991,6,FALSE)</f>
        <v>2538.07568359375</v>
      </c>
      <c r="Q728" s="26">
        <f t="shared" si="1166"/>
        <v>156.06019079287191</v>
      </c>
      <c r="R728" s="26">
        <f>MIN(IF(MONTH($C728)=4,$S$3,IF(MONTH($C728)=5,$S$4,IF(MONTH($C728)=6,$S$5,IF(MONTH($C728)=7,$S$6,"ERROR")))),MAX(VLOOKUP($C728,COS!$B$8:$K$991,10,FALSE)-IF(MONTH($C728)=4,$Y$3,IF(MONTH($C728)=5,$Y$4,IF(MONTH($C728)=6,$Y$5,IF(MONTH($C728)=7,$Y$6,"ERROR")))),0),MAX(VLOOKUP($C728,COS!$B$8:$K$991,9,FALSE)-IF(MONTH($C728)=4,$V$3,IF(MONTH($C728)=5,$V$4,IF(MONTH($C728)=6,$V$5,IF(MONTH($C728)=7,$V$6,"ERROR"))))-VLOOKUP($C728,COS!$B$8:$K$991,6,FALSE)/2,0))</f>
        <v>1500</v>
      </c>
      <c r="S728" s="26">
        <f t="shared" si="1167"/>
        <v>92.231404958677686</v>
      </c>
      <c r="T728" s="26">
        <f t="shared" si="1168"/>
        <v>182.4101498236538</v>
      </c>
      <c r="U728" s="26" t="str">
        <f>IF(VLOOKUP($C728,COS!$B$8:$I$991,8,FALSE)=1,"UWFE","IBU")</f>
        <v>IBU</v>
      </c>
      <c r="V728" s="26">
        <f t="shared" ref="V728" si="1172">MIN(IF(IF($AA$3=2,AND(E728=1,G728=1,L728=1,L730=1,M728=1,U728="IBU"),AND(E728=1,G728=1,L728=1,L730=1,M728=1)),T728,0),I728)</f>
        <v>0</v>
      </c>
      <c r="W728" s="26"/>
      <c r="X728" s="26"/>
      <c r="Y728" s="26"/>
      <c r="Z728" s="26"/>
      <c r="AA728" s="26"/>
      <c r="AB728" s="33"/>
    </row>
    <row r="729" spans="1:28" x14ac:dyDescent="0.3">
      <c r="A729" s="32">
        <f>VLOOKUP(YEAR(C729),Flags!$A$13:$B$95,2,FALSE)</f>
        <v>4</v>
      </c>
      <c r="B729" s="24">
        <f t="shared" si="1157"/>
        <v>2001</v>
      </c>
      <c r="C729" s="25">
        <v>37134</v>
      </c>
      <c r="D729" s="26"/>
      <c r="E729" s="24"/>
      <c r="F729" s="26"/>
      <c r="G729" s="24"/>
      <c r="H729" s="24"/>
      <c r="I729" s="26"/>
      <c r="J729" s="24"/>
      <c r="K729" s="26"/>
      <c r="L729" s="24"/>
      <c r="M729" s="24"/>
      <c r="N729" s="26"/>
      <c r="O729" s="26"/>
      <c r="P729" s="26"/>
      <c r="Q729" s="26"/>
      <c r="R729" s="26"/>
      <c r="S729" s="26"/>
      <c r="T729" s="26"/>
      <c r="U729" s="26"/>
      <c r="V729" s="26"/>
      <c r="W729" s="26">
        <f>MAX($C$7-VLOOKUP($C729,COS!$B$8:$H$991,3,FALSE),0)</f>
        <v>92242.5517578125</v>
      </c>
      <c r="X729" s="26">
        <f t="shared" si="1086"/>
        <v>5671.7734303977277</v>
      </c>
      <c r="Y729" s="26">
        <f>VLOOKUP($C729,COS!$B$8:$H$991,4,FALSE)</f>
        <v>2668.290283203125</v>
      </c>
      <c r="Z729" s="26">
        <f t="shared" si="1087"/>
        <v>164.06677443827479</v>
      </c>
      <c r="AA729" s="26">
        <f t="shared" ref="AA729:AA733" si="1173">MIN(W729,Y729)</f>
        <v>2668.290283203125</v>
      </c>
      <c r="AB729" s="33">
        <f t="shared" ref="AB729" si="1174">AA729*DAY($C729)*86400/43560/1000*IF(MONTH($C729)=8,$P$3,IF(MONTH($C729)=9,$P$4,IF(MONTH($C729)=10,$P$5,IF(MONTH($C729)=11,$P$6,IF(MONTH($C729)=12,$P$7,NA())))))</f>
        <v>164.06677443827479</v>
      </c>
    </row>
    <row r="730" spans="1:28" x14ac:dyDescent="0.3">
      <c r="A730" s="32">
        <f>VLOOKUP(YEAR(C730),Flags!$A$13:$B$95,2,FALSE)</f>
        <v>4</v>
      </c>
      <c r="B730" s="24">
        <f t="shared" si="1157"/>
        <v>2001</v>
      </c>
      <c r="C730" s="25">
        <v>37164</v>
      </c>
      <c r="D730" s="26"/>
      <c r="E730" s="24"/>
      <c r="F730" s="26"/>
      <c r="G730" s="24"/>
      <c r="H730" s="24"/>
      <c r="I730" s="26"/>
      <c r="J730" s="24"/>
      <c r="K730" s="26">
        <f>VLOOKUP($C730,COS!$B$8:$H$991,2,FALSE)</f>
        <v>2536.139892578125</v>
      </c>
      <c r="L730" s="24">
        <f t="shared" ref="L730" si="1175">IF(AND(K730&gt;$I$7,K730&lt;$I$8),1,0)</f>
        <v>1</v>
      </c>
      <c r="M730" s="24"/>
      <c r="N730" s="26"/>
      <c r="O730" s="26"/>
      <c r="P730" s="26"/>
      <c r="Q730" s="26"/>
      <c r="R730" s="26"/>
      <c r="S730" s="26"/>
      <c r="T730" s="26"/>
      <c r="U730" s="26"/>
      <c r="V730" s="26"/>
      <c r="W730" s="26">
        <f>MAX($C$8-VLOOKUP($C730,COS!$B$8:$H$991,3,FALSE),0)</f>
        <v>94657.2197265625</v>
      </c>
      <c r="X730" s="26">
        <f t="shared" si="1086"/>
        <v>5632.4957192665288</v>
      </c>
      <c r="Y730" s="26">
        <f>VLOOKUP($C730,COS!$B$8:$H$991,4,FALSE)</f>
        <v>1212.2628173828125</v>
      </c>
      <c r="Z730" s="26">
        <f t="shared" si="1087"/>
        <v>72.134646984762398</v>
      </c>
      <c r="AA730" s="26">
        <f t="shared" si="1173"/>
        <v>1212.2628173828125</v>
      </c>
      <c r="AB730" s="33">
        <f t="shared" si="1160"/>
        <v>72.134646984762398</v>
      </c>
    </row>
    <row r="731" spans="1:28" x14ac:dyDescent="0.3">
      <c r="A731" s="32">
        <f>VLOOKUP(YEAR(C731),Flags!$A$13:$B$95,2,FALSE)</f>
        <v>4</v>
      </c>
      <c r="B731" s="24">
        <f t="shared" si="1157"/>
        <v>2001</v>
      </c>
      <c r="C731" s="25">
        <v>37195</v>
      </c>
      <c r="D731" s="26"/>
      <c r="E731" s="24"/>
      <c r="F731" s="26"/>
      <c r="G731" s="26"/>
      <c r="H731" s="26"/>
      <c r="I731" s="26"/>
      <c r="J731" s="26"/>
      <c r="K731" s="26"/>
      <c r="L731" s="24"/>
      <c r="M731" s="24"/>
      <c r="N731" s="26"/>
      <c r="O731" s="26"/>
      <c r="P731" s="26"/>
      <c r="Q731" s="26"/>
      <c r="R731" s="26"/>
      <c r="S731" s="26"/>
      <c r="T731" s="26"/>
      <c r="U731" s="26"/>
      <c r="V731" s="26"/>
      <c r="W731" s="26">
        <f>MAX($C$9-VLOOKUP($C731,COS!$B$8:$H$991,3,FALSE),0)</f>
        <v>91063.4443359375</v>
      </c>
      <c r="X731" s="26">
        <f t="shared" si="1086"/>
        <v>5599.2729409865697</v>
      </c>
      <c r="Y731" s="26">
        <f>VLOOKUP($C731,COS!$B$8:$H$991,4,FALSE)</f>
        <v>1937.2271728515625</v>
      </c>
      <c r="Z731" s="26">
        <f t="shared" si="1087"/>
        <v>119.11545591748451</v>
      </c>
      <c r="AA731" s="26">
        <f t="shared" si="1173"/>
        <v>1937.2271728515625</v>
      </c>
      <c r="AB731" s="33">
        <f t="shared" si="1160"/>
        <v>119.11545591748451</v>
      </c>
    </row>
    <row r="732" spans="1:28" x14ac:dyDescent="0.3">
      <c r="A732" s="32">
        <f>VLOOKUP(YEAR(C732),Flags!$A$13:$B$95,2,FALSE)</f>
        <v>4</v>
      </c>
      <c r="B732" s="24">
        <f t="shared" si="1157"/>
        <v>2001</v>
      </c>
      <c r="C732" s="25">
        <v>37225</v>
      </c>
      <c r="D732" s="26"/>
      <c r="E732" s="24"/>
      <c r="F732" s="26"/>
      <c r="G732" s="26"/>
      <c r="H732" s="26"/>
      <c r="I732" s="26"/>
      <c r="J732" s="26"/>
      <c r="K732" s="26"/>
      <c r="L732" s="24"/>
      <c r="M732" s="24"/>
      <c r="N732" s="26"/>
      <c r="O732" s="26"/>
      <c r="P732" s="26"/>
      <c r="Q732" s="26"/>
      <c r="R732" s="26"/>
      <c r="S732" s="26"/>
      <c r="T732" s="26"/>
      <c r="U732" s="26"/>
      <c r="V732" s="26"/>
      <c r="W732" s="26">
        <f>MAX($C$10-VLOOKUP($C732,COS!$B$8:$H$991,3,FALSE),0)</f>
        <v>96749</v>
      </c>
      <c r="X732" s="26">
        <f t="shared" si="1086"/>
        <v>5756.965289256198</v>
      </c>
      <c r="Y732" s="26">
        <f>VLOOKUP($C732,COS!$B$8:$H$991,4,FALSE)</f>
        <v>1367.04638671875</v>
      </c>
      <c r="Z732" s="26">
        <f t="shared" si="1087"/>
        <v>81.344908961776866</v>
      </c>
      <c r="AA732" s="26">
        <f t="shared" si="1173"/>
        <v>1367.04638671875</v>
      </c>
      <c r="AB732" s="33">
        <f t="shared" si="1160"/>
        <v>40.672454480888433</v>
      </c>
    </row>
    <row r="733" spans="1:28" x14ac:dyDescent="0.3">
      <c r="A733" s="34">
        <f>VLOOKUP(YEAR(C733),Flags!$A$13:$B$95,2,FALSE)</f>
        <v>4</v>
      </c>
      <c r="B733" s="35">
        <f t="shared" si="1157"/>
        <v>2001</v>
      </c>
      <c r="C733" s="36">
        <v>37256</v>
      </c>
      <c r="D733" s="37"/>
      <c r="E733" s="35"/>
      <c r="F733" s="37"/>
      <c r="G733" s="37"/>
      <c r="H733" s="37"/>
      <c r="I733" s="37"/>
      <c r="J733" s="37"/>
      <c r="K733" s="37"/>
      <c r="L733" s="35"/>
      <c r="M733" s="35"/>
      <c r="N733" s="37"/>
      <c r="O733" s="37"/>
      <c r="P733" s="37"/>
      <c r="Q733" s="37"/>
      <c r="R733" s="37"/>
      <c r="S733" s="37"/>
      <c r="T733" s="37"/>
      <c r="U733" s="37"/>
      <c r="V733" s="37"/>
      <c r="W733" s="37">
        <f>MAX($C$11-VLOOKUP($C733,COS!$B$8:$H$991,3,FALSE),0)</f>
        <v>0</v>
      </c>
      <c r="X733" s="37">
        <f t="shared" si="1086"/>
        <v>0</v>
      </c>
      <c r="Y733" s="37">
        <f>VLOOKUP($C733,COS!$B$8:$H$991,4,FALSE)</f>
        <v>0</v>
      </c>
      <c r="Z733" s="37">
        <f t="shared" si="1087"/>
        <v>0</v>
      </c>
      <c r="AA733" s="37">
        <f t="shared" si="1173"/>
        <v>0</v>
      </c>
      <c r="AB733" s="38">
        <f t="shared" si="1160"/>
        <v>0</v>
      </c>
    </row>
    <row r="734" spans="1:28" x14ac:dyDescent="0.3">
      <c r="A734" s="27">
        <f>VLOOKUP(YEAR(C734),Flags!$A$13:$B$95,2,FALSE)</f>
        <v>4</v>
      </c>
      <c r="B734" s="28">
        <f t="shared" si="1157"/>
        <v>2002</v>
      </c>
      <c r="C734" s="29">
        <v>37376</v>
      </c>
      <c r="D734" s="30">
        <f>VLOOKUP($C734,COS!$B$8:$H$991,3,FALSE)</f>
        <v>3790.32568359375</v>
      </c>
      <c r="E734" s="28">
        <f>IF(D734&gt;=IF(MONTH($C734)=4,$C$3,IF(MONTH($C734)=5,$C$4,IF(MONTH($C734)=6,$C$5,IF(MONTH($C734)=7,$C$6,"ERROR")))),1,0)</f>
        <v>0</v>
      </c>
      <c r="F734" s="30">
        <f>VLOOKUP($C734,COS!$B$8:$H$991,7,FALSE)</f>
        <v>51.393619537353516</v>
      </c>
      <c r="G734" s="28">
        <f>IF(F734&lt;=IF(MONTH($C734)=4,$F$3,IF(MONTH($C734)=5,$F$4,IF(MONTH($C734)=6,$F$5,IF(MONTH($C734)=7,$F$6,"ERROR")))),1,0)</f>
        <v>1</v>
      </c>
      <c r="H734" s="30">
        <f>IF(J734=1,D734-$C$3,0)</f>
        <v>0</v>
      </c>
      <c r="I734" s="30">
        <f t="shared" si="1083"/>
        <v>0</v>
      </c>
      <c r="J734" s="28">
        <f t="shared" ref="J734:J737" si="1176">IF(AND(E734=1,G734=1),1,0)</f>
        <v>0</v>
      </c>
      <c r="K734" s="30">
        <f>VLOOKUP($C734,COS!$B$8:$H$991,2,FALSE)</f>
        <v>4552.10009765625</v>
      </c>
      <c r="L734" s="28">
        <f t="shared" ref="L734" si="1177">IF(K734&lt;=IF(MONTH($C734)=4,$I$3,IF(MONTH($C734)=5,$I$4,IF(MONTH($C734)=6,$I$5,IF(MONTH($C734)=7,$I$6,"ERROR")))),1,0)</f>
        <v>1</v>
      </c>
      <c r="M734" s="28">
        <f t="shared" ref="M734" si="1178">VLOOKUP($A734,$L$3:$M$7,2,FALSE)</f>
        <v>1</v>
      </c>
      <c r="N734" s="30">
        <f>VLOOKUP($C734,COS!$B$8:$H$991,5,FALSE)</f>
        <v>592.5997314453125</v>
      </c>
      <c r="O734" s="30">
        <f t="shared" ref="O734:O737" si="1179">N734*DAY($C734)*86400/43560/1000</f>
        <v>35.262132780216938</v>
      </c>
      <c r="P734" s="30">
        <f>VLOOKUP($C734,COS!$B$8:$H$991,6,FALSE)</f>
        <v>570.92694091796875</v>
      </c>
      <c r="Q734" s="30">
        <f t="shared" ref="Q734:Q737" si="1180">P734*DAY($C734)*86400/43560/1000</f>
        <v>33.972512186854338</v>
      </c>
      <c r="R734" s="30">
        <f>MIN(IF(MONTH($C734)=4,$S$3,IF(MONTH($C734)=5,$S$4,IF(MONTH($C734)=6,$S$5,IF(MONTH($C734)=7,$S$6,"ERROR")))),MAX(VLOOKUP($C734,COS!$B$8:$K$991,10,FALSE)-IF(MONTH($C734)=4,$Y$3,IF(MONTH($C734)=5,$Y$4,IF(MONTH($C734)=6,$Y$5,IF(MONTH($C734)=7,$Y$6,"ERROR")))),0),MAX(VLOOKUP($C734,COS!$B$8:$K$991,9,FALSE)-IF(MONTH($C734)=4,$V$3,IF(MONTH($C734)=5,$V$4,IF(MONTH($C734)=6,$V$5,IF(MONTH($C734)=7,$V$6,"ERROR"))))-VLOOKUP($C734,COS!$B$8:$K$991,6,FALSE)/2,0))</f>
        <v>1500</v>
      </c>
      <c r="S734" s="30">
        <f t="shared" ref="S734:S737" si="1181">R734*DAY($C734)*86400/43560/1000</f>
        <v>89.256198347107429</v>
      </c>
      <c r="T734" s="30">
        <f t="shared" ref="T734:T737" si="1182">(O734+Q734)/2+S734</f>
        <v>123.87352083064306</v>
      </c>
      <c r="U734" s="30" t="str">
        <f>IF(VLOOKUP($C734,COS!$B$8:$I$991,8,FALSE)=1,"UWFE","IBU")</f>
        <v>UWFE</v>
      </c>
      <c r="V734" s="30">
        <f t="shared" ref="V734" si="1183">MIN(IF(IF($AA$3=2,AND(E734=1,G734=1,L734=1,L739=1,M734=1,U734="IBU"),AND(E734=1,G734=1,L734=1,L739=1,M734=1)),T734,0),I734)</f>
        <v>0</v>
      </c>
      <c r="W734" s="30"/>
      <c r="X734" s="30"/>
      <c r="Y734" s="30"/>
      <c r="Z734" s="30"/>
      <c r="AA734" s="30"/>
      <c r="AB734" s="31"/>
    </row>
    <row r="735" spans="1:28" x14ac:dyDescent="0.3">
      <c r="A735" s="32">
        <f>VLOOKUP(YEAR(C735),Flags!$A$13:$B$95,2,FALSE)</f>
        <v>4</v>
      </c>
      <c r="B735" s="24">
        <f t="shared" si="1157"/>
        <v>2002</v>
      </c>
      <c r="C735" s="25">
        <v>37407</v>
      </c>
      <c r="D735" s="26">
        <f>VLOOKUP($C735,COS!$B$8:$H$991,3,FALSE)</f>
        <v>8129.60498046875</v>
      </c>
      <c r="E735" s="24">
        <f>IF(D735&gt;=IF(MONTH($C735)=4,$C$3,IF(MONTH($C735)=5,$C$4,IF(MONTH($C735)=6,$C$5,IF(MONTH($C735)=7,$C$6,"ERROR")))),1,0)</f>
        <v>1</v>
      </c>
      <c r="F735" s="26">
        <f>VLOOKUP($C735,COS!$B$8:$H$991,7,FALSE)</f>
        <v>50.423126220703125</v>
      </c>
      <c r="G735" s="24">
        <f>IF(F735&lt;=IF(MONTH($C735)=4,$F$3,IF(MONTH($C735)=5,$F$4,IF(MONTH($C735)=6,$F$5,IF(MONTH($C735)=7,$F$6,"ERROR")))),1,0)</f>
        <v>1</v>
      </c>
      <c r="H735" s="26">
        <f>IF(J735=1,D735-$C$4,0)</f>
        <v>2129.60498046875</v>
      </c>
      <c r="I735" s="26">
        <f t="shared" si="1083"/>
        <v>130.94430623708678</v>
      </c>
      <c r="J735" s="24">
        <f t="shared" si="1176"/>
        <v>1</v>
      </c>
      <c r="K735" s="26">
        <f>VLOOKUP($C735,COS!$B$8:$H$991,2,FALSE)</f>
        <v>4345.9794921875</v>
      </c>
      <c r="L735" s="24">
        <f t="shared" si="1148"/>
        <v>1</v>
      </c>
      <c r="M735" s="24">
        <f t="shared" si="1149"/>
        <v>1</v>
      </c>
      <c r="N735" s="26">
        <f>VLOOKUP($C735,COS!$B$8:$H$991,5,FALSE)</f>
        <v>512.00897216796875</v>
      </c>
      <c r="O735" s="26">
        <f t="shared" si="1179"/>
        <v>31.482204569666838</v>
      </c>
      <c r="P735" s="26">
        <f>VLOOKUP($C735,COS!$B$8:$H$991,6,FALSE)</f>
        <v>2032.4620361328125</v>
      </c>
      <c r="Q735" s="26">
        <f t="shared" si="1180"/>
        <v>124.97121941180268</v>
      </c>
      <c r="R735" s="26">
        <f>MIN(IF(MONTH($C735)=4,$S$3,IF(MONTH($C735)=5,$S$4,IF(MONTH($C735)=6,$S$5,IF(MONTH($C735)=7,$S$6,"ERROR")))),MAX(VLOOKUP($C735,COS!$B$8:$K$991,10,FALSE)-IF(MONTH($C735)=4,$Y$3,IF(MONTH($C735)=5,$Y$4,IF(MONTH($C735)=6,$Y$5,IF(MONTH($C735)=7,$Y$6,"ERROR")))),0),MAX(VLOOKUP($C735,COS!$B$8:$K$991,9,FALSE)-IF(MONTH($C735)=4,$V$3,IF(MONTH($C735)=5,$V$4,IF(MONTH($C735)=6,$V$5,IF(MONTH($C735)=7,$V$6,"ERROR"))))-VLOOKUP($C735,COS!$B$8:$K$991,6,FALSE)/2,0))</f>
        <v>1500</v>
      </c>
      <c r="S735" s="26">
        <f t="shared" si="1181"/>
        <v>92.231404958677686</v>
      </c>
      <c r="T735" s="26">
        <f t="shared" si="1182"/>
        <v>170.45811694941244</v>
      </c>
      <c r="U735" s="26" t="str">
        <f>IF(VLOOKUP($C735,COS!$B$8:$I$991,8,FALSE)=1,"UWFE","IBU")</f>
        <v>UWFE</v>
      </c>
      <c r="V735" s="26">
        <f t="shared" ref="V735" si="1184">MIN(IF(IF($AA$3=2,AND(E735=1,G735=1,L735=1,L739=1,M735=1,U735="IBU"),AND(E735=1,G735=1,L735=1,L739=1,M735=1)),T735,0),I735)</f>
        <v>0</v>
      </c>
      <c r="W735" s="26"/>
      <c r="X735" s="26"/>
      <c r="Y735" s="26"/>
      <c r="Z735" s="26"/>
      <c r="AA735" s="26"/>
      <c r="AB735" s="33"/>
    </row>
    <row r="736" spans="1:28" x14ac:dyDescent="0.3">
      <c r="A736" s="32">
        <f>VLOOKUP(YEAR(C736),Flags!$A$13:$B$95,2,FALSE)</f>
        <v>4</v>
      </c>
      <c r="B736" s="24">
        <f t="shared" si="1157"/>
        <v>2002</v>
      </c>
      <c r="C736" s="25">
        <v>37437</v>
      </c>
      <c r="D736" s="26">
        <f>VLOOKUP($C736,COS!$B$8:$H$991,3,FALSE)</f>
        <v>11090.05078125</v>
      </c>
      <c r="E736" s="24">
        <f>IF(D736&gt;=IF(MONTH($C736)=4,$C$3,IF(MONTH($C736)=5,$C$4,IF(MONTH($C736)=6,$C$5,IF(MONTH($C736)=7,$C$6,"ERROR")))),1,0)</f>
        <v>1</v>
      </c>
      <c r="F736" s="26">
        <f>VLOOKUP($C736,COS!$B$8:$H$991,7,FALSE)</f>
        <v>51.078281402587891</v>
      </c>
      <c r="G736" s="24">
        <f>IF(F736&lt;=IF(MONTH($C736)=4,$F$3,IF(MONTH($C736)=5,$F$4,IF(MONTH($C736)=6,$F$5,IF(MONTH($C736)=7,$F$6,"ERROR")))),1,0)</f>
        <v>1</v>
      </c>
      <c r="H736" s="26">
        <f>IF(J736=1,D736-$C$5,0)</f>
        <v>1090.05078125</v>
      </c>
      <c r="I736" s="26">
        <f t="shared" si="1083"/>
        <v>64.862525826446287</v>
      </c>
      <c r="J736" s="24">
        <f t="shared" si="1176"/>
        <v>1</v>
      </c>
      <c r="K736" s="26">
        <f>VLOOKUP($C736,COS!$B$8:$H$991,2,FALSE)</f>
        <v>3872.047119140625</v>
      </c>
      <c r="L736" s="24">
        <f t="shared" si="1148"/>
        <v>1</v>
      </c>
      <c r="M736" s="24">
        <f t="shared" si="1149"/>
        <v>1</v>
      </c>
      <c r="N736" s="26">
        <f>VLOOKUP($C736,COS!$B$8:$H$991,5,FALSE)</f>
        <v>765.88287353515625</v>
      </c>
      <c r="O736" s="26">
        <f t="shared" si="1179"/>
        <v>45.573195780604337</v>
      </c>
      <c r="P736" s="26">
        <f>VLOOKUP($C736,COS!$B$8:$H$991,6,FALSE)</f>
        <v>2710.3994140625</v>
      </c>
      <c r="Q736" s="26">
        <f t="shared" si="1180"/>
        <v>161.27996513429753</v>
      </c>
      <c r="R736" s="26">
        <f>MIN(IF(MONTH($C736)=4,$S$3,IF(MONTH($C736)=5,$S$4,IF(MONTH($C736)=6,$S$5,IF(MONTH($C736)=7,$S$6,"ERROR")))),MAX(VLOOKUP($C736,COS!$B$8:$K$991,10,FALSE)-IF(MONTH($C736)=4,$Y$3,IF(MONTH($C736)=5,$Y$4,IF(MONTH($C736)=6,$Y$5,IF(MONTH($C736)=7,$Y$6,"ERROR")))),0),MAX(VLOOKUP($C736,COS!$B$8:$K$991,9,FALSE)-IF(MONTH($C736)=4,$V$3,IF(MONTH($C736)=5,$V$4,IF(MONTH($C736)=6,$V$5,IF(MONTH($C736)=7,$V$6,"ERROR"))))-VLOOKUP($C736,COS!$B$8:$K$991,6,FALSE)/2,0))</f>
        <v>1500</v>
      </c>
      <c r="S736" s="26">
        <f t="shared" si="1181"/>
        <v>89.256198347107429</v>
      </c>
      <c r="T736" s="26">
        <f t="shared" si="1182"/>
        <v>192.68277880455838</v>
      </c>
      <c r="U736" s="26" t="str">
        <f>IF(VLOOKUP($C736,COS!$B$8:$I$991,8,FALSE)=1,"UWFE","IBU")</f>
        <v>IBU</v>
      </c>
      <c r="V736" s="26">
        <f t="shared" ref="V736" si="1185">MIN(IF(IF($AA$3=2,AND(E736=1,G736=1,L736=1,L739=1,M736=1,U736="IBU"),AND(E736=1,G736=1,L736=1,L739=1,M736=1)),T736,0),I736)</f>
        <v>64.862525826446287</v>
      </c>
      <c r="W736" s="26"/>
      <c r="X736" s="26"/>
      <c r="Y736" s="26"/>
      <c r="Z736" s="26"/>
      <c r="AA736" s="26"/>
      <c r="AB736" s="33"/>
    </row>
    <row r="737" spans="1:28" x14ac:dyDescent="0.3">
      <c r="A737" s="32">
        <f>VLOOKUP(YEAR(C737),Flags!$A$13:$B$95,2,FALSE)</f>
        <v>4</v>
      </c>
      <c r="B737" s="24">
        <f t="shared" si="1157"/>
        <v>2002</v>
      </c>
      <c r="C737" s="25">
        <v>37468</v>
      </c>
      <c r="D737" s="26">
        <f>VLOOKUP($C737,COS!$B$8:$H$991,3,FALSE)</f>
        <v>14797.642578125</v>
      </c>
      <c r="E737" s="24">
        <f>IF(D737&gt;=IF(MONTH($C737)=4,$C$3,IF(MONTH($C737)=5,$C$4,IF(MONTH($C737)=6,$C$5,IF(MONTH($C737)=7,$C$6,"ERROR")))),1,0)</f>
        <v>1</v>
      </c>
      <c r="F737" s="26">
        <f>VLOOKUP($C737,COS!$B$8:$H$991,7,FALSE)</f>
        <v>51.499664306640625</v>
      </c>
      <c r="G737" s="24">
        <f>IF(F737&lt;=IF(MONTH($C737)=4,$F$3,IF(MONTH($C737)=5,$F$4,IF(MONTH($C737)=6,$F$5,IF(MONTH($C737)=7,$F$6,"ERROR")))),1,0)</f>
        <v>1</v>
      </c>
      <c r="H737" s="26">
        <f>IF(J737=1,D737-$C$6,0)</f>
        <v>2797.642578125</v>
      </c>
      <c r="I737" s="26">
        <f t="shared" ref="I737" si="1186">H737*DAY($C737)*86400/43560/1000</f>
        <v>172.02033703512396</v>
      </c>
      <c r="J737" s="24">
        <f t="shared" si="1176"/>
        <v>1</v>
      </c>
      <c r="K737" s="26">
        <f>VLOOKUP($C737,COS!$B$8:$H$991,2,FALSE)</f>
        <v>3213.63134765625</v>
      </c>
      <c r="L737" s="24">
        <f t="shared" si="1148"/>
        <v>1</v>
      </c>
      <c r="M737" s="24">
        <f t="shared" si="1149"/>
        <v>1</v>
      </c>
      <c r="N737" s="26">
        <f>VLOOKUP($C737,COS!$B$8:$H$991,5,FALSE)</f>
        <v>838.20123291015625</v>
      </c>
      <c r="O737" s="26">
        <f t="shared" si="1179"/>
        <v>51.53898489959969</v>
      </c>
      <c r="P737" s="26">
        <f>VLOOKUP($C737,COS!$B$8:$H$991,6,FALSE)</f>
        <v>2538.07568359375</v>
      </c>
      <c r="Q737" s="26">
        <f t="shared" si="1180"/>
        <v>156.06019079287191</v>
      </c>
      <c r="R737" s="26">
        <f>MIN(IF(MONTH($C737)=4,$S$3,IF(MONTH($C737)=5,$S$4,IF(MONTH($C737)=6,$S$5,IF(MONTH($C737)=7,$S$6,"ERROR")))),MAX(VLOOKUP($C737,COS!$B$8:$K$991,10,FALSE)-IF(MONTH($C737)=4,$Y$3,IF(MONTH($C737)=5,$Y$4,IF(MONTH($C737)=6,$Y$5,IF(MONTH($C737)=7,$Y$6,"ERROR")))),0),MAX(VLOOKUP($C737,COS!$B$8:$K$991,9,FALSE)-IF(MONTH($C737)=4,$V$3,IF(MONTH($C737)=5,$V$4,IF(MONTH($C737)=6,$V$5,IF(MONTH($C737)=7,$V$6,"ERROR"))))-VLOOKUP($C737,COS!$B$8:$K$991,6,FALSE)/2,0))</f>
        <v>1500</v>
      </c>
      <c r="S737" s="26">
        <f t="shared" si="1181"/>
        <v>92.231404958677686</v>
      </c>
      <c r="T737" s="26">
        <f t="shared" si="1182"/>
        <v>196.03099280491347</v>
      </c>
      <c r="U737" s="26" t="str">
        <f>IF(VLOOKUP($C737,COS!$B$8:$I$991,8,FALSE)=1,"UWFE","IBU")</f>
        <v>IBU</v>
      </c>
      <c r="V737" s="26">
        <f t="shared" ref="V737" si="1187">MIN(IF(IF($AA$3=2,AND(E737=1,G737=1,L737=1,L739=1,M737=1,U737="IBU"),AND(E737=1,G737=1,L737=1,L739=1,M737=1)),T737,0),I737)</f>
        <v>172.02033703512396</v>
      </c>
      <c r="W737" s="26"/>
      <c r="X737" s="26"/>
      <c r="Y737" s="26"/>
      <c r="Z737" s="26"/>
      <c r="AA737" s="26"/>
      <c r="AB737" s="33"/>
    </row>
    <row r="738" spans="1:28" x14ac:dyDescent="0.3">
      <c r="A738" s="32">
        <f>VLOOKUP(YEAR(C738),Flags!$A$13:$B$95,2,FALSE)</f>
        <v>4</v>
      </c>
      <c r="B738" s="24">
        <f t="shared" si="1157"/>
        <v>2002</v>
      </c>
      <c r="C738" s="25">
        <v>37499</v>
      </c>
      <c r="D738" s="26"/>
      <c r="E738" s="24"/>
      <c r="F738" s="26"/>
      <c r="G738" s="24"/>
      <c r="H738" s="24"/>
      <c r="I738" s="26"/>
      <c r="J738" s="24"/>
      <c r="K738" s="26"/>
      <c r="L738" s="24"/>
      <c r="M738" s="24"/>
      <c r="N738" s="26"/>
      <c r="O738" s="26"/>
      <c r="P738" s="26"/>
      <c r="Q738" s="26"/>
      <c r="R738" s="26"/>
      <c r="S738" s="26"/>
      <c r="T738" s="26"/>
      <c r="U738" s="26"/>
      <c r="V738" s="26"/>
      <c r="W738" s="26">
        <f>MAX($C$7-VLOOKUP($C738,COS!$B$8:$H$991,3,FALSE),0)</f>
        <v>92011.7978515625</v>
      </c>
      <c r="X738" s="26">
        <f t="shared" si="1086"/>
        <v>5657.5849257489663</v>
      </c>
      <c r="Y738" s="26">
        <f>VLOOKUP($C738,COS!$B$8:$H$991,4,FALSE)</f>
        <v>1265.3411865234375</v>
      </c>
      <c r="Z738" s="26">
        <f t="shared" si="1087"/>
        <v>77.80279692342458</v>
      </c>
      <c r="AA738" s="26">
        <f t="shared" ref="AA738:AA742" si="1188">MIN(W738,Y738)</f>
        <v>1265.3411865234375</v>
      </c>
      <c r="AB738" s="33">
        <f t="shared" ref="AB738" si="1189">AA738*DAY($C738)*86400/43560/1000*IF(MONTH($C738)=8,$P$3,IF(MONTH($C738)=9,$P$4,IF(MONTH($C738)=10,$P$5,IF(MONTH($C738)=11,$P$6,IF(MONTH($C738)=12,$P$7,NA())))))</f>
        <v>77.80279692342458</v>
      </c>
    </row>
    <row r="739" spans="1:28" x14ac:dyDescent="0.3">
      <c r="A739" s="32">
        <f>VLOOKUP(YEAR(C739),Flags!$A$13:$B$95,2,FALSE)</f>
        <v>4</v>
      </c>
      <c r="B739" s="24">
        <f t="shared" si="1157"/>
        <v>2002</v>
      </c>
      <c r="C739" s="25">
        <v>37529</v>
      </c>
      <c r="D739" s="26"/>
      <c r="E739" s="24"/>
      <c r="F739" s="26"/>
      <c r="G739" s="24"/>
      <c r="H739" s="24"/>
      <c r="I739" s="26"/>
      <c r="J739" s="24"/>
      <c r="K739" s="26">
        <f>VLOOKUP($C739,COS!$B$8:$H$991,2,FALSE)</f>
        <v>2964.52880859375</v>
      </c>
      <c r="L739" s="24">
        <f t="shared" ref="L739" si="1190">IF(AND(K739&gt;$I$7,K739&lt;$I$8),1,0)</f>
        <v>1</v>
      </c>
      <c r="M739" s="24"/>
      <c r="N739" s="26"/>
      <c r="O739" s="26"/>
      <c r="P739" s="26"/>
      <c r="Q739" s="26"/>
      <c r="R739" s="26"/>
      <c r="S739" s="26"/>
      <c r="T739" s="26"/>
      <c r="U739" s="26"/>
      <c r="V739" s="26"/>
      <c r="W739" s="26">
        <f>MAX($C$8-VLOOKUP($C739,COS!$B$8:$H$991,3,FALSE),0)</f>
        <v>95016.09326171875</v>
      </c>
      <c r="X739" s="26">
        <f t="shared" ref="X739:X742" si="1191">W739*DAY($C739)*86400/43560/1000</f>
        <v>5653.8501775568184</v>
      </c>
      <c r="Y739" s="26">
        <f>VLOOKUP($C739,COS!$B$8:$H$991,4,FALSE)</f>
        <v>1150.0072021484375</v>
      </c>
      <c r="Z739" s="26">
        <f t="shared" ref="Z739:Z742" si="1192">Y739*DAY($C739)*86400/43560/1000</f>
        <v>68.430180623708665</v>
      </c>
      <c r="AA739" s="26">
        <f t="shared" si="1188"/>
        <v>1150.0072021484375</v>
      </c>
      <c r="AB739" s="33">
        <f t="shared" si="1160"/>
        <v>68.430180623708665</v>
      </c>
    </row>
    <row r="740" spans="1:28" x14ac:dyDescent="0.3">
      <c r="A740" s="32">
        <f>VLOOKUP(YEAR(C740),Flags!$A$13:$B$95,2,FALSE)</f>
        <v>4</v>
      </c>
      <c r="B740" s="24">
        <f t="shared" si="1157"/>
        <v>2002</v>
      </c>
      <c r="C740" s="25">
        <v>37560</v>
      </c>
      <c r="D740" s="26"/>
      <c r="E740" s="24"/>
      <c r="F740" s="26"/>
      <c r="G740" s="26"/>
      <c r="H740" s="26"/>
      <c r="I740" s="26"/>
      <c r="J740" s="26"/>
      <c r="K740" s="26"/>
      <c r="L740" s="24"/>
      <c r="M740" s="24"/>
      <c r="N740" s="26"/>
      <c r="O740" s="26"/>
      <c r="P740" s="26"/>
      <c r="Q740" s="26"/>
      <c r="R740" s="26"/>
      <c r="S740" s="26"/>
      <c r="T740" s="26"/>
      <c r="U740" s="26"/>
      <c r="V740" s="26"/>
      <c r="W740" s="26">
        <f>MAX($C$9-VLOOKUP($C740,COS!$B$8:$H$991,3,FALSE),0)</f>
        <v>92889.2216796875</v>
      </c>
      <c r="X740" s="26">
        <f t="shared" si="1191"/>
        <v>5711.53561402376</v>
      </c>
      <c r="Y740" s="26">
        <f>VLOOKUP($C740,COS!$B$8:$H$991,4,FALSE)</f>
        <v>1966.750244140625</v>
      </c>
      <c r="Z740" s="26">
        <f t="shared" si="1192"/>
        <v>120.93075881327479</v>
      </c>
      <c r="AA740" s="26">
        <f t="shared" si="1188"/>
        <v>1966.750244140625</v>
      </c>
      <c r="AB740" s="33">
        <f t="shared" si="1160"/>
        <v>120.93075881327479</v>
      </c>
    </row>
    <row r="741" spans="1:28" x14ac:dyDescent="0.3">
      <c r="A741" s="32">
        <f>VLOOKUP(YEAR(C741),Flags!$A$13:$B$95,2,FALSE)</f>
        <v>4</v>
      </c>
      <c r="B741" s="24">
        <f t="shared" si="1157"/>
        <v>2002</v>
      </c>
      <c r="C741" s="25">
        <v>37590</v>
      </c>
      <c r="D741" s="26"/>
      <c r="E741" s="24"/>
      <c r="F741" s="26"/>
      <c r="G741" s="26"/>
      <c r="H741" s="26"/>
      <c r="I741" s="26"/>
      <c r="J741" s="26"/>
      <c r="K741" s="26"/>
      <c r="L741" s="24"/>
      <c r="M741" s="24"/>
      <c r="N741" s="26"/>
      <c r="O741" s="26"/>
      <c r="P741" s="26"/>
      <c r="Q741" s="26"/>
      <c r="R741" s="26"/>
      <c r="S741" s="26"/>
      <c r="T741" s="26"/>
      <c r="U741" s="26"/>
      <c r="V741" s="26"/>
      <c r="W741" s="26">
        <f>MAX($C$10-VLOOKUP($C741,COS!$B$8:$H$991,3,FALSE),0)</f>
        <v>93899.3330078125</v>
      </c>
      <c r="X741" s="26">
        <f t="shared" si="1191"/>
        <v>5587.3983277376037</v>
      </c>
      <c r="Y741" s="26">
        <f>VLOOKUP($C741,COS!$B$8:$H$991,4,FALSE)</f>
        <v>797.55865478515625</v>
      </c>
      <c r="Z741" s="26">
        <f t="shared" si="1192"/>
        <v>47.458035656637392</v>
      </c>
      <c r="AA741" s="26">
        <f t="shared" si="1188"/>
        <v>797.55865478515625</v>
      </c>
      <c r="AB741" s="33">
        <f t="shared" si="1160"/>
        <v>23.729017828318696</v>
      </c>
    </row>
    <row r="742" spans="1:28" x14ac:dyDescent="0.3">
      <c r="A742" s="34">
        <f>VLOOKUP(YEAR(C742),Flags!$A$13:$B$95,2,FALSE)</f>
        <v>4</v>
      </c>
      <c r="B742" s="35">
        <f t="shared" si="1157"/>
        <v>2002</v>
      </c>
      <c r="C742" s="36">
        <v>37621</v>
      </c>
      <c r="D742" s="37"/>
      <c r="E742" s="35"/>
      <c r="F742" s="37"/>
      <c r="G742" s="37"/>
      <c r="H742" s="37"/>
      <c r="I742" s="37"/>
      <c r="J742" s="37"/>
      <c r="K742" s="37"/>
      <c r="L742" s="35"/>
      <c r="M742" s="35"/>
      <c r="N742" s="37"/>
      <c r="O742" s="37"/>
      <c r="P742" s="37"/>
      <c r="Q742" s="37"/>
      <c r="R742" s="37"/>
      <c r="S742" s="37"/>
      <c r="T742" s="37"/>
      <c r="U742" s="37"/>
      <c r="V742" s="37"/>
      <c r="W742" s="37">
        <f>MAX($C$11-VLOOKUP($C742,COS!$B$8:$H$991,3,FALSE),0)</f>
        <v>0</v>
      </c>
      <c r="X742" s="37">
        <f t="shared" si="1191"/>
        <v>0</v>
      </c>
      <c r="Y742" s="37">
        <f>VLOOKUP($C742,COS!$B$8:$H$991,4,FALSE)</f>
        <v>0</v>
      </c>
      <c r="Z742" s="37">
        <f t="shared" si="1192"/>
        <v>0</v>
      </c>
      <c r="AA742" s="37">
        <f t="shared" si="1188"/>
        <v>0</v>
      </c>
      <c r="AB742" s="38">
        <f t="shared" si="1160"/>
        <v>0</v>
      </c>
    </row>
  </sheetData>
  <mergeCells count="20">
    <mergeCell ref="P12:Q12"/>
    <mergeCell ref="A2:A11"/>
    <mergeCell ref="B2:C2"/>
    <mergeCell ref="E2:F2"/>
    <mergeCell ref="H2:I2"/>
    <mergeCell ref="K2:M2"/>
    <mergeCell ref="O2:P2"/>
    <mergeCell ref="D12:E12"/>
    <mergeCell ref="F12:G12"/>
    <mergeCell ref="H12:J12"/>
    <mergeCell ref="K12:L12"/>
    <mergeCell ref="N12:O12"/>
    <mergeCell ref="W12:X12"/>
    <mergeCell ref="Y12:Z12"/>
    <mergeCell ref="AA12:AB12"/>
    <mergeCell ref="AN14:AO14"/>
    <mergeCell ref="R2:S2"/>
    <mergeCell ref="R12:S12"/>
    <mergeCell ref="U2:V2"/>
    <mergeCell ref="X2:Y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56" r:id="rId4" name="Option Button 84">
              <controlPr defaultSize="0" autoFill="0" autoLine="0" autoPict="0">
                <anchor moveWithCells="1">
                  <from>
                    <xdr:col>25</xdr:col>
                    <xdr:colOff>792480</xdr:colOff>
                    <xdr:row>1</xdr:row>
                    <xdr:rowOff>175260</xdr:rowOff>
                  </from>
                  <to>
                    <xdr:col>26</xdr:col>
                    <xdr:colOff>868680</xdr:colOff>
                    <xdr:row>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5" name="Option Button 85">
              <controlPr defaultSize="0" autoFill="0" autoLine="0" autoPict="0">
                <anchor moveWithCells="1">
                  <from>
                    <xdr:col>25</xdr:col>
                    <xdr:colOff>800100</xdr:colOff>
                    <xdr:row>2</xdr:row>
                    <xdr:rowOff>175260</xdr:rowOff>
                  </from>
                  <to>
                    <xdr:col>26</xdr:col>
                    <xdr:colOff>876300</xdr:colOff>
                    <xdr:row>4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3D45E-AE32-45D4-8842-BC261397CE60}">
  <dimension ref="A1:AP742"/>
  <sheetViews>
    <sheetView topLeftCell="I1" workbookViewId="0">
      <selection activeCell="N17" sqref="N17"/>
    </sheetView>
  </sheetViews>
  <sheetFormatPr defaultRowHeight="14.4" x14ac:dyDescent="0.3"/>
  <cols>
    <col min="1" max="1" width="9.109375" bestFit="1" customWidth="1"/>
    <col min="3" max="3" width="10.5546875" bestFit="1" customWidth="1"/>
    <col min="4" max="4" width="11.77734375" style="6" bestFit="1" customWidth="1"/>
    <col min="5" max="5" width="8" customWidth="1"/>
    <col min="6" max="6" width="8.5546875" bestFit="1" customWidth="1"/>
    <col min="7" max="8" width="8.5546875" customWidth="1"/>
    <col min="9" max="9" width="8.5546875" style="6" customWidth="1"/>
    <col min="10" max="10" width="10.33203125" customWidth="1"/>
    <col min="11" max="11" width="8.5546875" bestFit="1" customWidth="1"/>
    <col min="12" max="13" width="8.5546875" customWidth="1"/>
    <col min="14" max="14" width="11" customWidth="1"/>
    <col min="15" max="15" width="12.6640625" customWidth="1"/>
    <col min="16" max="16" width="10.33203125" customWidth="1"/>
    <col min="17" max="17" width="13.109375" bestFit="1" customWidth="1"/>
    <col min="18" max="21" width="13.109375" customWidth="1"/>
    <col min="22" max="26" width="12.109375" customWidth="1"/>
    <col min="27" max="28" width="13.109375" customWidth="1"/>
    <col min="33" max="33" width="11.44140625" bestFit="1" customWidth="1"/>
    <col min="34" max="34" width="12.109375" bestFit="1" customWidth="1"/>
    <col min="35" max="36" width="12.109375" customWidth="1"/>
    <col min="41" max="41" width="12.109375" bestFit="1" customWidth="1"/>
  </cols>
  <sheetData>
    <row r="1" spans="1:41" x14ac:dyDescent="0.3">
      <c r="D1"/>
      <c r="F1" s="6"/>
      <c r="I1"/>
    </row>
    <row r="2" spans="1:41" ht="14.4" customHeight="1" x14ac:dyDescent="0.3">
      <c r="A2" s="124" t="s">
        <v>45</v>
      </c>
      <c r="B2" s="126" t="s">
        <v>58</v>
      </c>
      <c r="C2" s="127"/>
      <c r="D2"/>
      <c r="E2" s="126" t="s">
        <v>49</v>
      </c>
      <c r="F2" s="127"/>
      <c r="H2" s="126" t="s">
        <v>36</v>
      </c>
      <c r="I2" s="127"/>
      <c r="K2" s="126" t="s">
        <v>88</v>
      </c>
      <c r="L2" s="128"/>
      <c r="M2" s="127"/>
      <c r="N2" s="51"/>
      <c r="O2" s="126" t="s">
        <v>89</v>
      </c>
      <c r="P2" s="127"/>
      <c r="R2" s="122" t="s">
        <v>121</v>
      </c>
      <c r="S2" s="122"/>
      <c r="U2" s="122" t="s">
        <v>129</v>
      </c>
      <c r="V2" s="122"/>
      <c r="X2" s="122" t="s">
        <v>130</v>
      </c>
      <c r="Y2" s="122"/>
      <c r="AA2" s="20" t="s">
        <v>132</v>
      </c>
    </row>
    <row r="3" spans="1:41" x14ac:dyDescent="0.3">
      <c r="A3" s="124"/>
      <c r="B3" s="21" t="s">
        <v>46</v>
      </c>
      <c r="C3" s="22">
        <v>6000</v>
      </c>
      <c r="D3" t="s">
        <v>71</v>
      </c>
      <c r="E3" s="48" t="s">
        <v>46</v>
      </c>
      <c r="F3" s="20">
        <v>99999</v>
      </c>
      <c r="G3" t="s">
        <v>67</v>
      </c>
      <c r="H3" s="21" t="s">
        <v>46</v>
      </c>
      <c r="I3" s="20">
        <v>99999</v>
      </c>
      <c r="J3" t="s">
        <v>67</v>
      </c>
      <c r="K3" s="20" t="s">
        <v>30</v>
      </c>
      <c r="L3" s="20">
        <v>1</v>
      </c>
      <c r="M3" s="20">
        <v>0</v>
      </c>
      <c r="N3" s="52"/>
      <c r="O3" s="48" t="s">
        <v>62</v>
      </c>
      <c r="P3" s="20">
        <v>1</v>
      </c>
      <c r="R3" s="21" t="s">
        <v>46</v>
      </c>
      <c r="S3" s="20">
        <v>1500</v>
      </c>
      <c r="U3" s="21" t="s">
        <v>46</v>
      </c>
      <c r="V3" s="20">
        <v>3250</v>
      </c>
      <c r="X3" s="21" t="s">
        <v>46</v>
      </c>
      <c r="Y3" s="20">
        <v>4000</v>
      </c>
      <c r="AA3" s="90">
        <v>2</v>
      </c>
    </row>
    <row r="4" spans="1:41" ht="14.4" customHeight="1" x14ac:dyDescent="0.3">
      <c r="A4" s="124"/>
      <c r="B4" s="20" t="s">
        <v>37</v>
      </c>
      <c r="C4" s="20">
        <v>6000</v>
      </c>
      <c r="D4" t="s">
        <v>71</v>
      </c>
      <c r="E4" s="49" t="s">
        <v>37</v>
      </c>
      <c r="F4" s="20">
        <v>56</v>
      </c>
      <c r="G4" t="s">
        <v>70</v>
      </c>
      <c r="H4" s="20" t="s">
        <v>37</v>
      </c>
      <c r="I4" s="20">
        <v>99999</v>
      </c>
      <c r="J4" t="s">
        <v>67</v>
      </c>
      <c r="K4" s="20" t="s">
        <v>42</v>
      </c>
      <c r="L4" s="20">
        <v>2</v>
      </c>
      <c r="M4" s="20">
        <v>0</v>
      </c>
      <c r="N4" s="52"/>
      <c r="O4" s="48" t="s">
        <v>63</v>
      </c>
      <c r="P4" s="20">
        <v>1</v>
      </c>
      <c r="R4" s="20" t="s">
        <v>37</v>
      </c>
      <c r="S4" s="20">
        <v>1500</v>
      </c>
      <c r="U4" s="20" t="s">
        <v>37</v>
      </c>
      <c r="V4" s="20">
        <v>3250</v>
      </c>
      <c r="X4" s="20" t="s">
        <v>37</v>
      </c>
      <c r="Y4" s="20">
        <v>4000</v>
      </c>
      <c r="AA4" s="20"/>
    </row>
    <row r="5" spans="1:41" x14ac:dyDescent="0.3">
      <c r="A5" s="124"/>
      <c r="B5" s="20" t="s">
        <v>38</v>
      </c>
      <c r="C5" s="20">
        <v>10000</v>
      </c>
      <c r="D5" t="s">
        <v>71</v>
      </c>
      <c r="E5" s="49" t="s">
        <v>38</v>
      </c>
      <c r="F5" s="20">
        <v>56</v>
      </c>
      <c r="G5" t="s">
        <v>70</v>
      </c>
      <c r="H5" s="20" t="s">
        <v>38</v>
      </c>
      <c r="I5" s="20">
        <v>99999</v>
      </c>
      <c r="J5" t="s">
        <v>67</v>
      </c>
      <c r="K5" s="20" t="s">
        <v>32</v>
      </c>
      <c r="L5" s="20">
        <v>3</v>
      </c>
      <c r="M5" s="20">
        <v>1</v>
      </c>
      <c r="N5" s="52"/>
      <c r="O5" s="48" t="s">
        <v>64</v>
      </c>
      <c r="P5" s="20">
        <v>1</v>
      </c>
      <c r="R5" s="20" t="s">
        <v>38</v>
      </c>
      <c r="S5" s="20">
        <v>1500</v>
      </c>
      <c r="U5" s="20" t="s">
        <v>38</v>
      </c>
      <c r="V5" s="20">
        <v>3250</v>
      </c>
      <c r="X5" s="20" t="s">
        <v>38</v>
      </c>
      <c r="Y5" s="20">
        <v>4000</v>
      </c>
    </row>
    <row r="6" spans="1:41" x14ac:dyDescent="0.3">
      <c r="A6" s="124"/>
      <c r="B6" s="20" t="s">
        <v>39</v>
      </c>
      <c r="C6" s="20">
        <v>12000</v>
      </c>
      <c r="D6" t="s">
        <v>71</v>
      </c>
      <c r="E6" s="49" t="s">
        <v>39</v>
      </c>
      <c r="F6" s="20">
        <v>53.5</v>
      </c>
      <c r="G6" t="s">
        <v>69</v>
      </c>
      <c r="H6" s="20" t="s">
        <v>39</v>
      </c>
      <c r="I6" s="20">
        <v>99999</v>
      </c>
      <c r="J6" t="s">
        <v>67</v>
      </c>
      <c r="K6" s="20" t="s">
        <v>33</v>
      </c>
      <c r="L6" s="20">
        <v>4</v>
      </c>
      <c r="M6" s="20">
        <v>1</v>
      </c>
      <c r="N6" s="52"/>
      <c r="O6" s="48" t="s">
        <v>65</v>
      </c>
      <c r="P6" s="20">
        <v>0.5</v>
      </c>
      <c r="R6" s="20" t="s">
        <v>39</v>
      </c>
      <c r="S6" s="20">
        <v>1500</v>
      </c>
      <c r="U6" s="20" t="s">
        <v>39</v>
      </c>
      <c r="V6" s="20">
        <v>3250</v>
      </c>
      <c r="X6" s="20" t="s">
        <v>39</v>
      </c>
      <c r="Y6" s="20">
        <v>4000</v>
      </c>
    </row>
    <row r="7" spans="1:41" x14ac:dyDescent="0.3">
      <c r="A7" s="124"/>
      <c r="B7" s="47" t="s">
        <v>62</v>
      </c>
      <c r="C7" s="47">
        <v>99999</v>
      </c>
      <c r="D7" t="s">
        <v>86</v>
      </c>
      <c r="E7" s="6"/>
      <c r="H7" s="20" t="s">
        <v>136</v>
      </c>
      <c r="I7" s="20">
        <v>0</v>
      </c>
      <c r="J7" t="s">
        <v>67</v>
      </c>
      <c r="K7" s="20" t="s">
        <v>10</v>
      </c>
      <c r="L7" s="20">
        <v>5</v>
      </c>
      <c r="M7" s="20">
        <v>1</v>
      </c>
      <c r="N7" s="52"/>
      <c r="O7" s="48" t="s">
        <v>66</v>
      </c>
      <c r="P7" s="20">
        <v>0</v>
      </c>
    </row>
    <row r="8" spans="1:41" x14ac:dyDescent="0.3">
      <c r="A8" s="124"/>
      <c r="B8" s="47" t="s">
        <v>63</v>
      </c>
      <c r="C8" s="47">
        <v>99999</v>
      </c>
      <c r="D8" t="s">
        <v>86</v>
      </c>
      <c r="E8" s="6"/>
      <c r="H8" s="20" t="s">
        <v>137</v>
      </c>
      <c r="I8" s="20">
        <v>99999</v>
      </c>
    </row>
    <row r="9" spans="1:41" x14ac:dyDescent="0.3">
      <c r="A9" s="124"/>
      <c r="B9" s="47" t="s">
        <v>64</v>
      </c>
      <c r="C9" s="47">
        <v>99999</v>
      </c>
      <c r="D9" t="s">
        <v>86</v>
      </c>
      <c r="E9" s="6"/>
      <c r="H9" s="46"/>
      <c r="I9" s="46"/>
    </row>
    <row r="10" spans="1:41" x14ac:dyDescent="0.3">
      <c r="A10" s="124"/>
      <c r="B10" s="47" t="s">
        <v>65</v>
      </c>
      <c r="C10" s="47">
        <v>99999</v>
      </c>
      <c r="D10" t="s">
        <v>86</v>
      </c>
      <c r="E10" s="6"/>
      <c r="H10" s="46"/>
      <c r="I10" s="46"/>
    </row>
    <row r="11" spans="1:41" x14ac:dyDescent="0.3">
      <c r="A11" s="125"/>
      <c r="B11" s="47" t="s">
        <v>66</v>
      </c>
      <c r="C11" s="47">
        <v>0</v>
      </c>
      <c r="D11" t="s">
        <v>87</v>
      </c>
      <c r="E11" s="6"/>
      <c r="I11"/>
      <c r="AF11" t="s">
        <v>83</v>
      </c>
      <c r="AG11" t="s">
        <v>83</v>
      </c>
      <c r="AH11" t="s">
        <v>83</v>
      </c>
      <c r="AI11" t="s">
        <v>84</v>
      </c>
      <c r="AJ11" t="s">
        <v>84</v>
      </c>
      <c r="AK11" t="s">
        <v>84</v>
      </c>
      <c r="AL11" t="s">
        <v>85</v>
      </c>
    </row>
    <row r="12" spans="1:41" s="23" customFormat="1" ht="28.8" x14ac:dyDescent="0.3">
      <c r="A12" s="80"/>
      <c r="B12" s="81"/>
      <c r="C12" s="81"/>
      <c r="D12" s="129" t="s">
        <v>34</v>
      </c>
      <c r="E12" s="129"/>
      <c r="F12" s="123" t="s">
        <v>49</v>
      </c>
      <c r="G12" s="123"/>
      <c r="H12" s="123" t="s">
        <v>76</v>
      </c>
      <c r="I12" s="123"/>
      <c r="J12" s="123"/>
      <c r="K12" s="123" t="s">
        <v>36</v>
      </c>
      <c r="L12" s="123"/>
      <c r="M12" s="83" t="s">
        <v>88</v>
      </c>
      <c r="N12" s="130" t="s">
        <v>47</v>
      </c>
      <c r="O12" s="130"/>
      <c r="P12" s="123" t="s">
        <v>48</v>
      </c>
      <c r="Q12" s="123"/>
      <c r="R12" s="123" t="s">
        <v>131</v>
      </c>
      <c r="S12" s="123"/>
      <c r="T12" s="83" t="s">
        <v>122</v>
      </c>
      <c r="U12" s="83" t="s">
        <v>126</v>
      </c>
      <c r="V12" s="83" t="s">
        <v>61</v>
      </c>
      <c r="W12" s="116" t="s">
        <v>74</v>
      </c>
      <c r="X12" s="117"/>
      <c r="Y12" s="118" t="s">
        <v>35</v>
      </c>
      <c r="Z12" s="119"/>
      <c r="AA12" s="120" t="s">
        <v>75</v>
      </c>
      <c r="AB12" s="118"/>
      <c r="AC12" s="19"/>
      <c r="AF12" s="23">
        <v>1</v>
      </c>
      <c r="AG12" s="23">
        <v>2</v>
      </c>
      <c r="AH12" s="23" t="s">
        <v>80</v>
      </c>
      <c r="AI12" s="23">
        <v>3</v>
      </c>
      <c r="AJ12" s="23">
        <v>4</v>
      </c>
      <c r="AK12" s="23" t="s">
        <v>81</v>
      </c>
      <c r="AL12" s="50" t="s">
        <v>82</v>
      </c>
    </row>
    <row r="13" spans="1:41" s="84" customFormat="1" ht="28.8" x14ac:dyDescent="0.3">
      <c r="A13" s="39" t="s">
        <v>44</v>
      </c>
      <c r="B13" s="40"/>
      <c r="C13" s="40"/>
      <c r="D13" s="41" t="s">
        <v>18</v>
      </c>
      <c r="E13" s="40" t="s">
        <v>59</v>
      </c>
      <c r="F13" s="40" t="s">
        <v>15</v>
      </c>
      <c r="G13" s="40" t="s">
        <v>59</v>
      </c>
      <c r="H13" s="40" t="s">
        <v>18</v>
      </c>
      <c r="I13" s="41" t="s">
        <v>2</v>
      </c>
      <c r="J13" s="41" t="s">
        <v>59</v>
      </c>
      <c r="K13" s="40" t="s">
        <v>2</v>
      </c>
      <c r="L13" s="40" t="s">
        <v>59</v>
      </c>
      <c r="M13" s="40" t="s">
        <v>59</v>
      </c>
      <c r="N13" s="40" t="s">
        <v>18</v>
      </c>
      <c r="O13" s="40" t="s">
        <v>2</v>
      </c>
      <c r="P13" s="40" t="s">
        <v>18</v>
      </c>
      <c r="Q13" s="40" t="s">
        <v>2</v>
      </c>
      <c r="R13" s="40" t="s">
        <v>18</v>
      </c>
      <c r="S13" s="40" t="s">
        <v>2</v>
      </c>
      <c r="T13" s="40" t="s">
        <v>2</v>
      </c>
      <c r="U13" s="40"/>
      <c r="V13" s="40" t="s">
        <v>2</v>
      </c>
      <c r="W13" s="40" t="s">
        <v>18</v>
      </c>
      <c r="X13" s="40" t="s">
        <v>2</v>
      </c>
      <c r="Y13" s="40" t="s">
        <v>18</v>
      </c>
      <c r="Z13" s="40" t="s">
        <v>2</v>
      </c>
      <c r="AA13" s="40" t="s">
        <v>18</v>
      </c>
      <c r="AB13" s="42" t="s">
        <v>2</v>
      </c>
      <c r="AD13" s="82"/>
      <c r="AE13" s="82" t="s">
        <v>40</v>
      </c>
      <c r="AF13" s="82" t="s">
        <v>77</v>
      </c>
      <c r="AG13" s="82" t="s">
        <v>79</v>
      </c>
      <c r="AH13" s="82" t="s">
        <v>61</v>
      </c>
      <c r="AI13" s="82" t="s">
        <v>78</v>
      </c>
      <c r="AJ13" s="82" t="s">
        <v>35</v>
      </c>
      <c r="AK13" s="82" t="s">
        <v>75</v>
      </c>
      <c r="AL13" s="82" t="s">
        <v>60</v>
      </c>
    </row>
    <row r="14" spans="1:41" x14ac:dyDescent="0.3">
      <c r="A14" s="27">
        <f>VLOOKUP(YEAR(C14),Flags!$A$13:$B$95,2,FALSE)</f>
        <v>1</v>
      </c>
      <c r="B14" s="28">
        <f>YEAR(C14)</f>
        <v>1922</v>
      </c>
      <c r="C14" s="29">
        <v>8156</v>
      </c>
      <c r="D14" s="30">
        <f>VLOOKUP($C14,COS!$B$8:$H$991,3,FALSE)</f>
        <v>4490.92138671875</v>
      </c>
      <c r="E14" s="28">
        <f>IF(D14&gt;=IF(MONTH($C14)=4,$C$3,IF(MONTH($C14)=5,$C$4,IF(MONTH($C14)=6,$C$5,IF(MONTH($C14)=7,$C$6,"ERROR")))),1,0)</f>
        <v>0</v>
      </c>
      <c r="F14" s="30">
        <f>VLOOKUP($C14,COS!$B$8:$H$991,7,FALSE)</f>
        <v>53.804779052734375</v>
      </c>
      <c r="G14" s="28">
        <f>IF(F14&lt;=IF(MONTH($C14)=4,$F$3,IF(MONTH($C14)=5,$F$4,IF(MONTH($C14)=6,$F$5,IF(MONTH($C14)=7,$F$6,"ERROR")))),1,0)</f>
        <v>1</v>
      </c>
      <c r="H14" s="30">
        <f>IF(J14=1,D14-$C$3,0)</f>
        <v>0</v>
      </c>
      <c r="I14" s="30">
        <f t="shared" ref="I14:I17" si="0">H14*DAY($C14)*86400/43560/1000</f>
        <v>0</v>
      </c>
      <c r="J14" s="28">
        <f>IF(AND(E14=1,G14=1),1,0)</f>
        <v>0</v>
      </c>
      <c r="K14" s="30">
        <f>VLOOKUP($C14,COS!$B$8:$H$991,2,FALSE)</f>
        <v>4552</v>
      </c>
      <c r="L14" s="28">
        <f>IF(K14&lt;=IF(MONTH($C14)=4,$I$3,IF(MONTH($C14)=5,$I$4,IF(MONTH($C14)=6,$I$5,IF(MONTH($C14)=7,$I$6,"ERROR")))),1,0)</f>
        <v>1</v>
      </c>
      <c r="M14" s="28">
        <f>VLOOKUP($A14,$L$3:$M$7,2,FALSE)</f>
        <v>0</v>
      </c>
      <c r="N14" s="30">
        <f>VLOOKUP($C14,COS!$B$8:$H$991,5,FALSE)</f>
        <v>373.61062622070313</v>
      </c>
      <c r="O14" s="30">
        <f>N14*DAY($C14)*86400/43560/1000</f>
        <v>22.231376105694729</v>
      </c>
      <c r="P14" s="30">
        <f>VLOOKUP($C14,COS!$B$8:$H$991,6,FALSE)</f>
        <v>533.257080078125</v>
      </c>
      <c r="Q14" s="30">
        <f>P14*DAY($C14)*86400/43560/1000</f>
        <v>31.730999806301654</v>
      </c>
      <c r="R14" s="30">
        <f>MIN(IF(MONTH($C14)=4,$S$3,IF(MONTH($C14)=5,$S$4,IF(MONTH($C14)=6,$S$5,IF(MONTH($C14)=7,$S$6,"ERROR")))),MAX(VLOOKUP($C14,COS!$B$8:$K$991,10,FALSE)-IF(MONTH($C14)=4,$Y$3,IF(MONTH($C14)=5,$Y$4,IF(MONTH($C14)=6,$Y$5,IF(MONTH($C14)=7,$Y$6,"ERROR")))),0),MAX(VLOOKUP($C14,COS!$B$8:$K$991,9,FALSE)-IF(MONTH($C14)=4,$V$3,IF(MONTH($C14)=5,$V$4,IF(MONTH($C14)=6,$V$5,IF(MONTH($C14)=7,$V$6,"ERROR"))))-VLOOKUP($C14,COS!$B$8:$K$991,6,FALSE)/2,0))</f>
        <v>1500</v>
      </c>
      <c r="S14" s="30">
        <f>R14*DAY($C14)*86400/43560/1000</f>
        <v>89.256198347107429</v>
      </c>
      <c r="T14" s="30">
        <f>(O14+Q14)/2+S14</f>
        <v>116.23738630310562</v>
      </c>
      <c r="U14" s="30" t="str">
        <f>IF(VLOOKUP($C14,COS!$B$8:$I$991,8,FALSE)=1,"UWFE","IBU")</f>
        <v>UWFE</v>
      </c>
      <c r="V14" s="30">
        <f>MIN(IF(IF($AA$3=2,AND(E14=1,G14=1,L14=1,L19=1,M14=1,U14="IBU"),AND(E14=1,G14=1,L14=1,L19=1,M14=1)),T14,0),I14)</f>
        <v>0</v>
      </c>
      <c r="W14" s="30"/>
      <c r="X14" s="30"/>
      <c r="Y14" s="30"/>
      <c r="Z14" s="30"/>
      <c r="AA14" s="30"/>
      <c r="AB14" s="31"/>
      <c r="AC14" s="6"/>
      <c r="AD14" s="43">
        <v>1922</v>
      </c>
      <c r="AE14" s="1">
        <f>VLOOKUP(AD14,Flags!$A$13:$B$95,2,FALSE)</f>
        <v>1</v>
      </c>
      <c r="AF14" s="43">
        <f>SUMIF($B$14:$B$742,$AD14,$I$14:$I$742)</f>
        <v>375.87902827995867</v>
      </c>
      <c r="AG14" s="43">
        <f>SUMIF($B$14:$B$742,$AD14,$T$14:$T$742)</f>
        <v>704.36979855371897</v>
      </c>
      <c r="AH14" s="43">
        <f>SUMIF($B$14:$B$742,$AD14,$V$14:$V$742)</f>
        <v>0</v>
      </c>
      <c r="AI14" s="43">
        <f>SUMIF($B$14:$B$742,$AD14,$X$14:$X$742)</f>
        <v>21762.281993801651</v>
      </c>
      <c r="AJ14" s="43">
        <f>SUMIF($B$14:$B$742,$AD14,$Z$14:$Z$742)</f>
        <v>131.72308775342202</v>
      </c>
      <c r="AK14" s="43">
        <f t="shared" ref="AK14:AK77" si="1">SUMIF($B$14:$B$742,$AD14,$AB$14:$AB$742)</f>
        <v>98.847432407347625</v>
      </c>
      <c r="AL14" s="43">
        <f>MIN(AH14,AK14)</f>
        <v>0</v>
      </c>
      <c r="AN14" s="121" t="s">
        <v>60</v>
      </c>
      <c r="AO14" s="121"/>
    </row>
    <row r="15" spans="1:41" x14ac:dyDescent="0.3">
      <c r="A15" s="32">
        <f>VLOOKUP(YEAR(C15),Flags!$A$13:$B$95,2,FALSE)</f>
        <v>1</v>
      </c>
      <c r="B15" s="24">
        <f t="shared" ref="B15:B78" si="2">YEAR(C15)</f>
        <v>1922</v>
      </c>
      <c r="C15" s="25">
        <v>8187</v>
      </c>
      <c r="D15" s="26">
        <f>VLOOKUP($C15,COS!$B$8:$H$991,3,FALSE)</f>
        <v>11232.6396484375</v>
      </c>
      <c r="E15" s="24">
        <f>IF(D15&gt;=IF(MONTH($C15)=4,$C$3,IF(MONTH($C15)=5,$C$4,IF(MONTH($C15)=6,$C$5,IF(MONTH($C15)=7,$C$6,"ERROR")))),1,0)</f>
        <v>1</v>
      </c>
      <c r="F15" s="26">
        <f>VLOOKUP($C15,COS!$B$8:$H$991,7,FALSE)</f>
        <v>55.40838623046875</v>
      </c>
      <c r="G15" s="24">
        <f>IF(F15&lt;=IF(MONTH($C15)=4,$F$3,IF(MONTH($C15)=5,$F$4,IF(MONTH($C15)=6,$F$5,IF(MONTH($C15)=7,$F$6,"ERROR")))),1,0)</f>
        <v>1</v>
      </c>
      <c r="H15" s="26">
        <f>IF(J15=1,D15-$C$4,0)</f>
        <v>5232.6396484375</v>
      </c>
      <c r="I15" s="26">
        <f t="shared" si="0"/>
        <v>321.74247094524793</v>
      </c>
      <c r="J15" s="24">
        <f t="shared" ref="J15:J17" si="3">IF(AND(E15=1,G15=1),1,0)</f>
        <v>1</v>
      </c>
      <c r="K15" s="26">
        <f>VLOOKUP($C15,COS!$B$8:$H$991,2,FALSE)</f>
        <v>4552</v>
      </c>
      <c r="L15" s="24">
        <f t="shared" ref="L15:L17" si="4">IF(K15&lt;=IF(MONTH($C15)=4,$I$3,IF(MONTH($C15)=5,$I$4,IF(MONTH($C15)=6,$I$5,IF(MONTH($C15)=7,$I$6,"ERROR")))),1,0)</f>
        <v>1</v>
      </c>
      <c r="M15" s="24">
        <f t="shared" ref="M15:M17" si="5">VLOOKUP($A15,$L$3:$M$7,2,FALSE)</f>
        <v>0</v>
      </c>
      <c r="N15" s="26">
        <f>VLOOKUP($C15,COS!$B$8:$H$991,5,FALSE)</f>
        <v>868.27056884765625</v>
      </c>
      <c r="O15" s="26">
        <f>N15*DAY($C15)*86400/43560/1000</f>
        <v>53.387876299393078</v>
      </c>
      <c r="P15" s="26">
        <f>VLOOKUP($C15,COS!$B$8:$H$991,6,FALSE)</f>
        <v>2241.916259765625</v>
      </c>
      <c r="Q15" s="26">
        <f>P15*DAY($C15)*86400/43560/1000</f>
        <v>137.85005762525824</v>
      </c>
      <c r="R15" s="26">
        <f>MIN(IF(MONTH($C15)=4,$S$3,IF(MONTH($C15)=5,$S$4,IF(MONTH($C15)=6,$S$5,IF(MONTH($C15)=7,$S$6,"ERROR")))),MAX(VLOOKUP($C15,COS!$B$8:$K$991,10,FALSE)-IF(MONTH($C15)=4,$Y$3,IF(MONTH($C15)=5,$Y$4,IF(MONTH($C15)=6,$Y$5,IF(MONTH($C15)=7,$Y$6,"ERROR")))),0),MAX(VLOOKUP($C15,COS!$B$8:$K$991,9,FALSE)-IF(MONTH($C15)=4,$V$3,IF(MONTH($C15)=5,$V$4,IF(MONTH($C15)=6,$V$5,IF(MONTH($C15)=7,$V$6,"ERROR"))))-VLOOKUP($C15,COS!$B$8:$K$991,6,FALSE)/2,0))</f>
        <v>1500</v>
      </c>
      <c r="S15" s="26">
        <f>R15*DAY($C15)*86400/43560/1000</f>
        <v>92.231404958677686</v>
      </c>
      <c r="T15" s="26">
        <f>(O15+Q15)/2+S15</f>
        <v>187.85037192100333</v>
      </c>
      <c r="U15" s="26" t="str">
        <f>IF(VLOOKUP($C15,COS!$B$8:$I$991,8,FALSE)=1,"UWFE","IBU")</f>
        <v>UWFE</v>
      </c>
      <c r="V15" s="26">
        <f>MIN(IF(IF($AA$3=2,AND(E15=1,G15=1,L15=1,L19=1,M15=1,U15="IBU"),AND(E15=1,G15=1,L15=1,L19=1,M15=1)),T15,0),I15)</f>
        <v>0</v>
      </c>
      <c r="W15" s="26"/>
      <c r="X15" s="26"/>
      <c r="Y15" s="26"/>
      <c r="Z15" s="26"/>
      <c r="AA15" s="26"/>
      <c r="AB15" s="33"/>
      <c r="AC15" s="6"/>
      <c r="AD15" s="43">
        <v>1923</v>
      </c>
      <c r="AE15" s="1">
        <f>VLOOKUP(AD15,Flags!$A$13:$B$95,2,FALSE)</f>
        <v>3</v>
      </c>
      <c r="AF15" s="43">
        <f t="shared" ref="AF15:AF78" si="6">SUMIF($B$14:$B$742,$AD15,$I$14:$I$742)</f>
        <v>198.67443246384298</v>
      </c>
      <c r="AG15" s="43">
        <f t="shared" ref="AG15:AG78" si="7">SUMIF($B$14:$B$742,$AD15,$T$14:$T$742)</f>
        <v>652.53447745835479</v>
      </c>
      <c r="AH15" s="43">
        <f t="shared" ref="AH15:AH78" si="8">SUMIF($B$14:$B$742,$AD15,$V$14:$V$742)</f>
        <v>0</v>
      </c>
      <c r="AI15" s="43">
        <f t="shared" ref="AI15:AI78" si="9">SUMIF($B$14:$B$742,$AD15,$X$14:$X$742)</f>
        <v>22757.685081353306</v>
      </c>
      <c r="AJ15" s="43">
        <f t="shared" ref="AJ15:AJ78" si="10">SUMIF($B$14:$B$742,$AD15,$Z$14:$Z$742)</f>
        <v>218.30497927831226</v>
      </c>
      <c r="AK15" s="43">
        <f t="shared" si="1"/>
        <v>104.62114994269757</v>
      </c>
      <c r="AL15" s="43">
        <f t="shared" ref="AL15:AL78" si="11">MIN(AH15,AK15)</f>
        <v>0</v>
      </c>
      <c r="AN15" s="1" t="s">
        <v>41</v>
      </c>
      <c r="AO15" s="43">
        <f>AVERAGE($AL$14:$AL$94)</f>
        <v>68.338067593511767</v>
      </c>
    </row>
    <row r="16" spans="1:41" x14ac:dyDescent="0.3">
      <c r="A16" s="32">
        <f>VLOOKUP(YEAR(C16),Flags!$A$13:$B$95,2,FALSE)</f>
        <v>1</v>
      </c>
      <c r="B16" s="24">
        <f t="shared" si="2"/>
        <v>1922</v>
      </c>
      <c r="C16" s="25">
        <v>8217</v>
      </c>
      <c r="D16" s="26">
        <f>VLOOKUP($C16,COS!$B$8:$H$991,3,FALSE)</f>
        <v>10909.794921875</v>
      </c>
      <c r="E16" s="24">
        <f>IF(D16&gt;=IF(MONTH($C16)=4,$C$3,IF(MONTH($C16)=5,$C$4,IF(MONTH($C16)=6,$C$5,IF(MONTH($C16)=7,$C$6,"ERROR")))),1,0)</f>
        <v>1</v>
      </c>
      <c r="F16" s="26">
        <f>VLOOKUP($C16,COS!$B$8:$H$991,7,FALSE)</f>
        <v>53.329750061035156</v>
      </c>
      <c r="G16" s="24">
        <f>IF(F16&lt;=IF(MONTH($C16)=4,$F$3,IF(MONTH($C16)=5,$F$4,IF(MONTH($C16)=6,$F$5,IF(MONTH($C16)=7,$F$6,"ERROR")))),1,0)</f>
        <v>1</v>
      </c>
      <c r="H16" s="26">
        <f>IF(J16=1,D16-$C$5,0)</f>
        <v>909.794921875</v>
      </c>
      <c r="I16" s="26">
        <f t="shared" si="0"/>
        <v>54.136557334710744</v>
      </c>
      <c r="J16" s="24">
        <f t="shared" si="3"/>
        <v>1</v>
      </c>
      <c r="K16" s="26">
        <f>VLOOKUP($C16,COS!$B$8:$H$991,2,FALSE)</f>
        <v>4241.47265625</v>
      </c>
      <c r="L16" s="24">
        <f t="shared" si="4"/>
        <v>1</v>
      </c>
      <c r="M16" s="24">
        <f t="shared" si="5"/>
        <v>0</v>
      </c>
      <c r="N16" s="26">
        <f>VLOOKUP($C16,COS!$B$8:$H$991,5,FALSE)</f>
        <v>1108.1929931640625</v>
      </c>
      <c r="O16" s="26">
        <f>N16*DAY($C16)*86400/43560/1000</f>
        <v>65.942062403150814</v>
      </c>
      <c r="P16" s="26">
        <f>VLOOKUP($C16,COS!$B$8:$H$991,6,FALSE)</f>
        <v>2347.418701171875</v>
      </c>
      <c r="Q16" s="26">
        <f>P16*DAY($C16)*86400/43560/1000</f>
        <v>139.68111279700415</v>
      </c>
      <c r="R16" s="26">
        <f>MIN(IF(MONTH($C16)=4,$S$3,IF(MONTH($C16)=5,$S$4,IF(MONTH($C16)=6,$S$5,IF(MONTH($C16)=7,$S$6,"ERROR")))),MAX(VLOOKUP($C16,COS!$B$8:$K$991,10,FALSE)-IF(MONTH($C16)=4,$Y$3,IF(MONTH($C16)=5,$Y$4,IF(MONTH($C16)=6,$Y$5,IF(MONTH($C16)=7,$Y$6,"ERROR")))),0),MAX(VLOOKUP($C16,COS!$B$8:$K$991,9,FALSE)-IF(MONTH($C16)=4,$V$3,IF(MONTH($C16)=5,$V$4,IF(MONTH($C16)=6,$V$5,IF(MONTH($C16)=7,$V$6,"ERROR"))))-VLOOKUP($C16,COS!$B$8:$K$991,6,FALSE)/2,0))</f>
        <v>1500</v>
      </c>
      <c r="S16" s="26">
        <f>R16*DAY($C16)*86400/43560/1000</f>
        <v>89.256198347107429</v>
      </c>
      <c r="T16" s="26">
        <f t="shared" ref="T16:T17" si="12">(O16+Q16)/2+S16</f>
        <v>192.06778594718492</v>
      </c>
      <c r="U16" s="26" t="str">
        <f>IF(VLOOKUP($C16,COS!$B$8:$I$991,8,FALSE)=1,"UWFE","IBU")</f>
        <v>UWFE</v>
      </c>
      <c r="V16" s="26">
        <f>MIN(IF(IF($AA$3=2,AND(E16=1,G16=1,L16=1,L19=1,M16=1,U16="IBU"),AND(E16=1,G16=1,L16=1,L19=1,M16=1)),T16,0),I16)</f>
        <v>0</v>
      </c>
      <c r="W16" s="26"/>
      <c r="X16" s="26"/>
      <c r="Y16" s="26"/>
      <c r="Z16" s="26"/>
      <c r="AA16" s="26"/>
      <c r="AB16" s="33"/>
      <c r="AC16" s="6"/>
      <c r="AD16" s="43">
        <v>1924</v>
      </c>
      <c r="AE16" s="1">
        <f>VLOOKUP(AD16,Flags!$A$13:$B$95,2,FALSE)</f>
        <v>5</v>
      </c>
      <c r="AF16" s="43">
        <f t="shared" si="6"/>
        <v>161.14381650309917</v>
      </c>
      <c r="AG16" s="43">
        <f t="shared" si="7"/>
        <v>617.91795171059857</v>
      </c>
      <c r="AH16" s="43">
        <f t="shared" si="8"/>
        <v>161.14381650309917</v>
      </c>
      <c r="AI16" s="43">
        <f t="shared" si="9"/>
        <v>22888.106491154442</v>
      </c>
      <c r="AJ16" s="43">
        <f t="shared" si="10"/>
        <v>598.65797722430273</v>
      </c>
      <c r="AK16" s="43">
        <f t="shared" si="1"/>
        <v>365.60456700348664</v>
      </c>
      <c r="AL16" s="43">
        <f t="shared" si="11"/>
        <v>161.14381650309917</v>
      </c>
      <c r="AN16" s="1" t="s">
        <v>43</v>
      </c>
      <c r="AO16" s="43">
        <f>AVERAGEIF(Flags!$G$14:$G$94,1,$AL$14:$AL$94)</f>
        <v>116.92296578687647</v>
      </c>
    </row>
    <row r="17" spans="1:42" x14ac:dyDescent="0.3">
      <c r="A17" s="32">
        <f>VLOOKUP(YEAR(C17),Flags!$A$13:$B$95,2,FALSE)</f>
        <v>1</v>
      </c>
      <c r="B17" s="24">
        <f t="shared" si="2"/>
        <v>1922</v>
      </c>
      <c r="C17" s="25">
        <v>8248</v>
      </c>
      <c r="D17" s="26">
        <f>VLOOKUP($C17,COS!$B$8:$H$991,3,FALSE)</f>
        <v>12170.349609375</v>
      </c>
      <c r="E17" s="24">
        <f>IF(D17&gt;=IF(MONTH($C17)=4,$C$3,IF(MONTH($C17)=5,$C$4,IF(MONTH($C17)=6,$C$5,IF(MONTH($C17)=7,$C$6,"ERROR")))),1,0)</f>
        <v>1</v>
      </c>
      <c r="F17" s="26">
        <f>VLOOKUP($C17,COS!$B$8:$H$991,7,FALSE)</f>
        <v>54.132045745849609</v>
      </c>
      <c r="G17" s="24">
        <f>IF(F17&lt;=IF(MONTH($C17)=4,$F$3,IF(MONTH($C17)=5,$F$4,IF(MONTH($C17)=6,$F$5,IF(MONTH($C17)=7,$F$6,"ERROR")))),1,0)</f>
        <v>0</v>
      </c>
      <c r="H17" s="26">
        <f>IF(J17=1,D17-$C$6,0)</f>
        <v>0</v>
      </c>
      <c r="I17" s="26">
        <f t="shared" si="0"/>
        <v>0</v>
      </c>
      <c r="J17" s="24">
        <f t="shared" si="3"/>
        <v>0</v>
      </c>
      <c r="K17" s="26">
        <f>VLOOKUP($C17,COS!$B$8:$H$991,2,FALSE)</f>
        <v>3788.69091796875</v>
      </c>
      <c r="L17" s="24">
        <f t="shared" si="4"/>
        <v>1</v>
      </c>
      <c r="M17" s="24">
        <f t="shared" si="5"/>
        <v>0</v>
      </c>
      <c r="N17" s="26">
        <f>VLOOKUP($C17,COS!$B$8:$H$991,5,FALSE)</f>
        <v>1209.6676025390625</v>
      </c>
      <c r="O17" s="26">
        <f>N17*DAY($C17)*86400/43560/1000</f>
        <v>74.379561676782032</v>
      </c>
      <c r="P17" s="26">
        <f>VLOOKUP($C17,COS!$B$8:$H$991,6,FALSE)</f>
        <v>2562.892822265625</v>
      </c>
      <c r="Q17" s="26">
        <f>P17*DAY($C17)*86400/43560/1000</f>
        <v>157.58613717071282</v>
      </c>
      <c r="R17" s="26">
        <f>MIN(IF(MONTH($C17)=4,$S$3,IF(MONTH($C17)=5,$S$4,IF(MONTH($C17)=6,$S$5,IF(MONTH($C17)=7,$S$6,"ERROR")))),MAX(VLOOKUP($C17,COS!$B$8:$K$991,10,FALSE)-IF(MONTH($C17)=4,$Y$3,IF(MONTH($C17)=5,$Y$4,IF(MONTH($C17)=6,$Y$5,IF(MONTH($C17)=7,$Y$6,"ERROR")))),0),MAX(VLOOKUP($C17,COS!$B$8:$K$991,9,FALSE)-IF(MONTH($C17)=4,$V$3,IF(MONTH($C17)=5,$V$4,IF(MONTH($C17)=6,$V$5,IF(MONTH($C17)=7,$V$6,"ERROR"))))-VLOOKUP($C17,COS!$B$8:$K$991,6,FALSE)/2,0))</f>
        <v>1500</v>
      </c>
      <c r="S17" s="26">
        <f>R17*DAY($C17)*86400/43560/1000</f>
        <v>92.231404958677686</v>
      </c>
      <c r="T17" s="26">
        <f t="shared" si="12"/>
        <v>208.21425438242511</v>
      </c>
      <c r="U17" s="26" t="str">
        <f>IF(VLOOKUP($C17,COS!$B$8:$I$991,8,FALSE)=1,"UWFE","IBU")</f>
        <v>IBU</v>
      </c>
      <c r="V17" s="26">
        <f>MIN(IF(IF($AA$3=2,AND(E17=1,G17=1,L17=1,L19=1,M17=1,U17="IBU"),AND(E17=1,G17=1,L17=1,L19=1,M17=1)),T17,0),I17)</f>
        <v>0</v>
      </c>
      <c r="W17" s="26"/>
      <c r="X17" s="26"/>
      <c r="Y17" s="26"/>
      <c r="Z17" s="26"/>
      <c r="AA17" s="26"/>
      <c r="AB17" s="33"/>
      <c r="AC17" s="6"/>
      <c r="AD17" s="43">
        <v>1925</v>
      </c>
      <c r="AE17" s="1">
        <f>VLOOKUP(AD17,Flags!$A$13:$B$95,2,FALSE)</f>
        <v>4</v>
      </c>
      <c r="AF17" s="43">
        <f t="shared" si="6"/>
        <v>43.79148308367769</v>
      </c>
      <c r="AG17" s="43">
        <f t="shared" si="7"/>
        <v>654.4869609132877</v>
      </c>
      <c r="AH17" s="43">
        <f t="shared" si="8"/>
        <v>42.764748192148765</v>
      </c>
      <c r="AI17" s="43">
        <f t="shared" si="9"/>
        <v>22582.151480501034</v>
      </c>
      <c r="AJ17" s="43">
        <f t="shared" si="10"/>
        <v>376.96743043001032</v>
      </c>
      <c r="AK17" s="43">
        <f t="shared" si="1"/>
        <v>267.38984334646182</v>
      </c>
      <c r="AL17" s="43">
        <f>MIN(AH17,AK17)</f>
        <v>42.764748192148765</v>
      </c>
      <c r="AN17" s="1" t="s">
        <v>30</v>
      </c>
      <c r="AO17" s="43">
        <f>AVERAGEIF($AE$14:$AE$94,1,$AL$14:$AL$94)</f>
        <v>0</v>
      </c>
    </row>
    <row r="18" spans="1:42" x14ac:dyDescent="0.3">
      <c r="A18" s="32">
        <f>VLOOKUP(YEAR(C18),Flags!$A$13:$B$95,2,FALSE)</f>
        <v>1</v>
      </c>
      <c r="B18" s="24">
        <f t="shared" si="2"/>
        <v>1922</v>
      </c>
      <c r="C18" s="25">
        <v>8279</v>
      </c>
      <c r="D18" s="26"/>
      <c r="E18" s="24"/>
      <c r="F18" s="26"/>
      <c r="G18" s="24"/>
      <c r="H18" s="24"/>
      <c r="I18" s="26"/>
      <c r="J18" s="24"/>
      <c r="K18" s="26"/>
      <c r="L18" s="24"/>
      <c r="M18" s="24"/>
      <c r="N18" s="26"/>
      <c r="O18" s="26"/>
      <c r="P18" s="26"/>
      <c r="Q18" s="26"/>
      <c r="R18" s="26"/>
      <c r="S18" s="26"/>
      <c r="T18" s="26"/>
      <c r="U18" s="26"/>
      <c r="V18" s="26"/>
      <c r="W18" s="26">
        <f>MAX($C$7-VLOOKUP($C18,COS!$B$8:$H$991,3,FALSE),0)</f>
        <v>89237.1474609375</v>
      </c>
      <c r="X18" s="26">
        <f t="shared" ref="X18:X22" si="13">W18*DAY($C18)*86400/43560/1000</f>
        <v>5486.9783232179752</v>
      </c>
      <c r="Y18" s="26">
        <f>VLOOKUP($C18,COS!$B$8:$H$991,4,FALSE)</f>
        <v>0</v>
      </c>
      <c r="Z18" s="26">
        <f t="shared" ref="Z18:Z22" si="14">Y18*DAY($C18)*86400/43560/1000</f>
        <v>0</v>
      </c>
      <c r="AA18" s="26">
        <f>MIN(W18,Y18)</f>
        <v>0</v>
      </c>
      <c r="AB18" s="33">
        <f>AA18*DAY($C18)*86400/43560/1000*IF(MONTH($C18)=8,$P$3,IF(MONTH($C18)=9,$P$4,IF(MONTH($C18)=10,$P$5,IF(MONTH($C18)=11,$P$6,IF(MONTH($C18)=12,$P$7,NA())))))</f>
        <v>0</v>
      </c>
      <c r="AC18" s="6"/>
      <c r="AD18" s="43">
        <v>1926</v>
      </c>
      <c r="AE18" s="1">
        <f>VLOOKUP(AD18,Flags!$A$13:$B$95,2,FALSE)</f>
        <v>4</v>
      </c>
      <c r="AF18" s="43">
        <f t="shared" si="6"/>
        <v>194.10762009297522</v>
      </c>
      <c r="AG18" s="43">
        <f t="shared" si="7"/>
        <v>628.74933393746369</v>
      </c>
      <c r="AH18" s="43">
        <f t="shared" si="8"/>
        <v>173.3633407870206</v>
      </c>
      <c r="AI18" s="43">
        <f t="shared" si="9"/>
        <v>22920.123877840906</v>
      </c>
      <c r="AJ18" s="43">
        <f t="shared" si="10"/>
        <v>222.87584847946798</v>
      </c>
      <c r="AK18" s="43">
        <f t="shared" si="1"/>
        <v>222.87584847946798</v>
      </c>
      <c r="AL18" s="43">
        <f t="shared" si="11"/>
        <v>173.3633407870206</v>
      </c>
      <c r="AN18" s="1" t="s">
        <v>42</v>
      </c>
      <c r="AO18" s="43">
        <f>AVERAGEIF($AE$14:$AE$94,2,$AL$14:$AL$94)</f>
        <v>0</v>
      </c>
    </row>
    <row r="19" spans="1:42" x14ac:dyDescent="0.3">
      <c r="A19" s="32">
        <f>VLOOKUP(YEAR(C19),Flags!$A$13:$B$95,2,FALSE)</f>
        <v>1</v>
      </c>
      <c r="B19" s="24">
        <f t="shared" si="2"/>
        <v>1922</v>
      </c>
      <c r="C19" s="25">
        <v>8309</v>
      </c>
      <c r="D19" s="26"/>
      <c r="E19" s="24"/>
      <c r="F19" s="26"/>
      <c r="G19" s="24"/>
      <c r="H19" s="24"/>
      <c r="I19" s="26"/>
      <c r="J19" s="24"/>
      <c r="K19" s="26">
        <f>VLOOKUP($C19,COS!$B$8:$H$991,2,FALSE)</f>
        <v>2693.51513671875</v>
      </c>
      <c r="L19" s="24">
        <f>IF(AND(K19&gt;$I$7,K19&lt;$I$8),1,0)</f>
        <v>1</v>
      </c>
      <c r="M19" s="24"/>
      <c r="N19" s="26"/>
      <c r="O19" s="26"/>
      <c r="P19" s="26"/>
      <c r="Q19" s="26"/>
      <c r="R19" s="26"/>
      <c r="S19" s="26"/>
      <c r="T19" s="26"/>
      <c r="U19" s="26"/>
      <c r="V19" s="26"/>
      <c r="W19" s="26">
        <f>MAX($C$8-VLOOKUP($C19,COS!$B$8:$H$991,3,FALSE),0)</f>
        <v>82918.25390625</v>
      </c>
      <c r="X19" s="26">
        <f t="shared" si="13"/>
        <v>4933.9787448347106</v>
      </c>
      <c r="Y19" s="26">
        <f>VLOOKUP($C19,COS!$B$8:$H$991,4,FALSE)</f>
        <v>136.41513061523438</v>
      </c>
      <c r="Z19" s="26">
        <f t="shared" si="14"/>
        <v>8.1172639704932852</v>
      </c>
      <c r="AA19" s="26">
        <f t="shared" ref="AA19:AA22" si="15">MIN(W19,Y19)</f>
        <v>136.41513061523438</v>
      </c>
      <c r="AB19" s="33">
        <f t="shared" ref="AB19:AB22" si="16">AA19*DAY($C19)*86400/43560/1000*IF(MONTH($C19)=8,$P$3,IF(MONTH($C19)=9,$P$4,IF(MONTH($C19)=10,$P$5,IF(MONTH($C19)=11,$P$6,IF(MONTH($C19)=12,$P$7,NA())))))</f>
        <v>8.1172639704932852</v>
      </c>
      <c r="AC19" s="6"/>
      <c r="AD19" s="43">
        <v>1927</v>
      </c>
      <c r="AE19" s="1">
        <f>VLOOKUP(AD19,Flags!$A$13:$B$95,2,FALSE)</f>
        <v>2</v>
      </c>
      <c r="AF19" s="43">
        <f t="shared" si="6"/>
        <v>577.17067019628098</v>
      </c>
      <c r="AG19" s="43">
        <f t="shared" si="7"/>
        <v>702.40231152747288</v>
      </c>
      <c r="AH19" s="43">
        <f t="shared" si="8"/>
        <v>0</v>
      </c>
      <c r="AI19" s="43">
        <f t="shared" si="9"/>
        <v>22032.42545841942</v>
      </c>
      <c r="AJ19" s="43">
        <f t="shared" si="10"/>
        <v>102.32853633659931</v>
      </c>
      <c r="AK19" s="43">
        <f t="shared" si="1"/>
        <v>84.665892878760985</v>
      </c>
      <c r="AL19" s="43">
        <f t="shared" si="11"/>
        <v>0</v>
      </c>
      <c r="AN19" s="1" t="s">
        <v>32</v>
      </c>
      <c r="AO19" s="43">
        <f>AVERAGEIF($AE$14:$AE$94,3,$AL$14:$AL$94)</f>
        <v>124.72157036991248</v>
      </c>
    </row>
    <row r="20" spans="1:42" x14ac:dyDescent="0.3">
      <c r="A20" s="32">
        <f>VLOOKUP(YEAR(C20),Flags!$A$13:$B$95,2,FALSE)</f>
        <v>1</v>
      </c>
      <c r="B20" s="24">
        <f t="shared" si="2"/>
        <v>1922</v>
      </c>
      <c r="C20" s="25">
        <v>8340</v>
      </c>
      <c r="D20" s="26"/>
      <c r="E20" s="24"/>
      <c r="F20" s="26"/>
      <c r="G20" s="26"/>
      <c r="H20" s="26"/>
      <c r="I20" s="26"/>
      <c r="J20" s="26"/>
      <c r="K20" s="26"/>
      <c r="L20" s="24"/>
      <c r="M20" s="24"/>
      <c r="N20" s="26"/>
      <c r="O20" s="26"/>
      <c r="P20" s="26"/>
      <c r="Q20" s="26"/>
      <c r="R20" s="26"/>
      <c r="S20" s="26"/>
      <c r="T20" s="26"/>
      <c r="U20" s="26"/>
      <c r="V20" s="26"/>
      <c r="W20" s="26">
        <f>MAX($C$9-VLOOKUP($C20,COS!$B$8:$H$991,3,FALSE),0)</f>
        <v>95405.1708984375</v>
      </c>
      <c r="X20" s="26">
        <f t="shared" si="13"/>
        <v>5866.2353015237595</v>
      </c>
      <c r="Y20" s="26">
        <f>VLOOKUP($C20,COS!$B$8:$H$991,4,FALSE)</f>
        <v>940.9134521484375</v>
      </c>
      <c r="Z20" s="26">
        <f t="shared" si="14"/>
        <v>57.85451309077996</v>
      </c>
      <c r="AA20" s="26">
        <f t="shared" si="15"/>
        <v>940.9134521484375</v>
      </c>
      <c r="AB20" s="33">
        <f t="shared" si="16"/>
        <v>57.85451309077996</v>
      </c>
      <c r="AC20" s="6"/>
      <c r="AD20" s="44">
        <v>1928</v>
      </c>
      <c r="AE20" s="45">
        <f>VLOOKUP(AD20,Flags!$A$13:$B$95,2,FALSE)</f>
        <v>2</v>
      </c>
      <c r="AF20" s="44">
        <f t="shared" si="6"/>
        <v>530.64339456353309</v>
      </c>
      <c r="AG20" s="44">
        <f t="shared" si="7"/>
        <v>653.27225191478885</v>
      </c>
      <c r="AH20" s="44">
        <f t="shared" si="8"/>
        <v>0</v>
      </c>
      <c r="AI20" s="44">
        <f t="shared" si="9"/>
        <v>21821.997559400828</v>
      </c>
      <c r="AJ20" s="44">
        <f t="shared" si="10"/>
        <v>112.69071519394552</v>
      </c>
      <c r="AK20" s="44">
        <f t="shared" si="1"/>
        <v>81.927064302933118</v>
      </c>
      <c r="AL20" s="44">
        <f t="shared" si="11"/>
        <v>0</v>
      </c>
      <c r="AN20" s="1" t="s">
        <v>33</v>
      </c>
      <c r="AO20" s="43">
        <f>AVERAGEIF($AE$14:$AE$94,4,$AL$14:$AL$94)</f>
        <v>156.29323407209409</v>
      </c>
    </row>
    <row r="21" spans="1:42" x14ac:dyDescent="0.3">
      <c r="A21" s="32">
        <f>VLOOKUP(YEAR(C21),Flags!$A$13:$B$95,2,FALSE)</f>
        <v>1</v>
      </c>
      <c r="B21" s="24">
        <f t="shared" si="2"/>
        <v>1922</v>
      </c>
      <c r="C21" s="25">
        <v>8370</v>
      </c>
      <c r="D21" s="26"/>
      <c r="E21" s="24"/>
      <c r="F21" s="26"/>
      <c r="G21" s="26"/>
      <c r="H21" s="26"/>
      <c r="I21" s="26"/>
      <c r="J21" s="26"/>
      <c r="K21" s="26"/>
      <c r="L21" s="24"/>
      <c r="M21" s="24"/>
      <c r="N21" s="26"/>
      <c r="O21" s="26"/>
      <c r="P21" s="26"/>
      <c r="Q21" s="26"/>
      <c r="R21" s="26"/>
      <c r="S21" s="26"/>
      <c r="T21" s="26"/>
      <c r="U21" s="26"/>
      <c r="V21" s="26"/>
      <c r="W21" s="26">
        <f>MAX($C$10-VLOOKUP($C21,COS!$B$8:$H$991,3,FALSE),0)</f>
        <v>92011.9228515625</v>
      </c>
      <c r="X21" s="26">
        <f t="shared" si="13"/>
        <v>5475.0896242252065</v>
      </c>
      <c r="Y21" s="26">
        <f>VLOOKUP($C21,COS!$B$8:$H$991,4,FALSE)</f>
        <v>1104.9873046875</v>
      </c>
      <c r="Z21" s="26">
        <f t="shared" si="14"/>
        <v>65.751310692148763</v>
      </c>
      <c r="AA21" s="26">
        <f t="shared" si="15"/>
        <v>1104.9873046875</v>
      </c>
      <c r="AB21" s="33">
        <f t="shared" si="16"/>
        <v>32.875655346074382</v>
      </c>
      <c r="AC21" s="6"/>
      <c r="AD21" s="44">
        <v>1929</v>
      </c>
      <c r="AE21" s="45">
        <f>VLOOKUP(AD21,Flags!$A$13:$B$95,2,FALSE)</f>
        <v>5</v>
      </c>
      <c r="AF21" s="44">
        <f t="shared" si="6"/>
        <v>127.9222265625</v>
      </c>
      <c r="AG21" s="44">
        <f t="shared" si="7"/>
        <v>580.13305915265039</v>
      </c>
      <c r="AH21" s="44">
        <f t="shared" si="8"/>
        <v>127.9222265625</v>
      </c>
      <c r="AI21" s="44">
        <f t="shared" si="9"/>
        <v>22823.152223979851</v>
      </c>
      <c r="AJ21" s="44">
        <f t="shared" si="10"/>
        <v>547.35015011621897</v>
      </c>
      <c r="AK21" s="44">
        <f t="shared" si="1"/>
        <v>406.43818238313537</v>
      </c>
      <c r="AL21" s="44">
        <f t="shared" si="11"/>
        <v>127.9222265625</v>
      </c>
      <c r="AN21" s="1" t="s">
        <v>10</v>
      </c>
      <c r="AO21" s="43">
        <f>AVERAGEIF($AE$14:$AE$94,5,$AL$14:$AL$94)</f>
        <v>86.465126630294421</v>
      </c>
    </row>
    <row r="22" spans="1:42" x14ac:dyDescent="0.3">
      <c r="A22" s="34">
        <f>VLOOKUP(YEAR(C22),Flags!$A$13:$B$95,2,FALSE)</f>
        <v>1</v>
      </c>
      <c r="B22" s="35">
        <f t="shared" si="2"/>
        <v>1922</v>
      </c>
      <c r="C22" s="36">
        <v>8401</v>
      </c>
      <c r="D22" s="37"/>
      <c r="E22" s="35"/>
      <c r="F22" s="37"/>
      <c r="G22" s="37"/>
      <c r="H22" s="37"/>
      <c r="I22" s="37"/>
      <c r="J22" s="37"/>
      <c r="K22" s="37"/>
      <c r="L22" s="35"/>
      <c r="M22" s="35"/>
      <c r="N22" s="37"/>
      <c r="O22" s="37"/>
      <c r="P22" s="37"/>
      <c r="Q22" s="37"/>
      <c r="R22" s="37"/>
      <c r="S22" s="37"/>
      <c r="T22" s="37"/>
      <c r="U22" s="37"/>
      <c r="V22" s="37"/>
      <c r="W22" s="37">
        <f>MAX($C$11-VLOOKUP($C22,COS!$B$8:$H$991,3,FALSE),0)</f>
        <v>0</v>
      </c>
      <c r="X22" s="37">
        <f t="shared" si="13"/>
        <v>0</v>
      </c>
      <c r="Y22" s="37">
        <f>VLOOKUP($C22,COS!$B$8:$H$991,4,FALSE)</f>
        <v>0</v>
      </c>
      <c r="Z22" s="37">
        <f t="shared" si="14"/>
        <v>0</v>
      </c>
      <c r="AA22" s="37">
        <f t="shared" si="15"/>
        <v>0</v>
      </c>
      <c r="AB22" s="38">
        <f t="shared" si="16"/>
        <v>0</v>
      </c>
      <c r="AC22" s="6"/>
      <c r="AD22" s="44">
        <v>1930</v>
      </c>
      <c r="AE22" s="45">
        <f>VLOOKUP(AD22,Flags!$A$13:$B$95,2,FALSE)</f>
        <v>4</v>
      </c>
      <c r="AF22" s="44">
        <f t="shared" si="6"/>
        <v>0</v>
      </c>
      <c r="AG22" s="44">
        <f t="shared" si="7"/>
        <v>613.88301786690704</v>
      </c>
      <c r="AH22" s="44">
        <f t="shared" si="8"/>
        <v>0</v>
      </c>
      <c r="AI22" s="44">
        <f t="shared" si="9"/>
        <v>22966.413810046488</v>
      </c>
      <c r="AJ22" s="44">
        <f t="shared" si="10"/>
        <v>529.99753042678208</v>
      </c>
      <c r="AK22" s="44">
        <f t="shared" si="1"/>
        <v>359.26877881262914</v>
      </c>
      <c r="AL22" s="44">
        <f t="shared" si="11"/>
        <v>0</v>
      </c>
    </row>
    <row r="23" spans="1:42" x14ac:dyDescent="0.3">
      <c r="A23" s="27">
        <f>VLOOKUP(YEAR(C23),Flags!$A$13:$B$95,2,FALSE)</f>
        <v>3</v>
      </c>
      <c r="B23" s="28">
        <f t="shared" si="2"/>
        <v>1923</v>
      </c>
      <c r="C23" s="29">
        <v>8521</v>
      </c>
      <c r="D23" s="30">
        <f>VLOOKUP($C23,COS!$B$8:$H$991,3,FALSE)</f>
        <v>3250</v>
      </c>
      <c r="E23" s="28">
        <f>IF(D23&gt;=IF(MONTH($C23)=4,$C$3,IF(MONTH($C23)=5,$C$4,IF(MONTH($C23)=6,$C$5,IF(MONTH($C23)=7,$C$6,"ERROR")))),1,0)</f>
        <v>0</v>
      </c>
      <c r="F23" s="30">
        <f>VLOOKUP($C23,COS!$B$8:$H$991,7,FALSE)</f>
        <v>52.349773406982422</v>
      </c>
      <c r="G23" s="28">
        <f>IF(F23&lt;=IF(MONTH($C23)=4,$F$3,IF(MONTH($C23)=5,$F$4,IF(MONTH($C23)=6,$F$5,IF(MONTH($C23)=7,$F$6,"ERROR")))),1,0)</f>
        <v>1</v>
      </c>
      <c r="H23" s="30">
        <f>IF(J23=1,D23-$C$3,0)</f>
        <v>0</v>
      </c>
      <c r="I23" s="30">
        <f t="shared" ref="I23:I86" si="17">H23*DAY($C23)*86400/43560/1000</f>
        <v>0</v>
      </c>
      <c r="J23" s="28">
        <f t="shared" ref="J23:J26" si="18">IF(AND(E23=1,G23=1),1,0)</f>
        <v>0</v>
      </c>
      <c r="K23" s="30">
        <f>VLOOKUP($C23,COS!$B$8:$H$991,2,FALSE)</f>
        <v>3743.0517578125</v>
      </c>
      <c r="L23" s="28">
        <f t="shared" ref="L23:L80" si="19">IF(K23&lt;=IF(MONTH($C23)=4,$I$3,IF(MONTH($C23)=5,$I$4,IF(MONTH($C23)=6,$I$5,IF(MONTH($C23)=7,$I$6,"ERROR")))),1,0)</f>
        <v>1</v>
      </c>
      <c r="M23" s="28">
        <f t="shared" ref="M23:M80" si="20">VLOOKUP($A23,$L$3:$M$7,2,FALSE)</f>
        <v>1</v>
      </c>
      <c r="N23" s="30">
        <f>VLOOKUP($C23,COS!$B$8:$H$991,5,FALSE)</f>
        <v>244.48347473144531</v>
      </c>
      <c r="O23" s="30">
        <f t="shared" ref="O23:O26" si="21">N23*DAY($C23)*86400/43560/1000</f>
        <v>14.547777008813275</v>
      </c>
      <c r="P23" s="30">
        <f>VLOOKUP($C23,COS!$B$8:$H$991,6,FALSE)</f>
        <v>427.781494140625</v>
      </c>
      <c r="Q23" s="30">
        <f t="shared" ref="Q23:Q26" si="22">P23*DAY($C23)*86400/43560/1000</f>
        <v>25.454766593491733</v>
      </c>
      <c r="R23" s="30">
        <f>MIN(IF(MONTH($C23)=4,$S$3,IF(MONTH($C23)=5,$S$4,IF(MONTH($C23)=6,$S$5,IF(MONTH($C23)=7,$S$6,"ERROR")))),MAX(VLOOKUP($C23,COS!$B$8:$K$991,10,FALSE)-IF(MONTH($C23)=4,$Y$3,IF(MONTH($C23)=5,$Y$4,IF(MONTH($C23)=6,$Y$5,IF(MONTH($C23)=7,$Y$6,"ERROR")))),0),MAX(VLOOKUP($C23,COS!$B$8:$K$991,9,FALSE)-IF(MONTH($C23)=4,$V$3,IF(MONTH($C23)=5,$V$4,IF(MONTH($C23)=6,$V$5,IF(MONTH($C23)=7,$V$6,"ERROR"))))-VLOOKUP($C23,COS!$B$8:$K$991,6,FALSE)/2,0))</f>
        <v>1500</v>
      </c>
      <c r="S23" s="30">
        <f t="shared" ref="S23:S26" si="23">R23*DAY($C23)*86400/43560/1000</f>
        <v>89.256198347107429</v>
      </c>
      <c r="T23" s="30">
        <f t="shared" ref="T23:T26" si="24">(O23+Q23)/2+S23</f>
        <v>109.25747014825993</v>
      </c>
      <c r="U23" s="30" t="str">
        <f>IF(VLOOKUP($C23,COS!$B$8:$I$991,8,FALSE)=1,"UWFE","IBU")</f>
        <v>UWFE</v>
      </c>
      <c r="V23" s="30">
        <f t="shared" ref="V23" si="25">MIN(IF(IF($AA$3=2,AND(E23=1,G23=1,L23=1,L28=1,M23=1,U23="IBU"),AND(E23=1,G23=1,L23=1,L28=1,M23=1)),T23,0),I23)</f>
        <v>0</v>
      </c>
      <c r="W23" s="30"/>
      <c r="X23" s="30"/>
      <c r="Y23" s="30"/>
      <c r="Z23" s="30"/>
      <c r="AA23" s="30"/>
      <c r="AB23" s="31"/>
      <c r="AC23" s="6"/>
      <c r="AD23" s="44">
        <v>1931</v>
      </c>
      <c r="AE23" s="45">
        <f>VLOOKUP(AD23,Flags!$A$13:$B$95,2,FALSE)</f>
        <v>5</v>
      </c>
      <c r="AF23" s="44">
        <f t="shared" si="6"/>
        <v>174.23468879132233</v>
      </c>
      <c r="AG23" s="44">
        <f t="shared" si="7"/>
        <v>600.06150887985859</v>
      </c>
      <c r="AH23" s="44">
        <f t="shared" si="8"/>
        <v>174.23468879132233</v>
      </c>
      <c r="AI23" s="44">
        <f t="shared" si="9"/>
        <v>22998.790061660642</v>
      </c>
      <c r="AJ23" s="44">
        <f t="shared" si="10"/>
        <v>417.20645168840394</v>
      </c>
      <c r="AK23" s="44">
        <f t="shared" si="1"/>
        <v>377.63865161738124</v>
      </c>
      <c r="AL23" s="44">
        <f t="shared" si="11"/>
        <v>174.23468879132233</v>
      </c>
      <c r="AN23" s="6">
        <f>AO15</f>
        <v>68.338067593511767</v>
      </c>
      <c r="AO23">
        <f t="shared" ref="AO23:AO33" si="26">COUNTIF($AL$14:$AL$94,"&gt;"&amp;AN23)</f>
        <v>26</v>
      </c>
      <c r="AP23">
        <f>AVERAGEIF($AL$14:$AL$94,"&gt;"&amp;AN23)</f>
        <v>205.4715947537625</v>
      </c>
    </row>
    <row r="24" spans="1:42" x14ac:dyDescent="0.3">
      <c r="A24" s="32">
        <f>VLOOKUP(YEAR(C24),Flags!$A$13:$B$95,2,FALSE)</f>
        <v>3</v>
      </c>
      <c r="B24" s="24">
        <f t="shared" si="2"/>
        <v>1923</v>
      </c>
      <c r="C24" s="25">
        <v>8552</v>
      </c>
      <c r="D24" s="26">
        <f>VLOOKUP($C24,COS!$B$8:$H$991,3,FALSE)</f>
        <v>9231.1298828125</v>
      </c>
      <c r="E24" s="24">
        <f>IF(D24&gt;=IF(MONTH($C24)=4,$C$3,IF(MONTH($C24)=5,$C$4,IF(MONTH($C24)=6,$C$5,IF(MONTH($C24)=7,$C$6,"ERROR")))),1,0)</f>
        <v>1</v>
      </c>
      <c r="F24" s="26">
        <f>VLOOKUP($C24,COS!$B$8:$H$991,7,FALSE)</f>
        <v>55.448532104492188</v>
      </c>
      <c r="G24" s="24">
        <f>IF(F24&lt;=IF(MONTH($C24)=4,$F$3,IF(MONTH($C24)=5,$F$4,IF(MONTH($C24)=6,$F$5,IF(MONTH($C24)=7,$F$6,"ERROR")))),1,0)</f>
        <v>1</v>
      </c>
      <c r="H24" s="26">
        <f>IF(J24=1,D24-$C$4,0)</f>
        <v>3231.1298828125</v>
      </c>
      <c r="I24" s="26">
        <f t="shared" si="17"/>
        <v>198.67443246384298</v>
      </c>
      <c r="J24" s="24">
        <f t="shared" si="18"/>
        <v>1</v>
      </c>
      <c r="K24" s="26">
        <f>VLOOKUP($C24,COS!$B$8:$H$991,2,FALSE)</f>
        <v>3524.205322265625</v>
      </c>
      <c r="L24" s="24">
        <f t="shared" si="19"/>
        <v>1</v>
      </c>
      <c r="M24" s="24">
        <f t="shared" si="20"/>
        <v>1</v>
      </c>
      <c r="N24" s="26">
        <f>VLOOKUP($C24,COS!$B$8:$H$991,5,FALSE)</f>
        <v>301.41696166992188</v>
      </c>
      <c r="O24" s="26">
        <f t="shared" si="21"/>
        <v>18.533406568795193</v>
      </c>
      <c r="P24" s="26">
        <f>VLOOKUP($C24,COS!$B$8:$H$991,6,FALSE)</f>
        <v>2265.772216796875</v>
      </c>
      <c r="Q24" s="26">
        <f t="shared" si="22"/>
        <v>139.31690324767561</v>
      </c>
      <c r="R24" s="26">
        <f>MIN(IF(MONTH($C24)=4,$S$3,IF(MONTH($C24)=5,$S$4,IF(MONTH($C24)=6,$S$5,IF(MONTH($C24)=7,$S$6,"ERROR")))),MAX(VLOOKUP($C24,COS!$B$8:$K$991,10,FALSE)-IF(MONTH($C24)=4,$Y$3,IF(MONTH($C24)=5,$Y$4,IF(MONTH($C24)=6,$Y$5,IF(MONTH($C24)=7,$Y$6,"ERROR")))),0),MAX(VLOOKUP($C24,COS!$B$8:$K$991,9,FALSE)-IF(MONTH($C24)=4,$V$3,IF(MONTH($C24)=5,$V$4,IF(MONTH($C24)=6,$V$5,IF(MONTH($C24)=7,$V$6,"ERROR"))))-VLOOKUP($C24,COS!$B$8:$K$991,6,FALSE)/2,0))</f>
        <v>1500</v>
      </c>
      <c r="S24" s="26">
        <f t="shared" si="23"/>
        <v>92.231404958677686</v>
      </c>
      <c r="T24" s="26">
        <f t="shared" si="24"/>
        <v>171.15655986691308</v>
      </c>
      <c r="U24" s="26" t="str">
        <f>IF(VLOOKUP($C24,COS!$B$8:$I$991,8,FALSE)=1,"UWFE","IBU")</f>
        <v>UWFE</v>
      </c>
      <c r="V24" s="26">
        <f t="shared" ref="V24" si="27">MIN(IF(IF($AA$3=2,AND(E24=1,G24=1,L24=1,L28=1,M24=1,U24="IBU"),AND(E24=1,G24=1,L24=1,L28=1,M24=1)),T24,0),I24)</f>
        <v>0</v>
      </c>
      <c r="W24" s="26"/>
      <c r="X24" s="26"/>
      <c r="Y24" s="26"/>
      <c r="Z24" s="26"/>
      <c r="AA24" s="26"/>
      <c r="AB24" s="33"/>
      <c r="AC24" s="6"/>
      <c r="AD24" s="44">
        <v>1932</v>
      </c>
      <c r="AE24" s="45">
        <f>VLOOKUP(AD24,Flags!$A$13:$B$95,2,FALSE)</f>
        <v>5</v>
      </c>
      <c r="AF24" s="44">
        <f t="shared" si="6"/>
        <v>0</v>
      </c>
      <c r="AG24" s="44">
        <f t="shared" si="7"/>
        <v>577.67348919324638</v>
      </c>
      <c r="AH24" s="44">
        <f t="shared" si="8"/>
        <v>0</v>
      </c>
      <c r="AI24" s="44">
        <f t="shared" si="9"/>
        <v>22993.963981146695</v>
      </c>
      <c r="AJ24" s="44">
        <f t="shared" si="10"/>
        <v>468.21170793517558</v>
      </c>
      <c r="AK24" s="44">
        <f t="shared" si="1"/>
        <v>269.78905911027891</v>
      </c>
      <c r="AL24" s="44">
        <f t="shared" si="11"/>
        <v>0</v>
      </c>
      <c r="AN24" s="6">
        <v>15</v>
      </c>
      <c r="AO24">
        <f t="shared" si="26"/>
        <v>31</v>
      </c>
      <c r="AP24">
        <f>AVERAGEIF($AL$14:$AL$94,"&gt;"&amp;AN24)</f>
        <v>178.15673350013563</v>
      </c>
    </row>
    <row r="25" spans="1:42" x14ac:dyDescent="0.3">
      <c r="A25" s="32">
        <f>VLOOKUP(YEAR(C25),Flags!$A$13:$B$95,2,FALSE)</f>
        <v>3</v>
      </c>
      <c r="B25" s="24">
        <f t="shared" si="2"/>
        <v>1923</v>
      </c>
      <c r="C25" s="25">
        <v>8582</v>
      </c>
      <c r="D25" s="26">
        <f>VLOOKUP($C25,COS!$B$8:$H$991,3,FALSE)</f>
        <v>9187.771484375</v>
      </c>
      <c r="E25" s="24">
        <f>IF(D25&gt;=IF(MONTH($C25)=4,$C$3,IF(MONTH($C25)=5,$C$4,IF(MONTH($C25)=6,$C$5,IF(MONTH($C25)=7,$C$6,"ERROR")))),1,0)</f>
        <v>0</v>
      </c>
      <c r="F25" s="26">
        <f>VLOOKUP($C25,COS!$B$8:$H$991,7,FALSE)</f>
        <v>53.151496887207031</v>
      </c>
      <c r="G25" s="24">
        <f>IF(F25&lt;=IF(MONTH($C25)=4,$F$3,IF(MONTH($C25)=5,$F$4,IF(MONTH($C25)=6,$F$5,IF(MONTH($C25)=7,$F$6,"ERROR")))),1,0)</f>
        <v>1</v>
      </c>
      <c r="H25" s="26">
        <f>IF(J25=1,D25-$C$5,0)</f>
        <v>0</v>
      </c>
      <c r="I25" s="26">
        <f t="shared" si="17"/>
        <v>0</v>
      </c>
      <c r="J25" s="24">
        <f t="shared" si="18"/>
        <v>0</v>
      </c>
      <c r="K25" s="26">
        <f>VLOOKUP($C25,COS!$B$8:$H$991,2,FALSE)</f>
        <v>3273.186279296875</v>
      </c>
      <c r="L25" s="24">
        <f t="shared" si="19"/>
        <v>1</v>
      </c>
      <c r="M25" s="24">
        <f t="shared" si="20"/>
        <v>1</v>
      </c>
      <c r="N25" s="26">
        <f>VLOOKUP($C25,COS!$B$8:$H$991,5,FALSE)</f>
        <v>530.37872314453125</v>
      </c>
      <c r="O25" s="26">
        <f t="shared" si="21"/>
        <v>31.559725674715907</v>
      </c>
      <c r="P25" s="26">
        <f>VLOOKUP($C25,COS!$B$8:$H$991,6,FALSE)</f>
        <v>2621.187744140625</v>
      </c>
      <c r="Q25" s="26">
        <f t="shared" si="22"/>
        <v>155.97150213068181</v>
      </c>
      <c r="R25" s="26">
        <f>MIN(IF(MONTH($C25)=4,$S$3,IF(MONTH($C25)=5,$S$4,IF(MONTH($C25)=6,$S$5,IF(MONTH($C25)=7,$S$6,"ERROR")))),MAX(VLOOKUP($C25,COS!$B$8:$K$991,10,FALSE)-IF(MONTH($C25)=4,$Y$3,IF(MONTH($C25)=5,$Y$4,IF(MONTH($C25)=6,$Y$5,IF(MONTH($C25)=7,$Y$6,"ERROR")))),0),MAX(VLOOKUP($C25,COS!$B$8:$K$991,9,FALSE)-IF(MONTH($C25)=4,$V$3,IF(MONTH($C25)=5,$V$4,IF(MONTH($C25)=6,$V$5,IF(MONTH($C25)=7,$V$6,"ERROR"))))-VLOOKUP($C25,COS!$B$8:$K$991,6,FALSE)/2,0))</f>
        <v>1500</v>
      </c>
      <c r="S25" s="26">
        <f t="shared" si="23"/>
        <v>89.256198347107429</v>
      </c>
      <c r="T25" s="26">
        <f t="shared" si="24"/>
        <v>183.02181224980629</v>
      </c>
      <c r="U25" s="26" t="str">
        <f>IF(VLOOKUP($C25,COS!$B$8:$I$991,8,FALSE)=1,"UWFE","IBU")</f>
        <v>IBU</v>
      </c>
      <c r="V25" s="26">
        <f t="shared" ref="V25" si="28">MIN(IF(IF($AA$3=2,AND(E25=1,G25=1,L25=1,L28=1,M25=1,U25="IBU"),AND(E25=1,G25=1,L25=1,L28=1,M25=1)),T25,0),I25)</f>
        <v>0</v>
      </c>
      <c r="W25" s="26"/>
      <c r="X25" s="26"/>
      <c r="Y25" s="26"/>
      <c r="Z25" s="26"/>
      <c r="AA25" s="26"/>
      <c r="AB25" s="33"/>
      <c r="AC25" s="6"/>
      <c r="AD25" s="44">
        <v>1933</v>
      </c>
      <c r="AE25" s="45">
        <f>VLOOKUP(AD25,Flags!$A$13:$B$95,2,FALSE)</f>
        <v>5</v>
      </c>
      <c r="AF25" s="44">
        <f t="shared" si="6"/>
        <v>30.825164643595041</v>
      </c>
      <c r="AG25" s="44">
        <f t="shared" si="7"/>
        <v>581.39606733337905</v>
      </c>
      <c r="AH25" s="44">
        <f t="shared" si="8"/>
        <v>0</v>
      </c>
      <c r="AI25" s="44">
        <f t="shared" si="9"/>
        <v>22995.803822959708</v>
      </c>
      <c r="AJ25" s="44">
        <f t="shared" si="10"/>
        <v>364.82492195570762</v>
      </c>
      <c r="AK25" s="44">
        <f t="shared" si="1"/>
        <v>284.78267457063532</v>
      </c>
      <c r="AL25" s="44">
        <f t="shared" si="11"/>
        <v>0</v>
      </c>
      <c r="AN25" s="6">
        <v>30</v>
      </c>
      <c r="AO25">
        <f t="shared" si="26"/>
        <v>29</v>
      </c>
      <c r="AP25">
        <f t="shared" ref="AP25:AP33" si="29">AVERAGEIF($AL$14:$AL$94,"&gt;"&amp;AN25)</f>
        <v>189.00153901842387</v>
      </c>
    </row>
    <row r="26" spans="1:42" x14ac:dyDescent="0.3">
      <c r="A26" s="32">
        <f>VLOOKUP(YEAR(C26),Flags!$A$13:$B$95,2,FALSE)</f>
        <v>3</v>
      </c>
      <c r="B26" s="24">
        <f t="shared" si="2"/>
        <v>1923</v>
      </c>
      <c r="C26" s="25">
        <v>8613</v>
      </c>
      <c r="D26" s="26">
        <f>VLOOKUP($C26,COS!$B$8:$H$991,3,FALSE)</f>
        <v>11611.94921875</v>
      </c>
      <c r="E26" s="24">
        <f>IF(D26&gt;=IF(MONTH($C26)=4,$C$3,IF(MONTH($C26)=5,$C$4,IF(MONTH($C26)=6,$C$5,IF(MONTH($C26)=7,$C$6,"ERROR")))),1,0)</f>
        <v>0</v>
      </c>
      <c r="F26" s="26">
        <f>VLOOKUP($C26,COS!$B$8:$H$991,7,FALSE)</f>
        <v>55.377204895019531</v>
      </c>
      <c r="G26" s="24">
        <f>IF(F26&lt;=IF(MONTH($C26)=4,$F$3,IF(MONTH($C26)=5,$F$4,IF(MONTH($C26)=6,$F$5,IF(MONTH($C26)=7,$F$6,"ERROR")))),1,0)</f>
        <v>0</v>
      </c>
      <c r="H26" s="26">
        <f>IF(J26=1,D26-$C$6,0)</f>
        <v>0</v>
      </c>
      <c r="I26" s="26">
        <f t="shared" si="17"/>
        <v>0</v>
      </c>
      <c r="J26" s="24">
        <f t="shared" si="18"/>
        <v>0</v>
      </c>
      <c r="K26" s="26">
        <f>VLOOKUP($C26,COS!$B$8:$H$991,2,FALSE)</f>
        <v>2867.132080078125</v>
      </c>
      <c r="L26" s="24">
        <f t="shared" si="19"/>
        <v>1</v>
      </c>
      <c r="M26" s="24">
        <f t="shared" si="20"/>
        <v>1</v>
      </c>
      <c r="N26" s="26">
        <f>VLOOKUP($C26,COS!$B$8:$H$991,5,FALSE)</f>
        <v>613.4034423828125</v>
      </c>
      <c r="O26" s="26">
        <f t="shared" si="21"/>
        <v>37.716707531637397</v>
      </c>
      <c r="P26" s="26">
        <f>VLOOKUP($C26,COS!$B$8:$H$991,6,FALSE)</f>
        <v>2537.385498046875</v>
      </c>
      <c r="Q26" s="26">
        <f t="shared" si="22"/>
        <v>156.01775293775825</v>
      </c>
      <c r="R26" s="26">
        <f>MIN(IF(MONTH($C26)=4,$S$3,IF(MONTH($C26)=5,$S$4,IF(MONTH($C26)=6,$S$5,IF(MONTH($C26)=7,$S$6,"ERROR")))),MAX(VLOOKUP($C26,COS!$B$8:$K$991,10,FALSE)-IF(MONTH($C26)=4,$Y$3,IF(MONTH($C26)=5,$Y$4,IF(MONTH($C26)=6,$Y$5,IF(MONTH($C26)=7,$Y$6,"ERROR")))),0),MAX(VLOOKUP($C26,COS!$B$8:$K$991,9,FALSE)-IF(MONTH($C26)=4,$V$3,IF(MONTH($C26)=5,$V$4,IF(MONTH($C26)=6,$V$5,IF(MONTH($C26)=7,$V$6,"ERROR"))))-VLOOKUP($C26,COS!$B$8:$K$991,6,FALSE)/2,0))</f>
        <v>1500</v>
      </c>
      <c r="S26" s="26">
        <f t="shared" si="23"/>
        <v>92.231404958677686</v>
      </c>
      <c r="T26" s="26">
        <f t="shared" si="24"/>
        <v>189.09863519337551</v>
      </c>
      <c r="U26" s="26" t="str">
        <f>IF(VLOOKUP($C26,COS!$B$8:$I$991,8,FALSE)=1,"UWFE","IBU")</f>
        <v>IBU</v>
      </c>
      <c r="V26" s="26">
        <f t="shared" ref="V26" si="30">MIN(IF(IF($AA$3=2,AND(E26=1,G26=1,L26=1,L28=1,M26=1,U26="IBU"),AND(E26=1,G26=1,L26=1,L28=1,M26=1)),T26,0),I26)</f>
        <v>0</v>
      </c>
      <c r="W26" s="26"/>
      <c r="X26" s="26"/>
      <c r="Y26" s="26"/>
      <c r="Z26" s="26"/>
      <c r="AA26" s="26"/>
      <c r="AB26" s="33"/>
      <c r="AC26" s="6"/>
      <c r="AD26" s="44">
        <v>1934</v>
      </c>
      <c r="AE26" s="45">
        <f>VLOOKUP(AD26,Flags!$A$13:$B$95,2,FALSE)</f>
        <v>5</v>
      </c>
      <c r="AF26" s="44">
        <f t="shared" si="6"/>
        <v>61.140804816632233</v>
      </c>
      <c r="AG26" s="44">
        <f t="shared" si="7"/>
        <v>586.09518616227069</v>
      </c>
      <c r="AH26" s="44">
        <f t="shared" si="8"/>
        <v>61.140804816632233</v>
      </c>
      <c r="AI26" s="44">
        <f t="shared" si="9"/>
        <v>23163.341852886104</v>
      </c>
      <c r="AJ26" s="44">
        <f t="shared" si="10"/>
        <v>541.70656306495357</v>
      </c>
      <c r="AK26" s="44">
        <f t="shared" si="1"/>
        <v>464.95812314372415</v>
      </c>
      <c r="AL26" s="44">
        <f t="shared" si="11"/>
        <v>61.140804816632233</v>
      </c>
      <c r="AN26" s="6">
        <v>60</v>
      </c>
      <c r="AO26">
        <f t="shared" si="26"/>
        <v>27</v>
      </c>
      <c r="AP26">
        <f t="shared" si="29"/>
        <v>200.12600994127621</v>
      </c>
    </row>
    <row r="27" spans="1:42" x14ac:dyDescent="0.3">
      <c r="A27" s="32">
        <f>VLOOKUP(YEAR(C27),Flags!$A$13:$B$95,2,FALSE)</f>
        <v>3</v>
      </c>
      <c r="B27" s="24">
        <f t="shared" si="2"/>
        <v>1923</v>
      </c>
      <c r="C27" s="25">
        <v>8644</v>
      </c>
      <c r="D27" s="26"/>
      <c r="E27" s="24"/>
      <c r="F27" s="26"/>
      <c r="G27" s="24"/>
      <c r="H27" s="24"/>
      <c r="I27" s="26"/>
      <c r="J27" s="24"/>
      <c r="K27" s="26"/>
      <c r="L27" s="24"/>
      <c r="M27" s="24"/>
      <c r="N27" s="26"/>
      <c r="O27" s="26"/>
      <c r="P27" s="26"/>
      <c r="Q27" s="26"/>
      <c r="R27" s="26"/>
      <c r="S27" s="26"/>
      <c r="T27" s="26"/>
      <c r="U27" s="26"/>
      <c r="V27" s="26"/>
      <c r="W27" s="26">
        <f>MAX($C$7-VLOOKUP($C27,COS!$B$8:$H$991,3,FALSE),0)</f>
        <v>90980.109375</v>
      </c>
      <c r="X27" s="26">
        <f t="shared" ref="X27:X90" si="31">W27*DAY($C27)*86400/43560/1000</f>
        <v>5594.1488739669421</v>
      </c>
      <c r="Y27" s="26">
        <f>VLOOKUP($C27,COS!$B$8:$H$991,4,FALSE)</f>
        <v>223.26168823242188</v>
      </c>
      <c r="Z27" s="26">
        <f t="shared" ref="Z27:Z90" si="32">Y27*DAY($C27)*86400/43560/1000</f>
        <v>13.727826119415031</v>
      </c>
      <c r="AA27" s="26">
        <f t="shared" ref="AA27:AA31" si="33">MIN(W27,Y27)</f>
        <v>223.26168823242188</v>
      </c>
      <c r="AB27" s="33">
        <f t="shared" ref="AB27:AB85" si="34">AA27*DAY($C27)*86400/43560/1000*IF(MONTH($C27)=8,$P$3,IF(MONTH($C27)=9,$P$4,IF(MONTH($C27)=10,$P$5,IF(MONTH($C27)=11,$P$6,IF(MONTH($C27)=12,$P$7,NA())))))</f>
        <v>13.727826119415031</v>
      </c>
      <c r="AC27" s="6"/>
      <c r="AD27" s="43">
        <v>1935</v>
      </c>
      <c r="AE27" s="1">
        <f>VLOOKUP(AD27,Flags!$A$13:$B$95,2,FALSE)</f>
        <v>4</v>
      </c>
      <c r="AF27" s="43">
        <f t="shared" si="6"/>
        <v>0</v>
      </c>
      <c r="AG27" s="43">
        <f t="shared" si="7"/>
        <v>621.9039977995817</v>
      </c>
      <c r="AH27" s="43">
        <f t="shared" si="8"/>
        <v>0</v>
      </c>
      <c r="AI27" s="43">
        <f t="shared" si="9"/>
        <v>23012.192735989156</v>
      </c>
      <c r="AJ27" s="43">
        <f t="shared" si="10"/>
        <v>121.23425982388584</v>
      </c>
      <c r="AK27" s="43">
        <f t="shared" si="1"/>
        <v>106.91905838391013</v>
      </c>
      <c r="AL27" s="43">
        <f t="shared" si="11"/>
        <v>0</v>
      </c>
      <c r="AN27" s="6">
        <v>90</v>
      </c>
      <c r="AO27">
        <f t="shared" si="26"/>
        <v>26</v>
      </c>
      <c r="AP27">
        <f t="shared" si="29"/>
        <v>205.4715947537625</v>
      </c>
    </row>
    <row r="28" spans="1:42" x14ac:dyDescent="0.3">
      <c r="A28" s="32">
        <f>VLOOKUP(YEAR(C28),Flags!$A$13:$B$95,2,FALSE)</f>
        <v>3</v>
      </c>
      <c r="B28" s="24">
        <f t="shared" si="2"/>
        <v>1923</v>
      </c>
      <c r="C28" s="25">
        <v>8674</v>
      </c>
      <c r="D28" s="26"/>
      <c r="E28" s="24"/>
      <c r="F28" s="26"/>
      <c r="G28" s="24"/>
      <c r="H28" s="24"/>
      <c r="I28" s="26"/>
      <c r="J28" s="24"/>
      <c r="K28" s="26">
        <f>VLOOKUP($C28,COS!$B$8:$H$991,2,FALSE)</f>
        <v>2596.2392578125</v>
      </c>
      <c r="L28" s="24">
        <f t="shared" ref="L28" si="35">IF(AND(K28&gt;$I$7,K28&lt;$I$8),1,0)</f>
        <v>1</v>
      </c>
      <c r="M28" s="24"/>
      <c r="N28" s="26"/>
      <c r="O28" s="26"/>
      <c r="P28" s="26"/>
      <c r="Q28" s="26"/>
      <c r="R28" s="26"/>
      <c r="S28" s="26"/>
      <c r="T28" s="26"/>
      <c r="U28" s="26"/>
      <c r="V28" s="26"/>
      <c r="W28" s="26">
        <f>MAX($C$8-VLOOKUP($C28,COS!$B$8:$H$991,3,FALSE),0)</f>
        <v>95583.35595703125</v>
      </c>
      <c r="X28" s="26">
        <f t="shared" si="31"/>
        <v>5687.6046519886368</v>
      </c>
      <c r="Y28" s="26">
        <f>VLOOKUP($C28,COS!$B$8:$H$991,4,FALSE)</f>
        <v>0</v>
      </c>
      <c r="Z28" s="26">
        <f t="shared" si="32"/>
        <v>0</v>
      </c>
      <c r="AA28" s="26">
        <f t="shared" si="33"/>
        <v>0</v>
      </c>
      <c r="AB28" s="33">
        <f t="shared" si="34"/>
        <v>0</v>
      </c>
      <c r="AC28" s="6"/>
      <c r="AD28" s="43">
        <v>1936</v>
      </c>
      <c r="AE28" s="1">
        <f>VLOOKUP(AD28,Flags!$A$13:$B$95,2,FALSE)</f>
        <v>3</v>
      </c>
      <c r="AF28" s="43">
        <f t="shared" si="6"/>
        <v>0</v>
      </c>
      <c r="AG28" s="43">
        <f t="shared" si="7"/>
        <v>640.065817921536</v>
      </c>
      <c r="AH28" s="43">
        <f t="shared" si="8"/>
        <v>0</v>
      </c>
      <c r="AI28" s="43">
        <f t="shared" si="9"/>
        <v>22674.993048811983</v>
      </c>
      <c r="AJ28" s="43">
        <f t="shared" si="10"/>
        <v>178.08673882602659</v>
      </c>
      <c r="AK28" s="43">
        <f t="shared" si="1"/>
        <v>107.09379299699768</v>
      </c>
      <c r="AL28" s="43">
        <f t="shared" si="11"/>
        <v>0</v>
      </c>
      <c r="AN28" s="6">
        <v>100</v>
      </c>
      <c r="AO28">
        <f t="shared" si="26"/>
        <v>26</v>
      </c>
      <c r="AP28">
        <f t="shared" si="29"/>
        <v>205.4715947537625</v>
      </c>
    </row>
    <row r="29" spans="1:42" x14ac:dyDescent="0.3">
      <c r="A29" s="32">
        <f>VLOOKUP(YEAR(C29),Flags!$A$13:$B$95,2,FALSE)</f>
        <v>3</v>
      </c>
      <c r="B29" s="24">
        <f t="shared" si="2"/>
        <v>1923</v>
      </c>
      <c r="C29" s="25">
        <v>8705</v>
      </c>
      <c r="D29" s="26"/>
      <c r="E29" s="24"/>
      <c r="F29" s="26"/>
      <c r="G29" s="26"/>
      <c r="H29" s="26"/>
      <c r="I29" s="26"/>
      <c r="J29" s="26"/>
      <c r="K29" s="26"/>
      <c r="L29" s="24"/>
      <c r="M29" s="24"/>
      <c r="N29" s="26"/>
      <c r="O29" s="26"/>
      <c r="P29" s="26"/>
      <c r="Q29" s="26"/>
      <c r="R29" s="26"/>
      <c r="S29" s="26"/>
      <c r="T29" s="26"/>
      <c r="U29" s="26"/>
      <c r="V29" s="26"/>
      <c r="W29" s="26">
        <f>MAX($C$9-VLOOKUP($C29,COS!$B$8:$H$991,3,FALSE),0)</f>
        <v>95392.662109375</v>
      </c>
      <c r="X29" s="26">
        <f t="shared" si="31"/>
        <v>5865.4661660640504</v>
      </c>
      <c r="Y29" s="26">
        <f>VLOOKUP($C29,COS!$B$8:$H$991,4,FALSE)</f>
        <v>906.51263427734375</v>
      </c>
      <c r="Z29" s="26">
        <f t="shared" si="32"/>
        <v>55.739289248127584</v>
      </c>
      <c r="AA29" s="26">
        <f t="shared" si="33"/>
        <v>906.51263427734375</v>
      </c>
      <c r="AB29" s="33">
        <f t="shared" si="34"/>
        <v>55.739289248127584</v>
      </c>
      <c r="AC29" s="6"/>
      <c r="AD29" s="43">
        <v>1937</v>
      </c>
      <c r="AE29" s="1">
        <f>VLOOKUP(AD29,Flags!$A$13:$B$95,2,FALSE)</f>
        <v>4</v>
      </c>
      <c r="AF29" s="43">
        <f t="shared" si="6"/>
        <v>0</v>
      </c>
      <c r="AG29" s="43">
        <f t="shared" si="7"/>
        <v>644.85532843345459</v>
      </c>
      <c r="AH29" s="43">
        <f t="shared" si="8"/>
        <v>0</v>
      </c>
      <c r="AI29" s="43">
        <f t="shared" si="9"/>
        <v>22514.116536996382</v>
      </c>
      <c r="AJ29" s="43">
        <f t="shared" si="10"/>
        <v>104.74674873288998</v>
      </c>
      <c r="AK29" s="43">
        <f t="shared" si="1"/>
        <v>104.74674873288998</v>
      </c>
      <c r="AL29" s="43">
        <f t="shared" si="11"/>
        <v>0</v>
      </c>
      <c r="AN29" s="6">
        <v>120</v>
      </c>
      <c r="AO29">
        <f t="shared" si="26"/>
        <v>23</v>
      </c>
      <c r="AP29">
        <f t="shared" si="29"/>
        <v>217.92208726483369</v>
      </c>
    </row>
    <row r="30" spans="1:42" x14ac:dyDescent="0.3">
      <c r="A30" s="32">
        <f>VLOOKUP(YEAR(C30),Flags!$A$13:$B$95,2,FALSE)</f>
        <v>3</v>
      </c>
      <c r="B30" s="24">
        <f t="shared" si="2"/>
        <v>1923</v>
      </c>
      <c r="C30" s="25">
        <v>8735</v>
      </c>
      <c r="D30" s="26"/>
      <c r="E30" s="24"/>
      <c r="F30" s="26"/>
      <c r="G30" s="26"/>
      <c r="H30" s="26"/>
      <c r="I30" s="26"/>
      <c r="J30" s="26"/>
      <c r="K30" s="26"/>
      <c r="L30" s="24"/>
      <c r="M30" s="24"/>
      <c r="N30" s="26"/>
      <c r="O30" s="26"/>
      <c r="P30" s="26"/>
      <c r="Q30" s="26"/>
      <c r="R30" s="26"/>
      <c r="S30" s="26"/>
      <c r="T30" s="26"/>
      <c r="U30" s="26"/>
      <c r="V30" s="26"/>
      <c r="W30" s="26">
        <f>MAX($C$10-VLOOKUP($C30,COS!$B$8:$H$991,3,FALSE),0)</f>
        <v>94286.98779296875</v>
      </c>
      <c r="X30" s="26">
        <f t="shared" si="31"/>
        <v>5610.4653893336772</v>
      </c>
      <c r="Y30" s="26">
        <f>VLOOKUP($C30,COS!$B$8:$H$991,4,FALSE)</f>
        <v>1181.566162109375</v>
      </c>
      <c r="Z30" s="26">
        <f t="shared" si="32"/>
        <v>70.308069150309919</v>
      </c>
      <c r="AA30" s="26">
        <f t="shared" si="33"/>
        <v>1181.566162109375</v>
      </c>
      <c r="AB30" s="33">
        <f>AA30*DAY($C30)*86400/43560/1000*IF(MONTH($C30)=8,$P$3,IF(MONTH($C30)=9,$P$4,IF(MONTH($C30)=10,$P$5,IF(MONTH($C30)=11,$P$6,IF(MONTH($C30)=12,$P$7,NA())))))</f>
        <v>35.154034575154959</v>
      </c>
      <c r="AC30" s="6"/>
      <c r="AD30" s="43">
        <v>1938</v>
      </c>
      <c r="AE30" s="1">
        <f>VLOOKUP(AD30,Flags!$A$13:$B$95,2,FALSE)</f>
        <v>1</v>
      </c>
      <c r="AF30" s="43">
        <f t="shared" si="6"/>
        <v>467.85146435950412</v>
      </c>
      <c r="AG30" s="43">
        <f t="shared" si="7"/>
        <v>685.29858967426389</v>
      </c>
      <c r="AH30" s="43">
        <f t="shared" si="8"/>
        <v>0</v>
      </c>
      <c r="AI30" s="43">
        <f t="shared" si="9"/>
        <v>21785.538172778928</v>
      </c>
      <c r="AJ30" s="43">
        <f t="shared" si="10"/>
        <v>2.9732576581466295</v>
      </c>
      <c r="AK30" s="43">
        <f t="shared" si="1"/>
        <v>2.9732576581466295</v>
      </c>
      <c r="AL30" s="43">
        <f t="shared" si="11"/>
        <v>0</v>
      </c>
      <c r="AN30" s="6">
        <v>150</v>
      </c>
      <c r="AO30">
        <f t="shared" si="26"/>
        <v>21</v>
      </c>
      <c r="AP30">
        <f t="shared" si="29"/>
        <v>225.61364281664487</v>
      </c>
    </row>
    <row r="31" spans="1:42" x14ac:dyDescent="0.3">
      <c r="A31" s="34">
        <f>VLOOKUP(YEAR(C31),Flags!$A$13:$B$95,2,FALSE)</f>
        <v>3</v>
      </c>
      <c r="B31" s="35">
        <f t="shared" si="2"/>
        <v>1923</v>
      </c>
      <c r="C31" s="36">
        <v>8766</v>
      </c>
      <c r="D31" s="37"/>
      <c r="E31" s="35"/>
      <c r="F31" s="37"/>
      <c r="G31" s="37"/>
      <c r="H31" s="37"/>
      <c r="I31" s="37"/>
      <c r="J31" s="37"/>
      <c r="K31" s="37"/>
      <c r="L31" s="35"/>
      <c r="M31" s="35"/>
      <c r="N31" s="37"/>
      <c r="O31" s="37"/>
      <c r="P31" s="37"/>
      <c r="Q31" s="37"/>
      <c r="R31" s="37"/>
      <c r="S31" s="37"/>
      <c r="T31" s="37"/>
      <c r="U31" s="37"/>
      <c r="V31" s="37"/>
      <c r="W31" s="37">
        <f>MAX($C$11-VLOOKUP($C31,COS!$B$8:$H$991,3,FALSE),0)</f>
        <v>0</v>
      </c>
      <c r="X31" s="37">
        <f t="shared" si="31"/>
        <v>0</v>
      </c>
      <c r="Y31" s="37">
        <f>VLOOKUP($C31,COS!$B$8:$H$991,4,FALSE)</f>
        <v>1277.1646728515625</v>
      </c>
      <c r="Z31" s="37">
        <f t="shared" si="32"/>
        <v>78.529794760459708</v>
      </c>
      <c r="AA31" s="37">
        <f t="shared" si="33"/>
        <v>0</v>
      </c>
      <c r="AB31" s="38">
        <f t="shared" si="34"/>
        <v>0</v>
      </c>
      <c r="AC31" s="6"/>
      <c r="AD31" s="43">
        <v>1939</v>
      </c>
      <c r="AE31" s="1">
        <f>VLOOKUP(AD31,Flags!$A$13:$B$95,2,FALSE)</f>
        <v>3</v>
      </c>
      <c r="AF31" s="43">
        <f t="shared" si="6"/>
        <v>397.28989733987601</v>
      </c>
      <c r="AG31" s="43">
        <f t="shared" si="7"/>
        <v>676.80928974246194</v>
      </c>
      <c r="AH31" s="43">
        <f t="shared" si="8"/>
        <v>315.06763107930328</v>
      </c>
      <c r="AI31" s="43">
        <f t="shared" si="9"/>
        <v>22291.087903861051</v>
      </c>
      <c r="AJ31" s="43">
        <f t="shared" si="10"/>
        <v>623.40796705513947</v>
      </c>
      <c r="AK31" s="43">
        <f t="shared" si="1"/>
        <v>458.50778029764984</v>
      </c>
      <c r="AL31" s="43">
        <f t="shared" si="11"/>
        <v>315.06763107930328</v>
      </c>
      <c r="AN31" s="6">
        <v>180</v>
      </c>
      <c r="AO31">
        <f t="shared" si="26"/>
        <v>14</v>
      </c>
      <c r="AP31">
        <f t="shared" si="29"/>
        <v>255.6096115227601</v>
      </c>
    </row>
    <row r="32" spans="1:42" x14ac:dyDescent="0.3">
      <c r="A32" s="27">
        <f>VLOOKUP(YEAR(C32),Flags!$A$13:$B$95,2,FALSE)</f>
        <v>5</v>
      </c>
      <c r="B32" s="28">
        <f t="shared" si="2"/>
        <v>1924</v>
      </c>
      <c r="C32" s="29">
        <v>8887</v>
      </c>
      <c r="D32" s="30">
        <f>VLOOKUP($C32,COS!$B$8:$H$991,3,FALSE)</f>
        <v>5624.3779296875</v>
      </c>
      <c r="E32" s="28">
        <f>IF(D32&gt;=IF(MONTH($C32)=4,$C$3,IF(MONTH($C32)=5,$C$4,IF(MONTH($C32)=6,$C$5,IF(MONTH($C32)=7,$C$6,"ERROR")))),1,0)</f>
        <v>0</v>
      </c>
      <c r="F32" s="30">
        <f>VLOOKUP($C32,COS!$B$8:$H$991,7,FALSE)</f>
        <v>51.900558471679688</v>
      </c>
      <c r="G32" s="28">
        <f>IF(F32&lt;=IF(MONTH($C32)=4,$F$3,IF(MONTH($C32)=5,$F$4,IF(MONTH($C32)=6,$F$5,IF(MONTH($C32)=7,$F$6,"ERROR")))),1,0)</f>
        <v>1</v>
      </c>
      <c r="H32" s="30">
        <f>IF(J32=1,D32-$C$3,0)</f>
        <v>0</v>
      </c>
      <c r="I32" s="30">
        <f t="shared" si="17"/>
        <v>0</v>
      </c>
      <c r="J32" s="28">
        <f t="shared" ref="J32:J35" si="36">IF(AND(E32=1,G32=1),1,0)</f>
        <v>0</v>
      </c>
      <c r="K32" s="30">
        <f>VLOOKUP($C32,COS!$B$8:$H$991,2,FALSE)</f>
        <v>2500</v>
      </c>
      <c r="L32" s="28">
        <f t="shared" ref="L32" si="37">IF(K32&lt;=IF(MONTH($C32)=4,$I$3,IF(MONTH($C32)=5,$I$4,IF(MONTH($C32)=6,$I$5,IF(MONTH($C32)=7,$I$6,"ERROR")))),1,0)</f>
        <v>1</v>
      </c>
      <c r="M32" s="28">
        <f t="shared" ref="M32" si="38">VLOOKUP($A32,$L$3:$M$7,2,FALSE)</f>
        <v>1</v>
      </c>
      <c r="N32" s="30">
        <f>VLOOKUP($C32,COS!$B$8:$H$991,5,FALSE)</f>
        <v>202.00408935546875</v>
      </c>
      <c r="O32" s="30">
        <f t="shared" ref="O32:O35" si="39">N32*DAY($C32)*86400/43560/1000</f>
        <v>12.020078044292354</v>
      </c>
      <c r="P32" s="30">
        <f>VLOOKUP($C32,COS!$B$8:$H$991,6,FALSE)</f>
        <v>537.10101318359375</v>
      </c>
      <c r="Q32" s="30">
        <f t="shared" ref="Q32:Q35" si="40">P32*DAY($C32)*86400/43560/1000</f>
        <v>31.959729710098141</v>
      </c>
      <c r="R32" s="30">
        <f>MIN(IF(MONTH($C32)=4,$S$3,IF(MONTH($C32)=5,$S$4,IF(MONTH($C32)=6,$S$5,IF(MONTH($C32)=7,$S$6,"ERROR")))),MAX(VLOOKUP($C32,COS!$B$8:$K$991,10,FALSE)-IF(MONTH($C32)=4,$Y$3,IF(MONTH($C32)=5,$Y$4,IF(MONTH($C32)=6,$Y$5,IF(MONTH($C32)=7,$Y$6,"ERROR")))),0),MAX(VLOOKUP($C32,COS!$B$8:$K$991,9,FALSE)-IF(MONTH($C32)=4,$V$3,IF(MONTH($C32)=5,$V$4,IF(MONTH($C32)=6,$V$5,IF(MONTH($C32)=7,$V$6,"ERROR"))))-VLOOKUP($C32,COS!$B$8:$K$991,6,FALSE)/2,0))</f>
        <v>1411.9501953125</v>
      </c>
      <c r="S32" s="30">
        <f t="shared" ref="S32:S35" si="41">R32*DAY($C32)*86400/43560/1000</f>
        <v>84.016871126033067</v>
      </c>
      <c r="T32" s="30">
        <f t="shared" ref="T32:T35" si="42">(O32+Q32)/2+S32</f>
        <v>106.00677500322831</v>
      </c>
      <c r="U32" s="30" t="str">
        <f>IF(VLOOKUP($C32,COS!$B$8:$I$991,8,FALSE)=1,"UWFE","IBU")</f>
        <v>IBU</v>
      </c>
      <c r="V32" s="30">
        <f t="shared" ref="V32" si="43">MIN(IF(IF($AA$3=2,AND(E32=1,G32=1,L32=1,L37=1,M32=1,U32="IBU"),AND(E32=1,G32=1,L32=1,L37=1,M32=1)),T32,0),I32)</f>
        <v>0</v>
      </c>
      <c r="W32" s="30"/>
      <c r="X32" s="30"/>
      <c r="Y32" s="30"/>
      <c r="Z32" s="30"/>
      <c r="AA32" s="30"/>
      <c r="AB32" s="31"/>
      <c r="AC32" s="6"/>
      <c r="AD32" s="43">
        <v>1940</v>
      </c>
      <c r="AE32" s="1">
        <f>VLOOKUP(AD32,Flags!$A$13:$B$95,2,FALSE)</f>
        <v>2</v>
      </c>
      <c r="AF32" s="43">
        <f t="shared" si="6"/>
        <v>229.39817858987604</v>
      </c>
      <c r="AG32" s="43">
        <f t="shared" si="7"/>
        <v>663.77439249338204</v>
      </c>
      <c r="AH32" s="43">
        <f t="shared" si="8"/>
        <v>0</v>
      </c>
      <c r="AI32" s="43">
        <f t="shared" si="9"/>
        <v>22070.347577479341</v>
      </c>
      <c r="AJ32" s="43">
        <f t="shared" si="10"/>
        <v>129.20468558319345</v>
      </c>
      <c r="AK32" s="43">
        <f t="shared" si="1"/>
        <v>96.313467785543651</v>
      </c>
      <c r="AL32" s="43">
        <f t="shared" si="11"/>
        <v>0</v>
      </c>
      <c r="AN32" s="6">
        <v>210</v>
      </c>
      <c r="AO32">
        <f t="shared" si="26"/>
        <v>10</v>
      </c>
      <c r="AP32">
        <f t="shared" si="29"/>
        <v>282.48636889698878</v>
      </c>
    </row>
    <row r="33" spans="1:42" x14ac:dyDescent="0.3">
      <c r="A33" s="32">
        <f>VLOOKUP(YEAR(C33),Flags!$A$13:$B$95,2,FALSE)</f>
        <v>5</v>
      </c>
      <c r="B33" s="24">
        <f t="shared" si="2"/>
        <v>1924</v>
      </c>
      <c r="C33" s="25">
        <v>8918</v>
      </c>
      <c r="D33" s="26">
        <f>VLOOKUP($C33,COS!$B$8:$H$991,3,FALSE)</f>
        <v>8620.7529296875</v>
      </c>
      <c r="E33" s="24">
        <f>IF(D33&gt;=IF(MONTH($C33)=4,$C$3,IF(MONTH($C33)=5,$C$4,IF(MONTH($C33)=6,$C$5,IF(MONTH($C33)=7,$C$6,"ERROR")))),1,0)</f>
        <v>1</v>
      </c>
      <c r="F33" s="26">
        <f>VLOOKUP($C33,COS!$B$8:$H$991,7,FALSE)</f>
        <v>55.089752197265625</v>
      </c>
      <c r="G33" s="24">
        <f>IF(F33&lt;=IF(MONTH($C33)=4,$F$3,IF(MONTH($C33)=5,$F$4,IF(MONTH($C33)=6,$F$5,IF(MONTH($C33)=7,$F$6,"ERROR")))),1,0)</f>
        <v>1</v>
      </c>
      <c r="H33" s="26">
        <f>IF(J33=1,D33-$C$4,0)</f>
        <v>2620.7529296875</v>
      </c>
      <c r="I33" s="26">
        <f t="shared" si="17"/>
        <v>161.14381650309917</v>
      </c>
      <c r="J33" s="24">
        <f t="shared" si="36"/>
        <v>1</v>
      </c>
      <c r="K33" s="26">
        <f>VLOOKUP($C33,COS!$B$8:$H$991,2,FALSE)</f>
        <v>2135.375732421875</v>
      </c>
      <c r="L33" s="24">
        <f t="shared" si="19"/>
        <v>1</v>
      </c>
      <c r="M33" s="24">
        <f t="shared" si="20"/>
        <v>1</v>
      </c>
      <c r="N33" s="26">
        <f>VLOOKUP($C33,COS!$B$8:$H$991,5,FALSE)</f>
        <v>220.09066772460938</v>
      </c>
      <c r="O33" s="26">
        <f t="shared" si="39"/>
        <v>13.532847668356148</v>
      </c>
      <c r="P33" s="26">
        <f>VLOOKUP($C33,COS!$B$8:$H$991,6,FALSE)</f>
        <v>2324.4033203125</v>
      </c>
      <c r="Q33" s="26">
        <f t="shared" si="40"/>
        <v>142.92198928202478</v>
      </c>
      <c r="R33" s="26">
        <f>MIN(IF(MONTH($C33)=4,$S$3,IF(MONTH($C33)=5,$S$4,IF(MONTH($C33)=6,$S$5,IF(MONTH($C33)=7,$S$6,"ERROR")))),MAX(VLOOKUP($C33,COS!$B$8:$K$991,10,FALSE)-IF(MONTH($C33)=4,$Y$3,IF(MONTH($C33)=5,$Y$4,IF(MONTH($C33)=6,$Y$5,IF(MONTH($C33)=7,$Y$6,"ERROR")))),0),MAX(VLOOKUP($C33,COS!$B$8:$K$991,9,FALSE)-IF(MONTH($C33)=4,$V$3,IF(MONTH($C33)=5,$V$4,IF(MONTH($C33)=6,$V$5,IF(MONTH($C33)=7,$V$6,"ERROR"))))-VLOOKUP($C33,COS!$B$8:$K$991,6,FALSE)/2,0))</f>
        <v>1500</v>
      </c>
      <c r="S33" s="26">
        <f t="shared" si="41"/>
        <v>92.231404958677686</v>
      </c>
      <c r="T33" s="26">
        <f t="shared" si="42"/>
        <v>170.45882343386813</v>
      </c>
      <c r="U33" s="26" t="str">
        <f>IF(VLOOKUP($C33,COS!$B$8:$I$991,8,FALSE)=1,"UWFE","IBU")</f>
        <v>IBU</v>
      </c>
      <c r="V33" s="26">
        <f t="shared" ref="V33" si="44">MIN(IF(IF($AA$3=2,AND(E33=1,G33=1,L33=1,L37=1,M33=1,U33="IBU"),AND(E33=1,G33=1,L33=1,L37=1,M33=1)),T33,0),I33)</f>
        <v>161.14381650309917</v>
      </c>
      <c r="W33" s="26"/>
      <c r="X33" s="26"/>
      <c r="Y33" s="26"/>
      <c r="Z33" s="26"/>
      <c r="AA33" s="26"/>
      <c r="AB33" s="33"/>
      <c r="AC33" s="6"/>
      <c r="AD33" s="43">
        <v>1941</v>
      </c>
      <c r="AE33" s="1">
        <f>VLOOKUP(AD33,Flags!$A$13:$B$95,2,FALSE)</f>
        <v>1</v>
      </c>
      <c r="AF33" s="43">
        <f t="shared" si="6"/>
        <v>840.21232050619835</v>
      </c>
      <c r="AG33" s="43">
        <f t="shared" si="7"/>
        <v>667.11986649820619</v>
      </c>
      <c r="AH33" s="43">
        <f t="shared" si="8"/>
        <v>0</v>
      </c>
      <c r="AI33" s="43">
        <f t="shared" si="9"/>
        <v>21450.978354855375</v>
      </c>
      <c r="AJ33" s="43">
        <f t="shared" si="10"/>
        <v>62.00514242377163</v>
      </c>
      <c r="AK33" s="43">
        <f t="shared" si="1"/>
        <v>48.449239264874421</v>
      </c>
      <c r="AL33" s="43">
        <f t="shared" si="11"/>
        <v>0</v>
      </c>
      <c r="AN33" s="6">
        <v>240</v>
      </c>
      <c r="AO33">
        <f t="shared" si="26"/>
        <v>7</v>
      </c>
      <c r="AP33">
        <f t="shared" si="29"/>
        <v>304.43807346888946</v>
      </c>
    </row>
    <row r="34" spans="1:42" x14ac:dyDescent="0.3">
      <c r="A34" s="32">
        <f>VLOOKUP(YEAR(C34),Flags!$A$13:$B$95,2,FALSE)</f>
        <v>5</v>
      </c>
      <c r="B34" s="24">
        <f t="shared" si="2"/>
        <v>1924</v>
      </c>
      <c r="C34" s="25">
        <v>8948</v>
      </c>
      <c r="D34" s="26">
        <f>VLOOKUP($C34,COS!$B$8:$H$991,3,FALSE)</f>
        <v>8906.197265625</v>
      </c>
      <c r="E34" s="24">
        <f>IF(D34&gt;=IF(MONTH($C34)=4,$C$3,IF(MONTH($C34)=5,$C$4,IF(MONTH($C34)=6,$C$5,IF(MONTH($C34)=7,$C$6,"ERROR")))),1,0)</f>
        <v>0</v>
      </c>
      <c r="F34" s="26">
        <f>VLOOKUP($C34,COS!$B$8:$H$991,7,FALSE)</f>
        <v>56.186325073242188</v>
      </c>
      <c r="G34" s="24">
        <f>IF(F34&lt;=IF(MONTH($C34)=4,$F$3,IF(MONTH($C34)=5,$F$4,IF(MONTH($C34)=6,$F$5,IF(MONTH($C34)=7,$F$6,"ERROR")))),1,0)</f>
        <v>0</v>
      </c>
      <c r="H34" s="26">
        <f>IF(J34=1,D34-$C$5,0)</f>
        <v>0</v>
      </c>
      <c r="I34" s="26">
        <f t="shared" si="17"/>
        <v>0</v>
      </c>
      <c r="J34" s="24">
        <f t="shared" si="36"/>
        <v>0</v>
      </c>
      <c r="K34" s="26">
        <f>VLOOKUP($C34,COS!$B$8:$H$991,2,FALSE)</f>
        <v>1764.862060546875</v>
      </c>
      <c r="L34" s="24">
        <f t="shared" si="19"/>
        <v>1</v>
      </c>
      <c r="M34" s="24">
        <f t="shared" si="20"/>
        <v>1</v>
      </c>
      <c r="N34" s="26">
        <f>VLOOKUP($C34,COS!$B$8:$H$991,5,FALSE)</f>
        <v>251.78248596191406</v>
      </c>
      <c r="O34" s="26">
        <f t="shared" si="39"/>
        <v>14.982098338229596</v>
      </c>
      <c r="P34" s="26">
        <f>VLOOKUP($C34,COS!$B$8:$H$991,6,FALSE)</f>
        <v>2484.036376953125</v>
      </c>
      <c r="Q34" s="26">
        <f t="shared" si="40"/>
        <v>147.81042904183886</v>
      </c>
      <c r="R34" s="26">
        <f>MIN(IF(MONTH($C34)=4,$S$3,IF(MONTH($C34)=5,$S$4,IF(MONTH($C34)=6,$S$5,IF(MONTH($C34)=7,$S$6,"ERROR")))),MAX(VLOOKUP($C34,COS!$B$8:$K$991,10,FALSE)-IF(MONTH($C34)=4,$Y$3,IF(MONTH($C34)=5,$Y$4,IF(MONTH($C34)=6,$Y$5,IF(MONTH($C34)=7,$Y$6,"ERROR")))),0),MAX(VLOOKUP($C34,COS!$B$8:$K$991,9,FALSE)-IF(MONTH($C34)=4,$V$3,IF(MONTH($C34)=5,$V$4,IF(MONTH($C34)=6,$V$5,IF(MONTH($C34)=7,$V$6,"ERROR"))))-VLOOKUP($C34,COS!$B$8:$K$991,6,FALSE)/2,0))</f>
        <v>1500</v>
      </c>
      <c r="S34" s="26">
        <f t="shared" si="41"/>
        <v>89.256198347107429</v>
      </c>
      <c r="T34" s="26">
        <f t="shared" si="42"/>
        <v>170.65246203714167</v>
      </c>
      <c r="U34" s="26" t="str">
        <f>IF(VLOOKUP($C34,COS!$B$8:$I$991,8,FALSE)=1,"UWFE","IBU")</f>
        <v>IBU</v>
      </c>
      <c r="V34" s="26">
        <f t="shared" ref="V34" si="45">MIN(IF(IF($AA$3=2,AND(E34=1,G34=1,L34=1,L37=1,M34=1,U34="IBU"),AND(E34=1,G34=1,L34=1,L37=1,M34=1)),T34,0),I34)</f>
        <v>0</v>
      </c>
      <c r="W34" s="26"/>
      <c r="X34" s="26"/>
      <c r="Y34" s="26"/>
      <c r="Z34" s="26"/>
      <c r="AA34" s="26"/>
      <c r="AB34" s="33"/>
      <c r="AC34" s="6"/>
      <c r="AD34" s="43">
        <v>1942</v>
      </c>
      <c r="AE34" s="1">
        <f>VLOOKUP(AD34,Flags!$A$13:$B$95,2,FALSE)</f>
        <v>1</v>
      </c>
      <c r="AF34" s="43">
        <f t="shared" si="6"/>
        <v>277.68167936466938</v>
      </c>
      <c r="AG34" s="43">
        <f t="shared" si="7"/>
        <v>681.46334333435561</v>
      </c>
      <c r="AH34" s="43">
        <f t="shared" si="8"/>
        <v>0</v>
      </c>
      <c r="AI34" s="43">
        <f t="shared" si="9"/>
        <v>21514.893252195248</v>
      </c>
      <c r="AJ34" s="43">
        <f t="shared" si="10"/>
        <v>142.97065114927688</v>
      </c>
      <c r="AK34" s="43">
        <f t="shared" si="1"/>
        <v>106.14138857502583</v>
      </c>
      <c r="AL34" s="43">
        <f t="shared" si="11"/>
        <v>0</v>
      </c>
      <c r="AN34" s="6"/>
    </row>
    <row r="35" spans="1:42" x14ac:dyDescent="0.3">
      <c r="A35" s="32">
        <f>VLOOKUP(YEAR(C35),Flags!$A$13:$B$95,2,FALSE)</f>
        <v>5</v>
      </c>
      <c r="B35" s="24">
        <f t="shared" si="2"/>
        <v>1924</v>
      </c>
      <c r="C35" s="25">
        <v>8979</v>
      </c>
      <c r="D35" s="26">
        <f>VLOOKUP($C35,COS!$B$8:$H$991,3,FALSE)</f>
        <v>9371.8037109375</v>
      </c>
      <c r="E35" s="24">
        <f>IF(D35&gt;=IF(MONTH($C35)=4,$C$3,IF(MONTH($C35)=5,$C$4,IF(MONTH($C35)=6,$C$5,IF(MONTH($C35)=7,$C$6,"ERROR")))),1,0)</f>
        <v>0</v>
      </c>
      <c r="F35" s="26">
        <f>VLOOKUP($C35,COS!$B$8:$H$991,7,FALSE)</f>
        <v>55.104015350341797</v>
      </c>
      <c r="G35" s="24">
        <f>IF(F35&lt;=IF(MONTH($C35)=4,$F$3,IF(MONTH($C35)=5,$F$4,IF(MONTH($C35)=6,$F$5,IF(MONTH($C35)=7,$F$6,"ERROR")))),1,0)</f>
        <v>0</v>
      </c>
      <c r="H35" s="26">
        <f>IF(J35=1,D35-$C$6,0)</f>
        <v>0</v>
      </c>
      <c r="I35" s="26">
        <f t="shared" si="17"/>
        <v>0</v>
      </c>
      <c r="J35" s="24">
        <f t="shared" si="36"/>
        <v>0</v>
      </c>
      <c r="K35" s="26">
        <f>VLOOKUP($C35,COS!$B$8:$H$991,2,FALSE)</f>
        <v>1413.5540771484375</v>
      </c>
      <c r="L35" s="24">
        <f t="shared" si="19"/>
        <v>1</v>
      </c>
      <c r="M35" s="24">
        <f t="shared" si="20"/>
        <v>1</v>
      </c>
      <c r="N35" s="26">
        <f>VLOOKUP($C35,COS!$B$8:$H$991,5,FALSE)</f>
        <v>274.10446166992188</v>
      </c>
      <c r="O35" s="26">
        <f t="shared" si="39"/>
        <v>16.854026403505941</v>
      </c>
      <c r="P35" s="26">
        <f>VLOOKUP($C35,COS!$B$8:$H$991,6,FALSE)</f>
        <v>2281.4833984375</v>
      </c>
      <c r="Q35" s="26">
        <f t="shared" si="40"/>
        <v>140.28294615185951</v>
      </c>
      <c r="R35" s="26">
        <f>MIN(IF(MONTH($C35)=4,$S$3,IF(MONTH($C35)=5,$S$4,IF(MONTH($C35)=6,$S$5,IF(MONTH($C35)=7,$S$6,"ERROR")))),MAX(VLOOKUP($C35,COS!$B$8:$K$991,10,FALSE)-IF(MONTH($C35)=4,$Y$3,IF(MONTH($C35)=5,$Y$4,IF(MONTH($C35)=6,$Y$5,IF(MONTH($C35)=7,$Y$6,"ERROR")))),0),MAX(VLOOKUP($C35,COS!$B$8:$K$991,9,FALSE)-IF(MONTH($C35)=4,$V$3,IF(MONTH($C35)=5,$V$4,IF(MONTH($C35)=6,$V$5,IF(MONTH($C35)=7,$V$6,"ERROR"))))-VLOOKUP($C35,COS!$B$8:$K$991,6,FALSE)/2,0))</f>
        <v>1500</v>
      </c>
      <c r="S35" s="26">
        <f t="shared" si="41"/>
        <v>92.231404958677686</v>
      </c>
      <c r="T35" s="26">
        <f t="shared" si="42"/>
        <v>170.79989123636039</v>
      </c>
      <c r="U35" s="26" t="str">
        <f>IF(VLOOKUP($C35,COS!$B$8:$I$991,8,FALSE)=1,"UWFE","IBU")</f>
        <v>IBU</v>
      </c>
      <c r="V35" s="26">
        <f t="shared" ref="V35" si="46">MIN(IF(IF($AA$3=2,AND(E35=1,G35=1,L35=1,L37=1,M35=1,U35="IBU"),AND(E35=1,G35=1,L35=1,L37=1,M35=1)),T35,0),I35)</f>
        <v>0</v>
      </c>
      <c r="W35" s="26"/>
      <c r="X35" s="26"/>
      <c r="Y35" s="26"/>
      <c r="Z35" s="26"/>
      <c r="AA35" s="26"/>
      <c r="AB35" s="33"/>
      <c r="AC35" s="6"/>
      <c r="AD35" s="43">
        <v>1943</v>
      </c>
      <c r="AE35" s="1">
        <f>VLOOKUP(AD35,Flags!$A$13:$B$95,2,FALSE)</f>
        <v>1</v>
      </c>
      <c r="AF35" s="43">
        <f t="shared" si="6"/>
        <v>317.65369544163224</v>
      </c>
      <c r="AG35" s="43">
        <f t="shared" si="7"/>
        <v>677.93526625451966</v>
      </c>
      <c r="AH35" s="43">
        <f t="shared" si="8"/>
        <v>0</v>
      </c>
      <c r="AI35" s="43">
        <f t="shared" si="9"/>
        <v>21355.303961776859</v>
      </c>
      <c r="AJ35" s="43">
        <f t="shared" si="10"/>
        <v>283.83824287855919</v>
      </c>
      <c r="AK35" s="43">
        <f t="shared" si="1"/>
        <v>197.60666820683753</v>
      </c>
      <c r="AL35" s="43">
        <f t="shared" si="11"/>
        <v>0</v>
      </c>
    </row>
    <row r="36" spans="1:42" x14ac:dyDescent="0.3">
      <c r="A36" s="32">
        <f>VLOOKUP(YEAR(C36),Flags!$A$13:$B$95,2,FALSE)</f>
        <v>5</v>
      </c>
      <c r="B36" s="24">
        <f t="shared" si="2"/>
        <v>1924</v>
      </c>
      <c r="C36" s="25">
        <v>9010</v>
      </c>
      <c r="D36" s="26"/>
      <c r="E36" s="24"/>
      <c r="F36" s="26"/>
      <c r="G36" s="24"/>
      <c r="H36" s="24"/>
      <c r="I36" s="26"/>
      <c r="J36" s="24"/>
      <c r="K36" s="26"/>
      <c r="L36" s="24"/>
      <c r="M36" s="24"/>
      <c r="N36" s="26"/>
      <c r="O36" s="26"/>
      <c r="P36" s="26"/>
      <c r="Q36" s="26"/>
      <c r="R36" s="26"/>
      <c r="S36" s="26"/>
      <c r="T36" s="26"/>
      <c r="U36" s="26"/>
      <c r="V36" s="26"/>
      <c r="W36" s="26">
        <f>MAX($C$7-VLOOKUP($C36,COS!$B$8:$H$991,3,FALSE),0)</f>
        <v>91864.53125</v>
      </c>
      <c r="X36" s="26">
        <f t="shared" si="31"/>
        <v>5648.5298553719012</v>
      </c>
      <c r="Y36" s="26">
        <f>VLOOKUP($C36,COS!$B$8:$H$991,4,FALSE)</f>
        <v>3013.011474609375</v>
      </c>
      <c r="Z36" s="26">
        <f t="shared" si="32"/>
        <v>185.26285430655992</v>
      </c>
      <c r="AA36" s="26">
        <f t="shared" ref="AA36:AA40" si="47">MIN(W36,Y36)</f>
        <v>3013.011474609375</v>
      </c>
      <c r="AB36" s="33">
        <f t="shared" ref="AB36" si="48">AA36*DAY($C36)*86400/43560/1000*IF(MONTH($C36)=8,$P$3,IF(MONTH($C36)=9,$P$4,IF(MONTH($C36)=10,$P$5,IF(MONTH($C36)=11,$P$6,IF(MONTH($C36)=12,$P$7,NA())))))</f>
        <v>185.26285430655992</v>
      </c>
      <c r="AC36" s="6"/>
      <c r="AD36" s="43">
        <v>1944</v>
      </c>
      <c r="AE36" s="1">
        <f>VLOOKUP(AD36,Flags!$A$13:$B$95,2,FALSE)</f>
        <v>4</v>
      </c>
      <c r="AF36" s="43">
        <f t="shared" si="6"/>
        <v>0</v>
      </c>
      <c r="AG36" s="43">
        <f t="shared" si="7"/>
        <v>536.4356380027582</v>
      </c>
      <c r="AH36" s="43">
        <f t="shared" si="8"/>
        <v>0</v>
      </c>
      <c r="AI36" s="43">
        <f t="shared" si="9"/>
        <v>22830.62372707903</v>
      </c>
      <c r="AJ36" s="43">
        <f t="shared" si="10"/>
        <v>425.35607502582639</v>
      </c>
      <c r="AK36" s="43">
        <f t="shared" si="1"/>
        <v>270.94423537577478</v>
      </c>
      <c r="AL36" s="43">
        <f t="shared" si="11"/>
        <v>0</v>
      </c>
    </row>
    <row r="37" spans="1:42" x14ac:dyDescent="0.3">
      <c r="A37" s="32">
        <f>VLOOKUP(YEAR(C37),Flags!$A$13:$B$95,2,FALSE)</f>
        <v>5</v>
      </c>
      <c r="B37" s="24">
        <f t="shared" si="2"/>
        <v>1924</v>
      </c>
      <c r="C37" s="25">
        <v>9040</v>
      </c>
      <c r="D37" s="26"/>
      <c r="E37" s="24"/>
      <c r="F37" s="26"/>
      <c r="G37" s="24"/>
      <c r="H37" s="24"/>
      <c r="I37" s="26"/>
      <c r="J37" s="24"/>
      <c r="K37" s="26">
        <f>VLOOKUP($C37,COS!$B$8:$H$991,2,FALSE)</f>
        <v>953.81658935546875</v>
      </c>
      <c r="L37" s="24">
        <f t="shared" ref="L37" si="49">IF(AND(K37&gt;$I$7,K37&lt;$I$8),1,0)</f>
        <v>1</v>
      </c>
      <c r="M37" s="24"/>
      <c r="N37" s="26"/>
      <c r="O37" s="26"/>
      <c r="P37" s="26"/>
      <c r="Q37" s="26"/>
      <c r="R37" s="26"/>
      <c r="S37" s="26"/>
      <c r="T37" s="26"/>
      <c r="U37" s="26"/>
      <c r="V37" s="26"/>
      <c r="W37" s="26">
        <f>MAX($C$8-VLOOKUP($C37,COS!$B$8:$H$991,3,FALSE),0)</f>
        <v>93796.91650390625</v>
      </c>
      <c r="X37" s="26">
        <f t="shared" si="31"/>
        <v>5581.3041225464876</v>
      </c>
      <c r="Y37" s="26">
        <f>VLOOKUP($C37,COS!$B$8:$H$991,4,FALSE)</f>
        <v>1832.2586669921875</v>
      </c>
      <c r="Z37" s="26">
        <f t="shared" si="32"/>
        <v>109.02696200284092</v>
      </c>
      <c r="AA37" s="26">
        <f t="shared" si="47"/>
        <v>1832.2586669921875</v>
      </c>
      <c r="AB37" s="33">
        <f t="shared" si="34"/>
        <v>109.02696200284092</v>
      </c>
      <c r="AC37" s="6"/>
      <c r="AD37" s="43">
        <v>1945</v>
      </c>
      <c r="AE37" s="1">
        <f>VLOOKUP(AD37,Flags!$A$13:$B$95,2,FALSE)</f>
        <v>3</v>
      </c>
      <c r="AF37" s="43">
        <f t="shared" si="6"/>
        <v>114.73130423553718</v>
      </c>
      <c r="AG37" s="43">
        <f t="shared" si="7"/>
        <v>638.10357915200473</v>
      </c>
      <c r="AH37" s="43">
        <f t="shared" si="8"/>
        <v>114.73130423553718</v>
      </c>
      <c r="AI37" s="43">
        <f t="shared" si="9"/>
        <v>22557.930937500001</v>
      </c>
      <c r="AJ37" s="43">
        <f t="shared" si="10"/>
        <v>122.39421326188017</v>
      </c>
      <c r="AK37" s="43">
        <f t="shared" si="1"/>
        <v>101.6310337035124</v>
      </c>
      <c r="AL37" s="43">
        <f t="shared" si="11"/>
        <v>101.6310337035124</v>
      </c>
    </row>
    <row r="38" spans="1:42" x14ac:dyDescent="0.3">
      <c r="A38" s="32">
        <f>VLOOKUP(YEAR(C38),Flags!$A$13:$B$95,2,FALSE)</f>
        <v>5</v>
      </c>
      <c r="B38" s="24">
        <f t="shared" si="2"/>
        <v>1924</v>
      </c>
      <c r="C38" s="25">
        <v>9071</v>
      </c>
      <c r="D38" s="26"/>
      <c r="E38" s="24"/>
      <c r="F38" s="26"/>
      <c r="G38" s="26"/>
      <c r="H38" s="26"/>
      <c r="I38" s="26"/>
      <c r="J38" s="26"/>
      <c r="K38" s="26"/>
      <c r="L38" s="24"/>
      <c r="M38" s="24"/>
      <c r="N38" s="26"/>
      <c r="O38" s="26"/>
      <c r="P38" s="26"/>
      <c r="Q38" s="26"/>
      <c r="R38" s="26"/>
      <c r="S38" s="26"/>
      <c r="T38" s="26"/>
      <c r="U38" s="26"/>
      <c r="V38" s="26"/>
      <c r="W38" s="26">
        <f>MAX($C$9-VLOOKUP($C38,COS!$B$8:$H$991,3,FALSE),0)</f>
        <v>95975.56103515625</v>
      </c>
      <c r="X38" s="26">
        <f t="shared" si="31"/>
        <v>5901.3072239798548</v>
      </c>
      <c r="Y38" s="26">
        <f>VLOOKUP($C38,COS!$B$8:$H$991,4,FALSE)</f>
        <v>661.1058349609375</v>
      </c>
      <c r="Z38" s="26">
        <f t="shared" si="32"/>
        <v>40.649813323217977</v>
      </c>
      <c r="AA38" s="26">
        <f t="shared" si="47"/>
        <v>661.1058349609375</v>
      </c>
      <c r="AB38" s="33">
        <f t="shared" si="34"/>
        <v>40.649813323217977</v>
      </c>
      <c r="AC38" s="6"/>
      <c r="AD38" s="43">
        <v>1946</v>
      </c>
      <c r="AE38" s="1">
        <f>VLOOKUP(AD38,Flags!$A$13:$B$95,2,FALSE)</f>
        <v>2</v>
      </c>
      <c r="AF38" s="43">
        <f t="shared" si="6"/>
        <v>407.88433400051656</v>
      </c>
      <c r="AG38" s="43">
        <f t="shared" si="7"/>
        <v>703.64850392239146</v>
      </c>
      <c r="AH38" s="43">
        <f t="shared" si="8"/>
        <v>0</v>
      </c>
      <c r="AI38" s="43">
        <f t="shared" si="9"/>
        <v>21810.774801136362</v>
      </c>
      <c r="AJ38" s="43">
        <f t="shared" si="10"/>
        <v>168.4989415192407</v>
      </c>
      <c r="AK38" s="43">
        <f t="shared" si="1"/>
        <v>119.56327923230889</v>
      </c>
      <c r="AL38" s="43">
        <f t="shared" si="11"/>
        <v>0</v>
      </c>
    </row>
    <row r="39" spans="1:42" x14ac:dyDescent="0.3">
      <c r="A39" s="32">
        <f>VLOOKUP(YEAR(C39),Flags!$A$13:$B$95,2,FALSE)</f>
        <v>5</v>
      </c>
      <c r="B39" s="24">
        <f t="shared" si="2"/>
        <v>1924</v>
      </c>
      <c r="C39" s="25">
        <v>9101</v>
      </c>
      <c r="D39" s="26"/>
      <c r="E39" s="24"/>
      <c r="F39" s="26"/>
      <c r="G39" s="26"/>
      <c r="H39" s="26"/>
      <c r="I39" s="26"/>
      <c r="J39" s="26"/>
      <c r="K39" s="26"/>
      <c r="L39" s="24"/>
      <c r="M39" s="24"/>
      <c r="N39" s="26"/>
      <c r="O39" s="26"/>
      <c r="P39" s="26"/>
      <c r="Q39" s="26"/>
      <c r="R39" s="26"/>
      <c r="S39" s="26"/>
      <c r="T39" s="26"/>
      <c r="U39" s="26"/>
      <c r="V39" s="26"/>
      <c r="W39" s="26">
        <f>MAX($C$10-VLOOKUP($C39,COS!$B$8:$H$991,3,FALSE),0)</f>
        <v>96749</v>
      </c>
      <c r="X39" s="26">
        <f t="shared" si="31"/>
        <v>5756.965289256198</v>
      </c>
      <c r="Y39" s="26">
        <f>VLOOKUP($C39,COS!$B$8:$H$991,4,FALSE)</f>
        <v>1030.6826171875</v>
      </c>
      <c r="Z39" s="26">
        <f t="shared" si="32"/>
        <v>61.329874741735537</v>
      </c>
      <c r="AA39" s="26">
        <f t="shared" si="47"/>
        <v>1030.6826171875</v>
      </c>
      <c r="AB39" s="33">
        <f t="shared" si="34"/>
        <v>30.664937370867769</v>
      </c>
      <c r="AC39" s="6"/>
      <c r="AD39" s="43">
        <v>1947</v>
      </c>
      <c r="AE39" s="1">
        <f>VLOOKUP(AD39,Flags!$A$13:$B$95,2,FALSE)</f>
        <v>4</v>
      </c>
      <c r="AF39" s="43">
        <f t="shared" si="6"/>
        <v>277.55906249999998</v>
      </c>
      <c r="AG39" s="43">
        <f t="shared" si="7"/>
        <v>637.84218946724877</v>
      </c>
      <c r="AH39" s="43">
        <f t="shared" si="8"/>
        <v>277.55906249999998</v>
      </c>
      <c r="AI39" s="43">
        <f t="shared" si="9"/>
        <v>22894.272137138429</v>
      </c>
      <c r="AJ39" s="43">
        <f t="shared" si="10"/>
        <v>397.17103701252586</v>
      </c>
      <c r="AK39" s="43">
        <f t="shared" si="1"/>
        <v>267.69855565599175</v>
      </c>
      <c r="AL39" s="43">
        <f t="shared" si="11"/>
        <v>267.69855565599175</v>
      </c>
    </row>
    <row r="40" spans="1:42" x14ac:dyDescent="0.3">
      <c r="A40" s="34">
        <f>VLOOKUP(YEAR(C40),Flags!$A$13:$B$95,2,FALSE)</f>
        <v>5</v>
      </c>
      <c r="B40" s="35">
        <f t="shared" si="2"/>
        <v>1924</v>
      </c>
      <c r="C40" s="36">
        <v>9132</v>
      </c>
      <c r="D40" s="37"/>
      <c r="E40" s="35"/>
      <c r="F40" s="37"/>
      <c r="G40" s="37"/>
      <c r="H40" s="37"/>
      <c r="I40" s="37"/>
      <c r="J40" s="37"/>
      <c r="K40" s="37"/>
      <c r="L40" s="35"/>
      <c r="M40" s="35"/>
      <c r="N40" s="37"/>
      <c r="O40" s="37"/>
      <c r="P40" s="37"/>
      <c r="Q40" s="37"/>
      <c r="R40" s="37"/>
      <c r="S40" s="37"/>
      <c r="T40" s="37"/>
      <c r="U40" s="37"/>
      <c r="V40" s="37"/>
      <c r="W40" s="37">
        <f>MAX($C$11-VLOOKUP($C40,COS!$B$8:$H$991,3,FALSE),0)</f>
        <v>0</v>
      </c>
      <c r="X40" s="37">
        <f t="shared" si="31"/>
        <v>0</v>
      </c>
      <c r="Y40" s="37">
        <f>VLOOKUP($C40,COS!$B$8:$H$991,4,FALSE)</f>
        <v>3291.532958984375</v>
      </c>
      <c r="Z40" s="37">
        <f t="shared" si="32"/>
        <v>202.38847284994836</v>
      </c>
      <c r="AA40" s="37">
        <f t="shared" si="47"/>
        <v>0</v>
      </c>
      <c r="AB40" s="38">
        <f t="shared" si="34"/>
        <v>0</v>
      </c>
      <c r="AC40" s="6"/>
      <c r="AD40" s="43">
        <v>1948</v>
      </c>
      <c r="AE40" s="1">
        <f>VLOOKUP(AD40,Flags!$A$13:$B$95,2,FALSE)</f>
        <v>3</v>
      </c>
      <c r="AF40" s="43">
        <f t="shared" si="6"/>
        <v>208.57675878099175</v>
      </c>
      <c r="AG40" s="43">
        <f t="shared" si="7"/>
        <v>636.59657708538452</v>
      </c>
      <c r="AH40" s="43">
        <f t="shared" si="8"/>
        <v>12.524736570247935</v>
      </c>
      <c r="AI40" s="43">
        <f t="shared" si="9"/>
        <v>22611.16150277634</v>
      </c>
      <c r="AJ40" s="43">
        <f t="shared" si="10"/>
        <v>206.49819967474818</v>
      </c>
      <c r="AK40" s="43">
        <f t="shared" si="1"/>
        <v>88.672343043808098</v>
      </c>
      <c r="AL40" s="43">
        <f t="shared" si="11"/>
        <v>12.524736570247935</v>
      </c>
    </row>
    <row r="41" spans="1:42" x14ac:dyDescent="0.3">
      <c r="A41" s="27">
        <f>VLOOKUP(YEAR(C41),Flags!$A$13:$B$95,2,FALSE)</f>
        <v>4</v>
      </c>
      <c r="B41" s="28">
        <f t="shared" si="2"/>
        <v>1925</v>
      </c>
      <c r="C41" s="29">
        <v>9252</v>
      </c>
      <c r="D41" s="30">
        <f>VLOOKUP($C41,COS!$B$8:$H$991,3,FALSE)</f>
        <v>3250</v>
      </c>
      <c r="E41" s="28">
        <f>IF(D41&gt;=IF(MONTH($C41)=4,$C$3,IF(MONTH($C41)=5,$C$4,IF(MONTH($C41)=6,$C$5,IF(MONTH($C41)=7,$C$6,"ERROR")))),1,0)</f>
        <v>0</v>
      </c>
      <c r="F41" s="30">
        <f>VLOOKUP($C41,COS!$B$8:$H$991,7,FALSE)</f>
        <v>49.611015319824219</v>
      </c>
      <c r="G41" s="28">
        <f>IF(F41&lt;=IF(MONTH($C41)=4,$F$3,IF(MONTH($C41)=5,$F$4,IF(MONTH($C41)=6,$F$5,IF(MONTH($C41)=7,$F$6,"ERROR")))),1,0)</f>
        <v>1</v>
      </c>
      <c r="H41" s="30">
        <f>IF(J41=1,D41-$C$3,0)</f>
        <v>0</v>
      </c>
      <c r="I41" s="30">
        <f t="shared" si="17"/>
        <v>0</v>
      </c>
      <c r="J41" s="28">
        <f t="shared" ref="J41:J44" si="50">IF(AND(E41=1,G41=1),1,0)</f>
        <v>0</v>
      </c>
      <c r="K41" s="30">
        <f>VLOOKUP($C41,COS!$B$8:$H$991,2,FALSE)</f>
        <v>4202.82470703125</v>
      </c>
      <c r="L41" s="28">
        <f t="shared" ref="L41" si="51">IF(K41&lt;=IF(MONTH($C41)=4,$I$3,IF(MONTH($C41)=5,$I$4,IF(MONTH($C41)=6,$I$5,IF(MONTH($C41)=7,$I$6,"ERROR")))),1,0)</f>
        <v>1</v>
      </c>
      <c r="M41" s="28">
        <f t="shared" ref="M41" si="52">VLOOKUP($A41,$L$3:$M$7,2,FALSE)</f>
        <v>1</v>
      </c>
      <c r="N41" s="30">
        <f>VLOOKUP($C41,COS!$B$8:$H$991,5,FALSE)</f>
        <v>154.96903991699219</v>
      </c>
      <c r="O41" s="30">
        <f t="shared" ref="O41:O44" si="53">N41*DAY($C41)*86400/43560/1000</f>
        <v>9.2212982429945765</v>
      </c>
      <c r="P41" s="30">
        <f>VLOOKUP($C41,COS!$B$8:$H$991,6,FALSE)</f>
        <v>375.54595947265625</v>
      </c>
      <c r="Q41" s="30">
        <f t="shared" ref="Q41:Q44" si="54">P41*DAY($C41)*86400/43560/1000</f>
        <v>22.346536431430785</v>
      </c>
      <c r="R41" s="30">
        <f>MIN(IF(MONTH($C41)=4,$S$3,IF(MONTH($C41)=5,$S$4,IF(MONTH($C41)=6,$S$5,IF(MONTH($C41)=7,$S$6,"ERROR")))),MAX(VLOOKUP($C41,COS!$B$8:$K$991,10,FALSE)-IF(MONTH($C41)=4,$Y$3,IF(MONTH($C41)=5,$Y$4,IF(MONTH($C41)=6,$Y$5,IF(MONTH($C41)=7,$Y$6,"ERROR")))),0),MAX(VLOOKUP($C41,COS!$B$8:$K$991,9,FALSE)-IF(MONTH($C41)=4,$V$3,IF(MONTH($C41)=5,$V$4,IF(MONTH($C41)=6,$V$5,IF(MONTH($C41)=7,$V$6,"ERROR"))))-VLOOKUP($C41,COS!$B$8:$K$991,6,FALSE)/2,0))</f>
        <v>1500</v>
      </c>
      <c r="S41" s="30">
        <f t="shared" ref="S41:S44" si="55">R41*DAY($C41)*86400/43560/1000</f>
        <v>89.256198347107429</v>
      </c>
      <c r="T41" s="30">
        <f t="shared" ref="T41:T44" si="56">(O41+Q41)/2+S41</f>
        <v>105.04011568432011</v>
      </c>
      <c r="U41" s="30" t="str">
        <f>IF(VLOOKUP($C41,COS!$B$8:$I$991,8,FALSE)=1,"UWFE","IBU")</f>
        <v>UWFE</v>
      </c>
      <c r="V41" s="30">
        <f t="shared" ref="V41" si="57">MIN(IF(IF($AA$3=2,AND(E41=1,G41=1,L41=1,L46=1,M41=1,U41="IBU"),AND(E41=1,G41=1,L41=1,L46=1,M41=1)),T41,0),I41)</f>
        <v>0</v>
      </c>
      <c r="W41" s="30"/>
      <c r="X41" s="30"/>
      <c r="Y41" s="30"/>
      <c r="Z41" s="30"/>
      <c r="AA41" s="30"/>
      <c r="AB41" s="31"/>
      <c r="AC41" s="6"/>
      <c r="AD41" s="43">
        <v>1949</v>
      </c>
      <c r="AE41" s="1">
        <f>VLOOKUP(AD41,Flags!$A$13:$B$95,2,FALSE)</f>
        <v>4</v>
      </c>
      <c r="AF41" s="43">
        <f t="shared" si="6"/>
        <v>193.31074993543388</v>
      </c>
      <c r="AG41" s="43">
        <f t="shared" si="7"/>
        <v>668.08874654974829</v>
      </c>
      <c r="AH41" s="43">
        <f t="shared" si="8"/>
        <v>156.38789449896694</v>
      </c>
      <c r="AI41" s="43">
        <f t="shared" si="9"/>
        <v>22604.710092652374</v>
      </c>
      <c r="AJ41" s="43">
        <f t="shared" si="10"/>
        <v>433.91744003422002</v>
      </c>
      <c r="AK41" s="43">
        <f t="shared" si="1"/>
        <v>315.70640600787704</v>
      </c>
      <c r="AL41" s="43">
        <f t="shared" si="11"/>
        <v>156.38789449896694</v>
      </c>
    </row>
    <row r="42" spans="1:42" x14ac:dyDescent="0.3">
      <c r="A42" s="32">
        <f>VLOOKUP(YEAR(C42),Flags!$A$13:$B$95,2,FALSE)</f>
        <v>4</v>
      </c>
      <c r="B42" s="24">
        <f t="shared" si="2"/>
        <v>1925</v>
      </c>
      <c r="C42" s="25">
        <v>9283</v>
      </c>
      <c r="D42" s="26">
        <f>VLOOKUP($C42,COS!$B$8:$H$991,3,FALSE)</f>
        <v>6016.6982421875</v>
      </c>
      <c r="E42" s="24">
        <f>IF(D42&gt;=IF(MONTH($C42)=4,$C$3,IF(MONTH($C42)=5,$C$4,IF(MONTH($C42)=6,$C$5,IF(MONTH($C42)=7,$C$6,"ERROR")))),1,0)</f>
        <v>1</v>
      </c>
      <c r="F42" s="26">
        <f>VLOOKUP($C42,COS!$B$8:$H$991,7,FALSE)</f>
        <v>50.364429473876953</v>
      </c>
      <c r="G42" s="24">
        <f>IF(F42&lt;=IF(MONTH($C42)=4,$F$3,IF(MONTH($C42)=5,$F$4,IF(MONTH($C42)=6,$F$5,IF(MONTH($C42)=7,$F$6,"ERROR")))),1,0)</f>
        <v>1</v>
      </c>
      <c r="H42" s="26">
        <f>IF(J42=1,D42-$C$4,0)</f>
        <v>16.6982421875</v>
      </c>
      <c r="I42" s="26">
        <f t="shared" si="17"/>
        <v>1.0267348915289256</v>
      </c>
      <c r="J42" s="24">
        <f t="shared" si="50"/>
        <v>1</v>
      </c>
      <c r="K42" s="26">
        <f>VLOOKUP($C42,COS!$B$8:$H$991,2,FALSE)</f>
        <v>4282.16650390625</v>
      </c>
      <c r="L42" s="24">
        <f t="shared" si="19"/>
        <v>1</v>
      </c>
      <c r="M42" s="24">
        <f t="shared" si="20"/>
        <v>1</v>
      </c>
      <c r="N42" s="26">
        <f>VLOOKUP($C42,COS!$B$8:$H$991,5,FALSE)</f>
        <v>377.79129028320313</v>
      </c>
      <c r="O42" s="26">
        <f t="shared" si="53"/>
        <v>23.229480989314307</v>
      </c>
      <c r="P42" s="26">
        <f>VLOOKUP($C42,COS!$B$8:$H$991,6,FALSE)</f>
        <v>1796.5595703125</v>
      </c>
      <c r="Q42" s="26">
        <f t="shared" si="54"/>
        <v>110.46614217458676</v>
      </c>
      <c r="R42" s="26">
        <f>MIN(IF(MONTH($C42)=4,$S$3,IF(MONTH($C42)=5,$S$4,IF(MONTH($C42)=6,$S$5,IF(MONTH($C42)=7,$S$6,"ERROR")))),MAX(VLOOKUP($C42,COS!$B$8:$K$991,10,FALSE)-IF(MONTH($C42)=4,$Y$3,IF(MONTH($C42)=5,$Y$4,IF(MONTH($C42)=6,$Y$5,IF(MONTH($C42)=7,$Y$6,"ERROR")))),0),MAX(VLOOKUP($C42,COS!$B$8:$K$991,9,FALSE)-IF(MONTH($C42)=4,$V$3,IF(MONTH($C42)=5,$V$4,IF(MONTH($C42)=6,$V$5,IF(MONTH($C42)=7,$V$6,"ERROR"))))-VLOOKUP($C42,COS!$B$8:$K$991,6,FALSE)/2,0))</f>
        <v>1500</v>
      </c>
      <c r="S42" s="26">
        <f t="shared" si="55"/>
        <v>92.231404958677686</v>
      </c>
      <c r="T42" s="26">
        <f t="shared" si="56"/>
        <v>159.07921654062824</v>
      </c>
      <c r="U42" s="26" t="str">
        <f>IF(VLOOKUP($C42,COS!$B$8:$I$991,8,FALSE)=1,"UWFE","IBU")</f>
        <v>UWFE</v>
      </c>
      <c r="V42" s="26">
        <f t="shared" ref="V42" si="58">MIN(IF(IF($AA$3=2,AND(E42=1,G42=1,L42=1,L46=1,M42=1,U42="IBU"),AND(E42=1,G42=1,L42=1,L46=1,M42=1)),T42,0),I42)</f>
        <v>0</v>
      </c>
      <c r="W42" s="26"/>
      <c r="X42" s="26"/>
      <c r="Y42" s="26"/>
      <c r="Z42" s="26"/>
      <c r="AA42" s="26"/>
      <c r="AB42" s="33"/>
      <c r="AC42" s="6"/>
      <c r="AD42" s="43">
        <v>1950</v>
      </c>
      <c r="AE42" s="1">
        <f>VLOOKUP(AD42,Flags!$A$13:$B$95,2,FALSE)</f>
        <v>4</v>
      </c>
      <c r="AF42" s="43">
        <f t="shared" si="6"/>
        <v>24.391813985020661</v>
      </c>
      <c r="AG42" s="43">
        <f t="shared" si="7"/>
        <v>648.70872080905383</v>
      </c>
      <c r="AH42" s="43">
        <f t="shared" si="8"/>
        <v>0</v>
      </c>
      <c r="AI42" s="43">
        <f t="shared" si="9"/>
        <v>22157.016136363636</v>
      </c>
      <c r="AJ42" s="43">
        <f t="shared" si="10"/>
        <v>112.07308938775182</v>
      </c>
      <c r="AK42" s="43">
        <f t="shared" si="1"/>
        <v>112.07308938775182</v>
      </c>
      <c r="AL42" s="43">
        <f t="shared" si="11"/>
        <v>0</v>
      </c>
    </row>
    <row r="43" spans="1:42" x14ac:dyDescent="0.3">
      <c r="A43" s="32">
        <f>VLOOKUP(YEAR(C43),Flags!$A$13:$B$95,2,FALSE)</f>
        <v>4</v>
      </c>
      <c r="B43" s="24">
        <f t="shared" si="2"/>
        <v>1925</v>
      </c>
      <c r="C43" s="25">
        <v>9313</v>
      </c>
      <c r="D43" s="26">
        <f>VLOOKUP($C43,COS!$B$8:$H$991,3,FALSE)</f>
        <v>9612.4140625</v>
      </c>
      <c r="E43" s="24">
        <f>IF(D43&gt;=IF(MONTH($C43)=4,$C$3,IF(MONTH($C43)=5,$C$4,IF(MONTH($C43)=6,$C$5,IF(MONTH($C43)=7,$C$6,"ERROR")))),1,0)</f>
        <v>0</v>
      </c>
      <c r="F43" s="26">
        <f>VLOOKUP($C43,COS!$B$8:$H$991,7,FALSE)</f>
        <v>50.799709320068359</v>
      </c>
      <c r="G43" s="24">
        <f>IF(F43&lt;=IF(MONTH($C43)=4,$F$3,IF(MONTH($C43)=5,$F$4,IF(MONTH($C43)=6,$F$5,IF(MONTH($C43)=7,$F$6,"ERROR")))),1,0)</f>
        <v>1</v>
      </c>
      <c r="H43" s="26">
        <f>IF(J43=1,D43-$C$5,0)</f>
        <v>0</v>
      </c>
      <c r="I43" s="26">
        <f t="shared" si="17"/>
        <v>0</v>
      </c>
      <c r="J43" s="24">
        <f t="shared" si="50"/>
        <v>0</v>
      </c>
      <c r="K43" s="26">
        <f>VLOOKUP($C43,COS!$B$8:$H$991,2,FALSE)</f>
        <v>3989.940673828125</v>
      </c>
      <c r="L43" s="24">
        <f t="shared" si="19"/>
        <v>1</v>
      </c>
      <c r="M43" s="24">
        <f t="shared" si="20"/>
        <v>1</v>
      </c>
      <c r="N43" s="26">
        <f>VLOOKUP($C43,COS!$B$8:$H$991,5,FALSE)</f>
        <v>794.0576171875</v>
      </c>
      <c r="O43" s="26">
        <f t="shared" si="53"/>
        <v>47.249709452479337</v>
      </c>
      <c r="P43" s="26">
        <f>VLOOKUP($C43,COS!$B$8:$H$991,6,FALSE)</f>
        <v>2591.778564453125</v>
      </c>
      <c r="Q43" s="26">
        <f t="shared" si="54"/>
        <v>154.22153441373965</v>
      </c>
      <c r="R43" s="26">
        <f>MIN(IF(MONTH($C43)=4,$S$3,IF(MONTH($C43)=5,$S$4,IF(MONTH($C43)=6,$S$5,IF(MONTH($C43)=7,$S$6,"ERROR")))),MAX(VLOOKUP($C43,COS!$B$8:$K$991,10,FALSE)-IF(MONTH($C43)=4,$Y$3,IF(MONTH($C43)=5,$Y$4,IF(MONTH($C43)=6,$Y$5,IF(MONTH($C43)=7,$Y$6,"ERROR")))),0),MAX(VLOOKUP($C43,COS!$B$8:$K$991,9,FALSE)-IF(MONTH($C43)=4,$V$3,IF(MONTH($C43)=5,$V$4,IF(MONTH($C43)=6,$V$5,IF(MONTH($C43)=7,$V$6,"ERROR"))))-VLOOKUP($C43,COS!$B$8:$K$991,6,FALSE)/2,0))</f>
        <v>1500</v>
      </c>
      <c r="S43" s="26">
        <f t="shared" si="55"/>
        <v>89.256198347107429</v>
      </c>
      <c r="T43" s="26">
        <f t="shared" si="56"/>
        <v>189.99182028021693</v>
      </c>
      <c r="U43" s="26" t="str">
        <f>IF(VLOOKUP($C43,COS!$B$8:$I$991,8,FALSE)=1,"UWFE","IBU")</f>
        <v>IBU</v>
      </c>
      <c r="V43" s="26">
        <f t="shared" ref="V43" si="59">MIN(IF(IF($AA$3=2,AND(E43=1,G43=1,L43=1,L46=1,M43=1,U43="IBU"),AND(E43=1,G43=1,L43=1,L46=1,M43=1)),T43,0),I43)</f>
        <v>0</v>
      </c>
      <c r="W43" s="26"/>
      <c r="X43" s="26"/>
      <c r="Y43" s="26"/>
      <c r="Z43" s="26"/>
      <c r="AA43" s="26"/>
      <c r="AB43" s="33"/>
      <c r="AC43" s="6"/>
      <c r="AD43" s="43">
        <v>1951</v>
      </c>
      <c r="AE43" s="1">
        <f>VLOOKUP(AD43,Flags!$A$13:$B$95,2,FALSE)</f>
        <v>2</v>
      </c>
      <c r="AF43" s="43">
        <f t="shared" si="6"/>
        <v>318.2121345557851</v>
      </c>
      <c r="AG43" s="43">
        <f t="shared" si="7"/>
        <v>645.21338185207901</v>
      </c>
      <c r="AH43" s="43">
        <f t="shared" si="8"/>
        <v>0</v>
      </c>
      <c r="AI43" s="43">
        <f t="shared" si="9"/>
        <v>21976.45691470816</v>
      </c>
      <c r="AJ43" s="43">
        <f t="shared" si="10"/>
        <v>123.98751945054235</v>
      </c>
      <c r="AK43" s="43">
        <f t="shared" si="1"/>
        <v>91.261757570377057</v>
      </c>
      <c r="AL43" s="43">
        <f t="shared" si="11"/>
        <v>0</v>
      </c>
    </row>
    <row r="44" spans="1:42" x14ac:dyDescent="0.3">
      <c r="A44" s="32">
        <f>VLOOKUP(YEAR(C44),Flags!$A$13:$B$95,2,FALSE)</f>
        <v>4</v>
      </c>
      <c r="B44" s="24">
        <f t="shared" si="2"/>
        <v>1925</v>
      </c>
      <c r="C44" s="25">
        <v>9344</v>
      </c>
      <c r="D44" s="26">
        <f>VLOOKUP($C44,COS!$B$8:$H$991,3,FALSE)</f>
        <v>12695.501953125</v>
      </c>
      <c r="E44" s="24">
        <f>IF(D44&gt;=IF(MONTH($C44)=4,$C$3,IF(MONTH($C44)=5,$C$4,IF(MONTH($C44)=6,$C$5,IF(MONTH($C44)=7,$C$6,"ERROR")))),1,0)</f>
        <v>1</v>
      </c>
      <c r="F44" s="26">
        <f>VLOOKUP($C44,COS!$B$8:$H$991,7,FALSE)</f>
        <v>51.456871032714844</v>
      </c>
      <c r="G44" s="24">
        <f>IF(F44&lt;=IF(MONTH($C44)=4,$F$3,IF(MONTH($C44)=5,$F$4,IF(MONTH($C44)=6,$F$5,IF(MONTH($C44)=7,$F$6,"ERROR")))),1,0)</f>
        <v>1</v>
      </c>
      <c r="H44" s="26">
        <f>IF(J44=1,D44-$C$6,0)</f>
        <v>695.501953125</v>
      </c>
      <c r="I44" s="26">
        <f t="shared" si="17"/>
        <v>42.764748192148765</v>
      </c>
      <c r="J44" s="24">
        <f t="shared" si="50"/>
        <v>1</v>
      </c>
      <c r="K44" s="26">
        <f>VLOOKUP($C44,COS!$B$8:$H$991,2,FALSE)</f>
        <v>3437.54150390625</v>
      </c>
      <c r="L44" s="24">
        <f t="shared" si="19"/>
        <v>1</v>
      </c>
      <c r="M44" s="24">
        <f t="shared" si="20"/>
        <v>1</v>
      </c>
      <c r="N44" s="26">
        <f>VLOOKUP($C44,COS!$B$8:$H$991,5,FALSE)</f>
        <v>979.5245361328125</v>
      </c>
      <c r="O44" s="26">
        <f t="shared" si="53"/>
        <v>60.228616106017569</v>
      </c>
      <c r="P44" s="26">
        <f>VLOOKUP($C44,COS!$B$8:$H$991,6,FALSE)</f>
        <v>2538.07568359375</v>
      </c>
      <c r="Q44" s="26">
        <f t="shared" si="54"/>
        <v>156.06019079287191</v>
      </c>
      <c r="R44" s="26">
        <f>MIN(IF(MONTH($C44)=4,$S$3,IF(MONTH($C44)=5,$S$4,IF(MONTH($C44)=6,$S$5,IF(MONTH($C44)=7,$S$6,"ERROR")))),MAX(VLOOKUP($C44,COS!$B$8:$K$991,10,FALSE)-IF(MONTH($C44)=4,$Y$3,IF(MONTH($C44)=5,$Y$4,IF(MONTH($C44)=6,$Y$5,IF(MONTH($C44)=7,$Y$6,"ERROR")))),0),MAX(VLOOKUP($C44,COS!$B$8:$K$991,9,FALSE)-IF(MONTH($C44)=4,$V$3,IF(MONTH($C44)=5,$V$4,IF(MONTH($C44)=6,$V$5,IF(MONTH($C44)=7,$V$6,"ERROR"))))-VLOOKUP($C44,COS!$B$8:$K$991,6,FALSE)/2,0))</f>
        <v>1500</v>
      </c>
      <c r="S44" s="26">
        <f t="shared" si="55"/>
        <v>92.231404958677686</v>
      </c>
      <c r="T44" s="26">
        <f t="shared" si="56"/>
        <v>200.37580840812242</v>
      </c>
      <c r="U44" s="26" t="str">
        <f>IF(VLOOKUP($C44,COS!$B$8:$I$991,8,FALSE)=1,"UWFE","IBU")</f>
        <v>IBU</v>
      </c>
      <c r="V44" s="26">
        <f t="shared" ref="V44" si="60">MIN(IF(IF($AA$3=2,AND(E44=1,G44=1,L44=1,L46=1,M44=1,U44="IBU"),AND(E44=1,G44=1,L44=1,L46=1,M44=1)),T44,0),I44)</f>
        <v>42.764748192148765</v>
      </c>
      <c r="W44" s="26"/>
      <c r="X44" s="26"/>
      <c r="Y44" s="26"/>
      <c r="Z44" s="26"/>
      <c r="AA44" s="26"/>
      <c r="AB44" s="33"/>
      <c r="AC44" s="6"/>
      <c r="AD44" s="43">
        <v>1952</v>
      </c>
      <c r="AE44" s="1">
        <f>VLOOKUP(AD44,Flags!$A$13:$B$95,2,FALSE)</f>
        <v>1</v>
      </c>
      <c r="AF44" s="43">
        <f t="shared" si="6"/>
        <v>697.78984633264463</v>
      </c>
      <c r="AG44" s="43">
        <f t="shared" si="7"/>
        <v>685.72902777553577</v>
      </c>
      <c r="AH44" s="43">
        <f t="shared" si="8"/>
        <v>0</v>
      </c>
      <c r="AI44" s="43">
        <f t="shared" si="9"/>
        <v>21660.340667936467</v>
      </c>
      <c r="AJ44" s="43">
        <f t="shared" si="10"/>
        <v>58.610078891722623</v>
      </c>
      <c r="AK44" s="43">
        <f t="shared" si="1"/>
        <v>36.686122038029438</v>
      </c>
      <c r="AL44" s="43">
        <f t="shared" si="11"/>
        <v>0</v>
      </c>
    </row>
    <row r="45" spans="1:42" x14ac:dyDescent="0.3">
      <c r="A45" s="32">
        <f>VLOOKUP(YEAR(C45),Flags!$A$13:$B$95,2,FALSE)</f>
        <v>4</v>
      </c>
      <c r="B45" s="24">
        <f t="shared" si="2"/>
        <v>1925</v>
      </c>
      <c r="C45" s="25">
        <v>9375</v>
      </c>
      <c r="D45" s="26"/>
      <c r="E45" s="24"/>
      <c r="F45" s="26"/>
      <c r="G45" s="24"/>
      <c r="H45" s="24"/>
      <c r="I45" s="26"/>
      <c r="J45" s="24"/>
      <c r="K45" s="26"/>
      <c r="L45" s="24"/>
      <c r="M45" s="24"/>
      <c r="N45" s="26"/>
      <c r="O45" s="26"/>
      <c r="P45" s="26"/>
      <c r="Q45" s="26"/>
      <c r="R45" s="26"/>
      <c r="S45" s="26"/>
      <c r="T45" s="26"/>
      <c r="U45" s="26"/>
      <c r="V45" s="26"/>
      <c r="W45" s="26">
        <f>MAX($C$7-VLOOKUP($C45,COS!$B$8:$H$991,3,FALSE),0)</f>
        <v>90169.4140625</v>
      </c>
      <c r="X45" s="26">
        <f t="shared" si="31"/>
        <v>5544.3011621900823</v>
      </c>
      <c r="Y45" s="26">
        <f>VLOOKUP($C45,COS!$B$8:$H$991,4,FALSE)</f>
        <v>1755.4483642578125</v>
      </c>
      <c r="Z45" s="26">
        <f t="shared" si="32"/>
        <v>107.93831264527377</v>
      </c>
      <c r="AA45" s="26">
        <f t="shared" ref="AA45:AA49" si="61">MIN(W45,Y45)</f>
        <v>1755.4483642578125</v>
      </c>
      <c r="AB45" s="33">
        <f t="shared" ref="AB45" si="62">AA45*DAY($C45)*86400/43560/1000*IF(MONTH($C45)=8,$P$3,IF(MONTH($C45)=9,$P$4,IF(MONTH($C45)=10,$P$5,IF(MONTH($C45)=11,$P$6,IF(MONTH($C45)=12,$P$7,NA())))))</f>
        <v>107.93831264527377</v>
      </c>
      <c r="AC45" s="6"/>
      <c r="AD45" s="43">
        <v>1953</v>
      </c>
      <c r="AE45" s="1">
        <f>VLOOKUP(AD45,Flags!$A$13:$B$95,2,FALSE)</f>
        <v>1</v>
      </c>
      <c r="AF45" s="43">
        <f t="shared" si="6"/>
        <v>393.94290805785124</v>
      </c>
      <c r="AG45" s="43">
        <f t="shared" si="7"/>
        <v>699.80341564840523</v>
      </c>
      <c r="AH45" s="43">
        <f t="shared" si="8"/>
        <v>0</v>
      </c>
      <c r="AI45" s="43">
        <f t="shared" si="9"/>
        <v>21378.207919679749</v>
      </c>
      <c r="AJ45" s="43">
        <f t="shared" si="10"/>
        <v>184.16609680806309</v>
      </c>
      <c r="AK45" s="43">
        <f t="shared" si="1"/>
        <v>127.2990606752506</v>
      </c>
      <c r="AL45" s="43">
        <f t="shared" si="11"/>
        <v>0</v>
      </c>
    </row>
    <row r="46" spans="1:42" x14ac:dyDescent="0.3">
      <c r="A46" s="32">
        <f>VLOOKUP(YEAR(C46),Flags!$A$13:$B$95,2,FALSE)</f>
        <v>4</v>
      </c>
      <c r="B46" s="24">
        <f t="shared" si="2"/>
        <v>1925</v>
      </c>
      <c r="C46" s="25">
        <v>9405</v>
      </c>
      <c r="D46" s="26"/>
      <c r="E46" s="24"/>
      <c r="F46" s="26"/>
      <c r="G46" s="24"/>
      <c r="H46" s="24"/>
      <c r="I46" s="26"/>
      <c r="J46" s="24"/>
      <c r="K46" s="26">
        <f>VLOOKUP($C46,COS!$B$8:$H$991,2,FALSE)</f>
        <v>2972.557373046875</v>
      </c>
      <c r="L46" s="24">
        <f t="shared" ref="L46" si="63">IF(AND(K46&gt;$I$7,K46&lt;$I$8),1,0)</f>
        <v>1</v>
      </c>
      <c r="M46" s="24"/>
      <c r="N46" s="26"/>
      <c r="O46" s="26"/>
      <c r="P46" s="26"/>
      <c r="Q46" s="26"/>
      <c r="R46" s="26"/>
      <c r="S46" s="26"/>
      <c r="T46" s="26"/>
      <c r="U46" s="26"/>
      <c r="V46" s="26"/>
      <c r="W46" s="26">
        <f>MAX($C$8-VLOOKUP($C46,COS!$B$8:$H$991,3,FALSE),0)</f>
        <v>94122.39599609375</v>
      </c>
      <c r="X46" s="26">
        <f t="shared" si="31"/>
        <v>5600.6714972882237</v>
      </c>
      <c r="Y46" s="26">
        <f>VLOOKUP($C46,COS!$B$8:$H$991,4,FALSE)</f>
        <v>601.609375</v>
      </c>
      <c r="Z46" s="26">
        <f t="shared" si="32"/>
        <v>35.798243801652887</v>
      </c>
      <c r="AA46" s="26">
        <f t="shared" si="61"/>
        <v>601.609375</v>
      </c>
      <c r="AB46" s="33">
        <f t="shared" si="34"/>
        <v>35.798243801652887</v>
      </c>
      <c r="AC46" s="6"/>
      <c r="AD46" s="43">
        <v>1954</v>
      </c>
      <c r="AE46" s="1">
        <f>VLOOKUP(AD46,Flags!$A$13:$B$95,2,FALSE)</f>
        <v>2</v>
      </c>
      <c r="AF46" s="43">
        <f t="shared" si="6"/>
        <v>628.75953060433881</v>
      </c>
      <c r="AG46" s="43">
        <f t="shared" si="7"/>
        <v>682.99890435337034</v>
      </c>
      <c r="AH46" s="43">
        <f t="shared" si="8"/>
        <v>0</v>
      </c>
      <c r="AI46" s="43">
        <f t="shared" si="9"/>
        <v>22009.53607728564</v>
      </c>
      <c r="AJ46" s="43">
        <f t="shared" si="10"/>
        <v>98.616977740831601</v>
      </c>
      <c r="AK46" s="43">
        <f t="shared" si="1"/>
        <v>73.855744447314038</v>
      </c>
      <c r="AL46" s="43">
        <f t="shared" si="11"/>
        <v>0</v>
      </c>
    </row>
    <row r="47" spans="1:42" x14ac:dyDescent="0.3">
      <c r="A47" s="32">
        <f>VLOOKUP(YEAR(C47),Flags!$A$13:$B$95,2,FALSE)</f>
        <v>4</v>
      </c>
      <c r="B47" s="24">
        <f t="shared" si="2"/>
        <v>1925</v>
      </c>
      <c r="C47" s="25">
        <v>9436</v>
      </c>
      <c r="D47" s="26"/>
      <c r="E47" s="24"/>
      <c r="F47" s="26"/>
      <c r="G47" s="26"/>
      <c r="H47" s="26"/>
      <c r="I47" s="26"/>
      <c r="J47" s="26"/>
      <c r="K47" s="26"/>
      <c r="L47" s="24"/>
      <c r="M47" s="24"/>
      <c r="N47" s="26"/>
      <c r="O47" s="26"/>
      <c r="P47" s="26"/>
      <c r="Q47" s="26"/>
      <c r="R47" s="26"/>
      <c r="S47" s="26"/>
      <c r="T47" s="26"/>
      <c r="U47" s="26"/>
      <c r="V47" s="26"/>
      <c r="W47" s="26">
        <f>MAX($C$9-VLOOKUP($C47,COS!$B$8:$H$991,3,FALSE),0)</f>
        <v>94097.9453125</v>
      </c>
      <c r="X47" s="26">
        <f t="shared" si="31"/>
        <v>5785.8571332644624</v>
      </c>
      <c r="Y47" s="26">
        <f>VLOOKUP($C47,COS!$B$8:$H$991,4,FALSE)</f>
        <v>1509.1988525390625</v>
      </c>
      <c r="Z47" s="26">
        <f t="shared" si="32"/>
        <v>92.797020354467975</v>
      </c>
      <c r="AA47" s="26">
        <f t="shared" si="61"/>
        <v>1509.1988525390625</v>
      </c>
      <c r="AB47" s="33">
        <f t="shared" si="34"/>
        <v>92.797020354467975</v>
      </c>
      <c r="AC47" s="6"/>
      <c r="AD47" s="43">
        <v>1955</v>
      </c>
      <c r="AE47" s="1">
        <f>VLOOKUP(AD47,Flags!$A$13:$B$95,2,FALSE)</f>
        <v>4</v>
      </c>
      <c r="AF47" s="43">
        <f t="shared" si="6"/>
        <v>146.39928137913225</v>
      </c>
      <c r="AG47" s="43">
        <f t="shared" si="7"/>
        <v>650.48586702204932</v>
      </c>
      <c r="AH47" s="43">
        <f t="shared" si="8"/>
        <v>146.39928137913225</v>
      </c>
      <c r="AI47" s="43">
        <f t="shared" si="9"/>
        <v>22858.056631262913</v>
      </c>
      <c r="AJ47" s="43">
        <f t="shared" si="10"/>
        <v>316.76745553008783</v>
      </c>
      <c r="AK47" s="43">
        <f t="shared" si="1"/>
        <v>274.17800482631719</v>
      </c>
      <c r="AL47" s="43">
        <f t="shared" si="11"/>
        <v>146.39928137913225</v>
      </c>
    </row>
    <row r="48" spans="1:42" x14ac:dyDescent="0.3">
      <c r="A48" s="32">
        <f>VLOOKUP(YEAR(C48),Flags!$A$13:$B$95,2,FALSE)</f>
        <v>4</v>
      </c>
      <c r="B48" s="24">
        <f t="shared" si="2"/>
        <v>1925</v>
      </c>
      <c r="C48" s="25">
        <v>9466</v>
      </c>
      <c r="D48" s="26"/>
      <c r="E48" s="24"/>
      <c r="F48" s="26"/>
      <c r="G48" s="26"/>
      <c r="H48" s="26"/>
      <c r="I48" s="26"/>
      <c r="J48" s="26"/>
      <c r="K48" s="26"/>
      <c r="L48" s="24"/>
      <c r="M48" s="24"/>
      <c r="N48" s="26"/>
      <c r="O48" s="26"/>
      <c r="P48" s="26"/>
      <c r="Q48" s="26"/>
      <c r="R48" s="26"/>
      <c r="S48" s="26"/>
      <c r="T48" s="26"/>
      <c r="U48" s="26"/>
      <c r="V48" s="26"/>
      <c r="W48" s="26">
        <f>MAX($C$10-VLOOKUP($C48,COS!$B$8:$H$991,3,FALSE),0)</f>
        <v>94973.6005859375</v>
      </c>
      <c r="X48" s="26">
        <f t="shared" si="31"/>
        <v>5651.3216877582645</v>
      </c>
      <c r="Y48" s="26">
        <f>VLOOKUP($C48,COS!$B$8:$H$991,4,FALSE)</f>
        <v>1037.1134033203125</v>
      </c>
      <c r="Z48" s="26">
        <f t="shared" si="32"/>
        <v>61.712533090134293</v>
      </c>
      <c r="AA48" s="26">
        <f t="shared" si="61"/>
        <v>1037.1134033203125</v>
      </c>
      <c r="AB48" s="33">
        <f t="shared" si="34"/>
        <v>30.856266545067147</v>
      </c>
      <c r="AC48" s="6"/>
      <c r="AD48" s="43">
        <v>1956</v>
      </c>
      <c r="AE48" s="1">
        <f>VLOOKUP(AD48,Flags!$A$13:$B$95,2,FALSE)</f>
        <v>1</v>
      </c>
      <c r="AF48" s="43">
        <f t="shared" si="6"/>
        <v>238.41283768078512</v>
      </c>
      <c r="AG48" s="43">
        <f t="shared" si="7"/>
        <v>688.1348309780152</v>
      </c>
      <c r="AH48" s="43">
        <f t="shared" si="8"/>
        <v>0</v>
      </c>
      <c r="AI48" s="43">
        <f t="shared" si="9"/>
        <v>21520.017618478825</v>
      </c>
      <c r="AJ48" s="43">
        <f t="shared" si="10"/>
        <v>69.803219589359514</v>
      </c>
      <c r="AK48" s="43">
        <f t="shared" si="1"/>
        <v>51.04191426426911</v>
      </c>
      <c r="AL48" s="43">
        <f t="shared" si="11"/>
        <v>0</v>
      </c>
    </row>
    <row r="49" spans="1:38" x14ac:dyDescent="0.3">
      <c r="A49" s="34">
        <f>VLOOKUP(YEAR(C49),Flags!$A$13:$B$95,2,FALSE)</f>
        <v>4</v>
      </c>
      <c r="B49" s="35">
        <f t="shared" si="2"/>
        <v>1925</v>
      </c>
      <c r="C49" s="36">
        <v>9497</v>
      </c>
      <c r="D49" s="37"/>
      <c r="E49" s="35"/>
      <c r="F49" s="37"/>
      <c r="G49" s="37"/>
      <c r="H49" s="37"/>
      <c r="I49" s="37"/>
      <c r="J49" s="37"/>
      <c r="K49" s="37"/>
      <c r="L49" s="35"/>
      <c r="M49" s="35"/>
      <c r="N49" s="37"/>
      <c r="O49" s="37"/>
      <c r="P49" s="37"/>
      <c r="Q49" s="37"/>
      <c r="R49" s="37"/>
      <c r="S49" s="37"/>
      <c r="T49" s="37"/>
      <c r="U49" s="37"/>
      <c r="V49" s="37"/>
      <c r="W49" s="37">
        <f>MAX($C$11-VLOOKUP($C49,COS!$B$8:$H$991,3,FALSE),0)</f>
        <v>0</v>
      </c>
      <c r="X49" s="37">
        <f t="shared" si="31"/>
        <v>0</v>
      </c>
      <c r="Y49" s="37">
        <f>VLOOKUP($C49,COS!$B$8:$H$991,4,FALSE)</f>
        <v>1280.279541015625</v>
      </c>
      <c r="Z49" s="37">
        <f t="shared" si="32"/>
        <v>78.721320538481407</v>
      </c>
      <c r="AA49" s="37">
        <f t="shared" si="61"/>
        <v>0</v>
      </c>
      <c r="AB49" s="38">
        <f t="shared" si="34"/>
        <v>0</v>
      </c>
      <c r="AC49" s="6"/>
      <c r="AD49" s="43">
        <v>1957</v>
      </c>
      <c r="AE49" s="1">
        <f>VLOOKUP(AD49,Flags!$A$13:$B$95,2,FALSE)</f>
        <v>2</v>
      </c>
      <c r="AF49" s="43">
        <f t="shared" si="6"/>
        <v>515.49969653925621</v>
      </c>
      <c r="AG49" s="43">
        <f t="shared" si="7"/>
        <v>678.53450308303195</v>
      </c>
      <c r="AH49" s="43">
        <f t="shared" si="8"/>
        <v>0</v>
      </c>
      <c r="AI49" s="43">
        <f t="shared" si="9"/>
        <v>22125.812749548037</v>
      </c>
      <c r="AJ49" s="43">
        <f t="shared" si="10"/>
        <v>311.10799308335481</v>
      </c>
      <c r="AK49" s="43">
        <f t="shared" si="1"/>
        <v>242.92148740153667</v>
      </c>
      <c r="AL49" s="43">
        <f t="shared" si="11"/>
        <v>0</v>
      </c>
    </row>
    <row r="50" spans="1:38" x14ac:dyDescent="0.3">
      <c r="A50" s="27">
        <f>VLOOKUP(YEAR(C50),Flags!$A$13:$B$95,2,FALSE)</f>
        <v>4</v>
      </c>
      <c r="B50" s="28">
        <f t="shared" si="2"/>
        <v>1926</v>
      </c>
      <c r="C50" s="29">
        <v>9617</v>
      </c>
      <c r="D50" s="30">
        <f>VLOOKUP($C50,COS!$B$8:$H$991,3,FALSE)</f>
        <v>3250</v>
      </c>
      <c r="E50" s="28">
        <f>IF(D50&gt;=IF(MONTH($C50)=4,$C$3,IF(MONTH($C50)=5,$C$4,IF(MONTH($C50)=6,$C$5,IF(MONTH($C50)=7,$C$6,"ERROR")))),1,0)</f>
        <v>0</v>
      </c>
      <c r="F50" s="30">
        <f>VLOOKUP($C50,COS!$B$8:$H$991,7,FALSE)</f>
        <v>51.212348937988281</v>
      </c>
      <c r="G50" s="28">
        <f>IF(F50&lt;=IF(MONTH($C50)=4,$F$3,IF(MONTH($C50)=5,$F$4,IF(MONTH($C50)=6,$F$5,IF(MONTH($C50)=7,$F$6,"ERROR")))),1,0)</f>
        <v>1</v>
      </c>
      <c r="H50" s="30">
        <f>IF(J50=1,D50-$C$3,0)</f>
        <v>0</v>
      </c>
      <c r="I50" s="30">
        <f t="shared" si="17"/>
        <v>0</v>
      </c>
      <c r="J50" s="28">
        <f t="shared" ref="J50:J53" si="64">IF(AND(E50=1,G50=1),1,0)</f>
        <v>0</v>
      </c>
      <c r="K50" s="30">
        <f>VLOOKUP($C50,COS!$B$8:$H$991,2,FALSE)</f>
        <v>3896.73193359375</v>
      </c>
      <c r="L50" s="28">
        <f t="shared" ref="L50" si="65">IF(K50&lt;=IF(MONTH($C50)=4,$I$3,IF(MONTH($C50)=5,$I$4,IF(MONTH($C50)=6,$I$5,IF(MONTH($C50)=7,$I$6,"ERROR")))),1,0)</f>
        <v>1</v>
      </c>
      <c r="M50" s="28">
        <f t="shared" ref="M50" si="66">VLOOKUP($A50,$L$3:$M$7,2,FALSE)</f>
        <v>1</v>
      </c>
      <c r="N50" s="30">
        <f>VLOOKUP($C50,COS!$B$8:$H$991,5,FALSE)</f>
        <v>52.222553253173828</v>
      </c>
      <c r="O50" s="30">
        <f t="shared" ref="O50:O53" si="67">N50*DAY($C50)*86400/43560/1000</f>
        <v>3.1074577142384427</v>
      </c>
      <c r="P50" s="30">
        <f>VLOOKUP($C50,COS!$B$8:$H$991,6,FALSE)</f>
        <v>311.75833129882813</v>
      </c>
      <c r="Q50" s="30">
        <f t="shared" ref="Q50:Q53" si="68">P50*DAY($C50)*86400/43560/1000</f>
        <v>18.550908969847622</v>
      </c>
      <c r="R50" s="30">
        <f>MIN(IF(MONTH($C50)=4,$S$3,IF(MONTH($C50)=5,$S$4,IF(MONTH($C50)=6,$S$5,IF(MONTH($C50)=7,$S$6,"ERROR")))),MAX(VLOOKUP($C50,COS!$B$8:$K$991,10,FALSE)-IF(MONTH($C50)=4,$Y$3,IF(MONTH($C50)=5,$Y$4,IF(MONTH($C50)=6,$Y$5,IF(MONTH($C50)=7,$Y$6,"ERROR")))),0),MAX(VLOOKUP($C50,COS!$B$8:$K$991,9,FALSE)-IF(MONTH($C50)=4,$V$3,IF(MONTH($C50)=5,$V$4,IF(MONTH($C50)=6,$V$5,IF(MONTH($C50)=7,$V$6,"ERROR"))))-VLOOKUP($C50,COS!$B$8:$K$991,6,FALSE)/2,0))</f>
        <v>1500</v>
      </c>
      <c r="S50" s="30">
        <f t="shared" ref="S50:S53" si="69">R50*DAY($C50)*86400/43560/1000</f>
        <v>89.256198347107429</v>
      </c>
      <c r="T50" s="30">
        <f t="shared" ref="T50:T53" si="70">(O50+Q50)/2+S50</f>
        <v>100.08538168915047</v>
      </c>
      <c r="U50" s="30" t="str">
        <f>IF(VLOOKUP($C50,COS!$B$8:$I$991,8,FALSE)=1,"UWFE","IBU")</f>
        <v>UWFE</v>
      </c>
      <c r="V50" s="30">
        <f t="shared" ref="V50" si="71">MIN(IF(IF($AA$3=2,AND(E50=1,G50=1,L50=1,L55=1,M50=1,U50="IBU"),AND(E50=1,G50=1,L50=1,L55=1,M50=1)),T50,0),I50)</f>
        <v>0</v>
      </c>
      <c r="W50" s="30"/>
      <c r="X50" s="30"/>
      <c r="Y50" s="30"/>
      <c r="Z50" s="30"/>
      <c r="AA50" s="30"/>
      <c r="AB50" s="31"/>
      <c r="AC50" s="6"/>
      <c r="AD50" s="43">
        <v>1958</v>
      </c>
      <c r="AE50" s="1">
        <f>VLOOKUP(AD50,Flags!$A$13:$B$95,2,FALSE)</f>
        <v>1</v>
      </c>
      <c r="AF50" s="43">
        <f t="shared" si="6"/>
        <v>412.32285705061986</v>
      </c>
      <c r="AG50" s="43">
        <f t="shared" si="7"/>
        <v>667.28328076323191</v>
      </c>
      <c r="AH50" s="43">
        <f t="shared" si="8"/>
        <v>0</v>
      </c>
      <c r="AI50" s="43">
        <f t="shared" si="9"/>
        <v>21442.499119641012</v>
      </c>
      <c r="AJ50" s="43">
        <f t="shared" si="10"/>
        <v>93.370713062128743</v>
      </c>
      <c r="AK50" s="43">
        <f t="shared" si="1"/>
        <v>48.244034343120475</v>
      </c>
      <c r="AL50" s="43">
        <f t="shared" si="11"/>
        <v>0</v>
      </c>
    </row>
    <row r="51" spans="1:38" x14ac:dyDescent="0.3">
      <c r="A51" s="32">
        <f>VLOOKUP(YEAR(C51),Flags!$A$13:$B$95,2,FALSE)</f>
        <v>4</v>
      </c>
      <c r="B51" s="24">
        <f t="shared" si="2"/>
        <v>1926</v>
      </c>
      <c r="C51" s="25">
        <v>9648</v>
      </c>
      <c r="D51" s="26">
        <f>VLOOKUP($C51,COS!$B$8:$H$991,3,FALSE)</f>
        <v>8995.443359375</v>
      </c>
      <c r="E51" s="24">
        <f>IF(D51&gt;=IF(MONTH($C51)=4,$C$3,IF(MONTH($C51)=5,$C$4,IF(MONTH($C51)=6,$C$5,IF(MONTH($C51)=7,$C$6,"ERROR")))),1,0)</f>
        <v>1</v>
      </c>
      <c r="F51" s="26">
        <f>VLOOKUP($C51,COS!$B$8:$H$991,7,FALSE)</f>
        <v>50.193782806396484</v>
      </c>
      <c r="G51" s="24">
        <f>IF(F51&lt;=IF(MONTH($C51)=4,$F$3,IF(MONTH($C51)=5,$F$4,IF(MONTH($C51)=6,$F$5,IF(MONTH($C51)=7,$F$6,"ERROR")))),1,0)</f>
        <v>1</v>
      </c>
      <c r="H51" s="26">
        <f>IF(J51=1,D51-$C$4,0)</f>
        <v>2995.443359375</v>
      </c>
      <c r="I51" s="26">
        <f t="shared" si="17"/>
        <v>184.18263300619836</v>
      </c>
      <c r="J51" s="24">
        <f t="shared" si="64"/>
        <v>1</v>
      </c>
      <c r="K51" s="26">
        <f>VLOOKUP($C51,COS!$B$8:$H$991,2,FALSE)</f>
        <v>3570.763671875</v>
      </c>
      <c r="L51" s="24">
        <f t="shared" si="19"/>
        <v>1</v>
      </c>
      <c r="M51" s="24">
        <f t="shared" si="20"/>
        <v>1</v>
      </c>
      <c r="N51" s="26">
        <f>VLOOKUP($C51,COS!$B$8:$H$991,5,FALSE)</f>
        <v>105.33164978027344</v>
      </c>
      <c r="O51" s="26">
        <f t="shared" si="67"/>
        <v>6.476590697233342</v>
      </c>
      <c r="P51" s="26">
        <f>VLOOKUP($C51,COS!$B$8:$H$991,6,FALSE)</f>
        <v>2210.808349609375</v>
      </c>
      <c r="Q51" s="26">
        <f t="shared" si="68"/>
        <v>135.93730678589876</v>
      </c>
      <c r="R51" s="26">
        <f>MIN(IF(MONTH($C51)=4,$S$3,IF(MONTH($C51)=5,$S$4,IF(MONTH($C51)=6,$S$5,IF(MONTH($C51)=7,$S$6,"ERROR")))),MAX(VLOOKUP($C51,COS!$B$8:$K$991,10,FALSE)-IF(MONTH($C51)=4,$Y$3,IF(MONTH($C51)=5,$Y$4,IF(MONTH($C51)=6,$Y$5,IF(MONTH($C51)=7,$Y$6,"ERROR")))),0),MAX(VLOOKUP($C51,COS!$B$8:$K$991,9,FALSE)-IF(MONTH($C51)=4,$V$3,IF(MONTH($C51)=5,$V$4,IF(MONTH($C51)=6,$V$5,IF(MONTH($C51)=7,$V$6,"ERROR"))))-VLOOKUP($C51,COS!$B$8:$K$991,6,FALSE)/2,0))</f>
        <v>1500</v>
      </c>
      <c r="S51" s="26">
        <f t="shared" si="69"/>
        <v>92.231404958677686</v>
      </c>
      <c r="T51" s="26">
        <f t="shared" si="70"/>
        <v>163.43835370024374</v>
      </c>
      <c r="U51" s="26" t="str">
        <f>IF(VLOOKUP($C51,COS!$B$8:$I$991,8,FALSE)=1,"UWFE","IBU")</f>
        <v>IBU</v>
      </c>
      <c r="V51" s="26">
        <f t="shared" ref="V51" si="72">MIN(IF(IF($AA$3=2,AND(E51=1,G51=1,L51=1,L55=1,M51=1,U51="IBU"),AND(E51=1,G51=1,L51=1,L55=1,M51=1)),T51,0),I51)</f>
        <v>163.43835370024374</v>
      </c>
      <c r="W51" s="26"/>
      <c r="X51" s="26"/>
      <c r="Y51" s="26"/>
      <c r="Z51" s="26"/>
      <c r="AA51" s="26"/>
      <c r="AB51" s="33"/>
      <c r="AC51" s="6"/>
      <c r="AD51" s="43">
        <v>1959</v>
      </c>
      <c r="AE51" s="1">
        <f>VLOOKUP(AD51,Flags!$A$13:$B$95,2,FALSE)</f>
        <v>3</v>
      </c>
      <c r="AF51" s="43">
        <f t="shared" si="6"/>
        <v>504.12418001033052</v>
      </c>
      <c r="AG51" s="43">
        <f t="shared" si="7"/>
        <v>681.42011773227659</v>
      </c>
      <c r="AH51" s="43">
        <f t="shared" si="8"/>
        <v>328.82535541628999</v>
      </c>
      <c r="AI51" s="43">
        <f t="shared" si="9"/>
        <v>22296.30887913223</v>
      </c>
      <c r="AJ51" s="43">
        <f t="shared" si="10"/>
        <v>344.76315813048814</v>
      </c>
      <c r="AK51" s="43">
        <f t="shared" si="1"/>
        <v>180.16086248224431</v>
      </c>
      <c r="AL51" s="43">
        <f t="shared" si="11"/>
        <v>180.16086248224431</v>
      </c>
    </row>
    <row r="52" spans="1:38" x14ac:dyDescent="0.3">
      <c r="A52" s="32">
        <f>VLOOKUP(YEAR(C52),Flags!$A$13:$B$95,2,FALSE)</f>
        <v>4</v>
      </c>
      <c r="B52" s="24">
        <f t="shared" si="2"/>
        <v>1926</v>
      </c>
      <c r="C52" s="25">
        <v>9678</v>
      </c>
      <c r="D52" s="26">
        <f>VLOOKUP($C52,COS!$B$8:$H$991,3,FALSE)</f>
        <v>10166.794921875</v>
      </c>
      <c r="E52" s="24">
        <f>IF(D52&gt;=IF(MONTH($C52)=4,$C$3,IF(MONTH($C52)=5,$C$4,IF(MONTH($C52)=6,$C$5,IF(MONTH($C52)=7,$C$6,"ERROR")))),1,0)</f>
        <v>1</v>
      </c>
      <c r="F52" s="26">
        <f>VLOOKUP($C52,COS!$B$8:$H$991,7,FALSE)</f>
        <v>51.801841735839844</v>
      </c>
      <c r="G52" s="24">
        <f>IF(F52&lt;=IF(MONTH($C52)=4,$F$3,IF(MONTH($C52)=5,$F$4,IF(MONTH($C52)=6,$F$5,IF(MONTH($C52)=7,$F$6,"ERROR")))),1,0)</f>
        <v>1</v>
      </c>
      <c r="H52" s="26">
        <f>IF(J52=1,D52-$C$5,0)</f>
        <v>166.794921875</v>
      </c>
      <c r="I52" s="26">
        <f t="shared" si="17"/>
        <v>9.9249870867768593</v>
      </c>
      <c r="J52" s="24">
        <f t="shared" si="64"/>
        <v>1</v>
      </c>
      <c r="K52" s="26">
        <f>VLOOKUP($C52,COS!$B$8:$H$991,2,FALSE)</f>
        <v>3144.499267578125</v>
      </c>
      <c r="L52" s="24">
        <f t="shared" si="19"/>
        <v>1</v>
      </c>
      <c r="M52" s="24">
        <f t="shared" si="20"/>
        <v>1</v>
      </c>
      <c r="N52" s="26">
        <f>VLOOKUP($C52,COS!$B$8:$H$991,5,FALSE)</f>
        <v>393.1129150390625</v>
      </c>
      <c r="O52" s="26">
        <f t="shared" si="67"/>
        <v>23.391842878357437</v>
      </c>
      <c r="P52" s="26">
        <f>VLOOKUP($C52,COS!$B$8:$H$991,6,FALSE)</f>
        <v>2714.961669921875</v>
      </c>
      <c r="Q52" s="26">
        <f t="shared" si="68"/>
        <v>161.55143821022727</v>
      </c>
      <c r="R52" s="26">
        <f>MIN(IF(MONTH($C52)=4,$S$3,IF(MONTH($C52)=5,$S$4,IF(MONTH($C52)=6,$S$5,IF(MONTH($C52)=7,$S$6,"ERROR")))),MAX(VLOOKUP($C52,COS!$B$8:$K$991,10,FALSE)-IF(MONTH($C52)=4,$Y$3,IF(MONTH($C52)=5,$Y$4,IF(MONTH($C52)=6,$Y$5,IF(MONTH($C52)=7,$Y$6,"ERROR")))),0),MAX(VLOOKUP($C52,COS!$B$8:$K$991,9,FALSE)-IF(MONTH($C52)=4,$V$3,IF(MONTH($C52)=5,$V$4,IF(MONTH($C52)=6,$V$5,IF(MONTH($C52)=7,$V$6,"ERROR"))))-VLOOKUP($C52,COS!$B$8:$K$991,6,FALSE)/2,0))</f>
        <v>1500</v>
      </c>
      <c r="S52" s="26">
        <f t="shared" si="69"/>
        <v>89.256198347107429</v>
      </c>
      <c r="T52" s="26">
        <f t="shared" si="70"/>
        <v>181.72783889139978</v>
      </c>
      <c r="U52" s="26" t="str">
        <f>IF(VLOOKUP($C52,COS!$B$8:$I$991,8,FALSE)=1,"UWFE","IBU")</f>
        <v>IBU</v>
      </c>
      <c r="V52" s="26">
        <f t="shared" ref="V52" si="73">MIN(IF(IF($AA$3=2,AND(E52=1,G52=1,L52=1,L55=1,M52=1,U52="IBU"),AND(E52=1,G52=1,L52=1,L55=1,M52=1)),T52,0),I52)</f>
        <v>9.9249870867768593</v>
      </c>
      <c r="W52" s="26"/>
      <c r="X52" s="26"/>
      <c r="Y52" s="26"/>
      <c r="Z52" s="26"/>
      <c r="AA52" s="26"/>
      <c r="AB52" s="33"/>
      <c r="AC52" s="6"/>
      <c r="AD52" s="43">
        <v>1960</v>
      </c>
      <c r="AE52" s="1">
        <f>VLOOKUP(AD52,Flags!$A$13:$B$95,2,FALSE)</f>
        <v>4</v>
      </c>
      <c r="AF52" s="43">
        <f t="shared" si="6"/>
        <v>382.20118737086773</v>
      </c>
      <c r="AG52" s="43">
        <f t="shared" si="7"/>
        <v>605.60543626265098</v>
      </c>
      <c r="AH52" s="43">
        <f t="shared" si="8"/>
        <v>306.28320308464617</v>
      </c>
      <c r="AI52" s="43">
        <f t="shared" si="9"/>
        <v>22673.423001678719</v>
      </c>
      <c r="AJ52" s="43">
        <f t="shared" si="10"/>
        <v>422.76635379003096</v>
      </c>
      <c r="AK52" s="43">
        <f t="shared" si="1"/>
        <v>263.79778449444728</v>
      </c>
      <c r="AL52" s="43">
        <f t="shared" si="11"/>
        <v>263.79778449444728</v>
      </c>
    </row>
    <row r="53" spans="1:38" x14ac:dyDescent="0.3">
      <c r="A53" s="32">
        <f>VLOOKUP(YEAR(C53),Flags!$A$13:$B$95,2,FALSE)</f>
        <v>4</v>
      </c>
      <c r="B53" s="24">
        <f t="shared" si="2"/>
        <v>1926</v>
      </c>
      <c r="C53" s="25">
        <v>9709</v>
      </c>
      <c r="D53" s="26">
        <f>VLOOKUP($C53,COS!$B$8:$H$991,3,FALSE)</f>
        <v>11392.6767578125</v>
      </c>
      <c r="E53" s="24">
        <f>IF(D53&gt;=IF(MONTH($C53)=4,$C$3,IF(MONTH($C53)=5,$C$4,IF(MONTH($C53)=6,$C$5,IF(MONTH($C53)=7,$C$6,"ERROR")))),1,0)</f>
        <v>0</v>
      </c>
      <c r="F53" s="26">
        <f>VLOOKUP($C53,COS!$B$8:$H$991,7,FALSE)</f>
        <v>53.78912353515625</v>
      </c>
      <c r="G53" s="24">
        <f>IF(F53&lt;=IF(MONTH($C53)=4,$F$3,IF(MONTH($C53)=5,$F$4,IF(MONTH($C53)=6,$F$5,IF(MONTH($C53)=7,$F$6,"ERROR")))),1,0)</f>
        <v>0</v>
      </c>
      <c r="H53" s="26">
        <f>IF(J53=1,D53-$C$6,0)</f>
        <v>0</v>
      </c>
      <c r="I53" s="26">
        <f t="shared" si="17"/>
        <v>0</v>
      </c>
      <c r="J53" s="24">
        <f t="shared" si="64"/>
        <v>0</v>
      </c>
      <c r="K53" s="26">
        <f>VLOOKUP($C53,COS!$B$8:$H$991,2,FALSE)</f>
        <v>2700.429443359375</v>
      </c>
      <c r="L53" s="24">
        <f t="shared" si="19"/>
        <v>1</v>
      </c>
      <c r="M53" s="24">
        <f t="shared" si="20"/>
        <v>1</v>
      </c>
      <c r="N53" s="26">
        <f>VLOOKUP($C53,COS!$B$8:$H$991,5,FALSE)</f>
        <v>430.53424072265625</v>
      </c>
      <c r="O53" s="26">
        <f t="shared" si="67"/>
        <v>26.472518603112086</v>
      </c>
      <c r="P53" s="26">
        <f>VLOOKUP($C53,COS!$B$8:$H$991,6,FALSE)</f>
        <v>2538.07568359375</v>
      </c>
      <c r="Q53" s="26">
        <f t="shared" si="68"/>
        <v>156.06019079287191</v>
      </c>
      <c r="R53" s="26">
        <f>MIN(IF(MONTH($C53)=4,$S$3,IF(MONTH($C53)=5,$S$4,IF(MONTH($C53)=6,$S$5,IF(MONTH($C53)=7,$S$6,"ERROR")))),MAX(VLOOKUP($C53,COS!$B$8:$K$991,10,FALSE)-IF(MONTH($C53)=4,$Y$3,IF(MONTH($C53)=5,$Y$4,IF(MONTH($C53)=6,$Y$5,IF(MONTH($C53)=7,$Y$6,"ERROR")))),0),MAX(VLOOKUP($C53,COS!$B$8:$K$991,9,FALSE)-IF(MONTH($C53)=4,$V$3,IF(MONTH($C53)=5,$V$4,IF(MONTH($C53)=6,$V$5,IF(MONTH($C53)=7,$V$6,"ERROR"))))-VLOOKUP($C53,COS!$B$8:$K$991,6,FALSE)/2,0))</f>
        <v>1500</v>
      </c>
      <c r="S53" s="26">
        <f t="shared" si="69"/>
        <v>92.231404958677686</v>
      </c>
      <c r="T53" s="26">
        <f t="shared" si="70"/>
        <v>183.4977596566697</v>
      </c>
      <c r="U53" s="26" t="str">
        <f>IF(VLOOKUP($C53,COS!$B$8:$I$991,8,FALSE)=1,"UWFE","IBU")</f>
        <v>IBU</v>
      </c>
      <c r="V53" s="26">
        <f t="shared" ref="V53" si="74">MIN(IF(IF($AA$3=2,AND(E53=1,G53=1,L53=1,L55=1,M53=1,U53="IBU"),AND(E53=1,G53=1,L53=1,L55=1,M53=1)),T53,0),I53)</f>
        <v>0</v>
      </c>
      <c r="W53" s="26"/>
      <c r="X53" s="26"/>
      <c r="Y53" s="26"/>
      <c r="Z53" s="26"/>
      <c r="AA53" s="26"/>
      <c r="AB53" s="33"/>
      <c r="AC53" s="6"/>
      <c r="AD53" s="43">
        <v>1961</v>
      </c>
      <c r="AE53" s="1">
        <f>VLOOKUP(AD53,Flags!$A$13:$B$95,2,FALSE)</f>
        <v>4</v>
      </c>
      <c r="AF53" s="43">
        <f t="shared" si="6"/>
        <v>359.59358406508261</v>
      </c>
      <c r="AG53" s="43">
        <f t="shared" si="7"/>
        <v>650.41003054784346</v>
      </c>
      <c r="AH53" s="43">
        <f t="shared" si="8"/>
        <v>192.77386769192276</v>
      </c>
      <c r="AI53" s="43">
        <f t="shared" si="9"/>
        <v>22564.776231275828</v>
      </c>
      <c r="AJ53" s="43">
        <f t="shared" si="10"/>
        <v>593.48291451446278</v>
      </c>
      <c r="AK53" s="43">
        <f t="shared" si="1"/>
        <v>456.66467248837802</v>
      </c>
      <c r="AL53" s="43">
        <f t="shared" si="11"/>
        <v>192.77386769192276</v>
      </c>
    </row>
    <row r="54" spans="1:38" x14ac:dyDescent="0.3">
      <c r="A54" s="32">
        <f>VLOOKUP(YEAR(C54),Flags!$A$13:$B$95,2,FALSE)</f>
        <v>4</v>
      </c>
      <c r="B54" s="24">
        <f t="shared" si="2"/>
        <v>1926</v>
      </c>
      <c r="C54" s="25">
        <v>9740</v>
      </c>
      <c r="D54" s="26"/>
      <c r="E54" s="24"/>
      <c r="F54" s="26"/>
      <c r="G54" s="24"/>
      <c r="H54" s="24"/>
      <c r="I54" s="26"/>
      <c r="J54" s="24"/>
      <c r="K54" s="26"/>
      <c r="L54" s="24"/>
      <c r="M54" s="24"/>
      <c r="N54" s="26"/>
      <c r="O54" s="26"/>
      <c r="P54" s="26"/>
      <c r="Q54" s="26"/>
      <c r="R54" s="26"/>
      <c r="S54" s="26"/>
      <c r="T54" s="26"/>
      <c r="U54" s="26"/>
      <c r="V54" s="26"/>
      <c r="W54" s="26">
        <f>MAX($C$7-VLOOKUP($C54,COS!$B$8:$H$991,3,FALSE),0)</f>
        <v>91690.6279296875</v>
      </c>
      <c r="X54" s="26">
        <f t="shared" si="31"/>
        <v>5637.8369569989663</v>
      </c>
      <c r="Y54" s="26">
        <f>VLOOKUP($C54,COS!$B$8:$H$991,4,FALSE)</f>
        <v>1075.45947265625</v>
      </c>
      <c r="Z54" s="26">
        <f t="shared" si="32"/>
        <v>66.127425426136369</v>
      </c>
      <c r="AA54" s="26">
        <f t="shared" ref="AA54:AA58" si="75">MIN(W54,Y54)</f>
        <v>1075.45947265625</v>
      </c>
      <c r="AB54" s="33">
        <f t="shared" ref="AB54" si="76">AA54*DAY($C54)*86400/43560/1000*IF(MONTH($C54)=8,$P$3,IF(MONTH($C54)=9,$P$4,IF(MONTH($C54)=10,$P$5,IF(MONTH($C54)=11,$P$6,IF(MONTH($C54)=12,$P$7,NA())))))</f>
        <v>66.127425426136369</v>
      </c>
      <c r="AC54" s="6"/>
      <c r="AD54" s="43">
        <v>1962</v>
      </c>
      <c r="AE54" s="1">
        <f>VLOOKUP(AD54,Flags!$A$13:$B$95,2,FALSE)</f>
        <v>3</v>
      </c>
      <c r="AF54" s="43">
        <f t="shared" si="6"/>
        <v>350.84847462551647</v>
      </c>
      <c r="AG54" s="43">
        <f t="shared" si="7"/>
        <v>686.24664181543767</v>
      </c>
      <c r="AH54" s="43">
        <f t="shared" si="8"/>
        <v>198.84249320038094</v>
      </c>
      <c r="AI54" s="43">
        <f t="shared" si="9"/>
        <v>22412.439996771696</v>
      </c>
      <c r="AJ54" s="43">
        <f t="shared" si="10"/>
        <v>20.045821845945248</v>
      </c>
      <c r="AK54" s="43">
        <f t="shared" si="1"/>
        <v>20.045821845945248</v>
      </c>
      <c r="AL54" s="43">
        <f t="shared" si="11"/>
        <v>20.045821845945248</v>
      </c>
    </row>
    <row r="55" spans="1:38" x14ac:dyDescent="0.3">
      <c r="A55" s="32">
        <f>VLOOKUP(YEAR(C55),Flags!$A$13:$B$95,2,FALSE)</f>
        <v>4</v>
      </c>
      <c r="B55" s="24">
        <f t="shared" si="2"/>
        <v>1926</v>
      </c>
      <c r="C55" s="25">
        <v>9770</v>
      </c>
      <c r="D55" s="26"/>
      <c r="E55" s="24"/>
      <c r="F55" s="26"/>
      <c r="G55" s="24"/>
      <c r="H55" s="24"/>
      <c r="I55" s="26"/>
      <c r="J55" s="24"/>
      <c r="K55" s="26">
        <f>VLOOKUP($C55,COS!$B$8:$H$991,2,FALSE)</f>
        <v>2281.95703125</v>
      </c>
      <c r="L55" s="24">
        <f t="shared" ref="L55" si="77">IF(AND(K55&gt;$I$7,K55&lt;$I$8),1,0)</f>
        <v>1</v>
      </c>
      <c r="M55" s="24"/>
      <c r="N55" s="26"/>
      <c r="O55" s="26"/>
      <c r="P55" s="26"/>
      <c r="Q55" s="26"/>
      <c r="R55" s="26"/>
      <c r="S55" s="26"/>
      <c r="T55" s="26"/>
      <c r="U55" s="26"/>
      <c r="V55" s="26"/>
      <c r="W55" s="26">
        <f>MAX($C$8-VLOOKUP($C55,COS!$B$8:$H$991,3,FALSE),0)</f>
        <v>95112.1767578125</v>
      </c>
      <c r="X55" s="26">
        <f t="shared" si="31"/>
        <v>5659.5675426136368</v>
      </c>
      <c r="Y55" s="26">
        <f>VLOOKUP($C55,COS!$B$8:$H$991,4,FALSE)</f>
        <v>1022.280029296875</v>
      </c>
      <c r="Z55" s="26">
        <f t="shared" si="32"/>
        <v>60.829886040805789</v>
      </c>
      <c r="AA55" s="26">
        <f t="shared" si="75"/>
        <v>1022.280029296875</v>
      </c>
      <c r="AB55" s="33">
        <f t="shared" si="34"/>
        <v>60.829886040805789</v>
      </c>
      <c r="AD55" s="43">
        <v>1963</v>
      </c>
      <c r="AE55" s="1">
        <f>VLOOKUP(AD55,Flags!$A$13:$B$95,2,FALSE)</f>
        <v>1</v>
      </c>
      <c r="AF55" s="43">
        <f t="shared" si="6"/>
        <v>1727.2135072314047</v>
      </c>
      <c r="AG55" s="43">
        <f t="shared" si="7"/>
        <v>677.1253517503975</v>
      </c>
      <c r="AH55" s="43">
        <f t="shared" si="8"/>
        <v>0</v>
      </c>
      <c r="AI55" s="43">
        <f t="shared" si="9"/>
        <v>21820.52690760589</v>
      </c>
      <c r="AJ55" s="43">
        <f t="shared" si="10"/>
        <v>160.53308410140107</v>
      </c>
      <c r="AK55" s="43">
        <f t="shared" si="1"/>
        <v>106.14043001033058</v>
      </c>
      <c r="AL55" s="43">
        <f t="shared" si="11"/>
        <v>0</v>
      </c>
    </row>
    <row r="56" spans="1:38" x14ac:dyDescent="0.3">
      <c r="A56" s="32">
        <f>VLOOKUP(YEAR(C56),Flags!$A$13:$B$95,2,FALSE)</f>
        <v>4</v>
      </c>
      <c r="B56" s="24">
        <f t="shared" si="2"/>
        <v>1926</v>
      </c>
      <c r="C56" s="25">
        <v>9801</v>
      </c>
      <c r="D56" s="26"/>
      <c r="E56" s="24"/>
      <c r="F56" s="26"/>
      <c r="G56" s="26"/>
      <c r="H56" s="26"/>
      <c r="I56" s="26"/>
      <c r="J56" s="26"/>
      <c r="K56" s="26"/>
      <c r="L56" s="24"/>
      <c r="M56" s="24"/>
      <c r="N56" s="26"/>
      <c r="O56" s="26"/>
      <c r="P56" s="26"/>
      <c r="Q56" s="26"/>
      <c r="R56" s="26"/>
      <c r="S56" s="26"/>
      <c r="T56" s="26"/>
      <c r="U56" s="26"/>
      <c r="V56" s="26"/>
      <c r="W56" s="26">
        <f>MAX($C$9-VLOOKUP($C56,COS!$B$8:$H$991,3,FALSE),0)</f>
        <v>95397.3447265625</v>
      </c>
      <c r="X56" s="26">
        <f t="shared" si="31"/>
        <v>5865.7540889721076</v>
      </c>
      <c r="Y56" s="26">
        <f>VLOOKUP($C56,COS!$B$8:$H$991,4,FALSE)</f>
        <v>1559.9654541015625</v>
      </c>
      <c r="Z56" s="26">
        <f t="shared" si="32"/>
        <v>95.918537012525817</v>
      </c>
      <c r="AA56" s="26">
        <f t="shared" si="75"/>
        <v>1559.9654541015625</v>
      </c>
      <c r="AB56" s="33">
        <f t="shared" si="34"/>
        <v>95.918537012525817</v>
      </c>
      <c r="AD56" s="43">
        <v>1964</v>
      </c>
      <c r="AE56" s="1">
        <f>VLOOKUP(AD56,Flags!$A$13:$B$95,2,FALSE)</f>
        <v>4</v>
      </c>
      <c r="AF56" s="43">
        <f t="shared" si="6"/>
        <v>202.95327447055786</v>
      </c>
      <c r="AG56" s="43">
        <f t="shared" si="7"/>
        <v>649.6019249782089</v>
      </c>
      <c r="AH56" s="43">
        <f t="shared" si="8"/>
        <v>154.401796875</v>
      </c>
      <c r="AI56" s="43">
        <f t="shared" si="9"/>
        <v>22854.937322766011</v>
      </c>
      <c r="AJ56" s="43">
        <f t="shared" si="10"/>
        <v>318.52011081159606</v>
      </c>
      <c r="AK56" s="43">
        <f t="shared" si="1"/>
        <v>259.26403715779958</v>
      </c>
      <c r="AL56" s="43">
        <f t="shared" si="11"/>
        <v>154.401796875</v>
      </c>
    </row>
    <row r="57" spans="1:38" x14ac:dyDescent="0.3">
      <c r="A57" s="32">
        <f>VLOOKUP(YEAR(C57),Flags!$A$13:$B$95,2,FALSE)</f>
        <v>4</v>
      </c>
      <c r="B57" s="24">
        <f t="shared" si="2"/>
        <v>1926</v>
      </c>
      <c r="C57" s="25">
        <v>9831</v>
      </c>
      <c r="D57" s="26"/>
      <c r="E57" s="24"/>
      <c r="F57" s="26"/>
      <c r="G57" s="26"/>
      <c r="H57" s="26"/>
      <c r="I57" s="26"/>
      <c r="J57" s="26"/>
      <c r="K57" s="26"/>
      <c r="L57" s="24"/>
      <c r="M57" s="24"/>
      <c r="N57" s="26"/>
      <c r="O57" s="26"/>
      <c r="P57" s="26"/>
      <c r="Q57" s="26"/>
      <c r="R57" s="26"/>
      <c r="S57" s="26"/>
      <c r="T57" s="26"/>
      <c r="U57" s="26"/>
      <c r="V57" s="26"/>
      <c r="W57" s="26">
        <f>MAX($C$10-VLOOKUP($C57,COS!$B$8:$H$991,3,FALSE),0)</f>
        <v>96749</v>
      </c>
      <c r="X57" s="26">
        <f t="shared" si="31"/>
        <v>5756.965289256198</v>
      </c>
      <c r="Y57" s="26">
        <f>VLOOKUP($C57,COS!$B$8:$H$991,4,FALSE)</f>
        <v>0</v>
      </c>
      <c r="Z57" s="26">
        <f t="shared" si="32"/>
        <v>0</v>
      </c>
      <c r="AA57" s="26">
        <f t="shared" si="75"/>
        <v>0</v>
      </c>
      <c r="AB57" s="33">
        <f t="shared" si="34"/>
        <v>0</v>
      </c>
      <c r="AD57" s="43">
        <v>1965</v>
      </c>
      <c r="AE57" s="1">
        <f>VLOOKUP(AD57,Flags!$A$13:$B$95,2,FALSE)</f>
        <v>1</v>
      </c>
      <c r="AF57" s="43">
        <f t="shared" si="6"/>
        <v>332.63346364927685</v>
      </c>
      <c r="AG57" s="43">
        <f t="shared" si="7"/>
        <v>667.59995301743174</v>
      </c>
      <c r="AH57" s="43">
        <f t="shared" si="8"/>
        <v>0</v>
      </c>
      <c r="AI57" s="43">
        <f t="shared" si="9"/>
        <v>21882.578600206609</v>
      </c>
      <c r="AJ57" s="43">
        <f t="shared" si="10"/>
        <v>84.214305308948866</v>
      </c>
      <c r="AK57" s="43">
        <f t="shared" si="1"/>
        <v>71.566032654313005</v>
      </c>
      <c r="AL57" s="43">
        <f t="shared" si="11"/>
        <v>0</v>
      </c>
    </row>
    <row r="58" spans="1:38" x14ac:dyDescent="0.3">
      <c r="A58" s="34">
        <f>VLOOKUP(YEAR(C58),Flags!$A$13:$B$95,2,FALSE)</f>
        <v>4</v>
      </c>
      <c r="B58" s="35">
        <f t="shared" si="2"/>
        <v>1926</v>
      </c>
      <c r="C58" s="36">
        <v>9862</v>
      </c>
      <c r="D58" s="37"/>
      <c r="E58" s="35"/>
      <c r="F58" s="37"/>
      <c r="G58" s="37"/>
      <c r="H58" s="37"/>
      <c r="I58" s="37"/>
      <c r="J58" s="37"/>
      <c r="K58" s="37"/>
      <c r="L58" s="35"/>
      <c r="M58" s="35"/>
      <c r="N58" s="37"/>
      <c r="O58" s="37"/>
      <c r="P58" s="37"/>
      <c r="Q58" s="37"/>
      <c r="R58" s="37"/>
      <c r="S58" s="37"/>
      <c r="T58" s="37"/>
      <c r="U58" s="37"/>
      <c r="V58" s="37"/>
      <c r="W58" s="37">
        <f>MAX($C$11-VLOOKUP($C58,COS!$B$8:$H$991,3,FALSE),0)</f>
        <v>0</v>
      </c>
      <c r="X58" s="37">
        <f t="shared" si="31"/>
        <v>0</v>
      </c>
      <c r="Y58" s="37">
        <f>VLOOKUP($C58,COS!$B$8:$H$991,4,FALSE)</f>
        <v>0</v>
      </c>
      <c r="Z58" s="37">
        <f t="shared" si="32"/>
        <v>0</v>
      </c>
      <c r="AA58" s="37">
        <f t="shared" si="75"/>
        <v>0</v>
      </c>
      <c r="AB58" s="38">
        <f t="shared" si="34"/>
        <v>0</v>
      </c>
      <c r="AD58" s="43">
        <v>1966</v>
      </c>
      <c r="AE58" s="1">
        <f>VLOOKUP(AD58,Flags!$A$13:$B$95,2,FALSE)</f>
        <v>3</v>
      </c>
      <c r="AF58" s="43">
        <f t="shared" si="6"/>
        <v>622.64396629648752</v>
      </c>
      <c r="AG58" s="43">
        <f t="shared" si="7"/>
        <v>692.24323587212677</v>
      </c>
      <c r="AH58" s="43">
        <f t="shared" si="8"/>
        <v>554.80795523146946</v>
      </c>
      <c r="AI58" s="43">
        <f t="shared" si="9"/>
        <v>22397.089360149792</v>
      </c>
      <c r="AJ58" s="43">
        <f t="shared" si="10"/>
        <v>202.35919891609635</v>
      </c>
      <c r="AK58" s="43">
        <f t="shared" si="1"/>
        <v>167.80600934998063</v>
      </c>
      <c r="AL58" s="43">
        <f t="shared" si="11"/>
        <v>167.80600934998063</v>
      </c>
    </row>
    <row r="59" spans="1:38" x14ac:dyDescent="0.3">
      <c r="A59" s="27">
        <f>VLOOKUP(YEAR(C59),Flags!$A$13:$B$95,2,FALSE)</f>
        <v>2</v>
      </c>
      <c r="B59" s="28">
        <f t="shared" si="2"/>
        <v>1927</v>
      </c>
      <c r="C59" s="29">
        <v>9982</v>
      </c>
      <c r="D59" s="30">
        <f>VLOOKUP($C59,COS!$B$8:$H$991,3,FALSE)</f>
        <v>9794.8115234375</v>
      </c>
      <c r="E59" s="28">
        <f>IF(D59&gt;=IF(MONTH($C59)=4,$C$3,IF(MONTH($C59)=5,$C$4,IF(MONTH($C59)=6,$C$5,IF(MONTH($C59)=7,$C$6,"ERROR")))),1,0)</f>
        <v>1</v>
      </c>
      <c r="F59" s="30">
        <f>VLOOKUP($C59,COS!$B$8:$H$991,7,FALSE)</f>
        <v>47.578723907470703</v>
      </c>
      <c r="G59" s="28">
        <f>IF(F59&lt;=IF(MONTH($C59)=4,$F$3,IF(MONTH($C59)=5,$F$4,IF(MONTH($C59)=6,$F$5,IF(MONTH($C59)=7,$F$6,"ERROR")))),1,0)</f>
        <v>1</v>
      </c>
      <c r="H59" s="30">
        <f>IF(J59=1,D59-$C$3,0)</f>
        <v>3794.8115234375</v>
      </c>
      <c r="I59" s="30">
        <f t="shared" si="17"/>
        <v>225.8069666838843</v>
      </c>
      <c r="J59" s="28">
        <f t="shared" ref="J59:J62" si="78">IF(AND(E59=1,G59=1),1,0)</f>
        <v>1</v>
      </c>
      <c r="K59" s="30">
        <f>VLOOKUP($C59,COS!$B$8:$H$991,2,FALSE)</f>
        <v>4552</v>
      </c>
      <c r="L59" s="28">
        <f t="shared" ref="L59" si="79">IF(K59&lt;=IF(MONTH($C59)=4,$I$3,IF(MONTH($C59)=5,$I$4,IF(MONTH($C59)=6,$I$5,IF(MONTH($C59)=7,$I$6,"ERROR")))),1,0)</f>
        <v>1</v>
      </c>
      <c r="M59" s="28">
        <f t="shared" ref="M59" si="80">VLOOKUP($A59,$L$3:$M$7,2,FALSE)</f>
        <v>0</v>
      </c>
      <c r="N59" s="30">
        <f>VLOOKUP($C59,COS!$B$8:$H$991,5,FALSE)</f>
        <v>550.79229736328125</v>
      </c>
      <c r="O59" s="30">
        <f t="shared" ref="O59:O62" si="81">N59*DAY($C59)*86400/43560/1000</f>
        <v>32.77441769434401</v>
      </c>
      <c r="P59" s="30">
        <f>VLOOKUP($C59,COS!$B$8:$H$991,6,FALSE)</f>
        <v>486.04421997070313</v>
      </c>
      <c r="Q59" s="30">
        <f t="shared" ref="Q59:Q62" si="82">P59*DAY($C59)*86400/43560/1000</f>
        <v>28.921639535446797</v>
      </c>
      <c r="R59" s="30">
        <f>MIN(IF(MONTH($C59)=4,$S$3,IF(MONTH($C59)=5,$S$4,IF(MONTH($C59)=6,$S$5,IF(MONTH($C59)=7,$S$6,"ERROR")))),MAX(VLOOKUP($C59,COS!$B$8:$K$991,10,FALSE)-IF(MONTH($C59)=4,$Y$3,IF(MONTH($C59)=5,$Y$4,IF(MONTH($C59)=6,$Y$5,IF(MONTH($C59)=7,$Y$6,"ERROR")))),0),MAX(VLOOKUP($C59,COS!$B$8:$K$991,9,FALSE)-IF(MONTH($C59)=4,$V$3,IF(MONTH($C59)=5,$V$4,IF(MONTH($C59)=6,$V$5,IF(MONTH($C59)=7,$V$6,"ERROR"))))-VLOOKUP($C59,COS!$B$8:$K$991,6,FALSE)/2,0))</f>
        <v>1500</v>
      </c>
      <c r="S59" s="30">
        <f t="shared" ref="S59:S62" si="83">R59*DAY($C59)*86400/43560/1000</f>
        <v>89.256198347107429</v>
      </c>
      <c r="T59" s="30">
        <f t="shared" ref="T59:T62" si="84">(O59+Q59)/2+S59</f>
        <v>120.10422696200283</v>
      </c>
      <c r="U59" s="30" t="str">
        <f>IF(VLOOKUP($C59,COS!$B$8:$I$991,8,FALSE)=1,"UWFE","IBU")</f>
        <v>UWFE</v>
      </c>
      <c r="V59" s="30">
        <f t="shared" ref="V59" si="85">MIN(IF(IF($AA$3=2,AND(E59=1,G59=1,L59=1,L64=1,M59=1,U59="IBU"),AND(E59=1,G59=1,L59=1,L64=1,M59=1)),T59,0),I59)</f>
        <v>0</v>
      </c>
      <c r="W59" s="30"/>
      <c r="X59" s="30"/>
      <c r="Y59" s="30"/>
      <c r="Z59" s="30"/>
      <c r="AA59" s="30"/>
      <c r="AB59" s="31"/>
      <c r="AD59" s="43">
        <v>1967</v>
      </c>
      <c r="AE59" s="1">
        <f>VLOOKUP(AD59,Flags!$A$13:$B$95,2,FALSE)</f>
        <v>1</v>
      </c>
      <c r="AF59" s="43">
        <f t="shared" si="6"/>
        <v>650.62075025826448</v>
      </c>
      <c r="AG59" s="43">
        <f t="shared" si="7"/>
        <v>666.82755976905503</v>
      </c>
      <c r="AH59" s="43">
        <f t="shared" si="8"/>
        <v>0</v>
      </c>
      <c r="AI59" s="43">
        <f t="shared" si="9"/>
        <v>21797.730382554237</v>
      </c>
      <c r="AJ59" s="43">
        <f t="shared" si="10"/>
        <v>121.2366370133329</v>
      </c>
      <c r="AK59" s="43">
        <f t="shared" si="1"/>
        <v>69.908479326736824</v>
      </c>
      <c r="AL59" s="43">
        <f t="shared" si="11"/>
        <v>0</v>
      </c>
    </row>
    <row r="60" spans="1:38" x14ac:dyDescent="0.3">
      <c r="A60" s="32">
        <f>VLOOKUP(YEAR(C60),Flags!$A$13:$B$95,2,FALSE)</f>
        <v>2</v>
      </c>
      <c r="B60" s="24">
        <f t="shared" si="2"/>
        <v>1927</v>
      </c>
      <c r="C60" s="25">
        <v>10013</v>
      </c>
      <c r="D60" s="26">
        <f>VLOOKUP($C60,COS!$B$8:$H$991,3,FALSE)</f>
        <v>7714.3828125</v>
      </c>
      <c r="E60" s="24">
        <f>IF(D60&gt;=IF(MONTH($C60)=4,$C$3,IF(MONTH($C60)=5,$C$4,IF(MONTH($C60)=6,$C$5,IF(MONTH($C60)=7,$C$6,"ERROR")))),1,0)</f>
        <v>1</v>
      </c>
      <c r="F60" s="26">
        <f>VLOOKUP($C60,COS!$B$8:$H$991,7,FALSE)</f>
        <v>50.201419830322266</v>
      </c>
      <c r="G60" s="24">
        <f>IF(F60&lt;=IF(MONTH($C60)=4,$F$3,IF(MONTH($C60)=5,$F$4,IF(MONTH($C60)=6,$F$5,IF(MONTH($C60)=7,$F$6,"ERROR")))),1,0)</f>
        <v>1</v>
      </c>
      <c r="H60" s="26">
        <f>IF(J60=1,D60-$C$4,0)</f>
        <v>1714.3828125</v>
      </c>
      <c r="I60" s="26">
        <f t="shared" si="17"/>
        <v>105.4132902892562</v>
      </c>
      <c r="J60" s="24">
        <f t="shared" si="78"/>
        <v>1</v>
      </c>
      <c r="K60" s="26">
        <f>VLOOKUP($C60,COS!$B$8:$H$991,2,FALSE)</f>
        <v>4552</v>
      </c>
      <c r="L60" s="24">
        <f t="shared" si="19"/>
        <v>1</v>
      </c>
      <c r="M60" s="24">
        <f t="shared" si="20"/>
        <v>0</v>
      </c>
      <c r="N60" s="26">
        <f>VLOOKUP($C60,COS!$B$8:$H$991,5,FALSE)</f>
        <v>894.1383056640625</v>
      </c>
      <c r="O60" s="26">
        <f t="shared" si="81"/>
        <v>54.978421439178717</v>
      </c>
      <c r="P60" s="26">
        <f>VLOOKUP($C60,COS!$B$8:$H$991,6,FALSE)</f>
        <v>2249.693359375</v>
      </c>
      <c r="Q60" s="26">
        <f t="shared" si="82"/>
        <v>138.3282528409091</v>
      </c>
      <c r="R60" s="26">
        <f>MIN(IF(MONTH($C60)=4,$S$3,IF(MONTH($C60)=5,$S$4,IF(MONTH($C60)=6,$S$5,IF(MONTH($C60)=7,$S$6,"ERROR")))),MAX(VLOOKUP($C60,COS!$B$8:$K$991,10,FALSE)-IF(MONTH($C60)=4,$Y$3,IF(MONTH($C60)=5,$Y$4,IF(MONTH($C60)=6,$Y$5,IF(MONTH($C60)=7,$Y$6,"ERROR")))),0),MAX(VLOOKUP($C60,COS!$B$8:$K$991,9,FALSE)-IF(MONTH($C60)=4,$V$3,IF(MONTH($C60)=5,$V$4,IF(MONTH($C60)=6,$V$5,IF(MONTH($C60)=7,$V$6,"ERROR"))))-VLOOKUP($C60,COS!$B$8:$K$991,6,FALSE)/2,0))</f>
        <v>1500</v>
      </c>
      <c r="S60" s="26">
        <f t="shared" si="83"/>
        <v>92.231404958677686</v>
      </c>
      <c r="T60" s="26">
        <f t="shared" si="84"/>
        <v>188.88474209872157</v>
      </c>
      <c r="U60" s="26" t="str">
        <f>IF(VLOOKUP($C60,COS!$B$8:$I$991,8,FALSE)=1,"UWFE","IBU")</f>
        <v>UWFE</v>
      </c>
      <c r="V60" s="26">
        <f t="shared" ref="V60" si="86">MIN(IF(IF($AA$3=2,AND(E60=1,G60=1,L60=1,L64=1,M60=1,U60="IBU"),AND(E60=1,G60=1,L60=1,L64=1,M60=1)),T60,0),I60)</f>
        <v>0</v>
      </c>
      <c r="W60" s="26"/>
      <c r="X60" s="26"/>
      <c r="Y60" s="26"/>
      <c r="Z60" s="26"/>
      <c r="AA60" s="26"/>
      <c r="AB60" s="33"/>
      <c r="AD60" s="43">
        <v>1968</v>
      </c>
      <c r="AE60" s="1">
        <f>VLOOKUP(AD60,Flags!$A$13:$B$95,2,FALSE)</f>
        <v>3</v>
      </c>
      <c r="AF60" s="43">
        <f t="shared" si="6"/>
        <v>497.01562403150825</v>
      </c>
      <c r="AG60" s="43">
        <f t="shared" si="7"/>
        <v>644.81326589537048</v>
      </c>
      <c r="AH60" s="43">
        <f t="shared" si="8"/>
        <v>380.85433708758387</v>
      </c>
      <c r="AI60" s="43">
        <f t="shared" si="9"/>
        <v>22802.487009297522</v>
      </c>
      <c r="AJ60" s="43">
        <f t="shared" si="10"/>
        <v>131.14432005827092</v>
      </c>
      <c r="AK60" s="43">
        <f t="shared" si="1"/>
        <v>117.78686721171229</v>
      </c>
      <c r="AL60" s="43">
        <f t="shared" si="11"/>
        <v>117.78686721171229</v>
      </c>
    </row>
    <row r="61" spans="1:38" x14ac:dyDescent="0.3">
      <c r="A61" s="32">
        <f>VLOOKUP(YEAR(C61),Flags!$A$13:$B$95,2,FALSE)</f>
        <v>2</v>
      </c>
      <c r="B61" s="24">
        <f t="shared" si="2"/>
        <v>1927</v>
      </c>
      <c r="C61" s="25">
        <v>10043</v>
      </c>
      <c r="D61" s="26">
        <f>VLOOKUP($C61,COS!$B$8:$H$991,3,FALSE)</f>
        <v>8988.9208984375</v>
      </c>
      <c r="E61" s="24">
        <f>IF(D61&gt;=IF(MONTH($C61)=4,$C$3,IF(MONTH($C61)=5,$C$4,IF(MONTH($C61)=6,$C$5,IF(MONTH($C61)=7,$C$6,"ERROR")))),1,0)</f>
        <v>0</v>
      </c>
      <c r="F61" s="26">
        <f>VLOOKUP($C61,COS!$B$8:$H$991,7,FALSE)</f>
        <v>51.129753112792969</v>
      </c>
      <c r="G61" s="24">
        <f>IF(F61&lt;=IF(MONTH($C61)=4,$F$3,IF(MONTH($C61)=5,$F$4,IF(MONTH($C61)=6,$F$5,IF(MONTH($C61)=7,$F$6,"ERROR")))),1,0)</f>
        <v>1</v>
      </c>
      <c r="H61" s="26">
        <f>IF(J61=1,D61-$C$5,0)</f>
        <v>0</v>
      </c>
      <c r="I61" s="26">
        <f t="shared" si="17"/>
        <v>0</v>
      </c>
      <c r="J61" s="24">
        <f t="shared" si="78"/>
        <v>0</v>
      </c>
      <c r="K61" s="26">
        <f>VLOOKUP($C61,COS!$B$8:$H$991,2,FALSE)</f>
        <v>4290.38525390625</v>
      </c>
      <c r="L61" s="24">
        <f t="shared" si="19"/>
        <v>1</v>
      </c>
      <c r="M61" s="24">
        <f t="shared" si="20"/>
        <v>0</v>
      </c>
      <c r="N61" s="26">
        <f>VLOOKUP($C61,COS!$B$8:$H$991,5,FALSE)</f>
        <v>1054.7291259765625</v>
      </c>
      <c r="O61" s="26">
        <f t="shared" si="81"/>
        <v>62.760741380423553</v>
      </c>
      <c r="P61" s="26">
        <f>VLOOKUP($C61,COS!$B$8:$H$991,6,FALSE)</f>
        <v>2141.721923828125</v>
      </c>
      <c r="Q61" s="26">
        <f t="shared" si="82"/>
        <v>127.44130455836778</v>
      </c>
      <c r="R61" s="26">
        <f>MIN(IF(MONTH($C61)=4,$S$3,IF(MONTH($C61)=5,$S$4,IF(MONTH($C61)=6,$S$5,IF(MONTH($C61)=7,$S$6,"ERROR")))),MAX(VLOOKUP($C61,COS!$B$8:$K$991,10,FALSE)-IF(MONTH($C61)=4,$Y$3,IF(MONTH($C61)=5,$Y$4,IF(MONTH($C61)=6,$Y$5,IF(MONTH($C61)=7,$Y$6,"ERROR")))),0),MAX(VLOOKUP($C61,COS!$B$8:$K$991,9,FALSE)-IF(MONTH($C61)=4,$V$3,IF(MONTH($C61)=5,$V$4,IF(MONTH($C61)=6,$V$5,IF(MONTH($C61)=7,$V$6,"ERROR"))))-VLOOKUP($C61,COS!$B$8:$K$991,6,FALSE)/2,0))</f>
        <v>1500</v>
      </c>
      <c r="S61" s="26">
        <f t="shared" si="83"/>
        <v>89.256198347107429</v>
      </c>
      <c r="T61" s="26">
        <f t="shared" si="84"/>
        <v>184.35722131650311</v>
      </c>
      <c r="U61" s="26" t="str">
        <f>IF(VLOOKUP($C61,COS!$B$8:$I$991,8,FALSE)=1,"UWFE","IBU")</f>
        <v>UWFE</v>
      </c>
      <c r="V61" s="26">
        <f t="shared" ref="V61" si="87">MIN(IF(IF($AA$3=2,AND(E61=1,G61=1,L61=1,L64=1,M61=1,U61="IBU"),AND(E61=1,G61=1,L61=1,L64=1,M61=1)),T61,0),I61)</f>
        <v>0</v>
      </c>
      <c r="W61" s="26"/>
      <c r="X61" s="26"/>
      <c r="Y61" s="26"/>
      <c r="Z61" s="26"/>
      <c r="AA61" s="26"/>
      <c r="AB61" s="33"/>
      <c r="AD61" s="43">
        <v>1969</v>
      </c>
      <c r="AE61" s="1">
        <f>VLOOKUP(AD61,Flags!$A$13:$B$95,2,FALSE)</f>
        <v>1</v>
      </c>
      <c r="AF61" s="43">
        <f t="shared" si="6"/>
        <v>438.45833871384298</v>
      </c>
      <c r="AG61" s="43">
        <f t="shared" si="7"/>
        <v>692.78652045131707</v>
      </c>
      <c r="AH61" s="43">
        <f t="shared" si="8"/>
        <v>0</v>
      </c>
      <c r="AI61" s="43">
        <f t="shared" si="9"/>
        <v>22009.915055849688</v>
      </c>
      <c r="AJ61" s="43">
        <f t="shared" si="10"/>
        <v>17.674964503769047</v>
      </c>
      <c r="AK61" s="43">
        <f t="shared" si="1"/>
        <v>17.674964503769047</v>
      </c>
      <c r="AL61" s="43">
        <f t="shared" si="11"/>
        <v>0</v>
      </c>
    </row>
    <row r="62" spans="1:38" x14ac:dyDescent="0.3">
      <c r="A62" s="32">
        <f>VLOOKUP(YEAR(C62),Flags!$A$13:$B$95,2,FALSE)</f>
        <v>2</v>
      </c>
      <c r="B62" s="24">
        <f t="shared" si="2"/>
        <v>1927</v>
      </c>
      <c r="C62" s="25">
        <v>10074</v>
      </c>
      <c r="D62" s="26">
        <f>VLOOKUP($C62,COS!$B$8:$H$991,3,FALSE)</f>
        <v>16000</v>
      </c>
      <c r="E62" s="24">
        <f>IF(D62&gt;=IF(MONTH($C62)=4,$C$3,IF(MONTH($C62)=5,$C$4,IF(MONTH($C62)=6,$C$5,IF(MONTH($C62)=7,$C$6,"ERROR")))),1,0)</f>
        <v>1</v>
      </c>
      <c r="F62" s="26">
        <f>VLOOKUP($C62,COS!$B$8:$H$991,7,FALSE)</f>
        <v>51.332504272460938</v>
      </c>
      <c r="G62" s="24">
        <f>IF(F62&lt;=IF(MONTH($C62)=4,$F$3,IF(MONTH($C62)=5,$F$4,IF(MONTH($C62)=6,$F$5,IF(MONTH($C62)=7,$F$6,"ERROR")))),1,0)</f>
        <v>1</v>
      </c>
      <c r="H62" s="26">
        <f>IF(J62=1,D62-$C$6,0)</f>
        <v>4000</v>
      </c>
      <c r="I62" s="26">
        <f t="shared" si="17"/>
        <v>245.95041322314049</v>
      </c>
      <c r="J62" s="24">
        <f t="shared" si="78"/>
        <v>1</v>
      </c>
      <c r="K62" s="26">
        <f>VLOOKUP($C62,COS!$B$8:$H$991,2,FALSE)</f>
        <v>3557.699462890625</v>
      </c>
      <c r="L62" s="24">
        <f t="shared" si="19"/>
        <v>1</v>
      </c>
      <c r="M62" s="24">
        <f t="shared" si="20"/>
        <v>0</v>
      </c>
      <c r="N62" s="26">
        <f>VLOOKUP($C62,COS!$B$8:$H$991,5,FALSE)</f>
        <v>1278.4688720703125</v>
      </c>
      <c r="O62" s="26">
        <f t="shared" si="81"/>
        <v>78.609986844653918</v>
      </c>
      <c r="P62" s="26">
        <f>VLOOKUP($C62,COS!$B$8:$H$991,6,FALSE)</f>
        <v>2521.474853515625</v>
      </c>
      <c r="Q62" s="26">
        <f t="shared" si="82"/>
        <v>155.0394455384814</v>
      </c>
      <c r="R62" s="26">
        <f>MIN(IF(MONTH($C62)=4,$S$3,IF(MONTH($C62)=5,$S$4,IF(MONTH($C62)=6,$S$5,IF(MONTH($C62)=7,$S$6,"ERROR")))),MAX(VLOOKUP($C62,COS!$B$8:$K$991,10,FALSE)-IF(MONTH($C62)=4,$Y$3,IF(MONTH($C62)=5,$Y$4,IF(MONTH($C62)=6,$Y$5,IF(MONTH($C62)=7,$Y$6,"ERROR")))),0),MAX(VLOOKUP($C62,COS!$B$8:$K$991,9,FALSE)-IF(MONTH($C62)=4,$V$3,IF(MONTH($C62)=5,$V$4,IF(MONTH($C62)=6,$V$5,IF(MONTH($C62)=7,$V$6,"ERROR"))))-VLOOKUP($C62,COS!$B$8:$K$991,6,FALSE)/2,0))</f>
        <v>1500</v>
      </c>
      <c r="S62" s="26">
        <f t="shared" si="83"/>
        <v>92.231404958677686</v>
      </c>
      <c r="T62" s="26">
        <f t="shared" si="84"/>
        <v>209.05612115024536</v>
      </c>
      <c r="U62" s="26" t="str">
        <f>IF(VLOOKUP($C62,COS!$B$8:$I$991,8,FALSE)=1,"UWFE","IBU")</f>
        <v>IBU</v>
      </c>
      <c r="V62" s="26">
        <f t="shared" ref="V62" si="88">MIN(IF(IF($AA$3=2,AND(E62=1,G62=1,L62=1,L64=1,M62=1,U62="IBU"),AND(E62=1,G62=1,L62=1,L64=1,M62=1)),T62,0),I62)</f>
        <v>0</v>
      </c>
      <c r="W62" s="26"/>
      <c r="X62" s="26"/>
      <c r="Y62" s="26"/>
      <c r="Z62" s="26"/>
      <c r="AA62" s="26"/>
      <c r="AB62" s="33"/>
      <c r="AD62" s="43">
        <v>1970</v>
      </c>
      <c r="AE62" s="1">
        <f>VLOOKUP(AD62,Flags!$A$13:$B$95,2,FALSE)</f>
        <v>1</v>
      </c>
      <c r="AF62" s="43">
        <f t="shared" si="6"/>
        <v>344.98198799070246</v>
      </c>
      <c r="AG62" s="43">
        <f t="shared" si="7"/>
        <v>613.52775824428591</v>
      </c>
      <c r="AH62" s="43">
        <f t="shared" si="8"/>
        <v>0</v>
      </c>
      <c r="AI62" s="43">
        <f t="shared" si="9"/>
        <v>21656.512585227272</v>
      </c>
      <c r="AJ62" s="43">
        <f t="shared" si="10"/>
        <v>170.52140419195507</v>
      </c>
      <c r="AK62" s="43">
        <f t="shared" si="1"/>
        <v>137.42072342297263</v>
      </c>
      <c r="AL62" s="43">
        <f t="shared" si="11"/>
        <v>0</v>
      </c>
    </row>
    <row r="63" spans="1:38" x14ac:dyDescent="0.3">
      <c r="A63" s="32">
        <f>VLOOKUP(YEAR(C63),Flags!$A$13:$B$95,2,FALSE)</f>
        <v>2</v>
      </c>
      <c r="B63" s="24">
        <f t="shared" si="2"/>
        <v>1927</v>
      </c>
      <c r="C63" s="25">
        <v>10105</v>
      </c>
      <c r="D63" s="26"/>
      <c r="E63" s="24"/>
      <c r="F63" s="26"/>
      <c r="G63" s="24"/>
      <c r="H63" s="24"/>
      <c r="I63" s="26"/>
      <c r="J63" s="24"/>
      <c r="K63" s="26"/>
      <c r="L63" s="24"/>
      <c r="M63" s="24"/>
      <c r="N63" s="26"/>
      <c r="O63" s="26"/>
      <c r="P63" s="26"/>
      <c r="Q63" s="26"/>
      <c r="R63" s="26"/>
      <c r="S63" s="26"/>
      <c r="T63" s="26"/>
      <c r="U63" s="26"/>
      <c r="V63" s="26"/>
      <c r="W63" s="26">
        <f>MAX($C$7-VLOOKUP($C63,COS!$B$8:$H$991,3,FALSE),0)</f>
        <v>88882.072265625</v>
      </c>
      <c r="X63" s="26">
        <f t="shared" si="31"/>
        <v>5465.1456004648762</v>
      </c>
      <c r="Y63" s="26">
        <f>VLOOKUP($C63,COS!$B$8:$H$991,4,FALSE)</f>
        <v>131.21571350097656</v>
      </c>
      <c r="Z63" s="26">
        <f t="shared" si="32"/>
        <v>8.0681397392336009</v>
      </c>
      <c r="AA63" s="26">
        <f t="shared" ref="AA63:AA67" si="89">MIN(W63,Y63)</f>
        <v>131.21571350097656</v>
      </c>
      <c r="AB63" s="33">
        <f t="shared" ref="AB63" si="90">AA63*DAY($C63)*86400/43560/1000*IF(MONTH($C63)=8,$P$3,IF(MONTH($C63)=9,$P$4,IF(MONTH($C63)=10,$P$5,IF(MONTH($C63)=11,$P$6,IF(MONTH($C63)=12,$P$7,NA())))))</f>
        <v>8.0681397392336009</v>
      </c>
      <c r="AD63" s="43">
        <v>1971</v>
      </c>
      <c r="AE63" s="1">
        <f>VLOOKUP(AD63,Flags!$A$13:$B$95,2,FALSE)</f>
        <v>1</v>
      </c>
      <c r="AF63" s="43">
        <f t="shared" si="6"/>
        <v>413.69826252582646</v>
      </c>
      <c r="AG63" s="43">
        <f t="shared" si="7"/>
        <v>685.45884684917348</v>
      </c>
      <c r="AH63" s="43">
        <f t="shared" si="8"/>
        <v>0</v>
      </c>
      <c r="AI63" s="43">
        <f t="shared" si="9"/>
        <v>21546.728224431819</v>
      </c>
      <c r="AJ63" s="43">
        <f t="shared" si="10"/>
        <v>198.7760154434078</v>
      </c>
      <c r="AK63" s="43">
        <f t="shared" si="1"/>
        <v>148.09176917210098</v>
      </c>
      <c r="AL63" s="43">
        <f t="shared" si="11"/>
        <v>0</v>
      </c>
    </row>
    <row r="64" spans="1:38" x14ac:dyDescent="0.3">
      <c r="A64" s="32">
        <f>VLOOKUP(YEAR(C64),Flags!$A$13:$B$95,2,FALSE)</f>
        <v>2</v>
      </c>
      <c r="B64" s="24">
        <f t="shared" si="2"/>
        <v>1927</v>
      </c>
      <c r="C64" s="25">
        <v>10135</v>
      </c>
      <c r="D64" s="26"/>
      <c r="E64" s="24"/>
      <c r="F64" s="26"/>
      <c r="G64" s="24"/>
      <c r="H64" s="24"/>
      <c r="I64" s="26"/>
      <c r="J64" s="24"/>
      <c r="K64" s="26">
        <f>VLOOKUP($C64,COS!$B$8:$H$991,2,FALSE)</f>
        <v>2812.22802734375</v>
      </c>
      <c r="L64" s="24">
        <f t="shared" ref="L64" si="91">IF(AND(K64&gt;$I$7,K64&lt;$I$8),1,0)</f>
        <v>1</v>
      </c>
      <c r="M64" s="24"/>
      <c r="N64" s="26"/>
      <c r="O64" s="26"/>
      <c r="P64" s="26"/>
      <c r="Q64" s="26"/>
      <c r="R64" s="26"/>
      <c r="S64" s="26"/>
      <c r="T64" s="26"/>
      <c r="U64" s="26"/>
      <c r="V64" s="26"/>
      <c r="W64" s="26">
        <f>MAX($C$8-VLOOKUP($C64,COS!$B$8:$H$991,3,FALSE),0)</f>
        <v>89196.4267578125</v>
      </c>
      <c r="X64" s="26">
        <f t="shared" si="31"/>
        <v>5307.5559723657025</v>
      </c>
      <c r="Y64" s="26">
        <f>VLOOKUP($C64,COS!$B$8:$H$991,4,FALSE)</f>
        <v>0</v>
      </c>
      <c r="Z64" s="26">
        <f t="shared" si="32"/>
        <v>0</v>
      </c>
      <c r="AA64" s="26">
        <f t="shared" si="89"/>
        <v>0</v>
      </c>
      <c r="AB64" s="33">
        <f t="shared" si="34"/>
        <v>0</v>
      </c>
      <c r="AD64" s="43">
        <v>1972</v>
      </c>
      <c r="AE64" s="1">
        <f>VLOOKUP(AD64,Flags!$A$13:$B$95,2,FALSE)</f>
        <v>3</v>
      </c>
      <c r="AF64" s="43">
        <f t="shared" si="6"/>
        <v>529.18486247417354</v>
      </c>
      <c r="AG64" s="43">
        <f t="shared" si="7"/>
        <v>647.49496554792415</v>
      </c>
      <c r="AH64" s="43">
        <f t="shared" si="8"/>
        <v>364.97866012194925</v>
      </c>
      <c r="AI64" s="43">
        <f t="shared" si="9"/>
        <v>22769.86642271436</v>
      </c>
      <c r="AJ64" s="43">
        <f t="shared" si="10"/>
        <v>297.71753264624226</v>
      </c>
      <c r="AK64" s="43">
        <f t="shared" si="1"/>
        <v>229.24088621029185</v>
      </c>
      <c r="AL64" s="43">
        <f t="shared" si="11"/>
        <v>229.24088621029185</v>
      </c>
    </row>
    <row r="65" spans="1:38" x14ac:dyDescent="0.3">
      <c r="A65" s="32">
        <f>VLOOKUP(YEAR(C65),Flags!$A$13:$B$95,2,FALSE)</f>
        <v>2</v>
      </c>
      <c r="B65" s="24">
        <f t="shared" si="2"/>
        <v>1927</v>
      </c>
      <c r="C65" s="25">
        <v>10166</v>
      </c>
      <c r="D65" s="26"/>
      <c r="E65" s="24"/>
      <c r="F65" s="26"/>
      <c r="G65" s="26"/>
      <c r="H65" s="26"/>
      <c r="I65" s="26"/>
      <c r="J65" s="26"/>
      <c r="K65" s="26"/>
      <c r="L65" s="24"/>
      <c r="M65" s="24"/>
      <c r="N65" s="26"/>
      <c r="O65" s="26"/>
      <c r="P65" s="26"/>
      <c r="Q65" s="26"/>
      <c r="R65" s="26"/>
      <c r="S65" s="26"/>
      <c r="T65" s="26"/>
      <c r="U65" s="26"/>
      <c r="V65" s="26"/>
      <c r="W65" s="26">
        <f>MAX($C$9-VLOOKUP($C65,COS!$B$8:$H$991,3,FALSE),0)</f>
        <v>92950.994140625</v>
      </c>
      <c r="X65" s="26">
        <f t="shared" si="31"/>
        <v>5715.3338545971073</v>
      </c>
      <c r="Y65" s="26">
        <f>VLOOKUP($C65,COS!$B$8:$H$991,4,FALSE)</f>
        <v>958.4876708984375</v>
      </c>
      <c r="Z65" s="26">
        <f t="shared" si="32"/>
        <v>58.935109681689049</v>
      </c>
      <c r="AA65" s="26">
        <f t="shared" si="89"/>
        <v>958.4876708984375</v>
      </c>
      <c r="AB65" s="33">
        <f t="shared" si="34"/>
        <v>58.935109681689049</v>
      </c>
      <c r="AD65" s="43">
        <v>1973</v>
      </c>
      <c r="AE65" s="1">
        <f>VLOOKUP(AD65,Flags!$A$13:$B$95,2,FALSE)</f>
        <v>2</v>
      </c>
      <c r="AF65" s="43">
        <f t="shared" si="6"/>
        <v>456.36225174328513</v>
      </c>
      <c r="AG65" s="43">
        <f t="shared" si="7"/>
        <v>697.35026663788096</v>
      </c>
      <c r="AH65" s="43">
        <f t="shared" si="8"/>
        <v>0</v>
      </c>
      <c r="AI65" s="43">
        <f t="shared" si="9"/>
        <v>21090.299418904957</v>
      </c>
      <c r="AJ65" s="43">
        <f t="shared" si="10"/>
        <v>104.91092460695377</v>
      </c>
      <c r="AK65" s="43">
        <f t="shared" si="1"/>
        <v>104.91092460695377</v>
      </c>
      <c r="AL65" s="43">
        <f t="shared" si="11"/>
        <v>0</v>
      </c>
    </row>
    <row r="66" spans="1:38" x14ac:dyDescent="0.3">
      <c r="A66" s="32">
        <f>VLOOKUP(YEAR(C66),Flags!$A$13:$B$95,2,FALSE)</f>
        <v>2</v>
      </c>
      <c r="B66" s="24">
        <f t="shared" si="2"/>
        <v>1927</v>
      </c>
      <c r="C66" s="25">
        <v>10196</v>
      </c>
      <c r="D66" s="26"/>
      <c r="E66" s="24"/>
      <c r="F66" s="26"/>
      <c r="G66" s="26"/>
      <c r="H66" s="26"/>
      <c r="I66" s="26"/>
      <c r="J66" s="26"/>
      <c r="K66" s="26"/>
      <c r="L66" s="24"/>
      <c r="M66" s="24"/>
      <c r="N66" s="26"/>
      <c r="O66" s="26"/>
      <c r="P66" s="26"/>
      <c r="Q66" s="26"/>
      <c r="R66" s="26"/>
      <c r="S66" s="26"/>
      <c r="T66" s="26"/>
      <c r="U66" s="26"/>
      <c r="V66" s="26"/>
      <c r="W66" s="26">
        <f>MAX($C$10-VLOOKUP($C66,COS!$B$8:$H$991,3,FALSE),0)</f>
        <v>93176.5546875</v>
      </c>
      <c r="X66" s="26">
        <f t="shared" si="31"/>
        <v>5544.3900309917362</v>
      </c>
      <c r="Y66" s="26">
        <f>VLOOKUP($C66,COS!$B$8:$H$991,4,FALSE)</f>
        <v>593.66107177734375</v>
      </c>
      <c r="Z66" s="26">
        <f t="shared" si="32"/>
        <v>35.325286915676656</v>
      </c>
      <c r="AA66" s="26">
        <f t="shared" si="89"/>
        <v>593.66107177734375</v>
      </c>
      <c r="AB66" s="33">
        <f t="shared" si="34"/>
        <v>17.662643457838328</v>
      </c>
      <c r="AD66" s="43">
        <v>1974</v>
      </c>
      <c r="AE66" s="1">
        <f>VLOOKUP(AD66,Flags!$A$13:$B$95,2,FALSE)</f>
        <v>1</v>
      </c>
      <c r="AF66" s="43">
        <f t="shared" si="6"/>
        <v>37.038895273760332</v>
      </c>
      <c r="AG66" s="43">
        <f t="shared" si="7"/>
        <v>679.96204771183739</v>
      </c>
      <c r="AH66" s="43">
        <f t="shared" si="8"/>
        <v>0</v>
      </c>
      <c r="AI66" s="43">
        <f t="shared" si="9"/>
        <v>21548.975072959711</v>
      </c>
      <c r="AJ66" s="43">
        <f t="shared" si="10"/>
        <v>158.65327051588326</v>
      </c>
      <c r="AK66" s="43">
        <f t="shared" si="1"/>
        <v>117.24351901472107</v>
      </c>
      <c r="AL66" s="43">
        <f t="shared" si="11"/>
        <v>0</v>
      </c>
    </row>
    <row r="67" spans="1:38" x14ac:dyDescent="0.3">
      <c r="A67" s="34">
        <f>VLOOKUP(YEAR(C67),Flags!$A$13:$B$95,2,FALSE)</f>
        <v>2</v>
      </c>
      <c r="B67" s="35">
        <f t="shared" si="2"/>
        <v>1927</v>
      </c>
      <c r="C67" s="36">
        <v>10227</v>
      </c>
      <c r="D67" s="37"/>
      <c r="E67" s="35"/>
      <c r="F67" s="37"/>
      <c r="G67" s="37"/>
      <c r="H67" s="37"/>
      <c r="I67" s="37"/>
      <c r="J67" s="37"/>
      <c r="K67" s="37"/>
      <c r="L67" s="35"/>
      <c r="M67" s="35"/>
      <c r="N67" s="37"/>
      <c r="O67" s="37"/>
      <c r="P67" s="37"/>
      <c r="Q67" s="37"/>
      <c r="R67" s="37"/>
      <c r="S67" s="37"/>
      <c r="T67" s="37"/>
      <c r="U67" s="37"/>
      <c r="V67" s="37"/>
      <c r="W67" s="37">
        <f>MAX($C$11-VLOOKUP($C67,COS!$B$8:$H$991,3,FALSE),0)</f>
        <v>0</v>
      </c>
      <c r="X67" s="37">
        <f t="shared" si="31"/>
        <v>0</v>
      </c>
      <c r="Y67" s="37">
        <f>VLOOKUP($C67,COS!$B$8:$H$991,4,FALSE)</f>
        <v>0</v>
      </c>
      <c r="Z67" s="37">
        <f t="shared" si="32"/>
        <v>0</v>
      </c>
      <c r="AA67" s="37">
        <f t="shared" si="89"/>
        <v>0</v>
      </c>
      <c r="AB67" s="38">
        <f t="shared" si="34"/>
        <v>0</v>
      </c>
      <c r="AD67" s="43">
        <v>1975</v>
      </c>
      <c r="AE67" s="1">
        <f>VLOOKUP(AD67,Flags!$A$13:$B$95,2,FALSE)</f>
        <v>1</v>
      </c>
      <c r="AF67" s="43">
        <f t="shared" si="6"/>
        <v>358.21987151342972</v>
      </c>
      <c r="AG67" s="43">
        <f t="shared" si="7"/>
        <v>704.98574924941886</v>
      </c>
      <c r="AH67" s="43">
        <f t="shared" si="8"/>
        <v>0</v>
      </c>
      <c r="AI67" s="43">
        <f t="shared" si="9"/>
        <v>21731.605349302685</v>
      </c>
      <c r="AJ67" s="43">
        <f t="shared" si="10"/>
        <v>123.33492744382747</v>
      </c>
      <c r="AK67" s="43">
        <f t="shared" si="1"/>
        <v>90.435229290418391</v>
      </c>
      <c r="AL67" s="43">
        <f t="shared" si="11"/>
        <v>0</v>
      </c>
    </row>
    <row r="68" spans="1:38" x14ac:dyDescent="0.3">
      <c r="A68" s="27">
        <f>VLOOKUP(YEAR(C68),Flags!$A$13:$B$95,2,FALSE)</f>
        <v>2</v>
      </c>
      <c r="B68" s="28">
        <f t="shared" si="2"/>
        <v>1928</v>
      </c>
      <c r="C68" s="29">
        <v>10348</v>
      </c>
      <c r="D68" s="30">
        <f>VLOOKUP($C68,COS!$B$8:$H$991,3,FALSE)</f>
        <v>3250</v>
      </c>
      <c r="E68" s="28">
        <f>IF(D68&gt;=IF(MONTH($C68)=4,$C$3,IF(MONTH($C68)=5,$C$4,IF(MONTH($C68)=6,$C$5,IF(MONTH($C68)=7,$C$6,"ERROR")))),1,0)</f>
        <v>0</v>
      </c>
      <c r="F68" s="30">
        <f>VLOOKUP($C68,COS!$B$8:$H$991,7,FALSE)</f>
        <v>51.280696868896484</v>
      </c>
      <c r="G68" s="28">
        <f>IF(F68&lt;=IF(MONTH($C68)=4,$F$3,IF(MONTH($C68)=5,$F$4,IF(MONTH($C68)=6,$F$5,IF(MONTH($C68)=7,$F$6,"ERROR")))),1,0)</f>
        <v>1</v>
      </c>
      <c r="H68" s="30">
        <f>IF(J68=1,D68-$C$3,0)</f>
        <v>0</v>
      </c>
      <c r="I68" s="30">
        <f t="shared" si="17"/>
        <v>0</v>
      </c>
      <c r="J68" s="28">
        <f t="shared" ref="J68:J71" si="92">IF(AND(E68=1,G68=1),1,0)</f>
        <v>0</v>
      </c>
      <c r="K68" s="30">
        <f>VLOOKUP($C68,COS!$B$8:$H$991,2,FALSE)</f>
        <v>4536.6591796875</v>
      </c>
      <c r="L68" s="28">
        <f t="shared" ref="L68" si="93">IF(K68&lt;=IF(MONTH($C68)=4,$I$3,IF(MONTH($C68)=5,$I$4,IF(MONTH($C68)=6,$I$5,IF(MONTH($C68)=7,$I$6,"ERROR")))),1,0)</f>
        <v>1</v>
      </c>
      <c r="M68" s="28">
        <f t="shared" ref="M68" si="94">VLOOKUP($A68,$L$3:$M$7,2,FALSE)</f>
        <v>0</v>
      </c>
      <c r="N68" s="30">
        <f>VLOOKUP($C68,COS!$B$8:$H$991,5,FALSE)</f>
        <v>195.05795288085938</v>
      </c>
      <c r="O68" s="30">
        <f t="shared" ref="O68:O71" si="95">N68*DAY($C68)*86400/43560/1000</f>
        <v>11.606754221009815</v>
      </c>
      <c r="P68" s="30">
        <f>VLOOKUP($C68,COS!$B$8:$H$991,6,FALSE)</f>
        <v>419.7452392578125</v>
      </c>
      <c r="Q68" s="30">
        <f t="shared" ref="Q68:Q71" si="96">P68*DAY($C68)*86400/43560/1000</f>
        <v>24.976576220299588</v>
      </c>
      <c r="R68" s="30">
        <f>MIN(IF(MONTH($C68)=4,$S$3,IF(MONTH($C68)=5,$S$4,IF(MONTH($C68)=6,$S$5,IF(MONTH($C68)=7,$S$6,"ERROR")))),MAX(VLOOKUP($C68,COS!$B$8:$K$991,10,FALSE)-IF(MONTH($C68)=4,$Y$3,IF(MONTH($C68)=5,$Y$4,IF(MONTH($C68)=6,$Y$5,IF(MONTH($C68)=7,$Y$6,"ERROR")))),0),MAX(VLOOKUP($C68,COS!$B$8:$K$991,9,FALSE)-IF(MONTH($C68)=4,$V$3,IF(MONTH($C68)=5,$V$4,IF(MONTH($C68)=6,$V$5,IF(MONTH($C68)=7,$V$6,"ERROR"))))-VLOOKUP($C68,COS!$B$8:$K$991,6,FALSE)/2,0))</f>
        <v>1500</v>
      </c>
      <c r="S68" s="30">
        <f t="shared" ref="S68:S71" si="97">R68*DAY($C68)*86400/43560/1000</f>
        <v>89.256198347107429</v>
      </c>
      <c r="T68" s="30">
        <f t="shared" ref="T68:T71" si="98">(O68+Q68)/2+S68</f>
        <v>107.54786356776214</v>
      </c>
      <c r="U68" s="30" t="str">
        <f>IF(VLOOKUP($C68,COS!$B$8:$I$991,8,FALSE)=1,"UWFE","IBU")</f>
        <v>UWFE</v>
      </c>
      <c r="V68" s="30">
        <f t="shared" ref="V68" si="99">MIN(IF(IF($AA$3=2,AND(E68=1,G68=1,L68=1,L73=1,M68=1,U68="IBU"),AND(E68=1,G68=1,L68=1,L73=1,M68=1)),T68,0),I68)</f>
        <v>0</v>
      </c>
      <c r="W68" s="30"/>
      <c r="X68" s="30"/>
      <c r="Y68" s="30"/>
      <c r="Z68" s="30"/>
      <c r="AA68" s="30"/>
      <c r="AB68" s="31"/>
      <c r="AD68" s="44">
        <v>1976</v>
      </c>
      <c r="AE68" s="45">
        <f>VLOOKUP(AD68,Flags!$A$13:$B$95,2,FALSE)</f>
        <v>4</v>
      </c>
      <c r="AF68" s="44">
        <f t="shared" si="6"/>
        <v>250.9674774018595</v>
      </c>
      <c r="AG68" s="44">
        <f t="shared" si="7"/>
        <v>607.49359581813337</v>
      </c>
      <c r="AH68" s="44">
        <f t="shared" si="8"/>
        <v>172.01439102551169</v>
      </c>
      <c r="AI68" s="44">
        <f t="shared" si="9"/>
        <v>22584.217981340393</v>
      </c>
      <c r="AJ68" s="44">
        <f t="shared" si="10"/>
        <v>561.13268578899783</v>
      </c>
      <c r="AK68" s="44">
        <f t="shared" si="1"/>
        <v>367.72266545067146</v>
      </c>
      <c r="AL68" s="44">
        <f t="shared" si="11"/>
        <v>172.01439102551169</v>
      </c>
    </row>
    <row r="69" spans="1:38" x14ac:dyDescent="0.3">
      <c r="A69" s="32">
        <f>VLOOKUP(YEAR(C69),Flags!$A$13:$B$95,2,FALSE)</f>
        <v>2</v>
      </c>
      <c r="B69" s="24">
        <f t="shared" si="2"/>
        <v>1928</v>
      </c>
      <c r="C69" s="25">
        <v>10379</v>
      </c>
      <c r="D69" s="26">
        <f>VLOOKUP($C69,COS!$B$8:$H$991,3,FALSE)</f>
        <v>7197.19873046875</v>
      </c>
      <c r="E69" s="24">
        <f>IF(D69&gt;=IF(MONTH($C69)=4,$C$3,IF(MONTH($C69)=5,$C$4,IF(MONTH($C69)=6,$C$5,IF(MONTH($C69)=7,$C$6,"ERROR")))),1,0)</f>
        <v>1</v>
      </c>
      <c r="F69" s="26">
        <f>VLOOKUP($C69,COS!$B$8:$H$991,7,FALSE)</f>
        <v>51.672935485839844</v>
      </c>
      <c r="G69" s="24">
        <f>IF(F69&lt;=IF(MONTH($C69)=4,$F$3,IF(MONTH($C69)=5,$F$4,IF(MONTH($C69)=6,$F$5,IF(MONTH($C69)=7,$F$6,"ERROR")))),1,0)</f>
        <v>1</v>
      </c>
      <c r="H69" s="26">
        <f>IF(J69=1,D69-$C$4,0)</f>
        <v>1197.19873046875</v>
      </c>
      <c r="I69" s="26">
        <f t="shared" si="17"/>
        <v>73.612880617252074</v>
      </c>
      <c r="J69" s="24">
        <f t="shared" si="92"/>
        <v>1</v>
      </c>
      <c r="K69" s="26">
        <f>VLOOKUP($C69,COS!$B$8:$H$991,2,FALSE)</f>
        <v>4435.58349609375</v>
      </c>
      <c r="L69" s="24">
        <f t="shared" si="19"/>
        <v>1</v>
      </c>
      <c r="M69" s="24">
        <f t="shared" si="20"/>
        <v>0</v>
      </c>
      <c r="N69" s="26">
        <f>VLOOKUP($C69,COS!$B$8:$H$991,5,FALSE)</f>
        <v>357.50259399414063</v>
      </c>
      <c r="O69" s="26">
        <f t="shared" si="95"/>
        <v>21.981977680300879</v>
      </c>
      <c r="P69" s="26">
        <f>VLOOKUP($C69,COS!$B$8:$H$991,6,FALSE)</f>
        <v>2314.501708984375</v>
      </c>
      <c r="Q69" s="26">
        <f t="shared" si="96"/>
        <v>142.31316293259297</v>
      </c>
      <c r="R69" s="26">
        <f>MIN(IF(MONTH($C69)=4,$S$3,IF(MONTH($C69)=5,$S$4,IF(MONTH($C69)=6,$S$5,IF(MONTH($C69)=7,$S$6,"ERROR")))),MAX(VLOOKUP($C69,COS!$B$8:$K$991,10,FALSE)-IF(MONTH($C69)=4,$Y$3,IF(MONTH($C69)=5,$Y$4,IF(MONTH($C69)=6,$Y$5,IF(MONTH($C69)=7,$Y$6,"ERROR")))),0),MAX(VLOOKUP($C69,COS!$B$8:$K$991,9,FALSE)-IF(MONTH($C69)=4,$V$3,IF(MONTH($C69)=5,$V$4,IF(MONTH($C69)=6,$V$5,IF(MONTH($C69)=7,$V$6,"ERROR"))))-VLOOKUP($C69,COS!$B$8:$K$991,6,FALSE)/2,0))</f>
        <v>1500</v>
      </c>
      <c r="S69" s="26">
        <f t="shared" si="97"/>
        <v>92.231404958677686</v>
      </c>
      <c r="T69" s="26">
        <f t="shared" si="98"/>
        <v>174.37897526512461</v>
      </c>
      <c r="U69" s="26" t="str">
        <f>IF(VLOOKUP($C69,COS!$B$8:$I$991,8,FALSE)=1,"UWFE","IBU")</f>
        <v>UWFE</v>
      </c>
      <c r="V69" s="26">
        <f t="shared" ref="V69" si="100">MIN(IF(IF($AA$3=2,AND(E69=1,G69=1,L69=1,L73=1,M69=1,U69="IBU"),AND(E69=1,G69=1,L69=1,L73=1,M69=1)),T69,0),I69)</f>
        <v>0</v>
      </c>
      <c r="W69" s="26"/>
      <c r="X69" s="26"/>
      <c r="Y69" s="26"/>
      <c r="Z69" s="26"/>
      <c r="AA69" s="26"/>
      <c r="AB69" s="33"/>
      <c r="AD69" s="44">
        <v>1977</v>
      </c>
      <c r="AE69" s="45">
        <f>VLOOKUP(AD69,Flags!$A$13:$B$95,2,FALSE)</f>
        <v>5</v>
      </c>
      <c r="AF69" s="44">
        <f t="shared" si="6"/>
        <v>196.3267368285124</v>
      </c>
      <c r="AG69" s="44">
        <f t="shared" si="7"/>
        <v>601.92241988252999</v>
      </c>
      <c r="AH69" s="44">
        <f t="shared" si="8"/>
        <v>196.3267368285124</v>
      </c>
      <c r="AI69" s="44">
        <f t="shared" si="9"/>
        <v>22792.24397727273</v>
      </c>
      <c r="AJ69" s="44">
        <f t="shared" si="10"/>
        <v>635.35222042871908</v>
      </c>
      <c r="AK69" s="44">
        <f t="shared" si="1"/>
        <v>469.61289998708685</v>
      </c>
      <c r="AL69" s="44">
        <f t="shared" si="11"/>
        <v>196.3267368285124</v>
      </c>
    </row>
    <row r="70" spans="1:38" x14ac:dyDescent="0.3">
      <c r="A70" s="32">
        <f>VLOOKUP(YEAR(C70),Flags!$A$13:$B$95,2,FALSE)</f>
        <v>2</v>
      </c>
      <c r="B70" s="24">
        <f t="shared" si="2"/>
        <v>1928</v>
      </c>
      <c r="C70" s="25">
        <v>10409</v>
      </c>
      <c r="D70" s="26">
        <f>VLOOKUP($C70,COS!$B$8:$H$991,3,FALSE)</f>
        <v>13547.318359375</v>
      </c>
      <c r="E70" s="24">
        <f>IF(D70&gt;=IF(MONTH($C70)=4,$C$3,IF(MONTH($C70)=5,$C$4,IF(MONTH($C70)=6,$C$5,IF(MONTH($C70)=7,$C$6,"ERROR")))),1,0)</f>
        <v>1</v>
      </c>
      <c r="F70" s="26">
        <f>VLOOKUP($C70,COS!$B$8:$H$991,7,FALSE)</f>
        <v>51.193431854248047</v>
      </c>
      <c r="G70" s="24">
        <f>IF(F70&lt;=IF(MONTH($C70)=4,$F$3,IF(MONTH($C70)=5,$F$4,IF(MONTH($C70)=6,$F$5,IF(MONTH($C70)=7,$F$6,"ERROR")))),1,0)</f>
        <v>1</v>
      </c>
      <c r="H70" s="26">
        <f>IF(J70=1,D70-$C$5,0)</f>
        <v>3547.318359375</v>
      </c>
      <c r="I70" s="26">
        <f t="shared" si="17"/>
        <v>211.0801007231405</v>
      </c>
      <c r="J70" s="24">
        <f t="shared" si="92"/>
        <v>1</v>
      </c>
      <c r="K70" s="26">
        <f>VLOOKUP($C70,COS!$B$8:$H$991,2,FALSE)</f>
        <v>3819.055419921875</v>
      </c>
      <c r="L70" s="24">
        <f t="shared" si="19"/>
        <v>1</v>
      </c>
      <c r="M70" s="24">
        <f t="shared" si="20"/>
        <v>0</v>
      </c>
      <c r="N70" s="26">
        <f>VLOOKUP($C70,COS!$B$8:$H$991,5,FALSE)</f>
        <v>655.33172607421875</v>
      </c>
      <c r="O70" s="26">
        <f t="shared" si="95"/>
        <v>38.994945683755162</v>
      </c>
      <c r="P70" s="26">
        <f>VLOOKUP($C70,COS!$B$8:$H$991,6,FALSE)</f>
        <v>2329.183349609375</v>
      </c>
      <c r="Q70" s="26">
        <f t="shared" si="96"/>
        <v>138.59603402634298</v>
      </c>
      <c r="R70" s="26">
        <f>MIN(IF(MONTH($C70)=4,$S$3,IF(MONTH($C70)=5,$S$4,IF(MONTH($C70)=6,$S$5,IF(MONTH($C70)=7,$S$6,"ERROR")))),MAX(VLOOKUP($C70,COS!$B$8:$K$991,10,FALSE)-IF(MONTH($C70)=4,$Y$3,IF(MONTH($C70)=5,$Y$4,IF(MONTH($C70)=6,$Y$5,IF(MONTH($C70)=7,$Y$6,"ERROR")))),0),MAX(VLOOKUP($C70,COS!$B$8:$K$991,9,FALSE)-IF(MONTH($C70)=4,$V$3,IF(MONTH($C70)=5,$V$4,IF(MONTH($C70)=6,$V$5,IF(MONTH($C70)=7,$V$6,"ERROR"))))-VLOOKUP($C70,COS!$B$8:$K$991,6,FALSE)/2,0))</f>
        <v>1500</v>
      </c>
      <c r="S70" s="26">
        <f t="shared" si="97"/>
        <v>89.256198347107429</v>
      </c>
      <c r="T70" s="26">
        <f t="shared" si="98"/>
        <v>178.0516882021565</v>
      </c>
      <c r="U70" s="26" t="str">
        <f>IF(VLOOKUP($C70,COS!$B$8:$I$991,8,FALSE)=1,"UWFE","IBU")</f>
        <v>IBU</v>
      </c>
      <c r="V70" s="26">
        <f t="shared" ref="V70" si="101">MIN(IF(IF($AA$3=2,AND(E70=1,G70=1,L70=1,L73=1,M70=1,U70="IBU"),AND(E70=1,G70=1,L70=1,L73=1,M70=1)),T70,0),I70)</f>
        <v>0</v>
      </c>
      <c r="W70" s="26"/>
      <c r="X70" s="26"/>
      <c r="Y70" s="26"/>
      <c r="Z70" s="26"/>
      <c r="AA70" s="26"/>
      <c r="AB70" s="33"/>
      <c r="AD70" s="43">
        <v>1978</v>
      </c>
      <c r="AE70" s="1">
        <f>VLOOKUP(AD70,Flags!$A$13:$B$95,2,FALSE)</f>
        <v>2</v>
      </c>
      <c r="AF70" s="43">
        <f t="shared" si="6"/>
        <v>217.96352595557852</v>
      </c>
      <c r="AG70" s="43">
        <f t="shared" si="7"/>
        <v>695.25521309025021</v>
      </c>
      <c r="AH70" s="43">
        <f t="shared" si="8"/>
        <v>0</v>
      </c>
      <c r="AI70" s="43">
        <f t="shared" si="9"/>
        <v>22304.191515689567</v>
      </c>
      <c r="AJ70" s="43">
        <f t="shared" si="10"/>
        <v>86.702932471913741</v>
      </c>
      <c r="AK70" s="43">
        <f t="shared" si="1"/>
        <v>43.28008670018724</v>
      </c>
      <c r="AL70" s="43">
        <f t="shared" si="11"/>
        <v>0</v>
      </c>
    </row>
    <row r="71" spans="1:38" x14ac:dyDescent="0.3">
      <c r="A71" s="32">
        <f>VLOOKUP(YEAR(C71),Flags!$A$13:$B$95,2,FALSE)</f>
        <v>2</v>
      </c>
      <c r="B71" s="24">
        <f t="shared" si="2"/>
        <v>1928</v>
      </c>
      <c r="C71" s="25">
        <v>10440</v>
      </c>
      <c r="D71" s="26">
        <f>VLOOKUP($C71,COS!$B$8:$H$991,3,FALSE)</f>
        <v>16000</v>
      </c>
      <c r="E71" s="24">
        <f>IF(D71&gt;=IF(MONTH($C71)=4,$C$3,IF(MONTH($C71)=5,$C$4,IF(MONTH($C71)=6,$C$5,IF(MONTH($C71)=7,$C$6,"ERROR")))),1,0)</f>
        <v>1</v>
      </c>
      <c r="F71" s="26">
        <f>VLOOKUP($C71,COS!$B$8:$H$991,7,FALSE)</f>
        <v>52.268638610839844</v>
      </c>
      <c r="G71" s="24">
        <f>IF(F71&lt;=IF(MONTH($C71)=4,$F$3,IF(MONTH($C71)=5,$F$4,IF(MONTH($C71)=6,$F$5,IF(MONTH($C71)=7,$F$6,"ERROR")))),1,0)</f>
        <v>1</v>
      </c>
      <c r="H71" s="26">
        <f>IF(J71=1,D71-$C$6,0)</f>
        <v>4000</v>
      </c>
      <c r="I71" s="26">
        <f t="shared" si="17"/>
        <v>245.95041322314049</v>
      </c>
      <c r="J71" s="24">
        <f t="shared" si="92"/>
        <v>1</v>
      </c>
      <c r="K71" s="26">
        <f>VLOOKUP($C71,COS!$B$8:$H$991,2,FALSE)</f>
        <v>3098.602294921875</v>
      </c>
      <c r="L71" s="24">
        <f t="shared" si="19"/>
        <v>1</v>
      </c>
      <c r="M71" s="24">
        <f t="shared" si="20"/>
        <v>0</v>
      </c>
      <c r="N71" s="26">
        <f>VLOOKUP($C71,COS!$B$8:$H$991,5,FALSE)</f>
        <v>724.34930419921875</v>
      </c>
      <c r="O71" s="26">
        <f t="shared" si="95"/>
        <v>44.538502671423039</v>
      </c>
      <c r="P71" s="26">
        <f>VLOOKUP($C71,COS!$B$8:$H$991,6,FALSE)</f>
        <v>2562.892822265625</v>
      </c>
      <c r="Q71" s="26">
        <f t="shared" si="96"/>
        <v>157.58613717071282</v>
      </c>
      <c r="R71" s="26">
        <f>MIN(IF(MONTH($C71)=4,$S$3,IF(MONTH($C71)=5,$S$4,IF(MONTH($C71)=6,$S$5,IF(MONTH($C71)=7,$S$6,"ERROR")))),MAX(VLOOKUP($C71,COS!$B$8:$K$991,10,FALSE)-IF(MONTH($C71)=4,$Y$3,IF(MONTH($C71)=5,$Y$4,IF(MONTH($C71)=6,$Y$5,IF(MONTH($C71)=7,$Y$6,"ERROR")))),0),MAX(VLOOKUP($C71,COS!$B$8:$K$991,9,FALSE)-IF(MONTH($C71)=4,$V$3,IF(MONTH($C71)=5,$V$4,IF(MONTH($C71)=6,$V$5,IF(MONTH($C71)=7,$V$6,"ERROR"))))-VLOOKUP($C71,COS!$B$8:$K$991,6,FALSE)/2,0))</f>
        <v>1500</v>
      </c>
      <c r="S71" s="26">
        <f t="shared" si="97"/>
        <v>92.231404958677686</v>
      </c>
      <c r="T71" s="26">
        <f t="shared" si="98"/>
        <v>193.29372487974561</v>
      </c>
      <c r="U71" s="26" t="str">
        <f>IF(VLOOKUP($C71,COS!$B$8:$I$991,8,FALSE)=1,"UWFE","IBU")</f>
        <v>IBU</v>
      </c>
      <c r="V71" s="26">
        <f t="shared" ref="V71" si="102">MIN(IF(IF($AA$3=2,AND(E71=1,G71=1,L71=1,L73=1,M71=1,U71="IBU"),AND(E71=1,G71=1,L71=1,L73=1,M71=1)),T71,0),I71)</f>
        <v>0</v>
      </c>
      <c r="W71" s="26"/>
      <c r="X71" s="26"/>
      <c r="Y71" s="26"/>
      <c r="Z71" s="26"/>
      <c r="AA71" s="26"/>
      <c r="AB71" s="33"/>
      <c r="AD71" s="43">
        <v>1979</v>
      </c>
      <c r="AE71" s="1">
        <f>VLOOKUP(AD71,Flags!$A$13:$B$95,2,FALSE)</f>
        <v>4</v>
      </c>
      <c r="AF71" s="43">
        <f t="shared" si="6"/>
        <v>34.877614927685947</v>
      </c>
      <c r="AG71" s="43">
        <f t="shared" si="7"/>
        <v>653.80688880100729</v>
      </c>
      <c r="AH71" s="43">
        <f t="shared" si="8"/>
        <v>34.877614927685947</v>
      </c>
      <c r="AI71" s="43">
        <f t="shared" si="9"/>
        <v>22800.976620286674</v>
      </c>
      <c r="AJ71" s="43">
        <f t="shared" si="10"/>
        <v>125.50075800619835</v>
      </c>
      <c r="AK71" s="43">
        <f t="shared" si="1"/>
        <v>89.011875484245877</v>
      </c>
      <c r="AL71" s="43">
        <f t="shared" si="11"/>
        <v>34.877614927685947</v>
      </c>
    </row>
    <row r="72" spans="1:38" x14ac:dyDescent="0.3">
      <c r="A72" s="32">
        <f>VLOOKUP(YEAR(C72),Flags!$A$13:$B$95,2,FALSE)</f>
        <v>2</v>
      </c>
      <c r="B72" s="24">
        <f t="shared" si="2"/>
        <v>1928</v>
      </c>
      <c r="C72" s="25">
        <v>10471</v>
      </c>
      <c r="D72" s="26"/>
      <c r="E72" s="24"/>
      <c r="F72" s="26"/>
      <c r="G72" s="24"/>
      <c r="H72" s="24"/>
      <c r="I72" s="26"/>
      <c r="J72" s="24"/>
      <c r="K72" s="26"/>
      <c r="L72" s="24"/>
      <c r="M72" s="24"/>
      <c r="N72" s="26"/>
      <c r="O72" s="26"/>
      <c r="P72" s="26"/>
      <c r="Q72" s="26"/>
      <c r="R72" s="26"/>
      <c r="S72" s="26"/>
      <c r="T72" s="26"/>
      <c r="U72" s="26"/>
      <c r="V72" s="26"/>
      <c r="W72" s="26">
        <f>MAX($C$7-VLOOKUP($C72,COS!$B$8:$H$991,3,FALSE),0)</f>
        <v>87836.8740234375</v>
      </c>
      <c r="X72" s="26">
        <f t="shared" si="31"/>
        <v>5400.8788655733479</v>
      </c>
      <c r="Y72" s="26">
        <f>VLOOKUP($C72,COS!$B$8:$H$991,4,FALSE)</f>
        <v>4.0736780166625977</v>
      </c>
      <c r="Z72" s="26">
        <f t="shared" si="32"/>
        <v>0.25048069788404731</v>
      </c>
      <c r="AA72" s="26">
        <f t="shared" ref="AA72:AA76" si="103">MIN(W72,Y72)</f>
        <v>4.0736780166625977</v>
      </c>
      <c r="AB72" s="33">
        <f t="shared" ref="AB72" si="104">AA72*DAY($C72)*86400/43560/1000*IF(MONTH($C72)=8,$P$3,IF(MONTH($C72)=9,$P$4,IF(MONTH($C72)=10,$P$5,IF(MONTH($C72)=11,$P$6,IF(MONTH($C72)=12,$P$7,NA())))))</f>
        <v>0.25048069788404731</v>
      </c>
      <c r="AD72" s="43">
        <v>1980</v>
      </c>
      <c r="AE72" s="1">
        <f>VLOOKUP(AD72,Flags!$A$13:$B$95,2,FALSE)</f>
        <v>2</v>
      </c>
      <c r="AF72" s="43">
        <f t="shared" si="6"/>
        <v>40.083372288223138</v>
      </c>
      <c r="AG72" s="43">
        <f t="shared" si="7"/>
        <v>678.40361045648251</v>
      </c>
      <c r="AH72" s="43">
        <f t="shared" si="8"/>
        <v>0</v>
      </c>
      <c r="AI72" s="43">
        <f t="shared" si="9"/>
        <v>22086.019861828514</v>
      </c>
      <c r="AJ72" s="43">
        <f t="shared" si="10"/>
        <v>39.282558795519115</v>
      </c>
      <c r="AK72" s="43">
        <f t="shared" si="1"/>
        <v>31.817970333887526</v>
      </c>
      <c r="AL72" s="43">
        <f t="shared" si="11"/>
        <v>0</v>
      </c>
    </row>
    <row r="73" spans="1:38" x14ac:dyDescent="0.3">
      <c r="A73" s="32">
        <f>VLOOKUP(YEAR(C73),Flags!$A$13:$B$95,2,FALSE)</f>
        <v>2</v>
      </c>
      <c r="B73" s="24">
        <f t="shared" si="2"/>
        <v>1928</v>
      </c>
      <c r="C73" s="25">
        <v>10501</v>
      </c>
      <c r="D73" s="26"/>
      <c r="E73" s="24"/>
      <c r="F73" s="26"/>
      <c r="G73" s="24"/>
      <c r="H73" s="24"/>
      <c r="I73" s="26"/>
      <c r="J73" s="24"/>
      <c r="K73" s="26">
        <f>VLOOKUP($C73,COS!$B$8:$H$991,2,FALSE)</f>
        <v>2247.118896484375</v>
      </c>
      <c r="L73" s="24">
        <f t="shared" ref="L73" si="105">IF(AND(K73&gt;$I$7,K73&lt;$I$8),1,0)</f>
        <v>1</v>
      </c>
      <c r="M73" s="24"/>
      <c r="N73" s="26"/>
      <c r="O73" s="26"/>
      <c r="P73" s="26"/>
      <c r="Q73" s="26"/>
      <c r="R73" s="26"/>
      <c r="S73" s="26"/>
      <c r="T73" s="26"/>
      <c r="U73" s="26"/>
      <c r="V73" s="26"/>
      <c r="W73" s="26">
        <f>MAX($C$8-VLOOKUP($C73,COS!$B$8:$H$991,3,FALSE),0)</f>
        <v>87919.5517578125</v>
      </c>
      <c r="X73" s="26">
        <f t="shared" si="31"/>
        <v>5231.5766335227272</v>
      </c>
      <c r="Y73" s="26">
        <f>VLOOKUP($C73,COS!$B$8:$H$991,4,FALSE)</f>
        <v>0</v>
      </c>
      <c r="Z73" s="26">
        <f t="shared" si="32"/>
        <v>0</v>
      </c>
      <c r="AA73" s="26">
        <f t="shared" si="103"/>
        <v>0</v>
      </c>
      <c r="AB73" s="33">
        <f t="shared" si="34"/>
        <v>0</v>
      </c>
      <c r="AD73" s="43">
        <v>1981</v>
      </c>
      <c r="AE73" s="1">
        <f>VLOOKUP(AD73,Flags!$A$13:$B$95,2,FALSE)</f>
        <v>4</v>
      </c>
      <c r="AF73" s="43">
        <f t="shared" si="6"/>
        <v>591.60021791064048</v>
      </c>
      <c r="AG73" s="43">
        <f t="shared" si="7"/>
        <v>674.76521393578901</v>
      </c>
      <c r="AH73" s="43">
        <f t="shared" si="8"/>
        <v>493.14746985569474</v>
      </c>
      <c r="AI73" s="43">
        <f t="shared" si="9"/>
        <v>22629.243027989411</v>
      </c>
      <c r="AJ73" s="43">
        <f t="shared" si="10"/>
        <v>328.53171665160124</v>
      </c>
      <c r="AK73" s="43">
        <f t="shared" si="1"/>
        <v>328.53171665160124</v>
      </c>
      <c r="AL73" s="43">
        <f t="shared" si="11"/>
        <v>328.53171665160124</v>
      </c>
    </row>
    <row r="74" spans="1:38" x14ac:dyDescent="0.3">
      <c r="A74" s="32">
        <f>VLOOKUP(YEAR(C74),Flags!$A$13:$B$95,2,FALSE)</f>
        <v>2</v>
      </c>
      <c r="B74" s="24">
        <f t="shared" si="2"/>
        <v>1928</v>
      </c>
      <c r="C74" s="25">
        <v>10532</v>
      </c>
      <c r="D74" s="26"/>
      <c r="E74" s="24"/>
      <c r="F74" s="26"/>
      <c r="G74" s="26"/>
      <c r="H74" s="26"/>
      <c r="I74" s="26"/>
      <c r="J74" s="26"/>
      <c r="K74" s="26"/>
      <c r="L74" s="24"/>
      <c r="M74" s="24"/>
      <c r="N74" s="26"/>
      <c r="O74" s="26"/>
      <c r="P74" s="26"/>
      <c r="Q74" s="26"/>
      <c r="R74" s="26"/>
      <c r="S74" s="26"/>
      <c r="T74" s="26"/>
      <c r="U74" s="26"/>
      <c r="V74" s="26"/>
      <c r="W74" s="26">
        <f>MAX($C$9-VLOOKUP($C74,COS!$B$8:$H$991,3,FALSE),0)</f>
        <v>91149.44921875</v>
      </c>
      <c r="X74" s="26">
        <f t="shared" si="31"/>
        <v>5604.5611751033057</v>
      </c>
      <c r="Y74" s="26">
        <f>VLOOKUP($C74,COS!$B$8:$H$991,4,FALSE)</f>
        <v>828.01947021484375</v>
      </c>
      <c r="Z74" s="26">
        <f t="shared" si="32"/>
        <v>50.912932714036671</v>
      </c>
      <c r="AA74" s="26">
        <f t="shared" si="103"/>
        <v>828.01947021484375</v>
      </c>
      <c r="AB74" s="33">
        <f t="shared" si="34"/>
        <v>50.912932714036671</v>
      </c>
      <c r="AD74" s="43">
        <v>1982</v>
      </c>
      <c r="AE74" s="1">
        <f>VLOOKUP(AD74,Flags!$A$13:$B$95,2,FALSE)</f>
        <v>1</v>
      </c>
      <c r="AF74" s="43">
        <f t="shared" si="6"/>
        <v>1125.442561983471</v>
      </c>
      <c r="AG74" s="43">
        <f t="shared" si="7"/>
        <v>640.36909747667551</v>
      </c>
      <c r="AH74" s="43">
        <f t="shared" si="8"/>
        <v>0</v>
      </c>
      <c r="AI74" s="43">
        <f t="shared" si="9"/>
        <v>22172.440727014462</v>
      </c>
      <c r="AJ74" s="43">
        <f t="shared" si="10"/>
        <v>0</v>
      </c>
      <c r="AK74" s="43">
        <f t="shared" si="1"/>
        <v>0</v>
      </c>
      <c r="AL74" s="43">
        <f t="shared" si="11"/>
        <v>0</v>
      </c>
    </row>
    <row r="75" spans="1:38" x14ac:dyDescent="0.3">
      <c r="A75" s="32">
        <f>VLOOKUP(YEAR(C75),Flags!$A$13:$B$95,2,FALSE)</f>
        <v>2</v>
      </c>
      <c r="B75" s="24">
        <f t="shared" si="2"/>
        <v>1928</v>
      </c>
      <c r="C75" s="25">
        <v>10562</v>
      </c>
      <c r="D75" s="26"/>
      <c r="E75" s="24"/>
      <c r="F75" s="26"/>
      <c r="G75" s="26"/>
      <c r="H75" s="26"/>
      <c r="I75" s="26"/>
      <c r="J75" s="26"/>
      <c r="K75" s="26"/>
      <c r="L75" s="24"/>
      <c r="M75" s="24"/>
      <c r="N75" s="26"/>
      <c r="O75" s="26"/>
      <c r="P75" s="26"/>
      <c r="Q75" s="26"/>
      <c r="R75" s="26"/>
      <c r="S75" s="26"/>
      <c r="T75" s="26"/>
      <c r="U75" s="26"/>
      <c r="V75" s="26"/>
      <c r="W75" s="26">
        <f>MAX($C$10-VLOOKUP($C75,COS!$B$8:$H$991,3,FALSE),0)</f>
        <v>93858.70654296875</v>
      </c>
      <c r="X75" s="26">
        <f t="shared" si="31"/>
        <v>5584.9808852014467</v>
      </c>
      <c r="Y75" s="26">
        <f>VLOOKUP($C75,COS!$B$8:$H$991,4,FALSE)</f>
        <v>1034.00048828125</v>
      </c>
      <c r="Z75" s="26">
        <f t="shared" si="32"/>
        <v>61.527301782024793</v>
      </c>
      <c r="AA75" s="26">
        <f t="shared" si="103"/>
        <v>1034.00048828125</v>
      </c>
      <c r="AB75" s="33">
        <f t="shared" si="34"/>
        <v>30.763650891012396</v>
      </c>
      <c r="AD75" s="43">
        <v>1983</v>
      </c>
      <c r="AE75" s="1">
        <f>VLOOKUP(AD75,Flags!$A$13:$B$95,2,FALSE)</f>
        <v>1</v>
      </c>
      <c r="AF75" s="43">
        <f t="shared" si="6"/>
        <v>1379.8435440340911</v>
      </c>
      <c r="AG75" s="43">
        <f t="shared" si="7"/>
        <v>680.26086035610228</v>
      </c>
      <c r="AH75" s="43">
        <f t="shared" si="8"/>
        <v>0</v>
      </c>
      <c r="AI75" s="43">
        <f t="shared" si="9"/>
        <v>21271.9593866219</v>
      </c>
      <c r="AJ75" s="43">
        <f t="shared" si="10"/>
        <v>19.84101265899406</v>
      </c>
      <c r="AK75" s="43">
        <f t="shared" si="1"/>
        <v>19.84101265899406</v>
      </c>
      <c r="AL75" s="43">
        <f t="shared" si="11"/>
        <v>0</v>
      </c>
    </row>
    <row r="76" spans="1:38" x14ac:dyDescent="0.3">
      <c r="A76" s="34">
        <f>VLOOKUP(YEAR(C76),Flags!$A$13:$B$95,2,FALSE)</f>
        <v>2</v>
      </c>
      <c r="B76" s="35">
        <f t="shared" si="2"/>
        <v>1928</v>
      </c>
      <c r="C76" s="36">
        <v>10593</v>
      </c>
      <c r="D76" s="37"/>
      <c r="E76" s="35"/>
      <c r="F76" s="37"/>
      <c r="G76" s="37"/>
      <c r="H76" s="37"/>
      <c r="I76" s="37"/>
      <c r="J76" s="37"/>
      <c r="K76" s="37"/>
      <c r="L76" s="35"/>
      <c r="M76" s="35"/>
      <c r="N76" s="37"/>
      <c r="O76" s="37"/>
      <c r="P76" s="37"/>
      <c r="Q76" s="37"/>
      <c r="R76" s="37"/>
      <c r="S76" s="37"/>
      <c r="T76" s="37"/>
      <c r="U76" s="37"/>
      <c r="V76" s="37"/>
      <c r="W76" s="37">
        <f>MAX($C$11-VLOOKUP($C76,COS!$B$8:$H$991,3,FALSE),0)</f>
        <v>0</v>
      </c>
      <c r="X76" s="37">
        <f t="shared" si="31"/>
        <v>0</v>
      </c>
      <c r="Y76" s="37">
        <f>VLOOKUP($C76,COS!$B$8:$H$991,4,FALSE)</f>
        <v>0</v>
      </c>
      <c r="Z76" s="37">
        <f t="shared" si="32"/>
        <v>0</v>
      </c>
      <c r="AA76" s="37">
        <f t="shared" si="103"/>
        <v>0</v>
      </c>
      <c r="AB76" s="38">
        <f t="shared" si="34"/>
        <v>0</v>
      </c>
      <c r="AD76" s="43">
        <v>1984</v>
      </c>
      <c r="AE76" s="1">
        <f>VLOOKUP(AD76,Flags!$A$13:$B$95,2,FALSE)</f>
        <v>1</v>
      </c>
      <c r="AF76" s="43">
        <f t="shared" si="6"/>
        <v>407.10620706353302</v>
      </c>
      <c r="AG76" s="43">
        <f t="shared" si="7"/>
        <v>692.32239814695242</v>
      </c>
      <c r="AH76" s="43">
        <f t="shared" si="8"/>
        <v>0</v>
      </c>
      <c r="AI76" s="43">
        <f t="shared" si="9"/>
        <v>22064.629158703512</v>
      </c>
      <c r="AJ76" s="43">
        <f t="shared" si="10"/>
        <v>71.716279014398239</v>
      </c>
      <c r="AK76" s="43">
        <f t="shared" si="1"/>
        <v>71.716279014398239</v>
      </c>
      <c r="AL76" s="43">
        <f t="shared" si="11"/>
        <v>0</v>
      </c>
    </row>
    <row r="77" spans="1:38" x14ac:dyDescent="0.3">
      <c r="A77" s="27">
        <f>VLOOKUP(YEAR(C77),Flags!$A$13:$B$95,2,FALSE)</f>
        <v>5</v>
      </c>
      <c r="B77" s="28">
        <f t="shared" si="2"/>
        <v>1929</v>
      </c>
      <c r="C77" s="29">
        <v>10713</v>
      </c>
      <c r="D77" s="30">
        <f>VLOOKUP($C77,COS!$B$8:$H$991,3,FALSE)</f>
        <v>3250</v>
      </c>
      <c r="E77" s="28">
        <f>IF(D77&gt;=IF(MONTH($C77)=4,$C$3,IF(MONTH($C77)=5,$C$4,IF(MONTH($C77)=6,$C$5,IF(MONTH($C77)=7,$C$6,"ERROR")))),1,0)</f>
        <v>0</v>
      </c>
      <c r="F77" s="30">
        <f>VLOOKUP($C77,COS!$B$8:$H$991,7,FALSE)</f>
        <v>51.192344665527344</v>
      </c>
      <c r="G77" s="28">
        <f>IF(F77&lt;=IF(MONTH($C77)=4,$F$3,IF(MONTH($C77)=5,$F$4,IF(MONTH($C77)=6,$F$5,IF(MONTH($C77)=7,$F$6,"ERROR")))),1,0)</f>
        <v>1</v>
      </c>
      <c r="H77" s="30">
        <f>IF(J77=1,D77-$C$3,0)</f>
        <v>0</v>
      </c>
      <c r="I77" s="30">
        <f t="shared" si="17"/>
        <v>0</v>
      </c>
      <c r="J77" s="28">
        <f t="shared" ref="J77:J80" si="106">IF(AND(E77=1,G77=1),1,0)</f>
        <v>0</v>
      </c>
      <c r="K77" s="30">
        <f>VLOOKUP($C77,COS!$B$8:$H$991,2,FALSE)</f>
        <v>2771.09326171875</v>
      </c>
      <c r="L77" s="28">
        <f t="shared" ref="L77" si="107">IF(K77&lt;=IF(MONTH($C77)=4,$I$3,IF(MONTH($C77)=5,$I$4,IF(MONTH($C77)=6,$I$5,IF(MONTH($C77)=7,$I$6,"ERROR")))),1,0)</f>
        <v>1</v>
      </c>
      <c r="M77" s="28">
        <f t="shared" ref="M77" si="108">VLOOKUP($A77,$L$3:$M$7,2,FALSE)</f>
        <v>1</v>
      </c>
      <c r="N77" s="30">
        <f>VLOOKUP($C77,COS!$B$8:$H$991,5,FALSE)</f>
        <v>223.38325500488281</v>
      </c>
      <c r="O77" s="30">
        <f t="shared" ref="O77:O80" si="109">N77*DAY($C77)*86400/43560/1000</f>
        <v>13.292226744092201</v>
      </c>
      <c r="P77" s="30">
        <f>VLOOKUP($C77,COS!$B$8:$H$991,6,FALSE)</f>
        <v>516.50811767578125</v>
      </c>
      <c r="Q77" s="30">
        <f t="shared" ref="Q77:Q80" si="110">P77*DAY($C77)*86400/43560/1000</f>
        <v>30.734367332773761</v>
      </c>
      <c r="R77" s="30">
        <f>MIN(IF(MONTH($C77)=4,$S$3,IF(MONTH($C77)=5,$S$4,IF(MONTH($C77)=6,$S$5,IF(MONTH($C77)=7,$S$6,"ERROR")))),MAX(VLOOKUP($C77,COS!$B$8:$K$991,10,FALSE)-IF(MONTH($C77)=4,$Y$3,IF(MONTH($C77)=5,$Y$4,IF(MONTH($C77)=6,$Y$5,IF(MONTH($C77)=7,$Y$6,"ERROR")))),0),MAX(VLOOKUP($C77,COS!$B$8:$K$991,9,FALSE)-IF(MONTH($C77)=4,$V$3,IF(MONTH($C77)=5,$V$4,IF(MONTH($C77)=6,$V$5,IF(MONTH($C77)=7,$V$6,"ERROR"))))-VLOOKUP($C77,COS!$B$8:$K$991,6,FALSE)/2,0))</f>
        <v>785.21630859375</v>
      </c>
      <c r="S77" s="30">
        <f t="shared" ref="S77:S80" si="111">R77*DAY($C77)*86400/43560/1000</f>
        <v>46.723615056818183</v>
      </c>
      <c r="T77" s="30">
        <f t="shared" ref="T77:T80" si="112">(O77+Q77)/2+S77</f>
        <v>68.736912095251171</v>
      </c>
      <c r="U77" s="30" t="str">
        <f>IF(VLOOKUP($C77,COS!$B$8:$I$991,8,FALSE)=1,"UWFE","IBU")</f>
        <v>UWFE</v>
      </c>
      <c r="V77" s="30">
        <f t="shared" ref="V77" si="113">MIN(IF(IF($AA$3=2,AND(E77=1,G77=1,L77=1,L82=1,M77=1,U77="IBU"),AND(E77=1,G77=1,L77=1,L82=1,M77=1)),T77,0),I77)</f>
        <v>0</v>
      </c>
      <c r="W77" s="30"/>
      <c r="X77" s="30"/>
      <c r="Y77" s="30"/>
      <c r="Z77" s="30"/>
      <c r="AA77" s="30"/>
      <c r="AB77" s="31"/>
      <c r="AD77" s="43">
        <v>1985</v>
      </c>
      <c r="AE77" s="1">
        <f>VLOOKUP(AD77,Flags!$A$13:$B$95,2,FALSE)</f>
        <v>3</v>
      </c>
      <c r="AF77" s="43">
        <f t="shared" si="6"/>
        <v>489.51717361828509</v>
      </c>
      <c r="AG77" s="43">
        <f t="shared" si="7"/>
        <v>656.34193189888947</v>
      </c>
      <c r="AH77" s="43">
        <f t="shared" si="8"/>
        <v>476.82975234859242</v>
      </c>
      <c r="AI77" s="43">
        <f t="shared" si="9"/>
        <v>22629.194684271693</v>
      </c>
      <c r="AJ77" s="43">
        <f t="shared" si="10"/>
        <v>253.37745220089744</v>
      </c>
      <c r="AK77" s="43">
        <f t="shared" si="1"/>
        <v>227.67342561579932</v>
      </c>
      <c r="AL77" s="43">
        <f t="shared" si="11"/>
        <v>227.67342561579932</v>
      </c>
    </row>
    <row r="78" spans="1:38" x14ac:dyDescent="0.3">
      <c r="A78" s="32">
        <f>VLOOKUP(YEAR(C78),Flags!$A$13:$B$95,2,FALSE)</f>
        <v>5</v>
      </c>
      <c r="B78" s="24">
        <f t="shared" si="2"/>
        <v>1929</v>
      </c>
      <c r="C78" s="25">
        <v>10744</v>
      </c>
      <c r="D78" s="26">
        <f>VLOOKUP($C78,COS!$B$8:$H$991,3,FALSE)</f>
        <v>8080.45556640625</v>
      </c>
      <c r="E78" s="24">
        <f>IF(D78&gt;=IF(MONTH($C78)=4,$C$3,IF(MONTH($C78)=5,$C$4,IF(MONTH($C78)=6,$C$5,IF(MONTH($C78)=7,$C$6,"ERROR")))),1,0)</f>
        <v>1</v>
      </c>
      <c r="F78" s="26">
        <f>VLOOKUP($C78,COS!$B$8:$H$991,7,FALSE)</f>
        <v>51.678050994873047</v>
      </c>
      <c r="G78" s="24">
        <f>IF(F78&lt;=IF(MONTH($C78)=4,$F$3,IF(MONTH($C78)=5,$F$4,IF(MONTH($C78)=6,$F$5,IF(MONTH($C78)=7,$F$6,"ERROR")))),1,0)</f>
        <v>1</v>
      </c>
      <c r="H78" s="26">
        <f>IF(J78=1,D78-$C$4,0)</f>
        <v>2080.45556640625</v>
      </c>
      <c r="I78" s="26">
        <f t="shared" si="17"/>
        <v>127.9222265625</v>
      </c>
      <c r="J78" s="24">
        <f t="shared" si="106"/>
        <v>1</v>
      </c>
      <c r="K78" s="26">
        <f>VLOOKUP($C78,COS!$B$8:$H$991,2,FALSE)</f>
        <v>2547.78955078125</v>
      </c>
      <c r="L78" s="24">
        <f t="shared" si="19"/>
        <v>1</v>
      </c>
      <c r="M78" s="24">
        <f t="shared" si="20"/>
        <v>1</v>
      </c>
      <c r="N78" s="26">
        <f>VLOOKUP($C78,COS!$B$8:$H$991,5,FALSE)</f>
        <v>306.94467163085938</v>
      </c>
      <c r="O78" s="26">
        <f t="shared" si="109"/>
        <v>18.873292206062757</v>
      </c>
      <c r="P78" s="26">
        <f>VLOOKUP($C78,COS!$B$8:$H$991,6,FALSE)</f>
        <v>2370.671630859375</v>
      </c>
      <c r="Q78" s="26">
        <f t="shared" si="110"/>
        <v>145.76691680655992</v>
      </c>
      <c r="R78" s="26">
        <f>MIN(IF(MONTH($C78)=4,$S$3,IF(MONTH($C78)=5,$S$4,IF(MONTH($C78)=6,$S$5,IF(MONTH($C78)=7,$S$6,"ERROR")))),MAX(VLOOKUP($C78,COS!$B$8:$K$991,10,FALSE)-IF(MONTH($C78)=4,$Y$3,IF(MONTH($C78)=5,$Y$4,IF(MONTH($C78)=6,$Y$5,IF(MONTH($C78)=7,$Y$6,"ERROR")))),0),MAX(VLOOKUP($C78,COS!$B$8:$K$991,9,FALSE)-IF(MONTH($C78)=4,$V$3,IF(MONTH($C78)=5,$V$4,IF(MONTH($C78)=6,$V$5,IF(MONTH($C78)=7,$V$6,"ERROR"))))-VLOOKUP($C78,COS!$B$8:$K$991,6,FALSE)/2,0))</f>
        <v>1500</v>
      </c>
      <c r="S78" s="26">
        <f t="shared" si="111"/>
        <v>92.231404958677686</v>
      </c>
      <c r="T78" s="26">
        <f t="shared" si="112"/>
        <v>174.55150946498901</v>
      </c>
      <c r="U78" s="26" t="str">
        <f>IF(VLOOKUP($C78,COS!$B$8:$I$991,8,FALSE)=1,"UWFE","IBU")</f>
        <v>IBU</v>
      </c>
      <c r="V78" s="26">
        <f t="shared" ref="V78" si="114">MIN(IF(IF($AA$3=2,AND(E78=1,G78=1,L78=1,L82=1,M78=1,U78="IBU"),AND(E78=1,G78=1,L78=1,L82=1,M78=1)),T78,0),I78)</f>
        <v>127.9222265625</v>
      </c>
      <c r="W78" s="26"/>
      <c r="X78" s="26"/>
      <c r="Y78" s="26"/>
      <c r="Z78" s="26"/>
      <c r="AA78" s="26"/>
      <c r="AB78" s="33"/>
      <c r="AD78" s="44">
        <v>1986</v>
      </c>
      <c r="AE78" s="45">
        <f>VLOOKUP(AD78,Flags!$A$13:$B$95,2,FALSE)</f>
        <v>1</v>
      </c>
      <c r="AF78" s="44">
        <f t="shared" si="6"/>
        <v>63.803206030475209</v>
      </c>
      <c r="AG78" s="44">
        <f t="shared" si="7"/>
        <v>643.07545471695823</v>
      </c>
      <c r="AH78" s="44">
        <f t="shared" si="8"/>
        <v>0</v>
      </c>
      <c r="AI78" s="44">
        <f t="shared" si="9"/>
        <v>22143.33418001033</v>
      </c>
      <c r="AJ78" s="44">
        <f t="shared" si="10"/>
        <v>288.06291219411798</v>
      </c>
      <c r="AK78" s="44">
        <f t="shared" ref="AK78:AK94" si="115">SUMIF($B$14:$B$742,$AD78,$AB$14:$AB$742)</f>
        <v>169.15729877566503</v>
      </c>
      <c r="AL78" s="44">
        <f t="shared" si="11"/>
        <v>0</v>
      </c>
    </row>
    <row r="79" spans="1:38" x14ac:dyDescent="0.3">
      <c r="A79" s="32">
        <f>VLOOKUP(YEAR(C79),Flags!$A$13:$B$95,2,FALSE)</f>
        <v>5</v>
      </c>
      <c r="B79" s="24">
        <f t="shared" ref="B79:B142" si="116">YEAR(C79)</f>
        <v>1929</v>
      </c>
      <c r="C79" s="25">
        <v>10774</v>
      </c>
      <c r="D79" s="26">
        <f>VLOOKUP($C79,COS!$B$8:$H$991,3,FALSE)</f>
        <v>8416.89453125</v>
      </c>
      <c r="E79" s="24">
        <f>IF(D79&gt;=IF(MONTH($C79)=4,$C$3,IF(MONTH($C79)=5,$C$4,IF(MONTH($C79)=6,$C$5,IF(MONTH($C79)=7,$C$6,"ERROR")))),1,0)</f>
        <v>0</v>
      </c>
      <c r="F79" s="26">
        <f>VLOOKUP($C79,COS!$B$8:$H$991,7,FALSE)</f>
        <v>54.286209106445313</v>
      </c>
      <c r="G79" s="24">
        <f>IF(F79&lt;=IF(MONTH($C79)=4,$F$3,IF(MONTH($C79)=5,$F$4,IF(MONTH($C79)=6,$F$5,IF(MONTH($C79)=7,$F$6,"ERROR")))),1,0)</f>
        <v>1</v>
      </c>
      <c r="H79" s="26">
        <f>IF(J79=1,D79-$C$5,0)</f>
        <v>0</v>
      </c>
      <c r="I79" s="26">
        <f t="shared" si="17"/>
        <v>0</v>
      </c>
      <c r="J79" s="24">
        <f t="shared" si="106"/>
        <v>0</v>
      </c>
      <c r="K79" s="26">
        <f>VLOOKUP($C79,COS!$B$8:$H$991,2,FALSE)</f>
        <v>2247.309814453125</v>
      </c>
      <c r="L79" s="24">
        <f t="shared" si="19"/>
        <v>1</v>
      </c>
      <c r="M79" s="24">
        <f t="shared" si="20"/>
        <v>1</v>
      </c>
      <c r="N79" s="26">
        <f>VLOOKUP($C79,COS!$B$8:$H$991,5,FALSE)</f>
        <v>280.00125122070313</v>
      </c>
      <c r="O79" s="26">
        <f t="shared" si="109"/>
        <v>16.661231477595557</v>
      </c>
      <c r="P79" s="26">
        <f>VLOOKUP($C79,COS!$B$8:$H$991,6,FALSE)</f>
        <v>2189.392578125</v>
      </c>
      <c r="Q79" s="26">
        <f t="shared" si="110"/>
        <v>130.27790547520661</v>
      </c>
      <c r="R79" s="26">
        <f>MIN(IF(MONTH($C79)=4,$S$3,IF(MONTH($C79)=5,$S$4,IF(MONTH($C79)=6,$S$5,IF(MONTH($C79)=7,$S$6,"ERROR")))),MAX(VLOOKUP($C79,COS!$B$8:$K$991,10,FALSE)-IF(MONTH($C79)=4,$Y$3,IF(MONTH($C79)=5,$Y$4,IF(MONTH($C79)=6,$Y$5,IF(MONTH($C79)=7,$Y$6,"ERROR")))),0),MAX(VLOOKUP($C79,COS!$B$8:$K$991,9,FALSE)-IF(MONTH($C79)=4,$V$3,IF(MONTH($C79)=5,$V$4,IF(MONTH($C79)=6,$V$5,IF(MONTH($C79)=7,$V$6,"ERROR"))))-VLOOKUP($C79,COS!$B$8:$K$991,6,FALSE)/2,0))</f>
        <v>1500</v>
      </c>
      <c r="S79" s="26">
        <f t="shared" si="111"/>
        <v>89.256198347107429</v>
      </c>
      <c r="T79" s="26">
        <f t="shared" si="112"/>
        <v>162.72576682350851</v>
      </c>
      <c r="U79" s="26" t="str">
        <f>IF(VLOOKUP($C79,COS!$B$8:$I$991,8,FALSE)=1,"UWFE","IBU")</f>
        <v>IBU</v>
      </c>
      <c r="V79" s="26">
        <f t="shared" ref="V79" si="117">MIN(IF(IF($AA$3=2,AND(E79=1,G79=1,L79=1,L82=1,M79=1,U79="IBU"),AND(E79=1,G79=1,L79=1,L82=1,M79=1)),T79,0),I79)</f>
        <v>0</v>
      </c>
      <c r="W79" s="26"/>
      <c r="X79" s="26"/>
      <c r="Y79" s="26"/>
      <c r="Z79" s="26"/>
      <c r="AA79" s="26"/>
      <c r="AB79" s="33"/>
      <c r="AD79" s="44">
        <v>1987</v>
      </c>
      <c r="AE79" s="45">
        <f>VLOOKUP(AD79,Flags!$A$13:$B$95,2,FALSE)</f>
        <v>4</v>
      </c>
      <c r="AF79" s="44">
        <f t="shared" ref="AF79:AF94" si="118">SUMIF($B$14:$B$742,$AD79,$I$14:$I$742)</f>
        <v>384.23917097107437</v>
      </c>
      <c r="AG79" s="44">
        <f t="shared" ref="AG79:AG94" si="119">SUMIF($B$14:$B$742,$AD79,$T$14:$T$742)</f>
        <v>639.51027884995642</v>
      </c>
      <c r="AH79" s="44">
        <f t="shared" ref="AH79:AH94" si="120">SUMIF($B$14:$B$742,$AD79,$V$14:$V$742)</f>
        <v>345.5484845475126</v>
      </c>
      <c r="AI79" s="44">
        <f t="shared" ref="AI79:AI94" si="121">SUMIF($B$14:$B$742,$AD79,$X$14:$X$742)</f>
        <v>22763.141031120867</v>
      </c>
      <c r="AJ79" s="44">
        <f t="shared" ref="AJ79:AJ94" si="122">SUMIF($B$14:$B$742,$AD79,$Z$14:$Z$742)</f>
        <v>559.00714303008783</v>
      </c>
      <c r="AK79" s="44">
        <f t="shared" si="115"/>
        <v>448.99643046229335</v>
      </c>
      <c r="AL79" s="44">
        <f t="shared" ref="AL79:AL94" si="123">MIN(AH79,AK79)</f>
        <v>345.5484845475126</v>
      </c>
    </row>
    <row r="80" spans="1:38" x14ac:dyDescent="0.3">
      <c r="A80" s="32">
        <f>VLOOKUP(YEAR(C80),Flags!$A$13:$B$95,2,FALSE)</f>
        <v>5</v>
      </c>
      <c r="B80" s="24">
        <f t="shared" si="116"/>
        <v>1929</v>
      </c>
      <c r="C80" s="25">
        <v>10805</v>
      </c>
      <c r="D80" s="26">
        <f>VLOOKUP($C80,COS!$B$8:$H$991,3,FALSE)</f>
        <v>12141.1708984375</v>
      </c>
      <c r="E80" s="24">
        <f>IF(D80&gt;=IF(MONTH($C80)=4,$C$3,IF(MONTH($C80)=5,$C$4,IF(MONTH($C80)=6,$C$5,IF(MONTH($C80)=7,$C$6,"ERROR")))),1,0)</f>
        <v>1</v>
      </c>
      <c r="F80" s="26">
        <f>VLOOKUP($C80,COS!$B$8:$H$991,7,FALSE)</f>
        <v>55.623313903808594</v>
      </c>
      <c r="G80" s="24">
        <f>IF(F80&lt;=IF(MONTH($C80)=4,$F$3,IF(MONTH($C80)=5,$F$4,IF(MONTH($C80)=6,$F$5,IF(MONTH($C80)=7,$F$6,"ERROR")))),1,0)</f>
        <v>0</v>
      </c>
      <c r="H80" s="26">
        <f>IF(J80=1,D80-$C$6,0)</f>
        <v>0</v>
      </c>
      <c r="I80" s="26">
        <f t="shared" si="17"/>
        <v>0</v>
      </c>
      <c r="J80" s="24">
        <f t="shared" si="106"/>
        <v>0</v>
      </c>
      <c r="K80" s="26">
        <f>VLOOKUP($C80,COS!$B$8:$H$991,2,FALSE)</f>
        <v>1718.207763671875</v>
      </c>
      <c r="L80" s="24">
        <f t="shared" si="19"/>
        <v>1</v>
      </c>
      <c r="M80" s="24">
        <f t="shared" si="20"/>
        <v>1</v>
      </c>
      <c r="N80" s="26">
        <f>VLOOKUP($C80,COS!$B$8:$H$991,5,FALSE)</f>
        <v>382.06051635742188</v>
      </c>
      <c r="O80" s="26">
        <f t="shared" si="109"/>
        <v>23.491985468588584</v>
      </c>
      <c r="P80" s="26">
        <f>VLOOKUP($C80,COS!$B$8:$H$991,6,FALSE)</f>
        <v>2281.4833984375</v>
      </c>
      <c r="Q80" s="26">
        <f t="shared" si="110"/>
        <v>140.28294615185951</v>
      </c>
      <c r="R80" s="26">
        <f>MIN(IF(MONTH($C80)=4,$S$3,IF(MONTH($C80)=5,$S$4,IF(MONTH($C80)=6,$S$5,IF(MONTH($C80)=7,$S$6,"ERROR")))),MAX(VLOOKUP($C80,COS!$B$8:$K$991,10,FALSE)-IF(MONTH($C80)=4,$Y$3,IF(MONTH($C80)=5,$Y$4,IF(MONTH($C80)=6,$Y$5,IF(MONTH($C80)=7,$Y$6,"ERROR")))),0),MAX(VLOOKUP($C80,COS!$B$8:$K$991,9,FALSE)-IF(MONTH($C80)=4,$V$3,IF(MONTH($C80)=5,$V$4,IF(MONTH($C80)=6,$V$5,IF(MONTH($C80)=7,$V$6,"ERROR"))))-VLOOKUP($C80,COS!$B$8:$K$991,6,FALSE)/2,0))</f>
        <v>1500</v>
      </c>
      <c r="S80" s="26">
        <f t="shared" si="111"/>
        <v>92.231404958677686</v>
      </c>
      <c r="T80" s="26">
        <f t="shared" si="112"/>
        <v>174.11887076890173</v>
      </c>
      <c r="U80" s="26" t="str">
        <f>IF(VLOOKUP($C80,COS!$B$8:$I$991,8,FALSE)=1,"UWFE","IBU")</f>
        <v>IBU</v>
      </c>
      <c r="V80" s="26">
        <f t="shared" ref="V80" si="124">MIN(IF(IF($AA$3=2,AND(E80=1,G80=1,L80=1,L82=1,M80=1,U80="IBU"),AND(E80=1,G80=1,L80=1,L82=1,M80=1)),T80,0),I80)</f>
        <v>0</v>
      </c>
      <c r="W80" s="26"/>
      <c r="X80" s="26"/>
      <c r="Y80" s="26"/>
      <c r="Z80" s="26"/>
      <c r="AA80" s="26"/>
      <c r="AB80" s="33"/>
      <c r="AD80" s="44">
        <v>1988</v>
      </c>
      <c r="AE80" s="45">
        <f>VLOOKUP(AD80,Flags!$A$13:$B$95,2,FALSE)</f>
        <v>5</v>
      </c>
      <c r="AF80" s="44">
        <f t="shared" si="118"/>
        <v>110.63555559142561</v>
      </c>
      <c r="AG80" s="44">
        <f t="shared" si="119"/>
        <v>562.63756641230316</v>
      </c>
      <c r="AH80" s="44">
        <f t="shared" si="120"/>
        <v>110.63555559142561</v>
      </c>
      <c r="AI80" s="44">
        <f t="shared" si="121"/>
        <v>22845.549147404439</v>
      </c>
      <c r="AJ80" s="44">
        <f t="shared" si="122"/>
        <v>534.81629519628098</v>
      </c>
      <c r="AK80" s="44">
        <f t="shared" si="115"/>
        <v>416.2676817536157</v>
      </c>
      <c r="AL80" s="44">
        <f t="shared" si="123"/>
        <v>110.63555559142561</v>
      </c>
    </row>
    <row r="81" spans="1:38" x14ac:dyDescent="0.3">
      <c r="A81" s="32">
        <f>VLOOKUP(YEAR(C81),Flags!$A$13:$B$95,2,FALSE)</f>
        <v>5</v>
      </c>
      <c r="B81" s="24">
        <f t="shared" si="116"/>
        <v>1929</v>
      </c>
      <c r="C81" s="25">
        <v>10836</v>
      </c>
      <c r="D81" s="26"/>
      <c r="E81" s="24"/>
      <c r="F81" s="26"/>
      <c r="G81" s="24"/>
      <c r="H81" s="24"/>
      <c r="I81" s="26"/>
      <c r="J81" s="24"/>
      <c r="K81" s="26"/>
      <c r="L81" s="24"/>
      <c r="M81" s="24"/>
      <c r="N81" s="26"/>
      <c r="O81" s="26"/>
      <c r="P81" s="26"/>
      <c r="Q81" s="26"/>
      <c r="R81" s="26"/>
      <c r="S81" s="26"/>
      <c r="T81" s="26"/>
      <c r="U81" s="26"/>
      <c r="V81" s="26"/>
      <c r="W81" s="26">
        <f>MAX($C$7-VLOOKUP($C81,COS!$B$8:$H$991,3,FALSE),0)</f>
        <v>92112.06689453125</v>
      </c>
      <c r="X81" s="26">
        <f t="shared" si="31"/>
        <v>5663.75022888688</v>
      </c>
      <c r="Y81" s="26">
        <f>VLOOKUP($C81,COS!$B$8:$H$991,4,FALSE)</f>
        <v>2623.390625</v>
      </c>
      <c r="Z81" s="26">
        <f t="shared" si="32"/>
        <v>161.3060020661157</v>
      </c>
      <c r="AA81" s="26">
        <f t="shared" ref="AA81:AA85" si="125">MIN(W81,Y81)</f>
        <v>2623.390625</v>
      </c>
      <c r="AB81" s="33">
        <f t="shared" ref="AB81" si="126">AA81*DAY($C81)*86400/43560/1000*IF(MONTH($C81)=8,$P$3,IF(MONTH($C81)=9,$P$4,IF(MONTH($C81)=10,$P$5,IF(MONTH($C81)=11,$P$6,IF(MONTH($C81)=12,$P$7,NA())))))</f>
        <v>161.3060020661157</v>
      </c>
      <c r="AD81" s="44">
        <v>1989</v>
      </c>
      <c r="AE81" s="45">
        <f>VLOOKUP(AD81,Flags!$A$13:$B$95,2,FALSE)</f>
        <v>4</v>
      </c>
      <c r="AF81" s="44">
        <f t="shared" si="118"/>
        <v>354.86444473140494</v>
      </c>
      <c r="AG81" s="44">
        <f t="shared" si="119"/>
        <v>654.21735975029048</v>
      </c>
      <c r="AH81" s="44">
        <f t="shared" si="120"/>
        <v>283.05427601207384</v>
      </c>
      <c r="AI81" s="44">
        <f t="shared" si="121"/>
        <v>22908.850762848659</v>
      </c>
      <c r="AJ81" s="44">
        <f t="shared" si="122"/>
        <v>434.55095263268333</v>
      </c>
      <c r="AK81" s="44">
        <f t="shared" si="115"/>
        <v>264.68922750677945</v>
      </c>
      <c r="AL81" s="44">
        <f t="shared" si="123"/>
        <v>264.68922750677945</v>
      </c>
    </row>
    <row r="82" spans="1:38" x14ac:dyDescent="0.3">
      <c r="A82" s="32">
        <f>VLOOKUP(YEAR(C82),Flags!$A$13:$B$95,2,FALSE)</f>
        <v>5</v>
      </c>
      <c r="B82" s="24">
        <f t="shared" si="116"/>
        <v>1929</v>
      </c>
      <c r="C82" s="25">
        <v>10866</v>
      </c>
      <c r="D82" s="26"/>
      <c r="E82" s="24"/>
      <c r="F82" s="26"/>
      <c r="G82" s="24"/>
      <c r="H82" s="24"/>
      <c r="I82" s="26"/>
      <c r="J82" s="24"/>
      <c r="K82" s="26">
        <f>VLOOKUP($C82,COS!$B$8:$H$991,2,FALSE)</f>
        <v>1326.92724609375</v>
      </c>
      <c r="L82" s="24">
        <f t="shared" ref="L82" si="127">IF(AND(K82&gt;$I$7,K82&lt;$I$8),1,0)</f>
        <v>1</v>
      </c>
      <c r="M82" s="24"/>
      <c r="N82" s="26"/>
      <c r="O82" s="26"/>
      <c r="P82" s="26"/>
      <c r="Q82" s="26"/>
      <c r="R82" s="26"/>
      <c r="S82" s="26"/>
      <c r="T82" s="26"/>
      <c r="U82" s="26"/>
      <c r="V82" s="26"/>
      <c r="W82" s="26">
        <f>MAX($C$8-VLOOKUP($C82,COS!$B$8:$H$991,3,FALSE),0)</f>
        <v>94693.32568359375</v>
      </c>
      <c r="X82" s="26">
        <f t="shared" si="31"/>
        <v>5634.644172908057</v>
      </c>
      <c r="Y82" s="26">
        <f>VLOOKUP($C82,COS!$B$8:$H$991,4,FALSE)</f>
        <v>1966.5052490234375</v>
      </c>
      <c r="Z82" s="26">
        <f t="shared" si="32"/>
        <v>117.01518837164257</v>
      </c>
      <c r="AA82" s="26">
        <f t="shared" si="125"/>
        <v>1966.5052490234375</v>
      </c>
      <c r="AB82" s="33">
        <f t="shared" si="34"/>
        <v>117.01518837164257</v>
      </c>
      <c r="AD82" s="44">
        <v>1990</v>
      </c>
      <c r="AE82" s="45">
        <f>VLOOKUP(AD82,Flags!$A$13:$B$95,2,FALSE)</f>
        <v>5</v>
      </c>
      <c r="AF82" s="44">
        <f t="shared" si="118"/>
        <v>0</v>
      </c>
      <c r="AG82" s="44">
        <f t="shared" si="119"/>
        <v>508.50892750385378</v>
      </c>
      <c r="AH82" s="44">
        <f t="shared" si="120"/>
        <v>0</v>
      </c>
      <c r="AI82" s="44">
        <f t="shared" si="121"/>
        <v>22814.627935498447</v>
      </c>
      <c r="AJ82" s="44">
        <f t="shared" si="122"/>
        <v>684.5884151439825</v>
      </c>
      <c r="AK82" s="44">
        <f t="shared" si="115"/>
        <v>450.5600010491994</v>
      </c>
      <c r="AL82" s="44">
        <f t="shared" si="123"/>
        <v>0</v>
      </c>
    </row>
    <row r="83" spans="1:38" x14ac:dyDescent="0.3">
      <c r="A83" s="32">
        <f>VLOOKUP(YEAR(C83),Flags!$A$13:$B$95,2,FALSE)</f>
        <v>5</v>
      </c>
      <c r="B83" s="24">
        <f t="shared" si="116"/>
        <v>1929</v>
      </c>
      <c r="C83" s="25">
        <v>10897</v>
      </c>
      <c r="D83" s="26"/>
      <c r="E83" s="24"/>
      <c r="F83" s="26"/>
      <c r="G83" s="26"/>
      <c r="H83" s="26"/>
      <c r="I83" s="26"/>
      <c r="J83" s="26"/>
      <c r="K83" s="26"/>
      <c r="L83" s="24"/>
      <c r="M83" s="24"/>
      <c r="N83" s="26"/>
      <c r="O83" s="26"/>
      <c r="P83" s="26"/>
      <c r="Q83" s="26"/>
      <c r="R83" s="26"/>
      <c r="S83" s="26"/>
      <c r="T83" s="26"/>
      <c r="U83" s="26"/>
      <c r="V83" s="26"/>
      <c r="W83" s="26">
        <f>MAX($C$9-VLOOKUP($C83,COS!$B$8:$H$991,3,FALSE),0)</f>
        <v>94798.603515625</v>
      </c>
      <c r="X83" s="26">
        <f t="shared" si="31"/>
        <v>5828.9389269111571</v>
      </c>
      <c r="Y83" s="26">
        <f>VLOOKUP($C83,COS!$B$8:$H$991,4,FALSE)</f>
        <v>1369.061767578125</v>
      </c>
      <c r="Z83" s="26">
        <f t="shared" si="32"/>
        <v>84.180326865960737</v>
      </c>
      <c r="AA83" s="26">
        <f t="shared" si="125"/>
        <v>1369.061767578125</v>
      </c>
      <c r="AB83" s="33">
        <f t="shared" si="34"/>
        <v>84.180326865960737</v>
      </c>
      <c r="AD83" s="44">
        <v>1991</v>
      </c>
      <c r="AE83" s="45">
        <f>VLOOKUP(AD83,Flags!$A$13:$B$95,2,FALSE)</f>
        <v>5</v>
      </c>
      <c r="AF83" s="44">
        <f t="shared" si="118"/>
        <v>45.886084710743802</v>
      </c>
      <c r="AG83" s="44">
        <f t="shared" si="119"/>
        <v>601.89792775556077</v>
      </c>
      <c r="AH83" s="44">
        <f t="shared" si="120"/>
        <v>0</v>
      </c>
      <c r="AI83" s="44">
        <f t="shared" si="121"/>
        <v>22884.804520273759</v>
      </c>
      <c r="AJ83" s="44">
        <f t="shared" si="122"/>
        <v>691.69384434723656</v>
      </c>
      <c r="AK83" s="44">
        <f t="shared" si="115"/>
        <v>455.63925789320768</v>
      </c>
      <c r="AL83" s="44">
        <f t="shared" si="123"/>
        <v>0</v>
      </c>
    </row>
    <row r="84" spans="1:38" x14ac:dyDescent="0.3">
      <c r="A84" s="32">
        <f>VLOOKUP(YEAR(C84),Flags!$A$13:$B$95,2,FALSE)</f>
        <v>5</v>
      </c>
      <c r="B84" s="24">
        <f t="shared" si="116"/>
        <v>1929</v>
      </c>
      <c r="C84" s="25">
        <v>10927</v>
      </c>
      <c r="D84" s="26"/>
      <c r="E84" s="24"/>
      <c r="F84" s="26"/>
      <c r="G84" s="26"/>
      <c r="H84" s="26"/>
      <c r="I84" s="26"/>
      <c r="J84" s="26"/>
      <c r="K84" s="26"/>
      <c r="L84" s="24"/>
      <c r="M84" s="24"/>
      <c r="N84" s="26"/>
      <c r="O84" s="26"/>
      <c r="P84" s="26"/>
      <c r="Q84" s="26"/>
      <c r="R84" s="26"/>
      <c r="S84" s="26"/>
      <c r="T84" s="26"/>
      <c r="U84" s="26"/>
      <c r="V84" s="26"/>
      <c r="W84" s="26">
        <f>MAX($C$10-VLOOKUP($C84,COS!$B$8:$H$991,3,FALSE),0)</f>
        <v>95721.40087890625</v>
      </c>
      <c r="X84" s="26">
        <f t="shared" si="31"/>
        <v>5695.8188952737601</v>
      </c>
      <c r="Y84" s="26">
        <f>VLOOKUP($C84,COS!$B$8:$H$991,4,FALSE)</f>
        <v>1476.7601318359375</v>
      </c>
      <c r="Z84" s="26">
        <f t="shared" si="32"/>
        <v>87.873330158832644</v>
      </c>
      <c r="AA84" s="26">
        <f t="shared" si="125"/>
        <v>1476.7601318359375</v>
      </c>
      <c r="AB84" s="33">
        <f t="shared" si="34"/>
        <v>43.936665079416322</v>
      </c>
      <c r="AD84" s="43">
        <v>1992</v>
      </c>
      <c r="AE84" s="1">
        <f>VLOOKUP(AD84,Flags!$A$13:$B$95,2,FALSE)</f>
        <v>5</v>
      </c>
      <c r="AF84" s="43">
        <f t="shared" si="118"/>
        <v>184.40940534607438</v>
      </c>
      <c r="AG84" s="43">
        <f t="shared" si="119"/>
        <v>595.25417847373262</v>
      </c>
      <c r="AH84" s="43">
        <f t="shared" si="120"/>
        <v>184.40940534607438</v>
      </c>
      <c r="AI84" s="43">
        <f t="shared" si="121"/>
        <v>22868.97411221591</v>
      </c>
      <c r="AJ84" s="43">
        <f t="shared" si="122"/>
        <v>529.46044728176651</v>
      </c>
      <c r="AK84" s="43">
        <f t="shared" si="115"/>
        <v>374.20979137073863</v>
      </c>
      <c r="AL84" s="43">
        <f t="shared" si="123"/>
        <v>184.40940534607438</v>
      </c>
    </row>
    <row r="85" spans="1:38" x14ac:dyDescent="0.3">
      <c r="A85" s="34">
        <f>VLOOKUP(YEAR(C85),Flags!$A$13:$B$95,2,FALSE)</f>
        <v>5</v>
      </c>
      <c r="B85" s="35">
        <f t="shared" si="116"/>
        <v>1929</v>
      </c>
      <c r="C85" s="36">
        <v>10958</v>
      </c>
      <c r="D85" s="37"/>
      <c r="E85" s="35"/>
      <c r="F85" s="37"/>
      <c r="G85" s="37"/>
      <c r="H85" s="37"/>
      <c r="I85" s="37"/>
      <c r="J85" s="37"/>
      <c r="K85" s="37"/>
      <c r="L85" s="35"/>
      <c r="M85" s="35"/>
      <c r="N85" s="37"/>
      <c r="O85" s="37"/>
      <c r="P85" s="37"/>
      <c r="Q85" s="37"/>
      <c r="R85" s="37"/>
      <c r="S85" s="37"/>
      <c r="T85" s="37"/>
      <c r="U85" s="37"/>
      <c r="V85" s="37"/>
      <c r="W85" s="37">
        <f>MAX($C$11-VLOOKUP($C85,COS!$B$8:$H$991,3,FALSE),0)</f>
        <v>0</v>
      </c>
      <c r="X85" s="37">
        <f t="shared" si="31"/>
        <v>0</v>
      </c>
      <c r="Y85" s="37">
        <f>VLOOKUP($C85,COS!$B$8:$H$991,4,FALSE)</f>
        <v>1577.152099609375</v>
      </c>
      <c r="Z85" s="37">
        <f t="shared" si="32"/>
        <v>96.975302653667356</v>
      </c>
      <c r="AA85" s="37">
        <f t="shared" si="125"/>
        <v>0</v>
      </c>
      <c r="AB85" s="38">
        <f t="shared" si="34"/>
        <v>0</v>
      </c>
      <c r="AD85" s="43">
        <v>1993</v>
      </c>
      <c r="AE85" s="1">
        <f>VLOOKUP(AD85,Flags!$A$13:$B$95,2,FALSE)</f>
        <v>2</v>
      </c>
      <c r="AF85" s="43">
        <f t="shared" si="118"/>
        <v>368.51700348657027</v>
      </c>
      <c r="AG85" s="43">
        <f t="shared" si="119"/>
        <v>678.65893496174454</v>
      </c>
      <c r="AH85" s="43">
        <f t="shared" si="120"/>
        <v>0</v>
      </c>
      <c r="AI85" s="43">
        <f t="shared" si="121"/>
        <v>22047.888796487605</v>
      </c>
      <c r="AJ85" s="43">
        <f t="shared" si="122"/>
        <v>150.01719971711969</v>
      </c>
      <c r="AK85" s="43">
        <f t="shared" si="115"/>
        <v>97.969339508813277</v>
      </c>
      <c r="AL85" s="43">
        <f t="shared" si="123"/>
        <v>0</v>
      </c>
    </row>
    <row r="86" spans="1:38" x14ac:dyDescent="0.3">
      <c r="A86" s="27">
        <f>VLOOKUP(YEAR(C86),Flags!$A$13:$B$95,2,FALSE)</f>
        <v>4</v>
      </c>
      <c r="B86" s="28">
        <f t="shared" si="116"/>
        <v>1930</v>
      </c>
      <c r="C86" s="29">
        <v>11078</v>
      </c>
      <c r="D86" s="30">
        <f>VLOOKUP($C86,COS!$B$8:$H$991,3,FALSE)</f>
        <v>3250</v>
      </c>
      <c r="E86" s="28">
        <f>IF(D86&gt;=IF(MONTH($C86)=4,$C$3,IF(MONTH($C86)=5,$C$4,IF(MONTH($C86)=6,$C$5,IF(MONTH($C86)=7,$C$6,"ERROR")))),1,0)</f>
        <v>0</v>
      </c>
      <c r="F86" s="30">
        <f>VLOOKUP($C86,COS!$B$8:$H$991,7,FALSE)</f>
        <v>51.239517211914063</v>
      </c>
      <c r="G86" s="28">
        <f>IF(F86&lt;=IF(MONTH($C86)=4,$F$3,IF(MONTH($C86)=5,$F$4,IF(MONTH($C86)=6,$F$5,IF(MONTH($C86)=7,$F$6,"ERROR")))),1,0)</f>
        <v>1</v>
      </c>
      <c r="H86" s="30">
        <f>IF(J86=1,D86-$C$3,0)</f>
        <v>0</v>
      </c>
      <c r="I86" s="30">
        <f t="shared" si="17"/>
        <v>0</v>
      </c>
      <c r="J86" s="28">
        <f t="shared" ref="J86:J89" si="128">IF(AND(E86=1,G86=1),1,0)</f>
        <v>0</v>
      </c>
      <c r="K86" s="30">
        <f>VLOOKUP($C86,COS!$B$8:$H$991,2,FALSE)</f>
        <v>2916.82275390625</v>
      </c>
      <c r="L86" s="28">
        <f t="shared" ref="L86:L143" si="129">IF(K86&lt;=IF(MONTH($C86)=4,$I$3,IF(MONTH($C86)=5,$I$4,IF(MONTH($C86)=6,$I$5,IF(MONTH($C86)=7,$I$6,"ERROR")))),1,0)</f>
        <v>1</v>
      </c>
      <c r="M86" s="28">
        <f t="shared" ref="M86:M143" si="130">VLOOKUP($A86,$L$3:$M$7,2,FALSE)</f>
        <v>1</v>
      </c>
      <c r="N86" s="30">
        <f>VLOOKUP($C86,COS!$B$8:$H$991,5,FALSE)</f>
        <v>44.508659362792969</v>
      </c>
      <c r="O86" s="30">
        <f t="shared" ref="O86:O89" si="131">N86*DAY($C86)*86400/43560/1000</f>
        <v>2.6484491521661928</v>
      </c>
      <c r="P86" s="30">
        <f>VLOOKUP($C86,COS!$B$8:$H$991,6,FALSE)</f>
        <v>392.62295532226563</v>
      </c>
      <c r="Q86" s="30">
        <f t="shared" ref="Q86:Q89" si="132">P86*DAY($C86)*86400/43560/1000</f>
        <v>23.362688250581094</v>
      </c>
      <c r="R86" s="30">
        <f>MIN(IF(MONTH($C86)=4,$S$3,IF(MONTH($C86)=5,$S$4,IF(MONTH($C86)=6,$S$5,IF(MONTH($C86)=7,$S$6,"ERROR")))),MAX(VLOOKUP($C86,COS!$B$8:$K$991,10,FALSE)-IF(MONTH($C86)=4,$Y$3,IF(MONTH($C86)=5,$Y$4,IF(MONTH($C86)=6,$Y$5,IF(MONTH($C86)=7,$Y$6,"ERROR")))),0),MAX(VLOOKUP($C86,COS!$B$8:$K$991,9,FALSE)-IF(MONTH($C86)=4,$V$3,IF(MONTH($C86)=5,$V$4,IF(MONTH($C86)=6,$V$5,IF(MONTH($C86)=7,$V$6,"ERROR"))))-VLOOKUP($C86,COS!$B$8:$K$991,6,FALSE)/2,0))</f>
        <v>1500</v>
      </c>
      <c r="S86" s="30">
        <f t="shared" ref="S86:S89" si="133">R86*DAY($C86)*86400/43560/1000</f>
        <v>89.256198347107429</v>
      </c>
      <c r="T86" s="30">
        <f t="shared" ref="T86:T89" si="134">(O86+Q86)/2+S86</f>
        <v>102.26176704848108</v>
      </c>
      <c r="U86" s="30" t="str">
        <f>IF(VLOOKUP($C86,COS!$B$8:$I$991,8,FALSE)=1,"UWFE","IBU")</f>
        <v>UWFE</v>
      </c>
      <c r="V86" s="30">
        <f t="shared" ref="V86" si="135">MIN(IF(IF($AA$3=2,AND(E86=1,G86=1,L86=1,L91=1,M86=1,U86="IBU"),AND(E86=1,G86=1,L86=1,L91=1,M86=1)),T86,0),I86)</f>
        <v>0</v>
      </c>
      <c r="W86" s="30"/>
      <c r="X86" s="30"/>
      <c r="Y86" s="30"/>
      <c r="Z86" s="30"/>
      <c r="AA86" s="30"/>
      <c r="AB86" s="31"/>
      <c r="AD86" s="43">
        <v>1994</v>
      </c>
      <c r="AE86" s="1">
        <f>VLOOKUP(AD86,Flags!$A$13:$B$95,2,FALSE)</f>
        <v>5</v>
      </c>
      <c r="AF86" s="43">
        <f t="shared" si="118"/>
        <v>21.768285123966944</v>
      </c>
      <c r="AG86" s="43">
        <f t="shared" si="119"/>
        <v>561.5149479334807</v>
      </c>
      <c r="AH86" s="43">
        <f t="shared" si="120"/>
        <v>21.768285123966944</v>
      </c>
      <c r="AI86" s="43">
        <f t="shared" si="121"/>
        <v>22936.905428073344</v>
      </c>
      <c r="AJ86" s="43">
        <f t="shared" si="122"/>
        <v>521.34395168840388</v>
      </c>
      <c r="AK86" s="43">
        <f t="shared" si="115"/>
        <v>366.65812161027895</v>
      </c>
      <c r="AL86" s="43">
        <f t="shared" si="123"/>
        <v>21.768285123966944</v>
      </c>
    </row>
    <row r="87" spans="1:38" x14ac:dyDescent="0.3">
      <c r="A87" s="32">
        <f>VLOOKUP(YEAR(C87),Flags!$A$13:$B$95,2,FALSE)</f>
        <v>4</v>
      </c>
      <c r="B87" s="24">
        <f t="shared" si="116"/>
        <v>1930</v>
      </c>
      <c r="C87" s="25">
        <v>11109</v>
      </c>
      <c r="D87" s="26">
        <f>VLOOKUP($C87,COS!$B$8:$H$991,3,FALSE)</f>
        <v>5412.98681640625</v>
      </c>
      <c r="E87" s="24">
        <f>IF(D87&gt;=IF(MONTH($C87)=4,$C$3,IF(MONTH($C87)=5,$C$4,IF(MONTH($C87)=6,$C$5,IF(MONTH($C87)=7,$C$6,"ERROR")))),1,0)</f>
        <v>0</v>
      </c>
      <c r="F87" s="26">
        <f>VLOOKUP($C87,COS!$B$8:$H$991,7,FALSE)</f>
        <v>51.472103118896484</v>
      </c>
      <c r="G87" s="24">
        <f>IF(F87&lt;=IF(MONTH($C87)=4,$F$3,IF(MONTH($C87)=5,$F$4,IF(MONTH($C87)=6,$F$5,IF(MONTH($C87)=7,$F$6,"ERROR")))),1,0)</f>
        <v>1</v>
      </c>
      <c r="H87" s="26">
        <f>IF(J87=1,D87-$C$4,0)</f>
        <v>0</v>
      </c>
      <c r="I87" s="26">
        <f t="shared" ref="I87:I150" si="136">H87*DAY($C87)*86400/43560/1000</f>
        <v>0</v>
      </c>
      <c r="J87" s="24">
        <f t="shared" si="128"/>
        <v>0</v>
      </c>
      <c r="K87" s="26">
        <f>VLOOKUP($C87,COS!$B$8:$H$991,2,FALSE)</f>
        <v>2856.510986328125</v>
      </c>
      <c r="L87" s="24">
        <f t="shared" si="129"/>
        <v>1</v>
      </c>
      <c r="M87" s="24">
        <f t="shared" si="130"/>
        <v>1</v>
      </c>
      <c r="N87" s="26">
        <f>VLOOKUP($C87,COS!$B$8:$H$991,5,FALSE)</f>
        <v>14.996692657470703</v>
      </c>
      <c r="O87" s="26">
        <f t="shared" si="131"/>
        <v>0.92211068902133908</v>
      </c>
      <c r="P87" s="26">
        <f>VLOOKUP($C87,COS!$B$8:$H$991,6,FALSE)</f>
        <v>2146.524658203125</v>
      </c>
      <c r="Q87" s="26">
        <f t="shared" si="132"/>
        <v>131.98465666967974</v>
      </c>
      <c r="R87" s="26">
        <f>MIN(IF(MONTH($C87)=4,$S$3,IF(MONTH($C87)=5,$S$4,IF(MONTH($C87)=6,$S$5,IF(MONTH($C87)=7,$S$6,"ERROR")))),MAX(VLOOKUP($C87,COS!$B$8:$K$991,10,FALSE)-IF(MONTH($C87)=4,$Y$3,IF(MONTH($C87)=5,$Y$4,IF(MONTH($C87)=6,$Y$5,IF(MONTH($C87)=7,$Y$6,"ERROR")))),0),MAX(VLOOKUP($C87,COS!$B$8:$K$991,9,FALSE)-IF(MONTH($C87)=4,$V$3,IF(MONTH($C87)=5,$V$4,IF(MONTH($C87)=6,$V$5,IF(MONTH($C87)=7,$V$6,"ERROR"))))-VLOOKUP($C87,COS!$B$8:$K$991,6,FALSE)/2,0))</f>
        <v>1500</v>
      </c>
      <c r="S87" s="26">
        <f t="shared" si="133"/>
        <v>92.231404958677686</v>
      </c>
      <c r="T87" s="26">
        <f t="shared" si="134"/>
        <v>158.68478863802824</v>
      </c>
      <c r="U87" s="26" t="str">
        <f>IF(VLOOKUP($C87,COS!$B$8:$I$991,8,FALSE)=1,"UWFE","IBU")</f>
        <v>UWFE</v>
      </c>
      <c r="V87" s="26">
        <f t="shared" ref="V87" si="137">MIN(IF(IF($AA$3=2,AND(E87=1,G87=1,L87=1,L91=1,M87=1,U87="IBU"),AND(E87=1,G87=1,L87=1,L91=1,M87=1)),T87,0),I87)</f>
        <v>0</v>
      </c>
      <c r="W87" s="26"/>
      <c r="X87" s="26"/>
      <c r="Y87" s="26"/>
      <c r="Z87" s="26"/>
      <c r="AA87" s="26"/>
      <c r="AB87" s="33"/>
      <c r="AD87" s="43">
        <v>1995</v>
      </c>
      <c r="AE87" s="1">
        <f>VLOOKUP(AD87,Flags!$A$13:$B$95,2,FALSE)</f>
        <v>1</v>
      </c>
      <c r="AF87" s="43">
        <f t="shared" si="118"/>
        <v>374.49814307851238</v>
      </c>
      <c r="AG87" s="43">
        <f t="shared" si="119"/>
        <v>676.62732833483983</v>
      </c>
      <c r="AH87" s="43">
        <f t="shared" si="120"/>
        <v>0</v>
      </c>
      <c r="AI87" s="43">
        <f t="shared" si="121"/>
        <v>21622.179925103308</v>
      </c>
      <c r="AJ87" s="43">
        <f t="shared" si="122"/>
        <v>112.67233340428881</v>
      </c>
      <c r="AK87" s="43">
        <f t="shared" si="115"/>
        <v>60.09638307177331</v>
      </c>
      <c r="AL87" s="43">
        <f t="shared" si="123"/>
        <v>0</v>
      </c>
    </row>
    <row r="88" spans="1:38" x14ac:dyDescent="0.3">
      <c r="A88" s="32">
        <f>VLOOKUP(YEAR(C88),Flags!$A$13:$B$95,2,FALSE)</f>
        <v>4</v>
      </c>
      <c r="B88" s="24">
        <f t="shared" si="116"/>
        <v>1930</v>
      </c>
      <c r="C88" s="25">
        <v>11139</v>
      </c>
      <c r="D88" s="26">
        <f>VLOOKUP($C88,COS!$B$8:$H$991,3,FALSE)</f>
        <v>8881.8974609375</v>
      </c>
      <c r="E88" s="24">
        <f>IF(D88&gt;=IF(MONTH($C88)=4,$C$3,IF(MONTH($C88)=5,$C$4,IF(MONTH($C88)=6,$C$5,IF(MONTH($C88)=7,$C$6,"ERROR")))),1,0)</f>
        <v>0</v>
      </c>
      <c r="F88" s="26">
        <f>VLOOKUP($C88,COS!$B$8:$H$991,7,FALSE)</f>
        <v>52.899250030517578</v>
      </c>
      <c r="G88" s="24">
        <f>IF(F88&lt;=IF(MONTH($C88)=4,$F$3,IF(MONTH($C88)=5,$F$4,IF(MONTH($C88)=6,$F$5,IF(MONTH($C88)=7,$F$6,"ERROR")))),1,0)</f>
        <v>1</v>
      </c>
      <c r="H88" s="26">
        <f>IF(J88=1,D88-$C$5,0)</f>
        <v>0</v>
      </c>
      <c r="I88" s="26">
        <f t="shared" si="136"/>
        <v>0</v>
      </c>
      <c r="J88" s="24">
        <f t="shared" si="128"/>
        <v>0</v>
      </c>
      <c r="K88" s="26">
        <f>VLOOKUP($C88,COS!$B$8:$H$991,2,FALSE)</f>
        <v>2536.044189453125</v>
      </c>
      <c r="L88" s="24">
        <f t="shared" si="129"/>
        <v>1</v>
      </c>
      <c r="M88" s="24">
        <f t="shared" si="130"/>
        <v>1</v>
      </c>
      <c r="N88" s="26">
        <f>VLOOKUP($C88,COS!$B$8:$H$991,5,FALSE)</f>
        <v>199.59013366699219</v>
      </c>
      <c r="O88" s="26">
        <f t="shared" si="131"/>
        <v>11.876437705804493</v>
      </c>
      <c r="P88" s="26">
        <f>VLOOKUP($C88,COS!$B$8:$H$991,6,FALSE)</f>
        <v>2714.961669921875</v>
      </c>
      <c r="Q88" s="26">
        <f t="shared" si="132"/>
        <v>161.55143821022727</v>
      </c>
      <c r="R88" s="26">
        <f>MIN(IF(MONTH($C88)=4,$S$3,IF(MONTH($C88)=5,$S$4,IF(MONTH($C88)=6,$S$5,IF(MONTH($C88)=7,$S$6,"ERROR")))),MAX(VLOOKUP($C88,COS!$B$8:$K$991,10,FALSE)-IF(MONTH($C88)=4,$Y$3,IF(MONTH($C88)=5,$Y$4,IF(MONTH($C88)=6,$Y$5,IF(MONTH($C88)=7,$Y$6,"ERROR")))),0),MAX(VLOOKUP($C88,COS!$B$8:$K$991,9,FALSE)-IF(MONTH($C88)=4,$V$3,IF(MONTH($C88)=5,$V$4,IF(MONTH($C88)=6,$V$5,IF(MONTH($C88)=7,$V$6,"ERROR"))))-VLOOKUP($C88,COS!$B$8:$K$991,6,FALSE)/2,0))</f>
        <v>1500</v>
      </c>
      <c r="S88" s="26">
        <f t="shared" si="133"/>
        <v>89.256198347107429</v>
      </c>
      <c r="T88" s="26">
        <f t="shared" si="134"/>
        <v>175.97013630512333</v>
      </c>
      <c r="U88" s="26" t="str">
        <f>IF(VLOOKUP($C88,COS!$B$8:$I$991,8,FALSE)=1,"UWFE","IBU")</f>
        <v>IBU</v>
      </c>
      <c r="V88" s="26">
        <f t="shared" ref="V88" si="138">MIN(IF(IF($AA$3=2,AND(E88=1,G88=1,L88=1,L91=1,M88=1,U88="IBU"),AND(E88=1,G88=1,L88=1,L91=1,M88=1)),T88,0),I88)</f>
        <v>0</v>
      </c>
      <c r="W88" s="26"/>
      <c r="X88" s="26"/>
      <c r="Y88" s="26"/>
      <c r="Z88" s="26"/>
      <c r="AA88" s="26"/>
      <c r="AB88" s="33"/>
      <c r="AD88" s="43">
        <v>1996</v>
      </c>
      <c r="AE88" s="1">
        <f>VLOOKUP(AD88,Flags!$A$13:$B$95,2,FALSE)</f>
        <v>1</v>
      </c>
      <c r="AF88" s="43">
        <f t="shared" si="118"/>
        <v>470.82685111053718</v>
      </c>
      <c r="AG88" s="43">
        <f t="shared" si="119"/>
        <v>673.70356104322696</v>
      </c>
      <c r="AH88" s="43">
        <f t="shared" si="120"/>
        <v>0</v>
      </c>
      <c r="AI88" s="43">
        <f t="shared" si="121"/>
        <v>21668.349818569215</v>
      </c>
      <c r="AJ88" s="43">
        <f t="shared" si="122"/>
        <v>153.2964386137655</v>
      </c>
      <c r="AK88" s="43">
        <f t="shared" si="115"/>
        <v>99.075586179622945</v>
      </c>
      <c r="AL88" s="43">
        <f t="shared" si="123"/>
        <v>0</v>
      </c>
    </row>
    <row r="89" spans="1:38" x14ac:dyDescent="0.3">
      <c r="A89" s="32">
        <f>VLOOKUP(YEAR(C89),Flags!$A$13:$B$95,2,FALSE)</f>
        <v>4</v>
      </c>
      <c r="B89" s="24">
        <f t="shared" si="116"/>
        <v>1930</v>
      </c>
      <c r="C89" s="25">
        <v>11170</v>
      </c>
      <c r="D89" s="26">
        <f>VLOOKUP($C89,COS!$B$8:$H$991,3,FALSE)</f>
        <v>9171.2353515625</v>
      </c>
      <c r="E89" s="24">
        <f>IF(D89&gt;=IF(MONTH($C89)=4,$C$3,IF(MONTH($C89)=5,$C$4,IF(MONTH($C89)=6,$C$5,IF(MONTH($C89)=7,$C$6,"ERROR")))),1,0)</f>
        <v>0</v>
      </c>
      <c r="F89" s="26">
        <f>VLOOKUP($C89,COS!$B$8:$H$991,7,FALSE)</f>
        <v>55.481464385986328</v>
      </c>
      <c r="G89" s="24">
        <f>IF(F89&lt;=IF(MONTH($C89)=4,$F$3,IF(MONTH($C89)=5,$F$4,IF(MONTH($C89)=6,$F$5,IF(MONTH($C89)=7,$F$6,"ERROR")))),1,0)</f>
        <v>0</v>
      </c>
      <c r="H89" s="26">
        <f>IF(J89=1,D89-$C$6,0)</f>
        <v>0</v>
      </c>
      <c r="I89" s="26">
        <f t="shared" si="136"/>
        <v>0</v>
      </c>
      <c r="J89" s="24">
        <f t="shared" si="128"/>
        <v>0</v>
      </c>
      <c r="K89" s="26">
        <f>VLOOKUP($C89,COS!$B$8:$H$991,2,FALSE)</f>
        <v>2214.108642578125</v>
      </c>
      <c r="L89" s="24">
        <f t="shared" si="129"/>
        <v>1</v>
      </c>
      <c r="M89" s="24">
        <f t="shared" si="130"/>
        <v>1</v>
      </c>
      <c r="N89" s="26">
        <f>VLOOKUP($C89,COS!$B$8:$H$991,5,FALSE)</f>
        <v>218.08706665039063</v>
      </c>
      <c r="O89" s="26">
        <f t="shared" si="131"/>
        <v>13.40965104032154</v>
      </c>
      <c r="P89" s="26">
        <f>VLOOKUP($C89,COS!$B$8:$H$991,6,FALSE)</f>
        <v>2538.07568359375</v>
      </c>
      <c r="Q89" s="26">
        <f t="shared" si="132"/>
        <v>156.06019079287191</v>
      </c>
      <c r="R89" s="26">
        <f>MIN(IF(MONTH($C89)=4,$S$3,IF(MONTH($C89)=5,$S$4,IF(MONTH($C89)=6,$S$5,IF(MONTH($C89)=7,$S$6,"ERROR")))),MAX(VLOOKUP($C89,COS!$B$8:$K$991,10,FALSE)-IF(MONTH($C89)=4,$Y$3,IF(MONTH($C89)=5,$Y$4,IF(MONTH($C89)=6,$Y$5,IF(MONTH($C89)=7,$Y$6,"ERROR")))),0),MAX(VLOOKUP($C89,COS!$B$8:$K$991,9,FALSE)-IF(MONTH($C89)=4,$V$3,IF(MONTH($C89)=5,$V$4,IF(MONTH($C89)=6,$V$5,IF(MONTH($C89)=7,$V$6,"ERROR"))))-VLOOKUP($C89,COS!$B$8:$K$991,6,FALSE)/2,0))</f>
        <v>1500</v>
      </c>
      <c r="S89" s="26">
        <f t="shared" si="133"/>
        <v>92.231404958677686</v>
      </c>
      <c r="T89" s="26">
        <f t="shared" si="134"/>
        <v>176.96632587527441</v>
      </c>
      <c r="U89" s="26" t="str">
        <f>IF(VLOOKUP($C89,COS!$B$8:$I$991,8,FALSE)=1,"UWFE","IBU")</f>
        <v>IBU</v>
      </c>
      <c r="V89" s="26">
        <f t="shared" ref="V89" si="139">MIN(IF(IF($AA$3=2,AND(E89=1,G89=1,L89=1,L91=1,M89=1,U89="IBU"),AND(E89=1,G89=1,L89=1,L91=1,M89=1)),T89,0),I89)</f>
        <v>0</v>
      </c>
      <c r="W89" s="26"/>
      <c r="X89" s="26"/>
      <c r="Y89" s="26"/>
      <c r="Z89" s="26"/>
      <c r="AA89" s="26"/>
      <c r="AB89" s="33"/>
      <c r="AD89" s="43">
        <v>1997</v>
      </c>
      <c r="AE89" s="1">
        <f>VLOOKUP(AD89,Flags!$A$13:$B$95,2,FALSE)</f>
        <v>1</v>
      </c>
      <c r="AF89" s="43">
        <f t="shared" si="118"/>
        <v>379.07900051652894</v>
      </c>
      <c r="AG89" s="43">
        <f t="shared" si="119"/>
        <v>682.87646986780089</v>
      </c>
      <c r="AH89" s="43">
        <f t="shared" si="120"/>
        <v>0</v>
      </c>
      <c r="AI89" s="43">
        <f t="shared" si="121"/>
        <v>21458.47272985537</v>
      </c>
      <c r="AJ89" s="43">
        <f t="shared" si="122"/>
        <v>130.54690817084196</v>
      </c>
      <c r="AK89" s="43">
        <f t="shared" si="115"/>
        <v>96.180083048166324</v>
      </c>
      <c r="AL89" s="43">
        <f t="shared" si="123"/>
        <v>0</v>
      </c>
    </row>
    <row r="90" spans="1:38" x14ac:dyDescent="0.3">
      <c r="A90" s="32">
        <f>VLOOKUP(YEAR(C90),Flags!$A$13:$B$95,2,FALSE)</f>
        <v>4</v>
      </c>
      <c r="B90" s="24">
        <f t="shared" si="116"/>
        <v>1930</v>
      </c>
      <c r="C90" s="25">
        <v>11201</v>
      </c>
      <c r="D90" s="26"/>
      <c r="E90" s="24"/>
      <c r="F90" s="26"/>
      <c r="G90" s="24"/>
      <c r="H90" s="24"/>
      <c r="I90" s="26"/>
      <c r="J90" s="24"/>
      <c r="K90" s="26"/>
      <c r="L90" s="24"/>
      <c r="M90" s="24"/>
      <c r="N90" s="26"/>
      <c r="O90" s="26"/>
      <c r="P90" s="26"/>
      <c r="Q90" s="26"/>
      <c r="R90" s="26"/>
      <c r="S90" s="26"/>
      <c r="T90" s="26"/>
      <c r="U90" s="26"/>
      <c r="V90" s="26"/>
      <c r="W90" s="26">
        <f>MAX($C$7-VLOOKUP($C90,COS!$B$8:$H$991,3,FALSE),0)</f>
        <v>92245.44091796875</v>
      </c>
      <c r="X90" s="26">
        <f t="shared" si="31"/>
        <v>5671.9510779313014</v>
      </c>
      <c r="Y90" s="26">
        <f>VLOOKUP($C90,COS!$B$8:$H$991,4,FALSE)</f>
        <v>2140.212646484375</v>
      </c>
      <c r="Z90" s="26">
        <f t="shared" si="32"/>
        <v>131.59654619705577</v>
      </c>
      <c r="AA90" s="26">
        <f t="shared" ref="AA90:AA94" si="140">MIN(W90,Y90)</f>
        <v>2140.212646484375</v>
      </c>
      <c r="AB90" s="33">
        <f t="shared" ref="AB90:AB148" si="141">AA90*DAY($C90)*86400/43560/1000*IF(MONTH($C90)=8,$P$3,IF(MONTH($C90)=9,$P$4,IF(MONTH($C90)=10,$P$5,IF(MONTH($C90)=11,$P$6,IF(MONTH($C90)=12,$P$7,NA())))))</f>
        <v>131.59654619705577</v>
      </c>
      <c r="AD90" s="43">
        <v>1998</v>
      </c>
      <c r="AE90" s="1">
        <f>VLOOKUP(AD90,Flags!$A$13:$B$95,2,FALSE)</f>
        <v>1</v>
      </c>
      <c r="AF90" s="43">
        <f t="shared" si="118"/>
        <v>1046.5325051652894</v>
      </c>
      <c r="AG90" s="43">
        <f t="shared" si="119"/>
        <v>637.77182187671497</v>
      </c>
      <c r="AH90" s="43">
        <f t="shared" si="120"/>
        <v>0</v>
      </c>
      <c r="AI90" s="43">
        <f t="shared" si="121"/>
        <v>21397.993194731403</v>
      </c>
      <c r="AJ90" s="43">
        <f t="shared" si="122"/>
        <v>3.2741707793937245</v>
      </c>
      <c r="AK90" s="43">
        <f t="shared" si="115"/>
        <v>3.2741707793937245</v>
      </c>
      <c r="AL90" s="43">
        <f t="shared" si="123"/>
        <v>0</v>
      </c>
    </row>
    <row r="91" spans="1:38" x14ac:dyDescent="0.3">
      <c r="A91" s="32">
        <f>VLOOKUP(YEAR(C91),Flags!$A$13:$B$95,2,FALSE)</f>
        <v>4</v>
      </c>
      <c r="B91" s="24">
        <f t="shared" si="116"/>
        <v>1930</v>
      </c>
      <c r="C91" s="25">
        <v>11231</v>
      </c>
      <c r="D91" s="26"/>
      <c r="E91" s="24"/>
      <c r="F91" s="26"/>
      <c r="G91" s="24"/>
      <c r="H91" s="24"/>
      <c r="I91" s="26"/>
      <c r="J91" s="24"/>
      <c r="K91" s="26">
        <f>VLOOKUP($C91,COS!$B$8:$H$991,2,FALSE)</f>
        <v>1915.04248046875</v>
      </c>
      <c r="L91" s="24">
        <f t="shared" ref="L91" si="142">IF(AND(K91&gt;$I$7,K91&lt;$I$8),1,0)</f>
        <v>1</v>
      </c>
      <c r="M91" s="24"/>
      <c r="N91" s="26"/>
      <c r="O91" s="26"/>
      <c r="P91" s="26"/>
      <c r="Q91" s="26"/>
      <c r="R91" s="26"/>
      <c r="S91" s="26"/>
      <c r="T91" s="26"/>
      <c r="U91" s="26"/>
      <c r="V91" s="26"/>
      <c r="W91" s="26">
        <f>MAX($C$8-VLOOKUP($C91,COS!$B$8:$H$991,3,FALSE),0)</f>
        <v>95941.968505859375</v>
      </c>
      <c r="X91" s="26">
        <f t="shared" ref="X91:X154" si="143">W91*DAY($C91)*86400/43560/1000</f>
        <v>5708.9435805139465</v>
      </c>
      <c r="Y91" s="26">
        <f>VLOOKUP($C91,COS!$B$8:$H$991,4,FALSE)</f>
        <v>1280.4638671875</v>
      </c>
      <c r="Z91" s="26">
        <f t="shared" ref="Z91:Z154" si="144">Y91*DAY($C91)*86400/43560/1000</f>
        <v>76.192891270661164</v>
      </c>
      <c r="AA91" s="26">
        <f t="shared" si="140"/>
        <v>1280.4638671875</v>
      </c>
      <c r="AB91" s="33">
        <f t="shared" si="141"/>
        <v>76.192891270661164</v>
      </c>
      <c r="AD91" s="43">
        <v>1999</v>
      </c>
      <c r="AE91" s="1">
        <f>VLOOKUP(AD91,Flags!$A$13:$B$95,2,FALSE)</f>
        <v>1</v>
      </c>
      <c r="AF91" s="43">
        <f t="shared" si="118"/>
        <v>395.80849238119833</v>
      </c>
      <c r="AG91" s="43">
        <f t="shared" si="119"/>
        <v>693.09303507150685</v>
      </c>
      <c r="AH91" s="43">
        <f t="shared" si="120"/>
        <v>0</v>
      </c>
      <c r="AI91" s="43">
        <f t="shared" si="121"/>
        <v>21187.067099690081</v>
      </c>
      <c r="AJ91" s="43">
        <f t="shared" si="122"/>
        <v>135.00084912512912</v>
      </c>
      <c r="AK91" s="43">
        <f t="shared" si="115"/>
        <v>98.872038513688011</v>
      </c>
      <c r="AL91" s="43">
        <f t="shared" si="123"/>
        <v>0</v>
      </c>
    </row>
    <row r="92" spans="1:38" x14ac:dyDescent="0.3">
      <c r="A92" s="32">
        <f>VLOOKUP(YEAR(C92),Flags!$A$13:$B$95,2,FALSE)</f>
        <v>4</v>
      </c>
      <c r="B92" s="24">
        <f t="shared" si="116"/>
        <v>1930</v>
      </c>
      <c r="C92" s="25">
        <v>11262</v>
      </c>
      <c r="D92" s="26"/>
      <c r="E92" s="24"/>
      <c r="F92" s="26"/>
      <c r="G92" s="26"/>
      <c r="H92" s="26"/>
      <c r="I92" s="26"/>
      <c r="J92" s="26"/>
      <c r="K92" s="26"/>
      <c r="L92" s="24"/>
      <c r="M92" s="24"/>
      <c r="N92" s="26"/>
      <c r="O92" s="26"/>
      <c r="P92" s="26"/>
      <c r="Q92" s="26"/>
      <c r="R92" s="26"/>
      <c r="S92" s="26"/>
      <c r="T92" s="26"/>
      <c r="U92" s="26"/>
      <c r="V92" s="26"/>
      <c r="W92" s="26">
        <f>MAX($C$9-VLOOKUP($C92,COS!$B$8:$H$991,3,FALSE),0)</f>
        <v>95080.65087890625</v>
      </c>
      <c r="X92" s="26">
        <f t="shared" si="143"/>
        <v>5846.2813432980374</v>
      </c>
      <c r="Y92" s="26">
        <f>VLOOKUP($C92,COS!$B$8:$H$991,4,FALSE)</f>
        <v>1605.8980712890625</v>
      </c>
      <c r="Z92" s="26">
        <f t="shared" si="144"/>
        <v>98.742823556947315</v>
      </c>
      <c r="AA92" s="26">
        <f t="shared" si="140"/>
        <v>1605.8980712890625</v>
      </c>
      <c r="AB92" s="33">
        <f t="shared" si="141"/>
        <v>98.742823556947315</v>
      </c>
      <c r="AD92" s="43">
        <v>2000</v>
      </c>
      <c r="AE92" s="1">
        <f>VLOOKUP(AD92,Flags!$A$13:$B$95,2,FALSE)</f>
        <v>2</v>
      </c>
      <c r="AF92" s="43">
        <f t="shared" si="118"/>
        <v>514.27096332644635</v>
      </c>
      <c r="AG92" s="43">
        <f t="shared" si="119"/>
        <v>676.36010551515687</v>
      </c>
      <c r="AH92" s="43">
        <f t="shared" si="120"/>
        <v>0</v>
      </c>
      <c r="AI92" s="43">
        <f t="shared" si="121"/>
        <v>21720.460250516528</v>
      </c>
      <c r="AJ92" s="43">
        <f t="shared" si="122"/>
        <v>180.63067758103045</v>
      </c>
      <c r="AK92" s="43">
        <f t="shared" si="115"/>
        <v>85.152847648179232</v>
      </c>
      <c r="AL92" s="43">
        <f t="shared" si="123"/>
        <v>0</v>
      </c>
    </row>
    <row r="93" spans="1:38" x14ac:dyDescent="0.3">
      <c r="A93" s="32">
        <f>VLOOKUP(YEAR(C93),Flags!$A$13:$B$95,2,FALSE)</f>
        <v>4</v>
      </c>
      <c r="B93" s="24">
        <f t="shared" si="116"/>
        <v>1930</v>
      </c>
      <c r="C93" s="25">
        <v>11292</v>
      </c>
      <c r="D93" s="26"/>
      <c r="E93" s="24"/>
      <c r="F93" s="26"/>
      <c r="G93" s="26"/>
      <c r="H93" s="26"/>
      <c r="I93" s="26"/>
      <c r="J93" s="26"/>
      <c r="K93" s="26"/>
      <c r="L93" s="24"/>
      <c r="M93" s="24"/>
      <c r="N93" s="26"/>
      <c r="O93" s="26"/>
      <c r="P93" s="26"/>
      <c r="Q93" s="26"/>
      <c r="R93" s="26"/>
      <c r="S93" s="26"/>
      <c r="T93" s="26"/>
      <c r="U93" s="26"/>
      <c r="V93" s="26"/>
      <c r="W93" s="26">
        <f>MAX($C$10-VLOOKUP($C93,COS!$B$8:$H$991,3,FALSE),0)</f>
        <v>96451.079833984375</v>
      </c>
      <c r="X93" s="26">
        <f t="shared" si="143"/>
        <v>5739.2378083032027</v>
      </c>
      <c r="Y93" s="26">
        <f>VLOOKUP($C93,COS!$B$8:$H$991,4,FALSE)</f>
        <v>1772.532958984375</v>
      </c>
      <c r="Z93" s="26">
        <f t="shared" si="144"/>
        <v>105.47303557592976</v>
      </c>
      <c r="AA93" s="26">
        <f t="shared" si="140"/>
        <v>1772.532958984375</v>
      </c>
      <c r="AB93" s="33">
        <f t="shared" si="141"/>
        <v>52.736517787964878</v>
      </c>
      <c r="AD93" s="43">
        <v>2001</v>
      </c>
      <c r="AE93" s="1">
        <f>VLOOKUP(AD93,Flags!$A$13:$B$95,2,FALSE)</f>
        <v>4</v>
      </c>
      <c r="AF93" s="43">
        <f t="shared" si="118"/>
        <v>418.97775697314046</v>
      </c>
      <c r="AG93" s="43">
        <f t="shared" si="119"/>
        <v>629.78990330215333</v>
      </c>
      <c r="AH93" s="43">
        <f t="shared" si="120"/>
        <v>345.73311434659092</v>
      </c>
      <c r="AI93" s="43">
        <f t="shared" si="121"/>
        <v>22660.507379907023</v>
      </c>
      <c r="AJ93" s="43">
        <f t="shared" si="122"/>
        <v>436.66178630229854</v>
      </c>
      <c r="AK93" s="43">
        <f t="shared" si="115"/>
        <v>395.98933182141013</v>
      </c>
      <c r="AL93" s="43">
        <f t="shared" si="123"/>
        <v>345.73311434659092</v>
      </c>
    </row>
    <row r="94" spans="1:38" x14ac:dyDescent="0.3">
      <c r="A94" s="34">
        <f>VLOOKUP(YEAR(C94),Flags!$A$13:$B$95,2,FALSE)</f>
        <v>4</v>
      </c>
      <c r="B94" s="35">
        <f t="shared" si="116"/>
        <v>1930</v>
      </c>
      <c r="C94" s="36">
        <v>11323</v>
      </c>
      <c r="D94" s="37"/>
      <c r="E94" s="35"/>
      <c r="F94" s="37"/>
      <c r="G94" s="37"/>
      <c r="H94" s="37"/>
      <c r="I94" s="37"/>
      <c r="J94" s="37"/>
      <c r="K94" s="37"/>
      <c r="L94" s="35"/>
      <c r="M94" s="35"/>
      <c r="N94" s="37"/>
      <c r="O94" s="37"/>
      <c r="P94" s="37"/>
      <c r="Q94" s="37"/>
      <c r="R94" s="37"/>
      <c r="S94" s="37"/>
      <c r="T94" s="37"/>
      <c r="U94" s="37"/>
      <c r="V94" s="37"/>
      <c r="W94" s="37">
        <f>MAX($C$11-VLOOKUP($C94,COS!$B$8:$H$991,3,FALSE),0)</f>
        <v>0</v>
      </c>
      <c r="X94" s="37">
        <f t="shared" si="143"/>
        <v>0</v>
      </c>
      <c r="Y94" s="37">
        <f>VLOOKUP($C94,COS!$B$8:$H$991,4,FALSE)</f>
        <v>1918.959716796875</v>
      </c>
      <c r="Z94" s="37">
        <f t="shared" si="144"/>
        <v>117.99223382618803</v>
      </c>
      <c r="AA94" s="37">
        <f t="shared" si="140"/>
        <v>0</v>
      </c>
      <c r="AB94" s="38">
        <f t="shared" si="141"/>
        <v>0</v>
      </c>
      <c r="AD94" s="43">
        <v>2002</v>
      </c>
      <c r="AE94" s="1">
        <f>VLOOKUP(AD94,Flags!$A$13:$B$95,2,FALSE)</f>
        <v>4</v>
      </c>
      <c r="AF94" s="43">
        <f t="shared" si="118"/>
        <v>367.82716909865701</v>
      </c>
      <c r="AG94" s="43">
        <f t="shared" si="119"/>
        <v>683.04540938952732</v>
      </c>
      <c r="AH94" s="43">
        <f t="shared" si="120"/>
        <v>236.88286286157023</v>
      </c>
      <c r="AI94" s="43">
        <f t="shared" si="121"/>
        <v>22610.369045067149</v>
      </c>
      <c r="AJ94" s="43">
        <f t="shared" si="122"/>
        <v>314.62177201704543</v>
      </c>
      <c r="AK94" s="43">
        <f t="shared" si="115"/>
        <v>290.89275418872677</v>
      </c>
      <c r="AL94" s="43">
        <f t="shared" si="123"/>
        <v>236.88286286157023</v>
      </c>
    </row>
    <row r="95" spans="1:38" x14ac:dyDescent="0.3">
      <c r="A95" s="27">
        <f>VLOOKUP(YEAR(C95),Flags!$A$13:$B$95,2,FALSE)</f>
        <v>5</v>
      </c>
      <c r="B95" s="28">
        <f t="shared" si="116"/>
        <v>1931</v>
      </c>
      <c r="C95" s="29">
        <v>11443</v>
      </c>
      <c r="D95" s="30">
        <f>VLOOKUP($C95,COS!$B$8:$H$991,3,FALSE)</f>
        <v>6839.51904296875</v>
      </c>
      <c r="E95" s="28">
        <f>IF(D95&gt;=IF(MONTH($C95)=4,$C$3,IF(MONTH($C95)=5,$C$4,IF(MONTH($C95)=6,$C$5,IF(MONTH($C95)=7,$C$6,"ERROR")))),1,0)</f>
        <v>1</v>
      </c>
      <c r="F95" s="30">
        <f>VLOOKUP($C95,COS!$B$8:$H$991,7,FALSE)</f>
        <v>50.956645965576172</v>
      </c>
      <c r="G95" s="28">
        <f>IF(F95&lt;=IF(MONTH($C95)=4,$F$3,IF(MONTH($C95)=5,$F$4,IF(MONTH($C95)=6,$F$5,IF(MONTH($C95)=7,$F$6,"ERROR")))),1,0)</f>
        <v>1</v>
      </c>
      <c r="H95" s="30">
        <f>IF(J95=1,D95-$C$3,0)</f>
        <v>839.51904296875</v>
      </c>
      <c r="I95" s="30">
        <f t="shared" si="136"/>
        <v>49.954852143595041</v>
      </c>
      <c r="J95" s="28">
        <f t="shared" ref="J95:J98" si="145">IF(AND(E95=1,G95=1),1,0)</f>
        <v>1</v>
      </c>
      <c r="K95" s="30">
        <f>VLOOKUP($C95,COS!$B$8:$H$991,2,FALSE)</f>
        <v>1860.261474609375</v>
      </c>
      <c r="L95" s="28">
        <f t="shared" ref="L95" si="146">IF(K95&lt;=IF(MONTH($C95)=4,$I$3,IF(MONTH($C95)=5,$I$4,IF(MONTH($C95)=6,$I$5,IF(MONTH($C95)=7,$I$6,"ERROR")))),1,0)</f>
        <v>1</v>
      </c>
      <c r="M95" s="28">
        <f t="shared" ref="M95" si="147">VLOOKUP($A95,$L$3:$M$7,2,FALSE)</f>
        <v>1</v>
      </c>
      <c r="N95" s="30">
        <f>VLOOKUP($C95,COS!$B$8:$H$991,5,FALSE)</f>
        <v>166.208740234375</v>
      </c>
      <c r="O95" s="30">
        <f t="shared" ref="O95:O98" si="148">N95*DAY($C95)*86400/43560/1000</f>
        <v>9.8901068569214878</v>
      </c>
      <c r="P95" s="30">
        <f>VLOOKUP($C95,COS!$B$8:$H$991,6,FALSE)</f>
        <v>541.11907958984375</v>
      </c>
      <c r="Q95" s="30">
        <f t="shared" ref="Q95:Q98" si="149">P95*DAY($C95)*86400/43560/1000</f>
        <v>32.198821264850203</v>
      </c>
      <c r="R95" s="30">
        <f>MIN(IF(MONTH($C95)=4,$S$3,IF(MONTH($C95)=5,$S$4,IF(MONTH($C95)=6,$S$5,IF(MONTH($C95)=7,$S$6,"ERROR")))),MAX(VLOOKUP($C95,COS!$B$8:$K$991,10,FALSE)-IF(MONTH($C95)=4,$Y$3,IF(MONTH($C95)=5,$Y$4,IF(MONTH($C95)=6,$Y$5,IF(MONTH($C95)=7,$Y$6,"ERROR")))),0),MAX(VLOOKUP($C95,COS!$B$8:$K$991,9,FALSE)-IF(MONTH($C95)=4,$V$3,IF(MONTH($C95)=5,$V$4,IF(MONTH($C95)=6,$V$5,IF(MONTH($C95)=7,$V$6,"ERROR"))))-VLOOKUP($C95,COS!$B$8:$K$991,6,FALSE)/2,0))</f>
        <v>1500</v>
      </c>
      <c r="S95" s="30">
        <f t="shared" ref="S95:S98" si="150">R95*DAY($C95)*86400/43560/1000</f>
        <v>89.256198347107429</v>
      </c>
      <c r="T95" s="30">
        <f t="shared" ref="T95:T98" si="151">(O95+Q95)/2+S95</f>
        <v>110.30066240799327</v>
      </c>
      <c r="U95" s="30" t="str">
        <f>IF(VLOOKUP($C95,COS!$B$8:$I$991,8,FALSE)=1,"UWFE","IBU")</f>
        <v>IBU</v>
      </c>
      <c r="V95" s="30">
        <f t="shared" ref="V95" si="152">MIN(IF(IF($AA$3=2,AND(E95=1,G95=1,L95=1,L100=1,M95=1,U95="IBU"),AND(E95=1,G95=1,L95=1,L100=1,M95=1)),T95,0),I95)</f>
        <v>49.954852143595041</v>
      </c>
      <c r="W95" s="30"/>
      <c r="X95" s="30"/>
      <c r="Y95" s="30"/>
      <c r="Z95" s="30"/>
      <c r="AA95" s="30"/>
      <c r="AB95" s="31"/>
      <c r="AD95" s="6"/>
      <c r="AE95" s="6"/>
      <c r="AF95" s="6"/>
      <c r="AG95" s="6"/>
    </row>
    <row r="96" spans="1:38" x14ac:dyDescent="0.3">
      <c r="A96" s="32">
        <f>VLOOKUP(YEAR(C96),Flags!$A$13:$B$95,2,FALSE)</f>
        <v>5</v>
      </c>
      <c r="B96" s="24">
        <f t="shared" si="116"/>
        <v>1931</v>
      </c>
      <c r="C96" s="25">
        <v>11474</v>
      </c>
      <c r="D96" s="26">
        <f>VLOOKUP($C96,COS!$B$8:$H$991,3,FALSE)</f>
        <v>8021.2177734375</v>
      </c>
      <c r="E96" s="24">
        <f>IF(D96&gt;=IF(MONTH($C96)=4,$C$3,IF(MONTH($C96)=5,$C$4,IF(MONTH($C96)=6,$C$5,IF(MONTH($C96)=7,$C$6,"ERROR")))),1,0)</f>
        <v>1</v>
      </c>
      <c r="F96" s="26">
        <f>VLOOKUP($C96,COS!$B$8:$H$991,7,FALSE)</f>
        <v>54.440109252929688</v>
      </c>
      <c r="G96" s="24">
        <f>IF(F96&lt;=IF(MONTH($C96)=4,$F$3,IF(MONTH($C96)=5,$F$4,IF(MONTH($C96)=6,$F$5,IF(MONTH($C96)=7,$F$6,"ERROR")))),1,0)</f>
        <v>1</v>
      </c>
      <c r="H96" s="26">
        <f>IF(J96=1,D96-$C$4,0)</f>
        <v>2021.2177734375</v>
      </c>
      <c r="I96" s="26">
        <f t="shared" si="136"/>
        <v>124.27983664772728</v>
      </c>
      <c r="J96" s="24">
        <f t="shared" si="145"/>
        <v>1</v>
      </c>
      <c r="K96" s="26">
        <f>VLOOKUP($C96,COS!$B$8:$H$991,2,FALSE)</f>
        <v>1533.49609375</v>
      </c>
      <c r="L96" s="24">
        <f t="shared" si="129"/>
        <v>1</v>
      </c>
      <c r="M96" s="24">
        <f t="shared" si="130"/>
        <v>1</v>
      </c>
      <c r="N96" s="26">
        <f>VLOOKUP($C96,COS!$B$8:$H$991,5,FALSE)</f>
        <v>149.48806762695313</v>
      </c>
      <c r="O96" s="26">
        <f t="shared" si="148"/>
        <v>9.1916630011944722</v>
      </c>
      <c r="P96" s="26">
        <f>VLOOKUP($C96,COS!$B$8:$H$991,6,FALSE)</f>
        <v>2010.7308349609375</v>
      </c>
      <c r="Q96" s="26">
        <f t="shared" si="149"/>
        <v>123.63501993478823</v>
      </c>
      <c r="R96" s="26">
        <f>MIN(IF(MONTH($C96)=4,$S$3,IF(MONTH($C96)=5,$S$4,IF(MONTH($C96)=6,$S$5,IF(MONTH($C96)=7,$S$6,"ERROR")))),MAX(VLOOKUP($C96,COS!$B$8:$K$991,10,FALSE)-IF(MONTH($C96)=4,$Y$3,IF(MONTH($C96)=5,$Y$4,IF(MONTH($C96)=6,$Y$5,IF(MONTH($C96)=7,$Y$6,"ERROR")))),0),MAX(VLOOKUP($C96,COS!$B$8:$K$991,9,FALSE)-IF(MONTH($C96)=4,$V$3,IF(MONTH($C96)=5,$V$4,IF(MONTH($C96)=6,$V$5,IF(MONTH($C96)=7,$V$6,"ERROR"))))-VLOOKUP($C96,COS!$B$8:$K$991,6,FALSE)/2,0))</f>
        <v>1500</v>
      </c>
      <c r="S96" s="26">
        <f t="shared" si="150"/>
        <v>92.231404958677686</v>
      </c>
      <c r="T96" s="26">
        <f t="shared" si="151"/>
        <v>158.64474642666903</v>
      </c>
      <c r="U96" s="26" t="str">
        <f>IF(VLOOKUP($C96,COS!$B$8:$I$991,8,FALSE)=1,"UWFE","IBU")</f>
        <v>IBU</v>
      </c>
      <c r="V96" s="26">
        <f t="shared" ref="V96" si="153">MIN(IF(IF($AA$3=2,AND(E96=1,G96=1,L96=1,L100=1,M96=1,U96="IBU"),AND(E96=1,G96=1,L96=1,L100=1,M96=1)),T96,0),I96)</f>
        <v>124.27983664772728</v>
      </c>
      <c r="W96" s="26"/>
      <c r="X96" s="26"/>
      <c r="Y96" s="26"/>
      <c r="Z96" s="26"/>
      <c r="AA96" s="26"/>
      <c r="AB96" s="33"/>
    </row>
    <row r="97" spans="1:28" x14ac:dyDescent="0.3">
      <c r="A97" s="32">
        <f>VLOOKUP(YEAR(C97),Flags!$A$13:$B$95,2,FALSE)</f>
        <v>5</v>
      </c>
      <c r="B97" s="24">
        <f t="shared" si="116"/>
        <v>1931</v>
      </c>
      <c r="C97" s="25">
        <v>11504</v>
      </c>
      <c r="D97" s="26">
        <f>VLOOKUP($C97,COS!$B$8:$H$991,3,FALSE)</f>
        <v>8236.236328125</v>
      </c>
      <c r="E97" s="24">
        <f>IF(D97&gt;=IF(MONTH($C97)=4,$C$3,IF(MONTH($C97)=5,$C$4,IF(MONTH($C97)=6,$C$5,IF(MONTH($C97)=7,$C$6,"ERROR")))),1,0)</f>
        <v>0</v>
      </c>
      <c r="F97" s="26">
        <f>VLOOKUP($C97,COS!$B$8:$H$991,7,FALSE)</f>
        <v>53.915287017822266</v>
      </c>
      <c r="G97" s="24">
        <f>IF(F97&lt;=IF(MONTH($C97)=4,$F$3,IF(MONTH($C97)=5,$F$4,IF(MONTH($C97)=6,$F$5,IF(MONTH($C97)=7,$F$6,"ERROR")))),1,0)</f>
        <v>1</v>
      </c>
      <c r="H97" s="26">
        <f>IF(J97=1,D97-$C$5,0)</f>
        <v>0</v>
      </c>
      <c r="I97" s="26">
        <f t="shared" si="136"/>
        <v>0</v>
      </c>
      <c r="J97" s="24">
        <f t="shared" si="145"/>
        <v>0</v>
      </c>
      <c r="K97" s="26">
        <f>VLOOKUP($C97,COS!$B$8:$H$991,2,FALSE)</f>
        <v>1203.680419921875</v>
      </c>
      <c r="L97" s="24">
        <f t="shared" si="129"/>
        <v>1</v>
      </c>
      <c r="M97" s="24">
        <f t="shared" si="130"/>
        <v>1</v>
      </c>
      <c r="N97" s="26">
        <f>VLOOKUP($C97,COS!$B$8:$H$991,5,FALSE)</f>
        <v>183.68203735351563</v>
      </c>
      <c r="O97" s="26">
        <f t="shared" si="148"/>
        <v>10.929840239217459</v>
      </c>
      <c r="P97" s="26">
        <f>VLOOKUP($C97,COS!$B$8:$H$991,6,FALSE)</f>
        <v>2250.943115234375</v>
      </c>
      <c r="Q97" s="26">
        <f t="shared" si="149"/>
        <v>133.94041677427685</v>
      </c>
      <c r="R97" s="26">
        <f>MIN(IF(MONTH($C97)=4,$S$3,IF(MONTH($C97)=5,$S$4,IF(MONTH($C97)=6,$S$5,IF(MONTH($C97)=7,$S$6,"ERROR")))),MAX(VLOOKUP($C97,COS!$B$8:$K$991,10,FALSE)-IF(MONTH($C97)=4,$Y$3,IF(MONTH($C97)=5,$Y$4,IF(MONTH($C97)=6,$Y$5,IF(MONTH($C97)=7,$Y$6,"ERROR")))),0),MAX(VLOOKUP($C97,COS!$B$8:$K$991,9,FALSE)-IF(MONTH($C97)=4,$V$3,IF(MONTH($C97)=5,$V$4,IF(MONTH($C97)=6,$V$5,IF(MONTH($C97)=7,$V$6,"ERROR"))))-VLOOKUP($C97,COS!$B$8:$K$991,6,FALSE)/2,0))</f>
        <v>1500</v>
      </c>
      <c r="S97" s="26">
        <f t="shared" si="150"/>
        <v>89.256198347107429</v>
      </c>
      <c r="T97" s="26">
        <f t="shared" si="151"/>
        <v>161.6913268538546</v>
      </c>
      <c r="U97" s="26" t="str">
        <f>IF(VLOOKUP($C97,COS!$B$8:$I$991,8,FALSE)=1,"UWFE","IBU")</f>
        <v>IBU</v>
      </c>
      <c r="V97" s="26">
        <f t="shared" ref="V97" si="154">MIN(IF(IF($AA$3=2,AND(E97=1,G97=1,L97=1,L100=1,M97=1,U97="IBU"),AND(E97=1,G97=1,L97=1,L100=1,M97=1)),T97,0),I97)</f>
        <v>0</v>
      </c>
      <c r="W97" s="26"/>
      <c r="X97" s="26"/>
      <c r="Y97" s="26"/>
      <c r="Z97" s="26"/>
      <c r="AA97" s="26"/>
      <c r="AB97" s="33"/>
    </row>
    <row r="98" spans="1:28" x14ac:dyDescent="0.3">
      <c r="A98" s="32">
        <f>VLOOKUP(YEAR(C98),Flags!$A$13:$B$95,2,FALSE)</f>
        <v>5</v>
      </c>
      <c r="B98" s="24">
        <f t="shared" si="116"/>
        <v>1931</v>
      </c>
      <c r="C98" s="25">
        <v>11535</v>
      </c>
      <c r="D98" s="26">
        <f>VLOOKUP($C98,COS!$B$8:$H$991,3,FALSE)</f>
        <v>9719.40234375</v>
      </c>
      <c r="E98" s="24">
        <f>IF(D98&gt;=IF(MONTH($C98)=4,$C$3,IF(MONTH($C98)=5,$C$4,IF(MONTH($C98)=6,$C$5,IF(MONTH($C98)=7,$C$6,"ERROR")))),1,0)</f>
        <v>0</v>
      </c>
      <c r="F98" s="26">
        <f>VLOOKUP($C98,COS!$B$8:$H$991,7,FALSE)</f>
        <v>56.554588317871094</v>
      </c>
      <c r="G98" s="24">
        <f>IF(F98&lt;=IF(MONTH($C98)=4,$F$3,IF(MONTH($C98)=5,$F$4,IF(MONTH($C98)=6,$F$5,IF(MONTH($C98)=7,$F$6,"ERROR")))),1,0)</f>
        <v>0</v>
      </c>
      <c r="H98" s="26">
        <f>IF(J98=1,D98-$C$6,0)</f>
        <v>0</v>
      </c>
      <c r="I98" s="26">
        <f t="shared" si="136"/>
        <v>0</v>
      </c>
      <c r="J98" s="24">
        <f t="shared" si="145"/>
        <v>0</v>
      </c>
      <c r="K98" s="26">
        <f>VLOOKUP($C98,COS!$B$8:$H$991,2,FALSE)</f>
        <v>751.55364990234375</v>
      </c>
      <c r="L98" s="24">
        <f t="shared" si="129"/>
        <v>1</v>
      </c>
      <c r="M98" s="24">
        <f t="shared" si="130"/>
        <v>1</v>
      </c>
      <c r="N98" s="26">
        <f>VLOOKUP($C98,COS!$B$8:$H$991,5,FALSE)</f>
        <v>229.37615966796875</v>
      </c>
      <c r="O98" s="26">
        <f t="shared" si="148"/>
        <v>14.10379031346849</v>
      </c>
      <c r="P98" s="26">
        <f>VLOOKUP($C98,COS!$B$8:$H$991,6,FALSE)</f>
        <v>2281.4833984375</v>
      </c>
      <c r="Q98" s="26">
        <f t="shared" si="149"/>
        <v>140.28294615185951</v>
      </c>
      <c r="R98" s="26">
        <f>MIN(IF(MONTH($C98)=4,$S$3,IF(MONTH($C98)=5,$S$4,IF(MONTH($C98)=6,$S$5,IF(MONTH($C98)=7,$S$6,"ERROR")))),MAX(VLOOKUP($C98,COS!$B$8:$K$991,10,FALSE)-IF(MONTH($C98)=4,$Y$3,IF(MONTH($C98)=5,$Y$4,IF(MONTH($C98)=6,$Y$5,IF(MONTH($C98)=7,$Y$6,"ERROR")))),0),MAX(VLOOKUP($C98,COS!$B$8:$K$991,9,FALSE)-IF(MONTH($C98)=4,$V$3,IF(MONTH($C98)=5,$V$4,IF(MONTH($C98)=6,$V$5,IF(MONTH($C98)=7,$V$6,"ERROR"))))-VLOOKUP($C98,COS!$B$8:$K$991,6,FALSE)/2,0))</f>
        <v>1500</v>
      </c>
      <c r="S98" s="26">
        <f t="shared" si="150"/>
        <v>92.231404958677686</v>
      </c>
      <c r="T98" s="26">
        <f t="shared" si="151"/>
        <v>169.42477319134167</v>
      </c>
      <c r="U98" s="26" t="str">
        <f>IF(VLOOKUP($C98,COS!$B$8:$I$991,8,FALSE)=1,"UWFE","IBU")</f>
        <v>IBU</v>
      </c>
      <c r="V98" s="26">
        <f t="shared" ref="V98" si="155">MIN(IF(IF($AA$3=2,AND(E98=1,G98=1,L98=1,L100=1,M98=1,U98="IBU"),AND(E98=1,G98=1,L98=1,L100=1,M98=1)),T98,0),I98)</f>
        <v>0</v>
      </c>
      <c r="W98" s="26"/>
      <c r="X98" s="26"/>
      <c r="Y98" s="26"/>
      <c r="Z98" s="26"/>
      <c r="AA98" s="26"/>
      <c r="AB98" s="33"/>
    </row>
    <row r="99" spans="1:28" x14ac:dyDescent="0.3">
      <c r="A99" s="32">
        <f>VLOOKUP(YEAR(C99),Flags!$A$13:$B$95,2,FALSE)</f>
        <v>5</v>
      </c>
      <c r="B99" s="24">
        <f t="shared" si="116"/>
        <v>1931</v>
      </c>
      <c r="C99" s="25">
        <v>11566</v>
      </c>
      <c r="D99" s="26"/>
      <c r="E99" s="24"/>
      <c r="F99" s="26"/>
      <c r="G99" s="24"/>
      <c r="H99" s="24"/>
      <c r="I99" s="26"/>
      <c r="J99" s="24"/>
      <c r="K99" s="26"/>
      <c r="L99" s="24"/>
      <c r="M99" s="24"/>
      <c r="N99" s="26"/>
      <c r="O99" s="26"/>
      <c r="P99" s="26"/>
      <c r="Q99" s="26"/>
      <c r="R99" s="26"/>
      <c r="S99" s="26"/>
      <c r="T99" s="26"/>
      <c r="U99" s="26"/>
      <c r="V99" s="26"/>
      <c r="W99" s="26">
        <f>MAX($C$7-VLOOKUP($C99,COS!$B$8:$H$991,3,FALSE),0)</f>
        <v>92453.15478515625</v>
      </c>
      <c r="X99" s="26">
        <f t="shared" si="143"/>
        <v>5684.7229057980376</v>
      </c>
      <c r="Y99" s="26">
        <f>VLOOKUP($C99,COS!$B$8:$H$991,4,FALSE)</f>
        <v>1954.847412109375</v>
      </c>
      <c r="Z99" s="26">
        <f t="shared" si="144"/>
        <v>120.1988821991219</v>
      </c>
      <c r="AA99" s="26">
        <f t="shared" ref="AA99:AA103" si="156">MIN(W99,Y99)</f>
        <v>1954.847412109375</v>
      </c>
      <c r="AB99" s="33">
        <f t="shared" ref="AB99" si="157">AA99*DAY($C99)*86400/43560/1000*IF(MONTH($C99)=8,$P$3,IF(MONTH($C99)=9,$P$4,IF(MONTH($C99)=10,$P$5,IF(MONTH($C99)=11,$P$6,IF(MONTH($C99)=12,$P$7,NA())))))</f>
        <v>120.1988821991219</v>
      </c>
    </row>
    <row r="100" spans="1:28" x14ac:dyDescent="0.3">
      <c r="A100" s="32">
        <f>VLOOKUP(YEAR(C100),Flags!$A$13:$B$95,2,FALSE)</f>
        <v>5</v>
      </c>
      <c r="B100" s="24">
        <f t="shared" si="116"/>
        <v>1931</v>
      </c>
      <c r="C100" s="25">
        <v>11596</v>
      </c>
      <c r="D100" s="26"/>
      <c r="E100" s="24"/>
      <c r="F100" s="26"/>
      <c r="G100" s="24"/>
      <c r="H100" s="24"/>
      <c r="I100" s="26"/>
      <c r="J100" s="24"/>
      <c r="K100" s="26">
        <f>VLOOKUP($C100,COS!$B$8:$H$991,2,FALSE)</f>
        <v>558.61627197265625</v>
      </c>
      <c r="L100" s="24">
        <f t="shared" ref="L100" si="158">IF(AND(K100&gt;$I$7,K100&lt;$I$8),1,0)</f>
        <v>1</v>
      </c>
      <c r="M100" s="24"/>
      <c r="N100" s="26"/>
      <c r="O100" s="26"/>
      <c r="P100" s="26"/>
      <c r="Q100" s="26"/>
      <c r="R100" s="26"/>
      <c r="S100" s="26"/>
      <c r="T100" s="26"/>
      <c r="U100" s="26"/>
      <c r="V100" s="26"/>
      <c r="W100" s="26">
        <f>MAX($C$8-VLOOKUP($C100,COS!$B$8:$H$991,3,FALSE),0)</f>
        <v>95634.48095703125</v>
      </c>
      <c r="X100" s="26">
        <f t="shared" si="143"/>
        <v>5690.6468007489666</v>
      </c>
      <c r="Y100" s="26">
        <f>VLOOKUP($C100,COS!$B$8:$H$991,4,FALSE)</f>
        <v>2060.603515625</v>
      </c>
      <c r="Z100" s="26">
        <f t="shared" si="144"/>
        <v>122.61442407024794</v>
      </c>
      <c r="AA100" s="26">
        <f t="shared" si="156"/>
        <v>2060.603515625</v>
      </c>
      <c r="AB100" s="33">
        <f t="shared" si="141"/>
        <v>122.61442407024794</v>
      </c>
    </row>
    <row r="101" spans="1:28" x14ac:dyDescent="0.3">
      <c r="A101" s="32">
        <f>VLOOKUP(YEAR(C101),Flags!$A$13:$B$95,2,FALSE)</f>
        <v>5</v>
      </c>
      <c r="B101" s="24">
        <f t="shared" si="116"/>
        <v>1931</v>
      </c>
      <c r="C101" s="25">
        <v>11627</v>
      </c>
      <c r="D101" s="26"/>
      <c r="E101" s="24"/>
      <c r="F101" s="26"/>
      <c r="G101" s="26"/>
      <c r="H101" s="26"/>
      <c r="I101" s="26"/>
      <c r="J101" s="26"/>
      <c r="K101" s="26"/>
      <c r="L101" s="24"/>
      <c r="M101" s="24"/>
      <c r="N101" s="26"/>
      <c r="O101" s="26"/>
      <c r="P101" s="26"/>
      <c r="Q101" s="26"/>
      <c r="R101" s="26"/>
      <c r="S101" s="26"/>
      <c r="T101" s="26"/>
      <c r="U101" s="26"/>
      <c r="V101" s="26"/>
      <c r="W101" s="26">
        <f>MAX($C$9-VLOOKUP($C101,COS!$B$8:$H$991,3,FALSE),0)</f>
        <v>95356.61572265625</v>
      </c>
      <c r="X101" s="26">
        <f t="shared" si="143"/>
        <v>5863.2497601368796</v>
      </c>
      <c r="Y101" s="26">
        <f>VLOOKUP($C101,COS!$B$8:$H$991,4,FALSE)</f>
        <v>1549.2154541015625</v>
      </c>
      <c r="Z101" s="26">
        <f t="shared" si="144"/>
        <v>95.257545276988637</v>
      </c>
      <c r="AA101" s="26">
        <f t="shared" si="156"/>
        <v>1549.2154541015625</v>
      </c>
      <c r="AB101" s="33">
        <f t="shared" si="141"/>
        <v>95.257545276988637</v>
      </c>
    </row>
    <row r="102" spans="1:28" x14ac:dyDescent="0.3">
      <c r="A102" s="32">
        <f>VLOOKUP(YEAR(C102),Flags!$A$13:$B$95,2,FALSE)</f>
        <v>5</v>
      </c>
      <c r="B102" s="24">
        <f t="shared" si="116"/>
        <v>1931</v>
      </c>
      <c r="C102" s="25">
        <v>11657</v>
      </c>
      <c r="D102" s="26"/>
      <c r="E102" s="24"/>
      <c r="F102" s="26"/>
      <c r="G102" s="26"/>
      <c r="H102" s="26"/>
      <c r="I102" s="26"/>
      <c r="J102" s="26"/>
      <c r="K102" s="26"/>
      <c r="L102" s="24"/>
      <c r="M102" s="24"/>
      <c r="N102" s="26"/>
      <c r="O102" s="26"/>
      <c r="P102" s="26"/>
      <c r="Q102" s="26"/>
      <c r="R102" s="26"/>
      <c r="S102" s="26"/>
      <c r="T102" s="26"/>
      <c r="U102" s="26"/>
      <c r="V102" s="26"/>
      <c r="W102" s="26">
        <f>MAX($C$10-VLOOKUP($C102,COS!$B$8:$H$991,3,FALSE),0)</f>
        <v>96802.866943359375</v>
      </c>
      <c r="X102" s="26">
        <f t="shared" si="143"/>
        <v>5760.1705949767556</v>
      </c>
      <c r="Y102" s="26">
        <f>VLOOKUP($C102,COS!$B$8:$H$991,4,FALSE)</f>
        <v>1329.917724609375</v>
      </c>
      <c r="Z102" s="26">
        <f t="shared" si="144"/>
        <v>79.135600142045462</v>
      </c>
      <c r="AA102" s="26">
        <f t="shared" si="156"/>
        <v>1329.917724609375</v>
      </c>
      <c r="AB102" s="33">
        <f t="shared" si="141"/>
        <v>39.567800071022731</v>
      </c>
    </row>
    <row r="103" spans="1:28" x14ac:dyDescent="0.3">
      <c r="A103" s="34">
        <f>VLOOKUP(YEAR(C103),Flags!$A$13:$B$95,2,FALSE)</f>
        <v>5</v>
      </c>
      <c r="B103" s="35">
        <f t="shared" si="116"/>
        <v>1931</v>
      </c>
      <c r="C103" s="36">
        <v>11688</v>
      </c>
      <c r="D103" s="37"/>
      <c r="E103" s="35"/>
      <c r="F103" s="37"/>
      <c r="G103" s="37"/>
      <c r="H103" s="37"/>
      <c r="I103" s="37"/>
      <c r="J103" s="37"/>
      <c r="K103" s="37"/>
      <c r="L103" s="35"/>
      <c r="M103" s="35"/>
      <c r="N103" s="37"/>
      <c r="O103" s="37"/>
      <c r="P103" s="37"/>
      <c r="Q103" s="37"/>
      <c r="R103" s="37"/>
      <c r="S103" s="37"/>
      <c r="T103" s="37"/>
      <c r="U103" s="37"/>
      <c r="V103" s="37"/>
      <c r="W103" s="37">
        <f>MAX($C$11-VLOOKUP($C103,COS!$B$8:$H$991,3,FALSE),0)</f>
        <v>0</v>
      </c>
      <c r="X103" s="37">
        <f t="shared" si="143"/>
        <v>0</v>
      </c>
      <c r="Y103" s="37">
        <f>VLOOKUP($C103,COS!$B$8:$H$991,4,FALSE)</f>
        <v>0</v>
      </c>
      <c r="Z103" s="37">
        <f t="shared" si="144"/>
        <v>0</v>
      </c>
      <c r="AA103" s="37">
        <f t="shared" si="156"/>
        <v>0</v>
      </c>
      <c r="AB103" s="38">
        <f t="shared" si="141"/>
        <v>0</v>
      </c>
    </row>
    <row r="104" spans="1:28" x14ac:dyDescent="0.3">
      <c r="A104" s="27">
        <f>VLOOKUP(YEAR(C104),Flags!$A$13:$B$95,2,FALSE)</f>
        <v>5</v>
      </c>
      <c r="B104" s="28">
        <f t="shared" si="116"/>
        <v>1932</v>
      </c>
      <c r="C104" s="29">
        <v>11809</v>
      </c>
      <c r="D104" s="30">
        <f>VLOOKUP($C104,COS!$B$8:$H$991,3,FALSE)</f>
        <v>3250</v>
      </c>
      <c r="E104" s="28">
        <f>IF(D104&gt;=IF(MONTH($C104)=4,$C$3,IF(MONTH($C104)=5,$C$4,IF(MONTH($C104)=6,$C$5,IF(MONTH($C104)=7,$C$6,"ERROR")))),1,0)</f>
        <v>0</v>
      </c>
      <c r="F104" s="30">
        <f>VLOOKUP($C104,COS!$B$8:$H$991,7,FALSE)</f>
        <v>49.347862243652344</v>
      </c>
      <c r="G104" s="28">
        <f>IF(F104&lt;=IF(MONTH($C104)=4,$F$3,IF(MONTH($C104)=5,$F$4,IF(MONTH($C104)=6,$F$5,IF(MONTH($C104)=7,$F$6,"ERROR")))),1,0)</f>
        <v>1</v>
      </c>
      <c r="H104" s="30">
        <f>IF(J104=1,D104-$C$3,0)</f>
        <v>0</v>
      </c>
      <c r="I104" s="30">
        <f t="shared" si="136"/>
        <v>0</v>
      </c>
      <c r="J104" s="28">
        <f t="shared" ref="J104:J107" si="159">IF(AND(E104=1,G104=1),1,0)</f>
        <v>0</v>
      </c>
      <c r="K104" s="30">
        <f>VLOOKUP($C104,COS!$B$8:$H$991,2,FALSE)</f>
        <v>1787.3011474609375</v>
      </c>
      <c r="L104" s="28">
        <f t="shared" ref="L104" si="160">IF(K104&lt;=IF(MONTH($C104)=4,$I$3,IF(MONTH($C104)=5,$I$4,IF(MONTH($C104)=6,$I$5,IF(MONTH($C104)=7,$I$6,"ERROR")))),1,0)</f>
        <v>1</v>
      </c>
      <c r="M104" s="28">
        <f t="shared" ref="M104" si="161">VLOOKUP($A104,$L$3:$M$7,2,FALSE)</f>
        <v>1</v>
      </c>
      <c r="N104" s="30">
        <f>VLOOKUP($C104,COS!$B$8:$H$991,5,FALSE)</f>
        <v>0</v>
      </c>
      <c r="O104" s="30">
        <f t="shared" ref="O104:O107" si="162">N104*DAY($C104)*86400/43560/1000</f>
        <v>0</v>
      </c>
      <c r="P104" s="30">
        <f>VLOOKUP($C104,COS!$B$8:$H$991,6,FALSE)</f>
        <v>527.22991943359375</v>
      </c>
      <c r="Q104" s="30">
        <f t="shared" ref="Q104:Q107" si="163">P104*DAY($C104)*86400/43560/1000</f>
        <v>31.372358842329543</v>
      </c>
      <c r="R104" s="30">
        <f>MIN(IF(MONTH($C104)=4,$S$3,IF(MONTH($C104)=5,$S$4,IF(MONTH($C104)=6,$S$5,IF(MONTH($C104)=7,$S$6,"ERROR")))),MAX(VLOOKUP($C104,COS!$B$8:$K$991,10,FALSE)-IF(MONTH($C104)=4,$Y$3,IF(MONTH($C104)=5,$Y$4,IF(MONTH($C104)=6,$Y$5,IF(MONTH($C104)=7,$Y$6,"ERROR")))),0),MAX(VLOOKUP($C104,COS!$B$8:$K$991,9,FALSE)-IF(MONTH($C104)=4,$V$3,IF(MONTH($C104)=5,$V$4,IF(MONTH($C104)=6,$V$5,IF(MONTH($C104)=7,$V$6,"ERROR"))))-VLOOKUP($C104,COS!$B$8:$K$991,6,FALSE)/2,0))</f>
        <v>1207.2068176269531</v>
      </c>
      <c r="S104" s="30">
        <f t="shared" ref="S104:S107" si="164">R104*DAY($C104)*86400/43560/1000</f>
        <v>71.83379410672778</v>
      </c>
      <c r="T104" s="30">
        <f t="shared" ref="T104:T107" si="165">(O104+Q104)/2+S104</f>
        <v>87.519973527892546</v>
      </c>
      <c r="U104" s="30" t="str">
        <f>IF(VLOOKUP($C104,COS!$B$8:$I$991,8,FALSE)=1,"UWFE","IBU")</f>
        <v>UWFE</v>
      </c>
      <c r="V104" s="30">
        <f t="shared" ref="V104" si="166">MIN(IF(IF($AA$3=2,AND(E104=1,G104=1,L104=1,L109=1,M104=1,U104="IBU"),AND(E104=1,G104=1,L104=1,L109=1,M104=1)),T104,0),I104)</f>
        <v>0</v>
      </c>
      <c r="W104" s="30"/>
      <c r="X104" s="30"/>
      <c r="Y104" s="30"/>
      <c r="Z104" s="30"/>
      <c r="AA104" s="30"/>
      <c r="AB104" s="31"/>
    </row>
    <row r="105" spans="1:28" x14ac:dyDescent="0.3">
      <c r="A105" s="32">
        <f>VLOOKUP(YEAR(C105),Flags!$A$13:$B$95,2,FALSE)</f>
        <v>5</v>
      </c>
      <c r="B105" s="24">
        <f t="shared" si="116"/>
        <v>1932</v>
      </c>
      <c r="C105" s="25">
        <v>11840</v>
      </c>
      <c r="D105" s="26">
        <f>VLOOKUP($C105,COS!$B$8:$H$991,3,FALSE)</f>
        <v>4951.02978515625</v>
      </c>
      <c r="E105" s="24">
        <f>IF(D105&gt;=IF(MONTH($C105)=4,$C$3,IF(MONTH($C105)=5,$C$4,IF(MONTH($C105)=6,$C$5,IF(MONTH($C105)=7,$C$6,"ERROR")))),1,0)</f>
        <v>0</v>
      </c>
      <c r="F105" s="26">
        <f>VLOOKUP($C105,COS!$B$8:$H$991,7,FALSE)</f>
        <v>51.659408569335938</v>
      </c>
      <c r="G105" s="24">
        <f>IF(F105&lt;=IF(MONTH($C105)=4,$F$3,IF(MONTH($C105)=5,$F$4,IF(MONTH($C105)=6,$F$5,IF(MONTH($C105)=7,$F$6,"ERROR")))),1,0)</f>
        <v>1</v>
      </c>
      <c r="H105" s="26">
        <f>IF(J105=1,D105-$C$4,0)</f>
        <v>0</v>
      </c>
      <c r="I105" s="26">
        <f t="shared" si="136"/>
        <v>0</v>
      </c>
      <c r="J105" s="24">
        <f t="shared" si="159"/>
        <v>0</v>
      </c>
      <c r="K105" s="26">
        <f>VLOOKUP($C105,COS!$B$8:$H$991,2,FALSE)</f>
        <v>1880.785400390625</v>
      </c>
      <c r="L105" s="24">
        <f t="shared" si="129"/>
        <v>1</v>
      </c>
      <c r="M105" s="24">
        <f t="shared" si="130"/>
        <v>1</v>
      </c>
      <c r="N105" s="26">
        <f>VLOOKUP($C105,COS!$B$8:$H$991,5,FALSE)</f>
        <v>0</v>
      </c>
      <c r="O105" s="26">
        <f t="shared" si="162"/>
        <v>0</v>
      </c>
      <c r="P105" s="26">
        <f>VLOOKUP($C105,COS!$B$8:$H$991,6,FALSE)</f>
        <v>2037.6466064453125</v>
      </c>
      <c r="Q105" s="26">
        <f t="shared" si="163"/>
        <v>125.29000621448863</v>
      </c>
      <c r="R105" s="26">
        <f>MIN(IF(MONTH($C105)=4,$S$3,IF(MONTH($C105)=5,$S$4,IF(MONTH($C105)=6,$S$5,IF(MONTH($C105)=7,$S$6,"ERROR")))),MAX(VLOOKUP($C105,COS!$B$8:$K$991,10,FALSE)-IF(MONTH($C105)=4,$Y$3,IF(MONTH($C105)=5,$Y$4,IF(MONTH($C105)=6,$Y$5,IF(MONTH($C105)=7,$Y$6,"ERROR")))),0),MAX(VLOOKUP($C105,COS!$B$8:$K$991,9,FALSE)-IF(MONTH($C105)=4,$V$3,IF(MONTH($C105)=5,$V$4,IF(MONTH($C105)=6,$V$5,IF(MONTH($C105)=7,$V$6,"ERROR"))))-VLOOKUP($C105,COS!$B$8:$K$991,6,FALSE)/2,0))</f>
        <v>1500</v>
      </c>
      <c r="S105" s="26">
        <f t="shared" si="164"/>
        <v>92.231404958677686</v>
      </c>
      <c r="T105" s="26">
        <f t="shared" si="165"/>
        <v>154.87640806592199</v>
      </c>
      <c r="U105" s="26" t="str">
        <f>IF(VLOOKUP($C105,COS!$B$8:$I$991,8,FALSE)=1,"UWFE","IBU")</f>
        <v>UWFE</v>
      </c>
      <c r="V105" s="26">
        <f t="shared" ref="V105" si="167">MIN(IF(IF($AA$3=2,AND(E105=1,G105=1,L105=1,L109=1,M105=1,U105="IBU"),AND(E105=1,G105=1,L105=1,L109=1,M105=1)),T105,0),I105)</f>
        <v>0</v>
      </c>
      <c r="W105" s="26"/>
      <c r="X105" s="26"/>
      <c r="Y105" s="26"/>
      <c r="Z105" s="26"/>
      <c r="AA105" s="26"/>
      <c r="AB105" s="33"/>
    </row>
    <row r="106" spans="1:28" x14ac:dyDescent="0.3">
      <c r="A106" s="32">
        <f>VLOOKUP(YEAR(C106),Flags!$A$13:$B$95,2,FALSE)</f>
        <v>5</v>
      </c>
      <c r="B106" s="24">
        <f t="shared" si="116"/>
        <v>1932</v>
      </c>
      <c r="C106" s="25">
        <v>11870</v>
      </c>
      <c r="D106" s="26">
        <f>VLOOKUP($C106,COS!$B$8:$H$991,3,FALSE)</f>
        <v>7197.30029296875</v>
      </c>
      <c r="E106" s="24">
        <f>IF(D106&gt;=IF(MONTH($C106)=4,$C$3,IF(MONTH($C106)=5,$C$4,IF(MONTH($C106)=6,$C$5,IF(MONTH($C106)=7,$C$6,"ERROR")))),1,0)</f>
        <v>0</v>
      </c>
      <c r="F106" s="26">
        <f>VLOOKUP($C106,COS!$B$8:$H$991,7,FALSE)</f>
        <v>54.089519500732422</v>
      </c>
      <c r="G106" s="24">
        <f>IF(F106&lt;=IF(MONTH($C106)=4,$F$3,IF(MONTH($C106)=5,$F$4,IF(MONTH($C106)=6,$F$5,IF(MONTH($C106)=7,$F$6,"ERROR")))),1,0)</f>
        <v>1</v>
      </c>
      <c r="H106" s="26">
        <f>IF(J106=1,D106-$C$5,0)</f>
        <v>0</v>
      </c>
      <c r="I106" s="26">
        <f t="shared" si="136"/>
        <v>0</v>
      </c>
      <c r="J106" s="24">
        <f t="shared" si="159"/>
        <v>0</v>
      </c>
      <c r="K106" s="26">
        <f>VLOOKUP($C106,COS!$B$8:$H$991,2,FALSE)</f>
        <v>1657.180419921875</v>
      </c>
      <c r="L106" s="24">
        <f t="shared" si="129"/>
        <v>1</v>
      </c>
      <c r="M106" s="24">
        <f t="shared" si="130"/>
        <v>1</v>
      </c>
      <c r="N106" s="26">
        <f>VLOOKUP($C106,COS!$B$8:$H$991,5,FALSE)</f>
        <v>0</v>
      </c>
      <c r="O106" s="26">
        <f t="shared" si="162"/>
        <v>0</v>
      </c>
      <c r="P106" s="26">
        <f>VLOOKUP($C106,COS!$B$8:$H$991,6,FALSE)</f>
        <v>2546.35791015625</v>
      </c>
      <c r="Q106" s="26">
        <f t="shared" si="163"/>
        <v>151.51881779442149</v>
      </c>
      <c r="R106" s="26">
        <f>MIN(IF(MONTH($C106)=4,$S$3,IF(MONTH($C106)=5,$S$4,IF(MONTH($C106)=6,$S$5,IF(MONTH($C106)=7,$S$6,"ERROR")))),MAX(VLOOKUP($C106,COS!$B$8:$K$991,10,FALSE)-IF(MONTH($C106)=4,$Y$3,IF(MONTH($C106)=5,$Y$4,IF(MONTH($C106)=6,$Y$5,IF(MONTH($C106)=7,$Y$6,"ERROR")))),0),MAX(VLOOKUP($C106,COS!$B$8:$K$991,9,FALSE)-IF(MONTH($C106)=4,$V$3,IF(MONTH($C106)=5,$V$4,IF(MONTH($C106)=6,$V$5,IF(MONTH($C106)=7,$V$6,"ERROR"))))-VLOOKUP($C106,COS!$B$8:$K$991,6,FALSE)/2,0))</f>
        <v>1500</v>
      </c>
      <c r="S106" s="26">
        <f t="shared" si="164"/>
        <v>89.256198347107429</v>
      </c>
      <c r="T106" s="26">
        <f t="shared" si="165"/>
        <v>165.01560724431818</v>
      </c>
      <c r="U106" s="26" t="str">
        <f>IF(VLOOKUP($C106,COS!$B$8:$I$991,8,FALSE)=1,"UWFE","IBU")</f>
        <v>IBU</v>
      </c>
      <c r="V106" s="26">
        <f t="shared" ref="V106" si="168">MIN(IF(IF($AA$3=2,AND(E106=1,G106=1,L106=1,L109=1,M106=1,U106="IBU"),AND(E106=1,G106=1,L106=1,L109=1,M106=1)),T106,0),I106)</f>
        <v>0</v>
      </c>
      <c r="W106" s="26"/>
      <c r="X106" s="26"/>
      <c r="Y106" s="26"/>
      <c r="Z106" s="26"/>
      <c r="AA106" s="26"/>
      <c r="AB106" s="33"/>
    </row>
    <row r="107" spans="1:28" x14ac:dyDescent="0.3">
      <c r="A107" s="32">
        <f>VLOOKUP(YEAR(C107),Flags!$A$13:$B$95,2,FALSE)</f>
        <v>5</v>
      </c>
      <c r="B107" s="24">
        <f t="shared" si="116"/>
        <v>1932</v>
      </c>
      <c r="C107" s="25">
        <v>11901</v>
      </c>
      <c r="D107" s="26">
        <f>VLOOKUP($C107,COS!$B$8:$H$991,3,FALSE)</f>
        <v>8582.53125</v>
      </c>
      <c r="E107" s="24">
        <f>IF(D107&gt;=IF(MONTH($C107)=4,$C$3,IF(MONTH($C107)=5,$C$4,IF(MONTH($C107)=6,$C$5,IF(MONTH($C107)=7,$C$6,"ERROR")))),1,0)</f>
        <v>0</v>
      </c>
      <c r="F107" s="26">
        <f>VLOOKUP($C107,COS!$B$8:$H$991,7,FALSE)</f>
        <v>55.753875732421875</v>
      </c>
      <c r="G107" s="24">
        <f>IF(F107&lt;=IF(MONTH($C107)=4,$F$3,IF(MONTH($C107)=5,$F$4,IF(MONTH($C107)=6,$F$5,IF(MONTH($C107)=7,$F$6,"ERROR")))),1,0)</f>
        <v>0</v>
      </c>
      <c r="H107" s="26">
        <f>IF(J107=1,D107-$C$6,0)</f>
        <v>0</v>
      </c>
      <c r="I107" s="26">
        <f t="shared" si="136"/>
        <v>0</v>
      </c>
      <c r="J107" s="24">
        <f t="shared" si="159"/>
        <v>0</v>
      </c>
      <c r="K107" s="26">
        <f>VLOOKUP($C107,COS!$B$8:$H$991,2,FALSE)</f>
        <v>1286.91845703125</v>
      </c>
      <c r="L107" s="24">
        <f t="shared" si="129"/>
        <v>1</v>
      </c>
      <c r="M107" s="24">
        <f t="shared" si="130"/>
        <v>1</v>
      </c>
      <c r="N107" s="26">
        <f>VLOOKUP($C107,COS!$B$8:$H$991,5,FALSE)</f>
        <v>0</v>
      </c>
      <c r="O107" s="26">
        <f t="shared" si="162"/>
        <v>0</v>
      </c>
      <c r="P107" s="26">
        <f>VLOOKUP($C107,COS!$B$8:$H$991,6,FALSE)</f>
        <v>2538.07568359375</v>
      </c>
      <c r="Q107" s="26">
        <f t="shared" si="163"/>
        <v>156.06019079287191</v>
      </c>
      <c r="R107" s="26">
        <f>MIN(IF(MONTH($C107)=4,$S$3,IF(MONTH($C107)=5,$S$4,IF(MONTH($C107)=6,$S$5,IF(MONTH($C107)=7,$S$6,"ERROR")))),MAX(VLOOKUP($C107,COS!$B$8:$K$991,10,FALSE)-IF(MONTH($C107)=4,$Y$3,IF(MONTH($C107)=5,$Y$4,IF(MONTH($C107)=6,$Y$5,IF(MONTH($C107)=7,$Y$6,"ERROR")))),0),MAX(VLOOKUP($C107,COS!$B$8:$K$991,9,FALSE)-IF(MONTH($C107)=4,$V$3,IF(MONTH($C107)=5,$V$4,IF(MONTH($C107)=6,$V$5,IF(MONTH($C107)=7,$V$6,"ERROR"))))-VLOOKUP($C107,COS!$B$8:$K$991,6,FALSE)/2,0))</f>
        <v>1500</v>
      </c>
      <c r="S107" s="26">
        <f t="shared" si="164"/>
        <v>92.231404958677686</v>
      </c>
      <c r="T107" s="26">
        <f t="shared" si="165"/>
        <v>170.26150035511364</v>
      </c>
      <c r="U107" s="26" t="str">
        <f>IF(VLOOKUP($C107,COS!$B$8:$I$991,8,FALSE)=1,"UWFE","IBU")</f>
        <v>IBU</v>
      </c>
      <c r="V107" s="26">
        <f t="shared" ref="V107" si="169">MIN(IF(IF($AA$3=2,AND(E107=1,G107=1,L107=1,L109=1,M107=1,U107="IBU"),AND(E107=1,G107=1,L107=1,L109=1,M107=1)),T107,0),I107)</f>
        <v>0</v>
      </c>
      <c r="W107" s="26"/>
      <c r="X107" s="26"/>
      <c r="Y107" s="26"/>
      <c r="Z107" s="26"/>
      <c r="AA107" s="26"/>
      <c r="AB107" s="33"/>
    </row>
    <row r="108" spans="1:28" x14ac:dyDescent="0.3">
      <c r="A108" s="32">
        <f>VLOOKUP(YEAR(C108),Flags!$A$13:$B$95,2,FALSE)</f>
        <v>5</v>
      </c>
      <c r="B108" s="24">
        <f t="shared" si="116"/>
        <v>1932</v>
      </c>
      <c r="C108" s="25">
        <v>11932</v>
      </c>
      <c r="D108" s="26"/>
      <c r="E108" s="24"/>
      <c r="F108" s="26"/>
      <c r="G108" s="24"/>
      <c r="H108" s="24"/>
      <c r="I108" s="26"/>
      <c r="J108" s="24"/>
      <c r="K108" s="26"/>
      <c r="L108" s="24"/>
      <c r="M108" s="24"/>
      <c r="N108" s="26"/>
      <c r="O108" s="26"/>
      <c r="P108" s="26"/>
      <c r="Q108" s="26"/>
      <c r="R108" s="26"/>
      <c r="S108" s="26"/>
      <c r="T108" s="26"/>
      <c r="U108" s="26"/>
      <c r="V108" s="26"/>
      <c r="W108" s="26">
        <f>MAX($C$7-VLOOKUP($C108,COS!$B$8:$H$991,3,FALSE),0)</f>
        <v>92726.396484375</v>
      </c>
      <c r="X108" s="26">
        <f t="shared" si="143"/>
        <v>5701.523883006198</v>
      </c>
      <c r="Y108" s="26">
        <f>VLOOKUP($C108,COS!$B$8:$H$991,4,FALSE)</f>
        <v>1881.437744140625</v>
      </c>
      <c r="Z108" s="26">
        <f t="shared" si="144"/>
        <v>115.68509765624999</v>
      </c>
      <c r="AA108" s="26">
        <f t="shared" ref="AA108:AA112" si="170">MIN(W108,Y108)</f>
        <v>1881.437744140625</v>
      </c>
      <c r="AB108" s="33">
        <f t="shared" ref="AB108" si="171">AA108*DAY($C108)*86400/43560/1000*IF(MONTH($C108)=8,$P$3,IF(MONTH($C108)=9,$P$4,IF(MONTH($C108)=10,$P$5,IF(MONTH($C108)=11,$P$6,IF(MONTH($C108)=12,$P$7,NA())))))</f>
        <v>115.68509765624999</v>
      </c>
    </row>
    <row r="109" spans="1:28" x14ac:dyDescent="0.3">
      <c r="A109" s="32">
        <f>VLOOKUP(YEAR(C109),Flags!$A$13:$B$95,2,FALSE)</f>
        <v>5</v>
      </c>
      <c r="B109" s="24">
        <f t="shared" si="116"/>
        <v>1932</v>
      </c>
      <c r="C109" s="25">
        <v>11962</v>
      </c>
      <c r="D109" s="26"/>
      <c r="E109" s="24"/>
      <c r="F109" s="26"/>
      <c r="G109" s="24"/>
      <c r="H109" s="24"/>
      <c r="I109" s="26"/>
      <c r="J109" s="24"/>
      <c r="K109" s="26">
        <f>VLOOKUP($C109,COS!$B$8:$H$991,2,FALSE)</f>
        <v>902.0557861328125</v>
      </c>
      <c r="L109" s="24">
        <f t="shared" ref="L109" si="172">IF(AND(K109&gt;$I$7,K109&lt;$I$8),1,0)</f>
        <v>1</v>
      </c>
      <c r="M109" s="24"/>
      <c r="N109" s="26"/>
      <c r="O109" s="26"/>
      <c r="P109" s="26"/>
      <c r="Q109" s="26"/>
      <c r="R109" s="26"/>
      <c r="S109" s="26"/>
      <c r="T109" s="26"/>
      <c r="U109" s="26"/>
      <c r="V109" s="26"/>
      <c r="W109" s="26">
        <f>MAX($C$8-VLOOKUP($C109,COS!$B$8:$H$991,3,FALSE),0)</f>
        <v>95768.7431640625</v>
      </c>
      <c r="X109" s="26">
        <f t="shared" si="143"/>
        <v>5698.6359568698354</v>
      </c>
      <c r="Y109" s="26">
        <f>VLOOKUP($C109,COS!$B$8:$H$991,4,FALSE)</f>
        <v>909.056396484375</v>
      </c>
      <c r="Z109" s="26">
        <f t="shared" si="144"/>
        <v>54.092612022210744</v>
      </c>
      <c r="AA109" s="26">
        <f t="shared" si="170"/>
        <v>909.056396484375</v>
      </c>
      <c r="AB109" s="33">
        <f t="shared" si="141"/>
        <v>54.092612022210744</v>
      </c>
    </row>
    <row r="110" spans="1:28" x14ac:dyDescent="0.3">
      <c r="A110" s="32">
        <f>VLOOKUP(YEAR(C110),Flags!$A$13:$B$95,2,FALSE)</f>
        <v>5</v>
      </c>
      <c r="B110" s="24">
        <f t="shared" si="116"/>
        <v>1932</v>
      </c>
      <c r="C110" s="25">
        <v>11993</v>
      </c>
      <c r="D110" s="26"/>
      <c r="E110" s="24"/>
      <c r="F110" s="26"/>
      <c r="G110" s="26"/>
      <c r="H110" s="26"/>
      <c r="I110" s="26"/>
      <c r="J110" s="26"/>
      <c r="K110" s="26"/>
      <c r="L110" s="24"/>
      <c r="M110" s="24"/>
      <c r="N110" s="26"/>
      <c r="O110" s="26"/>
      <c r="P110" s="26"/>
      <c r="Q110" s="26"/>
      <c r="R110" s="26"/>
      <c r="S110" s="26"/>
      <c r="T110" s="26"/>
      <c r="U110" s="26"/>
      <c r="V110" s="26"/>
      <c r="W110" s="26">
        <f>MAX($C$9-VLOOKUP($C110,COS!$B$8:$H$991,3,FALSE),0)</f>
        <v>95267.88623046875</v>
      </c>
      <c r="X110" s="26">
        <f t="shared" si="143"/>
        <v>5857.7939963197314</v>
      </c>
      <c r="Y110" s="26">
        <f>VLOOKUP($C110,COS!$B$8:$H$991,4,FALSE)</f>
        <v>1075.1279296875</v>
      </c>
      <c r="Z110" s="26">
        <f t="shared" si="144"/>
        <v>66.107039643595044</v>
      </c>
      <c r="AA110" s="26">
        <f t="shared" si="170"/>
        <v>1075.1279296875</v>
      </c>
      <c r="AB110" s="33">
        <f t="shared" si="141"/>
        <v>66.107039643595044</v>
      </c>
    </row>
    <row r="111" spans="1:28" x14ac:dyDescent="0.3">
      <c r="A111" s="32">
        <f>VLOOKUP(YEAR(C111),Flags!$A$13:$B$95,2,FALSE)</f>
        <v>5</v>
      </c>
      <c r="B111" s="24">
        <f t="shared" si="116"/>
        <v>1932</v>
      </c>
      <c r="C111" s="25">
        <v>12023</v>
      </c>
      <c r="D111" s="26"/>
      <c r="E111" s="24"/>
      <c r="F111" s="26"/>
      <c r="G111" s="26"/>
      <c r="H111" s="26"/>
      <c r="I111" s="26"/>
      <c r="J111" s="26"/>
      <c r="K111" s="26"/>
      <c r="L111" s="24"/>
      <c r="M111" s="24"/>
      <c r="N111" s="26"/>
      <c r="O111" s="26"/>
      <c r="P111" s="26"/>
      <c r="Q111" s="26"/>
      <c r="R111" s="26"/>
      <c r="S111" s="26"/>
      <c r="T111" s="26"/>
      <c r="U111" s="26"/>
      <c r="V111" s="26"/>
      <c r="W111" s="26">
        <f>MAX($C$10-VLOOKUP($C111,COS!$B$8:$H$991,3,FALSE),0)</f>
        <v>96396.837158203125</v>
      </c>
      <c r="X111" s="26">
        <f t="shared" si="143"/>
        <v>5736.0101449509302</v>
      </c>
      <c r="Y111" s="26">
        <f>VLOOKUP($C111,COS!$B$8:$H$991,4,FALSE)</f>
        <v>1139.5615234375</v>
      </c>
      <c r="Z111" s="26">
        <f t="shared" si="144"/>
        <v>67.808619576446276</v>
      </c>
      <c r="AA111" s="26">
        <f t="shared" si="170"/>
        <v>1139.5615234375</v>
      </c>
      <c r="AB111" s="33">
        <f t="shared" si="141"/>
        <v>33.904309788223138</v>
      </c>
    </row>
    <row r="112" spans="1:28" x14ac:dyDescent="0.3">
      <c r="A112" s="34">
        <f>VLOOKUP(YEAR(C112),Flags!$A$13:$B$95,2,FALSE)</f>
        <v>5</v>
      </c>
      <c r="B112" s="35">
        <f t="shared" si="116"/>
        <v>1932</v>
      </c>
      <c r="C112" s="36">
        <v>12054</v>
      </c>
      <c r="D112" s="37"/>
      <c r="E112" s="35"/>
      <c r="F112" s="37"/>
      <c r="G112" s="37"/>
      <c r="H112" s="37"/>
      <c r="I112" s="37"/>
      <c r="J112" s="37"/>
      <c r="K112" s="37"/>
      <c r="L112" s="35"/>
      <c r="M112" s="35"/>
      <c r="N112" s="37"/>
      <c r="O112" s="37"/>
      <c r="P112" s="37"/>
      <c r="Q112" s="37"/>
      <c r="R112" s="37"/>
      <c r="S112" s="37"/>
      <c r="T112" s="37"/>
      <c r="U112" s="37"/>
      <c r="V112" s="37"/>
      <c r="W112" s="37">
        <f>MAX($C$11-VLOOKUP($C112,COS!$B$8:$H$991,3,FALSE),0)</f>
        <v>0</v>
      </c>
      <c r="X112" s="37">
        <f t="shared" si="143"/>
        <v>0</v>
      </c>
      <c r="Y112" s="37">
        <f>VLOOKUP($C112,COS!$B$8:$H$991,4,FALSE)</f>
        <v>2675.63427734375</v>
      </c>
      <c r="Z112" s="37">
        <f t="shared" si="144"/>
        <v>164.51833903667355</v>
      </c>
      <c r="AA112" s="37">
        <f t="shared" si="170"/>
        <v>0</v>
      </c>
      <c r="AB112" s="38">
        <f t="shared" si="141"/>
        <v>0</v>
      </c>
    </row>
    <row r="113" spans="1:28" x14ac:dyDescent="0.3">
      <c r="A113" s="27">
        <f>VLOOKUP(YEAR(C113),Flags!$A$13:$B$95,2,FALSE)</f>
        <v>5</v>
      </c>
      <c r="B113" s="28">
        <f t="shared" si="116"/>
        <v>1933</v>
      </c>
      <c r="C113" s="29">
        <v>12174</v>
      </c>
      <c r="D113" s="30">
        <f>VLOOKUP($C113,COS!$B$8:$H$991,3,FALSE)</f>
        <v>3250</v>
      </c>
      <c r="E113" s="28">
        <f>IF(D113&gt;=IF(MONTH($C113)=4,$C$3,IF(MONTH($C113)=5,$C$4,IF(MONTH($C113)=6,$C$5,IF(MONTH($C113)=7,$C$6,"ERROR")))),1,0)</f>
        <v>0</v>
      </c>
      <c r="F113" s="30">
        <f>VLOOKUP($C113,COS!$B$8:$H$991,7,FALSE)</f>
        <v>51.034336090087891</v>
      </c>
      <c r="G113" s="28">
        <f>IF(F113&lt;=IF(MONTH($C113)=4,$F$3,IF(MONTH($C113)=5,$F$4,IF(MONTH($C113)=6,$F$5,IF(MONTH($C113)=7,$F$6,"ERROR")))),1,0)</f>
        <v>1</v>
      </c>
      <c r="H113" s="30">
        <f>IF(J113=1,D113-$C$3,0)</f>
        <v>0</v>
      </c>
      <c r="I113" s="30">
        <f t="shared" si="136"/>
        <v>0</v>
      </c>
      <c r="J113" s="28">
        <f t="shared" ref="J113:J116" si="173">IF(AND(E113=1,G113=1),1,0)</f>
        <v>0</v>
      </c>
      <c r="K113" s="30">
        <f>VLOOKUP($C113,COS!$B$8:$H$991,2,FALSE)</f>
        <v>1716.4488525390625</v>
      </c>
      <c r="L113" s="28">
        <f t="shared" ref="L113" si="174">IF(K113&lt;=IF(MONTH($C113)=4,$I$3,IF(MONTH($C113)=5,$I$4,IF(MONTH($C113)=6,$I$5,IF(MONTH($C113)=7,$I$6,"ERROR")))),1,0)</f>
        <v>1</v>
      </c>
      <c r="M113" s="28">
        <f t="shared" ref="M113" si="175">VLOOKUP($A113,$L$3:$M$7,2,FALSE)</f>
        <v>1</v>
      </c>
      <c r="N113" s="30">
        <f>VLOOKUP($C113,COS!$B$8:$H$991,5,FALSE)</f>
        <v>180.99517822265625</v>
      </c>
      <c r="O113" s="30">
        <f t="shared" ref="O113:O116" si="176">N113*DAY($C113)*86400/43560/1000</f>
        <v>10.769961018207646</v>
      </c>
      <c r="P113" s="30">
        <f>VLOOKUP($C113,COS!$B$8:$H$991,6,FALSE)</f>
        <v>566.2322998046875</v>
      </c>
      <c r="Q113" s="30">
        <f t="shared" ref="Q113:Q116" si="177">P113*DAY($C113)*86400/43560/1000</f>
        <v>33.693161641270663</v>
      </c>
      <c r="R113" s="30">
        <f>MIN(IF(MONTH($C113)=4,$S$3,IF(MONTH($C113)=5,$S$4,IF(MONTH($C113)=6,$S$5,IF(MONTH($C113)=7,$S$6,"ERROR")))),MAX(VLOOKUP($C113,COS!$B$8:$K$991,10,FALSE)-IF(MONTH($C113)=4,$Y$3,IF(MONTH($C113)=5,$Y$4,IF(MONTH($C113)=6,$Y$5,IF(MONTH($C113)=7,$Y$6,"ERROR")))),0),MAX(VLOOKUP($C113,COS!$B$8:$K$991,9,FALSE)-IF(MONTH($C113)=4,$V$3,IF(MONTH($C113)=5,$V$4,IF(MONTH($C113)=6,$V$5,IF(MONTH($C113)=7,$V$6,"ERROR"))))-VLOOKUP($C113,COS!$B$8:$K$991,6,FALSE)/2,0))</f>
        <v>929.328125</v>
      </c>
      <c r="S113" s="30">
        <f t="shared" ref="S113:S116" si="178">R113*DAY($C113)*86400/43560/1000</f>
        <v>55.298863636363642</v>
      </c>
      <c r="T113" s="30">
        <f t="shared" ref="T113:T116" si="179">(O113+Q113)/2+S113</f>
        <v>77.5304249661028</v>
      </c>
      <c r="U113" s="30" t="str">
        <f>IF(VLOOKUP($C113,COS!$B$8:$I$991,8,FALSE)=1,"UWFE","IBU")</f>
        <v>UWFE</v>
      </c>
      <c r="V113" s="30">
        <f t="shared" ref="V113" si="180">MIN(IF(IF($AA$3=2,AND(E113=1,G113=1,L113=1,L118=1,M113=1,U113="IBU"),AND(E113=1,G113=1,L113=1,L118=1,M113=1)),T113,0),I113)</f>
        <v>0</v>
      </c>
      <c r="W113" s="30"/>
      <c r="X113" s="30"/>
      <c r="Y113" s="30"/>
      <c r="Z113" s="30"/>
      <c r="AA113" s="30"/>
      <c r="AB113" s="31"/>
    </row>
    <row r="114" spans="1:28" x14ac:dyDescent="0.3">
      <c r="A114" s="32">
        <f>VLOOKUP(YEAR(C114),Flags!$A$13:$B$95,2,FALSE)</f>
        <v>5</v>
      </c>
      <c r="B114" s="24">
        <f t="shared" si="116"/>
        <v>1933</v>
      </c>
      <c r="C114" s="25">
        <v>12205</v>
      </c>
      <c r="D114" s="26">
        <f>VLOOKUP($C114,COS!$B$8:$H$991,3,FALSE)</f>
        <v>6501.3232421875</v>
      </c>
      <c r="E114" s="24">
        <f>IF(D114&gt;=IF(MONTH($C114)=4,$C$3,IF(MONTH($C114)=5,$C$4,IF(MONTH($C114)=6,$C$5,IF(MONTH($C114)=7,$C$6,"ERROR")))),1,0)</f>
        <v>1</v>
      </c>
      <c r="F114" s="26">
        <f>VLOOKUP($C114,COS!$B$8:$H$991,7,FALSE)</f>
        <v>51.829986572265625</v>
      </c>
      <c r="G114" s="24">
        <f>IF(F114&lt;=IF(MONTH($C114)=4,$F$3,IF(MONTH($C114)=5,$F$4,IF(MONTH($C114)=6,$F$5,IF(MONTH($C114)=7,$F$6,"ERROR")))),1,0)</f>
        <v>1</v>
      </c>
      <c r="H114" s="26">
        <f>IF(J114=1,D114-$C$4,0)</f>
        <v>501.3232421875</v>
      </c>
      <c r="I114" s="26">
        <f t="shared" si="136"/>
        <v>30.825164643595041</v>
      </c>
      <c r="J114" s="24">
        <f t="shared" si="173"/>
        <v>1</v>
      </c>
      <c r="K114" s="26">
        <f>VLOOKUP($C114,COS!$B$8:$H$991,2,FALSE)</f>
        <v>1691.36767578125</v>
      </c>
      <c r="L114" s="24">
        <f t="shared" si="129"/>
        <v>1</v>
      </c>
      <c r="M114" s="24">
        <f t="shared" si="130"/>
        <v>1</v>
      </c>
      <c r="N114" s="26">
        <f>VLOOKUP($C114,COS!$B$8:$H$991,5,FALSE)</f>
        <v>170.30894470214844</v>
      </c>
      <c r="O114" s="26">
        <f t="shared" si="176"/>
        <v>10.471888831272597</v>
      </c>
      <c r="P114" s="26">
        <f>VLOOKUP($C114,COS!$B$8:$H$991,6,FALSE)</f>
        <v>2197.37890625</v>
      </c>
      <c r="Q114" s="26">
        <f t="shared" si="177"/>
        <v>135.11156249999999</v>
      </c>
      <c r="R114" s="26">
        <f>MIN(IF(MONTH($C114)=4,$S$3,IF(MONTH($C114)=5,$S$4,IF(MONTH($C114)=6,$S$5,IF(MONTH($C114)=7,$S$6,"ERROR")))),MAX(VLOOKUP($C114,COS!$B$8:$K$991,10,FALSE)-IF(MONTH($C114)=4,$Y$3,IF(MONTH($C114)=5,$Y$4,IF(MONTH($C114)=6,$Y$5,IF(MONTH($C114)=7,$Y$6,"ERROR")))),0),MAX(VLOOKUP($C114,COS!$B$8:$K$991,9,FALSE)-IF(MONTH($C114)=4,$V$3,IF(MONTH($C114)=5,$V$4,IF(MONTH($C114)=6,$V$5,IF(MONTH($C114)=7,$V$6,"ERROR"))))-VLOOKUP($C114,COS!$B$8:$K$991,6,FALSE)/2,0))</f>
        <v>1500</v>
      </c>
      <c r="S114" s="26">
        <f t="shared" si="178"/>
        <v>92.231404958677686</v>
      </c>
      <c r="T114" s="26">
        <f t="shared" si="179"/>
        <v>165.02313062431398</v>
      </c>
      <c r="U114" s="26" t="str">
        <f>IF(VLOOKUP($C114,COS!$B$8:$I$991,8,FALSE)=1,"UWFE","IBU")</f>
        <v>UWFE</v>
      </c>
      <c r="V114" s="26">
        <f t="shared" ref="V114" si="181">MIN(IF(IF($AA$3=2,AND(E114=1,G114=1,L114=1,L118=1,M114=1,U114="IBU"),AND(E114=1,G114=1,L114=1,L118=1,M114=1)),T114,0),I114)</f>
        <v>0</v>
      </c>
      <c r="W114" s="26"/>
      <c r="X114" s="26"/>
      <c r="Y114" s="26"/>
      <c r="Z114" s="26"/>
      <c r="AA114" s="26"/>
      <c r="AB114" s="33"/>
    </row>
    <row r="115" spans="1:28" x14ac:dyDescent="0.3">
      <c r="A115" s="32">
        <f>VLOOKUP(YEAR(C115),Flags!$A$13:$B$95,2,FALSE)</f>
        <v>5</v>
      </c>
      <c r="B115" s="24">
        <f t="shared" si="116"/>
        <v>1933</v>
      </c>
      <c r="C115" s="25">
        <v>12235</v>
      </c>
      <c r="D115" s="26">
        <f>VLOOKUP($C115,COS!$B$8:$H$991,3,FALSE)</f>
        <v>7378.09228515625</v>
      </c>
      <c r="E115" s="24">
        <f>IF(D115&gt;=IF(MONTH($C115)=4,$C$3,IF(MONTH($C115)=5,$C$4,IF(MONTH($C115)=6,$C$5,IF(MONTH($C115)=7,$C$6,"ERROR")))),1,0)</f>
        <v>0</v>
      </c>
      <c r="F115" s="26">
        <f>VLOOKUP($C115,COS!$B$8:$H$991,7,FALSE)</f>
        <v>54.679584503173828</v>
      </c>
      <c r="G115" s="24">
        <f>IF(F115&lt;=IF(MONTH($C115)=4,$F$3,IF(MONTH($C115)=5,$F$4,IF(MONTH($C115)=6,$F$5,IF(MONTH($C115)=7,$F$6,"ERROR")))),1,0)</f>
        <v>1</v>
      </c>
      <c r="H115" s="26">
        <f>IF(J115=1,D115-$C$5,0)</f>
        <v>0</v>
      </c>
      <c r="I115" s="26">
        <f t="shared" si="136"/>
        <v>0</v>
      </c>
      <c r="J115" s="24">
        <f t="shared" si="173"/>
        <v>0</v>
      </c>
      <c r="K115" s="26">
        <f>VLOOKUP($C115,COS!$B$8:$H$991,2,FALSE)</f>
        <v>1503.1099853515625</v>
      </c>
      <c r="L115" s="24">
        <f t="shared" si="129"/>
        <v>1</v>
      </c>
      <c r="M115" s="24">
        <f t="shared" si="130"/>
        <v>1</v>
      </c>
      <c r="N115" s="26">
        <f>VLOOKUP($C115,COS!$B$8:$H$991,5,FALSE)</f>
        <v>210.99021911621094</v>
      </c>
      <c r="O115" s="26">
        <f t="shared" si="176"/>
        <v>12.55478989782412</v>
      </c>
      <c r="P115" s="26">
        <f>VLOOKUP($C115,COS!$B$8:$H$991,6,FALSE)</f>
        <v>2481.931884765625</v>
      </c>
      <c r="Q115" s="26">
        <f t="shared" si="177"/>
        <v>147.68520306043388</v>
      </c>
      <c r="R115" s="26">
        <f>MIN(IF(MONTH($C115)=4,$S$3,IF(MONTH($C115)=5,$S$4,IF(MONTH($C115)=6,$S$5,IF(MONTH($C115)=7,$S$6,"ERROR")))),MAX(VLOOKUP($C115,COS!$B$8:$K$991,10,FALSE)-IF(MONTH($C115)=4,$Y$3,IF(MONTH($C115)=5,$Y$4,IF(MONTH($C115)=6,$Y$5,IF(MONTH($C115)=7,$Y$6,"ERROR")))),0),MAX(VLOOKUP($C115,COS!$B$8:$K$991,9,FALSE)-IF(MONTH($C115)=4,$V$3,IF(MONTH($C115)=5,$V$4,IF(MONTH($C115)=6,$V$5,IF(MONTH($C115)=7,$V$6,"ERROR"))))-VLOOKUP($C115,COS!$B$8:$K$991,6,FALSE)/2,0))</f>
        <v>1500</v>
      </c>
      <c r="S115" s="26">
        <f t="shared" si="178"/>
        <v>89.256198347107429</v>
      </c>
      <c r="T115" s="26">
        <f t="shared" si="179"/>
        <v>169.37619482623643</v>
      </c>
      <c r="U115" s="26" t="str">
        <f>IF(VLOOKUP($C115,COS!$B$8:$I$991,8,FALSE)=1,"UWFE","IBU")</f>
        <v>IBU</v>
      </c>
      <c r="V115" s="26">
        <f t="shared" ref="V115" si="182">MIN(IF(IF($AA$3=2,AND(E115=1,G115=1,L115=1,L118=1,M115=1,U115="IBU"),AND(E115=1,G115=1,L115=1,L118=1,M115=1)),T115,0),I115)</f>
        <v>0</v>
      </c>
      <c r="W115" s="26"/>
      <c r="X115" s="26"/>
      <c r="Y115" s="26"/>
      <c r="Z115" s="26"/>
      <c r="AA115" s="26"/>
      <c r="AB115" s="33"/>
    </row>
    <row r="116" spans="1:28" x14ac:dyDescent="0.3">
      <c r="A116" s="32">
        <f>VLOOKUP(YEAR(C116),Flags!$A$13:$B$95,2,FALSE)</f>
        <v>5</v>
      </c>
      <c r="B116" s="24">
        <f t="shared" si="116"/>
        <v>1933</v>
      </c>
      <c r="C116" s="25">
        <v>12266</v>
      </c>
      <c r="D116" s="26">
        <f>VLOOKUP($C116,COS!$B$8:$H$991,3,FALSE)</f>
        <v>10174.720703125</v>
      </c>
      <c r="E116" s="24">
        <f>IF(D116&gt;=IF(MONTH($C116)=4,$C$3,IF(MONTH($C116)=5,$C$4,IF(MONTH($C116)=6,$C$5,IF(MONTH($C116)=7,$C$6,"ERROR")))),1,0)</f>
        <v>0</v>
      </c>
      <c r="F116" s="26">
        <f>VLOOKUP($C116,COS!$B$8:$H$991,7,FALSE)</f>
        <v>55.866065979003906</v>
      </c>
      <c r="G116" s="24">
        <f>IF(F116&lt;=IF(MONTH($C116)=4,$F$3,IF(MONTH($C116)=5,$F$4,IF(MONTH($C116)=6,$F$5,IF(MONTH($C116)=7,$F$6,"ERROR")))),1,0)</f>
        <v>0</v>
      </c>
      <c r="H116" s="26">
        <f>IF(J116=1,D116-$C$6,0)</f>
        <v>0</v>
      </c>
      <c r="I116" s="26">
        <f t="shared" si="136"/>
        <v>0</v>
      </c>
      <c r="J116" s="24">
        <f t="shared" si="173"/>
        <v>0</v>
      </c>
      <c r="K116" s="26">
        <f>VLOOKUP($C116,COS!$B$8:$H$991,2,FALSE)</f>
        <v>1036.812744140625</v>
      </c>
      <c r="L116" s="24">
        <f t="shared" si="129"/>
        <v>1</v>
      </c>
      <c r="M116" s="24">
        <f t="shared" si="130"/>
        <v>1</v>
      </c>
      <c r="N116" s="26">
        <f>VLOOKUP($C116,COS!$B$8:$H$991,5,FALSE)</f>
        <v>230.72744750976563</v>
      </c>
      <c r="O116" s="26">
        <f t="shared" si="176"/>
        <v>14.186877764236828</v>
      </c>
      <c r="P116" s="26">
        <f>VLOOKUP($C116,COS!$B$8:$H$991,6,FALSE)</f>
        <v>2281.4833984375</v>
      </c>
      <c r="Q116" s="26">
        <f t="shared" si="177"/>
        <v>140.28294615185951</v>
      </c>
      <c r="R116" s="26">
        <f>MIN(IF(MONTH($C116)=4,$S$3,IF(MONTH($C116)=5,$S$4,IF(MONTH($C116)=6,$S$5,IF(MONTH($C116)=7,$S$6,"ERROR")))),MAX(VLOOKUP($C116,COS!$B$8:$K$991,10,FALSE)-IF(MONTH($C116)=4,$Y$3,IF(MONTH($C116)=5,$Y$4,IF(MONTH($C116)=6,$Y$5,IF(MONTH($C116)=7,$Y$6,"ERROR")))),0),MAX(VLOOKUP($C116,COS!$B$8:$K$991,9,FALSE)-IF(MONTH($C116)=4,$V$3,IF(MONTH($C116)=5,$V$4,IF(MONTH($C116)=6,$V$5,IF(MONTH($C116)=7,$V$6,"ERROR"))))-VLOOKUP($C116,COS!$B$8:$K$991,6,FALSE)/2,0))</f>
        <v>1500</v>
      </c>
      <c r="S116" s="26">
        <f t="shared" si="178"/>
        <v>92.231404958677686</v>
      </c>
      <c r="T116" s="26">
        <f t="shared" si="179"/>
        <v>169.46631691672587</v>
      </c>
      <c r="U116" s="26" t="str">
        <f>IF(VLOOKUP($C116,COS!$B$8:$I$991,8,FALSE)=1,"UWFE","IBU")</f>
        <v>IBU</v>
      </c>
      <c r="V116" s="26">
        <f t="shared" ref="V116" si="183">MIN(IF(IF($AA$3=2,AND(E116=1,G116=1,L116=1,L118=1,M116=1,U116="IBU"),AND(E116=1,G116=1,L116=1,L118=1,M116=1)),T116,0),I116)</f>
        <v>0</v>
      </c>
      <c r="W116" s="26"/>
      <c r="X116" s="26"/>
      <c r="Y116" s="26"/>
      <c r="Z116" s="26"/>
      <c r="AA116" s="26"/>
      <c r="AB116" s="33"/>
    </row>
    <row r="117" spans="1:28" x14ac:dyDescent="0.3">
      <c r="A117" s="32">
        <f>VLOOKUP(YEAR(C117),Flags!$A$13:$B$95,2,FALSE)</f>
        <v>5</v>
      </c>
      <c r="B117" s="24">
        <f t="shared" si="116"/>
        <v>1933</v>
      </c>
      <c r="C117" s="25">
        <v>12297</v>
      </c>
      <c r="D117" s="26"/>
      <c r="E117" s="24"/>
      <c r="F117" s="26"/>
      <c r="G117" s="24"/>
      <c r="H117" s="24"/>
      <c r="I117" s="26"/>
      <c r="J117" s="24"/>
      <c r="K117" s="26"/>
      <c r="L117" s="24"/>
      <c r="M117" s="24"/>
      <c r="N117" s="26"/>
      <c r="O117" s="26"/>
      <c r="P117" s="26"/>
      <c r="Q117" s="26"/>
      <c r="R117" s="26"/>
      <c r="S117" s="26"/>
      <c r="T117" s="26"/>
      <c r="U117" s="26"/>
      <c r="V117" s="26"/>
      <c r="W117" s="26">
        <f>MAX($C$7-VLOOKUP($C117,COS!$B$8:$H$991,3,FALSE),0)</f>
        <v>91960.78125</v>
      </c>
      <c r="X117" s="26">
        <f t="shared" si="143"/>
        <v>5654.4480371900827</v>
      </c>
      <c r="Y117" s="26">
        <f>VLOOKUP($C117,COS!$B$8:$H$991,4,FALSE)</f>
        <v>1026.3896484375</v>
      </c>
      <c r="Z117" s="26">
        <f t="shared" si="144"/>
        <v>63.110239540289257</v>
      </c>
      <c r="AA117" s="26">
        <f t="shared" ref="AA117:AA121" si="184">MIN(W117,Y117)</f>
        <v>1026.3896484375</v>
      </c>
      <c r="AB117" s="33">
        <f t="shared" ref="AB117" si="185">AA117*DAY($C117)*86400/43560/1000*IF(MONTH($C117)=8,$P$3,IF(MONTH($C117)=9,$P$4,IF(MONTH($C117)=10,$P$5,IF(MONTH($C117)=11,$P$6,IF(MONTH($C117)=12,$P$7,NA())))))</f>
        <v>63.110239540289257</v>
      </c>
    </row>
    <row r="118" spans="1:28" x14ac:dyDescent="0.3">
      <c r="A118" s="32">
        <f>VLOOKUP(YEAR(C118),Flags!$A$13:$B$95,2,FALSE)</f>
        <v>5</v>
      </c>
      <c r="B118" s="24">
        <f t="shared" si="116"/>
        <v>1933</v>
      </c>
      <c r="C118" s="25">
        <v>12327</v>
      </c>
      <c r="D118" s="26"/>
      <c r="E118" s="24"/>
      <c r="F118" s="26"/>
      <c r="G118" s="24"/>
      <c r="H118" s="24"/>
      <c r="I118" s="26"/>
      <c r="J118" s="24"/>
      <c r="K118" s="26">
        <f>VLOOKUP($C118,COS!$B$8:$H$991,2,FALSE)</f>
        <v>614.1947021484375</v>
      </c>
      <c r="L118" s="24">
        <f t="shared" ref="L118" si="186">IF(AND(K118&gt;$I$7,K118&lt;$I$8),1,0)</f>
        <v>1</v>
      </c>
      <c r="M118" s="24"/>
      <c r="N118" s="26"/>
      <c r="O118" s="26"/>
      <c r="P118" s="26"/>
      <c r="Q118" s="26"/>
      <c r="R118" s="26"/>
      <c r="S118" s="26"/>
      <c r="T118" s="26"/>
      <c r="U118" s="26"/>
      <c r="V118" s="26"/>
      <c r="W118" s="26">
        <f>MAX($C$8-VLOOKUP($C118,COS!$B$8:$H$991,3,FALSE),0)</f>
        <v>95805.57763671875</v>
      </c>
      <c r="X118" s="26">
        <f t="shared" si="143"/>
        <v>5700.8277602014468</v>
      </c>
      <c r="Y118" s="26">
        <f>VLOOKUP($C118,COS!$B$8:$H$991,4,FALSE)</f>
        <v>1631.19287109375</v>
      </c>
      <c r="Z118" s="26">
        <f t="shared" si="144"/>
        <v>97.062716296487608</v>
      </c>
      <c r="AA118" s="26">
        <f t="shared" si="184"/>
        <v>1631.19287109375</v>
      </c>
      <c r="AB118" s="33">
        <f t="shared" si="141"/>
        <v>97.062716296487608</v>
      </c>
    </row>
    <row r="119" spans="1:28" x14ac:dyDescent="0.3">
      <c r="A119" s="32">
        <f>VLOOKUP(YEAR(C119),Flags!$A$13:$B$95,2,FALSE)</f>
        <v>5</v>
      </c>
      <c r="B119" s="24">
        <f t="shared" si="116"/>
        <v>1933</v>
      </c>
      <c r="C119" s="25">
        <v>12358</v>
      </c>
      <c r="D119" s="26"/>
      <c r="E119" s="24"/>
      <c r="F119" s="26"/>
      <c r="G119" s="26"/>
      <c r="H119" s="26"/>
      <c r="I119" s="26"/>
      <c r="J119" s="26"/>
      <c r="K119" s="26"/>
      <c r="L119" s="24"/>
      <c r="M119" s="24"/>
      <c r="N119" s="26"/>
      <c r="O119" s="26"/>
      <c r="P119" s="26"/>
      <c r="Q119" s="26"/>
      <c r="R119" s="26"/>
      <c r="S119" s="26"/>
      <c r="T119" s="26"/>
      <c r="U119" s="26"/>
      <c r="V119" s="26"/>
      <c r="W119" s="26">
        <f>MAX($C$9-VLOOKUP($C119,COS!$B$8:$H$991,3,FALSE),0)</f>
        <v>95686.974609375</v>
      </c>
      <c r="X119" s="26">
        <f t="shared" si="143"/>
        <v>5883.5627363119829</v>
      </c>
      <c r="Y119" s="26">
        <f>VLOOKUP($C119,COS!$B$8:$H$991,4,FALSE)</f>
        <v>1357.4503173828125</v>
      </c>
      <c r="Z119" s="26">
        <f t="shared" si="144"/>
        <v>83.466366622546488</v>
      </c>
      <c r="AA119" s="26">
        <f t="shared" si="184"/>
        <v>1357.4503173828125</v>
      </c>
      <c r="AB119" s="33">
        <f t="shared" si="141"/>
        <v>83.466366622546488</v>
      </c>
    </row>
    <row r="120" spans="1:28" x14ac:dyDescent="0.3">
      <c r="A120" s="32">
        <f>VLOOKUP(YEAR(C120),Flags!$A$13:$B$95,2,FALSE)</f>
        <v>5</v>
      </c>
      <c r="B120" s="24">
        <f t="shared" si="116"/>
        <v>1933</v>
      </c>
      <c r="C120" s="25">
        <v>12388</v>
      </c>
      <c r="D120" s="26"/>
      <c r="E120" s="24"/>
      <c r="F120" s="26"/>
      <c r="G120" s="26"/>
      <c r="H120" s="26"/>
      <c r="I120" s="26"/>
      <c r="J120" s="26"/>
      <c r="K120" s="26"/>
      <c r="L120" s="24"/>
      <c r="M120" s="24"/>
      <c r="N120" s="26"/>
      <c r="O120" s="26"/>
      <c r="P120" s="26"/>
      <c r="Q120" s="26"/>
      <c r="R120" s="26"/>
      <c r="S120" s="26"/>
      <c r="T120" s="26"/>
      <c r="U120" s="26"/>
      <c r="V120" s="26"/>
      <c r="W120" s="26">
        <f>MAX($C$10-VLOOKUP($C120,COS!$B$8:$H$991,3,FALSE),0)</f>
        <v>96749</v>
      </c>
      <c r="X120" s="26">
        <f t="shared" si="143"/>
        <v>5756.965289256198</v>
      </c>
      <c r="Y120" s="26">
        <f>VLOOKUP($C120,COS!$B$8:$H$991,4,FALSE)</f>
        <v>1382.873779296875</v>
      </c>
      <c r="Z120" s="26">
        <f t="shared" si="144"/>
        <v>82.286704222623968</v>
      </c>
      <c r="AA120" s="26">
        <f t="shared" si="184"/>
        <v>1382.873779296875</v>
      </c>
      <c r="AB120" s="33">
        <f t="shared" si="141"/>
        <v>41.143352111311984</v>
      </c>
    </row>
    <row r="121" spans="1:28" x14ac:dyDescent="0.3">
      <c r="A121" s="34">
        <f>VLOOKUP(YEAR(C121),Flags!$A$13:$B$95,2,FALSE)</f>
        <v>5</v>
      </c>
      <c r="B121" s="35">
        <f t="shared" si="116"/>
        <v>1933</v>
      </c>
      <c r="C121" s="36">
        <v>12419</v>
      </c>
      <c r="D121" s="37"/>
      <c r="E121" s="35"/>
      <c r="F121" s="37"/>
      <c r="G121" s="37"/>
      <c r="H121" s="37"/>
      <c r="I121" s="37"/>
      <c r="J121" s="37"/>
      <c r="K121" s="37"/>
      <c r="L121" s="35"/>
      <c r="M121" s="35"/>
      <c r="N121" s="37"/>
      <c r="O121" s="37"/>
      <c r="P121" s="37"/>
      <c r="Q121" s="37"/>
      <c r="R121" s="37"/>
      <c r="S121" s="37"/>
      <c r="T121" s="37"/>
      <c r="U121" s="37"/>
      <c r="V121" s="37"/>
      <c r="W121" s="37">
        <f>MAX($C$11-VLOOKUP($C121,COS!$B$8:$H$991,3,FALSE),0)</f>
        <v>0</v>
      </c>
      <c r="X121" s="37">
        <f t="shared" si="143"/>
        <v>0</v>
      </c>
      <c r="Y121" s="37">
        <f>VLOOKUP($C121,COS!$B$8:$H$991,4,FALSE)</f>
        <v>632.6298828125</v>
      </c>
      <c r="Z121" s="37">
        <f t="shared" si="144"/>
        <v>38.898895273760331</v>
      </c>
      <c r="AA121" s="37">
        <f t="shared" si="184"/>
        <v>0</v>
      </c>
      <c r="AB121" s="38">
        <f t="shared" si="141"/>
        <v>0</v>
      </c>
    </row>
    <row r="122" spans="1:28" x14ac:dyDescent="0.3">
      <c r="A122" s="27">
        <f>VLOOKUP(YEAR(C122),Flags!$A$13:$B$95,2,FALSE)</f>
        <v>5</v>
      </c>
      <c r="B122" s="28">
        <f t="shared" si="116"/>
        <v>1934</v>
      </c>
      <c r="C122" s="29">
        <v>12539</v>
      </c>
      <c r="D122" s="30">
        <f>VLOOKUP($C122,COS!$B$8:$H$991,3,FALSE)</f>
        <v>3250</v>
      </c>
      <c r="E122" s="28">
        <f>IF(D122&gt;=IF(MONTH($C122)=4,$C$3,IF(MONTH($C122)=5,$C$4,IF(MONTH($C122)=6,$C$5,IF(MONTH($C122)=7,$C$6,"ERROR")))),1,0)</f>
        <v>0</v>
      </c>
      <c r="F122" s="30">
        <f>VLOOKUP($C122,COS!$B$8:$H$991,7,FALSE)</f>
        <v>50.49676513671875</v>
      </c>
      <c r="G122" s="28">
        <f>IF(F122&lt;=IF(MONTH($C122)=4,$F$3,IF(MONTH($C122)=5,$F$4,IF(MONTH($C122)=6,$F$5,IF(MONTH($C122)=7,$F$6,"ERROR")))),1,0)</f>
        <v>1</v>
      </c>
      <c r="H122" s="30">
        <f>IF(J122=1,D122-$C$3,0)</f>
        <v>0</v>
      </c>
      <c r="I122" s="30">
        <f t="shared" si="136"/>
        <v>0</v>
      </c>
      <c r="J122" s="28">
        <f t="shared" ref="J122:J125" si="187">IF(AND(E122=1,G122=1),1,0)</f>
        <v>0</v>
      </c>
      <c r="K122" s="30">
        <f>VLOOKUP($C122,COS!$B$8:$H$991,2,FALSE)</f>
        <v>1640.1229248046875</v>
      </c>
      <c r="L122" s="28">
        <f t="shared" ref="L122" si="188">IF(K122&lt;=IF(MONTH($C122)=4,$I$3,IF(MONTH($C122)=5,$I$4,IF(MONTH($C122)=6,$I$5,IF(MONTH($C122)=7,$I$6,"ERROR")))),1,0)</f>
        <v>1</v>
      </c>
      <c r="M122" s="28">
        <f t="shared" ref="M122" si="189">VLOOKUP($A122,$L$3:$M$7,2,FALSE)</f>
        <v>1</v>
      </c>
      <c r="N122" s="30">
        <f>VLOOKUP($C122,COS!$B$8:$H$991,5,FALSE)</f>
        <v>162.71662902832031</v>
      </c>
      <c r="O122" s="30">
        <f t="shared" ref="O122:O125" si="190">N122*DAY($C122)*86400/43560/1000</f>
        <v>9.6823118099496384</v>
      </c>
      <c r="P122" s="30">
        <f>VLOOKUP($C122,COS!$B$8:$H$991,6,FALSE)</f>
        <v>521.53076171875</v>
      </c>
      <c r="Q122" s="30">
        <f t="shared" ref="Q122:Q125" si="191">P122*DAY($C122)*86400/43560/1000</f>
        <v>31.033235408057852</v>
      </c>
      <c r="R122" s="30">
        <f>MIN(IF(MONTH($C122)=4,$S$3,IF(MONTH($C122)=5,$S$4,IF(MONTH($C122)=6,$S$5,IF(MONTH($C122)=7,$S$6,"ERROR")))),MAX(VLOOKUP($C122,COS!$B$8:$K$991,10,FALSE)-IF(MONTH($C122)=4,$Y$3,IF(MONTH($C122)=5,$Y$4,IF(MONTH($C122)=6,$Y$5,IF(MONTH($C122)=7,$Y$6,"ERROR")))),0),MAX(VLOOKUP($C122,COS!$B$8:$K$991,9,FALSE)-IF(MONTH($C122)=4,$V$3,IF(MONTH($C122)=5,$V$4,IF(MONTH($C122)=6,$V$5,IF(MONTH($C122)=7,$V$6,"ERROR"))))-VLOOKUP($C122,COS!$B$8:$K$991,6,FALSE)/2,0))</f>
        <v>953.18115234375</v>
      </c>
      <c r="S122" s="30">
        <f t="shared" ref="S122:S125" si="192">R122*DAY($C122)*86400/43560/1000</f>
        <v>56.718217329545453</v>
      </c>
      <c r="T122" s="30">
        <f t="shared" ref="T122:T125" si="193">(O122+Q122)/2+S122</f>
        <v>77.075990938549197</v>
      </c>
      <c r="U122" s="30" t="str">
        <f>IF(VLOOKUP($C122,COS!$B$8:$I$991,8,FALSE)=1,"UWFE","IBU")</f>
        <v>UWFE</v>
      </c>
      <c r="V122" s="30">
        <f t="shared" ref="V122" si="194">MIN(IF(IF($AA$3=2,AND(E122=1,G122=1,L122=1,L127=1,M122=1,U122="IBU"),AND(E122=1,G122=1,L122=1,L127=1,M122=1)),T122,0),I122)</f>
        <v>0</v>
      </c>
      <c r="W122" s="30"/>
      <c r="X122" s="30"/>
      <c r="Y122" s="30"/>
      <c r="Z122" s="30"/>
      <c r="AA122" s="30"/>
      <c r="AB122" s="31"/>
    </row>
    <row r="123" spans="1:28" x14ac:dyDescent="0.3">
      <c r="A123" s="32">
        <f>VLOOKUP(YEAR(C123),Flags!$A$13:$B$95,2,FALSE)</f>
        <v>5</v>
      </c>
      <c r="B123" s="24">
        <f t="shared" si="116"/>
        <v>1934</v>
      </c>
      <c r="C123" s="25">
        <v>12570</v>
      </c>
      <c r="D123" s="26">
        <f>VLOOKUP($C123,COS!$B$8:$H$991,3,FALSE)</f>
        <v>6994.35986328125</v>
      </c>
      <c r="E123" s="24">
        <f>IF(D123&gt;=IF(MONTH($C123)=4,$C$3,IF(MONTH($C123)=5,$C$4,IF(MONTH($C123)=6,$C$5,IF(MONTH($C123)=7,$C$6,"ERROR")))),1,0)</f>
        <v>1</v>
      </c>
      <c r="F123" s="26">
        <f>VLOOKUP($C123,COS!$B$8:$H$991,7,FALSE)</f>
        <v>51.022247314453125</v>
      </c>
      <c r="G123" s="24">
        <f>IF(F123&lt;=IF(MONTH($C123)=4,$F$3,IF(MONTH($C123)=5,$F$4,IF(MONTH($C123)=6,$F$5,IF(MONTH($C123)=7,$F$6,"ERROR")))),1,0)</f>
        <v>1</v>
      </c>
      <c r="H123" s="26">
        <f>IF(J123=1,D123-$C$4,0)</f>
        <v>994.35986328125</v>
      </c>
      <c r="I123" s="26">
        <f t="shared" si="136"/>
        <v>61.140804816632233</v>
      </c>
      <c r="J123" s="24">
        <f t="shared" si="187"/>
        <v>1</v>
      </c>
      <c r="K123" s="26">
        <f>VLOOKUP($C123,COS!$B$8:$H$991,2,FALSE)</f>
        <v>1420.9012451171875</v>
      </c>
      <c r="L123" s="24">
        <f t="shared" si="129"/>
        <v>1</v>
      </c>
      <c r="M123" s="24">
        <f t="shared" si="130"/>
        <v>1</v>
      </c>
      <c r="N123" s="26">
        <f>VLOOKUP($C123,COS!$B$8:$H$991,5,FALSE)</f>
        <v>222.39739990234375</v>
      </c>
      <c r="O123" s="26">
        <f t="shared" si="190"/>
        <v>13.674683101433368</v>
      </c>
      <c r="P123" s="26">
        <f>VLOOKUP($C123,COS!$B$8:$H$991,6,FALSE)</f>
        <v>2243.647216796875</v>
      </c>
      <c r="Q123" s="26">
        <f t="shared" si="191"/>
        <v>137.95649002453513</v>
      </c>
      <c r="R123" s="26">
        <f>MIN(IF(MONTH($C123)=4,$S$3,IF(MONTH($C123)=5,$S$4,IF(MONTH($C123)=6,$S$5,IF(MONTH($C123)=7,$S$6,"ERROR")))),MAX(VLOOKUP($C123,COS!$B$8:$K$991,10,FALSE)-IF(MONTH($C123)=4,$Y$3,IF(MONTH($C123)=5,$Y$4,IF(MONTH($C123)=6,$Y$5,IF(MONTH($C123)=7,$Y$6,"ERROR")))),0),MAX(VLOOKUP($C123,COS!$B$8:$K$991,9,FALSE)-IF(MONTH($C123)=4,$V$3,IF(MONTH($C123)=5,$V$4,IF(MONTH($C123)=6,$V$5,IF(MONTH($C123)=7,$V$6,"ERROR"))))-VLOOKUP($C123,COS!$B$8:$K$991,6,FALSE)/2,0))</f>
        <v>1500</v>
      </c>
      <c r="S123" s="26">
        <f t="shared" si="192"/>
        <v>92.231404958677686</v>
      </c>
      <c r="T123" s="26">
        <f t="shared" si="193"/>
        <v>168.04699152166194</v>
      </c>
      <c r="U123" s="26" t="str">
        <f>IF(VLOOKUP($C123,COS!$B$8:$I$991,8,FALSE)=1,"UWFE","IBU")</f>
        <v>IBU</v>
      </c>
      <c r="V123" s="26">
        <f t="shared" ref="V123" si="195">MIN(IF(IF($AA$3=2,AND(E123=1,G123=1,L123=1,L127=1,M123=1,U123="IBU"),AND(E123=1,G123=1,L123=1,L127=1,M123=1)),T123,0),I123)</f>
        <v>61.140804816632233</v>
      </c>
      <c r="W123" s="26"/>
      <c r="X123" s="26"/>
      <c r="Y123" s="26"/>
      <c r="Z123" s="26"/>
      <c r="AA123" s="26"/>
      <c r="AB123" s="33"/>
    </row>
    <row r="124" spans="1:28" x14ac:dyDescent="0.3">
      <c r="A124" s="32">
        <f>VLOOKUP(YEAR(C124),Flags!$A$13:$B$95,2,FALSE)</f>
        <v>5</v>
      </c>
      <c r="B124" s="24">
        <f t="shared" si="116"/>
        <v>1934</v>
      </c>
      <c r="C124" s="25">
        <v>12600</v>
      </c>
      <c r="D124" s="26">
        <f>VLOOKUP($C124,COS!$B$8:$H$991,3,FALSE)</f>
        <v>8056.033203125</v>
      </c>
      <c r="E124" s="24">
        <f>IF(D124&gt;=IF(MONTH($C124)=4,$C$3,IF(MONTH($C124)=5,$C$4,IF(MONTH($C124)=6,$C$5,IF(MONTH($C124)=7,$C$6,"ERROR")))),1,0)</f>
        <v>0</v>
      </c>
      <c r="F124" s="26">
        <f>VLOOKUP($C124,COS!$B$8:$H$991,7,FALSE)</f>
        <v>54.752338409423828</v>
      </c>
      <c r="G124" s="24">
        <f>IF(F124&lt;=IF(MONTH($C124)=4,$F$3,IF(MONTH($C124)=5,$F$4,IF(MONTH($C124)=6,$F$5,IF(MONTH($C124)=7,$F$6,"ERROR")))),1,0)</f>
        <v>1</v>
      </c>
      <c r="H124" s="26">
        <f>IF(J124=1,D124-$C$5,0)</f>
        <v>0</v>
      </c>
      <c r="I124" s="26">
        <f t="shared" si="136"/>
        <v>0</v>
      </c>
      <c r="J124" s="24">
        <f t="shared" si="187"/>
        <v>0</v>
      </c>
      <c r="K124" s="26">
        <f>VLOOKUP($C124,COS!$B$8:$H$991,2,FALSE)</f>
        <v>1102.0863037109375</v>
      </c>
      <c r="L124" s="24">
        <f t="shared" si="129"/>
        <v>1</v>
      </c>
      <c r="M124" s="24">
        <f t="shared" si="130"/>
        <v>1</v>
      </c>
      <c r="N124" s="26">
        <f>VLOOKUP($C124,COS!$B$8:$H$991,5,FALSE)</f>
        <v>267.839599609375</v>
      </c>
      <c r="O124" s="26">
        <f t="shared" si="190"/>
        <v>15.937562951962809</v>
      </c>
      <c r="P124" s="26">
        <f>VLOOKUP($C124,COS!$B$8:$H$991,6,FALSE)</f>
        <v>2418.7939453125</v>
      </c>
      <c r="Q124" s="26">
        <f t="shared" si="191"/>
        <v>143.9282347623967</v>
      </c>
      <c r="R124" s="26">
        <f>MIN(IF(MONTH($C124)=4,$S$3,IF(MONTH($C124)=5,$S$4,IF(MONTH($C124)=6,$S$5,IF(MONTH($C124)=7,$S$6,"ERROR")))),MAX(VLOOKUP($C124,COS!$B$8:$K$991,10,FALSE)-IF(MONTH($C124)=4,$Y$3,IF(MONTH($C124)=5,$Y$4,IF(MONTH($C124)=6,$Y$5,IF(MONTH($C124)=7,$Y$6,"ERROR")))),0),MAX(VLOOKUP($C124,COS!$B$8:$K$991,9,FALSE)-IF(MONTH($C124)=4,$V$3,IF(MONTH($C124)=5,$V$4,IF(MONTH($C124)=6,$V$5,IF(MONTH($C124)=7,$V$6,"ERROR"))))-VLOOKUP($C124,COS!$B$8:$K$991,6,FALSE)/2,0))</f>
        <v>1500</v>
      </c>
      <c r="S124" s="26">
        <f t="shared" si="192"/>
        <v>89.256198347107429</v>
      </c>
      <c r="T124" s="26">
        <f t="shared" si="193"/>
        <v>169.18909720428718</v>
      </c>
      <c r="U124" s="26" t="str">
        <f>IF(VLOOKUP($C124,COS!$B$8:$I$991,8,FALSE)=1,"UWFE","IBU")</f>
        <v>IBU</v>
      </c>
      <c r="V124" s="26">
        <f t="shared" ref="V124" si="196">MIN(IF(IF($AA$3=2,AND(E124=1,G124=1,L124=1,L127=1,M124=1,U124="IBU"),AND(E124=1,G124=1,L124=1,L127=1,M124=1)),T124,0),I124)</f>
        <v>0</v>
      </c>
      <c r="W124" s="26"/>
      <c r="X124" s="26"/>
      <c r="Y124" s="26"/>
      <c r="Z124" s="26"/>
      <c r="AA124" s="26"/>
      <c r="AB124" s="33"/>
    </row>
    <row r="125" spans="1:28" x14ac:dyDescent="0.3">
      <c r="A125" s="32">
        <f>VLOOKUP(YEAR(C125),Flags!$A$13:$B$95,2,FALSE)</f>
        <v>5</v>
      </c>
      <c r="B125" s="24">
        <f t="shared" si="116"/>
        <v>1934</v>
      </c>
      <c r="C125" s="25">
        <v>12631</v>
      </c>
      <c r="D125" s="26">
        <f>VLOOKUP($C125,COS!$B$8:$H$991,3,FALSE)</f>
        <v>10945.8583984375</v>
      </c>
      <c r="E125" s="24">
        <f>IF(D125&gt;=IF(MONTH($C125)=4,$C$3,IF(MONTH($C125)=5,$C$4,IF(MONTH($C125)=6,$C$5,IF(MONTH($C125)=7,$C$6,"ERROR")))),1,0)</f>
        <v>0</v>
      </c>
      <c r="F125" s="26">
        <f>VLOOKUP($C125,COS!$B$8:$H$991,7,FALSE)</f>
        <v>56.054607391357422</v>
      </c>
      <c r="G125" s="24">
        <f>IF(F125&lt;=IF(MONTH($C125)=4,$F$3,IF(MONTH($C125)=5,$F$4,IF(MONTH($C125)=6,$F$5,IF(MONTH($C125)=7,$F$6,"ERROR")))),1,0)</f>
        <v>0</v>
      </c>
      <c r="H125" s="26">
        <f>IF(J125=1,D125-$C$6,0)</f>
        <v>0</v>
      </c>
      <c r="I125" s="26">
        <f t="shared" si="136"/>
        <v>0</v>
      </c>
      <c r="J125" s="24">
        <f t="shared" si="187"/>
        <v>0</v>
      </c>
      <c r="K125" s="26">
        <f>VLOOKUP($C125,COS!$B$8:$H$991,2,FALSE)</f>
        <v>650</v>
      </c>
      <c r="L125" s="24">
        <f t="shared" si="129"/>
        <v>1</v>
      </c>
      <c r="M125" s="24">
        <f t="shared" si="130"/>
        <v>1</v>
      </c>
      <c r="N125" s="26">
        <f>VLOOKUP($C125,COS!$B$8:$H$991,5,FALSE)</f>
        <v>306.08538818359375</v>
      </c>
      <c r="O125" s="26">
        <f t="shared" si="190"/>
        <v>18.820456926330063</v>
      </c>
      <c r="P125" s="26">
        <f>VLOOKUP($C125,COS!$B$8:$H$991,6,FALSE)</f>
        <v>2281.4833984375</v>
      </c>
      <c r="Q125" s="26">
        <f t="shared" si="191"/>
        <v>140.28294615185951</v>
      </c>
      <c r="R125" s="26">
        <f>MIN(IF(MONTH($C125)=4,$S$3,IF(MONTH($C125)=5,$S$4,IF(MONTH($C125)=6,$S$5,IF(MONTH($C125)=7,$S$6,"ERROR")))),MAX(VLOOKUP($C125,COS!$B$8:$K$991,10,FALSE)-IF(MONTH($C125)=4,$Y$3,IF(MONTH($C125)=5,$Y$4,IF(MONTH($C125)=6,$Y$5,IF(MONTH($C125)=7,$Y$6,"ERROR")))),0),MAX(VLOOKUP($C125,COS!$B$8:$K$991,9,FALSE)-IF(MONTH($C125)=4,$V$3,IF(MONTH($C125)=5,$V$4,IF(MONTH($C125)=6,$V$5,IF(MONTH($C125)=7,$V$6,"ERROR"))))-VLOOKUP($C125,COS!$B$8:$K$991,6,FALSE)/2,0))</f>
        <v>1500</v>
      </c>
      <c r="S125" s="26">
        <f t="shared" si="192"/>
        <v>92.231404958677686</v>
      </c>
      <c r="T125" s="26">
        <f t="shared" si="193"/>
        <v>171.78310649777245</v>
      </c>
      <c r="U125" s="26" t="str">
        <f>IF(VLOOKUP($C125,COS!$B$8:$I$991,8,FALSE)=1,"UWFE","IBU")</f>
        <v>IBU</v>
      </c>
      <c r="V125" s="26">
        <f t="shared" ref="V125" si="197">MIN(IF(IF($AA$3=2,AND(E125=1,G125=1,L125=1,L127=1,M125=1,U125="IBU"),AND(E125=1,G125=1,L125=1,L127=1,M125=1)),T125,0),I125)</f>
        <v>0</v>
      </c>
      <c r="W125" s="26"/>
      <c r="X125" s="26"/>
      <c r="Y125" s="26"/>
      <c r="Z125" s="26"/>
      <c r="AA125" s="26"/>
      <c r="AB125" s="33"/>
    </row>
    <row r="126" spans="1:28" x14ac:dyDescent="0.3">
      <c r="A126" s="32">
        <f>VLOOKUP(YEAR(C126),Flags!$A$13:$B$95,2,FALSE)</f>
        <v>5</v>
      </c>
      <c r="B126" s="24">
        <f t="shared" si="116"/>
        <v>1934</v>
      </c>
      <c r="C126" s="25">
        <v>12662</v>
      </c>
      <c r="D126" s="26"/>
      <c r="E126" s="24"/>
      <c r="F126" s="26"/>
      <c r="G126" s="24"/>
      <c r="H126" s="24"/>
      <c r="I126" s="26"/>
      <c r="J126" s="24"/>
      <c r="K126" s="26"/>
      <c r="L126" s="24"/>
      <c r="M126" s="24"/>
      <c r="N126" s="26"/>
      <c r="O126" s="26"/>
      <c r="P126" s="26"/>
      <c r="Q126" s="26"/>
      <c r="R126" s="26"/>
      <c r="S126" s="26"/>
      <c r="T126" s="26"/>
      <c r="U126" s="26"/>
      <c r="V126" s="26"/>
      <c r="W126" s="26">
        <f>MAX($C$7-VLOOKUP($C126,COS!$B$8:$H$991,3,FALSE),0)</f>
        <v>92824.48193359375</v>
      </c>
      <c r="X126" s="26">
        <f t="shared" si="143"/>
        <v>5707.5549221978308</v>
      </c>
      <c r="Y126" s="26">
        <f>VLOOKUP($C126,COS!$B$8:$H$991,4,FALSE)</f>
        <v>3029.425537109375</v>
      </c>
      <c r="Z126" s="26">
        <f t="shared" si="144"/>
        <v>186.27211567019629</v>
      </c>
      <c r="AA126" s="26">
        <f t="shared" ref="AA126:AA130" si="198">MIN(W126,Y126)</f>
        <v>3029.425537109375</v>
      </c>
      <c r="AB126" s="33">
        <f t="shared" ref="AB126" si="199">AA126*DAY($C126)*86400/43560/1000*IF(MONTH($C126)=8,$P$3,IF(MONTH($C126)=9,$P$4,IF(MONTH($C126)=10,$P$5,IF(MONTH($C126)=11,$P$6,IF(MONTH($C126)=12,$P$7,NA())))))</f>
        <v>186.27211567019629</v>
      </c>
    </row>
    <row r="127" spans="1:28" x14ac:dyDescent="0.3">
      <c r="A127" s="32">
        <f>VLOOKUP(YEAR(C127),Flags!$A$13:$B$95,2,FALSE)</f>
        <v>5</v>
      </c>
      <c r="B127" s="24">
        <f t="shared" si="116"/>
        <v>1934</v>
      </c>
      <c r="C127" s="25">
        <v>12692</v>
      </c>
      <c r="D127" s="26"/>
      <c r="E127" s="24"/>
      <c r="F127" s="26"/>
      <c r="G127" s="24"/>
      <c r="H127" s="24"/>
      <c r="I127" s="26"/>
      <c r="J127" s="24"/>
      <c r="K127" s="26">
        <f>VLOOKUP($C127,COS!$B$8:$H$991,2,FALSE)</f>
        <v>550</v>
      </c>
      <c r="L127" s="24">
        <f t="shared" ref="L127" si="200">IF(AND(K127&gt;$I$7,K127&lt;$I$8),1,0)</f>
        <v>1</v>
      </c>
      <c r="M127" s="24"/>
      <c r="N127" s="26"/>
      <c r="O127" s="26"/>
      <c r="P127" s="26"/>
      <c r="Q127" s="26"/>
      <c r="R127" s="26"/>
      <c r="S127" s="26"/>
      <c r="T127" s="26"/>
      <c r="U127" s="26"/>
      <c r="V127" s="26"/>
      <c r="W127" s="26">
        <f>MAX($C$8-VLOOKUP($C127,COS!$B$8:$H$991,3,FALSE),0)</f>
        <v>96065.62744140625</v>
      </c>
      <c r="X127" s="26">
        <f t="shared" si="143"/>
        <v>5716.3017981663224</v>
      </c>
      <c r="Y127" s="26">
        <f>VLOOKUP($C127,COS!$B$8:$H$991,4,FALSE)</f>
        <v>1900.230224609375</v>
      </c>
      <c r="Z127" s="26">
        <f t="shared" si="144"/>
        <v>113.07155055526859</v>
      </c>
      <c r="AA127" s="26">
        <f t="shared" si="198"/>
        <v>1900.230224609375</v>
      </c>
      <c r="AB127" s="33">
        <f t="shared" si="141"/>
        <v>113.07155055526859</v>
      </c>
    </row>
    <row r="128" spans="1:28" x14ac:dyDescent="0.3">
      <c r="A128" s="32">
        <f>VLOOKUP(YEAR(C128),Flags!$A$13:$B$95,2,FALSE)</f>
        <v>5</v>
      </c>
      <c r="B128" s="24">
        <f t="shared" si="116"/>
        <v>1934</v>
      </c>
      <c r="C128" s="25">
        <v>12723</v>
      </c>
      <c r="D128" s="26"/>
      <c r="E128" s="24"/>
      <c r="F128" s="26"/>
      <c r="G128" s="26"/>
      <c r="H128" s="26"/>
      <c r="I128" s="26"/>
      <c r="J128" s="26"/>
      <c r="K128" s="26"/>
      <c r="L128" s="24"/>
      <c r="M128" s="24"/>
      <c r="N128" s="26"/>
      <c r="O128" s="26"/>
      <c r="P128" s="26"/>
      <c r="Q128" s="26"/>
      <c r="R128" s="26"/>
      <c r="S128" s="26"/>
      <c r="T128" s="26"/>
      <c r="U128" s="26"/>
      <c r="V128" s="26"/>
      <c r="W128" s="26">
        <f>MAX($C$9-VLOOKUP($C128,COS!$B$8:$H$991,3,FALSE),0)</f>
        <v>97296.357666015625</v>
      </c>
      <c r="X128" s="26">
        <f t="shared" si="143"/>
        <v>5982.5198432657544</v>
      </c>
      <c r="Y128" s="26">
        <f>VLOOKUP($C128,COS!$B$8:$H$991,4,FALSE)</f>
        <v>1445.2672119140625</v>
      </c>
      <c r="Z128" s="26">
        <f t="shared" si="144"/>
        <v>88.866016997029959</v>
      </c>
      <c r="AA128" s="26">
        <f t="shared" si="198"/>
        <v>1445.2672119140625</v>
      </c>
      <c r="AB128" s="33">
        <f t="shared" si="141"/>
        <v>88.866016997029959</v>
      </c>
    </row>
    <row r="129" spans="1:28" x14ac:dyDescent="0.3">
      <c r="A129" s="32">
        <f>VLOOKUP(YEAR(C129),Flags!$A$13:$B$95,2,FALSE)</f>
        <v>5</v>
      </c>
      <c r="B129" s="24">
        <f t="shared" si="116"/>
        <v>1934</v>
      </c>
      <c r="C129" s="25">
        <v>12753</v>
      </c>
      <c r="D129" s="26"/>
      <c r="E129" s="24"/>
      <c r="F129" s="26"/>
      <c r="G129" s="26"/>
      <c r="H129" s="26"/>
      <c r="I129" s="26"/>
      <c r="J129" s="26"/>
      <c r="K129" s="26"/>
      <c r="L129" s="24"/>
      <c r="M129" s="24"/>
      <c r="N129" s="26"/>
      <c r="O129" s="26"/>
      <c r="P129" s="26"/>
      <c r="Q129" s="26"/>
      <c r="R129" s="26"/>
      <c r="S129" s="26"/>
      <c r="T129" s="26"/>
      <c r="U129" s="26"/>
      <c r="V129" s="26"/>
      <c r="W129" s="26">
        <f>MAX($C$10-VLOOKUP($C129,COS!$B$8:$H$991,3,FALSE),0)</f>
        <v>96749</v>
      </c>
      <c r="X129" s="26">
        <f t="shared" si="143"/>
        <v>5756.965289256198</v>
      </c>
      <c r="Y129" s="26">
        <f>VLOOKUP($C129,COS!$B$8:$H$991,4,FALSE)</f>
        <v>2579.600341796875</v>
      </c>
      <c r="Z129" s="26">
        <f t="shared" si="144"/>
        <v>153.49687984245867</v>
      </c>
      <c r="AA129" s="26">
        <f t="shared" si="198"/>
        <v>2579.600341796875</v>
      </c>
      <c r="AB129" s="33">
        <f t="shared" si="141"/>
        <v>76.748439921229334</v>
      </c>
    </row>
    <row r="130" spans="1:28" x14ac:dyDescent="0.3">
      <c r="A130" s="34">
        <f>VLOOKUP(YEAR(C130),Flags!$A$13:$B$95,2,FALSE)</f>
        <v>5</v>
      </c>
      <c r="B130" s="35">
        <f t="shared" si="116"/>
        <v>1934</v>
      </c>
      <c r="C130" s="36">
        <v>12784</v>
      </c>
      <c r="D130" s="37"/>
      <c r="E130" s="35"/>
      <c r="F130" s="37"/>
      <c r="G130" s="37"/>
      <c r="H130" s="37"/>
      <c r="I130" s="37"/>
      <c r="J130" s="37"/>
      <c r="K130" s="37"/>
      <c r="L130" s="35"/>
      <c r="M130" s="35"/>
      <c r="N130" s="37"/>
      <c r="O130" s="37"/>
      <c r="P130" s="37"/>
      <c r="Q130" s="37"/>
      <c r="R130" s="37"/>
      <c r="S130" s="37"/>
      <c r="T130" s="37"/>
      <c r="U130" s="37"/>
      <c r="V130" s="37"/>
      <c r="W130" s="37">
        <f>MAX($C$11-VLOOKUP($C130,COS!$B$8:$H$991,3,FALSE),0)</f>
        <v>0</v>
      </c>
      <c r="X130" s="37">
        <f t="shared" si="143"/>
        <v>0</v>
      </c>
      <c r="Y130" s="37">
        <f>VLOOKUP($C130,COS!$B$8:$H$991,4,FALSE)</f>
        <v>0</v>
      </c>
      <c r="Z130" s="37">
        <f t="shared" si="144"/>
        <v>0</v>
      </c>
      <c r="AA130" s="37">
        <f t="shared" si="198"/>
        <v>0</v>
      </c>
      <c r="AB130" s="38">
        <f t="shared" si="141"/>
        <v>0</v>
      </c>
    </row>
    <row r="131" spans="1:28" x14ac:dyDescent="0.3">
      <c r="A131" s="27">
        <f>VLOOKUP(YEAR(C131),Flags!$A$13:$B$95,2,FALSE)</f>
        <v>4</v>
      </c>
      <c r="B131" s="28">
        <f t="shared" si="116"/>
        <v>1935</v>
      </c>
      <c r="C131" s="29">
        <v>12904</v>
      </c>
      <c r="D131" s="30">
        <f>VLOOKUP($C131,COS!$B$8:$H$991,3,FALSE)</f>
        <v>3250</v>
      </c>
      <c r="E131" s="28">
        <f>IF(D131&gt;=IF(MONTH($C131)=4,$C$3,IF(MONTH($C131)=5,$C$4,IF(MONTH($C131)=6,$C$5,IF(MONTH($C131)=7,$C$6,"ERROR")))),1,0)</f>
        <v>0</v>
      </c>
      <c r="F131" s="30">
        <f>VLOOKUP($C131,COS!$B$8:$H$991,7,FALSE)</f>
        <v>49.358055114746094</v>
      </c>
      <c r="G131" s="28">
        <f>IF(F131&lt;=IF(MONTH($C131)=4,$F$3,IF(MONTH($C131)=5,$F$4,IF(MONTH($C131)=6,$F$5,IF(MONTH($C131)=7,$F$6,"ERROR")))),1,0)</f>
        <v>1</v>
      </c>
      <c r="H131" s="30">
        <f>IF(J131=1,D131-$C$3,0)</f>
        <v>0</v>
      </c>
      <c r="I131" s="30">
        <f t="shared" si="136"/>
        <v>0</v>
      </c>
      <c r="J131" s="28">
        <f t="shared" ref="J131:J134" si="201">IF(AND(E131=1,G131=1),1,0)</f>
        <v>0</v>
      </c>
      <c r="K131" s="30">
        <f>VLOOKUP($C131,COS!$B$8:$H$991,2,FALSE)</f>
        <v>2701.329833984375</v>
      </c>
      <c r="L131" s="28">
        <f t="shared" ref="L131" si="202">IF(K131&lt;=IF(MONTH($C131)=4,$I$3,IF(MONTH($C131)=5,$I$4,IF(MONTH($C131)=6,$I$5,IF(MONTH($C131)=7,$I$6,"ERROR")))),1,0)</f>
        <v>1</v>
      </c>
      <c r="M131" s="28">
        <f t="shared" ref="M131" si="203">VLOOKUP($A131,$L$3:$M$7,2,FALSE)</f>
        <v>1</v>
      </c>
      <c r="N131" s="30">
        <f>VLOOKUP($C131,COS!$B$8:$H$991,5,FALSE)</f>
        <v>1.3366308212280273</v>
      </c>
      <c r="O131" s="30">
        <f t="shared" ref="O131:O134" si="204">N131*DAY($C131)*86400/43560/1000</f>
        <v>7.9535057130923945E-2</v>
      </c>
      <c r="P131" s="30">
        <f>VLOOKUP($C131,COS!$B$8:$H$991,6,FALSE)</f>
        <v>295.18359375</v>
      </c>
      <c r="Q131" s="30">
        <f t="shared" ref="Q131:Q134" si="205">P131*DAY($C131)*86400/43560/1000</f>
        <v>17.564643595041321</v>
      </c>
      <c r="R131" s="30">
        <f>MIN(IF(MONTH($C131)=4,$S$3,IF(MONTH($C131)=5,$S$4,IF(MONTH($C131)=6,$S$5,IF(MONTH($C131)=7,$S$6,"ERROR")))),MAX(VLOOKUP($C131,COS!$B$8:$K$991,10,FALSE)-IF(MONTH($C131)=4,$Y$3,IF(MONTH($C131)=5,$Y$4,IF(MONTH($C131)=6,$Y$5,IF(MONTH($C131)=7,$Y$6,"ERROR")))),0),MAX(VLOOKUP($C131,COS!$B$8:$K$991,9,FALSE)-IF(MONTH($C131)=4,$V$3,IF(MONTH($C131)=5,$V$4,IF(MONTH($C131)=6,$V$5,IF(MONTH($C131)=7,$V$6,"ERROR"))))-VLOOKUP($C131,COS!$B$8:$K$991,6,FALSE)/2,0))</f>
        <v>1500</v>
      </c>
      <c r="S131" s="30">
        <f t="shared" ref="S131:S134" si="206">R131*DAY($C131)*86400/43560/1000</f>
        <v>89.256198347107429</v>
      </c>
      <c r="T131" s="30">
        <f t="shared" ref="T131:T134" si="207">(O131+Q131)/2+S131</f>
        <v>98.078287673193557</v>
      </c>
      <c r="U131" s="30" t="str">
        <f>IF(VLOOKUP($C131,COS!$B$8:$I$991,8,FALSE)=1,"UWFE","IBU")</f>
        <v>UWFE</v>
      </c>
      <c r="V131" s="30">
        <f t="shared" ref="V131" si="208">MIN(IF(IF($AA$3=2,AND(E131=1,G131=1,L131=1,L136=1,M131=1,U131="IBU"),AND(E131=1,G131=1,L131=1,L136=1,M131=1)),T131,0),I131)</f>
        <v>0</v>
      </c>
      <c r="W131" s="30"/>
      <c r="X131" s="30"/>
      <c r="Y131" s="30"/>
      <c r="Z131" s="30"/>
      <c r="AA131" s="30"/>
      <c r="AB131" s="31"/>
    </row>
    <row r="132" spans="1:28" x14ac:dyDescent="0.3">
      <c r="A132" s="32">
        <f>VLOOKUP(YEAR(C132),Flags!$A$13:$B$95,2,FALSE)</f>
        <v>4</v>
      </c>
      <c r="B132" s="24">
        <f t="shared" si="116"/>
        <v>1935</v>
      </c>
      <c r="C132" s="25">
        <v>12935</v>
      </c>
      <c r="D132" s="26">
        <f>VLOOKUP($C132,COS!$B$8:$H$991,3,FALSE)</f>
        <v>3785.33349609375</v>
      </c>
      <c r="E132" s="24">
        <f>IF(D132&gt;=IF(MONTH($C132)=4,$C$3,IF(MONTH($C132)=5,$C$4,IF(MONTH($C132)=6,$C$5,IF(MONTH($C132)=7,$C$6,"ERROR")))),1,0)</f>
        <v>0</v>
      </c>
      <c r="F132" s="26">
        <f>VLOOKUP($C132,COS!$B$8:$H$991,7,FALSE)</f>
        <v>51.774246215820313</v>
      </c>
      <c r="G132" s="24">
        <f>IF(F132&lt;=IF(MONTH($C132)=4,$F$3,IF(MONTH($C132)=5,$F$4,IF(MONTH($C132)=6,$F$5,IF(MONTH($C132)=7,$F$6,"ERROR")))),1,0)</f>
        <v>1</v>
      </c>
      <c r="H132" s="26">
        <f>IF(J132=1,D132-$C$4,0)</f>
        <v>0</v>
      </c>
      <c r="I132" s="26">
        <f t="shared" si="136"/>
        <v>0</v>
      </c>
      <c r="J132" s="24">
        <f t="shared" si="201"/>
        <v>0</v>
      </c>
      <c r="K132" s="26">
        <f>VLOOKUP($C132,COS!$B$8:$H$991,2,FALSE)</f>
        <v>2993.270751953125</v>
      </c>
      <c r="L132" s="24">
        <f t="shared" si="129"/>
        <v>1</v>
      </c>
      <c r="M132" s="24">
        <f t="shared" si="130"/>
        <v>1</v>
      </c>
      <c r="N132" s="26">
        <f>VLOOKUP($C132,COS!$B$8:$H$991,5,FALSE)</f>
        <v>70.798858642578125</v>
      </c>
      <c r="O132" s="26">
        <f t="shared" si="204"/>
        <v>4.3532521347172004</v>
      </c>
      <c r="P132" s="26">
        <f>VLOOKUP($C132,COS!$B$8:$H$991,6,FALSE)</f>
        <v>2185.40966796875</v>
      </c>
      <c r="Q132" s="26">
        <f t="shared" si="205"/>
        <v>134.37560272469008</v>
      </c>
      <c r="R132" s="26">
        <f>MIN(IF(MONTH($C132)=4,$S$3,IF(MONTH($C132)=5,$S$4,IF(MONTH($C132)=6,$S$5,IF(MONTH($C132)=7,$S$6,"ERROR")))),MAX(VLOOKUP($C132,COS!$B$8:$K$991,10,FALSE)-IF(MONTH($C132)=4,$Y$3,IF(MONTH($C132)=5,$Y$4,IF(MONTH($C132)=6,$Y$5,IF(MONTH($C132)=7,$Y$6,"ERROR")))),0),MAX(VLOOKUP($C132,COS!$B$8:$K$991,9,FALSE)-IF(MONTH($C132)=4,$V$3,IF(MONTH($C132)=5,$V$4,IF(MONTH($C132)=6,$V$5,IF(MONTH($C132)=7,$V$6,"ERROR"))))-VLOOKUP($C132,COS!$B$8:$K$991,6,FALSE)/2,0))</f>
        <v>1500</v>
      </c>
      <c r="S132" s="26">
        <f t="shared" si="206"/>
        <v>92.231404958677686</v>
      </c>
      <c r="T132" s="26">
        <f t="shared" si="207"/>
        <v>161.59583238838133</v>
      </c>
      <c r="U132" s="26" t="str">
        <f>IF(VLOOKUP($C132,COS!$B$8:$I$991,8,FALSE)=1,"UWFE","IBU")</f>
        <v>UWFE</v>
      </c>
      <c r="V132" s="26">
        <f t="shared" ref="V132" si="209">MIN(IF(IF($AA$3=2,AND(E132=1,G132=1,L132=1,L136=1,M132=1,U132="IBU"),AND(E132=1,G132=1,L132=1,L136=1,M132=1)),T132,0),I132)</f>
        <v>0</v>
      </c>
      <c r="W132" s="26"/>
      <c r="X132" s="26"/>
      <c r="Y132" s="26"/>
      <c r="Z132" s="26"/>
      <c r="AA132" s="26"/>
      <c r="AB132" s="33"/>
    </row>
    <row r="133" spans="1:28" x14ac:dyDescent="0.3">
      <c r="A133" s="32">
        <f>VLOOKUP(YEAR(C133),Flags!$A$13:$B$95,2,FALSE)</f>
        <v>4</v>
      </c>
      <c r="B133" s="24">
        <f t="shared" si="116"/>
        <v>1935</v>
      </c>
      <c r="C133" s="25">
        <v>12965</v>
      </c>
      <c r="D133" s="26">
        <f>VLOOKUP($C133,COS!$B$8:$H$991,3,FALSE)</f>
        <v>8129.7919921875</v>
      </c>
      <c r="E133" s="24">
        <f>IF(D133&gt;=IF(MONTH($C133)=4,$C$3,IF(MONTH($C133)=5,$C$4,IF(MONTH($C133)=6,$C$5,IF(MONTH($C133)=7,$C$6,"ERROR")))),1,0)</f>
        <v>0</v>
      </c>
      <c r="F133" s="26">
        <f>VLOOKUP($C133,COS!$B$8:$H$991,7,FALSE)</f>
        <v>51.700939178466797</v>
      </c>
      <c r="G133" s="24">
        <f>IF(F133&lt;=IF(MONTH($C133)=4,$F$3,IF(MONTH($C133)=5,$F$4,IF(MONTH($C133)=6,$F$5,IF(MONTH($C133)=7,$F$6,"ERROR")))),1,0)</f>
        <v>1</v>
      </c>
      <c r="H133" s="26">
        <f>IF(J133=1,D133-$C$5,0)</f>
        <v>0</v>
      </c>
      <c r="I133" s="26">
        <f t="shared" si="136"/>
        <v>0</v>
      </c>
      <c r="J133" s="24">
        <f t="shared" si="201"/>
        <v>0</v>
      </c>
      <c r="K133" s="26">
        <f>VLOOKUP($C133,COS!$B$8:$H$991,2,FALSE)</f>
        <v>2742.553466796875</v>
      </c>
      <c r="L133" s="24">
        <f t="shared" si="129"/>
        <v>1</v>
      </c>
      <c r="M133" s="24">
        <f t="shared" si="130"/>
        <v>1</v>
      </c>
      <c r="N133" s="26">
        <f>VLOOKUP($C133,COS!$B$8:$H$991,5,FALSE)</f>
        <v>355.03094482421875</v>
      </c>
      <c r="O133" s="26">
        <f t="shared" si="204"/>
        <v>21.125808287060952</v>
      </c>
      <c r="P133" s="26">
        <f>VLOOKUP($C133,COS!$B$8:$H$991,6,FALSE)</f>
        <v>2600.013916015625</v>
      </c>
      <c r="Q133" s="26">
        <f t="shared" si="205"/>
        <v>154.71157186208677</v>
      </c>
      <c r="R133" s="26">
        <f>MIN(IF(MONTH($C133)=4,$S$3,IF(MONTH($C133)=5,$S$4,IF(MONTH($C133)=6,$S$5,IF(MONTH($C133)=7,$S$6,"ERROR")))),MAX(VLOOKUP($C133,COS!$B$8:$K$991,10,FALSE)-IF(MONTH($C133)=4,$Y$3,IF(MONTH($C133)=5,$Y$4,IF(MONTH($C133)=6,$Y$5,IF(MONTH($C133)=7,$Y$6,"ERROR")))),0),MAX(VLOOKUP($C133,COS!$B$8:$K$991,9,FALSE)-IF(MONTH($C133)=4,$V$3,IF(MONTH($C133)=5,$V$4,IF(MONTH($C133)=6,$V$5,IF(MONTH($C133)=7,$V$6,"ERROR"))))-VLOOKUP($C133,COS!$B$8:$K$991,6,FALSE)/2,0))</f>
        <v>1500</v>
      </c>
      <c r="S133" s="26">
        <f t="shared" si="206"/>
        <v>89.256198347107429</v>
      </c>
      <c r="T133" s="26">
        <f t="shared" si="207"/>
        <v>177.17488842168129</v>
      </c>
      <c r="U133" s="26" t="str">
        <f>IF(VLOOKUP($C133,COS!$B$8:$I$991,8,FALSE)=1,"UWFE","IBU")</f>
        <v>IBU</v>
      </c>
      <c r="V133" s="26">
        <f t="shared" ref="V133" si="210">MIN(IF(IF($AA$3=2,AND(E133=1,G133=1,L133=1,L136=1,M133=1,U133="IBU"),AND(E133=1,G133=1,L133=1,L136=1,M133=1)),T133,0),I133)</f>
        <v>0</v>
      </c>
      <c r="W133" s="26"/>
      <c r="X133" s="26"/>
      <c r="Y133" s="26"/>
      <c r="Z133" s="26"/>
      <c r="AA133" s="26"/>
      <c r="AB133" s="33"/>
    </row>
    <row r="134" spans="1:28" x14ac:dyDescent="0.3">
      <c r="A134" s="32">
        <f>VLOOKUP(YEAR(C134),Flags!$A$13:$B$95,2,FALSE)</f>
        <v>4</v>
      </c>
      <c r="B134" s="24">
        <f t="shared" si="116"/>
        <v>1935</v>
      </c>
      <c r="C134" s="25">
        <v>12996</v>
      </c>
      <c r="D134" s="26">
        <f>VLOOKUP($C134,COS!$B$8:$H$991,3,FALSE)</f>
        <v>9552.029296875</v>
      </c>
      <c r="E134" s="24">
        <f>IF(D134&gt;=IF(MONTH($C134)=4,$C$3,IF(MONTH($C134)=5,$C$4,IF(MONTH($C134)=6,$C$5,IF(MONTH($C134)=7,$C$6,"ERROR")))),1,0)</f>
        <v>0</v>
      </c>
      <c r="F134" s="26">
        <f>VLOOKUP($C134,COS!$B$8:$H$991,7,FALSE)</f>
        <v>53.422840118408203</v>
      </c>
      <c r="G134" s="24">
        <f>IF(F134&lt;=IF(MONTH($C134)=4,$F$3,IF(MONTH($C134)=5,$F$4,IF(MONTH($C134)=6,$F$5,IF(MONTH($C134)=7,$F$6,"ERROR")))),1,0)</f>
        <v>1</v>
      </c>
      <c r="H134" s="26">
        <f>IF(J134=1,D134-$C$6,0)</f>
        <v>0</v>
      </c>
      <c r="I134" s="26">
        <f t="shared" si="136"/>
        <v>0</v>
      </c>
      <c r="J134" s="24">
        <f t="shared" si="201"/>
        <v>0</v>
      </c>
      <c r="K134" s="26">
        <f>VLOOKUP($C134,COS!$B$8:$H$991,2,FALSE)</f>
        <v>2381.828857421875</v>
      </c>
      <c r="L134" s="24">
        <f t="shared" si="129"/>
        <v>1</v>
      </c>
      <c r="M134" s="24">
        <f t="shared" si="130"/>
        <v>1</v>
      </c>
      <c r="N134" s="26">
        <f>VLOOKUP($C134,COS!$B$8:$H$991,5,FALSE)</f>
        <v>386.67288208007813</v>
      </c>
      <c r="O134" s="26">
        <f t="shared" si="204"/>
        <v>23.775588782444473</v>
      </c>
      <c r="P134" s="26">
        <f>VLOOKUP($C134,COS!$B$8:$H$991,6,FALSE)</f>
        <v>2632.5888671875</v>
      </c>
      <c r="Q134" s="26">
        <f t="shared" si="205"/>
        <v>161.87157993285126</v>
      </c>
      <c r="R134" s="26">
        <f>MIN(IF(MONTH($C134)=4,$S$3,IF(MONTH($C134)=5,$S$4,IF(MONTH($C134)=6,$S$5,IF(MONTH($C134)=7,$S$6,"ERROR")))),MAX(VLOOKUP($C134,COS!$B$8:$K$991,10,FALSE)-IF(MONTH($C134)=4,$Y$3,IF(MONTH($C134)=5,$Y$4,IF(MONTH($C134)=6,$Y$5,IF(MONTH($C134)=7,$Y$6,"ERROR")))),0),MAX(VLOOKUP($C134,COS!$B$8:$K$991,9,FALSE)-IF(MONTH($C134)=4,$V$3,IF(MONTH($C134)=5,$V$4,IF(MONTH($C134)=6,$V$5,IF(MONTH($C134)=7,$V$6,"ERROR"))))-VLOOKUP($C134,COS!$B$8:$K$991,6,FALSE)/2,0))</f>
        <v>1500</v>
      </c>
      <c r="S134" s="26">
        <f t="shared" si="206"/>
        <v>92.231404958677686</v>
      </c>
      <c r="T134" s="26">
        <f t="shared" si="207"/>
        <v>185.05498931632553</v>
      </c>
      <c r="U134" s="26" t="str">
        <f>IF(VLOOKUP($C134,COS!$B$8:$I$991,8,FALSE)=1,"UWFE","IBU")</f>
        <v>IBU</v>
      </c>
      <c r="V134" s="26">
        <f t="shared" ref="V134" si="211">MIN(IF(IF($AA$3=2,AND(E134=1,G134=1,L134=1,L136=1,M134=1,U134="IBU"),AND(E134=1,G134=1,L134=1,L136=1,M134=1)),T134,0),I134)</f>
        <v>0</v>
      </c>
      <c r="W134" s="26"/>
      <c r="X134" s="26"/>
      <c r="Y134" s="26"/>
      <c r="Z134" s="26"/>
      <c r="AA134" s="26"/>
      <c r="AB134" s="33"/>
    </row>
    <row r="135" spans="1:28" x14ac:dyDescent="0.3">
      <c r="A135" s="32">
        <f>VLOOKUP(YEAR(C135),Flags!$A$13:$B$95,2,FALSE)</f>
        <v>4</v>
      </c>
      <c r="B135" s="24">
        <f t="shared" si="116"/>
        <v>1935</v>
      </c>
      <c r="C135" s="25">
        <v>13027</v>
      </c>
      <c r="D135" s="26"/>
      <c r="E135" s="24"/>
      <c r="F135" s="26"/>
      <c r="G135" s="24"/>
      <c r="H135" s="24"/>
      <c r="I135" s="26"/>
      <c r="J135" s="24"/>
      <c r="K135" s="26"/>
      <c r="L135" s="24"/>
      <c r="M135" s="24"/>
      <c r="N135" s="26"/>
      <c r="O135" s="26"/>
      <c r="P135" s="26"/>
      <c r="Q135" s="26"/>
      <c r="R135" s="26"/>
      <c r="S135" s="26"/>
      <c r="T135" s="26"/>
      <c r="U135" s="26"/>
      <c r="V135" s="26"/>
      <c r="W135" s="26">
        <f>MAX($C$7-VLOOKUP($C135,COS!$B$8:$H$991,3,FALSE),0)</f>
        <v>91777.314453125</v>
      </c>
      <c r="X135" s="26">
        <f t="shared" si="143"/>
        <v>5643.1671035640502</v>
      </c>
      <c r="Y135" s="26">
        <f>VLOOKUP($C135,COS!$B$8:$H$991,4,FALSE)</f>
        <v>311.4095458984375</v>
      </c>
      <c r="Z135" s="26">
        <f t="shared" si="144"/>
        <v>19.147826623837808</v>
      </c>
      <c r="AA135" s="26">
        <f t="shared" ref="AA135:AA139" si="212">MIN(W135,Y135)</f>
        <v>311.4095458984375</v>
      </c>
      <c r="AB135" s="33">
        <f t="shared" ref="AB135" si="213">AA135*DAY($C135)*86400/43560/1000*IF(MONTH($C135)=8,$P$3,IF(MONTH($C135)=9,$P$4,IF(MONTH($C135)=10,$P$5,IF(MONTH($C135)=11,$P$6,IF(MONTH($C135)=12,$P$7,NA())))))</f>
        <v>19.147826623837808</v>
      </c>
    </row>
    <row r="136" spans="1:28" x14ac:dyDescent="0.3">
      <c r="A136" s="32">
        <f>VLOOKUP(YEAR(C136),Flags!$A$13:$B$95,2,FALSE)</f>
        <v>4</v>
      </c>
      <c r="B136" s="24">
        <f t="shared" si="116"/>
        <v>1935</v>
      </c>
      <c r="C136" s="25">
        <v>13057</v>
      </c>
      <c r="D136" s="26"/>
      <c r="E136" s="24"/>
      <c r="F136" s="26"/>
      <c r="G136" s="24"/>
      <c r="H136" s="24"/>
      <c r="I136" s="26"/>
      <c r="J136" s="24"/>
      <c r="K136" s="26">
        <f>VLOOKUP($C136,COS!$B$8:$H$991,2,FALSE)</f>
        <v>1958.6934814453125</v>
      </c>
      <c r="L136" s="24">
        <f t="shared" ref="L136" si="214">IF(AND(K136&gt;$I$7,K136&lt;$I$8),1,0)</f>
        <v>1</v>
      </c>
      <c r="M136" s="24"/>
      <c r="N136" s="26"/>
      <c r="O136" s="26"/>
      <c r="P136" s="26"/>
      <c r="Q136" s="26"/>
      <c r="R136" s="26"/>
      <c r="S136" s="26"/>
      <c r="T136" s="26"/>
      <c r="U136" s="26"/>
      <c r="V136" s="26"/>
      <c r="W136" s="26">
        <f>MAX($C$8-VLOOKUP($C136,COS!$B$8:$H$991,3,FALSE),0)</f>
        <v>95974.235595703125</v>
      </c>
      <c r="X136" s="26">
        <f t="shared" si="143"/>
        <v>5710.8636056947316</v>
      </c>
      <c r="Y136" s="26">
        <f>VLOOKUP($C136,COS!$B$8:$H$991,4,FALSE)</f>
        <v>386.73208618164063</v>
      </c>
      <c r="Z136" s="26">
        <f t="shared" si="144"/>
        <v>23.012157194279443</v>
      </c>
      <c r="AA136" s="26">
        <f t="shared" si="212"/>
        <v>386.73208618164063</v>
      </c>
      <c r="AB136" s="33">
        <f t="shared" si="141"/>
        <v>23.012157194279443</v>
      </c>
    </row>
    <row r="137" spans="1:28" x14ac:dyDescent="0.3">
      <c r="A137" s="32">
        <f>VLOOKUP(YEAR(C137),Flags!$A$13:$B$95,2,FALSE)</f>
        <v>4</v>
      </c>
      <c r="B137" s="24">
        <f t="shared" si="116"/>
        <v>1935</v>
      </c>
      <c r="C137" s="25">
        <v>13088</v>
      </c>
      <c r="D137" s="26"/>
      <c r="E137" s="24"/>
      <c r="F137" s="26"/>
      <c r="G137" s="26"/>
      <c r="H137" s="26"/>
      <c r="I137" s="26"/>
      <c r="J137" s="26"/>
      <c r="K137" s="26"/>
      <c r="L137" s="24"/>
      <c r="M137" s="24"/>
      <c r="N137" s="26"/>
      <c r="O137" s="26"/>
      <c r="P137" s="26"/>
      <c r="Q137" s="26"/>
      <c r="R137" s="26"/>
      <c r="S137" s="26"/>
      <c r="T137" s="26"/>
      <c r="U137" s="26"/>
      <c r="V137" s="26"/>
      <c r="W137" s="26">
        <f>MAX($C$9-VLOOKUP($C137,COS!$B$8:$H$991,3,FALSE),0)</f>
        <v>96108.80029296875</v>
      </c>
      <c r="X137" s="26">
        <f t="shared" si="143"/>
        <v>5909.4997866089871</v>
      </c>
      <c r="Y137" s="26">
        <f>VLOOKUP($C137,COS!$B$8:$H$991,4,FALSE)</f>
        <v>839.30419921875</v>
      </c>
      <c r="Z137" s="26">
        <f t="shared" si="144"/>
        <v>51.606803654442146</v>
      </c>
      <c r="AA137" s="26">
        <f t="shared" si="212"/>
        <v>839.30419921875</v>
      </c>
      <c r="AB137" s="33">
        <f t="shared" si="141"/>
        <v>51.606803654442146</v>
      </c>
    </row>
    <row r="138" spans="1:28" x14ac:dyDescent="0.3">
      <c r="A138" s="32">
        <f>VLOOKUP(YEAR(C138),Flags!$A$13:$B$95,2,FALSE)</f>
        <v>4</v>
      </c>
      <c r="B138" s="24">
        <f t="shared" si="116"/>
        <v>1935</v>
      </c>
      <c r="C138" s="25">
        <v>13118</v>
      </c>
      <c r="D138" s="26"/>
      <c r="E138" s="24"/>
      <c r="F138" s="26"/>
      <c r="G138" s="26"/>
      <c r="H138" s="26"/>
      <c r="I138" s="26"/>
      <c r="J138" s="26"/>
      <c r="K138" s="26"/>
      <c r="L138" s="24"/>
      <c r="M138" s="24"/>
      <c r="N138" s="26"/>
      <c r="O138" s="26"/>
      <c r="P138" s="26"/>
      <c r="Q138" s="26"/>
      <c r="R138" s="26"/>
      <c r="S138" s="26"/>
      <c r="T138" s="26"/>
      <c r="U138" s="26"/>
      <c r="V138" s="26"/>
      <c r="W138" s="26">
        <f>MAX($C$10-VLOOKUP($C138,COS!$B$8:$H$991,3,FALSE),0)</f>
        <v>96609.462646484375</v>
      </c>
      <c r="X138" s="26">
        <f t="shared" si="143"/>
        <v>5748.6622401213845</v>
      </c>
      <c r="Y138" s="26">
        <f>VLOOKUP($C138,COS!$B$8:$H$991,4,FALSE)</f>
        <v>442.06243896484375</v>
      </c>
      <c r="Z138" s="26">
        <f t="shared" si="144"/>
        <v>26.304541822701445</v>
      </c>
      <c r="AA138" s="26">
        <f t="shared" si="212"/>
        <v>442.06243896484375</v>
      </c>
      <c r="AB138" s="33">
        <f t="shared" si="141"/>
        <v>13.152270911350723</v>
      </c>
    </row>
    <row r="139" spans="1:28" x14ac:dyDescent="0.3">
      <c r="A139" s="34">
        <f>VLOOKUP(YEAR(C139),Flags!$A$13:$B$95,2,FALSE)</f>
        <v>4</v>
      </c>
      <c r="B139" s="35">
        <f t="shared" si="116"/>
        <v>1935</v>
      </c>
      <c r="C139" s="36">
        <v>13149</v>
      </c>
      <c r="D139" s="37"/>
      <c r="E139" s="35"/>
      <c r="F139" s="37"/>
      <c r="G139" s="37"/>
      <c r="H139" s="37"/>
      <c r="I139" s="37"/>
      <c r="J139" s="37"/>
      <c r="K139" s="37"/>
      <c r="L139" s="35"/>
      <c r="M139" s="35"/>
      <c r="N139" s="37"/>
      <c r="O139" s="37"/>
      <c r="P139" s="37"/>
      <c r="Q139" s="37"/>
      <c r="R139" s="37"/>
      <c r="S139" s="37"/>
      <c r="T139" s="37"/>
      <c r="U139" s="37"/>
      <c r="V139" s="37"/>
      <c r="W139" s="37">
        <f>MAX($C$11-VLOOKUP($C139,COS!$B$8:$H$991,3,FALSE),0)</f>
        <v>0</v>
      </c>
      <c r="X139" s="37">
        <f t="shared" si="143"/>
        <v>0</v>
      </c>
      <c r="Y139" s="37">
        <f>VLOOKUP($C139,COS!$B$8:$H$991,4,FALSE)</f>
        <v>18.913251876831055</v>
      </c>
      <c r="Z139" s="37">
        <f t="shared" si="144"/>
        <v>1.162930528624984</v>
      </c>
      <c r="AA139" s="37">
        <f t="shared" si="212"/>
        <v>0</v>
      </c>
      <c r="AB139" s="38">
        <f t="shared" si="141"/>
        <v>0</v>
      </c>
    </row>
    <row r="140" spans="1:28" x14ac:dyDescent="0.3">
      <c r="A140" s="27">
        <f>VLOOKUP(YEAR(C140),Flags!$A$13:$B$95,2,FALSE)</f>
        <v>3</v>
      </c>
      <c r="B140" s="28">
        <f t="shared" si="116"/>
        <v>1936</v>
      </c>
      <c r="C140" s="29">
        <v>13270</v>
      </c>
      <c r="D140" s="30">
        <f>VLOOKUP($C140,COS!$B$8:$H$991,3,FALSE)</f>
        <v>3250</v>
      </c>
      <c r="E140" s="28">
        <f>IF(D140&gt;=IF(MONTH($C140)=4,$C$3,IF(MONTH($C140)=5,$C$4,IF(MONTH($C140)=6,$C$5,IF(MONTH($C140)=7,$C$6,"ERROR")))),1,0)</f>
        <v>0</v>
      </c>
      <c r="F140" s="30">
        <f>VLOOKUP($C140,COS!$B$8:$H$991,7,FALSE)</f>
        <v>49.935798645019531</v>
      </c>
      <c r="G140" s="28">
        <f>IF(F140&lt;=IF(MONTH($C140)=4,$F$3,IF(MONTH($C140)=5,$F$4,IF(MONTH($C140)=6,$F$5,IF(MONTH($C140)=7,$F$6,"ERROR")))),1,0)</f>
        <v>1</v>
      </c>
      <c r="H140" s="30">
        <f>IF(J140=1,D140-$C$3,0)</f>
        <v>0</v>
      </c>
      <c r="I140" s="30">
        <f t="shared" si="136"/>
        <v>0</v>
      </c>
      <c r="J140" s="28">
        <f t="shared" ref="J140:J143" si="215">IF(AND(E140=1,G140=1),1,0)</f>
        <v>0</v>
      </c>
      <c r="K140" s="30">
        <f>VLOOKUP($C140,COS!$B$8:$H$991,2,FALSE)</f>
        <v>4126.388671875</v>
      </c>
      <c r="L140" s="28">
        <f t="shared" ref="L140" si="216">IF(K140&lt;=IF(MONTH($C140)=4,$I$3,IF(MONTH($C140)=5,$I$4,IF(MONTH($C140)=6,$I$5,IF(MONTH($C140)=7,$I$6,"ERROR")))),1,0)</f>
        <v>1</v>
      </c>
      <c r="M140" s="28">
        <f t="shared" ref="M140" si="217">VLOOKUP($A140,$L$3:$M$7,2,FALSE)</f>
        <v>1</v>
      </c>
      <c r="N140" s="30">
        <f>VLOOKUP($C140,COS!$B$8:$H$991,5,FALSE)</f>
        <v>205.43023681640625</v>
      </c>
      <c r="O140" s="30">
        <f t="shared" ref="O140:O143" si="218">N140*DAY($C140)*86400/43560/1000</f>
        <v>12.223947975852273</v>
      </c>
      <c r="P140" s="30">
        <f>VLOOKUP($C140,COS!$B$8:$H$991,6,FALSE)</f>
        <v>427.27923583984375</v>
      </c>
      <c r="Q140" s="30">
        <f t="shared" ref="Q140:Q143" si="219">P140*DAY($C140)*86400/43560/1000</f>
        <v>25.424880149147729</v>
      </c>
      <c r="R140" s="30">
        <f>MIN(IF(MONTH($C140)=4,$S$3,IF(MONTH($C140)=5,$S$4,IF(MONTH($C140)=6,$S$5,IF(MONTH($C140)=7,$S$6,"ERROR")))),MAX(VLOOKUP($C140,COS!$B$8:$K$991,10,FALSE)-IF(MONTH($C140)=4,$Y$3,IF(MONTH($C140)=5,$Y$4,IF(MONTH($C140)=6,$Y$5,IF(MONTH($C140)=7,$Y$6,"ERROR")))),0),MAX(VLOOKUP($C140,COS!$B$8:$K$991,9,FALSE)-IF(MONTH($C140)=4,$V$3,IF(MONTH($C140)=5,$V$4,IF(MONTH($C140)=6,$V$5,IF(MONTH($C140)=7,$V$6,"ERROR"))))-VLOOKUP($C140,COS!$B$8:$K$991,6,FALSE)/2,0))</f>
        <v>1500</v>
      </c>
      <c r="S140" s="30">
        <f t="shared" ref="S140:S143" si="220">R140*DAY($C140)*86400/43560/1000</f>
        <v>89.256198347107429</v>
      </c>
      <c r="T140" s="30">
        <f t="shared" ref="T140:T143" si="221">(O140+Q140)/2+S140</f>
        <v>108.08061240960743</v>
      </c>
      <c r="U140" s="30" t="str">
        <f>IF(VLOOKUP($C140,COS!$B$8:$I$991,8,FALSE)=1,"UWFE","IBU")</f>
        <v>UWFE</v>
      </c>
      <c r="V140" s="30">
        <f t="shared" ref="V140" si="222">MIN(IF(IF($AA$3=2,AND(E140=1,G140=1,L140=1,L145=1,M140=1,U140="IBU"),AND(E140=1,G140=1,L140=1,L145=1,M140=1)),T140,0),I140)</f>
        <v>0</v>
      </c>
      <c r="W140" s="30"/>
      <c r="X140" s="30"/>
      <c r="Y140" s="30"/>
      <c r="Z140" s="30"/>
      <c r="AA140" s="30"/>
      <c r="AB140" s="31"/>
    </row>
    <row r="141" spans="1:28" x14ac:dyDescent="0.3">
      <c r="A141" s="32">
        <f>VLOOKUP(YEAR(C141),Flags!$A$13:$B$95,2,FALSE)</f>
        <v>3</v>
      </c>
      <c r="B141" s="24">
        <f t="shared" si="116"/>
        <v>1936</v>
      </c>
      <c r="C141" s="25">
        <v>13301</v>
      </c>
      <c r="D141" s="26">
        <f>VLOOKUP($C141,COS!$B$8:$H$991,3,FALSE)</f>
        <v>5730.4501953125</v>
      </c>
      <c r="E141" s="24">
        <f>IF(D141&gt;=IF(MONTH($C141)=4,$C$3,IF(MONTH($C141)=5,$C$4,IF(MONTH($C141)=6,$C$5,IF(MONTH($C141)=7,$C$6,"ERROR")))),1,0)</f>
        <v>0</v>
      </c>
      <c r="F141" s="26">
        <f>VLOOKUP($C141,COS!$B$8:$H$991,7,FALSE)</f>
        <v>50.767982482910156</v>
      </c>
      <c r="G141" s="24">
        <f>IF(F141&lt;=IF(MONTH($C141)=4,$F$3,IF(MONTH($C141)=5,$F$4,IF(MONTH($C141)=6,$F$5,IF(MONTH($C141)=7,$F$6,"ERROR")))),1,0)</f>
        <v>1</v>
      </c>
      <c r="H141" s="26">
        <f>IF(J141=1,D141-$C$4,0)</f>
        <v>0</v>
      </c>
      <c r="I141" s="26">
        <f t="shared" si="136"/>
        <v>0</v>
      </c>
      <c r="J141" s="24">
        <f t="shared" si="215"/>
        <v>0</v>
      </c>
      <c r="K141" s="26">
        <f>VLOOKUP($C141,COS!$B$8:$H$991,2,FALSE)</f>
        <v>4065.37890625</v>
      </c>
      <c r="L141" s="24">
        <f t="shared" si="129"/>
        <v>1</v>
      </c>
      <c r="M141" s="24">
        <f t="shared" si="130"/>
        <v>1</v>
      </c>
      <c r="N141" s="26">
        <f>VLOOKUP($C141,COS!$B$8:$H$991,5,FALSE)</f>
        <v>284.62387084960938</v>
      </c>
      <c r="O141" s="26">
        <f t="shared" si="218"/>
        <v>17.500839662157798</v>
      </c>
      <c r="P141" s="26">
        <f>VLOOKUP($C141,COS!$B$8:$H$991,6,FALSE)</f>
        <v>2118.009033203125</v>
      </c>
      <c r="Q141" s="26">
        <f t="shared" si="219"/>
        <v>130.23129923166323</v>
      </c>
      <c r="R141" s="26">
        <f>MIN(IF(MONTH($C141)=4,$S$3,IF(MONTH($C141)=5,$S$4,IF(MONTH($C141)=6,$S$5,IF(MONTH($C141)=7,$S$6,"ERROR")))),MAX(VLOOKUP($C141,COS!$B$8:$K$991,10,FALSE)-IF(MONTH($C141)=4,$Y$3,IF(MONTH($C141)=5,$Y$4,IF(MONTH($C141)=6,$Y$5,IF(MONTH($C141)=7,$Y$6,"ERROR")))),0),MAX(VLOOKUP($C141,COS!$B$8:$K$991,9,FALSE)-IF(MONTH($C141)=4,$V$3,IF(MONTH($C141)=5,$V$4,IF(MONTH($C141)=6,$V$5,IF(MONTH($C141)=7,$V$6,"ERROR"))))-VLOOKUP($C141,COS!$B$8:$K$991,6,FALSE)/2,0))</f>
        <v>1500</v>
      </c>
      <c r="S141" s="26">
        <f t="shared" si="220"/>
        <v>92.231404958677686</v>
      </c>
      <c r="T141" s="26">
        <f t="shared" si="221"/>
        <v>166.0974744055882</v>
      </c>
      <c r="U141" s="26" t="str">
        <f>IF(VLOOKUP($C141,COS!$B$8:$I$991,8,FALSE)=1,"UWFE","IBU")</f>
        <v>UWFE</v>
      </c>
      <c r="V141" s="26">
        <f t="shared" ref="V141" si="223">MIN(IF(IF($AA$3=2,AND(E141=1,G141=1,L141=1,L145=1,M141=1,U141="IBU"),AND(E141=1,G141=1,L141=1,L145=1,M141=1)),T141,0),I141)</f>
        <v>0</v>
      </c>
      <c r="W141" s="26"/>
      <c r="X141" s="26"/>
      <c r="Y141" s="26"/>
      <c r="Z141" s="26"/>
      <c r="AA141" s="26"/>
      <c r="AB141" s="33"/>
    </row>
    <row r="142" spans="1:28" x14ac:dyDescent="0.3">
      <c r="A142" s="32">
        <f>VLOOKUP(YEAR(C142),Flags!$A$13:$B$95,2,FALSE)</f>
        <v>3</v>
      </c>
      <c r="B142" s="24">
        <f t="shared" si="116"/>
        <v>1936</v>
      </c>
      <c r="C142" s="25">
        <v>13331</v>
      </c>
      <c r="D142" s="26">
        <f>VLOOKUP($C142,COS!$B$8:$H$991,3,FALSE)</f>
        <v>7140.05078125</v>
      </c>
      <c r="E142" s="24">
        <f>IF(D142&gt;=IF(MONTH($C142)=4,$C$3,IF(MONTH($C142)=5,$C$4,IF(MONTH($C142)=6,$C$5,IF(MONTH($C142)=7,$C$6,"ERROR")))),1,0)</f>
        <v>0</v>
      </c>
      <c r="F142" s="26">
        <f>VLOOKUP($C142,COS!$B$8:$H$991,7,FALSE)</f>
        <v>50.706310272216797</v>
      </c>
      <c r="G142" s="24">
        <f>IF(F142&lt;=IF(MONTH($C142)=4,$F$3,IF(MONTH($C142)=5,$F$4,IF(MONTH($C142)=6,$F$5,IF(MONTH($C142)=7,$F$6,"ERROR")))),1,0)</f>
        <v>1</v>
      </c>
      <c r="H142" s="26">
        <f>IF(J142=1,D142-$C$5,0)</f>
        <v>0</v>
      </c>
      <c r="I142" s="26">
        <f t="shared" si="136"/>
        <v>0</v>
      </c>
      <c r="J142" s="24">
        <f t="shared" si="215"/>
        <v>0</v>
      </c>
      <c r="K142" s="26">
        <f>VLOOKUP($C142,COS!$B$8:$H$991,2,FALSE)</f>
        <v>3872.543701171875</v>
      </c>
      <c r="L142" s="24">
        <f t="shared" si="129"/>
        <v>1</v>
      </c>
      <c r="M142" s="24">
        <f t="shared" si="130"/>
        <v>1</v>
      </c>
      <c r="N142" s="26">
        <f>VLOOKUP($C142,COS!$B$8:$H$991,5,FALSE)</f>
        <v>523.20947265625</v>
      </c>
      <c r="O142" s="26">
        <f t="shared" si="218"/>
        <v>31.133125645661156</v>
      </c>
      <c r="P142" s="26">
        <f>VLOOKUP($C142,COS!$B$8:$H$991,6,FALSE)</f>
        <v>2337.24169921875</v>
      </c>
      <c r="Q142" s="26">
        <f t="shared" si="219"/>
        <v>139.07553912706612</v>
      </c>
      <c r="R142" s="26">
        <f>MIN(IF(MONTH($C142)=4,$S$3,IF(MONTH($C142)=5,$S$4,IF(MONTH($C142)=6,$S$5,IF(MONTH($C142)=7,$S$6,"ERROR")))),MAX(VLOOKUP($C142,COS!$B$8:$K$991,10,FALSE)-IF(MONTH($C142)=4,$Y$3,IF(MONTH($C142)=5,$Y$4,IF(MONTH($C142)=6,$Y$5,IF(MONTH($C142)=7,$Y$6,"ERROR")))),0),MAX(VLOOKUP($C142,COS!$B$8:$K$991,9,FALSE)-IF(MONTH($C142)=4,$V$3,IF(MONTH($C142)=5,$V$4,IF(MONTH($C142)=6,$V$5,IF(MONTH($C142)=7,$V$6,"ERROR"))))-VLOOKUP($C142,COS!$B$8:$K$991,6,FALSE)/2,0))</f>
        <v>1500</v>
      </c>
      <c r="S142" s="26">
        <f t="shared" si="220"/>
        <v>89.256198347107429</v>
      </c>
      <c r="T142" s="26">
        <f t="shared" si="221"/>
        <v>174.36053073347108</v>
      </c>
      <c r="U142" s="26" t="str">
        <f>IF(VLOOKUP($C142,COS!$B$8:$I$991,8,FALSE)=1,"UWFE","IBU")</f>
        <v>UWFE</v>
      </c>
      <c r="V142" s="26">
        <f t="shared" ref="V142" si="224">MIN(IF(IF($AA$3=2,AND(E142=1,G142=1,L142=1,L145=1,M142=1,U142="IBU"),AND(E142=1,G142=1,L142=1,L145=1,M142=1)),T142,0),I142)</f>
        <v>0</v>
      </c>
      <c r="W142" s="26"/>
      <c r="X142" s="26"/>
      <c r="Y142" s="26"/>
      <c r="Z142" s="26"/>
      <c r="AA142" s="26"/>
      <c r="AB142" s="33"/>
    </row>
    <row r="143" spans="1:28" x14ac:dyDescent="0.3">
      <c r="A143" s="32">
        <f>VLOOKUP(YEAR(C143),Flags!$A$13:$B$95,2,FALSE)</f>
        <v>3</v>
      </c>
      <c r="B143" s="24">
        <f t="shared" ref="B143:B206" si="225">YEAR(C143)</f>
        <v>1936</v>
      </c>
      <c r="C143" s="25">
        <v>13362</v>
      </c>
      <c r="D143" s="26">
        <f>VLOOKUP($C143,COS!$B$8:$H$991,3,FALSE)</f>
        <v>10100.955078125</v>
      </c>
      <c r="E143" s="24">
        <f>IF(D143&gt;=IF(MONTH($C143)=4,$C$3,IF(MONTH($C143)=5,$C$4,IF(MONTH($C143)=6,$C$5,IF(MONTH($C143)=7,$C$6,"ERROR")))),1,0)</f>
        <v>0</v>
      </c>
      <c r="F143" s="26">
        <f>VLOOKUP($C143,COS!$B$8:$H$991,7,FALSE)</f>
        <v>50.784397125244141</v>
      </c>
      <c r="G143" s="24">
        <f>IF(F143&lt;=IF(MONTH($C143)=4,$F$3,IF(MONTH($C143)=5,$F$4,IF(MONTH($C143)=6,$F$5,IF(MONTH($C143)=7,$F$6,"ERROR")))),1,0)</f>
        <v>1</v>
      </c>
      <c r="H143" s="26">
        <f>IF(J143=1,D143-$C$6,0)</f>
        <v>0</v>
      </c>
      <c r="I143" s="26">
        <f t="shared" si="136"/>
        <v>0</v>
      </c>
      <c r="J143" s="24">
        <f t="shared" si="215"/>
        <v>0</v>
      </c>
      <c r="K143" s="26">
        <f>VLOOKUP($C143,COS!$B$8:$H$991,2,FALSE)</f>
        <v>3405.32080078125</v>
      </c>
      <c r="L143" s="24">
        <f t="shared" si="129"/>
        <v>1</v>
      </c>
      <c r="M143" s="24">
        <f t="shared" si="130"/>
        <v>1</v>
      </c>
      <c r="N143" s="26">
        <f>VLOOKUP($C143,COS!$B$8:$H$991,5,FALSE)</f>
        <v>692.3970947265625</v>
      </c>
      <c r="O143" s="26">
        <f t="shared" si="218"/>
        <v>42.573837890625001</v>
      </c>
      <c r="P143" s="26">
        <f>VLOOKUP($C143,COS!$B$8:$H$991,6,FALSE)</f>
        <v>2537.385498046875</v>
      </c>
      <c r="Q143" s="26">
        <f t="shared" si="219"/>
        <v>156.01775293775825</v>
      </c>
      <c r="R143" s="26">
        <f>MIN(IF(MONTH($C143)=4,$S$3,IF(MONTH($C143)=5,$S$4,IF(MONTH($C143)=6,$S$5,IF(MONTH($C143)=7,$S$6,"ERROR")))),MAX(VLOOKUP($C143,COS!$B$8:$K$991,10,FALSE)-IF(MONTH($C143)=4,$Y$3,IF(MONTH($C143)=5,$Y$4,IF(MONTH($C143)=6,$Y$5,IF(MONTH($C143)=7,$Y$6,"ERROR")))),0),MAX(VLOOKUP($C143,COS!$B$8:$K$991,9,FALSE)-IF(MONTH($C143)=4,$V$3,IF(MONTH($C143)=5,$V$4,IF(MONTH($C143)=6,$V$5,IF(MONTH($C143)=7,$V$6,"ERROR"))))-VLOOKUP($C143,COS!$B$8:$K$991,6,FALSE)/2,0))</f>
        <v>1500</v>
      </c>
      <c r="S143" s="26">
        <f t="shared" si="220"/>
        <v>92.231404958677686</v>
      </c>
      <c r="T143" s="26">
        <f t="shared" si="221"/>
        <v>191.52720037286929</v>
      </c>
      <c r="U143" s="26" t="str">
        <f>IF(VLOOKUP($C143,COS!$B$8:$I$991,8,FALSE)=1,"UWFE","IBU")</f>
        <v>IBU</v>
      </c>
      <c r="V143" s="26">
        <f t="shared" ref="V143" si="226">MIN(IF(IF($AA$3=2,AND(E143=1,G143=1,L143=1,L145=1,M143=1,U143="IBU"),AND(E143=1,G143=1,L143=1,L145=1,M143=1)),T143,0),I143)</f>
        <v>0</v>
      </c>
      <c r="W143" s="26"/>
      <c r="X143" s="26"/>
      <c r="Y143" s="26"/>
      <c r="Z143" s="26"/>
      <c r="AA143" s="26"/>
      <c r="AB143" s="33"/>
    </row>
    <row r="144" spans="1:28" x14ac:dyDescent="0.3">
      <c r="A144" s="32">
        <f>VLOOKUP(YEAR(C144),Flags!$A$13:$B$95,2,FALSE)</f>
        <v>3</v>
      </c>
      <c r="B144" s="24">
        <f t="shared" si="225"/>
        <v>1936</v>
      </c>
      <c r="C144" s="25">
        <v>13393</v>
      </c>
      <c r="D144" s="26"/>
      <c r="E144" s="24"/>
      <c r="F144" s="26"/>
      <c r="G144" s="24"/>
      <c r="H144" s="24"/>
      <c r="I144" s="26"/>
      <c r="J144" s="24"/>
      <c r="K144" s="26"/>
      <c r="L144" s="24"/>
      <c r="M144" s="24"/>
      <c r="N144" s="26"/>
      <c r="O144" s="26"/>
      <c r="P144" s="26"/>
      <c r="Q144" s="26"/>
      <c r="R144" s="26"/>
      <c r="S144" s="26"/>
      <c r="T144" s="26"/>
      <c r="U144" s="26"/>
      <c r="V144" s="26"/>
      <c r="W144" s="26">
        <f>MAX($C$7-VLOOKUP($C144,COS!$B$8:$H$991,3,FALSE),0)</f>
        <v>90321.0078125</v>
      </c>
      <c r="X144" s="26">
        <f t="shared" si="143"/>
        <v>5553.6222985537188</v>
      </c>
      <c r="Y144" s="26">
        <f>VLOOKUP($C144,COS!$B$8:$H$991,4,FALSE)</f>
        <v>354.93222045898438</v>
      </c>
      <c r="Z144" s="26">
        <f t="shared" si="144"/>
        <v>21.823931572023504</v>
      </c>
      <c r="AA144" s="26">
        <f t="shared" ref="AA144:AA148" si="227">MIN(W144,Y144)</f>
        <v>354.93222045898438</v>
      </c>
      <c r="AB144" s="33">
        <f t="shared" ref="AB144" si="228">AA144*DAY($C144)*86400/43560/1000*IF(MONTH($C144)=8,$P$3,IF(MONTH($C144)=9,$P$4,IF(MONTH($C144)=10,$P$5,IF(MONTH($C144)=11,$P$6,IF(MONTH($C144)=12,$P$7,NA())))))</f>
        <v>21.823931572023504</v>
      </c>
    </row>
    <row r="145" spans="1:28" x14ac:dyDescent="0.3">
      <c r="A145" s="32">
        <f>VLOOKUP(YEAR(C145),Flags!$A$13:$B$95,2,FALSE)</f>
        <v>3</v>
      </c>
      <c r="B145" s="24">
        <f t="shared" si="225"/>
        <v>1936</v>
      </c>
      <c r="C145" s="25">
        <v>13423</v>
      </c>
      <c r="D145" s="26"/>
      <c r="E145" s="24"/>
      <c r="F145" s="26"/>
      <c r="G145" s="24"/>
      <c r="H145" s="24"/>
      <c r="I145" s="26"/>
      <c r="J145" s="24"/>
      <c r="K145" s="26">
        <f>VLOOKUP($C145,COS!$B$8:$H$991,2,FALSE)</f>
        <v>2909.572509765625</v>
      </c>
      <c r="L145" s="24">
        <f t="shared" ref="L145" si="229">IF(AND(K145&gt;$I$7,K145&lt;$I$8),1,0)</f>
        <v>1</v>
      </c>
      <c r="M145" s="24"/>
      <c r="N145" s="26"/>
      <c r="O145" s="26"/>
      <c r="P145" s="26"/>
      <c r="Q145" s="26"/>
      <c r="R145" s="26"/>
      <c r="S145" s="26"/>
      <c r="T145" s="26"/>
      <c r="U145" s="26"/>
      <c r="V145" s="26"/>
      <c r="W145" s="26">
        <f>MAX($C$8-VLOOKUP($C145,COS!$B$8:$H$991,3,FALSE),0)</f>
        <v>95795.64453125</v>
      </c>
      <c r="X145" s="26">
        <f t="shared" si="143"/>
        <v>5700.2366993801652</v>
      </c>
      <c r="Y145" s="26">
        <f>VLOOKUP($C145,COS!$B$8:$H$991,4,FALSE)</f>
        <v>0</v>
      </c>
      <c r="Z145" s="26">
        <f t="shared" si="144"/>
        <v>0</v>
      </c>
      <c r="AA145" s="26">
        <f t="shared" si="227"/>
        <v>0</v>
      </c>
      <c r="AB145" s="33">
        <f t="shared" si="141"/>
        <v>0</v>
      </c>
    </row>
    <row r="146" spans="1:28" x14ac:dyDescent="0.3">
      <c r="A146" s="32">
        <f>VLOOKUP(YEAR(C146),Flags!$A$13:$B$95,2,FALSE)</f>
        <v>3</v>
      </c>
      <c r="B146" s="24">
        <f t="shared" si="225"/>
        <v>1936</v>
      </c>
      <c r="C146" s="25">
        <v>13454</v>
      </c>
      <c r="D146" s="26"/>
      <c r="E146" s="24"/>
      <c r="F146" s="26"/>
      <c r="G146" s="26"/>
      <c r="H146" s="26"/>
      <c r="I146" s="26"/>
      <c r="J146" s="26"/>
      <c r="K146" s="26"/>
      <c r="L146" s="24"/>
      <c r="M146" s="24"/>
      <c r="N146" s="26"/>
      <c r="O146" s="26"/>
      <c r="P146" s="26"/>
      <c r="Q146" s="26"/>
      <c r="R146" s="26"/>
      <c r="S146" s="26"/>
      <c r="T146" s="26"/>
      <c r="U146" s="26"/>
      <c r="V146" s="26"/>
      <c r="W146" s="26">
        <f>MAX($C$9-VLOOKUP($C146,COS!$B$8:$H$991,3,FALSE),0)</f>
        <v>94201.28515625</v>
      </c>
      <c r="X146" s="26">
        <f t="shared" si="143"/>
        <v>5792.2112525826451</v>
      </c>
      <c r="Y146" s="26">
        <f>VLOOKUP($C146,COS!$B$8:$H$991,4,FALSE)</f>
        <v>840.8681640625</v>
      </c>
      <c r="Z146" s="26">
        <f t="shared" si="144"/>
        <v>51.702968104338844</v>
      </c>
      <c r="AA146" s="26">
        <f t="shared" si="227"/>
        <v>840.8681640625</v>
      </c>
      <c r="AB146" s="33">
        <f t="shared" si="141"/>
        <v>51.702968104338844</v>
      </c>
    </row>
    <row r="147" spans="1:28" x14ac:dyDescent="0.3">
      <c r="A147" s="32">
        <f>VLOOKUP(YEAR(C147),Flags!$A$13:$B$95,2,FALSE)</f>
        <v>3</v>
      </c>
      <c r="B147" s="24">
        <f t="shared" si="225"/>
        <v>1936</v>
      </c>
      <c r="C147" s="25">
        <v>13484</v>
      </c>
      <c r="D147" s="26"/>
      <c r="E147" s="24"/>
      <c r="F147" s="26"/>
      <c r="G147" s="26"/>
      <c r="H147" s="26"/>
      <c r="I147" s="26"/>
      <c r="J147" s="26"/>
      <c r="K147" s="26"/>
      <c r="L147" s="24"/>
      <c r="M147" s="24"/>
      <c r="N147" s="26"/>
      <c r="O147" s="26"/>
      <c r="P147" s="26"/>
      <c r="Q147" s="26"/>
      <c r="R147" s="26"/>
      <c r="S147" s="26"/>
      <c r="T147" s="26"/>
      <c r="U147" s="26"/>
      <c r="V147" s="26"/>
      <c r="W147" s="26">
        <f>MAX($C$10-VLOOKUP($C147,COS!$B$8:$H$991,3,FALSE),0)</f>
        <v>94597.1748046875</v>
      </c>
      <c r="X147" s="26">
        <f t="shared" si="143"/>
        <v>5628.9227982954544</v>
      </c>
      <c r="Y147" s="26">
        <f>VLOOKUP($C147,COS!$B$8:$H$991,4,FALSE)</f>
        <v>1128.2205810546875</v>
      </c>
      <c r="Z147" s="26">
        <f t="shared" si="144"/>
        <v>67.13378664127066</v>
      </c>
      <c r="AA147" s="26">
        <f t="shared" si="227"/>
        <v>1128.2205810546875</v>
      </c>
      <c r="AB147" s="33">
        <f t="shared" si="141"/>
        <v>33.56689332063533</v>
      </c>
    </row>
    <row r="148" spans="1:28" x14ac:dyDescent="0.3">
      <c r="A148" s="34">
        <f>VLOOKUP(YEAR(C148),Flags!$A$13:$B$95,2,FALSE)</f>
        <v>3</v>
      </c>
      <c r="B148" s="35">
        <f t="shared" si="225"/>
        <v>1936</v>
      </c>
      <c r="C148" s="36">
        <v>13515</v>
      </c>
      <c r="D148" s="37"/>
      <c r="E148" s="35"/>
      <c r="F148" s="37"/>
      <c r="G148" s="37"/>
      <c r="H148" s="37"/>
      <c r="I148" s="37"/>
      <c r="J148" s="37"/>
      <c r="K148" s="37"/>
      <c r="L148" s="35"/>
      <c r="M148" s="35"/>
      <c r="N148" s="37"/>
      <c r="O148" s="37"/>
      <c r="P148" s="37"/>
      <c r="Q148" s="37"/>
      <c r="R148" s="37"/>
      <c r="S148" s="37"/>
      <c r="T148" s="37"/>
      <c r="U148" s="37"/>
      <c r="V148" s="37"/>
      <c r="W148" s="37">
        <f>MAX($C$11-VLOOKUP($C148,COS!$B$8:$H$991,3,FALSE),0)</f>
        <v>0</v>
      </c>
      <c r="X148" s="37">
        <f t="shared" si="143"/>
        <v>0</v>
      </c>
      <c r="Y148" s="37">
        <f>VLOOKUP($C148,COS!$B$8:$H$991,4,FALSE)</f>
        <v>608.6763916015625</v>
      </c>
      <c r="Z148" s="37">
        <f t="shared" si="144"/>
        <v>37.426052508393596</v>
      </c>
      <c r="AA148" s="37">
        <f t="shared" si="227"/>
        <v>0</v>
      </c>
      <c r="AB148" s="38">
        <f t="shared" si="141"/>
        <v>0</v>
      </c>
    </row>
    <row r="149" spans="1:28" x14ac:dyDescent="0.3">
      <c r="A149" s="27">
        <f>VLOOKUP(YEAR(C149),Flags!$A$13:$B$95,2,FALSE)</f>
        <v>4</v>
      </c>
      <c r="B149" s="28">
        <f t="shared" si="225"/>
        <v>1937</v>
      </c>
      <c r="C149" s="29">
        <v>13635</v>
      </c>
      <c r="D149" s="30">
        <f>VLOOKUP($C149,COS!$B$8:$H$991,3,FALSE)</f>
        <v>3250</v>
      </c>
      <c r="E149" s="28">
        <f>IF(D149&gt;=IF(MONTH($C149)=4,$C$3,IF(MONTH($C149)=5,$C$4,IF(MONTH($C149)=6,$C$5,IF(MONTH($C149)=7,$C$6,"ERROR")))),1,0)</f>
        <v>0</v>
      </c>
      <c r="F149" s="30">
        <f>VLOOKUP($C149,COS!$B$8:$H$991,7,FALSE)</f>
        <v>51.161907196044922</v>
      </c>
      <c r="G149" s="28">
        <f>IF(F149&lt;=IF(MONTH($C149)=4,$F$3,IF(MONTH($C149)=5,$F$4,IF(MONTH($C149)=6,$F$5,IF(MONTH($C149)=7,$F$6,"ERROR")))),1,0)</f>
        <v>1</v>
      </c>
      <c r="H149" s="30">
        <f>IF(J149=1,D149-$C$3,0)</f>
        <v>0</v>
      </c>
      <c r="I149" s="30">
        <f t="shared" si="136"/>
        <v>0</v>
      </c>
      <c r="J149" s="28">
        <f t="shared" ref="J149:J152" si="230">IF(AND(E149=1,G149=1),1,0)</f>
        <v>0</v>
      </c>
      <c r="K149" s="30">
        <f>VLOOKUP($C149,COS!$B$8:$H$991,2,FALSE)</f>
        <v>4047.59912109375</v>
      </c>
      <c r="L149" s="28">
        <f t="shared" ref="L149:L206" si="231">IF(K149&lt;=IF(MONTH($C149)=4,$I$3,IF(MONTH($C149)=5,$I$4,IF(MONTH($C149)=6,$I$5,IF(MONTH($C149)=7,$I$6,"ERROR")))),1,0)</f>
        <v>1</v>
      </c>
      <c r="M149" s="28">
        <f t="shared" ref="M149:M206" si="232">VLOOKUP($A149,$L$3:$M$7,2,FALSE)</f>
        <v>1</v>
      </c>
      <c r="N149" s="30">
        <f>VLOOKUP($C149,COS!$B$8:$H$991,5,FALSE)</f>
        <v>21.622846603393555</v>
      </c>
      <c r="O149" s="30">
        <f t="shared" ref="O149:O152" si="233">N149*DAY($C149)*86400/43560/1000</f>
        <v>1.2866487235077158</v>
      </c>
      <c r="P149" s="30">
        <f>VLOOKUP($C149,COS!$B$8:$H$991,6,FALSE)</f>
        <v>433.80865478515625</v>
      </c>
      <c r="Q149" s="30">
        <f t="shared" ref="Q149:Q152" si="234">P149*DAY($C149)*86400/43560/1000</f>
        <v>25.813407557463844</v>
      </c>
      <c r="R149" s="30">
        <f>MIN(IF(MONTH($C149)=4,$S$3,IF(MONTH($C149)=5,$S$4,IF(MONTH($C149)=6,$S$5,IF(MONTH($C149)=7,$S$6,"ERROR")))),MAX(VLOOKUP($C149,COS!$B$8:$K$991,10,FALSE)-IF(MONTH($C149)=4,$Y$3,IF(MONTH($C149)=5,$Y$4,IF(MONTH($C149)=6,$Y$5,IF(MONTH($C149)=7,$Y$6,"ERROR")))),0),MAX(VLOOKUP($C149,COS!$B$8:$K$991,9,FALSE)-IF(MONTH($C149)=4,$V$3,IF(MONTH($C149)=5,$V$4,IF(MONTH($C149)=6,$V$5,IF(MONTH($C149)=7,$V$6,"ERROR"))))-VLOOKUP($C149,COS!$B$8:$K$991,6,FALSE)/2,0))</f>
        <v>1500</v>
      </c>
      <c r="S149" s="30">
        <f t="shared" ref="S149:S152" si="235">R149*DAY($C149)*86400/43560/1000</f>
        <v>89.256198347107429</v>
      </c>
      <c r="T149" s="30">
        <f t="shared" ref="T149:T152" si="236">(O149+Q149)/2+S149</f>
        <v>102.80622648759321</v>
      </c>
      <c r="U149" s="30" t="str">
        <f>IF(VLOOKUP($C149,COS!$B$8:$I$991,8,FALSE)=1,"UWFE","IBU")</f>
        <v>UWFE</v>
      </c>
      <c r="V149" s="30">
        <f t="shared" ref="V149" si="237">MIN(IF(IF($AA$3=2,AND(E149=1,G149=1,L149=1,L154=1,M149=1,U149="IBU"),AND(E149=1,G149=1,L149=1,L154=1,M149=1)),T149,0),I149)</f>
        <v>0</v>
      </c>
      <c r="W149" s="30"/>
      <c r="X149" s="30"/>
      <c r="Y149" s="30"/>
      <c r="Z149" s="30"/>
      <c r="AA149" s="30"/>
      <c r="AB149" s="31"/>
    </row>
    <row r="150" spans="1:28" x14ac:dyDescent="0.3">
      <c r="A150" s="32">
        <f>VLOOKUP(YEAR(C150),Flags!$A$13:$B$95,2,FALSE)</f>
        <v>4</v>
      </c>
      <c r="B150" s="24">
        <f t="shared" si="225"/>
        <v>1937</v>
      </c>
      <c r="C150" s="25">
        <v>13666</v>
      </c>
      <c r="D150" s="26">
        <f>VLOOKUP($C150,COS!$B$8:$H$991,3,FALSE)</f>
        <v>5043.80322265625</v>
      </c>
      <c r="E150" s="24">
        <f>IF(D150&gt;=IF(MONTH($C150)=4,$C$3,IF(MONTH($C150)=5,$C$4,IF(MONTH($C150)=6,$C$5,IF(MONTH($C150)=7,$C$6,"ERROR")))),1,0)</f>
        <v>0</v>
      </c>
      <c r="F150" s="26">
        <f>VLOOKUP($C150,COS!$B$8:$H$991,7,FALSE)</f>
        <v>52.362800598144531</v>
      </c>
      <c r="G150" s="24">
        <f>IF(F150&lt;=IF(MONTH($C150)=4,$F$3,IF(MONTH($C150)=5,$F$4,IF(MONTH($C150)=6,$F$5,IF(MONTH($C150)=7,$F$6,"ERROR")))),1,0)</f>
        <v>1</v>
      </c>
      <c r="H150" s="26">
        <f>IF(J150=1,D150-$C$4,0)</f>
        <v>0</v>
      </c>
      <c r="I150" s="26">
        <f t="shared" si="136"/>
        <v>0</v>
      </c>
      <c r="J150" s="24">
        <f t="shared" si="230"/>
        <v>0</v>
      </c>
      <c r="K150" s="26">
        <f>VLOOKUP($C150,COS!$B$8:$H$991,2,FALSE)</f>
        <v>4246.3125</v>
      </c>
      <c r="L150" s="24">
        <f t="shared" si="231"/>
        <v>1</v>
      </c>
      <c r="M150" s="24">
        <f t="shared" si="232"/>
        <v>1</v>
      </c>
      <c r="N150" s="26">
        <f>VLOOKUP($C150,COS!$B$8:$H$991,5,FALSE)</f>
        <v>298.0838623046875</v>
      </c>
      <c r="O150" s="26">
        <f t="shared" si="233"/>
        <v>18.328462277246903</v>
      </c>
      <c r="P150" s="26">
        <f>VLOOKUP($C150,COS!$B$8:$H$991,6,FALSE)</f>
        <v>2283.91845703125</v>
      </c>
      <c r="Q150" s="26">
        <f t="shared" si="234"/>
        <v>140.43267206869837</v>
      </c>
      <c r="R150" s="26">
        <f>MIN(IF(MONTH($C150)=4,$S$3,IF(MONTH($C150)=5,$S$4,IF(MONTH($C150)=6,$S$5,IF(MONTH($C150)=7,$S$6,"ERROR")))),MAX(VLOOKUP($C150,COS!$B$8:$K$991,10,FALSE)-IF(MONTH($C150)=4,$Y$3,IF(MONTH($C150)=5,$Y$4,IF(MONTH($C150)=6,$Y$5,IF(MONTH($C150)=7,$Y$6,"ERROR")))),0),MAX(VLOOKUP($C150,COS!$B$8:$K$991,9,FALSE)-IF(MONTH($C150)=4,$V$3,IF(MONTH($C150)=5,$V$4,IF(MONTH($C150)=6,$V$5,IF(MONTH($C150)=7,$V$6,"ERROR"))))-VLOOKUP($C150,COS!$B$8:$K$991,6,FALSE)/2,0))</f>
        <v>1500</v>
      </c>
      <c r="S150" s="26">
        <f t="shared" si="235"/>
        <v>92.231404958677686</v>
      </c>
      <c r="T150" s="26">
        <f t="shared" si="236"/>
        <v>171.6119721316503</v>
      </c>
      <c r="U150" s="26" t="str">
        <f>IF(VLOOKUP($C150,COS!$B$8:$I$991,8,FALSE)=1,"UWFE","IBU")</f>
        <v>UWFE</v>
      </c>
      <c r="V150" s="26">
        <f t="shared" ref="V150" si="238">MIN(IF(IF($AA$3=2,AND(E150=1,G150=1,L150=1,L154=1,M150=1,U150="IBU"),AND(E150=1,G150=1,L150=1,L154=1,M150=1)),T150,0),I150)</f>
        <v>0</v>
      </c>
      <c r="W150" s="26"/>
      <c r="X150" s="26"/>
      <c r="Y150" s="26"/>
      <c r="Z150" s="26"/>
      <c r="AA150" s="26"/>
      <c r="AB150" s="33"/>
    </row>
    <row r="151" spans="1:28" x14ac:dyDescent="0.3">
      <c r="A151" s="32">
        <f>VLOOKUP(YEAR(C151),Flags!$A$13:$B$95,2,FALSE)</f>
        <v>4</v>
      </c>
      <c r="B151" s="24">
        <f t="shared" si="225"/>
        <v>1937</v>
      </c>
      <c r="C151" s="25">
        <v>13696</v>
      </c>
      <c r="D151" s="26">
        <f>VLOOKUP($C151,COS!$B$8:$H$991,3,FALSE)</f>
        <v>7479.65771484375</v>
      </c>
      <c r="E151" s="24">
        <f>IF(D151&gt;=IF(MONTH($C151)=4,$C$3,IF(MONTH($C151)=5,$C$4,IF(MONTH($C151)=6,$C$5,IF(MONTH($C151)=7,$C$6,"ERROR")))),1,0)</f>
        <v>0</v>
      </c>
      <c r="F151" s="26">
        <f>VLOOKUP($C151,COS!$B$8:$H$991,7,FALSE)</f>
        <v>52.658245086669922</v>
      </c>
      <c r="G151" s="24">
        <f>IF(F151&lt;=IF(MONTH($C151)=4,$F$3,IF(MONTH($C151)=5,$F$4,IF(MONTH($C151)=6,$F$5,IF(MONTH($C151)=7,$F$6,"ERROR")))),1,0)</f>
        <v>1</v>
      </c>
      <c r="H151" s="26">
        <f>IF(J151=1,D151-$C$5,0)</f>
        <v>0</v>
      </c>
      <c r="I151" s="26">
        <f t="shared" ref="I151:I214" si="239">H151*DAY($C151)*86400/43560/1000</f>
        <v>0</v>
      </c>
      <c r="J151" s="24">
        <f t="shared" si="230"/>
        <v>0</v>
      </c>
      <c r="K151" s="26">
        <f>VLOOKUP($C151,COS!$B$8:$H$991,2,FALSE)</f>
        <v>4074.04931640625</v>
      </c>
      <c r="L151" s="24">
        <f t="shared" si="231"/>
        <v>1</v>
      </c>
      <c r="M151" s="24">
        <f t="shared" si="232"/>
        <v>1</v>
      </c>
      <c r="N151" s="26">
        <f>VLOOKUP($C151,COS!$B$8:$H$991,5,FALSE)</f>
        <v>523.22735595703125</v>
      </c>
      <c r="O151" s="26">
        <f t="shared" si="233"/>
        <v>31.13418977595558</v>
      </c>
      <c r="P151" s="26">
        <f>VLOOKUP($C151,COS!$B$8:$H$991,6,FALSE)</f>
        <v>2560.548095703125</v>
      </c>
      <c r="Q151" s="26">
        <f t="shared" si="234"/>
        <v>152.36319247159091</v>
      </c>
      <c r="R151" s="26">
        <f>MIN(IF(MONTH($C151)=4,$S$3,IF(MONTH($C151)=5,$S$4,IF(MONTH($C151)=6,$S$5,IF(MONTH($C151)=7,$S$6,"ERROR")))),MAX(VLOOKUP($C151,COS!$B$8:$K$991,10,FALSE)-IF(MONTH($C151)=4,$Y$3,IF(MONTH($C151)=5,$Y$4,IF(MONTH($C151)=6,$Y$5,IF(MONTH($C151)=7,$Y$6,"ERROR")))),0),MAX(VLOOKUP($C151,COS!$B$8:$K$991,9,FALSE)-IF(MONTH($C151)=4,$V$3,IF(MONTH($C151)=5,$V$4,IF(MONTH($C151)=6,$V$5,IF(MONTH($C151)=7,$V$6,"ERROR"))))-VLOOKUP($C151,COS!$B$8:$K$991,6,FALSE)/2,0))</f>
        <v>1500</v>
      </c>
      <c r="S151" s="26">
        <f t="shared" si="235"/>
        <v>89.256198347107429</v>
      </c>
      <c r="T151" s="26">
        <f t="shared" si="236"/>
        <v>181.00488947088067</v>
      </c>
      <c r="U151" s="26" t="str">
        <f>IF(VLOOKUP($C151,COS!$B$8:$I$991,8,FALSE)=1,"UWFE","IBU")</f>
        <v>IBU</v>
      </c>
      <c r="V151" s="26">
        <f t="shared" ref="V151" si="240">MIN(IF(IF($AA$3=2,AND(E151=1,G151=1,L151=1,L154=1,M151=1,U151="IBU"),AND(E151=1,G151=1,L151=1,L154=1,M151=1)),T151,0),I151)</f>
        <v>0</v>
      </c>
      <c r="W151" s="26"/>
      <c r="X151" s="26"/>
      <c r="Y151" s="26"/>
      <c r="Z151" s="26"/>
      <c r="AA151" s="26"/>
      <c r="AB151" s="33"/>
    </row>
    <row r="152" spans="1:28" x14ac:dyDescent="0.3">
      <c r="A152" s="32">
        <f>VLOOKUP(YEAR(C152),Flags!$A$13:$B$95,2,FALSE)</f>
        <v>4</v>
      </c>
      <c r="B152" s="24">
        <f t="shared" si="225"/>
        <v>1937</v>
      </c>
      <c r="C152" s="25">
        <v>13727</v>
      </c>
      <c r="D152" s="26">
        <f>VLOOKUP($C152,COS!$B$8:$H$991,3,FALSE)</f>
        <v>10615.4677734375</v>
      </c>
      <c r="E152" s="24">
        <f>IF(D152&gt;=IF(MONTH($C152)=4,$C$3,IF(MONTH($C152)=5,$C$4,IF(MONTH($C152)=6,$C$5,IF(MONTH($C152)=7,$C$6,"ERROR")))),1,0)</f>
        <v>0</v>
      </c>
      <c r="F152" s="26">
        <f>VLOOKUP($C152,COS!$B$8:$H$991,7,FALSE)</f>
        <v>52.404350280761719</v>
      </c>
      <c r="G152" s="24">
        <f>IF(F152&lt;=IF(MONTH($C152)=4,$F$3,IF(MONTH($C152)=5,$F$4,IF(MONTH($C152)=6,$F$5,IF(MONTH($C152)=7,$F$6,"ERROR")))),1,0)</f>
        <v>1</v>
      </c>
      <c r="H152" s="26">
        <f>IF(J152=1,D152-$C$6,0)</f>
        <v>0</v>
      </c>
      <c r="I152" s="26">
        <f t="shared" si="239"/>
        <v>0</v>
      </c>
      <c r="J152" s="24">
        <f t="shared" si="230"/>
        <v>0</v>
      </c>
      <c r="K152" s="26">
        <f>VLOOKUP($C152,COS!$B$8:$H$991,2,FALSE)</f>
        <v>3583.887451171875</v>
      </c>
      <c r="L152" s="24">
        <f t="shared" si="231"/>
        <v>1</v>
      </c>
      <c r="M152" s="24">
        <f t="shared" si="232"/>
        <v>1</v>
      </c>
      <c r="N152" s="26">
        <f>VLOOKUP($C152,COS!$B$8:$H$991,5,FALSE)</f>
        <v>624.25457763671875</v>
      </c>
      <c r="O152" s="26">
        <f t="shared" si="233"/>
        <v>38.383917831547002</v>
      </c>
      <c r="P152" s="26">
        <f>VLOOKUP($C152,COS!$B$8:$H$991,6,FALSE)</f>
        <v>2537.385498046875</v>
      </c>
      <c r="Q152" s="26">
        <f t="shared" si="234"/>
        <v>156.01775293775825</v>
      </c>
      <c r="R152" s="26">
        <f>MIN(IF(MONTH($C152)=4,$S$3,IF(MONTH($C152)=5,$S$4,IF(MONTH($C152)=6,$S$5,IF(MONTH($C152)=7,$S$6,"ERROR")))),MAX(VLOOKUP($C152,COS!$B$8:$K$991,10,FALSE)-IF(MONTH($C152)=4,$Y$3,IF(MONTH($C152)=5,$Y$4,IF(MONTH($C152)=6,$Y$5,IF(MONTH($C152)=7,$Y$6,"ERROR")))),0),MAX(VLOOKUP($C152,COS!$B$8:$K$991,9,FALSE)-IF(MONTH($C152)=4,$V$3,IF(MONTH($C152)=5,$V$4,IF(MONTH($C152)=6,$V$5,IF(MONTH($C152)=7,$V$6,"ERROR"))))-VLOOKUP($C152,COS!$B$8:$K$991,6,FALSE)/2,0))</f>
        <v>1500</v>
      </c>
      <c r="S152" s="26">
        <f t="shared" si="235"/>
        <v>92.231404958677686</v>
      </c>
      <c r="T152" s="26">
        <f t="shared" si="236"/>
        <v>189.43224034333031</v>
      </c>
      <c r="U152" s="26" t="str">
        <f>IF(VLOOKUP($C152,COS!$B$8:$I$991,8,FALSE)=1,"UWFE","IBU")</f>
        <v>IBU</v>
      </c>
      <c r="V152" s="26">
        <f t="shared" ref="V152" si="241">MIN(IF(IF($AA$3=2,AND(E152=1,G152=1,L152=1,L154=1,M152=1,U152="IBU"),AND(E152=1,G152=1,L152=1,L154=1,M152=1)),T152,0),I152)</f>
        <v>0</v>
      </c>
      <c r="W152" s="26"/>
      <c r="X152" s="26"/>
      <c r="Y152" s="26"/>
      <c r="Z152" s="26"/>
      <c r="AA152" s="26"/>
      <c r="AB152" s="33"/>
    </row>
    <row r="153" spans="1:28" x14ac:dyDescent="0.3">
      <c r="A153" s="32">
        <f>VLOOKUP(YEAR(C153),Flags!$A$13:$B$95,2,FALSE)</f>
        <v>4</v>
      </c>
      <c r="B153" s="24">
        <f t="shared" si="225"/>
        <v>1937</v>
      </c>
      <c r="C153" s="25">
        <v>13758</v>
      </c>
      <c r="D153" s="26"/>
      <c r="E153" s="24"/>
      <c r="F153" s="26"/>
      <c r="G153" s="24"/>
      <c r="H153" s="24"/>
      <c r="I153" s="26"/>
      <c r="J153" s="24"/>
      <c r="K153" s="26"/>
      <c r="L153" s="24"/>
      <c r="M153" s="24"/>
      <c r="N153" s="26"/>
      <c r="O153" s="26"/>
      <c r="P153" s="26"/>
      <c r="Q153" s="26"/>
      <c r="R153" s="26"/>
      <c r="S153" s="26"/>
      <c r="T153" s="26"/>
      <c r="U153" s="26"/>
      <c r="V153" s="26"/>
      <c r="W153" s="26">
        <f>MAX($C$7-VLOOKUP($C153,COS!$B$8:$H$991,3,FALSE),0)</f>
        <v>90408.666015625</v>
      </c>
      <c r="X153" s="26">
        <f t="shared" si="143"/>
        <v>5559.0121913739667</v>
      </c>
      <c r="Y153" s="26">
        <f>VLOOKUP($C153,COS!$B$8:$H$991,4,FALSE)</f>
        <v>565.9937744140625</v>
      </c>
      <c r="Z153" s="26">
        <f t="shared" si="144"/>
        <v>34.801600674715914</v>
      </c>
      <c r="AA153" s="26">
        <f t="shared" ref="AA153:AA157" si="242">MIN(W153,Y153)</f>
        <v>565.9937744140625</v>
      </c>
      <c r="AB153" s="33">
        <f t="shared" ref="AB153:AB211" si="243">AA153*DAY($C153)*86400/43560/1000*IF(MONTH($C153)=8,$P$3,IF(MONTH($C153)=9,$P$4,IF(MONTH($C153)=10,$P$5,IF(MONTH($C153)=11,$P$6,IF(MONTH($C153)=12,$P$7,NA())))))</f>
        <v>34.801600674715914</v>
      </c>
    </row>
    <row r="154" spans="1:28" x14ac:dyDescent="0.3">
      <c r="A154" s="32">
        <f>VLOOKUP(YEAR(C154),Flags!$A$13:$B$95,2,FALSE)</f>
        <v>4</v>
      </c>
      <c r="B154" s="24">
        <f t="shared" si="225"/>
        <v>1937</v>
      </c>
      <c r="C154" s="25">
        <v>13788</v>
      </c>
      <c r="D154" s="26"/>
      <c r="E154" s="24"/>
      <c r="F154" s="26"/>
      <c r="G154" s="24"/>
      <c r="H154" s="24"/>
      <c r="I154" s="26"/>
      <c r="J154" s="24"/>
      <c r="K154" s="26">
        <f>VLOOKUP($C154,COS!$B$8:$H$991,2,FALSE)</f>
        <v>3016.538330078125</v>
      </c>
      <c r="L154" s="24">
        <f t="shared" ref="L154" si="244">IF(AND(K154&gt;$I$7,K154&lt;$I$8),1,0)</f>
        <v>1</v>
      </c>
      <c r="M154" s="24"/>
      <c r="N154" s="26"/>
      <c r="O154" s="26"/>
      <c r="P154" s="26"/>
      <c r="Q154" s="26"/>
      <c r="R154" s="26"/>
      <c r="S154" s="26"/>
      <c r="T154" s="26"/>
      <c r="U154" s="26"/>
      <c r="V154" s="26"/>
      <c r="W154" s="26">
        <f>MAX($C$8-VLOOKUP($C154,COS!$B$8:$H$991,3,FALSE),0)</f>
        <v>94463.15234375</v>
      </c>
      <c r="X154" s="26">
        <f t="shared" si="143"/>
        <v>5620.9479080578512</v>
      </c>
      <c r="Y154" s="26">
        <f>VLOOKUP($C154,COS!$B$8:$H$991,4,FALSE)</f>
        <v>479.2886962890625</v>
      </c>
      <c r="Z154" s="26">
        <f t="shared" si="144"/>
        <v>28.519657961002068</v>
      </c>
      <c r="AA154" s="26">
        <f t="shared" si="242"/>
        <v>479.2886962890625</v>
      </c>
      <c r="AB154" s="33">
        <f t="shared" si="243"/>
        <v>28.519657961002068</v>
      </c>
    </row>
    <row r="155" spans="1:28" x14ac:dyDescent="0.3">
      <c r="A155" s="32">
        <f>VLOOKUP(YEAR(C155),Flags!$A$13:$B$95,2,FALSE)</f>
        <v>4</v>
      </c>
      <c r="B155" s="24">
        <f t="shared" si="225"/>
        <v>1937</v>
      </c>
      <c r="C155" s="25">
        <v>13819</v>
      </c>
      <c r="D155" s="26"/>
      <c r="E155" s="24"/>
      <c r="F155" s="26"/>
      <c r="G155" s="26"/>
      <c r="H155" s="26"/>
      <c r="I155" s="26"/>
      <c r="J155" s="26"/>
      <c r="K155" s="26"/>
      <c r="L155" s="24"/>
      <c r="M155" s="24"/>
      <c r="N155" s="26"/>
      <c r="O155" s="26"/>
      <c r="P155" s="26"/>
      <c r="Q155" s="26"/>
      <c r="R155" s="26"/>
      <c r="S155" s="26"/>
      <c r="T155" s="26"/>
      <c r="U155" s="26"/>
      <c r="V155" s="26"/>
      <c r="W155" s="26">
        <f>MAX($C$9-VLOOKUP($C155,COS!$B$8:$H$991,3,FALSE),0)</f>
        <v>95507.43994140625</v>
      </c>
      <c r="X155" s="26">
        <f t="shared" ref="X155:X218" si="245">W155*DAY($C155)*86400/43560/1000</f>
        <v>5872.5235798682852</v>
      </c>
      <c r="Y155" s="26">
        <f>VLOOKUP($C155,COS!$B$8:$H$991,4,FALSE)</f>
        <v>673.72100830078125</v>
      </c>
      <c r="Z155" s="26">
        <f t="shared" ref="Z155:Z218" si="246">Y155*DAY($C155)*86400/43560/1000</f>
        <v>41.425490097172002</v>
      </c>
      <c r="AA155" s="26">
        <f t="shared" si="242"/>
        <v>673.72100830078125</v>
      </c>
      <c r="AB155" s="33">
        <f t="shared" si="243"/>
        <v>41.425490097172002</v>
      </c>
    </row>
    <row r="156" spans="1:28" x14ac:dyDescent="0.3">
      <c r="A156" s="32">
        <f>VLOOKUP(YEAR(C156),Flags!$A$13:$B$95,2,FALSE)</f>
        <v>4</v>
      </c>
      <c r="B156" s="24">
        <f t="shared" si="225"/>
        <v>1937</v>
      </c>
      <c r="C156" s="25">
        <v>13849</v>
      </c>
      <c r="D156" s="26"/>
      <c r="E156" s="24"/>
      <c r="F156" s="26"/>
      <c r="G156" s="26"/>
      <c r="H156" s="26"/>
      <c r="I156" s="26"/>
      <c r="J156" s="26"/>
      <c r="K156" s="26"/>
      <c r="L156" s="24"/>
      <c r="M156" s="24"/>
      <c r="N156" s="26"/>
      <c r="O156" s="26"/>
      <c r="P156" s="26"/>
      <c r="Q156" s="26"/>
      <c r="R156" s="26"/>
      <c r="S156" s="26"/>
      <c r="T156" s="26"/>
      <c r="U156" s="26"/>
      <c r="V156" s="26"/>
      <c r="W156" s="26">
        <f>MAX($C$10-VLOOKUP($C156,COS!$B$8:$H$991,3,FALSE),0)</f>
        <v>91785.7744140625</v>
      </c>
      <c r="X156" s="26">
        <f t="shared" si="245"/>
        <v>5461.6328576962806</v>
      </c>
      <c r="Y156" s="26">
        <f>VLOOKUP($C156,COS!$B$8:$H$991,4,FALSE)</f>
        <v>0</v>
      </c>
      <c r="Z156" s="26">
        <f t="shared" si="246"/>
        <v>0</v>
      </c>
      <c r="AA156" s="26">
        <f t="shared" si="242"/>
        <v>0</v>
      </c>
      <c r="AB156" s="33">
        <f t="shared" si="243"/>
        <v>0</v>
      </c>
    </row>
    <row r="157" spans="1:28" x14ac:dyDescent="0.3">
      <c r="A157" s="34">
        <f>VLOOKUP(YEAR(C157),Flags!$A$13:$B$95,2,FALSE)</f>
        <v>4</v>
      </c>
      <c r="B157" s="35">
        <f t="shared" si="225"/>
        <v>1937</v>
      </c>
      <c r="C157" s="36">
        <v>13880</v>
      </c>
      <c r="D157" s="37"/>
      <c r="E157" s="35"/>
      <c r="F157" s="37"/>
      <c r="G157" s="37"/>
      <c r="H157" s="37"/>
      <c r="I157" s="37"/>
      <c r="J157" s="37"/>
      <c r="K157" s="37"/>
      <c r="L157" s="35"/>
      <c r="M157" s="35"/>
      <c r="N157" s="37"/>
      <c r="O157" s="37"/>
      <c r="P157" s="37"/>
      <c r="Q157" s="37"/>
      <c r="R157" s="37"/>
      <c r="S157" s="37"/>
      <c r="T157" s="37"/>
      <c r="U157" s="37"/>
      <c r="V157" s="37"/>
      <c r="W157" s="37">
        <f>MAX($C$11-VLOOKUP($C157,COS!$B$8:$H$991,3,FALSE),0)</f>
        <v>0</v>
      </c>
      <c r="X157" s="37">
        <f t="shared" si="245"/>
        <v>0</v>
      </c>
      <c r="Y157" s="37">
        <f>VLOOKUP($C157,COS!$B$8:$H$991,4,FALSE)</f>
        <v>0</v>
      </c>
      <c r="Z157" s="37">
        <f t="shared" si="246"/>
        <v>0</v>
      </c>
      <c r="AA157" s="37">
        <f t="shared" si="242"/>
        <v>0</v>
      </c>
      <c r="AB157" s="38">
        <f t="shared" si="243"/>
        <v>0</v>
      </c>
    </row>
    <row r="158" spans="1:28" x14ac:dyDescent="0.3">
      <c r="A158" s="27">
        <f>VLOOKUP(YEAR(C158),Flags!$A$13:$B$95,2,FALSE)</f>
        <v>1</v>
      </c>
      <c r="B158" s="28">
        <f t="shared" si="225"/>
        <v>1938</v>
      </c>
      <c r="C158" s="29">
        <v>14000</v>
      </c>
      <c r="D158" s="30">
        <f>VLOOKUP($C158,COS!$B$8:$H$991,3,FALSE)</f>
        <v>11215.0048828125</v>
      </c>
      <c r="E158" s="28">
        <f>IF(D158&gt;=IF(MONTH($C158)=4,$C$3,IF(MONTH($C158)=5,$C$4,IF(MONTH($C158)=6,$C$5,IF(MONTH($C158)=7,$C$6,"ERROR")))),1,0)</f>
        <v>1</v>
      </c>
      <c r="F158" s="30">
        <f>VLOOKUP($C158,COS!$B$8:$H$991,7,FALSE)</f>
        <v>47.354358673095703</v>
      </c>
      <c r="G158" s="28">
        <f>IF(F158&lt;=IF(MONTH($C158)=4,$F$3,IF(MONTH($C158)=5,$F$4,IF(MONTH($C158)=6,$F$5,IF(MONTH($C158)=7,$F$6,"ERROR")))),1,0)</f>
        <v>1</v>
      </c>
      <c r="H158" s="30">
        <f>IF(J158=1,D158-$C$3,0)</f>
        <v>5215.0048828125</v>
      </c>
      <c r="I158" s="30">
        <f t="shared" si="239"/>
        <v>310.31434013429748</v>
      </c>
      <c r="J158" s="28">
        <f t="shared" ref="J158:J161" si="247">IF(AND(E158=1,G158=1),1,0)</f>
        <v>1</v>
      </c>
      <c r="K158" s="30">
        <f>VLOOKUP($C158,COS!$B$8:$H$991,2,FALSE)</f>
        <v>4058</v>
      </c>
      <c r="L158" s="28">
        <f t="shared" ref="L158" si="248">IF(K158&lt;=IF(MONTH($C158)=4,$I$3,IF(MONTH($C158)=5,$I$4,IF(MONTH($C158)=6,$I$5,IF(MONTH($C158)=7,$I$6,"ERROR")))),1,0)</f>
        <v>1</v>
      </c>
      <c r="M158" s="28">
        <f t="shared" ref="M158" si="249">VLOOKUP($A158,$L$3:$M$7,2,FALSE)</f>
        <v>0</v>
      </c>
      <c r="N158" s="30">
        <f>VLOOKUP($C158,COS!$B$8:$H$991,5,FALSE)</f>
        <v>40.17889404296875</v>
      </c>
      <c r="O158" s="30">
        <f t="shared" ref="O158:O161" si="250">N158*DAY($C158)*86400/43560/1000</f>
        <v>2.3908102240444213</v>
      </c>
      <c r="P158" s="30">
        <f>VLOOKUP($C158,COS!$B$8:$H$991,6,FALSE)</f>
        <v>377.05276489257813</v>
      </c>
      <c r="Q158" s="30">
        <f t="shared" ref="Q158:Q161" si="251">P158*DAY($C158)*86400/43560/1000</f>
        <v>22.436197580384814</v>
      </c>
      <c r="R158" s="30">
        <f>MIN(IF(MONTH($C158)=4,$S$3,IF(MONTH($C158)=5,$S$4,IF(MONTH($C158)=6,$S$5,IF(MONTH($C158)=7,$S$6,"ERROR")))),MAX(VLOOKUP($C158,COS!$B$8:$K$991,10,FALSE)-IF(MONTH($C158)=4,$Y$3,IF(MONTH($C158)=5,$Y$4,IF(MONTH($C158)=6,$Y$5,IF(MONTH($C158)=7,$Y$6,"ERROR")))),0),MAX(VLOOKUP($C158,COS!$B$8:$K$991,9,FALSE)-IF(MONTH($C158)=4,$V$3,IF(MONTH($C158)=5,$V$4,IF(MONTH($C158)=6,$V$5,IF(MONTH($C158)=7,$V$6,"ERROR"))))-VLOOKUP($C158,COS!$B$8:$K$991,6,FALSE)/2,0))</f>
        <v>1500</v>
      </c>
      <c r="S158" s="30">
        <f t="shared" ref="S158:S161" si="252">R158*DAY($C158)*86400/43560/1000</f>
        <v>89.256198347107429</v>
      </c>
      <c r="T158" s="30">
        <f t="shared" ref="T158:T161" si="253">(O158+Q158)/2+S158</f>
        <v>101.66970224932204</v>
      </c>
      <c r="U158" s="30" t="str">
        <f>IF(VLOOKUP($C158,COS!$B$8:$I$991,8,FALSE)=1,"UWFE","IBU")</f>
        <v>UWFE</v>
      </c>
      <c r="V158" s="30">
        <f t="shared" ref="V158" si="254">MIN(IF(IF($AA$3=2,AND(E158=1,G158=1,L158=1,L163=1,M158=1,U158="IBU"),AND(E158=1,G158=1,L158=1,L163=1,M158=1)),T158,0),I158)</f>
        <v>0</v>
      </c>
      <c r="W158" s="30"/>
      <c r="X158" s="30"/>
      <c r="Y158" s="30"/>
      <c r="Z158" s="30"/>
      <c r="AA158" s="30"/>
      <c r="AB158" s="31"/>
    </row>
    <row r="159" spans="1:28" x14ac:dyDescent="0.3">
      <c r="A159" s="32">
        <f>VLOOKUP(YEAR(C159),Flags!$A$13:$B$95,2,FALSE)</f>
        <v>1</v>
      </c>
      <c r="B159" s="24">
        <f t="shared" si="225"/>
        <v>1938</v>
      </c>
      <c r="C159" s="25">
        <v>14031</v>
      </c>
      <c r="D159" s="26">
        <f>VLOOKUP($C159,COS!$B$8:$H$991,3,FALSE)</f>
        <v>8562.095703125</v>
      </c>
      <c r="E159" s="24">
        <f>IF(D159&gt;=IF(MONTH($C159)=4,$C$3,IF(MONTH($C159)=5,$C$4,IF(MONTH($C159)=6,$C$5,IF(MONTH($C159)=7,$C$6,"ERROR")))),1,0)</f>
        <v>1</v>
      </c>
      <c r="F159" s="26">
        <f>VLOOKUP($C159,COS!$B$8:$H$991,7,FALSE)</f>
        <v>50.241443634033203</v>
      </c>
      <c r="G159" s="24">
        <f>IF(F159&lt;=IF(MONTH($C159)=4,$F$3,IF(MONTH($C159)=5,$F$4,IF(MONTH($C159)=6,$F$5,IF(MONTH($C159)=7,$F$6,"ERROR")))),1,0)</f>
        <v>1</v>
      </c>
      <c r="H159" s="26">
        <f>IF(J159=1,D159-$C$4,0)</f>
        <v>2562.095703125</v>
      </c>
      <c r="I159" s="26">
        <f t="shared" si="239"/>
        <v>157.53712422520661</v>
      </c>
      <c r="J159" s="24">
        <f t="shared" si="247"/>
        <v>1</v>
      </c>
      <c r="K159" s="26">
        <f>VLOOKUP($C159,COS!$B$8:$H$991,2,FALSE)</f>
        <v>4488.45849609375</v>
      </c>
      <c r="L159" s="24">
        <f t="shared" si="231"/>
        <v>1</v>
      </c>
      <c r="M159" s="24">
        <f t="shared" si="232"/>
        <v>0</v>
      </c>
      <c r="N159" s="26">
        <f>VLOOKUP($C159,COS!$B$8:$H$991,5,FALSE)</f>
        <v>664.77288818359375</v>
      </c>
      <c r="O159" s="26">
        <f t="shared" si="250"/>
        <v>40.875291637073857</v>
      </c>
      <c r="P159" s="26">
        <f>VLOOKUP($C159,COS!$B$8:$H$991,6,FALSE)</f>
        <v>2143.932373046875</v>
      </c>
      <c r="Q159" s="26">
        <f t="shared" si="251"/>
        <v>131.82526326833678</v>
      </c>
      <c r="R159" s="26">
        <f>MIN(IF(MONTH($C159)=4,$S$3,IF(MONTH($C159)=5,$S$4,IF(MONTH($C159)=6,$S$5,IF(MONTH($C159)=7,$S$6,"ERROR")))),MAX(VLOOKUP($C159,COS!$B$8:$K$991,10,FALSE)-IF(MONTH($C159)=4,$Y$3,IF(MONTH($C159)=5,$Y$4,IF(MONTH($C159)=6,$Y$5,IF(MONTH($C159)=7,$Y$6,"ERROR")))),0),MAX(VLOOKUP($C159,COS!$B$8:$K$991,9,FALSE)-IF(MONTH($C159)=4,$V$3,IF(MONTH($C159)=5,$V$4,IF(MONTH($C159)=6,$V$5,IF(MONTH($C159)=7,$V$6,"ERROR"))))-VLOOKUP($C159,COS!$B$8:$K$991,6,FALSE)/2,0))</f>
        <v>1500</v>
      </c>
      <c r="S159" s="26">
        <f t="shared" si="252"/>
        <v>92.231404958677686</v>
      </c>
      <c r="T159" s="26">
        <f t="shared" si="253"/>
        <v>178.58168241138299</v>
      </c>
      <c r="U159" s="26" t="str">
        <f>IF(VLOOKUP($C159,COS!$B$8:$I$991,8,FALSE)=1,"UWFE","IBU")</f>
        <v>UWFE</v>
      </c>
      <c r="V159" s="26">
        <f t="shared" ref="V159" si="255">MIN(IF(IF($AA$3=2,AND(E159=1,G159=1,L159=1,L163=1,M159=1,U159="IBU"),AND(E159=1,G159=1,L159=1,L163=1,M159=1)),T159,0),I159)</f>
        <v>0</v>
      </c>
      <c r="W159" s="26"/>
      <c r="X159" s="26"/>
      <c r="Y159" s="26"/>
      <c r="Z159" s="26"/>
      <c r="AA159" s="26"/>
      <c r="AB159" s="33"/>
    </row>
    <row r="160" spans="1:28" x14ac:dyDescent="0.3">
      <c r="A160" s="32">
        <f>VLOOKUP(YEAR(C160),Flags!$A$13:$B$95,2,FALSE)</f>
        <v>1</v>
      </c>
      <c r="B160" s="24">
        <f t="shared" si="225"/>
        <v>1938</v>
      </c>
      <c r="C160" s="25">
        <v>14061</v>
      </c>
      <c r="D160" s="26">
        <f>VLOOKUP($C160,COS!$B$8:$H$991,3,FALSE)</f>
        <v>7901.6748046875</v>
      </c>
      <c r="E160" s="24">
        <f>IF(D160&gt;=IF(MONTH($C160)=4,$C$3,IF(MONTH($C160)=5,$C$4,IF(MONTH($C160)=6,$C$5,IF(MONTH($C160)=7,$C$6,"ERROR")))),1,0)</f>
        <v>0</v>
      </c>
      <c r="F160" s="26">
        <f>VLOOKUP($C160,COS!$B$8:$H$991,7,FALSE)</f>
        <v>52.2984619140625</v>
      </c>
      <c r="G160" s="24">
        <f>IF(F160&lt;=IF(MONTH($C160)=4,$F$3,IF(MONTH($C160)=5,$F$4,IF(MONTH($C160)=6,$F$5,IF(MONTH($C160)=7,$F$6,"ERROR")))),1,0)</f>
        <v>1</v>
      </c>
      <c r="H160" s="26">
        <f>IF(J160=1,D160-$C$5,0)</f>
        <v>0</v>
      </c>
      <c r="I160" s="26">
        <f t="shared" si="239"/>
        <v>0</v>
      </c>
      <c r="J160" s="24">
        <f t="shared" si="247"/>
        <v>0</v>
      </c>
      <c r="K160" s="26">
        <f>VLOOKUP($C160,COS!$B$8:$H$991,2,FALSE)</f>
        <v>4435.94384765625</v>
      </c>
      <c r="L160" s="24">
        <f t="shared" si="231"/>
        <v>1</v>
      </c>
      <c r="M160" s="24">
        <f t="shared" si="232"/>
        <v>0</v>
      </c>
      <c r="N160" s="26">
        <f>VLOOKUP($C160,COS!$B$8:$H$991,5,FALSE)</f>
        <v>1236.6031494140625</v>
      </c>
      <c r="O160" s="26">
        <f t="shared" si="250"/>
        <v>73.582997320506195</v>
      </c>
      <c r="P160" s="26">
        <f>VLOOKUP($C160,COS!$B$8:$H$991,6,FALSE)</f>
        <v>2276.98291015625</v>
      </c>
      <c r="Q160" s="26">
        <f t="shared" si="251"/>
        <v>135.48989217458677</v>
      </c>
      <c r="R160" s="26">
        <f>MIN(IF(MONTH($C160)=4,$S$3,IF(MONTH($C160)=5,$S$4,IF(MONTH($C160)=6,$S$5,IF(MONTH($C160)=7,$S$6,"ERROR")))),MAX(VLOOKUP($C160,COS!$B$8:$K$991,10,FALSE)-IF(MONTH($C160)=4,$Y$3,IF(MONTH($C160)=5,$Y$4,IF(MONTH($C160)=6,$Y$5,IF(MONTH($C160)=7,$Y$6,"ERROR")))),0),MAX(VLOOKUP($C160,COS!$B$8:$K$991,9,FALSE)-IF(MONTH($C160)=4,$V$3,IF(MONTH($C160)=5,$V$4,IF(MONTH($C160)=6,$V$5,IF(MONTH($C160)=7,$V$6,"ERROR"))))-VLOOKUP($C160,COS!$B$8:$K$991,6,FALSE)/2,0))</f>
        <v>1500</v>
      </c>
      <c r="S160" s="26">
        <f t="shared" si="252"/>
        <v>89.256198347107429</v>
      </c>
      <c r="T160" s="26">
        <f t="shared" si="253"/>
        <v>193.7926430946539</v>
      </c>
      <c r="U160" s="26" t="str">
        <f>IF(VLOOKUP($C160,COS!$B$8:$I$991,8,FALSE)=1,"UWFE","IBU")</f>
        <v>UWFE</v>
      </c>
      <c r="V160" s="26">
        <f t="shared" ref="V160" si="256">MIN(IF(IF($AA$3=2,AND(E160=1,G160=1,L160=1,L163=1,M160=1,U160="IBU"),AND(E160=1,G160=1,L160=1,L163=1,M160=1)),T160,0),I160)</f>
        <v>0</v>
      </c>
      <c r="W160" s="26"/>
      <c r="X160" s="26"/>
      <c r="Y160" s="26"/>
      <c r="Z160" s="26"/>
      <c r="AA160" s="26"/>
      <c r="AB160" s="33"/>
    </row>
    <row r="161" spans="1:28" x14ac:dyDescent="0.3">
      <c r="A161" s="32">
        <f>VLOOKUP(YEAR(C161),Flags!$A$13:$B$95,2,FALSE)</f>
        <v>1</v>
      </c>
      <c r="B161" s="24">
        <f t="shared" si="225"/>
        <v>1938</v>
      </c>
      <c r="C161" s="25">
        <v>14092</v>
      </c>
      <c r="D161" s="26">
        <f>VLOOKUP($C161,COS!$B$8:$H$991,3,FALSE)</f>
        <v>10626.4931640625</v>
      </c>
      <c r="E161" s="24">
        <f>IF(D161&gt;=IF(MONTH($C161)=4,$C$3,IF(MONTH($C161)=5,$C$4,IF(MONTH($C161)=6,$C$5,IF(MONTH($C161)=7,$C$6,"ERROR")))),1,0)</f>
        <v>0</v>
      </c>
      <c r="F161" s="26">
        <f>VLOOKUP($C161,COS!$B$8:$H$991,7,FALSE)</f>
        <v>52.414962768554688</v>
      </c>
      <c r="G161" s="24">
        <f>IF(F161&lt;=IF(MONTH($C161)=4,$F$3,IF(MONTH($C161)=5,$F$4,IF(MONTH($C161)=6,$F$5,IF(MONTH($C161)=7,$F$6,"ERROR")))),1,0)</f>
        <v>1</v>
      </c>
      <c r="H161" s="26">
        <f>IF(J161=1,D161-$C$6,0)</f>
        <v>0</v>
      </c>
      <c r="I161" s="26">
        <f t="shared" si="239"/>
        <v>0</v>
      </c>
      <c r="J161" s="24">
        <f t="shared" si="247"/>
        <v>0</v>
      </c>
      <c r="K161" s="26">
        <f>VLOOKUP($C161,COS!$B$8:$H$991,2,FALSE)</f>
        <v>4015.395751953125</v>
      </c>
      <c r="L161" s="24">
        <f t="shared" si="231"/>
        <v>1</v>
      </c>
      <c r="M161" s="24">
        <f t="shared" si="232"/>
        <v>0</v>
      </c>
      <c r="N161" s="26">
        <f>VLOOKUP($C161,COS!$B$8:$H$991,5,FALSE)</f>
        <v>1349.977294921875</v>
      </c>
      <c r="O161" s="26">
        <f t="shared" si="250"/>
        <v>83.006868381973135</v>
      </c>
      <c r="P161" s="26">
        <f>VLOOKUP($C161,COS!$B$8:$H$991,6,FALSE)</f>
        <v>2521.474853515625</v>
      </c>
      <c r="Q161" s="26">
        <f t="shared" si="251"/>
        <v>155.0394455384814</v>
      </c>
      <c r="R161" s="26">
        <f>MIN(IF(MONTH($C161)=4,$S$3,IF(MONTH($C161)=5,$S$4,IF(MONTH($C161)=6,$S$5,IF(MONTH($C161)=7,$S$6,"ERROR")))),MAX(VLOOKUP($C161,COS!$B$8:$K$991,10,FALSE)-IF(MONTH($C161)=4,$Y$3,IF(MONTH($C161)=5,$Y$4,IF(MONTH($C161)=6,$Y$5,IF(MONTH($C161)=7,$Y$6,"ERROR")))),0),MAX(VLOOKUP($C161,COS!$B$8:$K$991,9,FALSE)-IF(MONTH($C161)=4,$V$3,IF(MONTH($C161)=5,$V$4,IF(MONTH($C161)=6,$V$5,IF(MONTH($C161)=7,$V$6,"ERROR"))))-VLOOKUP($C161,COS!$B$8:$K$991,6,FALSE)/2,0))</f>
        <v>1500</v>
      </c>
      <c r="S161" s="26">
        <f t="shared" si="252"/>
        <v>92.231404958677686</v>
      </c>
      <c r="T161" s="26">
        <f t="shared" si="253"/>
        <v>211.25456191890495</v>
      </c>
      <c r="U161" s="26" t="str">
        <f>IF(VLOOKUP($C161,COS!$B$8:$I$991,8,FALSE)=1,"UWFE","IBU")</f>
        <v>IBU</v>
      </c>
      <c r="V161" s="26">
        <f t="shared" ref="V161" si="257">MIN(IF(IF($AA$3=2,AND(E161=1,G161=1,L161=1,L163=1,M161=1,U161="IBU"),AND(E161=1,G161=1,L161=1,L163=1,M161=1)),T161,0),I161)</f>
        <v>0</v>
      </c>
      <c r="W161" s="26"/>
      <c r="X161" s="26"/>
      <c r="Y161" s="26"/>
      <c r="Z161" s="26"/>
      <c r="AA161" s="26"/>
      <c r="AB161" s="33"/>
    </row>
    <row r="162" spans="1:28" x14ac:dyDescent="0.3">
      <c r="A162" s="32">
        <f>VLOOKUP(YEAR(C162),Flags!$A$13:$B$95,2,FALSE)</f>
        <v>1</v>
      </c>
      <c r="B162" s="24">
        <f t="shared" si="225"/>
        <v>1938</v>
      </c>
      <c r="C162" s="25">
        <v>14123</v>
      </c>
      <c r="D162" s="26"/>
      <c r="E162" s="24"/>
      <c r="F162" s="26"/>
      <c r="G162" s="24"/>
      <c r="H162" s="24"/>
      <c r="I162" s="26"/>
      <c r="J162" s="24"/>
      <c r="K162" s="26"/>
      <c r="L162" s="24"/>
      <c r="M162" s="24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f>MAX($C$7-VLOOKUP($C162,COS!$B$8:$H$991,3,FALSE),0)</f>
        <v>89530.1455078125</v>
      </c>
      <c r="X162" s="26">
        <f t="shared" si="245"/>
        <v>5504.9940708935947</v>
      </c>
      <c r="Y162" s="26">
        <f>VLOOKUP($C162,COS!$B$8:$H$991,4,FALSE)</f>
        <v>0</v>
      </c>
      <c r="Z162" s="26">
        <f t="shared" si="246"/>
        <v>0</v>
      </c>
      <c r="AA162" s="26">
        <f t="shared" ref="AA162:AA166" si="258">MIN(W162,Y162)</f>
        <v>0</v>
      </c>
      <c r="AB162" s="33">
        <f t="shared" ref="AB162" si="259">AA162*DAY($C162)*86400/43560/1000*IF(MONTH($C162)=8,$P$3,IF(MONTH($C162)=9,$P$4,IF(MONTH($C162)=10,$P$5,IF(MONTH($C162)=11,$P$6,IF(MONTH($C162)=12,$P$7,NA())))))</f>
        <v>0</v>
      </c>
    </row>
    <row r="163" spans="1:28" x14ac:dyDescent="0.3">
      <c r="A163" s="32">
        <f>VLOOKUP(YEAR(C163),Flags!$A$13:$B$95,2,FALSE)</f>
        <v>1</v>
      </c>
      <c r="B163" s="24">
        <f t="shared" si="225"/>
        <v>1938</v>
      </c>
      <c r="C163" s="25">
        <v>14153</v>
      </c>
      <c r="D163" s="26"/>
      <c r="E163" s="24"/>
      <c r="F163" s="26"/>
      <c r="G163" s="24"/>
      <c r="H163" s="24"/>
      <c r="I163" s="26"/>
      <c r="J163" s="24"/>
      <c r="K163" s="26">
        <f>VLOOKUP($C163,COS!$B$8:$H$991,2,FALSE)</f>
        <v>3067.66845703125</v>
      </c>
      <c r="L163" s="24">
        <f t="shared" ref="L163" si="260">IF(AND(K163&gt;$I$7,K163&lt;$I$8),1,0)</f>
        <v>1</v>
      </c>
      <c r="M163" s="24"/>
      <c r="N163" s="26"/>
      <c r="O163" s="26"/>
      <c r="P163" s="26"/>
      <c r="Q163" s="26"/>
      <c r="R163" s="26"/>
      <c r="S163" s="26"/>
      <c r="T163" s="26"/>
      <c r="U163" s="26"/>
      <c r="V163" s="26"/>
      <c r="W163" s="26">
        <f>MAX($C$8-VLOOKUP($C163,COS!$B$8:$H$991,3,FALSE),0)</f>
        <v>84308.306640625</v>
      </c>
      <c r="X163" s="26">
        <f t="shared" si="245"/>
        <v>5016.6926265495867</v>
      </c>
      <c r="Y163" s="26">
        <f>VLOOKUP($C163,COS!$B$8:$H$991,4,FALSE)</f>
        <v>0</v>
      </c>
      <c r="Z163" s="26">
        <f t="shared" si="246"/>
        <v>0</v>
      </c>
      <c r="AA163" s="26">
        <f t="shared" si="258"/>
        <v>0</v>
      </c>
      <c r="AB163" s="33">
        <f t="shared" si="243"/>
        <v>0</v>
      </c>
    </row>
    <row r="164" spans="1:28" x14ac:dyDescent="0.3">
      <c r="A164" s="32">
        <f>VLOOKUP(YEAR(C164),Flags!$A$13:$B$95,2,FALSE)</f>
        <v>1</v>
      </c>
      <c r="B164" s="24">
        <f t="shared" si="225"/>
        <v>1938</v>
      </c>
      <c r="C164" s="25">
        <v>14184</v>
      </c>
      <c r="D164" s="26"/>
      <c r="E164" s="24"/>
      <c r="F164" s="26"/>
      <c r="G164" s="26"/>
      <c r="H164" s="26"/>
      <c r="I164" s="26"/>
      <c r="J164" s="26"/>
      <c r="K164" s="26"/>
      <c r="L164" s="24"/>
      <c r="M164" s="24"/>
      <c r="N164" s="26"/>
      <c r="O164" s="26"/>
      <c r="P164" s="26"/>
      <c r="Q164" s="26"/>
      <c r="R164" s="26"/>
      <c r="S164" s="26"/>
      <c r="T164" s="26"/>
      <c r="U164" s="26"/>
      <c r="V164" s="26"/>
      <c r="W164" s="26">
        <f>MAX($C$9-VLOOKUP($C164,COS!$B$8:$H$991,3,FALSE),0)</f>
        <v>94842.9638671875</v>
      </c>
      <c r="X164" s="26">
        <f t="shared" si="245"/>
        <v>5831.6665386105378</v>
      </c>
      <c r="Y164" s="26">
        <f>VLOOKUP($C164,COS!$B$8:$H$991,4,FALSE)</f>
        <v>48.355400085449219</v>
      </c>
      <c r="Z164" s="26">
        <f t="shared" si="246"/>
        <v>2.9732576581466295</v>
      </c>
      <c r="AA164" s="26">
        <f t="shared" si="258"/>
        <v>48.355400085449219</v>
      </c>
      <c r="AB164" s="33">
        <f t="shared" si="243"/>
        <v>2.9732576581466295</v>
      </c>
    </row>
    <row r="165" spans="1:28" x14ac:dyDescent="0.3">
      <c r="A165" s="32">
        <f>VLOOKUP(YEAR(C165),Flags!$A$13:$B$95,2,FALSE)</f>
        <v>1</v>
      </c>
      <c r="B165" s="24">
        <f t="shared" si="225"/>
        <v>1938</v>
      </c>
      <c r="C165" s="25">
        <v>14214</v>
      </c>
      <c r="D165" s="26"/>
      <c r="E165" s="24"/>
      <c r="F165" s="26"/>
      <c r="G165" s="26"/>
      <c r="H165" s="26"/>
      <c r="I165" s="26"/>
      <c r="J165" s="26"/>
      <c r="K165" s="26"/>
      <c r="L165" s="24"/>
      <c r="M165" s="24"/>
      <c r="N165" s="26"/>
      <c r="O165" s="26"/>
      <c r="P165" s="26"/>
      <c r="Q165" s="26"/>
      <c r="R165" s="26"/>
      <c r="S165" s="26"/>
      <c r="T165" s="26"/>
      <c r="U165" s="26"/>
      <c r="V165" s="26"/>
      <c r="W165" s="26">
        <f>MAX($C$10-VLOOKUP($C165,COS!$B$8:$H$991,3,FALSE),0)</f>
        <v>91290.8857421875</v>
      </c>
      <c r="X165" s="26">
        <f t="shared" si="245"/>
        <v>5432.1849367252071</v>
      </c>
      <c r="Y165" s="26">
        <f>VLOOKUP($C165,COS!$B$8:$H$991,4,FALSE)</f>
        <v>0</v>
      </c>
      <c r="Z165" s="26">
        <f t="shared" si="246"/>
        <v>0</v>
      </c>
      <c r="AA165" s="26">
        <f t="shared" si="258"/>
        <v>0</v>
      </c>
      <c r="AB165" s="33">
        <f t="shared" si="243"/>
        <v>0</v>
      </c>
    </row>
    <row r="166" spans="1:28" x14ac:dyDescent="0.3">
      <c r="A166" s="34">
        <f>VLOOKUP(YEAR(C166),Flags!$A$13:$B$95,2,FALSE)</f>
        <v>1</v>
      </c>
      <c r="B166" s="35">
        <f t="shared" si="225"/>
        <v>1938</v>
      </c>
      <c r="C166" s="36">
        <v>14245</v>
      </c>
      <c r="D166" s="37"/>
      <c r="E166" s="35"/>
      <c r="F166" s="37"/>
      <c r="G166" s="37"/>
      <c r="H166" s="37"/>
      <c r="I166" s="37"/>
      <c r="J166" s="37"/>
      <c r="K166" s="37"/>
      <c r="L166" s="35"/>
      <c r="M166" s="35"/>
      <c r="N166" s="37"/>
      <c r="O166" s="37"/>
      <c r="P166" s="37"/>
      <c r="Q166" s="37"/>
      <c r="R166" s="37"/>
      <c r="S166" s="37"/>
      <c r="T166" s="37"/>
      <c r="U166" s="37"/>
      <c r="V166" s="37"/>
      <c r="W166" s="37">
        <f>MAX($C$11-VLOOKUP($C166,COS!$B$8:$H$991,3,FALSE),0)</f>
        <v>0</v>
      </c>
      <c r="X166" s="37">
        <f t="shared" si="245"/>
        <v>0</v>
      </c>
      <c r="Y166" s="37">
        <f>VLOOKUP($C166,COS!$B$8:$H$991,4,FALSE)</f>
        <v>0</v>
      </c>
      <c r="Z166" s="37">
        <f t="shared" si="246"/>
        <v>0</v>
      </c>
      <c r="AA166" s="37">
        <f t="shared" si="258"/>
        <v>0</v>
      </c>
      <c r="AB166" s="38">
        <f t="shared" si="243"/>
        <v>0</v>
      </c>
    </row>
    <row r="167" spans="1:28" x14ac:dyDescent="0.3">
      <c r="A167" s="27">
        <f>VLOOKUP(YEAR(C167),Flags!$A$13:$B$95,2,FALSE)</f>
        <v>3</v>
      </c>
      <c r="B167" s="28">
        <f t="shared" si="225"/>
        <v>1939</v>
      </c>
      <c r="C167" s="29">
        <v>14365</v>
      </c>
      <c r="D167" s="30">
        <f>VLOOKUP($C167,COS!$B$8:$H$991,3,FALSE)</f>
        <v>5639.22900390625</v>
      </c>
      <c r="E167" s="28">
        <f>IF(D167&gt;=IF(MONTH($C167)=4,$C$3,IF(MONTH($C167)=5,$C$4,IF(MONTH($C167)=6,$C$5,IF(MONTH($C167)=7,$C$6,"ERROR")))),1,0)</f>
        <v>0</v>
      </c>
      <c r="F167" s="30">
        <f>VLOOKUP($C167,COS!$B$8:$H$991,7,FALSE)</f>
        <v>50.994121551513672</v>
      </c>
      <c r="G167" s="28">
        <f>IF(F167&lt;=IF(MONTH($C167)=4,$F$3,IF(MONTH($C167)=5,$F$4,IF(MONTH($C167)=6,$F$5,IF(MONTH($C167)=7,$F$6,"ERROR")))),1,0)</f>
        <v>1</v>
      </c>
      <c r="H167" s="30">
        <f>IF(J167=1,D167-$C$3,0)</f>
        <v>0</v>
      </c>
      <c r="I167" s="30">
        <f t="shared" si="239"/>
        <v>0</v>
      </c>
      <c r="J167" s="28">
        <f t="shared" ref="J167:J170" si="261">IF(AND(E167=1,G167=1),1,0)</f>
        <v>0</v>
      </c>
      <c r="K167" s="30">
        <f>VLOOKUP($C167,COS!$B$8:$H$991,2,FALSE)</f>
        <v>3617.388427734375</v>
      </c>
      <c r="L167" s="28">
        <f t="shared" ref="L167" si="262">IF(K167&lt;=IF(MONTH($C167)=4,$I$3,IF(MONTH($C167)=5,$I$4,IF(MONTH($C167)=6,$I$5,IF(MONTH($C167)=7,$I$6,"ERROR")))),1,0)</f>
        <v>1</v>
      </c>
      <c r="M167" s="28">
        <f t="shared" ref="M167" si="263">VLOOKUP($A167,$L$3:$M$7,2,FALSE)</f>
        <v>1</v>
      </c>
      <c r="N167" s="30">
        <f>VLOOKUP($C167,COS!$B$8:$H$991,5,FALSE)</f>
        <v>605.5399169921875</v>
      </c>
      <c r="O167" s="30">
        <f t="shared" ref="O167:O170" si="264">N167*DAY($C167)*86400/43560/1000</f>
        <v>36.032127292097108</v>
      </c>
      <c r="P167" s="30">
        <f>VLOOKUP($C167,COS!$B$8:$H$991,6,FALSE)</f>
        <v>578.7889404296875</v>
      </c>
      <c r="Q167" s="30">
        <f t="shared" ref="Q167:Q170" si="265">P167*DAY($C167)*86400/43560/1000</f>
        <v>34.440333645402887</v>
      </c>
      <c r="R167" s="30">
        <f>MIN(IF(MONTH($C167)=4,$S$3,IF(MONTH($C167)=5,$S$4,IF(MONTH($C167)=6,$S$5,IF(MONTH($C167)=7,$S$6,"ERROR")))),MAX(VLOOKUP($C167,COS!$B$8:$K$991,10,FALSE)-IF(MONTH($C167)=4,$Y$3,IF(MONTH($C167)=5,$Y$4,IF(MONTH($C167)=6,$Y$5,IF(MONTH($C167)=7,$Y$6,"ERROR")))),0),MAX(VLOOKUP($C167,COS!$B$8:$K$991,9,FALSE)-IF(MONTH($C167)=4,$V$3,IF(MONTH($C167)=5,$V$4,IF(MONTH($C167)=6,$V$5,IF(MONTH($C167)=7,$V$6,"ERROR"))))-VLOOKUP($C167,COS!$B$8:$K$991,6,FALSE)/2,0))</f>
        <v>1500</v>
      </c>
      <c r="S167" s="30">
        <f t="shared" ref="S167:S170" si="266">R167*DAY($C167)*86400/43560/1000</f>
        <v>89.256198347107429</v>
      </c>
      <c r="T167" s="30">
        <f t="shared" ref="T167:T170" si="267">(O167+Q167)/2+S167</f>
        <v>124.49242881585742</v>
      </c>
      <c r="U167" s="30" t="str">
        <f>IF(VLOOKUP($C167,COS!$B$8:$I$991,8,FALSE)=1,"UWFE","IBU")</f>
        <v>UWFE</v>
      </c>
      <c r="V167" s="30">
        <f t="shared" ref="V167" si="268">MIN(IF(IF($AA$3=2,AND(E167=1,G167=1,L167=1,L172=1,M167=1,U167="IBU"),AND(E167=1,G167=1,L167=1,L172=1,M167=1)),T167,0),I167)</f>
        <v>0</v>
      </c>
      <c r="W167" s="30"/>
      <c r="X167" s="30"/>
      <c r="Y167" s="30"/>
      <c r="Z167" s="30"/>
      <c r="AA167" s="30"/>
      <c r="AB167" s="31"/>
    </row>
    <row r="168" spans="1:28" x14ac:dyDescent="0.3">
      <c r="A168" s="32">
        <f>VLOOKUP(YEAR(C168),Flags!$A$13:$B$95,2,FALSE)</f>
        <v>3</v>
      </c>
      <c r="B168" s="24">
        <f t="shared" si="225"/>
        <v>1939</v>
      </c>
      <c r="C168" s="25">
        <v>14396</v>
      </c>
      <c r="D168" s="26">
        <f>VLOOKUP($C168,COS!$B$8:$H$991,3,FALSE)</f>
        <v>10183.0283203125</v>
      </c>
      <c r="E168" s="24">
        <f>IF(D168&gt;=IF(MONTH($C168)=4,$C$3,IF(MONTH($C168)=5,$C$4,IF(MONTH($C168)=6,$C$5,IF(MONTH($C168)=7,$C$6,"ERROR")))),1,0)</f>
        <v>1</v>
      </c>
      <c r="F168" s="26">
        <f>VLOOKUP($C168,COS!$B$8:$H$991,7,FALSE)</f>
        <v>50.974002838134766</v>
      </c>
      <c r="G168" s="24">
        <f>IF(F168&lt;=IF(MONTH($C168)=4,$F$3,IF(MONTH($C168)=5,$F$4,IF(MONTH($C168)=6,$F$5,IF(MONTH($C168)=7,$F$6,"ERROR")))),1,0)</f>
        <v>1</v>
      </c>
      <c r="H168" s="26">
        <f>IF(J168=1,D168-$C$4,0)</f>
        <v>4183.0283203125</v>
      </c>
      <c r="I168" s="26">
        <f t="shared" si="239"/>
        <v>257.20438597623968</v>
      </c>
      <c r="J168" s="24">
        <f t="shared" si="261"/>
        <v>1</v>
      </c>
      <c r="K168" s="26">
        <f>VLOOKUP($C168,COS!$B$8:$H$991,2,FALSE)</f>
        <v>3339.732177734375</v>
      </c>
      <c r="L168" s="24">
        <f t="shared" si="231"/>
        <v>1</v>
      </c>
      <c r="M168" s="24">
        <f t="shared" si="232"/>
        <v>1</v>
      </c>
      <c r="N168" s="26">
        <f>VLOOKUP($C168,COS!$B$8:$H$991,5,FALSE)</f>
        <v>507.59902954101563</v>
      </c>
      <c r="O168" s="26">
        <f t="shared" si="264"/>
        <v>31.211047766819473</v>
      </c>
      <c r="P168" s="26">
        <f>VLOOKUP($C168,COS!$B$8:$H$991,6,FALSE)</f>
        <v>2184.023681640625</v>
      </c>
      <c r="Q168" s="26">
        <f t="shared" si="265"/>
        <v>134.29038174715907</v>
      </c>
      <c r="R168" s="26">
        <f>MIN(IF(MONTH($C168)=4,$S$3,IF(MONTH($C168)=5,$S$4,IF(MONTH($C168)=6,$S$5,IF(MONTH($C168)=7,$S$6,"ERROR")))),MAX(VLOOKUP($C168,COS!$B$8:$K$991,10,FALSE)-IF(MONTH($C168)=4,$Y$3,IF(MONTH($C168)=5,$Y$4,IF(MONTH($C168)=6,$Y$5,IF(MONTH($C168)=7,$Y$6,"ERROR")))),0),MAX(VLOOKUP($C168,COS!$B$8:$K$991,9,FALSE)-IF(MONTH($C168)=4,$V$3,IF(MONTH($C168)=5,$V$4,IF(MONTH($C168)=6,$V$5,IF(MONTH($C168)=7,$V$6,"ERROR"))))-VLOOKUP($C168,COS!$B$8:$K$991,6,FALSE)/2,0))</f>
        <v>1500</v>
      </c>
      <c r="S168" s="26">
        <f t="shared" si="266"/>
        <v>92.231404958677686</v>
      </c>
      <c r="T168" s="26">
        <f t="shared" si="267"/>
        <v>174.98211971566695</v>
      </c>
      <c r="U168" s="26" t="str">
        <f>IF(VLOOKUP($C168,COS!$B$8:$I$991,8,FALSE)=1,"UWFE","IBU")</f>
        <v>IBU</v>
      </c>
      <c r="V168" s="26">
        <f t="shared" ref="V168" si="269">MIN(IF(IF($AA$3=2,AND(E168=1,G168=1,L168=1,L172=1,M168=1,U168="IBU"),AND(E168=1,G168=1,L168=1,L172=1,M168=1)),T168,0),I168)</f>
        <v>174.98211971566695</v>
      </c>
      <c r="W168" s="26"/>
      <c r="X168" s="26"/>
      <c r="Y168" s="26"/>
      <c r="Z168" s="26"/>
      <c r="AA168" s="26"/>
      <c r="AB168" s="33"/>
    </row>
    <row r="169" spans="1:28" x14ac:dyDescent="0.3">
      <c r="A169" s="32">
        <f>VLOOKUP(YEAR(C169),Flags!$A$13:$B$95,2,FALSE)</f>
        <v>3</v>
      </c>
      <c r="B169" s="24">
        <f t="shared" si="225"/>
        <v>1939</v>
      </c>
      <c r="C169" s="25">
        <v>14426</v>
      </c>
      <c r="D169" s="26">
        <f>VLOOKUP($C169,COS!$B$8:$H$991,3,FALSE)</f>
        <v>12354.21484375</v>
      </c>
      <c r="E169" s="24">
        <f>IF(D169&gt;=IF(MONTH($C169)=4,$C$3,IF(MONTH($C169)=5,$C$4,IF(MONTH($C169)=6,$C$5,IF(MONTH($C169)=7,$C$6,"ERROR")))),1,0)</f>
        <v>1</v>
      </c>
      <c r="F169" s="26">
        <f>VLOOKUP($C169,COS!$B$8:$H$991,7,FALSE)</f>
        <v>52.385540008544922</v>
      </c>
      <c r="G169" s="24">
        <f>IF(F169&lt;=IF(MONTH($C169)=4,$F$3,IF(MONTH($C169)=5,$F$4,IF(MONTH($C169)=6,$F$5,IF(MONTH($C169)=7,$F$6,"ERROR")))),1,0)</f>
        <v>1</v>
      </c>
      <c r="H169" s="26">
        <f>IF(J169=1,D169-$C$5,0)</f>
        <v>2354.21484375</v>
      </c>
      <c r="I169" s="26">
        <f t="shared" si="239"/>
        <v>140.08551136363636</v>
      </c>
      <c r="J169" s="24">
        <f t="shared" si="261"/>
        <v>1</v>
      </c>
      <c r="K169" s="26">
        <f>VLOOKUP($C169,COS!$B$8:$H$991,2,FALSE)</f>
        <v>2944.504150390625</v>
      </c>
      <c r="L169" s="24">
        <f t="shared" si="231"/>
        <v>1</v>
      </c>
      <c r="M169" s="24">
        <f t="shared" si="232"/>
        <v>1</v>
      </c>
      <c r="N169" s="26">
        <f>VLOOKUP($C169,COS!$B$8:$H$991,5,FALSE)</f>
        <v>658.92901611328125</v>
      </c>
      <c r="O169" s="26">
        <f t="shared" si="264"/>
        <v>39.208999305914261</v>
      </c>
      <c r="P169" s="26">
        <f>VLOOKUP($C169,COS!$B$8:$H$991,6,FALSE)</f>
        <v>2679.353271484375</v>
      </c>
      <c r="Q169" s="26">
        <f t="shared" si="265"/>
        <v>159.43259136105374</v>
      </c>
      <c r="R169" s="26">
        <f>MIN(IF(MONTH($C169)=4,$S$3,IF(MONTH($C169)=5,$S$4,IF(MONTH($C169)=6,$S$5,IF(MONTH($C169)=7,$S$6,"ERROR")))),MAX(VLOOKUP($C169,COS!$B$8:$K$991,10,FALSE)-IF(MONTH($C169)=4,$Y$3,IF(MONTH($C169)=5,$Y$4,IF(MONTH($C169)=6,$Y$5,IF(MONTH($C169)=7,$Y$6,"ERROR")))),0),MAX(VLOOKUP($C169,COS!$B$8:$K$991,9,FALSE)-IF(MONTH($C169)=4,$V$3,IF(MONTH($C169)=5,$V$4,IF(MONTH($C169)=6,$V$5,IF(MONTH($C169)=7,$V$6,"ERROR"))))-VLOOKUP($C169,COS!$B$8:$K$991,6,FALSE)/2,0))</f>
        <v>1500</v>
      </c>
      <c r="S169" s="26">
        <f t="shared" si="266"/>
        <v>89.256198347107429</v>
      </c>
      <c r="T169" s="26">
        <f t="shared" si="267"/>
        <v>188.57699368059144</v>
      </c>
      <c r="U169" s="26" t="str">
        <f>IF(VLOOKUP($C169,COS!$B$8:$I$991,8,FALSE)=1,"UWFE","IBU")</f>
        <v>IBU</v>
      </c>
      <c r="V169" s="26">
        <f t="shared" ref="V169" si="270">MIN(IF(IF($AA$3=2,AND(E169=1,G169=1,L169=1,L172=1,M169=1,U169="IBU"),AND(E169=1,G169=1,L169=1,L172=1,M169=1)),T169,0),I169)</f>
        <v>140.08551136363636</v>
      </c>
      <c r="W169" s="26"/>
      <c r="X169" s="26"/>
      <c r="Y169" s="26"/>
      <c r="Z169" s="26"/>
      <c r="AA169" s="26"/>
      <c r="AB169" s="33"/>
    </row>
    <row r="170" spans="1:28" x14ac:dyDescent="0.3">
      <c r="A170" s="32">
        <f>VLOOKUP(YEAR(C170),Flags!$A$13:$B$95,2,FALSE)</f>
        <v>3</v>
      </c>
      <c r="B170" s="24">
        <f t="shared" si="225"/>
        <v>1939</v>
      </c>
      <c r="C170" s="25">
        <v>14457</v>
      </c>
      <c r="D170" s="26">
        <f>VLOOKUP($C170,COS!$B$8:$H$991,3,FALSE)</f>
        <v>16000</v>
      </c>
      <c r="E170" s="24">
        <f>IF(D170&gt;=IF(MONTH($C170)=4,$C$3,IF(MONTH($C170)=5,$C$4,IF(MONTH($C170)=6,$C$5,IF(MONTH($C170)=7,$C$6,"ERROR")))),1,0)</f>
        <v>1</v>
      </c>
      <c r="F170" s="26">
        <f>VLOOKUP($C170,COS!$B$8:$H$991,7,FALSE)</f>
        <v>53.516410827636719</v>
      </c>
      <c r="G170" s="24">
        <f>IF(F170&lt;=IF(MONTH($C170)=4,$F$3,IF(MONTH($C170)=5,$F$4,IF(MONTH($C170)=6,$F$5,IF(MONTH($C170)=7,$F$6,"ERROR")))),1,0)</f>
        <v>0</v>
      </c>
      <c r="H170" s="26">
        <f>IF(J170=1,D170-$C$6,0)</f>
        <v>0</v>
      </c>
      <c r="I170" s="26">
        <f t="shared" si="239"/>
        <v>0</v>
      </c>
      <c r="J170" s="24">
        <f t="shared" si="261"/>
        <v>0</v>
      </c>
      <c r="K170" s="26">
        <f>VLOOKUP($C170,COS!$B$8:$H$991,2,FALSE)</f>
        <v>2319.410888671875</v>
      </c>
      <c r="L170" s="24">
        <f t="shared" si="231"/>
        <v>1</v>
      </c>
      <c r="M170" s="24">
        <f t="shared" si="232"/>
        <v>1</v>
      </c>
      <c r="N170" s="26">
        <f>VLOOKUP($C170,COS!$B$8:$H$991,5,FALSE)</f>
        <v>718.189208984375</v>
      </c>
      <c r="O170" s="26">
        <f t="shared" si="264"/>
        <v>44.159733180526864</v>
      </c>
      <c r="P170" s="26">
        <f>VLOOKUP($C170,COS!$B$8:$H$991,6,FALSE)</f>
        <v>2421.51171875</v>
      </c>
      <c r="Q170" s="26">
        <f t="shared" si="265"/>
        <v>148.89295196280992</v>
      </c>
      <c r="R170" s="26">
        <f>MIN(IF(MONTH($C170)=4,$S$3,IF(MONTH($C170)=5,$S$4,IF(MONTH($C170)=6,$S$5,IF(MONTH($C170)=7,$S$6,"ERROR")))),MAX(VLOOKUP($C170,COS!$B$8:$K$991,10,FALSE)-IF(MONTH($C170)=4,$Y$3,IF(MONTH($C170)=5,$Y$4,IF(MONTH($C170)=6,$Y$5,IF(MONTH($C170)=7,$Y$6,"ERROR")))),0),MAX(VLOOKUP($C170,COS!$B$8:$K$991,9,FALSE)-IF(MONTH($C170)=4,$V$3,IF(MONTH($C170)=5,$V$4,IF(MONTH($C170)=6,$V$5,IF(MONTH($C170)=7,$V$6,"ERROR"))))-VLOOKUP($C170,COS!$B$8:$K$991,6,FALSE)/2,0))</f>
        <v>1500</v>
      </c>
      <c r="S170" s="26">
        <f t="shared" si="266"/>
        <v>92.231404958677686</v>
      </c>
      <c r="T170" s="26">
        <f t="shared" si="267"/>
        <v>188.75774753034608</v>
      </c>
      <c r="U170" s="26" t="str">
        <f>IF(VLOOKUP($C170,COS!$B$8:$I$991,8,FALSE)=1,"UWFE","IBU")</f>
        <v>IBU</v>
      </c>
      <c r="V170" s="26">
        <f t="shared" ref="V170" si="271">MIN(IF(IF($AA$3=2,AND(E170=1,G170=1,L170=1,L172=1,M170=1,U170="IBU"),AND(E170=1,G170=1,L170=1,L172=1,M170=1)),T170,0),I170)</f>
        <v>0</v>
      </c>
      <c r="W170" s="26"/>
      <c r="X170" s="26"/>
      <c r="Y170" s="26"/>
      <c r="Z170" s="26"/>
      <c r="AA170" s="26"/>
      <c r="AB170" s="33"/>
    </row>
    <row r="171" spans="1:28" x14ac:dyDescent="0.3">
      <c r="A171" s="32">
        <f>VLOOKUP(YEAR(C171),Flags!$A$13:$B$95,2,FALSE)</f>
        <v>3</v>
      </c>
      <c r="B171" s="24">
        <f t="shared" si="225"/>
        <v>1939</v>
      </c>
      <c r="C171" s="25">
        <v>14488</v>
      </c>
      <c r="D171" s="26"/>
      <c r="E171" s="24"/>
      <c r="F171" s="26"/>
      <c r="G171" s="24"/>
      <c r="H171" s="24"/>
      <c r="I171" s="26"/>
      <c r="J171" s="24"/>
      <c r="K171" s="26"/>
      <c r="L171" s="24"/>
      <c r="M171" s="24"/>
      <c r="N171" s="26"/>
      <c r="O171" s="26"/>
      <c r="P171" s="26"/>
      <c r="Q171" s="26"/>
      <c r="R171" s="26"/>
      <c r="S171" s="26"/>
      <c r="T171" s="26"/>
      <c r="U171" s="26"/>
      <c r="V171" s="26"/>
      <c r="W171" s="26">
        <f>MAX($C$7-VLOOKUP($C171,COS!$B$8:$H$991,3,FALSE),0)</f>
        <v>85997.9140625</v>
      </c>
      <c r="X171" s="26">
        <f t="shared" si="245"/>
        <v>5287.805625</v>
      </c>
      <c r="Y171" s="26">
        <f>VLOOKUP($C171,COS!$B$8:$H$991,4,FALSE)</f>
        <v>3226.453125</v>
      </c>
      <c r="Z171" s="26">
        <f t="shared" si="246"/>
        <v>198.38686983471075</v>
      </c>
      <c r="AA171" s="26">
        <f t="shared" ref="AA171:AA175" si="272">MIN(W171,Y171)</f>
        <v>3226.453125</v>
      </c>
      <c r="AB171" s="33">
        <f t="shared" ref="AB171" si="273">AA171*DAY($C171)*86400/43560/1000*IF(MONTH($C171)=8,$P$3,IF(MONTH($C171)=9,$P$4,IF(MONTH($C171)=10,$P$5,IF(MONTH($C171)=11,$P$6,IF(MONTH($C171)=12,$P$7,NA())))))</f>
        <v>198.38686983471075</v>
      </c>
    </row>
    <row r="172" spans="1:28" x14ac:dyDescent="0.3">
      <c r="A172" s="32">
        <f>VLOOKUP(YEAR(C172),Flags!$A$13:$B$95,2,FALSE)</f>
        <v>3</v>
      </c>
      <c r="B172" s="24">
        <f t="shared" si="225"/>
        <v>1939</v>
      </c>
      <c r="C172" s="25">
        <v>14518</v>
      </c>
      <c r="D172" s="26"/>
      <c r="E172" s="24"/>
      <c r="F172" s="26"/>
      <c r="G172" s="24"/>
      <c r="H172" s="24"/>
      <c r="I172" s="26"/>
      <c r="J172" s="24"/>
      <c r="K172" s="26">
        <f>VLOOKUP($C172,COS!$B$8:$H$991,2,FALSE)</f>
        <v>1819.920654296875</v>
      </c>
      <c r="L172" s="24">
        <f t="shared" ref="L172" si="274">IF(AND(K172&gt;$I$7,K172&lt;$I$8),1,0)</f>
        <v>1</v>
      </c>
      <c r="M172" s="24"/>
      <c r="N172" s="26"/>
      <c r="O172" s="26"/>
      <c r="P172" s="26"/>
      <c r="Q172" s="26"/>
      <c r="R172" s="26"/>
      <c r="S172" s="26"/>
      <c r="T172" s="26"/>
      <c r="U172" s="26"/>
      <c r="V172" s="26"/>
      <c r="W172" s="26">
        <f>MAX($C$8-VLOOKUP($C172,COS!$B$8:$H$991,3,FALSE),0)</f>
        <v>94525.0498046875</v>
      </c>
      <c r="X172" s="26">
        <f t="shared" si="245"/>
        <v>5624.6310627582643</v>
      </c>
      <c r="Y172" s="26">
        <f>VLOOKUP($C172,COS!$B$8:$H$991,4,FALSE)</f>
        <v>1628.006103515625</v>
      </c>
      <c r="Z172" s="26">
        <f t="shared" si="246"/>
        <v>96.8730904571281</v>
      </c>
      <c r="AA172" s="26">
        <f t="shared" si="272"/>
        <v>1628.006103515625</v>
      </c>
      <c r="AB172" s="33">
        <f t="shared" si="243"/>
        <v>96.8730904571281</v>
      </c>
    </row>
    <row r="173" spans="1:28" x14ac:dyDescent="0.3">
      <c r="A173" s="32">
        <f>VLOOKUP(YEAR(C173),Flags!$A$13:$B$95,2,FALSE)</f>
        <v>3</v>
      </c>
      <c r="B173" s="24">
        <f t="shared" si="225"/>
        <v>1939</v>
      </c>
      <c r="C173" s="25">
        <v>14549</v>
      </c>
      <c r="D173" s="26"/>
      <c r="E173" s="24"/>
      <c r="F173" s="26"/>
      <c r="G173" s="26"/>
      <c r="H173" s="26"/>
      <c r="I173" s="26"/>
      <c r="J173" s="26"/>
      <c r="K173" s="26"/>
      <c r="L173" s="24"/>
      <c r="M173" s="24"/>
      <c r="N173" s="26"/>
      <c r="O173" s="26"/>
      <c r="P173" s="26"/>
      <c r="Q173" s="26"/>
      <c r="R173" s="26"/>
      <c r="S173" s="26"/>
      <c r="T173" s="26"/>
      <c r="U173" s="26"/>
      <c r="V173" s="26"/>
      <c r="W173" s="26">
        <f>MAX($C$9-VLOOKUP($C173,COS!$B$8:$H$991,3,FALSE),0)</f>
        <v>94233.89599609375</v>
      </c>
      <c r="X173" s="26">
        <f t="shared" si="245"/>
        <v>5794.2164149664259</v>
      </c>
      <c r="Y173" s="26">
        <f>VLOOKUP($C173,COS!$B$8:$H$991,4,FALSE)</f>
        <v>1678.0692138671875</v>
      </c>
      <c r="Z173" s="26">
        <f t="shared" si="246"/>
        <v>103.18045414191633</v>
      </c>
      <c r="AA173" s="26">
        <f t="shared" si="272"/>
        <v>1678.0692138671875</v>
      </c>
      <c r="AB173" s="33">
        <f t="shared" si="243"/>
        <v>103.18045414191633</v>
      </c>
    </row>
    <row r="174" spans="1:28" x14ac:dyDescent="0.3">
      <c r="A174" s="32">
        <f>VLOOKUP(YEAR(C174),Flags!$A$13:$B$95,2,FALSE)</f>
        <v>3</v>
      </c>
      <c r="B174" s="24">
        <f t="shared" si="225"/>
        <v>1939</v>
      </c>
      <c r="C174" s="25">
        <v>14579</v>
      </c>
      <c r="D174" s="26"/>
      <c r="E174" s="24"/>
      <c r="F174" s="26"/>
      <c r="G174" s="26"/>
      <c r="H174" s="26"/>
      <c r="I174" s="26"/>
      <c r="J174" s="26"/>
      <c r="K174" s="26"/>
      <c r="L174" s="24"/>
      <c r="M174" s="24"/>
      <c r="N174" s="26"/>
      <c r="O174" s="26"/>
      <c r="P174" s="26"/>
      <c r="Q174" s="26"/>
      <c r="R174" s="26"/>
      <c r="S174" s="26"/>
      <c r="T174" s="26"/>
      <c r="U174" s="26"/>
      <c r="V174" s="26"/>
      <c r="W174" s="26">
        <f>MAX($C$10-VLOOKUP($C174,COS!$B$8:$H$991,3,FALSE),0)</f>
        <v>93849.529296875</v>
      </c>
      <c r="X174" s="26">
        <f t="shared" si="245"/>
        <v>5584.4348011363636</v>
      </c>
      <c r="Y174" s="26">
        <f>VLOOKUP($C174,COS!$B$8:$H$991,4,FALSE)</f>
        <v>2018.930908203125</v>
      </c>
      <c r="Z174" s="26">
        <f t="shared" si="246"/>
        <v>120.13473172778926</v>
      </c>
      <c r="AA174" s="26">
        <f t="shared" si="272"/>
        <v>2018.930908203125</v>
      </c>
      <c r="AB174" s="33">
        <f t="shared" si="243"/>
        <v>60.067365863894629</v>
      </c>
    </row>
    <row r="175" spans="1:28" x14ac:dyDescent="0.3">
      <c r="A175" s="34">
        <f>VLOOKUP(YEAR(C175),Flags!$A$13:$B$95,2,FALSE)</f>
        <v>3</v>
      </c>
      <c r="B175" s="35">
        <f t="shared" si="225"/>
        <v>1939</v>
      </c>
      <c r="C175" s="36">
        <v>14610</v>
      </c>
      <c r="D175" s="37"/>
      <c r="E175" s="35"/>
      <c r="F175" s="37"/>
      <c r="G175" s="37"/>
      <c r="H175" s="37"/>
      <c r="I175" s="37"/>
      <c r="J175" s="37"/>
      <c r="K175" s="37"/>
      <c r="L175" s="35"/>
      <c r="M175" s="35"/>
      <c r="N175" s="37"/>
      <c r="O175" s="37"/>
      <c r="P175" s="37"/>
      <c r="Q175" s="37"/>
      <c r="R175" s="37"/>
      <c r="S175" s="37"/>
      <c r="T175" s="37"/>
      <c r="U175" s="37"/>
      <c r="V175" s="37"/>
      <c r="W175" s="37">
        <f>MAX($C$11-VLOOKUP($C175,COS!$B$8:$H$991,3,FALSE),0)</f>
        <v>0</v>
      </c>
      <c r="X175" s="37">
        <f t="shared" si="245"/>
        <v>0</v>
      </c>
      <c r="Y175" s="37">
        <f>VLOOKUP($C175,COS!$B$8:$H$991,4,FALSE)</f>
        <v>1704.9423828125</v>
      </c>
      <c r="Z175" s="37">
        <f t="shared" si="246"/>
        <v>104.83282089359504</v>
      </c>
      <c r="AA175" s="37">
        <f t="shared" si="272"/>
        <v>0</v>
      </c>
      <c r="AB175" s="38">
        <f t="shared" si="243"/>
        <v>0</v>
      </c>
    </row>
    <row r="176" spans="1:28" x14ac:dyDescent="0.3">
      <c r="A176" s="27">
        <f>VLOOKUP(YEAR(C176),Flags!$A$13:$B$95,2,FALSE)</f>
        <v>2</v>
      </c>
      <c r="B176" s="28">
        <f t="shared" si="225"/>
        <v>1940</v>
      </c>
      <c r="C176" s="29">
        <v>14731</v>
      </c>
      <c r="D176" s="30">
        <f>VLOOKUP($C176,COS!$B$8:$H$991,3,FALSE)</f>
        <v>3250</v>
      </c>
      <c r="E176" s="28">
        <f>IF(D176&gt;=IF(MONTH($C176)=4,$C$3,IF(MONTH($C176)=5,$C$4,IF(MONTH($C176)=6,$C$5,IF(MONTH($C176)=7,$C$6,"ERROR")))),1,0)</f>
        <v>0</v>
      </c>
      <c r="F176" s="30">
        <f>VLOOKUP($C176,COS!$B$8:$H$991,7,FALSE)</f>
        <v>50.942607879638672</v>
      </c>
      <c r="G176" s="28">
        <f>IF(F176&lt;=IF(MONTH($C176)=4,$F$3,IF(MONTH($C176)=5,$F$4,IF(MONTH($C176)=6,$F$5,IF(MONTH($C176)=7,$F$6,"ERROR")))),1,0)</f>
        <v>1</v>
      </c>
      <c r="H176" s="30">
        <f>IF(J176=1,D176-$C$3,0)</f>
        <v>0</v>
      </c>
      <c r="I176" s="30">
        <f t="shared" si="239"/>
        <v>0</v>
      </c>
      <c r="J176" s="28">
        <f t="shared" ref="J176:J179" si="275">IF(AND(E176=1,G176=1),1,0)</f>
        <v>0</v>
      </c>
      <c r="K176" s="30">
        <f>VLOOKUP($C176,COS!$B$8:$H$991,2,FALSE)</f>
        <v>4211.595703125</v>
      </c>
      <c r="L176" s="28">
        <f t="shared" ref="L176" si="276">IF(K176&lt;=IF(MONTH($C176)=4,$I$3,IF(MONTH($C176)=5,$I$4,IF(MONTH($C176)=6,$I$5,IF(MONTH($C176)=7,$I$6,"ERROR")))),1,0)</f>
        <v>1</v>
      </c>
      <c r="M176" s="28">
        <f t="shared" ref="M176" si="277">VLOOKUP($A176,$L$3:$M$7,2,FALSE)</f>
        <v>0</v>
      </c>
      <c r="N176" s="30">
        <f>VLOOKUP($C176,COS!$B$8:$H$991,5,FALSE)</f>
        <v>253.27787780761719</v>
      </c>
      <c r="O176" s="30">
        <f t="shared" ref="O176:O179" si="278">N176*DAY($C176)*86400/43560/1000</f>
        <v>15.071080332354081</v>
      </c>
      <c r="P176" s="30">
        <f>VLOOKUP($C176,COS!$B$8:$H$991,6,FALSE)</f>
        <v>410.20220947265625</v>
      </c>
      <c r="Q176" s="30">
        <f t="shared" ref="Q176:Q179" si="279">P176*DAY($C176)*86400/43560/1000</f>
        <v>24.408726514075415</v>
      </c>
      <c r="R176" s="30">
        <f>MIN(IF(MONTH($C176)=4,$S$3,IF(MONTH($C176)=5,$S$4,IF(MONTH($C176)=6,$S$5,IF(MONTH($C176)=7,$S$6,"ERROR")))),MAX(VLOOKUP($C176,COS!$B$8:$K$991,10,FALSE)-IF(MONTH($C176)=4,$Y$3,IF(MONTH($C176)=5,$Y$4,IF(MONTH($C176)=6,$Y$5,IF(MONTH($C176)=7,$Y$6,"ERROR")))),0),MAX(VLOOKUP($C176,COS!$B$8:$K$991,9,FALSE)-IF(MONTH($C176)=4,$V$3,IF(MONTH($C176)=5,$V$4,IF(MONTH($C176)=6,$V$5,IF(MONTH($C176)=7,$V$6,"ERROR"))))-VLOOKUP($C176,COS!$B$8:$K$991,6,FALSE)/2,0))</f>
        <v>1500</v>
      </c>
      <c r="S176" s="30">
        <f t="shared" ref="S176:S179" si="280">R176*DAY($C176)*86400/43560/1000</f>
        <v>89.256198347107429</v>
      </c>
      <c r="T176" s="30">
        <f t="shared" ref="T176:T179" si="281">(O176+Q176)/2+S176</f>
        <v>108.99610177032218</v>
      </c>
      <c r="U176" s="30" t="str">
        <f>IF(VLOOKUP($C176,COS!$B$8:$I$991,8,FALSE)=1,"UWFE","IBU")</f>
        <v>UWFE</v>
      </c>
      <c r="V176" s="30">
        <f t="shared" ref="V176" si="282">MIN(IF(IF($AA$3=2,AND(E176=1,G176=1,L176=1,L181=1,M176=1,U176="IBU"),AND(E176=1,G176=1,L176=1,L181=1,M176=1)),T176,0),I176)</f>
        <v>0</v>
      </c>
      <c r="W176" s="30"/>
      <c r="X176" s="30"/>
      <c r="Y176" s="30"/>
      <c r="Z176" s="30"/>
      <c r="AA176" s="30"/>
      <c r="AB176" s="31"/>
    </row>
    <row r="177" spans="1:28" x14ac:dyDescent="0.3">
      <c r="A177" s="32">
        <f>VLOOKUP(YEAR(C177),Flags!$A$13:$B$95,2,FALSE)</f>
        <v>2</v>
      </c>
      <c r="B177" s="24">
        <f t="shared" si="225"/>
        <v>1940</v>
      </c>
      <c r="C177" s="25">
        <v>14762</v>
      </c>
      <c r="D177" s="26">
        <f>VLOOKUP($C177,COS!$B$8:$H$991,3,FALSE)</f>
        <v>5750.91845703125</v>
      </c>
      <c r="E177" s="24">
        <f>IF(D177&gt;=IF(MONTH($C177)=4,$C$3,IF(MONTH($C177)=5,$C$4,IF(MONTH($C177)=6,$C$5,IF(MONTH($C177)=7,$C$6,"ERROR")))),1,0)</f>
        <v>0</v>
      </c>
      <c r="F177" s="26">
        <f>VLOOKUP($C177,COS!$B$8:$H$991,7,FALSE)</f>
        <v>51.514625549316406</v>
      </c>
      <c r="G177" s="24">
        <f>IF(F177&lt;=IF(MONTH($C177)=4,$F$3,IF(MONTH($C177)=5,$F$4,IF(MONTH($C177)=6,$F$5,IF(MONTH($C177)=7,$F$6,"ERROR")))),1,0)</f>
        <v>1</v>
      </c>
      <c r="H177" s="26">
        <f>IF(J177=1,D177-$C$4,0)</f>
        <v>0</v>
      </c>
      <c r="I177" s="26">
        <f t="shared" si="239"/>
        <v>0</v>
      </c>
      <c r="J177" s="24">
        <f t="shared" si="275"/>
        <v>0</v>
      </c>
      <c r="K177" s="26">
        <f>VLOOKUP($C177,COS!$B$8:$H$991,2,FALSE)</f>
        <v>4218.22314453125</v>
      </c>
      <c r="L177" s="24">
        <f t="shared" si="231"/>
        <v>1</v>
      </c>
      <c r="M177" s="24">
        <f t="shared" si="232"/>
        <v>0</v>
      </c>
      <c r="N177" s="26">
        <f>VLOOKUP($C177,COS!$B$8:$H$991,5,FALSE)</f>
        <v>465.70071411132813</v>
      </c>
      <c r="O177" s="26">
        <f t="shared" si="278"/>
        <v>28.634820768498194</v>
      </c>
      <c r="P177" s="26">
        <f>VLOOKUP($C177,COS!$B$8:$H$991,6,FALSE)</f>
        <v>1936.545654296875</v>
      </c>
      <c r="Q177" s="26">
        <f t="shared" si="279"/>
        <v>119.07355097494835</v>
      </c>
      <c r="R177" s="26">
        <f>MIN(IF(MONTH($C177)=4,$S$3,IF(MONTH($C177)=5,$S$4,IF(MONTH($C177)=6,$S$5,IF(MONTH($C177)=7,$S$6,"ERROR")))),MAX(VLOOKUP($C177,COS!$B$8:$K$991,10,FALSE)-IF(MONTH($C177)=4,$Y$3,IF(MONTH($C177)=5,$Y$4,IF(MONTH($C177)=6,$Y$5,IF(MONTH($C177)=7,$Y$6,"ERROR")))),0),MAX(VLOOKUP($C177,COS!$B$8:$K$991,9,FALSE)-IF(MONTH($C177)=4,$V$3,IF(MONTH($C177)=5,$V$4,IF(MONTH($C177)=6,$V$5,IF(MONTH($C177)=7,$V$6,"ERROR"))))-VLOOKUP($C177,COS!$B$8:$K$991,6,FALSE)/2,0))</f>
        <v>1500</v>
      </c>
      <c r="S177" s="26">
        <f t="shared" si="280"/>
        <v>92.231404958677686</v>
      </c>
      <c r="T177" s="26">
        <f t="shared" si="281"/>
        <v>166.08559083040097</v>
      </c>
      <c r="U177" s="26" t="str">
        <f>IF(VLOOKUP($C177,COS!$B$8:$I$991,8,FALSE)=1,"UWFE","IBU")</f>
        <v>UWFE</v>
      </c>
      <c r="V177" s="26">
        <f t="shared" ref="V177" si="283">MIN(IF(IF($AA$3=2,AND(E177=1,G177=1,L177=1,L181=1,M177=1,U177="IBU"),AND(E177=1,G177=1,L177=1,L181=1,M177=1)),T177,0),I177)</f>
        <v>0</v>
      </c>
      <c r="W177" s="26"/>
      <c r="X177" s="26"/>
      <c r="Y177" s="26"/>
      <c r="Z177" s="26"/>
      <c r="AA177" s="26"/>
      <c r="AB177" s="33"/>
    </row>
    <row r="178" spans="1:28" x14ac:dyDescent="0.3">
      <c r="A178" s="32">
        <f>VLOOKUP(YEAR(C178),Flags!$A$13:$B$95,2,FALSE)</f>
        <v>2</v>
      </c>
      <c r="B178" s="24">
        <f t="shared" si="225"/>
        <v>1940</v>
      </c>
      <c r="C178" s="25">
        <v>14792</v>
      </c>
      <c r="D178" s="26">
        <f>VLOOKUP($C178,COS!$B$8:$H$991,3,FALSE)</f>
        <v>9764.62109375</v>
      </c>
      <c r="E178" s="24">
        <f>IF(D178&gt;=IF(MONTH($C178)=4,$C$3,IF(MONTH($C178)=5,$C$4,IF(MONTH($C178)=6,$C$5,IF(MONTH($C178)=7,$C$6,"ERROR")))),1,0)</f>
        <v>0</v>
      </c>
      <c r="F178" s="26">
        <f>VLOOKUP($C178,COS!$B$8:$H$991,7,FALSE)</f>
        <v>51.442054748535156</v>
      </c>
      <c r="G178" s="24">
        <f>IF(F178&lt;=IF(MONTH($C178)=4,$F$3,IF(MONTH($C178)=5,$F$4,IF(MONTH($C178)=6,$F$5,IF(MONTH($C178)=7,$F$6,"ERROR")))),1,0)</f>
        <v>1</v>
      </c>
      <c r="H178" s="26">
        <f>IF(J178=1,D178-$C$5,0)</f>
        <v>0</v>
      </c>
      <c r="I178" s="26">
        <f t="shared" si="239"/>
        <v>0</v>
      </c>
      <c r="J178" s="24">
        <f t="shared" si="275"/>
        <v>0</v>
      </c>
      <c r="K178" s="26">
        <f>VLOOKUP($C178,COS!$B$8:$H$991,2,FALSE)</f>
        <v>3893.91650390625</v>
      </c>
      <c r="L178" s="24">
        <f t="shared" si="231"/>
        <v>1</v>
      </c>
      <c r="M178" s="24">
        <f t="shared" si="232"/>
        <v>0</v>
      </c>
      <c r="N178" s="26">
        <f>VLOOKUP($C178,COS!$B$8:$H$991,5,FALSE)</f>
        <v>885.69073486328125</v>
      </c>
      <c r="O178" s="26">
        <f t="shared" si="278"/>
        <v>52.702258603434913</v>
      </c>
      <c r="P178" s="26">
        <f>VLOOKUP($C178,COS!$B$8:$H$991,6,FALSE)</f>
        <v>2416.416259765625</v>
      </c>
      <c r="Q178" s="26">
        <f t="shared" si="279"/>
        <v>143.78675264721076</v>
      </c>
      <c r="R178" s="26">
        <f>MIN(IF(MONTH($C178)=4,$S$3,IF(MONTH($C178)=5,$S$4,IF(MONTH($C178)=6,$S$5,IF(MONTH($C178)=7,$S$6,"ERROR")))),MAX(VLOOKUP($C178,COS!$B$8:$K$991,10,FALSE)-IF(MONTH($C178)=4,$Y$3,IF(MONTH($C178)=5,$Y$4,IF(MONTH($C178)=6,$Y$5,IF(MONTH($C178)=7,$Y$6,"ERROR")))),0),MAX(VLOOKUP($C178,COS!$B$8:$K$991,9,FALSE)-IF(MONTH($C178)=4,$V$3,IF(MONTH($C178)=5,$V$4,IF(MONTH($C178)=6,$V$5,IF(MONTH($C178)=7,$V$6,"ERROR"))))-VLOOKUP($C178,COS!$B$8:$K$991,6,FALSE)/2,0))</f>
        <v>1500</v>
      </c>
      <c r="S178" s="26">
        <f t="shared" si="280"/>
        <v>89.256198347107429</v>
      </c>
      <c r="T178" s="26">
        <f t="shared" si="281"/>
        <v>187.50070397243024</v>
      </c>
      <c r="U178" s="26" t="str">
        <f>IF(VLOOKUP($C178,COS!$B$8:$I$991,8,FALSE)=1,"UWFE","IBU")</f>
        <v>IBU</v>
      </c>
      <c r="V178" s="26">
        <f t="shared" ref="V178" si="284">MIN(IF(IF($AA$3=2,AND(E178=1,G178=1,L178=1,L181=1,M178=1,U178="IBU"),AND(E178=1,G178=1,L178=1,L181=1,M178=1)),T178,0),I178)</f>
        <v>0</v>
      </c>
      <c r="W178" s="26"/>
      <c r="X178" s="26"/>
      <c r="Y178" s="26"/>
      <c r="Z178" s="26"/>
      <c r="AA178" s="26"/>
      <c r="AB178" s="33"/>
    </row>
    <row r="179" spans="1:28" x14ac:dyDescent="0.3">
      <c r="A179" s="32">
        <f>VLOOKUP(YEAR(C179),Flags!$A$13:$B$95,2,FALSE)</f>
        <v>2</v>
      </c>
      <c r="B179" s="24">
        <f t="shared" si="225"/>
        <v>1940</v>
      </c>
      <c r="C179" s="25">
        <v>14823</v>
      </c>
      <c r="D179" s="26">
        <f>VLOOKUP($C179,COS!$B$8:$H$991,3,FALSE)</f>
        <v>15730.8037109375</v>
      </c>
      <c r="E179" s="24">
        <f>IF(D179&gt;=IF(MONTH($C179)=4,$C$3,IF(MONTH($C179)=5,$C$4,IF(MONTH($C179)=6,$C$5,IF(MONTH($C179)=7,$C$6,"ERROR")))),1,0)</f>
        <v>1</v>
      </c>
      <c r="F179" s="26">
        <f>VLOOKUP($C179,COS!$B$8:$H$991,7,FALSE)</f>
        <v>51.379985809326172</v>
      </c>
      <c r="G179" s="24">
        <f>IF(F179&lt;=IF(MONTH($C179)=4,$F$3,IF(MONTH($C179)=5,$F$4,IF(MONTH($C179)=6,$F$5,IF(MONTH($C179)=7,$F$6,"ERROR")))),1,0)</f>
        <v>1</v>
      </c>
      <c r="H179" s="26">
        <f>IF(J179=1,D179-$C$6,0)</f>
        <v>3730.8037109375</v>
      </c>
      <c r="I179" s="26">
        <f t="shared" si="239"/>
        <v>229.39817858987604</v>
      </c>
      <c r="J179" s="24">
        <f t="shared" si="275"/>
        <v>1</v>
      </c>
      <c r="K179" s="26">
        <f>VLOOKUP($C179,COS!$B$8:$H$991,2,FALSE)</f>
        <v>3200</v>
      </c>
      <c r="L179" s="24">
        <f t="shared" si="231"/>
        <v>1</v>
      </c>
      <c r="M179" s="24">
        <f t="shared" si="232"/>
        <v>0</v>
      </c>
      <c r="N179" s="26">
        <f>VLOOKUP($C179,COS!$B$8:$H$991,5,FALSE)</f>
        <v>981.25543212890625</v>
      </c>
      <c r="O179" s="26">
        <f t="shared" si="278"/>
        <v>60.335044752388946</v>
      </c>
      <c r="P179" s="26">
        <f>VLOOKUP($C179,COS!$B$8:$H$991,6,FALSE)</f>
        <v>2562.892822265625</v>
      </c>
      <c r="Q179" s="26">
        <f t="shared" si="279"/>
        <v>157.58613717071282</v>
      </c>
      <c r="R179" s="26">
        <f>MIN(IF(MONTH($C179)=4,$S$3,IF(MONTH($C179)=5,$S$4,IF(MONTH($C179)=6,$S$5,IF(MONTH($C179)=7,$S$6,"ERROR")))),MAX(VLOOKUP($C179,COS!$B$8:$K$991,10,FALSE)-IF(MONTH($C179)=4,$Y$3,IF(MONTH($C179)=5,$Y$4,IF(MONTH($C179)=6,$Y$5,IF(MONTH($C179)=7,$Y$6,"ERROR")))),0),MAX(VLOOKUP($C179,COS!$B$8:$K$991,9,FALSE)-IF(MONTH($C179)=4,$V$3,IF(MONTH($C179)=5,$V$4,IF(MONTH($C179)=6,$V$5,IF(MONTH($C179)=7,$V$6,"ERROR"))))-VLOOKUP($C179,COS!$B$8:$K$991,6,FALSE)/2,0))</f>
        <v>1500</v>
      </c>
      <c r="S179" s="26">
        <f t="shared" si="280"/>
        <v>92.231404958677686</v>
      </c>
      <c r="T179" s="26">
        <f t="shared" si="281"/>
        <v>201.19199592022858</v>
      </c>
      <c r="U179" s="26" t="str">
        <f>IF(VLOOKUP($C179,COS!$B$8:$I$991,8,FALSE)=1,"UWFE","IBU")</f>
        <v>IBU</v>
      </c>
      <c r="V179" s="26">
        <f t="shared" ref="V179" si="285">MIN(IF(IF($AA$3=2,AND(E179=1,G179=1,L179=1,L181=1,M179=1,U179="IBU"),AND(E179=1,G179=1,L179=1,L181=1,M179=1)),T179,0),I179)</f>
        <v>0</v>
      </c>
      <c r="W179" s="26"/>
      <c r="X179" s="26"/>
      <c r="Y179" s="26"/>
      <c r="Z179" s="26"/>
      <c r="AA179" s="26"/>
      <c r="AB179" s="33"/>
    </row>
    <row r="180" spans="1:28" x14ac:dyDescent="0.3">
      <c r="A180" s="32">
        <f>VLOOKUP(YEAR(C180),Flags!$A$13:$B$95,2,FALSE)</f>
        <v>2</v>
      </c>
      <c r="B180" s="24">
        <f t="shared" si="225"/>
        <v>1940</v>
      </c>
      <c r="C180" s="25">
        <v>14854</v>
      </c>
      <c r="D180" s="26"/>
      <c r="E180" s="24"/>
      <c r="F180" s="26"/>
      <c r="G180" s="24"/>
      <c r="H180" s="24"/>
      <c r="I180" s="26"/>
      <c r="J180" s="24"/>
      <c r="K180" s="26"/>
      <c r="L180" s="24"/>
      <c r="M180" s="24"/>
      <c r="N180" s="26"/>
      <c r="O180" s="26"/>
      <c r="P180" s="26"/>
      <c r="Q180" s="26"/>
      <c r="R180" s="26"/>
      <c r="S180" s="26"/>
      <c r="T180" s="26"/>
      <c r="U180" s="26"/>
      <c r="V180" s="26"/>
      <c r="W180" s="26">
        <f>MAX($C$7-VLOOKUP($C180,COS!$B$8:$H$991,3,FALSE),0)</f>
        <v>88462.974609375</v>
      </c>
      <c r="X180" s="26">
        <f t="shared" si="245"/>
        <v>5439.3762900309921</v>
      </c>
      <c r="Y180" s="26">
        <f>VLOOKUP($C180,COS!$B$8:$H$991,4,FALSE)</f>
        <v>0</v>
      </c>
      <c r="Z180" s="26">
        <f t="shared" si="246"/>
        <v>0</v>
      </c>
      <c r="AA180" s="26">
        <f t="shared" ref="AA180:AA184" si="286">MIN(W180,Y180)</f>
        <v>0</v>
      </c>
      <c r="AB180" s="33">
        <f t="shared" ref="AB180" si="287">AA180*DAY($C180)*86400/43560/1000*IF(MONTH($C180)=8,$P$3,IF(MONTH($C180)=9,$P$4,IF(MONTH($C180)=10,$P$5,IF(MONTH($C180)=11,$P$6,IF(MONTH($C180)=12,$P$7,NA())))))</f>
        <v>0</v>
      </c>
    </row>
    <row r="181" spans="1:28" x14ac:dyDescent="0.3">
      <c r="A181" s="32">
        <f>VLOOKUP(YEAR(C181),Flags!$A$13:$B$95,2,FALSE)</f>
        <v>2</v>
      </c>
      <c r="B181" s="24">
        <f t="shared" si="225"/>
        <v>1940</v>
      </c>
      <c r="C181" s="25">
        <v>14884</v>
      </c>
      <c r="D181" s="26"/>
      <c r="E181" s="24"/>
      <c r="F181" s="26"/>
      <c r="G181" s="24"/>
      <c r="H181" s="24"/>
      <c r="I181" s="26"/>
      <c r="J181" s="24"/>
      <c r="K181" s="26">
        <f>VLOOKUP($C181,COS!$B$8:$H$991,2,FALSE)</f>
        <v>2472.069580078125</v>
      </c>
      <c r="L181" s="24">
        <f t="shared" ref="L181" si="288">IF(AND(K181&gt;$I$7,K181&lt;$I$8),1,0)</f>
        <v>1</v>
      </c>
      <c r="M181" s="24"/>
      <c r="N181" s="26"/>
      <c r="O181" s="26"/>
      <c r="P181" s="26"/>
      <c r="Q181" s="26"/>
      <c r="R181" s="26"/>
      <c r="S181" s="26"/>
      <c r="T181" s="26"/>
      <c r="U181" s="26"/>
      <c r="V181" s="26"/>
      <c r="W181" s="26">
        <f>MAX($C$8-VLOOKUP($C181,COS!$B$8:$H$991,3,FALSE),0)</f>
        <v>90576.14453125</v>
      </c>
      <c r="X181" s="26">
        <f t="shared" si="245"/>
        <v>5389.6548811983475</v>
      </c>
      <c r="Y181" s="26">
        <f>VLOOKUP($C181,COS!$B$8:$H$991,4,FALSE)</f>
        <v>254.33448791503906</v>
      </c>
      <c r="Z181" s="26">
        <f t="shared" si="246"/>
        <v>15.133952999903151</v>
      </c>
      <c r="AA181" s="26">
        <f t="shared" si="286"/>
        <v>254.33448791503906</v>
      </c>
      <c r="AB181" s="33">
        <f t="shared" si="243"/>
        <v>15.133952999903151</v>
      </c>
    </row>
    <row r="182" spans="1:28" x14ac:dyDescent="0.3">
      <c r="A182" s="32">
        <f>VLOOKUP(YEAR(C182),Flags!$A$13:$B$95,2,FALSE)</f>
        <v>2</v>
      </c>
      <c r="B182" s="24">
        <f t="shared" si="225"/>
        <v>1940</v>
      </c>
      <c r="C182" s="25">
        <v>14915</v>
      </c>
      <c r="D182" s="26"/>
      <c r="E182" s="24"/>
      <c r="F182" s="26"/>
      <c r="G182" s="26"/>
      <c r="H182" s="26"/>
      <c r="I182" s="26"/>
      <c r="J182" s="26"/>
      <c r="K182" s="26"/>
      <c r="L182" s="24"/>
      <c r="M182" s="24"/>
      <c r="N182" s="26"/>
      <c r="O182" s="26"/>
      <c r="P182" s="26"/>
      <c r="Q182" s="26"/>
      <c r="R182" s="26"/>
      <c r="S182" s="26"/>
      <c r="T182" s="26"/>
      <c r="U182" s="26"/>
      <c r="V182" s="26"/>
      <c r="W182" s="26">
        <f>MAX($C$9-VLOOKUP($C182,COS!$B$8:$H$991,3,FALSE),0)</f>
        <v>93346.93359375</v>
      </c>
      <c r="X182" s="26">
        <f t="shared" si="245"/>
        <v>5739.6792226239668</v>
      </c>
      <c r="Y182" s="26">
        <f>VLOOKUP($C182,COS!$B$8:$H$991,4,FALSE)</f>
        <v>785.3338623046875</v>
      </c>
      <c r="Z182" s="26">
        <f t="shared" si="246"/>
        <v>48.288296987990705</v>
      </c>
      <c r="AA182" s="26">
        <f t="shared" si="286"/>
        <v>785.3338623046875</v>
      </c>
      <c r="AB182" s="33">
        <f t="shared" si="243"/>
        <v>48.288296987990705</v>
      </c>
    </row>
    <row r="183" spans="1:28" x14ac:dyDescent="0.3">
      <c r="A183" s="32">
        <f>VLOOKUP(YEAR(C183),Flags!$A$13:$B$95,2,FALSE)</f>
        <v>2</v>
      </c>
      <c r="B183" s="24">
        <f t="shared" si="225"/>
        <v>1940</v>
      </c>
      <c r="C183" s="25">
        <v>14945</v>
      </c>
      <c r="D183" s="26"/>
      <c r="E183" s="24"/>
      <c r="F183" s="26"/>
      <c r="G183" s="26"/>
      <c r="H183" s="26"/>
      <c r="I183" s="26"/>
      <c r="J183" s="26"/>
      <c r="K183" s="26"/>
      <c r="L183" s="24"/>
      <c r="M183" s="24"/>
      <c r="N183" s="26"/>
      <c r="O183" s="26"/>
      <c r="P183" s="26"/>
      <c r="Q183" s="26"/>
      <c r="R183" s="26"/>
      <c r="S183" s="26"/>
      <c r="T183" s="26"/>
      <c r="U183" s="26"/>
      <c r="V183" s="26"/>
      <c r="W183" s="26">
        <f>MAX($C$10-VLOOKUP($C183,COS!$B$8:$H$991,3,FALSE),0)</f>
        <v>92458.0693359375</v>
      </c>
      <c r="X183" s="26">
        <f t="shared" si="245"/>
        <v>5501.6371836260332</v>
      </c>
      <c r="Y183" s="26">
        <f>VLOOKUP($C183,COS!$B$8:$H$991,4,FALSE)</f>
        <v>1105.5103759765625</v>
      </c>
      <c r="Z183" s="26">
        <f t="shared" si="246"/>
        <v>65.782435595299589</v>
      </c>
      <c r="AA183" s="26">
        <f t="shared" si="286"/>
        <v>1105.5103759765625</v>
      </c>
      <c r="AB183" s="33">
        <f t="shared" si="243"/>
        <v>32.891217797649794</v>
      </c>
    </row>
    <row r="184" spans="1:28" x14ac:dyDescent="0.3">
      <c r="A184" s="34">
        <f>VLOOKUP(YEAR(C184),Flags!$A$13:$B$95,2,FALSE)</f>
        <v>2</v>
      </c>
      <c r="B184" s="35">
        <f t="shared" si="225"/>
        <v>1940</v>
      </c>
      <c r="C184" s="36">
        <v>14976</v>
      </c>
      <c r="D184" s="37"/>
      <c r="E184" s="35"/>
      <c r="F184" s="37"/>
      <c r="G184" s="37"/>
      <c r="H184" s="37"/>
      <c r="I184" s="37"/>
      <c r="J184" s="37"/>
      <c r="K184" s="37"/>
      <c r="L184" s="35"/>
      <c r="M184" s="35"/>
      <c r="N184" s="37"/>
      <c r="O184" s="37"/>
      <c r="P184" s="37"/>
      <c r="Q184" s="37"/>
      <c r="R184" s="37"/>
      <c r="S184" s="37"/>
      <c r="T184" s="37"/>
      <c r="U184" s="37"/>
      <c r="V184" s="37"/>
      <c r="W184" s="37">
        <f>MAX($C$11-VLOOKUP($C184,COS!$B$8:$H$991,3,FALSE),0)</f>
        <v>0</v>
      </c>
      <c r="X184" s="37">
        <f t="shared" si="245"/>
        <v>0</v>
      </c>
      <c r="Y184" s="37">
        <f>VLOOKUP($C184,COS!$B$8:$H$991,4,FALSE)</f>
        <v>0</v>
      </c>
      <c r="Z184" s="37">
        <f t="shared" si="246"/>
        <v>0</v>
      </c>
      <c r="AA184" s="37">
        <f t="shared" si="286"/>
        <v>0</v>
      </c>
      <c r="AB184" s="38">
        <f t="shared" si="243"/>
        <v>0</v>
      </c>
    </row>
    <row r="185" spans="1:28" x14ac:dyDescent="0.3">
      <c r="A185" s="27">
        <f>VLOOKUP(YEAR(C185),Flags!$A$13:$B$95,2,FALSE)</f>
        <v>1</v>
      </c>
      <c r="B185" s="28">
        <f t="shared" si="225"/>
        <v>1941</v>
      </c>
      <c r="C185" s="29">
        <v>15096</v>
      </c>
      <c r="D185" s="30">
        <f>VLOOKUP($C185,COS!$B$8:$H$991,3,FALSE)</f>
        <v>13347.38671875</v>
      </c>
      <c r="E185" s="28">
        <f>IF(D185&gt;=IF(MONTH($C185)=4,$C$3,IF(MONTH($C185)=5,$C$4,IF(MONTH($C185)=6,$C$5,IF(MONTH($C185)=7,$C$6,"ERROR")))),1,0)</f>
        <v>1</v>
      </c>
      <c r="F185" s="30">
        <f>VLOOKUP($C185,COS!$B$8:$H$991,7,FALSE)</f>
        <v>47.10235595703125</v>
      </c>
      <c r="G185" s="28">
        <f>IF(F185&lt;=IF(MONTH($C185)=4,$F$3,IF(MONTH($C185)=5,$F$4,IF(MONTH($C185)=6,$F$5,IF(MONTH($C185)=7,$F$6,"ERROR")))),1,0)</f>
        <v>1</v>
      </c>
      <c r="H185" s="30">
        <f>IF(J185=1,D185-$C$3,0)</f>
        <v>7347.38671875</v>
      </c>
      <c r="I185" s="30">
        <f t="shared" si="239"/>
        <v>437.1998708677686</v>
      </c>
      <c r="J185" s="28">
        <f t="shared" ref="J185:J188" si="289">IF(AND(E185=1,G185=1),1,0)</f>
        <v>1</v>
      </c>
      <c r="K185" s="30">
        <f>VLOOKUP($C185,COS!$B$8:$H$991,2,FALSE)</f>
        <v>4456</v>
      </c>
      <c r="L185" s="28">
        <f t="shared" ref="L185" si="290">IF(K185&lt;=IF(MONTH($C185)=4,$I$3,IF(MONTH($C185)=5,$I$4,IF(MONTH($C185)=6,$I$5,IF(MONTH($C185)=7,$I$6,"ERROR")))),1,0)</f>
        <v>1</v>
      </c>
      <c r="M185" s="28">
        <f t="shared" ref="M185" si="291">VLOOKUP($A185,$L$3:$M$7,2,FALSE)</f>
        <v>0</v>
      </c>
      <c r="N185" s="30">
        <f>VLOOKUP($C185,COS!$B$8:$H$991,5,FALSE)</f>
        <v>23.296117782592773</v>
      </c>
      <c r="O185" s="30">
        <f t="shared" ref="O185:O188" si="292">N185*DAY($C185)*86400/43560/1000</f>
        <v>1.3862152730137849</v>
      </c>
      <c r="P185" s="30">
        <f>VLOOKUP($C185,COS!$B$8:$H$991,6,FALSE)</f>
        <v>258.51828002929688</v>
      </c>
      <c r="Q185" s="30">
        <f t="shared" ref="Q185:Q188" si="293">P185*DAY($C185)*86400/43560/1000</f>
        <v>15.382905919098658</v>
      </c>
      <c r="R185" s="30">
        <f>MIN(IF(MONTH($C185)=4,$S$3,IF(MONTH($C185)=5,$S$4,IF(MONTH($C185)=6,$S$5,IF(MONTH($C185)=7,$S$6,"ERROR")))),MAX(VLOOKUP($C185,COS!$B$8:$K$991,10,FALSE)-IF(MONTH($C185)=4,$Y$3,IF(MONTH($C185)=5,$Y$4,IF(MONTH($C185)=6,$Y$5,IF(MONTH($C185)=7,$Y$6,"ERROR")))),0),MAX(VLOOKUP($C185,COS!$B$8:$K$991,9,FALSE)-IF(MONTH($C185)=4,$V$3,IF(MONTH($C185)=5,$V$4,IF(MONTH($C185)=6,$V$5,IF(MONTH($C185)=7,$V$6,"ERROR"))))-VLOOKUP($C185,COS!$B$8:$K$991,6,FALSE)/2,0))</f>
        <v>1500</v>
      </c>
      <c r="S185" s="30">
        <f t="shared" ref="S185:S188" si="294">R185*DAY($C185)*86400/43560/1000</f>
        <v>89.256198347107429</v>
      </c>
      <c r="T185" s="30">
        <f t="shared" ref="T185:T188" si="295">(O185+Q185)/2+S185</f>
        <v>97.640758943163647</v>
      </c>
      <c r="U185" s="30" t="str">
        <f>IF(VLOOKUP($C185,COS!$B$8:$I$991,8,FALSE)=1,"UWFE","IBU")</f>
        <v>UWFE</v>
      </c>
      <c r="V185" s="30">
        <f t="shared" ref="V185" si="296">MIN(IF(IF($AA$3=2,AND(E185=1,G185=1,L185=1,L190=1,M185=1,U185="IBU"),AND(E185=1,G185=1,L185=1,L190=1,M185=1)),T185,0),I185)</f>
        <v>0</v>
      </c>
      <c r="W185" s="30"/>
      <c r="X185" s="30"/>
      <c r="Y185" s="30"/>
      <c r="Z185" s="30"/>
      <c r="AA185" s="30"/>
      <c r="AB185" s="31"/>
    </row>
    <row r="186" spans="1:28" x14ac:dyDescent="0.3">
      <c r="A186" s="32">
        <f>VLOOKUP(YEAR(C186),Flags!$A$13:$B$95,2,FALSE)</f>
        <v>1</v>
      </c>
      <c r="B186" s="24">
        <f t="shared" si="225"/>
        <v>1941</v>
      </c>
      <c r="C186" s="25">
        <v>15127</v>
      </c>
      <c r="D186" s="26">
        <f>VLOOKUP($C186,COS!$B$8:$H$991,3,FALSE)</f>
        <v>11196.62890625</v>
      </c>
      <c r="E186" s="24">
        <f>IF(D186&gt;=IF(MONTH($C186)=4,$C$3,IF(MONTH($C186)=5,$C$4,IF(MONTH($C186)=6,$C$5,IF(MONTH($C186)=7,$C$6,"ERROR")))),1,0)</f>
        <v>1</v>
      </c>
      <c r="F186" s="26">
        <f>VLOOKUP($C186,COS!$B$8:$H$991,7,FALSE)</f>
        <v>49.271575927734375</v>
      </c>
      <c r="G186" s="24">
        <f>IF(F186&lt;=IF(MONTH($C186)=4,$F$3,IF(MONTH($C186)=5,$F$4,IF(MONTH($C186)=6,$F$5,IF(MONTH($C186)=7,$F$6,"ERROR")))),1,0)</f>
        <v>1</v>
      </c>
      <c r="H186" s="26">
        <f>IF(J186=1,D186-$C$4,0)</f>
        <v>5196.62890625</v>
      </c>
      <c r="I186" s="26">
        <f t="shared" si="239"/>
        <v>319.52825671487602</v>
      </c>
      <c r="J186" s="24">
        <f t="shared" si="289"/>
        <v>1</v>
      </c>
      <c r="K186" s="26">
        <f>VLOOKUP($C186,COS!$B$8:$H$991,2,FALSE)</f>
        <v>4552</v>
      </c>
      <c r="L186" s="24">
        <f t="shared" si="231"/>
        <v>1</v>
      </c>
      <c r="M186" s="24">
        <f t="shared" si="232"/>
        <v>0</v>
      </c>
      <c r="N186" s="26">
        <f>VLOOKUP($C186,COS!$B$8:$H$991,5,FALSE)</f>
        <v>416.04388427734375</v>
      </c>
      <c r="O186" s="26">
        <f t="shared" si="292"/>
        <v>25.581541314243285</v>
      </c>
      <c r="P186" s="26">
        <f>VLOOKUP($C186,COS!$B$8:$H$991,6,FALSE)</f>
        <v>1881.5819091796875</v>
      </c>
      <c r="Q186" s="26">
        <f t="shared" si="293"/>
        <v>115.69396201898243</v>
      </c>
      <c r="R186" s="26">
        <f>MIN(IF(MONTH($C186)=4,$S$3,IF(MONTH($C186)=5,$S$4,IF(MONTH($C186)=6,$S$5,IF(MONTH($C186)=7,$S$6,"ERROR")))),MAX(VLOOKUP($C186,COS!$B$8:$K$991,10,FALSE)-IF(MONTH($C186)=4,$Y$3,IF(MONTH($C186)=5,$Y$4,IF(MONTH($C186)=6,$Y$5,IF(MONTH($C186)=7,$Y$6,"ERROR")))),0),MAX(VLOOKUP($C186,COS!$B$8:$K$991,9,FALSE)-IF(MONTH($C186)=4,$V$3,IF(MONTH($C186)=5,$V$4,IF(MONTH($C186)=6,$V$5,IF(MONTH($C186)=7,$V$6,"ERROR"))))-VLOOKUP($C186,COS!$B$8:$K$991,6,FALSE)/2,0))</f>
        <v>1500</v>
      </c>
      <c r="S186" s="26">
        <f t="shared" si="294"/>
        <v>92.231404958677686</v>
      </c>
      <c r="T186" s="26">
        <f t="shared" si="295"/>
        <v>162.86915662529054</v>
      </c>
      <c r="U186" s="26" t="str">
        <f>IF(VLOOKUP($C186,COS!$B$8:$I$991,8,FALSE)=1,"UWFE","IBU")</f>
        <v>UWFE</v>
      </c>
      <c r="V186" s="26">
        <f t="shared" ref="V186" si="297">MIN(IF(IF($AA$3=2,AND(E186=1,G186=1,L186=1,L190=1,M186=1,U186="IBU"),AND(E186=1,G186=1,L186=1,L190=1,M186=1)),T186,0),I186)</f>
        <v>0</v>
      </c>
      <c r="W186" s="26"/>
      <c r="X186" s="26"/>
      <c r="Y186" s="26"/>
      <c r="Z186" s="26"/>
      <c r="AA186" s="26"/>
      <c r="AB186" s="33"/>
    </row>
    <row r="187" spans="1:28" x14ac:dyDescent="0.3">
      <c r="A187" s="32">
        <f>VLOOKUP(YEAR(C187),Flags!$A$13:$B$95,2,FALSE)</f>
        <v>1</v>
      </c>
      <c r="B187" s="24">
        <f t="shared" si="225"/>
        <v>1941</v>
      </c>
      <c r="C187" s="25">
        <v>15157</v>
      </c>
      <c r="D187" s="26">
        <f>VLOOKUP($C187,COS!$B$8:$H$991,3,FALSE)</f>
        <v>7959.45068359375</v>
      </c>
      <c r="E187" s="24">
        <f>IF(D187&gt;=IF(MONTH($C187)=4,$C$3,IF(MONTH($C187)=5,$C$4,IF(MONTH($C187)=6,$C$5,IF(MONTH($C187)=7,$C$6,"ERROR")))),1,0)</f>
        <v>0</v>
      </c>
      <c r="F187" s="26">
        <f>VLOOKUP($C187,COS!$B$8:$H$991,7,FALSE)</f>
        <v>51.485713958740234</v>
      </c>
      <c r="G187" s="24">
        <f>IF(F187&lt;=IF(MONTH($C187)=4,$F$3,IF(MONTH($C187)=5,$F$4,IF(MONTH($C187)=6,$F$5,IF(MONTH($C187)=7,$F$6,"ERROR")))),1,0)</f>
        <v>1</v>
      </c>
      <c r="H187" s="26">
        <f>IF(J187=1,D187-$C$5,0)</f>
        <v>0</v>
      </c>
      <c r="I187" s="26">
        <f t="shared" si="239"/>
        <v>0</v>
      </c>
      <c r="J187" s="24">
        <f t="shared" si="289"/>
        <v>0</v>
      </c>
      <c r="K187" s="26">
        <f>VLOOKUP($C187,COS!$B$8:$H$991,2,FALSE)</f>
        <v>4473.59912109375</v>
      </c>
      <c r="L187" s="24">
        <f t="shared" si="231"/>
        <v>1</v>
      </c>
      <c r="M187" s="24">
        <f t="shared" si="232"/>
        <v>0</v>
      </c>
      <c r="N187" s="26">
        <f>VLOOKUP($C187,COS!$B$8:$H$991,5,FALSE)</f>
        <v>1200.7138671875</v>
      </c>
      <c r="O187" s="26">
        <f t="shared" si="292"/>
        <v>71.447436725206614</v>
      </c>
      <c r="P187" s="26">
        <f>VLOOKUP($C187,COS!$B$8:$H$991,6,FALSE)</f>
        <v>2235.81640625</v>
      </c>
      <c r="Q187" s="26">
        <f t="shared" si="293"/>
        <v>133.04031508264464</v>
      </c>
      <c r="R187" s="26">
        <f>MIN(IF(MONTH($C187)=4,$S$3,IF(MONTH($C187)=5,$S$4,IF(MONTH($C187)=6,$S$5,IF(MONTH($C187)=7,$S$6,"ERROR")))),MAX(VLOOKUP($C187,COS!$B$8:$K$991,10,FALSE)-IF(MONTH($C187)=4,$Y$3,IF(MONTH($C187)=5,$Y$4,IF(MONTH($C187)=6,$Y$5,IF(MONTH($C187)=7,$Y$6,"ERROR")))),0),MAX(VLOOKUP($C187,COS!$B$8:$K$991,9,FALSE)-IF(MONTH($C187)=4,$V$3,IF(MONTH($C187)=5,$V$4,IF(MONTH($C187)=6,$V$5,IF(MONTH($C187)=7,$V$6,"ERROR"))))-VLOOKUP($C187,COS!$B$8:$K$991,6,FALSE)/2,0))</f>
        <v>1500</v>
      </c>
      <c r="S187" s="26">
        <f t="shared" si="294"/>
        <v>89.256198347107429</v>
      </c>
      <c r="T187" s="26">
        <f t="shared" si="295"/>
        <v>191.50007425103306</v>
      </c>
      <c r="U187" s="26" t="str">
        <f>IF(VLOOKUP($C187,COS!$B$8:$I$991,8,FALSE)=1,"UWFE","IBU")</f>
        <v>UWFE</v>
      </c>
      <c r="V187" s="26">
        <f t="shared" ref="V187" si="298">MIN(IF(IF($AA$3=2,AND(E187=1,G187=1,L187=1,L190=1,M187=1,U187="IBU"),AND(E187=1,G187=1,L187=1,L190=1,M187=1)),T187,0),I187)</f>
        <v>0</v>
      </c>
      <c r="W187" s="26"/>
      <c r="X187" s="26"/>
      <c r="Y187" s="26"/>
      <c r="Z187" s="26"/>
      <c r="AA187" s="26"/>
      <c r="AB187" s="33"/>
    </row>
    <row r="188" spans="1:28" x14ac:dyDescent="0.3">
      <c r="A188" s="32">
        <f>VLOOKUP(YEAR(C188),Flags!$A$13:$B$95,2,FALSE)</f>
        <v>1</v>
      </c>
      <c r="B188" s="24">
        <f t="shared" si="225"/>
        <v>1941</v>
      </c>
      <c r="C188" s="25">
        <v>15188</v>
      </c>
      <c r="D188" s="26">
        <f>VLOOKUP($C188,COS!$B$8:$H$991,3,FALSE)</f>
        <v>13357.740234375</v>
      </c>
      <c r="E188" s="24">
        <f>IF(D188&gt;=IF(MONTH($C188)=4,$C$3,IF(MONTH($C188)=5,$C$4,IF(MONTH($C188)=6,$C$5,IF(MONTH($C188)=7,$C$6,"ERROR")))),1,0)</f>
        <v>1</v>
      </c>
      <c r="F188" s="26">
        <f>VLOOKUP($C188,COS!$B$8:$H$991,7,FALSE)</f>
        <v>52.457145690917969</v>
      </c>
      <c r="G188" s="24">
        <f>IF(F188&lt;=IF(MONTH($C188)=4,$F$3,IF(MONTH($C188)=5,$F$4,IF(MONTH($C188)=6,$F$5,IF(MONTH($C188)=7,$F$6,"ERROR")))),1,0)</f>
        <v>1</v>
      </c>
      <c r="H188" s="26">
        <f>IF(J188=1,D188-$C$6,0)</f>
        <v>1357.740234375</v>
      </c>
      <c r="I188" s="26">
        <f t="shared" si="239"/>
        <v>83.484192923553721</v>
      </c>
      <c r="J188" s="24">
        <f t="shared" si="289"/>
        <v>1</v>
      </c>
      <c r="K188" s="26">
        <f>VLOOKUP($C188,COS!$B$8:$H$991,2,FALSE)</f>
        <v>4107.0615234375</v>
      </c>
      <c r="L188" s="24">
        <f t="shared" si="231"/>
        <v>1</v>
      </c>
      <c r="M188" s="24">
        <f t="shared" si="232"/>
        <v>0</v>
      </c>
      <c r="N188" s="26">
        <f>VLOOKUP($C188,COS!$B$8:$H$991,5,FALSE)</f>
        <v>1380.17529296875</v>
      </c>
      <c r="O188" s="26">
        <f t="shared" si="292"/>
        <v>84.863670906508275</v>
      </c>
      <c r="P188" s="26">
        <f>VLOOKUP($C188,COS!$B$8:$H$991,6,FALSE)</f>
        <v>2616.67822265625</v>
      </c>
      <c r="Q188" s="26">
        <f t="shared" si="293"/>
        <v>160.89327253357436</v>
      </c>
      <c r="R188" s="26">
        <f>MIN(IF(MONTH($C188)=4,$S$3,IF(MONTH($C188)=5,$S$4,IF(MONTH($C188)=6,$S$5,IF(MONTH($C188)=7,$S$6,"ERROR")))),MAX(VLOOKUP($C188,COS!$B$8:$K$991,10,FALSE)-IF(MONTH($C188)=4,$Y$3,IF(MONTH($C188)=5,$Y$4,IF(MONTH($C188)=6,$Y$5,IF(MONTH($C188)=7,$Y$6,"ERROR")))),0),MAX(VLOOKUP($C188,COS!$B$8:$K$991,9,FALSE)-IF(MONTH($C188)=4,$V$3,IF(MONTH($C188)=5,$V$4,IF(MONTH($C188)=6,$V$5,IF(MONTH($C188)=7,$V$6,"ERROR"))))-VLOOKUP($C188,COS!$B$8:$K$991,6,FALSE)/2,0))</f>
        <v>1500</v>
      </c>
      <c r="S188" s="26">
        <f t="shared" si="294"/>
        <v>92.231404958677686</v>
      </c>
      <c r="T188" s="26">
        <f t="shared" si="295"/>
        <v>215.10987667871899</v>
      </c>
      <c r="U188" s="26" t="str">
        <f>IF(VLOOKUP($C188,COS!$B$8:$I$991,8,FALSE)=1,"UWFE","IBU")</f>
        <v>IBU</v>
      </c>
      <c r="V188" s="26">
        <f t="shared" ref="V188" si="299">MIN(IF(IF($AA$3=2,AND(E188=1,G188=1,L188=1,L190=1,M188=1,U188="IBU"),AND(E188=1,G188=1,L188=1,L190=1,M188=1)),T188,0),I188)</f>
        <v>0</v>
      </c>
      <c r="W188" s="26"/>
      <c r="X188" s="26"/>
      <c r="Y188" s="26"/>
      <c r="Z188" s="26"/>
      <c r="AA188" s="26"/>
      <c r="AB188" s="33"/>
    </row>
    <row r="189" spans="1:28" x14ac:dyDescent="0.3">
      <c r="A189" s="32">
        <f>VLOOKUP(YEAR(C189),Flags!$A$13:$B$95,2,FALSE)</f>
        <v>1</v>
      </c>
      <c r="B189" s="24">
        <f t="shared" si="225"/>
        <v>1941</v>
      </c>
      <c r="C189" s="25">
        <v>15219</v>
      </c>
      <c r="D189" s="26"/>
      <c r="E189" s="24"/>
      <c r="F189" s="26"/>
      <c r="G189" s="24"/>
      <c r="H189" s="24"/>
      <c r="I189" s="26"/>
      <c r="J189" s="24"/>
      <c r="K189" s="26"/>
      <c r="L189" s="24"/>
      <c r="M189" s="24"/>
      <c r="N189" s="26"/>
      <c r="O189" s="26"/>
      <c r="P189" s="26"/>
      <c r="Q189" s="26"/>
      <c r="R189" s="26"/>
      <c r="S189" s="26"/>
      <c r="T189" s="26"/>
      <c r="U189" s="26"/>
      <c r="V189" s="26"/>
      <c r="W189" s="26">
        <f>MAX($C$7-VLOOKUP($C189,COS!$B$8:$H$991,3,FALSE),0)</f>
        <v>88126.173828125</v>
      </c>
      <c r="X189" s="26">
        <f t="shared" si="245"/>
        <v>5418.6672172004137</v>
      </c>
      <c r="Y189" s="26">
        <f>VLOOKUP($C189,COS!$B$8:$H$991,4,FALSE)</f>
        <v>41.871162414550781</v>
      </c>
      <c r="Z189" s="26">
        <f t="shared" si="246"/>
        <v>2.5745574244979985</v>
      </c>
      <c r="AA189" s="26">
        <f t="shared" ref="AA189:AA193" si="300">MIN(W189,Y189)</f>
        <v>41.871162414550781</v>
      </c>
      <c r="AB189" s="33">
        <f t="shared" ref="AB189" si="301">AA189*DAY($C189)*86400/43560/1000*IF(MONTH($C189)=8,$P$3,IF(MONTH($C189)=9,$P$4,IF(MONTH($C189)=10,$P$5,IF(MONTH($C189)=11,$P$6,IF(MONTH($C189)=12,$P$7,NA())))))</f>
        <v>2.5745574244979985</v>
      </c>
    </row>
    <row r="190" spans="1:28" x14ac:dyDescent="0.3">
      <c r="A190" s="32">
        <f>VLOOKUP(YEAR(C190),Flags!$A$13:$B$95,2,FALSE)</f>
        <v>1</v>
      </c>
      <c r="B190" s="24">
        <f t="shared" si="225"/>
        <v>1941</v>
      </c>
      <c r="C190" s="25">
        <v>15249</v>
      </c>
      <c r="D190" s="26"/>
      <c r="E190" s="24"/>
      <c r="F190" s="26"/>
      <c r="G190" s="24"/>
      <c r="H190" s="24"/>
      <c r="I190" s="26"/>
      <c r="J190" s="24"/>
      <c r="K190" s="26">
        <f>VLOOKUP($C190,COS!$B$8:$H$991,2,FALSE)</f>
        <v>3115.0087890625</v>
      </c>
      <c r="L190" s="24">
        <f t="shared" ref="L190" si="302">IF(AND(K190&gt;$I$7,K190&lt;$I$8),1,0)</f>
        <v>1</v>
      </c>
      <c r="M190" s="24"/>
      <c r="N190" s="26"/>
      <c r="O190" s="26"/>
      <c r="P190" s="26"/>
      <c r="Q190" s="26"/>
      <c r="R190" s="26"/>
      <c r="S190" s="26"/>
      <c r="T190" s="26"/>
      <c r="U190" s="26"/>
      <c r="V190" s="26"/>
      <c r="W190" s="26">
        <f>MAX($C$8-VLOOKUP($C190,COS!$B$8:$H$991,3,FALSE),0)</f>
        <v>83265.279296875</v>
      </c>
      <c r="X190" s="26">
        <f t="shared" si="245"/>
        <v>4954.6281895661159</v>
      </c>
      <c r="Y190" s="26">
        <f>VLOOKUP($C190,COS!$B$8:$H$991,4,FALSE)</f>
        <v>125.05797576904297</v>
      </c>
      <c r="Z190" s="26">
        <f t="shared" si="246"/>
        <v>7.4414663267529706</v>
      </c>
      <c r="AA190" s="26">
        <f t="shared" si="300"/>
        <v>125.05797576904297</v>
      </c>
      <c r="AB190" s="33">
        <f t="shared" si="243"/>
        <v>7.4414663267529706</v>
      </c>
    </row>
    <row r="191" spans="1:28" x14ac:dyDescent="0.3">
      <c r="A191" s="32">
        <f>VLOOKUP(YEAR(C191),Flags!$A$13:$B$95,2,FALSE)</f>
        <v>1</v>
      </c>
      <c r="B191" s="24">
        <f t="shared" si="225"/>
        <v>1941</v>
      </c>
      <c r="C191" s="25">
        <v>15280</v>
      </c>
      <c r="D191" s="26"/>
      <c r="E191" s="24"/>
      <c r="F191" s="26"/>
      <c r="G191" s="26"/>
      <c r="H191" s="26"/>
      <c r="I191" s="26"/>
      <c r="J191" s="26"/>
      <c r="K191" s="26"/>
      <c r="L191" s="24"/>
      <c r="M191" s="24"/>
      <c r="N191" s="26"/>
      <c r="O191" s="26"/>
      <c r="P191" s="26"/>
      <c r="Q191" s="26"/>
      <c r="R191" s="26"/>
      <c r="S191" s="26"/>
      <c r="T191" s="26"/>
      <c r="U191" s="26"/>
      <c r="V191" s="26"/>
      <c r="W191" s="26">
        <f>MAX($C$9-VLOOKUP($C191,COS!$B$8:$H$991,3,FALSE),0)</f>
        <v>93057.919921875</v>
      </c>
      <c r="X191" s="26">
        <f t="shared" si="245"/>
        <v>5721.908464617768</v>
      </c>
      <c r="Y191" s="26">
        <f>VLOOKUP($C191,COS!$B$8:$H$991,4,FALSE)</f>
        <v>404.5906982421875</v>
      </c>
      <c r="Z191" s="26">
        <f t="shared" si="246"/>
        <v>24.877312354726239</v>
      </c>
      <c r="AA191" s="26">
        <f t="shared" si="300"/>
        <v>404.5906982421875</v>
      </c>
      <c r="AB191" s="33">
        <f t="shared" si="243"/>
        <v>24.877312354726239</v>
      </c>
    </row>
    <row r="192" spans="1:28" x14ac:dyDescent="0.3">
      <c r="A192" s="32">
        <f>VLOOKUP(YEAR(C192),Flags!$A$13:$B$95,2,FALSE)</f>
        <v>1</v>
      </c>
      <c r="B192" s="24">
        <f t="shared" si="225"/>
        <v>1941</v>
      </c>
      <c r="C192" s="25">
        <v>15310</v>
      </c>
      <c r="D192" s="26"/>
      <c r="E192" s="24"/>
      <c r="F192" s="26"/>
      <c r="G192" s="26"/>
      <c r="H192" s="26"/>
      <c r="I192" s="26"/>
      <c r="J192" s="26"/>
      <c r="K192" s="26"/>
      <c r="L192" s="24"/>
      <c r="M192" s="24"/>
      <c r="N192" s="26"/>
      <c r="O192" s="26"/>
      <c r="P192" s="26"/>
      <c r="Q192" s="26"/>
      <c r="R192" s="26"/>
      <c r="S192" s="26"/>
      <c r="T192" s="26"/>
      <c r="U192" s="26"/>
      <c r="V192" s="26"/>
      <c r="W192" s="26">
        <f>MAX($C$10-VLOOKUP($C192,COS!$B$8:$H$991,3,FALSE),0)</f>
        <v>90006.765625</v>
      </c>
      <c r="X192" s="26">
        <f t="shared" si="245"/>
        <v>5355.7744834710738</v>
      </c>
      <c r="Y192" s="26">
        <f>VLOOKUP($C192,COS!$B$8:$H$991,4,FALSE)</f>
        <v>455.62896728515625</v>
      </c>
      <c r="Z192" s="26">
        <f t="shared" si="246"/>
        <v>27.111806317794422</v>
      </c>
      <c r="AA192" s="26">
        <f t="shared" si="300"/>
        <v>455.62896728515625</v>
      </c>
      <c r="AB192" s="33">
        <f t="shared" si="243"/>
        <v>13.555903158897211</v>
      </c>
    </row>
    <row r="193" spans="1:28" x14ac:dyDescent="0.3">
      <c r="A193" s="34">
        <f>VLOOKUP(YEAR(C193),Flags!$A$13:$B$95,2,FALSE)</f>
        <v>1</v>
      </c>
      <c r="B193" s="35">
        <f t="shared" si="225"/>
        <v>1941</v>
      </c>
      <c r="C193" s="36">
        <v>15341</v>
      </c>
      <c r="D193" s="37"/>
      <c r="E193" s="35"/>
      <c r="F193" s="37"/>
      <c r="G193" s="37"/>
      <c r="H193" s="37"/>
      <c r="I193" s="37"/>
      <c r="J193" s="37"/>
      <c r="K193" s="37"/>
      <c r="L193" s="35"/>
      <c r="M193" s="35"/>
      <c r="N193" s="37"/>
      <c r="O193" s="37"/>
      <c r="P193" s="37"/>
      <c r="Q193" s="37"/>
      <c r="R193" s="37"/>
      <c r="S193" s="37"/>
      <c r="T193" s="37"/>
      <c r="U193" s="37"/>
      <c r="V193" s="37"/>
      <c r="W193" s="37">
        <f>MAX($C$11-VLOOKUP($C193,COS!$B$8:$H$991,3,FALSE),0)</f>
        <v>0</v>
      </c>
      <c r="X193" s="37">
        <f t="shared" si="245"/>
        <v>0</v>
      </c>
      <c r="Y193" s="37">
        <f>VLOOKUP($C193,COS!$B$8:$H$991,4,FALSE)</f>
        <v>0</v>
      </c>
      <c r="Z193" s="37">
        <f t="shared" si="246"/>
        <v>0</v>
      </c>
      <c r="AA193" s="37">
        <f t="shared" si="300"/>
        <v>0</v>
      </c>
      <c r="AB193" s="38">
        <f t="shared" si="243"/>
        <v>0</v>
      </c>
    </row>
    <row r="194" spans="1:28" x14ac:dyDescent="0.3">
      <c r="A194" s="27">
        <f>VLOOKUP(YEAR(C194),Flags!$A$13:$B$95,2,FALSE)</f>
        <v>1</v>
      </c>
      <c r="B194" s="28">
        <f t="shared" si="225"/>
        <v>1942</v>
      </c>
      <c r="C194" s="29">
        <v>15461</v>
      </c>
      <c r="D194" s="30">
        <f>VLOOKUP($C194,COS!$B$8:$H$991,3,FALSE)</f>
        <v>3250</v>
      </c>
      <c r="E194" s="28">
        <f>IF(D194&gt;=IF(MONTH($C194)=4,$C$3,IF(MONTH($C194)=5,$C$4,IF(MONTH($C194)=6,$C$5,IF(MONTH($C194)=7,$C$6,"ERROR")))),1,0)</f>
        <v>0</v>
      </c>
      <c r="F194" s="30">
        <f>VLOOKUP($C194,COS!$B$8:$H$991,7,FALSE)</f>
        <v>49.696609497070313</v>
      </c>
      <c r="G194" s="28">
        <f>IF(F194&lt;=IF(MONTH($C194)=4,$F$3,IF(MONTH($C194)=5,$F$4,IF(MONTH($C194)=6,$F$5,IF(MONTH($C194)=7,$F$6,"ERROR")))),1,0)</f>
        <v>1</v>
      </c>
      <c r="H194" s="30">
        <f>IF(J194=1,D194-$C$3,0)</f>
        <v>0</v>
      </c>
      <c r="I194" s="30">
        <f t="shared" si="239"/>
        <v>0</v>
      </c>
      <c r="J194" s="28">
        <f t="shared" ref="J194:J197" si="303">IF(AND(E194=1,G194=1),1,0)</f>
        <v>0</v>
      </c>
      <c r="K194" s="30">
        <f>VLOOKUP($C194,COS!$B$8:$H$991,2,FALSE)</f>
        <v>4509.97900390625</v>
      </c>
      <c r="L194" s="28">
        <f t="shared" ref="L194" si="304">IF(K194&lt;=IF(MONTH($C194)=4,$I$3,IF(MONTH($C194)=5,$I$4,IF(MONTH($C194)=6,$I$5,IF(MONTH($C194)=7,$I$6,"ERROR")))),1,0)</f>
        <v>1</v>
      </c>
      <c r="M194" s="28">
        <f t="shared" ref="M194" si="305">VLOOKUP($A194,$L$3:$M$7,2,FALSE)</f>
        <v>0</v>
      </c>
      <c r="N194" s="30">
        <f>VLOOKUP($C194,COS!$B$8:$H$991,5,FALSE)</f>
        <v>20.96923828125</v>
      </c>
      <c r="O194" s="30">
        <f t="shared" ref="O194:O197" si="306">N194*DAY($C194)*86400/43560/1000</f>
        <v>1.2477563274793388</v>
      </c>
      <c r="P194" s="30">
        <f>VLOOKUP($C194,COS!$B$8:$H$991,6,FALSE)</f>
        <v>278.10659790039063</v>
      </c>
      <c r="Q194" s="30">
        <f t="shared" ref="Q194:Q197" si="307">P194*DAY($C194)*86400/43560/1000</f>
        <v>16.548491775891012</v>
      </c>
      <c r="R194" s="30">
        <f>MIN(IF(MONTH($C194)=4,$S$3,IF(MONTH($C194)=5,$S$4,IF(MONTH($C194)=6,$S$5,IF(MONTH($C194)=7,$S$6,"ERROR")))),MAX(VLOOKUP($C194,COS!$B$8:$K$991,10,FALSE)-IF(MONTH($C194)=4,$Y$3,IF(MONTH($C194)=5,$Y$4,IF(MONTH($C194)=6,$Y$5,IF(MONTH($C194)=7,$Y$6,"ERROR")))),0),MAX(VLOOKUP($C194,COS!$B$8:$K$991,9,FALSE)-IF(MONTH($C194)=4,$V$3,IF(MONTH($C194)=5,$V$4,IF(MONTH($C194)=6,$V$5,IF(MONTH($C194)=7,$V$6,"ERROR"))))-VLOOKUP($C194,COS!$B$8:$K$991,6,FALSE)/2,0))</f>
        <v>1500</v>
      </c>
      <c r="S194" s="30">
        <f t="shared" ref="S194:S197" si="308">R194*DAY($C194)*86400/43560/1000</f>
        <v>89.256198347107429</v>
      </c>
      <c r="T194" s="30">
        <f t="shared" ref="T194:T197" si="309">(O194+Q194)/2+S194</f>
        <v>98.154322398792601</v>
      </c>
      <c r="U194" s="30" t="str">
        <f>IF(VLOOKUP($C194,COS!$B$8:$I$991,8,FALSE)=1,"UWFE","IBU")</f>
        <v>UWFE</v>
      </c>
      <c r="V194" s="30">
        <f t="shared" ref="V194" si="310">MIN(IF(IF($AA$3=2,AND(E194=1,G194=1,L194=1,L199=1,M194=1,U194="IBU"),AND(E194=1,G194=1,L194=1,L199=1,M194=1)),T194,0),I194)</f>
        <v>0</v>
      </c>
      <c r="W194" s="30"/>
      <c r="X194" s="30"/>
      <c r="Y194" s="30"/>
      <c r="Z194" s="30"/>
      <c r="AA194" s="30"/>
      <c r="AB194" s="31"/>
    </row>
    <row r="195" spans="1:28" x14ac:dyDescent="0.3">
      <c r="A195" s="32">
        <f>VLOOKUP(YEAR(C195),Flags!$A$13:$B$95,2,FALSE)</f>
        <v>1</v>
      </c>
      <c r="B195" s="24">
        <f t="shared" si="225"/>
        <v>1942</v>
      </c>
      <c r="C195" s="25">
        <v>15492</v>
      </c>
      <c r="D195" s="26">
        <f>VLOOKUP($C195,COS!$B$8:$H$991,3,FALSE)</f>
        <v>10224.1552734375</v>
      </c>
      <c r="E195" s="24">
        <f>IF(D195&gt;=IF(MONTH($C195)=4,$C$3,IF(MONTH($C195)=5,$C$4,IF(MONTH($C195)=6,$C$5,IF(MONTH($C195)=7,$C$6,"ERROR")))),1,0)</f>
        <v>1</v>
      </c>
      <c r="F195" s="26">
        <f>VLOOKUP($C195,COS!$B$8:$H$991,7,FALSE)</f>
        <v>48.257987976074219</v>
      </c>
      <c r="G195" s="24">
        <f>IF(F195&lt;=IF(MONTH($C195)=4,$F$3,IF(MONTH($C195)=5,$F$4,IF(MONTH($C195)=6,$F$5,IF(MONTH($C195)=7,$F$6,"ERROR")))),1,0)</f>
        <v>1</v>
      </c>
      <c r="H195" s="26">
        <f>IF(J195=1,D195-$C$4,0)</f>
        <v>4224.1552734375</v>
      </c>
      <c r="I195" s="26">
        <f t="shared" si="239"/>
        <v>259.73318375516527</v>
      </c>
      <c r="J195" s="24">
        <f t="shared" si="303"/>
        <v>1</v>
      </c>
      <c r="K195" s="26">
        <f>VLOOKUP($C195,COS!$B$8:$H$991,2,FALSE)</f>
        <v>4552</v>
      </c>
      <c r="L195" s="24">
        <f t="shared" si="231"/>
        <v>1</v>
      </c>
      <c r="M195" s="24">
        <f t="shared" si="232"/>
        <v>0</v>
      </c>
      <c r="N195" s="26">
        <f>VLOOKUP($C195,COS!$B$8:$H$991,5,FALSE)</f>
        <v>528.735595703125</v>
      </c>
      <c r="O195" s="26">
        <f t="shared" si="306"/>
        <v>32.510684562241735</v>
      </c>
      <c r="P195" s="26">
        <f>VLOOKUP($C195,COS!$B$8:$H$991,6,FALSE)</f>
        <v>2076.0068359375</v>
      </c>
      <c r="Q195" s="26">
        <f t="shared" si="307"/>
        <v>127.64868478822314</v>
      </c>
      <c r="R195" s="26">
        <f>MIN(IF(MONTH($C195)=4,$S$3,IF(MONTH($C195)=5,$S$4,IF(MONTH($C195)=6,$S$5,IF(MONTH($C195)=7,$S$6,"ERROR")))),MAX(VLOOKUP($C195,COS!$B$8:$K$991,10,FALSE)-IF(MONTH($C195)=4,$Y$3,IF(MONTH($C195)=5,$Y$4,IF(MONTH($C195)=6,$Y$5,IF(MONTH($C195)=7,$Y$6,"ERROR")))),0),MAX(VLOOKUP($C195,COS!$B$8:$K$991,9,FALSE)-IF(MONTH($C195)=4,$V$3,IF(MONTH($C195)=5,$V$4,IF(MONTH($C195)=6,$V$5,IF(MONTH($C195)=7,$V$6,"ERROR"))))-VLOOKUP($C195,COS!$B$8:$K$991,6,FALSE)/2,0))</f>
        <v>1500</v>
      </c>
      <c r="S195" s="26">
        <f t="shared" si="308"/>
        <v>92.231404958677686</v>
      </c>
      <c r="T195" s="26">
        <f t="shared" si="309"/>
        <v>172.31108963391011</v>
      </c>
      <c r="U195" s="26" t="str">
        <f>IF(VLOOKUP($C195,COS!$B$8:$I$991,8,FALSE)=1,"UWFE","IBU")</f>
        <v>UWFE</v>
      </c>
      <c r="V195" s="26">
        <f t="shared" ref="V195" si="311">MIN(IF(IF($AA$3=2,AND(E195=1,G195=1,L195=1,L199=1,M195=1,U195="IBU"),AND(E195=1,G195=1,L195=1,L199=1,M195=1)),T195,0),I195)</f>
        <v>0</v>
      </c>
      <c r="W195" s="26"/>
      <c r="X195" s="26"/>
      <c r="Y195" s="26"/>
      <c r="Z195" s="26"/>
      <c r="AA195" s="26"/>
      <c r="AB195" s="33"/>
    </row>
    <row r="196" spans="1:28" x14ac:dyDescent="0.3">
      <c r="A196" s="32">
        <f>VLOOKUP(YEAR(C196),Flags!$A$13:$B$95,2,FALSE)</f>
        <v>1</v>
      </c>
      <c r="B196" s="24">
        <f t="shared" si="225"/>
        <v>1942</v>
      </c>
      <c r="C196" s="25">
        <v>15522</v>
      </c>
      <c r="D196" s="26">
        <f>VLOOKUP($C196,COS!$B$8:$H$991,3,FALSE)</f>
        <v>7711.70703125</v>
      </c>
      <c r="E196" s="24">
        <f>IF(D196&gt;=IF(MONTH($C196)=4,$C$3,IF(MONTH($C196)=5,$C$4,IF(MONTH($C196)=6,$C$5,IF(MONTH($C196)=7,$C$6,"ERROR")))),1,0)</f>
        <v>0</v>
      </c>
      <c r="F196" s="26">
        <f>VLOOKUP($C196,COS!$B$8:$H$991,7,FALSE)</f>
        <v>50.720790863037109</v>
      </c>
      <c r="G196" s="24">
        <f>IF(F196&lt;=IF(MONTH($C196)=4,$F$3,IF(MONTH($C196)=5,$F$4,IF(MONTH($C196)=6,$F$5,IF(MONTH($C196)=7,$F$6,"ERROR")))),1,0)</f>
        <v>1</v>
      </c>
      <c r="H196" s="26">
        <f>IF(J196=1,D196-$C$5,0)</f>
        <v>0</v>
      </c>
      <c r="I196" s="26">
        <f t="shared" si="239"/>
        <v>0</v>
      </c>
      <c r="J196" s="24">
        <f t="shared" si="303"/>
        <v>0</v>
      </c>
      <c r="K196" s="26">
        <f>VLOOKUP($C196,COS!$B$8:$H$991,2,FALSE)</f>
        <v>4500</v>
      </c>
      <c r="L196" s="24">
        <f t="shared" si="231"/>
        <v>1</v>
      </c>
      <c r="M196" s="24">
        <f t="shared" si="232"/>
        <v>0</v>
      </c>
      <c r="N196" s="26">
        <f>VLOOKUP($C196,COS!$B$8:$H$991,5,FALSE)</f>
        <v>1239.5582275390625</v>
      </c>
      <c r="O196" s="26">
        <f t="shared" si="306"/>
        <v>73.758836680010319</v>
      </c>
      <c r="P196" s="26">
        <f>VLOOKUP($C196,COS!$B$8:$H$991,6,FALSE)</f>
        <v>2346.177734375</v>
      </c>
      <c r="Q196" s="26">
        <f t="shared" si="307"/>
        <v>139.6072701446281</v>
      </c>
      <c r="R196" s="26">
        <f>MIN(IF(MONTH($C196)=4,$S$3,IF(MONTH($C196)=5,$S$4,IF(MONTH($C196)=6,$S$5,IF(MONTH($C196)=7,$S$6,"ERROR")))),MAX(VLOOKUP($C196,COS!$B$8:$K$991,10,FALSE)-IF(MONTH($C196)=4,$Y$3,IF(MONTH($C196)=5,$Y$4,IF(MONTH($C196)=6,$Y$5,IF(MONTH($C196)=7,$Y$6,"ERROR")))),0),MAX(VLOOKUP($C196,COS!$B$8:$K$991,9,FALSE)-IF(MONTH($C196)=4,$V$3,IF(MONTH($C196)=5,$V$4,IF(MONTH($C196)=6,$V$5,IF(MONTH($C196)=7,$V$6,"ERROR"))))-VLOOKUP($C196,COS!$B$8:$K$991,6,FALSE)/2,0))</f>
        <v>1500</v>
      </c>
      <c r="S196" s="26">
        <f t="shared" si="308"/>
        <v>89.256198347107429</v>
      </c>
      <c r="T196" s="26">
        <f t="shared" si="309"/>
        <v>195.93925175942664</v>
      </c>
      <c r="U196" s="26" t="str">
        <f>IF(VLOOKUP($C196,COS!$B$8:$I$991,8,FALSE)=1,"UWFE","IBU")</f>
        <v>UWFE</v>
      </c>
      <c r="V196" s="26">
        <f t="shared" ref="V196" si="312">MIN(IF(IF($AA$3=2,AND(E196=1,G196=1,L196=1,L199=1,M196=1,U196="IBU"),AND(E196=1,G196=1,L196=1,L199=1,M196=1)),T196,0),I196)</f>
        <v>0</v>
      </c>
      <c r="W196" s="26"/>
      <c r="X196" s="26"/>
      <c r="Y196" s="26"/>
      <c r="Z196" s="26"/>
      <c r="AA196" s="26"/>
      <c r="AB196" s="33"/>
    </row>
    <row r="197" spans="1:28" x14ac:dyDescent="0.3">
      <c r="A197" s="32">
        <f>VLOOKUP(YEAR(C197),Flags!$A$13:$B$95,2,FALSE)</f>
        <v>1</v>
      </c>
      <c r="B197" s="24">
        <f t="shared" si="225"/>
        <v>1942</v>
      </c>
      <c r="C197" s="25">
        <v>15553</v>
      </c>
      <c r="D197" s="26">
        <f>VLOOKUP($C197,COS!$B$8:$H$991,3,FALSE)</f>
        <v>12291.904296875</v>
      </c>
      <c r="E197" s="24">
        <f>IF(D197&gt;=IF(MONTH($C197)=4,$C$3,IF(MONTH($C197)=5,$C$4,IF(MONTH($C197)=6,$C$5,IF(MONTH($C197)=7,$C$6,"ERROR")))),1,0)</f>
        <v>1</v>
      </c>
      <c r="F197" s="26">
        <f>VLOOKUP($C197,COS!$B$8:$H$991,7,FALSE)</f>
        <v>51.129238128662109</v>
      </c>
      <c r="G197" s="24">
        <f>IF(F197&lt;=IF(MONTH($C197)=4,$F$3,IF(MONTH($C197)=5,$F$4,IF(MONTH($C197)=6,$F$5,IF(MONTH($C197)=7,$F$6,"ERROR")))),1,0)</f>
        <v>1</v>
      </c>
      <c r="H197" s="26">
        <f>IF(J197=1,D197-$C$6,0)</f>
        <v>291.904296875</v>
      </c>
      <c r="I197" s="26">
        <f t="shared" si="239"/>
        <v>17.948495609504132</v>
      </c>
      <c r="J197" s="24">
        <f t="shared" si="303"/>
        <v>1</v>
      </c>
      <c r="K197" s="26">
        <f>VLOOKUP($C197,COS!$B$8:$H$991,2,FALSE)</f>
        <v>3968.421142578125</v>
      </c>
      <c r="L197" s="24">
        <f t="shared" si="231"/>
        <v>1</v>
      </c>
      <c r="M197" s="24">
        <f t="shared" si="232"/>
        <v>0</v>
      </c>
      <c r="N197" s="26">
        <f>VLOOKUP($C197,COS!$B$8:$H$991,5,FALSE)</f>
        <v>1378.510009765625</v>
      </c>
      <c r="O197" s="26">
        <f t="shared" si="306"/>
        <v>84.761276633522726</v>
      </c>
      <c r="P197" s="26">
        <f>VLOOKUP($C197,COS!$B$8:$H$991,6,FALSE)</f>
        <v>2616.67822265625</v>
      </c>
      <c r="Q197" s="26">
        <f t="shared" si="307"/>
        <v>160.89327253357436</v>
      </c>
      <c r="R197" s="26">
        <f>MIN(IF(MONTH($C197)=4,$S$3,IF(MONTH($C197)=5,$S$4,IF(MONTH($C197)=6,$S$5,IF(MONTH($C197)=7,$S$6,"ERROR")))),MAX(VLOOKUP($C197,COS!$B$8:$K$991,10,FALSE)-IF(MONTH($C197)=4,$Y$3,IF(MONTH($C197)=5,$Y$4,IF(MONTH($C197)=6,$Y$5,IF(MONTH($C197)=7,$Y$6,"ERROR")))),0),MAX(VLOOKUP($C197,COS!$B$8:$K$991,9,FALSE)-IF(MONTH($C197)=4,$V$3,IF(MONTH($C197)=5,$V$4,IF(MONTH($C197)=6,$V$5,IF(MONTH($C197)=7,$V$6,"ERROR"))))-VLOOKUP($C197,COS!$B$8:$K$991,6,FALSE)/2,0))</f>
        <v>1500</v>
      </c>
      <c r="S197" s="26">
        <f t="shared" si="308"/>
        <v>92.231404958677686</v>
      </c>
      <c r="T197" s="26">
        <f t="shared" si="309"/>
        <v>215.05867954222623</v>
      </c>
      <c r="U197" s="26" t="str">
        <f>IF(VLOOKUP($C197,COS!$B$8:$I$991,8,FALSE)=1,"UWFE","IBU")</f>
        <v>IBU</v>
      </c>
      <c r="V197" s="26">
        <f t="shared" ref="V197" si="313">MIN(IF(IF($AA$3=2,AND(E197=1,G197=1,L197=1,L199=1,M197=1,U197="IBU"),AND(E197=1,G197=1,L197=1,L199=1,M197=1)),T197,0),I197)</f>
        <v>0</v>
      </c>
      <c r="W197" s="26"/>
      <c r="X197" s="26"/>
      <c r="Y197" s="26"/>
      <c r="Z197" s="26"/>
      <c r="AA197" s="26"/>
      <c r="AB197" s="33"/>
    </row>
    <row r="198" spans="1:28" x14ac:dyDescent="0.3">
      <c r="A198" s="32">
        <f>VLOOKUP(YEAR(C198),Flags!$A$13:$B$95,2,FALSE)</f>
        <v>1</v>
      </c>
      <c r="B198" s="24">
        <f t="shared" si="225"/>
        <v>1942</v>
      </c>
      <c r="C198" s="25">
        <v>15584</v>
      </c>
      <c r="D198" s="26"/>
      <c r="E198" s="24"/>
      <c r="F198" s="26"/>
      <c r="G198" s="24"/>
      <c r="H198" s="24"/>
      <c r="I198" s="26"/>
      <c r="J198" s="24"/>
      <c r="K198" s="26"/>
      <c r="L198" s="24"/>
      <c r="M198" s="24"/>
      <c r="N198" s="26"/>
      <c r="O198" s="26"/>
      <c r="P198" s="26"/>
      <c r="Q198" s="26"/>
      <c r="R198" s="26"/>
      <c r="S198" s="26"/>
      <c r="T198" s="26"/>
      <c r="U198" s="26"/>
      <c r="V198" s="26"/>
      <c r="W198" s="26">
        <f>MAX($C$7-VLOOKUP($C198,COS!$B$8:$H$991,3,FALSE),0)</f>
        <v>89122.767578125</v>
      </c>
      <c r="X198" s="26">
        <f t="shared" si="245"/>
        <v>5479.9453783574381</v>
      </c>
      <c r="Y198" s="26">
        <f>VLOOKUP($C198,COS!$B$8:$H$991,4,FALSE)</f>
        <v>0</v>
      </c>
      <c r="Z198" s="26">
        <f t="shared" si="246"/>
        <v>0</v>
      </c>
      <c r="AA198" s="26">
        <f t="shared" ref="AA198:AA202" si="314">MIN(W198,Y198)</f>
        <v>0</v>
      </c>
      <c r="AB198" s="33">
        <f t="shared" ref="AB198" si="315">AA198*DAY($C198)*86400/43560/1000*IF(MONTH($C198)=8,$P$3,IF(MONTH($C198)=9,$P$4,IF(MONTH($C198)=10,$P$5,IF(MONTH($C198)=11,$P$6,IF(MONTH($C198)=12,$P$7,NA())))))</f>
        <v>0</v>
      </c>
    </row>
    <row r="199" spans="1:28" x14ac:dyDescent="0.3">
      <c r="A199" s="32">
        <f>VLOOKUP(YEAR(C199),Flags!$A$13:$B$95,2,FALSE)</f>
        <v>1</v>
      </c>
      <c r="B199" s="24">
        <f t="shared" si="225"/>
        <v>1942</v>
      </c>
      <c r="C199" s="25">
        <v>15614</v>
      </c>
      <c r="D199" s="26"/>
      <c r="E199" s="24"/>
      <c r="F199" s="26"/>
      <c r="G199" s="24"/>
      <c r="H199" s="24"/>
      <c r="I199" s="26"/>
      <c r="J199" s="24"/>
      <c r="K199" s="26">
        <f>VLOOKUP($C199,COS!$B$8:$H$991,2,FALSE)</f>
        <v>2988.85791015625</v>
      </c>
      <c r="L199" s="24">
        <f t="shared" ref="L199" si="316">IF(AND(K199&gt;$I$7,K199&lt;$I$8),1,0)</f>
        <v>1</v>
      </c>
      <c r="M199" s="24"/>
      <c r="N199" s="26"/>
      <c r="O199" s="26"/>
      <c r="P199" s="26"/>
      <c r="Q199" s="26"/>
      <c r="R199" s="26"/>
      <c r="S199" s="26"/>
      <c r="T199" s="26"/>
      <c r="U199" s="26"/>
      <c r="V199" s="26"/>
      <c r="W199" s="26">
        <f>MAX($C$8-VLOOKUP($C199,COS!$B$8:$H$991,3,FALSE),0)</f>
        <v>83557.9609375</v>
      </c>
      <c r="X199" s="26">
        <f t="shared" si="245"/>
        <v>4972.0439566115701</v>
      </c>
      <c r="Y199" s="26">
        <f>VLOOKUP($C199,COS!$B$8:$H$991,4,FALSE)</f>
        <v>0</v>
      </c>
      <c r="Z199" s="26">
        <f t="shared" si="246"/>
        <v>0</v>
      </c>
      <c r="AA199" s="26">
        <f t="shared" si="314"/>
        <v>0</v>
      </c>
      <c r="AB199" s="33">
        <f t="shared" si="243"/>
        <v>0</v>
      </c>
    </row>
    <row r="200" spans="1:28" x14ac:dyDescent="0.3">
      <c r="A200" s="32">
        <f>VLOOKUP(YEAR(C200),Flags!$A$13:$B$95,2,FALSE)</f>
        <v>1</v>
      </c>
      <c r="B200" s="24">
        <f t="shared" si="225"/>
        <v>1942</v>
      </c>
      <c r="C200" s="25">
        <v>15645</v>
      </c>
      <c r="D200" s="26"/>
      <c r="E200" s="24"/>
      <c r="F200" s="26"/>
      <c r="G200" s="26"/>
      <c r="H200" s="26"/>
      <c r="I200" s="26"/>
      <c r="J200" s="26"/>
      <c r="K200" s="26"/>
      <c r="L200" s="24"/>
      <c r="M200" s="24"/>
      <c r="N200" s="26"/>
      <c r="O200" s="26"/>
      <c r="P200" s="26"/>
      <c r="Q200" s="26"/>
      <c r="R200" s="26"/>
      <c r="S200" s="26"/>
      <c r="T200" s="26"/>
      <c r="U200" s="26"/>
      <c r="V200" s="26"/>
      <c r="W200" s="26">
        <f>MAX($C$9-VLOOKUP($C200,COS!$B$8:$H$991,3,FALSE),0)</f>
        <v>91981.8251953125</v>
      </c>
      <c r="X200" s="26">
        <f t="shared" si="245"/>
        <v>5655.741978951447</v>
      </c>
      <c r="Y200" s="26">
        <f>VLOOKUP($C200,COS!$B$8:$H$991,4,FALSE)</f>
        <v>1127.253662109375</v>
      </c>
      <c r="Z200" s="26">
        <f t="shared" si="246"/>
        <v>69.312126000774796</v>
      </c>
      <c r="AA200" s="26">
        <f t="shared" si="314"/>
        <v>1127.253662109375</v>
      </c>
      <c r="AB200" s="33">
        <f t="shared" si="243"/>
        <v>69.312126000774796</v>
      </c>
    </row>
    <row r="201" spans="1:28" x14ac:dyDescent="0.3">
      <c r="A201" s="32">
        <f>VLOOKUP(YEAR(C201),Flags!$A$13:$B$95,2,FALSE)</f>
        <v>1</v>
      </c>
      <c r="B201" s="24">
        <f t="shared" si="225"/>
        <v>1942</v>
      </c>
      <c r="C201" s="25">
        <v>15675</v>
      </c>
      <c r="D201" s="26"/>
      <c r="E201" s="24"/>
      <c r="F201" s="26"/>
      <c r="G201" s="26"/>
      <c r="H201" s="26"/>
      <c r="I201" s="26"/>
      <c r="J201" s="26"/>
      <c r="K201" s="26"/>
      <c r="L201" s="24"/>
      <c r="M201" s="24"/>
      <c r="N201" s="26"/>
      <c r="O201" s="26"/>
      <c r="P201" s="26"/>
      <c r="Q201" s="26"/>
      <c r="R201" s="26"/>
      <c r="S201" s="26"/>
      <c r="T201" s="26"/>
      <c r="U201" s="26"/>
      <c r="V201" s="26"/>
      <c r="W201" s="26">
        <f>MAX($C$10-VLOOKUP($C201,COS!$B$8:$H$991,3,FALSE),0)</f>
        <v>90870.3603515625</v>
      </c>
      <c r="X201" s="26">
        <f t="shared" si="245"/>
        <v>5407.1619382747931</v>
      </c>
      <c r="Y201" s="26">
        <f>VLOOKUP($C201,COS!$B$8:$H$991,4,FALSE)</f>
        <v>1237.8724365234375</v>
      </c>
      <c r="Z201" s="26">
        <f t="shared" si="246"/>
        <v>73.658525148502065</v>
      </c>
      <c r="AA201" s="26">
        <f t="shared" si="314"/>
        <v>1237.8724365234375</v>
      </c>
      <c r="AB201" s="33">
        <f t="shared" si="243"/>
        <v>36.829262574251032</v>
      </c>
    </row>
    <row r="202" spans="1:28" x14ac:dyDescent="0.3">
      <c r="A202" s="34">
        <f>VLOOKUP(YEAR(C202),Flags!$A$13:$B$95,2,FALSE)</f>
        <v>1</v>
      </c>
      <c r="B202" s="35">
        <f t="shared" si="225"/>
        <v>1942</v>
      </c>
      <c r="C202" s="36">
        <v>15706</v>
      </c>
      <c r="D202" s="37"/>
      <c r="E202" s="35"/>
      <c r="F202" s="37"/>
      <c r="G202" s="37"/>
      <c r="H202" s="37"/>
      <c r="I202" s="37"/>
      <c r="J202" s="37"/>
      <c r="K202" s="37"/>
      <c r="L202" s="35"/>
      <c r="M202" s="35"/>
      <c r="N202" s="37"/>
      <c r="O202" s="37"/>
      <c r="P202" s="37"/>
      <c r="Q202" s="37"/>
      <c r="R202" s="37"/>
      <c r="S202" s="37"/>
      <c r="T202" s="37"/>
      <c r="U202" s="37"/>
      <c r="V202" s="37"/>
      <c r="W202" s="37">
        <f>MAX($C$11-VLOOKUP($C202,COS!$B$8:$H$991,3,FALSE),0)</f>
        <v>0</v>
      </c>
      <c r="X202" s="37">
        <f t="shared" si="245"/>
        <v>0</v>
      </c>
      <c r="Y202" s="37">
        <f>VLOOKUP($C202,COS!$B$8:$H$991,4,FALSE)</f>
        <v>0</v>
      </c>
      <c r="Z202" s="37">
        <f t="shared" si="246"/>
        <v>0</v>
      </c>
      <c r="AA202" s="37">
        <f t="shared" si="314"/>
        <v>0</v>
      </c>
      <c r="AB202" s="38">
        <f t="shared" si="243"/>
        <v>0</v>
      </c>
    </row>
    <row r="203" spans="1:28" x14ac:dyDescent="0.3">
      <c r="A203" s="27">
        <f>VLOOKUP(YEAR(C203),Flags!$A$13:$B$95,2,FALSE)</f>
        <v>1</v>
      </c>
      <c r="B203" s="28">
        <f t="shared" si="225"/>
        <v>1943</v>
      </c>
      <c r="C203" s="29">
        <v>15826</v>
      </c>
      <c r="D203" s="30">
        <f>VLOOKUP($C203,COS!$B$8:$H$991,3,FALSE)</f>
        <v>3750.597900390625</v>
      </c>
      <c r="E203" s="28">
        <f>IF(D203&gt;=IF(MONTH($C203)=4,$C$3,IF(MONTH($C203)=5,$C$4,IF(MONTH($C203)=6,$C$5,IF(MONTH($C203)=7,$C$6,"ERROR")))),1,0)</f>
        <v>0</v>
      </c>
      <c r="F203" s="30">
        <f>VLOOKUP($C203,COS!$B$8:$H$991,7,FALSE)</f>
        <v>50.021923065185547</v>
      </c>
      <c r="G203" s="28">
        <f>IF(F203&lt;=IF(MONTH($C203)=4,$F$3,IF(MONTH($C203)=5,$F$4,IF(MONTH($C203)=6,$F$5,IF(MONTH($C203)=7,$F$6,"ERROR")))),1,0)</f>
        <v>1</v>
      </c>
      <c r="H203" s="30">
        <f>IF(J203=1,D203-$C$3,0)</f>
        <v>0</v>
      </c>
      <c r="I203" s="30">
        <f t="shared" si="239"/>
        <v>0</v>
      </c>
      <c r="J203" s="28">
        <f t="shared" ref="J203:J206" si="317">IF(AND(E203=1,G203=1),1,0)</f>
        <v>0</v>
      </c>
      <c r="K203" s="30">
        <f>VLOOKUP($C203,COS!$B$8:$H$991,2,FALSE)</f>
        <v>4552</v>
      </c>
      <c r="L203" s="28">
        <f t="shared" ref="L203" si="318">IF(K203&lt;=IF(MONTH($C203)=4,$I$3,IF(MONTH($C203)=5,$I$4,IF(MONTH($C203)=6,$I$5,IF(MONTH($C203)=7,$I$6,"ERROR")))),1,0)</f>
        <v>1</v>
      </c>
      <c r="M203" s="28">
        <f t="shared" ref="M203" si="319">VLOOKUP($A203,$L$3:$M$7,2,FALSE)</f>
        <v>0</v>
      </c>
      <c r="N203" s="30">
        <f>VLOOKUP($C203,COS!$B$8:$H$991,5,FALSE)</f>
        <v>242.15982055664063</v>
      </c>
      <c r="O203" s="30">
        <f t="shared" ref="O203:O206" si="320">N203*DAY($C203)*86400/43560/1000</f>
        <v>14.409509983535642</v>
      </c>
      <c r="P203" s="30">
        <f>VLOOKUP($C203,COS!$B$8:$H$991,6,FALSE)</f>
        <v>409.699951171875</v>
      </c>
      <c r="Q203" s="30">
        <f t="shared" ref="Q203:Q206" si="321">P203*DAY($C203)*86400/43560/1000</f>
        <v>24.378840069731407</v>
      </c>
      <c r="R203" s="30">
        <f>MIN(IF(MONTH($C203)=4,$S$3,IF(MONTH($C203)=5,$S$4,IF(MONTH($C203)=6,$S$5,IF(MONTH($C203)=7,$S$6,"ERROR")))),MAX(VLOOKUP($C203,COS!$B$8:$K$991,10,FALSE)-IF(MONTH($C203)=4,$Y$3,IF(MONTH($C203)=5,$Y$4,IF(MONTH($C203)=6,$Y$5,IF(MONTH($C203)=7,$Y$6,"ERROR")))),0),MAX(VLOOKUP($C203,COS!$B$8:$K$991,9,FALSE)-IF(MONTH($C203)=4,$V$3,IF(MONTH($C203)=5,$V$4,IF(MONTH($C203)=6,$V$5,IF(MONTH($C203)=7,$V$6,"ERROR"))))-VLOOKUP($C203,COS!$B$8:$K$991,6,FALSE)/2,0))</f>
        <v>1500</v>
      </c>
      <c r="S203" s="30">
        <f t="shared" ref="S203:S206" si="322">R203*DAY($C203)*86400/43560/1000</f>
        <v>89.256198347107429</v>
      </c>
      <c r="T203" s="30">
        <f t="shared" ref="T203:T206" si="323">(O203+Q203)/2+S203</f>
        <v>108.65037337374096</v>
      </c>
      <c r="U203" s="30" t="str">
        <f>IF(VLOOKUP($C203,COS!$B$8:$I$991,8,FALSE)=1,"UWFE","IBU")</f>
        <v>UWFE</v>
      </c>
      <c r="V203" s="30">
        <f t="shared" ref="V203" si="324">MIN(IF(IF($AA$3=2,AND(E203=1,G203=1,L203=1,L208=1,M203=1,U203="IBU"),AND(E203=1,G203=1,L203=1,L208=1,M203=1)),T203,0),I203)</f>
        <v>0</v>
      </c>
      <c r="W203" s="30"/>
      <c r="X203" s="30"/>
      <c r="Y203" s="30"/>
      <c r="Z203" s="30"/>
      <c r="AA203" s="30"/>
      <c r="AB203" s="31"/>
    </row>
    <row r="204" spans="1:28" x14ac:dyDescent="0.3">
      <c r="A204" s="32">
        <f>VLOOKUP(YEAR(C204),Flags!$A$13:$B$95,2,FALSE)</f>
        <v>1</v>
      </c>
      <c r="B204" s="24">
        <f t="shared" si="225"/>
        <v>1943</v>
      </c>
      <c r="C204" s="25">
        <v>15857</v>
      </c>
      <c r="D204" s="26">
        <f>VLOOKUP($C204,COS!$B$8:$H$991,3,FALSE)</f>
        <v>7166.14208984375</v>
      </c>
      <c r="E204" s="24">
        <f>IF(D204&gt;=IF(MONTH($C204)=4,$C$3,IF(MONTH($C204)=5,$C$4,IF(MONTH($C204)=6,$C$5,IF(MONTH($C204)=7,$C$6,"ERROR")))),1,0)</f>
        <v>1</v>
      </c>
      <c r="F204" s="26">
        <f>VLOOKUP($C204,COS!$B$8:$H$991,7,FALSE)</f>
        <v>50.632198333740234</v>
      </c>
      <c r="G204" s="24">
        <f>IF(F204&lt;=IF(MONTH($C204)=4,$F$3,IF(MONTH($C204)=5,$F$4,IF(MONTH($C204)=6,$F$5,IF(MONTH($C204)=7,$F$6,"ERROR")))),1,0)</f>
        <v>1</v>
      </c>
      <c r="H204" s="26">
        <f>IF(J204=1,D204-$C$4,0)</f>
        <v>1166.14208984375</v>
      </c>
      <c r="I204" s="26">
        <f t="shared" si="239"/>
        <v>71.703282218491736</v>
      </c>
      <c r="J204" s="24">
        <f t="shared" si="317"/>
        <v>1</v>
      </c>
      <c r="K204" s="26">
        <f>VLOOKUP($C204,COS!$B$8:$H$991,2,FALSE)</f>
        <v>4552</v>
      </c>
      <c r="L204" s="24">
        <f t="shared" si="231"/>
        <v>1</v>
      </c>
      <c r="M204" s="24">
        <f t="shared" si="232"/>
        <v>0</v>
      </c>
      <c r="N204" s="26">
        <f>VLOOKUP($C204,COS!$B$8:$H$991,5,FALSE)</f>
        <v>758.106201171875</v>
      </c>
      <c r="O204" s="26">
        <f t="shared" si="320"/>
        <v>46.614133361311985</v>
      </c>
      <c r="P204" s="26">
        <f>VLOOKUP($C204,COS!$B$8:$H$991,6,FALSE)</f>
        <v>2288.578369140625</v>
      </c>
      <c r="Q204" s="26">
        <f t="shared" si="321"/>
        <v>140.71919889591942</v>
      </c>
      <c r="R204" s="26">
        <f>MIN(IF(MONTH($C204)=4,$S$3,IF(MONTH($C204)=5,$S$4,IF(MONTH($C204)=6,$S$5,IF(MONTH($C204)=7,$S$6,"ERROR")))),MAX(VLOOKUP($C204,COS!$B$8:$K$991,10,FALSE)-IF(MONTH($C204)=4,$Y$3,IF(MONTH($C204)=5,$Y$4,IF(MONTH($C204)=6,$Y$5,IF(MONTH($C204)=7,$Y$6,"ERROR")))),0),MAX(VLOOKUP($C204,COS!$B$8:$K$991,9,FALSE)-IF(MONTH($C204)=4,$V$3,IF(MONTH($C204)=5,$V$4,IF(MONTH($C204)=6,$V$5,IF(MONTH($C204)=7,$V$6,"ERROR"))))-VLOOKUP($C204,COS!$B$8:$K$991,6,FALSE)/2,0))</f>
        <v>1500</v>
      </c>
      <c r="S204" s="26">
        <f t="shared" si="322"/>
        <v>92.231404958677686</v>
      </c>
      <c r="T204" s="26">
        <f t="shared" si="323"/>
        <v>185.89807108729337</v>
      </c>
      <c r="U204" s="26" t="str">
        <f>IF(VLOOKUP($C204,COS!$B$8:$I$991,8,FALSE)=1,"UWFE","IBU")</f>
        <v>UWFE</v>
      </c>
      <c r="V204" s="26">
        <f t="shared" ref="V204" si="325">MIN(IF(IF($AA$3=2,AND(E204=1,G204=1,L204=1,L208=1,M204=1,U204="IBU"),AND(E204=1,G204=1,L204=1,L208=1,M204=1)),T204,0),I204)</f>
        <v>0</v>
      </c>
      <c r="W204" s="26"/>
      <c r="X204" s="26"/>
      <c r="Y204" s="26"/>
      <c r="Z204" s="26"/>
      <c r="AA204" s="26"/>
      <c r="AB204" s="33"/>
    </row>
    <row r="205" spans="1:28" x14ac:dyDescent="0.3">
      <c r="A205" s="32">
        <f>VLOOKUP(YEAR(C205),Flags!$A$13:$B$95,2,FALSE)</f>
        <v>1</v>
      </c>
      <c r="B205" s="24">
        <f t="shared" si="225"/>
        <v>1943</v>
      </c>
      <c r="C205" s="25">
        <v>15887</v>
      </c>
      <c r="D205" s="26">
        <f>VLOOKUP($C205,COS!$B$8:$H$991,3,FALSE)</f>
        <v>8327.544921875</v>
      </c>
      <c r="E205" s="24">
        <f>IF(D205&gt;=IF(MONTH($C205)=4,$C$3,IF(MONTH($C205)=5,$C$4,IF(MONTH($C205)=6,$C$5,IF(MONTH($C205)=7,$C$6,"ERROR")))),1,0)</f>
        <v>0</v>
      </c>
      <c r="F205" s="26">
        <f>VLOOKUP($C205,COS!$B$8:$H$991,7,FALSE)</f>
        <v>50.935405731201172</v>
      </c>
      <c r="G205" s="24">
        <f>IF(F205&lt;=IF(MONTH($C205)=4,$F$3,IF(MONTH($C205)=5,$F$4,IF(MONTH($C205)=6,$F$5,IF(MONTH($C205)=7,$F$6,"ERROR")))),1,0)</f>
        <v>1</v>
      </c>
      <c r="H205" s="26">
        <f>IF(J205=1,D205-$C$5,0)</f>
        <v>0</v>
      </c>
      <c r="I205" s="26">
        <f t="shared" si="239"/>
        <v>0</v>
      </c>
      <c r="J205" s="24">
        <f t="shared" si="317"/>
        <v>0</v>
      </c>
      <c r="K205" s="26">
        <f>VLOOKUP($C205,COS!$B$8:$H$991,2,FALSE)</f>
        <v>4340.33056640625</v>
      </c>
      <c r="L205" s="24">
        <f t="shared" si="231"/>
        <v>1</v>
      </c>
      <c r="M205" s="24">
        <f t="shared" si="232"/>
        <v>0</v>
      </c>
      <c r="N205" s="26">
        <f>VLOOKUP($C205,COS!$B$8:$H$991,5,FALSE)</f>
        <v>855.91656494140625</v>
      </c>
      <c r="O205" s="26">
        <f t="shared" si="320"/>
        <v>50.930572459323344</v>
      </c>
      <c r="P205" s="26">
        <f>VLOOKUP($C205,COS!$B$8:$H$991,6,FALSE)</f>
        <v>2263.260986328125</v>
      </c>
      <c r="Q205" s="26">
        <f t="shared" si="321"/>
        <v>134.67338100464875</v>
      </c>
      <c r="R205" s="26">
        <f>MIN(IF(MONTH($C205)=4,$S$3,IF(MONTH($C205)=5,$S$4,IF(MONTH($C205)=6,$S$5,IF(MONTH($C205)=7,$S$6,"ERROR")))),MAX(VLOOKUP($C205,COS!$B$8:$K$991,10,FALSE)-IF(MONTH($C205)=4,$Y$3,IF(MONTH($C205)=5,$Y$4,IF(MONTH($C205)=6,$Y$5,IF(MONTH($C205)=7,$Y$6,"ERROR")))),0),MAX(VLOOKUP($C205,COS!$B$8:$K$991,9,FALSE)-IF(MONTH($C205)=4,$V$3,IF(MONTH($C205)=5,$V$4,IF(MONTH($C205)=6,$V$5,IF(MONTH($C205)=7,$V$6,"ERROR"))))-VLOOKUP($C205,COS!$B$8:$K$991,6,FALSE)/2,0))</f>
        <v>1500</v>
      </c>
      <c r="S205" s="26">
        <f t="shared" si="322"/>
        <v>89.256198347107429</v>
      </c>
      <c r="T205" s="26">
        <f t="shared" si="323"/>
        <v>182.05817507909347</v>
      </c>
      <c r="U205" s="26" t="str">
        <f>IF(VLOOKUP($C205,COS!$B$8:$I$991,8,FALSE)=1,"UWFE","IBU")</f>
        <v>UWFE</v>
      </c>
      <c r="V205" s="26">
        <f t="shared" ref="V205" si="326">MIN(IF(IF($AA$3=2,AND(E205=1,G205=1,L205=1,L208=1,M205=1,U205="IBU"),AND(E205=1,G205=1,L205=1,L208=1,M205=1)),T205,0),I205)</f>
        <v>0</v>
      </c>
      <c r="W205" s="26"/>
      <c r="X205" s="26"/>
      <c r="Y205" s="26"/>
      <c r="Z205" s="26"/>
      <c r="AA205" s="26"/>
      <c r="AB205" s="33"/>
    </row>
    <row r="206" spans="1:28" x14ac:dyDescent="0.3">
      <c r="A206" s="32">
        <f>VLOOKUP(YEAR(C206),Flags!$A$13:$B$95,2,FALSE)</f>
        <v>1</v>
      </c>
      <c r="B206" s="24">
        <f t="shared" si="225"/>
        <v>1943</v>
      </c>
      <c r="C206" s="25">
        <v>15918</v>
      </c>
      <c r="D206" s="26">
        <f>VLOOKUP($C206,COS!$B$8:$H$991,3,FALSE)</f>
        <v>16000</v>
      </c>
      <c r="E206" s="24">
        <f>IF(D206&gt;=IF(MONTH($C206)=4,$C$3,IF(MONTH($C206)=5,$C$4,IF(MONTH($C206)=6,$C$5,IF(MONTH($C206)=7,$C$6,"ERROR")))),1,0)</f>
        <v>1</v>
      </c>
      <c r="F206" s="26">
        <f>VLOOKUP($C206,COS!$B$8:$H$991,7,FALSE)</f>
        <v>50.874599456787109</v>
      </c>
      <c r="G206" s="24">
        <f>IF(F206&lt;=IF(MONTH($C206)=4,$F$3,IF(MONTH($C206)=5,$F$4,IF(MONTH($C206)=6,$F$5,IF(MONTH($C206)=7,$F$6,"ERROR")))),1,0)</f>
        <v>1</v>
      </c>
      <c r="H206" s="26">
        <f>IF(J206=1,D206-$C$6,0)</f>
        <v>4000</v>
      </c>
      <c r="I206" s="26">
        <f t="shared" si="239"/>
        <v>245.95041322314049</v>
      </c>
      <c r="J206" s="24">
        <f t="shared" si="317"/>
        <v>1</v>
      </c>
      <c r="K206" s="26">
        <f>VLOOKUP($C206,COS!$B$8:$H$991,2,FALSE)</f>
        <v>3628.526611328125</v>
      </c>
      <c r="L206" s="24">
        <f t="shared" si="231"/>
        <v>1</v>
      </c>
      <c r="M206" s="24">
        <f t="shared" si="232"/>
        <v>0</v>
      </c>
      <c r="N206" s="26">
        <f>VLOOKUP($C206,COS!$B$8:$H$991,5,FALSE)</f>
        <v>941.12457275390625</v>
      </c>
      <c r="O206" s="26">
        <f t="shared" si="320"/>
        <v>57.867494390818699</v>
      </c>
      <c r="P206" s="26">
        <f>VLOOKUP($C206,COS!$B$8:$H$991,6,FALSE)</f>
        <v>2607.468505859375</v>
      </c>
      <c r="Q206" s="26">
        <f t="shared" si="321"/>
        <v>160.32698912060951</v>
      </c>
      <c r="R206" s="26">
        <f>MIN(IF(MONTH($C206)=4,$S$3,IF(MONTH($C206)=5,$S$4,IF(MONTH($C206)=6,$S$5,IF(MONTH($C206)=7,$S$6,"ERROR")))),MAX(VLOOKUP($C206,COS!$B$8:$K$991,10,FALSE)-IF(MONTH($C206)=4,$Y$3,IF(MONTH($C206)=5,$Y$4,IF(MONTH($C206)=6,$Y$5,IF(MONTH($C206)=7,$Y$6,"ERROR")))),0),MAX(VLOOKUP($C206,COS!$B$8:$K$991,9,FALSE)-IF(MONTH($C206)=4,$V$3,IF(MONTH($C206)=5,$V$4,IF(MONTH($C206)=6,$V$5,IF(MONTH($C206)=7,$V$6,"ERROR"))))-VLOOKUP($C206,COS!$B$8:$K$991,6,FALSE)/2,0))</f>
        <v>1500</v>
      </c>
      <c r="S206" s="26">
        <f t="shared" si="322"/>
        <v>92.231404958677686</v>
      </c>
      <c r="T206" s="26">
        <f t="shared" si="323"/>
        <v>201.32864671439179</v>
      </c>
      <c r="U206" s="26" t="str">
        <f>IF(VLOOKUP($C206,COS!$B$8:$I$991,8,FALSE)=1,"UWFE","IBU")</f>
        <v>IBU</v>
      </c>
      <c r="V206" s="26">
        <f t="shared" ref="V206" si="327">MIN(IF(IF($AA$3=2,AND(E206=1,G206=1,L206=1,L208=1,M206=1,U206="IBU"),AND(E206=1,G206=1,L206=1,L208=1,M206=1)),T206,0),I206)</f>
        <v>0</v>
      </c>
      <c r="W206" s="26"/>
      <c r="X206" s="26"/>
      <c r="Y206" s="26"/>
      <c r="Z206" s="26"/>
      <c r="AA206" s="26"/>
      <c r="AB206" s="33"/>
    </row>
    <row r="207" spans="1:28" x14ac:dyDescent="0.3">
      <c r="A207" s="32">
        <f>VLOOKUP(YEAR(C207),Flags!$A$13:$B$95,2,FALSE)</f>
        <v>1</v>
      </c>
      <c r="B207" s="24">
        <f t="shared" ref="B207:B270" si="328">YEAR(C207)</f>
        <v>1943</v>
      </c>
      <c r="C207" s="25">
        <v>15949</v>
      </c>
      <c r="D207" s="26"/>
      <c r="E207" s="24"/>
      <c r="F207" s="26"/>
      <c r="G207" s="24"/>
      <c r="H207" s="24"/>
      <c r="I207" s="26"/>
      <c r="J207" s="24"/>
      <c r="K207" s="26"/>
      <c r="L207" s="24"/>
      <c r="M207" s="24"/>
      <c r="N207" s="26"/>
      <c r="O207" s="26"/>
      <c r="P207" s="26"/>
      <c r="Q207" s="26"/>
      <c r="R207" s="26"/>
      <c r="S207" s="26"/>
      <c r="T207" s="26"/>
      <c r="U207" s="26"/>
      <c r="V207" s="26"/>
      <c r="W207" s="26">
        <f>MAX($C$7-VLOOKUP($C207,COS!$B$8:$H$991,3,FALSE),0)</f>
        <v>88574.7412109375</v>
      </c>
      <c r="X207" s="26">
        <f t="shared" si="245"/>
        <v>5446.2485504907027</v>
      </c>
      <c r="Y207" s="26">
        <f>VLOOKUP($C207,COS!$B$8:$H$991,4,FALSE)</f>
        <v>301.35446166992188</v>
      </c>
      <c r="Z207" s="26">
        <f t="shared" si="246"/>
        <v>18.529563593588584</v>
      </c>
      <c r="AA207" s="26">
        <f t="shared" ref="AA207:AA211" si="329">MIN(W207,Y207)</f>
        <v>301.35446166992188</v>
      </c>
      <c r="AB207" s="33">
        <f t="shared" ref="AB207" si="330">AA207*DAY($C207)*86400/43560/1000*IF(MONTH($C207)=8,$P$3,IF(MONTH($C207)=9,$P$4,IF(MONTH($C207)=10,$P$5,IF(MONTH($C207)=11,$P$6,IF(MONTH($C207)=12,$P$7,NA())))))</f>
        <v>18.529563593588584</v>
      </c>
    </row>
    <row r="208" spans="1:28" x14ac:dyDescent="0.3">
      <c r="A208" s="32">
        <f>VLOOKUP(YEAR(C208),Flags!$A$13:$B$95,2,FALSE)</f>
        <v>1</v>
      </c>
      <c r="B208" s="24">
        <f t="shared" si="328"/>
        <v>1943</v>
      </c>
      <c r="C208" s="25">
        <v>15979</v>
      </c>
      <c r="D208" s="26"/>
      <c r="E208" s="24"/>
      <c r="F208" s="26"/>
      <c r="G208" s="24"/>
      <c r="H208" s="24"/>
      <c r="I208" s="26"/>
      <c r="J208" s="24"/>
      <c r="K208" s="26">
        <f>VLOOKUP($C208,COS!$B$8:$H$991,2,FALSE)</f>
        <v>2551.45654296875</v>
      </c>
      <c r="L208" s="24">
        <f t="shared" ref="L208" si="331">IF(AND(K208&gt;$I$7,K208&lt;$I$8),1,0)</f>
        <v>1</v>
      </c>
      <c r="M208" s="24"/>
      <c r="N208" s="26"/>
      <c r="O208" s="26"/>
      <c r="P208" s="26"/>
      <c r="Q208" s="26"/>
      <c r="R208" s="26"/>
      <c r="S208" s="26"/>
      <c r="T208" s="26"/>
      <c r="U208" s="26"/>
      <c r="V208" s="26"/>
      <c r="W208" s="26">
        <f>MAX($C$8-VLOOKUP($C208,COS!$B$8:$H$991,3,FALSE),0)</f>
        <v>83754.365234375</v>
      </c>
      <c r="X208" s="26">
        <f t="shared" si="245"/>
        <v>4983.7308238636369</v>
      </c>
      <c r="Y208" s="26">
        <f>VLOOKUP($C208,COS!$B$8:$H$991,4,FALSE)</f>
        <v>0</v>
      </c>
      <c r="Z208" s="26">
        <f t="shared" si="246"/>
        <v>0</v>
      </c>
      <c r="AA208" s="26">
        <f t="shared" si="329"/>
        <v>0</v>
      </c>
      <c r="AB208" s="33">
        <f t="shared" si="243"/>
        <v>0</v>
      </c>
    </row>
    <row r="209" spans="1:28" x14ac:dyDescent="0.3">
      <c r="A209" s="32">
        <f>VLOOKUP(YEAR(C209),Flags!$A$13:$B$95,2,FALSE)</f>
        <v>1</v>
      </c>
      <c r="B209" s="24">
        <f t="shared" si="328"/>
        <v>1943</v>
      </c>
      <c r="C209" s="25">
        <v>16010</v>
      </c>
      <c r="D209" s="26"/>
      <c r="E209" s="24"/>
      <c r="F209" s="26"/>
      <c r="G209" s="26"/>
      <c r="H209" s="26"/>
      <c r="I209" s="26"/>
      <c r="J209" s="26"/>
      <c r="K209" s="26"/>
      <c r="L209" s="24"/>
      <c r="M209" s="24"/>
      <c r="N209" s="26"/>
      <c r="O209" s="26"/>
      <c r="P209" s="26"/>
      <c r="Q209" s="26"/>
      <c r="R209" s="26"/>
      <c r="S209" s="26"/>
      <c r="T209" s="26"/>
      <c r="U209" s="26"/>
      <c r="V209" s="26"/>
      <c r="W209" s="26">
        <f>MAX($C$9-VLOOKUP($C209,COS!$B$8:$H$991,3,FALSE),0)</f>
        <v>91470.8173828125</v>
      </c>
      <c r="X209" s="26">
        <f t="shared" si="245"/>
        <v>5624.3213332902887</v>
      </c>
      <c r="Y209" s="26">
        <f>VLOOKUP($C209,COS!$B$8:$H$991,4,FALSE)</f>
        <v>1550.2403564453125</v>
      </c>
      <c r="Z209" s="26">
        <f t="shared" si="246"/>
        <v>95.320564065728306</v>
      </c>
      <c r="AA209" s="26">
        <f t="shared" si="329"/>
        <v>1550.2403564453125</v>
      </c>
      <c r="AB209" s="33">
        <f t="shared" si="243"/>
        <v>95.320564065728306</v>
      </c>
    </row>
    <row r="210" spans="1:28" x14ac:dyDescent="0.3">
      <c r="A210" s="32">
        <f>VLOOKUP(YEAR(C210),Flags!$A$13:$B$95,2,FALSE)</f>
        <v>1</v>
      </c>
      <c r="B210" s="24">
        <f t="shared" si="328"/>
        <v>1943</v>
      </c>
      <c r="C210" s="25">
        <v>16040</v>
      </c>
      <c r="D210" s="26"/>
      <c r="E210" s="24"/>
      <c r="F210" s="26"/>
      <c r="G210" s="26"/>
      <c r="H210" s="26"/>
      <c r="I210" s="26"/>
      <c r="J210" s="26"/>
      <c r="K210" s="26"/>
      <c r="L210" s="24"/>
      <c r="M210" s="24"/>
      <c r="N210" s="26"/>
      <c r="O210" s="26"/>
      <c r="P210" s="26"/>
      <c r="Q210" s="26"/>
      <c r="R210" s="26"/>
      <c r="S210" s="26"/>
      <c r="T210" s="26"/>
      <c r="U210" s="26"/>
      <c r="V210" s="26"/>
      <c r="W210" s="26">
        <f>MAX($C$10-VLOOKUP($C210,COS!$B$8:$H$991,3,FALSE),0)</f>
        <v>89086.3046875</v>
      </c>
      <c r="X210" s="26">
        <f t="shared" si="245"/>
        <v>5301.0032541322316</v>
      </c>
      <c r="Y210" s="26">
        <f>VLOOKUP($C210,COS!$B$8:$H$991,4,FALSE)</f>
        <v>2815.150390625</v>
      </c>
      <c r="Z210" s="26">
        <f t="shared" si="246"/>
        <v>167.51308109504131</v>
      </c>
      <c r="AA210" s="26">
        <f t="shared" si="329"/>
        <v>2815.150390625</v>
      </c>
      <c r="AB210" s="33">
        <f t="shared" si="243"/>
        <v>83.756540547520657</v>
      </c>
    </row>
    <row r="211" spans="1:28" x14ac:dyDescent="0.3">
      <c r="A211" s="34">
        <f>VLOOKUP(YEAR(C211),Flags!$A$13:$B$95,2,FALSE)</f>
        <v>1</v>
      </c>
      <c r="B211" s="35">
        <f t="shared" si="328"/>
        <v>1943</v>
      </c>
      <c r="C211" s="36">
        <v>16071</v>
      </c>
      <c r="D211" s="37"/>
      <c r="E211" s="35"/>
      <c r="F211" s="37"/>
      <c r="G211" s="37"/>
      <c r="H211" s="37"/>
      <c r="I211" s="37"/>
      <c r="J211" s="37"/>
      <c r="K211" s="37"/>
      <c r="L211" s="35"/>
      <c r="M211" s="35"/>
      <c r="N211" s="37"/>
      <c r="O211" s="37"/>
      <c r="P211" s="37"/>
      <c r="Q211" s="37"/>
      <c r="R211" s="37"/>
      <c r="S211" s="37"/>
      <c r="T211" s="37"/>
      <c r="U211" s="37"/>
      <c r="V211" s="37"/>
      <c r="W211" s="37">
        <f>MAX($C$11-VLOOKUP($C211,COS!$B$8:$H$991,3,FALSE),0)</f>
        <v>0</v>
      </c>
      <c r="X211" s="37">
        <f t="shared" si="245"/>
        <v>0</v>
      </c>
      <c r="Y211" s="37">
        <f>VLOOKUP($C211,COS!$B$8:$H$991,4,FALSE)</f>
        <v>40.252571105957031</v>
      </c>
      <c r="Z211" s="37">
        <f t="shared" si="246"/>
        <v>2.4750341242009943</v>
      </c>
      <c r="AA211" s="37">
        <f t="shared" si="329"/>
        <v>0</v>
      </c>
      <c r="AB211" s="38">
        <f t="shared" si="243"/>
        <v>0</v>
      </c>
    </row>
    <row r="212" spans="1:28" x14ac:dyDescent="0.3">
      <c r="A212" s="27">
        <f>VLOOKUP(YEAR(C212),Flags!$A$13:$B$95,2,FALSE)</f>
        <v>4</v>
      </c>
      <c r="B212" s="28">
        <f t="shared" si="328"/>
        <v>1944</v>
      </c>
      <c r="C212" s="29">
        <v>16192</v>
      </c>
      <c r="D212" s="30">
        <f>VLOOKUP($C212,COS!$B$8:$H$991,3,FALSE)</f>
        <v>3250</v>
      </c>
      <c r="E212" s="28">
        <f>IF(D212&gt;=IF(MONTH($C212)=4,$C$3,IF(MONTH($C212)=5,$C$4,IF(MONTH($C212)=6,$C$5,IF(MONTH($C212)=7,$C$6,"ERROR")))),1,0)</f>
        <v>0</v>
      </c>
      <c r="F212" s="30">
        <f>VLOOKUP($C212,COS!$B$8:$H$991,7,FALSE)</f>
        <v>50.606151580810547</v>
      </c>
      <c r="G212" s="28">
        <f>IF(F212&lt;=IF(MONTH($C212)=4,$F$3,IF(MONTH($C212)=5,$F$4,IF(MONTH($C212)=6,$F$5,IF(MONTH($C212)=7,$F$6,"ERROR")))),1,0)</f>
        <v>1</v>
      </c>
      <c r="H212" s="30">
        <f>IF(J212=1,D212-$C$3,0)</f>
        <v>0</v>
      </c>
      <c r="I212" s="30">
        <f t="shared" si="239"/>
        <v>0</v>
      </c>
      <c r="J212" s="28">
        <f t="shared" ref="J212:J215" si="332">IF(AND(E212=1,G212=1),1,0)</f>
        <v>0</v>
      </c>
      <c r="K212" s="30">
        <f>VLOOKUP($C212,COS!$B$8:$H$991,2,FALSE)</f>
        <v>3187.75537109375</v>
      </c>
      <c r="L212" s="28">
        <f t="shared" ref="L212:L269" si="333">IF(K212&lt;=IF(MONTH($C212)=4,$I$3,IF(MONTH($C212)=5,$I$4,IF(MONTH($C212)=6,$I$5,IF(MONTH($C212)=7,$I$6,"ERROR")))),1,0)</f>
        <v>1</v>
      </c>
      <c r="M212" s="28">
        <f t="shared" ref="M212:M269" si="334">VLOOKUP($A212,$L$3:$M$7,2,FALSE)</f>
        <v>1</v>
      </c>
      <c r="N212" s="30">
        <f>VLOOKUP($C212,COS!$B$8:$H$991,5,FALSE)</f>
        <v>104.06297302246094</v>
      </c>
      <c r="O212" s="30">
        <f t="shared" ref="O212:O215" si="335">N212*DAY($C212)*86400/43560/1000</f>
        <v>6.1921769071216426</v>
      </c>
      <c r="P212" s="30">
        <f>VLOOKUP($C212,COS!$B$8:$H$991,6,FALSE)</f>
        <v>468.96719360351563</v>
      </c>
      <c r="Q212" s="30">
        <f t="shared" ref="Q212:Q215" si="336">P212*DAY($C212)*86400/43560/1000</f>
        <v>27.905485900374483</v>
      </c>
      <c r="R212" s="30">
        <f>MIN(IF(MONTH($C212)=4,$S$3,IF(MONTH($C212)=5,$S$4,IF(MONTH($C212)=6,$S$5,IF(MONTH($C212)=7,$S$6,"ERROR")))),MAX(VLOOKUP($C212,COS!$B$8:$K$991,10,FALSE)-IF(MONTH($C212)=4,$Y$3,IF(MONTH($C212)=5,$Y$4,IF(MONTH($C212)=6,$Y$5,IF(MONTH($C212)=7,$Y$6,"ERROR")))),0),MAX(VLOOKUP($C212,COS!$B$8:$K$991,9,FALSE)-IF(MONTH($C212)=4,$V$3,IF(MONTH($C212)=5,$V$4,IF(MONTH($C212)=6,$V$5,IF(MONTH($C212)=7,$V$6,"ERROR"))))-VLOOKUP($C212,COS!$B$8:$K$991,6,FALSE)/2,0))</f>
        <v>653.14990234375</v>
      </c>
      <c r="S212" s="30">
        <f t="shared" ref="S212:S215" si="337">R212*DAY($C212)*86400/43560/1000</f>
        <v>38.865118155991738</v>
      </c>
      <c r="T212" s="30">
        <f t="shared" ref="T212:T215" si="338">(O212+Q212)/2+S212</f>
        <v>55.913949559739805</v>
      </c>
      <c r="U212" s="30" t="str">
        <f>IF(VLOOKUP($C212,COS!$B$8:$I$991,8,FALSE)=1,"UWFE","IBU")</f>
        <v>UWFE</v>
      </c>
      <c r="V212" s="30">
        <f t="shared" ref="V212" si="339">MIN(IF(IF($AA$3=2,AND(E212=1,G212=1,L212=1,L217=1,M212=1,U212="IBU"),AND(E212=1,G212=1,L212=1,L217=1,M212=1)),T212,0),I212)</f>
        <v>0</v>
      </c>
      <c r="W212" s="30"/>
      <c r="X212" s="30"/>
      <c r="Y212" s="30"/>
      <c r="Z212" s="30"/>
      <c r="AA212" s="30"/>
      <c r="AB212" s="31"/>
    </row>
    <row r="213" spans="1:28" x14ac:dyDescent="0.3">
      <c r="A213" s="32">
        <f>VLOOKUP(YEAR(C213),Flags!$A$13:$B$95,2,FALSE)</f>
        <v>4</v>
      </c>
      <c r="B213" s="24">
        <f t="shared" si="328"/>
        <v>1944</v>
      </c>
      <c r="C213" s="25">
        <v>16223</v>
      </c>
      <c r="D213" s="26">
        <f>VLOOKUP($C213,COS!$B$8:$H$991,3,FALSE)</f>
        <v>5285.6044921875</v>
      </c>
      <c r="E213" s="24">
        <f>IF(D213&gt;=IF(MONTH($C213)=4,$C$3,IF(MONTH($C213)=5,$C$4,IF(MONTH($C213)=6,$C$5,IF(MONTH($C213)=7,$C$6,"ERROR")))),1,0)</f>
        <v>0</v>
      </c>
      <c r="F213" s="26">
        <f>VLOOKUP($C213,COS!$B$8:$H$991,7,FALSE)</f>
        <v>51.930629730224609</v>
      </c>
      <c r="G213" s="24">
        <f>IF(F213&lt;=IF(MONTH($C213)=4,$F$3,IF(MONTH($C213)=5,$F$4,IF(MONTH($C213)=6,$F$5,IF(MONTH($C213)=7,$F$6,"ERROR")))),1,0)</f>
        <v>1</v>
      </c>
      <c r="H213" s="26">
        <f>IF(J213=1,D213-$C$4,0)</f>
        <v>0</v>
      </c>
      <c r="I213" s="26">
        <f t="shared" si="239"/>
        <v>0</v>
      </c>
      <c r="J213" s="24">
        <f t="shared" si="332"/>
        <v>0</v>
      </c>
      <c r="K213" s="26">
        <f>VLOOKUP($C213,COS!$B$8:$H$991,2,FALSE)</f>
        <v>3183.985107421875</v>
      </c>
      <c r="L213" s="24">
        <f t="shared" si="333"/>
        <v>1</v>
      </c>
      <c r="M213" s="24">
        <f t="shared" si="334"/>
        <v>1</v>
      </c>
      <c r="N213" s="26">
        <f>VLOOKUP($C213,COS!$B$8:$H$991,5,FALSE)</f>
        <v>20.680736541748047</v>
      </c>
      <c r="O213" s="26">
        <f t="shared" si="335"/>
        <v>1.2716089245504583</v>
      </c>
      <c r="P213" s="26">
        <f>VLOOKUP($C213,COS!$B$8:$H$991,6,FALSE)</f>
        <v>2024.68505859375</v>
      </c>
      <c r="Q213" s="26">
        <f t="shared" si="336"/>
        <v>124.49303170196281</v>
      </c>
      <c r="R213" s="26">
        <f>MIN(IF(MONTH($C213)=4,$S$3,IF(MONTH($C213)=5,$S$4,IF(MONTH($C213)=6,$S$5,IF(MONTH($C213)=7,$S$6,"ERROR")))),MAX(VLOOKUP($C213,COS!$B$8:$K$991,10,FALSE)-IF(MONTH($C213)=4,$Y$3,IF(MONTH($C213)=5,$Y$4,IF(MONTH($C213)=6,$Y$5,IF(MONTH($C213)=7,$Y$6,"ERROR")))),0),MAX(VLOOKUP($C213,COS!$B$8:$K$991,9,FALSE)-IF(MONTH($C213)=4,$V$3,IF(MONTH($C213)=5,$V$4,IF(MONTH($C213)=6,$V$5,IF(MONTH($C213)=7,$V$6,"ERROR"))))-VLOOKUP($C213,COS!$B$8:$K$991,6,FALSE)/2,0))</f>
        <v>1042.197265625</v>
      </c>
      <c r="S213" s="26">
        <f t="shared" si="337"/>
        <v>64.082212035123959</v>
      </c>
      <c r="T213" s="26">
        <f t="shared" si="338"/>
        <v>126.9645323483806</v>
      </c>
      <c r="U213" s="26" t="str">
        <f>IF(VLOOKUP($C213,COS!$B$8:$I$991,8,FALSE)=1,"UWFE","IBU")</f>
        <v>UWFE</v>
      </c>
      <c r="V213" s="26">
        <f t="shared" ref="V213" si="340">MIN(IF(IF($AA$3=2,AND(E213=1,G213=1,L213=1,L217=1,M213=1,U213="IBU"),AND(E213=1,G213=1,L213=1,L217=1,M213=1)),T213,0),I213)</f>
        <v>0</v>
      </c>
      <c r="W213" s="26"/>
      <c r="X213" s="26"/>
      <c r="Y213" s="26"/>
      <c r="Z213" s="26"/>
      <c r="AA213" s="26"/>
      <c r="AB213" s="33"/>
    </row>
    <row r="214" spans="1:28" x14ac:dyDescent="0.3">
      <c r="A214" s="32">
        <f>VLOOKUP(YEAR(C214),Flags!$A$13:$B$95,2,FALSE)</f>
        <v>4</v>
      </c>
      <c r="B214" s="24">
        <f t="shared" si="328"/>
        <v>1944</v>
      </c>
      <c r="C214" s="25">
        <v>16253</v>
      </c>
      <c r="D214" s="26">
        <f>VLOOKUP($C214,COS!$B$8:$H$991,3,FALSE)</f>
        <v>9979.68359375</v>
      </c>
      <c r="E214" s="24">
        <f>IF(D214&gt;=IF(MONTH($C214)=4,$C$3,IF(MONTH($C214)=5,$C$4,IF(MONTH($C214)=6,$C$5,IF(MONTH($C214)=7,$C$6,"ERROR")))),1,0)</f>
        <v>0</v>
      </c>
      <c r="F214" s="26">
        <f>VLOOKUP($C214,COS!$B$8:$H$991,7,FALSE)</f>
        <v>51.431163787841797</v>
      </c>
      <c r="G214" s="24">
        <f>IF(F214&lt;=IF(MONTH($C214)=4,$F$3,IF(MONTH($C214)=5,$F$4,IF(MONTH($C214)=6,$F$5,IF(MONTH($C214)=7,$F$6,"ERROR")))),1,0)</f>
        <v>1</v>
      </c>
      <c r="H214" s="26">
        <f>IF(J214=1,D214-$C$5,0)</f>
        <v>0</v>
      </c>
      <c r="I214" s="26">
        <f t="shared" si="239"/>
        <v>0</v>
      </c>
      <c r="J214" s="24">
        <f t="shared" si="332"/>
        <v>0</v>
      </c>
      <c r="K214" s="26">
        <f>VLOOKUP($C214,COS!$B$8:$H$991,2,FALSE)</f>
        <v>2883.628662109375</v>
      </c>
      <c r="L214" s="24">
        <f t="shared" si="333"/>
        <v>1</v>
      </c>
      <c r="M214" s="24">
        <f t="shared" si="334"/>
        <v>1</v>
      </c>
      <c r="N214" s="26">
        <f>VLOOKUP($C214,COS!$B$8:$H$991,5,FALSE)</f>
        <v>231.61277770996094</v>
      </c>
      <c r="O214" s="26">
        <f t="shared" si="335"/>
        <v>13.781917351336519</v>
      </c>
      <c r="P214" s="26">
        <f>VLOOKUP($C214,COS!$B$8:$H$991,6,FALSE)</f>
        <v>2655.6513671875</v>
      </c>
      <c r="Q214" s="26">
        <f t="shared" si="336"/>
        <v>158.02223011363634</v>
      </c>
      <c r="R214" s="26">
        <f>MIN(IF(MONTH($C214)=4,$S$3,IF(MONTH($C214)=5,$S$4,IF(MONTH($C214)=6,$S$5,IF(MONTH($C214)=7,$S$6,"ERROR")))),MAX(VLOOKUP($C214,COS!$B$8:$K$991,10,FALSE)-IF(MONTH($C214)=4,$Y$3,IF(MONTH($C214)=5,$Y$4,IF(MONTH($C214)=6,$Y$5,IF(MONTH($C214)=7,$Y$6,"ERROR")))),0),MAX(VLOOKUP($C214,COS!$B$8:$K$991,9,FALSE)-IF(MONTH($C214)=4,$V$3,IF(MONTH($C214)=5,$V$4,IF(MONTH($C214)=6,$V$5,IF(MONTH($C214)=7,$V$6,"ERROR"))))-VLOOKUP($C214,COS!$B$8:$K$991,6,FALSE)/2,0))</f>
        <v>1500</v>
      </c>
      <c r="S214" s="26">
        <f t="shared" si="337"/>
        <v>89.256198347107429</v>
      </c>
      <c r="T214" s="26">
        <f t="shared" si="338"/>
        <v>175.15827207959387</v>
      </c>
      <c r="U214" s="26" t="str">
        <f>IF(VLOOKUP($C214,COS!$B$8:$I$991,8,FALSE)=1,"UWFE","IBU")</f>
        <v>IBU</v>
      </c>
      <c r="V214" s="26">
        <f t="shared" ref="V214" si="341">MIN(IF(IF($AA$3=2,AND(E214=1,G214=1,L214=1,L217=1,M214=1,U214="IBU"),AND(E214=1,G214=1,L214=1,L217=1,M214=1)),T214,0),I214)</f>
        <v>0</v>
      </c>
      <c r="W214" s="26"/>
      <c r="X214" s="26"/>
      <c r="Y214" s="26"/>
      <c r="Z214" s="26"/>
      <c r="AA214" s="26"/>
      <c r="AB214" s="33"/>
    </row>
    <row r="215" spans="1:28" x14ac:dyDescent="0.3">
      <c r="A215" s="32">
        <f>VLOOKUP(YEAR(C215),Flags!$A$13:$B$95,2,FALSE)</f>
        <v>4</v>
      </c>
      <c r="B215" s="24">
        <f t="shared" si="328"/>
        <v>1944</v>
      </c>
      <c r="C215" s="25">
        <v>16284</v>
      </c>
      <c r="D215" s="26">
        <f>VLOOKUP($C215,COS!$B$8:$H$991,3,FALSE)</f>
        <v>11936.8037109375</v>
      </c>
      <c r="E215" s="24">
        <f>IF(D215&gt;=IF(MONTH($C215)=4,$C$3,IF(MONTH($C215)=5,$C$4,IF(MONTH($C215)=6,$C$5,IF(MONTH($C215)=7,$C$6,"ERROR")))),1,0)</f>
        <v>0</v>
      </c>
      <c r="F215" s="26">
        <f>VLOOKUP($C215,COS!$B$8:$H$991,7,FALSE)</f>
        <v>53.474411010742188</v>
      </c>
      <c r="G215" s="24">
        <f>IF(F215&lt;=IF(MONTH($C215)=4,$F$3,IF(MONTH($C215)=5,$F$4,IF(MONTH($C215)=6,$F$5,IF(MONTH($C215)=7,$F$6,"ERROR")))),1,0)</f>
        <v>1</v>
      </c>
      <c r="H215" s="26">
        <f>IF(J215=1,D215-$C$6,0)</f>
        <v>0</v>
      </c>
      <c r="I215" s="26">
        <f t="shared" ref="I215:I278" si="342">H215*DAY($C215)*86400/43560/1000</f>
        <v>0</v>
      </c>
      <c r="J215" s="24">
        <f t="shared" si="332"/>
        <v>0</v>
      </c>
      <c r="K215" s="26">
        <f>VLOOKUP($C215,COS!$B$8:$H$991,2,FALSE)</f>
        <v>2455.531494140625</v>
      </c>
      <c r="L215" s="24">
        <f t="shared" si="333"/>
        <v>1</v>
      </c>
      <c r="M215" s="24">
        <f t="shared" si="334"/>
        <v>1</v>
      </c>
      <c r="N215" s="26">
        <f>VLOOKUP($C215,COS!$B$8:$H$991,5,FALSE)</f>
        <v>264.6837158203125</v>
      </c>
      <c r="O215" s="26">
        <f t="shared" si="335"/>
        <v>16.274767319860537</v>
      </c>
      <c r="P215" s="26">
        <f>VLOOKUP($C215,COS!$B$8:$H$991,6,FALSE)</f>
        <v>2538.07568359375</v>
      </c>
      <c r="Q215" s="26">
        <f t="shared" si="336"/>
        <v>156.06019079287191</v>
      </c>
      <c r="R215" s="26">
        <f>MIN(IF(MONTH($C215)=4,$S$3,IF(MONTH($C215)=5,$S$4,IF(MONTH($C215)=6,$S$5,IF(MONTH($C215)=7,$S$6,"ERROR")))),MAX(VLOOKUP($C215,COS!$B$8:$K$991,10,FALSE)-IF(MONTH($C215)=4,$Y$3,IF(MONTH($C215)=5,$Y$4,IF(MONTH($C215)=6,$Y$5,IF(MONTH($C215)=7,$Y$6,"ERROR")))),0),MAX(VLOOKUP($C215,COS!$B$8:$K$991,9,FALSE)-IF(MONTH($C215)=4,$V$3,IF(MONTH($C215)=5,$V$4,IF(MONTH($C215)=6,$V$5,IF(MONTH($C215)=7,$V$6,"ERROR"))))-VLOOKUP($C215,COS!$B$8:$K$991,6,FALSE)/2,0))</f>
        <v>1500</v>
      </c>
      <c r="S215" s="26">
        <f t="shared" si="337"/>
        <v>92.231404958677686</v>
      </c>
      <c r="T215" s="26">
        <f t="shared" si="338"/>
        <v>178.3988840150439</v>
      </c>
      <c r="U215" s="26" t="str">
        <f>IF(VLOOKUP($C215,COS!$B$8:$I$991,8,FALSE)=1,"UWFE","IBU")</f>
        <v>IBU</v>
      </c>
      <c r="V215" s="26">
        <f t="shared" ref="V215" si="343">MIN(IF(IF($AA$3=2,AND(E215=1,G215=1,L215=1,L217=1,M215=1,U215="IBU"),AND(E215=1,G215=1,L215=1,L217=1,M215=1)),T215,0),I215)</f>
        <v>0</v>
      </c>
      <c r="W215" s="26"/>
      <c r="X215" s="26"/>
      <c r="Y215" s="26"/>
      <c r="Z215" s="26"/>
      <c r="AA215" s="26"/>
      <c r="AB215" s="33"/>
    </row>
    <row r="216" spans="1:28" x14ac:dyDescent="0.3">
      <c r="A216" s="32">
        <f>VLOOKUP(YEAR(C216),Flags!$A$13:$B$95,2,FALSE)</f>
        <v>4</v>
      </c>
      <c r="B216" s="24">
        <f t="shared" si="328"/>
        <v>1944</v>
      </c>
      <c r="C216" s="25">
        <v>16315</v>
      </c>
      <c r="D216" s="26"/>
      <c r="E216" s="24"/>
      <c r="F216" s="26"/>
      <c r="G216" s="24"/>
      <c r="H216" s="24"/>
      <c r="I216" s="26"/>
      <c r="J216" s="24"/>
      <c r="K216" s="26"/>
      <c r="L216" s="24"/>
      <c r="M216" s="24"/>
      <c r="N216" s="26"/>
      <c r="O216" s="26"/>
      <c r="P216" s="26"/>
      <c r="Q216" s="26"/>
      <c r="R216" s="26"/>
      <c r="S216" s="26"/>
      <c r="T216" s="26"/>
      <c r="U216" s="26"/>
      <c r="V216" s="26"/>
      <c r="W216" s="26">
        <f>MAX($C$7-VLOOKUP($C216,COS!$B$8:$H$991,3,FALSE),0)</f>
        <v>91194.1171875</v>
      </c>
      <c r="X216" s="26">
        <f t="shared" si="245"/>
        <v>5607.3077014462806</v>
      </c>
      <c r="Y216" s="26">
        <f>VLOOKUP($C216,COS!$B$8:$H$991,4,FALSE)</f>
        <v>1479.651123046875</v>
      </c>
      <c r="Z216" s="26">
        <f t="shared" si="246"/>
        <v>90.9802012848657</v>
      </c>
      <c r="AA216" s="26">
        <f t="shared" ref="AA216:AA220" si="344">MIN(W216,Y216)</f>
        <v>1479.651123046875</v>
      </c>
      <c r="AB216" s="33">
        <f t="shared" ref="AB216:AB274" si="345">AA216*DAY($C216)*86400/43560/1000*IF(MONTH($C216)=8,$P$3,IF(MONTH($C216)=9,$P$4,IF(MONTH($C216)=10,$P$5,IF(MONTH($C216)=11,$P$6,IF(MONTH($C216)=12,$P$7,NA())))))</f>
        <v>90.9802012848657</v>
      </c>
    </row>
    <row r="217" spans="1:28" x14ac:dyDescent="0.3">
      <c r="A217" s="32">
        <f>VLOOKUP(YEAR(C217),Flags!$A$13:$B$95,2,FALSE)</f>
        <v>4</v>
      </c>
      <c r="B217" s="24">
        <f t="shared" si="328"/>
        <v>1944</v>
      </c>
      <c r="C217" s="25">
        <v>16345</v>
      </c>
      <c r="D217" s="26"/>
      <c r="E217" s="24"/>
      <c r="F217" s="26"/>
      <c r="G217" s="24"/>
      <c r="H217" s="24"/>
      <c r="I217" s="26"/>
      <c r="J217" s="24"/>
      <c r="K217" s="26">
        <f>VLOOKUP($C217,COS!$B$8:$H$991,2,FALSE)</f>
        <v>2136.83203125</v>
      </c>
      <c r="L217" s="24">
        <f t="shared" ref="L217" si="346">IF(AND(K217&gt;$I$7,K217&lt;$I$8),1,0)</f>
        <v>1</v>
      </c>
      <c r="M217" s="24"/>
      <c r="N217" s="26"/>
      <c r="O217" s="26"/>
      <c r="P217" s="26"/>
      <c r="Q217" s="26"/>
      <c r="R217" s="26"/>
      <c r="S217" s="26"/>
      <c r="T217" s="26"/>
      <c r="U217" s="26"/>
      <c r="V217" s="26"/>
      <c r="W217" s="26">
        <f>MAX($C$8-VLOOKUP($C217,COS!$B$8:$H$991,3,FALSE),0)</f>
        <v>95026.63427734375</v>
      </c>
      <c r="X217" s="26">
        <f t="shared" si="245"/>
        <v>5654.4774115444216</v>
      </c>
      <c r="Y217" s="26">
        <f>VLOOKUP($C217,COS!$B$8:$H$991,4,FALSE)</f>
        <v>1451.7376708984375</v>
      </c>
      <c r="Z217" s="26">
        <f t="shared" si="246"/>
        <v>86.384390334452476</v>
      </c>
      <c r="AA217" s="26">
        <f t="shared" si="344"/>
        <v>1451.7376708984375</v>
      </c>
      <c r="AB217" s="33">
        <f t="shared" si="345"/>
        <v>86.384390334452476</v>
      </c>
    </row>
    <row r="218" spans="1:28" x14ac:dyDescent="0.3">
      <c r="A218" s="32">
        <f>VLOOKUP(YEAR(C218),Flags!$A$13:$B$95,2,FALSE)</f>
        <v>4</v>
      </c>
      <c r="B218" s="24">
        <f t="shared" si="328"/>
        <v>1944</v>
      </c>
      <c r="C218" s="25">
        <v>16376</v>
      </c>
      <c r="D218" s="26"/>
      <c r="E218" s="24"/>
      <c r="F218" s="26"/>
      <c r="G218" s="26"/>
      <c r="H218" s="26"/>
      <c r="I218" s="26"/>
      <c r="J218" s="26"/>
      <c r="K218" s="26"/>
      <c r="L218" s="24"/>
      <c r="M218" s="24"/>
      <c r="N218" s="26"/>
      <c r="O218" s="26"/>
      <c r="P218" s="26"/>
      <c r="Q218" s="26"/>
      <c r="R218" s="26"/>
      <c r="S218" s="26"/>
      <c r="T218" s="26"/>
      <c r="U218" s="26"/>
      <c r="V218" s="26"/>
      <c r="W218" s="26">
        <f>MAX($C$9-VLOOKUP($C218,COS!$B$8:$H$991,3,FALSE),0)</f>
        <v>94521.05810546875</v>
      </c>
      <c r="X218" s="26">
        <f t="shared" si="245"/>
        <v>5811.8733248321287</v>
      </c>
      <c r="Y218" s="26">
        <f>VLOOKUP($C218,COS!$B$8:$H$991,4,FALSE)</f>
        <v>1521.927001953125</v>
      </c>
      <c r="Z218" s="26">
        <f t="shared" si="246"/>
        <v>93.579643756456619</v>
      </c>
      <c r="AA218" s="26">
        <f t="shared" si="344"/>
        <v>1521.927001953125</v>
      </c>
      <c r="AB218" s="33">
        <f t="shared" si="345"/>
        <v>93.579643756456619</v>
      </c>
    </row>
    <row r="219" spans="1:28" x14ac:dyDescent="0.3">
      <c r="A219" s="32">
        <f>VLOOKUP(YEAR(C219),Flags!$A$13:$B$95,2,FALSE)</f>
        <v>4</v>
      </c>
      <c r="B219" s="24">
        <f t="shared" si="328"/>
        <v>1944</v>
      </c>
      <c r="C219" s="25">
        <v>16406</v>
      </c>
      <c r="D219" s="26"/>
      <c r="E219" s="24"/>
      <c r="F219" s="26"/>
      <c r="G219" s="26"/>
      <c r="H219" s="26"/>
      <c r="I219" s="26"/>
      <c r="J219" s="26"/>
      <c r="K219" s="26"/>
      <c r="L219" s="24"/>
      <c r="M219" s="24"/>
      <c r="N219" s="26"/>
      <c r="O219" s="26"/>
      <c r="P219" s="26"/>
      <c r="Q219" s="26"/>
      <c r="R219" s="26"/>
      <c r="S219" s="26"/>
      <c r="T219" s="26"/>
      <c r="U219" s="26"/>
      <c r="V219" s="26"/>
      <c r="W219" s="26">
        <f>MAX($C$10-VLOOKUP($C219,COS!$B$8:$H$991,3,FALSE),0)</f>
        <v>96749</v>
      </c>
      <c r="X219" s="26">
        <f t="shared" ref="X219:X282" si="347">W219*DAY($C219)*86400/43560/1000</f>
        <v>5756.965289256198</v>
      </c>
      <c r="Y219" s="26">
        <f>VLOOKUP($C219,COS!$B$8:$H$991,4,FALSE)</f>
        <v>0</v>
      </c>
      <c r="Z219" s="26">
        <f t="shared" ref="Z219:Z282" si="348">Y219*DAY($C219)*86400/43560/1000</f>
        <v>0</v>
      </c>
      <c r="AA219" s="26">
        <f t="shared" si="344"/>
        <v>0</v>
      </c>
      <c r="AB219" s="33">
        <f t="shared" si="345"/>
        <v>0</v>
      </c>
    </row>
    <row r="220" spans="1:28" x14ac:dyDescent="0.3">
      <c r="A220" s="34">
        <f>VLOOKUP(YEAR(C220),Flags!$A$13:$B$95,2,FALSE)</f>
        <v>4</v>
      </c>
      <c r="B220" s="35">
        <f t="shared" si="328"/>
        <v>1944</v>
      </c>
      <c r="C220" s="36">
        <v>16437</v>
      </c>
      <c r="D220" s="37"/>
      <c r="E220" s="35"/>
      <c r="F220" s="37"/>
      <c r="G220" s="37"/>
      <c r="H220" s="37"/>
      <c r="I220" s="37"/>
      <c r="J220" s="37"/>
      <c r="K220" s="37"/>
      <c r="L220" s="35"/>
      <c r="M220" s="35"/>
      <c r="N220" s="37"/>
      <c r="O220" s="37"/>
      <c r="P220" s="37"/>
      <c r="Q220" s="37"/>
      <c r="R220" s="37"/>
      <c r="S220" s="37"/>
      <c r="T220" s="37"/>
      <c r="U220" s="37"/>
      <c r="V220" s="37"/>
      <c r="W220" s="37">
        <f>MAX($C$11-VLOOKUP($C220,COS!$B$8:$H$991,3,FALSE),0)</f>
        <v>0</v>
      </c>
      <c r="X220" s="37">
        <f t="shared" si="347"/>
        <v>0</v>
      </c>
      <c r="Y220" s="37">
        <f>VLOOKUP($C220,COS!$B$8:$H$991,4,FALSE)</f>
        <v>2511.267822265625</v>
      </c>
      <c r="Z220" s="37">
        <f t="shared" si="348"/>
        <v>154.41183965005163</v>
      </c>
      <c r="AA220" s="37">
        <f t="shared" si="344"/>
        <v>0</v>
      </c>
      <c r="AB220" s="38">
        <f t="shared" si="345"/>
        <v>0</v>
      </c>
    </row>
    <row r="221" spans="1:28" x14ac:dyDescent="0.3">
      <c r="A221" s="27">
        <f>VLOOKUP(YEAR(C221),Flags!$A$13:$B$95,2,FALSE)</f>
        <v>3</v>
      </c>
      <c r="B221" s="28">
        <f t="shared" si="328"/>
        <v>1945</v>
      </c>
      <c r="C221" s="29">
        <v>16557</v>
      </c>
      <c r="D221" s="30">
        <f>VLOOKUP($C221,COS!$B$8:$H$991,3,FALSE)</f>
        <v>3250</v>
      </c>
      <c r="E221" s="28">
        <f>IF(D221&gt;=IF(MONTH($C221)=4,$C$3,IF(MONTH($C221)=5,$C$4,IF(MONTH($C221)=6,$C$5,IF(MONTH($C221)=7,$C$6,"ERROR")))),1,0)</f>
        <v>0</v>
      </c>
      <c r="F221" s="30">
        <f>VLOOKUP($C221,COS!$B$8:$H$991,7,FALSE)</f>
        <v>50.669651031494141</v>
      </c>
      <c r="G221" s="28">
        <f>IF(F221&lt;=IF(MONTH($C221)=4,$F$3,IF(MONTH($C221)=5,$F$4,IF(MONTH($C221)=6,$F$5,IF(MONTH($C221)=7,$F$6,"ERROR")))),1,0)</f>
        <v>1</v>
      </c>
      <c r="H221" s="30">
        <f>IF(J221=1,D221-$C$3,0)</f>
        <v>0</v>
      </c>
      <c r="I221" s="30">
        <f t="shared" si="342"/>
        <v>0</v>
      </c>
      <c r="J221" s="28">
        <f t="shared" ref="J221:J224" si="349">IF(AND(E221=1,G221=1),1,0)</f>
        <v>0</v>
      </c>
      <c r="K221" s="30">
        <f>VLOOKUP($C221,COS!$B$8:$H$991,2,FALSE)</f>
        <v>4155.40673828125</v>
      </c>
      <c r="L221" s="28">
        <f t="shared" ref="L221" si="350">IF(K221&lt;=IF(MONTH($C221)=4,$I$3,IF(MONTH($C221)=5,$I$4,IF(MONTH($C221)=6,$I$5,IF(MONTH($C221)=7,$I$6,"ERROR")))),1,0)</f>
        <v>1</v>
      </c>
      <c r="M221" s="28">
        <f t="shared" ref="M221" si="351">VLOOKUP($A221,$L$3:$M$7,2,FALSE)</f>
        <v>1</v>
      </c>
      <c r="N221" s="30">
        <f>VLOOKUP($C221,COS!$B$8:$H$991,5,FALSE)</f>
        <v>245.70526123046875</v>
      </c>
      <c r="O221" s="30">
        <f t="shared" ref="O221:O224" si="352">N221*DAY($C221)*86400/43560/1000</f>
        <v>14.620478354209711</v>
      </c>
      <c r="P221" s="30">
        <f>VLOOKUP($C221,COS!$B$8:$H$991,6,FALSE)</f>
        <v>453.39697265625</v>
      </c>
      <c r="Q221" s="30">
        <f t="shared" ref="Q221:Q224" si="353">P221*DAY($C221)*86400/43560/1000</f>
        <v>26.978993414256198</v>
      </c>
      <c r="R221" s="30">
        <f>MIN(IF(MONTH($C221)=4,$S$3,IF(MONTH($C221)=5,$S$4,IF(MONTH($C221)=6,$S$5,IF(MONTH($C221)=7,$S$6,"ERROR")))),MAX(VLOOKUP($C221,COS!$B$8:$K$991,10,FALSE)-IF(MONTH($C221)=4,$Y$3,IF(MONTH($C221)=5,$Y$4,IF(MONTH($C221)=6,$Y$5,IF(MONTH($C221)=7,$Y$6,"ERROR")))),0),MAX(VLOOKUP($C221,COS!$B$8:$K$991,9,FALSE)-IF(MONTH($C221)=4,$V$3,IF(MONTH($C221)=5,$V$4,IF(MONTH($C221)=6,$V$5,IF(MONTH($C221)=7,$V$6,"ERROR"))))-VLOOKUP($C221,COS!$B$8:$K$991,6,FALSE)/2,0))</f>
        <v>1303.249267578125</v>
      </c>
      <c r="S221" s="30">
        <f t="shared" ref="S221:S224" si="354">R221*DAY($C221)*86400/43560/1000</f>
        <v>77.548716748450417</v>
      </c>
      <c r="T221" s="30">
        <f t="shared" ref="T221:T224" si="355">(O221+Q221)/2+S221</f>
        <v>98.348452632683376</v>
      </c>
      <c r="U221" s="30" t="str">
        <f>IF(VLOOKUP($C221,COS!$B$8:$I$991,8,FALSE)=1,"UWFE","IBU")</f>
        <v>UWFE</v>
      </c>
      <c r="V221" s="30">
        <f t="shared" ref="V221" si="356">MIN(IF(IF($AA$3=2,AND(E221=1,G221=1,L221=1,L226=1,M221=1,U221="IBU"),AND(E221=1,G221=1,L221=1,L226=1,M221=1)),T221,0),I221)</f>
        <v>0</v>
      </c>
      <c r="W221" s="30"/>
      <c r="X221" s="30"/>
      <c r="Y221" s="30"/>
      <c r="Z221" s="30"/>
      <c r="AA221" s="30"/>
      <c r="AB221" s="31"/>
    </row>
    <row r="222" spans="1:28" x14ac:dyDescent="0.3">
      <c r="A222" s="32">
        <f>VLOOKUP(YEAR(C222),Flags!$A$13:$B$95,2,FALSE)</f>
        <v>3</v>
      </c>
      <c r="B222" s="24">
        <f t="shared" si="328"/>
        <v>1945</v>
      </c>
      <c r="C222" s="25">
        <v>16588</v>
      </c>
      <c r="D222" s="26">
        <f>VLOOKUP($C222,COS!$B$8:$H$991,3,FALSE)</f>
        <v>4815.7119140625</v>
      </c>
      <c r="E222" s="24">
        <f>IF(D222&gt;=IF(MONTH($C222)=4,$C$3,IF(MONTH($C222)=5,$C$4,IF(MONTH($C222)=6,$C$5,IF(MONTH($C222)=7,$C$6,"ERROR")))),1,0)</f>
        <v>0</v>
      </c>
      <c r="F222" s="26">
        <f>VLOOKUP($C222,COS!$B$8:$H$991,7,FALSE)</f>
        <v>50.982772827148438</v>
      </c>
      <c r="G222" s="24">
        <f>IF(F222&lt;=IF(MONTH($C222)=4,$F$3,IF(MONTH($C222)=5,$F$4,IF(MONTH($C222)=6,$F$5,IF(MONTH($C222)=7,$F$6,"ERROR")))),1,0)</f>
        <v>1</v>
      </c>
      <c r="H222" s="26">
        <f>IF(J222=1,D222-$C$4,0)</f>
        <v>0</v>
      </c>
      <c r="I222" s="26">
        <f t="shared" si="342"/>
        <v>0</v>
      </c>
      <c r="J222" s="24">
        <f t="shared" si="349"/>
        <v>0</v>
      </c>
      <c r="K222" s="26">
        <f>VLOOKUP($C222,COS!$B$8:$H$991,2,FALSE)</f>
        <v>4312.3994140625</v>
      </c>
      <c r="L222" s="24">
        <f t="shared" si="333"/>
        <v>1</v>
      </c>
      <c r="M222" s="24">
        <f t="shared" si="334"/>
        <v>1</v>
      </c>
      <c r="N222" s="26">
        <f>VLOOKUP($C222,COS!$B$8:$H$991,5,FALSE)</f>
        <v>419.08834838867188</v>
      </c>
      <c r="O222" s="26">
        <f t="shared" si="352"/>
        <v>25.76873811579933</v>
      </c>
      <c r="P222" s="26">
        <f>VLOOKUP($C222,COS!$B$8:$H$991,6,FALSE)</f>
        <v>2006.53857421875</v>
      </c>
      <c r="Q222" s="26">
        <f t="shared" si="353"/>
        <v>123.37724786931818</v>
      </c>
      <c r="R222" s="26">
        <f>MIN(IF(MONTH($C222)=4,$S$3,IF(MONTH($C222)=5,$S$4,IF(MONTH($C222)=6,$S$5,IF(MONTH($C222)=7,$S$6,"ERROR")))),MAX(VLOOKUP($C222,COS!$B$8:$K$991,10,FALSE)-IF(MONTH($C222)=4,$Y$3,IF(MONTH($C222)=5,$Y$4,IF(MONTH($C222)=6,$Y$5,IF(MONTH($C222)=7,$Y$6,"ERROR")))),0),MAX(VLOOKUP($C222,COS!$B$8:$K$991,9,FALSE)-IF(MONTH($C222)=4,$V$3,IF(MONTH($C222)=5,$V$4,IF(MONTH($C222)=6,$V$5,IF(MONTH($C222)=7,$V$6,"ERROR"))))-VLOOKUP($C222,COS!$B$8:$K$991,6,FALSE)/2,0))</f>
        <v>1448.30419921875</v>
      </c>
      <c r="S222" s="26">
        <f t="shared" si="354"/>
        <v>89.05275406766529</v>
      </c>
      <c r="T222" s="26">
        <f t="shared" si="355"/>
        <v>163.62574706022406</v>
      </c>
      <c r="U222" s="26" t="str">
        <f>IF(VLOOKUP($C222,COS!$B$8:$I$991,8,FALSE)=1,"UWFE","IBU")</f>
        <v>UWFE</v>
      </c>
      <c r="V222" s="26">
        <f t="shared" ref="V222" si="357">MIN(IF(IF($AA$3=2,AND(E222=1,G222=1,L222=1,L226=1,M222=1,U222="IBU"),AND(E222=1,G222=1,L222=1,L226=1,M222=1)),T222,0),I222)</f>
        <v>0</v>
      </c>
      <c r="W222" s="26"/>
      <c r="X222" s="26"/>
      <c r="Y222" s="26"/>
      <c r="Z222" s="26"/>
      <c r="AA222" s="26"/>
      <c r="AB222" s="33"/>
    </row>
    <row r="223" spans="1:28" x14ac:dyDescent="0.3">
      <c r="A223" s="32">
        <f>VLOOKUP(YEAR(C223),Flags!$A$13:$B$95,2,FALSE)</f>
        <v>3</v>
      </c>
      <c r="B223" s="24">
        <f t="shared" si="328"/>
        <v>1945</v>
      </c>
      <c r="C223" s="25">
        <v>16618</v>
      </c>
      <c r="D223" s="26">
        <f>VLOOKUP($C223,COS!$B$8:$H$991,3,FALSE)</f>
        <v>8762.8173828125</v>
      </c>
      <c r="E223" s="24">
        <f>IF(D223&gt;=IF(MONTH($C223)=4,$C$3,IF(MONTH($C223)=5,$C$4,IF(MONTH($C223)=6,$C$5,IF(MONTH($C223)=7,$C$6,"ERROR")))),1,0)</f>
        <v>0</v>
      </c>
      <c r="F223" s="26">
        <f>VLOOKUP($C223,COS!$B$8:$H$991,7,FALSE)</f>
        <v>50.982040405273438</v>
      </c>
      <c r="G223" s="24">
        <f>IF(F223&lt;=IF(MONTH($C223)=4,$F$3,IF(MONTH($C223)=5,$F$4,IF(MONTH($C223)=6,$F$5,IF(MONTH($C223)=7,$F$6,"ERROR")))),1,0)</f>
        <v>1</v>
      </c>
      <c r="H223" s="26">
        <f>IF(J223=1,D223-$C$5,0)</f>
        <v>0</v>
      </c>
      <c r="I223" s="26">
        <f t="shared" si="342"/>
        <v>0</v>
      </c>
      <c r="J223" s="24">
        <f t="shared" si="349"/>
        <v>0</v>
      </c>
      <c r="K223" s="26">
        <f>VLOOKUP($C223,COS!$B$8:$H$991,2,FALSE)</f>
        <v>4079.3798828125</v>
      </c>
      <c r="L223" s="24">
        <f t="shared" si="333"/>
        <v>1</v>
      </c>
      <c r="M223" s="24">
        <f t="shared" si="334"/>
        <v>1</v>
      </c>
      <c r="N223" s="26">
        <f>VLOOKUP($C223,COS!$B$8:$H$991,5,FALSE)</f>
        <v>584.35906982421875</v>
      </c>
      <c r="O223" s="26">
        <f t="shared" si="352"/>
        <v>34.771779361441112</v>
      </c>
      <c r="P223" s="26">
        <f>VLOOKUP($C223,COS!$B$8:$H$991,6,FALSE)</f>
        <v>2486.4326171875</v>
      </c>
      <c r="Q223" s="26">
        <f t="shared" si="353"/>
        <v>147.9530152376033</v>
      </c>
      <c r="R223" s="26">
        <f>MIN(IF(MONTH($C223)=4,$S$3,IF(MONTH($C223)=5,$S$4,IF(MONTH($C223)=6,$S$5,IF(MONTH($C223)=7,$S$6,"ERROR")))),MAX(VLOOKUP($C223,COS!$B$8:$K$991,10,FALSE)-IF(MONTH($C223)=4,$Y$3,IF(MONTH($C223)=5,$Y$4,IF(MONTH($C223)=6,$Y$5,IF(MONTH($C223)=7,$Y$6,"ERROR")))),0),MAX(VLOOKUP($C223,COS!$B$8:$K$991,9,FALSE)-IF(MONTH($C223)=4,$V$3,IF(MONTH($C223)=5,$V$4,IF(MONTH($C223)=6,$V$5,IF(MONTH($C223)=7,$V$6,"ERROR"))))-VLOOKUP($C223,COS!$B$8:$K$991,6,FALSE)/2,0))</f>
        <v>1500</v>
      </c>
      <c r="S223" s="26">
        <f t="shared" si="354"/>
        <v>89.256198347107429</v>
      </c>
      <c r="T223" s="26">
        <f t="shared" si="355"/>
        <v>180.61859564662961</v>
      </c>
      <c r="U223" s="26" t="str">
        <f>IF(VLOOKUP($C223,COS!$B$8:$I$991,8,FALSE)=1,"UWFE","IBU")</f>
        <v>IBU</v>
      </c>
      <c r="V223" s="26">
        <f t="shared" ref="V223" si="358">MIN(IF(IF($AA$3=2,AND(E223=1,G223=1,L223=1,L226=1,M223=1,U223="IBU"),AND(E223=1,G223=1,L223=1,L226=1,M223=1)),T223,0),I223)</f>
        <v>0</v>
      </c>
      <c r="W223" s="26"/>
      <c r="X223" s="26"/>
      <c r="Y223" s="26"/>
      <c r="Z223" s="26"/>
      <c r="AA223" s="26"/>
      <c r="AB223" s="33"/>
    </row>
    <row r="224" spans="1:28" x14ac:dyDescent="0.3">
      <c r="A224" s="32">
        <f>VLOOKUP(YEAR(C224),Flags!$A$13:$B$95,2,FALSE)</f>
        <v>3</v>
      </c>
      <c r="B224" s="24">
        <f t="shared" si="328"/>
        <v>1945</v>
      </c>
      <c r="C224" s="25">
        <v>16649</v>
      </c>
      <c r="D224" s="26">
        <f>VLOOKUP($C224,COS!$B$8:$H$991,3,FALSE)</f>
        <v>13865.92578125</v>
      </c>
      <c r="E224" s="24">
        <f>IF(D224&gt;=IF(MONTH($C224)=4,$C$3,IF(MONTH($C224)=5,$C$4,IF(MONTH($C224)=6,$C$5,IF(MONTH($C224)=7,$C$6,"ERROR")))),1,0)</f>
        <v>1</v>
      </c>
      <c r="F224" s="26">
        <f>VLOOKUP($C224,COS!$B$8:$H$991,7,FALSE)</f>
        <v>50.834716796875</v>
      </c>
      <c r="G224" s="24">
        <f>IF(F224&lt;=IF(MONTH($C224)=4,$F$3,IF(MONTH($C224)=5,$F$4,IF(MONTH($C224)=6,$F$5,IF(MONTH($C224)=7,$F$6,"ERROR")))),1,0)</f>
        <v>1</v>
      </c>
      <c r="H224" s="26">
        <f>IF(J224=1,D224-$C$6,0)</f>
        <v>1865.92578125</v>
      </c>
      <c r="I224" s="26">
        <f t="shared" si="342"/>
        <v>114.73130423553718</v>
      </c>
      <c r="J224" s="24">
        <f t="shared" si="349"/>
        <v>1</v>
      </c>
      <c r="K224" s="26">
        <f>VLOOKUP($C224,COS!$B$8:$H$991,2,FALSE)</f>
        <v>3470.729248046875</v>
      </c>
      <c r="L224" s="24">
        <f t="shared" si="333"/>
        <v>1</v>
      </c>
      <c r="M224" s="24">
        <f t="shared" si="334"/>
        <v>1</v>
      </c>
      <c r="N224" s="26">
        <f>VLOOKUP($C224,COS!$B$8:$H$991,5,FALSE)</f>
        <v>726.76727294921875</v>
      </c>
      <c r="O224" s="26">
        <f t="shared" si="352"/>
        <v>44.687177774728823</v>
      </c>
      <c r="P224" s="26">
        <f>VLOOKUP($C224,COS!$B$8:$H$991,6,FALSE)</f>
        <v>2632.5888671875</v>
      </c>
      <c r="Q224" s="26">
        <f t="shared" si="353"/>
        <v>161.87157993285126</v>
      </c>
      <c r="R224" s="26">
        <f>MIN(IF(MONTH($C224)=4,$S$3,IF(MONTH($C224)=5,$S$4,IF(MONTH($C224)=6,$S$5,IF(MONTH($C224)=7,$S$6,"ERROR")))),MAX(VLOOKUP($C224,COS!$B$8:$K$991,10,FALSE)-IF(MONTH($C224)=4,$Y$3,IF(MONTH($C224)=5,$Y$4,IF(MONTH($C224)=6,$Y$5,IF(MONTH($C224)=7,$Y$6,"ERROR")))),0),MAX(VLOOKUP($C224,COS!$B$8:$K$991,9,FALSE)-IF(MONTH($C224)=4,$V$3,IF(MONTH($C224)=5,$V$4,IF(MONTH($C224)=6,$V$5,IF(MONTH($C224)=7,$V$6,"ERROR"))))-VLOOKUP($C224,COS!$B$8:$K$991,6,FALSE)/2,0))</f>
        <v>1500</v>
      </c>
      <c r="S224" s="26">
        <f t="shared" si="354"/>
        <v>92.231404958677686</v>
      </c>
      <c r="T224" s="26">
        <f t="shared" si="355"/>
        <v>195.51078381246771</v>
      </c>
      <c r="U224" s="26" t="str">
        <f>IF(VLOOKUP($C224,COS!$B$8:$I$991,8,FALSE)=1,"UWFE","IBU")</f>
        <v>IBU</v>
      </c>
      <c r="V224" s="26">
        <f t="shared" ref="V224" si="359">MIN(IF(IF($AA$3=2,AND(E224=1,G224=1,L224=1,L226=1,M224=1,U224="IBU"),AND(E224=1,G224=1,L224=1,L226=1,M224=1)),T224,0),I224)</f>
        <v>114.73130423553718</v>
      </c>
      <c r="W224" s="26"/>
      <c r="X224" s="26"/>
      <c r="Y224" s="26"/>
      <c r="Z224" s="26"/>
      <c r="AA224" s="26"/>
      <c r="AB224" s="33"/>
    </row>
    <row r="225" spans="1:28" x14ac:dyDescent="0.3">
      <c r="A225" s="32">
        <f>VLOOKUP(YEAR(C225),Flags!$A$13:$B$95,2,FALSE)</f>
        <v>3</v>
      </c>
      <c r="B225" s="24">
        <f t="shared" si="328"/>
        <v>1945</v>
      </c>
      <c r="C225" s="25">
        <v>16680</v>
      </c>
      <c r="D225" s="26"/>
      <c r="E225" s="24"/>
      <c r="F225" s="26"/>
      <c r="G225" s="24"/>
      <c r="H225" s="24"/>
      <c r="I225" s="26"/>
      <c r="J225" s="24"/>
      <c r="K225" s="26"/>
      <c r="L225" s="24"/>
      <c r="M225" s="24"/>
      <c r="N225" s="26"/>
      <c r="O225" s="26"/>
      <c r="P225" s="26"/>
      <c r="Q225" s="26"/>
      <c r="R225" s="26"/>
      <c r="S225" s="26"/>
      <c r="T225" s="26"/>
      <c r="U225" s="26"/>
      <c r="V225" s="26"/>
      <c r="W225" s="26">
        <f>MAX($C$7-VLOOKUP($C225,COS!$B$8:$H$991,3,FALSE),0)</f>
        <v>90106.1162109375</v>
      </c>
      <c r="X225" s="26">
        <f t="shared" si="347"/>
        <v>5540.4091290030992</v>
      </c>
      <c r="Y225" s="26">
        <f>VLOOKUP($C225,COS!$B$8:$H$991,4,FALSE)</f>
        <v>465.335205078125</v>
      </c>
      <c r="Z225" s="26">
        <f t="shared" si="348"/>
        <v>28.612346494059917</v>
      </c>
      <c r="AA225" s="26">
        <f t="shared" ref="AA225:AA229" si="360">MIN(W225,Y225)</f>
        <v>465.335205078125</v>
      </c>
      <c r="AB225" s="33">
        <f t="shared" ref="AB225" si="361">AA225*DAY($C225)*86400/43560/1000*IF(MONTH($C225)=8,$P$3,IF(MONTH($C225)=9,$P$4,IF(MONTH($C225)=10,$P$5,IF(MONTH($C225)=11,$P$6,IF(MONTH($C225)=12,$P$7,NA())))))</f>
        <v>28.612346494059917</v>
      </c>
    </row>
    <row r="226" spans="1:28" x14ac:dyDescent="0.3">
      <c r="A226" s="32">
        <f>VLOOKUP(YEAR(C226),Flags!$A$13:$B$95,2,FALSE)</f>
        <v>3</v>
      </c>
      <c r="B226" s="24">
        <f t="shared" si="328"/>
        <v>1945</v>
      </c>
      <c r="C226" s="25">
        <v>16710</v>
      </c>
      <c r="D226" s="26"/>
      <c r="E226" s="24"/>
      <c r="F226" s="26"/>
      <c r="G226" s="24"/>
      <c r="H226" s="24"/>
      <c r="I226" s="26"/>
      <c r="J226" s="24"/>
      <c r="K226" s="26">
        <f>VLOOKUP($C226,COS!$B$8:$H$991,2,FALSE)</f>
        <v>2950.834716796875</v>
      </c>
      <c r="L226" s="24">
        <f t="shared" ref="L226" si="362">IF(AND(K226&gt;$I$7,K226&lt;$I$8),1,0)</f>
        <v>1</v>
      </c>
      <c r="M226" s="24"/>
      <c r="N226" s="26"/>
      <c r="O226" s="26"/>
      <c r="P226" s="26"/>
      <c r="Q226" s="26"/>
      <c r="R226" s="26"/>
      <c r="S226" s="26"/>
      <c r="T226" s="26"/>
      <c r="U226" s="26"/>
      <c r="V226" s="26"/>
      <c r="W226" s="26">
        <f>MAX($C$8-VLOOKUP($C226,COS!$B$8:$H$991,3,FALSE),0)</f>
        <v>94362.61474609375</v>
      </c>
      <c r="X226" s="26">
        <f t="shared" si="347"/>
        <v>5614.9655055526855</v>
      </c>
      <c r="Y226" s="26">
        <f>VLOOKUP($C226,COS!$B$8:$H$991,4,FALSE)</f>
        <v>334.24276733398438</v>
      </c>
      <c r="Z226" s="26">
        <f t="shared" si="348"/>
        <v>19.888825824832129</v>
      </c>
      <c r="AA226" s="26">
        <f t="shared" si="360"/>
        <v>334.24276733398438</v>
      </c>
      <c r="AB226" s="33">
        <f t="shared" si="345"/>
        <v>19.888825824832129</v>
      </c>
    </row>
    <row r="227" spans="1:28" x14ac:dyDescent="0.3">
      <c r="A227" s="32">
        <f>VLOOKUP(YEAR(C227),Flags!$A$13:$B$95,2,FALSE)</f>
        <v>3</v>
      </c>
      <c r="B227" s="24">
        <f t="shared" si="328"/>
        <v>1945</v>
      </c>
      <c r="C227" s="25">
        <v>16741</v>
      </c>
      <c r="D227" s="26"/>
      <c r="E227" s="24"/>
      <c r="F227" s="26"/>
      <c r="G227" s="26"/>
      <c r="H227" s="26"/>
      <c r="I227" s="26"/>
      <c r="J227" s="26"/>
      <c r="K227" s="26"/>
      <c r="L227" s="24"/>
      <c r="M227" s="24"/>
      <c r="N227" s="26"/>
      <c r="O227" s="26"/>
      <c r="P227" s="26"/>
      <c r="Q227" s="26"/>
      <c r="R227" s="26"/>
      <c r="S227" s="26"/>
      <c r="T227" s="26"/>
      <c r="U227" s="26"/>
      <c r="V227" s="26"/>
      <c r="W227" s="26">
        <f>MAX($C$9-VLOOKUP($C227,COS!$B$8:$H$991,3,FALSE),0)</f>
        <v>94737.2158203125</v>
      </c>
      <c r="X227" s="26">
        <f t="shared" si="347"/>
        <v>5825.1643446539256</v>
      </c>
      <c r="Y227" s="26">
        <f>VLOOKUP($C227,COS!$B$8:$H$991,4,FALSE)</f>
        <v>526.39361572265625</v>
      </c>
      <c r="Z227" s="26">
        <f t="shared" si="348"/>
        <v>32.366681826252581</v>
      </c>
      <c r="AA227" s="26">
        <f t="shared" si="360"/>
        <v>526.39361572265625</v>
      </c>
      <c r="AB227" s="33">
        <f t="shared" si="345"/>
        <v>32.366681826252581</v>
      </c>
    </row>
    <row r="228" spans="1:28" x14ac:dyDescent="0.3">
      <c r="A228" s="32">
        <f>VLOOKUP(YEAR(C228),Flags!$A$13:$B$95,2,FALSE)</f>
        <v>3</v>
      </c>
      <c r="B228" s="24">
        <f t="shared" si="328"/>
        <v>1945</v>
      </c>
      <c r="C228" s="25">
        <v>16771</v>
      </c>
      <c r="D228" s="26"/>
      <c r="E228" s="24"/>
      <c r="F228" s="26"/>
      <c r="G228" s="26"/>
      <c r="H228" s="26"/>
      <c r="I228" s="26"/>
      <c r="J228" s="26"/>
      <c r="K228" s="26"/>
      <c r="L228" s="24"/>
      <c r="M228" s="24"/>
      <c r="N228" s="26"/>
      <c r="O228" s="26"/>
      <c r="P228" s="26"/>
      <c r="Q228" s="26"/>
      <c r="R228" s="26"/>
      <c r="S228" s="26"/>
      <c r="T228" s="26"/>
      <c r="U228" s="26"/>
      <c r="V228" s="26"/>
      <c r="W228" s="26">
        <f>MAX($C$10-VLOOKUP($C228,COS!$B$8:$H$991,3,FALSE),0)</f>
        <v>93731.17041015625</v>
      </c>
      <c r="X228" s="26">
        <f t="shared" si="347"/>
        <v>5577.391958290289</v>
      </c>
      <c r="Y228" s="26">
        <f>VLOOKUP($C228,COS!$B$8:$H$991,4,FALSE)</f>
        <v>697.87353515625</v>
      </c>
      <c r="Z228" s="26">
        <f t="shared" si="348"/>
        <v>41.526359116735541</v>
      </c>
      <c r="AA228" s="26">
        <f t="shared" si="360"/>
        <v>697.87353515625</v>
      </c>
      <c r="AB228" s="33">
        <f t="shared" si="345"/>
        <v>20.763179558367771</v>
      </c>
    </row>
    <row r="229" spans="1:28" x14ac:dyDescent="0.3">
      <c r="A229" s="34">
        <f>VLOOKUP(YEAR(C229),Flags!$A$13:$B$95,2,FALSE)</f>
        <v>3</v>
      </c>
      <c r="B229" s="35">
        <f t="shared" si="328"/>
        <v>1945</v>
      </c>
      <c r="C229" s="36">
        <v>16802</v>
      </c>
      <c r="D229" s="37"/>
      <c r="E229" s="35"/>
      <c r="F229" s="37"/>
      <c r="G229" s="37"/>
      <c r="H229" s="37"/>
      <c r="I229" s="37"/>
      <c r="J229" s="37"/>
      <c r="K229" s="37"/>
      <c r="L229" s="35"/>
      <c r="M229" s="35"/>
      <c r="N229" s="37"/>
      <c r="O229" s="37"/>
      <c r="P229" s="37"/>
      <c r="Q229" s="37"/>
      <c r="R229" s="37"/>
      <c r="S229" s="37"/>
      <c r="T229" s="37"/>
      <c r="U229" s="37"/>
      <c r="V229" s="37"/>
      <c r="W229" s="37">
        <f>MAX($C$11-VLOOKUP($C229,COS!$B$8:$H$991,3,FALSE),0)</f>
        <v>0</v>
      </c>
      <c r="X229" s="37">
        <f t="shared" si="347"/>
        <v>0</v>
      </c>
      <c r="Y229" s="37">
        <f>VLOOKUP($C229,COS!$B$8:$H$991,4,FALSE)</f>
        <v>0</v>
      </c>
      <c r="Z229" s="37">
        <f t="shared" si="348"/>
        <v>0</v>
      </c>
      <c r="AA229" s="37">
        <f t="shared" si="360"/>
        <v>0</v>
      </c>
      <c r="AB229" s="38">
        <f t="shared" si="345"/>
        <v>0</v>
      </c>
    </row>
    <row r="230" spans="1:28" x14ac:dyDescent="0.3">
      <c r="A230" s="27">
        <f>VLOOKUP(YEAR(C230),Flags!$A$13:$B$95,2,FALSE)</f>
        <v>2</v>
      </c>
      <c r="B230" s="28">
        <f t="shared" si="328"/>
        <v>1946</v>
      </c>
      <c r="C230" s="29">
        <v>16922</v>
      </c>
      <c r="D230" s="30">
        <f>VLOOKUP($C230,COS!$B$8:$H$991,3,FALSE)</f>
        <v>4076.084716796875</v>
      </c>
      <c r="E230" s="28">
        <f>IF(D230&gt;=IF(MONTH($C230)=4,$C$3,IF(MONTH($C230)=5,$C$4,IF(MONTH($C230)=6,$C$5,IF(MONTH($C230)=7,$C$6,"ERROR")))),1,0)</f>
        <v>0</v>
      </c>
      <c r="F230" s="30">
        <f>VLOOKUP($C230,COS!$B$8:$H$991,7,FALSE)</f>
        <v>48.838871002197266</v>
      </c>
      <c r="G230" s="28">
        <f>IF(F230&lt;=IF(MONTH($C230)=4,$F$3,IF(MONTH($C230)=5,$F$4,IF(MONTH($C230)=6,$F$5,IF(MONTH($C230)=7,$F$6,"ERROR")))),1,0)</f>
        <v>1</v>
      </c>
      <c r="H230" s="30">
        <f>IF(J230=1,D230-$C$3,0)</f>
        <v>0</v>
      </c>
      <c r="I230" s="30">
        <f t="shared" si="342"/>
        <v>0</v>
      </c>
      <c r="J230" s="28">
        <f t="shared" ref="J230:J233" si="363">IF(AND(E230=1,G230=1),1,0)</f>
        <v>0</v>
      </c>
      <c r="K230" s="30">
        <f>VLOOKUP($C230,COS!$B$8:$H$991,2,FALSE)</f>
        <v>4552</v>
      </c>
      <c r="L230" s="28">
        <f t="shared" ref="L230" si="364">IF(K230&lt;=IF(MONTH($C230)=4,$I$3,IF(MONTH($C230)=5,$I$4,IF(MONTH($C230)=6,$I$5,IF(MONTH($C230)=7,$I$6,"ERROR")))),1,0)</f>
        <v>1</v>
      </c>
      <c r="M230" s="28">
        <f t="shared" ref="M230" si="365">VLOOKUP($A230,$L$3:$M$7,2,FALSE)</f>
        <v>0</v>
      </c>
      <c r="N230" s="30">
        <f>VLOOKUP($C230,COS!$B$8:$H$991,5,FALSE)</f>
        <v>571.77276611328125</v>
      </c>
      <c r="O230" s="30">
        <f t="shared" ref="O230:O233" si="366">N230*DAY($C230)*86400/43560/1000</f>
        <v>34.022842281120866</v>
      </c>
      <c r="P230" s="30">
        <f>VLOOKUP($C230,COS!$B$8:$H$991,6,FALSE)</f>
        <v>546.8182373046875</v>
      </c>
      <c r="Q230" s="30">
        <f t="shared" ref="Q230:Q233" si="367">P230*DAY($C230)*86400/43560/1000</f>
        <v>32.537944699121901</v>
      </c>
      <c r="R230" s="30">
        <f>MIN(IF(MONTH($C230)=4,$S$3,IF(MONTH($C230)=5,$S$4,IF(MONTH($C230)=6,$S$5,IF(MONTH($C230)=7,$S$6,"ERROR")))),MAX(VLOOKUP($C230,COS!$B$8:$K$991,10,FALSE)-IF(MONTH($C230)=4,$Y$3,IF(MONTH($C230)=5,$Y$4,IF(MONTH($C230)=6,$Y$5,IF(MONTH($C230)=7,$Y$6,"ERROR")))),0),MAX(VLOOKUP($C230,COS!$B$8:$K$991,9,FALSE)-IF(MONTH($C230)=4,$V$3,IF(MONTH($C230)=5,$V$4,IF(MONTH($C230)=6,$V$5,IF(MONTH($C230)=7,$V$6,"ERROR"))))-VLOOKUP($C230,COS!$B$8:$K$991,6,FALSE)/2,0))</f>
        <v>1500</v>
      </c>
      <c r="S230" s="30">
        <f t="shared" ref="S230:S233" si="368">R230*DAY($C230)*86400/43560/1000</f>
        <v>89.256198347107429</v>
      </c>
      <c r="T230" s="30">
        <f t="shared" ref="T230:T233" si="369">(O230+Q230)/2+S230</f>
        <v>122.53659183722881</v>
      </c>
      <c r="U230" s="30" t="str">
        <f>IF(VLOOKUP($C230,COS!$B$8:$I$991,8,FALSE)=1,"UWFE","IBU")</f>
        <v>UWFE</v>
      </c>
      <c r="V230" s="30">
        <f t="shared" ref="V230" si="370">MIN(IF(IF($AA$3=2,AND(E230=1,G230=1,L230=1,L235=1,M230=1,U230="IBU"),AND(E230=1,G230=1,L230=1,L235=1,M230=1)),T230,0),I230)</f>
        <v>0</v>
      </c>
      <c r="W230" s="30"/>
      <c r="X230" s="30"/>
      <c r="Y230" s="30"/>
      <c r="Z230" s="30"/>
      <c r="AA230" s="30"/>
      <c r="AB230" s="31"/>
    </row>
    <row r="231" spans="1:28" x14ac:dyDescent="0.3">
      <c r="A231" s="32">
        <f>VLOOKUP(YEAR(C231),Flags!$A$13:$B$95,2,FALSE)</f>
        <v>2</v>
      </c>
      <c r="B231" s="24">
        <f t="shared" si="328"/>
        <v>1946</v>
      </c>
      <c r="C231" s="25">
        <v>16953</v>
      </c>
      <c r="D231" s="26">
        <f>VLOOKUP($C231,COS!$B$8:$H$991,3,FALSE)</f>
        <v>7674.50244140625</v>
      </c>
      <c r="E231" s="24">
        <f>IF(D231&gt;=IF(MONTH($C231)=4,$C$3,IF(MONTH($C231)=5,$C$4,IF(MONTH($C231)=6,$C$5,IF(MONTH($C231)=7,$C$6,"ERROR")))),1,0)</f>
        <v>1</v>
      </c>
      <c r="F231" s="26">
        <f>VLOOKUP($C231,COS!$B$8:$H$991,7,FALSE)</f>
        <v>48.690444946289063</v>
      </c>
      <c r="G231" s="24">
        <f>IF(F231&lt;=IF(MONTH($C231)=4,$F$3,IF(MONTH($C231)=5,$F$4,IF(MONTH($C231)=6,$F$5,IF(MONTH($C231)=7,$F$6,"ERROR")))),1,0)</f>
        <v>1</v>
      </c>
      <c r="H231" s="26">
        <f>IF(J231=1,D231-$C$4,0)</f>
        <v>1674.50244140625</v>
      </c>
      <c r="I231" s="26">
        <f t="shared" si="342"/>
        <v>102.9611418517562</v>
      </c>
      <c r="J231" s="24">
        <f t="shared" si="363"/>
        <v>1</v>
      </c>
      <c r="K231" s="26">
        <f>VLOOKUP($C231,COS!$B$8:$H$991,2,FALSE)</f>
        <v>4470.89013671875</v>
      </c>
      <c r="L231" s="24">
        <f t="shared" si="333"/>
        <v>1</v>
      </c>
      <c r="M231" s="24">
        <f t="shared" si="334"/>
        <v>0</v>
      </c>
      <c r="N231" s="26">
        <f>VLOOKUP($C231,COS!$B$8:$H$991,5,FALSE)</f>
        <v>870.65301513671875</v>
      </c>
      <c r="O231" s="26">
        <f t="shared" si="366"/>
        <v>53.534367211712294</v>
      </c>
      <c r="P231" s="26">
        <f>VLOOKUP($C231,COS!$B$8:$H$991,6,FALSE)</f>
        <v>2245.033447265625</v>
      </c>
      <c r="Q231" s="26">
        <f t="shared" si="367"/>
        <v>138.04172601368802</v>
      </c>
      <c r="R231" s="26">
        <f>MIN(IF(MONTH($C231)=4,$S$3,IF(MONTH($C231)=5,$S$4,IF(MONTH($C231)=6,$S$5,IF(MONTH($C231)=7,$S$6,"ERROR")))),MAX(VLOOKUP($C231,COS!$B$8:$K$991,10,FALSE)-IF(MONTH($C231)=4,$Y$3,IF(MONTH($C231)=5,$Y$4,IF(MONTH($C231)=6,$Y$5,IF(MONTH($C231)=7,$Y$6,"ERROR")))),0),MAX(VLOOKUP($C231,COS!$B$8:$K$991,9,FALSE)-IF(MONTH($C231)=4,$V$3,IF(MONTH($C231)=5,$V$4,IF(MONTH($C231)=6,$V$5,IF(MONTH($C231)=7,$V$6,"ERROR"))))-VLOOKUP($C231,COS!$B$8:$K$991,6,FALSE)/2,0))</f>
        <v>1500</v>
      </c>
      <c r="S231" s="26">
        <f t="shared" si="368"/>
        <v>92.231404958677686</v>
      </c>
      <c r="T231" s="26">
        <f t="shared" si="369"/>
        <v>188.01945157137783</v>
      </c>
      <c r="U231" s="26" t="str">
        <f>IF(VLOOKUP($C231,COS!$B$8:$I$991,8,FALSE)=1,"UWFE","IBU")</f>
        <v>UWFE</v>
      </c>
      <c r="V231" s="26">
        <f t="shared" ref="V231" si="371">MIN(IF(IF($AA$3=2,AND(E231=1,G231=1,L231=1,L235=1,M231=1,U231="IBU"),AND(E231=1,G231=1,L231=1,L235=1,M231=1)),T231,0),I231)</f>
        <v>0</v>
      </c>
      <c r="W231" s="26"/>
      <c r="X231" s="26"/>
      <c r="Y231" s="26"/>
      <c r="Z231" s="26"/>
      <c r="AA231" s="26"/>
      <c r="AB231" s="33"/>
    </row>
    <row r="232" spans="1:28" x14ac:dyDescent="0.3">
      <c r="A232" s="32">
        <f>VLOOKUP(YEAR(C232),Flags!$A$13:$B$95,2,FALSE)</f>
        <v>2</v>
      </c>
      <c r="B232" s="24">
        <f t="shared" si="328"/>
        <v>1946</v>
      </c>
      <c r="C232" s="25">
        <v>16983</v>
      </c>
      <c r="D232" s="26">
        <f>VLOOKUP($C232,COS!$B$8:$H$991,3,FALSE)</f>
        <v>10991.0703125</v>
      </c>
      <c r="E232" s="24">
        <f>IF(D232&gt;=IF(MONTH($C232)=4,$C$3,IF(MONTH($C232)=5,$C$4,IF(MONTH($C232)=6,$C$5,IF(MONTH($C232)=7,$C$6,"ERROR")))),1,0)</f>
        <v>1</v>
      </c>
      <c r="F232" s="26">
        <f>VLOOKUP($C232,COS!$B$8:$H$991,7,FALSE)</f>
        <v>49.001594543457031</v>
      </c>
      <c r="G232" s="24">
        <f>IF(F232&lt;=IF(MONTH($C232)=4,$F$3,IF(MONTH($C232)=5,$F$4,IF(MONTH($C232)=6,$F$5,IF(MONTH($C232)=7,$F$6,"ERROR")))),1,0)</f>
        <v>1</v>
      </c>
      <c r="H232" s="26">
        <f>IF(J232=1,D232-$C$5,0)</f>
        <v>991.0703125</v>
      </c>
      <c r="I232" s="26">
        <f t="shared" si="342"/>
        <v>58.972778925619835</v>
      </c>
      <c r="J232" s="24">
        <f t="shared" si="363"/>
        <v>1</v>
      </c>
      <c r="K232" s="26">
        <f>VLOOKUP($C232,COS!$B$8:$H$991,2,FALSE)</f>
        <v>4054.78515625</v>
      </c>
      <c r="L232" s="24">
        <f t="shared" si="333"/>
        <v>1</v>
      </c>
      <c r="M232" s="24">
        <f t="shared" si="334"/>
        <v>0</v>
      </c>
      <c r="N232" s="26">
        <f>VLOOKUP($C232,COS!$B$8:$H$991,5,FALSE)</f>
        <v>864.298095703125</v>
      </c>
      <c r="O232" s="26">
        <f t="shared" si="366"/>
        <v>51.42930817407025</v>
      </c>
      <c r="P232" s="26">
        <f>VLOOKUP($C232,COS!$B$8:$H$991,6,FALSE)</f>
        <v>2675.089599609375</v>
      </c>
      <c r="Q232" s="26">
        <f t="shared" si="367"/>
        <v>159.1788852660124</v>
      </c>
      <c r="R232" s="26">
        <f>MIN(IF(MONTH($C232)=4,$S$3,IF(MONTH($C232)=5,$S$4,IF(MONTH($C232)=6,$S$5,IF(MONTH($C232)=7,$S$6,"ERROR")))),MAX(VLOOKUP($C232,COS!$B$8:$K$991,10,FALSE)-IF(MONTH($C232)=4,$Y$3,IF(MONTH($C232)=5,$Y$4,IF(MONTH($C232)=6,$Y$5,IF(MONTH($C232)=7,$Y$6,"ERROR")))),0),MAX(VLOOKUP($C232,COS!$B$8:$K$991,9,FALSE)-IF(MONTH($C232)=4,$V$3,IF(MONTH($C232)=5,$V$4,IF(MONTH($C232)=6,$V$5,IF(MONTH($C232)=7,$V$6,"ERROR"))))-VLOOKUP($C232,COS!$B$8:$K$991,6,FALSE)/2,0))</f>
        <v>1500</v>
      </c>
      <c r="S232" s="26">
        <f t="shared" si="368"/>
        <v>89.256198347107429</v>
      </c>
      <c r="T232" s="26">
        <f t="shared" si="369"/>
        <v>194.56029506714876</v>
      </c>
      <c r="U232" s="26" t="str">
        <f>IF(VLOOKUP($C232,COS!$B$8:$I$991,8,FALSE)=1,"UWFE","IBU")</f>
        <v>IBU</v>
      </c>
      <c r="V232" s="26">
        <f t="shared" ref="V232" si="372">MIN(IF(IF($AA$3=2,AND(E232=1,G232=1,L232=1,L235=1,M232=1,U232="IBU"),AND(E232=1,G232=1,L232=1,L235=1,M232=1)),T232,0),I232)</f>
        <v>0</v>
      </c>
      <c r="W232" s="26"/>
      <c r="X232" s="26"/>
      <c r="Y232" s="26"/>
      <c r="Z232" s="26"/>
      <c r="AA232" s="26"/>
      <c r="AB232" s="33"/>
    </row>
    <row r="233" spans="1:28" x14ac:dyDescent="0.3">
      <c r="A233" s="32">
        <f>VLOOKUP(YEAR(C233),Flags!$A$13:$B$95,2,FALSE)</f>
        <v>2</v>
      </c>
      <c r="B233" s="24">
        <f t="shared" si="328"/>
        <v>1946</v>
      </c>
      <c r="C233" s="25">
        <v>17014</v>
      </c>
      <c r="D233" s="26">
        <f>VLOOKUP($C233,COS!$B$8:$H$991,3,FALSE)</f>
        <v>16000</v>
      </c>
      <c r="E233" s="24">
        <f>IF(D233&gt;=IF(MONTH($C233)=4,$C$3,IF(MONTH($C233)=5,$C$4,IF(MONTH($C233)=6,$C$5,IF(MONTH($C233)=7,$C$6,"ERROR")))),1,0)</f>
        <v>1</v>
      </c>
      <c r="F233" s="26">
        <f>VLOOKUP($C233,COS!$B$8:$H$991,7,FALSE)</f>
        <v>49.493640899658203</v>
      </c>
      <c r="G233" s="24">
        <f>IF(F233&lt;=IF(MONTH($C233)=4,$F$3,IF(MONTH($C233)=5,$F$4,IF(MONTH($C233)=6,$F$5,IF(MONTH($C233)=7,$F$6,"ERROR")))),1,0)</f>
        <v>1</v>
      </c>
      <c r="H233" s="26">
        <f>IF(J233=1,D233-$C$6,0)</f>
        <v>4000</v>
      </c>
      <c r="I233" s="26">
        <f t="shared" si="342"/>
        <v>245.95041322314049</v>
      </c>
      <c r="J233" s="24">
        <f t="shared" si="363"/>
        <v>1</v>
      </c>
      <c r="K233" s="26">
        <f>VLOOKUP($C233,COS!$B$8:$H$991,2,FALSE)</f>
        <v>3315.635498046875</v>
      </c>
      <c r="L233" s="24">
        <f t="shared" si="333"/>
        <v>1</v>
      </c>
      <c r="M233" s="24">
        <f t="shared" si="334"/>
        <v>0</v>
      </c>
      <c r="N233" s="26">
        <f>VLOOKUP($C233,COS!$B$8:$H$991,5,FALSE)</f>
        <v>929.87835693359375</v>
      </c>
      <c r="O233" s="26">
        <f t="shared" si="366"/>
        <v>57.175991533768077</v>
      </c>
      <c r="P233" s="26">
        <f>VLOOKUP($C233,COS!$B$8:$H$991,6,FALSE)</f>
        <v>2527.75390625</v>
      </c>
      <c r="Q233" s="26">
        <f t="shared" si="367"/>
        <v>155.42552944214876</v>
      </c>
      <c r="R233" s="26">
        <f>MIN(IF(MONTH($C233)=4,$S$3,IF(MONTH($C233)=5,$S$4,IF(MONTH($C233)=6,$S$5,IF(MONTH($C233)=7,$S$6,"ERROR")))),MAX(VLOOKUP($C233,COS!$B$8:$K$991,10,FALSE)-IF(MONTH($C233)=4,$Y$3,IF(MONTH($C233)=5,$Y$4,IF(MONTH($C233)=6,$Y$5,IF(MONTH($C233)=7,$Y$6,"ERROR")))),0),MAX(VLOOKUP($C233,COS!$B$8:$K$991,9,FALSE)-IF(MONTH($C233)=4,$V$3,IF(MONTH($C233)=5,$V$4,IF(MONTH($C233)=6,$V$5,IF(MONTH($C233)=7,$V$6,"ERROR"))))-VLOOKUP($C233,COS!$B$8:$K$991,6,FALSE)/2,0))</f>
        <v>1500</v>
      </c>
      <c r="S233" s="26">
        <f t="shared" si="368"/>
        <v>92.231404958677686</v>
      </c>
      <c r="T233" s="26">
        <f t="shared" si="369"/>
        <v>198.5321654466361</v>
      </c>
      <c r="U233" s="26" t="str">
        <f>IF(VLOOKUP($C233,COS!$B$8:$I$991,8,FALSE)=1,"UWFE","IBU")</f>
        <v>IBU</v>
      </c>
      <c r="V233" s="26">
        <f t="shared" ref="V233" si="373">MIN(IF(IF($AA$3=2,AND(E233=1,G233=1,L233=1,L235=1,M233=1,U233="IBU"),AND(E233=1,G233=1,L233=1,L235=1,M233=1)),T233,0),I233)</f>
        <v>0</v>
      </c>
      <c r="W233" s="26"/>
      <c r="X233" s="26"/>
      <c r="Y233" s="26"/>
      <c r="Z233" s="26"/>
      <c r="AA233" s="26"/>
      <c r="AB233" s="33"/>
    </row>
    <row r="234" spans="1:28" x14ac:dyDescent="0.3">
      <c r="A234" s="32">
        <f>VLOOKUP(YEAR(C234),Flags!$A$13:$B$95,2,FALSE)</f>
        <v>2</v>
      </c>
      <c r="B234" s="24">
        <f t="shared" si="328"/>
        <v>1946</v>
      </c>
      <c r="C234" s="25">
        <v>17045</v>
      </c>
      <c r="D234" s="26"/>
      <c r="E234" s="24"/>
      <c r="F234" s="26"/>
      <c r="G234" s="24"/>
      <c r="H234" s="24"/>
      <c r="I234" s="26"/>
      <c r="J234" s="24"/>
      <c r="K234" s="26"/>
      <c r="L234" s="24"/>
      <c r="M234" s="24"/>
      <c r="N234" s="26"/>
      <c r="O234" s="26"/>
      <c r="P234" s="26"/>
      <c r="Q234" s="26"/>
      <c r="R234" s="26"/>
      <c r="S234" s="26"/>
      <c r="T234" s="26"/>
      <c r="U234" s="26"/>
      <c r="V234" s="26"/>
      <c r="W234" s="26">
        <f>MAX($C$7-VLOOKUP($C234,COS!$B$8:$H$991,3,FALSE),0)</f>
        <v>88284.59765625</v>
      </c>
      <c r="X234" s="26">
        <f t="shared" si="347"/>
        <v>5428.4083186983471</v>
      </c>
      <c r="Y234" s="26">
        <f>VLOOKUP($C234,COS!$B$8:$H$991,4,FALSE)</f>
        <v>0</v>
      </c>
      <c r="Z234" s="26">
        <f t="shared" si="348"/>
        <v>0</v>
      </c>
      <c r="AA234" s="26">
        <f t="shared" ref="AA234:AA238" si="374">MIN(W234,Y234)</f>
        <v>0</v>
      </c>
      <c r="AB234" s="33">
        <f t="shared" ref="AB234" si="375">AA234*DAY($C234)*86400/43560/1000*IF(MONTH($C234)=8,$P$3,IF(MONTH($C234)=9,$P$4,IF(MONTH($C234)=10,$P$5,IF(MONTH($C234)=11,$P$6,IF(MONTH($C234)=12,$P$7,NA())))))</f>
        <v>0</v>
      </c>
    </row>
    <row r="235" spans="1:28" x14ac:dyDescent="0.3">
      <c r="A235" s="32">
        <f>VLOOKUP(YEAR(C235),Flags!$A$13:$B$95,2,FALSE)</f>
        <v>2</v>
      </c>
      <c r="B235" s="24">
        <f t="shared" si="328"/>
        <v>1946</v>
      </c>
      <c r="C235" s="25">
        <v>17075</v>
      </c>
      <c r="D235" s="26"/>
      <c r="E235" s="24"/>
      <c r="F235" s="26"/>
      <c r="G235" s="24"/>
      <c r="H235" s="24"/>
      <c r="I235" s="26"/>
      <c r="J235" s="24"/>
      <c r="K235" s="26">
        <f>VLOOKUP($C235,COS!$B$8:$H$991,2,FALSE)</f>
        <v>2524.6171875</v>
      </c>
      <c r="L235" s="24">
        <f t="shared" ref="L235" si="376">IF(AND(K235&gt;$I$7,K235&lt;$I$8),1,0)</f>
        <v>1</v>
      </c>
      <c r="M235" s="24"/>
      <c r="N235" s="26"/>
      <c r="O235" s="26"/>
      <c r="P235" s="26"/>
      <c r="Q235" s="26"/>
      <c r="R235" s="26"/>
      <c r="S235" s="26"/>
      <c r="T235" s="26"/>
      <c r="U235" s="26"/>
      <c r="V235" s="26"/>
      <c r="W235" s="26">
        <f>MAX($C$8-VLOOKUP($C235,COS!$B$8:$H$991,3,FALSE),0)</f>
        <v>88618.8271484375</v>
      </c>
      <c r="X235" s="26">
        <f t="shared" si="347"/>
        <v>5273.1864088326447</v>
      </c>
      <c r="Y235" s="26">
        <f>VLOOKUP($C235,COS!$B$8:$H$991,4,FALSE)</f>
        <v>0</v>
      </c>
      <c r="Z235" s="26">
        <f t="shared" si="348"/>
        <v>0</v>
      </c>
      <c r="AA235" s="26">
        <f t="shared" si="374"/>
        <v>0</v>
      </c>
      <c r="AB235" s="33">
        <f t="shared" si="345"/>
        <v>0</v>
      </c>
    </row>
    <row r="236" spans="1:28" x14ac:dyDescent="0.3">
      <c r="A236" s="32">
        <f>VLOOKUP(YEAR(C236),Flags!$A$13:$B$95,2,FALSE)</f>
        <v>2</v>
      </c>
      <c r="B236" s="24">
        <f t="shared" si="328"/>
        <v>1946</v>
      </c>
      <c r="C236" s="25">
        <v>17106</v>
      </c>
      <c r="D236" s="26"/>
      <c r="E236" s="24"/>
      <c r="F236" s="26"/>
      <c r="G236" s="26"/>
      <c r="H236" s="26"/>
      <c r="I236" s="26"/>
      <c r="J236" s="26"/>
      <c r="K236" s="26"/>
      <c r="L236" s="24"/>
      <c r="M236" s="24"/>
      <c r="N236" s="26"/>
      <c r="O236" s="26"/>
      <c r="P236" s="26"/>
      <c r="Q236" s="26"/>
      <c r="R236" s="26"/>
      <c r="S236" s="26"/>
      <c r="T236" s="26"/>
      <c r="U236" s="26"/>
      <c r="V236" s="26"/>
      <c r="W236" s="26">
        <f>MAX($C$9-VLOOKUP($C236,COS!$B$8:$H$991,3,FALSE),0)</f>
        <v>91926.40234375</v>
      </c>
      <c r="X236" s="26">
        <f t="shared" si="347"/>
        <v>5652.3341606404956</v>
      </c>
      <c r="Y236" s="26">
        <f>VLOOKUP($C236,COS!$B$8:$H$991,4,FALSE)</f>
        <v>1148.6480712890625</v>
      </c>
      <c r="Z236" s="26">
        <f t="shared" si="348"/>
        <v>70.627616945377071</v>
      </c>
      <c r="AA236" s="26">
        <f t="shared" si="374"/>
        <v>1148.6480712890625</v>
      </c>
      <c r="AB236" s="33">
        <f t="shared" si="345"/>
        <v>70.627616945377071</v>
      </c>
    </row>
    <row r="237" spans="1:28" x14ac:dyDescent="0.3">
      <c r="A237" s="32">
        <f>VLOOKUP(YEAR(C237),Flags!$A$13:$B$95,2,FALSE)</f>
        <v>2</v>
      </c>
      <c r="B237" s="24">
        <f t="shared" si="328"/>
        <v>1946</v>
      </c>
      <c r="C237" s="25">
        <v>17136</v>
      </c>
      <c r="D237" s="26"/>
      <c r="E237" s="24"/>
      <c r="F237" s="26"/>
      <c r="G237" s="26"/>
      <c r="H237" s="26"/>
      <c r="I237" s="26"/>
      <c r="J237" s="26"/>
      <c r="K237" s="26"/>
      <c r="L237" s="24"/>
      <c r="M237" s="24"/>
      <c r="N237" s="26"/>
      <c r="O237" s="26"/>
      <c r="P237" s="26"/>
      <c r="Q237" s="26"/>
      <c r="R237" s="26"/>
      <c r="S237" s="26"/>
      <c r="T237" s="26"/>
      <c r="U237" s="26"/>
      <c r="V237" s="26"/>
      <c r="W237" s="26">
        <f>MAX($C$10-VLOOKUP($C237,COS!$B$8:$H$991,3,FALSE),0)</f>
        <v>91705.3271484375</v>
      </c>
      <c r="X237" s="26">
        <f t="shared" si="347"/>
        <v>5456.8459129648754</v>
      </c>
      <c r="Y237" s="26">
        <f>VLOOKUP($C237,COS!$B$8:$H$991,4,FALSE)</f>
        <v>1644.781982421875</v>
      </c>
      <c r="Z237" s="26">
        <f t="shared" si="348"/>
        <v>97.871324573863632</v>
      </c>
      <c r="AA237" s="26">
        <f t="shared" si="374"/>
        <v>1644.781982421875</v>
      </c>
      <c r="AB237" s="33">
        <f t="shared" si="345"/>
        <v>48.935662286931816</v>
      </c>
    </row>
    <row r="238" spans="1:28" x14ac:dyDescent="0.3">
      <c r="A238" s="34">
        <f>VLOOKUP(YEAR(C238),Flags!$A$13:$B$95,2,FALSE)</f>
        <v>2</v>
      </c>
      <c r="B238" s="35">
        <f t="shared" si="328"/>
        <v>1946</v>
      </c>
      <c r="C238" s="36">
        <v>17167</v>
      </c>
      <c r="D238" s="37"/>
      <c r="E238" s="35"/>
      <c r="F238" s="37"/>
      <c r="G238" s="37"/>
      <c r="H238" s="37"/>
      <c r="I238" s="37"/>
      <c r="J238" s="37"/>
      <c r="K238" s="37"/>
      <c r="L238" s="35"/>
      <c r="M238" s="35"/>
      <c r="N238" s="37"/>
      <c r="O238" s="37"/>
      <c r="P238" s="37"/>
      <c r="Q238" s="37"/>
      <c r="R238" s="37"/>
      <c r="S238" s="37"/>
      <c r="T238" s="37"/>
      <c r="U238" s="37"/>
      <c r="V238" s="37"/>
      <c r="W238" s="37">
        <f>MAX($C$11-VLOOKUP($C238,COS!$B$8:$H$991,3,FALSE),0)</f>
        <v>0</v>
      </c>
      <c r="X238" s="37">
        <f t="shared" si="347"/>
        <v>0</v>
      </c>
      <c r="Y238" s="37">
        <f>VLOOKUP($C238,COS!$B$8:$H$991,4,FALSE)</f>
        <v>0</v>
      </c>
      <c r="Z238" s="37">
        <f t="shared" si="348"/>
        <v>0</v>
      </c>
      <c r="AA238" s="37">
        <f t="shared" si="374"/>
        <v>0</v>
      </c>
      <c r="AB238" s="38">
        <f t="shared" si="345"/>
        <v>0</v>
      </c>
    </row>
    <row r="239" spans="1:28" x14ac:dyDescent="0.3">
      <c r="A239" s="27">
        <f>VLOOKUP(YEAR(C239),Flags!$A$13:$B$95,2,FALSE)</f>
        <v>4</v>
      </c>
      <c r="B239" s="28">
        <f t="shared" si="328"/>
        <v>1947</v>
      </c>
      <c r="C239" s="29">
        <v>17287</v>
      </c>
      <c r="D239" s="30">
        <f>VLOOKUP($C239,COS!$B$8:$H$991,3,FALSE)</f>
        <v>3250</v>
      </c>
      <c r="E239" s="28">
        <f>IF(D239&gt;=IF(MONTH($C239)=4,$C$3,IF(MONTH($C239)=5,$C$4,IF(MONTH($C239)=6,$C$5,IF(MONTH($C239)=7,$C$6,"ERROR")))),1,0)</f>
        <v>0</v>
      </c>
      <c r="F239" s="30">
        <f>VLOOKUP($C239,COS!$B$8:$H$991,7,FALSE)</f>
        <v>51.992382049560547</v>
      </c>
      <c r="G239" s="28">
        <f>IF(F239&lt;=IF(MONTH($C239)=4,$F$3,IF(MONTH($C239)=5,$F$4,IF(MONTH($C239)=6,$F$5,IF(MONTH($C239)=7,$F$6,"ERROR")))),1,0)</f>
        <v>1</v>
      </c>
      <c r="H239" s="30">
        <f>IF(J239=1,D239-$C$3,0)</f>
        <v>0</v>
      </c>
      <c r="I239" s="30">
        <f t="shared" si="342"/>
        <v>0</v>
      </c>
      <c r="J239" s="28">
        <f t="shared" ref="J239:J242" si="377">IF(AND(E239=1,G239=1),1,0)</f>
        <v>0</v>
      </c>
      <c r="K239" s="30">
        <f>VLOOKUP($C239,COS!$B$8:$H$991,2,FALSE)</f>
        <v>3389.9931640625</v>
      </c>
      <c r="L239" s="28">
        <f t="shared" ref="L239" si="378">IF(K239&lt;=IF(MONTH($C239)=4,$I$3,IF(MONTH($C239)=5,$I$4,IF(MONTH($C239)=6,$I$5,IF(MONTH($C239)=7,$I$6,"ERROR")))),1,0)</f>
        <v>1</v>
      </c>
      <c r="M239" s="28">
        <f t="shared" ref="M239" si="379">VLOOKUP($A239,$L$3:$M$7,2,FALSE)</f>
        <v>1</v>
      </c>
      <c r="N239" s="30">
        <f>VLOOKUP($C239,COS!$B$8:$H$991,5,FALSE)</f>
        <v>210.8018798828125</v>
      </c>
      <c r="O239" s="30">
        <f t="shared" ref="O239:O242" si="380">N239*DAY($C239)*86400/43560/1000</f>
        <v>12.543582935175619</v>
      </c>
      <c r="P239" s="30">
        <f>VLOOKUP($C239,COS!$B$8:$H$991,6,FALSE)</f>
        <v>467.46041870117188</v>
      </c>
      <c r="Q239" s="30">
        <f t="shared" ref="Q239:Q242" si="381">P239*DAY($C239)*86400/43560/1000</f>
        <v>27.815826567342459</v>
      </c>
      <c r="R239" s="30">
        <f>MIN(IF(MONTH($C239)=4,$S$3,IF(MONTH($C239)=5,$S$4,IF(MONTH($C239)=6,$S$5,IF(MONTH($C239)=7,$S$6,"ERROR")))),MAX(VLOOKUP($C239,COS!$B$8:$K$991,10,FALSE)-IF(MONTH($C239)=4,$Y$3,IF(MONTH($C239)=5,$Y$4,IF(MONTH($C239)=6,$Y$5,IF(MONTH($C239)=7,$Y$6,"ERROR")))),0),MAX(VLOOKUP($C239,COS!$B$8:$K$991,9,FALSE)-IF(MONTH($C239)=4,$V$3,IF(MONTH($C239)=5,$V$4,IF(MONTH($C239)=6,$V$5,IF(MONTH($C239)=7,$V$6,"ERROR"))))-VLOOKUP($C239,COS!$B$8:$K$991,6,FALSE)/2,0))</f>
        <v>1500</v>
      </c>
      <c r="S239" s="30">
        <f t="shared" ref="S239:S242" si="382">R239*DAY($C239)*86400/43560/1000</f>
        <v>89.256198347107429</v>
      </c>
      <c r="T239" s="30">
        <f t="shared" ref="T239:T242" si="383">(O239+Q239)/2+S239</f>
        <v>109.43590309836647</v>
      </c>
      <c r="U239" s="30" t="str">
        <f>IF(VLOOKUP($C239,COS!$B$8:$I$991,8,FALSE)=1,"UWFE","IBU")</f>
        <v>UWFE</v>
      </c>
      <c r="V239" s="30">
        <f t="shared" ref="V239" si="384">MIN(IF(IF($AA$3=2,AND(E239=1,G239=1,L239=1,L244=1,M239=1,U239="IBU"),AND(E239=1,G239=1,L239=1,L244=1,M239=1)),T239,0),I239)</f>
        <v>0</v>
      </c>
      <c r="W239" s="30"/>
      <c r="X239" s="30"/>
      <c r="Y239" s="30"/>
      <c r="Z239" s="30"/>
      <c r="AA239" s="30"/>
      <c r="AB239" s="31"/>
    </row>
    <row r="240" spans="1:28" x14ac:dyDescent="0.3">
      <c r="A240" s="32">
        <f>VLOOKUP(YEAR(C240),Flags!$A$13:$B$95,2,FALSE)</f>
        <v>4</v>
      </c>
      <c r="B240" s="24">
        <f t="shared" si="328"/>
        <v>1947</v>
      </c>
      <c r="C240" s="25">
        <v>17318</v>
      </c>
      <c r="D240" s="26">
        <f>VLOOKUP($C240,COS!$B$8:$H$991,3,FALSE)</f>
        <v>8656.3466796875</v>
      </c>
      <c r="E240" s="24">
        <f>IF(D240&gt;=IF(MONTH($C240)=4,$C$3,IF(MONTH($C240)=5,$C$4,IF(MONTH($C240)=6,$C$5,IF(MONTH($C240)=7,$C$6,"ERROR")))),1,0)</f>
        <v>1</v>
      </c>
      <c r="F240" s="26">
        <f>VLOOKUP($C240,COS!$B$8:$H$991,7,FALSE)</f>
        <v>50.687347412109375</v>
      </c>
      <c r="G240" s="24">
        <f>IF(F240&lt;=IF(MONTH($C240)=4,$F$3,IF(MONTH($C240)=5,$F$4,IF(MONTH($C240)=6,$F$5,IF(MONTH($C240)=7,$F$6,"ERROR")))),1,0)</f>
        <v>1</v>
      </c>
      <c r="H240" s="26">
        <f>IF(J240=1,D240-$C$4,0)</f>
        <v>2656.3466796875</v>
      </c>
      <c r="I240" s="26">
        <f t="shared" si="342"/>
        <v>163.33239088326445</v>
      </c>
      <c r="J240" s="24">
        <f t="shared" si="377"/>
        <v>1</v>
      </c>
      <c r="K240" s="26">
        <f>VLOOKUP($C240,COS!$B$8:$H$991,2,FALSE)</f>
        <v>3099.48974609375</v>
      </c>
      <c r="L240" s="24">
        <f t="shared" si="333"/>
        <v>1</v>
      </c>
      <c r="M240" s="24">
        <f t="shared" si="334"/>
        <v>1</v>
      </c>
      <c r="N240" s="26">
        <f>VLOOKUP($C240,COS!$B$8:$H$991,5,FALSE)</f>
        <v>304.60684204101563</v>
      </c>
      <c r="O240" s="26">
        <f t="shared" si="380"/>
        <v>18.729544667645918</v>
      </c>
      <c r="P240" s="26">
        <f>VLOOKUP($C240,COS!$B$8:$H$991,6,FALSE)</f>
        <v>2205.62353515625</v>
      </c>
      <c r="Q240" s="26">
        <f t="shared" si="381"/>
        <v>135.61850497159091</v>
      </c>
      <c r="R240" s="26">
        <f>MIN(IF(MONTH($C240)=4,$S$3,IF(MONTH($C240)=5,$S$4,IF(MONTH($C240)=6,$S$5,IF(MONTH($C240)=7,$S$6,"ERROR")))),MAX(VLOOKUP($C240,COS!$B$8:$K$991,10,FALSE)-IF(MONTH($C240)=4,$Y$3,IF(MONTH($C240)=5,$Y$4,IF(MONTH($C240)=6,$Y$5,IF(MONTH($C240)=7,$Y$6,"ERROR")))),0),MAX(VLOOKUP($C240,COS!$B$8:$K$991,9,FALSE)-IF(MONTH($C240)=4,$V$3,IF(MONTH($C240)=5,$V$4,IF(MONTH($C240)=6,$V$5,IF(MONTH($C240)=7,$V$6,"ERROR"))))-VLOOKUP($C240,COS!$B$8:$K$991,6,FALSE)/2,0))</f>
        <v>1500</v>
      </c>
      <c r="S240" s="26">
        <f t="shared" si="382"/>
        <v>92.231404958677686</v>
      </c>
      <c r="T240" s="26">
        <f t="shared" si="383"/>
        <v>169.40542977829608</v>
      </c>
      <c r="U240" s="26" t="str">
        <f>IF(VLOOKUP($C240,COS!$B$8:$I$991,8,FALSE)=1,"UWFE","IBU")</f>
        <v>IBU</v>
      </c>
      <c r="V240" s="26">
        <f t="shared" ref="V240" si="385">MIN(IF(IF($AA$3=2,AND(E240=1,G240=1,L240=1,L244=1,M240=1,U240="IBU"),AND(E240=1,G240=1,L240=1,L244=1,M240=1)),T240,0),I240)</f>
        <v>163.33239088326445</v>
      </c>
      <c r="W240" s="26"/>
      <c r="X240" s="26"/>
      <c r="Y240" s="26"/>
      <c r="Z240" s="26"/>
      <c r="AA240" s="26"/>
      <c r="AB240" s="33"/>
    </row>
    <row r="241" spans="1:28" x14ac:dyDescent="0.3">
      <c r="A241" s="32">
        <f>VLOOKUP(YEAR(C241),Flags!$A$13:$B$95,2,FALSE)</f>
        <v>4</v>
      </c>
      <c r="B241" s="24">
        <f t="shared" si="328"/>
        <v>1947</v>
      </c>
      <c r="C241" s="25">
        <v>17348</v>
      </c>
      <c r="D241" s="26">
        <f>VLOOKUP($C241,COS!$B$8:$H$991,3,FALSE)</f>
        <v>10092.3349609375</v>
      </c>
      <c r="E241" s="24">
        <f>IF(D241&gt;=IF(MONTH($C241)=4,$C$3,IF(MONTH($C241)=5,$C$4,IF(MONTH($C241)=6,$C$5,IF(MONTH($C241)=7,$C$6,"ERROR")))),1,0)</f>
        <v>1</v>
      </c>
      <c r="F241" s="26">
        <f>VLOOKUP($C241,COS!$B$8:$H$991,7,FALSE)</f>
        <v>51.895301818847656</v>
      </c>
      <c r="G241" s="24">
        <f>IF(F241&lt;=IF(MONTH($C241)=4,$F$3,IF(MONTH($C241)=5,$F$4,IF(MONTH($C241)=6,$F$5,IF(MONTH($C241)=7,$F$6,"ERROR")))),1,0)</f>
        <v>1</v>
      </c>
      <c r="H241" s="26">
        <f>IF(J241=1,D241-$C$5,0)</f>
        <v>92.3349609375</v>
      </c>
      <c r="I241" s="26">
        <f t="shared" si="342"/>
        <v>5.4943117252066109</v>
      </c>
      <c r="J241" s="24">
        <f t="shared" si="377"/>
        <v>1</v>
      </c>
      <c r="K241" s="26">
        <f>VLOOKUP($C241,COS!$B$8:$H$991,2,FALSE)</f>
        <v>2880.829833984375</v>
      </c>
      <c r="L241" s="24">
        <f t="shared" si="333"/>
        <v>1</v>
      </c>
      <c r="M241" s="24">
        <f t="shared" si="334"/>
        <v>1</v>
      </c>
      <c r="N241" s="26">
        <f>VLOOKUP($C241,COS!$B$8:$H$991,5,FALSE)</f>
        <v>355.63311767578125</v>
      </c>
      <c r="O241" s="26">
        <f t="shared" si="380"/>
        <v>21.161640060046487</v>
      </c>
      <c r="P241" s="26">
        <f>VLOOKUP($C241,COS!$B$8:$H$991,6,FALSE)</f>
        <v>2534.749267578125</v>
      </c>
      <c r="Q241" s="26">
        <f t="shared" si="381"/>
        <v>150.82805559142562</v>
      </c>
      <c r="R241" s="26">
        <f>MIN(IF(MONTH($C241)=4,$S$3,IF(MONTH($C241)=5,$S$4,IF(MONTH($C241)=6,$S$5,IF(MONTH($C241)=7,$S$6,"ERROR")))),MAX(VLOOKUP($C241,COS!$B$8:$K$991,10,FALSE)-IF(MONTH($C241)=4,$Y$3,IF(MONTH($C241)=5,$Y$4,IF(MONTH($C241)=6,$Y$5,IF(MONTH($C241)=7,$Y$6,"ERROR")))),0),MAX(VLOOKUP($C241,COS!$B$8:$K$991,9,FALSE)-IF(MONTH($C241)=4,$V$3,IF(MONTH($C241)=5,$V$4,IF(MONTH($C241)=6,$V$5,IF(MONTH($C241)=7,$V$6,"ERROR"))))-VLOOKUP($C241,COS!$B$8:$K$991,6,FALSE)/2,0))</f>
        <v>1500</v>
      </c>
      <c r="S241" s="26">
        <f t="shared" si="382"/>
        <v>89.256198347107429</v>
      </c>
      <c r="T241" s="26">
        <f t="shared" si="383"/>
        <v>175.25104617284347</v>
      </c>
      <c r="U241" s="26" t="str">
        <f>IF(VLOOKUP($C241,COS!$B$8:$I$991,8,FALSE)=1,"UWFE","IBU")</f>
        <v>IBU</v>
      </c>
      <c r="V241" s="26">
        <f t="shared" ref="V241" si="386">MIN(IF(IF($AA$3=2,AND(E241=1,G241=1,L241=1,L244=1,M241=1,U241="IBU"),AND(E241=1,G241=1,L241=1,L244=1,M241=1)),T241,0),I241)</f>
        <v>5.4943117252066109</v>
      </c>
      <c r="W241" s="26"/>
      <c r="X241" s="26"/>
      <c r="Y241" s="26"/>
      <c r="Z241" s="26"/>
      <c r="AA241" s="26"/>
      <c r="AB241" s="33"/>
    </row>
    <row r="242" spans="1:28" x14ac:dyDescent="0.3">
      <c r="A242" s="32">
        <f>VLOOKUP(YEAR(C242),Flags!$A$13:$B$95,2,FALSE)</f>
        <v>4</v>
      </c>
      <c r="B242" s="24">
        <f t="shared" si="328"/>
        <v>1947</v>
      </c>
      <c r="C242" s="25">
        <v>17379</v>
      </c>
      <c r="D242" s="26">
        <f>VLOOKUP($C242,COS!$B$8:$H$991,3,FALSE)</f>
        <v>13768.3623046875</v>
      </c>
      <c r="E242" s="24">
        <f>IF(D242&gt;=IF(MONTH($C242)=4,$C$3,IF(MONTH($C242)=5,$C$4,IF(MONTH($C242)=6,$C$5,IF(MONTH($C242)=7,$C$6,"ERROR")))),1,0)</f>
        <v>1</v>
      </c>
      <c r="F242" s="26">
        <f>VLOOKUP($C242,COS!$B$8:$H$991,7,FALSE)</f>
        <v>53.452518463134766</v>
      </c>
      <c r="G242" s="24">
        <f>IF(F242&lt;=IF(MONTH($C242)=4,$F$3,IF(MONTH($C242)=5,$F$4,IF(MONTH($C242)=6,$F$5,IF(MONTH($C242)=7,$F$6,"ERROR")))),1,0)</f>
        <v>1</v>
      </c>
      <c r="H242" s="26">
        <f>IF(J242=1,D242-$C$6,0)</f>
        <v>1768.3623046875</v>
      </c>
      <c r="I242" s="26">
        <f t="shared" si="342"/>
        <v>108.73235989152892</v>
      </c>
      <c r="J242" s="24">
        <f t="shared" si="377"/>
        <v>1</v>
      </c>
      <c r="K242" s="26">
        <f>VLOOKUP($C242,COS!$B$8:$H$991,2,FALSE)</f>
        <v>2415.119140625</v>
      </c>
      <c r="L242" s="24">
        <f t="shared" si="333"/>
        <v>1</v>
      </c>
      <c r="M242" s="24">
        <f t="shared" si="334"/>
        <v>1</v>
      </c>
      <c r="N242" s="26">
        <f>VLOOKUP($C242,COS!$B$8:$H$991,5,FALSE)</f>
        <v>438.732666015625</v>
      </c>
      <c r="O242" s="26">
        <f t="shared" si="380"/>
        <v>26.976620125258265</v>
      </c>
      <c r="P242" s="26">
        <f>VLOOKUP($C242,COS!$B$8:$H$991,6,FALSE)</f>
        <v>2538.07568359375</v>
      </c>
      <c r="Q242" s="26">
        <f t="shared" si="381"/>
        <v>156.06019079287191</v>
      </c>
      <c r="R242" s="26">
        <f>MIN(IF(MONTH($C242)=4,$S$3,IF(MONTH($C242)=5,$S$4,IF(MONTH($C242)=6,$S$5,IF(MONTH($C242)=7,$S$6,"ERROR")))),MAX(VLOOKUP($C242,COS!$B$8:$K$991,10,FALSE)-IF(MONTH($C242)=4,$Y$3,IF(MONTH($C242)=5,$Y$4,IF(MONTH($C242)=6,$Y$5,IF(MONTH($C242)=7,$Y$6,"ERROR")))),0),MAX(VLOOKUP($C242,COS!$B$8:$K$991,9,FALSE)-IF(MONTH($C242)=4,$V$3,IF(MONTH($C242)=5,$V$4,IF(MONTH($C242)=6,$V$5,IF(MONTH($C242)=7,$V$6,"ERROR"))))-VLOOKUP($C242,COS!$B$8:$K$991,6,FALSE)/2,0))</f>
        <v>1500</v>
      </c>
      <c r="S242" s="26">
        <f t="shared" si="382"/>
        <v>92.231404958677686</v>
      </c>
      <c r="T242" s="26">
        <f t="shared" si="383"/>
        <v>183.74981041774276</v>
      </c>
      <c r="U242" s="26" t="str">
        <f>IF(VLOOKUP($C242,COS!$B$8:$I$991,8,FALSE)=1,"UWFE","IBU")</f>
        <v>IBU</v>
      </c>
      <c r="V242" s="26">
        <f t="shared" ref="V242" si="387">MIN(IF(IF($AA$3=2,AND(E242=1,G242=1,L242=1,L244=1,M242=1,U242="IBU"),AND(E242=1,G242=1,L242=1,L244=1,M242=1)),T242,0),I242)</f>
        <v>108.73235989152892</v>
      </c>
      <c r="W242" s="26"/>
      <c r="X242" s="26"/>
      <c r="Y242" s="26"/>
      <c r="Z242" s="26"/>
      <c r="AA242" s="26"/>
      <c r="AB242" s="33"/>
    </row>
    <row r="243" spans="1:28" x14ac:dyDescent="0.3">
      <c r="A243" s="32">
        <f>VLOOKUP(YEAR(C243),Flags!$A$13:$B$95,2,FALSE)</f>
        <v>4</v>
      </c>
      <c r="B243" s="24">
        <f t="shared" si="328"/>
        <v>1947</v>
      </c>
      <c r="C243" s="25">
        <v>17410</v>
      </c>
      <c r="D243" s="26"/>
      <c r="E243" s="24"/>
      <c r="F243" s="26"/>
      <c r="G243" s="24"/>
      <c r="H243" s="24"/>
      <c r="I243" s="26"/>
      <c r="J243" s="24"/>
      <c r="K243" s="26"/>
      <c r="L243" s="24"/>
      <c r="M243" s="24"/>
      <c r="N243" s="26"/>
      <c r="O243" s="26"/>
      <c r="P243" s="26"/>
      <c r="Q243" s="26"/>
      <c r="R243" s="26"/>
      <c r="S243" s="26"/>
      <c r="T243" s="26"/>
      <c r="U243" s="26"/>
      <c r="V243" s="26"/>
      <c r="W243" s="26">
        <f>MAX($C$7-VLOOKUP($C243,COS!$B$8:$H$991,3,FALSE),0)</f>
        <v>90847.5517578125</v>
      </c>
      <c r="X243" s="26">
        <f t="shared" si="347"/>
        <v>5585.9982237861568</v>
      </c>
      <c r="Y243" s="26">
        <f>VLOOKUP($C243,COS!$B$8:$H$991,4,FALSE)</f>
        <v>1509.713623046875</v>
      </c>
      <c r="Z243" s="26">
        <f t="shared" si="348"/>
        <v>92.828672359245871</v>
      </c>
      <c r="AA243" s="26">
        <f t="shared" ref="AA243:AA247" si="388">MIN(W243,Y243)</f>
        <v>1509.713623046875</v>
      </c>
      <c r="AB243" s="33">
        <f t="shared" ref="AB243" si="389">AA243*DAY($C243)*86400/43560/1000*IF(MONTH($C243)=8,$P$3,IF(MONTH($C243)=9,$P$4,IF(MONTH($C243)=10,$P$5,IF(MONTH($C243)=11,$P$6,IF(MONTH($C243)=12,$P$7,NA())))))</f>
        <v>92.828672359245871</v>
      </c>
    </row>
    <row r="244" spans="1:28" x14ac:dyDescent="0.3">
      <c r="A244" s="32">
        <f>VLOOKUP(YEAR(C244),Flags!$A$13:$B$95,2,FALSE)</f>
        <v>4</v>
      </c>
      <c r="B244" s="24">
        <f t="shared" si="328"/>
        <v>1947</v>
      </c>
      <c r="C244" s="25">
        <v>17440</v>
      </c>
      <c r="D244" s="26"/>
      <c r="E244" s="24"/>
      <c r="F244" s="26"/>
      <c r="G244" s="24"/>
      <c r="H244" s="24"/>
      <c r="I244" s="26"/>
      <c r="J244" s="24"/>
      <c r="K244" s="26">
        <f>VLOOKUP($C244,COS!$B$8:$H$991,2,FALSE)</f>
        <v>1968.9127197265625</v>
      </c>
      <c r="L244" s="24">
        <f t="shared" ref="L244" si="390">IF(AND(K244&gt;$I$7,K244&lt;$I$8),1,0)</f>
        <v>1</v>
      </c>
      <c r="M244" s="24"/>
      <c r="N244" s="26"/>
      <c r="O244" s="26"/>
      <c r="P244" s="26"/>
      <c r="Q244" s="26"/>
      <c r="R244" s="26"/>
      <c r="S244" s="26"/>
      <c r="T244" s="26"/>
      <c r="U244" s="26"/>
      <c r="V244" s="26"/>
      <c r="W244" s="26">
        <f>MAX($C$8-VLOOKUP($C244,COS!$B$8:$H$991,3,FALSE),0)</f>
        <v>94272.12744140625</v>
      </c>
      <c r="X244" s="26">
        <f t="shared" si="347"/>
        <v>5609.5811370092979</v>
      </c>
      <c r="Y244" s="26">
        <f>VLOOKUP($C244,COS!$B$8:$H$991,4,FALSE)</f>
        <v>1350.30224609375</v>
      </c>
      <c r="Z244" s="26">
        <f t="shared" si="348"/>
        <v>80.348563403925624</v>
      </c>
      <c r="AA244" s="26">
        <f t="shared" si="388"/>
        <v>1350.30224609375</v>
      </c>
      <c r="AB244" s="33">
        <f t="shared" si="345"/>
        <v>80.348563403925624</v>
      </c>
    </row>
    <row r="245" spans="1:28" x14ac:dyDescent="0.3">
      <c r="A245" s="32">
        <f>VLOOKUP(YEAR(C245),Flags!$A$13:$B$95,2,FALSE)</f>
        <v>4</v>
      </c>
      <c r="B245" s="24">
        <f t="shared" si="328"/>
        <v>1947</v>
      </c>
      <c r="C245" s="25">
        <v>17471</v>
      </c>
      <c r="D245" s="26"/>
      <c r="E245" s="24"/>
      <c r="F245" s="26"/>
      <c r="G245" s="26"/>
      <c r="H245" s="26"/>
      <c r="I245" s="26"/>
      <c r="J245" s="26"/>
      <c r="K245" s="26"/>
      <c r="L245" s="24"/>
      <c r="M245" s="24"/>
      <c r="N245" s="26"/>
      <c r="O245" s="26"/>
      <c r="P245" s="26"/>
      <c r="Q245" s="26"/>
      <c r="R245" s="26"/>
      <c r="S245" s="26"/>
      <c r="T245" s="26"/>
      <c r="U245" s="26"/>
      <c r="V245" s="26"/>
      <c r="W245" s="26">
        <f>MAX($C$9-VLOOKUP($C245,COS!$B$8:$H$991,3,FALSE),0)</f>
        <v>96632.93359375</v>
      </c>
      <c r="X245" s="26">
        <f t="shared" si="347"/>
        <v>5941.7274870867768</v>
      </c>
      <c r="Y245" s="26">
        <f>VLOOKUP($C245,COS!$B$8:$H$991,4,FALSE)</f>
        <v>1046.6112060546875</v>
      </c>
      <c r="Z245" s="26">
        <f t="shared" si="348"/>
        <v>64.353614653279962</v>
      </c>
      <c r="AA245" s="26">
        <f t="shared" si="388"/>
        <v>1046.6112060546875</v>
      </c>
      <c r="AB245" s="33">
        <f t="shared" si="345"/>
        <v>64.353614653279962</v>
      </c>
    </row>
    <row r="246" spans="1:28" x14ac:dyDescent="0.3">
      <c r="A246" s="32">
        <f>VLOOKUP(YEAR(C246),Flags!$A$13:$B$95,2,FALSE)</f>
        <v>4</v>
      </c>
      <c r="B246" s="24">
        <f t="shared" si="328"/>
        <v>1947</v>
      </c>
      <c r="C246" s="25">
        <v>17501</v>
      </c>
      <c r="D246" s="26"/>
      <c r="E246" s="24"/>
      <c r="F246" s="26"/>
      <c r="G246" s="26"/>
      <c r="H246" s="26"/>
      <c r="I246" s="26"/>
      <c r="J246" s="26"/>
      <c r="K246" s="26"/>
      <c r="L246" s="24"/>
      <c r="M246" s="24"/>
      <c r="N246" s="26"/>
      <c r="O246" s="26"/>
      <c r="P246" s="26"/>
      <c r="Q246" s="26"/>
      <c r="R246" s="26"/>
      <c r="S246" s="26"/>
      <c r="T246" s="26"/>
      <c r="U246" s="26"/>
      <c r="V246" s="26"/>
      <c r="W246" s="26">
        <f>MAX($C$10-VLOOKUP($C246,COS!$B$8:$H$991,3,FALSE),0)</f>
        <v>96749</v>
      </c>
      <c r="X246" s="26">
        <f t="shared" si="347"/>
        <v>5756.965289256198</v>
      </c>
      <c r="Y246" s="26">
        <f>VLOOKUP($C246,COS!$B$8:$H$991,4,FALSE)</f>
        <v>1013.9700927734375</v>
      </c>
      <c r="Z246" s="26">
        <f t="shared" si="348"/>
        <v>60.335410479080579</v>
      </c>
      <c r="AA246" s="26">
        <f t="shared" si="388"/>
        <v>1013.9700927734375</v>
      </c>
      <c r="AB246" s="33">
        <f t="shared" si="345"/>
        <v>30.16770523954029</v>
      </c>
    </row>
    <row r="247" spans="1:28" x14ac:dyDescent="0.3">
      <c r="A247" s="34">
        <f>VLOOKUP(YEAR(C247),Flags!$A$13:$B$95,2,FALSE)</f>
        <v>4</v>
      </c>
      <c r="B247" s="35">
        <f t="shared" si="328"/>
        <v>1947</v>
      </c>
      <c r="C247" s="36">
        <v>17532</v>
      </c>
      <c r="D247" s="37"/>
      <c r="E247" s="35"/>
      <c r="F247" s="37"/>
      <c r="G247" s="37"/>
      <c r="H247" s="37"/>
      <c r="I247" s="37"/>
      <c r="J247" s="37"/>
      <c r="K247" s="37"/>
      <c r="L247" s="35"/>
      <c r="M247" s="35"/>
      <c r="N247" s="37"/>
      <c r="O247" s="37"/>
      <c r="P247" s="37"/>
      <c r="Q247" s="37"/>
      <c r="R247" s="37"/>
      <c r="S247" s="37"/>
      <c r="T247" s="37"/>
      <c r="U247" s="37"/>
      <c r="V247" s="37"/>
      <c r="W247" s="37">
        <f>MAX($C$11-VLOOKUP($C247,COS!$B$8:$H$991,3,FALSE),0)</f>
        <v>0</v>
      </c>
      <c r="X247" s="37">
        <f t="shared" si="347"/>
        <v>0</v>
      </c>
      <c r="Y247" s="37">
        <f>VLOOKUP($C247,COS!$B$8:$H$991,4,FALSE)</f>
        <v>1615.037353515625</v>
      </c>
      <c r="Z247" s="37">
        <f t="shared" si="348"/>
        <v>99.304776116993807</v>
      </c>
      <c r="AA247" s="37">
        <f t="shared" si="388"/>
        <v>0</v>
      </c>
      <c r="AB247" s="38">
        <f t="shared" si="345"/>
        <v>0</v>
      </c>
    </row>
    <row r="248" spans="1:28" x14ac:dyDescent="0.3">
      <c r="A248" s="27">
        <f>VLOOKUP(YEAR(C248),Flags!$A$13:$B$95,2,FALSE)</f>
        <v>3</v>
      </c>
      <c r="B248" s="28">
        <f t="shared" si="328"/>
        <v>1948</v>
      </c>
      <c r="C248" s="29">
        <v>17653</v>
      </c>
      <c r="D248" s="30">
        <f>VLOOKUP($C248,COS!$B$8:$H$991,3,FALSE)</f>
        <v>3250</v>
      </c>
      <c r="E248" s="28">
        <f>IF(D248&gt;=IF(MONTH($C248)=4,$C$3,IF(MONTH($C248)=5,$C$4,IF(MONTH($C248)=6,$C$5,IF(MONTH($C248)=7,$C$6,"ERROR")))),1,0)</f>
        <v>0</v>
      </c>
      <c r="F248" s="30">
        <f>VLOOKUP($C248,COS!$B$8:$H$991,7,FALSE)</f>
        <v>49.87957763671875</v>
      </c>
      <c r="G248" s="28">
        <f>IF(F248&lt;=IF(MONTH($C248)=4,$F$3,IF(MONTH($C248)=5,$F$4,IF(MONTH($C248)=6,$F$5,IF(MONTH($C248)=7,$F$6,"ERROR")))),1,0)</f>
        <v>1</v>
      </c>
      <c r="H248" s="30">
        <f>IF(J248=1,D248-$C$3,0)</f>
        <v>0</v>
      </c>
      <c r="I248" s="30">
        <f t="shared" si="342"/>
        <v>0</v>
      </c>
      <c r="J248" s="28">
        <f t="shared" ref="J248:J251" si="391">IF(AND(E248=1,G248=1),1,0)</f>
        <v>0</v>
      </c>
      <c r="K248" s="30">
        <f>VLOOKUP($C248,COS!$B$8:$H$991,2,FALSE)</f>
        <v>4304.84423828125</v>
      </c>
      <c r="L248" s="28">
        <f t="shared" ref="L248" si="392">IF(K248&lt;=IF(MONTH($C248)=4,$I$3,IF(MONTH($C248)=5,$I$4,IF(MONTH($C248)=6,$I$5,IF(MONTH($C248)=7,$I$6,"ERROR")))),1,0)</f>
        <v>1</v>
      </c>
      <c r="M248" s="28">
        <f t="shared" ref="M248" si="393">VLOOKUP($A248,$L$3:$M$7,2,FALSE)</f>
        <v>1</v>
      </c>
      <c r="N248" s="30">
        <f>VLOOKUP($C248,COS!$B$8:$H$991,5,FALSE)</f>
        <v>46.918926239013672</v>
      </c>
      <c r="O248" s="30">
        <f t="shared" ref="O248:O251" si="394">N248*DAY($C248)*86400/43560/1000</f>
        <v>2.7918699910818052</v>
      </c>
      <c r="P248" s="30">
        <f>VLOOKUP($C248,COS!$B$8:$H$991,6,FALSE)</f>
        <v>211.80764770507813</v>
      </c>
      <c r="Q248" s="30">
        <f t="shared" ref="Q248:Q251" si="395">P248*DAY($C248)*86400/43560/1000</f>
        <v>12.603430276665806</v>
      </c>
      <c r="R248" s="30">
        <f>MIN(IF(MONTH($C248)=4,$S$3,IF(MONTH($C248)=5,$S$4,IF(MONTH($C248)=6,$S$5,IF(MONTH($C248)=7,$S$6,"ERROR")))),MAX(VLOOKUP($C248,COS!$B$8:$K$991,10,FALSE)-IF(MONTH($C248)=4,$Y$3,IF(MONTH($C248)=5,$Y$4,IF(MONTH($C248)=6,$Y$5,IF(MONTH($C248)=7,$Y$6,"ERROR")))),0),MAX(VLOOKUP($C248,COS!$B$8:$K$991,9,FALSE)-IF(MONTH($C248)=4,$V$3,IF(MONTH($C248)=5,$V$4,IF(MONTH($C248)=6,$V$5,IF(MONTH($C248)=7,$V$6,"ERROR"))))-VLOOKUP($C248,COS!$B$8:$K$991,6,FALSE)/2,0))</f>
        <v>1500</v>
      </c>
      <c r="S248" s="30">
        <f t="shared" ref="S248:S251" si="396">R248*DAY($C248)*86400/43560/1000</f>
        <v>89.256198347107429</v>
      </c>
      <c r="T248" s="30">
        <f t="shared" ref="T248:T251" si="397">(O248+Q248)/2+S248</f>
        <v>96.953848480981236</v>
      </c>
      <c r="U248" s="30" t="str">
        <f>IF(VLOOKUP($C248,COS!$B$8:$I$991,8,FALSE)=1,"UWFE","IBU")</f>
        <v>UWFE</v>
      </c>
      <c r="V248" s="30">
        <f t="shared" ref="V248" si="398">MIN(IF(IF($AA$3=2,AND(E248=1,G248=1,L248=1,L253=1,M248=1,U248="IBU"),AND(E248=1,G248=1,L248=1,L253=1,M248=1)),T248,0),I248)</f>
        <v>0</v>
      </c>
      <c r="W248" s="30"/>
      <c r="X248" s="30"/>
      <c r="Y248" s="30"/>
      <c r="Z248" s="30"/>
      <c r="AA248" s="30"/>
      <c r="AB248" s="31"/>
    </row>
    <row r="249" spans="1:28" x14ac:dyDescent="0.3">
      <c r="A249" s="32">
        <f>VLOOKUP(YEAR(C249),Flags!$A$13:$B$95,2,FALSE)</f>
        <v>3</v>
      </c>
      <c r="B249" s="24">
        <f t="shared" si="328"/>
        <v>1948</v>
      </c>
      <c r="C249" s="25">
        <v>17684</v>
      </c>
      <c r="D249" s="26">
        <f>VLOOKUP($C249,COS!$B$8:$H$991,3,FALSE)</f>
        <v>9188.48046875</v>
      </c>
      <c r="E249" s="24">
        <f>IF(D249&gt;=IF(MONTH($C249)=4,$C$3,IF(MONTH($C249)=5,$C$4,IF(MONTH($C249)=6,$C$5,IF(MONTH($C249)=7,$C$6,"ERROR")))),1,0)</f>
        <v>1</v>
      </c>
      <c r="F249" s="26">
        <f>VLOOKUP($C249,COS!$B$8:$H$991,7,FALSE)</f>
        <v>49.27020263671875</v>
      </c>
      <c r="G249" s="24">
        <f>IF(F249&lt;=IF(MONTH($C249)=4,$F$3,IF(MONTH($C249)=5,$F$4,IF(MONTH($C249)=6,$F$5,IF(MONTH($C249)=7,$F$6,"ERROR")))),1,0)</f>
        <v>1</v>
      </c>
      <c r="H249" s="26">
        <f>IF(J249=1,D249-$C$4,0)</f>
        <v>3188.48046875</v>
      </c>
      <c r="I249" s="26">
        <f t="shared" si="342"/>
        <v>196.05202221074381</v>
      </c>
      <c r="J249" s="24">
        <f t="shared" si="391"/>
        <v>1</v>
      </c>
      <c r="K249" s="26">
        <f>VLOOKUP($C249,COS!$B$8:$H$991,2,FALSE)</f>
        <v>4552</v>
      </c>
      <c r="L249" s="24">
        <f t="shared" si="333"/>
        <v>1</v>
      </c>
      <c r="M249" s="24">
        <f t="shared" si="334"/>
        <v>1</v>
      </c>
      <c r="N249" s="26">
        <f>VLOOKUP($C249,COS!$B$8:$H$991,5,FALSE)</f>
        <v>414.791748046875</v>
      </c>
      <c r="O249" s="26">
        <f t="shared" si="394"/>
        <v>25.50455045841942</v>
      </c>
      <c r="P249" s="26">
        <f>VLOOKUP($C249,COS!$B$8:$H$991,6,FALSE)</f>
        <v>1547.1707763671875</v>
      </c>
      <c r="Q249" s="26">
        <f t="shared" si="395"/>
        <v>95.131822943569219</v>
      </c>
      <c r="R249" s="26">
        <f>MIN(IF(MONTH($C249)=4,$S$3,IF(MONTH($C249)=5,$S$4,IF(MONTH($C249)=6,$S$5,IF(MONTH($C249)=7,$S$6,"ERROR")))),MAX(VLOOKUP($C249,COS!$B$8:$K$991,10,FALSE)-IF(MONTH($C249)=4,$Y$3,IF(MONTH($C249)=5,$Y$4,IF(MONTH($C249)=6,$Y$5,IF(MONTH($C249)=7,$Y$6,"ERROR")))),0),MAX(VLOOKUP($C249,COS!$B$8:$K$991,9,FALSE)-IF(MONTH($C249)=4,$V$3,IF(MONTH($C249)=5,$V$4,IF(MONTH($C249)=6,$V$5,IF(MONTH($C249)=7,$V$6,"ERROR"))))-VLOOKUP($C249,COS!$B$8:$K$991,6,FALSE)/2,0))</f>
        <v>1500</v>
      </c>
      <c r="S249" s="26">
        <f t="shared" si="396"/>
        <v>92.231404958677686</v>
      </c>
      <c r="T249" s="26">
        <f t="shared" si="397"/>
        <v>152.54959165967199</v>
      </c>
      <c r="U249" s="26" t="str">
        <f>IF(VLOOKUP($C249,COS!$B$8:$I$991,8,FALSE)=1,"UWFE","IBU")</f>
        <v>UWFE</v>
      </c>
      <c r="V249" s="26">
        <f t="shared" ref="V249" si="399">MIN(IF(IF($AA$3=2,AND(E249=1,G249=1,L249=1,L253=1,M249=1,U249="IBU"),AND(E249=1,G249=1,L249=1,L253=1,M249=1)),T249,0),I249)</f>
        <v>0</v>
      </c>
      <c r="W249" s="26"/>
      <c r="X249" s="26"/>
      <c r="Y249" s="26"/>
      <c r="Z249" s="26"/>
      <c r="AA249" s="26"/>
      <c r="AB249" s="33"/>
    </row>
    <row r="250" spans="1:28" x14ac:dyDescent="0.3">
      <c r="A250" s="32">
        <f>VLOOKUP(YEAR(C250),Flags!$A$13:$B$95,2,FALSE)</f>
        <v>3</v>
      </c>
      <c r="B250" s="24">
        <f t="shared" si="328"/>
        <v>1948</v>
      </c>
      <c r="C250" s="25">
        <v>17714</v>
      </c>
      <c r="D250" s="26">
        <f>VLOOKUP($C250,COS!$B$8:$H$991,3,FALSE)</f>
        <v>8322.865234375</v>
      </c>
      <c r="E250" s="24">
        <f>IF(D250&gt;=IF(MONTH($C250)=4,$C$3,IF(MONTH($C250)=5,$C$4,IF(MONTH($C250)=6,$C$5,IF(MONTH($C250)=7,$C$6,"ERROR")))),1,0)</f>
        <v>0</v>
      </c>
      <c r="F250" s="26">
        <f>VLOOKUP($C250,COS!$B$8:$H$991,7,FALSE)</f>
        <v>51.372959136962891</v>
      </c>
      <c r="G250" s="24">
        <f>IF(F250&lt;=IF(MONTH($C250)=4,$F$3,IF(MONTH($C250)=5,$F$4,IF(MONTH($C250)=6,$F$5,IF(MONTH($C250)=7,$F$6,"ERROR")))),1,0)</f>
        <v>1</v>
      </c>
      <c r="H250" s="26">
        <f>IF(J250=1,D250-$C$5,0)</f>
        <v>0</v>
      </c>
      <c r="I250" s="26">
        <f t="shared" si="342"/>
        <v>0</v>
      </c>
      <c r="J250" s="24">
        <f t="shared" si="391"/>
        <v>0</v>
      </c>
      <c r="K250" s="26">
        <f>VLOOKUP($C250,COS!$B$8:$H$991,2,FALSE)</f>
        <v>4500</v>
      </c>
      <c r="L250" s="24">
        <f t="shared" si="333"/>
        <v>1</v>
      </c>
      <c r="M250" s="24">
        <f t="shared" si="334"/>
        <v>1</v>
      </c>
      <c r="N250" s="26">
        <f>VLOOKUP($C250,COS!$B$8:$H$991,5,FALSE)</f>
        <v>739.47967529296875</v>
      </c>
      <c r="O250" s="26">
        <f t="shared" si="394"/>
        <v>44.002096381069215</v>
      </c>
      <c r="P250" s="26">
        <f>VLOOKUP($C250,COS!$B$8:$H$991,6,FALSE)</f>
        <v>2358.41552734375</v>
      </c>
      <c r="Q250" s="26">
        <f t="shared" si="395"/>
        <v>140.33546939566114</v>
      </c>
      <c r="R250" s="26">
        <f>MIN(IF(MONTH($C250)=4,$S$3,IF(MONTH($C250)=5,$S$4,IF(MONTH($C250)=6,$S$5,IF(MONTH($C250)=7,$S$6,"ERROR")))),MAX(VLOOKUP($C250,COS!$B$8:$K$991,10,FALSE)-IF(MONTH($C250)=4,$Y$3,IF(MONTH($C250)=5,$Y$4,IF(MONTH($C250)=6,$Y$5,IF(MONTH($C250)=7,$Y$6,"ERROR")))),0),MAX(VLOOKUP($C250,COS!$B$8:$K$991,9,FALSE)-IF(MONTH($C250)=4,$V$3,IF(MONTH($C250)=5,$V$4,IF(MONTH($C250)=6,$V$5,IF(MONTH($C250)=7,$V$6,"ERROR"))))-VLOOKUP($C250,COS!$B$8:$K$991,6,FALSE)/2,0))</f>
        <v>1500</v>
      </c>
      <c r="S250" s="26">
        <f t="shared" si="396"/>
        <v>89.256198347107429</v>
      </c>
      <c r="T250" s="26">
        <f t="shared" si="397"/>
        <v>181.42498123547261</v>
      </c>
      <c r="U250" s="26" t="str">
        <f>IF(VLOOKUP($C250,COS!$B$8:$I$991,8,FALSE)=1,"UWFE","IBU")</f>
        <v>UWFE</v>
      </c>
      <c r="V250" s="26">
        <f t="shared" ref="V250" si="400">MIN(IF(IF($AA$3=2,AND(E250=1,G250=1,L250=1,L253=1,M250=1,U250="IBU"),AND(E250=1,G250=1,L250=1,L253=1,M250=1)),T250,0),I250)</f>
        <v>0</v>
      </c>
      <c r="W250" s="26"/>
      <c r="X250" s="26"/>
      <c r="Y250" s="26"/>
      <c r="Z250" s="26"/>
      <c r="AA250" s="26"/>
      <c r="AB250" s="33"/>
    </row>
    <row r="251" spans="1:28" x14ac:dyDescent="0.3">
      <c r="A251" s="32">
        <f>VLOOKUP(YEAR(C251),Flags!$A$13:$B$95,2,FALSE)</f>
        <v>3</v>
      </c>
      <c r="B251" s="24">
        <f t="shared" si="328"/>
        <v>1948</v>
      </c>
      <c r="C251" s="25">
        <v>17745</v>
      </c>
      <c r="D251" s="26">
        <f>VLOOKUP($C251,COS!$B$8:$H$991,3,FALSE)</f>
        <v>12203.6953125</v>
      </c>
      <c r="E251" s="24">
        <f>IF(D251&gt;=IF(MONTH($C251)=4,$C$3,IF(MONTH($C251)=5,$C$4,IF(MONTH($C251)=6,$C$5,IF(MONTH($C251)=7,$C$6,"ERROR")))),1,0)</f>
        <v>1</v>
      </c>
      <c r="F251" s="26">
        <f>VLOOKUP($C251,COS!$B$8:$H$991,7,FALSE)</f>
        <v>51.679328918457031</v>
      </c>
      <c r="G251" s="24">
        <f>IF(F251&lt;=IF(MONTH($C251)=4,$F$3,IF(MONTH($C251)=5,$F$4,IF(MONTH($C251)=6,$F$5,IF(MONTH($C251)=7,$F$6,"ERROR")))),1,0)</f>
        <v>1</v>
      </c>
      <c r="H251" s="26">
        <f>IF(J251=1,D251-$C$6,0)</f>
        <v>203.6953125</v>
      </c>
      <c r="I251" s="26">
        <f t="shared" si="342"/>
        <v>12.524736570247935</v>
      </c>
      <c r="J251" s="24">
        <f t="shared" si="391"/>
        <v>1</v>
      </c>
      <c r="K251" s="26">
        <f>VLOOKUP($C251,COS!$B$8:$H$991,2,FALSE)</f>
        <v>3932.43017578125</v>
      </c>
      <c r="L251" s="24">
        <f t="shared" si="333"/>
        <v>1</v>
      </c>
      <c r="M251" s="24">
        <f t="shared" si="334"/>
        <v>1</v>
      </c>
      <c r="N251" s="26">
        <f>VLOOKUP($C251,COS!$B$8:$H$991,5,FALSE)</f>
        <v>1057.1549072265625</v>
      </c>
      <c r="O251" s="26">
        <f t="shared" si="394"/>
        <v>65.001921568310948</v>
      </c>
      <c r="P251" s="26">
        <f>VLOOKUP($C251,COS!$B$8:$H$991,6,FALSE)</f>
        <v>2632.5888671875</v>
      </c>
      <c r="Q251" s="26">
        <f t="shared" si="395"/>
        <v>161.87157993285126</v>
      </c>
      <c r="R251" s="26">
        <f>MIN(IF(MONTH($C251)=4,$S$3,IF(MONTH($C251)=5,$S$4,IF(MONTH($C251)=6,$S$5,IF(MONTH($C251)=7,$S$6,"ERROR")))),MAX(VLOOKUP($C251,COS!$B$8:$K$991,10,FALSE)-IF(MONTH($C251)=4,$Y$3,IF(MONTH($C251)=5,$Y$4,IF(MONTH($C251)=6,$Y$5,IF(MONTH($C251)=7,$Y$6,"ERROR")))),0),MAX(VLOOKUP($C251,COS!$B$8:$K$991,9,FALSE)-IF(MONTH($C251)=4,$V$3,IF(MONTH($C251)=5,$V$4,IF(MONTH($C251)=6,$V$5,IF(MONTH($C251)=7,$V$6,"ERROR"))))-VLOOKUP($C251,COS!$B$8:$K$991,6,FALSE)/2,0))</f>
        <v>1500</v>
      </c>
      <c r="S251" s="26">
        <f t="shared" si="396"/>
        <v>92.231404958677686</v>
      </c>
      <c r="T251" s="26">
        <f t="shared" si="397"/>
        <v>205.66815570925877</v>
      </c>
      <c r="U251" s="26" t="str">
        <f>IF(VLOOKUP($C251,COS!$B$8:$I$991,8,FALSE)=1,"UWFE","IBU")</f>
        <v>IBU</v>
      </c>
      <c r="V251" s="26">
        <f t="shared" ref="V251" si="401">MIN(IF(IF($AA$3=2,AND(E251=1,G251=1,L251=1,L253=1,M251=1,U251="IBU"),AND(E251=1,G251=1,L251=1,L253=1,M251=1)),T251,0),I251)</f>
        <v>12.524736570247935</v>
      </c>
      <c r="W251" s="26"/>
      <c r="X251" s="26"/>
      <c r="Y251" s="26"/>
      <c r="Z251" s="26"/>
      <c r="AA251" s="26"/>
      <c r="AB251" s="33"/>
    </row>
    <row r="252" spans="1:28" x14ac:dyDescent="0.3">
      <c r="A252" s="32">
        <f>VLOOKUP(YEAR(C252),Flags!$A$13:$B$95,2,FALSE)</f>
        <v>3</v>
      </c>
      <c r="B252" s="24">
        <f t="shared" si="328"/>
        <v>1948</v>
      </c>
      <c r="C252" s="25">
        <v>17776</v>
      </c>
      <c r="D252" s="26"/>
      <c r="E252" s="24"/>
      <c r="F252" s="26"/>
      <c r="G252" s="24"/>
      <c r="H252" s="24"/>
      <c r="I252" s="26"/>
      <c r="J252" s="24"/>
      <c r="K252" s="26"/>
      <c r="L252" s="24"/>
      <c r="M252" s="24"/>
      <c r="N252" s="26"/>
      <c r="O252" s="26"/>
      <c r="P252" s="26"/>
      <c r="Q252" s="26"/>
      <c r="R252" s="26"/>
      <c r="S252" s="26"/>
      <c r="T252" s="26"/>
      <c r="U252" s="26"/>
      <c r="V252" s="26"/>
      <c r="W252" s="26">
        <f>MAX($C$7-VLOOKUP($C252,COS!$B$8:$H$991,3,FALSE),0)</f>
        <v>90274.7529296875</v>
      </c>
      <c r="X252" s="26">
        <f t="shared" si="347"/>
        <v>5550.7781966683888</v>
      </c>
      <c r="Y252" s="26">
        <f>VLOOKUP($C252,COS!$B$8:$H$991,4,FALSE)</f>
        <v>181.02853393554688</v>
      </c>
      <c r="Z252" s="26">
        <f t="shared" si="348"/>
        <v>11.131010681656766</v>
      </c>
      <c r="AA252" s="26">
        <f t="shared" ref="AA252:AA256" si="402">MIN(W252,Y252)</f>
        <v>181.02853393554688</v>
      </c>
      <c r="AB252" s="33">
        <f t="shared" ref="AB252" si="403">AA252*DAY($C252)*86400/43560/1000*IF(MONTH($C252)=8,$P$3,IF(MONTH($C252)=9,$P$4,IF(MONTH($C252)=10,$P$5,IF(MONTH($C252)=11,$P$6,IF(MONTH($C252)=12,$P$7,NA())))))</f>
        <v>11.131010681656766</v>
      </c>
    </row>
    <row r="253" spans="1:28" x14ac:dyDescent="0.3">
      <c r="A253" s="32">
        <f>VLOOKUP(YEAR(C253),Flags!$A$13:$B$95,2,FALSE)</f>
        <v>3</v>
      </c>
      <c r="B253" s="24">
        <f t="shared" si="328"/>
        <v>1948</v>
      </c>
      <c r="C253" s="25">
        <v>17806</v>
      </c>
      <c r="D253" s="26"/>
      <c r="E253" s="24"/>
      <c r="F253" s="26"/>
      <c r="G253" s="24"/>
      <c r="H253" s="24"/>
      <c r="I253" s="26"/>
      <c r="J253" s="24"/>
      <c r="K253" s="26">
        <f>VLOOKUP($C253,COS!$B$8:$H$991,2,FALSE)</f>
        <v>3400</v>
      </c>
      <c r="L253" s="24">
        <f t="shared" ref="L253" si="404">IF(AND(K253&gt;$I$7,K253&lt;$I$8),1,0)</f>
        <v>1</v>
      </c>
      <c r="M253" s="24"/>
      <c r="N253" s="26"/>
      <c r="O253" s="26"/>
      <c r="P253" s="26"/>
      <c r="Q253" s="26"/>
      <c r="R253" s="26"/>
      <c r="S253" s="26"/>
      <c r="T253" s="26"/>
      <c r="U253" s="26"/>
      <c r="V253" s="26"/>
      <c r="W253" s="26">
        <f>MAX($C$8-VLOOKUP($C253,COS!$B$8:$H$991,3,FALSE),0)</f>
        <v>94375.82568359375</v>
      </c>
      <c r="X253" s="26">
        <f t="shared" si="347"/>
        <v>5615.7516109245862</v>
      </c>
      <c r="Y253" s="26">
        <f>VLOOKUP($C253,COS!$B$8:$H$991,4,FALSE)</f>
        <v>0</v>
      </c>
      <c r="Z253" s="26">
        <f t="shared" si="348"/>
        <v>0</v>
      </c>
      <c r="AA253" s="26">
        <f t="shared" si="402"/>
        <v>0</v>
      </c>
      <c r="AB253" s="33">
        <f t="shared" si="345"/>
        <v>0</v>
      </c>
    </row>
    <row r="254" spans="1:28" x14ac:dyDescent="0.3">
      <c r="A254" s="32">
        <f>VLOOKUP(YEAR(C254),Flags!$A$13:$B$95,2,FALSE)</f>
        <v>3</v>
      </c>
      <c r="B254" s="24">
        <f t="shared" si="328"/>
        <v>1948</v>
      </c>
      <c r="C254" s="25">
        <v>17837</v>
      </c>
      <c r="D254" s="26"/>
      <c r="E254" s="24"/>
      <c r="F254" s="26"/>
      <c r="G254" s="26"/>
      <c r="H254" s="26"/>
      <c r="I254" s="26"/>
      <c r="J254" s="26"/>
      <c r="K254" s="26"/>
      <c r="L254" s="24"/>
      <c r="M254" s="24"/>
      <c r="N254" s="26"/>
      <c r="O254" s="26"/>
      <c r="P254" s="26"/>
      <c r="Q254" s="26"/>
      <c r="R254" s="26"/>
      <c r="S254" s="26"/>
      <c r="T254" s="26"/>
      <c r="U254" s="26"/>
      <c r="V254" s="26"/>
      <c r="W254" s="26">
        <f>MAX($C$9-VLOOKUP($C254,COS!$B$8:$H$991,3,FALSE),0)</f>
        <v>93532.60888671875</v>
      </c>
      <c r="X254" s="26">
        <f t="shared" si="347"/>
        <v>5751.0959513817152</v>
      </c>
      <c r="Y254" s="26">
        <f>VLOOKUP($C254,COS!$B$8:$H$991,4,FALSE)</f>
        <v>756.62615966796875</v>
      </c>
      <c r="Z254" s="26">
        <f t="shared" si="348"/>
        <v>46.523129156443694</v>
      </c>
      <c r="AA254" s="26">
        <f t="shared" si="402"/>
        <v>756.62615966796875</v>
      </c>
      <c r="AB254" s="33">
        <f t="shared" si="345"/>
        <v>46.523129156443694</v>
      </c>
    </row>
    <row r="255" spans="1:28" x14ac:dyDescent="0.3">
      <c r="A255" s="32">
        <f>VLOOKUP(YEAR(C255),Flags!$A$13:$B$95,2,FALSE)</f>
        <v>3</v>
      </c>
      <c r="B255" s="24">
        <f t="shared" si="328"/>
        <v>1948</v>
      </c>
      <c r="C255" s="25">
        <v>17867</v>
      </c>
      <c r="D255" s="26"/>
      <c r="E255" s="24"/>
      <c r="F255" s="26"/>
      <c r="G255" s="26"/>
      <c r="H255" s="26"/>
      <c r="I255" s="26"/>
      <c r="J255" s="26"/>
      <c r="K255" s="26"/>
      <c r="L255" s="24"/>
      <c r="M255" s="24"/>
      <c r="N255" s="26"/>
      <c r="O255" s="26"/>
      <c r="P255" s="26"/>
      <c r="Q255" s="26"/>
      <c r="R255" s="26"/>
      <c r="S255" s="26"/>
      <c r="T255" s="26"/>
      <c r="U255" s="26"/>
      <c r="V255" s="26"/>
      <c r="W255" s="26">
        <f>MAX($C$10-VLOOKUP($C255,COS!$B$8:$H$991,3,FALSE),0)</f>
        <v>95683.03125</v>
      </c>
      <c r="X255" s="26">
        <f t="shared" si="347"/>
        <v>5693.5357438016526</v>
      </c>
      <c r="Y255" s="26">
        <f>VLOOKUP($C255,COS!$B$8:$H$991,4,FALSE)</f>
        <v>1042.5562744140625</v>
      </c>
      <c r="Z255" s="26">
        <f t="shared" si="348"/>
        <v>62.036406411415285</v>
      </c>
      <c r="AA255" s="26">
        <f t="shared" si="402"/>
        <v>1042.5562744140625</v>
      </c>
      <c r="AB255" s="33">
        <f t="shared" si="345"/>
        <v>31.018203205707643</v>
      </c>
    </row>
    <row r="256" spans="1:28" x14ac:dyDescent="0.3">
      <c r="A256" s="34">
        <f>VLOOKUP(YEAR(C256),Flags!$A$13:$B$95,2,FALSE)</f>
        <v>3</v>
      </c>
      <c r="B256" s="35">
        <f t="shared" si="328"/>
        <v>1948</v>
      </c>
      <c r="C256" s="36">
        <v>17898</v>
      </c>
      <c r="D256" s="37"/>
      <c r="E256" s="35"/>
      <c r="F256" s="37"/>
      <c r="G256" s="37"/>
      <c r="H256" s="37"/>
      <c r="I256" s="37"/>
      <c r="J256" s="37"/>
      <c r="K256" s="37"/>
      <c r="L256" s="35"/>
      <c r="M256" s="35"/>
      <c r="N256" s="37"/>
      <c r="O256" s="37"/>
      <c r="P256" s="37"/>
      <c r="Q256" s="37"/>
      <c r="R256" s="37"/>
      <c r="S256" s="37"/>
      <c r="T256" s="37"/>
      <c r="U256" s="37"/>
      <c r="V256" s="37"/>
      <c r="W256" s="37">
        <f>MAX($C$11-VLOOKUP($C256,COS!$B$8:$H$991,3,FALSE),0)</f>
        <v>0</v>
      </c>
      <c r="X256" s="37">
        <f t="shared" si="347"/>
        <v>0</v>
      </c>
      <c r="Y256" s="37">
        <f>VLOOKUP($C256,COS!$B$8:$H$991,4,FALSE)</f>
        <v>1411.7911376953125</v>
      </c>
      <c r="Z256" s="37">
        <f t="shared" si="348"/>
        <v>86.807653425232431</v>
      </c>
      <c r="AA256" s="37">
        <f t="shared" si="402"/>
        <v>0</v>
      </c>
      <c r="AB256" s="38">
        <f t="shared" si="345"/>
        <v>0</v>
      </c>
    </row>
    <row r="257" spans="1:28" x14ac:dyDescent="0.3">
      <c r="A257" s="27">
        <f>VLOOKUP(YEAR(C257),Flags!$A$13:$B$95,2,FALSE)</f>
        <v>4</v>
      </c>
      <c r="B257" s="28">
        <f t="shared" si="328"/>
        <v>1949</v>
      </c>
      <c r="C257" s="29">
        <v>18018</v>
      </c>
      <c r="D257" s="30">
        <f>VLOOKUP($C257,COS!$B$8:$H$991,3,FALSE)</f>
        <v>3250</v>
      </c>
      <c r="E257" s="28">
        <f>IF(D257&gt;=IF(MONTH($C257)=4,$C$3,IF(MONTH($C257)=5,$C$4,IF(MONTH($C257)=6,$C$5,IF(MONTH($C257)=7,$C$6,"ERROR")))),1,0)</f>
        <v>0</v>
      </c>
      <c r="F257" s="30">
        <f>VLOOKUP($C257,COS!$B$8:$H$991,7,FALSE)</f>
        <v>51.698932647705078</v>
      </c>
      <c r="G257" s="28">
        <f>IF(F257&lt;=IF(MONTH($C257)=4,$F$3,IF(MONTH($C257)=5,$F$4,IF(MONTH($C257)=6,$F$5,IF(MONTH($C257)=7,$F$6,"ERROR")))),1,0)</f>
        <v>1</v>
      </c>
      <c r="H257" s="30">
        <f>IF(J257=1,D257-$C$3,0)</f>
        <v>0</v>
      </c>
      <c r="I257" s="30">
        <f t="shared" si="342"/>
        <v>0</v>
      </c>
      <c r="J257" s="28">
        <f t="shared" ref="J257:J260" si="405">IF(AND(E257=1,G257=1),1,0)</f>
        <v>0</v>
      </c>
      <c r="K257" s="30">
        <f>VLOOKUP($C257,COS!$B$8:$H$991,2,FALSE)</f>
        <v>4435.89990234375</v>
      </c>
      <c r="L257" s="28">
        <f t="shared" ref="L257" si="406">IF(K257&lt;=IF(MONTH($C257)=4,$I$3,IF(MONTH($C257)=5,$I$4,IF(MONTH($C257)=6,$I$5,IF(MONTH($C257)=7,$I$6,"ERROR")))),1,0)</f>
        <v>1</v>
      </c>
      <c r="M257" s="28">
        <f t="shared" ref="M257" si="407">VLOOKUP($A257,$L$3:$M$7,2,FALSE)</f>
        <v>1</v>
      </c>
      <c r="N257" s="30">
        <f>VLOOKUP($C257,COS!$B$8:$H$991,5,FALSE)</f>
        <v>261.805908203125</v>
      </c>
      <c r="O257" s="30">
        <f t="shared" ref="O257:O260" si="408">N257*DAY($C257)*86400/43560/1000</f>
        <v>15.578533380681819</v>
      </c>
      <c r="P257" s="30">
        <f>VLOOKUP($C257,COS!$B$8:$H$991,6,FALSE)</f>
        <v>454.90377807617188</v>
      </c>
      <c r="Q257" s="30">
        <f t="shared" ref="Q257:Q260" si="409">P257*DAY($C257)*86400/43560/1000</f>
        <v>27.068654563210227</v>
      </c>
      <c r="R257" s="30">
        <f>MIN(IF(MONTH($C257)=4,$S$3,IF(MONTH($C257)=5,$S$4,IF(MONTH($C257)=6,$S$5,IF(MONTH($C257)=7,$S$6,"ERROR")))),MAX(VLOOKUP($C257,COS!$B$8:$K$991,10,FALSE)-IF(MONTH($C257)=4,$Y$3,IF(MONTH($C257)=5,$Y$4,IF(MONTH($C257)=6,$Y$5,IF(MONTH($C257)=7,$Y$6,"ERROR")))),0),MAX(VLOOKUP($C257,COS!$B$8:$K$991,9,FALSE)-IF(MONTH($C257)=4,$V$3,IF(MONTH($C257)=5,$V$4,IF(MONTH($C257)=6,$V$5,IF(MONTH($C257)=7,$V$6,"ERROR"))))-VLOOKUP($C257,COS!$B$8:$K$991,6,FALSE)/2,0))</f>
        <v>1500</v>
      </c>
      <c r="S257" s="30">
        <f t="shared" ref="S257:S260" si="410">R257*DAY($C257)*86400/43560/1000</f>
        <v>89.256198347107429</v>
      </c>
      <c r="T257" s="30">
        <f t="shared" ref="T257:T260" si="411">(O257+Q257)/2+S257</f>
        <v>110.57979231905345</v>
      </c>
      <c r="U257" s="30" t="str">
        <f>IF(VLOOKUP($C257,COS!$B$8:$I$991,8,FALSE)=1,"UWFE","IBU")</f>
        <v>UWFE</v>
      </c>
      <c r="V257" s="30">
        <f t="shared" ref="V257" si="412">MIN(IF(IF($AA$3=2,AND(E257=1,G257=1,L257=1,L262=1,M257=1,U257="IBU"),AND(E257=1,G257=1,L257=1,L262=1,M257=1)),T257,0),I257)</f>
        <v>0</v>
      </c>
      <c r="W257" s="30"/>
      <c r="X257" s="30"/>
      <c r="Y257" s="30"/>
      <c r="Z257" s="30"/>
      <c r="AA257" s="30"/>
      <c r="AB257" s="31"/>
    </row>
    <row r="258" spans="1:28" x14ac:dyDescent="0.3">
      <c r="A258" s="32">
        <f>VLOOKUP(YEAR(C258),Flags!$A$13:$B$95,2,FALSE)</f>
        <v>4</v>
      </c>
      <c r="B258" s="24">
        <f t="shared" si="328"/>
        <v>1949</v>
      </c>
      <c r="C258" s="25">
        <v>18049</v>
      </c>
      <c r="D258" s="26">
        <f>VLOOKUP($C258,COS!$B$8:$H$991,3,FALSE)</f>
        <v>6600.49267578125</v>
      </c>
      <c r="E258" s="24">
        <f>IF(D258&gt;=IF(MONTH($C258)=4,$C$3,IF(MONTH($C258)=5,$C$4,IF(MONTH($C258)=6,$C$5,IF(MONTH($C258)=7,$C$6,"ERROR")))),1,0)</f>
        <v>1</v>
      </c>
      <c r="F258" s="26">
        <f>VLOOKUP($C258,COS!$B$8:$H$991,7,FALSE)</f>
        <v>50.530754089355469</v>
      </c>
      <c r="G258" s="24">
        <f>IF(F258&lt;=IF(MONTH($C258)=4,$F$3,IF(MONTH($C258)=5,$F$4,IF(MONTH($C258)=6,$F$5,IF(MONTH($C258)=7,$F$6,"ERROR")))),1,0)</f>
        <v>1</v>
      </c>
      <c r="H258" s="26">
        <f>IF(J258=1,D258-$C$4,0)</f>
        <v>600.49267578125</v>
      </c>
      <c r="I258" s="26">
        <f t="shared" si="342"/>
        <v>36.922855436466939</v>
      </c>
      <c r="J258" s="24">
        <f t="shared" si="405"/>
        <v>1</v>
      </c>
      <c r="K258" s="26">
        <f>VLOOKUP($C258,COS!$B$8:$H$991,2,FALSE)</f>
        <v>4429.88037109375</v>
      </c>
      <c r="L258" s="24">
        <f t="shared" si="333"/>
        <v>1</v>
      </c>
      <c r="M258" s="24">
        <f t="shared" si="334"/>
        <v>1</v>
      </c>
      <c r="N258" s="26">
        <f>VLOOKUP($C258,COS!$B$8:$H$991,5,FALSE)</f>
        <v>565.04315185546875</v>
      </c>
      <c r="O258" s="26">
        <f t="shared" si="408"/>
        <v>34.743149171939564</v>
      </c>
      <c r="P258" s="26">
        <f>VLOOKUP($C258,COS!$B$8:$H$991,6,FALSE)</f>
        <v>2066.162353515625</v>
      </c>
      <c r="Q258" s="26">
        <f t="shared" si="409"/>
        <v>127.04337115831612</v>
      </c>
      <c r="R258" s="26">
        <f>MIN(IF(MONTH($C258)=4,$S$3,IF(MONTH($C258)=5,$S$4,IF(MONTH($C258)=6,$S$5,IF(MONTH($C258)=7,$S$6,"ERROR")))),MAX(VLOOKUP($C258,COS!$B$8:$K$991,10,FALSE)-IF(MONTH($C258)=4,$Y$3,IF(MONTH($C258)=5,$Y$4,IF(MONTH($C258)=6,$Y$5,IF(MONTH($C258)=7,$Y$6,"ERROR")))),0),MAX(VLOOKUP($C258,COS!$B$8:$K$991,9,FALSE)-IF(MONTH($C258)=4,$V$3,IF(MONTH($C258)=5,$V$4,IF(MONTH($C258)=6,$V$5,IF(MONTH($C258)=7,$V$6,"ERROR"))))-VLOOKUP($C258,COS!$B$8:$K$991,6,FALSE)/2,0))</f>
        <v>1500</v>
      </c>
      <c r="S258" s="26">
        <f t="shared" si="410"/>
        <v>92.231404958677686</v>
      </c>
      <c r="T258" s="26">
        <f t="shared" si="411"/>
        <v>173.12466512380553</v>
      </c>
      <c r="U258" s="26" t="str">
        <f>IF(VLOOKUP($C258,COS!$B$8:$I$991,8,FALSE)=1,"UWFE","IBU")</f>
        <v>UWFE</v>
      </c>
      <c r="V258" s="26">
        <f t="shared" ref="V258" si="413">MIN(IF(IF($AA$3=2,AND(E258=1,G258=1,L258=1,L262=1,M258=1,U258="IBU"),AND(E258=1,G258=1,L258=1,L262=1,M258=1)),T258,0),I258)</f>
        <v>0</v>
      </c>
      <c r="W258" s="26"/>
      <c r="X258" s="26"/>
      <c r="Y258" s="26"/>
      <c r="Z258" s="26"/>
      <c r="AA258" s="26"/>
      <c r="AB258" s="33"/>
    </row>
    <row r="259" spans="1:28" x14ac:dyDescent="0.3">
      <c r="A259" s="32">
        <f>VLOOKUP(YEAR(C259),Flags!$A$13:$B$95,2,FALSE)</f>
        <v>4</v>
      </c>
      <c r="B259" s="24">
        <f t="shared" si="328"/>
        <v>1949</v>
      </c>
      <c r="C259" s="25">
        <v>18079</v>
      </c>
      <c r="D259" s="26">
        <f>VLOOKUP($C259,COS!$B$8:$H$991,3,FALSE)</f>
        <v>9891.2216796875</v>
      </c>
      <c r="E259" s="24">
        <f>IF(D259&gt;=IF(MONTH($C259)=4,$C$3,IF(MONTH($C259)=5,$C$4,IF(MONTH($C259)=6,$C$5,IF(MONTH($C259)=7,$C$6,"ERROR")))),1,0)</f>
        <v>0</v>
      </c>
      <c r="F259" s="26">
        <f>VLOOKUP($C259,COS!$B$8:$H$991,7,FALSE)</f>
        <v>51.359127044677734</v>
      </c>
      <c r="G259" s="24">
        <f>IF(F259&lt;=IF(MONTH($C259)=4,$F$3,IF(MONTH($C259)=5,$F$4,IF(MONTH($C259)=6,$F$5,IF(MONTH($C259)=7,$F$6,"ERROR")))),1,0)</f>
        <v>1</v>
      </c>
      <c r="H259" s="26">
        <f>IF(J259=1,D259-$C$5,0)</f>
        <v>0</v>
      </c>
      <c r="I259" s="26">
        <f t="shared" si="342"/>
        <v>0</v>
      </c>
      <c r="J259" s="24">
        <f t="shared" si="405"/>
        <v>0</v>
      </c>
      <c r="K259" s="26">
        <f>VLOOKUP($C259,COS!$B$8:$H$991,2,FALSE)</f>
        <v>4039.34130859375</v>
      </c>
      <c r="L259" s="24">
        <f t="shared" si="333"/>
        <v>1</v>
      </c>
      <c r="M259" s="24">
        <f t="shared" si="334"/>
        <v>1</v>
      </c>
      <c r="N259" s="26">
        <f>VLOOKUP($C259,COS!$B$8:$H$991,5,FALSE)</f>
        <v>696.944580078125</v>
      </c>
      <c r="O259" s="26">
        <f t="shared" si="408"/>
        <v>41.47108245092975</v>
      </c>
      <c r="P259" s="26">
        <f>VLOOKUP($C259,COS!$B$8:$H$991,6,FALSE)</f>
        <v>2712.6806640625</v>
      </c>
      <c r="Q259" s="26">
        <f t="shared" si="409"/>
        <v>161.41570893595042</v>
      </c>
      <c r="R259" s="26">
        <f>MIN(IF(MONTH($C259)=4,$S$3,IF(MONTH($C259)=5,$S$4,IF(MONTH($C259)=6,$S$5,IF(MONTH($C259)=7,$S$6,"ERROR")))),MAX(VLOOKUP($C259,COS!$B$8:$K$991,10,FALSE)-IF(MONTH($C259)=4,$Y$3,IF(MONTH($C259)=5,$Y$4,IF(MONTH($C259)=6,$Y$5,IF(MONTH($C259)=7,$Y$6,"ERROR")))),0),MAX(VLOOKUP($C259,COS!$B$8:$K$991,9,FALSE)-IF(MONTH($C259)=4,$V$3,IF(MONTH($C259)=5,$V$4,IF(MONTH($C259)=6,$V$5,IF(MONTH($C259)=7,$V$6,"ERROR"))))-VLOOKUP($C259,COS!$B$8:$K$991,6,FALSE)/2,0))</f>
        <v>1500</v>
      </c>
      <c r="S259" s="26">
        <f t="shared" si="410"/>
        <v>89.256198347107429</v>
      </c>
      <c r="T259" s="26">
        <f t="shared" si="411"/>
        <v>190.69959404054751</v>
      </c>
      <c r="U259" s="26" t="str">
        <f>IF(VLOOKUP($C259,COS!$B$8:$I$991,8,FALSE)=1,"UWFE","IBU")</f>
        <v>IBU</v>
      </c>
      <c r="V259" s="26">
        <f t="shared" ref="V259" si="414">MIN(IF(IF($AA$3=2,AND(E259=1,G259=1,L259=1,L262=1,M259=1,U259="IBU"),AND(E259=1,G259=1,L259=1,L262=1,M259=1)),T259,0),I259)</f>
        <v>0</v>
      </c>
      <c r="W259" s="26"/>
      <c r="X259" s="26"/>
      <c r="Y259" s="26"/>
      <c r="Z259" s="26"/>
      <c r="AA259" s="26"/>
      <c r="AB259" s="33"/>
    </row>
    <row r="260" spans="1:28" x14ac:dyDescent="0.3">
      <c r="A260" s="32">
        <f>VLOOKUP(YEAR(C260),Flags!$A$13:$B$95,2,FALSE)</f>
        <v>4</v>
      </c>
      <c r="B260" s="24">
        <f t="shared" si="328"/>
        <v>1949</v>
      </c>
      <c r="C260" s="25">
        <v>18110</v>
      </c>
      <c r="D260" s="26">
        <f>VLOOKUP($C260,COS!$B$8:$H$991,3,FALSE)</f>
        <v>14543.4052734375</v>
      </c>
      <c r="E260" s="24">
        <f>IF(D260&gt;=IF(MONTH($C260)=4,$C$3,IF(MONTH($C260)=5,$C$4,IF(MONTH($C260)=6,$C$5,IF(MONTH($C260)=7,$C$6,"ERROR")))),1,0)</f>
        <v>1</v>
      </c>
      <c r="F260" s="26">
        <f>VLOOKUP($C260,COS!$B$8:$H$991,7,FALSE)</f>
        <v>50.889629364013672</v>
      </c>
      <c r="G260" s="24">
        <f>IF(F260&lt;=IF(MONTH($C260)=4,$F$3,IF(MONTH($C260)=5,$F$4,IF(MONTH($C260)=6,$F$5,IF(MONTH($C260)=7,$F$6,"ERROR")))),1,0)</f>
        <v>1</v>
      </c>
      <c r="H260" s="26">
        <f>IF(J260=1,D260-$C$6,0)</f>
        <v>2543.4052734375</v>
      </c>
      <c r="I260" s="26">
        <f t="shared" si="342"/>
        <v>156.38789449896694</v>
      </c>
      <c r="J260" s="24">
        <f t="shared" si="405"/>
        <v>1</v>
      </c>
      <c r="K260" s="26">
        <f>VLOOKUP($C260,COS!$B$8:$H$991,2,FALSE)</f>
        <v>3385.65673828125</v>
      </c>
      <c r="L260" s="24">
        <f t="shared" si="333"/>
        <v>1</v>
      </c>
      <c r="M260" s="24">
        <f t="shared" si="334"/>
        <v>1</v>
      </c>
      <c r="N260" s="26">
        <f>VLOOKUP($C260,COS!$B$8:$H$991,5,FALSE)</f>
        <v>761.88348388671875</v>
      </c>
      <c r="O260" s="26">
        <f t="shared" si="408"/>
        <v>46.846389422456092</v>
      </c>
      <c r="P260" s="26">
        <f>VLOOKUP($C260,COS!$B$8:$H$991,6,FALSE)</f>
        <v>2538.07568359375</v>
      </c>
      <c r="Q260" s="26">
        <f t="shared" si="409"/>
        <v>156.06019079287191</v>
      </c>
      <c r="R260" s="26">
        <f>MIN(IF(MONTH($C260)=4,$S$3,IF(MONTH($C260)=5,$S$4,IF(MONTH($C260)=6,$S$5,IF(MONTH($C260)=7,$S$6,"ERROR")))),MAX(VLOOKUP($C260,COS!$B$8:$K$991,10,FALSE)-IF(MONTH($C260)=4,$Y$3,IF(MONTH($C260)=5,$Y$4,IF(MONTH($C260)=6,$Y$5,IF(MONTH($C260)=7,$Y$6,"ERROR")))),0),MAX(VLOOKUP($C260,COS!$B$8:$K$991,9,FALSE)-IF(MONTH($C260)=4,$V$3,IF(MONTH($C260)=5,$V$4,IF(MONTH($C260)=6,$V$5,IF(MONTH($C260)=7,$V$6,"ERROR"))))-VLOOKUP($C260,COS!$B$8:$K$991,6,FALSE)/2,0))</f>
        <v>1500</v>
      </c>
      <c r="S260" s="26">
        <f t="shared" si="410"/>
        <v>92.231404958677686</v>
      </c>
      <c r="T260" s="26">
        <f t="shared" si="411"/>
        <v>193.6846950663417</v>
      </c>
      <c r="U260" s="26" t="str">
        <f>IF(VLOOKUP($C260,COS!$B$8:$I$991,8,FALSE)=1,"UWFE","IBU")</f>
        <v>IBU</v>
      </c>
      <c r="V260" s="26">
        <f t="shared" ref="V260" si="415">MIN(IF(IF($AA$3=2,AND(E260=1,G260=1,L260=1,L262=1,M260=1,U260="IBU"),AND(E260=1,G260=1,L260=1,L262=1,M260=1)),T260,0),I260)</f>
        <v>156.38789449896694</v>
      </c>
      <c r="W260" s="26"/>
      <c r="X260" s="26"/>
      <c r="Y260" s="26"/>
      <c r="Z260" s="26"/>
      <c r="AA260" s="26"/>
      <c r="AB260" s="33"/>
    </row>
    <row r="261" spans="1:28" x14ac:dyDescent="0.3">
      <c r="A261" s="32">
        <f>VLOOKUP(YEAR(C261),Flags!$A$13:$B$95,2,FALSE)</f>
        <v>4</v>
      </c>
      <c r="B261" s="24">
        <f t="shared" si="328"/>
        <v>1949</v>
      </c>
      <c r="C261" s="25">
        <v>18141</v>
      </c>
      <c r="D261" s="26"/>
      <c r="E261" s="24"/>
      <c r="F261" s="26"/>
      <c r="G261" s="24"/>
      <c r="H261" s="24"/>
      <c r="I261" s="26"/>
      <c r="J261" s="24"/>
      <c r="K261" s="26"/>
      <c r="L261" s="24"/>
      <c r="M261" s="24"/>
      <c r="N261" s="26"/>
      <c r="O261" s="26"/>
      <c r="P261" s="26"/>
      <c r="Q261" s="26"/>
      <c r="R261" s="26"/>
      <c r="S261" s="26"/>
      <c r="T261" s="26"/>
      <c r="U261" s="26"/>
      <c r="V261" s="26"/>
      <c r="W261" s="26">
        <f>MAX($C$7-VLOOKUP($C261,COS!$B$8:$H$991,3,FALSE),0)</f>
        <v>90977.3701171875</v>
      </c>
      <c r="X261" s="26">
        <f t="shared" si="347"/>
        <v>5593.9804435692149</v>
      </c>
      <c r="Y261" s="26">
        <f>VLOOKUP($C261,COS!$B$8:$H$991,4,FALSE)</f>
        <v>2030.735107421875</v>
      </c>
      <c r="Z261" s="26">
        <f t="shared" si="348"/>
        <v>124.86503470428718</v>
      </c>
      <c r="AA261" s="26">
        <f t="shared" ref="AA261:AA265" si="416">MIN(W261,Y261)</f>
        <v>2030.735107421875</v>
      </c>
      <c r="AB261" s="33">
        <f t="shared" ref="AB261" si="417">AA261*DAY($C261)*86400/43560/1000*IF(MONTH($C261)=8,$P$3,IF(MONTH($C261)=9,$P$4,IF(MONTH($C261)=10,$P$5,IF(MONTH($C261)=11,$P$6,IF(MONTH($C261)=12,$P$7,NA())))))</f>
        <v>124.86503470428718</v>
      </c>
    </row>
    <row r="262" spans="1:28" x14ac:dyDescent="0.3">
      <c r="A262" s="32">
        <f>VLOOKUP(YEAR(C262),Flags!$A$13:$B$95,2,FALSE)</f>
        <v>4</v>
      </c>
      <c r="B262" s="24">
        <f t="shared" si="328"/>
        <v>1949</v>
      </c>
      <c r="C262" s="25">
        <v>18171</v>
      </c>
      <c r="D262" s="26"/>
      <c r="E262" s="24"/>
      <c r="F262" s="26"/>
      <c r="G262" s="24"/>
      <c r="H262" s="24"/>
      <c r="I262" s="26"/>
      <c r="J262" s="24"/>
      <c r="K262" s="26">
        <f>VLOOKUP($C262,COS!$B$8:$H$991,2,FALSE)</f>
        <v>3001.73291015625</v>
      </c>
      <c r="L262" s="24">
        <f t="shared" ref="L262" si="418">IF(AND(K262&gt;$I$7,K262&lt;$I$8),1,0)</f>
        <v>1</v>
      </c>
      <c r="M262" s="24"/>
      <c r="N262" s="26"/>
      <c r="O262" s="26"/>
      <c r="P262" s="26"/>
      <c r="Q262" s="26"/>
      <c r="R262" s="26"/>
      <c r="S262" s="26"/>
      <c r="T262" s="26"/>
      <c r="U262" s="26"/>
      <c r="V262" s="26"/>
      <c r="W262" s="26">
        <f>MAX($C$8-VLOOKUP($C262,COS!$B$8:$H$991,3,FALSE),0)</f>
        <v>94939.001953125</v>
      </c>
      <c r="X262" s="26">
        <f t="shared" si="347"/>
        <v>5649.2629261363636</v>
      </c>
      <c r="Y262" s="26">
        <f>VLOOKUP($C262,COS!$B$8:$H$991,4,FALSE)</f>
        <v>1015.7754516601563</v>
      </c>
      <c r="Z262" s="26">
        <f t="shared" si="348"/>
        <v>60.442836793001035</v>
      </c>
      <c r="AA262" s="26">
        <f t="shared" si="416"/>
        <v>1015.7754516601563</v>
      </c>
      <c r="AB262" s="33">
        <f t="shared" si="345"/>
        <v>60.442836793001035</v>
      </c>
    </row>
    <row r="263" spans="1:28" x14ac:dyDescent="0.3">
      <c r="A263" s="32">
        <f>VLOOKUP(YEAR(C263),Flags!$A$13:$B$95,2,FALSE)</f>
        <v>4</v>
      </c>
      <c r="B263" s="24">
        <f t="shared" si="328"/>
        <v>1949</v>
      </c>
      <c r="C263" s="25">
        <v>18202</v>
      </c>
      <c r="D263" s="26"/>
      <c r="E263" s="24"/>
      <c r="F263" s="26"/>
      <c r="G263" s="26"/>
      <c r="H263" s="26"/>
      <c r="I263" s="26"/>
      <c r="J263" s="26"/>
      <c r="K263" s="26"/>
      <c r="L263" s="24"/>
      <c r="M263" s="24"/>
      <c r="N263" s="26"/>
      <c r="O263" s="26"/>
      <c r="P263" s="26"/>
      <c r="Q263" s="26"/>
      <c r="R263" s="26"/>
      <c r="S263" s="26"/>
      <c r="T263" s="26"/>
      <c r="U263" s="26"/>
      <c r="V263" s="26"/>
      <c r="W263" s="26">
        <f>MAX($C$9-VLOOKUP($C263,COS!$B$8:$H$991,3,FALSE),0)</f>
        <v>93926.57080078125</v>
      </c>
      <c r="X263" s="26">
        <f t="shared" si="347"/>
        <v>5775.319725271177</v>
      </c>
      <c r="Y263" s="26">
        <f>VLOOKUP($C263,COS!$B$8:$H$991,4,FALSE)</f>
        <v>1726.75830078125</v>
      </c>
      <c r="Z263" s="26">
        <f t="shared" si="348"/>
        <v>106.17422940340909</v>
      </c>
      <c r="AA263" s="26">
        <f t="shared" si="416"/>
        <v>1726.75830078125</v>
      </c>
      <c r="AB263" s="33">
        <f t="shared" si="345"/>
        <v>106.17422940340909</v>
      </c>
    </row>
    <row r="264" spans="1:28" x14ac:dyDescent="0.3">
      <c r="A264" s="32">
        <f>VLOOKUP(YEAR(C264),Flags!$A$13:$B$95,2,FALSE)</f>
        <v>4</v>
      </c>
      <c r="B264" s="24">
        <f t="shared" si="328"/>
        <v>1949</v>
      </c>
      <c r="C264" s="25">
        <v>18232</v>
      </c>
      <c r="D264" s="26"/>
      <c r="E264" s="24"/>
      <c r="F264" s="26"/>
      <c r="G264" s="26"/>
      <c r="H264" s="26"/>
      <c r="I264" s="26"/>
      <c r="J264" s="26"/>
      <c r="K264" s="26"/>
      <c r="L264" s="24"/>
      <c r="M264" s="24"/>
      <c r="N264" s="26"/>
      <c r="O264" s="26"/>
      <c r="P264" s="26"/>
      <c r="Q264" s="26"/>
      <c r="R264" s="26"/>
      <c r="S264" s="26"/>
      <c r="T264" s="26"/>
      <c r="U264" s="26"/>
      <c r="V264" s="26"/>
      <c r="W264" s="26">
        <f>MAX($C$10-VLOOKUP($C264,COS!$B$8:$H$991,3,FALSE),0)</f>
        <v>93878.3037109375</v>
      </c>
      <c r="X264" s="26">
        <f t="shared" si="347"/>
        <v>5586.1469976756198</v>
      </c>
      <c r="Y264" s="26">
        <f>VLOOKUP($C264,COS!$B$8:$H$991,4,FALSE)</f>
        <v>814.205810546875</v>
      </c>
      <c r="Z264" s="26">
        <f t="shared" si="348"/>
        <v>48.448610214359505</v>
      </c>
      <c r="AA264" s="26">
        <f t="shared" si="416"/>
        <v>814.205810546875</v>
      </c>
      <c r="AB264" s="33">
        <f t="shared" si="345"/>
        <v>24.224305107179752</v>
      </c>
    </row>
    <row r="265" spans="1:28" x14ac:dyDescent="0.3">
      <c r="A265" s="34">
        <f>VLOOKUP(YEAR(C265),Flags!$A$13:$B$95,2,FALSE)</f>
        <v>4</v>
      </c>
      <c r="B265" s="35">
        <f t="shared" si="328"/>
        <v>1949</v>
      </c>
      <c r="C265" s="36">
        <v>18263</v>
      </c>
      <c r="D265" s="37"/>
      <c r="E265" s="35"/>
      <c r="F265" s="37"/>
      <c r="G265" s="37"/>
      <c r="H265" s="37"/>
      <c r="I265" s="37"/>
      <c r="J265" s="37"/>
      <c r="K265" s="37"/>
      <c r="L265" s="35"/>
      <c r="M265" s="35"/>
      <c r="N265" s="37"/>
      <c r="O265" s="37"/>
      <c r="P265" s="37"/>
      <c r="Q265" s="37"/>
      <c r="R265" s="37"/>
      <c r="S265" s="37"/>
      <c r="T265" s="37"/>
      <c r="U265" s="37"/>
      <c r="V265" s="37"/>
      <c r="W265" s="37">
        <f>MAX($C$11-VLOOKUP($C265,COS!$B$8:$H$991,3,FALSE),0)</f>
        <v>0</v>
      </c>
      <c r="X265" s="37">
        <f t="shared" si="347"/>
        <v>0</v>
      </c>
      <c r="Y265" s="37">
        <f>VLOOKUP($C265,COS!$B$8:$H$991,4,FALSE)</f>
        <v>1528.547607421875</v>
      </c>
      <c r="Z265" s="37">
        <f t="shared" si="348"/>
        <v>93.986728919163227</v>
      </c>
      <c r="AA265" s="37">
        <f t="shared" si="416"/>
        <v>0</v>
      </c>
      <c r="AB265" s="38">
        <f t="shared" si="345"/>
        <v>0</v>
      </c>
    </row>
    <row r="266" spans="1:28" x14ac:dyDescent="0.3">
      <c r="A266" s="27">
        <f>VLOOKUP(YEAR(C266),Flags!$A$13:$B$95,2,FALSE)</f>
        <v>4</v>
      </c>
      <c r="B266" s="28">
        <f t="shared" si="328"/>
        <v>1950</v>
      </c>
      <c r="C266" s="29">
        <v>18383</v>
      </c>
      <c r="D266" s="30">
        <f>VLOOKUP($C266,COS!$B$8:$H$991,3,FALSE)</f>
        <v>3250</v>
      </c>
      <c r="E266" s="28">
        <f>IF(D266&gt;=IF(MONTH($C266)=4,$C$3,IF(MONTH($C266)=5,$C$4,IF(MONTH($C266)=6,$C$5,IF(MONTH($C266)=7,$C$6,"ERROR")))),1,0)</f>
        <v>0</v>
      </c>
      <c r="F266" s="30">
        <f>VLOOKUP($C266,COS!$B$8:$H$991,7,FALSE)</f>
        <v>51.198993682861328</v>
      </c>
      <c r="G266" s="28">
        <f>IF(F266&lt;=IF(MONTH($C266)=4,$F$3,IF(MONTH($C266)=5,$F$4,IF(MONTH($C266)=6,$F$5,IF(MONTH($C266)=7,$F$6,"ERROR")))),1,0)</f>
        <v>1</v>
      </c>
      <c r="H266" s="30">
        <f>IF(J266=1,D266-$C$3,0)</f>
        <v>0</v>
      </c>
      <c r="I266" s="30">
        <f t="shared" si="342"/>
        <v>0</v>
      </c>
      <c r="J266" s="28">
        <f t="shared" ref="J266:J269" si="419">IF(AND(E266=1,G266=1),1,0)</f>
        <v>0</v>
      </c>
      <c r="K266" s="30">
        <f>VLOOKUP($C266,COS!$B$8:$H$991,2,FALSE)</f>
        <v>4233.70751953125</v>
      </c>
      <c r="L266" s="28">
        <f t="shared" ref="L266" si="420">IF(K266&lt;=IF(MONTH($C266)=4,$I$3,IF(MONTH($C266)=5,$I$4,IF(MONTH($C266)=6,$I$5,IF(MONTH($C266)=7,$I$6,"ERROR")))),1,0)</f>
        <v>1</v>
      </c>
      <c r="M266" s="28">
        <f t="shared" ref="M266" si="421">VLOOKUP($A266,$L$3:$M$7,2,FALSE)</f>
        <v>1</v>
      </c>
      <c r="N266" s="30">
        <f>VLOOKUP($C266,COS!$B$8:$H$991,5,FALSE)</f>
        <v>269.705322265625</v>
      </c>
      <c r="O266" s="30">
        <f t="shared" ref="O266:O269" si="422">N266*DAY($C266)*86400/43560/1000</f>
        <v>16.048581159607437</v>
      </c>
      <c r="P266" s="30">
        <f>VLOOKUP($C266,COS!$B$8:$H$991,6,FALSE)</f>
        <v>500.60986328125</v>
      </c>
      <c r="Q266" s="30">
        <f t="shared" ref="Q266:Q269" si="423">P266*DAY($C266)*86400/43560/1000</f>
        <v>29.788355501033056</v>
      </c>
      <c r="R266" s="30">
        <f>MIN(IF(MONTH($C266)=4,$S$3,IF(MONTH($C266)=5,$S$4,IF(MONTH($C266)=6,$S$5,IF(MONTH($C266)=7,$S$6,"ERROR")))),MAX(VLOOKUP($C266,COS!$B$8:$K$991,10,FALSE)-IF(MONTH($C266)=4,$Y$3,IF(MONTH($C266)=5,$Y$4,IF(MONTH($C266)=6,$Y$5,IF(MONTH($C266)=7,$Y$6,"ERROR")))),0),MAX(VLOOKUP($C266,COS!$B$8:$K$991,9,FALSE)-IF(MONTH($C266)=4,$V$3,IF(MONTH($C266)=5,$V$4,IF(MONTH($C266)=6,$V$5,IF(MONTH($C266)=7,$V$6,"ERROR"))))-VLOOKUP($C266,COS!$B$8:$K$991,6,FALSE)/2,0))</f>
        <v>1500</v>
      </c>
      <c r="S266" s="30">
        <f t="shared" ref="S266:S269" si="424">R266*DAY($C266)*86400/43560/1000</f>
        <v>89.256198347107429</v>
      </c>
      <c r="T266" s="30">
        <f t="shared" ref="T266:T269" si="425">(O266+Q266)/2+S266</f>
        <v>112.17466667742767</v>
      </c>
      <c r="U266" s="30" t="str">
        <f>IF(VLOOKUP($C266,COS!$B$8:$I$991,8,FALSE)=1,"UWFE","IBU")</f>
        <v>UWFE</v>
      </c>
      <c r="V266" s="30">
        <f t="shared" ref="V266" si="426">MIN(IF(IF($AA$3=2,AND(E266=1,G266=1,L266=1,L271=1,M266=1,U266="IBU"),AND(E266=1,G266=1,L266=1,L271=1,M266=1)),T266,0),I266)</f>
        <v>0</v>
      </c>
      <c r="W266" s="30"/>
      <c r="X266" s="30"/>
      <c r="Y266" s="30"/>
      <c r="Z266" s="30"/>
      <c r="AA266" s="30"/>
      <c r="AB266" s="31"/>
    </row>
    <row r="267" spans="1:28" x14ac:dyDescent="0.3">
      <c r="A267" s="32">
        <f>VLOOKUP(YEAR(C267),Flags!$A$13:$B$95,2,FALSE)</f>
        <v>4</v>
      </c>
      <c r="B267" s="24">
        <f t="shared" si="328"/>
        <v>1950</v>
      </c>
      <c r="C267" s="25">
        <v>18414</v>
      </c>
      <c r="D267" s="26">
        <f>VLOOKUP($C267,COS!$B$8:$H$991,3,FALSE)</f>
        <v>6396.69482421875</v>
      </c>
      <c r="E267" s="24">
        <f>IF(D267&gt;=IF(MONTH($C267)=4,$C$3,IF(MONTH($C267)=5,$C$4,IF(MONTH($C267)=6,$C$5,IF(MONTH($C267)=7,$C$6,"ERROR")))),1,0)</f>
        <v>1</v>
      </c>
      <c r="F267" s="26">
        <f>VLOOKUP($C267,COS!$B$8:$H$991,7,FALSE)</f>
        <v>50.986736297607422</v>
      </c>
      <c r="G267" s="24">
        <f>IF(F267&lt;=IF(MONTH($C267)=4,$F$3,IF(MONTH($C267)=5,$F$4,IF(MONTH($C267)=6,$F$5,IF(MONTH($C267)=7,$F$6,"ERROR")))),1,0)</f>
        <v>1</v>
      </c>
      <c r="H267" s="26">
        <f>IF(J267=1,D267-$C$4,0)</f>
        <v>396.69482421875</v>
      </c>
      <c r="I267" s="26">
        <f t="shared" si="342"/>
        <v>24.391813985020661</v>
      </c>
      <c r="J267" s="24">
        <f t="shared" si="419"/>
        <v>1</v>
      </c>
      <c r="K267" s="26">
        <f>VLOOKUP($C267,COS!$B$8:$H$991,2,FALSE)</f>
        <v>4172.81884765625</v>
      </c>
      <c r="L267" s="24">
        <f t="shared" si="333"/>
        <v>1</v>
      </c>
      <c r="M267" s="24">
        <f t="shared" si="334"/>
        <v>1</v>
      </c>
      <c r="N267" s="26">
        <f>VLOOKUP($C267,COS!$B$8:$H$991,5,FALSE)</f>
        <v>221.03926086425781</v>
      </c>
      <c r="O267" s="26">
        <f t="shared" si="422"/>
        <v>13.59117438702544</v>
      </c>
      <c r="P267" s="26">
        <f>VLOOKUP($C267,COS!$B$8:$H$991,6,FALSE)</f>
        <v>2273.549072265625</v>
      </c>
      <c r="Q267" s="26">
        <f t="shared" si="423"/>
        <v>139.79508345170456</v>
      </c>
      <c r="R267" s="26">
        <f>MIN(IF(MONTH($C267)=4,$S$3,IF(MONTH($C267)=5,$S$4,IF(MONTH($C267)=6,$S$5,IF(MONTH($C267)=7,$S$6,"ERROR")))),MAX(VLOOKUP($C267,COS!$B$8:$K$991,10,FALSE)-IF(MONTH($C267)=4,$Y$3,IF(MONTH($C267)=5,$Y$4,IF(MONTH($C267)=6,$Y$5,IF(MONTH($C267)=7,$Y$6,"ERROR")))),0),MAX(VLOOKUP($C267,COS!$B$8:$K$991,9,FALSE)-IF(MONTH($C267)=4,$V$3,IF(MONTH($C267)=5,$V$4,IF(MONTH($C267)=6,$V$5,IF(MONTH($C267)=7,$V$6,"ERROR"))))-VLOOKUP($C267,COS!$B$8:$K$991,6,FALSE)/2,0))</f>
        <v>1500</v>
      </c>
      <c r="S267" s="26">
        <f t="shared" si="424"/>
        <v>92.231404958677686</v>
      </c>
      <c r="T267" s="26">
        <f t="shared" si="425"/>
        <v>168.92453387804267</v>
      </c>
      <c r="U267" s="26" t="str">
        <f>IF(VLOOKUP($C267,COS!$B$8:$I$991,8,FALSE)=1,"UWFE","IBU")</f>
        <v>UWFE</v>
      </c>
      <c r="V267" s="26">
        <f t="shared" ref="V267" si="427">MIN(IF(IF($AA$3=2,AND(E267=1,G267=1,L267=1,L271=1,M267=1,U267="IBU"),AND(E267=1,G267=1,L267=1,L271=1,M267=1)),T267,0),I267)</f>
        <v>0</v>
      </c>
      <c r="W267" s="26"/>
      <c r="X267" s="26"/>
      <c r="Y267" s="26"/>
      <c r="Z267" s="26"/>
      <c r="AA267" s="26"/>
      <c r="AB267" s="33"/>
    </row>
    <row r="268" spans="1:28" x14ac:dyDescent="0.3">
      <c r="A268" s="32">
        <f>VLOOKUP(YEAR(C268),Flags!$A$13:$B$95,2,FALSE)</f>
        <v>4</v>
      </c>
      <c r="B268" s="24">
        <f t="shared" si="328"/>
        <v>1950</v>
      </c>
      <c r="C268" s="25">
        <v>18444</v>
      </c>
      <c r="D268" s="26">
        <f>VLOOKUP($C268,COS!$B$8:$H$991,3,FALSE)</f>
        <v>8106.11865234375</v>
      </c>
      <c r="E268" s="24">
        <f>IF(D268&gt;=IF(MONTH($C268)=4,$C$3,IF(MONTH($C268)=5,$C$4,IF(MONTH($C268)=6,$C$5,IF(MONTH($C268)=7,$C$6,"ERROR")))),1,0)</f>
        <v>0</v>
      </c>
      <c r="F268" s="26">
        <f>VLOOKUP($C268,COS!$B$8:$H$991,7,FALSE)</f>
        <v>51.396080017089844</v>
      </c>
      <c r="G268" s="24">
        <f>IF(F268&lt;=IF(MONTH($C268)=4,$F$3,IF(MONTH($C268)=5,$F$4,IF(MONTH($C268)=6,$F$5,IF(MONTH($C268)=7,$F$6,"ERROR")))),1,0)</f>
        <v>1</v>
      </c>
      <c r="H268" s="26">
        <f>IF(J268=1,D268-$C$5,0)</f>
        <v>0</v>
      </c>
      <c r="I268" s="26">
        <f t="shared" si="342"/>
        <v>0</v>
      </c>
      <c r="J268" s="24">
        <f t="shared" si="419"/>
        <v>0</v>
      </c>
      <c r="K268" s="26">
        <f>VLOOKUP($C268,COS!$B$8:$H$991,2,FALSE)</f>
        <v>3898.8837890625</v>
      </c>
      <c r="L268" s="24">
        <f t="shared" si="333"/>
        <v>1</v>
      </c>
      <c r="M268" s="24">
        <f t="shared" si="334"/>
        <v>1</v>
      </c>
      <c r="N268" s="26">
        <f>VLOOKUP($C268,COS!$B$8:$H$991,5,FALSE)</f>
        <v>433.48184204101563</v>
      </c>
      <c r="O268" s="26">
        <f t="shared" si="422"/>
        <v>25.793960848721593</v>
      </c>
      <c r="P268" s="26">
        <f>VLOOKUP($C268,COS!$B$8:$H$991,6,FALSE)</f>
        <v>2603.512451171875</v>
      </c>
      <c r="Q268" s="26">
        <f t="shared" si="423"/>
        <v>154.91974916064049</v>
      </c>
      <c r="R268" s="26">
        <f>MIN(IF(MONTH($C268)=4,$S$3,IF(MONTH($C268)=5,$S$4,IF(MONTH($C268)=6,$S$5,IF(MONTH($C268)=7,$S$6,"ERROR")))),MAX(VLOOKUP($C268,COS!$B$8:$K$991,10,FALSE)-IF(MONTH($C268)=4,$Y$3,IF(MONTH($C268)=5,$Y$4,IF(MONTH($C268)=6,$Y$5,IF(MONTH($C268)=7,$Y$6,"ERROR")))),0),MAX(VLOOKUP($C268,COS!$B$8:$K$991,9,FALSE)-IF(MONTH($C268)=4,$V$3,IF(MONTH($C268)=5,$V$4,IF(MONTH($C268)=6,$V$5,IF(MONTH($C268)=7,$V$6,"ERROR"))))-VLOOKUP($C268,COS!$B$8:$K$991,6,FALSE)/2,0))</f>
        <v>1500</v>
      </c>
      <c r="S268" s="26">
        <f t="shared" si="424"/>
        <v>89.256198347107429</v>
      </c>
      <c r="T268" s="26">
        <f t="shared" si="425"/>
        <v>179.61305335178847</v>
      </c>
      <c r="U268" s="26" t="str">
        <f>IF(VLOOKUP($C268,COS!$B$8:$I$991,8,FALSE)=1,"UWFE","IBU")</f>
        <v>IBU</v>
      </c>
      <c r="V268" s="26">
        <f t="shared" ref="V268" si="428">MIN(IF(IF($AA$3=2,AND(E268=1,G268=1,L268=1,L271=1,M268=1,U268="IBU"),AND(E268=1,G268=1,L268=1,L271=1,M268=1)),T268,0),I268)</f>
        <v>0</v>
      </c>
      <c r="W268" s="26"/>
      <c r="X268" s="26"/>
      <c r="Y268" s="26"/>
      <c r="Z268" s="26"/>
      <c r="AA268" s="26"/>
      <c r="AB268" s="33"/>
    </row>
    <row r="269" spans="1:28" x14ac:dyDescent="0.3">
      <c r="A269" s="32">
        <f>VLOOKUP(YEAR(C269),Flags!$A$13:$B$95,2,FALSE)</f>
        <v>4</v>
      </c>
      <c r="B269" s="24">
        <f t="shared" si="328"/>
        <v>1950</v>
      </c>
      <c r="C269" s="25">
        <v>18475</v>
      </c>
      <c r="D269" s="26">
        <f>VLOOKUP($C269,COS!$B$8:$H$991,3,FALSE)</f>
        <v>9670.4365234375</v>
      </c>
      <c r="E269" s="24">
        <f>IF(D269&gt;=IF(MONTH($C269)=4,$C$3,IF(MONTH($C269)=5,$C$4,IF(MONTH($C269)=6,$C$5,IF(MONTH($C269)=7,$C$6,"ERROR")))),1,0)</f>
        <v>0</v>
      </c>
      <c r="F269" s="26">
        <f>VLOOKUP($C269,COS!$B$8:$H$991,7,FALSE)</f>
        <v>52.254299163818359</v>
      </c>
      <c r="G269" s="24">
        <f>IF(F269&lt;=IF(MONTH($C269)=4,$F$3,IF(MONTH($C269)=5,$F$4,IF(MONTH($C269)=6,$F$5,IF(MONTH($C269)=7,$F$6,"ERROR")))),1,0)</f>
        <v>1</v>
      </c>
      <c r="H269" s="26">
        <f>IF(J269=1,D269-$C$6,0)</f>
        <v>0</v>
      </c>
      <c r="I269" s="26">
        <f t="shared" si="342"/>
        <v>0</v>
      </c>
      <c r="J269" s="24">
        <f t="shared" si="419"/>
        <v>0</v>
      </c>
      <c r="K269" s="26">
        <f>VLOOKUP($C269,COS!$B$8:$H$991,2,FALSE)</f>
        <v>3515.872314453125</v>
      </c>
      <c r="L269" s="24">
        <f t="shared" si="333"/>
        <v>1</v>
      </c>
      <c r="M269" s="24">
        <f t="shared" si="334"/>
        <v>1</v>
      </c>
      <c r="N269" s="26">
        <f>VLOOKUP($C269,COS!$B$8:$H$991,5,FALSE)</f>
        <v>482.3499755859375</v>
      </c>
      <c r="O269" s="26">
        <f t="shared" si="422"/>
        <v>29.658543953383266</v>
      </c>
      <c r="P269" s="26">
        <f>VLOOKUP($C269,COS!$B$8:$H$991,6,FALSE)</f>
        <v>2632.5888671875</v>
      </c>
      <c r="Q269" s="26">
        <f t="shared" si="423"/>
        <v>161.87157993285126</v>
      </c>
      <c r="R269" s="26">
        <f>MIN(IF(MONTH($C269)=4,$S$3,IF(MONTH($C269)=5,$S$4,IF(MONTH($C269)=6,$S$5,IF(MONTH($C269)=7,$S$6,"ERROR")))),MAX(VLOOKUP($C269,COS!$B$8:$K$991,10,FALSE)-IF(MONTH($C269)=4,$Y$3,IF(MONTH($C269)=5,$Y$4,IF(MONTH($C269)=6,$Y$5,IF(MONTH($C269)=7,$Y$6,"ERROR")))),0),MAX(VLOOKUP($C269,COS!$B$8:$K$991,9,FALSE)-IF(MONTH($C269)=4,$V$3,IF(MONTH($C269)=5,$V$4,IF(MONTH($C269)=6,$V$5,IF(MONTH($C269)=7,$V$6,"ERROR"))))-VLOOKUP($C269,COS!$B$8:$K$991,6,FALSE)/2,0))</f>
        <v>1500</v>
      </c>
      <c r="S269" s="26">
        <f t="shared" si="424"/>
        <v>92.231404958677686</v>
      </c>
      <c r="T269" s="26">
        <f t="shared" si="425"/>
        <v>187.99646690179495</v>
      </c>
      <c r="U269" s="26" t="str">
        <f>IF(VLOOKUP($C269,COS!$B$8:$I$991,8,FALSE)=1,"UWFE","IBU")</f>
        <v>IBU</v>
      </c>
      <c r="V269" s="26">
        <f t="shared" ref="V269" si="429">MIN(IF(IF($AA$3=2,AND(E269=1,G269=1,L269=1,L271=1,M269=1,U269="IBU"),AND(E269=1,G269=1,L269=1,L271=1,M269=1)),T269,0),I269)</f>
        <v>0</v>
      </c>
      <c r="W269" s="26"/>
      <c r="X269" s="26"/>
      <c r="Y269" s="26"/>
      <c r="Z269" s="26"/>
      <c r="AA269" s="26"/>
      <c r="AB269" s="33"/>
    </row>
    <row r="270" spans="1:28" x14ac:dyDescent="0.3">
      <c r="A270" s="32">
        <f>VLOOKUP(YEAR(C270),Flags!$A$13:$B$95,2,FALSE)</f>
        <v>4</v>
      </c>
      <c r="B270" s="24">
        <f t="shared" si="328"/>
        <v>1950</v>
      </c>
      <c r="C270" s="25">
        <v>18506</v>
      </c>
      <c r="D270" s="26"/>
      <c r="E270" s="24"/>
      <c r="F270" s="26"/>
      <c r="G270" s="24"/>
      <c r="H270" s="24"/>
      <c r="I270" s="26"/>
      <c r="J270" s="24"/>
      <c r="K270" s="26"/>
      <c r="L270" s="24"/>
      <c r="M270" s="24"/>
      <c r="N270" s="26"/>
      <c r="O270" s="26"/>
      <c r="P270" s="26"/>
      <c r="Q270" s="26"/>
      <c r="R270" s="26"/>
      <c r="S270" s="26"/>
      <c r="T270" s="26"/>
      <c r="U270" s="26"/>
      <c r="V270" s="26"/>
      <c r="W270" s="26">
        <f>MAX($C$7-VLOOKUP($C270,COS!$B$8:$H$991,3,FALSE),0)</f>
        <v>90741.2333984375</v>
      </c>
      <c r="X270" s="26">
        <f t="shared" si="347"/>
        <v>5579.4609626807851</v>
      </c>
      <c r="Y270" s="26">
        <f>VLOOKUP($C270,COS!$B$8:$H$991,4,FALSE)</f>
        <v>437.07077026367188</v>
      </c>
      <c r="Z270" s="26">
        <f t="shared" si="348"/>
        <v>26.874434138526603</v>
      </c>
      <c r="AA270" s="26">
        <f t="shared" ref="AA270:AA274" si="430">MIN(W270,Y270)</f>
        <v>437.07077026367188</v>
      </c>
      <c r="AB270" s="33">
        <f t="shared" ref="AB270" si="431">AA270*DAY($C270)*86400/43560/1000*IF(MONTH($C270)=8,$P$3,IF(MONTH($C270)=9,$P$4,IF(MONTH($C270)=10,$P$5,IF(MONTH($C270)=11,$P$6,IF(MONTH($C270)=12,$P$7,NA())))))</f>
        <v>26.874434138526603</v>
      </c>
    </row>
    <row r="271" spans="1:28" x14ac:dyDescent="0.3">
      <c r="A271" s="32">
        <f>VLOOKUP(YEAR(C271),Flags!$A$13:$B$95,2,FALSE)</f>
        <v>4</v>
      </c>
      <c r="B271" s="24">
        <f t="shared" ref="B271:B334" si="432">YEAR(C271)</f>
        <v>1950</v>
      </c>
      <c r="C271" s="25">
        <v>18536</v>
      </c>
      <c r="D271" s="26"/>
      <c r="E271" s="24"/>
      <c r="F271" s="26"/>
      <c r="G271" s="24"/>
      <c r="H271" s="24"/>
      <c r="I271" s="26"/>
      <c r="J271" s="24"/>
      <c r="K271" s="26">
        <f>VLOOKUP($C271,COS!$B$8:$H$991,2,FALSE)</f>
        <v>3133.93603515625</v>
      </c>
      <c r="L271" s="24">
        <f t="shared" ref="L271" si="433">IF(AND(K271&gt;$I$7,K271&lt;$I$8),1,0)</f>
        <v>1</v>
      </c>
      <c r="M271" s="24"/>
      <c r="N271" s="26"/>
      <c r="O271" s="26"/>
      <c r="P271" s="26"/>
      <c r="Q271" s="26"/>
      <c r="R271" s="26"/>
      <c r="S271" s="26"/>
      <c r="T271" s="26"/>
      <c r="U271" s="26"/>
      <c r="V271" s="26"/>
      <c r="W271" s="26">
        <f>MAX($C$8-VLOOKUP($C271,COS!$B$8:$H$991,3,FALSE),0)</f>
        <v>95235.51904296875</v>
      </c>
      <c r="X271" s="26">
        <f t="shared" si="347"/>
        <v>5666.9069182592975</v>
      </c>
      <c r="Y271" s="26">
        <f>VLOOKUP($C271,COS!$B$8:$H$991,4,FALSE)</f>
        <v>0</v>
      </c>
      <c r="Z271" s="26">
        <f t="shared" si="348"/>
        <v>0</v>
      </c>
      <c r="AA271" s="26">
        <f t="shared" si="430"/>
        <v>0</v>
      </c>
      <c r="AB271" s="33">
        <f t="shared" si="345"/>
        <v>0</v>
      </c>
    </row>
    <row r="272" spans="1:28" x14ac:dyDescent="0.3">
      <c r="A272" s="32">
        <f>VLOOKUP(YEAR(C272),Flags!$A$13:$B$95,2,FALSE)</f>
        <v>4</v>
      </c>
      <c r="B272" s="24">
        <f t="shared" si="432"/>
        <v>1950</v>
      </c>
      <c r="C272" s="25">
        <v>18567</v>
      </c>
      <c r="D272" s="26"/>
      <c r="E272" s="24"/>
      <c r="F272" s="26"/>
      <c r="G272" s="26"/>
      <c r="H272" s="26"/>
      <c r="I272" s="26"/>
      <c r="J272" s="26"/>
      <c r="K272" s="26"/>
      <c r="L272" s="24"/>
      <c r="M272" s="24"/>
      <c r="N272" s="26"/>
      <c r="O272" s="26"/>
      <c r="P272" s="26"/>
      <c r="Q272" s="26"/>
      <c r="R272" s="26"/>
      <c r="S272" s="26"/>
      <c r="T272" s="26"/>
      <c r="U272" s="26"/>
      <c r="V272" s="26"/>
      <c r="W272" s="26">
        <f>MAX($C$9-VLOOKUP($C272,COS!$B$8:$H$991,3,FALSE),0)</f>
        <v>91664.693359375</v>
      </c>
      <c r="X272" s="26">
        <f t="shared" si="347"/>
        <v>5636.2423024276859</v>
      </c>
      <c r="Y272" s="26">
        <f>VLOOKUP($C272,COS!$B$8:$H$991,4,FALSE)</f>
        <v>1385.623291015625</v>
      </c>
      <c r="Z272" s="26">
        <f t="shared" si="348"/>
        <v>85.198655249225212</v>
      </c>
      <c r="AA272" s="26">
        <f t="shared" si="430"/>
        <v>1385.623291015625</v>
      </c>
      <c r="AB272" s="33">
        <f t="shared" si="345"/>
        <v>85.198655249225212</v>
      </c>
    </row>
    <row r="273" spans="1:28" x14ac:dyDescent="0.3">
      <c r="A273" s="32">
        <f>VLOOKUP(YEAR(C273),Flags!$A$13:$B$95,2,FALSE)</f>
        <v>4</v>
      </c>
      <c r="B273" s="24">
        <f t="shared" si="432"/>
        <v>1950</v>
      </c>
      <c r="C273" s="25">
        <v>18597</v>
      </c>
      <c r="D273" s="26"/>
      <c r="E273" s="24"/>
      <c r="F273" s="26"/>
      <c r="G273" s="26"/>
      <c r="H273" s="26"/>
      <c r="I273" s="26"/>
      <c r="J273" s="26"/>
      <c r="K273" s="26"/>
      <c r="L273" s="24"/>
      <c r="M273" s="24"/>
      <c r="N273" s="26"/>
      <c r="O273" s="26"/>
      <c r="P273" s="26"/>
      <c r="Q273" s="26"/>
      <c r="R273" s="26"/>
      <c r="S273" s="26"/>
      <c r="T273" s="26"/>
      <c r="U273" s="26"/>
      <c r="V273" s="26"/>
      <c r="W273" s="26">
        <f>MAX($C$10-VLOOKUP($C273,COS!$B$8:$H$991,3,FALSE),0)</f>
        <v>88639.322265625</v>
      </c>
      <c r="X273" s="26">
        <f t="shared" si="347"/>
        <v>5274.4059529958677</v>
      </c>
      <c r="Y273" s="26">
        <f>VLOOKUP($C273,COS!$B$8:$H$991,4,FALSE)</f>
        <v>0</v>
      </c>
      <c r="Z273" s="26">
        <f t="shared" si="348"/>
        <v>0</v>
      </c>
      <c r="AA273" s="26">
        <f t="shared" si="430"/>
        <v>0</v>
      </c>
      <c r="AB273" s="33">
        <f t="shared" si="345"/>
        <v>0</v>
      </c>
    </row>
    <row r="274" spans="1:28" x14ac:dyDescent="0.3">
      <c r="A274" s="34">
        <f>VLOOKUP(YEAR(C274),Flags!$A$13:$B$95,2,FALSE)</f>
        <v>4</v>
      </c>
      <c r="B274" s="35">
        <f t="shared" si="432"/>
        <v>1950</v>
      </c>
      <c r="C274" s="36">
        <v>18628</v>
      </c>
      <c r="D274" s="37"/>
      <c r="E274" s="35"/>
      <c r="F274" s="37"/>
      <c r="G274" s="37"/>
      <c r="H274" s="37"/>
      <c r="I274" s="37"/>
      <c r="J274" s="37"/>
      <c r="K274" s="37"/>
      <c r="L274" s="35"/>
      <c r="M274" s="35"/>
      <c r="N274" s="37"/>
      <c r="O274" s="37"/>
      <c r="P274" s="37"/>
      <c r="Q274" s="37"/>
      <c r="R274" s="37"/>
      <c r="S274" s="37"/>
      <c r="T274" s="37"/>
      <c r="U274" s="37"/>
      <c r="V274" s="37"/>
      <c r="W274" s="37">
        <f>MAX($C$11-VLOOKUP($C274,COS!$B$8:$H$991,3,FALSE),0)</f>
        <v>0</v>
      </c>
      <c r="X274" s="37">
        <f t="shared" si="347"/>
        <v>0</v>
      </c>
      <c r="Y274" s="37">
        <f>VLOOKUP($C274,COS!$B$8:$H$991,4,FALSE)</f>
        <v>0</v>
      </c>
      <c r="Z274" s="37">
        <f t="shared" si="348"/>
        <v>0</v>
      </c>
      <c r="AA274" s="37">
        <f t="shared" si="430"/>
        <v>0</v>
      </c>
      <c r="AB274" s="38">
        <f t="shared" si="345"/>
        <v>0</v>
      </c>
    </row>
    <row r="275" spans="1:28" x14ac:dyDescent="0.3">
      <c r="A275" s="27">
        <f>VLOOKUP(YEAR(C275),Flags!$A$13:$B$95,2,FALSE)</f>
        <v>2</v>
      </c>
      <c r="B275" s="28">
        <f t="shared" si="432"/>
        <v>1951</v>
      </c>
      <c r="C275" s="29">
        <v>18748</v>
      </c>
      <c r="D275" s="30">
        <f>VLOOKUP($C275,COS!$B$8:$H$991,3,FALSE)</f>
        <v>3250</v>
      </c>
      <c r="E275" s="28">
        <f>IF(D275&gt;=IF(MONTH($C275)=4,$C$3,IF(MONTH($C275)=5,$C$4,IF(MONTH($C275)=6,$C$5,IF(MONTH($C275)=7,$C$6,"ERROR")))),1,0)</f>
        <v>0</v>
      </c>
      <c r="F275" s="30">
        <f>VLOOKUP($C275,COS!$B$8:$H$991,7,FALSE)</f>
        <v>50.026283264160156</v>
      </c>
      <c r="G275" s="28">
        <f>IF(F275&lt;=IF(MONTH($C275)=4,$F$3,IF(MONTH($C275)=5,$F$4,IF(MONTH($C275)=6,$F$5,IF(MONTH($C275)=7,$F$6,"ERROR")))),1,0)</f>
        <v>1</v>
      </c>
      <c r="H275" s="30">
        <f>IF(J275=1,D275-$C$3,0)</f>
        <v>0</v>
      </c>
      <c r="I275" s="30">
        <f t="shared" si="342"/>
        <v>0</v>
      </c>
      <c r="J275" s="28">
        <f t="shared" ref="J275:J278" si="434">IF(AND(E275=1,G275=1),1,0)</f>
        <v>0</v>
      </c>
      <c r="K275" s="30">
        <f>VLOOKUP($C275,COS!$B$8:$H$991,2,FALSE)</f>
        <v>4516.4619140625</v>
      </c>
      <c r="L275" s="28">
        <f t="shared" ref="L275:L332" si="435">IF(K275&lt;=IF(MONTH($C275)=4,$I$3,IF(MONTH($C275)=5,$I$4,IF(MONTH($C275)=6,$I$5,IF(MONTH($C275)=7,$I$6,"ERROR")))),1,0)</f>
        <v>1</v>
      </c>
      <c r="M275" s="28">
        <f t="shared" ref="M275:M332" si="436">VLOOKUP($A275,$L$3:$M$7,2,FALSE)</f>
        <v>0</v>
      </c>
      <c r="N275" s="30">
        <f>VLOOKUP($C275,COS!$B$8:$H$991,5,FALSE)</f>
        <v>285.89596557617188</v>
      </c>
      <c r="O275" s="30">
        <f t="shared" ref="O275:O278" si="437">N275*DAY($C275)*86400/43560/1000</f>
        <v>17.011991340069731</v>
      </c>
      <c r="P275" s="30">
        <f>VLOOKUP($C275,COS!$B$8:$H$991,6,FALSE)</f>
        <v>523.71405029296875</v>
      </c>
      <c r="Q275" s="30">
        <f t="shared" ref="Q275:Q278" si="438">P275*DAY($C275)*86400/43560/1000</f>
        <v>31.16315010007748</v>
      </c>
      <c r="R275" s="30">
        <f>MIN(IF(MONTH($C275)=4,$S$3,IF(MONTH($C275)=5,$S$4,IF(MONTH($C275)=6,$S$5,IF(MONTH($C275)=7,$S$6,"ERROR")))),MAX(VLOOKUP($C275,COS!$B$8:$K$991,10,FALSE)-IF(MONTH($C275)=4,$Y$3,IF(MONTH($C275)=5,$Y$4,IF(MONTH($C275)=6,$Y$5,IF(MONTH($C275)=7,$Y$6,"ERROR")))),0),MAX(VLOOKUP($C275,COS!$B$8:$K$991,9,FALSE)-IF(MONTH($C275)=4,$V$3,IF(MONTH($C275)=5,$V$4,IF(MONTH($C275)=6,$V$5,IF(MONTH($C275)=7,$V$6,"ERROR"))))-VLOOKUP($C275,COS!$B$8:$K$991,6,FALSE)/2,0))</f>
        <v>870.47891235351563</v>
      </c>
      <c r="S275" s="30">
        <f t="shared" ref="S275:S278" si="439">R275*DAY($C275)*86400/43560/1000</f>
        <v>51.797092305333166</v>
      </c>
      <c r="T275" s="30">
        <f t="shared" ref="T275:T278" si="440">(O275+Q275)/2+S275</f>
        <v>75.88466302540678</v>
      </c>
      <c r="U275" s="30" t="str">
        <f>IF(VLOOKUP($C275,COS!$B$8:$I$991,8,FALSE)=1,"UWFE","IBU")</f>
        <v>UWFE</v>
      </c>
      <c r="V275" s="30">
        <f t="shared" ref="V275" si="441">MIN(IF(IF($AA$3=2,AND(E275=1,G275=1,L275=1,L280=1,M275=1,U275="IBU"),AND(E275=1,G275=1,L275=1,L280=1,M275=1)),T275,0),I275)</f>
        <v>0</v>
      </c>
      <c r="W275" s="30"/>
      <c r="X275" s="30"/>
      <c r="Y275" s="30"/>
      <c r="Z275" s="30"/>
      <c r="AA275" s="30"/>
      <c r="AB275" s="31"/>
    </row>
    <row r="276" spans="1:28" x14ac:dyDescent="0.3">
      <c r="A276" s="32">
        <f>VLOOKUP(YEAR(C276),Flags!$A$13:$B$95,2,FALSE)</f>
        <v>2</v>
      </c>
      <c r="B276" s="24">
        <f t="shared" si="432"/>
        <v>1951</v>
      </c>
      <c r="C276" s="25">
        <v>18779</v>
      </c>
      <c r="D276" s="26">
        <f>VLOOKUP($C276,COS!$B$8:$H$991,3,FALSE)</f>
        <v>6537.244140625</v>
      </c>
      <c r="E276" s="24">
        <f>IF(D276&gt;=IF(MONTH($C276)=4,$C$3,IF(MONTH($C276)=5,$C$4,IF(MONTH($C276)=6,$C$5,IF(MONTH($C276)=7,$C$6,"ERROR")))),1,0)</f>
        <v>1</v>
      </c>
      <c r="F276" s="26">
        <f>VLOOKUP($C276,COS!$B$8:$H$991,7,FALSE)</f>
        <v>50.078166961669922</v>
      </c>
      <c r="G276" s="24">
        <f>IF(F276&lt;=IF(MONTH($C276)=4,$F$3,IF(MONTH($C276)=5,$F$4,IF(MONTH($C276)=6,$F$5,IF(MONTH($C276)=7,$F$6,"ERROR")))),1,0)</f>
        <v>1</v>
      </c>
      <c r="H276" s="26">
        <f>IF(J276=1,D276-$C$4,0)</f>
        <v>537.244140625</v>
      </c>
      <c r="I276" s="26">
        <f t="shared" si="342"/>
        <v>33.033854597107435</v>
      </c>
      <c r="J276" s="24">
        <f t="shared" si="434"/>
        <v>1</v>
      </c>
      <c r="K276" s="26">
        <f>VLOOKUP($C276,COS!$B$8:$H$991,2,FALSE)</f>
        <v>4552</v>
      </c>
      <c r="L276" s="24">
        <f t="shared" si="435"/>
        <v>1</v>
      </c>
      <c r="M276" s="24">
        <f t="shared" si="436"/>
        <v>0</v>
      </c>
      <c r="N276" s="26">
        <f>VLOOKUP($C276,COS!$B$8:$H$991,5,FALSE)</f>
        <v>725.94110107421875</v>
      </c>
      <c r="O276" s="26">
        <f t="shared" si="437"/>
        <v>44.636378446216426</v>
      </c>
      <c r="P276" s="26">
        <f>VLOOKUP($C276,COS!$B$8:$H$991,6,FALSE)</f>
        <v>1961.9442138671875</v>
      </c>
      <c r="Q276" s="26">
        <f t="shared" si="438"/>
        <v>120.63524753034608</v>
      </c>
      <c r="R276" s="26">
        <f>MIN(IF(MONTH($C276)=4,$S$3,IF(MONTH($C276)=5,$S$4,IF(MONTH($C276)=6,$S$5,IF(MONTH($C276)=7,$S$6,"ERROR")))),MAX(VLOOKUP($C276,COS!$B$8:$K$991,10,FALSE)-IF(MONTH($C276)=4,$Y$3,IF(MONTH($C276)=5,$Y$4,IF(MONTH($C276)=6,$Y$5,IF(MONTH($C276)=7,$Y$6,"ERROR")))),0),MAX(VLOOKUP($C276,COS!$B$8:$K$991,9,FALSE)-IF(MONTH($C276)=4,$V$3,IF(MONTH($C276)=5,$V$4,IF(MONTH($C276)=6,$V$5,IF(MONTH($C276)=7,$V$6,"ERROR"))))-VLOOKUP($C276,COS!$B$8:$K$991,6,FALSE)/2,0))</f>
        <v>1500</v>
      </c>
      <c r="S276" s="26">
        <f t="shared" si="439"/>
        <v>92.231404958677686</v>
      </c>
      <c r="T276" s="26">
        <f t="shared" si="440"/>
        <v>174.86721794695893</v>
      </c>
      <c r="U276" s="26" t="str">
        <f>IF(VLOOKUP($C276,COS!$B$8:$I$991,8,FALSE)=1,"UWFE","IBU")</f>
        <v>UWFE</v>
      </c>
      <c r="V276" s="26">
        <f t="shared" ref="V276" si="442">MIN(IF(IF($AA$3=2,AND(E276=1,G276=1,L276=1,L280=1,M276=1,U276="IBU"),AND(E276=1,G276=1,L276=1,L280=1,M276=1)),T276,0),I276)</f>
        <v>0</v>
      </c>
      <c r="W276" s="26"/>
      <c r="X276" s="26"/>
      <c r="Y276" s="26"/>
      <c r="Z276" s="26"/>
      <c r="AA276" s="26"/>
      <c r="AB276" s="33"/>
    </row>
    <row r="277" spans="1:28" x14ac:dyDescent="0.3">
      <c r="A277" s="32">
        <f>VLOOKUP(YEAR(C277),Flags!$A$13:$B$95,2,FALSE)</f>
        <v>2</v>
      </c>
      <c r="B277" s="24">
        <f t="shared" si="432"/>
        <v>1951</v>
      </c>
      <c r="C277" s="25">
        <v>18809</v>
      </c>
      <c r="D277" s="26">
        <f>VLOOKUP($C277,COS!$B$8:$H$991,3,FALSE)</f>
        <v>10659.24609375</v>
      </c>
      <c r="E277" s="24">
        <f>IF(D277&gt;=IF(MONTH($C277)=4,$C$3,IF(MONTH($C277)=5,$C$4,IF(MONTH($C277)=6,$C$5,IF(MONTH($C277)=7,$C$6,"ERROR")))),1,0)</f>
        <v>1</v>
      </c>
      <c r="F277" s="26">
        <f>VLOOKUP($C277,COS!$B$8:$H$991,7,FALSE)</f>
        <v>49.92681884765625</v>
      </c>
      <c r="G277" s="24">
        <f>IF(F277&lt;=IF(MONTH($C277)=4,$F$3,IF(MONTH($C277)=5,$F$4,IF(MONTH($C277)=6,$F$5,IF(MONTH($C277)=7,$F$6,"ERROR")))),1,0)</f>
        <v>1</v>
      </c>
      <c r="H277" s="26">
        <f>IF(J277=1,D277-$C$5,0)</f>
        <v>659.24609375</v>
      </c>
      <c r="I277" s="26">
        <f t="shared" si="342"/>
        <v>39.227866735537184</v>
      </c>
      <c r="J277" s="24">
        <f t="shared" si="434"/>
        <v>1</v>
      </c>
      <c r="K277" s="26">
        <f>VLOOKUP($C277,COS!$B$8:$H$991,2,FALSE)</f>
        <v>4123.96142578125</v>
      </c>
      <c r="L277" s="24">
        <f t="shared" si="435"/>
        <v>1</v>
      </c>
      <c r="M277" s="24">
        <f t="shared" si="436"/>
        <v>0</v>
      </c>
      <c r="N277" s="26">
        <f>VLOOKUP($C277,COS!$B$8:$H$991,5,FALSE)</f>
        <v>977.7628173828125</v>
      </c>
      <c r="O277" s="26">
        <f t="shared" si="437"/>
        <v>58.180927976497934</v>
      </c>
      <c r="P277" s="26">
        <f>VLOOKUP($C277,COS!$B$8:$H$991,6,FALSE)</f>
        <v>2422.49462890625</v>
      </c>
      <c r="Q277" s="26">
        <f t="shared" si="438"/>
        <v>144.14844072830579</v>
      </c>
      <c r="R277" s="26">
        <f>MIN(IF(MONTH($C277)=4,$S$3,IF(MONTH($C277)=5,$S$4,IF(MONTH($C277)=6,$S$5,IF(MONTH($C277)=7,$S$6,"ERROR")))),MAX(VLOOKUP($C277,COS!$B$8:$K$991,10,FALSE)-IF(MONTH($C277)=4,$Y$3,IF(MONTH($C277)=5,$Y$4,IF(MONTH($C277)=6,$Y$5,IF(MONTH($C277)=7,$Y$6,"ERROR")))),0),MAX(VLOOKUP($C277,COS!$B$8:$K$991,9,FALSE)-IF(MONTH($C277)=4,$V$3,IF(MONTH($C277)=5,$V$4,IF(MONTH($C277)=6,$V$5,IF(MONTH($C277)=7,$V$6,"ERROR"))))-VLOOKUP($C277,COS!$B$8:$K$991,6,FALSE)/2,0))</f>
        <v>1500</v>
      </c>
      <c r="S277" s="26">
        <f t="shared" si="439"/>
        <v>89.256198347107429</v>
      </c>
      <c r="T277" s="26">
        <f t="shared" si="440"/>
        <v>190.42088269950929</v>
      </c>
      <c r="U277" s="26" t="str">
        <f>IF(VLOOKUP($C277,COS!$B$8:$I$991,8,FALSE)=1,"UWFE","IBU")</f>
        <v>IBU</v>
      </c>
      <c r="V277" s="26">
        <f t="shared" ref="V277" si="443">MIN(IF(IF($AA$3=2,AND(E277=1,G277=1,L277=1,L280=1,M277=1,U277="IBU"),AND(E277=1,G277=1,L277=1,L280=1,M277=1)),T277,0),I277)</f>
        <v>0</v>
      </c>
      <c r="W277" s="26"/>
      <c r="X277" s="26"/>
      <c r="Y277" s="26"/>
      <c r="Z277" s="26"/>
      <c r="AA277" s="26"/>
      <c r="AB277" s="33"/>
    </row>
    <row r="278" spans="1:28" x14ac:dyDescent="0.3">
      <c r="A278" s="32">
        <f>VLOOKUP(YEAR(C278),Flags!$A$13:$B$95,2,FALSE)</f>
        <v>2</v>
      </c>
      <c r="B278" s="24">
        <f t="shared" si="432"/>
        <v>1951</v>
      </c>
      <c r="C278" s="25">
        <v>18840</v>
      </c>
      <c r="D278" s="26">
        <f>VLOOKUP($C278,COS!$B$8:$H$991,3,FALSE)</f>
        <v>16000</v>
      </c>
      <c r="E278" s="24">
        <f>IF(D278&gt;=IF(MONTH($C278)=4,$C$3,IF(MONTH($C278)=5,$C$4,IF(MONTH($C278)=6,$C$5,IF(MONTH($C278)=7,$C$6,"ERROR")))),1,0)</f>
        <v>1</v>
      </c>
      <c r="F278" s="26">
        <f>VLOOKUP($C278,COS!$B$8:$H$991,7,FALSE)</f>
        <v>50.000553131103516</v>
      </c>
      <c r="G278" s="24">
        <f>IF(F278&lt;=IF(MONTH($C278)=4,$F$3,IF(MONTH($C278)=5,$F$4,IF(MONTH($C278)=6,$F$5,IF(MONTH($C278)=7,$F$6,"ERROR")))),1,0)</f>
        <v>1</v>
      </c>
      <c r="H278" s="26">
        <f>IF(J278=1,D278-$C$6,0)</f>
        <v>4000</v>
      </c>
      <c r="I278" s="26">
        <f t="shared" si="342"/>
        <v>245.95041322314049</v>
      </c>
      <c r="J278" s="24">
        <f t="shared" si="434"/>
        <v>1</v>
      </c>
      <c r="K278" s="26">
        <f>VLOOKUP($C278,COS!$B$8:$H$991,2,FALSE)</f>
        <v>3378.982666015625</v>
      </c>
      <c r="L278" s="24">
        <f t="shared" si="435"/>
        <v>1</v>
      </c>
      <c r="M278" s="24">
        <f t="shared" si="436"/>
        <v>0</v>
      </c>
      <c r="N278" s="26">
        <f>VLOOKUP($C278,COS!$B$8:$H$991,5,FALSE)</f>
        <v>1073.9122314453125</v>
      </c>
      <c r="O278" s="26">
        <f t="shared" si="437"/>
        <v>66.032289272339867</v>
      </c>
      <c r="P278" s="26">
        <f>VLOOKUP($C278,COS!$B$8:$H$991,6,FALSE)</f>
        <v>2562.892822265625</v>
      </c>
      <c r="Q278" s="26">
        <f t="shared" si="438"/>
        <v>157.58613717071282</v>
      </c>
      <c r="R278" s="26">
        <f>MIN(IF(MONTH($C278)=4,$S$3,IF(MONTH($C278)=5,$S$4,IF(MONTH($C278)=6,$S$5,IF(MONTH($C278)=7,$S$6,"ERROR")))),MAX(VLOOKUP($C278,COS!$B$8:$K$991,10,FALSE)-IF(MONTH($C278)=4,$Y$3,IF(MONTH($C278)=5,$Y$4,IF(MONTH($C278)=6,$Y$5,IF(MONTH($C278)=7,$Y$6,"ERROR")))),0),MAX(VLOOKUP($C278,COS!$B$8:$K$991,9,FALSE)-IF(MONTH($C278)=4,$V$3,IF(MONTH($C278)=5,$V$4,IF(MONTH($C278)=6,$V$5,IF(MONTH($C278)=7,$V$6,"ERROR"))))-VLOOKUP($C278,COS!$B$8:$K$991,6,FALSE)/2,0))</f>
        <v>1500</v>
      </c>
      <c r="S278" s="26">
        <f t="shared" si="439"/>
        <v>92.231404958677686</v>
      </c>
      <c r="T278" s="26">
        <f t="shared" si="440"/>
        <v>204.04061818020404</v>
      </c>
      <c r="U278" s="26" t="str">
        <f>IF(VLOOKUP($C278,COS!$B$8:$I$991,8,FALSE)=1,"UWFE","IBU")</f>
        <v>IBU</v>
      </c>
      <c r="V278" s="26">
        <f t="shared" ref="V278" si="444">MIN(IF(IF($AA$3=2,AND(E278=1,G278=1,L278=1,L280=1,M278=1,U278="IBU"),AND(E278=1,G278=1,L278=1,L280=1,M278=1)),T278,0),I278)</f>
        <v>0</v>
      </c>
      <c r="W278" s="26"/>
      <c r="X278" s="26"/>
      <c r="Y278" s="26"/>
      <c r="Z278" s="26"/>
      <c r="AA278" s="26"/>
      <c r="AB278" s="33"/>
    </row>
    <row r="279" spans="1:28" x14ac:dyDescent="0.3">
      <c r="A279" s="32">
        <f>VLOOKUP(YEAR(C279),Flags!$A$13:$B$95,2,FALSE)</f>
        <v>2</v>
      </c>
      <c r="B279" s="24">
        <f t="shared" si="432"/>
        <v>1951</v>
      </c>
      <c r="C279" s="25">
        <v>18871</v>
      </c>
      <c r="D279" s="26"/>
      <c r="E279" s="24"/>
      <c r="F279" s="26"/>
      <c r="G279" s="24"/>
      <c r="H279" s="24"/>
      <c r="I279" s="26"/>
      <c r="J279" s="24"/>
      <c r="K279" s="26"/>
      <c r="L279" s="24"/>
      <c r="M279" s="24"/>
      <c r="N279" s="26"/>
      <c r="O279" s="26"/>
      <c r="P279" s="26"/>
      <c r="Q279" s="26"/>
      <c r="R279" s="26"/>
      <c r="S279" s="26"/>
      <c r="T279" s="26"/>
      <c r="U279" s="26"/>
      <c r="V279" s="26"/>
      <c r="W279" s="26">
        <f>MAX($C$7-VLOOKUP($C279,COS!$B$8:$H$991,3,FALSE),0)</f>
        <v>88694.990234375</v>
      </c>
      <c r="X279" s="26">
        <f t="shared" si="347"/>
        <v>5453.6423747417357</v>
      </c>
      <c r="Y279" s="26">
        <f>VLOOKUP($C279,COS!$B$8:$H$991,4,FALSE)</f>
        <v>0</v>
      </c>
      <c r="Z279" s="26">
        <f t="shared" si="348"/>
        <v>0</v>
      </c>
      <c r="AA279" s="26">
        <f t="shared" ref="AA279:AA283" si="445">MIN(W279,Y279)</f>
        <v>0</v>
      </c>
      <c r="AB279" s="33">
        <f t="shared" ref="AB279:AB337" si="446">AA279*DAY($C279)*86400/43560/1000*IF(MONTH($C279)=8,$P$3,IF(MONTH($C279)=9,$P$4,IF(MONTH($C279)=10,$P$5,IF(MONTH($C279)=11,$P$6,IF(MONTH($C279)=12,$P$7,NA())))))</f>
        <v>0</v>
      </c>
    </row>
    <row r="280" spans="1:28" x14ac:dyDescent="0.3">
      <c r="A280" s="32">
        <f>VLOOKUP(YEAR(C280),Flags!$A$13:$B$95,2,FALSE)</f>
        <v>2</v>
      </c>
      <c r="B280" s="24">
        <f t="shared" si="432"/>
        <v>1951</v>
      </c>
      <c r="C280" s="25">
        <v>18901</v>
      </c>
      <c r="D280" s="26"/>
      <c r="E280" s="24"/>
      <c r="F280" s="26"/>
      <c r="G280" s="24"/>
      <c r="H280" s="24"/>
      <c r="I280" s="26"/>
      <c r="J280" s="24"/>
      <c r="K280" s="26">
        <f>VLOOKUP($C280,COS!$B$8:$H$991,2,FALSE)</f>
        <v>2661.90625</v>
      </c>
      <c r="L280" s="24">
        <f t="shared" ref="L280" si="447">IF(AND(K280&gt;$I$7,K280&lt;$I$8),1,0)</f>
        <v>1</v>
      </c>
      <c r="M280" s="24"/>
      <c r="N280" s="26"/>
      <c r="O280" s="26"/>
      <c r="P280" s="26"/>
      <c r="Q280" s="26"/>
      <c r="R280" s="26"/>
      <c r="S280" s="26"/>
      <c r="T280" s="26"/>
      <c r="U280" s="26"/>
      <c r="V280" s="26"/>
      <c r="W280" s="26">
        <f>MAX($C$8-VLOOKUP($C280,COS!$B$8:$H$991,3,FALSE),0)</f>
        <v>90025.66796875</v>
      </c>
      <c r="X280" s="26">
        <f t="shared" si="347"/>
        <v>5356.8992510330572</v>
      </c>
      <c r="Y280" s="26">
        <f>VLOOKUP($C280,COS!$B$8:$H$991,4,FALSE)</f>
        <v>0</v>
      </c>
      <c r="Z280" s="26">
        <f t="shared" si="348"/>
        <v>0</v>
      </c>
      <c r="AA280" s="26">
        <f t="shared" si="445"/>
        <v>0</v>
      </c>
      <c r="AB280" s="33">
        <f t="shared" si="446"/>
        <v>0</v>
      </c>
    </row>
    <row r="281" spans="1:28" x14ac:dyDescent="0.3">
      <c r="A281" s="32">
        <f>VLOOKUP(YEAR(C281),Flags!$A$13:$B$95,2,FALSE)</f>
        <v>2</v>
      </c>
      <c r="B281" s="24">
        <f t="shared" si="432"/>
        <v>1951</v>
      </c>
      <c r="C281" s="25">
        <v>18932</v>
      </c>
      <c r="D281" s="26"/>
      <c r="E281" s="24"/>
      <c r="F281" s="26"/>
      <c r="G281" s="26"/>
      <c r="H281" s="26"/>
      <c r="I281" s="26"/>
      <c r="J281" s="26"/>
      <c r="K281" s="26"/>
      <c r="L281" s="24"/>
      <c r="M281" s="24"/>
      <c r="N281" s="26"/>
      <c r="O281" s="26"/>
      <c r="P281" s="26"/>
      <c r="Q281" s="26"/>
      <c r="R281" s="26"/>
      <c r="S281" s="26"/>
      <c r="T281" s="26"/>
      <c r="U281" s="26"/>
      <c r="V281" s="26"/>
      <c r="W281" s="26">
        <f>MAX($C$9-VLOOKUP($C281,COS!$B$8:$H$991,3,FALSE),0)</f>
        <v>92899.10302734375</v>
      </c>
      <c r="X281" s="26">
        <f t="shared" si="347"/>
        <v>5712.1431944085743</v>
      </c>
      <c r="Y281" s="26">
        <f>VLOOKUP($C281,COS!$B$8:$H$991,4,FALSE)</f>
        <v>951.9967041015625</v>
      </c>
      <c r="Z281" s="26">
        <f t="shared" si="348"/>
        <v>58.535995690211777</v>
      </c>
      <c r="AA281" s="26">
        <f t="shared" si="445"/>
        <v>951.9967041015625</v>
      </c>
      <c r="AB281" s="33">
        <f t="shared" si="446"/>
        <v>58.535995690211777</v>
      </c>
    </row>
    <row r="282" spans="1:28" x14ac:dyDescent="0.3">
      <c r="A282" s="32">
        <f>VLOOKUP(YEAR(C282),Flags!$A$13:$B$95,2,FALSE)</f>
        <v>2</v>
      </c>
      <c r="B282" s="24">
        <f t="shared" si="432"/>
        <v>1951</v>
      </c>
      <c r="C282" s="25">
        <v>18962</v>
      </c>
      <c r="D282" s="26"/>
      <c r="E282" s="24"/>
      <c r="F282" s="26"/>
      <c r="G282" s="26"/>
      <c r="H282" s="26"/>
      <c r="I282" s="26"/>
      <c r="J282" s="26"/>
      <c r="K282" s="26"/>
      <c r="L282" s="24"/>
      <c r="M282" s="24"/>
      <c r="N282" s="26"/>
      <c r="O282" s="26"/>
      <c r="P282" s="26"/>
      <c r="Q282" s="26"/>
      <c r="R282" s="26"/>
      <c r="S282" s="26"/>
      <c r="T282" s="26"/>
      <c r="U282" s="26"/>
      <c r="V282" s="26"/>
      <c r="W282" s="26">
        <f>MAX($C$10-VLOOKUP($C282,COS!$B$8:$H$991,3,FALSE),0)</f>
        <v>91653.669921875</v>
      </c>
      <c r="X282" s="26">
        <f t="shared" si="347"/>
        <v>5453.7720945247929</v>
      </c>
      <c r="Y282" s="26">
        <f>VLOOKUP($C282,COS!$B$8:$H$991,4,FALSE)</f>
        <v>1099.94921875</v>
      </c>
      <c r="Z282" s="26">
        <f t="shared" si="348"/>
        <v>65.451523760330574</v>
      </c>
      <c r="AA282" s="26">
        <f t="shared" si="445"/>
        <v>1099.94921875</v>
      </c>
      <c r="AB282" s="33">
        <f t="shared" si="446"/>
        <v>32.725761880165287</v>
      </c>
    </row>
    <row r="283" spans="1:28" x14ac:dyDescent="0.3">
      <c r="A283" s="34">
        <f>VLOOKUP(YEAR(C283),Flags!$A$13:$B$95,2,FALSE)</f>
        <v>2</v>
      </c>
      <c r="B283" s="35">
        <f t="shared" si="432"/>
        <v>1951</v>
      </c>
      <c r="C283" s="36">
        <v>18993</v>
      </c>
      <c r="D283" s="37"/>
      <c r="E283" s="35"/>
      <c r="F283" s="37"/>
      <c r="G283" s="37"/>
      <c r="H283" s="37"/>
      <c r="I283" s="37"/>
      <c r="J283" s="37"/>
      <c r="K283" s="37"/>
      <c r="L283" s="35"/>
      <c r="M283" s="35"/>
      <c r="N283" s="37"/>
      <c r="O283" s="37"/>
      <c r="P283" s="37"/>
      <c r="Q283" s="37"/>
      <c r="R283" s="37"/>
      <c r="S283" s="37"/>
      <c r="T283" s="37"/>
      <c r="U283" s="37"/>
      <c r="V283" s="37"/>
      <c r="W283" s="37">
        <f>MAX($C$11-VLOOKUP($C283,COS!$B$8:$H$991,3,FALSE),0)</f>
        <v>0</v>
      </c>
      <c r="X283" s="37">
        <f t="shared" ref="X283:X346" si="448">W283*DAY($C283)*86400/43560/1000</f>
        <v>0</v>
      </c>
      <c r="Y283" s="37">
        <f>VLOOKUP($C283,COS!$B$8:$H$991,4,FALSE)</f>
        <v>0</v>
      </c>
      <c r="Z283" s="37">
        <f t="shared" ref="Z283:Z346" si="449">Y283*DAY($C283)*86400/43560/1000</f>
        <v>0</v>
      </c>
      <c r="AA283" s="37">
        <f t="shared" si="445"/>
        <v>0</v>
      </c>
      <c r="AB283" s="38">
        <f t="shared" si="446"/>
        <v>0</v>
      </c>
    </row>
    <row r="284" spans="1:28" x14ac:dyDescent="0.3">
      <c r="A284" s="27">
        <f>VLOOKUP(YEAR(C284),Flags!$A$13:$B$95,2,FALSE)</f>
        <v>1</v>
      </c>
      <c r="B284" s="28">
        <f t="shared" si="432"/>
        <v>1952</v>
      </c>
      <c r="C284" s="29">
        <v>19114</v>
      </c>
      <c r="D284" s="30">
        <f>VLOOKUP($C284,COS!$B$8:$H$991,3,FALSE)</f>
        <v>16481.419921875</v>
      </c>
      <c r="E284" s="28">
        <f>IF(D284&gt;=IF(MONTH($C284)=4,$C$3,IF(MONTH($C284)=5,$C$4,IF(MONTH($C284)=6,$C$5,IF(MONTH($C284)=7,$C$6,"ERROR")))),1,0)</f>
        <v>1</v>
      </c>
      <c r="F284" s="30">
        <f>VLOOKUP($C284,COS!$B$8:$H$991,7,FALSE)</f>
        <v>46.811973571777344</v>
      </c>
      <c r="G284" s="28">
        <f>IF(F284&lt;=IF(MONTH($C284)=4,$F$3,IF(MONTH($C284)=5,$F$4,IF(MONTH($C284)=6,$F$5,IF(MONTH($C284)=7,$F$6,"ERROR")))),1,0)</f>
        <v>1</v>
      </c>
      <c r="H284" s="30">
        <f>IF(J284=1,D284-$C$3,0)</f>
        <v>10481.419921875</v>
      </c>
      <c r="I284" s="30">
        <f t="shared" ref="I284:I347" si="450">H284*DAY($C284)*86400/43560/1000</f>
        <v>623.68779700413222</v>
      </c>
      <c r="J284" s="28">
        <f t="shared" ref="J284:J287" si="451">IF(AND(E284=1,G284=1),1,0)</f>
        <v>1</v>
      </c>
      <c r="K284" s="30">
        <f>VLOOKUP($C284,COS!$B$8:$H$991,2,FALSE)</f>
        <v>4290</v>
      </c>
      <c r="L284" s="28">
        <f t="shared" ref="L284" si="452">IF(K284&lt;=IF(MONTH($C284)=4,$I$3,IF(MONTH($C284)=5,$I$4,IF(MONTH($C284)=6,$I$5,IF(MONTH($C284)=7,$I$6,"ERROR")))),1,0)</f>
        <v>1</v>
      </c>
      <c r="M284" s="28">
        <f t="shared" ref="M284" si="453">VLOOKUP($A284,$L$3:$M$7,2,FALSE)</f>
        <v>0</v>
      </c>
      <c r="N284" s="30">
        <f>VLOOKUP($C284,COS!$B$8:$H$991,5,FALSE)</f>
        <v>93.1021728515625</v>
      </c>
      <c r="O284" s="30">
        <f t="shared" ref="O284:O287" si="454">N284*DAY($C284)*86400/43560/1000</f>
        <v>5.5399640043904954</v>
      </c>
      <c r="P284" s="30">
        <f>VLOOKUP($C284,COS!$B$8:$H$991,6,FALSE)</f>
        <v>430.79507446289063</v>
      </c>
      <c r="Q284" s="30">
        <f t="shared" ref="Q284:Q287" si="455">P284*DAY($C284)*86400/43560/1000</f>
        <v>25.63408707547779</v>
      </c>
      <c r="R284" s="30">
        <f>MIN(IF(MONTH($C284)=4,$S$3,IF(MONTH($C284)=5,$S$4,IF(MONTH($C284)=6,$S$5,IF(MONTH($C284)=7,$S$6,"ERROR")))),MAX(VLOOKUP($C284,COS!$B$8:$K$991,10,FALSE)-IF(MONTH($C284)=4,$Y$3,IF(MONTH($C284)=5,$Y$4,IF(MONTH($C284)=6,$Y$5,IF(MONTH($C284)=7,$Y$6,"ERROR")))),0),MAX(VLOOKUP($C284,COS!$B$8:$K$991,9,FALSE)-IF(MONTH($C284)=4,$V$3,IF(MONTH($C284)=5,$V$4,IF(MONTH($C284)=6,$V$5,IF(MONTH($C284)=7,$V$6,"ERROR"))))-VLOOKUP($C284,COS!$B$8:$K$991,6,FALSE)/2,0))</f>
        <v>1500</v>
      </c>
      <c r="S284" s="30">
        <f t="shared" ref="S284:S287" si="456">R284*DAY($C284)*86400/43560/1000</f>
        <v>89.256198347107429</v>
      </c>
      <c r="T284" s="30">
        <f t="shared" ref="T284:T287" si="457">(O284+Q284)/2+S284</f>
        <v>104.84322388704157</v>
      </c>
      <c r="U284" s="30" t="str">
        <f>IF(VLOOKUP($C284,COS!$B$8:$I$991,8,FALSE)=1,"UWFE","IBU")</f>
        <v>UWFE</v>
      </c>
      <c r="V284" s="30">
        <f t="shared" ref="V284" si="458">MIN(IF(IF($AA$3=2,AND(E284=1,G284=1,L284=1,L289=1,M284=1,U284="IBU"),AND(E284=1,G284=1,L284=1,L289=1,M284=1)),T284,0),I284)</f>
        <v>0</v>
      </c>
      <c r="W284" s="30"/>
      <c r="X284" s="30"/>
      <c r="Y284" s="30"/>
      <c r="Z284" s="30"/>
      <c r="AA284" s="30"/>
      <c r="AB284" s="31"/>
    </row>
    <row r="285" spans="1:28" x14ac:dyDescent="0.3">
      <c r="A285" s="32">
        <f>VLOOKUP(YEAR(C285),Flags!$A$13:$B$95,2,FALSE)</f>
        <v>1</v>
      </c>
      <c r="B285" s="24">
        <f t="shared" si="432"/>
        <v>1952</v>
      </c>
      <c r="C285" s="25">
        <v>19145</v>
      </c>
      <c r="D285" s="26">
        <f>VLOOKUP($C285,COS!$B$8:$H$991,3,FALSE)</f>
        <v>7205.154296875</v>
      </c>
      <c r="E285" s="24">
        <f>IF(D285&gt;=IF(MONTH($C285)=4,$C$3,IF(MONTH($C285)=5,$C$4,IF(MONTH($C285)=6,$C$5,IF(MONTH($C285)=7,$C$6,"ERROR")))),1,0)</f>
        <v>1</v>
      </c>
      <c r="F285" s="26">
        <f>VLOOKUP($C285,COS!$B$8:$H$991,7,FALSE)</f>
        <v>49.908802032470703</v>
      </c>
      <c r="G285" s="24">
        <f>IF(F285&lt;=IF(MONTH($C285)=4,$F$3,IF(MONTH($C285)=5,$F$4,IF(MONTH($C285)=6,$F$5,IF(MONTH($C285)=7,$F$6,"ERROR")))),1,0)</f>
        <v>1</v>
      </c>
      <c r="H285" s="26">
        <f>IF(J285=1,D285-$C$4,0)</f>
        <v>1205.154296875</v>
      </c>
      <c r="I285" s="26">
        <f t="shared" si="450"/>
        <v>74.102049328512393</v>
      </c>
      <c r="J285" s="24">
        <f t="shared" si="451"/>
        <v>1</v>
      </c>
      <c r="K285" s="26">
        <f>VLOOKUP($C285,COS!$B$8:$H$991,2,FALSE)</f>
        <v>4552</v>
      </c>
      <c r="L285" s="24">
        <f t="shared" si="435"/>
        <v>1</v>
      </c>
      <c r="M285" s="24">
        <f t="shared" si="436"/>
        <v>0</v>
      </c>
      <c r="N285" s="26">
        <f>VLOOKUP($C285,COS!$B$8:$H$991,5,FALSE)</f>
        <v>740.753662109375</v>
      </c>
      <c r="O285" s="26">
        <f t="shared" si="454"/>
        <v>45.547167323088843</v>
      </c>
      <c r="P285" s="26">
        <f>VLOOKUP($C285,COS!$B$8:$H$991,6,FALSE)</f>
        <v>2298.94775390625</v>
      </c>
      <c r="Q285" s="26">
        <f t="shared" si="455"/>
        <v>141.35678751291323</v>
      </c>
      <c r="R285" s="26">
        <f>MIN(IF(MONTH($C285)=4,$S$3,IF(MONTH($C285)=5,$S$4,IF(MONTH($C285)=6,$S$5,IF(MONTH($C285)=7,$S$6,"ERROR")))),MAX(VLOOKUP($C285,COS!$B$8:$K$991,10,FALSE)-IF(MONTH($C285)=4,$Y$3,IF(MONTH($C285)=5,$Y$4,IF(MONTH($C285)=6,$Y$5,IF(MONTH($C285)=7,$Y$6,"ERROR")))),0),MAX(VLOOKUP($C285,COS!$B$8:$K$991,9,FALSE)-IF(MONTH($C285)=4,$V$3,IF(MONTH($C285)=5,$V$4,IF(MONTH($C285)=6,$V$5,IF(MONTH($C285)=7,$V$6,"ERROR"))))-VLOOKUP($C285,COS!$B$8:$K$991,6,FALSE)/2,0))</f>
        <v>1500</v>
      </c>
      <c r="S285" s="26">
        <f t="shared" si="456"/>
        <v>92.231404958677686</v>
      </c>
      <c r="T285" s="26">
        <f t="shared" si="457"/>
        <v>185.68338237667871</v>
      </c>
      <c r="U285" s="26" t="str">
        <f>IF(VLOOKUP($C285,COS!$B$8:$I$991,8,FALSE)=1,"UWFE","IBU")</f>
        <v>UWFE</v>
      </c>
      <c r="V285" s="26">
        <f t="shared" ref="V285" si="459">MIN(IF(IF($AA$3=2,AND(E285=1,G285=1,L285=1,L289=1,M285=1,U285="IBU"),AND(E285=1,G285=1,L285=1,L289=1,M285=1)),T285,0),I285)</f>
        <v>0</v>
      </c>
      <c r="W285" s="26"/>
      <c r="X285" s="26"/>
      <c r="Y285" s="26"/>
      <c r="Z285" s="26"/>
      <c r="AA285" s="26"/>
      <c r="AB285" s="33"/>
    </row>
    <row r="286" spans="1:28" x14ac:dyDescent="0.3">
      <c r="A286" s="32">
        <f>VLOOKUP(YEAR(C286),Flags!$A$13:$B$95,2,FALSE)</f>
        <v>1</v>
      </c>
      <c r="B286" s="24">
        <f t="shared" si="432"/>
        <v>1952</v>
      </c>
      <c r="C286" s="25">
        <v>19175</v>
      </c>
      <c r="D286" s="26">
        <f>VLOOKUP($C286,COS!$B$8:$H$991,3,FALSE)</f>
        <v>6688.24560546875</v>
      </c>
      <c r="E286" s="24">
        <f>IF(D286&gt;=IF(MONTH($C286)=4,$C$3,IF(MONTH($C286)=5,$C$4,IF(MONTH($C286)=6,$C$5,IF(MONTH($C286)=7,$C$6,"ERROR")))),1,0)</f>
        <v>0</v>
      </c>
      <c r="F286" s="26">
        <f>VLOOKUP($C286,COS!$B$8:$H$991,7,FALSE)</f>
        <v>51.496559143066406</v>
      </c>
      <c r="G286" s="24">
        <f>IF(F286&lt;=IF(MONTH($C286)=4,$F$3,IF(MONTH($C286)=5,$F$4,IF(MONTH($C286)=6,$F$5,IF(MONTH($C286)=7,$F$6,"ERROR")))),1,0)</f>
        <v>1</v>
      </c>
      <c r="H286" s="26">
        <f>IF(J286=1,D286-$C$5,0)</f>
        <v>0</v>
      </c>
      <c r="I286" s="26">
        <f t="shared" si="450"/>
        <v>0</v>
      </c>
      <c r="J286" s="24">
        <f t="shared" si="451"/>
        <v>0</v>
      </c>
      <c r="K286" s="26">
        <f>VLOOKUP($C286,COS!$B$8:$H$991,2,FALSE)</f>
        <v>4500</v>
      </c>
      <c r="L286" s="24">
        <f t="shared" si="435"/>
        <v>1</v>
      </c>
      <c r="M286" s="24">
        <f t="shared" si="436"/>
        <v>0</v>
      </c>
      <c r="N286" s="26">
        <f>VLOOKUP($C286,COS!$B$8:$H$991,5,FALSE)</f>
        <v>1056.9393310546875</v>
      </c>
      <c r="O286" s="26">
        <f t="shared" si="454"/>
        <v>62.892257715650828</v>
      </c>
      <c r="P286" s="26">
        <f>VLOOKUP($C286,COS!$B$8:$H$991,6,FALSE)</f>
        <v>2224.63916015625</v>
      </c>
      <c r="Q286" s="26">
        <f t="shared" si="455"/>
        <v>132.37522275309917</v>
      </c>
      <c r="R286" s="26">
        <f>MIN(IF(MONTH($C286)=4,$S$3,IF(MONTH($C286)=5,$S$4,IF(MONTH($C286)=6,$S$5,IF(MONTH($C286)=7,$S$6,"ERROR")))),MAX(VLOOKUP($C286,COS!$B$8:$K$991,10,FALSE)-IF(MONTH($C286)=4,$Y$3,IF(MONTH($C286)=5,$Y$4,IF(MONTH($C286)=6,$Y$5,IF(MONTH($C286)=7,$Y$6,"ERROR")))),0),MAX(VLOOKUP($C286,COS!$B$8:$K$991,9,FALSE)-IF(MONTH($C286)=4,$V$3,IF(MONTH($C286)=5,$V$4,IF(MONTH($C286)=6,$V$5,IF(MONTH($C286)=7,$V$6,"ERROR"))))-VLOOKUP($C286,COS!$B$8:$K$991,6,FALSE)/2,0))</f>
        <v>1500</v>
      </c>
      <c r="S286" s="26">
        <f t="shared" si="456"/>
        <v>89.256198347107429</v>
      </c>
      <c r="T286" s="26">
        <f t="shared" si="457"/>
        <v>186.88993858148243</v>
      </c>
      <c r="U286" s="26" t="str">
        <f>IF(VLOOKUP($C286,COS!$B$8:$I$991,8,FALSE)=1,"UWFE","IBU")</f>
        <v>UWFE</v>
      </c>
      <c r="V286" s="26">
        <f t="shared" ref="V286" si="460">MIN(IF(IF($AA$3=2,AND(E286=1,G286=1,L286=1,L289=1,M286=1,U286="IBU"),AND(E286=1,G286=1,L286=1,L289=1,M286=1)),T286,0),I286)</f>
        <v>0</v>
      </c>
      <c r="W286" s="26"/>
      <c r="X286" s="26"/>
      <c r="Y286" s="26"/>
      <c r="Z286" s="26"/>
      <c r="AA286" s="26"/>
      <c r="AB286" s="33"/>
    </row>
    <row r="287" spans="1:28" x14ac:dyDescent="0.3">
      <c r="A287" s="32">
        <f>VLOOKUP(YEAR(C287),Flags!$A$13:$B$95,2,FALSE)</f>
        <v>1</v>
      </c>
      <c r="B287" s="24">
        <f t="shared" si="432"/>
        <v>1952</v>
      </c>
      <c r="C287" s="25">
        <v>19206</v>
      </c>
      <c r="D287" s="26">
        <f>VLOOKUP($C287,COS!$B$8:$H$991,3,FALSE)</f>
        <v>9808.591796875</v>
      </c>
      <c r="E287" s="24">
        <f>IF(D287&gt;=IF(MONTH($C287)=4,$C$3,IF(MONTH($C287)=5,$C$4,IF(MONTH($C287)=6,$C$5,IF(MONTH($C287)=7,$C$6,"ERROR")))),1,0)</f>
        <v>0</v>
      </c>
      <c r="F287" s="26">
        <f>VLOOKUP($C287,COS!$B$8:$H$991,7,FALSE)</f>
        <v>52.452281951904297</v>
      </c>
      <c r="G287" s="24">
        <f>IF(F287&lt;=IF(MONTH($C287)=4,$F$3,IF(MONTH($C287)=5,$F$4,IF(MONTH($C287)=6,$F$5,IF(MONTH($C287)=7,$F$6,"ERROR")))),1,0)</f>
        <v>1</v>
      </c>
      <c r="H287" s="26">
        <f>IF(J287=1,D287-$C$6,0)</f>
        <v>0</v>
      </c>
      <c r="I287" s="26">
        <f t="shared" si="450"/>
        <v>0</v>
      </c>
      <c r="J287" s="24">
        <f t="shared" si="451"/>
        <v>0</v>
      </c>
      <c r="K287" s="26">
        <f>VLOOKUP($C287,COS!$B$8:$H$991,2,FALSE)</f>
        <v>4145.533203125</v>
      </c>
      <c r="L287" s="24">
        <f t="shared" si="435"/>
        <v>1</v>
      </c>
      <c r="M287" s="24">
        <f t="shared" si="436"/>
        <v>0</v>
      </c>
      <c r="N287" s="26">
        <f>VLOOKUP($C287,COS!$B$8:$H$991,5,FALSE)</f>
        <v>1272.6998291015625</v>
      </c>
      <c r="O287" s="26">
        <f t="shared" si="454"/>
        <v>78.255262219137393</v>
      </c>
      <c r="P287" s="26">
        <f>VLOOKUP($C287,COS!$B$8:$H$991,6,FALSE)</f>
        <v>2503.0556640625</v>
      </c>
      <c r="Q287" s="26">
        <f t="shared" si="455"/>
        <v>153.90689372417353</v>
      </c>
      <c r="R287" s="26">
        <f>MIN(IF(MONTH($C287)=4,$S$3,IF(MONTH($C287)=5,$S$4,IF(MONTH($C287)=6,$S$5,IF(MONTH($C287)=7,$S$6,"ERROR")))),MAX(VLOOKUP($C287,COS!$B$8:$K$991,10,FALSE)-IF(MONTH($C287)=4,$Y$3,IF(MONTH($C287)=5,$Y$4,IF(MONTH($C287)=6,$Y$5,IF(MONTH($C287)=7,$Y$6,"ERROR")))),0),MAX(VLOOKUP($C287,COS!$B$8:$K$991,9,FALSE)-IF(MONTH($C287)=4,$V$3,IF(MONTH($C287)=5,$V$4,IF(MONTH($C287)=6,$V$5,IF(MONTH($C287)=7,$V$6,"ERROR"))))-VLOOKUP($C287,COS!$B$8:$K$991,6,FALSE)/2,0))</f>
        <v>1500</v>
      </c>
      <c r="S287" s="26">
        <f t="shared" si="456"/>
        <v>92.231404958677686</v>
      </c>
      <c r="T287" s="26">
        <f t="shared" si="457"/>
        <v>208.31248293033315</v>
      </c>
      <c r="U287" s="26" t="str">
        <f>IF(VLOOKUP($C287,COS!$B$8:$I$991,8,FALSE)=1,"UWFE","IBU")</f>
        <v>UWFE</v>
      </c>
      <c r="V287" s="26">
        <f t="shared" ref="V287" si="461">MIN(IF(IF($AA$3=2,AND(E287=1,G287=1,L287=1,L289=1,M287=1,U287="IBU"),AND(E287=1,G287=1,L287=1,L289=1,M287=1)),T287,0),I287)</f>
        <v>0</v>
      </c>
      <c r="W287" s="26"/>
      <c r="X287" s="26"/>
      <c r="Y287" s="26"/>
      <c r="Z287" s="26"/>
      <c r="AA287" s="26"/>
      <c r="AB287" s="33"/>
    </row>
    <row r="288" spans="1:28" x14ac:dyDescent="0.3">
      <c r="A288" s="32">
        <f>VLOOKUP(YEAR(C288),Flags!$A$13:$B$95,2,FALSE)</f>
        <v>1</v>
      </c>
      <c r="B288" s="24">
        <f t="shared" si="432"/>
        <v>1952</v>
      </c>
      <c r="C288" s="25">
        <v>19237</v>
      </c>
      <c r="D288" s="26"/>
      <c r="E288" s="24"/>
      <c r="F288" s="26"/>
      <c r="G288" s="24"/>
      <c r="H288" s="24"/>
      <c r="I288" s="26"/>
      <c r="J288" s="24"/>
      <c r="K288" s="26"/>
      <c r="L288" s="24"/>
      <c r="M288" s="24"/>
      <c r="N288" s="26"/>
      <c r="O288" s="26"/>
      <c r="P288" s="26"/>
      <c r="Q288" s="26"/>
      <c r="R288" s="26"/>
      <c r="S288" s="26"/>
      <c r="T288" s="26"/>
      <c r="U288" s="26"/>
      <c r="V288" s="26"/>
      <c r="W288" s="26">
        <f>MAX($C$7-VLOOKUP($C288,COS!$B$8:$H$991,3,FALSE),0)</f>
        <v>88187.6650390625</v>
      </c>
      <c r="X288" s="26">
        <f t="shared" si="448"/>
        <v>5422.4481643853305</v>
      </c>
      <c r="Y288" s="26">
        <f>VLOOKUP($C288,COS!$B$8:$H$991,4,FALSE)</f>
        <v>0</v>
      </c>
      <c r="Z288" s="26">
        <f t="shared" si="449"/>
        <v>0</v>
      </c>
      <c r="AA288" s="26">
        <f t="shared" ref="AA288:AA292" si="462">MIN(W288,Y288)</f>
        <v>0</v>
      </c>
      <c r="AB288" s="33">
        <f t="shared" ref="AB288" si="463">AA288*DAY($C288)*86400/43560/1000*IF(MONTH($C288)=8,$P$3,IF(MONTH($C288)=9,$P$4,IF(MONTH($C288)=10,$P$5,IF(MONTH($C288)=11,$P$6,IF(MONTH($C288)=12,$P$7,NA())))))</f>
        <v>0</v>
      </c>
    </row>
    <row r="289" spans="1:28" x14ac:dyDescent="0.3">
      <c r="A289" s="32">
        <f>VLOOKUP(YEAR(C289),Flags!$A$13:$B$95,2,FALSE)</f>
        <v>1</v>
      </c>
      <c r="B289" s="24">
        <f t="shared" si="432"/>
        <v>1952</v>
      </c>
      <c r="C289" s="25">
        <v>19267</v>
      </c>
      <c r="D289" s="26"/>
      <c r="E289" s="24"/>
      <c r="F289" s="26"/>
      <c r="G289" s="24"/>
      <c r="H289" s="24"/>
      <c r="I289" s="26"/>
      <c r="J289" s="24"/>
      <c r="K289" s="26">
        <f>VLOOKUP($C289,COS!$B$8:$H$991,2,FALSE)</f>
        <v>3316.7529296875</v>
      </c>
      <c r="L289" s="24">
        <f t="shared" ref="L289" si="464">IF(AND(K289&gt;$I$7,K289&lt;$I$8),1,0)</f>
        <v>1</v>
      </c>
      <c r="M289" s="24"/>
      <c r="N289" s="26"/>
      <c r="O289" s="26"/>
      <c r="P289" s="26"/>
      <c r="Q289" s="26"/>
      <c r="R289" s="26"/>
      <c r="S289" s="26"/>
      <c r="T289" s="26"/>
      <c r="U289" s="26"/>
      <c r="V289" s="26"/>
      <c r="W289" s="26">
        <f>MAX($C$8-VLOOKUP($C289,COS!$B$8:$H$991,3,FALSE),0)</f>
        <v>87814.3583984375</v>
      </c>
      <c r="X289" s="26">
        <f t="shared" si="448"/>
        <v>5225.3171939566118</v>
      </c>
      <c r="Y289" s="26">
        <f>VLOOKUP($C289,COS!$B$8:$H$991,4,FALSE)</f>
        <v>38.310874938964844</v>
      </c>
      <c r="Z289" s="26">
        <f t="shared" si="449"/>
        <v>2.2796553682689824</v>
      </c>
      <c r="AA289" s="26">
        <f t="shared" si="462"/>
        <v>38.310874938964844</v>
      </c>
      <c r="AB289" s="33">
        <f t="shared" si="446"/>
        <v>2.2796553682689824</v>
      </c>
    </row>
    <row r="290" spans="1:28" x14ac:dyDescent="0.3">
      <c r="A290" s="32">
        <f>VLOOKUP(YEAR(C290),Flags!$A$13:$B$95,2,FALSE)</f>
        <v>1</v>
      </c>
      <c r="B290" s="24">
        <f t="shared" si="432"/>
        <v>1952</v>
      </c>
      <c r="C290" s="25">
        <v>19298</v>
      </c>
      <c r="D290" s="26"/>
      <c r="E290" s="24"/>
      <c r="F290" s="26"/>
      <c r="G290" s="26"/>
      <c r="H290" s="26"/>
      <c r="I290" s="26"/>
      <c r="J290" s="26"/>
      <c r="K290" s="26"/>
      <c r="L290" s="24"/>
      <c r="M290" s="24"/>
      <c r="N290" s="26"/>
      <c r="O290" s="26"/>
      <c r="P290" s="26"/>
      <c r="Q290" s="26"/>
      <c r="R290" s="26"/>
      <c r="S290" s="26"/>
      <c r="T290" s="26"/>
      <c r="U290" s="26"/>
      <c r="V290" s="26"/>
      <c r="W290" s="26">
        <f>MAX($C$9-VLOOKUP($C290,COS!$B$8:$H$991,3,FALSE),0)</f>
        <v>92103.11669921875</v>
      </c>
      <c r="X290" s="26">
        <f t="shared" si="448"/>
        <v>5663.1999028279961</v>
      </c>
      <c r="Y290" s="26">
        <f>VLOOKUP($C290,COS!$B$8:$H$991,4,FALSE)</f>
        <v>203.00856018066406</v>
      </c>
      <c r="Z290" s="26">
        <f t="shared" si="449"/>
        <v>12.482509816067278</v>
      </c>
      <c r="AA290" s="26">
        <f t="shared" si="462"/>
        <v>203.00856018066406</v>
      </c>
      <c r="AB290" s="33">
        <f t="shared" si="446"/>
        <v>12.482509816067278</v>
      </c>
    </row>
    <row r="291" spans="1:28" x14ac:dyDescent="0.3">
      <c r="A291" s="32">
        <f>VLOOKUP(YEAR(C291),Flags!$A$13:$B$95,2,FALSE)</f>
        <v>1</v>
      </c>
      <c r="B291" s="24">
        <f t="shared" si="432"/>
        <v>1952</v>
      </c>
      <c r="C291" s="25">
        <v>19328</v>
      </c>
      <c r="D291" s="26"/>
      <c r="E291" s="24"/>
      <c r="F291" s="26"/>
      <c r="G291" s="26"/>
      <c r="H291" s="26"/>
      <c r="I291" s="26"/>
      <c r="J291" s="26"/>
      <c r="K291" s="26"/>
      <c r="L291" s="24"/>
      <c r="M291" s="24"/>
      <c r="N291" s="26"/>
      <c r="O291" s="26"/>
      <c r="P291" s="26"/>
      <c r="Q291" s="26"/>
      <c r="R291" s="26"/>
      <c r="S291" s="26"/>
      <c r="T291" s="26"/>
      <c r="U291" s="26"/>
      <c r="V291" s="26"/>
      <c r="W291" s="26">
        <f>MAX($C$10-VLOOKUP($C291,COS!$B$8:$H$991,3,FALSE),0)</f>
        <v>89899.2255859375</v>
      </c>
      <c r="X291" s="26">
        <f t="shared" si="448"/>
        <v>5349.3754067665295</v>
      </c>
      <c r="Y291" s="26">
        <f>VLOOKUP($C291,COS!$B$8:$H$991,4,FALSE)</f>
        <v>736.8885498046875</v>
      </c>
      <c r="Z291" s="26">
        <f t="shared" si="449"/>
        <v>43.847913707386361</v>
      </c>
      <c r="AA291" s="26">
        <f t="shared" si="462"/>
        <v>736.8885498046875</v>
      </c>
      <c r="AB291" s="33">
        <f t="shared" si="446"/>
        <v>21.923956853693181</v>
      </c>
    </row>
    <row r="292" spans="1:28" x14ac:dyDescent="0.3">
      <c r="A292" s="34">
        <f>VLOOKUP(YEAR(C292),Flags!$A$13:$B$95,2,FALSE)</f>
        <v>1</v>
      </c>
      <c r="B292" s="35">
        <f t="shared" si="432"/>
        <v>1952</v>
      </c>
      <c r="C292" s="36">
        <v>19359</v>
      </c>
      <c r="D292" s="37"/>
      <c r="E292" s="35"/>
      <c r="F292" s="37"/>
      <c r="G292" s="37"/>
      <c r="H292" s="37"/>
      <c r="I292" s="37"/>
      <c r="J292" s="37"/>
      <c r="K292" s="37"/>
      <c r="L292" s="35"/>
      <c r="M292" s="35"/>
      <c r="N292" s="37"/>
      <c r="O292" s="37"/>
      <c r="P292" s="37"/>
      <c r="Q292" s="37"/>
      <c r="R292" s="37"/>
      <c r="S292" s="37"/>
      <c r="T292" s="37"/>
      <c r="U292" s="37"/>
      <c r="V292" s="37"/>
      <c r="W292" s="37">
        <f>MAX($C$11-VLOOKUP($C292,COS!$B$8:$H$991,3,FALSE),0)</f>
        <v>0</v>
      </c>
      <c r="X292" s="37">
        <f t="shared" si="448"/>
        <v>0</v>
      </c>
      <c r="Y292" s="37">
        <f>VLOOKUP($C292,COS!$B$8:$H$991,4,FALSE)</f>
        <v>0</v>
      </c>
      <c r="Z292" s="37">
        <f t="shared" si="449"/>
        <v>0</v>
      </c>
      <c r="AA292" s="37">
        <f t="shared" si="462"/>
        <v>0</v>
      </c>
      <c r="AB292" s="38">
        <f t="shared" si="446"/>
        <v>0</v>
      </c>
    </row>
    <row r="293" spans="1:28" x14ac:dyDescent="0.3">
      <c r="A293" s="27">
        <f>VLOOKUP(YEAR(C293),Flags!$A$13:$B$95,2,FALSE)</f>
        <v>1</v>
      </c>
      <c r="B293" s="28">
        <f t="shared" si="432"/>
        <v>1953</v>
      </c>
      <c r="C293" s="29">
        <v>19479</v>
      </c>
      <c r="D293" s="30">
        <f>VLOOKUP($C293,COS!$B$8:$H$991,3,FALSE)</f>
        <v>5435.791015625</v>
      </c>
      <c r="E293" s="28">
        <f>IF(D293&gt;=IF(MONTH($C293)=4,$C$3,IF(MONTH($C293)=5,$C$4,IF(MONTH($C293)=6,$C$5,IF(MONTH($C293)=7,$C$6,"ERROR")))),1,0)</f>
        <v>0</v>
      </c>
      <c r="F293" s="30">
        <f>VLOOKUP($C293,COS!$B$8:$H$991,7,FALSE)</f>
        <v>48.983604431152344</v>
      </c>
      <c r="G293" s="28">
        <f>IF(F293&lt;=IF(MONTH($C293)=4,$F$3,IF(MONTH($C293)=5,$F$4,IF(MONTH($C293)=6,$F$5,IF(MONTH($C293)=7,$F$6,"ERROR")))),1,0)</f>
        <v>1</v>
      </c>
      <c r="H293" s="30">
        <f>IF(J293=1,D293-$C$3,0)</f>
        <v>0</v>
      </c>
      <c r="I293" s="30">
        <f t="shared" si="450"/>
        <v>0</v>
      </c>
      <c r="J293" s="28">
        <f t="shared" ref="J293:J296" si="465">IF(AND(E293=1,G293=1),1,0)</f>
        <v>0</v>
      </c>
      <c r="K293" s="30">
        <f>VLOOKUP($C293,COS!$B$8:$H$991,2,FALSE)</f>
        <v>4552</v>
      </c>
      <c r="L293" s="28">
        <f t="shared" ref="L293" si="466">IF(K293&lt;=IF(MONTH($C293)=4,$I$3,IF(MONTH($C293)=5,$I$4,IF(MONTH($C293)=6,$I$5,IF(MONTH($C293)=7,$I$6,"ERROR")))),1,0)</f>
        <v>1</v>
      </c>
      <c r="M293" s="28">
        <f t="shared" ref="M293" si="467">VLOOKUP($A293,$L$3:$M$7,2,FALSE)</f>
        <v>0</v>
      </c>
      <c r="N293" s="30">
        <f>VLOOKUP($C293,COS!$B$8:$H$991,5,FALSE)</f>
        <v>445.47723388671875</v>
      </c>
      <c r="O293" s="30">
        <f t="shared" ref="O293:O296" si="468">N293*DAY($C293)*86400/43560/1000</f>
        <v>26.507736231275828</v>
      </c>
      <c r="P293" s="30">
        <f>VLOOKUP($C293,COS!$B$8:$H$991,6,FALSE)</f>
        <v>432.80410766601563</v>
      </c>
      <c r="Q293" s="30">
        <f t="shared" ref="Q293:Q296" si="469">P293*DAY($C293)*86400/43560/1000</f>
        <v>25.753632852853823</v>
      </c>
      <c r="R293" s="30">
        <f>MIN(IF(MONTH($C293)=4,$S$3,IF(MONTH($C293)=5,$S$4,IF(MONTH($C293)=6,$S$5,IF(MONTH($C293)=7,$S$6,"ERROR")))),MAX(VLOOKUP($C293,COS!$B$8:$K$991,10,FALSE)-IF(MONTH($C293)=4,$Y$3,IF(MONTH($C293)=5,$Y$4,IF(MONTH($C293)=6,$Y$5,IF(MONTH($C293)=7,$Y$6,"ERROR")))),0),MAX(VLOOKUP($C293,COS!$B$8:$K$991,9,FALSE)-IF(MONTH($C293)=4,$V$3,IF(MONTH($C293)=5,$V$4,IF(MONTH($C293)=6,$V$5,IF(MONTH($C293)=7,$V$6,"ERROR"))))-VLOOKUP($C293,COS!$B$8:$K$991,6,FALSE)/2,0))</f>
        <v>1500</v>
      </c>
      <c r="S293" s="30">
        <f t="shared" ref="S293:S296" si="470">R293*DAY($C293)*86400/43560/1000</f>
        <v>89.256198347107429</v>
      </c>
      <c r="T293" s="30">
        <f t="shared" ref="T293:T296" si="471">(O293+Q293)/2+S293</f>
        <v>115.38688288917226</v>
      </c>
      <c r="U293" s="30" t="str">
        <f>IF(VLOOKUP($C293,COS!$B$8:$I$991,8,FALSE)=1,"UWFE","IBU")</f>
        <v>UWFE</v>
      </c>
      <c r="V293" s="30">
        <f t="shared" ref="V293" si="472">MIN(IF(IF($AA$3=2,AND(E293=1,G293=1,L293=1,L298=1,M293=1,U293="IBU"),AND(E293=1,G293=1,L293=1,L298=1,M293=1)),T293,0),I293)</f>
        <v>0</v>
      </c>
      <c r="W293" s="30"/>
      <c r="X293" s="30"/>
      <c r="Y293" s="30"/>
      <c r="Z293" s="30"/>
      <c r="AA293" s="30"/>
      <c r="AB293" s="31"/>
    </row>
    <row r="294" spans="1:28" x14ac:dyDescent="0.3">
      <c r="A294" s="32">
        <f>VLOOKUP(YEAR(C294),Flags!$A$13:$B$95,2,FALSE)</f>
        <v>1</v>
      </c>
      <c r="B294" s="24">
        <f t="shared" si="432"/>
        <v>1953</v>
      </c>
      <c r="C294" s="25">
        <v>19510</v>
      </c>
      <c r="D294" s="26">
        <f>VLOOKUP($C294,COS!$B$8:$H$991,3,FALSE)</f>
        <v>9500.9638671875</v>
      </c>
      <c r="E294" s="24">
        <f>IF(D294&gt;=IF(MONTH($C294)=4,$C$3,IF(MONTH($C294)=5,$C$4,IF(MONTH($C294)=6,$C$5,IF(MONTH($C294)=7,$C$6,"ERROR")))),1,0)</f>
        <v>1</v>
      </c>
      <c r="F294" s="26">
        <f>VLOOKUP($C294,COS!$B$8:$H$991,7,FALSE)</f>
        <v>48.526103973388672</v>
      </c>
      <c r="G294" s="24">
        <f>IF(F294&lt;=IF(MONTH($C294)=4,$F$3,IF(MONTH($C294)=5,$F$4,IF(MONTH($C294)=6,$F$5,IF(MONTH($C294)=7,$F$6,"ERROR")))),1,0)</f>
        <v>1</v>
      </c>
      <c r="H294" s="26">
        <f>IF(J294=1,D294-$C$4,0)</f>
        <v>3500.9638671875</v>
      </c>
      <c r="I294" s="26">
        <f t="shared" si="450"/>
        <v>215.26587745351239</v>
      </c>
      <c r="J294" s="24">
        <f t="shared" si="465"/>
        <v>1</v>
      </c>
      <c r="K294" s="26">
        <f>VLOOKUP($C294,COS!$B$8:$H$991,2,FALSE)</f>
        <v>4552</v>
      </c>
      <c r="L294" s="24">
        <f t="shared" si="435"/>
        <v>1</v>
      </c>
      <c r="M294" s="24">
        <f t="shared" si="436"/>
        <v>0</v>
      </c>
      <c r="N294" s="26">
        <f>VLOOKUP($C294,COS!$B$8:$H$991,5,FALSE)</f>
        <v>730.5885009765625</v>
      </c>
      <c r="O294" s="26">
        <f t="shared" si="468"/>
        <v>44.922135927815084</v>
      </c>
      <c r="P294" s="26">
        <f>VLOOKUP($C294,COS!$B$8:$H$991,6,FALSE)</f>
        <v>2213.400634765625</v>
      </c>
      <c r="Q294" s="26">
        <f t="shared" si="469"/>
        <v>136.09670018724174</v>
      </c>
      <c r="R294" s="26">
        <f>MIN(IF(MONTH($C294)=4,$S$3,IF(MONTH($C294)=5,$S$4,IF(MONTH($C294)=6,$S$5,IF(MONTH($C294)=7,$S$6,"ERROR")))),MAX(VLOOKUP($C294,COS!$B$8:$K$991,10,FALSE)-IF(MONTH($C294)=4,$Y$3,IF(MONTH($C294)=5,$Y$4,IF(MONTH($C294)=6,$Y$5,IF(MONTH($C294)=7,$Y$6,"ERROR")))),0),MAX(VLOOKUP($C294,COS!$B$8:$K$991,9,FALSE)-IF(MONTH($C294)=4,$V$3,IF(MONTH($C294)=5,$V$4,IF(MONTH($C294)=6,$V$5,IF(MONTH($C294)=7,$V$6,"ERROR"))))-VLOOKUP($C294,COS!$B$8:$K$991,6,FALSE)/2,0))</f>
        <v>1500</v>
      </c>
      <c r="S294" s="26">
        <f t="shared" si="470"/>
        <v>92.231404958677686</v>
      </c>
      <c r="T294" s="26">
        <f t="shared" si="471"/>
        <v>182.74082301620609</v>
      </c>
      <c r="U294" s="26" t="str">
        <f>IF(VLOOKUP($C294,COS!$B$8:$I$991,8,FALSE)=1,"UWFE","IBU")</f>
        <v>UWFE</v>
      </c>
      <c r="V294" s="26">
        <f t="shared" ref="V294" si="473">MIN(IF(IF($AA$3=2,AND(E294=1,G294=1,L294=1,L298=1,M294=1,U294="IBU"),AND(E294=1,G294=1,L294=1,L298=1,M294=1)),T294,0),I294)</f>
        <v>0</v>
      </c>
      <c r="W294" s="26"/>
      <c r="X294" s="26"/>
      <c r="Y294" s="26"/>
      <c r="Z294" s="26"/>
      <c r="AA294" s="26"/>
      <c r="AB294" s="33"/>
    </row>
    <row r="295" spans="1:28" x14ac:dyDescent="0.3">
      <c r="A295" s="32">
        <f>VLOOKUP(YEAR(C295),Flags!$A$13:$B$95,2,FALSE)</f>
        <v>1</v>
      </c>
      <c r="B295" s="24">
        <f t="shared" si="432"/>
        <v>1953</v>
      </c>
      <c r="C295" s="25">
        <v>19540</v>
      </c>
      <c r="D295" s="26">
        <f>VLOOKUP($C295,COS!$B$8:$H$991,3,FALSE)</f>
        <v>8763.9052734375</v>
      </c>
      <c r="E295" s="24">
        <f>IF(D295&gt;=IF(MONTH($C295)=4,$C$3,IF(MONTH($C295)=5,$C$4,IF(MONTH($C295)=6,$C$5,IF(MONTH($C295)=7,$C$6,"ERROR")))),1,0)</f>
        <v>0</v>
      </c>
      <c r="F295" s="26">
        <f>VLOOKUP($C295,COS!$B$8:$H$991,7,FALSE)</f>
        <v>50.420295715332031</v>
      </c>
      <c r="G295" s="24">
        <f>IF(F295&lt;=IF(MONTH($C295)=4,$F$3,IF(MONTH($C295)=5,$F$4,IF(MONTH($C295)=6,$F$5,IF(MONTH($C295)=7,$F$6,"ERROR")))),1,0)</f>
        <v>1</v>
      </c>
      <c r="H295" s="26">
        <f>IF(J295=1,D295-$C$5,0)</f>
        <v>0</v>
      </c>
      <c r="I295" s="26">
        <f t="shared" si="450"/>
        <v>0</v>
      </c>
      <c r="J295" s="24">
        <f t="shared" si="465"/>
        <v>0</v>
      </c>
      <c r="K295" s="26">
        <f>VLOOKUP($C295,COS!$B$8:$H$991,2,FALSE)</f>
        <v>4500</v>
      </c>
      <c r="L295" s="24">
        <f t="shared" si="435"/>
        <v>1</v>
      </c>
      <c r="M295" s="24">
        <f t="shared" si="436"/>
        <v>0</v>
      </c>
      <c r="N295" s="26">
        <f>VLOOKUP($C295,COS!$B$8:$H$991,5,FALSE)</f>
        <v>1097.9736328125</v>
      </c>
      <c r="O295" s="26">
        <f t="shared" si="468"/>
        <v>65.333968233471069</v>
      </c>
      <c r="P295" s="26">
        <f>VLOOKUP($C295,COS!$B$8:$H$991,6,FALSE)</f>
        <v>2273.646484375</v>
      </c>
      <c r="Q295" s="26">
        <f t="shared" si="469"/>
        <v>135.29136105371902</v>
      </c>
      <c r="R295" s="26">
        <f>MIN(IF(MONTH($C295)=4,$S$3,IF(MONTH($C295)=5,$S$4,IF(MONTH($C295)=6,$S$5,IF(MONTH($C295)=7,$S$6,"ERROR")))),MAX(VLOOKUP($C295,COS!$B$8:$K$991,10,FALSE)-IF(MONTH($C295)=4,$Y$3,IF(MONTH($C295)=5,$Y$4,IF(MONTH($C295)=6,$Y$5,IF(MONTH($C295)=7,$Y$6,"ERROR")))),0),MAX(VLOOKUP($C295,COS!$B$8:$K$991,9,FALSE)-IF(MONTH($C295)=4,$V$3,IF(MONTH($C295)=5,$V$4,IF(MONTH($C295)=6,$V$5,IF(MONTH($C295)=7,$V$6,"ERROR"))))-VLOOKUP($C295,COS!$B$8:$K$991,6,FALSE)/2,0))</f>
        <v>1500</v>
      </c>
      <c r="S295" s="26">
        <f t="shared" si="470"/>
        <v>89.256198347107429</v>
      </c>
      <c r="T295" s="26">
        <f t="shared" si="471"/>
        <v>189.56886299070248</v>
      </c>
      <c r="U295" s="26" t="str">
        <f>IF(VLOOKUP($C295,COS!$B$8:$I$991,8,FALSE)=1,"UWFE","IBU")</f>
        <v>UWFE</v>
      </c>
      <c r="V295" s="26">
        <f t="shared" ref="V295" si="474">MIN(IF(IF($AA$3=2,AND(E295=1,G295=1,L295=1,L298=1,M295=1,U295="IBU"),AND(E295=1,G295=1,L295=1,L298=1,M295=1)),T295,0),I295)</f>
        <v>0</v>
      </c>
      <c r="W295" s="26"/>
      <c r="X295" s="26"/>
      <c r="Y295" s="26"/>
      <c r="Z295" s="26"/>
      <c r="AA295" s="26"/>
      <c r="AB295" s="33"/>
    </row>
    <row r="296" spans="1:28" x14ac:dyDescent="0.3">
      <c r="A296" s="32">
        <f>VLOOKUP(YEAR(C296),Flags!$A$13:$B$95,2,FALSE)</f>
        <v>1</v>
      </c>
      <c r="B296" s="24">
        <f t="shared" si="432"/>
        <v>1953</v>
      </c>
      <c r="C296" s="25">
        <v>19571</v>
      </c>
      <c r="D296" s="26">
        <f>VLOOKUP($C296,COS!$B$8:$H$991,3,FALSE)</f>
        <v>14905.9033203125</v>
      </c>
      <c r="E296" s="24">
        <f>IF(D296&gt;=IF(MONTH($C296)=4,$C$3,IF(MONTH($C296)=5,$C$4,IF(MONTH($C296)=6,$C$5,IF(MONTH($C296)=7,$C$6,"ERROR")))),1,0)</f>
        <v>1</v>
      </c>
      <c r="F296" s="26">
        <f>VLOOKUP($C296,COS!$B$8:$H$991,7,FALSE)</f>
        <v>51.294979095458984</v>
      </c>
      <c r="G296" s="24">
        <f>IF(F296&lt;=IF(MONTH($C296)=4,$F$3,IF(MONTH($C296)=5,$F$4,IF(MONTH($C296)=6,$F$5,IF(MONTH($C296)=7,$F$6,"ERROR")))),1,0)</f>
        <v>1</v>
      </c>
      <c r="H296" s="26">
        <f>IF(J296=1,D296-$C$6,0)</f>
        <v>2905.9033203125</v>
      </c>
      <c r="I296" s="26">
        <f t="shared" si="450"/>
        <v>178.67703060433885</v>
      </c>
      <c r="J296" s="24">
        <f t="shared" si="465"/>
        <v>1</v>
      </c>
      <c r="K296" s="26">
        <f>VLOOKUP($C296,COS!$B$8:$H$991,2,FALSE)</f>
        <v>3867.513427734375</v>
      </c>
      <c r="L296" s="24">
        <f t="shared" si="435"/>
        <v>1</v>
      </c>
      <c r="M296" s="24">
        <f t="shared" si="436"/>
        <v>0</v>
      </c>
      <c r="N296" s="26">
        <f>VLOOKUP($C296,COS!$B$8:$H$991,5,FALSE)</f>
        <v>1282.49609375</v>
      </c>
      <c r="O296" s="26">
        <f t="shared" si="468"/>
        <v>78.857611053719012</v>
      </c>
      <c r="P296" s="26">
        <f>VLOOKUP($C296,COS!$B$8:$H$991,6,FALSE)</f>
        <v>2616.67822265625</v>
      </c>
      <c r="Q296" s="26">
        <f t="shared" si="469"/>
        <v>160.89327253357436</v>
      </c>
      <c r="R296" s="26">
        <f>MIN(IF(MONTH($C296)=4,$S$3,IF(MONTH($C296)=5,$S$4,IF(MONTH($C296)=6,$S$5,IF(MONTH($C296)=7,$S$6,"ERROR")))),MAX(VLOOKUP($C296,COS!$B$8:$K$991,10,FALSE)-IF(MONTH($C296)=4,$Y$3,IF(MONTH($C296)=5,$Y$4,IF(MONTH($C296)=6,$Y$5,IF(MONTH($C296)=7,$Y$6,"ERROR")))),0),MAX(VLOOKUP($C296,COS!$B$8:$K$991,9,FALSE)-IF(MONTH($C296)=4,$V$3,IF(MONTH($C296)=5,$V$4,IF(MONTH($C296)=6,$V$5,IF(MONTH($C296)=7,$V$6,"ERROR"))))-VLOOKUP($C296,COS!$B$8:$K$991,6,FALSE)/2,0))</f>
        <v>1500</v>
      </c>
      <c r="S296" s="26">
        <f t="shared" si="470"/>
        <v>92.231404958677686</v>
      </c>
      <c r="T296" s="26">
        <f t="shared" si="471"/>
        <v>212.10684675232437</v>
      </c>
      <c r="U296" s="26" t="str">
        <f>IF(VLOOKUP($C296,COS!$B$8:$I$991,8,FALSE)=1,"UWFE","IBU")</f>
        <v>IBU</v>
      </c>
      <c r="V296" s="26">
        <f t="shared" ref="V296" si="475">MIN(IF(IF($AA$3=2,AND(E296=1,G296=1,L296=1,L298=1,M296=1,U296="IBU"),AND(E296=1,G296=1,L296=1,L298=1,M296=1)),T296,0),I296)</f>
        <v>0</v>
      </c>
      <c r="W296" s="26"/>
      <c r="X296" s="26"/>
      <c r="Y296" s="26"/>
      <c r="Z296" s="26"/>
      <c r="AA296" s="26"/>
      <c r="AB296" s="33"/>
    </row>
    <row r="297" spans="1:28" x14ac:dyDescent="0.3">
      <c r="A297" s="32">
        <f>VLOOKUP(YEAR(C297),Flags!$A$13:$B$95,2,FALSE)</f>
        <v>1</v>
      </c>
      <c r="B297" s="24">
        <f t="shared" si="432"/>
        <v>1953</v>
      </c>
      <c r="C297" s="25">
        <v>19602</v>
      </c>
      <c r="D297" s="26"/>
      <c r="E297" s="24"/>
      <c r="F297" s="26"/>
      <c r="G297" s="24"/>
      <c r="H297" s="24"/>
      <c r="I297" s="26"/>
      <c r="J297" s="24"/>
      <c r="K297" s="26"/>
      <c r="L297" s="24"/>
      <c r="M297" s="24"/>
      <c r="N297" s="26"/>
      <c r="O297" s="26"/>
      <c r="P297" s="26"/>
      <c r="Q297" s="26"/>
      <c r="R297" s="26"/>
      <c r="S297" s="26"/>
      <c r="T297" s="26"/>
      <c r="U297" s="26"/>
      <c r="V297" s="26"/>
      <c r="W297" s="26">
        <f>MAX($C$7-VLOOKUP($C297,COS!$B$8:$H$991,3,FALSE),0)</f>
        <v>89655.0712890625</v>
      </c>
      <c r="X297" s="26">
        <f t="shared" si="448"/>
        <v>5512.6754577737602</v>
      </c>
      <c r="Y297" s="26">
        <f>VLOOKUP($C297,COS!$B$8:$H$991,4,FALSE)</f>
        <v>19.638147354125977</v>
      </c>
      <c r="Z297" s="26">
        <f t="shared" si="449"/>
        <v>1.2075026141710519</v>
      </c>
      <c r="AA297" s="26">
        <f t="shared" ref="AA297:AA301" si="476">MIN(W297,Y297)</f>
        <v>19.638147354125977</v>
      </c>
      <c r="AB297" s="33">
        <f t="shared" ref="AB297" si="477">AA297*DAY($C297)*86400/43560/1000*IF(MONTH($C297)=8,$P$3,IF(MONTH($C297)=9,$P$4,IF(MONTH($C297)=10,$P$5,IF(MONTH($C297)=11,$P$6,IF(MONTH($C297)=12,$P$7,NA())))))</f>
        <v>1.2075026141710519</v>
      </c>
    </row>
    <row r="298" spans="1:28" x14ac:dyDescent="0.3">
      <c r="A298" s="32">
        <f>VLOOKUP(YEAR(C298),Flags!$A$13:$B$95,2,FALSE)</f>
        <v>1</v>
      </c>
      <c r="B298" s="24">
        <f t="shared" si="432"/>
        <v>1953</v>
      </c>
      <c r="C298" s="25">
        <v>19632</v>
      </c>
      <c r="D298" s="26"/>
      <c r="E298" s="24"/>
      <c r="F298" s="26"/>
      <c r="G298" s="24"/>
      <c r="H298" s="24"/>
      <c r="I298" s="26"/>
      <c r="J298" s="24"/>
      <c r="K298" s="26">
        <f>VLOOKUP($C298,COS!$B$8:$H$991,2,FALSE)</f>
        <v>3007.05029296875</v>
      </c>
      <c r="L298" s="24">
        <f t="shared" ref="L298" si="478">IF(AND(K298&gt;$I$7,K298&lt;$I$8),1,0)</f>
        <v>1</v>
      </c>
      <c r="M298" s="24"/>
      <c r="N298" s="26"/>
      <c r="O298" s="26"/>
      <c r="P298" s="26"/>
      <c r="Q298" s="26"/>
      <c r="R298" s="26"/>
      <c r="S298" s="26"/>
      <c r="T298" s="26"/>
      <c r="U298" s="26"/>
      <c r="V298" s="26"/>
      <c r="W298" s="26">
        <f>MAX($C$8-VLOOKUP($C298,COS!$B$8:$H$991,3,FALSE),0)</f>
        <v>85167.98828125</v>
      </c>
      <c r="X298" s="26">
        <f t="shared" si="448"/>
        <v>5067.8472365702482</v>
      </c>
      <c r="Y298" s="26">
        <f>VLOOKUP($C298,COS!$B$8:$H$991,4,FALSE)</f>
        <v>0</v>
      </c>
      <c r="Z298" s="26">
        <f t="shared" si="449"/>
        <v>0</v>
      </c>
      <c r="AA298" s="26">
        <f t="shared" si="476"/>
        <v>0</v>
      </c>
      <c r="AB298" s="33">
        <f t="shared" si="446"/>
        <v>0</v>
      </c>
    </row>
    <row r="299" spans="1:28" x14ac:dyDescent="0.3">
      <c r="A299" s="32">
        <f>VLOOKUP(YEAR(C299),Flags!$A$13:$B$95,2,FALSE)</f>
        <v>1</v>
      </c>
      <c r="B299" s="24">
        <f t="shared" si="432"/>
        <v>1953</v>
      </c>
      <c r="C299" s="25">
        <v>19663</v>
      </c>
      <c r="D299" s="26"/>
      <c r="E299" s="24"/>
      <c r="F299" s="26"/>
      <c r="G299" s="26"/>
      <c r="H299" s="26"/>
      <c r="I299" s="26"/>
      <c r="J299" s="26"/>
      <c r="K299" s="26"/>
      <c r="L299" s="24"/>
      <c r="M299" s="24"/>
      <c r="N299" s="26"/>
      <c r="O299" s="26"/>
      <c r="P299" s="26"/>
      <c r="Q299" s="26"/>
      <c r="R299" s="26"/>
      <c r="S299" s="26"/>
      <c r="T299" s="26"/>
      <c r="U299" s="26"/>
      <c r="V299" s="26"/>
      <c r="W299" s="26">
        <f>MAX($C$9-VLOOKUP($C299,COS!$B$8:$H$991,3,FALSE),0)</f>
        <v>90385.5849609375</v>
      </c>
      <c r="X299" s="26">
        <f t="shared" si="448"/>
        <v>5557.5929926394629</v>
      </c>
      <c r="Y299" s="26">
        <f>VLOOKUP($C299,COS!$B$8:$H$991,4,FALSE)</f>
        <v>1224.5797119140625</v>
      </c>
      <c r="Z299" s="26">
        <f t="shared" si="449"/>
        <v>75.296471542484511</v>
      </c>
      <c r="AA299" s="26">
        <f t="shared" si="476"/>
        <v>1224.5797119140625</v>
      </c>
      <c r="AB299" s="33">
        <f t="shared" si="446"/>
        <v>75.296471542484511</v>
      </c>
    </row>
    <row r="300" spans="1:28" x14ac:dyDescent="0.3">
      <c r="A300" s="32">
        <f>VLOOKUP(YEAR(C300),Flags!$A$13:$B$95,2,FALSE)</f>
        <v>1</v>
      </c>
      <c r="B300" s="24">
        <f t="shared" si="432"/>
        <v>1953</v>
      </c>
      <c r="C300" s="25">
        <v>19693</v>
      </c>
      <c r="D300" s="26"/>
      <c r="E300" s="24"/>
      <c r="F300" s="26"/>
      <c r="G300" s="26"/>
      <c r="H300" s="26"/>
      <c r="I300" s="26"/>
      <c r="J300" s="26"/>
      <c r="K300" s="26"/>
      <c r="L300" s="24"/>
      <c r="M300" s="24"/>
      <c r="N300" s="26"/>
      <c r="O300" s="26"/>
      <c r="P300" s="26"/>
      <c r="Q300" s="26"/>
      <c r="R300" s="26"/>
      <c r="S300" s="26"/>
      <c r="T300" s="26"/>
      <c r="U300" s="26"/>
      <c r="V300" s="26"/>
      <c r="W300" s="26">
        <f>MAX($C$10-VLOOKUP($C300,COS!$B$8:$H$991,3,FALSE),0)</f>
        <v>88062.6611328125</v>
      </c>
      <c r="X300" s="26">
        <f t="shared" si="448"/>
        <v>5240.0922326962809</v>
      </c>
      <c r="Y300" s="26">
        <f>VLOOKUP($C300,COS!$B$8:$H$991,4,FALSE)</f>
        <v>1707.279296875</v>
      </c>
      <c r="Z300" s="26">
        <f t="shared" si="449"/>
        <v>101.59017303719008</v>
      </c>
      <c r="AA300" s="26">
        <f t="shared" si="476"/>
        <v>1707.279296875</v>
      </c>
      <c r="AB300" s="33">
        <f t="shared" si="446"/>
        <v>50.795086518595042</v>
      </c>
    </row>
    <row r="301" spans="1:28" x14ac:dyDescent="0.3">
      <c r="A301" s="34">
        <f>VLOOKUP(YEAR(C301),Flags!$A$13:$B$95,2,FALSE)</f>
        <v>1</v>
      </c>
      <c r="B301" s="35">
        <f t="shared" si="432"/>
        <v>1953</v>
      </c>
      <c r="C301" s="36">
        <v>19724</v>
      </c>
      <c r="D301" s="37"/>
      <c r="E301" s="35"/>
      <c r="F301" s="37"/>
      <c r="G301" s="37"/>
      <c r="H301" s="37"/>
      <c r="I301" s="37"/>
      <c r="J301" s="37"/>
      <c r="K301" s="37"/>
      <c r="L301" s="35"/>
      <c r="M301" s="35"/>
      <c r="N301" s="37"/>
      <c r="O301" s="37"/>
      <c r="P301" s="37"/>
      <c r="Q301" s="37"/>
      <c r="R301" s="37"/>
      <c r="S301" s="37"/>
      <c r="T301" s="37"/>
      <c r="U301" s="37"/>
      <c r="V301" s="37"/>
      <c r="W301" s="37">
        <f>MAX($C$11-VLOOKUP($C301,COS!$B$8:$H$991,3,FALSE),0)</f>
        <v>0</v>
      </c>
      <c r="X301" s="37">
        <f t="shared" si="448"/>
        <v>0</v>
      </c>
      <c r="Y301" s="37">
        <f>VLOOKUP($C301,COS!$B$8:$H$991,4,FALSE)</f>
        <v>98.75079345703125</v>
      </c>
      <c r="Z301" s="37">
        <f t="shared" si="449"/>
        <v>6.0719496142174583</v>
      </c>
      <c r="AA301" s="37">
        <f t="shared" si="476"/>
        <v>0</v>
      </c>
      <c r="AB301" s="38">
        <f t="shared" si="446"/>
        <v>0</v>
      </c>
    </row>
    <row r="302" spans="1:28" x14ac:dyDescent="0.3">
      <c r="A302" s="27">
        <f>VLOOKUP(YEAR(C302),Flags!$A$13:$B$95,2,FALSE)</f>
        <v>2</v>
      </c>
      <c r="B302" s="28">
        <f t="shared" si="432"/>
        <v>1954</v>
      </c>
      <c r="C302" s="29">
        <v>19844</v>
      </c>
      <c r="D302" s="30">
        <f>VLOOKUP($C302,COS!$B$8:$H$991,3,FALSE)</f>
        <v>10966.724609375</v>
      </c>
      <c r="E302" s="28">
        <f>IF(D302&gt;=IF(MONTH($C302)=4,$C$3,IF(MONTH($C302)=5,$C$4,IF(MONTH($C302)=6,$C$5,IF(MONTH($C302)=7,$C$6,"ERROR")))),1,0)</f>
        <v>1</v>
      </c>
      <c r="F302" s="30">
        <f>VLOOKUP($C302,COS!$B$8:$H$991,7,FALSE)</f>
        <v>48.739151000976563</v>
      </c>
      <c r="G302" s="28">
        <f>IF(F302&lt;=IF(MONTH($C302)=4,$F$3,IF(MONTH($C302)=5,$F$4,IF(MONTH($C302)=6,$F$5,IF(MONTH($C302)=7,$F$6,"ERROR")))),1,0)</f>
        <v>1</v>
      </c>
      <c r="H302" s="30">
        <f>IF(J302=1,D302-$C$3,0)</f>
        <v>4966.724609375</v>
      </c>
      <c r="I302" s="30">
        <f t="shared" si="450"/>
        <v>295.54063791322312</v>
      </c>
      <c r="J302" s="28">
        <f t="shared" ref="J302:J305" si="479">IF(AND(E302=1,G302=1),1,0)</f>
        <v>1</v>
      </c>
      <c r="K302" s="30">
        <f>VLOOKUP($C302,COS!$B$8:$H$991,2,FALSE)</f>
        <v>4546</v>
      </c>
      <c r="L302" s="28">
        <f t="shared" ref="L302" si="480">IF(K302&lt;=IF(MONTH($C302)=4,$I$3,IF(MONTH($C302)=5,$I$4,IF(MONTH($C302)=6,$I$5,IF(MONTH($C302)=7,$I$6,"ERROR")))),1,0)</f>
        <v>1</v>
      </c>
      <c r="M302" s="28">
        <f t="shared" ref="M302" si="481">VLOOKUP($A302,$L$3:$M$7,2,FALSE)</f>
        <v>0</v>
      </c>
      <c r="N302" s="30">
        <f>VLOOKUP($C302,COS!$B$8:$H$991,5,FALSE)</f>
        <v>33.86962890625</v>
      </c>
      <c r="O302" s="30">
        <f t="shared" ref="O302:O305" si="482">N302*DAY($C302)*86400/43560/1000</f>
        <v>2.0153828770661155</v>
      </c>
      <c r="P302" s="30">
        <f>VLOOKUP($C302,COS!$B$8:$H$991,6,FALSE)</f>
        <v>347.92138671875</v>
      </c>
      <c r="Q302" s="30">
        <f t="shared" ref="Q302:Q305" si="483">P302*DAY($C302)*86400/43560/1000</f>
        <v>20.702760201446281</v>
      </c>
      <c r="R302" s="30">
        <f>MIN(IF(MONTH($C302)=4,$S$3,IF(MONTH($C302)=5,$S$4,IF(MONTH($C302)=6,$S$5,IF(MONTH($C302)=7,$S$6,"ERROR")))),MAX(VLOOKUP($C302,COS!$B$8:$K$991,10,FALSE)-IF(MONTH($C302)=4,$Y$3,IF(MONTH($C302)=5,$Y$4,IF(MONTH($C302)=6,$Y$5,IF(MONTH($C302)=7,$Y$6,"ERROR")))),0),MAX(VLOOKUP($C302,COS!$B$8:$K$991,9,FALSE)-IF(MONTH($C302)=4,$V$3,IF(MONTH($C302)=5,$V$4,IF(MONTH($C302)=6,$V$5,IF(MONTH($C302)=7,$V$6,"ERROR"))))-VLOOKUP($C302,COS!$B$8:$K$991,6,FALSE)/2,0))</f>
        <v>1500</v>
      </c>
      <c r="S302" s="30">
        <f t="shared" ref="S302:S305" si="484">R302*DAY($C302)*86400/43560/1000</f>
        <v>89.256198347107429</v>
      </c>
      <c r="T302" s="30">
        <f t="shared" ref="T302:T305" si="485">(O302+Q302)/2+S302</f>
        <v>100.61526988636362</v>
      </c>
      <c r="U302" s="30" t="str">
        <f>IF(VLOOKUP($C302,COS!$B$8:$I$991,8,FALSE)=1,"UWFE","IBU")</f>
        <v>UWFE</v>
      </c>
      <c r="V302" s="30">
        <f t="shared" ref="V302" si="486">MIN(IF(IF($AA$3=2,AND(E302=1,G302=1,L302=1,L307=1,M302=1,U302="IBU"),AND(E302=1,G302=1,L302=1,L307=1,M302=1)),T302,0),I302)</f>
        <v>0</v>
      </c>
      <c r="W302" s="30"/>
      <c r="X302" s="30"/>
      <c r="Y302" s="30"/>
      <c r="Z302" s="30"/>
      <c r="AA302" s="30"/>
      <c r="AB302" s="31"/>
    </row>
    <row r="303" spans="1:28" x14ac:dyDescent="0.3">
      <c r="A303" s="32">
        <f>VLOOKUP(YEAR(C303),Flags!$A$13:$B$95,2,FALSE)</f>
        <v>2</v>
      </c>
      <c r="B303" s="24">
        <f t="shared" si="432"/>
        <v>1954</v>
      </c>
      <c r="C303" s="25">
        <v>19875</v>
      </c>
      <c r="D303" s="26">
        <f>VLOOKUP($C303,COS!$B$8:$H$991,3,FALSE)</f>
        <v>7140.4267578125</v>
      </c>
      <c r="E303" s="24">
        <f>IF(D303&gt;=IF(MONTH($C303)=4,$C$3,IF(MONTH($C303)=5,$C$4,IF(MONTH($C303)=6,$C$5,IF(MONTH($C303)=7,$C$6,"ERROR")))),1,0)</f>
        <v>1</v>
      </c>
      <c r="F303" s="26">
        <f>VLOOKUP($C303,COS!$B$8:$H$991,7,FALSE)</f>
        <v>50.82733154296875</v>
      </c>
      <c r="G303" s="24">
        <f>IF(F303&lt;=IF(MONTH($C303)=4,$F$3,IF(MONTH($C303)=5,$F$4,IF(MONTH($C303)=6,$F$5,IF(MONTH($C303)=7,$F$6,"ERROR")))),1,0)</f>
        <v>1</v>
      </c>
      <c r="H303" s="26">
        <f>IF(J303=1,D303-$C$4,0)</f>
        <v>1140.4267578125</v>
      </c>
      <c r="I303" s="26">
        <f t="shared" si="450"/>
        <v>70.122108083677688</v>
      </c>
      <c r="J303" s="24">
        <f t="shared" si="479"/>
        <v>1</v>
      </c>
      <c r="K303" s="26">
        <f>VLOOKUP($C303,COS!$B$8:$H$991,2,FALSE)</f>
        <v>4520.74951171875</v>
      </c>
      <c r="L303" s="24">
        <f t="shared" si="435"/>
        <v>1</v>
      </c>
      <c r="M303" s="24">
        <f t="shared" si="436"/>
        <v>0</v>
      </c>
      <c r="N303" s="26">
        <f>VLOOKUP($C303,COS!$B$8:$H$991,5,FALSE)</f>
        <v>705.2218017578125</v>
      </c>
      <c r="O303" s="26">
        <f t="shared" si="482"/>
        <v>43.362398389075409</v>
      </c>
      <c r="P303" s="26">
        <f>VLOOKUP($C303,COS!$B$8:$H$991,6,FALSE)</f>
        <v>2247.10107421875</v>
      </c>
      <c r="Q303" s="26">
        <f t="shared" si="483"/>
        <v>138.16885943956612</v>
      </c>
      <c r="R303" s="26">
        <f>MIN(IF(MONTH($C303)=4,$S$3,IF(MONTH($C303)=5,$S$4,IF(MONTH($C303)=6,$S$5,IF(MONTH($C303)=7,$S$6,"ERROR")))),MAX(VLOOKUP($C303,COS!$B$8:$K$991,10,FALSE)-IF(MONTH($C303)=4,$Y$3,IF(MONTH($C303)=5,$Y$4,IF(MONTH($C303)=6,$Y$5,IF(MONTH($C303)=7,$Y$6,"ERROR")))),0),MAX(VLOOKUP($C303,COS!$B$8:$K$991,9,FALSE)-IF(MONTH($C303)=4,$V$3,IF(MONTH($C303)=5,$V$4,IF(MONTH($C303)=6,$V$5,IF(MONTH($C303)=7,$V$6,"ERROR"))))-VLOOKUP($C303,COS!$B$8:$K$991,6,FALSE)/2,0))</f>
        <v>1500</v>
      </c>
      <c r="S303" s="26">
        <f t="shared" si="484"/>
        <v>92.231404958677686</v>
      </c>
      <c r="T303" s="26">
        <f t="shared" si="485"/>
        <v>182.99703387299843</v>
      </c>
      <c r="U303" s="26" t="str">
        <f>IF(VLOOKUP($C303,COS!$B$8:$I$991,8,FALSE)=1,"UWFE","IBU")</f>
        <v>UWFE</v>
      </c>
      <c r="V303" s="26">
        <f t="shared" ref="V303" si="487">MIN(IF(IF($AA$3=2,AND(E303=1,G303=1,L303=1,L307=1,M303=1,U303="IBU"),AND(E303=1,G303=1,L303=1,L307=1,M303=1)),T303,0),I303)</f>
        <v>0</v>
      </c>
      <c r="W303" s="26"/>
      <c r="X303" s="26"/>
      <c r="Y303" s="26"/>
      <c r="Z303" s="26"/>
      <c r="AA303" s="26"/>
      <c r="AB303" s="33"/>
    </row>
    <row r="304" spans="1:28" x14ac:dyDescent="0.3">
      <c r="A304" s="32">
        <f>VLOOKUP(YEAR(C304),Flags!$A$13:$B$95,2,FALSE)</f>
        <v>2</v>
      </c>
      <c r="B304" s="24">
        <f t="shared" si="432"/>
        <v>1954</v>
      </c>
      <c r="C304" s="25">
        <v>19905</v>
      </c>
      <c r="D304" s="26">
        <f>VLOOKUP($C304,COS!$B$8:$H$991,3,FALSE)</f>
        <v>10288.154296875</v>
      </c>
      <c r="E304" s="24">
        <f>IF(D304&gt;=IF(MONTH($C304)=4,$C$3,IF(MONTH($C304)=5,$C$4,IF(MONTH($C304)=6,$C$5,IF(MONTH($C304)=7,$C$6,"ERROR")))),1,0)</f>
        <v>1</v>
      </c>
      <c r="F304" s="26">
        <f>VLOOKUP($C304,COS!$B$8:$H$991,7,FALSE)</f>
        <v>50.714031219482422</v>
      </c>
      <c r="G304" s="24">
        <f>IF(F304&lt;=IF(MONTH($C304)=4,$F$3,IF(MONTH($C304)=5,$F$4,IF(MONTH($C304)=6,$F$5,IF(MONTH($C304)=7,$F$6,"ERROR")))),1,0)</f>
        <v>1</v>
      </c>
      <c r="H304" s="26">
        <f>IF(J304=1,D304-$C$5,0)</f>
        <v>288.154296875</v>
      </c>
      <c r="I304" s="26">
        <f t="shared" si="450"/>
        <v>17.14637138429752</v>
      </c>
      <c r="J304" s="24">
        <f t="shared" si="479"/>
        <v>1</v>
      </c>
      <c r="K304" s="26">
        <f>VLOOKUP($C304,COS!$B$8:$H$991,2,FALSE)</f>
        <v>4172.916015625</v>
      </c>
      <c r="L304" s="24">
        <f t="shared" si="435"/>
        <v>1</v>
      </c>
      <c r="M304" s="24">
        <f t="shared" si="436"/>
        <v>0</v>
      </c>
      <c r="N304" s="26">
        <f>VLOOKUP($C304,COS!$B$8:$H$991,5,FALSE)</f>
        <v>1051.88525390625</v>
      </c>
      <c r="O304" s="26">
        <f t="shared" si="482"/>
        <v>62.591519240702482</v>
      </c>
      <c r="P304" s="26">
        <f>VLOOKUP($C304,COS!$B$8:$H$991,6,FALSE)</f>
        <v>2396.154541015625</v>
      </c>
      <c r="Q304" s="26">
        <f t="shared" si="483"/>
        <v>142.58109665547522</v>
      </c>
      <c r="R304" s="26">
        <f>MIN(IF(MONTH($C304)=4,$S$3,IF(MONTH($C304)=5,$S$4,IF(MONTH($C304)=6,$S$5,IF(MONTH($C304)=7,$S$6,"ERROR")))),MAX(VLOOKUP($C304,COS!$B$8:$K$991,10,FALSE)-IF(MONTH($C304)=4,$Y$3,IF(MONTH($C304)=5,$Y$4,IF(MONTH($C304)=6,$Y$5,IF(MONTH($C304)=7,$Y$6,"ERROR")))),0),MAX(VLOOKUP($C304,COS!$B$8:$K$991,9,FALSE)-IF(MONTH($C304)=4,$V$3,IF(MONTH($C304)=5,$V$4,IF(MONTH($C304)=6,$V$5,IF(MONTH($C304)=7,$V$6,"ERROR"))))-VLOOKUP($C304,COS!$B$8:$K$991,6,FALSE)/2,0))</f>
        <v>1500</v>
      </c>
      <c r="S304" s="26">
        <f t="shared" si="484"/>
        <v>89.256198347107429</v>
      </c>
      <c r="T304" s="26">
        <f t="shared" si="485"/>
        <v>191.8425062951963</v>
      </c>
      <c r="U304" s="26" t="str">
        <f>IF(VLOOKUP($C304,COS!$B$8:$I$991,8,FALSE)=1,"UWFE","IBU")</f>
        <v>IBU</v>
      </c>
      <c r="V304" s="26">
        <f t="shared" ref="V304" si="488">MIN(IF(IF($AA$3=2,AND(E304=1,G304=1,L304=1,L307=1,M304=1,U304="IBU"),AND(E304=1,G304=1,L304=1,L307=1,M304=1)),T304,0),I304)</f>
        <v>0</v>
      </c>
      <c r="W304" s="26"/>
      <c r="X304" s="26"/>
      <c r="Y304" s="26"/>
      <c r="Z304" s="26"/>
      <c r="AA304" s="26"/>
      <c r="AB304" s="33"/>
    </row>
    <row r="305" spans="1:28" x14ac:dyDescent="0.3">
      <c r="A305" s="32">
        <f>VLOOKUP(YEAR(C305),Flags!$A$13:$B$95,2,FALSE)</f>
        <v>2</v>
      </c>
      <c r="B305" s="24">
        <f t="shared" si="432"/>
        <v>1954</v>
      </c>
      <c r="C305" s="25">
        <v>19936</v>
      </c>
      <c r="D305" s="26">
        <f>VLOOKUP($C305,COS!$B$8:$H$991,3,FALSE)</f>
        <v>16000</v>
      </c>
      <c r="E305" s="24">
        <f>IF(D305&gt;=IF(MONTH($C305)=4,$C$3,IF(MONTH($C305)=5,$C$4,IF(MONTH($C305)=6,$C$5,IF(MONTH($C305)=7,$C$6,"ERROR")))),1,0)</f>
        <v>1</v>
      </c>
      <c r="F305" s="26">
        <f>VLOOKUP($C305,COS!$B$8:$H$991,7,FALSE)</f>
        <v>51.326705932617188</v>
      </c>
      <c r="G305" s="24">
        <f>IF(F305&lt;=IF(MONTH($C305)=4,$F$3,IF(MONTH($C305)=5,$F$4,IF(MONTH($C305)=6,$F$5,IF(MONTH($C305)=7,$F$6,"ERROR")))),1,0)</f>
        <v>1</v>
      </c>
      <c r="H305" s="26">
        <f>IF(J305=1,D305-$C$6,0)</f>
        <v>4000</v>
      </c>
      <c r="I305" s="26">
        <f t="shared" si="450"/>
        <v>245.95041322314049</v>
      </c>
      <c r="J305" s="24">
        <f t="shared" si="479"/>
        <v>1</v>
      </c>
      <c r="K305" s="26">
        <f>VLOOKUP($C305,COS!$B$8:$H$991,2,FALSE)</f>
        <v>3484.43505859375</v>
      </c>
      <c r="L305" s="24">
        <f t="shared" si="435"/>
        <v>1</v>
      </c>
      <c r="M305" s="24">
        <f t="shared" si="436"/>
        <v>0</v>
      </c>
      <c r="N305" s="26">
        <f>VLOOKUP($C305,COS!$B$8:$H$991,5,FALSE)</f>
        <v>1187.869384765625</v>
      </c>
      <c r="O305" s="26">
        <f t="shared" si="482"/>
        <v>73.039241509555779</v>
      </c>
      <c r="P305" s="26">
        <f>VLOOKUP($C305,COS!$B$8:$H$991,6,FALSE)</f>
        <v>2562.892822265625</v>
      </c>
      <c r="Q305" s="26">
        <f t="shared" si="483"/>
        <v>157.58613717071282</v>
      </c>
      <c r="R305" s="26">
        <f>MIN(IF(MONTH($C305)=4,$S$3,IF(MONTH($C305)=5,$S$4,IF(MONTH($C305)=6,$S$5,IF(MONTH($C305)=7,$S$6,"ERROR")))),MAX(VLOOKUP($C305,COS!$B$8:$K$991,10,FALSE)-IF(MONTH($C305)=4,$Y$3,IF(MONTH($C305)=5,$Y$4,IF(MONTH($C305)=6,$Y$5,IF(MONTH($C305)=7,$Y$6,"ERROR")))),0),MAX(VLOOKUP($C305,COS!$B$8:$K$991,9,FALSE)-IF(MONTH($C305)=4,$V$3,IF(MONTH($C305)=5,$V$4,IF(MONTH($C305)=6,$V$5,IF(MONTH($C305)=7,$V$6,"ERROR"))))-VLOOKUP($C305,COS!$B$8:$K$991,6,FALSE)/2,0))</f>
        <v>1500</v>
      </c>
      <c r="S305" s="26">
        <f t="shared" si="484"/>
        <v>92.231404958677686</v>
      </c>
      <c r="T305" s="26">
        <f t="shared" si="485"/>
        <v>207.54409429881198</v>
      </c>
      <c r="U305" s="26" t="str">
        <f>IF(VLOOKUP($C305,COS!$B$8:$I$991,8,FALSE)=1,"UWFE","IBU")</f>
        <v>IBU</v>
      </c>
      <c r="V305" s="26">
        <f t="shared" ref="V305" si="489">MIN(IF(IF($AA$3=2,AND(E305=1,G305=1,L305=1,L307=1,M305=1,U305="IBU"),AND(E305=1,G305=1,L305=1,L307=1,M305=1)),T305,0),I305)</f>
        <v>0</v>
      </c>
      <c r="W305" s="26"/>
      <c r="X305" s="26"/>
      <c r="Y305" s="26"/>
      <c r="Z305" s="26"/>
      <c r="AA305" s="26"/>
      <c r="AB305" s="33"/>
    </row>
    <row r="306" spans="1:28" x14ac:dyDescent="0.3">
      <c r="A306" s="32">
        <f>VLOOKUP(YEAR(C306),Flags!$A$13:$B$95,2,FALSE)</f>
        <v>2</v>
      </c>
      <c r="B306" s="24">
        <f t="shared" si="432"/>
        <v>1954</v>
      </c>
      <c r="C306" s="25">
        <v>19967</v>
      </c>
      <c r="D306" s="26"/>
      <c r="E306" s="24"/>
      <c r="F306" s="26"/>
      <c r="G306" s="24"/>
      <c r="H306" s="24"/>
      <c r="I306" s="26"/>
      <c r="J306" s="24"/>
      <c r="K306" s="26"/>
      <c r="L306" s="24"/>
      <c r="M306" s="24"/>
      <c r="N306" s="26"/>
      <c r="O306" s="26"/>
      <c r="P306" s="26"/>
      <c r="Q306" s="26"/>
      <c r="R306" s="26"/>
      <c r="S306" s="26"/>
      <c r="T306" s="26"/>
      <c r="U306" s="26"/>
      <c r="V306" s="26"/>
      <c r="W306" s="26">
        <f>MAX($C$7-VLOOKUP($C306,COS!$B$8:$H$991,3,FALSE),0)</f>
        <v>89107.3271484375</v>
      </c>
      <c r="X306" s="26">
        <f t="shared" si="448"/>
        <v>5478.9959833419425</v>
      </c>
      <c r="Y306" s="26">
        <f>VLOOKUP($C306,COS!$B$8:$H$991,4,FALSE)</f>
        <v>0</v>
      </c>
      <c r="Z306" s="26">
        <f t="shared" si="449"/>
        <v>0</v>
      </c>
      <c r="AA306" s="26">
        <f t="shared" ref="AA306:AA310" si="490">MIN(W306,Y306)</f>
        <v>0</v>
      </c>
      <c r="AB306" s="33">
        <f t="shared" ref="AB306" si="491">AA306*DAY($C306)*86400/43560/1000*IF(MONTH($C306)=8,$P$3,IF(MONTH($C306)=9,$P$4,IF(MONTH($C306)=10,$P$5,IF(MONTH($C306)=11,$P$6,IF(MONTH($C306)=12,$P$7,NA())))))</f>
        <v>0</v>
      </c>
    </row>
    <row r="307" spans="1:28" x14ac:dyDescent="0.3">
      <c r="A307" s="32">
        <f>VLOOKUP(YEAR(C307),Flags!$A$13:$B$95,2,FALSE)</f>
        <v>2</v>
      </c>
      <c r="B307" s="24">
        <f t="shared" si="432"/>
        <v>1954</v>
      </c>
      <c r="C307" s="25">
        <v>19997</v>
      </c>
      <c r="D307" s="26"/>
      <c r="E307" s="24"/>
      <c r="F307" s="26"/>
      <c r="G307" s="24"/>
      <c r="H307" s="24"/>
      <c r="I307" s="26"/>
      <c r="J307" s="24"/>
      <c r="K307" s="26">
        <f>VLOOKUP($C307,COS!$B$8:$H$991,2,FALSE)</f>
        <v>2910.68115234375</v>
      </c>
      <c r="L307" s="24">
        <f t="shared" ref="L307" si="492">IF(AND(K307&gt;$I$7,K307&lt;$I$8),1,0)</f>
        <v>1</v>
      </c>
      <c r="M307" s="24"/>
      <c r="N307" s="26"/>
      <c r="O307" s="26"/>
      <c r="P307" s="26"/>
      <c r="Q307" s="26"/>
      <c r="R307" s="26"/>
      <c r="S307" s="26"/>
      <c r="T307" s="26"/>
      <c r="U307" s="26"/>
      <c r="V307" s="26"/>
      <c r="W307" s="26">
        <f>MAX($C$8-VLOOKUP($C307,COS!$B$8:$H$991,3,FALSE),0)</f>
        <v>89705.0009765625</v>
      </c>
      <c r="X307" s="26">
        <f t="shared" si="448"/>
        <v>5337.8182399276857</v>
      </c>
      <c r="Y307" s="26">
        <f>VLOOKUP($C307,COS!$B$8:$H$991,4,FALSE)</f>
        <v>0</v>
      </c>
      <c r="Z307" s="26">
        <f t="shared" si="449"/>
        <v>0</v>
      </c>
      <c r="AA307" s="26">
        <f t="shared" si="490"/>
        <v>0</v>
      </c>
      <c r="AB307" s="33">
        <f t="shared" si="446"/>
        <v>0</v>
      </c>
    </row>
    <row r="308" spans="1:28" x14ac:dyDescent="0.3">
      <c r="A308" s="32">
        <f>VLOOKUP(YEAR(C308),Flags!$A$13:$B$95,2,FALSE)</f>
        <v>2</v>
      </c>
      <c r="B308" s="24">
        <f t="shared" si="432"/>
        <v>1954</v>
      </c>
      <c r="C308" s="25">
        <v>20028</v>
      </c>
      <c r="D308" s="26"/>
      <c r="E308" s="24"/>
      <c r="F308" s="26"/>
      <c r="G308" s="26"/>
      <c r="H308" s="26"/>
      <c r="I308" s="26"/>
      <c r="J308" s="26"/>
      <c r="K308" s="26"/>
      <c r="L308" s="24"/>
      <c r="M308" s="24"/>
      <c r="N308" s="26"/>
      <c r="O308" s="26"/>
      <c r="P308" s="26"/>
      <c r="Q308" s="26"/>
      <c r="R308" s="26"/>
      <c r="S308" s="26"/>
      <c r="T308" s="26"/>
      <c r="U308" s="26"/>
      <c r="V308" s="26"/>
      <c r="W308" s="26">
        <f>MAX($C$9-VLOOKUP($C308,COS!$B$8:$H$991,3,FALSE),0)</f>
        <v>92851.60400390625</v>
      </c>
      <c r="X308" s="26">
        <f t="shared" si="448"/>
        <v>5709.2225932980373</v>
      </c>
      <c r="Y308" s="26">
        <f>VLOOKUP($C308,COS!$B$8:$H$991,4,FALSE)</f>
        <v>798.4456787109375</v>
      </c>
      <c r="Z308" s="26">
        <f t="shared" si="449"/>
        <v>49.094511153796482</v>
      </c>
      <c r="AA308" s="26">
        <f t="shared" si="490"/>
        <v>798.4456787109375</v>
      </c>
      <c r="AB308" s="33">
        <f t="shared" si="446"/>
        <v>49.094511153796482</v>
      </c>
    </row>
    <row r="309" spans="1:28" x14ac:dyDescent="0.3">
      <c r="A309" s="32">
        <f>VLOOKUP(YEAR(C309),Flags!$A$13:$B$95,2,FALSE)</f>
        <v>2</v>
      </c>
      <c r="B309" s="24">
        <f t="shared" si="432"/>
        <v>1954</v>
      </c>
      <c r="C309" s="25">
        <v>20058</v>
      </c>
      <c r="D309" s="26"/>
      <c r="E309" s="24"/>
      <c r="F309" s="26"/>
      <c r="G309" s="26"/>
      <c r="H309" s="26"/>
      <c r="I309" s="26"/>
      <c r="J309" s="26"/>
      <c r="K309" s="26"/>
      <c r="L309" s="24"/>
      <c r="M309" s="24"/>
      <c r="N309" s="26"/>
      <c r="O309" s="26"/>
      <c r="P309" s="26"/>
      <c r="Q309" s="26"/>
      <c r="R309" s="26"/>
      <c r="S309" s="26"/>
      <c r="T309" s="26"/>
      <c r="U309" s="26"/>
      <c r="V309" s="26"/>
      <c r="W309" s="26">
        <f>MAX($C$10-VLOOKUP($C309,COS!$B$8:$H$991,3,FALSE),0)</f>
        <v>92153.25146484375</v>
      </c>
      <c r="X309" s="26">
        <f t="shared" si="448"/>
        <v>5483.4992607179747</v>
      </c>
      <c r="Y309" s="26">
        <f>VLOOKUP($C309,COS!$B$8:$H$991,4,FALSE)</f>
        <v>832.2525634765625</v>
      </c>
      <c r="Z309" s="26">
        <f t="shared" si="449"/>
        <v>49.522466587035126</v>
      </c>
      <c r="AA309" s="26">
        <f t="shared" si="490"/>
        <v>832.2525634765625</v>
      </c>
      <c r="AB309" s="33">
        <f t="shared" si="446"/>
        <v>24.761233293517563</v>
      </c>
    </row>
    <row r="310" spans="1:28" x14ac:dyDescent="0.3">
      <c r="A310" s="34">
        <f>VLOOKUP(YEAR(C310),Flags!$A$13:$B$95,2,FALSE)</f>
        <v>2</v>
      </c>
      <c r="B310" s="35">
        <f t="shared" si="432"/>
        <v>1954</v>
      </c>
      <c r="C310" s="36">
        <v>20089</v>
      </c>
      <c r="D310" s="37"/>
      <c r="E310" s="35"/>
      <c r="F310" s="37"/>
      <c r="G310" s="37"/>
      <c r="H310" s="37"/>
      <c r="I310" s="37"/>
      <c r="J310" s="37"/>
      <c r="K310" s="37"/>
      <c r="L310" s="35"/>
      <c r="M310" s="35"/>
      <c r="N310" s="37"/>
      <c r="O310" s="37"/>
      <c r="P310" s="37"/>
      <c r="Q310" s="37"/>
      <c r="R310" s="37"/>
      <c r="S310" s="37"/>
      <c r="T310" s="37"/>
      <c r="U310" s="37"/>
      <c r="V310" s="37"/>
      <c r="W310" s="37">
        <f>MAX($C$11-VLOOKUP($C310,COS!$B$8:$H$991,3,FALSE),0)</f>
        <v>0</v>
      </c>
      <c r="X310" s="37">
        <f t="shared" si="448"/>
        <v>0</v>
      </c>
      <c r="Y310" s="37">
        <f>VLOOKUP($C310,COS!$B$8:$H$991,4,FALSE)</f>
        <v>0</v>
      </c>
      <c r="Z310" s="37">
        <f t="shared" si="449"/>
        <v>0</v>
      </c>
      <c r="AA310" s="37">
        <f t="shared" si="490"/>
        <v>0</v>
      </c>
      <c r="AB310" s="38">
        <f t="shared" si="446"/>
        <v>0</v>
      </c>
    </row>
    <row r="311" spans="1:28" x14ac:dyDescent="0.3">
      <c r="A311" s="27">
        <f>VLOOKUP(YEAR(C311),Flags!$A$13:$B$95,2,FALSE)</f>
        <v>4</v>
      </c>
      <c r="B311" s="28">
        <f t="shared" si="432"/>
        <v>1955</v>
      </c>
      <c r="C311" s="29">
        <v>20209</v>
      </c>
      <c r="D311" s="30">
        <f>VLOOKUP($C311,COS!$B$8:$H$991,3,FALSE)</f>
        <v>3250</v>
      </c>
      <c r="E311" s="28">
        <f>IF(D311&gt;=IF(MONTH($C311)=4,$C$3,IF(MONTH($C311)=5,$C$4,IF(MONTH($C311)=6,$C$5,IF(MONTH($C311)=7,$C$6,"ERROR")))),1,0)</f>
        <v>0</v>
      </c>
      <c r="F311" s="30">
        <f>VLOOKUP($C311,COS!$B$8:$H$991,7,FALSE)</f>
        <v>50.451328277587891</v>
      </c>
      <c r="G311" s="28">
        <f>IF(F311&lt;=IF(MONTH($C311)=4,$F$3,IF(MONTH($C311)=5,$F$4,IF(MONTH($C311)=6,$F$5,IF(MONTH($C311)=7,$F$6,"ERROR")))),1,0)</f>
        <v>1</v>
      </c>
      <c r="H311" s="30">
        <f>IF(J311=1,D311-$C$3,0)</f>
        <v>0</v>
      </c>
      <c r="I311" s="30">
        <f t="shared" si="450"/>
        <v>0</v>
      </c>
      <c r="J311" s="28">
        <f t="shared" ref="J311:J314" si="493">IF(AND(E311=1,G311=1),1,0)</f>
        <v>0</v>
      </c>
      <c r="K311" s="30">
        <f>VLOOKUP($C311,COS!$B$8:$H$991,2,FALSE)</f>
        <v>3900.966552734375</v>
      </c>
      <c r="L311" s="28">
        <f t="shared" ref="L311" si="494">IF(K311&lt;=IF(MONTH($C311)=4,$I$3,IF(MONTH($C311)=5,$I$4,IF(MONTH($C311)=6,$I$5,IF(MONTH($C311)=7,$I$6,"ERROR")))),1,0)</f>
        <v>1</v>
      </c>
      <c r="M311" s="28">
        <f t="shared" ref="M311" si="495">VLOOKUP($A311,$L$3:$M$7,2,FALSE)</f>
        <v>1</v>
      </c>
      <c r="N311" s="30">
        <f>VLOOKUP($C311,COS!$B$8:$H$991,5,FALSE)</f>
        <v>222.8968505859375</v>
      </c>
      <c r="O311" s="30">
        <f t="shared" ref="O311:O314" si="496">N311*DAY($C311)*86400/43560/1000</f>
        <v>13.26328367122934</v>
      </c>
      <c r="P311" s="30">
        <f>VLOOKUP($C311,COS!$B$8:$H$991,6,FALSE)</f>
        <v>466.9581298828125</v>
      </c>
      <c r="Q311" s="30">
        <f t="shared" ref="Q311:Q314" si="497">P311*DAY($C311)*86400/43560/1000</f>
        <v>27.785938307076446</v>
      </c>
      <c r="R311" s="30">
        <f>MIN(IF(MONTH($C311)=4,$S$3,IF(MONTH($C311)=5,$S$4,IF(MONTH($C311)=6,$S$5,IF(MONTH($C311)=7,$S$6,"ERROR")))),MAX(VLOOKUP($C311,COS!$B$8:$K$991,10,FALSE)-IF(MONTH($C311)=4,$Y$3,IF(MONTH($C311)=5,$Y$4,IF(MONTH($C311)=6,$Y$5,IF(MONTH($C311)=7,$Y$6,"ERROR")))),0),MAX(VLOOKUP($C311,COS!$B$8:$K$991,9,FALSE)-IF(MONTH($C311)=4,$V$3,IF(MONTH($C311)=5,$V$4,IF(MONTH($C311)=6,$V$5,IF(MONTH($C311)=7,$V$6,"ERROR"))))-VLOOKUP($C311,COS!$B$8:$K$991,6,FALSE)/2,0))</f>
        <v>1500</v>
      </c>
      <c r="S311" s="30">
        <f t="shared" ref="S311:S314" si="498">R311*DAY($C311)*86400/43560/1000</f>
        <v>89.256198347107429</v>
      </c>
      <c r="T311" s="30">
        <f t="shared" ref="T311:T314" si="499">(O311+Q311)/2+S311</f>
        <v>109.78080933626032</v>
      </c>
      <c r="U311" s="30" t="str">
        <f>IF(VLOOKUP($C311,COS!$B$8:$I$991,8,FALSE)=1,"UWFE","IBU")</f>
        <v>UWFE</v>
      </c>
      <c r="V311" s="30">
        <f t="shared" ref="V311" si="500">MIN(IF(IF($AA$3=2,AND(E311=1,G311=1,L311=1,L316=1,M311=1,U311="IBU"),AND(E311=1,G311=1,L311=1,L316=1,M311=1)),T311,0),I311)</f>
        <v>0</v>
      </c>
      <c r="W311" s="30"/>
      <c r="X311" s="30"/>
      <c r="Y311" s="30"/>
      <c r="Z311" s="30"/>
      <c r="AA311" s="30"/>
      <c r="AB311" s="31"/>
    </row>
    <row r="312" spans="1:28" x14ac:dyDescent="0.3">
      <c r="A312" s="32">
        <f>VLOOKUP(YEAR(C312),Flags!$A$13:$B$95,2,FALSE)</f>
        <v>4</v>
      </c>
      <c r="B312" s="24">
        <f t="shared" si="432"/>
        <v>1955</v>
      </c>
      <c r="C312" s="25">
        <v>20240</v>
      </c>
      <c r="D312" s="26">
        <f>VLOOKUP($C312,COS!$B$8:$H$991,3,FALSE)</f>
        <v>5268.8193359375</v>
      </c>
      <c r="E312" s="24">
        <f>IF(D312&gt;=IF(MONTH($C312)=4,$C$3,IF(MONTH($C312)=5,$C$4,IF(MONTH($C312)=6,$C$5,IF(MONTH($C312)=7,$C$6,"ERROR")))),1,0)</f>
        <v>0</v>
      </c>
      <c r="F312" s="26">
        <f>VLOOKUP($C312,COS!$B$8:$H$991,7,FALSE)</f>
        <v>51.616672515869141</v>
      </c>
      <c r="G312" s="24">
        <f>IF(F312&lt;=IF(MONTH($C312)=4,$F$3,IF(MONTH($C312)=5,$F$4,IF(MONTH($C312)=6,$F$5,IF(MONTH($C312)=7,$F$6,"ERROR")))),1,0)</f>
        <v>1</v>
      </c>
      <c r="H312" s="26">
        <f>IF(J312=1,D312-$C$4,0)</f>
        <v>0</v>
      </c>
      <c r="I312" s="26">
        <f t="shared" si="450"/>
        <v>0</v>
      </c>
      <c r="J312" s="24">
        <f t="shared" si="493"/>
        <v>0</v>
      </c>
      <c r="K312" s="26">
        <f>VLOOKUP($C312,COS!$B$8:$H$991,2,FALSE)</f>
        <v>4019.9189453125</v>
      </c>
      <c r="L312" s="24">
        <f t="shared" si="435"/>
        <v>1</v>
      </c>
      <c r="M312" s="24">
        <f t="shared" si="436"/>
        <v>1</v>
      </c>
      <c r="N312" s="26">
        <f>VLOOKUP($C312,COS!$B$8:$H$991,5,FALSE)</f>
        <v>365.389892578125</v>
      </c>
      <c r="O312" s="26">
        <f t="shared" si="496"/>
        <v>22.466948766787191</v>
      </c>
      <c r="P312" s="26">
        <f>VLOOKUP($C312,COS!$B$8:$H$991,6,FALSE)</f>
        <v>2265.77197265625</v>
      </c>
      <c r="Q312" s="26">
        <f t="shared" si="497"/>
        <v>139.31688823605373</v>
      </c>
      <c r="R312" s="26">
        <f>MIN(IF(MONTH($C312)=4,$S$3,IF(MONTH($C312)=5,$S$4,IF(MONTH($C312)=6,$S$5,IF(MONTH($C312)=7,$S$6,"ERROR")))),MAX(VLOOKUP($C312,COS!$B$8:$K$991,10,FALSE)-IF(MONTH($C312)=4,$Y$3,IF(MONTH($C312)=5,$Y$4,IF(MONTH($C312)=6,$Y$5,IF(MONTH($C312)=7,$Y$6,"ERROR")))),0),MAX(VLOOKUP($C312,COS!$B$8:$K$991,9,FALSE)-IF(MONTH($C312)=4,$V$3,IF(MONTH($C312)=5,$V$4,IF(MONTH($C312)=6,$V$5,IF(MONTH($C312)=7,$V$6,"ERROR"))))-VLOOKUP($C312,COS!$B$8:$K$991,6,FALSE)/2,0))</f>
        <v>1486.18310546875</v>
      </c>
      <c r="S312" s="26">
        <f t="shared" si="498"/>
        <v>91.38183722882232</v>
      </c>
      <c r="T312" s="26">
        <f t="shared" si="499"/>
        <v>172.27375573024278</v>
      </c>
      <c r="U312" s="26" t="str">
        <f>IF(VLOOKUP($C312,COS!$B$8:$I$991,8,FALSE)=1,"UWFE","IBU")</f>
        <v>UWFE</v>
      </c>
      <c r="V312" s="26">
        <f t="shared" ref="V312" si="501">MIN(IF(IF($AA$3=2,AND(E312=1,G312=1,L312=1,L316=1,M312=1,U312="IBU"),AND(E312=1,G312=1,L312=1,L316=1,M312=1)),T312,0),I312)</f>
        <v>0</v>
      </c>
      <c r="W312" s="26"/>
      <c r="X312" s="26"/>
      <c r="Y312" s="26"/>
      <c r="Z312" s="26"/>
      <c r="AA312" s="26"/>
      <c r="AB312" s="33"/>
    </row>
    <row r="313" spans="1:28" x14ac:dyDescent="0.3">
      <c r="A313" s="32">
        <f>VLOOKUP(YEAR(C313),Flags!$A$13:$B$95,2,FALSE)</f>
        <v>4</v>
      </c>
      <c r="B313" s="24">
        <f t="shared" si="432"/>
        <v>1955</v>
      </c>
      <c r="C313" s="25">
        <v>20270</v>
      </c>
      <c r="D313" s="26">
        <f>VLOOKUP($C313,COS!$B$8:$H$991,3,FALSE)</f>
        <v>9586.744140625</v>
      </c>
      <c r="E313" s="24">
        <f>IF(D313&gt;=IF(MONTH($C313)=4,$C$3,IF(MONTH($C313)=5,$C$4,IF(MONTH($C313)=6,$C$5,IF(MONTH($C313)=7,$C$6,"ERROR")))),1,0)</f>
        <v>0</v>
      </c>
      <c r="F313" s="26">
        <f>VLOOKUP($C313,COS!$B$8:$H$991,7,FALSE)</f>
        <v>51.253532409667969</v>
      </c>
      <c r="G313" s="24">
        <f>IF(F313&lt;=IF(MONTH($C313)=4,$F$3,IF(MONTH($C313)=5,$F$4,IF(MONTH($C313)=6,$F$5,IF(MONTH($C313)=7,$F$6,"ERROR")))),1,0)</f>
        <v>1</v>
      </c>
      <c r="H313" s="26">
        <f>IF(J313=1,D313-$C$5,0)</f>
        <v>0</v>
      </c>
      <c r="I313" s="26">
        <f t="shared" si="450"/>
        <v>0</v>
      </c>
      <c r="J313" s="24">
        <f t="shared" si="493"/>
        <v>0</v>
      </c>
      <c r="K313" s="26">
        <f>VLOOKUP($C313,COS!$B$8:$H$991,2,FALSE)</f>
        <v>3710.103271484375</v>
      </c>
      <c r="L313" s="24">
        <f t="shared" si="435"/>
        <v>1</v>
      </c>
      <c r="M313" s="24">
        <f t="shared" si="436"/>
        <v>1</v>
      </c>
      <c r="N313" s="26">
        <f>VLOOKUP($C313,COS!$B$8:$H$991,5,FALSE)</f>
        <v>444.3331298828125</v>
      </c>
      <c r="O313" s="26">
        <f t="shared" si="496"/>
        <v>26.439657315340909</v>
      </c>
      <c r="P313" s="26">
        <f>VLOOKUP($C313,COS!$B$8:$H$991,6,FALSE)</f>
        <v>2712.6806640625</v>
      </c>
      <c r="Q313" s="26">
        <f t="shared" si="497"/>
        <v>161.41570893595042</v>
      </c>
      <c r="R313" s="26">
        <f>MIN(IF(MONTH($C313)=4,$S$3,IF(MONTH($C313)=5,$S$4,IF(MONTH($C313)=6,$S$5,IF(MONTH($C313)=7,$S$6,"ERROR")))),MAX(VLOOKUP($C313,COS!$B$8:$K$991,10,FALSE)-IF(MONTH($C313)=4,$Y$3,IF(MONTH($C313)=5,$Y$4,IF(MONTH($C313)=6,$Y$5,IF(MONTH($C313)=7,$Y$6,"ERROR")))),0),MAX(VLOOKUP($C313,COS!$B$8:$K$991,9,FALSE)-IF(MONTH($C313)=4,$V$3,IF(MONTH($C313)=5,$V$4,IF(MONTH($C313)=6,$V$5,IF(MONTH($C313)=7,$V$6,"ERROR"))))-VLOOKUP($C313,COS!$B$8:$K$991,6,FALSE)/2,0))</f>
        <v>1500</v>
      </c>
      <c r="S313" s="26">
        <f t="shared" si="498"/>
        <v>89.256198347107429</v>
      </c>
      <c r="T313" s="26">
        <f t="shared" si="499"/>
        <v>183.18388147275311</v>
      </c>
      <c r="U313" s="26" t="str">
        <f>IF(VLOOKUP($C313,COS!$B$8:$I$991,8,FALSE)=1,"UWFE","IBU")</f>
        <v>IBU</v>
      </c>
      <c r="V313" s="26">
        <f t="shared" ref="V313" si="502">MIN(IF(IF($AA$3=2,AND(E313=1,G313=1,L313=1,L316=1,M313=1,U313="IBU"),AND(E313=1,G313=1,L313=1,L316=1,M313=1)),T313,0),I313)</f>
        <v>0</v>
      </c>
      <c r="W313" s="26"/>
      <c r="X313" s="26"/>
      <c r="Y313" s="26"/>
      <c r="Z313" s="26"/>
      <c r="AA313" s="26"/>
      <c r="AB313" s="33"/>
    </row>
    <row r="314" spans="1:28" x14ac:dyDescent="0.3">
      <c r="A314" s="32">
        <f>VLOOKUP(YEAR(C314),Flags!$A$13:$B$95,2,FALSE)</f>
        <v>4</v>
      </c>
      <c r="B314" s="24">
        <f t="shared" si="432"/>
        <v>1955</v>
      </c>
      <c r="C314" s="25">
        <v>20301</v>
      </c>
      <c r="D314" s="26">
        <f>VLOOKUP($C314,COS!$B$8:$H$991,3,FALSE)</f>
        <v>14380.9560546875</v>
      </c>
      <c r="E314" s="24">
        <f>IF(D314&gt;=IF(MONTH($C314)=4,$C$3,IF(MONTH($C314)=5,$C$4,IF(MONTH($C314)=6,$C$5,IF(MONTH($C314)=7,$C$6,"ERROR")))),1,0)</f>
        <v>1</v>
      </c>
      <c r="F314" s="26">
        <f>VLOOKUP($C314,COS!$B$8:$H$991,7,FALSE)</f>
        <v>51.871387481689453</v>
      </c>
      <c r="G314" s="24">
        <f>IF(F314&lt;=IF(MONTH($C314)=4,$F$3,IF(MONTH($C314)=5,$F$4,IF(MONTH($C314)=6,$F$5,IF(MONTH($C314)=7,$F$6,"ERROR")))),1,0)</f>
        <v>1</v>
      </c>
      <c r="H314" s="26">
        <f>IF(J314=1,D314-$C$6,0)</f>
        <v>2380.9560546875</v>
      </c>
      <c r="I314" s="26">
        <f t="shared" si="450"/>
        <v>146.39928137913225</v>
      </c>
      <c r="J314" s="24">
        <f t="shared" si="493"/>
        <v>1</v>
      </c>
      <c r="K314" s="26">
        <f>VLOOKUP($C314,COS!$B$8:$H$991,2,FALSE)</f>
        <v>3124.154052734375</v>
      </c>
      <c r="L314" s="24">
        <f t="shared" si="435"/>
        <v>1</v>
      </c>
      <c r="M314" s="24">
        <f t="shared" si="436"/>
        <v>1</v>
      </c>
      <c r="N314" s="26">
        <f>VLOOKUP($C314,COS!$B$8:$H$991,5,FALSE)</f>
        <v>487.44525146484375</v>
      </c>
      <c r="O314" s="26">
        <f t="shared" si="496"/>
        <v>29.971840255358988</v>
      </c>
      <c r="P314" s="26">
        <f>VLOOKUP($C314,COS!$B$8:$H$991,6,FALSE)</f>
        <v>2538.07568359375</v>
      </c>
      <c r="Q314" s="26">
        <f t="shared" si="497"/>
        <v>156.06019079287191</v>
      </c>
      <c r="R314" s="26">
        <f>MIN(IF(MONTH($C314)=4,$S$3,IF(MONTH($C314)=5,$S$4,IF(MONTH($C314)=6,$S$5,IF(MONTH($C314)=7,$S$6,"ERROR")))),MAX(VLOOKUP($C314,COS!$B$8:$K$991,10,FALSE)-IF(MONTH($C314)=4,$Y$3,IF(MONTH($C314)=5,$Y$4,IF(MONTH($C314)=6,$Y$5,IF(MONTH($C314)=7,$Y$6,"ERROR")))),0),MAX(VLOOKUP($C314,COS!$B$8:$K$991,9,FALSE)-IF(MONTH($C314)=4,$V$3,IF(MONTH($C314)=5,$V$4,IF(MONTH($C314)=6,$V$5,IF(MONTH($C314)=7,$V$6,"ERROR"))))-VLOOKUP($C314,COS!$B$8:$K$991,6,FALSE)/2,0))</f>
        <v>1500</v>
      </c>
      <c r="S314" s="26">
        <f t="shared" si="498"/>
        <v>92.231404958677686</v>
      </c>
      <c r="T314" s="26">
        <f t="shared" si="499"/>
        <v>185.24742048279313</v>
      </c>
      <c r="U314" s="26" t="str">
        <f>IF(VLOOKUP($C314,COS!$B$8:$I$991,8,FALSE)=1,"UWFE","IBU")</f>
        <v>IBU</v>
      </c>
      <c r="V314" s="26">
        <f t="shared" ref="V314" si="503">MIN(IF(IF($AA$3=2,AND(E314=1,G314=1,L314=1,L316=1,M314=1,U314="IBU"),AND(E314=1,G314=1,L314=1,L316=1,M314=1)),T314,0),I314)</f>
        <v>146.39928137913225</v>
      </c>
      <c r="W314" s="26"/>
      <c r="X314" s="26"/>
      <c r="Y314" s="26"/>
      <c r="Z314" s="26"/>
      <c r="AA314" s="26"/>
      <c r="AB314" s="33"/>
    </row>
    <row r="315" spans="1:28" x14ac:dyDescent="0.3">
      <c r="A315" s="32">
        <f>VLOOKUP(YEAR(C315),Flags!$A$13:$B$95,2,FALSE)</f>
        <v>4</v>
      </c>
      <c r="B315" s="24">
        <f t="shared" si="432"/>
        <v>1955</v>
      </c>
      <c r="C315" s="25">
        <v>20332</v>
      </c>
      <c r="D315" s="26"/>
      <c r="E315" s="24"/>
      <c r="F315" s="26"/>
      <c r="G315" s="24"/>
      <c r="H315" s="24"/>
      <c r="I315" s="26"/>
      <c r="J315" s="24"/>
      <c r="K315" s="26"/>
      <c r="L315" s="24"/>
      <c r="M315" s="24"/>
      <c r="N315" s="26"/>
      <c r="O315" s="26"/>
      <c r="P315" s="26"/>
      <c r="Q315" s="26"/>
      <c r="R315" s="26"/>
      <c r="S315" s="26"/>
      <c r="T315" s="26"/>
      <c r="U315" s="26"/>
      <c r="V315" s="26"/>
      <c r="W315" s="26">
        <f>MAX($C$7-VLOOKUP($C315,COS!$B$8:$H$991,3,FALSE),0)</f>
        <v>91467.5400390625</v>
      </c>
      <c r="X315" s="26">
        <f t="shared" si="448"/>
        <v>5624.1198172778923</v>
      </c>
      <c r="Y315" s="26">
        <f>VLOOKUP($C315,COS!$B$8:$H$991,4,FALSE)</f>
        <v>1565.8887939453125</v>
      </c>
      <c r="Z315" s="26">
        <f t="shared" si="449"/>
        <v>96.282748983083678</v>
      </c>
      <c r="AA315" s="26">
        <f t="shared" ref="AA315:AA319" si="504">MIN(W315,Y315)</f>
        <v>1565.8887939453125</v>
      </c>
      <c r="AB315" s="33">
        <f t="shared" ref="AB315" si="505">AA315*DAY($C315)*86400/43560/1000*IF(MONTH($C315)=8,$P$3,IF(MONTH($C315)=9,$P$4,IF(MONTH($C315)=10,$P$5,IF(MONTH($C315)=11,$P$6,IF(MONTH($C315)=12,$P$7,NA())))))</f>
        <v>96.282748983083678</v>
      </c>
    </row>
    <row r="316" spans="1:28" x14ac:dyDescent="0.3">
      <c r="A316" s="32">
        <f>VLOOKUP(YEAR(C316),Flags!$A$13:$B$95,2,FALSE)</f>
        <v>4</v>
      </c>
      <c r="B316" s="24">
        <f t="shared" si="432"/>
        <v>1955</v>
      </c>
      <c r="C316" s="25">
        <v>20362</v>
      </c>
      <c r="D316" s="26"/>
      <c r="E316" s="24"/>
      <c r="F316" s="26"/>
      <c r="G316" s="24"/>
      <c r="H316" s="24"/>
      <c r="I316" s="26"/>
      <c r="J316" s="24"/>
      <c r="K316" s="26">
        <f>VLOOKUP($C316,COS!$B$8:$H$991,2,FALSE)</f>
        <v>2864.943603515625</v>
      </c>
      <c r="L316" s="24">
        <f t="shared" ref="L316" si="506">IF(AND(K316&gt;$I$7,K316&lt;$I$8),1,0)</f>
        <v>1</v>
      </c>
      <c r="M316" s="24"/>
      <c r="N316" s="26"/>
      <c r="O316" s="26"/>
      <c r="P316" s="26"/>
      <c r="Q316" s="26"/>
      <c r="R316" s="26"/>
      <c r="S316" s="26"/>
      <c r="T316" s="26"/>
      <c r="U316" s="26"/>
      <c r="V316" s="26"/>
      <c r="W316" s="26">
        <f>MAX($C$8-VLOOKUP($C316,COS!$B$8:$H$991,3,FALSE),0)</f>
        <v>95723.19287109375</v>
      </c>
      <c r="X316" s="26">
        <f t="shared" si="448"/>
        <v>5695.9255262138431</v>
      </c>
      <c r="Y316" s="26">
        <f>VLOOKUP($C316,COS!$B$8:$H$991,4,FALSE)</f>
        <v>813.69903564453125</v>
      </c>
      <c r="Z316" s="26">
        <f t="shared" si="449"/>
        <v>48.418455013558884</v>
      </c>
      <c r="AA316" s="26">
        <f t="shared" si="504"/>
        <v>813.69903564453125</v>
      </c>
      <c r="AB316" s="33">
        <f t="shared" si="446"/>
        <v>48.418455013558884</v>
      </c>
    </row>
    <row r="317" spans="1:28" x14ac:dyDescent="0.3">
      <c r="A317" s="32">
        <f>VLOOKUP(YEAR(C317),Flags!$A$13:$B$95,2,FALSE)</f>
        <v>4</v>
      </c>
      <c r="B317" s="24">
        <f t="shared" si="432"/>
        <v>1955</v>
      </c>
      <c r="C317" s="25">
        <v>20393</v>
      </c>
      <c r="D317" s="26"/>
      <c r="E317" s="24"/>
      <c r="F317" s="26"/>
      <c r="G317" s="26"/>
      <c r="H317" s="26"/>
      <c r="I317" s="26"/>
      <c r="J317" s="26"/>
      <c r="K317" s="26"/>
      <c r="L317" s="24"/>
      <c r="M317" s="24"/>
      <c r="N317" s="26"/>
      <c r="O317" s="26"/>
      <c r="P317" s="26"/>
      <c r="Q317" s="26"/>
      <c r="R317" s="26"/>
      <c r="S317" s="26"/>
      <c r="T317" s="26"/>
      <c r="U317" s="26"/>
      <c r="V317" s="26"/>
      <c r="W317" s="26">
        <f>MAX($C$9-VLOOKUP($C317,COS!$B$8:$H$991,3,FALSE),0)</f>
        <v>94019.69970703125</v>
      </c>
      <c r="X317" s="26">
        <f t="shared" si="448"/>
        <v>5781.0459985149791</v>
      </c>
      <c r="Y317" s="26">
        <f>VLOOKUP($C317,COS!$B$8:$H$991,4,FALSE)</f>
        <v>1413.0872802734375</v>
      </c>
      <c r="Z317" s="26">
        <f t="shared" si="449"/>
        <v>86.887350125903922</v>
      </c>
      <c r="AA317" s="26">
        <f t="shared" si="504"/>
        <v>1413.0872802734375</v>
      </c>
      <c r="AB317" s="33">
        <f t="shared" si="446"/>
        <v>86.887350125903922</v>
      </c>
    </row>
    <row r="318" spans="1:28" x14ac:dyDescent="0.3">
      <c r="A318" s="32">
        <f>VLOOKUP(YEAR(C318),Flags!$A$13:$B$95,2,FALSE)</f>
        <v>4</v>
      </c>
      <c r="B318" s="24">
        <f t="shared" si="432"/>
        <v>1955</v>
      </c>
      <c r="C318" s="25">
        <v>20423</v>
      </c>
      <c r="D318" s="26"/>
      <c r="E318" s="24"/>
      <c r="F318" s="26"/>
      <c r="G318" s="26"/>
      <c r="H318" s="26"/>
      <c r="I318" s="26"/>
      <c r="J318" s="26"/>
      <c r="K318" s="26"/>
      <c r="L318" s="24"/>
      <c r="M318" s="24"/>
      <c r="N318" s="26"/>
      <c r="O318" s="26"/>
      <c r="P318" s="26"/>
      <c r="Q318" s="26"/>
      <c r="R318" s="26"/>
      <c r="S318" s="26"/>
      <c r="T318" s="26"/>
      <c r="U318" s="26"/>
      <c r="V318" s="26"/>
      <c r="W318" s="26">
        <f>MAX($C$10-VLOOKUP($C318,COS!$B$8:$H$991,3,FALSE),0)</f>
        <v>96749</v>
      </c>
      <c r="X318" s="26">
        <f t="shared" si="448"/>
        <v>5756.965289256198</v>
      </c>
      <c r="Y318" s="26">
        <f>VLOOKUP($C318,COS!$B$8:$H$991,4,FALSE)</f>
        <v>1431.478759765625</v>
      </c>
      <c r="Z318" s="26">
        <f t="shared" si="449"/>
        <v>85.178901407541332</v>
      </c>
      <c r="AA318" s="26">
        <f t="shared" si="504"/>
        <v>1431.478759765625</v>
      </c>
      <c r="AB318" s="33">
        <f t="shared" si="446"/>
        <v>42.589450703770666</v>
      </c>
    </row>
    <row r="319" spans="1:28" x14ac:dyDescent="0.3">
      <c r="A319" s="34">
        <f>VLOOKUP(YEAR(C319),Flags!$A$13:$B$95,2,FALSE)</f>
        <v>4</v>
      </c>
      <c r="B319" s="35">
        <f t="shared" si="432"/>
        <v>1955</v>
      </c>
      <c r="C319" s="36">
        <v>20454</v>
      </c>
      <c r="D319" s="37"/>
      <c r="E319" s="35"/>
      <c r="F319" s="37"/>
      <c r="G319" s="37"/>
      <c r="H319" s="37"/>
      <c r="I319" s="37"/>
      <c r="J319" s="37"/>
      <c r="K319" s="37"/>
      <c r="L319" s="35"/>
      <c r="M319" s="35"/>
      <c r="N319" s="37"/>
      <c r="O319" s="37"/>
      <c r="P319" s="37"/>
      <c r="Q319" s="37"/>
      <c r="R319" s="37"/>
      <c r="S319" s="37"/>
      <c r="T319" s="37"/>
      <c r="U319" s="37"/>
      <c r="V319" s="37"/>
      <c r="W319" s="37">
        <f>MAX($C$11-VLOOKUP($C319,COS!$B$8:$H$991,3,FALSE),0)</f>
        <v>0</v>
      </c>
      <c r="X319" s="37">
        <f t="shared" si="448"/>
        <v>0</v>
      </c>
      <c r="Y319" s="37">
        <f>VLOOKUP($C319,COS!$B$8:$H$991,4,FALSE)</f>
        <v>0</v>
      </c>
      <c r="Z319" s="37">
        <f t="shared" si="449"/>
        <v>0</v>
      </c>
      <c r="AA319" s="37">
        <f t="shared" si="504"/>
        <v>0</v>
      </c>
      <c r="AB319" s="38">
        <f t="shared" si="446"/>
        <v>0</v>
      </c>
    </row>
    <row r="320" spans="1:28" x14ac:dyDescent="0.3">
      <c r="A320" s="27">
        <f>VLOOKUP(YEAR(C320),Flags!$A$13:$B$95,2,FALSE)</f>
        <v>1</v>
      </c>
      <c r="B320" s="28">
        <f t="shared" si="432"/>
        <v>1956</v>
      </c>
      <c r="C320" s="29">
        <v>20575</v>
      </c>
      <c r="D320" s="30">
        <f>VLOOKUP($C320,COS!$B$8:$H$991,3,FALSE)</f>
        <v>3250</v>
      </c>
      <c r="E320" s="28">
        <f>IF(D320&gt;=IF(MONTH($C320)=4,$C$3,IF(MONTH($C320)=5,$C$4,IF(MONTH($C320)=6,$C$5,IF(MONTH($C320)=7,$C$6,"ERROR")))),1,0)</f>
        <v>0</v>
      </c>
      <c r="F320" s="30">
        <f>VLOOKUP($C320,COS!$B$8:$H$991,7,FALSE)</f>
        <v>49.895095825195313</v>
      </c>
      <c r="G320" s="28">
        <f>IF(F320&lt;=IF(MONTH($C320)=4,$F$3,IF(MONTH($C320)=5,$F$4,IF(MONTH($C320)=6,$F$5,IF(MONTH($C320)=7,$F$6,"ERROR")))),1,0)</f>
        <v>1</v>
      </c>
      <c r="H320" s="30">
        <f>IF(J320=1,D320-$C$3,0)</f>
        <v>0</v>
      </c>
      <c r="I320" s="30">
        <f t="shared" si="450"/>
        <v>0</v>
      </c>
      <c r="J320" s="28">
        <f t="shared" ref="J320:J323" si="507">IF(AND(E320=1,G320=1),1,0)</f>
        <v>0</v>
      </c>
      <c r="K320" s="30">
        <f>VLOOKUP($C320,COS!$B$8:$H$991,2,FALSE)</f>
        <v>4525.97607421875</v>
      </c>
      <c r="L320" s="28">
        <f t="shared" ref="L320" si="508">IF(K320&lt;=IF(MONTH($C320)=4,$I$3,IF(MONTH($C320)=5,$I$4,IF(MONTH($C320)=6,$I$5,IF(MONTH($C320)=7,$I$6,"ERROR")))),1,0)</f>
        <v>1</v>
      </c>
      <c r="M320" s="28">
        <f t="shared" ref="M320" si="509">VLOOKUP($A320,$L$3:$M$7,2,FALSE)</f>
        <v>0</v>
      </c>
      <c r="N320" s="30">
        <f>VLOOKUP($C320,COS!$B$8:$H$991,5,FALSE)</f>
        <v>274.44708251953125</v>
      </c>
      <c r="O320" s="30">
        <f t="shared" ref="O320:O323" si="510">N320*DAY($C320)*86400/43560/1000</f>
        <v>16.330735488765498</v>
      </c>
      <c r="P320" s="30">
        <f>VLOOKUP($C320,COS!$B$8:$H$991,6,FALSE)</f>
        <v>472.98532104492188</v>
      </c>
      <c r="Q320" s="30">
        <f t="shared" ref="Q320:Q323" si="511">P320*DAY($C320)*86400/43560/1000</f>
        <v>28.144581086970557</v>
      </c>
      <c r="R320" s="30">
        <f>MIN(IF(MONTH($C320)=4,$S$3,IF(MONTH($C320)=5,$S$4,IF(MONTH($C320)=6,$S$5,IF(MONTH($C320)=7,$S$6,"ERROR")))),MAX(VLOOKUP($C320,COS!$B$8:$K$991,10,FALSE)-IF(MONTH($C320)=4,$Y$3,IF(MONTH($C320)=5,$Y$4,IF(MONTH($C320)=6,$Y$5,IF(MONTH($C320)=7,$Y$6,"ERROR")))),0),MAX(VLOOKUP($C320,COS!$B$8:$K$991,9,FALSE)-IF(MONTH($C320)=4,$V$3,IF(MONTH($C320)=5,$V$4,IF(MONTH($C320)=6,$V$5,IF(MONTH($C320)=7,$V$6,"ERROR"))))-VLOOKUP($C320,COS!$B$8:$K$991,6,FALSE)/2,0))</f>
        <v>1500</v>
      </c>
      <c r="S320" s="30">
        <f t="shared" ref="S320:S323" si="512">R320*DAY($C320)*86400/43560/1000</f>
        <v>89.256198347107429</v>
      </c>
      <c r="T320" s="30">
        <f t="shared" ref="T320:T323" si="513">(O320+Q320)/2+S320</f>
        <v>111.49385663497546</v>
      </c>
      <c r="U320" s="30" t="str">
        <f>IF(VLOOKUP($C320,COS!$B$8:$I$991,8,FALSE)=1,"UWFE","IBU")</f>
        <v>UWFE</v>
      </c>
      <c r="V320" s="30">
        <f t="shared" ref="V320" si="514">MIN(IF(IF($AA$3=2,AND(E320=1,G320=1,L320=1,L325=1,M320=1,U320="IBU"),AND(E320=1,G320=1,L320=1,L325=1,M320=1)),T320,0),I320)</f>
        <v>0</v>
      </c>
      <c r="W320" s="30"/>
      <c r="X320" s="30"/>
      <c r="Y320" s="30"/>
      <c r="Z320" s="30"/>
      <c r="AA320" s="30"/>
      <c r="AB320" s="31"/>
    </row>
    <row r="321" spans="1:28" x14ac:dyDescent="0.3">
      <c r="A321" s="32">
        <f>VLOOKUP(YEAR(C321),Flags!$A$13:$B$95,2,FALSE)</f>
        <v>1</v>
      </c>
      <c r="B321" s="24">
        <f t="shared" si="432"/>
        <v>1956</v>
      </c>
      <c r="C321" s="25">
        <v>20606</v>
      </c>
      <c r="D321" s="26">
        <f>VLOOKUP($C321,COS!$B$8:$H$991,3,FALSE)</f>
        <v>9877.4130859375</v>
      </c>
      <c r="E321" s="24">
        <f>IF(D321&gt;=IF(MONTH($C321)=4,$C$3,IF(MONTH($C321)=5,$C$4,IF(MONTH($C321)=6,$C$5,IF(MONTH($C321)=7,$C$6,"ERROR")))),1,0)</f>
        <v>1</v>
      </c>
      <c r="F321" s="26">
        <f>VLOOKUP($C321,COS!$B$8:$H$991,7,FALSE)</f>
        <v>47.875160217285156</v>
      </c>
      <c r="G321" s="24">
        <f>IF(F321&lt;=IF(MONTH($C321)=4,$F$3,IF(MONTH($C321)=5,$F$4,IF(MONTH($C321)=6,$F$5,IF(MONTH($C321)=7,$F$6,"ERROR")))),1,0)</f>
        <v>1</v>
      </c>
      <c r="H321" s="26">
        <f>IF(J321=1,D321-$C$4,0)</f>
        <v>3877.4130859375</v>
      </c>
      <c r="I321" s="26">
        <f t="shared" si="450"/>
        <v>238.41283768078512</v>
      </c>
      <c r="J321" s="24">
        <f t="shared" si="507"/>
        <v>1</v>
      </c>
      <c r="K321" s="26">
        <f>VLOOKUP($C321,COS!$B$8:$H$991,2,FALSE)</f>
        <v>4552</v>
      </c>
      <c r="L321" s="24">
        <f t="shared" si="435"/>
        <v>1</v>
      </c>
      <c r="M321" s="24">
        <f t="shared" si="436"/>
        <v>0</v>
      </c>
      <c r="N321" s="26">
        <f>VLOOKUP($C321,COS!$B$8:$H$991,5,FALSE)</f>
        <v>735.657470703125</v>
      </c>
      <c r="O321" s="26">
        <f t="shared" si="510"/>
        <v>45.233814727530991</v>
      </c>
      <c r="P321" s="26">
        <f>VLOOKUP($C321,COS!$B$8:$H$991,6,FALSE)</f>
        <v>2024.16015625</v>
      </c>
      <c r="Q321" s="26">
        <f t="shared" si="511"/>
        <v>124.46075671487603</v>
      </c>
      <c r="R321" s="26">
        <f>MIN(IF(MONTH($C321)=4,$S$3,IF(MONTH($C321)=5,$S$4,IF(MONTH($C321)=6,$S$5,IF(MONTH($C321)=7,$S$6,"ERROR")))),MAX(VLOOKUP($C321,COS!$B$8:$K$991,10,FALSE)-IF(MONTH($C321)=4,$Y$3,IF(MONTH($C321)=5,$Y$4,IF(MONTH($C321)=6,$Y$5,IF(MONTH($C321)=7,$Y$6,"ERROR")))),0),MAX(VLOOKUP($C321,COS!$B$8:$K$991,9,FALSE)-IF(MONTH($C321)=4,$V$3,IF(MONTH($C321)=5,$V$4,IF(MONTH($C321)=6,$V$5,IF(MONTH($C321)=7,$V$6,"ERROR"))))-VLOOKUP($C321,COS!$B$8:$K$991,6,FALSE)/2,0))</f>
        <v>1500</v>
      </c>
      <c r="S321" s="26">
        <f t="shared" si="512"/>
        <v>92.231404958677686</v>
      </c>
      <c r="T321" s="26">
        <f t="shared" si="513"/>
        <v>177.07869067988119</v>
      </c>
      <c r="U321" s="26" t="str">
        <f>IF(VLOOKUP($C321,COS!$B$8:$I$991,8,FALSE)=1,"UWFE","IBU")</f>
        <v>UWFE</v>
      </c>
      <c r="V321" s="26">
        <f t="shared" ref="V321" si="515">MIN(IF(IF($AA$3=2,AND(E321=1,G321=1,L321=1,L325=1,M321=1,U321="IBU"),AND(E321=1,G321=1,L321=1,L325=1,M321=1)),T321,0),I321)</f>
        <v>0</v>
      </c>
      <c r="W321" s="26"/>
      <c r="X321" s="26"/>
      <c r="Y321" s="26"/>
      <c r="Z321" s="26"/>
      <c r="AA321" s="26"/>
      <c r="AB321" s="33"/>
    </row>
    <row r="322" spans="1:28" x14ac:dyDescent="0.3">
      <c r="A322" s="32">
        <f>VLOOKUP(YEAR(C322),Flags!$A$13:$B$95,2,FALSE)</f>
        <v>1</v>
      </c>
      <c r="B322" s="24">
        <f t="shared" si="432"/>
        <v>1956</v>
      </c>
      <c r="C322" s="25">
        <v>20636</v>
      </c>
      <c r="D322" s="26">
        <f>VLOOKUP($C322,COS!$B$8:$H$991,3,FALSE)</f>
        <v>7543.416015625</v>
      </c>
      <c r="E322" s="24">
        <f>IF(D322&gt;=IF(MONTH($C322)=4,$C$3,IF(MONTH($C322)=5,$C$4,IF(MONTH($C322)=6,$C$5,IF(MONTH($C322)=7,$C$6,"ERROR")))),1,0)</f>
        <v>0</v>
      </c>
      <c r="F322" s="26">
        <f>VLOOKUP($C322,COS!$B$8:$H$991,7,FALSE)</f>
        <v>50.089691162109375</v>
      </c>
      <c r="G322" s="24">
        <f>IF(F322&lt;=IF(MONTH($C322)=4,$F$3,IF(MONTH($C322)=5,$F$4,IF(MONTH($C322)=6,$F$5,IF(MONTH($C322)=7,$F$6,"ERROR")))),1,0)</f>
        <v>1</v>
      </c>
      <c r="H322" s="26">
        <f>IF(J322=1,D322-$C$5,0)</f>
        <v>0</v>
      </c>
      <c r="I322" s="26">
        <f t="shared" si="450"/>
        <v>0</v>
      </c>
      <c r="J322" s="24">
        <f t="shared" si="507"/>
        <v>0</v>
      </c>
      <c r="K322" s="26">
        <f>VLOOKUP($C322,COS!$B$8:$H$991,2,FALSE)</f>
        <v>4426.123046875</v>
      </c>
      <c r="L322" s="24">
        <f t="shared" si="435"/>
        <v>1</v>
      </c>
      <c r="M322" s="24">
        <f t="shared" si="436"/>
        <v>0</v>
      </c>
      <c r="N322" s="26">
        <f>VLOOKUP($C322,COS!$B$8:$H$991,5,FALSE)</f>
        <v>1099.9310302734375</v>
      </c>
      <c r="O322" s="26">
        <f t="shared" si="510"/>
        <v>65.450441470816116</v>
      </c>
      <c r="P322" s="26">
        <f>VLOOKUP($C322,COS!$B$8:$H$991,6,FALSE)</f>
        <v>2200.53125</v>
      </c>
      <c r="Q322" s="26">
        <f t="shared" si="511"/>
        <v>130.94070247933885</v>
      </c>
      <c r="R322" s="26">
        <f>MIN(IF(MONTH($C322)=4,$S$3,IF(MONTH($C322)=5,$S$4,IF(MONTH($C322)=6,$S$5,IF(MONTH($C322)=7,$S$6,"ERROR")))),MAX(VLOOKUP($C322,COS!$B$8:$K$991,10,FALSE)-IF(MONTH($C322)=4,$Y$3,IF(MONTH($C322)=5,$Y$4,IF(MONTH($C322)=6,$Y$5,IF(MONTH($C322)=7,$Y$6,"ERROR")))),0),MAX(VLOOKUP($C322,COS!$B$8:$K$991,9,FALSE)-IF(MONTH($C322)=4,$V$3,IF(MONTH($C322)=5,$V$4,IF(MONTH($C322)=6,$V$5,IF(MONTH($C322)=7,$V$6,"ERROR"))))-VLOOKUP($C322,COS!$B$8:$K$991,6,FALSE)/2,0))</f>
        <v>1500</v>
      </c>
      <c r="S322" s="26">
        <f t="shared" si="512"/>
        <v>89.256198347107429</v>
      </c>
      <c r="T322" s="26">
        <f t="shared" si="513"/>
        <v>187.45177032218493</v>
      </c>
      <c r="U322" s="26" t="str">
        <f>IF(VLOOKUP($C322,COS!$B$8:$I$991,8,FALSE)=1,"UWFE","IBU")</f>
        <v>UWFE</v>
      </c>
      <c r="V322" s="26">
        <f t="shared" ref="V322" si="516">MIN(IF(IF($AA$3=2,AND(E322=1,G322=1,L322=1,L325=1,M322=1,U322="IBU"),AND(E322=1,G322=1,L322=1,L325=1,M322=1)),T322,0),I322)</f>
        <v>0</v>
      </c>
      <c r="W322" s="26"/>
      <c r="X322" s="26"/>
      <c r="Y322" s="26"/>
      <c r="Z322" s="26"/>
      <c r="AA322" s="26"/>
      <c r="AB322" s="33"/>
    </row>
    <row r="323" spans="1:28" x14ac:dyDescent="0.3">
      <c r="A323" s="32">
        <f>VLOOKUP(YEAR(C323),Flags!$A$13:$B$95,2,FALSE)</f>
        <v>1</v>
      </c>
      <c r="B323" s="24">
        <f t="shared" si="432"/>
        <v>1956</v>
      </c>
      <c r="C323" s="25">
        <v>20667</v>
      </c>
      <c r="D323" s="26">
        <f>VLOOKUP($C323,COS!$B$8:$H$991,3,FALSE)</f>
        <v>11823.966796875</v>
      </c>
      <c r="E323" s="24">
        <f>IF(D323&gt;=IF(MONTH($C323)=4,$C$3,IF(MONTH($C323)=5,$C$4,IF(MONTH($C323)=6,$C$5,IF(MONTH($C323)=7,$C$6,"ERROR")))),1,0)</f>
        <v>0</v>
      </c>
      <c r="F323" s="26">
        <f>VLOOKUP($C323,COS!$B$8:$H$991,7,FALSE)</f>
        <v>50.282562255859375</v>
      </c>
      <c r="G323" s="24">
        <f>IF(F323&lt;=IF(MONTH($C323)=4,$F$3,IF(MONTH($C323)=5,$F$4,IF(MONTH($C323)=6,$F$5,IF(MONTH($C323)=7,$F$6,"ERROR")))),1,0)</f>
        <v>1</v>
      </c>
      <c r="H323" s="26">
        <f>IF(J323=1,D323-$C$6,0)</f>
        <v>0</v>
      </c>
      <c r="I323" s="26">
        <f t="shared" si="450"/>
        <v>0</v>
      </c>
      <c r="J323" s="24">
        <f t="shared" si="507"/>
        <v>0</v>
      </c>
      <c r="K323" s="26">
        <f>VLOOKUP($C323,COS!$B$8:$H$991,2,FALSE)</f>
        <v>3905.54736328125</v>
      </c>
      <c r="L323" s="24">
        <f t="shared" si="435"/>
        <v>1</v>
      </c>
      <c r="M323" s="24">
        <f t="shared" si="436"/>
        <v>0</v>
      </c>
      <c r="N323" s="26">
        <f>VLOOKUP($C323,COS!$B$8:$H$991,5,FALSE)</f>
        <v>1282.6153564453125</v>
      </c>
      <c r="O323" s="26">
        <f t="shared" si="510"/>
        <v>78.86494423101756</v>
      </c>
      <c r="P323" s="26">
        <f>VLOOKUP($C323,COS!$B$8:$H$991,6,FALSE)</f>
        <v>2616.67822265625</v>
      </c>
      <c r="Q323" s="26">
        <f t="shared" si="511"/>
        <v>160.89327253357436</v>
      </c>
      <c r="R323" s="26">
        <f>MIN(IF(MONTH($C323)=4,$S$3,IF(MONTH($C323)=5,$S$4,IF(MONTH($C323)=6,$S$5,IF(MONTH($C323)=7,$S$6,"ERROR")))),MAX(VLOOKUP($C323,COS!$B$8:$K$991,10,FALSE)-IF(MONTH($C323)=4,$Y$3,IF(MONTH($C323)=5,$Y$4,IF(MONTH($C323)=6,$Y$5,IF(MONTH($C323)=7,$Y$6,"ERROR")))),0),MAX(VLOOKUP($C323,COS!$B$8:$K$991,9,FALSE)-IF(MONTH($C323)=4,$V$3,IF(MONTH($C323)=5,$V$4,IF(MONTH($C323)=6,$V$5,IF(MONTH($C323)=7,$V$6,"ERROR"))))-VLOOKUP($C323,COS!$B$8:$K$991,6,FALSE)/2,0))</f>
        <v>1500</v>
      </c>
      <c r="S323" s="26">
        <f t="shared" si="512"/>
        <v>92.231404958677686</v>
      </c>
      <c r="T323" s="26">
        <f t="shared" si="513"/>
        <v>212.11051334097363</v>
      </c>
      <c r="U323" s="26" t="str">
        <f>IF(VLOOKUP($C323,COS!$B$8:$I$991,8,FALSE)=1,"UWFE","IBU")</f>
        <v>IBU</v>
      </c>
      <c r="V323" s="26">
        <f t="shared" ref="V323" si="517">MIN(IF(IF($AA$3=2,AND(E323=1,G323=1,L323=1,L325=1,M323=1,U323="IBU"),AND(E323=1,G323=1,L323=1,L325=1,M323=1)),T323,0),I323)</f>
        <v>0</v>
      </c>
      <c r="W323" s="26"/>
      <c r="X323" s="26"/>
      <c r="Y323" s="26"/>
      <c r="Z323" s="26"/>
      <c r="AA323" s="26"/>
      <c r="AB323" s="33"/>
    </row>
    <row r="324" spans="1:28" x14ac:dyDescent="0.3">
      <c r="A324" s="32">
        <f>VLOOKUP(YEAR(C324),Flags!$A$13:$B$95,2,FALSE)</f>
        <v>1</v>
      </c>
      <c r="B324" s="24">
        <f t="shared" si="432"/>
        <v>1956</v>
      </c>
      <c r="C324" s="25">
        <v>20698</v>
      </c>
      <c r="D324" s="26"/>
      <c r="E324" s="24"/>
      <c r="F324" s="26"/>
      <c r="G324" s="24"/>
      <c r="H324" s="24"/>
      <c r="I324" s="26"/>
      <c r="J324" s="24"/>
      <c r="K324" s="26"/>
      <c r="L324" s="24"/>
      <c r="M324" s="24"/>
      <c r="N324" s="26"/>
      <c r="O324" s="26"/>
      <c r="P324" s="26"/>
      <c r="Q324" s="26"/>
      <c r="R324" s="26"/>
      <c r="S324" s="26"/>
      <c r="T324" s="26"/>
      <c r="U324" s="26"/>
      <c r="V324" s="26"/>
      <c r="W324" s="26">
        <f>MAX($C$7-VLOOKUP($C324,COS!$B$8:$H$991,3,FALSE),0)</f>
        <v>90474.158203125</v>
      </c>
      <c r="X324" s="26">
        <f t="shared" si="448"/>
        <v>5563.0391490185948</v>
      </c>
      <c r="Y324" s="26">
        <f>VLOOKUP($C324,COS!$B$8:$H$991,4,FALSE)</f>
        <v>0</v>
      </c>
      <c r="Z324" s="26">
        <f t="shared" si="449"/>
        <v>0</v>
      </c>
      <c r="AA324" s="26">
        <f t="shared" ref="AA324:AA328" si="518">MIN(W324,Y324)</f>
        <v>0</v>
      </c>
      <c r="AB324" s="33">
        <f t="shared" ref="AB324" si="519">AA324*DAY($C324)*86400/43560/1000*IF(MONTH($C324)=8,$P$3,IF(MONTH($C324)=9,$P$4,IF(MONTH($C324)=10,$P$5,IF(MONTH($C324)=11,$P$6,IF(MONTH($C324)=12,$P$7,NA())))))</f>
        <v>0</v>
      </c>
    </row>
    <row r="325" spans="1:28" x14ac:dyDescent="0.3">
      <c r="A325" s="32">
        <f>VLOOKUP(YEAR(C325),Flags!$A$13:$B$95,2,FALSE)</f>
        <v>1</v>
      </c>
      <c r="B325" s="24">
        <f t="shared" si="432"/>
        <v>1956</v>
      </c>
      <c r="C325" s="25">
        <v>20728</v>
      </c>
      <c r="D325" s="26"/>
      <c r="E325" s="24"/>
      <c r="F325" s="26"/>
      <c r="G325" s="24"/>
      <c r="H325" s="24"/>
      <c r="I325" s="26"/>
      <c r="J325" s="24"/>
      <c r="K325" s="26">
        <f>VLOOKUP($C325,COS!$B$8:$H$991,2,FALSE)</f>
        <v>3055.82763671875</v>
      </c>
      <c r="L325" s="24">
        <f t="shared" ref="L325" si="520">IF(AND(K325&gt;$I$7,K325&lt;$I$8),1,0)</f>
        <v>1</v>
      </c>
      <c r="M325" s="24"/>
      <c r="N325" s="26"/>
      <c r="O325" s="26"/>
      <c r="P325" s="26"/>
      <c r="Q325" s="26"/>
      <c r="R325" s="26"/>
      <c r="S325" s="26"/>
      <c r="T325" s="26"/>
      <c r="U325" s="26"/>
      <c r="V325" s="26"/>
      <c r="W325" s="26">
        <f>MAX($C$8-VLOOKUP($C325,COS!$B$8:$H$991,3,FALSE),0)</f>
        <v>84431.8017578125</v>
      </c>
      <c r="X325" s="26">
        <f t="shared" si="448"/>
        <v>5024.0410963326449</v>
      </c>
      <c r="Y325" s="26">
        <f>VLOOKUP($C325,COS!$B$8:$H$991,4,FALSE)</f>
        <v>0</v>
      </c>
      <c r="Z325" s="26">
        <f t="shared" si="449"/>
        <v>0</v>
      </c>
      <c r="AA325" s="26">
        <f t="shared" si="518"/>
        <v>0</v>
      </c>
      <c r="AB325" s="33">
        <f t="shared" si="446"/>
        <v>0</v>
      </c>
    </row>
    <row r="326" spans="1:28" x14ac:dyDescent="0.3">
      <c r="A326" s="32">
        <f>VLOOKUP(YEAR(C326),Flags!$A$13:$B$95,2,FALSE)</f>
        <v>1</v>
      </c>
      <c r="B326" s="24">
        <f t="shared" si="432"/>
        <v>1956</v>
      </c>
      <c r="C326" s="25">
        <v>20759</v>
      </c>
      <c r="D326" s="26"/>
      <c r="E326" s="24"/>
      <c r="F326" s="26"/>
      <c r="G326" s="26"/>
      <c r="H326" s="26"/>
      <c r="I326" s="26"/>
      <c r="J326" s="26"/>
      <c r="K326" s="26"/>
      <c r="L326" s="24"/>
      <c r="M326" s="24"/>
      <c r="N326" s="26"/>
      <c r="O326" s="26"/>
      <c r="P326" s="26"/>
      <c r="Q326" s="26"/>
      <c r="R326" s="26"/>
      <c r="S326" s="26"/>
      <c r="T326" s="26"/>
      <c r="U326" s="26"/>
      <c r="V326" s="26"/>
      <c r="W326" s="26">
        <f>MAX($C$9-VLOOKUP($C326,COS!$B$8:$H$991,3,FALSE),0)</f>
        <v>92823.07568359375</v>
      </c>
      <c r="X326" s="26">
        <f t="shared" si="448"/>
        <v>5707.4684552556819</v>
      </c>
      <c r="Y326" s="26">
        <f>VLOOKUP($C326,COS!$B$8:$H$991,4,FALSE)</f>
        <v>524.9937744140625</v>
      </c>
      <c r="Z326" s="26">
        <f t="shared" si="449"/>
        <v>32.28060893917872</v>
      </c>
      <c r="AA326" s="26">
        <f t="shared" si="518"/>
        <v>524.9937744140625</v>
      </c>
      <c r="AB326" s="33">
        <f t="shared" si="446"/>
        <v>32.28060893917872</v>
      </c>
    </row>
    <row r="327" spans="1:28" x14ac:dyDescent="0.3">
      <c r="A327" s="32">
        <f>VLOOKUP(YEAR(C327),Flags!$A$13:$B$95,2,FALSE)</f>
        <v>1</v>
      </c>
      <c r="B327" s="24">
        <f t="shared" si="432"/>
        <v>1956</v>
      </c>
      <c r="C327" s="25">
        <v>20789</v>
      </c>
      <c r="D327" s="26"/>
      <c r="E327" s="24"/>
      <c r="F327" s="26"/>
      <c r="G327" s="26"/>
      <c r="H327" s="26"/>
      <c r="I327" s="26"/>
      <c r="J327" s="26"/>
      <c r="K327" s="26"/>
      <c r="L327" s="24"/>
      <c r="M327" s="24"/>
      <c r="N327" s="26"/>
      <c r="O327" s="26"/>
      <c r="P327" s="26"/>
      <c r="Q327" s="26"/>
      <c r="R327" s="26"/>
      <c r="S327" s="26"/>
      <c r="T327" s="26"/>
      <c r="U327" s="26"/>
      <c r="V327" s="26"/>
      <c r="W327" s="26">
        <f>MAX($C$10-VLOOKUP($C327,COS!$B$8:$H$991,3,FALSE),0)</f>
        <v>87816.908203125</v>
      </c>
      <c r="X327" s="26">
        <f t="shared" si="448"/>
        <v>5225.4689178719009</v>
      </c>
      <c r="Y327" s="26">
        <f>VLOOKUP($C327,COS!$B$8:$H$991,4,FALSE)</f>
        <v>630.58831787109375</v>
      </c>
      <c r="Z327" s="26">
        <f t="shared" si="449"/>
        <v>37.522610650180788</v>
      </c>
      <c r="AA327" s="26">
        <f t="shared" si="518"/>
        <v>630.58831787109375</v>
      </c>
      <c r="AB327" s="33">
        <f t="shared" si="446"/>
        <v>18.761305325090394</v>
      </c>
    </row>
    <row r="328" spans="1:28" x14ac:dyDescent="0.3">
      <c r="A328" s="34">
        <f>VLOOKUP(YEAR(C328),Flags!$A$13:$B$95,2,FALSE)</f>
        <v>1</v>
      </c>
      <c r="B328" s="35">
        <f t="shared" si="432"/>
        <v>1956</v>
      </c>
      <c r="C328" s="36">
        <v>20820</v>
      </c>
      <c r="D328" s="37"/>
      <c r="E328" s="35"/>
      <c r="F328" s="37"/>
      <c r="G328" s="37"/>
      <c r="H328" s="37"/>
      <c r="I328" s="37"/>
      <c r="J328" s="37"/>
      <c r="K328" s="37"/>
      <c r="L328" s="35"/>
      <c r="M328" s="35"/>
      <c r="N328" s="37"/>
      <c r="O328" s="37"/>
      <c r="P328" s="37"/>
      <c r="Q328" s="37"/>
      <c r="R328" s="37"/>
      <c r="S328" s="37"/>
      <c r="T328" s="37"/>
      <c r="U328" s="37"/>
      <c r="V328" s="37"/>
      <c r="W328" s="37">
        <f>MAX($C$11-VLOOKUP($C328,COS!$B$8:$H$991,3,FALSE),0)</f>
        <v>0</v>
      </c>
      <c r="X328" s="37">
        <f t="shared" si="448"/>
        <v>0</v>
      </c>
      <c r="Y328" s="37">
        <f>VLOOKUP($C328,COS!$B$8:$H$991,4,FALSE)</f>
        <v>0</v>
      </c>
      <c r="Z328" s="37">
        <f t="shared" si="449"/>
        <v>0</v>
      </c>
      <c r="AA328" s="37">
        <f t="shared" si="518"/>
        <v>0</v>
      </c>
      <c r="AB328" s="38">
        <f t="shared" si="446"/>
        <v>0</v>
      </c>
    </row>
    <row r="329" spans="1:28" x14ac:dyDescent="0.3">
      <c r="A329" s="27">
        <f>VLOOKUP(YEAR(C329),Flags!$A$13:$B$95,2,FALSE)</f>
        <v>2</v>
      </c>
      <c r="B329" s="28">
        <f t="shared" si="432"/>
        <v>1957</v>
      </c>
      <c r="C329" s="29">
        <v>20940</v>
      </c>
      <c r="D329" s="30">
        <f>VLOOKUP($C329,COS!$B$8:$H$991,3,FALSE)</f>
        <v>3250</v>
      </c>
      <c r="E329" s="28">
        <f>IF(D329&gt;=IF(MONTH($C329)=4,$C$3,IF(MONTH($C329)=5,$C$4,IF(MONTH($C329)=6,$C$5,IF(MONTH($C329)=7,$C$6,"ERROR")))),1,0)</f>
        <v>0</v>
      </c>
      <c r="F329" s="30">
        <f>VLOOKUP($C329,COS!$B$8:$H$991,7,FALSE)</f>
        <v>51.217433929443359</v>
      </c>
      <c r="G329" s="28">
        <f>IF(F329&lt;=IF(MONTH($C329)=4,$F$3,IF(MONTH($C329)=5,$F$4,IF(MONTH($C329)=6,$F$5,IF(MONTH($C329)=7,$F$6,"ERROR")))),1,0)</f>
        <v>1</v>
      </c>
      <c r="H329" s="30">
        <f>IF(J329=1,D329-$C$3,0)</f>
        <v>0</v>
      </c>
      <c r="I329" s="30">
        <f t="shared" si="450"/>
        <v>0</v>
      </c>
      <c r="J329" s="28">
        <f t="shared" ref="J329:J332" si="521">IF(AND(E329=1,G329=1),1,0)</f>
        <v>0</v>
      </c>
      <c r="K329" s="30">
        <f>VLOOKUP($C329,COS!$B$8:$H$991,2,FALSE)</f>
        <v>4535.75439453125</v>
      </c>
      <c r="L329" s="28">
        <f t="shared" ref="L329" si="522">IF(K329&lt;=IF(MONTH($C329)=4,$I$3,IF(MONTH($C329)=5,$I$4,IF(MONTH($C329)=6,$I$5,IF(MONTH($C329)=7,$I$6,"ERROR")))),1,0)</f>
        <v>1</v>
      </c>
      <c r="M329" s="28">
        <f t="shared" ref="M329" si="523">VLOOKUP($A329,$L$3:$M$7,2,FALSE)</f>
        <v>0</v>
      </c>
      <c r="N329" s="30">
        <f>VLOOKUP($C329,COS!$B$8:$H$991,5,FALSE)</f>
        <v>473.61004638671875</v>
      </c>
      <c r="O329" s="30">
        <f t="shared" ref="O329:O332" si="524">N329*DAY($C329)*86400/43560/1000</f>
        <v>28.18175482631715</v>
      </c>
      <c r="P329" s="30">
        <f>VLOOKUP($C329,COS!$B$8:$H$991,6,FALSE)</f>
        <v>459.42416381835938</v>
      </c>
      <c r="Q329" s="30">
        <f t="shared" ref="Q329:Q332" si="525">P329*DAY($C329)*86400/43560/1000</f>
        <v>27.33763619415031</v>
      </c>
      <c r="R329" s="30">
        <f>MIN(IF(MONTH($C329)=4,$S$3,IF(MONTH($C329)=5,$S$4,IF(MONTH($C329)=6,$S$5,IF(MONTH($C329)=7,$S$6,"ERROR")))),MAX(VLOOKUP($C329,COS!$B$8:$K$991,10,FALSE)-IF(MONTH($C329)=4,$Y$3,IF(MONTH($C329)=5,$Y$4,IF(MONTH($C329)=6,$Y$5,IF(MONTH($C329)=7,$Y$6,"ERROR")))),0),MAX(VLOOKUP($C329,COS!$B$8:$K$991,9,FALSE)-IF(MONTH($C329)=4,$V$3,IF(MONTH($C329)=5,$V$4,IF(MONTH($C329)=6,$V$5,IF(MONTH($C329)=7,$V$6,"ERROR"))))-VLOOKUP($C329,COS!$B$8:$K$991,6,FALSE)/2,0))</f>
        <v>1500</v>
      </c>
      <c r="S329" s="30">
        <f t="shared" ref="S329:S332" si="526">R329*DAY($C329)*86400/43560/1000</f>
        <v>89.256198347107429</v>
      </c>
      <c r="T329" s="30">
        <f t="shared" ref="T329:T332" si="527">(O329+Q329)/2+S329</f>
        <v>117.01589385734115</v>
      </c>
      <c r="U329" s="30" t="str">
        <f>IF(VLOOKUP($C329,COS!$B$8:$I$991,8,FALSE)=1,"UWFE","IBU")</f>
        <v>UWFE</v>
      </c>
      <c r="V329" s="30">
        <f t="shared" ref="V329" si="528">MIN(IF(IF($AA$3=2,AND(E329=1,G329=1,L329=1,L334=1,M329=1,U329="IBU"),AND(E329=1,G329=1,L329=1,L334=1,M329=1)),T329,0),I329)</f>
        <v>0</v>
      </c>
      <c r="W329" s="30"/>
      <c r="X329" s="30"/>
      <c r="Y329" s="30"/>
      <c r="Z329" s="30"/>
      <c r="AA329" s="30"/>
      <c r="AB329" s="31"/>
    </row>
    <row r="330" spans="1:28" x14ac:dyDescent="0.3">
      <c r="A330" s="32">
        <f>VLOOKUP(YEAR(C330),Flags!$A$13:$B$95,2,FALSE)</f>
        <v>2</v>
      </c>
      <c r="B330" s="24">
        <f t="shared" si="432"/>
        <v>1957</v>
      </c>
      <c r="C330" s="25">
        <v>20971</v>
      </c>
      <c r="D330" s="26">
        <f>VLOOKUP($C330,COS!$B$8:$H$991,3,FALSE)</f>
        <v>10383.798828125</v>
      </c>
      <c r="E330" s="24">
        <f>IF(D330&gt;=IF(MONTH($C330)=4,$C$3,IF(MONTH($C330)=5,$C$4,IF(MONTH($C330)=6,$C$5,IF(MONTH($C330)=7,$C$6,"ERROR")))),1,0)</f>
        <v>1</v>
      </c>
      <c r="F330" s="26">
        <f>VLOOKUP($C330,COS!$B$8:$H$991,7,FALSE)</f>
        <v>50.116058349609375</v>
      </c>
      <c r="G330" s="24">
        <f>IF(F330&lt;=IF(MONTH($C330)=4,$F$3,IF(MONTH($C330)=5,$F$4,IF(MONTH($C330)=6,$F$5,IF(MONTH($C330)=7,$F$6,"ERROR")))),1,0)</f>
        <v>1</v>
      </c>
      <c r="H330" s="26">
        <f>IF(J330=1,D330-$C$4,0)</f>
        <v>4383.798828125</v>
      </c>
      <c r="I330" s="26">
        <f t="shared" si="450"/>
        <v>269.54928331611569</v>
      </c>
      <c r="J330" s="24">
        <f t="shared" si="521"/>
        <v>1</v>
      </c>
      <c r="K330" s="26">
        <f>VLOOKUP($C330,COS!$B$8:$H$991,2,FALSE)</f>
        <v>4552</v>
      </c>
      <c r="L330" s="24">
        <f t="shared" si="435"/>
        <v>1</v>
      </c>
      <c r="M330" s="24">
        <f t="shared" si="436"/>
        <v>0</v>
      </c>
      <c r="N330" s="26">
        <f>VLOOKUP($C330,COS!$B$8:$H$991,5,FALSE)</f>
        <v>717.7584228515625</v>
      </c>
      <c r="O330" s="26">
        <f t="shared" si="524"/>
        <v>44.133245173682852</v>
      </c>
      <c r="P330" s="26">
        <f>VLOOKUP($C330,COS!$B$8:$H$991,6,FALSE)</f>
        <v>2044.89892578125</v>
      </c>
      <c r="Q330" s="26">
        <f t="shared" si="525"/>
        <v>125.73593394886363</v>
      </c>
      <c r="R330" s="26">
        <f>MIN(IF(MONTH($C330)=4,$S$3,IF(MONTH($C330)=5,$S$4,IF(MONTH($C330)=6,$S$5,IF(MONTH($C330)=7,$S$6,"ERROR")))),MAX(VLOOKUP($C330,COS!$B$8:$K$991,10,FALSE)-IF(MONTH($C330)=4,$Y$3,IF(MONTH($C330)=5,$Y$4,IF(MONTH($C330)=6,$Y$5,IF(MONTH($C330)=7,$Y$6,"ERROR")))),0),MAX(VLOOKUP($C330,COS!$B$8:$K$991,9,FALSE)-IF(MONTH($C330)=4,$V$3,IF(MONTH($C330)=5,$V$4,IF(MONTH($C330)=6,$V$5,IF(MONTH($C330)=7,$V$6,"ERROR"))))-VLOOKUP($C330,COS!$B$8:$K$991,6,FALSE)/2,0))</f>
        <v>1500</v>
      </c>
      <c r="S330" s="26">
        <f t="shared" si="526"/>
        <v>92.231404958677686</v>
      </c>
      <c r="T330" s="26">
        <f t="shared" si="527"/>
        <v>177.16599451995091</v>
      </c>
      <c r="U330" s="26" t="str">
        <f>IF(VLOOKUP($C330,COS!$B$8:$I$991,8,FALSE)=1,"UWFE","IBU")</f>
        <v>UWFE</v>
      </c>
      <c r="V330" s="26">
        <f t="shared" ref="V330" si="529">MIN(IF(IF($AA$3=2,AND(E330=1,G330=1,L330=1,L334=1,M330=1,U330="IBU"),AND(E330=1,G330=1,L330=1,L334=1,M330=1)),T330,0),I330)</f>
        <v>0</v>
      </c>
      <c r="W330" s="26"/>
      <c r="X330" s="26"/>
      <c r="Y330" s="26"/>
      <c r="Z330" s="26"/>
      <c r="AA330" s="26"/>
      <c r="AB330" s="33"/>
    </row>
    <row r="331" spans="1:28" x14ac:dyDescent="0.3">
      <c r="A331" s="32">
        <f>VLOOKUP(YEAR(C331),Flags!$A$13:$B$95,2,FALSE)</f>
        <v>2</v>
      </c>
      <c r="B331" s="24">
        <f t="shared" si="432"/>
        <v>1957</v>
      </c>
      <c r="C331" s="25">
        <v>21001</v>
      </c>
      <c r="D331" s="26">
        <f>VLOOKUP($C331,COS!$B$8:$H$991,3,FALSE)</f>
        <v>9041.25390625</v>
      </c>
      <c r="E331" s="24">
        <f>IF(D331&gt;=IF(MONTH($C331)=4,$C$3,IF(MONTH($C331)=5,$C$4,IF(MONTH($C331)=6,$C$5,IF(MONTH($C331)=7,$C$6,"ERROR")))),1,0)</f>
        <v>0</v>
      </c>
      <c r="F331" s="26">
        <f>VLOOKUP($C331,COS!$B$8:$H$991,7,FALSE)</f>
        <v>52.248523712158203</v>
      </c>
      <c r="G331" s="24">
        <f>IF(F331&lt;=IF(MONTH($C331)=4,$F$3,IF(MONTH($C331)=5,$F$4,IF(MONTH($C331)=6,$F$5,IF(MONTH($C331)=7,$F$6,"ERROR")))),1,0)</f>
        <v>1</v>
      </c>
      <c r="H331" s="26">
        <f>IF(J331=1,D331-$C$5,0)</f>
        <v>0</v>
      </c>
      <c r="I331" s="26">
        <f t="shared" si="450"/>
        <v>0</v>
      </c>
      <c r="J331" s="24">
        <f t="shared" si="521"/>
        <v>0</v>
      </c>
      <c r="K331" s="26">
        <f>VLOOKUP($C331,COS!$B$8:$H$991,2,FALSE)</f>
        <v>4290.39404296875</v>
      </c>
      <c r="L331" s="24">
        <f t="shared" si="435"/>
        <v>1</v>
      </c>
      <c r="M331" s="24">
        <f t="shared" si="436"/>
        <v>0</v>
      </c>
      <c r="N331" s="26">
        <f>VLOOKUP($C331,COS!$B$8:$H$991,5,FALSE)</f>
        <v>866.60247802734375</v>
      </c>
      <c r="O331" s="26">
        <f t="shared" si="524"/>
        <v>51.566428444602273</v>
      </c>
      <c r="P331" s="26">
        <f>VLOOKUP($C331,COS!$B$8:$H$991,6,FALSE)</f>
        <v>2422.49462890625</v>
      </c>
      <c r="Q331" s="26">
        <f t="shared" si="525"/>
        <v>144.14844072830579</v>
      </c>
      <c r="R331" s="26">
        <f>MIN(IF(MONTH($C331)=4,$S$3,IF(MONTH($C331)=5,$S$4,IF(MONTH($C331)=6,$S$5,IF(MONTH($C331)=7,$S$6,"ERROR")))),MAX(VLOOKUP($C331,COS!$B$8:$K$991,10,FALSE)-IF(MONTH($C331)=4,$Y$3,IF(MONTH($C331)=5,$Y$4,IF(MONTH($C331)=6,$Y$5,IF(MONTH($C331)=7,$Y$6,"ERROR")))),0),MAX(VLOOKUP($C331,COS!$B$8:$K$991,9,FALSE)-IF(MONTH($C331)=4,$V$3,IF(MONTH($C331)=5,$V$4,IF(MONTH($C331)=6,$V$5,IF(MONTH($C331)=7,$V$6,"ERROR"))))-VLOOKUP($C331,COS!$B$8:$K$991,6,FALSE)/2,0))</f>
        <v>1500</v>
      </c>
      <c r="S331" s="26">
        <f t="shared" si="526"/>
        <v>89.256198347107429</v>
      </c>
      <c r="T331" s="26">
        <f t="shared" si="527"/>
        <v>187.11363293356146</v>
      </c>
      <c r="U331" s="26" t="str">
        <f>IF(VLOOKUP($C331,COS!$B$8:$I$991,8,FALSE)=1,"UWFE","IBU")</f>
        <v>IBU</v>
      </c>
      <c r="V331" s="26">
        <f t="shared" ref="V331" si="530">MIN(IF(IF($AA$3=2,AND(E331=1,G331=1,L331=1,L334=1,M331=1,U331="IBU"),AND(E331=1,G331=1,L331=1,L334=1,M331=1)),T331,0),I331)</f>
        <v>0</v>
      </c>
      <c r="W331" s="26"/>
      <c r="X331" s="26"/>
      <c r="Y331" s="26"/>
      <c r="Z331" s="26"/>
      <c r="AA331" s="26"/>
      <c r="AB331" s="33"/>
    </row>
    <row r="332" spans="1:28" x14ac:dyDescent="0.3">
      <c r="A332" s="32">
        <f>VLOOKUP(YEAR(C332),Flags!$A$13:$B$95,2,FALSE)</f>
        <v>2</v>
      </c>
      <c r="B332" s="24">
        <f t="shared" si="432"/>
        <v>1957</v>
      </c>
      <c r="C332" s="25">
        <v>21032</v>
      </c>
      <c r="D332" s="26">
        <f>VLOOKUP($C332,COS!$B$8:$H$991,3,FALSE)</f>
        <v>16000</v>
      </c>
      <c r="E332" s="24">
        <f>IF(D332&gt;=IF(MONTH($C332)=4,$C$3,IF(MONTH($C332)=5,$C$4,IF(MONTH($C332)=6,$C$5,IF(MONTH($C332)=7,$C$6,"ERROR")))),1,0)</f>
        <v>1</v>
      </c>
      <c r="F332" s="26">
        <f>VLOOKUP($C332,COS!$B$8:$H$991,7,FALSE)</f>
        <v>51.816173553466797</v>
      </c>
      <c r="G332" s="24">
        <f>IF(F332&lt;=IF(MONTH($C332)=4,$F$3,IF(MONTH($C332)=5,$F$4,IF(MONTH($C332)=6,$F$5,IF(MONTH($C332)=7,$F$6,"ERROR")))),1,0)</f>
        <v>1</v>
      </c>
      <c r="H332" s="26">
        <f>IF(J332=1,D332-$C$6,0)</f>
        <v>4000</v>
      </c>
      <c r="I332" s="26">
        <f t="shared" si="450"/>
        <v>245.95041322314049</v>
      </c>
      <c r="J332" s="24">
        <f t="shared" si="521"/>
        <v>1</v>
      </c>
      <c r="K332" s="26">
        <f>VLOOKUP($C332,COS!$B$8:$H$991,2,FALSE)</f>
        <v>3601.666259765625</v>
      </c>
      <c r="L332" s="24">
        <f t="shared" si="435"/>
        <v>1</v>
      </c>
      <c r="M332" s="24">
        <f t="shared" si="436"/>
        <v>0</v>
      </c>
      <c r="N332" s="26">
        <f>VLOOKUP($C332,COS!$B$8:$H$991,5,FALSE)</f>
        <v>947.87957763671875</v>
      </c>
      <c r="O332" s="26">
        <f t="shared" si="524"/>
        <v>58.282843451381709</v>
      </c>
      <c r="P332" s="26">
        <f>VLOOKUP($C332,COS!$B$8:$H$991,6,FALSE)</f>
        <v>2467.689453125</v>
      </c>
      <c r="Q332" s="26">
        <f t="shared" si="525"/>
        <v>151.73231017561986</v>
      </c>
      <c r="R332" s="26">
        <f>MIN(IF(MONTH($C332)=4,$S$3,IF(MONTH($C332)=5,$S$4,IF(MONTH($C332)=6,$S$5,IF(MONTH($C332)=7,$S$6,"ERROR")))),MAX(VLOOKUP($C332,COS!$B$8:$K$991,10,FALSE)-IF(MONTH($C332)=4,$Y$3,IF(MONTH($C332)=5,$Y$4,IF(MONTH($C332)=6,$Y$5,IF(MONTH($C332)=7,$Y$6,"ERROR")))),0),MAX(VLOOKUP($C332,COS!$B$8:$K$991,9,FALSE)-IF(MONTH($C332)=4,$V$3,IF(MONTH($C332)=5,$V$4,IF(MONTH($C332)=6,$V$5,IF(MONTH($C332)=7,$V$6,"ERROR"))))-VLOOKUP($C332,COS!$B$8:$K$991,6,FALSE)/2,0))</f>
        <v>1500</v>
      </c>
      <c r="S332" s="26">
        <f t="shared" si="526"/>
        <v>92.231404958677686</v>
      </c>
      <c r="T332" s="26">
        <f t="shared" si="527"/>
        <v>197.23898177217848</v>
      </c>
      <c r="U332" s="26" t="str">
        <f>IF(VLOOKUP($C332,COS!$B$8:$I$991,8,FALSE)=1,"UWFE","IBU")</f>
        <v>IBU</v>
      </c>
      <c r="V332" s="26">
        <f t="shared" ref="V332" si="531">MIN(IF(IF($AA$3=2,AND(E332=1,G332=1,L332=1,L334=1,M332=1,U332="IBU"),AND(E332=1,G332=1,L332=1,L334=1,M332=1)),T332,0),I332)</f>
        <v>0</v>
      </c>
      <c r="W332" s="26"/>
      <c r="X332" s="26"/>
      <c r="Y332" s="26"/>
      <c r="Z332" s="26"/>
      <c r="AA332" s="26"/>
      <c r="AB332" s="33"/>
    </row>
    <row r="333" spans="1:28" x14ac:dyDescent="0.3">
      <c r="A333" s="32">
        <f>VLOOKUP(YEAR(C333),Flags!$A$13:$B$95,2,FALSE)</f>
        <v>2</v>
      </c>
      <c r="B333" s="24">
        <f t="shared" si="432"/>
        <v>1957</v>
      </c>
      <c r="C333" s="25">
        <v>21063</v>
      </c>
      <c r="D333" s="26"/>
      <c r="E333" s="24"/>
      <c r="F333" s="26"/>
      <c r="G333" s="24"/>
      <c r="H333" s="24"/>
      <c r="I333" s="26"/>
      <c r="J333" s="24"/>
      <c r="K333" s="26"/>
      <c r="L333" s="24"/>
      <c r="M333" s="24"/>
      <c r="N333" s="26"/>
      <c r="O333" s="26"/>
      <c r="P333" s="26"/>
      <c r="Q333" s="26"/>
      <c r="R333" s="26"/>
      <c r="S333" s="26"/>
      <c r="T333" s="26"/>
      <c r="U333" s="26"/>
      <c r="V333" s="26"/>
      <c r="W333" s="26">
        <f>MAX($C$7-VLOOKUP($C333,COS!$B$8:$H$991,3,FALSE),0)</f>
        <v>89621.1240234375</v>
      </c>
      <c r="X333" s="26">
        <f t="shared" si="448"/>
        <v>5510.5881217716942</v>
      </c>
      <c r="Y333" s="26">
        <f>VLOOKUP($C333,COS!$B$8:$H$991,4,FALSE)</f>
        <v>972.99468994140625</v>
      </c>
      <c r="Z333" s="26">
        <f t="shared" si="449"/>
        <v>59.827111513752584</v>
      </c>
      <c r="AA333" s="26">
        <f t="shared" ref="AA333:AA337" si="532">MIN(W333,Y333)</f>
        <v>972.99468994140625</v>
      </c>
      <c r="AB333" s="33">
        <f t="shared" ref="AB333" si="533">AA333*DAY($C333)*86400/43560/1000*IF(MONTH($C333)=8,$P$3,IF(MONTH($C333)=9,$P$4,IF(MONTH($C333)=10,$P$5,IF(MONTH($C333)=11,$P$6,IF(MONTH($C333)=12,$P$7,NA())))))</f>
        <v>59.827111513752584</v>
      </c>
    </row>
    <row r="334" spans="1:28" x14ac:dyDescent="0.3">
      <c r="A334" s="32">
        <f>VLOOKUP(YEAR(C334),Flags!$A$13:$B$95,2,FALSE)</f>
        <v>2</v>
      </c>
      <c r="B334" s="24">
        <f t="shared" si="432"/>
        <v>1957</v>
      </c>
      <c r="C334" s="25">
        <v>21093</v>
      </c>
      <c r="D334" s="26"/>
      <c r="E334" s="24"/>
      <c r="F334" s="26"/>
      <c r="G334" s="24"/>
      <c r="H334" s="24"/>
      <c r="I334" s="26"/>
      <c r="J334" s="24"/>
      <c r="K334" s="26">
        <f>VLOOKUP($C334,COS!$B$8:$H$991,2,FALSE)</f>
        <v>3041.052978515625</v>
      </c>
      <c r="L334" s="24">
        <f t="shared" ref="L334" si="534">IF(AND(K334&gt;$I$7,K334&lt;$I$8),1,0)</f>
        <v>1</v>
      </c>
      <c r="M334" s="24"/>
      <c r="N334" s="26"/>
      <c r="O334" s="26"/>
      <c r="P334" s="26"/>
      <c r="Q334" s="26"/>
      <c r="R334" s="26"/>
      <c r="S334" s="26"/>
      <c r="T334" s="26"/>
      <c r="U334" s="26"/>
      <c r="V334" s="26"/>
      <c r="W334" s="26">
        <f>MAX($C$8-VLOOKUP($C334,COS!$B$8:$H$991,3,FALSE),0)</f>
        <v>90649.27734375</v>
      </c>
      <c r="X334" s="26">
        <f t="shared" si="448"/>
        <v>5394.0065857438012</v>
      </c>
      <c r="Y334" s="26">
        <f>VLOOKUP($C334,COS!$B$8:$H$991,4,FALSE)</f>
        <v>579.7745361328125</v>
      </c>
      <c r="Z334" s="26">
        <f t="shared" si="449"/>
        <v>34.498980662448346</v>
      </c>
      <c r="AA334" s="26">
        <f t="shared" si="532"/>
        <v>579.7745361328125</v>
      </c>
      <c r="AB334" s="33">
        <f t="shared" si="446"/>
        <v>34.498980662448346</v>
      </c>
    </row>
    <row r="335" spans="1:28" x14ac:dyDescent="0.3">
      <c r="A335" s="32">
        <f>VLOOKUP(YEAR(C335),Flags!$A$13:$B$95,2,FALSE)</f>
        <v>2</v>
      </c>
      <c r="B335" s="24">
        <f t="shared" ref="B335:B398" si="535">YEAR(C335)</f>
        <v>1957</v>
      </c>
      <c r="C335" s="25">
        <v>21124</v>
      </c>
      <c r="D335" s="26"/>
      <c r="E335" s="24"/>
      <c r="F335" s="26"/>
      <c r="G335" s="26"/>
      <c r="H335" s="26"/>
      <c r="I335" s="26"/>
      <c r="J335" s="26"/>
      <c r="K335" s="26"/>
      <c r="L335" s="24"/>
      <c r="M335" s="24"/>
      <c r="N335" s="26"/>
      <c r="O335" s="26"/>
      <c r="P335" s="26"/>
      <c r="Q335" s="26"/>
      <c r="R335" s="26"/>
      <c r="S335" s="26"/>
      <c r="T335" s="26"/>
      <c r="U335" s="26"/>
      <c r="V335" s="26"/>
      <c r="W335" s="26">
        <f>MAX($C$9-VLOOKUP($C335,COS!$B$8:$H$991,3,FALSE),0)</f>
        <v>94373.61279296875</v>
      </c>
      <c r="X335" s="26">
        <f t="shared" si="448"/>
        <v>5802.8072659478312</v>
      </c>
      <c r="Y335" s="26">
        <f>VLOOKUP($C335,COS!$B$8:$H$991,4,FALSE)</f>
        <v>1307.7252197265625</v>
      </c>
      <c r="Z335" s="26">
        <f t="shared" si="449"/>
        <v>80.40888954351756</v>
      </c>
      <c r="AA335" s="26">
        <f t="shared" si="532"/>
        <v>1307.7252197265625</v>
      </c>
      <c r="AB335" s="33">
        <f t="shared" si="446"/>
        <v>80.40888954351756</v>
      </c>
    </row>
    <row r="336" spans="1:28" x14ac:dyDescent="0.3">
      <c r="A336" s="32">
        <f>VLOOKUP(YEAR(C336),Flags!$A$13:$B$95,2,FALSE)</f>
        <v>2</v>
      </c>
      <c r="B336" s="24">
        <f t="shared" si="535"/>
        <v>1957</v>
      </c>
      <c r="C336" s="25">
        <v>21154</v>
      </c>
      <c r="D336" s="26"/>
      <c r="E336" s="24"/>
      <c r="F336" s="26"/>
      <c r="G336" s="26"/>
      <c r="H336" s="26"/>
      <c r="I336" s="26"/>
      <c r="J336" s="26"/>
      <c r="K336" s="26"/>
      <c r="L336" s="24"/>
      <c r="M336" s="24"/>
      <c r="N336" s="26"/>
      <c r="O336" s="26"/>
      <c r="P336" s="26"/>
      <c r="Q336" s="26"/>
      <c r="R336" s="26"/>
      <c r="S336" s="26"/>
      <c r="T336" s="26"/>
      <c r="U336" s="26"/>
      <c r="V336" s="26"/>
      <c r="W336" s="26">
        <f>MAX($C$10-VLOOKUP($C336,COS!$B$8:$H$991,3,FALSE),0)</f>
        <v>91059.4033203125</v>
      </c>
      <c r="X336" s="26">
        <f t="shared" si="448"/>
        <v>5418.410776084711</v>
      </c>
      <c r="Y336" s="26">
        <f>VLOOKUP($C336,COS!$B$8:$H$991,4,FALSE)</f>
        <v>2291.82421875</v>
      </c>
      <c r="Z336" s="26">
        <f t="shared" si="449"/>
        <v>136.37301136363635</v>
      </c>
      <c r="AA336" s="26">
        <f t="shared" si="532"/>
        <v>2291.82421875</v>
      </c>
      <c r="AB336" s="33">
        <f t="shared" si="446"/>
        <v>68.186505681818176</v>
      </c>
    </row>
    <row r="337" spans="1:28" x14ac:dyDescent="0.3">
      <c r="A337" s="34">
        <f>VLOOKUP(YEAR(C337),Flags!$A$13:$B$95,2,FALSE)</f>
        <v>2</v>
      </c>
      <c r="B337" s="35">
        <f t="shared" si="535"/>
        <v>1957</v>
      </c>
      <c r="C337" s="36">
        <v>21185</v>
      </c>
      <c r="D337" s="37"/>
      <c r="E337" s="35"/>
      <c r="F337" s="37"/>
      <c r="G337" s="37"/>
      <c r="H337" s="37"/>
      <c r="I337" s="37"/>
      <c r="J337" s="37"/>
      <c r="K337" s="37"/>
      <c r="L337" s="35"/>
      <c r="M337" s="35"/>
      <c r="N337" s="37"/>
      <c r="O337" s="37"/>
      <c r="P337" s="37"/>
      <c r="Q337" s="37"/>
      <c r="R337" s="37"/>
      <c r="S337" s="37"/>
      <c r="T337" s="37"/>
      <c r="U337" s="37"/>
      <c r="V337" s="37"/>
      <c r="W337" s="37">
        <f>MAX($C$11-VLOOKUP($C337,COS!$B$8:$H$991,3,FALSE),0)</f>
        <v>0</v>
      </c>
      <c r="X337" s="37">
        <f t="shared" si="448"/>
        <v>0</v>
      </c>
      <c r="Y337" s="37">
        <f>VLOOKUP($C337,COS!$B$8:$H$991,4,FALSE)</f>
        <v>0</v>
      </c>
      <c r="Z337" s="37">
        <f t="shared" si="449"/>
        <v>0</v>
      </c>
      <c r="AA337" s="37">
        <f t="shared" si="532"/>
        <v>0</v>
      </c>
      <c r="AB337" s="38">
        <f t="shared" si="446"/>
        <v>0</v>
      </c>
    </row>
    <row r="338" spans="1:28" x14ac:dyDescent="0.3">
      <c r="A338" s="27">
        <f>VLOOKUP(YEAR(C338),Flags!$A$13:$B$95,2,FALSE)</f>
        <v>1</v>
      </c>
      <c r="B338" s="28">
        <f t="shared" si="535"/>
        <v>1958</v>
      </c>
      <c r="C338" s="29">
        <v>21305</v>
      </c>
      <c r="D338" s="30">
        <f>VLOOKUP($C338,COS!$B$8:$H$991,3,FALSE)</f>
        <v>11542.2392578125</v>
      </c>
      <c r="E338" s="28">
        <f>IF(D338&gt;=IF(MONTH($C338)=4,$C$3,IF(MONTH($C338)=5,$C$4,IF(MONTH($C338)=6,$C$5,IF(MONTH($C338)=7,$C$6,"ERROR")))),1,0)</f>
        <v>1</v>
      </c>
      <c r="F338" s="30">
        <f>VLOOKUP($C338,COS!$B$8:$H$991,7,FALSE)</f>
        <v>47.772865295410156</v>
      </c>
      <c r="G338" s="28">
        <f>IF(F338&lt;=IF(MONTH($C338)=4,$F$3,IF(MONTH($C338)=5,$F$4,IF(MONTH($C338)=6,$F$5,IF(MONTH($C338)=7,$F$6,"ERROR")))),1,0)</f>
        <v>1</v>
      </c>
      <c r="H338" s="30">
        <f>IF(J338=1,D338-$C$3,0)</f>
        <v>5542.2392578125</v>
      </c>
      <c r="I338" s="30">
        <f t="shared" si="450"/>
        <v>329.78613765495868</v>
      </c>
      <c r="J338" s="28">
        <f t="shared" ref="J338:J341" si="536">IF(AND(E338=1,G338=1),1,0)</f>
        <v>1</v>
      </c>
      <c r="K338" s="30">
        <f>VLOOKUP($C338,COS!$B$8:$H$991,2,FALSE)</f>
        <v>4173</v>
      </c>
      <c r="L338" s="28">
        <f t="shared" ref="L338:L395" si="537">IF(K338&lt;=IF(MONTH($C338)=4,$I$3,IF(MONTH($C338)=5,$I$4,IF(MONTH($C338)=6,$I$5,IF(MONTH($C338)=7,$I$6,"ERROR")))),1,0)</f>
        <v>1</v>
      </c>
      <c r="M338" s="28">
        <f t="shared" ref="M338:M395" si="538">VLOOKUP($A338,$L$3:$M$7,2,FALSE)</f>
        <v>0</v>
      </c>
      <c r="N338" s="30">
        <f>VLOOKUP($C338,COS!$B$8:$H$991,5,FALSE)</f>
        <v>28.527523040771484</v>
      </c>
      <c r="O338" s="30">
        <f t="shared" ref="O338:O341" si="539">N338*DAY($C338)*86400/43560/1000</f>
        <v>1.6975055032525181</v>
      </c>
      <c r="P338" s="30">
        <f>VLOOKUP($C338,COS!$B$8:$H$991,6,FALSE)</f>
        <v>286.142822265625</v>
      </c>
      <c r="Q338" s="30">
        <f t="shared" ref="Q338:Q341" si="540">P338*DAY($C338)*86400/43560/1000</f>
        <v>17.026680333161156</v>
      </c>
      <c r="R338" s="30">
        <f>MIN(IF(MONTH($C338)=4,$S$3,IF(MONTH($C338)=5,$S$4,IF(MONTH($C338)=6,$S$5,IF(MONTH($C338)=7,$S$6,"ERROR")))),MAX(VLOOKUP($C338,COS!$B$8:$K$991,10,FALSE)-IF(MONTH($C338)=4,$Y$3,IF(MONTH($C338)=5,$Y$4,IF(MONTH($C338)=6,$Y$5,IF(MONTH($C338)=7,$Y$6,"ERROR")))),0),MAX(VLOOKUP($C338,COS!$B$8:$K$991,9,FALSE)-IF(MONTH($C338)=4,$V$3,IF(MONTH($C338)=5,$V$4,IF(MONTH($C338)=6,$V$5,IF(MONTH($C338)=7,$V$6,"ERROR"))))-VLOOKUP($C338,COS!$B$8:$K$991,6,FALSE)/2,0))</f>
        <v>1500</v>
      </c>
      <c r="S338" s="30">
        <f t="shared" ref="S338:S341" si="541">R338*DAY($C338)*86400/43560/1000</f>
        <v>89.256198347107429</v>
      </c>
      <c r="T338" s="30">
        <f t="shared" ref="T338:T341" si="542">(O338+Q338)/2+S338</f>
        <v>98.618291265314269</v>
      </c>
      <c r="U338" s="30" t="str">
        <f>IF(VLOOKUP($C338,COS!$B$8:$I$991,8,FALSE)=1,"UWFE","IBU")</f>
        <v>UWFE</v>
      </c>
      <c r="V338" s="30">
        <f t="shared" ref="V338" si="543">MIN(IF(IF($AA$3=2,AND(E338=1,G338=1,L338=1,L343=1,M338=1,U338="IBU"),AND(E338=1,G338=1,L338=1,L343=1,M338=1)),T338,0),I338)</f>
        <v>0</v>
      </c>
      <c r="W338" s="30"/>
      <c r="X338" s="30"/>
      <c r="Y338" s="30"/>
      <c r="Z338" s="30"/>
      <c r="AA338" s="30"/>
      <c r="AB338" s="31"/>
    </row>
    <row r="339" spans="1:28" x14ac:dyDescent="0.3">
      <c r="A339" s="32">
        <f>VLOOKUP(YEAR(C339),Flags!$A$13:$B$95,2,FALSE)</f>
        <v>1</v>
      </c>
      <c r="B339" s="24">
        <f t="shared" si="535"/>
        <v>1958</v>
      </c>
      <c r="C339" s="25">
        <v>21336</v>
      </c>
      <c r="D339" s="26">
        <f>VLOOKUP($C339,COS!$B$8:$H$991,3,FALSE)</f>
        <v>6985.326171875</v>
      </c>
      <c r="E339" s="24">
        <f>IF(D339&gt;=IF(MONTH($C339)=4,$C$3,IF(MONTH($C339)=5,$C$4,IF(MONTH($C339)=6,$C$5,IF(MONTH($C339)=7,$C$6,"ERROR")))),1,0)</f>
        <v>1</v>
      </c>
      <c r="F339" s="26">
        <f>VLOOKUP($C339,COS!$B$8:$H$991,7,FALSE)</f>
        <v>51.385059356689453</v>
      </c>
      <c r="G339" s="24">
        <f>IF(F339&lt;=IF(MONTH($C339)=4,$F$3,IF(MONTH($C339)=5,$F$4,IF(MONTH($C339)=6,$F$5,IF(MONTH($C339)=7,$F$6,"ERROR")))),1,0)</f>
        <v>1</v>
      </c>
      <c r="H339" s="26">
        <f>IF(J339=1,D339-$C$4,0)</f>
        <v>985.326171875</v>
      </c>
      <c r="I339" s="26">
        <f t="shared" si="450"/>
        <v>60.585344783057849</v>
      </c>
      <c r="J339" s="24">
        <f t="shared" si="536"/>
        <v>1</v>
      </c>
      <c r="K339" s="26">
        <f>VLOOKUP($C339,COS!$B$8:$H$991,2,FALSE)</f>
        <v>4552</v>
      </c>
      <c r="L339" s="24">
        <f t="shared" si="537"/>
        <v>1</v>
      </c>
      <c r="M339" s="24">
        <f t="shared" si="538"/>
        <v>0</v>
      </c>
      <c r="N339" s="26">
        <f>VLOOKUP($C339,COS!$B$8:$H$991,5,FALSE)</f>
        <v>454.28439331054688</v>
      </c>
      <c r="O339" s="26">
        <f t="shared" si="539"/>
        <v>27.932858563888171</v>
      </c>
      <c r="P339" s="26">
        <f>VLOOKUP($C339,COS!$B$8:$H$991,6,FALSE)</f>
        <v>1943.7978515625</v>
      </c>
      <c r="Q339" s="26">
        <f t="shared" si="540"/>
        <v>119.5194712035124</v>
      </c>
      <c r="R339" s="26">
        <f>MIN(IF(MONTH($C339)=4,$S$3,IF(MONTH($C339)=5,$S$4,IF(MONTH($C339)=6,$S$5,IF(MONTH($C339)=7,$S$6,"ERROR")))),MAX(VLOOKUP($C339,COS!$B$8:$K$991,10,FALSE)-IF(MONTH($C339)=4,$Y$3,IF(MONTH($C339)=5,$Y$4,IF(MONTH($C339)=6,$Y$5,IF(MONTH($C339)=7,$Y$6,"ERROR")))),0),MAX(VLOOKUP($C339,COS!$B$8:$K$991,9,FALSE)-IF(MONTH($C339)=4,$V$3,IF(MONTH($C339)=5,$V$4,IF(MONTH($C339)=6,$V$5,IF(MONTH($C339)=7,$V$6,"ERROR"))))-VLOOKUP($C339,COS!$B$8:$K$991,6,FALSE)/2,0))</f>
        <v>1500</v>
      </c>
      <c r="S339" s="26">
        <f t="shared" si="541"/>
        <v>92.231404958677686</v>
      </c>
      <c r="T339" s="26">
        <f t="shared" si="542"/>
        <v>165.95756984237795</v>
      </c>
      <c r="U339" s="26" t="str">
        <f>IF(VLOOKUP($C339,COS!$B$8:$I$991,8,FALSE)=1,"UWFE","IBU")</f>
        <v>UWFE</v>
      </c>
      <c r="V339" s="26">
        <f t="shared" ref="V339" si="544">MIN(IF(IF($AA$3=2,AND(E339=1,G339=1,L339=1,L343=1,M339=1,U339="IBU"),AND(E339=1,G339=1,L339=1,L343=1,M339=1)),T339,0),I339)</f>
        <v>0</v>
      </c>
      <c r="W339" s="26"/>
      <c r="X339" s="26"/>
      <c r="Y339" s="26"/>
      <c r="Z339" s="26"/>
      <c r="AA339" s="26"/>
      <c r="AB339" s="33"/>
    </row>
    <row r="340" spans="1:28" x14ac:dyDescent="0.3">
      <c r="A340" s="32">
        <f>VLOOKUP(YEAR(C340),Flags!$A$13:$B$95,2,FALSE)</f>
        <v>1</v>
      </c>
      <c r="B340" s="24">
        <f t="shared" si="535"/>
        <v>1958</v>
      </c>
      <c r="C340" s="25">
        <v>21366</v>
      </c>
      <c r="D340" s="26">
        <f>VLOOKUP($C340,COS!$B$8:$H$991,3,FALSE)</f>
        <v>8232.15234375</v>
      </c>
      <c r="E340" s="24">
        <f>IF(D340&gt;=IF(MONTH($C340)=4,$C$3,IF(MONTH($C340)=5,$C$4,IF(MONTH($C340)=6,$C$5,IF(MONTH($C340)=7,$C$6,"ERROR")))),1,0)</f>
        <v>0</v>
      </c>
      <c r="F340" s="26">
        <f>VLOOKUP($C340,COS!$B$8:$H$991,7,FALSE)</f>
        <v>51.681552886962891</v>
      </c>
      <c r="G340" s="24">
        <f>IF(F340&lt;=IF(MONTH($C340)=4,$F$3,IF(MONTH($C340)=5,$F$4,IF(MONTH($C340)=6,$F$5,IF(MONTH($C340)=7,$F$6,"ERROR")))),1,0)</f>
        <v>1</v>
      </c>
      <c r="H340" s="26">
        <f>IF(J340=1,D340-$C$5,0)</f>
        <v>0</v>
      </c>
      <c r="I340" s="26">
        <f t="shared" si="450"/>
        <v>0</v>
      </c>
      <c r="J340" s="24">
        <f t="shared" si="536"/>
        <v>0</v>
      </c>
      <c r="K340" s="26">
        <f>VLOOKUP($C340,COS!$B$8:$H$991,2,FALSE)</f>
        <v>4500</v>
      </c>
      <c r="L340" s="24">
        <f t="shared" si="537"/>
        <v>1</v>
      </c>
      <c r="M340" s="24">
        <f t="shared" si="538"/>
        <v>0</v>
      </c>
      <c r="N340" s="26">
        <f>VLOOKUP($C340,COS!$B$8:$H$991,5,FALSE)</f>
        <v>1154.1927490234375</v>
      </c>
      <c r="O340" s="26">
        <f t="shared" si="539"/>
        <v>68.679237958419421</v>
      </c>
      <c r="P340" s="26">
        <f>VLOOKUP($C340,COS!$B$8:$H$991,6,FALSE)</f>
        <v>2269.72607421875</v>
      </c>
      <c r="Q340" s="26">
        <f t="shared" si="540"/>
        <v>135.05808044938016</v>
      </c>
      <c r="R340" s="26">
        <f>MIN(IF(MONTH($C340)=4,$S$3,IF(MONTH($C340)=5,$S$4,IF(MONTH($C340)=6,$S$5,IF(MONTH($C340)=7,$S$6,"ERROR")))),MAX(VLOOKUP($C340,COS!$B$8:$K$991,10,FALSE)-IF(MONTH($C340)=4,$Y$3,IF(MONTH($C340)=5,$Y$4,IF(MONTH($C340)=6,$Y$5,IF(MONTH($C340)=7,$Y$6,"ERROR")))),0),MAX(VLOOKUP($C340,COS!$B$8:$K$991,9,FALSE)-IF(MONTH($C340)=4,$V$3,IF(MONTH($C340)=5,$V$4,IF(MONTH($C340)=6,$V$5,IF(MONTH($C340)=7,$V$6,"ERROR"))))-VLOOKUP($C340,COS!$B$8:$K$991,6,FALSE)/2,0))</f>
        <v>1500</v>
      </c>
      <c r="S340" s="26">
        <f t="shared" si="541"/>
        <v>89.256198347107429</v>
      </c>
      <c r="T340" s="26">
        <f t="shared" si="542"/>
        <v>191.12485755100721</v>
      </c>
      <c r="U340" s="26" t="str">
        <f>IF(VLOOKUP($C340,COS!$B$8:$I$991,8,FALSE)=1,"UWFE","IBU")</f>
        <v>UWFE</v>
      </c>
      <c r="V340" s="26">
        <f t="shared" ref="V340" si="545">MIN(IF(IF($AA$3=2,AND(E340=1,G340=1,L340=1,L343=1,M340=1,U340="IBU"),AND(E340=1,G340=1,L340=1,L343=1,M340=1)),T340,0),I340)</f>
        <v>0</v>
      </c>
      <c r="W340" s="26"/>
      <c r="X340" s="26"/>
      <c r="Y340" s="26"/>
      <c r="Z340" s="26"/>
      <c r="AA340" s="26"/>
      <c r="AB340" s="33"/>
    </row>
    <row r="341" spans="1:28" x14ac:dyDescent="0.3">
      <c r="A341" s="32">
        <f>VLOOKUP(YEAR(C341),Flags!$A$13:$B$95,2,FALSE)</f>
        <v>1</v>
      </c>
      <c r="B341" s="24">
        <f t="shared" si="535"/>
        <v>1958</v>
      </c>
      <c r="C341" s="25">
        <v>21397</v>
      </c>
      <c r="D341" s="26">
        <f>VLOOKUP($C341,COS!$B$8:$H$991,3,FALSE)</f>
        <v>12357.0048828125</v>
      </c>
      <c r="E341" s="24">
        <f>IF(D341&gt;=IF(MONTH($C341)=4,$C$3,IF(MONTH($C341)=5,$C$4,IF(MONTH($C341)=6,$C$5,IF(MONTH($C341)=7,$C$6,"ERROR")))),1,0)</f>
        <v>1</v>
      </c>
      <c r="F341" s="26">
        <f>VLOOKUP($C341,COS!$B$8:$H$991,7,FALSE)</f>
        <v>52.224693298339844</v>
      </c>
      <c r="G341" s="24">
        <f>IF(F341&lt;=IF(MONTH($C341)=4,$F$3,IF(MONTH($C341)=5,$F$4,IF(MONTH($C341)=6,$F$5,IF(MONTH($C341)=7,$F$6,"ERROR")))),1,0)</f>
        <v>1</v>
      </c>
      <c r="H341" s="26">
        <f>IF(J341=1,D341-$C$6,0)</f>
        <v>357.0048828125</v>
      </c>
      <c r="I341" s="26">
        <f t="shared" si="450"/>
        <v>21.951374612603306</v>
      </c>
      <c r="J341" s="24">
        <f t="shared" si="536"/>
        <v>1</v>
      </c>
      <c r="K341" s="26">
        <f>VLOOKUP($C341,COS!$B$8:$H$991,2,FALSE)</f>
        <v>4105.73681640625</v>
      </c>
      <c r="L341" s="24">
        <f t="shared" si="537"/>
        <v>1</v>
      </c>
      <c r="M341" s="24">
        <f t="shared" si="538"/>
        <v>0</v>
      </c>
      <c r="N341" s="26">
        <f>VLOOKUP($C341,COS!$B$8:$H$991,5,FALSE)</f>
        <v>1329.9095458984375</v>
      </c>
      <c r="O341" s="26">
        <f t="shared" si="539"/>
        <v>81.772950590779956</v>
      </c>
      <c r="P341" s="26">
        <f>VLOOKUP($C341,COS!$B$8:$H$991,6,FALSE)</f>
        <v>2552.21142578125</v>
      </c>
      <c r="Q341" s="26">
        <f t="shared" si="540"/>
        <v>156.92936370092974</v>
      </c>
      <c r="R341" s="26">
        <f>MIN(IF(MONTH($C341)=4,$S$3,IF(MONTH($C341)=5,$S$4,IF(MONTH($C341)=6,$S$5,IF(MONTH($C341)=7,$S$6,"ERROR")))),MAX(VLOOKUP($C341,COS!$B$8:$K$991,10,FALSE)-IF(MONTH($C341)=4,$Y$3,IF(MONTH($C341)=5,$Y$4,IF(MONTH($C341)=6,$Y$5,IF(MONTH($C341)=7,$Y$6,"ERROR")))),0),MAX(VLOOKUP($C341,COS!$B$8:$K$991,9,FALSE)-IF(MONTH($C341)=4,$V$3,IF(MONTH($C341)=5,$V$4,IF(MONTH($C341)=6,$V$5,IF(MONTH($C341)=7,$V$6,"ERROR"))))-VLOOKUP($C341,COS!$B$8:$K$991,6,FALSE)/2,0))</f>
        <v>1500</v>
      </c>
      <c r="S341" s="26">
        <f t="shared" si="541"/>
        <v>92.231404958677686</v>
      </c>
      <c r="T341" s="26">
        <f t="shared" si="542"/>
        <v>211.58256210453254</v>
      </c>
      <c r="U341" s="26" t="str">
        <f>IF(VLOOKUP($C341,COS!$B$8:$I$991,8,FALSE)=1,"UWFE","IBU")</f>
        <v>IBU</v>
      </c>
      <c r="V341" s="26">
        <f t="shared" ref="V341" si="546">MIN(IF(IF($AA$3=2,AND(E341=1,G341=1,L341=1,L343=1,M341=1,U341="IBU"),AND(E341=1,G341=1,L341=1,L343=1,M341=1)),T341,0),I341)</f>
        <v>0</v>
      </c>
      <c r="W341" s="26"/>
      <c r="X341" s="26"/>
      <c r="Y341" s="26"/>
      <c r="Z341" s="26"/>
      <c r="AA341" s="26"/>
      <c r="AB341" s="33"/>
    </row>
    <row r="342" spans="1:28" x14ac:dyDescent="0.3">
      <c r="A342" s="32">
        <f>VLOOKUP(YEAR(C342),Flags!$A$13:$B$95,2,FALSE)</f>
        <v>1</v>
      </c>
      <c r="B342" s="24">
        <f t="shared" si="535"/>
        <v>1958</v>
      </c>
      <c r="C342" s="25">
        <v>21428</v>
      </c>
      <c r="D342" s="26"/>
      <c r="E342" s="24"/>
      <c r="F342" s="26"/>
      <c r="G342" s="24"/>
      <c r="H342" s="24"/>
      <c r="I342" s="26"/>
      <c r="J342" s="24"/>
      <c r="K342" s="26"/>
      <c r="L342" s="24"/>
      <c r="M342" s="24"/>
      <c r="N342" s="26"/>
      <c r="O342" s="26"/>
      <c r="P342" s="26"/>
      <c r="Q342" s="26"/>
      <c r="R342" s="26"/>
      <c r="S342" s="26"/>
      <c r="T342" s="26"/>
      <c r="U342" s="26"/>
      <c r="V342" s="26"/>
      <c r="W342" s="26">
        <f>MAX($C$7-VLOOKUP($C342,COS!$B$8:$H$991,3,FALSE),0)</f>
        <v>87940.8720703125</v>
      </c>
      <c r="X342" s="26">
        <f t="shared" si="448"/>
        <v>5407.2734562241731</v>
      </c>
      <c r="Y342" s="26">
        <f>VLOOKUP($C342,COS!$B$8:$H$991,4,FALSE)</f>
        <v>0</v>
      </c>
      <c r="Z342" s="26">
        <f t="shared" si="449"/>
        <v>0</v>
      </c>
      <c r="AA342" s="26">
        <f t="shared" ref="AA342:AA346" si="547">MIN(W342,Y342)</f>
        <v>0</v>
      </c>
      <c r="AB342" s="33">
        <f t="shared" ref="AB342:AB400" si="548">AA342*DAY($C342)*86400/43560/1000*IF(MONTH($C342)=8,$P$3,IF(MONTH($C342)=9,$P$4,IF(MONTH($C342)=10,$P$5,IF(MONTH($C342)=11,$P$6,IF(MONTH($C342)=12,$P$7,NA())))))</f>
        <v>0</v>
      </c>
    </row>
    <row r="343" spans="1:28" x14ac:dyDescent="0.3">
      <c r="A343" s="32">
        <f>VLOOKUP(YEAR(C343),Flags!$A$13:$B$95,2,FALSE)</f>
        <v>1</v>
      </c>
      <c r="B343" s="24">
        <f t="shared" si="535"/>
        <v>1958</v>
      </c>
      <c r="C343" s="25">
        <v>21458</v>
      </c>
      <c r="D343" s="26"/>
      <c r="E343" s="24"/>
      <c r="F343" s="26"/>
      <c r="G343" s="24"/>
      <c r="H343" s="24"/>
      <c r="I343" s="26"/>
      <c r="J343" s="24"/>
      <c r="K343" s="26">
        <f>VLOOKUP($C343,COS!$B$8:$H$991,2,FALSE)</f>
        <v>3174.58203125</v>
      </c>
      <c r="L343" s="24">
        <f t="shared" ref="L343" si="549">IF(AND(K343&gt;$I$7,K343&lt;$I$8),1,0)</f>
        <v>1</v>
      </c>
      <c r="M343" s="24"/>
      <c r="N343" s="26"/>
      <c r="O343" s="26"/>
      <c r="P343" s="26"/>
      <c r="Q343" s="26"/>
      <c r="R343" s="26"/>
      <c r="S343" s="26"/>
      <c r="T343" s="26"/>
      <c r="U343" s="26"/>
      <c r="V343" s="26"/>
      <c r="W343" s="26">
        <f>MAX($C$8-VLOOKUP($C343,COS!$B$8:$H$991,3,FALSE),0)</f>
        <v>84527.9521484375</v>
      </c>
      <c r="X343" s="26">
        <f t="shared" si="448"/>
        <v>5029.7624418904961</v>
      </c>
      <c r="Y343" s="26">
        <f>VLOOKUP($C343,COS!$B$8:$H$991,4,FALSE)</f>
        <v>0</v>
      </c>
      <c r="Z343" s="26">
        <f t="shared" si="449"/>
        <v>0</v>
      </c>
      <c r="AA343" s="26">
        <f t="shared" si="547"/>
        <v>0</v>
      </c>
      <c r="AB343" s="33">
        <f t="shared" si="548"/>
        <v>0</v>
      </c>
    </row>
    <row r="344" spans="1:28" x14ac:dyDescent="0.3">
      <c r="A344" s="32">
        <f>VLOOKUP(YEAR(C344),Flags!$A$13:$B$95,2,FALSE)</f>
        <v>1</v>
      </c>
      <c r="B344" s="24">
        <f t="shared" si="535"/>
        <v>1958</v>
      </c>
      <c r="C344" s="25">
        <v>21489</v>
      </c>
      <c r="D344" s="26"/>
      <c r="E344" s="24"/>
      <c r="F344" s="26"/>
      <c r="G344" s="26"/>
      <c r="H344" s="26"/>
      <c r="I344" s="26"/>
      <c r="J344" s="26"/>
      <c r="K344" s="26"/>
      <c r="L344" s="24"/>
      <c r="M344" s="24"/>
      <c r="N344" s="26"/>
      <c r="O344" s="26"/>
      <c r="P344" s="26"/>
      <c r="Q344" s="26"/>
      <c r="R344" s="26"/>
      <c r="S344" s="26"/>
      <c r="T344" s="26"/>
      <c r="U344" s="26"/>
      <c r="V344" s="26"/>
      <c r="W344" s="26">
        <f>MAX($C$9-VLOOKUP($C344,COS!$B$8:$H$991,3,FALSE),0)</f>
        <v>92967.86865234375</v>
      </c>
      <c r="X344" s="26">
        <f t="shared" si="448"/>
        <v>5716.3714278796488</v>
      </c>
      <c r="Y344" s="26">
        <f>VLOOKUP($C344,COS!$B$8:$H$991,4,FALSE)</f>
        <v>50.698928833007813</v>
      </c>
      <c r="Z344" s="26">
        <f t="shared" si="449"/>
        <v>3.117355624112216</v>
      </c>
      <c r="AA344" s="26">
        <f t="shared" si="547"/>
        <v>50.698928833007813</v>
      </c>
      <c r="AB344" s="33">
        <f t="shared" si="548"/>
        <v>3.117355624112216</v>
      </c>
    </row>
    <row r="345" spans="1:28" x14ac:dyDescent="0.3">
      <c r="A345" s="32">
        <f>VLOOKUP(YEAR(C345),Flags!$A$13:$B$95,2,FALSE)</f>
        <v>1</v>
      </c>
      <c r="B345" s="24">
        <f t="shared" si="535"/>
        <v>1958</v>
      </c>
      <c r="C345" s="25">
        <v>21519</v>
      </c>
      <c r="D345" s="26"/>
      <c r="E345" s="24"/>
      <c r="F345" s="26"/>
      <c r="G345" s="26"/>
      <c r="H345" s="26"/>
      <c r="I345" s="26"/>
      <c r="J345" s="26"/>
      <c r="K345" s="26"/>
      <c r="L345" s="24"/>
      <c r="M345" s="24"/>
      <c r="N345" s="26"/>
      <c r="O345" s="26"/>
      <c r="P345" s="26"/>
      <c r="Q345" s="26"/>
      <c r="R345" s="26"/>
      <c r="S345" s="26"/>
      <c r="T345" s="26"/>
      <c r="U345" s="26"/>
      <c r="V345" s="26"/>
      <c r="W345" s="26">
        <f>MAX($C$10-VLOOKUP($C345,COS!$B$8:$H$991,3,FALSE),0)</f>
        <v>88886.1259765625</v>
      </c>
      <c r="X345" s="26">
        <f t="shared" si="448"/>
        <v>5289.091793646694</v>
      </c>
      <c r="Y345" s="26">
        <f>VLOOKUP($C345,COS!$B$8:$H$991,4,FALSE)</f>
        <v>1516.7578125</v>
      </c>
      <c r="Z345" s="26">
        <f t="shared" si="449"/>
        <v>90.253357438016522</v>
      </c>
      <c r="AA345" s="26">
        <f t="shared" si="547"/>
        <v>1516.7578125</v>
      </c>
      <c r="AB345" s="33">
        <f t="shared" si="548"/>
        <v>45.126678719008261</v>
      </c>
    </row>
    <row r="346" spans="1:28" x14ac:dyDescent="0.3">
      <c r="A346" s="34">
        <f>VLOOKUP(YEAR(C346),Flags!$A$13:$B$95,2,FALSE)</f>
        <v>1</v>
      </c>
      <c r="B346" s="35">
        <f t="shared" si="535"/>
        <v>1958</v>
      </c>
      <c r="C346" s="36">
        <v>21550</v>
      </c>
      <c r="D346" s="37"/>
      <c r="E346" s="35"/>
      <c r="F346" s="37"/>
      <c r="G346" s="37"/>
      <c r="H346" s="37"/>
      <c r="I346" s="37"/>
      <c r="J346" s="37"/>
      <c r="K346" s="37"/>
      <c r="L346" s="35"/>
      <c r="M346" s="35"/>
      <c r="N346" s="37"/>
      <c r="O346" s="37"/>
      <c r="P346" s="37"/>
      <c r="Q346" s="37"/>
      <c r="R346" s="37"/>
      <c r="S346" s="37"/>
      <c r="T346" s="37"/>
      <c r="U346" s="37"/>
      <c r="V346" s="37"/>
      <c r="W346" s="37">
        <f>MAX($C$11-VLOOKUP($C346,COS!$B$8:$H$991,3,FALSE),0)</f>
        <v>0</v>
      </c>
      <c r="X346" s="37">
        <f t="shared" si="448"/>
        <v>0</v>
      </c>
      <c r="Y346" s="37">
        <f>VLOOKUP($C346,COS!$B$8:$H$991,4,FALSE)</f>
        <v>0</v>
      </c>
      <c r="Z346" s="37">
        <f t="shared" si="449"/>
        <v>0</v>
      </c>
      <c r="AA346" s="37">
        <f t="shared" si="547"/>
        <v>0</v>
      </c>
      <c r="AB346" s="38">
        <f t="shared" si="548"/>
        <v>0</v>
      </c>
    </row>
    <row r="347" spans="1:28" x14ac:dyDescent="0.3">
      <c r="A347" s="27">
        <f>VLOOKUP(YEAR(C347),Flags!$A$13:$B$95,2,FALSE)</f>
        <v>3</v>
      </c>
      <c r="B347" s="28">
        <f t="shared" si="535"/>
        <v>1959</v>
      </c>
      <c r="C347" s="29">
        <v>21670</v>
      </c>
      <c r="D347" s="30">
        <f>VLOOKUP($C347,COS!$B$8:$H$991,3,FALSE)</f>
        <v>4176.9140625</v>
      </c>
      <c r="E347" s="28">
        <f>IF(D347&gt;=IF(MONTH($C347)=4,$C$3,IF(MONTH($C347)=5,$C$4,IF(MONTH($C347)=6,$C$5,IF(MONTH($C347)=7,$C$6,"ERROR")))),1,0)</f>
        <v>0</v>
      </c>
      <c r="F347" s="30">
        <f>VLOOKUP($C347,COS!$B$8:$H$991,7,FALSE)</f>
        <v>52.521034240722656</v>
      </c>
      <c r="G347" s="28">
        <f>IF(F347&lt;=IF(MONTH($C347)=4,$F$3,IF(MONTH($C347)=5,$F$4,IF(MONTH($C347)=6,$F$5,IF(MONTH($C347)=7,$F$6,"ERROR")))),1,0)</f>
        <v>1</v>
      </c>
      <c r="H347" s="30">
        <f>IF(J347=1,D347-$C$3,0)</f>
        <v>0</v>
      </c>
      <c r="I347" s="30">
        <f t="shared" si="450"/>
        <v>0</v>
      </c>
      <c r="J347" s="28">
        <f t="shared" ref="J347:J350" si="550">IF(AND(E347=1,G347=1),1,0)</f>
        <v>0</v>
      </c>
      <c r="K347" s="30">
        <f>VLOOKUP($C347,COS!$B$8:$H$991,2,FALSE)</f>
        <v>4402.98779296875</v>
      </c>
      <c r="L347" s="28">
        <f t="shared" ref="L347" si="551">IF(K347&lt;=IF(MONTH($C347)=4,$I$3,IF(MONTH($C347)=5,$I$4,IF(MONTH($C347)=6,$I$5,IF(MONTH($C347)=7,$I$6,"ERROR")))),1,0)</f>
        <v>1</v>
      </c>
      <c r="M347" s="28">
        <f t="shared" ref="M347" si="552">VLOOKUP($A347,$L$3:$M$7,2,FALSE)</f>
        <v>1</v>
      </c>
      <c r="N347" s="30">
        <f>VLOOKUP($C347,COS!$B$8:$H$991,5,FALSE)</f>
        <v>220.10430908203125</v>
      </c>
      <c r="O347" s="30">
        <f t="shared" ref="O347:O350" si="553">N347*DAY($C347)*86400/43560/1000</f>
        <v>13.097115912319216</v>
      </c>
      <c r="P347" s="30">
        <f>VLOOKUP($C347,COS!$B$8:$H$991,6,FALSE)</f>
        <v>554.8544921875</v>
      </c>
      <c r="Q347" s="30">
        <f t="shared" ref="Q347:Q350" si="554">P347*DAY($C347)*86400/43560/1000</f>
        <v>33.01613507231405</v>
      </c>
      <c r="R347" s="30">
        <f>MIN(IF(MONTH($C347)=4,$S$3,IF(MONTH($C347)=5,$S$4,IF(MONTH($C347)=6,$S$5,IF(MONTH($C347)=7,$S$6,"ERROR")))),MAX(VLOOKUP($C347,COS!$B$8:$K$991,10,FALSE)-IF(MONTH($C347)=4,$Y$3,IF(MONTH($C347)=5,$Y$4,IF(MONTH($C347)=6,$Y$5,IF(MONTH($C347)=7,$Y$6,"ERROR")))),0),MAX(VLOOKUP($C347,COS!$B$8:$K$991,9,FALSE)-IF(MONTH($C347)=4,$V$3,IF(MONTH($C347)=5,$V$4,IF(MONTH($C347)=6,$V$5,IF(MONTH($C347)=7,$V$6,"ERROR"))))-VLOOKUP($C347,COS!$B$8:$K$991,6,FALSE)/2,0))</f>
        <v>1474.0966796875</v>
      </c>
      <c r="S347" s="30">
        <f t="shared" ref="S347:S350" si="555">R347*DAY($C347)*86400/43560/1000</f>
        <v>87.71484375</v>
      </c>
      <c r="T347" s="30">
        <f t="shared" ref="T347:T350" si="556">(O347+Q347)/2+S347</f>
        <v>110.77146924231664</v>
      </c>
      <c r="U347" s="30" t="str">
        <f>IF(VLOOKUP($C347,COS!$B$8:$I$991,8,FALSE)=1,"UWFE","IBU")</f>
        <v>UWFE</v>
      </c>
      <c r="V347" s="30">
        <f t="shared" ref="V347" si="557">MIN(IF(IF($AA$3=2,AND(E347=1,G347=1,L347=1,L352=1,M347=1,U347="IBU"),AND(E347=1,G347=1,L347=1,L352=1,M347=1)),T347,0),I347)</f>
        <v>0</v>
      </c>
      <c r="W347" s="30"/>
      <c r="X347" s="30"/>
      <c r="Y347" s="30"/>
      <c r="Z347" s="30"/>
      <c r="AA347" s="30"/>
      <c r="AB347" s="31"/>
    </row>
    <row r="348" spans="1:28" x14ac:dyDescent="0.3">
      <c r="A348" s="32">
        <f>VLOOKUP(YEAR(C348),Flags!$A$13:$B$95,2,FALSE)</f>
        <v>3</v>
      </c>
      <c r="B348" s="24">
        <f t="shared" si="535"/>
        <v>1959</v>
      </c>
      <c r="C348" s="25">
        <v>21701</v>
      </c>
      <c r="D348" s="26">
        <f>VLOOKUP($C348,COS!$B$8:$H$991,3,FALSE)</f>
        <v>8032.080078125</v>
      </c>
      <c r="E348" s="24">
        <f>IF(D348&gt;=IF(MONTH($C348)=4,$C$3,IF(MONTH($C348)=5,$C$4,IF(MONTH($C348)=6,$C$5,IF(MONTH($C348)=7,$C$6,"ERROR")))),1,0)</f>
        <v>1</v>
      </c>
      <c r="F348" s="26">
        <f>VLOOKUP($C348,COS!$B$8:$H$991,7,FALSE)</f>
        <v>51.603923797607422</v>
      </c>
      <c r="G348" s="24">
        <f>IF(F348&lt;=IF(MONTH($C348)=4,$F$3,IF(MONTH($C348)=5,$F$4,IF(MONTH($C348)=6,$F$5,IF(MONTH($C348)=7,$F$6,"ERROR")))),1,0)</f>
        <v>1</v>
      </c>
      <c r="H348" s="26">
        <f>IF(J348=1,D348-$C$4,0)</f>
        <v>2032.080078125</v>
      </c>
      <c r="I348" s="26">
        <f t="shared" ref="I348:I411" si="558">H348*DAY($C348)*86400/43560/1000</f>
        <v>124.94773372933884</v>
      </c>
      <c r="J348" s="24">
        <f t="shared" si="550"/>
        <v>1</v>
      </c>
      <c r="K348" s="26">
        <f>VLOOKUP($C348,COS!$B$8:$H$991,2,FALSE)</f>
        <v>4231.4052734375</v>
      </c>
      <c r="L348" s="24">
        <f t="shared" si="537"/>
        <v>1</v>
      </c>
      <c r="M348" s="24">
        <f t="shared" si="538"/>
        <v>1</v>
      </c>
      <c r="N348" s="26">
        <f>VLOOKUP($C348,COS!$B$8:$H$991,5,FALSE)</f>
        <v>634.8975830078125</v>
      </c>
      <c r="O348" s="26">
        <f t="shared" si="553"/>
        <v>39.03833072378616</v>
      </c>
      <c r="P348" s="26">
        <f>VLOOKUP($C348,COS!$B$8:$H$991,6,FALSE)</f>
        <v>2338.357666015625</v>
      </c>
      <c r="Q348" s="26">
        <f t="shared" si="554"/>
        <v>143.78000855501034</v>
      </c>
      <c r="R348" s="26">
        <f>MIN(IF(MONTH($C348)=4,$S$3,IF(MONTH($C348)=5,$S$4,IF(MONTH($C348)=6,$S$5,IF(MONTH($C348)=7,$S$6,"ERROR")))),MAX(VLOOKUP($C348,COS!$B$8:$K$991,10,FALSE)-IF(MONTH($C348)=4,$Y$3,IF(MONTH($C348)=5,$Y$4,IF(MONTH($C348)=6,$Y$5,IF(MONTH($C348)=7,$Y$6,"ERROR")))),0),MAX(VLOOKUP($C348,COS!$B$8:$K$991,9,FALSE)-IF(MONTH($C348)=4,$V$3,IF(MONTH($C348)=5,$V$4,IF(MONTH($C348)=6,$V$5,IF(MONTH($C348)=7,$V$6,"ERROR"))))-VLOOKUP($C348,COS!$B$8:$K$991,6,FALSE)/2,0))</f>
        <v>1500</v>
      </c>
      <c r="S348" s="26">
        <f t="shared" si="555"/>
        <v>92.231404958677686</v>
      </c>
      <c r="T348" s="26">
        <f t="shared" si="556"/>
        <v>183.64057459807594</v>
      </c>
      <c r="U348" s="26" t="str">
        <f>IF(VLOOKUP($C348,COS!$B$8:$I$991,8,FALSE)=1,"UWFE","IBU")</f>
        <v>UWFE</v>
      </c>
      <c r="V348" s="26">
        <f t="shared" ref="V348" si="559">MIN(IF(IF($AA$3=2,AND(E348=1,G348=1,L348=1,L352=1,M348=1,U348="IBU"),AND(E348=1,G348=1,L348=1,L352=1,M348=1)),T348,0),I348)</f>
        <v>0</v>
      </c>
      <c r="W348" s="26"/>
      <c r="X348" s="26"/>
      <c r="Y348" s="26"/>
      <c r="Z348" s="26"/>
      <c r="AA348" s="26"/>
      <c r="AB348" s="33"/>
    </row>
    <row r="349" spans="1:28" x14ac:dyDescent="0.3">
      <c r="A349" s="32">
        <f>VLOOKUP(YEAR(C349),Flags!$A$13:$B$95,2,FALSE)</f>
        <v>3</v>
      </c>
      <c r="B349" s="24">
        <f t="shared" si="535"/>
        <v>1959</v>
      </c>
      <c r="C349" s="25">
        <v>21731</v>
      </c>
      <c r="D349" s="26">
        <f>VLOOKUP($C349,COS!$B$8:$H$991,3,FALSE)</f>
        <v>12238.9375</v>
      </c>
      <c r="E349" s="24">
        <f>IF(D349&gt;=IF(MONTH($C349)=4,$C$3,IF(MONTH($C349)=5,$C$4,IF(MONTH($C349)=6,$C$5,IF(MONTH($C349)=7,$C$6,"ERROR")))),1,0)</f>
        <v>1</v>
      </c>
      <c r="F349" s="26">
        <f>VLOOKUP($C349,COS!$B$8:$H$991,7,FALSE)</f>
        <v>51.942916870117188</v>
      </c>
      <c r="G349" s="24">
        <f>IF(F349&lt;=IF(MONTH($C349)=4,$F$3,IF(MONTH($C349)=5,$F$4,IF(MONTH($C349)=6,$F$5,IF(MONTH($C349)=7,$F$6,"ERROR")))),1,0)</f>
        <v>1</v>
      </c>
      <c r="H349" s="26">
        <f>IF(J349=1,D349-$C$5,0)</f>
        <v>2238.9375</v>
      </c>
      <c r="I349" s="26">
        <f t="shared" si="558"/>
        <v>133.22603305785125</v>
      </c>
      <c r="J349" s="24">
        <f t="shared" si="550"/>
        <v>1</v>
      </c>
      <c r="K349" s="26">
        <f>VLOOKUP($C349,COS!$B$8:$H$991,2,FALSE)</f>
        <v>3758.05615234375</v>
      </c>
      <c r="L349" s="24">
        <f t="shared" si="537"/>
        <v>1</v>
      </c>
      <c r="M349" s="24">
        <f t="shared" si="538"/>
        <v>1</v>
      </c>
      <c r="N349" s="26">
        <f>VLOOKUP($C349,COS!$B$8:$H$991,5,FALSE)</f>
        <v>756.1251220703125</v>
      </c>
      <c r="O349" s="26">
        <f t="shared" si="553"/>
        <v>44.992569247159089</v>
      </c>
      <c r="P349" s="26">
        <f>VLOOKUP($C349,COS!$B$8:$H$991,6,FALSE)</f>
        <v>2677.335693359375</v>
      </c>
      <c r="Q349" s="26">
        <f t="shared" si="554"/>
        <v>159.31253712551654</v>
      </c>
      <c r="R349" s="26">
        <f>MIN(IF(MONTH($C349)=4,$S$3,IF(MONTH($C349)=5,$S$4,IF(MONTH($C349)=6,$S$5,IF(MONTH($C349)=7,$S$6,"ERROR")))),MAX(VLOOKUP($C349,COS!$B$8:$K$991,10,FALSE)-IF(MONTH($C349)=4,$Y$3,IF(MONTH($C349)=5,$Y$4,IF(MONTH($C349)=6,$Y$5,IF(MONTH($C349)=7,$Y$6,"ERROR")))),0),MAX(VLOOKUP($C349,COS!$B$8:$K$991,9,FALSE)-IF(MONTH($C349)=4,$V$3,IF(MONTH($C349)=5,$V$4,IF(MONTH($C349)=6,$V$5,IF(MONTH($C349)=7,$V$6,"ERROR"))))-VLOOKUP($C349,COS!$B$8:$K$991,6,FALSE)/2,0))</f>
        <v>1500</v>
      </c>
      <c r="S349" s="26">
        <f t="shared" si="555"/>
        <v>89.256198347107429</v>
      </c>
      <c r="T349" s="26">
        <f t="shared" si="556"/>
        <v>191.40875153344524</v>
      </c>
      <c r="U349" s="26" t="str">
        <f>IF(VLOOKUP($C349,COS!$B$8:$I$991,8,FALSE)=1,"UWFE","IBU")</f>
        <v>IBU</v>
      </c>
      <c r="V349" s="26">
        <f t="shared" ref="V349" si="560">MIN(IF(IF($AA$3=2,AND(E349=1,G349=1,L349=1,L352=1,M349=1,U349="IBU"),AND(E349=1,G349=1,L349=1,L352=1,M349=1)),T349,0),I349)</f>
        <v>133.22603305785125</v>
      </c>
      <c r="W349" s="26"/>
      <c r="X349" s="26"/>
      <c r="Y349" s="26"/>
      <c r="Z349" s="26"/>
      <c r="AA349" s="26"/>
      <c r="AB349" s="33"/>
    </row>
    <row r="350" spans="1:28" x14ac:dyDescent="0.3">
      <c r="A350" s="32">
        <f>VLOOKUP(YEAR(C350),Flags!$A$13:$B$95,2,FALSE)</f>
        <v>3</v>
      </c>
      <c r="B350" s="24">
        <f t="shared" si="535"/>
        <v>1959</v>
      </c>
      <c r="C350" s="25">
        <v>21762</v>
      </c>
      <c r="D350" s="26">
        <f>VLOOKUP($C350,COS!$B$8:$H$991,3,FALSE)</f>
        <v>16000</v>
      </c>
      <c r="E350" s="24">
        <f>IF(D350&gt;=IF(MONTH($C350)=4,$C$3,IF(MONTH($C350)=5,$C$4,IF(MONTH($C350)=6,$C$5,IF(MONTH($C350)=7,$C$6,"ERROR")))),1,0)</f>
        <v>1</v>
      </c>
      <c r="F350" s="26">
        <f>VLOOKUP($C350,COS!$B$8:$H$991,7,FALSE)</f>
        <v>52.936290740966797</v>
      </c>
      <c r="G350" s="24">
        <f>IF(F350&lt;=IF(MONTH($C350)=4,$F$3,IF(MONTH($C350)=5,$F$4,IF(MONTH($C350)=6,$F$5,IF(MONTH($C350)=7,$F$6,"ERROR")))),1,0)</f>
        <v>1</v>
      </c>
      <c r="H350" s="26">
        <f>IF(J350=1,D350-$C$6,0)</f>
        <v>4000</v>
      </c>
      <c r="I350" s="26">
        <f t="shared" si="558"/>
        <v>245.95041322314049</v>
      </c>
      <c r="J350" s="24">
        <f t="shared" si="550"/>
        <v>1</v>
      </c>
      <c r="K350" s="26">
        <f>VLOOKUP($C350,COS!$B$8:$H$991,2,FALSE)</f>
        <v>3122.560546875</v>
      </c>
      <c r="L350" s="24">
        <f t="shared" si="537"/>
        <v>1</v>
      </c>
      <c r="M350" s="24">
        <f t="shared" si="538"/>
        <v>1</v>
      </c>
      <c r="N350" s="26">
        <f>VLOOKUP($C350,COS!$B$8:$H$991,5,FALSE)</f>
        <v>824.85052490234375</v>
      </c>
      <c r="O350" s="26">
        <f t="shared" si="553"/>
        <v>50.718081861763942</v>
      </c>
      <c r="P350" s="26">
        <f>VLOOKUP($C350,COS!$B$8:$H$991,6,FALSE)</f>
        <v>2537.385498046875</v>
      </c>
      <c r="Q350" s="26">
        <f t="shared" si="554"/>
        <v>156.01775293775825</v>
      </c>
      <c r="R350" s="26">
        <f>MIN(IF(MONTH($C350)=4,$S$3,IF(MONTH($C350)=5,$S$4,IF(MONTH($C350)=6,$S$5,IF(MONTH($C350)=7,$S$6,"ERROR")))),MAX(VLOOKUP($C350,COS!$B$8:$K$991,10,FALSE)-IF(MONTH($C350)=4,$Y$3,IF(MONTH($C350)=5,$Y$4,IF(MONTH($C350)=6,$Y$5,IF(MONTH($C350)=7,$Y$6,"ERROR")))),0),MAX(VLOOKUP($C350,COS!$B$8:$K$991,9,FALSE)-IF(MONTH($C350)=4,$V$3,IF(MONTH($C350)=5,$V$4,IF(MONTH($C350)=6,$V$5,IF(MONTH($C350)=7,$V$6,"ERROR"))))-VLOOKUP($C350,COS!$B$8:$K$991,6,FALSE)/2,0))</f>
        <v>1500</v>
      </c>
      <c r="S350" s="26">
        <f t="shared" si="555"/>
        <v>92.231404958677686</v>
      </c>
      <c r="T350" s="26">
        <f t="shared" si="556"/>
        <v>195.59932235843877</v>
      </c>
      <c r="U350" s="26" t="str">
        <f>IF(VLOOKUP($C350,COS!$B$8:$I$991,8,FALSE)=1,"UWFE","IBU")</f>
        <v>IBU</v>
      </c>
      <c r="V350" s="26">
        <f t="shared" ref="V350" si="561">MIN(IF(IF($AA$3=2,AND(E350=1,G350=1,L350=1,L352=1,M350=1,U350="IBU"),AND(E350=1,G350=1,L350=1,L352=1,M350=1)),T350,0),I350)</f>
        <v>195.59932235843877</v>
      </c>
      <c r="W350" s="26"/>
      <c r="X350" s="26"/>
      <c r="Y350" s="26"/>
      <c r="Z350" s="26"/>
      <c r="AA350" s="26"/>
      <c r="AB350" s="33"/>
    </row>
    <row r="351" spans="1:28" x14ac:dyDescent="0.3">
      <c r="A351" s="32">
        <f>VLOOKUP(YEAR(C351),Flags!$A$13:$B$95,2,FALSE)</f>
        <v>3</v>
      </c>
      <c r="B351" s="24">
        <f t="shared" si="535"/>
        <v>1959</v>
      </c>
      <c r="C351" s="25">
        <v>21793</v>
      </c>
      <c r="D351" s="26"/>
      <c r="E351" s="24"/>
      <c r="F351" s="26"/>
      <c r="G351" s="24"/>
      <c r="H351" s="24"/>
      <c r="I351" s="26"/>
      <c r="J351" s="24"/>
      <c r="K351" s="26"/>
      <c r="L351" s="24"/>
      <c r="M351" s="24"/>
      <c r="N351" s="26"/>
      <c r="O351" s="26"/>
      <c r="P351" s="26"/>
      <c r="Q351" s="26"/>
      <c r="R351" s="26"/>
      <c r="S351" s="26"/>
      <c r="T351" s="26"/>
      <c r="U351" s="26"/>
      <c r="V351" s="26"/>
      <c r="W351" s="26">
        <f>MAX($C$7-VLOOKUP($C351,COS!$B$8:$H$991,3,FALSE),0)</f>
        <v>87769.9443359375</v>
      </c>
      <c r="X351" s="26">
        <f t="shared" ref="X351:X414" si="562">W351*DAY($C351)*86400/43560/1000</f>
        <v>5396.7635194989671</v>
      </c>
      <c r="Y351" s="26">
        <f>VLOOKUP($C351,COS!$B$8:$H$991,4,FALSE)</f>
        <v>580.99884033203125</v>
      </c>
      <c r="Z351" s="26">
        <f t="shared" ref="Z351:Z414" si="563">Y351*DAY($C351)*86400/43560/1000</f>
        <v>35.724226215457129</v>
      </c>
      <c r="AA351" s="26">
        <f t="shared" ref="AA351:AA355" si="564">MIN(W351,Y351)</f>
        <v>580.99884033203125</v>
      </c>
      <c r="AB351" s="33">
        <f t="shared" ref="AB351" si="565">AA351*DAY($C351)*86400/43560/1000*IF(MONTH($C351)=8,$P$3,IF(MONTH($C351)=9,$P$4,IF(MONTH($C351)=10,$P$5,IF(MONTH($C351)=11,$P$6,IF(MONTH($C351)=12,$P$7,NA())))))</f>
        <v>35.724226215457129</v>
      </c>
    </row>
    <row r="352" spans="1:28" x14ac:dyDescent="0.3">
      <c r="A352" s="32">
        <f>VLOOKUP(YEAR(C352),Flags!$A$13:$B$95,2,FALSE)</f>
        <v>3</v>
      </c>
      <c r="B352" s="24">
        <f t="shared" si="535"/>
        <v>1959</v>
      </c>
      <c r="C352" s="25">
        <v>21823</v>
      </c>
      <c r="D352" s="26"/>
      <c r="E352" s="24"/>
      <c r="F352" s="26"/>
      <c r="G352" s="24"/>
      <c r="H352" s="24"/>
      <c r="I352" s="26"/>
      <c r="J352" s="24"/>
      <c r="K352" s="26">
        <f>VLOOKUP($C352,COS!$B$8:$H$991,2,FALSE)</f>
        <v>2777.299560546875</v>
      </c>
      <c r="L352" s="24">
        <f t="shared" ref="L352" si="566">IF(AND(K352&gt;$I$7,K352&lt;$I$8),1,0)</f>
        <v>1</v>
      </c>
      <c r="M352" s="24"/>
      <c r="N352" s="26"/>
      <c r="O352" s="26"/>
      <c r="P352" s="26"/>
      <c r="Q352" s="26"/>
      <c r="R352" s="26"/>
      <c r="S352" s="26"/>
      <c r="T352" s="26"/>
      <c r="U352" s="26"/>
      <c r="V352" s="26"/>
      <c r="W352" s="26">
        <f>MAX($C$8-VLOOKUP($C352,COS!$B$8:$H$991,3,FALSE),0)</f>
        <v>94751.353515625</v>
      </c>
      <c r="X352" s="26">
        <f t="shared" si="562"/>
        <v>5638.0970686983474</v>
      </c>
      <c r="Y352" s="26">
        <f>VLOOKUP($C352,COS!$B$8:$H$991,4,FALSE)</f>
        <v>162.466064453125</v>
      </c>
      <c r="Z352" s="26">
        <f t="shared" si="563"/>
        <v>9.66740218233471</v>
      </c>
      <c r="AA352" s="26">
        <f t="shared" si="564"/>
        <v>162.466064453125</v>
      </c>
      <c r="AB352" s="33">
        <f t="shared" si="548"/>
        <v>9.66740218233471</v>
      </c>
    </row>
    <row r="353" spans="1:28" x14ac:dyDescent="0.3">
      <c r="A353" s="32">
        <f>VLOOKUP(YEAR(C353),Flags!$A$13:$B$95,2,FALSE)</f>
        <v>3</v>
      </c>
      <c r="B353" s="24">
        <f t="shared" si="535"/>
        <v>1959</v>
      </c>
      <c r="C353" s="25">
        <v>21854</v>
      </c>
      <c r="D353" s="26"/>
      <c r="E353" s="24"/>
      <c r="F353" s="26"/>
      <c r="G353" s="26"/>
      <c r="H353" s="26"/>
      <c r="I353" s="26"/>
      <c r="J353" s="26"/>
      <c r="K353" s="26"/>
      <c r="L353" s="24"/>
      <c r="M353" s="24"/>
      <c r="N353" s="26"/>
      <c r="O353" s="26"/>
      <c r="P353" s="26"/>
      <c r="Q353" s="26"/>
      <c r="R353" s="26"/>
      <c r="S353" s="26"/>
      <c r="T353" s="26"/>
      <c r="U353" s="26"/>
      <c r="V353" s="26"/>
      <c r="W353" s="26">
        <f>MAX($C$9-VLOOKUP($C353,COS!$B$8:$H$991,3,FALSE),0)</f>
        <v>93413.3603515625</v>
      </c>
      <c r="X353" s="26">
        <f t="shared" si="562"/>
        <v>5743.7636447572313</v>
      </c>
      <c r="Y353" s="26">
        <f>VLOOKUP($C353,COS!$B$8:$H$991,4,FALSE)</f>
        <v>1540.0111083984375</v>
      </c>
      <c r="Z353" s="26">
        <f t="shared" si="563"/>
        <v>94.691592119705575</v>
      </c>
      <c r="AA353" s="26">
        <f t="shared" si="564"/>
        <v>1540.0111083984375</v>
      </c>
      <c r="AB353" s="33">
        <f t="shared" si="548"/>
        <v>94.691592119705575</v>
      </c>
    </row>
    <row r="354" spans="1:28" x14ac:dyDescent="0.3">
      <c r="A354" s="32">
        <f>VLOOKUP(YEAR(C354),Flags!$A$13:$B$95,2,FALSE)</f>
        <v>3</v>
      </c>
      <c r="B354" s="24">
        <f t="shared" si="535"/>
        <v>1959</v>
      </c>
      <c r="C354" s="25">
        <v>21884</v>
      </c>
      <c r="D354" s="26"/>
      <c r="E354" s="24"/>
      <c r="F354" s="26"/>
      <c r="G354" s="26"/>
      <c r="H354" s="26"/>
      <c r="I354" s="26"/>
      <c r="J354" s="26"/>
      <c r="K354" s="26"/>
      <c r="L354" s="24"/>
      <c r="M354" s="24"/>
      <c r="N354" s="26"/>
      <c r="O354" s="26"/>
      <c r="P354" s="26"/>
      <c r="Q354" s="26"/>
      <c r="R354" s="26"/>
      <c r="S354" s="26"/>
      <c r="T354" s="26"/>
      <c r="U354" s="26"/>
      <c r="V354" s="26"/>
      <c r="W354" s="26">
        <f>MAX($C$10-VLOOKUP($C354,COS!$B$8:$H$991,3,FALSE),0)</f>
        <v>92727.755859375</v>
      </c>
      <c r="X354" s="26">
        <f t="shared" si="562"/>
        <v>5517.6846461776859</v>
      </c>
      <c r="Y354" s="26">
        <f>VLOOKUP($C354,COS!$B$8:$H$991,4,FALSE)</f>
        <v>1347.0540771484375</v>
      </c>
      <c r="Z354" s="26">
        <f t="shared" si="563"/>
        <v>80.155283929493805</v>
      </c>
      <c r="AA354" s="26">
        <f t="shared" si="564"/>
        <v>1347.0540771484375</v>
      </c>
      <c r="AB354" s="33">
        <f t="shared" si="548"/>
        <v>40.077641964746903</v>
      </c>
    </row>
    <row r="355" spans="1:28" x14ac:dyDescent="0.3">
      <c r="A355" s="34">
        <f>VLOOKUP(YEAR(C355),Flags!$A$13:$B$95,2,FALSE)</f>
        <v>3</v>
      </c>
      <c r="B355" s="35">
        <f t="shared" si="535"/>
        <v>1959</v>
      </c>
      <c r="C355" s="36">
        <v>21915</v>
      </c>
      <c r="D355" s="37"/>
      <c r="E355" s="35"/>
      <c r="F355" s="37"/>
      <c r="G355" s="37"/>
      <c r="H355" s="37"/>
      <c r="I355" s="37"/>
      <c r="J355" s="37"/>
      <c r="K355" s="37"/>
      <c r="L355" s="35"/>
      <c r="M355" s="35"/>
      <c r="N355" s="37"/>
      <c r="O355" s="37"/>
      <c r="P355" s="37"/>
      <c r="Q355" s="37"/>
      <c r="R355" s="37"/>
      <c r="S355" s="37"/>
      <c r="T355" s="37"/>
      <c r="U355" s="37"/>
      <c r="V355" s="37"/>
      <c r="W355" s="37">
        <f>MAX($C$11-VLOOKUP($C355,COS!$B$8:$H$991,3,FALSE),0)</f>
        <v>0</v>
      </c>
      <c r="X355" s="37">
        <f t="shared" si="562"/>
        <v>0</v>
      </c>
      <c r="Y355" s="37">
        <f>VLOOKUP($C355,COS!$B$8:$H$991,4,FALSE)</f>
        <v>2025.1993408203125</v>
      </c>
      <c r="Z355" s="37">
        <f t="shared" si="563"/>
        <v>124.52465368349691</v>
      </c>
      <c r="AA355" s="37">
        <f t="shared" si="564"/>
        <v>0</v>
      </c>
      <c r="AB355" s="38">
        <f t="shared" si="548"/>
        <v>0</v>
      </c>
    </row>
    <row r="356" spans="1:28" x14ac:dyDescent="0.3">
      <c r="A356" s="27">
        <f>VLOOKUP(YEAR(C356),Flags!$A$13:$B$95,2,FALSE)</f>
        <v>4</v>
      </c>
      <c r="B356" s="28">
        <f t="shared" si="535"/>
        <v>1960</v>
      </c>
      <c r="C356" s="29">
        <v>22036</v>
      </c>
      <c r="D356" s="30">
        <f>VLOOKUP($C356,COS!$B$8:$H$991,3,FALSE)</f>
        <v>7127.0625</v>
      </c>
      <c r="E356" s="28">
        <f>IF(D356&gt;=IF(MONTH($C356)=4,$C$3,IF(MONTH($C356)=5,$C$4,IF(MONTH($C356)=6,$C$5,IF(MONTH($C356)=7,$C$6,"ERROR")))),1,0)</f>
        <v>1</v>
      </c>
      <c r="F356" s="30">
        <f>VLOOKUP($C356,COS!$B$8:$H$991,7,FALSE)</f>
        <v>49.91119384765625</v>
      </c>
      <c r="G356" s="28">
        <f>IF(F356&lt;=IF(MONTH($C356)=4,$F$3,IF(MONTH($C356)=5,$F$4,IF(MONTH($C356)=6,$F$5,IF(MONTH($C356)=7,$F$6,"ERROR")))),1,0)</f>
        <v>1</v>
      </c>
      <c r="H356" s="30">
        <f>IF(J356=1,D356-$C$3,0)</f>
        <v>1127.0625</v>
      </c>
      <c r="I356" s="30">
        <f t="shared" si="558"/>
        <v>67.064876033057857</v>
      </c>
      <c r="J356" s="28">
        <f t="shared" ref="J356:J359" si="567">IF(AND(E356=1,G356=1),1,0)</f>
        <v>1</v>
      </c>
      <c r="K356" s="30">
        <f>VLOOKUP($C356,COS!$B$8:$H$991,2,FALSE)</f>
        <v>4172.98876953125</v>
      </c>
      <c r="L356" s="28">
        <f t="shared" ref="L356" si="568">IF(K356&lt;=IF(MONTH($C356)=4,$I$3,IF(MONTH($C356)=5,$I$4,IF(MONTH($C356)=6,$I$5,IF(MONTH($C356)=7,$I$6,"ERROR")))),1,0)</f>
        <v>1</v>
      </c>
      <c r="M356" s="28">
        <f t="shared" ref="M356" si="569">VLOOKUP($A356,$L$3:$M$7,2,FALSE)</f>
        <v>1</v>
      </c>
      <c r="N356" s="30">
        <f>VLOOKUP($C356,COS!$B$8:$H$991,5,FALSE)</f>
        <v>16.487361907958984</v>
      </c>
      <c r="O356" s="30">
        <f t="shared" ref="O356:O359" si="570">N356*DAY($C356)*86400/43560/1000</f>
        <v>0.98106616311822048</v>
      </c>
      <c r="P356" s="30">
        <f>VLOOKUP($C356,COS!$B$8:$H$991,6,FALSE)</f>
        <v>466.45590209960938</v>
      </c>
      <c r="Q356" s="30">
        <f t="shared" ref="Q356:Q359" si="571">P356*DAY($C356)*86400/43560/1000</f>
        <v>27.756053678654443</v>
      </c>
      <c r="R356" s="30">
        <f>MIN(IF(MONTH($C356)=4,$S$3,IF(MONTH($C356)=5,$S$4,IF(MONTH($C356)=6,$S$5,IF(MONTH($C356)=7,$S$6,"ERROR")))),MAX(VLOOKUP($C356,COS!$B$8:$K$991,10,FALSE)-IF(MONTH($C356)=4,$Y$3,IF(MONTH($C356)=5,$Y$4,IF(MONTH($C356)=6,$Y$5,IF(MONTH($C356)=7,$Y$6,"ERROR")))),0),MAX(VLOOKUP($C356,COS!$B$8:$K$991,9,FALSE)-IF(MONTH($C356)=4,$V$3,IF(MONTH($C356)=5,$V$4,IF(MONTH($C356)=6,$V$5,IF(MONTH($C356)=7,$V$6,"ERROR"))))-VLOOKUP($C356,COS!$B$8:$K$991,6,FALSE)/2,0))</f>
        <v>1500</v>
      </c>
      <c r="S356" s="30">
        <f t="shared" ref="S356:S359" si="572">R356*DAY($C356)*86400/43560/1000</f>
        <v>89.256198347107429</v>
      </c>
      <c r="T356" s="30">
        <f t="shared" ref="T356:T359" si="573">(O356+Q356)/2+S356</f>
        <v>103.62475826799376</v>
      </c>
      <c r="U356" s="30" t="str">
        <f>IF(VLOOKUP($C356,COS!$B$8:$I$991,8,FALSE)=1,"UWFE","IBU")</f>
        <v>UWFE</v>
      </c>
      <c r="V356" s="30">
        <f t="shared" ref="V356" si="574">MIN(IF(IF($AA$3=2,AND(E356=1,G356=1,L356=1,L361=1,M356=1,U356="IBU"),AND(E356=1,G356=1,L356=1,L361=1,M356=1)),T356,0),I356)</f>
        <v>0</v>
      </c>
      <c r="W356" s="30"/>
      <c r="X356" s="30"/>
      <c r="Y356" s="30"/>
      <c r="Z356" s="30"/>
      <c r="AA356" s="30"/>
      <c r="AB356" s="31"/>
    </row>
    <row r="357" spans="1:28" x14ac:dyDescent="0.3">
      <c r="A357" s="32">
        <f>VLOOKUP(YEAR(C357),Flags!$A$13:$B$95,2,FALSE)</f>
        <v>4</v>
      </c>
      <c r="B357" s="24">
        <f t="shared" si="535"/>
        <v>1960</v>
      </c>
      <c r="C357" s="25">
        <v>22067</v>
      </c>
      <c r="D357" s="26">
        <f>VLOOKUP($C357,COS!$B$8:$H$991,3,FALSE)</f>
        <v>4957.14453125</v>
      </c>
      <c r="E357" s="24">
        <f>IF(D357&gt;=IF(MONTH($C357)=4,$C$3,IF(MONTH($C357)=5,$C$4,IF(MONTH($C357)=6,$C$5,IF(MONTH($C357)=7,$C$6,"ERROR")))),1,0)</f>
        <v>0</v>
      </c>
      <c r="F357" s="26">
        <f>VLOOKUP($C357,COS!$B$8:$H$991,7,FALSE)</f>
        <v>52.527271270751953</v>
      </c>
      <c r="G357" s="24">
        <f>IF(F357&lt;=IF(MONTH($C357)=4,$F$3,IF(MONTH($C357)=5,$F$4,IF(MONTH($C357)=6,$F$5,IF(MONTH($C357)=7,$F$6,"ERROR")))),1,0)</f>
        <v>1</v>
      </c>
      <c r="H357" s="26">
        <f>IF(J357=1,D357-$C$4,0)</f>
        <v>0</v>
      </c>
      <c r="I357" s="26">
        <f t="shared" si="558"/>
        <v>0</v>
      </c>
      <c r="J357" s="24">
        <f t="shared" si="567"/>
        <v>0</v>
      </c>
      <c r="K357" s="26">
        <f>VLOOKUP($C357,COS!$B$8:$H$991,2,FALSE)</f>
        <v>4264.8515625</v>
      </c>
      <c r="L357" s="24">
        <f t="shared" si="537"/>
        <v>1</v>
      </c>
      <c r="M357" s="24">
        <f t="shared" si="538"/>
        <v>1</v>
      </c>
      <c r="N357" s="26">
        <f>VLOOKUP($C357,COS!$B$8:$H$991,5,FALSE)</f>
        <v>320.07254028320313</v>
      </c>
      <c r="O357" s="26">
        <f t="shared" si="570"/>
        <v>19.680493386008521</v>
      </c>
      <c r="P357" s="26">
        <f>VLOOKUP($C357,COS!$B$8:$H$991,6,FALSE)</f>
        <v>2099.86279296875</v>
      </c>
      <c r="Q357" s="26">
        <f t="shared" si="571"/>
        <v>129.1155304106405</v>
      </c>
      <c r="R357" s="26">
        <f>MIN(IF(MONTH($C357)=4,$S$3,IF(MONTH($C357)=5,$S$4,IF(MONTH($C357)=6,$S$5,IF(MONTH($C357)=7,$S$6,"ERROR")))),MAX(VLOOKUP($C357,COS!$B$8:$K$991,10,FALSE)-IF(MONTH($C357)=4,$Y$3,IF(MONTH($C357)=5,$Y$4,IF(MONTH($C357)=6,$Y$5,IF(MONTH($C357)=7,$Y$6,"ERROR")))),0),MAX(VLOOKUP($C357,COS!$B$8:$K$991,9,FALSE)-IF(MONTH($C357)=4,$V$3,IF(MONTH($C357)=5,$V$4,IF(MONTH($C357)=6,$V$5,IF(MONTH($C357)=7,$V$6,"ERROR"))))-VLOOKUP($C357,COS!$B$8:$K$991,6,FALSE)/2,0))</f>
        <v>998.0751953125</v>
      </c>
      <c r="S357" s="26">
        <f t="shared" si="572"/>
        <v>61.36925167871901</v>
      </c>
      <c r="T357" s="26">
        <f t="shared" si="573"/>
        <v>135.76726357704354</v>
      </c>
      <c r="U357" s="26" t="str">
        <f>IF(VLOOKUP($C357,COS!$B$8:$I$991,8,FALSE)=1,"UWFE","IBU")</f>
        <v>UWFE</v>
      </c>
      <c r="V357" s="26">
        <f t="shared" ref="V357" si="575">MIN(IF(IF($AA$3=2,AND(E357=1,G357=1,L357=1,L361=1,M357=1,U357="IBU"),AND(E357=1,G357=1,L357=1,L361=1,M357=1)),T357,0),I357)</f>
        <v>0</v>
      </c>
      <c r="W357" s="26"/>
      <c r="X357" s="26"/>
      <c r="Y357" s="26"/>
      <c r="Z357" s="26"/>
      <c r="AA357" s="26"/>
      <c r="AB357" s="33"/>
    </row>
    <row r="358" spans="1:28" x14ac:dyDescent="0.3">
      <c r="A358" s="32">
        <f>VLOOKUP(YEAR(C358),Flags!$A$13:$B$95,2,FALSE)</f>
        <v>4</v>
      </c>
      <c r="B358" s="24">
        <f t="shared" si="535"/>
        <v>1960</v>
      </c>
      <c r="C358" s="25">
        <v>22097</v>
      </c>
      <c r="D358" s="26">
        <f>VLOOKUP($C358,COS!$B$8:$H$991,3,FALSE)</f>
        <v>13233.97265625</v>
      </c>
      <c r="E358" s="24">
        <f>IF(D358&gt;=IF(MONTH($C358)=4,$C$3,IF(MONTH($C358)=5,$C$4,IF(MONTH($C358)=6,$C$5,IF(MONTH($C358)=7,$C$6,"ERROR")))),1,0)</f>
        <v>1</v>
      </c>
      <c r="F358" s="26">
        <f>VLOOKUP($C358,COS!$B$8:$H$991,7,FALSE)</f>
        <v>51.440536499023438</v>
      </c>
      <c r="G358" s="24">
        <f>IF(F358&lt;=IF(MONTH($C358)=4,$F$3,IF(MONTH($C358)=5,$F$4,IF(MONTH($C358)=6,$F$5,IF(MONTH($C358)=7,$F$6,"ERROR")))),1,0)</f>
        <v>1</v>
      </c>
      <c r="H358" s="26">
        <f>IF(J358=1,D358-$C$5,0)</f>
        <v>3233.97265625</v>
      </c>
      <c r="I358" s="26">
        <f t="shared" si="558"/>
        <v>192.43473657024794</v>
      </c>
      <c r="J358" s="24">
        <f t="shared" si="567"/>
        <v>1</v>
      </c>
      <c r="K358" s="26">
        <f>VLOOKUP($C358,COS!$B$8:$H$991,2,FALSE)</f>
        <v>3735.558837890625</v>
      </c>
      <c r="L358" s="24">
        <f t="shared" si="537"/>
        <v>1</v>
      </c>
      <c r="M358" s="24">
        <f t="shared" si="538"/>
        <v>1</v>
      </c>
      <c r="N358" s="26">
        <f>VLOOKUP($C358,COS!$B$8:$H$991,5,FALSE)</f>
        <v>457.70184326171875</v>
      </c>
      <c r="O358" s="26">
        <f t="shared" si="570"/>
        <v>27.2351510040031</v>
      </c>
      <c r="P358" s="26">
        <f>VLOOKUP($C358,COS!$B$8:$H$991,6,FALSE)</f>
        <v>2712.6806640625</v>
      </c>
      <c r="Q358" s="26">
        <f t="shared" si="571"/>
        <v>161.41570893595042</v>
      </c>
      <c r="R358" s="26">
        <f>MIN(IF(MONTH($C358)=4,$S$3,IF(MONTH($C358)=5,$S$4,IF(MONTH($C358)=6,$S$5,IF(MONTH($C358)=7,$S$6,"ERROR")))),MAX(VLOOKUP($C358,COS!$B$8:$K$991,10,FALSE)-IF(MONTH($C358)=4,$Y$3,IF(MONTH($C358)=5,$Y$4,IF(MONTH($C358)=6,$Y$5,IF(MONTH($C358)=7,$Y$6,"ERROR")))),0),MAX(VLOOKUP($C358,COS!$B$8:$K$991,9,FALSE)-IF(MONTH($C358)=4,$V$3,IF(MONTH($C358)=5,$V$4,IF(MONTH($C358)=6,$V$5,IF(MONTH($C358)=7,$V$6,"ERROR"))))-VLOOKUP($C358,COS!$B$8:$K$991,6,FALSE)/2,0))</f>
        <v>1500</v>
      </c>
      <c r="S358" s="26">
        <f t="shared" si="572"/>
        <v>89.256198347107429</v>
      </c>
      <c r="T358" s="26">
        <f t="shared" si="573"/>
        <v>183.58162831708421</v>
      </c>
      <c r="U358" s="26" t="str">
        <f>IF(VLOOKUP($C358,COS!$B$8:$I$991,8,FALSE)=1,"UWFE","IBU")</f>
        <v>IBU</v>
      </c>
      <c r="V358" s="26">
        <f t="shared" ref="V358" si="576">MIN(IF(IF($AA$3=2,AND(E358=1,G358=1,L358=1,L361=1,M358=1,U358="IBU"),AND(E358=1,G358=1,L358=1,L361=1,M358=1)),T358,0),I358)</f>
        <v>183.58162831708421</v>
      </c>
      <c r="W358" s="26"/>
      <c r="X358" s="26"/>
      <c r="Y358" s="26"/>
      <c r="Z358" s="26"/>
      <c r="AA358" s="26"/>
      <c r="AB358" s="33"/>
    </row>
    <row r="359" spans="1:28" x14ac:dyDescent="0.3">
      <c r="A359" s="32">
        <f>VLOOKUP(YEAR(C359),Flags!$A$13:$B$95,2,FALSE)</f>
        <v>4</v>
      </c>
      <c r="B359" s="24">
        <f t="shared" si="535"/>
        <v>1960</v>
      </c>
      <c r="C359" s="25">
        <v>22128</v>
      </c>
      <c r="D359" s="26">
        <f>VLOOKUP($C359,COS!$B$8:$H$991,3,FALSE)</f>
        <v>13995.5498046875</v>
      </c>
      <c r="E359" s="24">
        <f>IF(D359&gt;=IF(MONTH($C359)=4,$C$3,IF(MONTH($C359)=5,$C$4,IF(MONTH($C359)=6,$C$5,IF(MONTH($C359)=7,$C$6,"ERROR")))),1,0)</f>
        <v>1</v>
      </c>
      <c r="F359" s="26">
        <f>VLOOKUP($C359,COS!$B$8:$H$991,7,FALSE)</f>
        <v>52.7860107421875</v>
      </c>
      <c r="G359" s="24">
        <f>IF(F359&lt;=IF(MONTH($C359)=4,$F$3,IF(MONTH($C359)=5,$F$4,IF(MONTH($C359)=6,$F$5,IF(MONTH($C359)=7,$F$6,"ERROR")))),1,0)</f>
        <v>1</v>
      </c>
      <c r="H359" s="26">
        <f>IF(J359=1,D359-$C$6,0)</f>
        <v>1995.5498046875</v>
      </c>
      <c r="I359" s="26">
        <f t="shared" si="558"/>
        <v>122.70157476756198</v>
      </c>
      <c r="J359" s="24">
        <f t="shared" si="567"/>
        <v>1</v>
      </c>
      <c r="K359" s="26">
        <f>VLOOKUP($C359,COS!$B$8:$H$991,2,FALSE)</f>
        <v>3174.995361328125</v>
      </c>
      <c r="L359" s="24">
        <f t="shared" si="537"/>
        <v>1</v>
      </c>
      <c r="M359" s="24">
        <f t="shared" si="538"/>
        <v>1</v>
      </c>
      <c r="N359" s="26">
        <f>VLOOKUP($C359,COS!$B$8:$H$991,5,FALSE)</f>
        <v>499.1810302734375</v>
      </c>
      <c r="O359" s="26">
        <f t="shared" si="570"/>
        <v>30.69344516722624</v>
      </c>
      <c r="P359" s="26">
        <f>VLOOKUP($C359,COS!$B$8:$H$991,6,FALSE)</f>
        <v>2441.261474609375</v>
      </c>
      <c r="Q359" s="26">
        <f t="shared" si="571"/>
        <v>150.10731711647728</v>
      </c>
      <c r="R359" s="26">
        <f>MIN(IF(MONTH($C359)=4,$S$3,IF(MONTH($C359)=5,$S$4,IF(MONTH($C359)=6,$S$5,IF(MONTH($C359)=7,$S$6,"ERROR")))),MAX(VLOOKUP($C359,COS!$B$8:$K$991,10,FALSE)-IF(MONTH($C359)=4,$Y$3,IF(MONTH($C359)=5,$Y$4,IF(MONTH($C359)=6,$Y$5,IF(MONTH($C359)=7,$Y$6,"ERROR")))),0),MAX(VLOOKUP($C359,COS!$B$8:$K$991,9,FALSE)-IF(MONTH($C359)=4,$V$3,IF(MONTH($C359)=5,$V$4,IF(MONTH($C359)=6,$V$5,IF(MONTH($C359)=7,$V$6,"ERROR"))))-VLOOKUP($C359,COS!$B$8:$K$991,6,FALSE)/2,0))</f>
        <v>1500</v>
      </c>
      <c r="S359" s="26">
        <f t="shared" si="572"/>
        <v>92.231404958677686</v>
      </c>
      <c r="T359" s="26">
        <f t="shared" si="573"/>
        <v>182.63178610052944</v>
      </c>
      <c r="U359" s="26" t="str">
        <f>IF(VLOOKUP($C359,COS!$B$8:$I$991,8,FALSE)=1,"UWFE","IBU")</f>
        <v>IBU</v>
      </c>
      <c r="V359" s="26">
        <f t="shared" ref="V359" si="577">MIN(IF(IF($AA$3=2,AND(E359=1,G359=1,L359=1,L361=1,M359=1,U359="IBU"),AND(E359=1,G359=1,L359=1,L361=1,M359=1)),T359,0),I359)</f>
        <v>122.70157476756198</v>
      </c>
      <c r="W359" s="26"/>
      <c r="X359" s="26"/>
      <c r="Y359" s="26"/>
      <c r="Z359" s="26"/>
      <c r="AA359" s="26"/>
      <c r="AB359" s="33"/>
    </row>
    <row r="360" spans="1:28" x14ac:dyDescent="0.3">
      <c r="A360" s="32">
        <f>VLOOKUP(YEAR(C360),Flags!$A$13:$B$95,2,FALSE)</f>
        <v>4</v>
      </c>
      <c r="B360" s="24">
        <f t="shared" si="535"/>
        <v>1960</v>
      </c>
      <c r="C360" s="25">
        <v>22159</v>
      </c>
      <c r="D360" s="26"/>
      <c r="E360" s="24"/>
      <c r="F360" s="26"/>
      <c r="G360" s="24"/>
      <c r="H360" s="24"/>
      <c r="I360" s="26"/>
      <c r="J360" s="24"/>
      <c r="K360" s="26"/>
      <c r="L360" s="24"/>
      <c r="M360" s="24"/>
      <c r="N360" s="26"/>
      <c r="O360" s="26"/>
      <c r="P360" s="26"/>
      <c r="Q360" s="26"/>
      <c r="R360" s="26"/>
      <c r="S360" s="26"/>
      <c r="T360" s="26"/>
      <c r="U360" s="26"/>
      <c r="V360" s="26"/>
      <c r="W360" s="26">
        <f>MAX($C$7-VLOOKUP($C360,COS!$B$8:$H$991,3,FALSE),0)</f>
        <v>90376.2197265625</v>
      </c>
      <c r="X360" s="26">
        <f t="shared" si="562"/>
        <v>5557.0171468233475</v>
      </c>
      <c r="Y360" s="26">
        <f>VLOOKUP($C360,COS!$B$8:$H$991,4,FALSE)</f>
        <v>1283.5350341796875</v>
      </c>
      <c r="Z360" s="26">
        <f t="shared" si="563"/>
        <v>78.921493010717967</v>
      </c>
      <c r="AA360" s="26">
        <f t="shared" ref="AA360:AA364" si="578">MIN(W360,Y360)</f>
        <v>1283.5350341796875</v>
      </c>
      <c r="AB360" s="33">
        <f t="shared" ref="AB360" si="579">AA360*DAY($C360)*86400/43560/1000*IF(MONTH($C360)=8,$P$3,IF(MONTH($C360)=9,$P$4,IF(MONTH($C360)=10,$P$5,IF(MONTH($C360)=11,$P$6,IF(MONTH($C360)=12,$P$7,NA())))))</f>
        <v>78.921493010717967</v>
      </c>
    </row>
    <row r="361" spans="1:28" x14ac:dyDescent="0.3">
      <c r="A361" s="32">
        <f>VLOOKUP(YEAR(C361),Flags!$A$13:$B$95,2,FALSE)</f>
        <v>4</v>
      </c>
      <c r="B361" s="24">
        <f t="shared" si="535"/>
        <v>1960</v>
      </c>
      <c r="C361" s="25">
        <v>22189</v>
      </c>
      <c r="D361" s="26"/>
      <c r="E361" s="24"/>
      <c r="F361" s="26"/>
      <c r="G361" s="24"/>
      <c r="H361" s="24"/>
      <c r="I361" s="26"/>
      <c r="J361" s="24"/>
      <c r="K361" s="26">
        <f>VLOOKUP($C361,COS!$B$8:$H$991,2,FALSE)</f>
        <v>2747.35986328125</v>
      </c>
      <c r="L361" s="24">
        <f t="shared" ref="L361" si="580">IF(AND(K361&gt;$I$7,K361&lt;$I$8),1,0)</f>
        <v>1</v>
      </c>
      <c r="M361" s="24"/>
      <c r="N361" s="26"/>
      <c r="O361" s="26"/>
      <c r="P361" s="26"/>
      <c r="Q361" s="26"/>
      <c r="R361" s="26"/>
      <c r="S361" s="26"/>
      <c r="T361" s="26"/>
      <c r="U361" s="26"/>
      <c r="V361" s="26"/>
      <c r="W361" s="26">
        <f>MAX($C$8-VLOOKUP($C361,COS!$B$8:$H$991,3,FALSE),0)</f>
        <v>93859.93212890625</v>
      </c>
      <c r="X361" s="26">
        <f t="shared" si="562"/>
        <v>5585.0538126291322</v>
      </c>
      <c r="Y361" s="26">
        <f>VLOOKUP($C361,COS!$B$8:$H$991,4,FALSE)</f>
        <v>1185.9482421875</v>
      </c>
      <c r="Z361" s="26">
        <f t="shared" si="563"/>
        <v>70.568821022727278</v>
      </c>
      <c r="AA361" s="26">
        <f t="shared" si="578"/>
        <v>1185.9482421875</v>
      </c>
      <c r="AB361" s="33">
        <f t="shared" si="548"/>
        <v>70.568821022727278</v>
      </c>
    </row>
    <row r="362" spans="1:28" x14ac:dyDescent="0.3">
      <c r="A362" s="32">
        <f>VLOOKUP(YEAR(C362),Flags!$A$13:$B$95,2,FALSE)</f>
        <v>4</v>
      </c>
      <c r="B362" s="24">
        <f t="shared" si="535"/>
        <v>1960</v>
      </c>
      <c r="C362" s="25">
        <v>22220</v>
      </c>
      <c r="D362" s="26"/>
      <c r="E362" s="24"/>
      <c r="F362" s="26"/>
      <c r="G362" s="26"/>
      <c r="H362" s="26"/>
      <c r="I362" s="26"/>
      <c r="J362" s="26"/>
      <c r="K362" s="26"/>
      <c r="L362" s="24"/>
      <c r="M362" s="24"/>
      <c r="N362" s="26"/>
      <c r="O362" s="26"/>
      <c r="P362" s="26"/>
      <c r="Q362" s="26"/>
      <c r="R362" s="26"/>
      <c r="S362" s="26"/>
      <c r="T362" s="26"/>
      <c r="U362" s="26"/>
      <c r="V362" s="26"/>
      <c r="W362" s="26">
        <f>MAX($C$9-VLOOKUP($C362,COS!$B$8:$H$991,3,FALSE),0)</f>
        <v>93911.3974609375</v>
      </c>
      <c r="X362" s="26">
        <f t="shared" si="562"/>
        <v>5774.3867529700419</v>
      </c>
      <c r="Y362" s="26">
        <f>VLOOKUP($C362,COS!$B$8:$H$991,4,FALSE)</f>
        <v>1660.7847900390625</v>
      </c>
      <c r="Z362" s="26">
        <f t="shared" si="563"/>
        <v>102.11767634620351</v>
      </c>
      <c r="AA362" s="26">
        <f t="shared" si="578"/>
        <v>1660.7847900390625</v>
      </c>
      <c r="AB362" s="33">
        <f t="shared" si="548"/>
        <v>102.11767634620351</v>
      </c>
    </row>
    <row r="363" spans="1:28" x14ac:dyDescent="0.3">
      <c r="A363" s="32">
        <f>VLOOKUP(YEAR(C363),Flags!$A$13:$B$95,2,FALSE)</f>
        <v>4</v>
      </c>
      <c r="B363" s="24">
        <f t="shared" si="535"/>
        <v>1960</v>
      </c>
      <c r="C363" s="25">
        <v>22250</v>
      </c>
      <c r="D363" s="26"/>
      <c r="E363" s="24"/>
      <c r="F363" s="26"/>
      <c r="G363" s="26"/>
      <c r="H363" s="26"/>
      <c r="I363" s="26"/>
      <c r="J363" s="26"/>
      <c r="K363" s="26"/>
      <c r="L363" s="24"/>
      <c r="M363" s="24"/>
      <c r="N363" s="26"/>
      <c r="O363" s="26"/>
      <c r="P363" s="26"/>
      <c r="Q363" s="26"/>
      <c r="R363" s="26"/>
      <c r="S363" s="26"/>
      <c r="T363" s="26"/>
      <c r="U363" s="26"/>
      <c r="V363" s="26"/>
      <c r="W363" s="26">
        <f>MAX($C$10-VLOOKUP($C363,COS!$B$8:$H$991,3,FALSE),0)</f>
        <v>96749</v>
      </c>
      <c r="X363" s="26">
        <f t="shared" si="562"/>
        <v>5756.965289256198</v>
      </c>
      <c r="Y363" s="26">
        <f>VLOOKUP($C363,COS!$B$8:$H$991,4,FALSE)</f>
        <v>409.7125244140625</v>
      </c>
      <c r="Z363" s="26">
        <f t="shared" si="563"/>
        <v>24.379588229597108</v>
      </c>
      <c r="AA363" s="26">
        <f t="shared" si="578"/>
        <v>409.7125244140625</v>
      </c>
      <c r="AB363" s="33">
        <f t="shared" si="548"/>
        <v>12.189794114798554</v>
      </c>
    </row>
    <row r="364" spans="1:28" x14ac:dyDescent="0.3">
      <c r="A364" s="34">
        <f>VLOOKUP(YEAR(C364),Flags!$A$13:$B$95,2,FALSE)</f>
        <v>4</v>
      </c>
      <c r="B364" s="35">
        <f t="shared" si="535"/>
        <v>1960</v>
      </c>
      <c r="C364" s="36">
        <v>22281</v>
      </c>
      <c r="D364" s="37"/>
      <c r="E364" s="35"/>
      <c r="F364" s="37"/>
      <c r="G364" s="37"/>
      <c r="H364" s="37"/>
      <c r="I364" s="37"/>
      <c r="J364" s="37"/>
      <c r="K364" s="37"/>
      <c r="L364" s="35"/>
      <c r="M364" s="35"/>
      <c r="N364" s="37"/>
      <c r="O364" s="37"/>
      <c r="P364" s="37"/>
      <c r="Q364" s="37"/>
      <c r="R364" s="37"/>
      <c r="S364" s="37"/>
      <c r="T364" s="37"/>
      <c r="U364" s="37"/>
      <c r="V364" s="37"/>
      <c r="W364" s="37">
        <f>MAX($C$11-VLOOKUP($C364,COS!$B$8:$H$991,3,FALSE),0)</f>
        <v>0</v>
      </c>
      <c r="X364" s="37">
        <f t="shared" si="562"/>
        <v>0</v>
      </c>
      <c r="Y364" s="37">
        <f>VLOOKUP($C364,COS!$B$8:$H$991,4,FALSE)</f>
        <v>2387.1279296875</v>
      </c>
      <c r="Z364" s="37">
        <f t="shared" si="563"/>
        <v>146.77877518078512</v>
      </c>
      <c r="AA364" s="37">
        <f t="shared" si="578"/>
        <v>0</v>
      </c>
      <c r="AB364" s="38">
        <f t="shared" si="548"/>
        <v>0</v>
      </c>
    </row>
    <row r="365" spans="1:28" x14ac:dyDescent="0.3">
      <c r="A365" s="27">
        <f>VLOOKUP(YEAR(C365),Flags!$A$13:$B$95,2,FALSE)</f>
        <v>4</v>
      </c>
      <c r="B365" s="28">
        <f t="shared" si="535"/>
        <v>1961</v>
      </c>
      <c r="C365" s="29">
        <v>22401</v>
      </c>
      <c r="D365" s="30">
        <f>VLOOKUP($C365,COS!$B$8:$H$991,3,FALSE)</f>
        <v>3330.927978515625</v>
      </c>
      <c r="E365" s="28">
        <f>IF(D365&gt;=IF(MONTH($C365)=4,$C$3,IF(MONTH($C365)=5,$C$4,IF(MONTH($C365)=6,$C$5,IF(MONTH($C365)=7,$C$6,"ERROR")))),1,0)</f>
        <v>0</v>
      </c>
      <c r="F365" s="30">
        <f>VLOOKUP($C365,COS!$B$8:$H$991,7,FALSE)</f>
        <v>51.26251220703125</v>
      </c>
      <c r="G365" s="28">
        <f>IF(F365&lt;=IF(MONTH($C365)=4,$F$3,IF(MONTH($C365)=5,$F$4,IF(MONTH($C365)=6,$F$5,IF(MONTH($C365)=7,$F$6,"ERROR")))),1,0)</f>
        <v>1</v>
      </c>
      <c r="H365" s="30">
        <f>IF(J365=1,D365-$C$3,0)</f>
        <v>0</v>
      </c>
      <c r="I365" s="30">
        <f t="shared" si="558"/>
        <v>0</v>
      </c>
      <c r="J365" s="28">
        <f t="shared" ref="J365:J368" si="581">IF(AND(E365=1,G365=1),1,0)</f>
        <v>0</v>
      </c>
      <c r="K365" s="30">
        <f>VLOOKUP($C365,COS!$B$8:$H$991,2,FALSE)</f>
        <v>4552</v>
      </c>
      <c r="L365" s="28">
        <f t="shared" ref="L365" si="582">IF(K365&lt;=IF(MONTH($C365)=4,$I$3,IF(MONTH($C365)=5,$I$4,IF(MONTH($C365)=6,$I$5,IF(MONTH($C365)=7,$I$6,"ERROR")))),1,0)</f>
        <v>1</v>
      </c>
      <c r="M365" s="28">
        <f t="shared" ref="M365" si="583">VLOOKUP($A365,$L$3:$M$7,2,FALSE)</f>
        <v>1</v>
      </c>
      <c r="N365" s="30">
        <f>VLOOKUP($C365,COS!$B$8:$H$991,5,FALSE)</f>
        <v>224.14614868164063</v>
      </c>
      <c r="O365" s="30">
        <f t="shared" ref="O365:O368" si="584">N365*DAY($C365)*86400/43560/1000</f>
        <v>13.3376220703125</v>
      </c>
      <c r="P365" s="30">
        <f>VLOOKUP($C365,COS!$B$8:$H$991,6,FALSE)</f>
        <v>461.4332275390625</v>
      </c>
      <c r="Q365" s="30">
        <f t="shared" ref="Q365:Q368" si="585">P365*DAY($C365)*86400/43560/1000</f>
        <v>27.457183787448347</v>
      </c>
      <c r="R365" s="30">
        <f>MIN(IF(MONTH($C365)=4,$S$3,IF(MONTH($C365)=5,$S$4,IF(MONTH($C365)=6,$S$5,IF(MONTH($C365)=7,$S$6,"ERROR")))),MAX(VLOOKUP($C365,COS!$B$8:$K$991,10,FALSE)-IF(MONTH($C365)=4,$Y$3,IF(MONTH($C365)=5,$Y$4,IF(MONTH($C365)=6,$Y$5,IF(MONTH($C365)=7,$Y$6,"ERROR")))),0),MAX(VLOOKUP($C365,COS!$B$8:$K$991,9,FALSE)-IF(MONTH($C365)=4,$V$3,IF(MONTH($C365)=5,$V$4,IF(MONTH($C365)=6,$V$5,IF(MONTH($C365)=7,$V$6,"ERROR"))))-VLOOKUP($C365,COS!$B$8:$K$991,6,FALSE)/2,0))</f>
        <v>1500</v>
      </c>
      <c r="S365" s="30">
        <f t="shared" ref="S365:S368" si="586">R365*DAY($C365)*86400/43560/1000</f>
        <v>89.256198347107429</v>
      </c>
      <c r="T365" s="30">
        <f t="shared" ref="T365:T368" si="587">(O365+Q365)/2+S365</f>
        <v>109.65360127598785</v>
      </c>
      <c r="U365" s="30" t="str">
        <f>IF(VLOOKUP($C365,COS!$B$8:$I$991,8,FALSE)=1,"UWFE","IBU")</f>
        <v>UWFE</v>
      </c>
      <c r="V365" s="30">
        <f t="shared" ref="V365" si="588">MIN(IF(IF($AA$3=2,AND(E365=1,G365=1,L365=1,L370=1,M365=1,U365="IBU"),AND(E365=1,G365=1,L365=1,L370=1,M365=1)),T365,0),I365)</f>
        <v>0</v>
      </c>
      <c r="W365" s="30"/>
      <c r="X365" s="30"/>
      <c r="Y365" s="30"/>
      <c r="Z365" s="30"/>
      <c r="AA365" s="30"/>
      <c r="AB365" s="31"/>
    </row>
    <row r="366" spans="1:28" x14ac:dyDescent="0.3">
      <c r="A366" s="32">
        <f>VLOOKUP(YEAR(C366),Flags!$A$13:$B$95,2,FALSE)</f>
        <v>4</v>
      </c>
      <c r="B366" s="24">
        <f t="shared" si="535"/>
        <v>1961</v>
      </c>
      <c r="C366" s="25">
        <v>22432</v>
      </c>
      <c r="D366" s="26">
        <f>VLOOKUP($C366,COS!$B$8:$H$991,3,FALSE)</f>
        <v>7787.1884765625</v>
      </c>
      <c r="E366" s="24">
        <f>IF(D366&gt;=IF(MONTH($C366)=4,$C$3,IF(MONTH($C366)=5,$C$4,IF(MONTH($C366)=6,$C$5,IF(MONTH($C366)=7,$C$6,"ERROR")))),1,0)</f>
        <v>1</v>
      </c>
      <c r="F366" s="26">
        <f>VLOOKUP($C366,COS!$B$8:$H$991,7,FALSE)</f>
        <v>50.240604400634766</v>
      </c>
      <c r="G366" s="24">
        <f>IF(F366&lt;=IF(MONTH($C366)=4,$F$3,IF(MONTH($C366)=5,$F$4,IF(MONTH($C366)=6,$F$5,IF(MONTH($C366)=7,$F$6,"ERROR")))),1,0)</f>
        <v>1</v>
      </c>
      <c r="H366" s="26">
        <f>IF(J366=1,D366-$C$4,0)</f>
        <v>1787.1884765625</v>
      </c>
      <c r="I366" s="26">
        <f t="shared" si="558"/>
        <v>109.88993607954545</v>
      </c>
      <c r="J366" s="24">
        <f t="shared" si="581"/>
        <v>1</v>
      </c>
      <c r="K366" s="26">
        <f>VLOOKUP($C366,COS!$B$8:$H$991,2,FALSE)</f>
        <v>4502.27978515625</v>
      </c>
      <c r="L366" s="24">
        <f t="shared" si="537"/>
        <v>1</v>
      </c>
      <c r="M366" s="24">
        <f t="shared" si="538"/>
        <v>1</v>
      </c>
      <c r="N366" s="26">
        <f>VLOOKUP($C366,COS!$B$8:$H$991,5,FALSE)</f>
        <v>270.762451171875</v>
      </c>
      <c r="O366" s="26">
        <f t="shared" si="584"/>
        <v>16.648534187758266</v>
      </c>
      <c r="P366" s="26">
        <f>VLOOKUP($C366,COS!$B$8:$H$991,6,FALSE)</f>
        <v>2241.916259765625</v>
      </c>
      <c r="Q366" s="26">
        <f t="shared" si="585"/>
        <v>137.85005762525824</v>
      </c>
      <c r="R366" s="26">
        <f>MIN(IF(MONTH($C366)=4,$S$3,IF(MONTH($C366)=5,$S$4,IF(MONTH($C366)=6,$S$5,IF(MONTH($C366)=7,$S$6,"ERROR")))),MAX(VLOOKUP($C366,COS!$B$8:$K$991,10,FALSE)-IF(MONTH($C366)=4,$Y$3,IF(MONTH($C366)=5,$Y$4,IF(MONTH($C366)=6,$Y$5,IF(MONTH($C366)=7,$Y$6,"ERROR")))),0),MAX(VLOOKUP($C366,COS!$B$8:$K$991,9,FALSE)-IF(MONTH($C366)=4,$V$3,IF(MONTH($C366)=5,$V$4,IF(MONTH($C366)=6,$V$5,IF(MONTH($C366)=7,$V$6,"ERROR"))))-VLOOKUP($C366,COS!$B$8:$K$991,6,FALSE)/2,0))</f>
        <v>1500</v>
      </c>
      <c r="S366" s="26">
        <f t="shared" si="586"/>
        <v>92.231404958677686</v>
      </c>
      <c r="T366" s="26">
        <f t="shared" si="587"/>
        <v>169.48070086518595</v>
      </c>
      <c r="U366" s="26" t="str">
        <f>IF(VLOOKUP($C366,COS!$B$8:$I$991,8,FALSE)=1,"UWFE","IBU")</f>
        <v>UWFE</v>
      </c>
      <c r="V366" s="26">
        <f t="shared" ref="V366" si="589">MIN(IF(IF($AA$3=2,AND(E366=1,G366=1,L366=1,L370=1,M366=1,U366="IBU"),AND(E366=1,G366=1,L366=1,L370=1,M366=1)),T366,0),I366)</f>
        <v>0</v>
      </c>
      <c r="W366" s="26"/>
      <c r="X366" s="26"/>
      <c r="Y366" s="26"/>
      <c r="Z366" s="26"/>
      <c r="AA366" s="26"/>
      <c r="AB366" s="33"/>
    </row>
    <row r="367" spans="1:28" x14ac:dyDescent="0.3">
      <c r="A367" s="32">
        <f>VLOOKUP(YEAR(C367),Flags!$A$13:$B$95,2,FALSE)</f>
        <v>4</v>
      </c>
      <c r="B367" s="24">
        <f t="shared" si="535"/>
        <v>1961</v>
      </c>
      <c r="C367" s="25">
        <v>22462</v>
      </c>
      <c r="D367" s="26">
        <f>VLOOKUP($C367,COS!$B$8:$H$991,3,FALSE)</f>
        <v>10063.0751953125</v>
      </c>
      <c r="E367" s="24">
        <f>IF(D367&gt;=IF(MONTH($C367)=4,$C$3,IF(MONTH($C367)=5,$C$4,IF(MONTH($C367)=6,$C$5,IF(MONTH($C367)=7,$C$6,"ERROR")))),1,0)</f>
        <v>1</v>
      </c>
      <c r="F367" s="26">
        <f>VLOOKUP($C367,COS!$B$8:$H$991,7,FALSE)</f>
        <v>51.530010223388672</v>
      </c>
      <c r="G367" s="24">
        <f>IF(F367&lt;=IF(MONTH($C367)=4,$F$3,IF(MONTH($C367)=5,$F$4,IF(MONTH($C367)=6,$F$5,IF(MONTH($C367)=7,$F$6,"ERROR")))),1,0)</f>
        <v>1</v>
      </c>
      <c r="H367" s="26">
        <f>IF(J367=1,D367-$C$5,0)</f>
        <v>63.0751953125</v>
      </c>
      <c r="I367" s="26">
        <f t="shared" si="558"/>
        <v>3.7532347623966942</v>
      </c>
      <c r="J367" s="24">
        <f t="shared" si="581"/>
        <v>1</v>
      </c>
      <c r="K367" s="26">
        <f>VLOOKUP($C367,COS!$B$8:$H$991,2,FALSE)</f>
        <v>4143.28564453125</v>
      </c>
      <c r="L367" s="24">
        <f t="shared" si="537"/>
        <v>1</v>
      </c>
      <c r="M367" s="24">
        <f t="shared" si="538"/>
        <v>1</v>
      </c>
      <c r="N367" s="26">
        <f>VLOOKUP($C367,COS!$B$8:$H$991,5,FALSE)</f>
        <v>520.3306884765625</v>
      </c>
      <c r="O367" s="26">
        <f t="shared" si="584"/>
        <v>30.961826091167357</v>
      </c>
      <c r="P367" s="26">
        <f>VLOOKUP($C367,COS!$B$8:$H$991,6,FALSE)</f>
        <v>2605.465576171875</v>
      </c>
      <c r="Q367" s="26">
        <f t="shared" si="585"/>
        <v>155.03596816890496</v>
      </c>
      <c r="R367" s="26">
        <f>MIN(IF(MONTH($C367)=4,$S$3,IF(MONTH($C367)=5,$S$4,IF(MONTH($C367)=6,$S$5,IF(MONTH($C367)=7,$S$6,"ERROR")))),MAX(VLOOKUP($C367,COS!$B$8:$K$991,10,FALSE)-IF(MONTH($C367)=4,$Y$3,IF(MONTH($C367)=5,$Y$4,IF(MONTH($C367)=6,$Y$5,IF(MONTH($C367)=7,$Y$6,"ERROR")))),0),MAX(VLOOKUP($C367,COS!$B$8:$K$991,9,FALSE)-IF(MONTH($C367)=4,$V$3,IF(MONTH($C367)=5,$V$4,IF(MONTH($C367)=6,$V$5,IF(MONTH($C367)=7,$V$6,"ERROR"))))-VLOOKUP($C367,COS!$B$8:$K$991,6,FALSE)/2,0))</f>
        <v>1500</v>
      </c>
      <c r="S367" s="26">
        <f t="shared" si="586"/>
        <v>89.256198347107429</v>
      </c>
      <c r="T367" s="26">
        <f t="shared" si="587"/>
        <v>182.25509547714358</v>
      </c>
      <c r="U367" s="26" t="str">
        <f>IF(VLOOKUP($C367,COS!$B$8:$I$991,8,FALSE)=1,"UWFE","IBU")</f>
        <v>IBU</v>
      </c>
      <c r="V367" s="26">
        <f t="shared" ref="V367" si="590">MIN(IF(IF($AA$3=2,AND(E367=1,G367=1,L367=1,L370=1,M367=1,U367="IBU"),AND(E367=1,G367=1,L367=1,L370=1,M367=1)),T367,0),I367)</f>
        <v>3.7532347623966942</v>
      </c>
      <c r="W367" s="26"/>
      <c r="X367" s="26"/>
      <c r="Y367" s="26"/>
      <c r="Z367" s="26"/>
      <c r="AA367" s="26"/>
      <c r="AB367" s="33"/>
    </row>
    <row r="368" spans="1:28" x14ac:dyDescent="0.3">
      <c r="A368" s="32">
        <f>VLOOKUP(YEAR(C368),Flags!$A$13:$B$95,2,FALSE)</f>
        <v>4</v>
      </c>
      <c r="B368" s="24">
        <f t="shared" si="535"/>
        <v>1961</v>
      </c>
      <c r="C368" s="25">
        <v>22493</v>
      </c>
      <c r="D368" s="26">
        <f>VLOOKUP($C368,COS!$B$8:$H$991,3,FALSE)</f>
        <v>16000</v>
      </c>
      <c r="E368" s="24">
        <f>IF(D368&gt;=IF(MONTH($C368)=4,$C$3,IF(MONTH($C368)=5,$C$4,IF(MONTH($C368)=6,$C$5,IF(MONTH($C368)=7,$C$6,"ERROR")))),1,0)</f>
        <v>1</v>
      </c>
      <c r="F368" s="26">
        <f>VLOOKUP($C368,COS!$B$8:$H$991,7,FALSE)</f>
        <v>51.374370574951172</v>
      </c>
      <c r="G368" s="24">
        <f>IF(F368&lt;=IF(MONTH($C368)=4,$F$3,IF(MONTH($C368)=5,$F$4,IF(MONTH($C368)=6,$F$5,IF(MONTH($C368)=7,$F$6,"ERROR")))),1,0)</f>
        <v>1</v>
      </c>
      <c r="H368" s="26">
        <f>IF(J368=1,D368-$C$6,0)</f>
        <v>4000</v>
      </c>
      <c r="I368" s="26">
        <f t="shared" si="558"/>
        <v>245.95041322314049</v>
      </c>
      <c r="J368" s="24">
        <f t="shared" si="581"/>
        <v>1</v>
      </c>
      <c r="K368" s="26">
        <f>VLOOKUP($C368,COS!$B$8:$H$991,2,FALSE)</f>
        <v>3417.93798828125</v>
      </c>
      <c r="L368" s="24">
        <f t="shared" si="537"/>
        <v>1</v>
      </c>
      <c r="M368" s="24">
        <f t="shared" si="538"/>
        <v>1</v>
      </c>
      <c r="N368" s="26">
        <f>VLOOKUP($C368,COS!$B$8:$H$991,5,FALSE)</f>
        <v>610.17608642578125</v>
      </c>
      <c r="O368" s="26">
        <f t="shared" si="584"/>
        <v>37.518265148824895</v>
      </c>
      <c r="P368" s="26">
        <f>VLOOKUP($C368,COS!$B$8:$H$991,6,FALSE)</f>
        <v>2538.07568359375</v>
      </c>
      <c r="Q368" s="26">
        <f t="shared" si="585"/>
        <v>156.06019079287191</v>
      </c>
      <c r="R368" s="26">
        <f>MIN(IF(MONTH($C368)=4,$S$3,IF(MONTH($C368)=5,$S$4,IF(MONTH($C368)=6,$S$5,IF(MONTH($C368)=7,$S$6,"ERROR")))),MAX(VLOOKUP($C368,COS!$B$8:$K$991,10,FALSE)-IF(MONTH($C368)=4,$Y$3,IF(MONTH($C368)=5,$Y$4,IF(MONTH($C368)=6,$Y$5,IF(MONTH($C368)=7,$Y$6,"ERROR")))),0),MAX(VLOOKUP($C368,COS!$B$8:$K$991,9,FALSE)-IF(MONTH($C368)=4,$V$3,IF(MONTH($C368)=5,$V$4,IF(MONTH($C368)=6,$V$5,IF(MONTH($C368)=7,$V$6,"ERROR"))))-VLOOKUP($C368,COS!$B$8:$K$991,6,FALSE)/2,0))</f>
        <v>1500</v>
      </c>
      <c r="S368" s="26">
        <f t="shared" si="586"/>
        <v>92.231404958677686</v>
      </c>
      <c r="T368" s="26">
        <f t="shared" si="587"/>
        <v>189.02063292952607</v>
      </c>
      <c r="U368" s="26" t="str">
        <f>IF(VLOOKUP($C368,COS!$B$8:$I$991,8,FALSE)=1,"UWFE","IBU")</f>
        <v>IBU</v>
      </c>
      <c r="V368" s="26">
        <f t="shared" ref="V368" si="591">MIN(IF(IF($AA$3=2,AND(E368=1,G368=1,L368=1,L370=1,M368=1,U368="IBU"),AND(E368=1,G368=1,L368=1,L370=1,M368=1)),T368,0),I368)</f>
        <v>189.02063292952607</v>
      </c>
      <c r="W368" s="26"/>
      <c r="X368" s="26"/>
      <c r="Y368" s="26"/>
      <c r="Z368" s="26"/>
      <c r="AA368" s="26"/>
      <c r="AB368" s="33"/>
    </row>
    <row r="369" spans="1:28" x14ac:dyDescent="0.3">
      <c r="A369" s="32">
        <f>VLOOKUP(YEAR(C369),Flags!$A$13:$B$95,2,FALSE)</f>
        <v>4</v>
      </c>
      <c r="B369" s="24">
        <f t="shared" si="535"/>
        <v>1961</v>
      </c>
      <c r="C369" s="25">
        <v>22524</v>
      </c>
      <c r="D369" s="26"/>
      <c r="E369" s="24"/>
      <c r="F369" s="26"/>
      <c r="G369" s="24"/>
      <c r="H369" s="24"/>
      <c r="I369" s="26"/>
      <c r="J369" s="24"/>
      <c r="K369" s="26"/>
      <c r="L369" s="24"/>
      <c r="M369" s="24"/>
      <c r="N369" s="26"/>
      <c r="O369" s="26"/>
      <c r="P369" s="26"/>
      <c r="Q369" s="26"/>
      <c r="R369" s="26"/>
      <c r="S369" s="26"/>
      <c r="T369" s="26"/>
      <c r="U369" s="26"/>
      <c r="V369" s="26"/>
      <c r="W369" s="26">
        <f>MAX($C$7-VLOOKUP($C369,COS!$B$8:$H$991,3,FALSE),0)</f>
        <v>90140.421875</v>
      </c>
      <c r="X369" s="26">
        <f t="shared" si="562"/>
        <v>5542.5185020661156</v>
      </c>
      <c r="Y369" s="26">
        <f>VLOOKUP($C369,COS!$B$8:$H$991,4,FALSE)</f>
        <v>3366.373779296875</v>
      </c>
      <c r="Z369" s="26">
        <f t="shared" si="563"/>
        <v>206.99025552040288</v>
      </c>
      <c r="AA369" s="26">
        <f t="shared" ref="AA369:AA373" si="592">MIN(W369,Y369)</f>
        <v>3366.373779296875</v>
      </c>
      <c r="AB369" s="33">
        <f t="shared" ref="AB369" si="593">AA369*DAY($C369)*86400/43560/1000*IF(MONTH($C369)=8,$P$3,IF(MONTH($C369)=9,$P$4,IF(MONTH($C369)=10,$P$5,IF(MONTH($C369)=11,$P$6,IF(MONTH($C369)=12,$P$7,NA())))))</f>
        <v>206.99025552040288</v>
      </c>
    </row>
    <row r="370" spans="1:28" x14ac:dyDescent="0.3">
      <c r="A370" s="32">
        <f>VLOOKUP(YEAR(C370),Flags!$A$13:$B$95,2,FALSE)</f>
        <v>4</v>
      </c>
      <c r="B370" s="24">
        <f t="shared" si="535"/>
        <v>1961</v>
      </c>
      <c r="C370" s="25">
        <v>22554</v>
      </c>
      <c r="D370" s="26"/>
      <c r="E370" s="24"/>
      <c r="F370" s="26"/>
      <c r="G370" s="24"/>
      <c r="H370" s="24"/>
      <c r="I370" s="26"/>
      <c r="J370" s="24"/>
      <c r="K370" s="26">
        <f>VLOOKUP($C370,COS!$B$8:$H$991,2,FALSE)</f>
        <v>3030.294189453125</v>
      </c>
      <c r="L370" s="24">
        <f t="shared" ref="L370" si="594">IF(AND(K370&gt;$I$7,K370&lt;$I$8),1,0)</f>
        <v>1</v>
      </c>
      <c r="M370" s="24"/>
      <c r="N370" s="26"/>
      <c r="O370" s="26"/>
      <c r="P370" s="26"/>
      <c r="Q370" s="26"/>
      <c r="R370" s="26"/>
      <c r="S370" s="26"/>
      <c r="T370" s="26"/>
      <c r="U370" s="26"/>
      <c r="V370" s="26"/>
      <c r="W370" s="26">
        <f>MAX($C$8-VLOOKUP($C370,COS!$B$8:$H$991,3,FALSE),0)</f>
        <v>94542.38232421875</v>
      </c>
      <c r="X370" s="26">
        <f t="shared" si="562"/>
        <v>5625.6624192923546</v>
      </c>
      <c r="Y370" s="26">
        <f>VLOOKUP($C370,COS!$B$8:$H$991,4,FALSE)</f>
        <v>1068.3673095703125</v>
      </c>
      <c r="Z370" s="26">
        <f t="shared" si="563"/>
        <v>63.572269660382233</v>
      </c>
      <c r="AA370" s="26">
        <f t="shared" si="592"/>
        <v>1068.3673095703125</v>
      </c>
      <c r="AB370" s="33">
        <f t="shared" si="548"/>
        <v>63.572269660382233</v>
      </c>
    </row>
    <row r="371" spans="1:28" x14ac:dyDescent="0.3">
      <c r="A371" s="32">
        <f>VLOOKUP(YEAR(C371),Flags!$A$13:$B$95,2,FALSE)</f>
        <v>4</v>
      </c>
      <c r="B371" s="24">
        <f t="shared" si="535"/>
        <v>1961</v>
      </c>
      <c r="C371" s="25">
        <v>22585</v>
      </c>
      <c r="D371" s="26"/>
      <c r="E371" s="24"/>
      <c r="F371" s="26"/>
      <c r="G371" s="26"/>
      <c r="H371" s="26"/>
      <c r="I371" s="26"/>
      <c r="J371" s="26"/>
      <c r="K371" s="26"/>
      <c r="L371" s="24"/>
      <c r="M371" s="24"/>
      <c r="N371" s="26"/>
      <c r="O371" s="26"/>
      <c r="P371" s="26"/>
      <c r="Q371" s="26"/>
      <c r="R371" s="26"/>
      <c r="S371" s="26"/>
      <c r="T371" s="26"/>
      <c r="U371" s="26"/>
      <c r="V371" s="26"/>
      <c r="W371" s="26">
        <f>MAX($C$9-VLOOKUP($C371,COS!$B$8:$H$991,3,FALSE),0)</f>
        <v>92871.4130859375</v>
      </c>
      <c r="X371" s="26">
        <f t="shared" si="562"/>
        <v>5710.4406062758271</v>
      </c>
      <c r="Y371" s="26">
        <f>VLOOKUP($C371,COS!$B$8:$H$991,4,FALSE)</f>
        <v>2354.580322265625</v>
      </c>
      <c r="Z371" s="26">
        <f t="shared" si="563"/>
        <v>144.77750080707645</v>
      </c>
      <c r="AA371" s="26">
        <f t="shared" si="592"/>
        <v>2354.580322265625</v>
      </c>
      <c r="AB371" s="33">
        <f t="shared" si="548"/>
        <v>144.77750080707645</v>
      </c>
    </row>
    <row r="372" spans="1:28" x14ac:dyDescent="0.3">
      <c r="A372" s="32">
        <f>VLOOKUP(YEAR(C372),Flags!$A$13:$B$95,2,FALSE)</f>
        <v>4</v>
      </c>
      <c r="B372" s="24">
        <f t="shared" si="535"/>
        <v>1961</v>
      </c>
      <c r="C372" s="25">
        <v>22615</v>
      </c>
      <c r="D372" s="26"/>
      <c r="E372" s="24"/>
      <c r="F372" s="26"/>
      <c r="G372" s="26"/>
      <c r="H372" s="26"/>
      <c r="I372" s="26"/>
      <c r="J372" s="26"/>
      <c r="K372" s="26"/>
      <c r="L372" s="24"/>
      <c r="M372" s="24"/>
      <c r="N372" s="26"/>
      <c r="O372" s="26"/>
      <c r="P372" s="26"/>
      <c r="Q372" s="26"/>
      <c r="R372" s="26"/>
      <c r="S372" s="26"/>
      <c r="T372" s="26"/>
      <c r="U372" s="26"/>
      <c r="V372" s="26"/>
      <c r="W372" s="26">
        <f>MAX($C$10-VLOOKUP($C372,COS!$B$8:$H$991,3,FALSE),0)</f>
        <v>95558.98876953125</v>
      </c>
      <c r="X372" s="26">
        <f t="shared" si="562"/>
        <v>5686.1547036415295</v>
      </c>
      <c r="Y372" s="26">
        <f>VLOOKUP($C372,COS!$B$8:$H$991,4,FALSE)</f>
        <v>1388.96728515625</v>
      </c>
      <c r="Z372" s="26">
        <f t="shared" si="563"/>
        <v>82.649293001033058</v>
      </c>
      <c r="AA372" s="26">
        <f t="shared" si="592"/>
        <v>1388.96728515625</v>
      </c>
      <c r="AB372" s="33">
        <f t="shared" si="548"/>
        <v>41.324646500516529</v>
      </c>
    </row>
    <row r="373" spans="1:28" x14ac:dyDescent="0.3">
      <c r="A373" s="34">
        <f>VLOOKUP(YEAR(C373),Flags!$A$13:$B$95,2,FALSE)</f>
        <v>4</v>
      </c>
      <c r="B373" s="35">
        <f t="shared" si="535"/>
        <v>1961</v>
      </c>
      <c r="C373" s="36">
        <v>22646</v>
      </c>
      <c r="D373" s="37"/>
      <c r="E373" s="35"/>
      <c r="F373" s="37"/>
      <c r="G373" s="37"/>
      <c r="H373" s="37"/>
      <c r="I373" s="37"/>
      <c r="J373" s="37"/>
      <c r="K373" s="37"/>
      <c r="L373" s="35"/>
      <c r="M373" s="35"/>
      <c r="N373" s="37"/>
      <c r="O373" s="37"/>
      <c r="P373" s="37"/>
      <c r="Q373" s="37"/>
      <c r="R373" s="37"/>
      <c r="S373" s="37"/>
      <c r="T373" s="37"/>
      <c r="U373" s="37"/>
      <c r="V373" s="37"/>
      <c r="W373" s="37">
        <f>MAX($C$11-VLOOKUP($C373,COS!$B$8:$H$991,3,FALSE),0)</f>
        <v>0</v>
      </c>
      <c r="X373" s="37">
        <f t="shared" si="562"/>
        <v>0</v>
      </c>
      <c r="Y373" s="37">
        <f>VLOOKUP($C373,COS!$B$8:$H$991,4,FALSE)</f>
        <v>1553.054443359375</v>
      </c>
      <c r="Z373" s="37">
        <f t="shared" si="563"/>
        <v>95.493595525568182</v>
      </c>
      <c r="AA373" s="37">
        <f t="shared" si="592"/>
        <v>0</v>
      </c>
      <c r="AB373" s="38">
        <f t="shared" si="548"/>
        <v>0</v>
      </c>
    </row>
    <row r="374" spans="1:28" x14ac:dyDescent="0.3">
      <c r="A374" s="27">
        <f>VLOOKUP(YEAR(C374),Flags!$A$13:$B$95,2,FALSE)</f>
        <v>3</v>
      </c>
      <c r="B374" s="28">
        <f t="shared" si="535"/>
        <v>1962</v>
      </c>
      <c r="C374" s="29">
        <v>22766</v>
      </c>
      <c r="D374" s="30">
        <f>VLOOKUP($C374,COS!$B$8:$H$991,3,FALSE)</f>
        <v>3754.135009765625</v>
      </c>
      <c r="E374" s="28">
        <f>IF(D374&gt;=IF(MONTH($C374)=4,$C$3,IF(MONTH($C374)=5,$C$4,IF(MONTH($C374)=6,$C$5,IF(MONTH($C374)=7,$C$6,"ERROR")))),1,0)</f>
        <v>0</v>
      </c>
      <c r="F374" s="30">
        <f>VLOOKUP($C374,COS!$B$8:$H$991,7,FALSE)</f>
        <v>51.116634368896484</v>
      </c>
      <c r="G374" s="28">
        <f>IF(F374&lt;=IF(MONTH($C374)=4,$F$3,IF(MONTH($C374)=5,$F$4,IF(MONTH($C374)=6,$F$5,IF(MONTH($C374)=7,$F$6,"ERROR")))),1,0)</f>
        <v>1</v>
      </c>
      <c r="H374" s="30">
        <f>IF(J374=1,D374-$C$3,0)</f>
        <v>0</v>
      </c>
      <c r="I374" s="30">
        <f t="shared" si="558"/>
        <v>0</v>
      </c>
      <c r="J374" s="28">
        <f t="shared" ref="J374:J377" si="595">IF(AND(E374=1,G374=1),1,0)</f>
        <v>0</v>
      </c>
      <c r="K374" s="30">
        <f>VLOOKUP($C374,COS!$B$8:$H$991,2,FALSE)</f>
        <v>4552</v>
      </c>
      <c r="L374" s="28">
        <f t="shared" ref="L374" si="596">IF(K374&lt;=IF(MONTH($C374)=4,$I$3,IF(MONTH($C374)=5,$I$4,IF(MONTH($C374)=6,$I$5,IF(MONTH($C374)=7,$I$6,"ERROR")))),1,0)</f>
        <v>1</v>
      </c>
      <c r="M374" s="28">
        <f t="shared" ref="M374" si="597">VLOOKUP($A374,$L$3:$M$7,2,FALSE)</f>
        <v>1</v>
      </c>
      <c r="N374" s="30">
        <f>VLOOKUP($C374,COS!$B$8:$H$991,5,FALSE)</f>
        <v>412.55120849609375</v>
      </c>
      <c r="O374" s="30">
        <f t="shared" ref="O374:O377" si="598">N374*DAY($C374)*86400/43560/1000</f>
        <v>24.548501662577479</v>
      </c>
      <c r="P374" s="30">
        <f>VLOOKUP($C374,COS!$B$8:$H$991,6,FALSE)</f>
        <v>496.0894775390625</v>
      </c>
      <c r="Q374" s="30">
        <f t="shared" ref="Q374:Q377" si="599">P374*DAY($C374)*86400/43560/1000</f>
        <v>29.519373870092974</v>
      </c>
      <c r="R374" s="30">
        <f>MIN(IF(MONTH($C374)=4,$S$3,IF(MONTH($C374)=5,$S$4,IF(MONTH($C374)=6,$S$5,IF(MONTH($C374)=7,$S$6,"ERROR")))),MAX(VLOOKUP($C374,COS!$B$8:$K$991,10,FALSE)-IF(MONTH($C374)=4,$Y$3,IF(MONTH($C374)=5,$Y$4,IF(MONTH($C374)=6,$Y$5,IF(MONTH($C374)=7,$Y$6,"ERROR")))),0),MAX(VLOOKUP($C374,COS!$B$8:$K$991,9,FALSE)-IF(MONTH($C374)=4,$V$3,IF(MONTH($C374)=5,$V$4,IF(MONTH($C374)=6,$V$5,IF(MONTH($C374)=7,$V$6,"ERROR"))))-VLOOKUP($C374,COS!$B$8:$K$991,6,FALSE)/2,0))</f>
        <v>1500</v>
      </c>
      <c r="S374" s="30">
        <f t="shared" ref="S374:S377" si="600">R374*DAY($C374)*86400/43560/1000</f>
        <v>89.256198347107429</v>
      </c>
      <c r="T374" s="30">
        <f t="shared" ref="T374:T377" si="601">(O374+Q374)/2+S374</f>
        <v>116.29013611344266</v>
      </c>
      <c r="U374" s="30" t="str">
        <f>IF(VLOOKUP($C374,COS!$B$8:$I$991,8,FALSE)=1,"UWFE","IBU")</f>
        <v>UWFE</v>
      </c>
      <c r="V374" s="30">
        <f t="shared" ref="V374" si="602">MIN(IF(IF($AA$3=2,AND(E374=1,G374=1,L374=1,L379=1,M374=1,U374="IBU"),AND(E374=1,G374=1,L374=1,L379=1,M374=1)),T374,0),I374)</f>
        <v>0</v>
      </c>
      <c r="W374" s="30"/>
      <c r="X374" s="30"/>
      <c r="Y374" s="30"/>
      <c r="Z374" s="30"/>
      <c r="AA374" s="30"/>
      <c r="AB374" s="31"/>
    </row>
    <row r="375" spans="1:28" x14ac:dyDescent="0.3">
      <c r="A375" s="32">
        <f>VLOOKUP(YEAR(C375),Flags!$A$13:$B$95,2,FALSE)</f>
        <v>3</v>
      </c>
      <c r="B375" s="24">
        <f t="shared" si="535"/>
        <v>1962</v>
      </c>
      <c r="C375" s="25">
        <v>22797</v>
      </c>
      <c r="D375" s="26">
        <f>VLOOKUP($C375,COS!$B$8:$H$991,3,FALSE)</f>
        <v>8163.22021484375</v>
      </c>
      <c r="E375" s="24">
        <f>IF(D375&gt;=IF(MONTH($C375)=4,$C$3,IF(MONTH($C375)=5,$C$4,IF(MONTH($C375)=6,$C$5,IF(MONTH($C375)=7,$C$6,"ERROR")))),1,0)</f>
        <v>1</v>
      </c>
      <c r="F375" s="26">
        <f>VLOOKUP($C375,COS!$B$8:$H$991,7,FALSE)</f>
        <v>49.783451080322266</v>
      </c>
      <c r="G375" s="24">
        <f>IF(F375&lt;=IF(MONTH($C375)=4,$F$3,IF(MONTH($C375)=5,$F$4,IF(MONTH($C375)=6,$F$5,IF(MONTH($C375)=7,$F$6,"ERROR")))),1,0)</f>
        <v>1</v>
      </c>
      <c r="H375" s="26">
        <f>IF(J375=1,D375-$C$4,0)</f>
        <v>2163.22021484375</v>
      </c>
      <c r="I375" s="26">
        <f t="shared" si="558"/>
        <v>133.01122643336777</v>
      </c>
      <c r="J375" s="24">
        <f t="shared" si="595"/>
        <v>1</v>
      </c>
      <c r="K375" s="26">
        <f>VLOOKUP($C375,COS!$B$8:$H$991,2,FALSE)</f>
        <v>4418.89453125</v>
      </c>
      <c r="L375" s="24">
        <f t="shared" si="537"/>
        <v>1</v>
      </c>
      <c r="M375" s="24">
        <f t="shared" si="538"/>
        <v>1</v>
      </c>
      <c r="N375" s="26">
        <f>VLOOKUP($C375,COS!$B$8:$H$991,5,FALSE)</f>
        <v>657.1561279296875</v>
      </c>
      <c r="O375" s="26">
        <f t="shared" si="598"/>
        <v>40.406955304106404</v>
      </c>
      <c r="P375" s="26">
        <f>VLOOKUP($C375,COS!$B$8:$H$991,6,FALSE)</f>
        <v>2288.578369140625</v>
      </c>
      <c r="Q375" s="26">
        <f t="shared" si="599"/>
        <v>140.71919889591942</v>
      </c>
      <c r="R375" s="26">
        <f>MIN(IF(MONTH($C375)=4,$S$3,IF(MONTH($C375)=5,$S$4,IF(MONTH($C375)=6,$S$5,IF(MONTH($C375)=7,$S$6,"ERROR")))),MAX(VLOOKUP($C375,COS!$B$8:$K$991,10,FALSE)-IF(MONTH($C375)=4,$Y$3,IF(MONTH($C375)=5,$Y$4,IF(MONTH($C375)=6,$Y$5,IF(MONTH($C375)=7,$Y$6,"ERROR")))),0),MAX(VLOOKUP($C375,COS!$B$8:$K$991,9,FALSE)-IF(MONTH($C375)=4,$V$3,IF(MONTH($C375)=5,$V$4,IF(MONTH($C375)=6,$V$5,IF(MONTH($C375)=7,$V$6,"ERROR"))))-VLOOKUP($C375,COS!$B$8:$K$991,6,FALSE)/2,0))</f>
        <v>1500</v>
      </c>
      <c r="S375" s="26">
        <f t="shared" si="600"/>
        <v>92.231404958677686</v>
      </c>
      <c r="T375" s="26">
        <f t="shared" si="601"/>
        <v>182.79448205869062</v>
      </c>
      <c r="U375" s="26" t="str">
        <f>IF(VLOOKUP($C375,COS!$B$8:$I$991,8,FALSE)=1,"UWFE","IBU")</f>
        <v>UWFE</v>
      </c>
      <c r="V375" s="26">
        <f t="shared" ref="V375" si="603">MIN(IF(IF($AA$3=2,AND(E375=1,G375=1,L375=1,L379=1,M375=1,U375="IBU"),AND(E375=1,G375=1,L375=1,L379=1,M375=1)),T375,0),I375)</f>
        <v>0</v>
      </c>
      <c r="W375" s="26"/>
      <c r="X375" s="26"/>
      <c r="Y375" s="26"/>
      <c r="Z375" s="26"/>
      <c r="AA375" s="26"/>
      <c r="AB375" s="33"/>
    </row>
    <row r="376" spans="1:28" x14ac:dyDescent="0.3">
      <c r="A376" s="32">
        <f>VLOOKUP(YEAR(C376),Flags!$A$13:$B$95,2,FALSE)</f>
        <v>3</v>
      </c>
      <c r="B376" s="24">
        <f t="shared" si="535"/>
        <v>1962</v>
      </c>
      <c r="C376" s="25">
        <v>22827</v>
      </c>
      <c r="D376" s="26">
        <f>VLOOKUP($C376,COS!$B$8:$H$991,3,FALSE)</f>
        <v>9541.0107421875</v>
      </c>
      <c r="E376" s="24">
        <f>IF(D376&gt;=IF(MONTH($C376)=4,$C$3,IF(MONTH($C376)=5,$C$4,IF(MONTH($C376)=6,$C$5,IF(MONTH($C376)=7,$C$6,"ERROR")))),1,0)</f>
        <v>0</v>
      </c>
      <c r="F376" s="26">
        <f>VLOOKUP($C376,COS!$B$8:$H$991,7,FALSE)</f>
        <v>50.677501678466797</v>
      </c>
      <c r="G376" s="24">
        <f>IF(F376&lt;=IF(MONTH($C376)=4,$F$3,IF(MONTH($C376)=5,$F$4,IF(MONTH($C376)=6,$F$5,IF(MONTH($C376)=7,$F$6,"ERROR")))),1,0)</f>
        <v>1</v>
      </c>
      <c r="H376" s="26">
        <f>IF(J376=1,D376-$C$5,0)</f>
        <v>0</v>
      </c>
      <c r="I376" s="26">
        <f t="shared" si="558"/>
        <v>0</v>
      </c>
      <c r="J376" s="24">
        <f t="shared" si="595"/>
        <v>0</v>
      </c>
      <c r="K376" s="26">
        <f>VLOOKUP($C376,COS!$B$8:$H$991,2,FALSE)</f>
        <v>4081.933837890625</v>
      </c>
      <c r="L376" s="24">
        <f t="shared" si="537"/>
        <v>1</v>
      </c>
      <c r="M376" s="24">
        <f t="shared" si="538"/>
        <v>1</v>
      </c>
      <c r="N376" s="26">
        <f>VLOOKUP($C376,COS!$B$8:$H$991,5,FALSE)</f>
        <v>805.975830078125</v>
      </c>
      <c r="O376" s="26">
        <f t="shared" si="598"/>
        <v>47.95889236828512</v>
      </c>
      <c r="P376" s="26">
        <f>VLOOKUP($C376,COS!$B$8:$H$991,6,FALSE)</f>
        <v>2523.65283203125</v>
      </c>
      <c r="Q376" s="26">
        <f t="shared" si="599"/>
        <v>150.1677718233471</v>
      </c>
      <c r="R376" s="26">
        <f>MIN(IF(MONTH($C376)=4,$S$3,IF(MONTH($C376)=5,$S$4,IF(MONTH($C376)=6,$S$5,IF(MONTH($C376)=7,$S$6,"ERROR")))),MAX(VLOOKUP($C376,COS!$B$8:$K$991,10,FALSE)-IF(MONTH($C376)=4,$Y$3,IF(MONTH($C376)=5,$Y$4,IF(MONTH($C376)=6,$Y$5,IF(MONTH($C376)=7,$Y$6,"ERROR")))),0),MAX(VLOOKUP($C376,COS!$B$8:$K$991,9,FALSE)-IF(MONTH($C376)=4,$V$3,IF(MONTH($C376)=5,$V$4,IF(MONTH($C376)=6,$V$5,IF(MONTH($C376)=7,$V$6,"ERROR"))))-VLOOKUP($C376,COS!$B$8:$K$991,6,FALSE)/2,0))</f>
        <v>1500</v>
      </c>
      <c r="S376" s="26">
        <f t="shared" si="600"/>
        <v>89.256198347107429</v>
      </c>
      <c r="T376" s="26">
        <f t="shared" si="601"/>
        <v>188.31953044292354</v>
      </c>
      <c r="U376" s="26" t="str">
        <f>IF(VLOOKUP($C376,COS!$B$8:$I$991,8,FALSE)=1,"UWFE","IBU")</f>
        <v>IBU</v>
      </c>
      <c r="V376" s="26">
        <f t="shared" ref="V376" si="604">MIN(IF(IF($AA$3=2,AND(E376=1,G376=1,L376=1,L379=1,M376=1,U376="IBU"),AND(E376=1,G376=1,L376=1,L379=1,M376=1)),T376,0),I376)</f>
        <v>0</v>
      </c>
      <c r="W376" s="26"/>
      <c r="X376" s="26"/>
      <c r="Y376" s="26"/>
      <c r="Z376" s="26"/>
      <c r="AA376" s="26"/>
      <c r="AB376" s="33"/>
    </row>
    <row r="377" spans="1:28" x14ac:dyDescent="0.3">
      <c r="A377" s="32">
        <f>VLOOKUP(YEAR(C377),Flags!$A$13:$B$95,2,FALSE)</f>
        <v>3</v>
      </c>
      <c r="B377" s="24">
        <f t="shared" si="535"/>
        <v>1962</v>
      </c>
      <c r="C377" s="25">
        <v>22858</v>
      </c>
      <c r="D377" s="26">
        <f>VLOOKUP($C377,COS!$B$8:$H$991,3,FALSE)</f>
        <v>15542.783203125</v>
      </c>
      <c r="E377" s="24">
        <f>IF(D377&gt;=IF(MONTH($C377)=4,$C$3,IF(MONTH($C377)=5,$C$4,IF(MONTH($C377)=6,$C$5,IF(MONTH($C377)=7,$C$6,"ERROR")))),1,0)</f>
        <v>1</v>
      </c>
      <c r="F377" s="26">
        <f>VLOOKUP($C377,COS!$B$8:$H$991,7,FALSE)</f>
        <v>50.507843017578125</v>
      </c>
      <c r="G377" s="24">
        <f>IF(F377&lt;=IF(MONTH($C377)=4,$F$3,IF(MONTH($C377)=5,$F$4,IF(MONTH($C377)=6,$F$5,IF(MONTH($C377)=7,$F$6,"ERROR")))),1,0)</f>
        <v>1</v>
      </c>
      <c r="H377" s="26">
        <f>IF(J377=1,D377-$C$6,0)</f>
        <v>3542.783203125</v>
      </c>
      <c r="I377" s="26">
        <f t="shared" si="558"/>
        <v>217.83724819214873</v>
      </c>
      <c r="J377" s="24">
        <f t="shared" si="595"/>
        <v>1</v>
      </c>
      <c r="K377" s="26">
        <f>VLOOKUP($C377,COS!$B$8:$H$991,2,FALSE)</f>
        <v>3381.171142578125</v>
      </c>
      <c r="L377" s="24">
        <f t="shared" si="537"/>
        <v>1</v>
      </c>
      <c r="M377" s="24">
        <f t="shared" si="538"/>
        <v>1</v>
      </c>
      <c r="N377" s="26">
        <f>VLOOKUP($C377,COS!$B$8:$H$991,5,FALSE)</f>
        <v>930.34075927734375</v>
      </c>
      <c r="O377" s="26">
        <f t="shared" si="598"/>
        <v>57.20442354564824</v>
      </c>
      <c r="P377" s="26">
        <f>VLOOKUP($C377,COS!$B$8:$H$991,6,FALSE)</f>
        <v>2537.385498046875</v>
      </c>
      <c r="Q377" s="26">
        <f t="shared" si="599"/>
        <v>156.01775293775825</v>
      </c>
      <c r="R377" s="26">
        <f>MIN(IF(MONTH($C377)=4,$S$3,IF(MONTH($C377)=5,$S$4,IF(MONTH($C377)=6,$S$5,IF(MONTH($C377)=7,$S$6,"ERROR")))),MAX(VLOOKUP($C377,COS!$B$8:$K$991,10,FALSE)-IF(MONTH($C377)=4,$Y$3,IF(MONTH($C377)=5,$Y$4,IF(MONTH($C377)=6,$Y$5,IF(MONTH($C377)=7,$Y$6,"ERROR")))),0),MAX(VLOOKUP($C377,COS!$B$8:$K$991,9,FALSE)-IF(MONTH($C377)=4,$V$3,IF(MONTH($C377)=5,$V$4,IF(MONTH($C377)=6,$V$5,IF(MONTH($C377)=7,$V$6,"ERROR"))))-VLOOKUP($C377,COS!$B$8:$K$991,6,FALSE)/2,0))</f>
        <v>1500</v>
      </c>
      <c r="S377" s="26">
        <f t="shared" si="600"/>
        <v>92.231404958677686</v>
      </c>
      <c r="T377" s="26">
        <f t="shared" si="601"/>
        <v>198.84249320038094</v>
      </c>
      <c r="U377" s="26" t="str">
        <f>IF(VLOOKUP($C377,COS!$B$8:$I$991,8,FALSE)=1,"UWFE","IBU")</f>
        <v>IBU</v>
      </c>
      <c r="V377" s="26">
        <f t="shared" ref="V377" si="605">MIN(IF(IF($AA$3=2,AND(E377=1,G377=1,L377=1,L379=1,M377=1,U377="IBU"),AND(E377=1,G377=1,L377=1,L379=1,M377=1)),T377,0),I377)</f>
        <v>198.84249320038094</v>
      </c>
      <c r="W377" s="26"/>
      <c r="X377" s="26"/>
      <c r="Y377" s="26"/>
      <c r="Z377" s="26"/>
      <c r="AA377" s="26"/>
      <c r="AB377" s="33"/>
    </row>
    <row r="378" spans="1:28" x14ac:dyDescent="0.3">
      <c r="A378" s="32">
        <f>VLOOKUP(YEAR(C378),Flags!$A$13:$B$95,2,FALSE)</f>
        <v>3</v>
      </c>
      <c r="B378" s="24">
        <f t="shared" si="535"/>
        <v>1962</v>
      </c>
      <c r="C378" s="25">
        <v>22889</v>
      </c>
      <c r="D378" s="26"/>
      <c r="E378" s="24"/>
      <c r="F378" s="26"/>
      <c r="G378" s="24"/>
      <c r="H378" s="24"/>
      <c r="I378" s="26"/>
      <c r="J378" s="24"/>
      <c r="K378" s="26"/>
      <c r="L378" s="24"/>
      <c r="M378" s="24"/>
      <c r="N378" s="26"/>
      <c r="O378" s="26"/>
      <c r="P378" s="26"/>
      <c r="Q378" s="26"/>
      <c r="R378" s="26"/>
      <c r="S378" s="26"/>
      <c r="T378" s="26"/>
      <c r="U378" s="26"/>
      <c r="V378" s="26"/>
      <c r="W378" s="26">
        <f>MAX($C$7-VLOOKUP($C378,COS!$B$8:$H$991,3,FALSE),0)</f>
        <v>90501.505859375</v>
      </c>
      <c r="X378" s="26">
        <f t="shared" si="562"/>
        <v>5564.7206908574381</v>
      </c>
      <c r="Y378" s="26">
        <f>VLOOKUP($C378,COS!$B$8:$H$991,4,FALSE)</f>
        <v>326.0140380859375</v>
      </c>
      <c r="Z378" s="26">
        <f t="shared" si="563"/>
        <v>20.045821845945248</v>
      </c>
      <c r="AA378" s="26">
        <f t="shared" ref="AA378:AA382" si="606">MIN(W378,Y378)</f>
        <v>326.0140380859375</v>
      </c>
      <c r="AB378" s="33">
        <f t="shared" ref="AB378" si="607">AA378*DAY($C378)*86400/43560/1000*IF(MONTH($C378)=8,$P$3,IF(MONTH($C378)=9,$P$4,IF(MONTH($C378)=10,$P$5,IF(MONTH($C378)=11,$P$6,IF(MONTH($C378)=12,$P$7,NA())))))</f>
        <v>20.045821845945248</v>
      </c>
    </row>
    <row r="379" spans="1:28" x14ac:dyDescent="0.3">
      <c r="A379" s="32">
        <f>VLOOKUP(YEAR(C379),Flags!$A$13:$B$95,2,FALSE)</f>
        <v>3</v>
      </c>
      <c r="B379" s="24">
        <f t="shared" si="535"/>
        <v>1962</v>
      </c>
      <c r="C379" s="25">
        <v>22919</v>
      </c>
      <c r="D379" s="26"/>
      <c r="E379" s="24"/>
      <c r="F379" s="26"/>
      <c r="G379" s="24"/>
      <c r="H379" s="24"/>
      <c r="I379" s="26"/>
      <c r="J379" s="24"/>
      <c r="K379" s="26">
        <f>VLOOKUP($C379,COS!$B$8:$H$991,2,FALSE)</f>
        <v>3012.717529296875</v>
      </c>
      <c r="L379" s="24">
        <f t="shared" ref="L379" si="608">IF(AND(K379&gt;$I$7,K379&lt;$I$8),1,0)</f>
        <v>1</v>
      </c>
      <c r="M379" s="24"/>
      <c r="N379" s="26"/>
      <c r="O379" s="26"/>
      <c r="P379" s="26"/>
      <c r="Q379" s="26"/>
      <c r="R379" s="26"/>
      <c r="S379" s="26"/>
      <c r="T379" s="26"/>
      <c r="U379" s="26"/>
      <c r="V379" s="26"/>
      <c r="W379" s="26">
        <f>MAX($C$8-VLOOKUP($C379,COS!$B$8:$H$991,3,FALSE),0)</f>
        <v>94563.63525390625</v>
      </c>
      <c r="X379" s="26">
        <f t="shared" si="562"/>
        <v>5626.9270564307853</v>
      </c>
      <c r="Y379" s="26">
        <f>VLOOKUP($C379,COS!$B$8:$H$991,4,FALSE)</f>
        <v>0</v>
      </c>
      <c r="Z379" s="26">
        <f t="shared" si="563"/>
        <v>0</v>
      </c>
      <c r="AA379" s="26">
        <f t="shared" si="606"/>
        <v>0</v>
      </c>
      <c r="AB379" s="33">
        <f t="shared" si="548"/>
        <v>0</v>
      </c>
    </row>
    <row r="380" spans="1:28" x14ac:dyDescent="0.3">
      <c r="A380" s="32">
        <f>VLOOKUP(YEAR(C380),Flags!$A$13:$B$95,2,FALSE)</f>
        <v>3</v>
      </c>
      <c r="B380" s="24">
        <f t="shared" si="535"/>
        <v>1962</v>
      </c>
      <c r="C380" s="25">
        <v>22950</v>
      </c>
      <c r="D380" s="26"/>
      <c r="E380" s="24"/>
      <c r="F380" s="26"/>
      <c r="G380" s="26"/>
      <c r="H380" s="26"/>
      <c r="I380" s="26"/>
      <c r="J380" s="26"/>
      <c r="K380" s="26"/>
      <c r="L380" s="24"/>
      <c r="M380" s="24"/>
      <c r="N380" s="26"/>
      <c r="O380" s="26"/>
      <c r="P380" s="26"/>
      <c r="Q380" s="26"/>
      <c r="R380" s="26"/>
      <c r="S380" s="26"/>
      <c r="T380" s="26"/>
      <c r="U380" s="26"/>
      <c r="V380" s="26"/>
      <c r="W380" s="26">
        <f>MAX($C$9-VLOOKUP($C380,COS!$B$8:$H$991,3,FALSE),0)</f>
        <v>91099.30859375</v>
      </c>
      <c r="X380" s="26">
        <f t="shared" si="562"/>
        <v>5601.478148243802</v>
      </c>
      <c r="Y380" s="26">
        <f>VLOOKUP($C380,COS!$B$8:$H$991,4,FALSE)</f>
        <v>0</v>
      </c>
      <c r="Z380" s="26">
        <f t="shared" si="563"/>
        <v>0</v>
      </c>
      <c r="AA380" s="26">
        <f t="shared" si="606"/>
        <v>0</v>
      </c>
      <c r="AB380" s="33">
        <f t="shared" si="548"/>
        <v>0</v>
      </c>
    </row>
    <row r="381" spans="1:28" x14ac:dyDescent="0.3">
      <c r="A381" s="32">
        <f>VLOOKUP(YEAR(C381),Flags!$A$13:$B$95,2,FALSE)</f>
        <v>3</v>
      </c>
      <c r="B381" s="24">
        <f t="shared" si="535"/>
        <v>1962</v>
      </c>
      <c r="C381" s="25">
        <v>22980</v>
      </c>
      <c r="D381" s="26"/>
      <c r="E381" s="24"/>
      <c r="F381" s="26"/>
      <c r="G381" s="26"/>
      <c r="H381" s="26"/>
      <c r="I381" s="26"/>
      <c r="J381" s="26"/>
      <c r="K381" s="26"/>
      <c r="L381" s="24"/>
      <c r="M381" s="24"/>
      <c r="N381" s="26"/>
      <c r="O381" s="26"/>
      <c r="P381" s="26"/>
      <c r="Q381" s="26"/>
      <c r="R381" s="26"/>
      <c r="S381" s="26"/>
      <c r="T381" s="26"/>
      <c r="U381" s="26"/>
      <c r="V381" s="26"/>
      <c r="W381" s="26">
        <f>MAX($C$10-VLOOKUP($C381,COS!$B$8:$H$991,3,FALSE),0)</f>
        <v>94435.6953125</v>
      </c>
      <c r="X381" s="26">
        <f t="shared" si="562"/>
        <v>5619.3141012396691</v>
      </c>
      <c r="Y381" s="26">
        <f>VLOOKUP($C381,COS!$B$8:$H$991,4,FALSE)</f>
        <v>0</v>
      </c>
      <c r="Z381" s="26">
        <f t="shared" si="563"/>
        <v>0</v>
      </c>
      <c r="AA381" s="26">
        <f t="shared" si="606"/>
        <v>0</v>
      </c>
      <c r="AB381" s="33">
        <f t="shared" si="548"/>
        <v>0</v>
      </c>
    </row>
    <row r="382" spans="1:28" x14ac:dyDescent="0.3">
      <c r="A382" s="34">
        <f>VLOOKUP(YEAR(C382),Flags!$A$13:$B$95,2,FALSE)</f>
        <v>3</v>
      </c>
      <c r="B382" s="35">
        <f t="shared" si="535"/>
        <v>1962</v>
      </c>
      <c r="C382" s="36">
        <v>23011</v>
      </c>
      <c r="D382" s="37"/>
      <c r="E382" s="35"/>
      <c r="F382" s="37"/>
      <c r="G382" s="37"/>
      <c r="H382" s="37"/>
      <c r="I382" s="37"/>
      <c r="J382" s="37"/>
      <c r="K382" s="37"/>
      <c r="L382" s="35"/>
      <c r="M382" s="35"/>
      <c r="N382" s="37"/>
      <c r="O382" s="37"/>
      <c r="P382" s="37"/>
      <c r="Q382" s="37"/>
      <c r="R382" s="37"/>
      <c r="S382" s="37"/>
      <c r="T382" s="37"/>
      <c r="U382" s="37"/>
      <c r="V382" s="37"/>
      <c r="W382" s="37">
        <f>MAX($C$11-VLOOKUP($C382,COS!$B$8:$H$991,3,FALSE),0)</f>
        <v>0</v>
      </c>
      <c r="X382" s="37">
        <f t="shared" si="562"/>
        <v>0</v>
      </c>
      <c r="Y382" s="37">
        <f>VLOOKUP($C382,COS!$B$8:$H$991,4,FALSE)</f>
        <v>0</v>
      </c>
      <c r="Z382" s="37">
        <f t="shared" si="563"/>
        <v>0</v>
      </c>
      <c r="AA382" s="37">
        <f t="shared" si="606"/>
        <v>0</v>
      </c>
      <c r="AB382" s="38">
        <f t="shared" si="548"/>
        <v>0</v>
      </c>
    </row>
    <row r="383" spans="1:28" x14ac:dyDescent="0.3">
      <c r="A383" s="27">
        <f>VLOOKUP(YEAR(C383),Flags!$A$13:$B$95,2,FALSE)</f>
        <v>1</v>
      </c>
      <c r="B383" s="28">
        <f t="shared" si="535"/>
        <v>1963</v>
      </c>
      <c r="C383" s="29">
        <v>23131</v>
      </c>
      <c r="D383" s="30">
        <f>VLOOKUP($C383,COS!$B$8:$H$991,3,FALSE)</f>
        <v>30893.44921875</v>
      </c>
      <c r="E383" s="28">
        <f>IF(D383&gt;=IF(MONTH($C383)=4,$C$3,IF(MONTH($C383)=5,$C$4,IF(MONTH($C383)=6,$C$5,IF(MONTH($C383)=7,$C$6,"ERROR")))),1,0)</f>
        <v>1</v>
      </c>
      <c r="F383" s="30">
        <f>VLOOKUP($C383,COS!$B$8:$H$991,7,FALSE)</f>
        <v>48.021064758300781</v>
      </c>
      <c r="G383" s="28">
        <f>IF(F383&lt;=IF(MONTH($C383)=4,$F$3,IF(MONTH($C383)=5,$F$4,IF(MONTH($C383)=6,$F$5,IF(MONTH($C383)=7,$F$6,"ERROR")))),1,0)</f>
        <v>1</v>
      </c>
      <c r="H383" s="30">
        <f>IF(J383=1,D383-$C$3,0)</f>
        <v>24893.44921875</v>
      </c>
      <c r="I383" s="30">
        <f t="shared" si="558"/>
        <v>1481.2630940082643</v>
      </c>
      <c r="J383" s="28">
        <f t="shared" ref="J383:J386" si="609">IF(AND(E383=1,G383=1),1,0)</f>
        <v>1</v>
      </c>
      <c r="K383" s="30">
        <f>VLOOKUP($C383,COS!$B$8:$H$991,2,FALSE)</f>
        <v>4137</v>
      </c>
      <c r="L383" s="28">
        <f t="shared" ref="L383" si="610">IF(K383&lt;=IF(MONTH($C383)=4,$I$3,IF(MONTH($C383)=5,$I$4,IF(MONTH($C383)=6,$I$5,IF(MONTH($C383)=7,$I$6,"ERROR")))),1,0)</f>
        <v>1</v>
      </c>
      <c r="M383" s="28">
        <f t="shared" ref="M383" si="611">VLOOKUP($A383,$L$3:$M$7,2,FALSE)</f>
        <v>0</v>
      </c>
      <c r="N383" s="30">
        <f>VLOOKUP($C383,COS!$B$8:$H$991,5,FALSE)</f>
        <v>15.700532913208008</v>
      </c>
      <c r="O383" s="30">
        <f t="shared" ref="O383:O386" si="612">N383*DAY($C383)*86400/43560/1000</f>
        <v>0.93424658657105497</v>
      </c>
      <c r="P383" s="30">
        <f>VLOOKUP($C383,COS!$B$8:$H$991,6,FALSE)</f>
        <v>254.50013732910156</v>
      </c>
      <c r="Q383" s="30">
        <f t="shared" ref="Q383:Q386" si="613">P383*DAY($C383)*86400/43560/1000</f>
        <v>15.143809824541581</v>
      </c>
      <c r="R383" s="30">
        <f>MIN(IF(MONTH($C383)=4,$S$3,IF(MONTH($C383)=5,$S$4,IF(MONTH($C383)=6,$S$5,IF(MONTH($C383)=7,$S$6,"ERROR")))),MAX(VLOOKUP($C383,COS!$B$8:$K$991,10,FALSE)-IF(MONTH($C383)=4,$Y$3,IF(MONTH($C383)=5,$Y$4,IF(MONTH($C383)=6,$Y$5,IF(MONTH($C383)=7,$Y$6,"ERROR")))),0),MAX(VLOOKUP($C383,COS!$B$8:$K$991,9,FALSE)-IF(MONTH($C383)=4,$V$3,IF(MONTH($C383)=5,$V$4,IF(MONTH($C383)=6,$V$5,IF(MONTH($C383)=7,$V$6,"ERROR"))))-VLOOKUP($C383,COS!$B$8:$K$991,6,FALSE)/2,0))</f>
        <v>1500</v>
      </c>
      <c r="S383" s="30">
        <f t="shared" ref="S383:S386" si="614">R383*DAY($C383)*86400/43560/1000</f>
        <v>89.256198347107429</v>
      </c>
      <c r="T383" s="30">
        <f t="shared" ref="T383:T386" si="615">(O383+Q383)/2+S383</f>
        <v>97.295226552663749</v>
      </c>
      <c r="U383" s="30" t="str">
        <f>IF(VLOOKUP($C383,COS!$B$8:$I$991,8,FALSE)=1,"UWFE","IBU")</f>
        <v>UWFE</v>
      </c>
      <c r="V383" s="30">
        <f t="shared" ref="V383" si="616">MIN(IF(IF($AA$3=2,AND(E383=1,G383=1,L383=1,L388=1,M383=1,U383="IBU"),AND(E383=1,G383=1,L383=1,L388=1,M383=1)),T383,0),I383)</f>
        <v>0</v>
      </c>
      <c r="W383" s="30"/>
      <c r="X383" s="30"/>
      <c r="Y383" s="30"/>
      <c r="Z383" s="30"/>
      <c r="AA383" s="30"/>
      <c r="AB383" s="31"/>
    </row>
    <row r="384" spans="1:28" x14ac:dyDescent="0.3">
      <c r="A384" s="32">
        <f>VLOOKUP(YEAR(C384),Flags!$A$13:$B$95,2,FALSE)</f>
        <v>1</v>
      </c>
      <c r="B384" s="24">
        <f t="shared" si="535"/>
        <v>1963</v>
      </c>
      <c r="C384" s="25">
        <v>23162</v>
      </c>
      <c r="D384" s="26">
        <f>VLOOKUP($C384,COS!$B$8:$H$991,3,FALSE)</f>
        <v>4724.07177734375</v>
      </c>
      <c r="E384" s="24">
        <f>IF(D384&gt;=IF(MONTH($C384)=4,$C$3,IF(MONTH($C384)=5,$C$4,IF(MONTH($C384)=6,$C$5,IF(MONTH($C384)=7,$C$6,"ERROR")))),1,0)</f>
        <v>0</v>
      </c>
      <c r="F384" s="26">
        <f>VLOOKUP($C384,COS!$B$8:$H$991,7,FALSE)</f>
        <v>52.657608032226563</v>
      </c>
      <c r="G384" s="24">
        <f>IF(F384&lt;=IF(MONTH($C384)=4,$F$3,IF(MONTH($C384)=5,$F$4,IF(MONTH($C384)=6,$F$5,IF(MONTH($C384)=7,$F$6,"ERROR")))),1,0)</f>
        <v>1</v>
      </c>
      <c r="H384" s="26">
        <f>IF(J384=1,D384-$C$4,0)</f>
        <v>0</v>
      </c>
      <c r="I384" s="26">
        <f t="shared" si="558"/>
        <v>0</v>
      </c>
      <c r="J384" s="24">
        <f t="shared" si="609"/>
        <v>0</v>
      </c>
      <c r="K384" s="26">
        <f>VLOOKUP($C384,COS!$B$8:$H$991,2,FALSE)</f>
        <v>4552</v>
      </c>
      <c r="L384" s="24">
        <f t="shared" si="537"/>
        <v>1</v>
      </c>
      <c r="M384" s="24">
        <f t="shared" si="538"/>
        <v>0</v>
      </c>
      <c r="N384" s="26">
        <f>VLOOKUP($C384,COS!$B$8:$H$991,5,FALSE)</f>
        <v>528.83221435546875</v>
      </c>
      <c r="O384" s="26">
        <f t="shared" si="612"/>
        <v>32.516625411608985</v>
      </c>
      <c r="P384" s="26">
        <f>VLOOKUP($C384,COS!$B$8:$H$991,6,FALSE)</f>
        <v>2086.376220703125</v>
      </c>
      <c r="Q384" s="26">
        <f t="shared" si="613"/>
        <v>128.28627340521695</v>
      </c>
      <c r="R384" s="26">
        <f>MIN(IF(MONTH($C384)=4,$S$3,IF(MONTH($C384)=5,$S$4,IF(MONTH($C384)=6,$S$5,IF(MONTH($C384)=7,$S$6,"ERROR")))),MAX(VLOOKUP($C384,COS!$B$8:$K$991,10,FALSE)-IF(MONTH($C384)=4,$Y$3,IF(MONTH($C384)=5,$Y$4,IF(MONTH($C384)=6,$Y$5,IF(MONTH($C384)=7,$Y$6,"ERROR")))),0),MAX(VLOOKUP($C384,COS!$B$8:$K$991,9,FALSE)-IF(MONTH($C384)=4,$V$3,IF(MONTH($C384)=5,$V$4,IF(MONTH($C384)=6,$V$5,IF(MONTH($C384)=7,$V$6,"ERROR"))))-VLOOKUP($C384,COS!$B$8:$K$991,6,FALSE)/2,0))</f>
        <v>1500</v>
      </c>
      <c r="S384" s="26">
        <f t="shared" si="614"/>
        <v>92.231404958677686</v>
      </c>
      <c r="T384" s="26">
        <f t="shared" si="615"/>
        <v>172.63285436709066</v>
      </c>
      <c r="U384" s="26" t="str">
        <f>IF(VLOOKUP($C384,COS!$B$8:$I$991,8,FALSE)=1,"UWFE","IBU")</f>
        <v>UWFE</v>
      </c>
      <c r="V384" s="26">
        <f t="shared" ref="V384" si="617">MIN(IF(IF($AA$3=2,AND(E384=1,G384=1,L384=1,L388=1,M384=1,U384="IBU"),AND(E384=1,G384=1,L384=1,L388=1,M384=1)),T384,0),I384)</f>
        <v>0</v>
      </c>
      <c r="W384" s="26"/>
      <c r="X384" s="26"/>
      <c r="Y384" s="26"/>
      <c r="Z384" s="26"/>
      <c r="AA384" s="26"/>
      <c r="AB384" s="33"/>
    </row>
    <row r="385" spans="1:28" x14ac:dyDescent="0.3">
      <c r="A385" s="32">
        <f>VLOOKUP(YEAR(C385),Flags!$A$13:$B$95,2,FALSE)</f>
        <v>1</v>
      </c>
      <c r="B385" s="24">
        <f t="shared" si="535"/>
        <v>1963</v>
      </c>
      <c r="C385" s="25">
        <v>23192</v>
      </c>
      <c r="D385" s="26">
        <f>VLOOKUP($C385,COS!$B$8:$H$991,3,FALSE)</f>
        <v>8594.71875</v>
      </c>
      <c r="E385" s="24">
        <f>IF(D385&gt;=IF(MONTH($C385)=4,$C$3,IF(MONTH($C385)=5,$C$4,IF(MONTH($C385)=6,$C$5,IF(MONTH($C385)=7,$C$6,"ERROR")))),1,0)</f>
        <v>0</v>
      </c>
      <c r="F385" s="26">
        <f>VLOOKUP($C385,COS!$B$8:$H$991,7,FALSE)</f>
        <v>52.543663024902344</v>
      </c>
      <c r="G385" s="24">
        <f>IF(F385&lt;=IF(MONTH($C385)=4,$F$3,IF(MONTH($C385)=5,$F$4,IF(MONTH($C385)=6,$F$5,IF(MONTH($C385)=7,$F$6,"ERROR")))),1,0)</f>
        <v>1</v>
      </c>
      <c r="H385" s="26">
        <f>IF(J385=1,D385-$C$5,0)</f>
        <v>0</v>
      </c>
      <c r="I385" s="26">
        <f t="shared" si="558"/>
        <v>0</v>
      </c>
      <c r="J385" s="24">
        <f t="shared" si="609"/>
        <v>0</v>
      </c>
      <c r="K385" s="26">
        <f>VLOOKUP($C385,COS!$B$8:$H$991,2,FALSE)</f>
        <v>4318.48828125</v>
      </c>
      <c r="L385" s="24">
        <f t="shared" si="537"/>
        <v>1</v>
      </c>
      <c r="M385" s="24">
        <f t="shared" si="538"/>
        <v>0</v>
      </c>
      <c r="N385" s="26">
        <f>VLOOKUP($C385,COS!$B$8:$H$991,5,FALSE)</f>
        <v>1228.4559326171875</v>
      </c>
      <c r="O385" s="26">
        <f t="shared" si="612"/>
        <v>73.098204254907031</v>
      </c>
      <c r="P385" s="26">
        <f>VLOOKUP($C385,COS!$B$8:$H$991,6,FALSE)</f>
        <v>2324.6142578125</v>
      </c>
      <c r="Q385" s="26">
        <f t="shared" si="613"/>
        <v>138.3241541838843</v>
      </c>
      <c r="R385" s="26">
        <f>MIN(IF(MONTH($C385)=4,$S$3,IF(MONTH($C385)=5,$S$4,IF(MONTH($C385)=6,$S$5,IF(MONTH($C385)=7,$S$6,"ERROR")))),MAX(VLOOKUP($C385,COS!$B$8:$K$991,10,FALSE)-IF(MONTH($C385)=4,$Y$3,IF(MONTH($C385)=5,$Y$4,IF(MONTH($C385)=6,$Y$5,IF(MONTH($C385)=7,$Y$6,"ERROR")))),0),MAX(VLOOKUP($C385,COS!$B$8:$K$991,9,FALSE)-IF(MONTH($C385)=4,$V$3,IF(MONTH($C385)=5,$V$4,IF(MONTH($C385)=6,$V$5,IF(MONTH($C385)=7,$V$6,"ERROR"))))-VLOOKUP($C385,COS!$B$8:$K$991,6,FALSE)/2,0))</f>
        <v>1500</v>
      </c>
      <c r="S385" s="26">
        <f t="shared" si="614"/>
        <v>89.256198347107429</v>
      </c>
      <c r="T385" s="26">
        <f t="shared" si="615"/>
        <v>194.9673775665031</v>
      </c>
      <c r="U385" s="26" t="str">
        <f>IF(VLOOKUP($C385,COS!$B$8:$I$991,8,FALSE)=1,"UWFE","IBU")</f>
        <v>IBU</v>
      </c>
      <c r="V385" s="26">
        <f t="shared" ref="V385" si="618">MIN(IF(IF($AA$3=2,AND(E385=1,G385=1,L385=1,L388=1,M385=1,U385="IBU"),AND(E385=1,G385=1,L385=1,L388=1,M385=1)),T385,0),I385)</f>
        <v>0</v>
      </c>
      <c r="W385" s="26"/>
      <c r="X385" s="26"/>
      <c r="Y385" s="26"/>
      <c r="Z385" s="26"/>
      <c r="AA385" s="26"/>
      <c r="AB385" s="33"/>
    </row>
    <row r="386" spans="1:28" x14ac:dyDescent="0.3">
      <c r="A386" s="32">
        <f>VLOOKUP(YEAR(C386),Flags!$A$13:$B$95,2,FALSE)</f>
        <v>1</v>
      </c>
      <c r="B386" s="24">
        <f t="shared" si="535"/>
        <v>1963</v>
      </c>
      <c r="C386" s="25">
        <v>23223</v>
      </c>
      <c r="D386" s="26">
        <f>VLOOKUP($C386,COS!$B$8:$H$991,3,FALSE)</f>
        <v>16000</v>
      </c>
      <c r="E386" s="24">
        <f>IF(D386&gt;=IF(MONTH($C386)=4,$C$3,IF(MONTH($C386)=5,$C$4,IF(MONTH($C386)=6,$C$5,IF(MONTH($C386)=7,$C$6,"ERROR")))),1,0)</f>
        <v>1</v>
      </c>
      <c r="F386" s="26">
        <f>VLOOKUP($C386,COS!$B$8:$H$991,7,FALSE)</f>
        <v>52.109561920166016</v>
      </c>
      <c r="G386" s="24">
        <f>IF(F386&lt;=IF(MONTH($C386)=4,$F$3,IF(MONTH($C386)=5,$F$4,IF(MONTH($C386)=6,$F$5,IF(MONTH($C386)=7,$F$6,"ERROR")))),1,0)</f>
        <v>1</v>
      </c>
      <c r="H386" s="26">
        <f>IF(J386=1,D386-$C$6,0)</f>
        <v>4000</v>
      </c>
      <c r="I386" s="26">
        <f t="shared" si="558"/>
        <v>245.95041322314049</v>
      </c>
      <c r="J386" s="24">
        <f t="shared" si="609"/>
        <v>1</v>
      </c>
      <c r="K386" s="26">
        <f>VLOOKUP($C386,COS!$B$8:$H$991,2,FALSE)</f>
        <v>3649.526611328125</v>
      </c>
      <c r="L386" s="24">
        <f t="shared" si="537"/>
        <v>1</v>
      </c>
      <c r="M386" s="24">
        <f t="shared" si="538"/>
        <v>0</v>
      </c>
      <c r="N386" s="26">
        <f>VLOOKUP($C386,COS!$B$8:$H$991,5,FALSE)</f>
        <v>1381.7017822265625</v>
      </c>
      <c r="O386" s="26">
        <f t="shared" si="612"/>
        <v>84.957531072443174</v>
      </c>
      <c r="P386" s="26">
        <f>VLOOKUP($C386,COS!$B$8:$H$991,6,FALSE)</f>
        <v>2521.474853515625</v>
      </c>
      <c r="Q386" s="26">
        <f t="shared" si="613"/>
        <v>155.0394455384814</v>
      </c>
      <c r="R386" s="26">
        <f>MIN(IF(MONTH($C386)=4,$S$3,IF(MONTH($C386)=5,$S$4,IF(MONTH($C386)=6,$S$5,IF(MONTH($C386)=7,$S$6,"ERROR")))),MAX(VLOOKUP($C386,COS!$B$8:$K$991,10,FALSE)-IF(MONTH($C386)=4,$Y$3,IF(MONTH($C386)=5,$Y$4,IF(MONTH($C386)=6,$Y$5,IF(MONTH($C386)=7,$Y$6,"ERROR")))),0),MAX(VLOOKUP($C386,COS!$B$8:$K$991,9,FALSE)-IF(MONTH($C386)=4,$V$3,IF(MONTH($C386)=5,$V$4,IF(MONTH($C386)=6,$V$5,IF(MONTH($C386)=7,$V$6,"ERROR"))))-VLOOKUP($C386,COS!$B$8:$K$991,6,FALSE)/2,0))</f>
        <v>1500</v>
      </c>
      <c r="S386" s="26">
        <f t="shared" si="614"/>
        <v>92.231404958677686</v>
      </c>
      <c r="T386" s="26">
        <f t="shared" si="615"/>
        <v>212.22989326413997</v>
      </c>
      <c r="U386" s="26" t="str">
        <f>IF(VLOOKUP($C386,COS!$B$8:$I$991,8,FALSE)=1,"UWFE","IBU")</f>
        <v>IBU</v>
      </c>
      <c r="V386" s="26">
        <f t="shared" ref="V386" si="619">MIN(IF(IF($AA$3=2,AND(E386=1,G386=1,L386=1,L388=1,M386=1,U386="IBU"),AND(E386=1,G386=1,L386=1,L388=1,M386=1)),T386,0),I386)</f>
        <v>0</v>
      </c>
      <c r="W386" s="26"/>
      <c r="X386" s="26"/>
      <c r="Y386" s="26"/>
      <c r="Z386" s="26"/>
      <c r="AA386" s="26"/>
      <c r="AB386" s="33"/>
    </row>
    <row r="387" spans="1:28" x14ac:dyDescent="0.3">
      <c r="A387" s="32">
        <f>VLOOKUP(YEAR(C387),Flags!$A$13:$B$95,2,FALSE)</f>
        <v>1</v>
      </c>
      <c r="B387" s="24">
        <f t="shared" si="535"/>
        <v>1963</v>
      </c>
      <c r="C387" s="25">
        <v>23254</v>
      </c>
      <c r="D387" s="26"/>
      <c r="E387" s="24"/>
      <c r="F387" s="26"/>
      <c r="G387" s="24"/>
      <c r="H387" s="24"/>
      <c r="I387" s="26"/>
      <c r="J387" s="24"/>
      <c r="K387" s="26"/>
      <c r="L387" s="24"/>
      <c r="M387" s="24"/>
      <c r="N387" s="26"/>
      <c r="O387" s="26"/>
      <c r="P387" s="26"/>
      <c r="Q387" s="26"/>
      <c r="R387" s="26"/>
      <c r="S387" s="26"/>
      <c r="T387" s="26"/>
      <c r="U387" s="26"/>
      <c r="V387" s="26"/>
      <c r="W387" s="26">
        <f>MAX($C$7-VLOOKUP($C387,COS!$B$8:$H$991,3,FALSE),0)</f>
        <v>89286.853515625</v>
      </c>
      <c r="X387" s="26">
        <f t="shared" si="562"/>
        <v>5490.0346293904959</v>
      </c>
      <c r="Y387" s="26">
        <f>VLOOKUP($C387,COS!$B$8:$H$991,4,FALSE)</f>
        <v>0</v>
      </c>
      <c r="Z387" s="26">
        <f t="shared" si="563"/>
        <v>0</v>
      </c>
      <c r="AA387" s="26">
        <f t="shared" ref="AA387:AA391" si="620">MIN(W387,Y387)</f>
        <v>0</v>
      </c>
      <c r="AB387" s="33">
        <f t="shared" ref="AB387" si="621">AA387*DAY($C387)*86400/43560/1000*IF(MONTH($C387)=8,$P$3,IF(MONTH($C387)=9,$P$4,IF(MONTH($C387)=10,$P$5,IF(MONTH($C387)=11,$P$6,IF(MONTH($C387)=12,$P$7,NA())))))</f>
        <v>0</v>
      </c>
    </row>
    <row r="388" spans="1:28" x14ac:dyDescent="0.3">
      <c r="A388" s="32">
        <f>VLOOKUP(YEAR(C388),Flags!$A$13:$B$95,2,FALSE)</f>
        <v>1</v>
      </c>
      <c r="B388" s="24">
        <f t="shared" si="535"/>
        <v>1963</v>
      </c>
      <c r="C388" s="25">
        <v>23284</v>
      </c>
      <c r="D388" s="26"/>
      <c r="E388" s="24"/>
      <c r="F388" s="26"/>
      <c r="G388" s="24"/>
      <c r="H388" s="24"/>
      <c r="I388" s="26"/>
      <c r="J388" s="24"/>
      <c r="K388" s="26">
        <f>VLOOKUP($C388,COS!$B$8:$H$991,2,FALSE)</f>
        <v>2718.105712890625</v>
      </c>
      <c r="L388" s="24">
        <f t="shared" ref="L388" si="622">IF(AND(K388&gt;$I$7,K388&lt;$I$8),1,0)</f>
        <v>1</v>
      </c>
      <c r="M388" s="24"/>
      <c r="N388" s="26"/>
      <c r="O388" s="26"/>
      <c r="P388" s="26"/>
      <c r="Q388" s="26"/>
      <c r="R388" s="26"/>
      <c r="S388" s="26"/>
      <c r="T388" s="26"/>
      <c r="U388" s="26"/>
      <c r="V388" s="26"/>
      <c r="W388" s="26">
        <f>MAX($C$8-VLOOKUP($C388,COS!$B$8:$H$991,3,FALSE),0)</f>
        <v>84976.9580078125</v>
      </c>
      <c r="X388" s="26">
        <f t="shared" si="562"/>
        <v>5056.4801459194214</v>
      </c>
      <c r="Y388" s="26">
        <f>VLOOKUP($C388,COS!$B$8:$H$991,4,FALSE)</f>
        <v>0</v>
      </c>
      <c r="Z388" s="26">
        <f t="shared" si="563"/>
        <v>0</v>
      </c>
      <c r="AA388" s="26">
        <f t="shared" si="620"/>
        <v>0</v>
      </c>
      <c r="AB388" s="33">
        <f t="shared" si="548"/>
        <v>0</v>
      </c>
    </row>
    <row r="389" spans="1:28" x14ac:dyDescent="0.3">
      <c r="A389" s="32">
        <f>VLOOKUP(YEAR(C389),Flags!$A$13:$B$95,2,FALSE)</f>
        <v>1</v>
      </c>
      <c r="B389" s="24">
        <f t="shared" si="535"/>
        <v>1963</v>
      </c>
      <c r="C389" s="25">
        <v>23315</v>
      </c>
      <c r="D389" s="26"/>
      <c r="E389" s="24"/>
      <c r="F389" s="26"/>
      <c r="G389" s="26"/>
      <c r="H389" s="26"/>
      <c r="I389" s="26"/>
      <c r="J389" s="26"/>
      <c r="K389" s="26"/>
      <c r="L389" s="24"/>
      <c r="M389" s="24"/>
      <c r="N389" s="26"/>
      <c r="O389" s="26"/>
      <c r="P389" s="26"/>
      <c r="Q389" s="26"/>
      <c r="R389" s="26"/>
      <c r="S389" s="26"/>
      <c r="T389" s="26"/>
      <c r="U389" s="26"/>
      <c r="V389" s="26"/>
      <c r="W389" s="26">
        <f>MAX($C$9-VLOOKUP($C389,COS!$B$8:$H$991,3,FALSE),0)</f>
        <v>92588.90966796875</v>
      </c>
      <c r="X389" s="26">
        <f t="shared" si="562"/>
        <v>5693.0701481792357</v>
      </c>
      <c r="Y389" s="26">
        <f>VLOOKUP($C389,COS!$B$8:$H$991,4,FALSE)</f>
        <v>1189.5572509765625</v>
      </c>
      <c r="Z389" s="26">
        <f t="shared" si="563"/>
        <v>73.143024357567143</v>
      </c>
      <c r="AA389" s="26">
        <f t="shared" si="620"/>
        <v>1189.5572509765625</v>
      </c>
      <c r="AB389" s="33">
        <f t="shared" si="548"/>
        <v>73.143024357567143</v>
      </c>
    </row>
    <row r="390" spans="1:28" x14ac:dyDescent="0.3">
      <c r="A390" s="32">
        <f>VLOOKUP(YEAR(C390),Flags!$A$13:$B$95,2,FALSE)</f>
        <v>1</v>
      </c>
      <c r="B390" s="24">
        <f t="shared" si="535"/>
        <v>1963</v>
      </c>
      <c r="C390" s="25">
        <v>23345</v>
      </c>
      <c r="D390" s="26"/>
      <c r="E390" s="24"/>
      <c r="F390" s="26"/>
      <c r="G390" s="26"/>
      <c r="H390" s="26"/>
      <c r="I390" s="26"/>
      <c r="J390" s="26"/>
      <c r="K390" s="26"/>
      <c r="L390" s="24"/>
      <c r="M390" s="24"/>
      <c r="N390" s="26"/>
      <c r="O390" s="26"/>
      <c r="P390" s="26"/>
      <c r="Q390" s="26"/>
      <c r="R390" s="26"/>
      <c r="S390" s="26"/>
      <c r="T390" s="26"/>
      <c r="U390" s="26"/>
      <c r="V390" s="26"/>
      <c r="W390" s="26">
        <f>MAX($C$10-VLOOKUP($C390,COS!$B$8:$H$991,3,FALSE),0)</f>
        <v>93790.83056640625</v>
      </c>
      <c r="X390" s="26">
        <f t="shared" si="562"/>
        <v>5580.9419841167355</v>
      </c>
      <c r="Y390" s="26">
        <f>VLOOKUP($C390,COS!$B$8:$H$991,4,FALSE)</f>
        <v>1109.0794677734375</v>
      </c>
      <c r="Z390" s="26">
        <f t="shared" si="563"/>
        <v>65.994811305526866</v>
      </c>
      <c r="AA390" s="26">
        <f t="shared" si="620"/>
        <v>1109.0794677734375</v>
      </c>
      <c r="AB390" s="33">
        <f t="shared" si="548"/>
        <v>32.997405652763433</v>
      </c>
    </row>
    <row r="391" spans="1:28" x14ac:dyDescent="0.3">
      <c r="A391" s="34">
        <f>VLOOKUP(YEAR(C391),Flags!$A$13:$B$95,2,FALSE)</f>
        <v>1</v>
      </c>
      <c r="B391" s="35">
        <f t="shared" si="535"/>
        <v>1963</v>
      </c>
      <c r="C391" s="36">
        <v>23376</v>
      </c>
      <c r="D391" s="37"/>
      <c r="E391" s="35"/>
      <c r="F391" s="37"/>
      <c r="G391" s="37"/>
      <c r="H391" s="37"/>
      <c r="I391" s="37"/>
      <c r="J391" s="37"/>
      <c r="K391" s="37"/>
      <c r="L391" s="35"/>
      <c r="M391" s="35"/>
      <c r="N391" s="37"/>
      <c r="O391" s="37"/>
      <c r="P391" s="37"/>
      <c r="Q391" s="37"/>
      <c r="R391" s="37"/>
      <c r="S391" s="37"/>
      <c r="T391" s="37"/>
      <c r="U391" s="37"/>
      <c r="V391" s="37"/>
      <c r="W391" s="37">
        <f>MAX($C$11-VLOOKUP($C391,COS!$B$8:$H$991,3,FALSE),0)</f>
        <v>0</v>
      </c>
      <c r="X391" s="37">
        <f t="shared" si="562"/>
        <v>0</v>
      </c>
      <c r="Y391" s="37">
        <f>VLOOKUP($C391,COS!$B$8:$H$991,4,FALSE)</f>
        <v>347.96035766601563</v>
      </c>
      <c r="Z391" s="37">
        <f t="shared" si="563"/>
        <v>21.395248438307078</v>
      </c>
      <c r="AA391" s="37">
        <f t="shared" si="620"/>
        <v>0</v>
      </c>
      <c r="AB391" s="38">
        <f t="shared" si="548"/>
        <v>0</v>
      </c>
    </row>
    <row r="392" spans="1:28" x14ac:dyDescent="0.3">
      <c r="A392" s="27">
        <f>VLOOKUP(YEAR(C392),Flags!$A$13:$B$95,2,FALSE)</f>
        <v>4</v>
      </c>
      <c r="B392" s="28">
        <f t="shared" si="535"/>
        <v>1964</v>
      </c>
      <c r="C392" s="29">
        <v>23497</v>
      </c>
      <c r="D392" s="30">
        <f>VLOOKUP($C392,COS!$B$8:$H$991,3,FALSE)</f>
        <v>6091.94580078125</v>
      </c>
      <c r="E392" s="28">
        <f>IF(D392&gt;=IF(MONTH($C392)=4,$C$3,IF(MONTH($C392)=5,$C$4,IF(MONTH($C392)=6,$C$5,IF(MONTH($C392)=7,$C$6,"ERROR")))),1,0)</f>
        <v>1</v>
      </c>
      <c r="F392" s="30">
        <f>VLOOKUP($C392,COS!$B$8:$H$991,7,FALSE)</f>
        <v>49.550472259521484</v>
      </c>
      <c r="G392" s="28">
        <f>IF(F392&lt;=IF(MONTH($C392)=4,$F$3,IF(MONTH($C392)=5,$F$4,IF(MONTH($C392)=6,$F$5,IF(MONTH($C392)=7,$F$6,"ERROR")))),1,0)</f>
        <v>1</v>
      </c>
      <c r="H392" s="30">
        <f>IF(J392=1,D392-$C$3,0)</f>
        <v>91.94580078125</v>
      </c>
      <c r="I392" s="30">
        <f t="shared" si="558"/>
        <v>5.4711550878099171</v>
      </c>
      <c r="J392" s="28">
        <f t="shared" ref="J392:J395" si="623">IF(AND(E392=1,G392=1),1,0)</f>
        <v>1</v>
      </c>
      <c r="K392" s="30">
        <f>VLOOKUP($C392,COS!$B$8:$H$991,2,FALSE)</f>
        <v>3746.64306640625</v>
      </c>
      <c r="L392" s="28">
        <f t="shared" ref="L392" si="624">IF(K392&lt;=IF(MONTH($C392)=4,$I$3,IF(MONTH($C392)=5,$I$4,IF(MONTH($C392)=6,$I$5,IF(MONTH($C392)=7,$I$6,"ERROR")))),1,0)</f>
        <v>1</v>
      </c>
      <c r="M392" s="28">
        <f t="shared" ref="M392" si="625">VLOOKUP($A392,$L$3:$M$7,2,FALSE)</f>
        <v>1</v>
      </c>
      <c r="N392" s="30">
        <f>VLOOKUP($C392,COS!$B$8:$H$991,5,FALSE)</f>
        <v>316.77880859375</v>
      </c>
      <c r="O392" s="30">
        <f t="shared" ref="O392:O395" si="626">N392*DAY($C392)*86400/43560/1000</f>
        <v>18.849648114669421</v>
      </c>
      <c r="P392" s="30">
        <f>VLOOKUP($C392,COS!$B$8:$H$991,6,FALSE)</f>
        <v>564.8997802734375</v>
      </c>
      <c r="Q392" s="30">
        <f t="shared" ref="Q392:Q395" si="627">P392*DAY($C392)*86400/43560/1000</f>
        <v>33.613871222882231</v>
      </c>
      <c r="R392" s="30">
        <f>MIN(IF(MONTH($C392)=4,$S$3,IF(MONTH($C392)=5,$S$4,IF(MONTH($C392)=6,$S$5,IF(MONTH($C392)=7,$S$6,"ERROR")))),MAX(VLOOKUP($C392,COS!$B$8:$K$991,10,FALSE)-IF(MONTH($C392)=4,$Y$3,IF(MONTH($C392)=5,$Y$4,IF(MONTH($C392)=6,$Y$5,IF(MONTH($C392)=7,$Y$6,"ERROR")))),0),MAX(VLOOKUP($C392,COS!$B$8:$K$991,9,FALSE)-IF(MONTH($C392)=4,$V$3,IF(MONTH($C392)=5,$V$4,IF(MONTH($C392)=6,$V$5,IF(MONTH($C392)=7,$V$6,"ERROR"))))-VLOOKUP($C392,COS!$B$8:$K$991,6,FALSE)/2,0))</f>
        <v>1500</v>
      </c>
      <c r="S392" s="30">
        <f t="shared" ref="S392:S395" si="628">R392*DAY($C392)*86400/43560/1000</f>
        <v>89.256198347107429</v>
      </c>
      <c r="T392" s="30">
        <f t="shared" ref="T392:T395" si="629">(O392+Q392)/2+S392</f>
        <v>115.48795801588325</v>
      </c>
      <c r="U392" s="30" t="str">
        <f>IF(VLOOKUP($C392,COS!$B$8:$I$991,8,FALSE)=1,"UWFE","IBU")</f>
        <v>UWFE</v>
      </c>
      <c r="V392" s="30">
        <f t="shared" ref="V392" si="630">MIN(IF(IF($AA$3=2,AND(E392=1,G392=1,L392=1,L397=1,M392=1,U392="IBU"),AND(E392=1,G392=1,L392=1,L397=1,M392=1)),T392,0),I392)</f>
        <v>0</v>
      </c>
      <c r="W392" s="30"/>
      <c r="X392" s="30"/>
      <c r="Y392" s="30"/>
      <c r="Z392" s="30"/>
      <c r="AA392" s="30"/>
      <c r="AB392" s="31"/>
    </row>
    <row r="393" spans="1:28" x14ac:dyDescent="0.3">
      <c r="A393" s="32">
        <f>VLOOKUP(YEAR(C393),Flags!$A$13:$B$95,2,FALSE)</f>
        <v>4</v>
      </c>
      <c r="B393" s="24">
        <f t="shared" si="535"/>
        <v>1964</v>
      </c>
      <c r="C393" s="25">
        <v>23528</v>
      </c>
      <c r="D393" s="26">
        <f>VLOOKUP($C393,COS!$B$8:$H$991,3,FALSE)</f>
        <v>6700.63427734375</v>
      </c>
      <c r="E393" s="24">
        <f>IF(D393&gt;=IF(MONTH($C393)=4,$C$3,IF(MONTH($C393)=5,$C$4,IF(MONTH($C393)=6,$C$5,IF(MONTH($C393)=7,$C$6,"ERROR")))),1,0)</f>
        <v>1</v>
      </c>
      <c r="F393" s="26">
        <f>VLOOKUP($C393,COS!$B$8:$H$991,7,FALSE)</f>
        <v>50.719039916992188</v>
      </c>
      <c r="G393" s="24">
        <f>IF(F393&lt;=IF(MONTH($C393)=4,$F$3,IF(MONTH($C393)=5,$F$4,IF(MONTH($C393)=6,$F$5,IF(MONTH($C393)=7,$F$6,"ERROR")))),1,0)</f>
        <v>1</v>
      </c>
      <c r="H393" s="26">
        <f>IF(J393=1,D393-$C$4,0)</f>
        <v>700.63427734375</v>
      </c>
      <c r="I393" s="26">
        <f t="shared" si="558"/>
        <v>43.080322507747937</v>
      </c>
      <c r="J393" s="24">
        <f t="shared" si="623"/>
        <v>1</v>
      </c>
      <c r="K393" s="26">
        <f>VLOOKUP($C393,COS!$B$8:$H$991,2,FALSE)</f>
        <v>3609.5830078125</v>
      </c>
      <c r="L393" s="24">
        <f t="shared" si="537"/>
        <v>1</v>
      </c>
      <c r="M393" s="24">
        <f t="shared" si="538"/>
        <v>1</v>
      </c>
      <c r="N393" s="26">
        <f>VLOOKUP($C393,COS!$B$8:$H$991,5,FALSE)</f>
        <v>332.74734497070313</v>
      </c>
      <c r="O393" s="26">
        <f t="shared" si="626"/>
        <v>20.459836748611828</v>
      </c>
      <c r="P393" s="26">
        <f>VLOOKUP($C393,COS!$B$8:$H$991,6,FALSE)</f>
        <v>2309.841796875</v>
      </c>
      <c r="Q393" s="26">
        <f t="shared" si="627"/>
        <v>142.02663610537189</v>
      </c>
      <c r="R393" s="26">
        <f>MIN(IF(MONTH($C393)=4,$S$3,IF(MONTH($C393)=5,$S$4,IF(MONTH($C393)=6,$S$5,IF(MONTH($C393)=7,$S$6,"ERROR")))),MAX(VLOOKUP($C393,COS!$B$8:$K$991,10,FALSE)-IF(MONTH($C393)=4,$Y$3,IF(MONTH($C393)=5,$Y$4,IF(MONTH($C393)=6,$Y$5,IF(MONTH($C393)=7,$Y$6,"ERROR")))),0),MAX(VLOOKUP($C393,COS!$B$8:$K$991,9,FALSE)-IF(MONTH($C393)=4,$V$3,IF(MONTH($C393)=5,$V$4,IF(MONTH($C393)=6,$V$5,IF(MONTH($C393)=7,$V$6,"ERROR"))))-VLOOKUP($C393,COS!$B$8:$K$991,6,FALSE)/2,0))</f>
        <v>1500</v>
      </c>
      <c r="S393" s="26">
        <f t="shared" si="628"/>
        <v>92.231404958677686</v>
      </c>
      <c r="T393" s="26">
        <f t="shared" si="629"/>
        <v>173.47464138566954</v>
      </c>
      <c r="U393" s="26" t="str">
        <f>IF(VLOOKUP($C393,COS!$B$8:$I$991,8,FALSE)=1,"UWFE","IBU")</f>
        <v>UWFE</v>
      </c>
      <c r="V393" s="26">
        <f t="shared" ref="V393" si="631">MIN(IF(IF($AA$3=2,AND(E393=1,G393=1,L393=1,L397=1,M393=1,U393="IBU"),AND(E393=1,G393=1,L393=1,L397=1,M393=1)),T393,0),I393)</f>
        <v>0</v>
      </c>
      <c r="W393" s="26"/>
      <c r="X393" s="26"/>
      <c r="Y393" s="26"/>
      <c r="Z393" s="26"/>
      <c r="AA393" s="26"/>
      <c r="AB393" s="33"/>
    </row>
    <row r="394" spans="1:28" x14ac:dyDescent="0.3">
      <c r="A394" s="32">
        <f>VLOOKUP(YEAR(C394),Flags!$A$13:$B$95,2,FALSE)</f>
        <v>4</v>
      </c>
      <c r="B394" s="24">
        <f t="shared" si="535"/>
        <v>1964</v>
      </c>
      <c r="C394" s="25">
        <v>23558</v>
      </c>
      <c r="D394" s="26">
        <f>VLOOKUP($C394,COS!$B$8:$H$991,3,FALSE)</f>
        <v>8947.9150390625</v>
      </c>
      <c r="E394" s="24">
        <f>IF(D394&gt;=IF(MONTH($C394)=4,$C$3,IF(MONTH($C394)=5,$C$4,IF(MONTH($C394)=6,$C$5,IF(MONTH($C394)=7,$C$6,"ERROR")))),1,0)</f>
        <v>0</v>
      </c>
      <c r="F394" s="26">
        <f>VLOOKUP($C394,COS!$B$8:$H$991,7,FALSE)</f>
        <v>51.899105072021484</v>
      </c>
      <c r="G394" s="24">
        <f>IF(F394&lt;=IF(MONTH($C394)=4,$F$3,IF(MONTH($C394)=5,$F$4,IF(MONTH($C394)=6,$F$5,IF(MONTH($C394)=7,$F$6,"ERROR")))),1,0)</f>
        <v>1</v>
      </c>
      <c r="H394" s="26">
        <f>IF(J394=1,D394-$C$5,0)</f>
        <v>0</v>
      </c>
      <c r="I394" s="26">
        <f t="shared" si="558"/>
        <v>0</v>
      </c>
      <c r="J394" s="24">
        <f t="shared" si="623"/>
        <v>0</v>
      </c>
      <c r="K394" s="26">
        <f>VLOOKUP($C394,COS!$B$8:$H$991,2,FALSE)</f>
        <v>3402.844970703125</v>
      </c>
      <c r="L394" s="24">
        <f t="shared" si="537"/>
        <v>1</v>
      </c>
      <c r="M394" s="24">
        <f t="shared" si="538"/>
        <v>1</v>
      </c>
      <c r="N394" s="26">
        <f>VLOOKUP($C394,COS!$B$8:$H$991,5,FALSE)</f>
        <v>359.117431640625</v>
      </c>
      <c r="O394" s="26">
        <f t="shared" si="626"/>
        <v>21.368971138946282</v>
      </c>
      <c r="P394" s="26">
        <f>VLOOKUP($C394,COS!$B$8:$H$991,6,FALSE)</f>
        <v>2607.746826171875</v>
      </c>
      <c r="Q394" s="26">
        <f t="shared" si="627"/>
        <v>155.17171197055785</v>
      </c>
      <c r="R394" s="26">
        <f>MIN(IF(MONTH($C394)=4,$S$3,IF(MONTH($C394)=5,$S$4,IF(MONTH($C394)=6,$S$5,IF(MONTH($C394)=7,$S$6,"ERROR")))),MAX(VLOOKUP($C394,COS!$B$8:$K$991,10,FALSE)-IF(MONTH($C394)=4,$Y$3,IF(MONTH($C394)=5,$Y$4,IF(MONTH($C394)=6,$Y$5,IF(MONTH($C394)=7,$Y$6,"ERROR")))),0),MAX(VLOOKUP($C394,COS!$B$8:$K$991,9,FALSE)-IF(MONTH($C394)=4,$V$3,IF(MONTH($C394)=5,$V$4,IF(MONTH($C394)=6,$V$5,IF(MONTH($C394)=7,$V$6,"ERROR"))))-VLOOKUP($C394,COS!$B$8:$K$991,6,FALSE)/2,0))</f>
        <v>1500</v>
      </c>
      <c r="S394" s="26">
        <f t="shared" si="628"/>
        <v>89.256198347107429</v>
      </c>
      <c r="T394" s="26">
        <f t="shared" si="629"/>
        <v>177.52653990185951</v>
      </c>
      <c r="U394" s="26" t="str">
        <f>IF(VLOOKUP($C394,COS!$B$8:$I$991,8,FALSE)=1,"UWFE","IBU")</f>
        <v>IBU</v>
      </c>
      <c r="V394" s="26">
        <f t="shared" ref="V394" si="632">MIN(IF(IF($AA$3=2,AND(E394=1,G394=1,L394=1,L397=1,M394=1,U394="IBU"),AND(E394=1,G394=1,L394=1,L397=1,M394=1)),T394,0),I394)</f>
        <v>0</v>
      </c>
      <c r="W394" s="26"/>
      <c r="X394" s="26"/>
      <c r="Y394" s="26"/>
      <c r="Z394" s="26"/>
      <c r="AA394" s="26"/>
      <c r="AB394" s="33"/>
    </row>
    <row r="395" spans="1:28" x14ac:dyDescent="0.3">
      <c r="A395" s="32">
        <f>VLOOKUP(YEAR(C395),Flags!$A$13:$B$95,2,FALSE)</f>
        <v>4</v>
      </c>
      <c r="B395" s="24">
        <f t="shared" si="535"/>
        <v>1964</v>
      </c>
      <c r="C395" s="25">
        <v>23589</v>
      </c>
      <c r="D395" s="26">
        <f>VLOOKUP($C395,COS!$B$8:$H$991,3,FALSE)</f>
        <v>14511.1044921875</v>
      </c>
      <c r="E395" s="24">
        <f>IF(D395&gt;=IF(MONTH($C395)=4,$C$3,IF(MONTH($C395)=5,$C$4,IF(MONTH($C395)=6,$C$5,IF(MONTH($C395)=7,$C$6,"ERROR")))),1,0)</f>
        <v>1</v>
      </c>
      <c r="F395" s="26">
        <f>VLOOKUP($C395,COS!$B$8:$H$991,7,FALSE)</f>
        <v>52.263500213623047</v>
      </c>
      <c r="G395" s="24">
        <f>IF(F395&lt;=IF(MONTH($C395)=4,$F$3,IF(MONTH($C395)=5,$F$4,IF(MONTH($C395)=6,$F$5,IF(MONTH($C395)=7,$F$6,"ERROR")))),1,0)</f>
        <v>1</v>
      </c>
      <c r="H395" s="26">
        <f>IF(J395=1,D395-$C$6,0)</f>
        <v>2511.1044921875</v>
      </c>
      <c r="I395" s="26">
        <f t="shared" si="558"/>
        <v>154.401796875</v>
      </c>
      <c r="J395" s="24">
        <f t="shared" si="623"/>
        <v>1</v>
      </c>
      <c r="K395" s="26">
        <f>VLOOKUP($C395,COS!$B$8:$H$991,2,FALSE)</f>
        <v>2786.120361328125</v>
      </c>
      <c r="L395" s="24">
        <f t="shared" si="537"/>
        <v>1</v>
      </c>
      <c r="M395" s="24">
        <f t="shared" si="538"/>
        <v>1</v>
      </c>
      <c r="N395" s="26">
        <f>VLOOKUP($C395,COS!$B$8:$H$991,5,FALSE)</f>
        <v>422.46829223632813</v>
      </c>
      <c r="O395" s="26">
        <f t="shared" si="626"/>
        <v>25.976562762299842</v>
      </c>
      <c r="P395" s="26">
        <f>VLOOKUP($C395,COS!$B$8:$H$991,6,FALSE)</f>
        <v>2533.61962890625</v>
      </c>
      <c r="Q395" s="26">
        <f t="shared" si="627"/>
        <v>155.78619866993802</v>
      </c>
      <c r="R395" s="26">
        <f>MIN(IF(MONTH($C395)=4,$S$3,IF(MONTH($C395)=5,$S$4,IF(MONTH($C395)=6,$S$5,IF(MONTH($C395)=7,$S$6,"ERROR")))),MAX(VLOOKUP($C395,COS!$B$8:$K$991,10,FALSE)-IF(MONTH($C395)=4,$Y$3,IF(MONTH($C395)=5,$Y$4,IF(MONTH($C395)=6,$Y$5,IF(MONTH($C395)=7,$Y$6,"ERROR")))),0),MAX(VLOOKUP($C395,COS!$B$8:$K$991,9,FALSE)-IF(MONTH($C395)=4,$V$3,IF(MONTH($C395)=5,$V$4,IF(MONTH($C395)=6,$V$5,IF(MONTH($C395)=7,$V$6,"ERROR"))))-VLOOKUP($C395,COS!$B$8:$K$991,6,FALSE)/2,0))</f>
        <v>1500</v>
      </c>
      <c r="S395" s="26">
        <f t="shared" si="628"/>
        <v>92.231404958677686</v>
      </c>
      <c r="T395" s="26">
        <f t="shared" si="629"/>
        <v>183.11278567479661</v>
      </c>
      <c r="U395" s="26" t="str">
        <f>IF(VLOOKUP($C395,COS!$B$8:$I$991,8,FALSE)=1,"UWFE","IBU")</f>
        <v>IBU</v>
      </c>
      <c r="V395" s="26">
        <f t="shared" ref="V395" si="633">MIN(IF(IF($AA$3=2,AND(E395=1,G395=1,L395=1,L397=1,M395=1,U395="IBU"),AND(E395=1,G395=1,L395=1,L397=1,M395=1)),T395,0),I395)</f>
        <v>154.401796875</v>
      </c>
      <c r="W395" s="26"/>
      <c r="X395" s="26"/>
      <c r="Y395" s="26"/>
      <c r="Z395" s="26"/>
      <c r="AA395" s="26"/>
      <c r="AB395" s="33"/>
    </row>
    <row r="396" spans="1:28" x14ac:dyDescent="0.3">
      <c r="A396" s="32">
        <f>VLOOKUP(YEAR(C396),Flags!$A$13:$B$95,2,FALSE)</f>
        <v>4</v>
      </c>
      <c r="B396" s="24">
        <f t="shared" si="535"/>
        <v>1964</v>
      </c>
      <c r="C396" s="25">
        <v>23620</v>
      </c>
      <c r="D396" s="26"/>
      <c r="E396" s="24"/>
      <c r="F396" s="26"/>
      <c r="G396" s="24"/>
      <c r="H396" s="24"/>
      <c r="I396" s="26"/>
      <c r="J396" s="24"/>
      <c r="K396" s="26"/>
      <c r="L396" s="24"/>
      <c r="M396" s="24"/>
      <c r="N396" s="26"/>
      <c r="O396" s="26"/>
      <c r="P396" s="26"/>
      <c r="Q396" s="26"/>
      <c r="R396" s="26"/>
      <c r="S396" s="26"/>
      <c r="T396" s="26"/>
      <c r="U396" s="26"/>
      <c r="V396" s="26"/>
      <c r="W396" s="26">
        <f>MAX($C$7-VLOOKUP($C396,COS!$B$8:$H$991,3,FALSE),0)</f>
        <v>91194.7255859375</v>
      </c>
      <c r="X396" s="26">
        <f t="shared" si="562"/>
        <v>5607.3451104080577</v>
      </c>
      <c r="Y396" s="26">
        <f>VLOOKUP($C396,COS!$B$8:$H$991,4,FALSE)</f>
        <v>771.8970947265625</v>
      </c>
      <c r="Z396" s="26">
        <f t="shared" si="563"/>
        <v>47.462102353434915</v>
      </c>
      <c r="AA396" s="26">
        <f t="shared" ref="AA396:AA400" si="634">MIN(W396,Y396)</f>
        <v>771.8970947265625</v>
      </c>
      <c r="AB396" s="33">
        <f t="shared" ref="AB396" si="635">AA396*DAY($C396)*86400/43560/1000*IF(MONTH($C396)=8,$P$3,IF(MONTH($C396)=9,$P$4,IF(MONTH($C396)=10,$P$5,IF(MONTH($C396)=11,$P$6,IF(MONTH($C396)=12,$P$7,NA())))))</f>
        <v>47.462102353434915</v>
      </c>
    </row>
    <row r="397" spans="1:28" x14ac:dyDescent="0.3">
      <c r="A397" s="32">
        <f>VLOOKUP(YEAR(C397),Flags!$A$13:$B$95,2,FALSE)</f>
        <v>4</v>
      </c>
      <c r="B397" s="24">
        <f t="shared" si="535"/>
        <v>1964</v>
      </c>
      <c r="C397" s="25">
        <v>23650</v>
      </c>
      <c r="D397" s="26"/>
      <c r="E397" s="24"/>
      <c r="F397" s="26"/>
      <c r="G397" s="24"/>
      <c r="H397" s="24"/>
      <c r="I397" s="26"/>
      <c r="J397" s="24"/>
      <c r="K397" s="26">
        <f>VLOOKUP($C397,COS!$B$8:$H$991,2,FALSE)</f>
        <v>2475.959716796875</v>
      </c>
      <c r="L397" s="24">
        <f t="shared" ref="L397" si="636">IF(AND(K397&gt;$I$7,K397&lt;$I$8),1,0)</f>
        <v>1</v>
      </c>
      <c r="M397" s="24"/>
      <c r="N397" s="26"/>
      <c r="O397" s="26"/>
      <c r="P397" s="26"/>
      <c r="Q397" s="26"/>
      <c r="R397" s="26"/>
      <c r="S397" s="26"/>
      <c r="T397" s="26"/>
      <c r="U397" s="26"/>
      <c r="V397" s="26"/>
      <c r="W397" s="26">
        <f>MAX($C$8-VLOOKUP($C397,COS!$B$8:$H$991,3,FALSE),0)</f>
        <v>95000.587890625</v>
      </c>
      <c r="X397" s="26">
        <f t="shared" si="562"/>
        <v>5652.9275439049579</v>
      </c>
      <c r="Y397" s="26">
        <f>VLOOKUP($C397,COS!$B$8:$H$991,4,FALSE)</f>
        <v>1010.355224609375</v>
      </c>
      <c r="Z397" s="26">
        <f t="shared" si="563"/>
        <v>60.120310885847111</v>
      </c>
      <c r="AA397" s="26">
        <f t="shared" si="634"/>
        <v>1010.355224609375</v>
      </c>
      <c r="AB397" s="33">
        <f t="shared" si="548"/>
        <v>60.120310885847111</v>
      </c>
    </row>
    <row r="398" spans="1:28" x14ac:dyDescent="0.3">
      <c r="A398" s="32">
        <f>VLOOKUP(YEAR(C398),Flags!$A$13:$B$95,2,FALSE)</f>
        <v>4</v>
      </c>
      <c r="B398" s="24">
        <f t="shared" si="535"/>
        <v>1964</v>
      </c>
      <c r="C398" s="25">
        <v>23681</v>
      </c>
      <c r="D398" s="26"/>
      <c r="E398" s="24"/>
      <c r="F398" s="26"/>
      <c r="G398" s="26"/>
      <c r="H398" s="26"/>
      <c r="I398" s="26"/>
      <c r="J398" s="26"/>
      <c r="K398" s="26"/>
      <c r="L398" s="24"/>
      <c r="M398" s="24"/>
      <c r="N398" s="26"/>
      <c r="O398" s="26"/>
      <c r="P398" s="26"/>
      <c r="Q398" s="26"/>
      <c r="R398" s="26"/>
      <c r="S398" s="26"/>
      <c r="T398" s="26"/>
      <c r="U398" s="26"/>
      <c r="V398" s="26"/>
      <c r="W398" s="26">
        <f>MAX($C$9-VLOOKUP($C398,COS!$B$8:$H$991,3,FALSE),0)</f>
        <v>94941.07861328125</v>
      </c>
      <c r="X398" s="26">
        <f t="shared" si="562"/>
        <v>5837.6993791967971</v>
      </c>
      <c r="Y398" s="26">
        <f>VLOOKUP($C398,COS!$B$8:$H$991,4,FALSE)</f>
        <v>1503.157470703125</v>
      </c>
      <c r="Z398" s="26">
        <f t="shared" si="563"/>
        <v>92.425550264721082</v>
      </c>
      <c r="AA398" s="26">
        <f t="shared" si="634"/>
        <v>1503.157470703125</v>
      </c>
      <c r="AB398" s="33">
        <f t="shared" si="548"/>
        <v>92.425550264721082</v>
      </c>
    </row>
    <row r="399" spans="1:28" x14ac:dyDescent="0.3">
      <c r="A399" s="32">
        <f>VLOOKUP(YEAR(C399),Flags!$A$13:$B$95,2,FALSE)</f>
        <v>4</v>
      </c>
      <c r="B399" s="24">
        <f t="shared" ref="B399:B462" si="637">YEAR(C399)</f>
        <v>1964</v>
      </c>
      <c r="C399" s="25">
        <v>23711</v>
      </c>
      <c r="D399" s="26"/>
      <c r="E399" s="24"/>
      <c r="F399" s="26"/>
      <c r="G399" s="26"/>
      <c r="H399" s="26"/>
      <c r="I399" s="26"/>
      <c r="J399" s="26"/>
      <c r="K399" s="26"/>
      <c r="L399" s="24"/>
      <c r="M399" s="24"/>
      <c r="N399" s="26"/>
      <c r="O399" s="26"/>
      <c r="P399" s="26"/>
      <c r="Q399" s="26"/>
      <c r="R399" s="26"/>
      <c r="S399" s="26"/>
      <c r="T399" s="26"/>
      <c r="U399" s="26"/>
      <c r="V399" s="26"/>
      <c r="W399" s="26">
        <f>MAX($C$10-VLOOKUP($C399,COS!$B$8:$H$991,3,FALSE),0)</f>
        <v>96749</v>
      </c>
      <c r="X399" s="26">
        <f t="shared" si="562"/>
        <v>5756.965289256198</v>
      </c>
      <c r="Y399" s="26">
        <f>VLOOKUP($C399,COS!$B$8:$H$991,4,FALSE)</f>
        <v>1991.6624755859375</v>
      </c>
      <c r="Z399" s="26">
        <f t="shared" si="563"/>
        <v>118.51214730759297</v>
      </c>
      <c r="AA399" s="26">
        <f t="shared" si="634"/>
        <v>1991.6624755859375</v>
      </c>
      <c r="AB399" s="33">
        <f t="shared" si="548"/>
        <v>59.256073653796484</v>
      </c>
    </row>
    <row r="400" spans="1:28" x14ac:dyDescent="0.3">
      <c r="A400" s="34">
        <f>VLOOKUP(YEAR(C400),Flags!$A$13:$B$95,2,FALSE)</f>
        <v>4</v>
      </c>
      <c r="B400" s="35">
        <f t="shared" si="637"/>
        <v>1964</v>
      </c>
      <c r="C400" s="36">
        <v>23742</v>
      </c>
      <c r="D400" s="37"/>
      <c r="E400" s="35"/>
      <c r="F400" s="37"/>
      <c r="G400" s="37"/>
      <c r="H400" s="37"/>
      <c r="I400" s="37"/>
      <c r="J400" s="37"/>
      <c r="K400" s="37"/>
      <c r="L400" s="35"/>
      <c r="M400" s="35"/>
      <c r="N400" s="37"/>
      <c r="O400" s="37"/>
      <c r="P400" s="37"/>
      <c r="Q400" s="37"/>
      <c r="R400" s="37"/>
      <c r="S400" s="37"/>
      <c r="T400" s="37"/>
      <c r="U400" s="37"/>
      <c r="V400" s="37"/>
      <c r="W400" s="37">
        <f>MAX($C$11-VLOOKUP($C400,COS!$B$8:$H$991,3,FALSE),0)</f>
        <v>0</v>
      </c>
      <c r="X400" s="37">
        <f t="shared" si="562"/>
        <v>0</v>
      </c>
      <c r="Y400" s="37">
        <f>VLOOKUP($C400,COS!$B$8:$H$991,4,FALSE)</f>
        <v>0</v>
      </c>
      <c r="Z400" s="37">
        <f t="shared" si="563"/>
        <v>0</v>
      </c>
      <c r="AA400" s="37">
        <f t="shared" si="634"/>
        <v>0</v>
      </c>
      <c r="AB400" s="38">
        <f t="shared" si="548"/>
        <v>0</v>
      </c>
    </row>
    <row r="401" spans="1:28" x14ac:dyDescent="0.3">
      <c r="A401" s="27">
        <f>VLOOKUP(YEAR(C401),Flags!$A$13:$B$95,2,FALSE)</f>
        <v>1</v>
      </c>
      <c r="B401" s="28">
        <f t="shared" si="637"/>
        <v>1965</v>
      </c>
      <c r="C401" s="29">
        <v>23862</v>
      </c>
      <c r="D401" s="30">
        <f>VLOOKUP($C401,COS!$B$8:$H$991,3,FALSE)</f>
        <v>6748.35888671875</v>
      </c>
      <c r="E401" s="28">
        <f>IF(D401&gt;=IF(MONTH($C401)=4,$C$3,IF(MONTH($C401)=5,$C$4,IF(MONTH($C401)=6,$C$5,IF(MONTH($C401)=7,$C$6,"ERROR")))),1,0)</f>
        <v>1</v>
      </c>
      <c r="F401" s="30">
        <f>VLOOKUP($C401,COS!$B$8:$H$991,7,FALSE)</f>
        <v>46.947509765625</v>
      </c>
      <c r="G401" s="28">
        <f>IF(F401&lt;=IF(MONTH($C401)=4,$F$3,IF(MONTH($C401)=5,$F$4,IF(MONTH($C401)=6,$F$5,IF(MONTH($C401)=7,$F$6,"ERROR")))),1,0)</f>
        <v>1</v>
      </c>
      <c r="H401" s="30">
        <f>IF(J401=1,D401-$C$3,0)</f>
        <v>748.35888671875</v>
      </c>
      <c r="I401" s="30">
        <f t="shared" si="558"/>
        <v>44.530446151859508</v>
      </c>
      <c r="J401" s="28">
        <f t="shared" ref="J401:J404" si="638">IF(AND(E401=1,G401=1),1,0)</f>
        <v>1</v>
      </c>
      <c r="K401" s="30">
        <f>VLOOKUP($C401,COS!$B$8:$H$991,2,FALSE)</f>
        <v>4500</v>
      </c>
      <c r="L401" s="28">
        <f t="shared" ref="L401:L458" si="639">IF(K401&lt;=IF(MONTH($C401)=4,$I$3,IF(MONTH($C401)=5,$I$4,IF(MONTH($C401)=6,$I$5,IF(MONTH($C401)=7,$I$6,"ERROR")))),1,0)</f>
        <v>1</v>
      </c>
      <c r="M401" s="28">
        <f t="shared" ref="M401:M458" si="640">VLOOKUP($A401,$L$3:$M$7,2,FALSE)</f>
        <v>0</v>
      </c>
      <c r="N401" s="30">
        <f>VLOOKUP($C401,COS!$B$8:$H$991,5,FALSE)</f>
        <v>15.99506664276123</v>
      </c>
      <c r="O401" s="30">
        <f t="shared" ref="O401:O404" si="641">N401*DAY($C401)*86400/43560/1000</f>
        <v>0.95177256056099879</v>
      </c>
      <c r="P401" s="30">
        <f>VLOOKUP($C401,COS!$B$8:$H$991,6,FALSE)</f>
        <v>409.699951171875</v>
      </c>
      <c r="Q401" s="30">
        <f t="shared" ref="Q401:Q404" si="642">P401*DAY($C401)*86400/43560/1000</f>
        <v>24.378840069731407</v>
      </c>
      <c r="R401" s="30">
        <f>MIN(IF(MONTH($C401)=4,$S$3,IF(MONTH($C401)=5,$S$4,IF(MONTH($C401)=6,$S$5,IF(MONTH($C401)=7,$S$6,"ERROR")))),MAX(VLOOKUP($C401,COS!$B$8:$K$991,10,FALSE)-IF(MONTH($C401)=4,$Y$3,IF(MONTH($C401)=5,$Y$4,IF(MONTH($C401)=6,$Y$5,IF(MONTH($C401)=7,$Y$6,"ERROR")))),0),MAX(VLOOKUP($C401,COS!$B$8:$K$991,9,FALSE)-IF(MONTH($C401)=4,$V$3,IF(MONTH($C401)=5,$V$4,IF(MONTH($C401)=6,$V$5,IF(MONTH($C401)=7,$V$6,"ERROR"))))-VLOOKUP($C401,COS!$B$8:$K$991,6,FALSE)/2,0))</f>
        <v>1500</v>
      </c>
      <c r="S401" s="30">
        <f t="shared" ref="S401:S404" si="643">R401*DAY($C401)*86400/43560/1000</f>
        <v>89.256198347107429</v>
      </c>
      <c r="T401" s="30">
        <f t="shared" ref="T401:T404" si="644">(O401+Q401)/2+S401</f>
        <v>101.92150466225362</v>
      </c>
      <c r="U401" s="30" t="str">
        <f>IF(VLOOKUP($C401,COS!$B$8:$I$991,8,FALSE)=1,"UWFE","IBU")</f>
        <v>UWFE</v>
      </c>
      <c r="V401" s="30">
        <f t="shared" ref="V401" si="645">MIN(IF(IF($AA$3=2,AND(E401=1,G401=1,L401=1,L406=1,M401=1,U401="IBU"),AND(E401=1,G401=1,L401=1,L406=1,M401=1)),T401,0),I401)</f>
        <v>0</v>
      </c>
      <c r="W401" s="30"/>
      <c r="X401" s="30"/>
      <c r="Y401" s="30"/>
      <c r="Z401" s="30"/>
      <c r="AA401" s="30"/>
      <c r="AB401" s="31"/>
    </row>
    <row r="402" spans="1:28" x14ac:dyDescent="0.3">
      <c r="A402" s="32">
        <f>VLOOKUP(YEAR(C402),Flags!$A$13:$B$95,2,FALSE)</f>
        <v>1</v>
      </c>
      <c r="B402" s="24">
        <f t="shared" si="637"/>
        <v>1965</v>
      </c>
      <c r="C402" s="25">
        <v>23893</v>
      </c>
      <c r="D402" s="26">
        <f>VLOOKUP($C402,COS!$B$8:$H$991,3,FALSE)</f>
        <v>6685.54638671875</v>
      </c>
      <c r="E402" s="24">
        <f>IF(D402&gt;=IF(MONTH($C402)=4,$C$3,IF(MONTH($C402)=5,$C$4,IF(MONTH($C402)=6,$C$5,IF(MONTH($C402)=7,$C$6,"ERROR")))),1,0)</f>
        <v>1</v>
      </c>
      <c r="F402" s="26">
        <f>VLOOKUP($C402,COS!$B$8:$H$991,7,FALSE)</f>
        <v>49.095413208007813</v>
      </c>
      <c r="G402" s="24">
        <f>IF(F402&lt;=IF(MONTH($C402)=4,$F$3,IF(MONTH($C402)=5,$F$4,IF(MONTH($C402)=6,$F$5,IF(MONTH($C402)=7,$F$6,"ERROR")))),1,0)</f>
        <v>1</v>
      </c>
      <c r="H402" s="26">
        <f>IF(J402=1,D402-$C$4,0)</f>
        <v>685.54638671875</v>
      </c>
      <c r="I402" s="26">
        <f t="shared" si="558"/>
        <v>42.152604274276861</v>
      </c>
      <c r="J402" s="24">
        <f t="shared" si="638"/>
        <v>1</v>
      </c>
      <c r="K402" s="26">
        <f>VLOOKUP($C402,COS!$B$8:$H$991,2,FALSE)</f>
        <v>4530.5419921875</v>
      </c>
      <c r="L402" s="24">
        <f t="shared" si="639"/>
        <v>1</v>
      </c>
      <c r="M402" s="24">
        <f t="shared" si="640"/>
        <v>0</v>
      </c>
      <c r="N402" s="26">
        <f>VLOOKUP($C402,COS!$B$8:$H$991,5,FALSE)</f>
        <v>633.97503662109375</v>
      </c>
      <c r="O402" s="26">
        <f t="shared" si="641"/>
        <v>38.981605557528411</v>
      </c>
      <c r="P402" s="26">
        <f>VLOOKUP($C402,COS!$B$8:$H$991,6,FALSE)</f>
        <v>2257.9951171875</v>
      </c>
      <c r="Q402" s="26">
        <f t="shared" si="642"/>
        <v>138.83870803202478</v>
      </c>
      <c r="R402" s="26">
        <f>MIN(IF(MONTH($C402)=4,$S$3,IF(MONTH($C402)=5,$S$4,IF(MONTH($C402)=6,$S$5,IF(MONTH($C402)=7,$S$6,"ERROR")))),MAX(VLOOKUP($C402,COS!$B$8:$K$991,10,FALSE)-IF(MONTH($C402)=4,$Y$3,IF(MONTH($C402)=5,$Y$4,IF(MONTH($C402)=6,$Y$5,IF(MONTH($C402)=7,$Y$6,"ERROR")))),0),MAX(VLOOKUP($C402,COS!$B$8:$K$991,9,FALSE)-IF(MONTH($C402)=4,$V$3,IF(MONTH($C402)=5,$V$4,IF(MONTH($C402)=6,$V$5,IF(MONTH($C402)=7,$V$6,"ERROR"))))-VLOOKUP($C402,COS!$B$8:$K$991,6,FALSE)/2,0))</f>
        <v>1500</v>
      </c>
      <c r="S402" s="26">
        <f t="shared" si="643"/>
        <v>92.231404958677686</v>
      </c>
      <c r="T402" s="26">
        <f t="shared" si="644"/>
        <v>181.14156175345428</v>
      </c>
      <c r="U402" s="26" t="str">
        <f>IF(VLOOKUP($C402,COS!$B$8:$I$991,8,FALSE)=1,"UWFE","IBU")</f>
        <v>UWFE</v>
      </c>
      <c r="V402" s="26">
        <f t="shared" ref="V402" si="646">MIN(IF(IF($AA$3=2,AND(E402=1,G402=1,L402=1,L406=1,M402=1,U402="IBU"),AND(E402=1,G402=1,L402=1,L406=1,M402=1)),T402,0),I402)</f>
        <v>0</v>
      </c>
      <c r="W402" s="26"/>
      <c r="X402" s="26"/>
      <c r="Y402" s="26"/>
      <c r="Z402" s="26"/>
      <c r="AA402" s="26"/>
      <c r="AB402" s="33"/>
    </row>
    <row r="403" spans="1:28" x14ac:dyDescent="0.3">
      <c r="A403" s="32">
        <f>VLOOKUP(YEAR(C403),Flags!$A$13:$B$95,2,FALSE)</f>
        <v>1</v>
      </c>
      <c r="B403" s="24">
        <f t="shared" si="637"/>
        <v>1965</v>
      </c>
      <c r="C403" s="25">
        <v>23923</v>
      </c>
      <c r="D403" s="26">
        <f>VLOOKUP($C403,COS!$B$8:$H$991,3,FALSE)</f>
        <v>8087.30908203125</v>
      </c>
      <c r="E403" s="24">
        <f>IF(D403&gt;=IF(MONTH($C403)=4,$C$3,IF(MONTH($C403)=5,$C$4,IF(MONTH($C403)=6,$C$5,IF(MONTH($C403)=7,$C$6,"ERROR")))),1,0)</f>
        <v>0</v>
      </c>
      <c r="F403" s="26">
        <f>VLOOKUP($C403,COS!$B$8:$H$991,7,FALSE)</f>
        <v>49.536151885986328</v>
      </c>
      <c r="G403" s="24">
        <f>IF(F403&lt;=IF(MONTH($C403)=4,$F$3,IF(MONTH($C403)=5,$F$4,IF(MONTH($C403)=6,$F$5,IF(MONTH($C403)=7,$F$6,"ERROR")))),1,0)</f>
        <v>1</v>
      </c>
      <c r="H403" s="26">
        <f>IF(J403=1,D403-$C$5,0)</f>
        <v>0</v>
      </c>
      <c r="I403" s="26">
        <f t="shared" si="558"/>
        <v>0</v>
      </c>
      <c r="J403" s="24">
        <f t="shared" si="638"/>
        <v>0</v>
      </c>
      <c r="K403" s="26">
        <f>VLOOKUP($C403,COS!$B$8:$H$991,2,FALSE)</f>
        <v>4283.341796875</v>
      </c>
      <c r="L403" s="24">
        <f t="shared" si="639"/>
        <v>1</v>
      </c>
      <c r="M403" s="24">
        <f t="shared" si="640"/>
        <v>0</v>
      </c>
      <c r="N403" s="26">
        <f>VLOOKUP($C403,COS!$B$8:$H$991,5,FALSE)</f>
        <v>838.3341064453125</v>
      </c>
      <c r="O403" s="26">
        <f t="shared" si="641"/>
        <v>49.884343524018597</v>
      </c>
      <c r="P403" s="26">
        <f>VLOOKUP($C403,COS!$B$8:$H$991,6,FALSE)</f>
        <v>2334.416015625</v>
      </c>
      <c r="Q403" s="26">
        <f t="shared" si="642"/>
        <v>138.90739927685951</v>
      </c>
      <c r="R403" s="26">
        <f>MIN(IF(MONTH($C403)=4,$S$3,IF(MONTH($C403)=5,$S$4,IF(MONTH($C403)=6,$S$5,IF(MONTH($C403)=7,$S$6,"ERROR")))),MAX(VLOOKUP($C403,COS!$B$8:$K$991,10,FALSE)-IF(MONTH($C403)=4,$Y$3,IF(MONTH($C403)=5,$Y$4,IF(MONTH($C403)=6,$Y$5,IF(MONTH($C403)=7,$Y$6,"ERROR")))),0),MAX(VLOOKUP($C403,COS!$B$8:$K$991,9,FALSE)-IF(MONTH($C403)=4,$V$3,IF(MONTH($C403)=5,$V$4,IF(MONTH($C403)=6,$V$5,IF(MONTH($C403)=7,$V$6,"ERROR"))))-VLOOKUP($C403,COS!$B$8:$K$991,6,FALSE)/2,0))</f>
        <v>1500</v>
      </c>
      <c r="S403" s="26">
        <f t="shared" si="643"/>
        <v>89.256198347107429</v>
      </c>
      <c r="T403" s="26">
        <f t="shared" si="644"/>
        <v>183.65206974754648</v>
      </c>
      <c r="U403" s="26" t="str">
        <f>IF(VLOOKUP($C403,COS!$B$8:$I$991,8,FALSE)=1,"UWFE","IBU")</f>
        <v>UWFE</v>
      </c>
      <c r="V403" s="26">
        <f t="shared" ref="V403" si="647">MIN(IF(IF($AA$3=2,AND(E403=1,G403=1,L403=1,L406=1,M403=1,U403="IBU"),AND(E403=1,G403=1,L403=1,L406=1,M403=1)),T403,0),I403)</f>
        <v>0</v>
      </c>
      <c r="W403" s="26"/>
      <c r="X403" s="26"/>
      <c r="Y403" s="26"/>
      <c r="Z403" s="26"/>
      <c r="AA403" s="26"/>
      <c r="AB403" s="33"/>
    </row>
    <row r="404" spans="1:28" x14ac:dyDescent="0.3">
      <c r="A404" s="32">
        <f>VLOOKUP(YEAR(C404),Flags!$A$13:$B$95,2,FALSE)</f>
        <v>1</v>
      </c>
      <c r="B404" s="24">
        <f t="shared" si="637"/>
        <v>1965</v>
      </c>
      <c r="C404" s="25">
        <v>23954</v>
      </c>
      <c r="D404" s="26">
        <f>VLOOKUP($C404,COS!$B$8:$H$991,3,FALSE)</f>
        <v>16000</v>
      </c>
      <c r="E404" s="24">
        <f>IF(D404&gt;=IF(MONTH($C404)=4,$C$3,IF(MONTH($C404)=5,$C$4,IF(MONTH($C404)=6,$C$5,IF(MONTH($C404)=7,$C$6,"ERROR")))),1,0)</f>
        <v>1</v>
      </c>
      <c r="F404" s="26">
        <f>VLOOKUP($C404,COS!$B$8:$H$991,7,FALSE)</f>
        <v>49.443107604980469</v>
      </c>
      <c r="G404" s="24">
        <f>IF(F404&lt;=IF(MONTH($C404)=4,$F$3,IF(MONTH($C404)=5,$F$4,IF(MONTH($C404)=6,$F$5,IF(MONTH($C404)=7,$F$6,"ERROR")))),1,0)</f>
        <v>1</v>
      </c>
      <c r="H404" s="26">
        <f>IF(J404=1,D404-$C$6,0)</f>
        <v>4000</v>
      </c>
      <c r="I404" s="26">
        <f t="shared" si="558"/>
        <v>245.95041322314049</v>
      </c>
      <c r="J404" s="24">
        <f t="shared" si="638"/>
        <v>1</v>
      </c>
      <c r="K404" s="26">
        <f>VLOOKUP($C404,COS!$B$8:$H$991,2,FALSE)</f>
        <v>3588.650146484375</v>
      </c>
      <c r="L404" s="24">
        <f t="shared" si="639"/>
        <v>1</v>
      </c>
      <c r="M404" s="24">
        <f t="shared" si="640"/>
        <v>0</v>
      </c>
      <c r="N404" s="26">
        <f>VLOOKUP($C404,COS!$B$8:$H$991,5,FALSE)</f>
        <v>922.08319091796875</v>
      </c>
      <c r="O404" s="26">
        <f t="shared" si="641"/>
        <v>56.696685458096589</v>
      </c>
      <c r="P404" s="26">
        <f>VLOOKUP($C404,COS!$B$8:$H$991,6,FALSE)</f>
        <v>2612.073486328125</v>
      </c>
      <c r="Q404" s="26">
        <f t="shared" si="642"/>
        <v>160.61013833290289</v>
      </c>
      <c r="R404" s="26">
        <f>MIN(IF(MONTH($C404)=4,$S$3,IF(MONTH($C404)=5,$S$4,IF(MONTH($C404)=6,$S$5,IF(MONTH($C404)=7,$S$6,"ERROR")))),MAX(VLOOKUP($C404,COS!$B$8:$K$991,10,FALSE)-IF(MONTH($C404)=4,$Y$3,IF(MONTH($C404)=5,$Y$4,IF(MONTH($C404)=6,$Y$5,IF(MONTH($C404)=7,$Y$6,"ERROR")))),0),MAX(VLOOKUP($C404,COS!$B$8:$K$991,9,FALSE)-IF(MONTH($C404)=4,$V$3,IF(MONTH($C404)=5,$V$4,IF(MONTH($C404)=6,$V$5,IF(MONTH($C404)=7,$V$6,"ERROR"))))-VLOOKUP($C404,COS!$B$8:$K$991,6,FALSE)/2,0))</f>
        <v>1500</v>
      </c>
      <c r="S404" s="26">
        <f t="shared" si="643"/>
        <v>92.231404958677686</v>
      </c>
      <c r="T404" s="26">
        <f t="shared" si="644"/>
        <v>200.88481685417742</v>
      </c>
      <c r="U404" s="26" t="str">
        <f>IF(VLOOKUP($C404,COS!$B$8:$I$991,8,FALSE)=1,"UWFE","IBU")</f>
        <v>IBU</v>
      </c>
      <c r="V404" s="26">
        <f t="shared" ref="V404" si="648">MIN(IF(IF($AA$3=2,AND(E404=1,G404=1,L404=1,L406=1,M404=1,U404="IBU"),AND(E404=1,G404=1,L404=1,L406=1,M404=1)),T404,0),I404)</f>
        <v>0</v>
      </c>
      <c r="W404" s="26"/>
      <c r="X404" s="26"/>
      <c r="Y404" s="26"/>
      <c r="Z404" s="26"/>
      <c r="AA404" s="26"/>
      <c r="AB404" s="33"/>
    </row>
    <row r="405" spans="1:28" x14ac:dyDescent="0.3">
      <c r="A405" s="32">
        <f>VLOOKUP(YEAR(C405),Flags!$A$13:$B$95,2,FALSE)</f>
        <v>1</v>
      </c>
      <c r="B405" s="24">
        <f t="shared" si="637"/>
        <v>1965</v>
      </c>
      <c r="C405" s="25">
        <v>23985</v>
      </c>
      <c r="D405" s="26"/>
      <c r="E405" s="24"/>
      <c r="F405" s="26"/>
      <c r="G405" s="24"/>
      <c r="H405" s="24"/>
      <c r="I405" s="26"/>
      <c r="J405" s="24"/>
      <c r="K405" s="26"/>
      <c r="L405" s="24"/>
      <c r="M405" s="24"/>
      <c r="N405" s="26"/>
      <c r="O405" s="26"/>
      <c r="P405" s="26"/>
      <c r="Q405" s="26"/>
      <c r="R405" s="26"/>
      <c r="S405" s="26"/>
      <c r="T405" s="26"/>
      <c r="U405" s="26"/>
      <c r="V405" s="26"/>
      <c r="W405" s="26">
        <f>MAX($C$7-VLOOKUP($C405,COS!$B$8:$H$991,3,FALSE),0)</f>
        <v>91045.6005859375</v>
      </c>
      <c r="X405" s="26">
        <f t="shared" si="562"/>
        <v>5598.1757715650829</v>
      </c>
      <c r="Y405" s="26">
        <f>VLOOKUP($C405,COS!$B$8:$H$991,4,FALSE)</f>
        <v>0</v>
      </c>
      <c r="Z405" s="26">
        <f t="shared" si="563"/>
        <v>0</v>
      </c>
      <c r="AA405" s="26">
        <f t="shared" ref="AA405:AA409" si="649">MIN(W405,Y405)</f>
        <v>0</v>
      </c>
      <c r="AB405" s="33">
        <f t="shared" ref="AB405:AB463" si="650">AA405*DAY($C405)*86400/43560/1000*IF(MONTH($C405)=8,$P$3,IF(MONTH($C405)=9,$P$4,IF(MONTH($C405)=10,$P$5,IF(MONTH($C405)=11,$P$6,IF(MONTH($C405)=12,$P$7,NA())))))</f>
        <v>0</v>
      </c>
    </row>
    <row r="406" spans="1:28" x14ac:dyDescent="0.3">
      <c r="A406" s="32">
        <f>VLOOKUP(YEAR(C406),Flags!$A$13:$B$95,2,FALSE)</f>
        <v>1</v>
      </c>
      <c r="B406" s="24">
        <f t="shared" si="637"/>
        <v>1965</v>
      </c>
      <c r="C406" s="25">
        <v>24015</v>
      </c>
      <c r="D406" s="26"/>
      <c r="E406" s="24"/>
      <c r="F406" s="26"/>
      <c r="G406" s="24"/>
      <c r="H406" s="24"/>
      <c r="I406" s="26"/>
      <c r="J406" s="24"/>
      <c r="K406" s="26">
        <f>VLOOKUP($C406,COS!$B$8:$H$991,2,FALSE)</f>
        <v>2849.32861328125</v>
      </c>
      <c r="L406" s="24">
        <f t="shared" ref="L406" si="651">IF(AND(K406&gt;$I$7,K406&lt;$I$8),1,0)</f>
        <v>1</v>
      </c>
      <c r="M406" s="24"/>
      <c r="N406" s="26"/>
      <c r="O406" s="26"/>
      <c r="P406" s="26"/>
      <c r="Q406" s="26"/>
      <c r="R406" s="26"/>
      <c r="S406" s="26"/>
      <c r="T406" s="26"/>
      <c r="U406" s="26"/>
      <c r="V406" s="26"/>
      <c r="W406" s="26">
        <f>MAX($C$8-VLOOKUP($C406,COS!$B$8:$H$991,3,FALSE),0)</f>
        <v>86410.6357421875</v>
      </c>
      <c r="X406" s="26">
        <f t="shared" si="562"/>
        <v>5141.7898954028924</v>
      </c>
      <c r="Y406" s="26">
        <f>VLOOKUP($C406,COS!$B$8:$H$991,4,FALSE)</f>
        <v>0</v>
      </c>
      <c r="Z406" s="26">
        <f t="shared" si="563"/>
        <v>0</v>
      </c>
      <c r="AA406" s="26">
        <f t="shared" si="649"/>
        <v>0</v>
      </c>
      <c r="AB406" s="33">
        <f t="shared" si="650"/>
        <v>0</v>
      </c>
    </row>
    <row r="407" spans="1:28" x14ac:dyDescent="0.3">
      <c r="A407" s="32">
        <f>VLOOKUP(YEAR(C407),Flags!$A$13:$B$95,2,FALSE)</f>
        <v>1</v>
      </c>
      <c r="B407" s="24">
        <f t="shared" si="637"/>
        <v>1965</v>
      </c>
      <c r="C407" s="25">
        <v>24046</v>
      </c>
      <c r="D407" s="26"/>
      <c r="E407" s="24"/>
      <c r="F407" s="26"/>
      <c r="G407" s="26"/>
      <c r="H407" s="26"/>
      <c r="I407" s="26"/>
      <c r="J407" s="26"/>
      <c r="K407" s="26"/>
      <c r="L407" s="24"/>
      <c r="M407" s="24"/>
      <c r="N407" s="26"/>
      <c r="O407" s="26"/>
      <c r="P407" s="26"/>
      <c r="Q407" s="26"/>
      <c r="R407" s="26"/>
      <c r="S407" s="26"/>
      <c r="T407" s="26"/>
      <c r="U407" s="26"/>
      <c r="V407" s="26"/>
      <c r="W407" s="26">
        <f>MAX($C$9-VLOOKUP($C407,COS!$B$8:$H$991,3,FALSE),0)</f>
        <v>91501.974609375</v>
      </c>
      <c r="X407" s="26">
        <f t="shared" si="562"/>
        <v>5626.2371164772721</v>
      </c>
      <c r="Y407" s="26">
        <f>VLOOKUP($C407,COS!$B$8:$H$991,4,FALSE)</f>
        <v>958.20550537109375</v>
      </c>
      <c r="Z407" s="26">
        <f t="shared" si="563"/>
        <v>58.917759999677166</v>
      </c>
      <c r="AA407" s="26">
        <f t="shared" si="649"/>
        <v>958.20550537109375</v>
      </c>
      <c r="AB407" s="33">
        <f t="shared" si="650"/>
        <v>58.917759999677166</v>
      </c>
    </row>
    <row r="408" spans="1:28" x14ac:dyDescent="0.3">
      <c r="A408" s="32">
        <f>VLOOKUP(YEAR(C408),Flags!$A$13:$B$95,2,FALSE)</f>
        <v>1</v>
      </c>
      <c r="B408" s="24">
        <f t="shared" si="637"/>
        <v>1965</v>
      </c>
      <c r="C408" s="25">
        <v>24076</v>
      </c>
      <c r="D408" s="26"/>
      <c r="E408" s="24"/>
      <c r="F408" s="26"/>
      <c r="G408" s="26"/>
      <c r="H408" s="26"/>
      <c r="I408" s="26"/>
      <c r="J408" s="26"/>
      <c r="K408" s="26"/>
      <c r="L408" s="24"/>
      <c r="M408" s="24"/>
      <c r="N408" s="26"/>
      <c r="O408" s="26"/>
      <c r="P408" s="26"/>
      <c r="Q408" s="26"/>
      <c r="R408" s="26"/>
      <c r="S408" s="26"/>
      <c r="T408" s="26"/>
      <c r="U408" s="26"/>
      <c r="V408" s="26"/>
      <c r="W408" s="26">
        <f>MAX($C$10-VLOOKUP($C408,COS!$B$8:$H$991,3,FALSE),0)</f>
        <v>92705.76025390625</v>
      </c>
      <c r="X408" s="26">
        <f t="shared" si="562"/>
        <v>5516.3758167613632</v>
      </c>
      <c r="Y408" s="26">
        <f>VLOOKUP($C408,COS!$B$8:$H$991,4,FALSE)</f>
        <v>425.12249755859375</v>
      </c>
      <c r="Z408" s="26">
        <f t="shared" si="563"/>
        <v>25.296545309271693</v>
      </c>
      <c r="AA408" s="26">
        <f t="shared" si="649"/>
        <v>425.12249755859375</v>
      </c>
      <c r="AB408" s="33">
        <f t="shared" si="650"/>
        <v>12.648272654635846</v>
      </c>
    </row>
    <row r="409" spans="1:28" x14ac:dyDescent="0.3">
      <c r="A409" s="34">
        <f>VLOOKUP(YEAR(C409),Flags!$A$13:$B$95,2,FALSE)</f>
        <v>1</v>
      </c>
      <c r="B409" s="35">
        <f t="shared" si="637"/>
        <v>1965</v>
      </c>
      <c r="C409" s="36">
        <v>24107</v>
      </c>
      <c r="D409" s="37"/>
      <c r="E409" s="35"/>
      <c r="F409" s="37"/>
      <c r="G409" s="37"/>
      <c r="H409" s="37"/>
      <c r="I409" s="37"/>
      <c r="J409" s="37"/>
      <c r="K409" s="37"/>
      <c r="L409" s="35"/>
      <c r="M409" s="35"/>
      <c r="N409" s="37"/>
      <c r="O409" s="37"/>
      <c r="P409" s="37"/>
      <c r="Q409" s="37"/>
      <c r="R409" s="37"/>
      <c r="S409" s="37"/>
      <c r="T409" s="37"/>
      <c r="U409" s="37"/>
      <c r="V409" s="37"/>
      <c r="W409" s="37">
        <f>MAX($C$11-VLOOKUP($C409,COS!$B$8:$H$991,3,FALSE),0)</f>
        <v>0</v>
      </c>
      <c r="X409" s="37">
        <f t="shared" si="562"/>
        <v>0</v>
      </c>
      <c r="Y409" s="37">
        <f>VLOOKUP($C409,COS!$B$8:$H$991,4,FALSE)</f>
        <v>0</v>
      </c>
      <c r="Z409" s="37">
        <f t="shared" si="563"/>
        <v>0</v>
      </c>
      <c r="AA409" s="37">
        <f t="shared" si="649"/>
        <v>0</v>
      </c>
      <c r="AB409" s="38">
        <f t="shared" si="650"/>
        <v>0</v>
      </c>
    </row>
    <row r="410" spans="1:28" x14ac:dyDescent="0.3">
      <c r="A410" s="27">
        <f>VLOOKUP(YEAR(C410),Flags!$A$13:$B$95,2,FALSE)</f>
        <v>3</v>
      </c>
      <c r="B410" s="28">
        <f t="shared" si="637"/>
        <v>1966</v>
      </c>
      <c r="C410" s="29">
        <v>24227</v>
      </c>
      <c r="D410" s="30">
        <f>VLOOKUP($C410,COS!$B$8:$H$991,3,FALSE)</f>
        <v>4292.888671875</v>
      </c>
      <c r="E410" s="28">
        <f>IF(D410&gt;=IF(MONTH($C410)=4,$C$3,IF(MONTH($C410)=5,$C$4,IF(MONTH($C410)=6,$C$5,IF(MONTH($C410)=7,$C$6,"ERROR")))),1,0)</f>
        <v>0</v>
      </c>
      <c r="F410" s="30">
        <f>VLOOKUP($C410,COS!$B$8:$H$991,7,FALSE)</f>
        <v>49.869205474853516</v>
      </c>
      <c r="G410" s="28">
        <f>IF(F410&lt;=IF(MONTH($C410)=4,$F$3,IF(MONTH($C410)=5,$F$4,IF(MONTH($C410)=6,$F$5,IF(MONTH($C410)=7,$F$6,"ERROR")))),1,0)</f>
        <v>1</v>
      </c>
      <c r="H410" s="30">
        <f>IF(J410=1,D410-$C$3,0)</f>
        <v>0</v>
      </c>
      <c r="I410" s="30">
        <f t="shared" si="558"/>
        <v>0</v>
      </c>
      <c r="J410" s="28">
        <f t="shared" ref="J410:J413" si="652">IF(AND(E410=1,G410=1),1,0)</f>
        <v>0</v>
      </c>
      <c r="K410" s="30">
        <f>VLOOKUP($C410,COS!$B$8:$H$991,2,FALSE)</f>
        <v>4552</v>
      </c>
      <c r="L410" s="28">
        <f t="shared" ref="L410" si="653">IF(K410&lt;=IF(MONTH($C410)=4,$I$3,IF(MONTH($C410)=5,$I$4,IF(MONTH($C410)=6,$I$5,IF(MONTH($C410)=7,$I$6,"ERROR")))),1,0)</f>
        <v>1</v>
      </c>
      <c r="M410" s="28">
        <f t="shared" ref="M410" si="654">VLOOKUP($A410,$L$3:$M$7,2,FALSE)</f>
        <v>1</v>
      </c>
      <c r="N410" s="30">
        <f>VLOOKUP($C410,COS!$B$8:$H$991,5,FALSE)</f>
        <v>529.82769775390625</v>
      </c>
      <c r="O410" s="30">
        <f t="shared" ref="O410:O413" si="655">N410*DAY($C410)*86400/43560/1000</f>
        <v>31.526937387009298</v>
      </c>
      <c r="P410" s="30">
        <f>VLOOKUP($C410,COS!$B$8:$H$991,6,FALSE)</f>
        <v>552.3431396484375</v>
      </c>
      <c r="Q410" s="30">
        <f t="shared" ref="Q410:Q413" si="656">P410*DAY($C410)*86400/43560/1000</f>
        <v>32.86669921875</v>
      </c>
      <c r="R410" s="30">
        <f>MIN(IF(MONTH($C410)=4,$S$3,IF(MONTH($C410)=5,$S$4,IF(MONTH($C410)=6,$S$5,IF(MONTH($C410)=7,$S$6,"ERROR")))),MAX(VLOOKUP($C410,COS!$B$8:$K$991,10,FALSE)-IF(MONTH($C410)=4,$Y$3,IF(MONTH($C410)=5,$Y$4,IF(MONTH($C410)=6,$Y$5,IF(MONTH($C410)=7,$Y$6,"ERROR")))),0),MAX(VLOOKUP($C410,COS!$B$8:$K$991,9,FALSE)-IF(MONTH($C410)=4,$V$3,IF(MONTH($C410)=5,$V$4,IF(MONTH($C410)=6,$V$5,IF(MONTH($C410)=7,$V$6,"ERROR"))))-VLOOKUP($C410,COS!$B$8:$K$991,6,FALSE)/2,0))</f>
        <v>1500</v>
      </c>
      <c r="S410" s="30">
        <f t="shared" ref="S410:S413" si="657">R410*DAY($C410)*86400/43560/1000</f>
        <v>89.256198347107429</v>
      </c>
      <c r="T410" s="30">
        <f t="shared" ref="T410:T413" si="658">(O410+Q410)/2+S410</f>
        <v>121.45301664998708</v>
      </c>
      <c r="U410" s="30" t="str">
        <f>IF(VLOOKUP($C410,COS!$B$8:$I$991,8,FALSE)=1,"UWFE","IBU")</f>
        <v>UWFE</v>
      </c>
      <c r="V410" s="30">
        <f t="shared" ref="V410" si="659">MIN(IF(IF($AA$3=2,AND(E410=1,G410=1,L410=1,L415=1,M410=1,U410="IBU"),AND(E410=1,G410=1,L410=1,L415=1,M410=1)),T410,0),I410)</f>
        <v>0</v>
      </c>
      <c r="W410" s="30"/>
      <c r="X410" s="30"/>
      <c r="Y410" s="30"/>
      <c r="Z410" s="30"/>
      <c r="AA410" s="30"/>
      <c r="AB410" s="31"/>
    </row>
    <row r="411" spans="1:28" x14ac:dyDescent="0.3">
      <c r="A411" s="32">
        <f>VLOOKUP(YEAR(C411),Flags!$A$13:$B$95,2,FALSE)</f>
        <v>3</v>
      </c>
      <c r="B411" s="24">
        <f t="shared" si="637"/>
        <v>1966</v>
      </c>
      <c r="C411" s="25">
        <v>24258</v>
      </c>
      <c r="D411" s="26">
        <f>VLOOKUP($C411,COS!$B$8:$H$991,3,FALSE)</f>
        <v>8730.6591796875</v>
      </c>
      <c r="E411" s="24">
        <f>IF(D411&gt;=IF(MONTH($C411)=4,$C$3,IF(MONTH($C411)=5,$C$4,IF(MONTH($C411)=6,$C$5,IF(MONTH($C411)=7,$C$6,"ERROR")))),1,0)</f>
        <v>1</v>
      </c>
      <c r="F411" s="26">
        <f>VLOOKUP($C411,COS!$B$8:$H$991,7,FALSE)</f>
        <v>49.472553253173828</v>
      </c>
      <c r="G411" s="24">
        <f>IF(F411&lt;=IF(MONTH($C411)=4,$F$3,IF(MONTH($C411)=5,$F$4,IF(MONTH($C411)=6,$F$5,IF(MONTH($C411)=7,$F$6,"ERROR")))),1,0)</f>
        <v>1</v>
      </c>
      <c r="H411" s="26">
        <f>IF(J411=1,D411-$C$4,0)</f>
        <v>2730.6591796875</v>
      </c>
      <c r="I411" s="26">
        <f t="shared" si="558"/>
        <v>167.90168840392562</v>
      </c>
      <c r="J411" s="24">
        <f t="shared" si="652"/>
        <v>1</v>
      </c>
      <c r="K411" s="26">
        <f>VLOOKUP($C411,COS!$B$8:$H$991,2,FALSE)</f>
        <v>4347.7724609375</v>
      </c>
      <c r="L411" s="24">
        <f t="shared" si="639"/>
        <v>1</v>
      </c>
      <c r="M411" s="24">
        <f t="shared" si="640"/>
        <v>1</v>
      </c>
      <c r="N411" s="26">
        <f>VLOOKUP($C411,COS!$B$8:$H$991,5,FALSE)</f>
        <v>640.74652099609375</v>
      </c>
      <c r="O411" s="26">
        <f t="shared" si="655"/>
        <v>39.397967902569732</v>
      </c>
      <c r="P411" s="26">
        <f>VLOOKUP($C411,COS!$B$8:$H$991,6,FALSE)</f>
        <v>2340.425048828125</v>
      </c>
      <c r="Q411" s="26">
        <f t="shared" si="656"/>
        <v>143.90712696926653</v>
      </c>
      <c r="R411" s="26">
        <f>MIN(IF(MONTH($C411)=4,$S$3,IF(MONTH($C411)=5,$S$4,IF(MONTH($C411)=6,$S$5,IF(MONTH($C411)=7,$S$6,"ERROR")))),MAX(VLOOKUP($C411,COS!$B$8:$K$991,10,FALSE)-IF(MONTH($C411)=4,$Y$3,IF(MONTH($C411)=5,$Y$4,IF(MONTH($C411)=6,$Y$5,IF(MONTH($C411)=7,$Y$6,"ERROR")))),0),MAX(VLOOKUP($C411,COS!$B$8:$K$991,9,FALSE)-IF(MONTH($C411)=4,$V$3,IF(MONTH($C411)=5,$V$4,IF(MONTH($C411)=6,$V$5,IF(MONTH($C411)=7,$V$6,"ERROR"))))-VLOOKUP($C411,COS!$B$8:$K$991,6,FALSE)/2,0))</f>
        <v>1500</v>
      </c>
      <c r="S411" s="26">
        <f t="shared" si="657"/>
        <v>92.231404958677686</v>
      </c>
      <c r="T411" s="26">
        <f t="shared" si="658"/>
        <v>183.88395239459584</v>
      </c>
      <c r="U411" s="26" t="str">
        <f>IF(VLOOKUP($C411,COS!$B$8:$I$991,8,FALSE)=1,"UWFE","IBU")</f>
        <v>IBU</v>
      </c>
      <c r="V411" s="26">
        <f t="shared" ref="V411" si="660">MIN(IF(IF($AA$3=2,AND(E411=1,G411=1,L411=1,L415=1,M411=1,U411="IBU"),AND(E411=1,G411=1,L411=1,L415=1,M411=1)),T411,0),I411)</f>
        <v>167.90168840392562</v>
      </c>
      <c r="W411" s="26"/>
      <c r="X411" s="26"/>
      <c r="Y411" s="26"/>
      <c r="Z411" s="26"/>
      <c r="AA411" s="26"/>
      <c r="AB411" s="33"/>
    </row>
    <row r="412" spans="1:28" x14ac:dyDescent="0.3">
      <c r="A412" s="32">
        <f>VLOOKUP(YEAR(C412),Flags!$A$13:$B$95,2,FALSE)</f>
        <v>3</v>
      </c>
      <c r="B412" s="24">
        <f t="shared" si="637"/>
        <v>1966</v>
      </c>
      <c r="C412" s="25">
        <v>24288</v>
      </c>
      <c r="D412" s="26">
        <f>VLOOKUP($C412,COS!$B$8:$H$991,3,FALSE)</f>
        <v>13508.86328125</v>
      </c>
      <c r="E412" s="24">
        <f>IF(D412&gt;=IF(MONTH($C412)=4,$C$3,IF(MONTH($C412)=5,$C$4,IF(MONTH($C412)=6,$C$5,IF(MONTH($C412)=7,$C$6,"ERROR")))),1,0)</f>
        <v>1</v>
      </c>
      <c r="F412" s="26">
        <f>VLOOKUP($C412,COS!$B$8:$H$991,7,FALSE)</f>
        <v>49.86444091796875</v>
      </c>
      <c r="G412" s="24">
        <f>IF(F412&lt;=IF(MONTH($C412)=4,$F$3,IF(MONTH($C412)=5,$F$4,IF(MONTH($C412)=6,$F$5,IF(MONTH($C412)=7,$F$6,"ERROR")))),1,0)</f>
        <v>1</v>
      </c>
      <c r="H412" s="26">
        <f>IF(J412=1,D412-$C$5,0)</f>
        <v>3508.86328125</v>
      </c>
      <c r="I412" s="26">
        <f t="shared" ref="I412:I475" si="661">H412*DAY($C412)*86400/43560/1000</f>
        <v>208.79186466942147</v>
      </c>
      <c r="J412" s="24">
        <f t="shared" si="652"/>
        <v>1</v>
      </c>
      <c r="K412" s="26">
        <f>VLOOKUP($C412,COS!$B$8:$H$991,2,FALSE)</f>
        <v>3800.234375</v>
      </c>
      <c r="L412" s="24">
        <f t="shared" si="639"/>
        <v>1</v>
      </c>
      <c r="M412" s="24">
        <f t="shared" si="640"/>
        <v>1</v>
      </c>
      <c r="N412" s="26">
        <f>VLOOKUP($C412,COS!$B$8:$H$991,5,FALSE)</f>
        <v>770.628173828125</v>
      </c>
      <c r="O412" s="26">
        <f t="shared" si="655"/>
        <v>45.85556075671488</v>
      </c>
      <c r="P412" s="26">
        <f>VLOOKUP($C412,COS!$B$8:$H$991,6,FALSE)</f>
        <v>2661.6142578125</v>
      </c>
      <c r="Q412" s="26">
        <f t="shared" si="656"/>
        <v>158.37704674586777</v>
      </c>
      <c r="R412" s="26">
        <f>MIN(IF(MONTH($C412)=4,$S$3,IF(MONTH($C412)=5,$S$4,IF(MONTH($C412)=6,$S$5,IF(MONTH($C412)=7,$S$6,"ERROR")))),MAX(VLOOKUP($C412,COS!$B$8:$K$991,10,FALSE)-IF(MONTH($C412)=4,$Y$3,IF(MONTH($C412)=5,$Y$4,IF(MONTH($C412)=6,$Y$5,IF(MONTH($C412)=7,$Y$6,"ERROR")))),0),MAX(VLOOKUP($C412,COS!$B$8:$K$991,9,FALSE)-IF(MONTH($C412)=4,$V$3,IF(MONTH($C412)=5,$V$4,IF(MONTH($C412)=6,$V$5,IF(MONTH($C412)=7,$V$6,"ERROR"))))-VLOOKUP($C412,COS!$B$8:$K$991,6,FALSE)/2,0))</f>
        <v>1500</v>
      </c>
      <c r="S412" s="26">
        <f t="shared" si="657"/>
        <v>89.256198347107429</v>
      </c>
      <c r="T412" s="26">
        <f t="shared" si="658"/>
        <v>191.37250209839874</v>
      </c>
      <c r="U412" s="26" t="str">
        <f>IF(VLOOKUP($C412,COS!$B$8:$I$991,8,FALSE)=1,"UWFE","IBU")</f>
        <v>IBU</v>
      </c>
      <c r="V412" s="26">
        <f t="shared" ref="V412" si="662">MIN(IF(IF($AA$3=2,AND(E412=1,G412=1,L412=1,L415=1,M412=1,U412="IBU"),AND(E412=1,G412=1,L412=1,L415=1,M412=1)),T412,0),I412)</f>
        <v>191.37250209839874</v>
      </c>
      <c r="W412" s="26"/>
      <c r="X412" s="26"/>
      <c r="Y412" s="26"/>
      <c r="Z412" s="26"/>
      <c r="AA412" s="26"/>
      <c r="AB412" s="33"/>
    </row>
    <row r="413" spans="1:28" x14ac:dyDescent="0.3">
      <c r="A413" s="32">
        <f>VLOOKUP(YEAR(C413),Flags!$A$13:$B$95,2,FALSE)</f>
        <v>3</v>
      </c>
      <c r="B413" s="24">
        <f t="shared" si="637"/>
        <v>1966</v>
      </c>
      <c r="C413" s="25">
        <v>24319</v>
      </c>
      <c r="D413" s="26">
        <f>VLOOKUP($C413,COS!$B$8:$H$991,3,FALSE)</f>
        <v>16000</v>
      </c>
      <c r="E413" s="24">
        <f>IF(D413&gt;=IF(MONTH($C413)=4,$C$3,IF(MONTH($C413)=5,$C$4,IF(MONTH($C413)=6,$C$5,IF(MONTH($C413)=7,$C$6,"ERROR")))),1,0)</f>
        <v>1</v>
      </c>
      <c r="F413" s="26">
        <f>VLOOKUP($C413,COS!$B$8:$H$991,7,FALSE)</f>
        <v>50.834873199462891</v>
      </c>
      <c r="G413" s="24">
        <f>IF(F413&lt;=IF(MONTH($C413)=4,$F$3,IF(MONTH($C413)=5,$F$4,IF(MONTH($C413)=6,$F$5,IF(MONTH($C413)=7,$F$6,"ERROR")))),1,0)</f>
        <v>1</v>
      </c>
      <c r="H413" s="26">
        <f>IF(J413=1,D413-$C$6,0)</f>
        <v>4000</v>
      </c>
      <c r="I413" s="26">
        <f t="shared" si="661"/>
        <v>245.95041322314049</v>
      </c>
      <c r="J413" s="24">
        <f t="shared" si="652"/>
        <v>1</v>
      </c>
      <c r="K413" s="26">
        <f>VLOOKUP($C413,COS!$B$8:$H$991,2,FALSE)</f>
        <v>3119.609375</v>
      </c>
      <c r="L413" s="24">
        <f t="shared" si="639"/>
        <v>1</v>
      </c>
      <c r="M413" s="24">
        <f t="shared" si="640"/>
        <v>1</v>
      </c>
      <c r="N413" s="26">
        <f>VLOOKUP($C413,COS!$B$8:$H$991,5,FALSE)</f>
        <v>838.9403076171875</v>
      </c>
      <c r="O413" s="26">
        <f t="shared" si="655"/>
        <v>51.584428831998963</v>
      </c>
      <c r="P413" s="26">
        <f>VLOOKUP($C413,COS!$B$8:$H$991,6,FALSE)</f>
        <v>2521.163330078125</v>
      </c>
      <c r="Q413" s="26">
        <f t="shared" si="656"/>
        <v>155.02029070893593</v>
      </c>
      <c r="R413" s="26">
        <f>MIN(IF(MONTH($C413)=4,$S$3,IF(MONTH($C413)=5,$S$4,IF(MONTH($C413)=6,$S$5,IF(MONTH($C413)=7,$S$6,"ERROR")))),MAX(VLOOKUP($C413,COS!$B$8:$K$991,10,FALSE)-IF(MONTH($C413)=4,$Y$3,IF(MONTH($C413)=5,$Y$4,IF(MONTH($C413)=6,$Y$5,IF(MONTH($C413)=7,$Y$6,"ERROR")))),0),MAX(VLOOKUP($C413,COS!$B$8:$K$991,9,FALSE)-IF(MONTH($C413)=4,$V$3,IF(MONTH($C413)=5,$V$4,IF(MONTH($C413)=6,$V$5,IF(MONTH($C413)=7,$V$6,"ERROR"))))-VLOOKUP($C413,COS!$B$8:$K$991,6,FALSE)/2,0))</f>
        <v>1500</v>
      </c>
      <c r="S413" s="26">
        <f t="shared" si="657"/>
        <v>92.231404958677686</v>
      </c>
      <c r="T413" s="26">
        <f t="shared" si="658"/>
        <v>195.53376472914513</v>
      </c>
      <c r="U413" s="26" t="str">
        <f>IF(VLOOKUP($C413,COS!$B$8:$I$991,8,FALSE)=1,"UWFE","IBU")</f>
        <v>IBU</v>
      </c>
      <c r="V413" s="26">
        <f t="shared" ref="V413" si="663">MIN(IF(IF($AA$3=2,AND(E413=1,G413=1,L413=1,L415=1,M413=1,U413="IBU"),AND(E413=1,G413=1,L413=1,L415=1,M413=1)),T413,0),I413)</f>
        <v>195.53376472914513</v>
      </c>
      <c r="W413" s="26"/>
      <c r="X413" s="26"/>
      <c r="Y413" s="26"/>
      <c r="Z413" s="26"/>
      <c r="AA413" s="26"/>
      <c r="AB413" s="33"/>
    </row>
    <row r="414" spans="1:28" x14ac:dyDescent="0.3">
      <c r="A414" s="32">
        <f>VLOOKUP(YEAR(C414),Flags!$A$13:$B$95,2,FALSE)</f>
        <v>3</v>
      </c>
      <c r="B414" s="24">
        <f t="shared" si="637"/>
        <v>1966</v>
      </c>
      <c r="C414" s="25">
        <v>24350</v>
      </c>
      <c r="D414" s="26"/>
      <c r="E414" s="24"/>
      <c r="F414" s="26"/>
      <c r="G414" s="24"/>
      <c r="H414" s="24"/>
      <c r="I414" s="26"/>
      <c r="J414" s="24"/>
      <c r="K414" s="26"/>
      <c r="L414" s="24"/>
      <c r="M414" s="24"/>
      <c r="N414" s="26"/>
      <c r="O414" s="26"/>
      <c r="P414" s="26"/>
      <c r="Q414" s="26"/>
      <c r="R414" s="26"/>
      <c r="S414" s="26"/>
      <c r="T414" s="26"/>
      <c r="U414" s="26"/>
      <c r="V414" s="26"/>
      <c r="W414" s="26">
        <f>MAX($C$7-VLOOKUP($C414,COS!$B$8:$H$991,3,FALSE),0)</f>
        <v>87234.4794921875</v>
      </c>
      <c r="X414" s="26">
        <f t="shared" si="562"/>
        <v>5363.8390696022725</v>
      </c>
      <c r="Y414" s="26">
        <f>VLOOKUP($C414,COS!$B$8:$H$991,4,FALSE)</f>
        <v>442.35452270507813</v>
      </c>
      <c r="Z414" s="26">
        <f t="shared" si="563"/>
        <v>27.199319412609761</v>
      </c>
      <c r="AA414" s="26">
        <f t="shared" ref="AA414:AA418" si="664">MIN(W414,Y414)</f>
        <v>442.35452270507813</v>
      </c>
      <c r="AB414" s="33">
        <f t="shared" ref="AB414" si="665">AA414*DAY($C414)*86400/43560/1000*IF(MONTH($C414)=8,$P$3,IF(MONTH($C414)=9,$P$4,IF(MONTH($C414)=10,$P$5,IF(MONTH($C414)=11,$P$6,IF(MONTH($C414)=12,$P$7,NA())))))</f>
        <v>27.199319412609761</v>
      </c>
    </row>
    <row r="415" spans="1:28" x14ac:dyDescent="0.3">
      <c r="A415" s="32">
        <f>VLOOKUP(YEAR(C415),Flags!$A$13:$B$95,2,FALSE)</f>
        <v>3</v>
      </c>
      <c r="B415" s="24">
        <f t="shared" si="637"/>
        <v>1966</v>
      </c>
      <c r="C415" s="25">
        <v>24380</v>
      </c>
      <c r="D415" s="26"/>
      <c r="E415" s="24"/>
      <c r="F415" s="26"/>
      <c r="G415" s="24"/>
      <c r="H415" s="24"/>
      <c r="I415" s="26"/>
      <c r="J415" s="24"/>
      <c r="K415" s="26">
        <f>VLOOKUP($C415,COS!$B$8:$H$991,2,FALSE)</f>
        <v>2583.3671875</v>
      </c>
      <c r="L415" s="24">
        <f t="shared" ref="L415" si="666">IF(AND(K415&gt;$I$7,K415&lt;$I$8),1,0)</f>
        <v>1</v>
      </c>
      <c r="M415" s="24"/>
      <c r="N415" s="26"/>
      <c r="O415" s="26"/>
      <c r="P415" s="26"/>
      <c r="Q415" s="26"/>
      <c r="R415" s="26"/>
      <c r="S415" s="26"/>
      <c r="T415" s="26"/>
      <c r="U415" s="26"/>
      <c r="V415" s="26"/>
      <c r="W415" s="26">
        <f>MAX($C$8-VLOOKUP($C415,COS!$B$8:$H$991,3,FALSE),0)</f>
        <v>92546.88525390625</v>
      </c>
      <c r="X415" s="26">
        <f t="shared" ref="X415:X478" si="667">W415*DAY($C415)*86400/43560/1000</f>
        <v>5506.9220977530995</v>
      </c>
      <c r="Y415" s="26">
        <f>VLOOKUP($C415,COS!$B$8:$H$991,4,FALSE)</f>
        <v>418.4725341796875</v>
      </c>
      <c r="Z415" s="26">
        <f t="shared" ref="Z415:Z478" si="668">Y415*DAY($C415)*86400/43560/1000</f>
        <v>24.900845009039259</v>
      </c>
      <c r="AA415" s="26">
        <f t="shared" si="664"/>
        <v>418.4725341796875</v>
      </c>
      <c r="AB415" s="33">
        <f t="shared" si="650"/>
        <v>24.900845009039259</v>
      </c>
    </row>
    <row r="416" spans="1:28" x14ac:dyDescent="0.3">
      <c r="A416" s="32">
        <f>VLOOKUP(YEAR(C416),Flags!$A$13:$B$95,2,FALSE)</f>
        <v>3</v>
      </c>
      <c r="B416" s="24">
        <f t="shared" si="637"/>
        <v>1966</v>
      </c>
      <c r="C416" s="25">
        <v>24411</v>
      </c>
      <c r="D416" s="26"/>
      <c r="E416" s="24"/>
      <c r="F416" s="26"/>
      <c r="G416" s="26"/>
      <c r="H416" s="26"/>
      <c r="I416" s="26"/>
      <c r="J416" s="26"/>
      <c r="K416" s="26"/>
      <c r="L416" s="24"/>
      <c r="M416" s="24"/>
      <c r="N416" s="26"/>
      <c r="O416" s="26"/>
      <c r="P416" s="26"/>
      <c r="Q416" s="26"/>
      <c r="R416" s="26"/>
      <c r="S416" s="26"/>
      <c r="T416" s="26"/>
      <c r="U416" s="26"/>
      <c r="V416" s="26"/>
      <c r="W416" s="26">
        <f>MAX($C$9-VLOOKUP($C416,COS!$B$8:$H$991,3,FALSE),0)</f>
        <v>93829.6923828125</v>
      </c>
      <c r="X416" s="26">
        <f t="shared" si="667"/>
        <v>5769.3629035382237</v>
      </c>
      <c r="Y416" s="26">
        <f>VLOOKUP($C416,COS!$B$8:$H$991,4,FALSE)</f>
        <v>1319.8214111328125</v>
      </c>
      <c r="Z416" s="26">
        <f t="shared" si="668"/>
        <v>81.15265536221591</v>
      </c>
      <c r="AA416" s="26">
        <f t="shared" si="664"/>
        <v>1319.8214111328125</v>
      </c>
      <c r="AB416" s="33">
        <f t="shared" si="650"/>
        <v>81.15265536221591</v>
      </c>
    </row>
    <row r="417" spans="1:28" x14ac:dyDescent="0.3">
      <c r="A417" s="32">
        <f>VLOOKUP(YEAR(C417),Flags!$A$13:$B$95,2,FALSE)</f>
        <v>3</v>
      </c>
      <c r="B417" s="24">
        <f t="shared" si="637"/>
        <v>1966</v>
      </c>
      <c r="C417" s="25">
        <v>24441</v>
      </c>
      <c r="D417" s="26"/>
      <c r="E417" s="24"/>
      <c r="F417" s="26"/>
      <c r="G417" s="26"/>
      <c r="H417" s="26"/>
      <c r="I417" s="26"/>
      <c r="J417" s="26"/>
      <c r="K417" s="26"/>
      <c r="L417" s="24"/>
      <c r="M417" s="24"/>
      <c r="N417" s="26"/>
      <c r="O417" s="26"/>
      <c r="P417" s="26"/>
      <c r="Q417" s="26"/>
      <c r="R417" s="26"/>
      <c r="S417" s="26"/>
      <c r="T417" s="26"/>
      <c r="U417" s="26"/>
      <c r="V417" s="26"/>
      <c r="W417" s="26">
        <f>MAX($C$10-VLOOKUP($C417,COS!$B$8:$H$991,3,FALSE),0)</f>
        <v>96749</v>
      </c>
      <c r="X417" s="26">
        <f t="shared" si="667"/>
        <v>5756.965289256198</v>
      </c>
      <c r="Y417" s="26">
        <f>VLOOKUP($C417,COS!$B$8:$H$991,4,FALSE)</f>
        <v>1161.37109375</v>
      </c>
      <c r="Z417" s="26">
        <f t="shared" si="668"/>
        <v>69.10637913223141</v>
      </c>
      <c r="AA417" s="26">
        <f t="shared" si="664"/>
        <v>1161.37109375</v>
      </c>
      <c r="AB417" s="33">
        <f t="shared" si="650"/>
        <v>34.553189566115705</v>
      </c>
    </row>
    <row r="418" spans="1:28" x14ac:dyDescent="0.3">
      <c r="A418" s="34">
        <f>VLOOKUP(YEAR(C418),Flags!$A$13:$B$95,2,FALSE)</f>
        <v>3</v>
      </c>
      <c r="B418" s="35">
        <f t="shared" si="637"/>
        <v>1966</v>
      </c>
      <c r="C418" s="36">
        <v>24472</v>
      </c>
      <c r="D418" s="37"/>
      <c r="E418" s="35"/>
      <c r="F418" s="37"/>
      <c r="G418" s="37"/>
      <c r="H418" s="37"/>
      <c r="I418" s="37"/>
      <c r="J418" s="37"/>
      <c r="K418" s="37"/>
      <c r="L418" s="35"/>
      <c r="M418" s="35"/>
      <c r="N418" s="37"/>
      <c r="O418" s="37"/>
      <c r="P418" s="37"/>
      <c r="Q418" s="37"/>
      <c r="R418" s="37"/>
      <c r="S418" s="37"/>
      <c r="T418" s="37"/>
      <c r="U418" s="37"/>
      <c r="V418" s="37"/>
      <c r="W418" s="37">
        <f>MAX($C$11-VLOOKUP($C418,COS!$B$8:$H$991,3,FALSE),0)</f>
        <v>0</v>
      </c>
      <c r="X418" s="37">
        <f t="shared" si="667"/>
        <v>0</v>
      </c>
      <c r="Y418" s="37">
        <f>VLOOKUP($C418,COS!$B$8:$H$991,4,FALSE)</f>
        <v>0</v>
      </c>
      <c r="Z418" s="37">
        <f t="shared" si="668"/>
        <v>0</v>
      </c>
      <c r="AA418" s="37">
        <f t="shared" si="664"/>
        <v>0</v>
      </c>
      <c r="AB418" s="38">
        <f t="shared" si="650"/>
        <v>0</v>
      </c>
    </row>
    <row r="419" spans="1:28" x14ac:dyDescent="0.3">
      <c r="A419" s="27">
        <f>VLOOKUP(YEAR(C419),Flags!$A$13:$B$95,2,FALSE)</f>
        <v>1</v>
      </c>
      <c r="B419" s="28">
        <f t="shared" si="637"/>
        <v>1967</v>
      </c>
      <c r="C419" s="29">
        <v>24592</v>
      </c>
      <c r="D419" s="30">
        <f>VLOOKUP($C419,COS!$B$8:$H$991,3,FALSE)</f>
        <v>10209.6708984375</v>
      </c>
      <c r="E419" s="28">
        <f>IF(D419&gt;=IF(MONTH($C419)=4,$C$3,IF(MONTH($C419)=5,$C$4,IF(MONTH($C419)=6,$C$5,IF(MONTH($C419)=7,$C$6,"ERROR")))),1,0)</f>
        <v>1</v>
      </c>
      <c r="F419" s="30">
        <f>VLOOKUP($C419,COS!$B$8:$H$991,7,FALSE)</f>
        <v>47.143501281738281</v>
      </c>
      <c r="G419" s="28">
        <f>IF(F419&lt;=IF(MONTH($C419)=4,$F$3,IF(MONTH($C419)=5,$F$4,IF(MONTH($C419)=6,$F$5,IF(MONTH($C419)=7,$F$6,"ERROR")))),1,0)</f>
        <v>1</v>
      </c>
      <c r="H419" s="30">
        <f>IF(J419=1,D419-$C$3,0)</f>
        <v>4209.6708984375</v>
      </c>
      <c r="I419" s="30">
        <f t="shared" si="661"/>
        <v>250.49281379132231</v>
      </c>
      <c r="J419" s="28">
        <f t="shared" ref="J419:J422" si="669">IF(AND(E419=1,G419=1),1,0)</f>
        <v>1</v>
      </c>
      <c r="K419" s="30">
        <f>VLOOKUP($C419,COS!$B$8:$H$991,2,FALSE)</f>
        <v>4479</v>
      </c>
      <c r="L419" s="28">
        <f t="shared" ref="L419" si="670">IF(K419&lt;=IF(MONTH($C419)=4,$I$3,IF(MONTH($C419)=5,$I$4,IF(MONTH($C419)=6,$I$5,IF(MONTH($C419)=7,$I$6,"ERROR")))),1,0)</f>
        <v>1</v>
      </c>
      <c r="M419" s="28">
        <f t="shared" ref="M419" si="671">VLOOKUP($A419,$L$3:$M$7,2,FALSE)</f>
        <v>0</v>
      </c>
      <c r="N419" s="30">
        <f>VLOOKUP($C419,COS!$B$8:$H$991,5,FALSE)</f>
        <v>39.870414733886719</v>
      </c>
      <c r="O419" s="30">
        <f t="shared" ref="O419:O422" si="672">N419*DAY($C419)*86400/43560/1000</f>
        <v>2.3724544304461519</v>
      </c>
      <c r="P419" s="30">
        <f>VLOOKUP($C419,COS!$B$8:$H$991,6,FALSE)</f>
        <v>237.42314147949219</v>
      </c>
      <c r="Q419" s="30">
        <f t="shared" ref="Q419:Q422" si="673">P419*DAY($C419)*86400/43560/1000</f>
        <v>14.127658005391272</v>
      </c>
      <c r="R419" s="30">
        <f>MIN(IF(MONTH($C419)=4,$S$3,IF(MONTH($C419)=5,$S$4,IF(MONTH($C419)=6,$S$5,IF(MONTH($C419)=7,$S$6,"ERROR")))),MAX(VLOOKUP($C419,COS!$B$8:$K$991,10,FALSE)-IF(MONTH($C419)=4,$Y$3,IF(MONTH($C419)=5,$Y$4,IF(MONTH($C419)=6,$Y$5,IF(MONTH($C419)=7,$Y$6,"ERROR")))),0),MAX(VLOOKUP($C419,COS!$B$8:$K$991,9,FALSE)-IF(MONTH($C419)=4,$V$3,IF(MONTH($C419)=5,$V$4,IF(MONTH($C419)=6,$V$5,IF(MONTH($C419)=7,$V$6,"ERROR"))))-VLOOKUP($C419,COS!$B$8:$K$991,6,FALSE)/2,0))</f>
        <v>1500</v>
      </c>
      <c r="S419" s="30">
        <f t="shared" ref="S419:S422" si="674">R419*DAY($C419)*86400/43560/1000</f>
        <v>89.256198347107429</v>
      </c>
      <c r="T419" s="30">
        <f t="shared" ref="T419:T422" si="675">(O419+Q419)/2+S419</f>
        <v>97.50625456502614</v>
      </c>
      <c r="U419" s="30" t="str">
        <f>IF(VLOOKUP($C419,COS!$B$8:$I$991,8,FALSE)=1,"UWFE","IBU")</f>
        <v>UWFE</v>
      </c>
      <c r="V419" s="30">
        <f t="shared" ref="V419" si="676">MIN(IF(IF($AA$3=2,AND(E419=1,G419=1,L419=1,L424=1,M419=1,U419="IBU"),AND(E419=1,G419=1,L419=1,L424=1,M419=1)),T419,0),I419)</f>
        <v>0</v>
      </c>
      <c r="W419" s="30"/>
      <c r="X419" s="30"/>
      <c r="Y419" s="30"/>
      <c r="Z419" s="30"/>
      <c r="AA419" s="30"/>
      <c r="AB419" s="31"/>
    </row>
    <row r="420" spans="1:28" x14ac:dyDescent="0.3">
      <c r="A420" s="32">
        <f>VLOOKUP(YEAR(C420),Flags!$A$13:$B$95,2,FALSE)</f>
        <v>1</v>
      </c>
      <c r="B420" s="24">
        <f t="shared" si="637"/>
        <v>1967</v>
      </c>
      <c r="C420" s="25">
        <v>24623</v>
      </c>
      <c r="D420" s="26">
        <f>VLOOKUP($C420,COS!$B$8:$H$991,3,FALSE)</f>
        <v>12507.45703125</v>
      </c>
      <c r="E420" s="24">
        <f>IF(D420&gt;=IF(MONTH($C420)=4,$C$3,IF(MONTH($C420)=5,$C$4,IF(MONTH($C420)=6,$C$5,IF(MONTH($C420)=7,$C$6,"ERROR")))),1,0)</f>
        <v>1</v>
      </c>
      <c r="F420" s="26">
        <f>VLOOKUP($C420,COS!$B$8:$H$991,7,FALSE)</f>
        <v>48.993885040283203</v>
      </c>
      <c r="G420" s="24">
        <f>IF(F420&lt;=IF(MONTH($C420)=4,$F$3,IF(MONTH($C420)=5,$F$4,IF(MONTH($C420)=6,$F$5,IF(MONTH($C420)=7,$F$6,"ERROR")))),1,0)</f>
        <v>1</v>
      </c>
      <c r="H420" s="26">
        <f>IF(J420=1,D420-$C$4,0)</f>
        <v>6507.45703125</v>
      </c>
      <c r="I420" s="26">
        <f t="shared" si="661"/>
        <v>400.12793646694212</v>
      </c>
      <c r="J420" s="24">
        <f t="shared" si="669"/>
        <v>1</v>
      </c>
      <c r="K420" s="26">
        <f>VLOOKUP($C420,COS!$B$8:$H$991,2,FALSE)</f>
        <v>4552</v>
      </c>
      <c r="L420" s="24">
        <f t="shared" si="639"/>
        <v>1</v>
      </c>
      <c r="M420" s="24">
        <f t="shared" si="640"/>
        <v>0</v>
      </c>
      <c r="N420" s="26">
        <f>VLOOKUP($C420,COS!$B$8:$H$991,5,FALSE)</f>
        <v>634.8349609375</v>
      </c>
      <c r="O420" s="26">
        <f t="shared" si="672"/>
        <v>39.034480242768595</v>
      </c>
      <c r="P420" s="26">
        <f>VLOOKUP($C420,COS!$B$8:$H$991,6,FALSE)</f>
        <v>2252.28564453125</v>
      </c>
      <c r="Q420" s="26">
        <f t="shared" si="673"/>
        <v>138.48764624225205</v>
      </c>
      <c r="R420" s="26">
        <f>MIN(IF(MONTH($C420)=4,$S$3,IF(MONTH($C420)=5,$S$4,IF(MONTH($C420)=6,$S$5,IF(MONTH($C420)=7,$S$6,"ERROR")))),MAX(VLOOKUP($C420,COS!$B$8:$K$991,10,FALSE)-IF(MONTH($C420)=4,$Y$3,IF(MONTH($C420)=5,$Y$4,IF(MONTH($C420)=6,$Y$5,IF(MONTH($C420)=7,$Y$6,"ERROR")))),0),MAX(VLOOKUP($C420,COS!$B$8:$K$991,9,FALSE)-IF(MONTH($C420)=4,$V$3,IF(MONTH($C420)=5,$V$4,IF(MONTH($C420)=6,$V$5,IF(MONTH($C420)=7,$V$6,"ERROR"))))-VLOOKUP($C420,COS!$B$8:$K$991,6,FALSE)/2,0))</f>
        <v>1500</v>
      </c>
      <c r="S420" s="26">
        <f t="shared" si="674"/>
        <v>92.231404958677686</v>
      </c>
      <c r="T420" s="26">
        <f t="shared" si="675"/>
        <v>180.99246820118799</v>
      </c>
      <c r="U420" s="26" t="str">
        <f>IF(VLOOKUP($C420,COS!$B$8:$I$991,8,FALSE)=1,"UWFE","IBU")</f>
        <v>UWFE</v>
      </c>
      <c r="V420" s="26">
        <f t="shared" ref="V420" si="677">MIN(IF(IF($AA$3=2,AND(E420=1,G420=1,L420=1,L424=1,M420=1,U420="IBU"),AND(E420=1,G420=1,L420=1,L424=1,M420=1)),T420,0),I420)</f>
        <v>0</v>
      </c>
      <c r="W420" s="26"/>
      <c r="X420" s="26"/>
      <c r="Y420" s="26"/>
      <c r="Z420" s="26"/>
      <c r="AA420" s="26"/>
      <c r="AB420" s="33"/>
    </row>
    <row r="421" spans="1:28" x14ac:dyDescent="0.3">
      <c r="A421" s="32">
        <f>VLOOKUP(YEAR(C421),Flags!$A$13:$B$95,2,FALSE)</f>
        <v>1</v>
      </c>
      <c r="B421" s="24">
        <f t="shared" si="637"/>
        <v>1967</v>
      </c>
      <c r="C421" s="25">
        <v>24653</v>
      </c>
      <c r="D421" s="26">
        <f>VLOOKUP($C421,COS!$B$8:$H$991,3,FALSE)</f>
        <v>8491.80078125</v>
      </c>
      <c r="E421" s="24">
        <f>IF(D421&gt;=IF(MONTH($C421)=4,$C$3,IF(MONTH($C421)=5,$C$4,IF(MONTH($C421)=6,$C$5,IF(MONTH($C421)=7,$C$6,"ERROR")))),1,0)</f>
        <v>0</v>
      </c>
      <c r="F421" s="26">
        <f>VLOOKUP($C421,COS!$B$8:$H$991,7,FALSE)</f>
        <v>51.173347473144531</v>
      </c>
      <c r="G421" s="24">
        <f>IF(F421&lt;=IF(MONTH($C421)=4,$F$3,IF(MONTH($C421)=5,$F$4,IF(MONTH($C421)=6,$F$5,IF(MONTH($C421)=7,$F$6,"ERROR")))),1,0)</f>
        <v>1</v>
      </c>
      <c r="H421" s="26">
        <f>IF(J421=1,D421-$C$5,0)</f>
        <v>0</v>
      </c>
      <c r="I421" s="26">
        <f t="shared" si="661"/>
        <v>0</v>
      </c>
      <c r="J421" s="24">
        <f t="shared" si="669"/>
        <v>0</v>
      </c>
      <c r="K421" s="26">
        <f>VLOOKUP($C421,COS!$B$8:$H$991,2,FALSE)</f>
        <v>4500</v>
      </c>
      <c r="L421" s="24">
        <f t="shared" si="639"/>
        <v>1</v>
      </c>
      <c r="M421" s="24">
        <f t="shared" si="640"/>
        <v>0</v>
      </c>
      <c r="N421" s="26">
        <f>VLOOKUP($C421,COS!$B$8:$H$991,5,FALSE)</f>
        <v>937.7822265625</v>
      </c>
      <c r="O421" s="26">
        <f t="shared" si="672"/>
        <v>55.801917613636363</v>
      </c>
      <c r="P421" s="26">
        <f>VLOOKUP($C421,COS!$B$8:$H$991,6,FALSE)</f>
        <v>2001.16455078125</v>
      </c>
      <c r="Q421" s="26">
        <f t="shared" si="673"/>
        <v>119.0775600464876</v>
      </c>
      <c r="R421" s="26">
        <f>MIN(IF(MONTH($C421)=4,$S$3,IF(MONTH($C421)=5,$S$4,IF(MONTH($C421)=6,$S$5,IF(MONTH($C421)=7,$S$6,"ERROR")))),MAX(VLOOKUP($C421,COS!$B$8:$K$991,10,FALSE)-IF(MONTH($C421)=4,$Y$3,IF(MONTH($C421)=5,$Y$4,IF(MONTH($C421)=6,$Y$5,IF(MONTH($C421)=7,$Y$6,"ERROR")))),0),MAX(VLOOKUP($C421,COS!$B$8:$K$991,9,FALSE)-IF(MONTH($C421)=4,$V$3,IF(MONTH($C421)=5,$V$4,IF(MONTH($C421)=6,$V$5,IF(MONTH($C421)=7,$V$6,"ERROR"))))-VLOOKUP($C421,COS!$B$8:$K$991,6,FALSE)/2,0))</f>
        <v>1500</v>
      </c>
      <c r="S421" s="26">
        <f t="shared" si="674"/>
        <v>89.256198347107429</v>
      </c>
      <c r="T421" s="26">
        <f t="shared" si="675"/>
        <v>176.69593717716941</v>
      </c>
      <c r="U421" s="26" t="str">
        <f>IF(VLOOKUP($C421,COS!$B$8:$I$991,8,FALSE)=1,"UWFE","IBU")</f>
        <v>UWFE</v>
      </c>
      <c r="V421" s="26">
        <f t="shared" ref="V421" si="678">MIN(IF(IF($AA$3=2,AND(E421=1,G421=1,L421=1,L424=1,M421=1,U421="IBU"),AND(E421=1,G421=1,L421=1,L424=1,M421=1)),T421,0),I421)</f>
        <v>0</v>
      </c>
      <c r="W421" s="26"/>
      <c r="X421" s="26"/>
      <c r="Y421" s="26"/>
      <c r="Z421" s="26"/>
      <c r="AA421" s="26"/>
      <c r="AB421" s="33"/>
    </row>
    <row r="422" spans="1:28" x14ac:dyDescent="0.3">
      <c r="A422" s="32">
        <f>VLOOKUP(YEAR(C422),Flags!$A$13:$B$95,2,FALSE)</f>
        <v>1</v>
      </c>
      <c r="B422" s="24">
        <f t="shared" si="637"/>
        <v>1967</v>
      </c>
      <c r="C422" s="25">
        <v>24684</v>
      </c>
      <c r="D422" s="26">
        <f>VLOOKUP($C422,COS!$B$8:$H$991,3,FALSE)</f>
        <v>11558.0478515625</v>
      </c>
      <c r="E422" s="24">
        <f>IF(D422&gt;=IF(MONTH($C422)=4,$C$3,IF(MONTH($C422)=5,$C$4,IF(MONTH($C422)=6,$C$5,IF(MONTH($C422)=7,$C$6,"ERROR")))),1,0)</f>
        <v>0</v>
      </c>
      <c r="F422" s="26">
        <f>VLOOKUP($C422,COS!$B$8:$H$991,7,FALSE)</f>
        <v>52.531658172607422</v>
      </c>
      <c r="G422" s="24">
        <f>IF(F422&lt;=IF(MONTH($C422)=4,$F$3,IF(MONTH($C422)=5,$F$4,IF(MONTH($C422)=6,$F$5,IF(MONTH($C422)=7,$F$6,"ERROR")))),1,0)</f>
        <v>1</v>
      </c>
      <c r="H422" s="26">
        <f>IF(J422=1,D422-$C$6,0)</f>
        <v>0</v>
      </c>
      <c r="I422" s="26">
        <f t="shared" si="661"/>
        <v>0</v>
      </c>
      <c r="J422" s="24">
        <f t="shared" si="669"/>
        <v>0</v>
      </c>
      <c r="K422" s="26">
        <f>VLOOKUP($C422,COS!$B$8:$H$991,2,FALSE)</f>
        <v>4019.93115234375</v>
      </c>
      <c r="L422" s="24">
        <f t="shared" si="639"/>
        <v>1</v>
      </c>
      <c r="M422" s="24">
        <f t="shared" si="640"/>
        <v>0</v>
      </c>
      <c r="N422" s="26">
        <f>VLOOKUP($C422,COS!$B$8:$H$991,5,FALSE)</f>
        <v>1366.88818359375</v>
      </c>
      <c r="O422" s="26">
        <f t="shared" si="672"/>
        <v>84.046678396177683</v>
      </c>
      <c r="P422" s="26">
        <f>VLOOKUP($C422,COS!$B$8:$H$991,6,FALSE)</f>
        <v>2516.8701171875</v>
      </c>
      <c r="Q422" s="26">
        <f t="shared" si="673"/>
        <v>154.75631133780993</v>
      </c>
      <c r="R422" s="26">
        <f>MIN(IF(MONTH($C422)=4,$S$3,IF(MONTH($C422)=5,$S$4,IF(MONTH($C422)=6,$S$5,IF(MONTH($C422)=7,$S$6,"ERROR")))),MAX(VLOOKUP($C422,COS!$B$8:$K$991,10,FALSE)-IF(MONTH($C422)=4,$Y$3,IF(MONTH($C422)=5,$Y$4,IF(MONTH($C422)=6,$Y$5,IF(MONTH($C422)=7,$Y$6,"ERROR")))),0),MAX(VLOOKUP($C422,COS!$B$8:$K$991,9,FALSE)-IF(MONTH($C422)=4,$V$3,IF(MONTH($C422)=5,$V$4,IF(MONTH($C422)=6,$V$5,IF(MONTH($C422)=7,$V$6,"ERROR"))))-VLOOKUP($C422,COS!$B$8:$K$991,6,FALSE)/2,0))</f>
        <v>1500</v>
      </c>
      <c r="S422" s="26">
        <f t="shared" si="674"/>
        <v>92.231404958677686</v>
      </c>
      <c r="T422" s="26">
        <f t="shared" si="675"/>
        <v>211.63289982567147</v>
      </c>
      <c r="U422" s="26" t="str">
        <f>IF(VLOOKUP($C422,COS!$B$8:$I$991,8,FALSE)=1,"UWFE","IBU")</f>
        <v>UWFE</v>
      </c>
      <c r="V422" s="26">
        <f t="shared" ref="V422" si="679">MIN(IF(IF($AA$3=2,AND(E422=1,G422=1,L422=1,L424=1,M422=1,U422="IBU"),AND(E422=1,G422=1,L422=1,L424=1,M422=1)),T422,0),I422)</f>
        <v>0</v>
      </c>
      <c r="W422" s="26"/>
      <c r="X422" s="26"/>
      <c r="Y422" s="26"/>
      <c r="Z422" s="26"/>
      <c r="AA422" s="26"/>
      <c r="AB422" s="33"/>
    </row>
    <row r="423" spans="1:28" x14ac:dyDescent="0.3">
      <c r="A423" s="32">
        <f>VLOOKUP(YEAR(C423),Flags!$A$13:$B$95,2,FALSE)</f>
        <v>1</v>
      </c>
      <c r="B423" s="24">
        <f t="shared" si="637"/>
        <v>1967</v>
      </c>
      <c r="C423" s="25">
        <v>24715</v>
      </c>
      <c r="D423" s="26"/>
      <c r="E423" s="24"/>
      <c r="F423" s="26"/>
      <c r="G423" s="24"/>
      <c r="H423" s="24"/>
      <c r="I423" s="26"/>
      <c r="J423" s="24"/>
      <c r="K423" s="26"/>
      <c r="L423" s="24"/>
      <c r="M423" s="24"/>
      <c r="N423" s="26"/>
      <c r="O423" s="26"/>
      <c r="P423" s="26"/>
      <c r="Q423" s="26"/>
      <c r="R423" s="26"/>
      <c r="S423" s="26"/>
      <c r="T423" s="26"/>
      <c r="U423" s="26"/>
      <c r="V423" s="26"/>
      <c r="W423" s="26">
        <f>MAX($C$7-VLOOKUP($C423,COS!$B$8:$H$991,3,FALSE),0)</f>
        <v>89940.6201171875</v>
      </c>
      <c r="X423" s="26">
        <f t="shared" si="667"/>
        <v>5530.2331708419424</v>
      </c>
      <c r="Y423" s="26">
        <f>VLOOKUP($C423,COS!$B$8:$H$991,4,FALSE)</f>
        <v>0</v>
      </c>
      <c r="Z423" s="26">
        <f t="shared" si="668"/>
        <v>0</v>
      </c>
      <c r="AA423" s="26">
        <f t="shared" ref="AA423:AA427" si="680">MIN(W423,Y423)</f>
        <v>0</v>
      </c>
      <c r="AB423" s="33">
        <f t="shared" ref="AB423" si="681">AA423*DAY($C423)*86400/43560/1000*IF(MONTH($C423)=8,$P$3,IF(MONTH($C423)=9,$P$4,IF(MONTH($C423)=10,$P$5,IF(MONTH($C423)=11,$P$6,IF(MONTH($C423)=12,$P$7,NA())))))</f>
        <v>0</v>
      </c>
    </row>
    <row r="424" spans="1:28" x14ac:dyDescent="0.3">
      <c r="A424" s="32">
        <f>VLOOKUP(YEAR(C424),Flags!$A$13:$B$95,2,FALSE)</f>
        <v>1</v>
      </c>
      <c r="B424" s="24">
        <f t="shared" si="637"/>
        <v>1967</v>
      </c>
      <c r="C424" s="25">
        <v>24745</v>
      </c>
      <c r="D424" s="26"/>
      <c r="E424" s="24"/>
      <c r="F424" s="26"/>
      <c r="G424" s="24"/>
      <c r="H424" s="24"/>
      <c r="I424" s="26"/>
      <c r="J424" s="24"/>
      <c r="K424" s="26">
        <f>VLOOKUP($C424,COS!$B$8:$H$991,2,FALSE)</f>
        <v>3126.86767578125</v>
      </c>
      <c r="L424" s="24">
        <f t="shared" ref="L424" si="682">IF(AND(K424&gt;$I$7,K424&lt;$I$8),1,0)</f>
        <v>1</v>
      </c>
      <c r="M424" s="24"/>
      <c r="N424" s="26"/>
      <c r="O424" s="26"/>
      <c r="P424" s="26"/>
      <c r="Q424" s="26"/>
      <c r="R424" s="26"/>
      <c r="S424" s="26"/>
      <c r="T424" s="26"/>
      <c r="U424" s="26"/>
      <c r="V424" s="26"/>
      <c r="W424" s="26">
        <f>MAX($C$8-VLOOKUP($C424,COS!$B$8:$H$991,3,FALSE),0)</f>
        <v>84275.95703125</v>
      </c>
      <c r="X424" s="26">
        <f t="shared" si="667"/>
        <v>5014.7676911157023</v>
      </c>
      <c r="Y424" s="26">
        <f>VLOOKUP($C424,COS!$B$8:$H$991,4,FALSE)</f>
        <v>0</v>
      </c>
      <c r="Z424" s="26">
        <f t="shared" si="668"/>
        <v>0</v>
      </c>
      <c r="AA424" s="26">
        <f t="shared" si="680"/>
        <v>0</v>
      </c>
      <c r="AB424" s="33">
        <f t="shared" si="650"/>
        <v>0</v>
      </c>
    </row>
    <row r="425" spans="1:28" x14ac:dyDescent="0.3">
      <c r="A425" s="32">
        <f>VLOOKUP(YEAR(C425),Flags!$A$13:$B$95,2,FALSE)</f>
        <v>1</v>
      </c>
      <c r="B425" s="24">
        <f t="shared" si="637"/>
        <v>1967</v>
      </c>
      <c r="C425" s="25">
        <v>24776</v>
      </c>
      <c r="D425" s="26"/>
      <c r="E425" s="24"/>
      <c r="F425" s="26"/>
      <c r="G425" s="26"/>
      <c r="H425" s="26"/>
      <c r="I425" s="26"/>
      <c r="J425" s="26"/>
      <c r="K425" s="26"/>
      <c r="L425" s="24"/>
      <c r="M425" s="24"/>
      <c r="N425" s="26"/>
      <c r="O425" s="26"/>
      <c r="P425" s="26"/>
      <c r="Q425" s="26"/>
      <c r="R425" s="26"/>
      <c r="S425" s="26"/>
      <c r="T425" s="26"/>
      <c r="U425" s="26"/>
      <c r="V425" s="26"/>
      <c r="W425" s="26">
        <f>MAX($C$9-VLOOKUP($C425,COS!$B$8:$H$991,3,FALSE),0)</f>
        <v>94715.58154296875</v>
      </c>
      <c r="X425" s="26">
        <f t="shared" si="667"/>
        <v>5823.8341047908061</v>
      </c>
      <c r="Y425" s="26">
        <f>VLOOKUP($C425,COS!$B$8:$H$991,4,FALSE)</f>
        <v>302.17996215820313</v>
      </c>
      <c r="Z425" s="26">
        <f t="shared" si="668"/>
        <v>18.580321640140756</v>
      </c>
      <c r="AA425" s="26">
        <f t="shared" si="680"/>
        <v>302.17996215820313</v>
      </c>
      <c r="AB425" s="33">
        <f t="shared" si="650"/>
        <v>18.580321640140756</v>
      </c>
    </row>
    <row r="426" spans="1:28" x14ac:dyDescent="0.3">
      <c r="A426" s="32">
        <f>VLOOKUP(YEAR(C426),Flags!$A$13:$B$95,2,FALSE)</f>
        <v>1</v>
      </c>
      <c r="B426" s="24">
        <f t="shared" si="637"/>
        <v>1967</v>
      </c>
      <c r="C426" s="25">
        <v>24806</v>
      </c>
      <c r="D426" s="26"/>
      <c r="E426" s="24"/>
      <c r="F426" s="26"/>
      <c r="G426" s="26"/>
      <c r="H426" s="26"/>
      <c r="I426" s="26"/>
      <c r="J426" s="26"/>
      <c r="K426" s="26"/>
      <c r="L426" s="24"/>
      <c r="M426" s="24"/>
      <c r="N426" s="26"/>
      <c r="O426" s="26"/>
      <c r="P426" s="26"/>
      <c r="Q426" s="26"/>
      <c r="R426" s="26"/>
      <c r="S426" s="26"/>
      <c r="T426" s="26"/>
      <c r="U426" s="26"/>
      <c r="V426" s="26"/>
      <c r="W426" s="26">
        <f>MAX($C$10-VLOOKUP($C426,COS!$B$8:$H$991,3,FALSE),0)</f>
        <v>91235.603515625</v>
      </c>
      <c r="X426" s="26">
        <f t="shared" si="667"/>
        <v>5428.895415805785</v>
      </c>
      <c r="Y426" s="26">
        <f>VLOOKUP($C426,COS!$B$8:$H$991,4,FALSE)</f>
        <v>1725.1964111328125</v>
      </c>
      <c r="Z426" s="26">
        <f t="shared" si="668"/>
        <v>102.65631537319214</v>
      </c>
      <c r="AA426" s="26">
        <f t="shared" si="680"/>
        <v>1725.1964111328125</v>
      </c>
      <c r="AB426" s="33">
        <f t="shared" si="650"/>
        <v>51.328157686596072</v>
      </c>
    </row>
    <row r="427" spans="1:28" x14ac:dyDescent="0.3">
      <c r="A427" s="34">
        <f>VLOOKUP(YEAR(C427),Flags!$A$13:$B$95,2,FALSE)</f>
        <v>1</v>
      </c>
      <c r="B427" s="35">
        <f t="shared" si="637"/>
        <v>1967</v>
      </c>
      <c r="C427" s="36">
        <v>24837</v>
      </c>
      <c r="D427" s="37"/>
      <c r="E427" s="35"/>
      <c r="F427" s="37"/>
      <c r="G427" s="37"/>
      <c r="H427" s="37"/>
      <c r="I427" s="37"/>
      <c r="J427" s="37"/>
      <c r="K427" s="37"/>
      <c r="L427" s="35"/>
      <c r="M427" s="35"/>
      <c r="N427" s="37"/>
      <c r="O427" s="37"/>
      <c r="P427" s="37"/>
      <c r="Q427" s="37"/>
      <c r="R427" s="37"/>
      <c r="S427" s="37"/>
      <c r="T427" s="37"/>
      <c r="U427" s="37"/>
      <c r="V427" s="37"/>
      <c r="W427" s="37">
        <f>MAX($C$11-VLOOKUP($C427,COS!$B$8:$H$991,3,FALSE),0)</f>
        <v>0</v>
      </c>
      <c r="X427" s="37">
        <f t="shared" si="667"/>
        <v>0</v>
      </c>
      <c r="Y427" s="37">
        <f>VLOOKUP($C427,COS!$B$8:$H$991,4,FALSE)</f>
        <v>0</v>
      </c>
      <c r="Z427" s="37">
        <f t="shared" si="668"/>
        <v>0</v>
      </c>
      <c r="AA427" s="37">
        <f t="shared" si="680"/>
        <v>0</v>
      </c>
      <c r="AB427" s="38">
        <f t="shared" si="650"/>
        <v>0</v>
      </c>
    </row>
    <row r="428" spans="1:28" x14ac:dyDescent="0.3">
      <c r="A428" s="27">
        <f>VLOOKUP(YEAR(C428),Flags!$A$13:$B$95,2,FALSE)</f>
        <v>3</v>
      </c>
      <c r="B428" s="28">
        <f t="shared" si="637"/>
        <v>1968</v>
      </c>
      <c r="C428" s="29">
        <v>24958</v>
      </c>
      <c r="D428" s="30">
        <f>VLOOKUP($C428,COS!$B$8:$H$991,3,FALSE)</f>
        <v>3250</v>
      </c>
      <c r="E428" s="28">
        <f>IF(D428&gt;=IF(MONTH($C428)=4,$C$3,IF(MONTH($C428)=5,$C$4,IF(MONTH($C428)=6,$C$5,IF(MONTH($C428)=7,$C$6,"ERROR")))),1,0)</f>
        <v>0</v>
      </c>
      <c r="F428" s="30">
        <f>VLOOKUP($C428,COS!$B$8:$H$991,7,FALSE)</f>
        <v>51.910366058349609</v>
      </c>
      <c r="G428" s="28">
        <f>IF(F428&lt;=IF(MONTH($C428)=4,$F$3,IF(MONTH($C428)=5,$F$4,IF(MONTH($C428)=6,$F$5,IF(MONTH($C428)=7,$F$6,"ERROR")))),1,0)</f>
        <v>1</v>
      </c>
      <c r="H428" s="30">
        <f>IF(J428=1,D428-$C$3,0)</f>
        <v>0</v>
      </c>
      <c r="I428" s="30">
        <f t="shared" si="661"/>
        <v>0</v>
      </c>
      <c r="J428" s="28">
        <f t="shared" ref="J428:J431" si="683">IF(AND(E428=1,G428=1),1,0)</f>
        <v>0</v>
      </c>
      <c r="K428" s="30">
        <f>VLOOKUP($C428,COS!$B$8:$H$991,2,FALSE)</f>
        <v>4387.3369140625</v>
      </c>
      <c r="L428" s="28">
        <f t="shared" ref="L428" si="684">IF(K428&lt;=IF(MONTH($C428)=4,$I$3,IF(MONTH($C428)=5,$I$4,IF(MONTH($C428)=6,$I$5,IF(MONTH($C428)=7,$I$6,"ERROR")))),1,0)</f>
        <v>1</v>
      </c>
      <c r="M428" s="28">
        <f t="shared" ref="M428" si="685">VLOOKUP($A428,$L$3:$M$7,2,FALSE)</f>
        <v>1</v>
      </c>
      <c r="N428" s="30">
        <f>VLOOKUP($C428,COS!$B$8:$H$991,5,FALSE)</f>
        <v>372.8587646484375</v>
      </c>
      <c r="O428" s="30">
        <f t="shared" ref="O428:O431" si="686">N428*DAY($C428)*86400/43560/1000</f>
        <v>22.186637235278926</v>
      </c>
      <c r="P428" s="30">
        <f>VLOOKUP($C428,COS!$B$8:$H$991,6,FALSE)</f>
        <v>480.01702880859375</v>
      </c>
      <c r="Q428" s="30">
        <f t="shared" ref="Q428:Q431" si="687">P428*DAY($C428)*86400/43560/1000</f>
        <v>28.562996755552685</v>
      </c>
      <c r="R428" s="30">
        <f>MIN(IF(MONTH($C428)=4,$S$3,IF(MONTH($C428)=5,$S$4,IF(MONTH($C428)=6,$S$5,IF(MONTH($C428)=7,$S$6,"ERROR")))),MAX(VLOOKUP($C428,COS!$B$8:$K$991,10,FALSE)-IF(MONTH($C428)=4,$Y$3,IF(MONTH($C428)=5,$Y$4,IF(MONTH($C428)=6,$Y$5,IF(MONTH($C428)=7,$Y$6,"ERROR")))),0),MAX(VLOOKUP($C428,COS!$B$8:$K$991,9,FALSE)-IF(MONTH($C428)=4,$V$3,IF(MONTH($C428)=5,$V$4,IF(MONTH($C428)=6,$V$5,IF(MONTH($C428)=7,$V$6,"ERROR"))))-VLOOKUP($C428,COS!$B$8:$K$991,6,FALSE)/2,0))</f>
        <v>1012.0751953125</v>
      </c>
      <c r="S428" s="30">
        <f t="shared" ref="S428:S431" si="688">R428*DAY($C428)*86400/43560/1000</f>
        <v>60.22265625</v>
      </c>
      <c r="T428" s="30">
        <f t="shared" ref="T428:T431" si="689">(O428+Q428)/2+S428</f>
        <v>85.597473245415813</v>
      </c>
      <c r="U428" s="30" t="str">
        <f>IF(VLOOKUP($C428,COS!$B$8:$I$991,8,FALSE)=1,"UWFE","IBU")</f>
        <v>UWFE</v>
      </c>
      <c r="V428" s="30">
        <f t="shared" ref="V428" si="690">MIN(IF(IF($AA$3=2,AND(E428=1,G428=1,L428=1,L433=1,M428=1,U428="IBU"),AND(E428=1,G428=1,L428=1,L433=1,M428=1)),T428,0),I428)</f>
        <v>0</v>
      </c>
      <c r="W428" s="30"/>
      <c r="X428" s="30"/>
      <c r="Y428" s="30"/>
      <c r="Z428" s="30"/>
      <c r="AA428" s="30"/>
      <c r="AB428" s="31"/>
    </row>
    <row r="429" spans="1:28" x14ac:dyDescent="0.3">
      <c r="A429" s="32">
        <f>VLOOKUP(YEAR(C429),Flags!$A$13:$B$95,2,FALSE)</f>
        <v>3</v>
      </c>
      <c r="B429" s="24">
        <f t="shared" si="637"/>
        <v>1968</v>
      </c>
      <c r="C429" s="25">
        <v>24989</v>
      </c>
      <c r="D429" s="26">
        <f>VLOOKUP($C429,COS!$B$8:$H$991,3,FALSE)</f>
        <v>7092.59228515625</v>
      </c>
      <c r="E429" s="24">
        <f>IF(D429&gt;=IF(MONTH($C429)=4,$C$3,IF(MONTH($C429)=5,$C$4,IF(MONTH($C429)=6,$C$5,IF(MONTH($C429)=7,$C$6,"ERROR")))),1,0)</f>
        <v>1</v>
      </c>
      <c r="F429" s="26">
        <f>VLOOKUP($C429,COS!$B$8:$H$991,7,FALSE)</f>
        <v>51.028709411621094</v>
      </c>
      <c r="G429" s="24">
        <f>IF(F429&lt;=IF(MONTH($C429)=4,$F$3,IF(MONTH($C429)=5,$F$4,IF(MONTH($C429)=6,$F$5,IF(MONTH($C429)=7,$F$6,"ERROR")))),1,0)</f>
        <v>1</v>
      </c>
      <c r="H429" s="26">
        <f>IF(J429=1,D429-$C$4,0)</f>
        <v>1092.59228515625</v>
      </c>
      <c r="I429" s="26">
        <f t="shared" si="661"/>
        <v>67.180881004648768</v>
      </c>
      <c r="J429" s="24">
        <f t="shared" si="683"/>
        <v>1</v>
      </c>
      <c r="K429" s="26">
        <f>VLOOKUP($C429,COS!$B$8:$H$991,2,FALSE)</f>
        <v>4254.63671875</v>
      </c>
      <c r="L429" s="24">
        <f t="shared" si="639"/>
        <v>1</v>
      </c>
      <c r="M429" s="24">
        <f t="shared" si="640"/>
        <v>1</v>
      </c>
      <c r="N429" s="26">
        <f>VLOOKUP($C429,COS!$B$8:$H$991,5,FALSE)</f>
        <v>578.8367919921875</v>
      </c>
      <c r="O429" s="26">
        <f t="shared" si="686"/>
        <v>35.591287044808887</v>
      </c>
      <c r="P429" s="26">
        <f>VLOOKUP($C429,COS!$B$8:$H$991,6,FALSE)</f>
        <v>2198.37158203125</v>
      </c>
      <c r="Q429" s="26">
        <f t="shared" si="687"/>
        <v>135.17259975464876</v>
      </c>
      <c r="R429" s="26">
        <f>MIN(IF(MONTH($C429)=4,$S$3,IF(MONTH($C429)=5,$S$4,IF(MONTH($C429)=6,$S$5,IF(MONTH($C429)=7,$S$6,"ERROR")))),MAX(VLOOKUP($C429,COS!$B$8:$K$991,10,FALSE)-IF(MONTH($C429)=4,$Y$3,IF(MONTH($C429)=5,$Y$4,IF(MONTH($C429)=6,$Y$5,IF(MONTH($C429)=7,$Y$6,"ERROR")))),0),MAX(VLOOKUP($C429,COS!$B$8:$K$991,9,FALSE)-IF(MONTH($C429)=4,$V$3,IF(MONTH($C429)=5,$V$4,IF(MONTH($C429)=6,$V$5,IF(MONTH($C429)=7,$V$6,"ERROR"))))-VLOOKUP($C429,COS!$B$8:$K$991,6,FALSE)/2,0))</f>
        <v>1500</v>
      </c>
      <c r="S429" s="26">
        <f t="shared" si="688"/>
        <v>92.231404958677686</v>
      </c>
      <c r="T429" s="26">
        <f t="shared" si="689"/>
        <v>177.61334835840651</v>
      </c>
      <c r="U429" s="26" t="str">
        <f>IF(VLOOKUP($C429,COS!$B$8:$I$991,8,FALSE)=1,"UWFE","IBU")</f>
        <v>UWFE</v>
      </c>
      <c r="V429" s="26">
        <f t="shared" ref="V429" si="691">MIN(IF(IF($AA$3=2,AND(E429=1,G429=1,L429=1,L433=1,M429=1,U429="IBU"),AND(E429=1,G429=1,L429=1,L433=1,M429=1)),T429,0),I429)</f>
        <v>0</v>
      </c>
      <c r="W429" s="26"/>
      <c r="X429" s="26"/>
      <c r="Y429" s="26"/>
      <c r="Z429" s="26"/>
      <c r="AA429" s="26"/>
      <c r="AB429" s="33"/>
    </row>
    <row r="430" spans="1:28" x14ac:dyDescent="0.3">
      <c r="A430" s="32">
        <f>VLOOKUP(YEAR(C430),Flags!$A$13:$B$95,2,FALSE)</f>
        <v>3</v>
      </c>
      <c r="B430" s="24">
        <f t="shared" si="637"/>
        <v>1968</v>
      </c>
      <c r="C430" s="25">
        <v>25019</v>
      </c>
      <c r="D430" s="26">
        <f>VLOOKUP($C430,COS!$B$8:$H$991,3,FALSE)</f>
        <v>13090.2783203125</v>
      </c>
      <c r="E430" s="24">
        <f>IF(D430&gt;=IF(MONTH($C430)=4,$C$3,IF(MONTH($C430)=5,$C$4,IF(MONTH($C430)=6,$C$5,IF(MONTH($C430)=7,$C$6,"ERROR")))),1,0)</f>
        <v>1</v>
      </c>
      <c r="F430" s="26">
        <f>VLOOKUP($C430,COS!$B$8:$H$991,7,FALSE)</f>
        <v>50.739017486572266</v>
      </c>
      <c r="G430" s="24">
        <f>IF(F430&lt;=IF(MONTH($C430)=4,$F$3,IF(MONTH($C430)=5,$F$4,IF(MONTH($C430)=6,$F$5,IF(MONTH($C430)=7,$F$6,"ERROR")))),1,0)</f>
        <v>1</v>
      </c>
      <c r="H430" s="26">
        <f>IF(J430=1,D430-$C$5,0)</f>
        <v>3090.2783203125</v>
      </c>
      <c r="I430" s="26">
        <f t="shared" si="661"/>
        <v>183.884329803719</v>
      </c>
      <c r="J430" s="24">
        <f t="shared" si="683"/>
        <v>1</v>
      </c>
      <c r="K430" s="26">
        <f>VLOOKUP($C430,COS!$B$8:$H$991,2,FALSE)</f>
        <v>3698.470458984375</v>
      </c>
      <c r="L430" s="24">
        <f t="shared" si="639"/>
        <v>1</v>
      </c>
      <c r="M430" s="24">
        <f t="shared" si="640"/>
        <v>1</v>
      </c>
      <c r="N430" s="26">
        <f>VLOOKUP($C430,COS!$B$8:$H$991,5,FALSE)</f>
        <v>708.03900146484375</v>
      </c>
      <c r="O430" s="26">
        <f t="shared" si="686"/>
        <v>42.131246368155992</v>
      </c>
      <c r="P430" s="26">
        <f>VLOOKUP($C430,COS!$B$8:$H$991,6,FALSE)</f>
        <v>2497.662353515625</v>
      </c>
      <c r="Q430" s="26">
        <f t="shared" si="687"/>
        <v>148.62123095299586</v>
      </c>
      <c r="R430" s="26">
        <f>MIN(IF(MONTH($C430)=4,$S$3,IF(MONTH($C430)=5,$S$4,IF(MONTH($C430)=6,$S$5,IF(MONTH($C430)=7,$S$6,"ERROR")))),MAX(VLOOKUP($C430,COS!$B$8:$K$991,10,FALSE)-IF(MONTH($C430)=4,$Y$3,IF(MONTH($C430)=5,$Y$4,IF(MONTH($C430)=6,$Y$5,IF(MONTH($C430)=7,$Y$6,"ERROR")))),0),MAX(VLOOKUP($C430,COS!$B$8:$K$991,9,FALSE)-IF(MONTH($C430)=4,$V$3,IF(MONTH($C430)=5,$V$4,IF(MONTH($C430)=6,$V$5,IF(MONTH($C430)=7,$V$6,"ERROR"))))-VLOOKUP($C430,COS!$B$8:$K$991,6,FALSE)/2,0))</f>
        <v>1500</v>
      </c>
      <c r="S430" s="26">
        <f t="shared" si="688"/>
        <v>89.256198347107429</v>
      </c>
      <c r="T430" s="26">
        <f t="shared" si="689"/>
        <v>184.63243700768334</v>
      </c>
      <c r="U430" s="26" t="str">
        <f>IF(VLOOKUP($C430,COS!$B$8:$I$991,8,FALSE)=1,"UWFE","IBU")</f>
        <v>IBU</v>
      </c>
      <c r="V430" s="26">
        <f t="shared" ref="V430" si="692">MIN(IF(IF($AA$3=2,AND(E430=1,G430=1,L430=1,L433=1,M430=1,U430="IBU"),AND(E430=1,G430=1,L430=1,L433=1,M430=1)),T430,0),I430)</f>
        <v>183.884329803719</v>
      </c>
      <c r="W430" s="26"/>
      <c r="X430" s="26"/>
      <c r="Y430" s="26"/>
      <c r="Z430" s="26"/>
      <c r="AA430" s="26"/>
      <c r="AB430" s="33"/>
    </row>
    <row r="431" spans="1:28" x14ac:dyDescent="0.3">
      <c r="A431" s="32">
        <f>VLOOKUP(YEAR(C431),Flags!$A$13:$B$95,2,FALSE)</f>
        <v>3</v>
      </c>
      <c r="B431" s="24">
        <f t="shared" si="637"/>
        <v>1968</v>
      </c>
      <c r="C431" s="25">
        <v>25050</v>
      </c>
      <c r="D431" s="26">
        <f>VLOOKUP($C431,COS!$B$8:$H$991,3,FALSE)</f>
        <v>16000</v>
      </c>
      <c r="E431" s="24">
        <f>IF(D431&gt;=IF(MONTH($C431)=4,$C$3,IF(MONTH($C431)=5,$C$4,IF(MONTH($C431)=6,$C$5,IF(MONTH($C431)=7,$C$6,"ERROR")))),1,0)</f>
        <v>1</v>
      </c>
      <c r="F431" s="26">
        <f>VLOOKUP($C431,COS!$B$8:$H$991,7,FALSE)</f>
        <v>51.892650604248047</v>
      </c>
      <c r="G431" s="24">
        <f>IF(F431&lt;=IF(MONTH($C431)=4,$F$3,IF(MONTH($C431)=5,$F$4,IF(MONTH($C431)=6,$F$5,IF(MONTH($C431)=7,$F$6,"ERROR")))),1,0)</f>
        <v>1</v>
      </c>
      <c r="H431" s="26">
        <f>IF(J431=1,D431-$C$6,0)</f>
        <v>4000</v>
      </c>
      <c r="I431" s="26">
        <f t="shared" si="661"/>
        <v>245.95041322314049</v>
      </c>
      <c r="J431" s="24">
        <f t="shared" si="683"/>
        <v>1</v>
      </c>
      <c r="K431" s="26">
        <f>VLOOKUP($C431,COS!$B$8:$H$991,2,FALSE)</f>
        <v>3020.87158203125</v>
      </c>
      <c r="L431" s="24">
        <f t="shared" si="639"/>
        <v>1</v>
      </c>
      <c r="M431" s="24">
        <f t="shared" si="640"/>
        <v>1</v>
      </c>
      <c r="N431" s="26">
        <f>VLOOKUP($C431,COS!$B$8:$H$991,5,FALSE)</f>
        <v>869.43463134765625</v>
      </c>
      <c r="O431" s="26">
        <f t="shared" si="686"/>
        <v>53.459451712616215</v>
      </c>
      <c r="P431" s="26">
        <f>VLOOKUP($C431,COS!$B$8:$H$991,6,FALSE)</f>
        <v>2537.385498046875</v>
      </c>
      <c r="Q431" s="26">
        <f t="shared" si="687"/>
        <v>156.01775293775825</v>
      </c>
      <c r="R431" s="26">
        <f>MIN(IF(MONTH($C431)=4,$S$3,IF(MONTH($C431)=5,$S$4,IF(MONTH($C431)=6,$S$5,IF(MONTH($C431)=7,$S$6,"ERROR")))),MAX(VLOOKUP($C431,COS!$B$8:$K$991,10,FALSE)-IF(MONTH($C431)=4,$Y$3,IF(MONTH($C431)=5,$Y$4,IF(MONTH($C431)=6,$Y$5,IF(MONTH($C431)=7,$Y$6,"ERROR")))),0),MAX(VLOOKUP($C431,COS!$B$8:$K$991,9,FALSE)-IF(MONTH($C431)=4,$V$3,IF(MONTH($C431)=5,$V$4,IF(MONTH($C431)=6,$V$5,IF(MONTH($C431)=7,$V$6,"ERROR"))))-VLOOKUP($C431,COS!$B$8:$K$991,6,FALSE)/2,0))</f>
        <v>1500</v>
      </c>
      <c r="S431" s="26">
        <f t="shared" si="688"/>
        <v>92.231404958677686</v>
      </c>
      <c r="T431" s="26">
        <f t="shared" si="689"/>
        <v>196.9700072838649</v>
      </c>
      <c r="U431" s="26" t="str">
        <f>IF(VLOOKUP($C431,COS!$B$8:$I$991,8,FALSE)=1,"UWFE","IBU")</f>
        <v>IBU</v>
      </c>
      <c r="V431" s="26">
        <f t="shared" ref="V431" si="693">MIN(IF(IF($AA$3=2,AND(E431=1,G431=1,L431=1,L433=1,M431=1,U431="IBU"),AND(E431=1,G431=1,L431=1,L433=1,M431=1)),T431,0),I431)</f>
        <v>196.9700072838649</v>
      </c>
      <c r="W431" s="26"/>
      <c r="X431" s="26"/>
      <c r="Y431" s="26"/>
      <c r="Z431" s="26"/>
      <c r="AA431" s="26"/>
      <c r="AB431" s="33"/>
    </row>
    <row r="432" spans="1:28" x14ac:dyDescent="0.3">
      <c r="A432" s="32">
        <f>VLOOKUP(YEAR(C432),Flags!$A$13:$B$95,2,FALSE)</f>
        <v>3</v>
      </c>
      <c r="B432" s="24">
        <f t="shared" si="637"/>
        <v>1968</v>
      </c>
      <c r="C432" s="25">
        <v>25081</v>
      </c>
      <c r="D432" s="26"/>
      <c r="E432" s="24"/>
      <c r="F432" s="26"/>
      <c r="G432" s="24"/>
      <c r="H432" s="24"/>
      <c r="I432" s="26"/>
      <c r="J432" s="24"/>
      <c r="K432" s="26"/>
      <c r="L432" s="24"/>
      <c r="M432" s="24"/>
      <c r="N432" s="26"/>
      <c r="O432" s="26"/>
      <c r="P432" s="26"/>
      <c r="Q432" s="26"/>
      <c r="R432" s="26"/>
      <c r="S432" s="26"/>
      <c r="T432" s="26"/>
      <c r="U432" s="26"/>
      <c r="V432" s="26"/>
      <c r="W432" s="26">
        <f>MAX($C$7-VLOOKUP($C432,COS!$B$8:$H$991,3,FALSE),0)</f>
        <v>91885.423828125</v>
      </c>
      <c r="X432" s="26">
        <f t="shared" si="667"/>
        <v>5649.8144899276858</v>
      </c>
      <c r="Y432" s="26">
        <f>VLOOKUP($C432,COS!$B$8:$H$991,4,FALSE)</f>
        <v>520.4456787109375</v>
      </c>
      <c r="Z432" s="26">
        <f t="shared" si="668"/>
        <v>32.000957434788219</v>
      </c>
      <c r="AA432" s="26">
        <f t="shared" ref="AA432:AA436" si="694">MIN(W432,Y432)</f>
        <v>520.4456787109375</v>
      </c>
      <c r="AB432" s="33">
        <f t="shared" ref="AB432" si="695">AA432*DAY($C432)*86400/43560/1000*IF(MONTH($C432)=8,$P$3,IF(MONTH($C432)=9,$P$4,IF(MONTH($C432)=10,$P$5,IF(MONTH($C432)=11,$P$6,IF(MONTH($C432)=12,$P$7,NA())))))</f>
        <v>32.000957434788219</v>
      </c>
    </row>
    <row r="433" spans="1:28" x14ac:dyDescent="0.3">
      <c r="A433" s="32">
        <f>VLOOKUP(YEAR(C433),Flags!$A$13:$B$95,2,FALSE)</f>
        <v>3</v>
      </c>
      <c r="B433" s="24">
        <f t="shared" si="637"/>
        <v>1968</v>
      </c>
      <c r="C433" s="25">
        <v>25111</v>
      </c>
      <c r="D433" s="26"/>
      <c r="E433" s="24"/>
      <c r="F433" s="26"/>
      <c r="G433" s="24"/>
      <c r="H433" s="24"/>
      <c r="I433" s="26"/>
      <c r="J433" s="24"/>
      <c r="K433" s="26">
        <f>VLOOKUP($C433,COS!$B$8:$H$991,2,FALSE)</f>
        <v>2794.065185546875</v>
      </c>
      <c r="L433" s="24">
        <f t="shared" ref="L433" si="696">IF(AND(K433&gt;$I$7,K433&lt;$I$8),1,0)</f>
        <v>1</v>
      </c>
      <c r="M433" s="24"/>
      <c r="N433" s="26"/>
      <c r="O433" s="26"/>
      <c r="P433" s="26"/>
      <c r="Q433" s="26"/>
      <c r="R433" s="26"/>
      <c r="S433" s="26"/>
      <c r="T433" s="26"/>
      <c r="U433" s="26"/>
      <c r="V433" s="26"/>
      <c r="W433" s="26">
        <f>MAX($C$8-VLOOKUP($C433,COS!$B$8:$H$991,3,FALSE),0)</f>
        <v>93395.6298828125</v>
      </c>
      <c r="X433" s="26">
        <f t="shared" si="667"/>
        <v>5557.4259103822315</v>
      </c>
      <c r="Y433" s="26">
        <f>VLOOKUP($C433,COS!$B$8:$H$991,4,FALSE)</f>
        <v>164.13697814941406</v>
      </c>
      <c r="Z433" s="26">
        <f t="shared" si="668"/>
        <v>9.76682845186596</v>
      </c>
      <c r="AA433" s="26">
        <f t="shared" si="694"/>
        <v>164.13697814941406</v>
      </c>
      <c r="AB433" s="33">
        <f t="shared" si="650"/>
        <v>9.76682845186596</v>
      </c>
    </row>
    <row r="434" spans="1:28" x14ac:dyDescent="0.3">
      <c r="A434" s="32">
        <f>VLOOKUP(YEAR(C434),Flags!$A$13:$B$95,2,FALSE)</f>
        <v>3</v>
      </c>
      <c r="B434" s="24">
        <f t="shared" si="637"/>
        <v>1968</v>
      </c>
      <c r="C434" s="25">
        <v>25142</v>
      </c>
      <c r="D434" s="26"/>
      <c r="E434" s="24"/>
      <c r="F434" s="26"/>
      <c r="G434" s="26"/>
      <c r="H434" s="26"/>
      <c r="I434" s="26"/>
      <c r="J434" s="26"/>
      <c r="K434" s="26"/>
      <c r="L434" s="24"/>
      <c r="M434" s="24"/>
      <c r="N434" s="26"/>
      <c r="O434" s="26"/>
      <c r="P434" s="26"/>
      <c r="Q434" s="26"/>
      <c r="R434" s="26"/>
      <c r="S434" s="26"/>
      <c r="T434" s="26"/>
      <c r="U434" s="26"/>
      <c r="V434" s="26"/>
      <c r="W434" s="26">
        <f>MAX($C$9-VLOOKUP($C434,COS!$B$8:$H$991,3,FALSE),0)</f>
        <v>94950.54296875</v>
      </c>
      <c r="X434" s="26">
        <f t="shared" si="667"/>
        <v>5838.2813197314053</v>
      </c>
      <c r="Y434" s="26">
        <f>VLOOKUP($C434,COS!$B$8:$H$991,4,FALSE)</f>
        <v>1019.0936889648438</v>
      </c>
      <c r="Z434" s="26">
        <f t="shared" si="668"/>
        <v>62.661628478499487</v>
      </c>
      <c r="AA434" s="26">
        <f t="shared" si="694"/>
        <v>1019.0936889648438</v>
      </c>
      <c r="AB434" s="33">
        <f t="shared" si="650"/>
        <v>62.661628478499487</v>
      </c>
    </row>
    <row r="435" spans="1:28" x14ac:dyDescent="0.3">
      <c r="A435" s="32">
        <f>VLOOKUP(YEAR(C435),Flags!$A$13:$B$95,2,FALSE)</f>
        <v>3</v>
      </c>
      <c r="B435" s="24">
        <f t="shared" si="637"/>
        <v>1968</v>
      </c>
      <c r="C435" s="25">
        <v>25172</v>
      </c>
      <c r="D435" s="26"/>
      <c r="E435" s="24"/>
      <c r="F435" s="26"/>
      <c r="G435" s="26"/>
      <c r="H435" s="26"/>
      <c r="I435" s="26"/>
      <c r="J435" s="26"/>
      <c r="K435" s="26"/>
      <c r="L435" s="24"/>
      <c r="M435" s="24"/>
      <c r="N435" s="26"/>
      <c r="O435" s="26"/>
      <c r="P435" s="26"/>
      <c r="Q435" s="26"/>
      <c r="R435" s="26"/>
      <c r="S435" s="26"/>
      <c r="T435" s="26"/>
      <c r="U435" s="26"/>
      <c r="V435" s="26"/>
      <c r="W435" s="26">
        <f>MAX($C$10-VLOOKUP($C435,COS!$B$8:$H$991,3,FALSE),0)</f>
        <v>96749</v>
      </c>
      <c r="X435" s="26">
        <f t="shared" si="667"/>
        <v>5756.965289256198</v>
      </c>
      <c r="Y435" s="26">
        <f>VLOOKUP($C435,COS!$B$8:$H$991,4,FALSE)</f>
        <v>448.95883178710938</v>
      </c>
      <c r="Z435" s="26">
        <f t="shared" si="668"/>
        <v>26.714905693117252</v>
      </c>
      <c r="AA435" s="26">
        <f t="shared" si="694"/>
        <v>448.95883178710938</v>
      </c>
      <c r="AB435" s="33">
        <f t="shared" si="650"/>
        <v>13.357452846558626</v>
      </c>
    </row>
    <row r="436" spans="1:28" x14ac:dyDescent="0.3">
      <c r="A436" s="34">
        <f>VLOOKUP(YEAR(C436),Flags!$A$13:$B$95,2,FALSE)</f>
        <v>3</v>
      </c>
      <c r="B436" s="35">
        <f t="shared" si="637"/>
        <v>1968</v>
      </c>
      <c r="C436" s="36">
        <v>25203</v>
      </c>
      <c r="D436" s="37"/>
      <c r="E436" s="35"/>
      <c r="F436" s="37"/>
      <c r="G436" s="37"/>
      <c r="H436" s="37"/>
      <c r="I436" s="37"/>
      <c r="J436" s="37"/>
      <c r="K436" s="37"/>
      <c r="L436" s="35"/>
      <c r="M436" s="35"/>
      <c r="N436" s="37"/>
      <c r="O436" s="37"/>
      <c r="P436" s="37"/>
      <c r="Q436" s="37"/>
      <c r="R436" s="37"/>
      <c r="S436" s="37"/>
      <c r="T436" s="37"/>
      <c r="U436" s="37"/>
      <c r="V436" s="37"/>
      <c r="W436" s="37">
        <f>MAX($C$11-VLOOKUP($C436,COS!$B$8:$H$991,3,FALSE),0)</f>
        <v>0</v>
      </c>
      <c r="X436" s="37">
        <f t="shared" si="667"/>
        <v>0</v>
      </c>
      <c r="Y436" s="37">
        <f>VLOOKUP($C436,COS!$B$8:$H$991,4,FALSE)</f>
        <v>0</v>
      </c>
      <c r="Z436" s="37">
        <f t="shared" si="668"/>
        <v>0</v>
      </c>
      <c r="AA436" s="37">
        <f t="shared" si="694"/>
        <v>0</v>
      </c>
      <c r="AB436" s="38">
        <f t="shared" si="650"/>
        <v>0</v>
      </c>
    </row>
    <row r="437" spans="1:28" x14ac:dyDescent="0.3">
      <c r="A437" s="27">
        <f>VLOOKUP(YEAR(C437),Flags!$A$13:$B$95,2,FALSE)</f>
        <v>1</v>
      </c>
      <c r="B437" s="28">
        <f t="shared" si="637"/>
        <v>1969</v>
      </c>
      <c r="C437" s="29">
        <v>25323</v>
      </c>
      <c r="D437" s="30">
        <f>VLOOKUP($C437,COS!$B$8:$H$991,3,FALSE)</f>
        <v>9669.7626953125</v>
      </c>
      <c r="E437" s="28">
        <f>IF(D437&gt;=IF(MONTH($C437)=4,$C$3,IF(MONTH($C437)=5,$C$4,IF(MONTH($C437)=6,$C$5,IF(MONTH($C437)=7,$C$6,"ERROR")))),1,0)</f>
        <v>1</v>
      </c>
      <c r="F437" s="30">
        <f>VLOOKUP($C437,COS!$B$8:$H$991,7,FALSE)</f>
        <v>46.990718841552734</v>
      </c>
      <c r="G437" s="28">
        <f>IF(F437&lt;=IF(MONTH($C437)=4,$F$3,IF(MONTH($C437)=5,$F$4,IF(MONTH($C437)=6,$F$5,IF(MONTH($C437)=7,$F$6,"ERROR")))),1,0)</f>
        <v>1</v>
      </c>
      <c r="H437" s="30">
        <f>IF(J437=1,D437-$C$3,0)</f>
        <v>3669.7626953125</v>
      </c>
      <c r="I437" s="30">
        <f t="shared" si="661"/>
        <v>218.36604467975206</v>
      </c>
      <c r="J437" s="28">
        <f t="shared" ref="J437:J440" si="697">IF(AND(E437=1,G437=1),1,0)</f>
        <v>1</v>
      </c>
      <c r="K437" s="30">
        <f>VLOOKUP($C437,COS!$B$8:$H$991,2,FALSE)</f>
        <v>4434</v>
      </c>
      <c r="L437" s="28">
        <f t="shared" ref="L437" si="698">IF(K437&lt;=IF(MONTH($C437)=4,$I$3,IF(MONTH($C437)=5,$I$4,IF(MONTH($C437)=6,$I$5,IF(MONTH($C437)=7,$I$6,"ERROR")))),1,0)</f>
        <v>1</v>
      </c>
      <c r="M437" s="28">
        <f t="shared" ref="M437" si="699">VLOOKUP($A437,$L$3:$M$7,2,FALSE)</f>
        <v>0</v>
      </c>
      <c r="N437" s="30">
        <f>VLOOKUP($C437,COS!$B$8:$H$991,5,FALSE)</f>
        <v>171.73318481445313</v>
      </c>
      <c r="O437" s="30">
        <f t="shared" ref="O437:O440" si="700">N437*DAY($C437)*86400/43560/1000</f>
        <v>10.218834137719524</v>
      </c>
      <c r="P437" s="30">
        <f>VLOOKUP($C437,COS!$B$8:$H$991,6,FALSE)</f>
        <v>463.4422607421875</v>
      </c>
      <c r="Q437" s="30">
        <f t="shared" ref="Q437:Q440" si="701">P437*DAY($C437)*86400/43560/1000</f>
        <v>27.576729564824383</v>
      </c>
      <c r="R437" s="30">
        <f>MIN(IF(MONTH($C437)=4,$S$3,IF(MONTH($C437)=5,$S$4,IF(MONTH($C437)=6,$S$5,IF(MONTH($C437)=7,$S$6,"ERROR")))),MAX(VLOOKUP($C437,COS!$B$8:$K$991,10,FALSE)-IF(MONTH($C437)=4,$Y$3,IF(MONTH($C437)=5,$Y$4,IF(MONTH($C437)=6,$Y$5,IF(MONTH($C437)=7,$Y$6,"ERROR")))),0),MAX(VLOOKUP($C437,COS!$B$8:$K$991,9,FALSE)-IF(MONTH($C437)=4,$V$3,IF(MONTH($C437)=5,$V$4,IF(MONTH($C437)=6,$V$5,IF(MONTH($C437)=7,$V$6,"ERROR"))))-VLOOKUP($C437,COS!$B$8:$K$991,6,FALSE)/2,0))</f>
        <v>1500</v>
      </c>
      <c r="S437" s="30">
        <f t="shared" ref="S437:S440" si="702">R437*DAY($C437)*86400/43560/1000</f>
        <v>89.256198347107429</v>
      </c>
      <c r="T437" s="30">
        <f t="shared" ref="T437:T440" si="703">(O437+Q437)/2+S437</f>
        <v>108.15398019837939</v>
      </c>
      <c r="U437" s="30" t="str">
        <f>IF(VLOOKUP($C437,COS!$B$8:$I$991,8,FALSE)=1,"UWFE","IBU")</f>
        <v>UWFE</v>
      </c>
      <c r="V437" s="30">
        <f t="shared" ref="V437" si="704">MIN(IF(IF($AA$3=2,AND(E437=1,G437=1,L437=1,L442=1,M437=1,U437="IBU"),AND(E437=1,G437=1,L437=1,L442=1,M437=1)),T437,0),I437)</f>
        <v>0</v>
      </c>
      <c r="W437" s="30"/>
      <c r="X437" s="30"/>
      <c r="Y437" s="30"/>
      <c r="Z437" s="30"/>
      <c r="AA437" s="30"/>
      <c r="AB437" s="31"/>
    </row>
    <row r="438" spans="1:28" x14ac:dyDescent="0.3">
      <c r="A438" s="32">
        <f>VLOOKUP(YEAR(C438),Flags!$A$13:$B$95,2,FALSE)</f>
        <v>1</v>
      </c>
      <c r="B438" s="24">
        <f t="shared" si="637"/>
        <v>1969</v>
      </c>
      <c r="C438" s="25">
        <v>25354</v>
      </c>
      <c r="D438" s="26">
        <f>VLOOKUP($C438,COS!$B$8:$H$991,3,FALSE)</f>
        <v>9579.4580078125</v>
      </c>
      <c r="E438" s="24">
        <f>IF(D438&gt;=IF(MONTH($C438)=4,$C$3,IF(MONTH($C438)=5,$C$4,IF(MONTH($C438)=6,$C$5,IF(MONTH($C438)=7,$C$6,"ERROR")))),1,0)</f>
        <v>1</v>
      </c>
      <c r="F438" s="26">
        <f>VLOOKUP($C438,COS!$B$8:$H$991,7,FALSE)</f>
        <v>48.872310638427734</v>
      </c>
      <c r="G438" s="24">
        <f>IF(F438&lt;=IF(MONTH($C438)=4,$F$3,IF(MONTH($C438)=5,$F$4,IF(MONTH($C438)=6,$F$5,IF(MONTH($C438)=7,$F$6,"ERROR")))),1,0)</f>
        <v>1</v>
      </c>
      <c r="H438" s="26">
        <f>IF(J438=1,D438-$C$4,0)</f>
        <v>3579.4580078125</v>
      </c>
      <c r="I438" s="26">
        <f t="shared" si="661"/>
        <v>220.09229403409091</v>
      </c>
      <c r="J438" s="24">
        <f t="shared" si="697"/>
        <v>1</v>
      </c>
      <c r="K438" s="26">
        <f>VLOOKUP($C438,COS!$B$8:$H$991,2,FALSE)</f>
        <v>4552</v>
      </c>
      <c r="L438" s="24">
        <f t="shared" si="639"/>
        <v>1</v>
      </c>
      <c r="M438" s="24">
        <f t="shared" si="640"/>
        <v>0</v>
      </c>
      <c r="N438" s="26">
        <f>VLOOKUP($C438,COS!$B$8:$H$991,5,FALSE)</f>
        <v>779.53582763671875</v>
      </c>
      <c r="O438" s="26">
        <f t="shared" si="700"/>
        <v>47.931789732373453</v>
      </c>
      <c r="P438" s="26">
        <f>VLOOKUP($C438,COS!$B$8:$H$991,6,FALSE)</f>
        <v>2345.609619140625</v>
      </c>
      <c r="Q438" s="26">
        <f t="shared" si="701"/>
        <v>144.22591377195246</v>
      </c>
      <c r="R438" s="26">
        <f>MIN(IF(MONTH($C438)=4,$S$3,IF(MONTH($C438)=5,$S$4,IF(MONTH($C438)=6,$S$5,IF(MONTH($C438)=7,$S$6,"ERROR")))),MAX(VLOOKUP($C438,COS!$B$8:$K$991,10,FALSE)-IF(MONTH($C438)=4,$Y$3,IF(MONTH($C438)=5,$Y$4,IF(MONTH($C438)=6,$Y$5,IF(MONTH($C438)=7,$Y$6,"ERROR")))),0),MAX(VLOOKUP($C438,COS!$B$8:$K$991,9,FALSE)-IF(MONTH($C438)=4,$V$3,IF(MONTH($C438)=5,$V$4,IF(MONTH($C438)=6,$V$5,IF(MONTH($C438)=7,$V$6,"ERROR"))))-VLOOKUP($C438,COS!$B$8:$K$991,6,FALSE)/2,0))</f>
        <v>1500</v>
      </c>
      <c r="S438" s="26">
        <f t="shared" si="702"/>
        <v>92.231404958677686</v>
      </c>
      <c r="T438" s="26">
        <f t="shared" si="703"/>
        <v>188.31025671084063</v>
      </c>
      <c r="U438" s="26" t="str">
        <f>IF(VLOOKUP($C438,COS!$B$8:$I$991,8,FALSE)=1,"UWFE","IBU")</f>
        <v>UWFE</v>
      </c>
      <c r="V438" s="26">
        <f t="shared" ref="V438" si="705">MIN(IF(IF($AA$3=2,AND(E438=1,G438=1,L438=1,L442=1,M438=1,U438="IBU"),AND(E438=1,G438=1,L438=1,L442=1,M438=1)),T438,0),I438)</f>
        <v>0</v>
      </c>
      <c r="W438" s="26"/>
      <c r="X438" s="26"/>
      <c r="Y438" s="26"/>
      <c r="Z438" s="26"/>
      <c r="AA438" s="26"/>
      <c r="AB438" s="33"/>
    </row>
    <row r="439" spans="1:28" x14ac:dyDescent="0.3">
      <c r="A439" s="32">
        <f>VLOOKUP(YEAR(C439),Flags!$A$13:$B$95,2,FALSE)</f>
        <v>1</v>
      </c>
      <c r="B439" s="24">
        <f t="shared" si="637"/>
        <v>1969</v>
      </c>
      <c r="C439" s="25">
        <v>25384</v>
      </c>
      <c r="D439" s="26">
        <f>VLOOKUP($C439,COS!$B$8:$H$991,3,FALSE)</f>
        <v>8011.47998046875</v>
      </c>
      <c r="E439" s="24">
        <f>IF(D439&gt;=IF(MONTH($C439)=4,$C$3,IF(MONTH($C439)=5,$C$4,IF(MONTH($C439)=6,$C$5,IF(MONTH($C439)=7,$C$6,"ERROR")))),1,0)</f>
        <v>0</v>
      </c>
      <c r="F439" s="26">
        <f>VLOOKUP($C439,COS!$B$8:$H$991,7,FALSE)</f>
        <v>50.501800537109375</v>
      </c>
      <c r="G439" s="24">
        <f>IF(F439&lt;=IF(MONTH($C439)=4,$F$3,IF(MONTH($C439)=5,$F$4,IF(MONTH($C439)=6,$F$5,IF(MONTH($C439)=7,$F$6,"ERROR")))),1,0)</f>
        <v>1</v>
      </c>
      <c r="H439" s="26">
        <f>IF(J439=1,D439-$C$5,0)</f>
        <v>0</v>
      </c>
      <c r="I439" s="26">
        <f t="shared" si="661"/>
        <v>0</v>
      </c>
      <c r="J439" s="24">
        <f t="shared" si="697"/>
        <v>0</v>
      </c>
      <c r="K439" s="26">
        <f>VLOOKUP($C439,COS!$B$8:$H$991,2,FALSE)</f>
        <v>4403.0791015625</v>
      </c>
      <c r="L439" s="24">
        <f t="shared" si="639"/>
        <v>1</v>
      </c>
      <c r="M439" s="24">
        <f t="shared" si="640"/>
        <v>0</v>
      </c>
      <c r="N439" s="26">
        <f>VLOOKUP($C439,COS!$B$8:$H$991,5,FALSE)</f>
        <v>1103.256591796875</v>
      </c>
      <c r="O439" s="26">
        <f t="shared" si="700"/>
        <v>65.648326123450417</v>
      </c>
      <c r="P439" s="26">
        <f>VLOOKUP($C439,COS!$B$8:$H$991,6,FALSE)</f>
        <v>2226.01513671875</v>
      </c>
      <c r="Q439" s="26">
        <f t="shared" si="701"/>
        <v>132.45709904442148</v>
      </c>
      <c r="R439" s="26">
        <f>MIN(IF(MONTH($C439)=4,$S$3,IF(MONTH($C439)=5,$S$4,IF(MONTH($C439)=6,$S$5,IF(MONTH($C439)=7,$S$6,"ERROR")))),MAX(VLOOKUP($C439,COS!$B$8:$K$991,10,FALSE)-IF(MONTH($C439)=4,$Y$3,IF(MONTH($C439)=5,$Y$4,IF(MONTH($C439)=6,$Y$5,IF(MONTH($C439)=7,$Y$6,"ERROR")))),0),MAX(VLOOKUP($C439,COS!$B$8:$K$991,9,FALSE)-IF(MONTH($C439)=4,$V$3,IF(MONTH($C439)=5,$V$4,IF(MONTH($C439)=6,$V$5,IF(MONTH($C439)=7,$V$6,"ERROR"))))-VLOOKUP($C439,COS!$B$8:$K$991,6,FALSE)/2,0))</f>
        <v>1500</v>
      </c>
      <c r="S439" s="26">
        <f t="shared" si="702"/>
        <v>89.256198347107429</v>
      </c>
      <c r="T439" s="26">
        <f t="shared" si="703"/>
        <v>188.30891093104339</v>
      </c>
      <c r="U439" s="26" t="str">
        <f>IF(VLOOKUP($C439,COS!$B$8:$I$991,8,FALSE)=1,"UWFE","IBU")</f>
        <v>UWFE</v>
      </c>
      <c r="V439" s="26">
        <f t="shared" ref="V439" si="706">MIN(IF(IF($AA$3=2,AND(E439=1,G439=1,L439=1,L442=1,M439=1,U439="IBU"),AND(E439=1,G439=1,L439=1,L442=1,M439=1)),T439,0),I439)</f>
        <v>0</v>
      </c>
      <c r="W439" s="26"/>
      <c r="X439" s="26"/>
      <c r="Y439" s="26"/>
      <c r="Z439" s="26"/>
      <c r="AA439" s="26"/>
      <c r="AB439" s="33"/>
    </row>
    <row r="440" spans="1:28" x14ac:dyDescent="0.3">
      <c r="A440" s="32">
        <f>VLOOKUP(YEAR(C440),Flags!$A$13:$B$95,2,FALSE)</f>
        <v>1</v>
      </c>
      <c r="B440" s="24">
        <f t="shared" si="637"/>
        <v>1969</v>
      </c>
      <c r="C440" s="25">
        <v>25415</v>
      </c>
      <c r="D440" s="26">
        <f>VLOOKUP($C440,COS!$B$8:$H$991,3,FALSE)</f>
        <v>11045.078125</v>
      </c>
      <c r="E440" s="24">
        <f>IF(D440&gt;=IF(MONTH($C440)=4,$C$3,IF(MONTH($C440)=5,$C$4,IF(MONTH($C440)=6,$C$5,IF(MONTH($C440)=7,$C$6,"ERROR")))),1,0)</f>
        <v>0</v>
      </c>
      <c r="F440" s="26">
        <f>VLOOKUP($C440,COS!$B$8:$H$991,7,FALSE)</f>
        <v>51.50872802734375</v>
      </c>
      <c r="G440" s="24">
        <f>IF(F440&lt;=IF(MONTH($C440)=4,$F$3,IF(MONTH($C440)=5,$F$4,IF(MONTH($C440)=6,$F$5,IF(MONTH($C440)=7,$F$6,"ERROR")))),1,0)</f>
        <v>1</v>
      </c>
      <c r="H440" s="26">
        <f>IF(J440=1,D440-$C$6,0)</f>
        <v>0</v>
      </c>
      <c r="I440" s="26">
        <f t="shared" si="661"/>
        <v>0</v>
      </c>
      <c r="J440" s="24">
        <f t="shared" si="697"/>
        <v>0</v>
      </c>
      <c r="K440" s="26">
        <f>VLOOKUP($C440,COS!$B$8:$H$991,2,FALSE)</f>
        <v>3947.457763671875</v>
      </c>
      <c r="L440" s="24">
        <f t="shared" si="639"/>
        <v>1</v>
      </c>
      <c r="M440" s="24">
        <f t="shared" si="640"/>
        <v>0</v>
      </c>
      <c r="N440" s="26">
        <f>VLOOKUP($C440,COS!$B$8:$H$991,5,FALSE)</f>
        <v>1249.15625</v>
      </c>
      <c r="O440" s="26">
        <f t="shared" si="700"/>
        <v>76.807623966942145</v>
      </c>
      <c r="P440" s="26">
        <f>VLOOKUP($C440,COS!$B$8:$H$991,6,FALSE)</f>
        <v>2516.8701171875</v>
      </c>
      <c r="Q440" s="26">
        <f t="shared" si="701"/>
        <v>154.75631133780993</v>
      </c>
      <c r="R440" s="26">
        <f>MIN(IF(MONTH($C440)=4,$S$3,IF(MONTH($C440)=5,$S$4,IF(MONTH($C440)=6,$S$5,IF(MONTH($C440)=7,$S$6,"ERROR")))),MAX(VLOOKUP($C440,COS!$B$8:$K$991,10,FALSE)-IF(MONTH($C440)=4,$Y$3,IF(MONTH($C440)=5,$Y$4,IF(MONTH($C440)=6,$Y$5,IF(MONTH($C440)=7,$Y$6,"ERROR")))),0),MAX(VLOOKUP($C440,COS!$B$8:$K$991,9,FALSE)-IF(MONTH($C440)=4,$V$3,IF(MONTH($C440)=5,$V$4,IF(MONTH($C440)=6,$V$5,IF(MONTH($C440)=7,$V$6,"ERROR"))))-VLOOKUP($C440,COS!$B$8:$K$991,6,FALSE)/2,0))</f>
        <v>1500</v>
      </c>
      <c r="S440" s="26">
        <f t="shared" si="702"/>
        <v>92.231404958677686</v>
      </c>
      <c r="T440" s="26">
        <f t="shared" si="703"/>
        <v>208.01337261105374</v>
      </c>
      <c r="U440" s="26" t="str">
        <f>IF(VLOOKUP($C440,COS!$B$8:$I$991,8,FALSE)=1,"UWFE","IBU")</f>
        <v>IBU</v>
      </c>
      <c r="V440" s="26">
        <f t="shared" ref="V440" si="707">MIN(IF(IF($AA$3=2,AND(E440=1,G440=1,L440=1,L442=1,M440=1,U440="IBU"),AND(E440=1,G440=1,L440=1,L442=1,M440=1)),T440,0),I440)</f>
        <v>0</v>
      </c>
      <c r="W440" s="26"/>
      <c r="X440" s="26"/>
      <c r="Y440" s="26"/>
      <c r="Z440" s="26"/>
      <c r="AA440" s="26"/>
      <c r="AB440" s="33"/>
    </row>
    <row r="441" spans="1:28" x14ac:dyDescent="0.3">
      <c r="A441" s="32">
        <f>VLOOKUP(YEAR(C441),Flags!$A$13:$B$95,2,FALSE)</f>
        <v>1</v>
      </c>
      <c r="B441" s="24">
        <f t="shared" si="637"/>
        <v>1969</v>
      </c>
      <c r="C441" s="25">
        <v>25446</v>
      </c>
      <c r="D441" s="26"/>
      <c r="E441" s="24"/>
      <c r="F441" s="26"/>
      <c r="G441" s="24"/>
      <c r="H441" s="24"/>
      <c r="I441" s="26"/>
      <c r="J441" s="24"/>
      <c r="K441" s="26"/>
      <c r="L441" s="24"/>
      <c r="M441" s="24"/>
      <c r="N441" s="26"/>
      <c r="O441" s="26"/>
      <c r="P441" s="26"/>
      <c r="Q441" s="26"/>
      <c r="R441" s="26"/>
      <c r="S441" s="26"/>
      <c r="T441" s="26"/>
      <c r="U441" s="26"/>
      <c r="V441" s="26"/>
      <c r="W441" s="26">
        <f>MAX($C$7-VLOOKUP($C441,COS!$B$8:$H$991,3,FALSE),0)</f>
        <v>89532.791015625</v>
      </c>
      <c r="X441" s="26">
        <f t="shared" si="667"/>
        <v>5505.1567368285123</v>
      </c>
      <c r="Y441" s="26">
        <f>VLOOKUP($C441,COS!$B$8:$H$991,4,FALSE)</f>
        <v>0</v>
      </c>
      <c r="Z441" s="26">
        <f t="shared" si="668"/>
        <v>0</v>
      </c>
      <c r="AA441" s="26">
        <f t="shared" ref="AA441:AA445" si="708">MIN(W441,Y441)</f>
        <v>0</v>
      </c>
      <c r="AB441" s="33">
        <f t="shared" ref="AB441" si="709">AA441*DAY($C441)*86400/43560/1000*IF(MONTH($C441)=8,$P$3,IF(MONTH($C441)=9,$P$4,IF(MONTH($C441)=10,$P$5,IF(MONTH($C441)=11,$P$6,IF(MONTH($C441)=12,$P$7,NA())))))</f>
        <v>0</v>
      </c>
    </row>
    <row r="442" spans="1:28" x14ac:dyDescent="0.3">
      <c r="A442" s="32">
        <f>VLOOKUP(YEAR(C442),Flags!$A$13:$B$95,2,FALSE)</f>
        <v>1</v>
      </c>
      <c r="B442" s="24">
        <f t="shared" si="637"/>
        <v>1969</v>
      </c>
      <c r="C442" s="25">
        <v>25476</v>
      </c>
      <c r="D442" s="26"/>
      <c r="E442" s="24"/>
      <c r="F442" s="26"/>
      <c r="G442" s="24"/>
      <c r="H442" s="24"/>
      <c r="I442" s="26"/>
      <c r="J442" s="24"/>
      <c r="K442" s="26">
        <f>VLOOKUP($C442,COS!$B$8:$H$991,2,FALSE)</f>
        <v>3239.390869140625</v>
      </c>
      <c r="L442" s="24">
        <f t="shared" ref="L442" si="710">IF(AND(K442&gt;$I$7,K442&lt;$I$8),1,0)</f>
        <v>1</v>
      </c>
      <c r="M442" s="24"/>
      <c r="N442" s="26"/>
      <c r="O442" s="26"/>
      <c r="P442" s="26"/>
      <c r="Q442" s="26"/>
      <c r="R442" s="26"/>
      <c r="S442" s="26"/>
      <c r="T442" s="26"/>
      <c r="U442" s="26"/>
      <c r="V442" s="26"/>
      <c r="W442" s="26">
        <f>MAX($C$8-VLOOKUP($C442,COS!$B$8:$H$991,3,FALSE),0)</f>
        <v>88147.01953125</v>
      </c>
      <c r="X442" s="26">
        <f t="shared" si="667"/>
        <v>5245.1119059917355</v>
      </c>
      <c r="Y442" s="26">
        <f>VLOOKUP($C442,COS!$B$8:$H$991,4,FALSE)</f>
        <v>42.857669830322266</v>
      </c>
      <c r="Z442" s="26">
        <f t="shared" si="668"/>
        <v>2.5502084527133912</v>
      </c>
      <c r="AA442" s="26">
        <f t="shared" si="708"/>
        <v>42.857669830322266</v>
      </c>
      <c r="AB442" s="33">
        <f t="shared" si="650"/>
        <v>2.5502084527133912</v>
      </c>
    </row>
    <row r="443" spans="1:28" x14ac:dyDescent="0.3">
      <c r="A443" s="32">
        <f>VLOOKUP(YEAR(C443),Flags!$A$13:$B$95,2,FALSE)</f>
        <v>1</v>
      </c>
      <c r="B443" s="24">
        <f t="shared" si="637"/>
        <v>1969</v>
      </c>
      <c r="C443" s="25">
        <v>25507</v>
      </c>
      <c r="D443" s="26"/>
      <c r="E443" s="24"/>
      <c r="F443" s="26"/>
      <c r="G443" s="26"/>
      <c r="H443" s="26"/>
      <c r="I443" s="26"/>
      <c r="J443" s="26"/>
      <c r="K443" s="26"/>
      <c r="L443" s="24"/>
      <c r="M443" s="24"/>
      <c r="N443" s="26"/>
      <c r="O443" s="26"/>
      <c r="P443" s="26"/>
      <c r="Q443" s="26"/>
      <c r="R443" s="26"/>
      <c r="S443" s="26"/>
      <c r="T443" s="26"/>
      <c r="U443" s="26"/>
      <c r="V443" s="26"/>
      <c r="W443" s="26">
        <f>MAX($C$9-VLOOKUP($C443,COS!$B$8:$H$991,3,FALSE),0)</f>
        <v>93281.42724609375</v>
      </c>
      <c r="X443" s="26">
        <f t="shared" si="667"/>
        <v>5735.6513943052687</v>
      </c>
      <c r="Y443" s="26">
        <f>VLOOKUP($C443,COS!$B$8:$H$991,4,FALSE)</f>
        <v>245.98057556152344</v>
      </c>
      <c r="Z443" s="26">
        <f t="shared" si="668"/>
        <v>15.124756051055655</v>
      </c>
      <c r="AA443" s="26">
        <f t="shared" si="708"/>
        <v>245.98057556152344</v>
      </c>
      <c r="AB443" s="33">
        <f t="shared" si="650"/>
        <v>15.124756051055655</v>
      </c>
    </row>
    <row r="444" spans="1:28" x14ac:dyDescent="0.3">
      <c r="A444" s="32">
        <f>VLOOKUP(YEAR(C444),Flags!$A$13:$B$95,2,FALSE)</f>
        <v>1</v>
      </c>
      <c r="B444" s="24">
        <f t="shared" si="637"/>
        <v>1969</v>
      </c>
      <c r="C444" s="25">
        <v>25537</v>
      </c>
      <c r="D444" s="26"/>
      <c r="E444" s="24"/>
      <c r="F444" s="26"/>
      <c r="G444" s="26"/>
      <c r="H444" s="26"/>
      <c r="I444" s="26"/>
      <c r="J444" s="26"/>
      <c r="K444" s="26"/>
      <c r="L444" s="24"/>
      <c r="M444" s="24"/>
      <c r="N444" s="26"/>
      <c r="O444" s="26"/>
      <c r="P444" s="26"/>
      <c r="Q444" s="26"/>
      <c r="R444" s="26"/>
      <c r="S444" s="26"/>
      <c r="T444" s="26"/>
      <c r="U444" s="26"/>
      <c r="V444" s="26"/>
      <c r="W444" s="26">
        <f>MAX($C$10-VLOOKUP($C444,COS!$B$8:$H$991,3,FALSE),0)</f>
        <v>92833.80517578125</v>
      </c>
      <c r="X444" s="26">
        <f t="shared" si="667"/>
        <v>5523.995018724173</v>
      </c>
      <c r="Y444" s="26">
        <f>VLOOKUP($C444,COS!$B$8:$H$991,4,FALSE)</f>
        <v>0</v>
      </c>
      <c r="Z444" s="26">
        <f t="shared" si="668"/>
        <v>0</v>
      </c>
      <c r="AA444" s="26">
        <f t="shared" si="708"/>
        <v>0</v>
      </c>
      <c r="AB444" s="33">
        <f t="shared" si="650"/>
        <v>0</v>
      </c>
    </row>
    <row r="445" spans="1:28" x14ac:dyDescent="0.3">
      <c r="A445" s="34">
        <f>VLOOKUP(YEAR(C445),Flags!$A$13:$B$95,2,FALSE)</f>
        <v>1</v>
      </c>
      <c r="B445" s="35">
        <f t="shared" si="637"/>
        <v>1969</v>
      </c>
      <c r="C445" s="36">
        <v>25568</v>
      </c>
      <c r="D445" s="37"/>
      <c r="E445" s="35"/>
      <c r="F445" s="37"/>
      <c r="G445" s="37"/>
      <c r="H445" s="37"/>
      <c r="I445" s="37"/>
      <c r="J445" s="37"/>
      <c r="K445" s="37"/>
      <c r="L445" s="35"/>
      <c r="M445" s="35"/>
      <c r="N445" s="37"/>
      <c r="O445" s="37"/>
      <c r="P445" s="37"/>
      <c r="Q445" s="37"/>
      <c r="R445" s="37"/>
      <c r="S445" s="37"/>
      <c r="T445" s="37"/>
      <c r="U445" s="37"/>
      <c r="V445" s="37"/>
      <c r="W445" s="37">
        <f>MAX($C$11-VLOOKUP($C445,COS!$B$8:$H$991,3,FALSE),0)</f>
        <v>0</v>
      </c>
      <c r="X445" s="37">
        <f t="shared" si="667"/>
        <v>0</v>
      </c>
      <c r="Y445" s="37">
        <f>VLOOKUP($C445,COS!$B$8:$H$991,4,FALSE)</f>
        <v>0</v>
      </c>
      <c r="Z445" s="37">
        <f t="shared" si="668"/>
        <v>0</v>
      </c>
      <c r="AA445" s="37">
        <f t="shared" si="708"/>
        <v>0</v>
      </c>
      <c r="AB445" s="38">
        <f t="shared" si="650"/>
        <v>0</v>
      </c>
    </row>
    <row r="446" spans="1:28" x14ac:dyDescent="0.3">
      <c r="A446" s="27">
        <f>VLOOKUP(YEAR(C446),Flags!$A$13:$B$95,2,FALSE)</f>
        <v>1</v>
      </c>
      <c r="B446" s="28">
        <f t="shared" si="637"/>
        <v>1970</v>
      </c>
      <c r="C446" s="29">
        <v>25688</v>
      </c>
      <c r="D446" s="30">
        <f>VLOOKUP($C446,COS!$B$8:$H$991,3,FALSE)</f>
        <v>3250</v>
      </c>
      <c r="E446" s="28">
        <f>IF(D446&gt;=IF(MONTH($C446)=4,$C$3,IF(MONTH($C446)=5,$C$4,IF(MONTH($C446)=6,$C$5,IF(MONTH($C446)=7,$C$6,"ERROR")))),1,0)</f>
        <v>0</v>
      </c>
      <c r="F446" s="30">
        <f>VLOOKUP($C446,COS!$B$8:$H$991,7,FALSE)</f>
        <v>49.804428100585938</v>
      </c>
      <c r="G446" s="28">
        <f>IF(F446&lt;=IF(MONTH($C446)=4,$F$3,IF(MONTH($C446)=5,$F$4,IF(MONTH($C446)=6,$F$5,IF(MONTH($C446)=7,$F$6,"ERROR")))),1,0)</f>
        <v>1</v>
      </c>
      <c r="H446" s="30">
        <f>IF(J446=1,D446-$C$3,0)</f>
        <v>0</v>
      </c>
      <c r="I446" s="30">
        <f t="shared" si="661"/>
        <v>0</v>
      </c>
      <c r="J446" s="28">
        <f t="shared" ref="J446:J449" si="711">IF(AND(E446=1,G446=1),1,0)</f>
        <v>0</v>
      </c>
      <c r="K446" s="30">
        <f>VLOOKUP($C446,COS!$B$8:$H$991,2,FALSE)</f>
        <v>4291.064453125</v>
      </c>
      <c r="L446" s="28">
        <f t="shared" ref="L446" si="712">IF(K446&lt;=IF(MONTH($C446)=4,$I$3,IF(MONTH($C446)=5,$I$4,IF(MONTH($C446)=6,$I$5,IF(MONTH($C446)=7,$I$6,"ERROR")))),1,0)</f>
        <v>1</v>
      </c>
      <c r="M446" s="28">
        <f t="shared" ref="M446" si="713">VLOOKUP($A446,$L$3:$M$7,2,FALSE)</f>
        <v>0</v>
      </c>
      <c r="N446" s="30">
        <f>VLOOKUP($C446,COS!$B$8:$H$991,5,FALSE)</f>
        <v>73.196624755859375</v>
      </c>
      <c r="O446" s="30">
        <f t="shared" ref="O446:O449" si="714">N446*DAY($C446)*86400/43560/1000</f>
        <v>4.3555016383651859</v>
      </c>
      <c r="P446" s="30">
        <f>VLOOKUP($C446,COS!$B$8:$H$991,6,FALSE)</f>
        <v>508.6461181640625</v>
      </c>
      <c r="Q446" s="30">
        <f t="shared" ref="Q446:Q449" si="715">P446*DAY($C446)*86400/43560/1000</f>
        <v>30.266545874225205</v>
      </c>
      <c r="R446" s="30">
        <f>MIN(IF(MONTH($C446)=4,$S$3,IF(MONTH($C446)=5,$S$4,IF(MONTH($C446)=6,$S$5,IF(MONTH($C446)=7,$S$6,"ERROR")))),MAX(VLOOKUP($C446,COS!$B$8:$K$991,10,FALSE)-IF(MONTH($C446)=4,$Y$3,IF(MONTH($C446)=5,$Y$4,IF(MONTH($C446)=6,$Y$5,IF(MONTH($C446)=7,$Y$6,"ERROR")))),0),MAX(VLOOKUP($C446,COS!$B$8:$K$991,9,FALSE)-IF(MONTH($C446)=4,$V$3,IF(MONTH($C446)=5,$V$4,IF(MONTH($C446)=6,$V$5,IF(MONTH($C446)=7,$V$6,"ERROR"))))-VLOOKUP($C446,COS!$B$8:$K$991,6,FALSE)/2,0))</f>
        <v>713.98388671875</v>
      </c>
      <c r="S446" s="30">
        <f t="shared" ref="S446:S449" si="716">R446*DAY($C446)*86400/43560/1000</f>
        <v>42.484991606404961</v>
      </c>
      <c r="T446" s="30">
        <f t="shared" ref="T446:T449" si="717">(O446+Q446)/2+S446</f>
        <v>59.79601536270016</v>
      </c>
      <c r="U446" s="30" t="str">
        <f>IF(VLOOKUP($C446,COS!$B$8:$I$991,8,FALSE)=1,"UWFE","IBU")</f>
        <v>UWFE</v>
      </c>
      <c r="V446" s="30">
        <f t="shared" ref="V446" si="718">MIN(IF(IF($AA$3=2,AND(E446=1,G446=1,L446=1,L451=1,M446=1,U446="IBU"),AND(E446=1,G446=1,L446=1,L451=1,M446=1)),T446,0),I446)</f>
        <v>0</v>
      </c>
      <c r="W446" s="30"/>
      <c r="X446" s="30"/>
      <c r="Y446" s="30"/>
      <c r="Z446" s="30"/>
      <c r="AA446" s="30"/>
      <c r="AB446" s="31"/>
    </row>
    <row r="447" spans="1:28" x14ac:dyDescent="0.3">
      <c r="A447" s="32">
        <f>VLOOKUP(YEAR(C447),Flags!$A$13:$B$95,2,FALSE)</f>
        <v>1</v>
      </c>
      <c r="B447" s="24">
        <f t="shared" si="637"/>
        <v>1970</v>
      </c>
      <c r="C447" s="25">
        <v>25719</v>
      </c>
      <c r="D447" s="26">
        <f>VLOOKUP($C447,COS!$B$8:$H$991,3,FALSE)</f>
        <v>6423.0224609375</v>
      </c>
      <c r="E447" s="24">
        <f>IF(D447&gt;=IF(MONTH($C447)=4,$C$3,IF(MONTH($C447)=5,$C$4,IF(MONTH($C447)=6,$C$5,IF(MONTH($C447)=7,$C$6,"ERROR")))),1,0)</f>
        <v>1</v>
      </c>
      <c r="F447" s="26">
        <f>VLOOKUP($C447,COS!$B$8:$H$991,7,FALSE)</f>
        <v>49.899898529052734</v>
      </c>
      <c r="G447" s="24">
        <f>IF(F447&lt;=IF(MONTH($C447)=4,$F$3,IF(MONTH($C447)=5,$F$4,IF(MONTH($C447)=6,$F$5,IF(MONTH($C447)=7,$F$6,"ERROR")))),1,0)</f>
        <v>1</v>
      </c>
      <c r="H447" s="26">
        <f>IF(J447=1,D447-$C$4,0)</f>
        <v>423.0224609375</v>
      </c>
      <c r="I447" s="26">
        <f t="shared" si="661"/>
        <v>26.010637267561982</v>
      </c>
      <c r="J447" s="24">
        <f t="shared" si="711"/>
        <v>1</v>
      </c>
      <c r="K447" s="26">
        <f>VLOOKUP($C447,COS!$B$8:$H$991,2,FALSE)</f>
        <v>4231.88427734375</v>
      </c>
      <c r="L447" s="24">
        <f t="shared" si="639"/>
        <v>1</v>
      </c>
      <c r="M447" s="24">
        <f t="shared" si="640"/>
        <v>0</v>
      </c>
      <c r="N447" s="26">
        <f>VLOOKUP($C447,COS!$B$8:$H$991,5,FALSE)</f>
        <v>572.192626953125</v>
      </c>
      <c r="O447" s="26">
        <f t="shared" si="714"/>
        <v>35.182753260588839</v>
      </c>
      <c r="P447" s="26">
        <f>VLOOKUP($C447,COS!$B$8:$H$991,6,FALSE)</f>
        <v>2315.026611328125</v>
      </c>
      <c r="Q447" s="26">
        <f t="shared" si="715"/>
        <v>142.34543791967974</v>
      </c>
      <c r="R447" s="26">
        <f>MIN(IF(MONTH($C447)=4,$S$3,IF(MONTH($C447)=5,$S$4,IF(MONTH($C447)=6,$S$5,IF(MONTH($C447)=7,$S$6,"ERROR")))),MAX(VLOOKUP($C447,COS!$B$8:$K$991,10,FALSE)-IF(MONTH($C447)=4,$Y$3,IF(MONTH($C447)=5,$Y$4,IF(MONTH($C447)=6,$Y$5,IF(MONTH($C447)=7,$Y$6,"ERROR")))),0),MAX(VLOOKUP($C447,COS!$B$8:$K$991,9,FALSE)-IF(MONTH($C447)=4,$V$3,IF(MONTH($C447)=5,$V$4,IF(MONTH($C447)=6,$V$5,IF(MONTH($C447)=7,$V$6,"ERROR"))))-VLOOKUP($C447,COS!$B$8:$K$991,6,FALSE)/2,0))</f>
        <v>1500</v>
      </c>
      <c r="S447" s="26">
        <f t="shared" si="716"/>
        <v>92.231404958677686</v>
      </c>
      <c r="T447" s="26">
        <f t="shared" si="717"/>
        <v>180.99550054881198</v>
      </c>
      <c r="U447" s="26" t="str">
        <f>IF(VLOOKUP($C447,COS!$B$8:$I$991,8,FALSE)=1,"UWFE","IBU")</f>
        <v>UWFE</v>
      </c>
      <c r="V447" s="26">
        <f t="shared" ref="V447" si="719">MIN(IF(IF($AA$3=2,AND(E447=1,G447=1,L447=1,L451=1,M447=1,U447="IBU"),AND(E447=1,G447=1,L447=1,L451=1,M447=1)),T447,0),I447)</f>
        <v>0</v>
      </c>
      <c r="W447" s="26"/>
      <c r="X447" s="26"/>
      <c r="Y447" s="26"/>
      <c r="Z447" s="26"/>
      <c r="AA447" s="26"/>
      <c r="AB447" s="33"/>
    </row>
    <row r="448" spans="1:28" x14ac:dyDescent="0.3">
      <c r="A448" s="32">
        <f>VLOOKUP(YEAR(C448),Flags!$A$13:$B$95,2,FALSE)</f>
        <v>1</v>
      </c>
      <c r="B448" s="24">
        <f t="shared" si="637"/>
        <v>1970</v>
      </c>
      <c r="C448" s="25">
        <v>25749</v>
      </c>
      <c r="D448" s="26">
        <f>VLOOKUP($C448,COS!$B$8:$H$991,3,FALSE)</f>
        <v>11296.083984375</v>
      </c>
      <c r="E448" s="24">
        <f>IF(D448&gt;=IF(MONTH($C448)=4,$C$3,IF(MONTH($C448)=5,$C$4,IF(MONTH($C448)=6,$C$5,IF(MONTH($C448)=7,$C$6,"ERROR")))),1,0)</f>
        <v>1</v>
      </c>
      <c r="F448" s="26">
        <f>VLOOKUP($C448,COS!$B$8:$H$991,7,FALSE)</f>
        <v>49.374355316162109</v>
      </c>
      <c r="G448" s="24">
        <f>IF(F448&lt;=IF(MONTH($C448)=4,$F$3,IF(MONTH($C448)=5,$F$4,IF(MONTH($C448)=6,$F$5,IF(MONTH($C448)=7,$F$6,"ERROR")))),1,0)</f>
        <v>1</v>
      </c>
      <c r="H448" s="26">
        <f>IF(J448=1,D448-$C$5,0)</f>
        <v>1296.083984375</v>
      </c>
      <c r="I448" s="26">
        <f t="shared" si="661"/>
        <v>77.122352789256198</v>
      </c>
      <c r="J448" s="24">
        <f t="shared" si="711"/>
        <v>1</v>
      </c>
      <c r="K448" s="26">
        <f>VLOOKUP($C448,COS!$B$8:$H$991,2,FALSE)</f>
        <v>3804.720947265625</v>
      </c>
      <c r="L448" s="24">
        <f t="shared" si="639"/>
        <v>1</v>
      </c>
      <c r="M448" s="24">
        <f t="shared" si="640"/>
        <v>0</v>
      </c>
      <c r="N448" s="26">
        <f>VLOOKUP($C448,COS!$B$8:$H$991,5,FALSE)</f>
        <v>657.61016845703125</v>
      </c>
      <c r="O448" s="26">
        <f t="shared" si="714"/>
        <v>39.130522420583681</v>
      </c>
      <c r="P448" s="26">
        <f>VLOOKUP($C448,COS!$B$8:$H$991,6,FALSE)</f>
        <v>2256.00390625</v>
      </c>
      <c r="Q448" s="26">
        <f t="shared" si="715"/>
        <v>134.24155475206612</v>
      </c>
      <c r="R448" s="26">
        <f>MIN(IF(MONTH($C448)=4,$S$3,IF(MONTH($C448)=5,$S$4,IF(MONTH($C448)=6,$S$5,IF(MONTH($C448)=7,$S$6,"ERROR")))),MAX(VLOOKUP($C448,COS!$B$8:$K$991,10,FALSE)-IF(MONTH($C448)=4,$Y$3,IF(MONTH($C448)=5,$Y$4,IF(MONTH($C448)=6,$Y$5,IF(MONTH($C448)=7,$Y$6,"ERROR")))),0),MAX(VLOOKUP($C448,COS!$B$8:$K$991,9,FALSE)-IF(MONTH($C448)=4,$V$3,IF(MONTH($C448)=5,$V$4,IF(MONTH($C448)=6,$V$5,IF(MONTH($C448)=7,$V$6,"ERROR"))))-VLOOKUP($C448,COS!$B$8:$K$991,6,FALSE)/2,0))</f>
        <v>1500</v>
      </c>
      <c r="S448" s="26">
        <f t="shared" si="716"/>
        <v>89.256198347107429</v>
      </c>
      <c r="T448" s="26">
        <f t="shared" si="717"/>
        <v>175.94223693343233</v>
      </c>
      <c r="U448" s="26" t="str">
        <f>IF(VLOOKUP($C448,COS!$B$8:$I$991,8,FALSE)=1,"UWFE","IBU")</f>
        <v>IBU</v>
      </c>
      <c r="V448" s="26">
        <f t="shared" ref="V448" si="720">MIN(IF(IF($AA$3=2,AND(E448=1,G448=1,L448=1,L451=1,M448=1,U448="IBU"),AND(E448=1,G448=1,L448=1,L451=1,M448=1)),T448,0),I448)</f>
        <v>0</v>
      </c>
      <c r="W448" s="26"/>
      <c r="X448" s="26"/>
      <c r="Y448" s="26"/>
      <c r="Z448" s="26"/>
      <c r="AA448" s="26"/>
      <c r="AB448" s="33"/>
    </row>
    <row r="449" spans="1:28" x14ac:dyDescent="0.3">
      <c r="A449" s="32">
        <f>VLOOKUP(YEAR(C449),Flags!$A$13:$B$95,2,FALSE)</f>
        <v>1</v>
      </c>
      <c r="B449" s="24">
        <f t="shared" si="637"/>
        <v>1970</v>
      </c>
      <c r="C449" s="25">
        <v>25780</v>
      </c>
      <c r="D449" s="26">
        <f>VLOOKUP($C449,COS!$B$8:$H$991,3,FALSE)</f>
        <v>15933.296875</v>
      </c>
      <c r="E449" s="24">
        <f>IF(D449&gt;=IF(MONTH($C449)=4,$C$3,IF(MONTH($C449)=5,$C$4,IF(MONTH($C449)=6,$C$5,IF(MONTH($C449)=7,$C$6,"ERROR")))),1,0)</f>
        <v>1</v>
      </c>
      <c r="F449" s="26">
        <f>VLOOKUP($C449,COS!$B$8:$H$991,7,FALSE)</f>
        <v>50.264232635498047</v>
      </c>
      <c r="G449" s="24">
        <f>IF(F449&lt;=IF(MONTH($C449)=4,$F$3,IF(MONTH($C449)=5,$F$4,IF(MONTH($C449)=6,$F$5,IF(MONTH($C449)=7,$F$6,"ERROR")))),1,0)</f>
        <v>1</v>
      </c>
      <c r="H449" s="26">
        <f>IF(J449=1,D449-$C$6,0)</f>
        <v>3933.296875</v>
      </c>
      <c r="I449" s="26">
        <f t="shared" si="661"/>
        <v>241.84899793388431</v>
      </c>
      <c r="J449" s="24">
        <f t="shared" si="711"/>
        <v>1</v>
      </c>
      <c r="K449" s="26">
        <f>VLOOKUP($C449,COS!$B$8:$H$991,2,FALSE)</f>
        <v>3122.0966796875</v>
      </c>
      <c r="L449" s="24">
        <f t="shared" si="639"/>
        <v>1</v>
      </c>
      <c r="M449" s="24">
        <f t="shared" si="640"/>
        <v>0</v>
      </c>
      <c r="N449" s="26">
        <f>VLOOKUP($C449,COS!$B$8:$H$991,5,FALSE)</f>
        <v>784.4171142578125</v>
      </c>
      <c r="O449" s="26">
        <f t="shared" si="714"/>
        <v>48.231928347753097</v>
      </c>
      <c r="P449" s="26">
        <f>VLOOKUP($C449,COS!$B$8:$H$991,6,FALSE)</f>
        <v>2616.67822265625</v>
      </c>
      <c r="Q449" s="26">
        <f t="shared" si="715"/>
        <v>160.89327253357436</v>
      </c>
      <c r="R449" s="26">
        <f>MIN(IF(MONTH($C449)=4,$S$3,IF(MONTH($C449)=5,$S$4,IF(MONTH($C449)=6,$S$5,IF(MONTH($C449)=7,$S$6,"ERROR")))),MAX(VLOOKUP($C449,COS!$B$8:$K$991,10,FALSE)-IF(MONTH($C449)=4,$Y$3,IF(MONTH($C449)=5,$Y$4,IF(MONTH($C449)=6,$Y$5,IF(MONTH($C449)=7,$Y$6,"ERROR")))),0),MAX(VLOOKUP($C449,COS!$B$8:$K$991,9,FALSE)-IF(MONTH($C449)=4,$V$3,IF(MONTH($C449)=5,$V$4,IF(MONTH($C449)=6,$V$5,IF(MONTH($C449)=7,$V$6,"ERROR"))))-VLOOKUP($C449,COS!$B$8:$K$991,6,FALSE)/2,0))</f>
        <v>1500</v>
      </c>
      <c r="S449" s="26">
        <f t="shared" si="716"/>
        <v>92.231404958677686</v>
      </c>
      <c r="T449" s="26">
        <f t="shared" si="717"/>
        <v>196.79400539934142</v>
      </c>
      <c r="U449" s="26" t="str">
        <f>IF(VLOOKUP($C449,COS!$B$8:$I$991,8,FALSE)=1,"UWFE","IBU")</f>
        <v>IBU</v>
      </c>
      <c r="V449" s="26">
        <f t="shared" ref="V449" si="721">MIN(IF(IF($AA$3=2,AND(E449=1,G449=1,L449=1,L451=1,M449=1,U449="IBU"),AND(E449=1,G449=1,L449=1,L451=1,M449=1)),T449,0),I449)</f>
        <v>0</v>
      </c>
      <c r="W449" s="26"/>
      <c r="X449" s="26"/>
      <c r="Y449" s="26"/>
      <c r="Z449" s="26"/>
      <c r="AA449" s="26"/>
      <c r="AB449" s="33"/>
    </row>
    <row r="450" spans="1:28" x14ac:dyDescent="0.3">
      <c r="A450" s="32">
        <f>VLOOKUP(YEAR(C450),Flags!$A$13:$B$95,2,FALSE)</f>
        <v>1</v>
      </c>
      <c r="B450" s="24">
        <f t="shared" si="637"/>
        <v>1970</v>
      </c>
      <c r="C450" s="25">
        <v>25811</v>
      </c>
      <c r="D450" s="26"/>
      <c r="E450" s="24"/>
      <c r="F450" s="26"/>
      <c r="G450" s="24"/>
      <c r="H450" s="24"/>
      <c r="I450" s="26"/>
      <c r="J450" s="24"/>
      <c r="K450" s="26"/>
      <c r="L450" s="24"/>
      <c r="M450" s="24"/>
      <c r="N450" s="26"/>
      <c r="O450" s="26"/>
      <c r="P450" s="26"/>
      <c r="Q450" s="26"/>
      <c r="R450" s="26"/>
      <c r="S450" s="26"/>
      <c r="T450" s="26"/>
      <c r="U450" s="26"/>
      <c r="V450" s="26"/>
      <c r="W450" s="26">
        <f>MAX($C$7-VLOOKUP($C450,COS!$B$8:$H$991,3,FALSE),0)</f>
        <v>89359.1201171875</v>
      </c>
      <c r="X450" s="26">
        <f t="shared" si="667"/>
        <v>5494.4781295196281</v>
      </c>
      <c r="Y450" s="26">
        <f>VLOOKUP($C450,COS!$B$8:$H$991,4,FALSE)</f>
        <v>0</v>
      </c>
      <c r="Z450" s="26">
        <f t="shared" si="668"/>
        <v>0</v>
      </c>
      <c r="AA450" s="26">
        <f t="shared" ref="AA450:AA454" si="722">MIN(W450,Y450)</f>
        <v>0</v>
      </c>
      <c r="AB450" s="33">
        <f t="shared" ref="AB450" si="723">AA450*DAY($C450)*86400/43560/1000*IF(MONTH($C450)=8,$P$3,IF(MONTH($C450)=9,$P$4,IF(MONTH($C450)=10,$P$5,IF(MONTH($C450)=11,$P$6,IF(MONTH($C450)=12,$P$7,NA())))))</f>
        <v>0</v>
      </c>
    </row>
    <row r="451" spans="1:28" x14ac:dyDescent="0.3">
      <c r="A451" s="32">
        <f>VLOOKUP(YEAR(C451),Flags!$A$13:$B$95,2,FALSE)</f>
        <v>1</v>
      </c>
      <c r="B451" s="24">
        <f t="shared" si="637"/>
        <v>1970</v>
      </c>
      <c r="C451" s="25">
        <v>25841</v>
      </c>
      <c r="D451" s="26"/>
      <c r="E451" s="24"/>
      <c r="F451" s="26"/>
      <c r="G451" s="24"/>
      <c r="H451" s="24"/>
      <c r="I451" s="26"/>
      <c r="J451" s="24"/>
      <c r="K451" s="26">
        <f>VLOOKUP($C451,COS!$B$8:$H$991,2,FALSE)</f>
        <v>2249.6484375</v>
      </c>
      <c r="L451" s="24">
        <f t="shared" ref="L451" si="724">IF(AND(K451&gt;$I$7,K451&lt;$I$8),1,0)</f>
        <v>1</v>
      </c>
      <c r="M451" s="24"/>
      <c r="N451" s="26"/>
      <c r="O451" s="26"/>
      <c r="P451" s="26"/>
      <c r="Q451" s="26"/>
      <c r="R451" s="26"/>
      <c r="S451" s="26"/>
      <c r="T451" s="26"/>
      <c r="U451" s="26"/>
      <c r="V451" s="26"/>
      <c r="W451" s="26">
        <f>MAX($C$8-VLOOKUP($C451,COS!$B$8:$H$991,3,FALSE),0)</f>
        <v>84248.9375</v>
      </c>
      <c r="X451" s="26">
        <f t="shared" si="667"/>
        <v>5013.1599173553714</v>
      </c>
      <c r="Y451" s="26">
        <f>VLOOKUP($C451,COS!$B$8:$H$991,4,FALSE)</f>
        <v>762.34381103515625</v>
      </c>
      <c r="Z451" s="26">
        <f t="shared" si="668"/>
        <v>45.362606937629131</v>
      </c>
      <c r="AA451" s="26">
        <f t="shared" si="722"/>
        <v>762.34381103515625</v>
      </c>
      <c r="AB451" s="33">
        <f t="shared" si="650"/>
        <v>45.362606937629131</v>
      </c>
    </row>
    <row r="452" spans="1:28" x14ac:dyDescent="0.3">
      <c r="A452" s="32">
        <f>VLOOKUP(YEAR(C452),Flags!$A$13:$B$95,2,FALSE)</f>
        <v>1</v>
      </c>
      <c r="B452" s="24">
        <f t="shared" si="637"/>
        <v>1970</v>
      </c>
      <c r="C452" s="25">
        <v>25872</v>
      </c>
      <c r="D452" s="26"/>
      <c r="E452" s="24"/>
      <c r="F452" s="26"/>
      <c r="G452" s="26"/>
      <c r="H452" s="26"/>
      <c r="I452" s="26"/>
      <c r="J452" s="26"/>
      <c r="K452" s="26"/>
      <c r="L452" s="24"/>
      <c r="M452" s="24"/>
      <c r="N452" s="26"/>
      <c r="O452" s="26"/>
      <c r="P452" s="26"/>
      <c r="Q452" s="26"/>
      <c r="R452" s="26"/>
      <c r="S452" s="26"/>
      <c r="T452" s="26"/>
      <c r="U452" s="26"/>
      <c r="V452" s="26"/>
      <c r="W452" s="26">
        <f>MAX($C$9-VLOOKUP($C452,COS!$B$8:$H$991,3,FALSE),0)</f>
        <v>90155.1904296875</v>
      </c>
      <c r="X452" s="26">
        <f t="shared" si="667"/>
        <v>5543.426585098141</v>
      </c>
      <c r="Y452" s="26">
        <f>VLOOKUP($C452,COS!$B$8:$H$991,4,FALSE)</f>
        <v>958.85076904296875</v>
      </c>
      <c r="Z452" s="26">
        <f t="shared" si="668"/>
        <v>58.957435716361054</v>
      </c>
      <c r="AA452" s="26">
        <f t="shared" si="722"/>
        <v>958.85076904296875</v>
      </c>
      <c r="AB452" s="33">
        <f t="shared" si="650"/>
        <v>58.957435716361054</v>
      </c>
    </row>
    <row r="453" spans="1:28" x14ac:dyDescent="0.3">
      <c r="A453" s="32">
        <f>VLOOKUP(YEAR(C453),Flags!$A$13:$B$95,2,FALSE)</f>
        <v>1</v>
      </c>
      <c r="B453" s="24">
        <f t="shared" si="637"/>
        <v>1970</v>
      </c>
      <c r="C453" s="25">
        <v>25902</v>
      </c>
      <c r="D453" s="26"/>
      <c r="E453" s="24"/>
      <c r="F453" s="26"/>
      <c r="G453" s="26"/>
      <c r="H453" s="26"/>
      <c r="I453" s="26"/>
      <c r="J453" s="26"/>
      <c r="K453" s="26"/>
      <c r="L453" s="24"/>
      <c r="M453" s="24"/>
      <c r="N453" s="26"/>
      <c r="O453" s="26"/>
      <c r="P453" s="26"/>
      <c r="Q453" s="26"/>
      <c r="R453" s="26"/>
      <c r="S453" s="26"/>
      <c r="T453" s="26"/>
      <c r="U453" s="26"/>
      <c r="V453" s="26"/>
      <c r="W453" s="26">
        <f>MAX($C$10-VLOOKUP($C453,COS!$B$8:$H$991,3,FALSE),0)</f>
        <v>94202.6669921875</v>
      </c>
      <c r="X453" s="26">
        <f t="shared" si="667"/>
        <v>5605.4479532541327</v>
      </c>
      <c r="Y453" s="26">
        <f>VLOOKUP($C453,COS!$B$8:$H$991,4,FALSE)</f>
        <v>1112.5506591796875</v>
      </c>
      <c r="Z453" s="26">
        <f t="shared" si="668"/>
        <v>66.201361537964871</v>
      </c>
      <c r="AA453" s="26">
        <f t="shared" si="722"/>
        <v>1112.5506591796875</v>
      </c>
      <c r="AB453" s="33">
        <f t="shared" si="650"/>
        <v>33.100680768982436</v>
      </c>
    </row>
    <row r="454" spans="1:28" x14ac:dyDescent="0.3">
      <c r="A454" s="34">
        <f>VLOOKUP(YEAR(C454),Flags!$A$13:$B$95,2,FALSE)</f>
        <v>1</v>
      </c>
      <c r="B454" s="35">
        <f t="shared" si="637"/>
        <v>1970</v>
      </c>
      <c r="C454" s="36">
        <v>25933</v>
      </c>
      <c r="D454" s="37"/>
      <c r="E454" s="35"/>
      <c r="F454" s="37"/>
      <c r="G454" s="37"/>
      <c r="H454" s="37"/>
      <c r="I454" s="37"/>
      <c r="J454" s="37"/>
      <c r="K454" s="37"/>
      <c r="L454" s="35"/>
      <c r="M454" s="35"/>
      <c r="N454" s="37"/>
      <c r="O454" s="37"/>
      <c r="P454" s="37"/>
      <c r="Q454" s="37"/>
      <c r="R454" s="37"/>
      <c r="S454" s="37"/>
      <c r="T454" s="37"/>
      <c r="U454" s="37"/>
      <c r="V454" s="37"/>
      <c r="W454" s="37">
        <f>MAX($C$11-VLOOKUP($C454,COS!$B$8:$H$991,3,FALSE),0)</f>
        <v>0</v>
      </c>
      <c r="X454" s="37">
        <f t="shared" si="667"/>
        <v>0</v>
      </c>
      <c r="Y454" s="37">
        <f>VLOOKUP($C454,COS!$B$8:$H$991,4,FALSE)</f>
        <v>0</v>
      </c>
      <c r="Z454" s="37">
        <f t="shared" si="668"/>
        <v>0</v>
      </c>
      <c r="AA454" s="37">
        <f t="shared" si="722"/>
        <v>0</v>
      </c>
      <c r="AB454" s="38">
        <f t="shared" si="650"/>
        <v>0</v>
      </c>
    </row>
    <row r="455" spans="1:28" x14ac:dyDescent="0.3">
      <c r="A455" s="27">
        <f>VLOOKUP(YEAR(C455),Flags!$A$13:$B$95,2,FALSE)</f>
        <v>1</v>
      </c>
      <c r="B455" s="28">
        <f t="shared" si="637"/>
        <v>1971</v>
      </c>
      <c r="C455" s="29">
        <v>26053</v>
      </c>
      <c r="D455" s="30">
        <f>VLOOKUP($C455,COS!$B$8:$H$991,3,FALSE)</f>
        <v>3250</v>
      </c>
      <c r="E455" s="28">
        <f>IF(D455&gt;=IF(MONTH($C455)=4,$C$3,IF(MONTH($C455)=5,$C$4,IF(MONTH($C455)=6,$C$5,IF(MONTH($C455)=7,$C$6,"ERROR")))),1,0)</f>
        <v>0</v>
      </c>
      <c r="F455" s="30">
        <f>VLOOKUP($C455,COS!$B$8:$H$991,7,FALSE)</f>
        <v>50.101123809814453</v>
      </c>
      <c r="G455" s="28">
        <f>IF(F455&lt;=IF(MONTH($C455)=4,$F$3,IF(MONTH($C455)=5,$F$4,IF(MONTH($C455)=6,$F$5,IF(MONTH($C455)=7,$F$6,"ERROR")))),1,0)</f>
        <v>1</v>
      </c>
      <c r="H455" s="30">
        <f>IF(J455=1,D455-$C$3,0)</f>
        <v>0</v>
      </c>
      <c r="I455" s="30">
        <f t="shared" si="661"/>
        <v>0</v>
      </c>
      <c r="J455" s="28">
        <f t="shared" ref="J455:J458" si="725">IF(AND(E455=1,G455=1),1,0)</f>
        <v>0</v>
      </c>
      <c r="K455" s="30">
        <f>VLOOKUP($C455,COS!$B$8:$H$991,2,FALSE)</f>
        <v>4470.4140625</v>
      </c>
      <c r="L455" s="28">
        <f t="shared" ref="L455" si="726">IF(K455&lt;=IF(MONTH($C455)=4,$I$3,IF(MONTH($C455)=5,$I$4,IF(MONTH($C455)=6,$I$5,IF(MONTH($C455)=7,$I$6,"ERROR")))),1,0)</f>
        <v>1</v>
      </c>
      <c r="M455" s="28">
        <f t="shared" ref="M455" si="727">VLOOKUP($A455,$L$3:$M$7,2,FALSE)</f>
        <v>0</v>
      </c>
      <c r="N455" s="30">
        <f>VLOOKUP($C455,COS!$B$8:$H$991,5,FALSE)</f>
        <v>663.01629638671875</v>
      </c>
      <c r="O455" s="30">
        <f t="shared" ref="O455:O458" si="728">N455*DAY($C455)*86400/43560/1000</f>
        <v>39.452209371771694</v>
      </c>
      <c r="P455" s="30">
        <f>VLOOKUP($C455,COS!$B$8:$H$991,6,FALSE)</f>
        <v>563.3929443359375</v>
      </c>
      <c r="Q455" s="30">
        <f t="shared" ref="Q455:Q458" si="729">P455*DAY($C455)*86400/43560/1000</f>
        <v>33.524208258006198</v>
      </c>
      <c r="R455" s="30">
        <f>MIN(IF(MONTH($C455)=4,$S$3,IF(MONTH($C455)=5,$S$4,IF(MONTH($C455)=6,$S$5,IF(MONTH($C455)=7,$S$6,"ERROR")))),MAX(VLOOKUP($C455,COS!$B$8:$K$991,10,FALSE)-IF(MONTH($C455)=4,$Y$3,IF(MONTH($C455)=5,$Y$4,IF(MONTH($C455)=6,$Y$5,IF(MONTH($C455)=7,$Y$6,"ERROR")))),0),MAX(VLOOKUP($C455,COS!$B$8:$K$991,9,FALSE)-IF(MONTH($C455)=4,$V$3,IF(MONTH($C455)=5,$V$4,IF(MONTH($C455)=6,$V$5,IF(MONTH($C455)=7,$V$6,"ERROR"))))-VLOOKUP($C455,COS!$B$8:$K$991,6,FALSE)/2,0))</f>
        <v>1500</v>
      </c>
      <c r="S455" s="30">
        <f t="shared" ref="S455:S458" si="730">R455*DAY($C455)*86400/43560/1000</f>
        <v>89.256198347107429</v>
      </c>
      <c r="T455" s="30">
        <f t="shared" ref="T455:T458" si="731">(O455+Q455)/2+S455</f>
        <v>125.74440716199638</v>
      </c>
      <c r="U455" s="30" t="str">
        <f>IF(VLOOKUP($C455,COS!$B$8:$I$991,8,FALSE)=1,"UWFE","IBU")</f>
        <v>UWFE</v>
      </c>
      <c r="V455" s="30">
        <f t="shared" ref="V455" si="732">MIN(IF(IF($AA$3=2,AND(E455=1,G455=1,L455=1,L460=1,M455=1,U455="IBU"),AND(E455=1,G455=1,L455=1,L460=1,M455=1)),T455,0),I455)</f>
        <v>0</v>
      </c>
      <c r="W455" s="30"/>
      <c r="X455" s="30"/>
      <c r="Y455" s="30"/>
      <c r="Z455" s="30"/>
      <c r="AA455" s="30"/>
      <c r="AB455" s="31"/>
    </row>
    <row r="456" spans="1:28" x14ac:dyDescent="0.3">
      <c r="A456" s="32">
        <f>VLOOKUP(YEAR(C456),Flags!$A$13:$B$95,2,FALSE)</f>
        <v>1</v>
      </c>
      <c r="B456" s="24">
        <f t="shared" si="637"/>
        <v>1971</v>
      </c>
      <c r="C456" s="25">
        <v>26084</v>
      </c>
      <c r="D456" s="26">
        <f>VLOOKUP($C456,COS!$B$8:$H$991,3,FALSE)</f>
        <v>8956.8486328125</v>
      </c>
      <c r="E456" s="24">
        <f>IF(D456&gt;=IF(MONTH($C456)=4,$C$3,IF(MONTH($C456)=5,$C$4,IF(MONTH($C456)=6,$C$5,IF(MONTH($C456)=7,$C$6,"ERROR")))),1,0)</f>
        <v>1</v>
      </c>
      <c r="F456" s="26">
        <f>VLOOKUP($C456,COS!$B$8:$H$991,7,FALSE)</f>
        <v>49.074142456054688</v>
      </c>
      <c r="G456" s="24">
        <f>IF(F456&lt;=IF(MONTH($C456)=4,$F$3,IF(MONTH($C456)=5,$F$4,IF(MONTH($C456)=6,$F$5,IF(MONTH($C456)=7,$F$6,"ERROR")))),1,0)</f>
        <v>1</v>
      </c>
      <c r="H456" s="26">
        <f>IF(J456=1,D456-$C$4,0)</f>
        <v>2956.8486328125</v>
      </c>
      <c r="I456" s="26">
        <f t="shared" si="661"/>
        <v>181.8095357696281</v>
      </c>
      <c r="J456" s="24">
        <f t="shared" si="725"/>
        <v>1</v>
      </c>
      <c r="K456" s="26">
        <f>VLOOKUP($C456,COS!$B$8:$H$991,2,FALSE)</f>
        <v>4552</v>
      </c>
      <c r="L456" s="24">
        <f t="shared" si="639"/>
        <v>1</v>
      </c>
      <c r="M456" s="24">
        <f t="shared" si="640"/>
        <v>0</v>
      </c>
      <c r="N456" s="26">
        <f>VLOOKUP($C456,COS!$B$8:$H$991,5,FALSE)</f>
        <v>722.55084228515625</v>
      </c>
      <c r="O456" s="26">
        <f t="shared" si="728"/>
        <v>44.427919558690597</v>
      </c>
      <c r="P456" s="26">
        <f>VLOOKUP($C456,COS!$B$8:$H$991,6,FALSE)</f>
        <v>1990.4598388671875</v>
      </c>
      <c r="Q456" s="26">
        <f t="shared" si="729"/>
        <v>122.3886049683626</v>
      </c>
      <c r="R456" s="26">
        <f>MIN(IF(MONTH($C456)=4,$S$3,IF(MONTH($C456)=5,$S$4,IF(MONTH($C456)=6,$S$5,IF(MONTH($C456)=7,$S$6,"ERROR")))),MAX(VLOOKUP($C456,COS!$B$8:$K$991,10,FALSE)-IF(MONTH($C456)=4,$Y$3,IF(MONTH($C456)=5,$Y$4,IF(MONTH($C456)=6,$Y$5,IF(MONTH($C456)=7,$Y$6,"ERROR")))),0),MAX(VLOOKUP($C456,COS!$B$8:$K$991,9,FALSE)-IF(MONTH($C456)=4,$V$3,IF(MONTH($C456)=5,$V$4,IF(MONTH($C456)=6,$V$5,IF(MONTH($C456)=7,$V$6,"ERROR"))))-VLOOKUP($C456,COS!$B$8:$K$991,6,FALSE)/2,0))</f>
        <v>1500</v>
      </c>
      <c r="S456" s="26">
        <f t="shared" si="730"/>
        <v>92.231404958677686</v>
      </c>
      <c r="T456" s="26">
        <f t="shared" si="731"/>
        <v>175.63966722220428</v>
      </c>
      <c r="U456" s="26" t="str">
        <f>IF(VLOOKUP($C456,COS!$B$8:$I$991,8,FALSE)=1,"UWFE","IBU")</f>
        <v>UWFE</v>
      </c>
      <c r="V456" s="26">
        <f t="shared" ref="V456" si="733">MIN(IF(IF($AA$3=2,AND(E456=1,G456=1,L456=1,L460=1,M456=1,U456="IBU"),AND(E456=1,G456=1,L456=1,L460=1,M456=1)),T456,0),I456)</f>
        <v>0</v>
      </c>
      <c r="W456" s="26"/>
      <c r="X456" s="26"/>
      <c r="Y456" s="26"/>
      <c r="Z456" s="26"/>
      <c r="AA456" s="26"/>
      <c r="AB456" s="33"/>
    </row>
    <row r="457" spans="1:28" x14ac:dyDescent="0.3">
      <c r="A457" s="32">
        <f>VLOOKUP(YEAR(C457),Flags!$A$13:$B$95,2,FALSE)</f>
        <v>1</v>
      </c>
      <c r="B457" s="24">
        <f t="shared" si="637"/>
        <v>1971</v>
      </c>
      <c r="C457" s="25">
        <v>26114</v>
      </c>
      <c r="D457" s="26">
        <f>VLOOKUP($C457,COS!$B$8:$H$991,3,FALSE)</f>
        <v>7962.24658203125</v>
      </c>
      <c r="E457" s="24">
        <f>IF(D457&gt;=IF(MONTH($C457)=4,$C$3,IF(MONTH($C457)=5,$C$4,IF(MONTH($C457)=6,$C$5,IF(MONTH($C457)=7,$C$6,"ERROR")))),1,0)</f>
        <v>0</v>
      </c>
      <c r="F457" s="26">
        <f>VLOOKUP($C457,COS!$B$8:$H$991,7,FALSE)</f>
        <v>51.377964019775391</v>
      </c>
      <c r="G457" s="24">
        <f>IF(F457&lt;=IF(MONTH($C457)=4,$F$3,IF(MONTH($C457)=5,$F$4,IF(MONTH($C457)=6,$F$5,IF(MONTH($C457)=7,$F$6,"ERROR")))),1,0)</f>
        <v>1</v>
      </c>
      <c r="H457" s="26">
        <f>IF(J457=1,D457-$C$5,0)</f>
        <v>0</v>
      </c>
      <c r="I457" s="26">
        <f t="shared" si="661"/>
        <v>0</v>
      </c>
      <c r="J457" s="24">
        <f t="shared" si="725"/>
        <v>0</v>
      </c>
      <c r="K457" s="26">
        <f>VLOOKUP($C457,COS!$B$8:$H$991,2,FALSE)</f>
        <v>4500</v>
      </c>
      <c r="L457" s="24">
        <f t="shared" si="639"/>
        <v>1</v>
      </c>
      <c r="M457" s="24">
        <f t="shared" si="640"/>
        <v>0</v>
      </c>
      <c r="N457" s="26">
        <f>VLOOKUP($C457,COS!$B$8:$H$991,5,FALSE)</f>
        <v>865.0386962890625</v>
      </c>
      <c r="O457" s="26">
        <f t="shared" si="728"/>
        <v>51.473376969266532</v>
      </c>
      <c r="P457" s="26">
        <f>VLOOKUP($C457,COS!$B$8:$H$991,6,FALSE)</f>
        <v>2342.25732421875</v>
      </c>
      <c r="Q457" s="26">
        <f t="shared" si="729"/>
        <v>139.37398954028924</v>
      </c>
      <c r="R457" s="26">
        <f>MIN(IF(MONTH($C457)=4,$S$3,IF(MONTH($C457)=5,$S$4,IF(MONTH($C457)=6,$S$5,IF(MONTH($C457)=7,$S$6,"ERROR")))),MAX(VLOOKUP($C457,COS!$B$8:$K$991,10,FALSE)-IF(MONTH($C457)=4,$Y$3,IF(MONTH($C457)=5,$Y$4,IF(MONTH($C457)=6,$Y$5,IF(MONTH($C457)=7,$Y$6,"ERROR")))),0),MAX(VLOOKUP($C457,COS!$B$8:$K$991,9,FALSE)-IF(MONTH($C457)=4,$V$3,IF(MONTH($C457)=5,$V$4,IF(MONTH($C457)=6,$V$5,IF(MONTH($C457)=7,$V$6,"ERROR"))))-VLOOKUP($C457,COS!$B$8:$K$991,6,FALSE)/2,0))</f>
        <v>1500</v>
      </c>
      <c r="S457" s="26">
        <f t="shared" si="730"/>
        <v>89.256198347107429</v>
      </c>
      <c r="T457" s="26">
        <f t="shared" si="731"/>
        <v>184.67988160188531</v>
      </c>
      <c r="U457" s="26" t="str">
        <f>IF(VLOOKUP($C457,COS!$B$8:$I$991,8,FALSE)=1,"UWFE","IBU")</f>
        <v>UWFE</v>
      </c>
      <c r="V457" s="26">
        <f t="shared" ref="V457" si="734">MIN(IF(IF($AA$3=2,AND(E457=1,G457=1,L457=1,L460=1,M457=1,U457="IBU"),AND(E457=1,G457=1,L457=1,L460=1,M457=1)),T457,0),I457)</f>
        <v>0</v>
      </c>
      <c r="W457" s="26"/>
      <c r="X457" s="26"/>
      <c r="Y457" s="26"/>
      <c r="Z457" s="26"/>
      <c r="AA457" s="26"/>
      <c r="AB457" s="33"/>
    </row>
    <row r="458" spans="1:28" x14ac:dyDescent="0.3">
      <c r="A458" s="32">
        <f>VLOOKUP(YEAR(C458),Flags!$A$13:$B$95,2,FALSE)</f>
        <v>1</v>
      </c>
      <c r="B458" s="24">
        <f t="shared" si="637"/>
        <v>1971</v>
      </c>
      <c r="C458" s="25">
        <v>26145</v>
      </c>
      <c r="D458" s="26">
        <f>VLOOKUP($C458,COS!$B$8:$H$991,3,FALSE)</f>
        <v>15771.30859375</v>
      </c>
      <c r="E458" s="24">
        <f>IF(D458&gt;=IF(MONTH($C458)=4,$C$3,IF(MONTH($C458)=5,$C$4,IF(MONTH($C458)=6,$C$5,IF(MONTH($C458)=7,$C$6,"ERROR")))),1,0)</f>
        <v>1</v>
      </c>
      <c r="F458" s="26">
        <f>VLOOKUP($C458,COS!$B$8:$H$991,7,FALSE)</f>
        <v>51.168178558349609</v>
      </c>
      <c r="G458" s="24">
        <f>IF(F458&lt;=IF(MONTH($C458)=4,$F$3,IF(MONTH($C458)=5,$F$4,IF(MONTH($C458)=6,$F$5,IF(MONTH($C458)=7,$F$6,"ERROR")))),1,0)</f>
        <v>1</v>
      </c>
      <c r="H458" s="26">
        <f>IF(J458=1,D458-$C$6,0)</f>
        <v>3771.30859375</v>
      </c>
      <c r="I458" s="26">
        <f t="shared" si="661"/>
        <v>231.88872675619837</v>
      </c>
      <c r="J458" s="24">
        <f t="shared" si="725"/>
        <v>1</v>
      </c>
      <c r="K458" s="26">
        <f>VLOOKUP($C458,COS!$B$8:$H$991,2,FALSE)</f>
        <v>3763.6337890625</v>
      </c>
      <c r="L458" s="24">
        <f t="shared" si="639"/>
        <v>1</v>
      </c>
      <c r="M458" s="24">
        <f t="shared" si="640"/>
        <v>0</v>
      </c>
      <c r="N458" s="26">
        <f>VLOOKUP($C458,COS!$B$8:$H$991,5,FALSE)</f>
        <v>964.21917724609375</v>
      </c>
      <c r="O458" s="26">
        <f t="shared" si="728"/>
        <v>59.287526270338326</v>
      </c>
      <c r="P458" s="26">
        <f>VLOOKUP($C458,COS!$B$8:$H$991,6,FALSE)</f>
        <v>2521.474853515625</v>
      </c>
      <c r="Q458" s="26">
        <f t="shared" si="729"/>
        <v>155.0394455384814</v>
      </c>
      <c r="R458" s="26">
        <f>MIN(IF(MONTH($C458)=4,$S$3,IF(MONTH($C458)=5,$S$4,IF(MONTH($C458)=6,$S$5,IF(MONTH($C458)=7,$S$6,"ERROR")))),MAX(VLOOKUP($C458,COS!$B$8:$K$991,10,FALSE)-IF(MONTH($C458)=4,$Y$3,IF(MONTH($C458)=5,$Y$4,IF(MONTH($C458)=6,$Y$5,IF(MONTH($C458)=7,$Y$6,"ERROR")))),0),MAX(VLOOKUP($C458,COS!$B$8:$K$991,9,FALSE)-IF(MONTH($C458)=4,$V$3,IF(MONTH($C458)=5,$V$4,IF(MONTH($C458)=6,$V$5,IF(MONTH($C458)=7,$V$6,"ERROR"))))-VLOOKUP($C458,COS!$B$8:$K$991,6,FALSE)/2,0))</f>
        <v>1500</v>
      </c>
      <c r="S458" s="26">
        <f t="shared" si="730"/>
        <v>92.231404958677686</v>
      </c>
      <c r="T458" s="26">
        <f t="shared" si="731"/>
        <v>199.39489086308754</v>
      </c>
      <c r="U458" s="26" t="str">
        <f>IF(VLOOKUP($C458,COS!$B$8:$I$991,8,FALSE)=1,"UWFE","IBU")</f>
        <v>IBU</v>
      </c>
      <c r="V458" s="26">
        <f t="shared" ref="V458" si="735">MIN(IF(IF($AA$3=2,AND(E458=1,G458=1,L458=1,L460=1,M458=1,U458="IBU"),AND(E458=1,G458=1,L458=1,L460=1,M458=1)),T458,0),I458)</f>
        <v>0</v>
      </c>
      <c r="W458" s="26"/>
      <c r="X458" s="26"/>
      <c r="Y458" s="26"/>
      <c r="Z458" s="26"/>
      <c r="AA458" s="26"/>
      <c r="AB458" s="33"/>
    </row>
    <row r="459" spans="1:28" x14ac:dyDescent="0.3">
      <c r="A459" s="32">
        <f>VLOOKUP(YEAR(C459),Flags!$A$13:$B$95,2,FALSE)</f>
        <v>1</v>
      </c>
      <c r="B459" s="24">
        <f t="shared" si="637"/>
        <v>1971</v>
      </c>
      <c r="C459" s="25">
        <v>26176</v>
      </c>
      <c r="D459" s="26"/>
      <c r="E459" s="24"/>
      <c r="F459" s="26"/>
      <c r="G459" s="24"/>
      <c r="H459" s="24"/>
      <c r="I459" s="26"/>
      <c r="J459" s="24"/>
      <c r="K459" s="26"/>
      <c r="L459" s="24"/>
      <c r="M459" s="24"/>
      <c r="N459" s="26"/>
      <c r="O459" s="26"/>
      <c r="P459" s="26"/>
      <c r="Q459" s="26"/>
      <c r="R459" s="26"/>
      <c r="S459" s="26"/>
      <c r="T459" s="26"/>
      <c r="U459" s="26"/>
      <c r="V459" s="26"/>
      <c r="W459" s="26">
        <f>MAX($C$7-VLOOKUP($C459,COS!$B$8:$H$991,3,FALSE),0)</f>
        <v>90534.529296875</v>
      </c>
      <c r="X459" s="26">
        <f t="shared" si="667"/>
        <v>5566.7512228822316</v>
      </c>
      <c r="Y459" s="26">
        <f>VLOOKUP($C459,COS!$B$8:$H$991,4,FALSE)</f>
        <v>367.70223999023438</v>
      </c>
      <c r="Z459" s="26">
        <f t="shared" si="668"/>
        <v>22.609129467168131</v>
      </c>
      <c r="AA459" s="26">
        <f t="shared" ref="AA459:AA463" si="736">MIN(W459,Y459)</f>
        <v>367.70223999023438</v>
      </c>
      <c r="AB459" s="33">
        <f t="shared" ref="AB459" si="737">AA459*DAY($C459)*86400/43560/1000*IF(MONTH($C459)=8,$P$3,IF(MONTH($C459)=9,$P$4,IF(MONTH($C459)=10,$P$5,IF(MONTH($C459)=11,$P$6,IF(MONTH($C459)=12,$P$7,NA())))))</f>
        <v>22.609129467168131</v>
      </c>
    </row>
    <row r="460" spans="1:28" x14ac:dyDescent="0.3">
      <c r="A460" s="32">
        <f>VLOOKUP(YEAR(C460),Flags!$A$13:$B$95,2,FALSE)</f>
        <v>1</v>
      </c>
      <c r="B460" s="24">
        <f t="shared" si="637"/>
        <v>1971</v>
      </c>
      <c r="C460" s="25">
        <v>26206</v>
      </c>
      <c r="D460" s="26"/>
      <c r="E460" s="24"/>
      <c r="F460" s="26"/>
      <c r="G460" s="24"/>
      <c r="H460" s="24"/>
      <c r="I460" s="26"/>
      <c r="J460" s="24"/>
      <c r="K460" s="26">
        <f>VLOOKUP($C460,COS!$B$8:$H$991,2,FALSE)</f>
        <v>2942.9580078125</v>
      </c>
      <c r="L460" s="24">
        <f t="shared" ref="L460" si="738">IF(AND(K460&gt;$I$7,K460&lt;$I$8),1,0)</f>
        <v>1</v>
      </c>
      <c r="M460" s="24"/>
      <c r="N460" s="26"/>
      <c r="O460" s="26"/>
      <c r="P460" s="26"/>
      <c r="Q460" s="26"/>
      <c r="R460" s="26"/>
      <c r="S460" s="26"/>
      <c r="T460" s="26"/>
      <c r="U460" s="26"/>
      <c r="V460" s="26"/>
      <c r="W460" s="26">
        <f>MAX($C$8-VLOOKUP($C460,COS!$B$8:$H$991,3,FALSE),0)</f>
        <v>86539.259765625</v>
      </c>
      <c r="X460" s="26">
        <f t="shared" si="667"/>
        <v>5149.4435563016523</v>
      </c>
      <c r="Y460" s="26">
        <f>VLOOKUP($C460,COS!$B$8:$H$991,4,FALSE)</f>
        <v>0</v>
      </c>
      <c r="Z460" s="26">
        <f t="shared" si="668"/>
        <v>0</v>
      </c>
      <c r="AA460" s="26">
        <f t="shared" si="736"/>
        <v>0</v>
      </c>
      <c r="AB460" s="33">
        <f t="shared" si="650"/>
        <v>0</v>
      </c>
    </row>
    <row r="461" spans="1:28" x14ac:dyDescent="0.3">
      <c r="A461" s="32">
        <f>VLOOKUP(YEAR(C461),Flags!$A$13:$B$95,2,FALSE)</f>
        <v>1</v>
      </c>
      <c r="B461" s="24">
        <f t="shared" si="637"/>
        <v>1971</v>
      </c>
      <c r="C461" s="25">
        <v>26237</v>
      </c>
      <c r="D461" s="26"/>
      <c r="E461" s="24"/>
      <c r="F461" s="26"/>
      <c r="G461" s="26"/>
      <c r="H461" s="26"/>
      <c r="I461" s="26"/>
      <c r="J461" s="26"/>
      <c r="K461" s="26"/>
      <c r="L461" s="24"/>
      <c r="M461" s="24"/>
      <c r="N461" s="26"/>
      <c r="O461" s="26"/>
      <c r="P461" s="26"/>
      <c r="Q461" s="26"/>
      <c r="R461" s="26"/>
      <c r="S461" s="26"/>
      <c r="T461" s="26"/>
      <c r="U461" s="26"/>
      <c r="V461" s="26"/>
      <c r="W461" s="26">
        <f>MAX($C$9-VLOOKUP($C461,COS!$B$8:$H$991,3,FALSE),0)</f>
        <v>91401.7578125</v>
      </c>
      <c r="X461" s="26">
        <f t="shared" si="667"/>
        <v>5620.075025826447</v>
      </c>
      <c r="Y461" s="26">
        <f>VLOOKUP($C461,COS!$B$8:$H$991,4,FALSE)</f>
        <v>1216.479248046875</v>
      </c>
      <c r="Z461" s="26">
        <f t="shared" si="668"/>
        <v>74.798393433626032</v>
      </c>
      <c r="AA461" s="26">
        <f t="shared" si="736"/>
        <v>1216.479248046875</v>
      </c>
      <c r="AB461" s="33">
        <f t="shared" si="650"/>
        <v>74.798393433626032</v>
      </c>
    </row>
    <row r="462" spans="1:28" x14ac:dyDescent="0.3">
      <c r="A462" s="32">
        <f>VLOOKUP(YEAR(C462),Flags!$A$13:$B$95,2,FALSE)</f>
        <v>1</v>
      </c>
      <c r="B462" s="24">
        <f t="shared" si="637"/>
        <v>1971</v>
      </c>
      <c r="C462" s="25">
        <v>26267</v>
      </c>
      <c r="D462" s="26"/>
      <c r="E462" s="24"/>
      <c r="F462" s="26"/>
      <c r="G462" s="26"/>
      <c r="H462" s="26"/>
      <c r="I462" s="26"/>
      <c r="J462" s="26"/>
      <c r="K462" s="26"/>
      <c r="L462" s="24"/>
      <c r="M462" s="24"/>
      <c r="N462" s="26"/>
      <c r="O462" s="26"/>
      <c r="P462" s="26"/>
      <c r="Q462" s="26"/>
      <c r="R462" s="26"/>
      <c r="S462" s="26"/>
      <c r="T462" s="26"/>
      <c r="U462" s="26"/>
      <c r="V462" s="26"/>
      <c r="W462" s="26">
        <f>MAX($C$10-VLOOKUP($C462,COS!$B$8:$H$991,3,FALSE),0)</f>
        <v>87564.6484375</v>
      </c>
      <c r="X462" s="26">
        <f t="shared" si="667"/>
        <v>5210.4584194214876</v>
      </c>
      <c r="Y462" s="26">
        <f>VLOOKUP($C462,COS!$B$8:$H$991,4,FALSE)</f>
        <v>1703.5538330078125</v>
      </c>
      <c r="Z462" s="26">
        <f t="shared" si="668"/>
        <v>101.36849254261364</v>
      </c>
      <c r="AA462" s="26">
        <f t="shared" si="736"/>
        <v>1703.5538330078125</v>
      </c>
      <c r="AB462" s="33">
        <f t="shared" si="650"/>
        <v>50.684246271306819</v>
      </c>
    </row>
    <row r="463" spans="1:28" x14ac:dyDescent="0.3">
      <c r="A463" s="34">
        <f>VLOOKUP(YEAR(C463),Flags!$A$13:$B$95,2,FALSE)</f>
        <v>1</v>
      </c>
      <c r="B463" s="35">
        <f t="shared" ref="B463:B526" si="739">YEAR(C463)</f>
        <v>1971</v>
      </c>
      <c r="C463" s="36">
        <v>26298</v>
      </c>
      <c r="D463" s="37"/>
      <c r="E463" s="35"/>
      <c r="F463" s="37"/>
      <c r="G463" s="37"/>
      <c r="H463" s="37"/>
      <c r="I463" s="37"/>
      <c r="J463" s="37"/>
      <c r="K463" s="37"/>
      <c r="L463" s="35"/>
      <c r="M463" s="35"/>
      <c r="N463" s="37"/>
      <c r="O463" s="37"/>
      <c r="P463" s="37"/>
      <c r="Q463" s="37"/>
      <c r="R463" s="37"/>
      <c r="S463" s="37"/>
      <c r="T463" s="37"/>
      <c r="U463" s="37"/>
      <c r="V463" s="37"/>
      <c r="W463" s="37">
        <f>MAX($C$11-VLOOKUP($C463,COS!$B$8:$H$991,3,FALSE),0)</f>
        <v>0</v>
      </c>
      <c r="X463" s="37">
        <f t="shared" si="667"/>
        <v>0</v>
      </c>
      <c r="Y463" s="37">
        <f>VLOOKUP($C463,COS!$B$8:$H$991,4,FALSE)</f>
        <v>0</v>
      </c>
      <c r="Z463" s="37">
        <f t="shared" si="668"/>
        <v>0</v>
      </c>
      <c r="AA463" s="37">
        <f t="shared" si="736"/>
        <v>0</v>
      </c>
      <c r="AB463" s="38">
        <f t="shared" si="650"/>
        <v>0</v>
      </c>
    </row>
    <row r="464" spans="1:28" x14ac:dyDescent="0.3">
      <c r="A464" s="27">
        <f>VLOOKUP(YEAR(C464),Flags!$A$13:$B$95,2,FALSE)</f>
        <v>3</v>
      </c>
      <c r="B464" s="28">
        <f t="shared" si="739"/>
        <v>1972</v>
      </c>
      <c r="C464" s="29">
        <v>26419</v>
      </c>
      <c r="D464" s="30">
        <f>VLOOKUP($C464,COS!$B$8:$H$991,3,FALSE)</f>
        <v>4466.64501953125</v>
      </c>
      <c r="E464" s="28">
        <f>IF(D464&gt;=IF(MONTH($C464)=4,$C$3,IF(MONTH($C464)=5,$C$4,IF(MONTH($C464)=6,$C$5,IF(MONTH($C464)=7,$C$6,"ERROR")))),1,0)</f>
        <v>0</v>
      </c>
      <c r="F464" s="30">
        <f>VLOOKUP($C464,COS!$B$8:$H$991,7,FALSE)</f>
        <v>50.082248687744141</v>
      </c>
      <c r="G464" s="28">
        <f>IF(F464&lt;=IF(MONTH($C464)=4,$F$3,IF(MONTH($C464)=5,$F$4,IF(MONTH($C464)=6,$F$5,IF(MONTH($C464)=7,$F$6,"ERROR")))),1,0)</f>
        <v>1</v>
      </c>
      <c r="H464" s="30">
        <f>IF(J464=1,D464-$C$3,0)</f>
        <v>0</v>
      </c>
      <c r="I464" s="30">
        <f t="shared" si="661"/>
        <v>0</v>
      </c>
      <c r="J464" s="28">
        <f t="shared" ref="J464:J467" si="740">IF(AND(E464=1,G464=1),1,0)</f>
        <v>0</v>
      </c>
      <c r="K464" s="30">
        <f>VLOOKUP($C464,COS!$B$8:$H$991,2,FALSE)</f>
        <v>4552</v>
      </c>
      <c r="L464" s="28">
        <f t="shared" ref="L464:L521" si="741">IF(K464&lt;=IF(MONTH($C464)=4,$I$3,IF(MONTH($C464)=5,$I$4,IF(MONTH($C464)=6,$I$5,IF(MONTH($C464)=7,$I$6,"ERROR")))),1,0)</f>
        <v>1</v>
      </c>
      <c r="M464" s="28">
        <f t="shared" ref="M464:M521" si="742">VLOOKUP($A464,$L$3:$M$7,2,FALSE)</f>
        <v>1</v>
      </c>
      <c r="N464" s="30">
        <f>VLOOKUP($C464,COS!$B$8:$H$991,5,FALSE)</f>
        <v>323.25350952148438</v>
      </c>
      <c r="O464" s="30">
        <f t="shared" ref="O464:O467" si="743">N464*DAY($C464)*86400/43560/1000</f>
        <v>19.23491957483213</v>
      </c>
      <c r="P464" s="30">
        <f>VLOOKUP($C464,COS!$B$8:$H$991,6,FALSE)</f>
        <v>539.28424072265625</v>
      </c>
      <c r="Q464" s="30">
        <f t="shared" ref="Q464:Q467" si="744">P464*DAY($C464)*86400/43560/1000</f>
        <v>32.08964077027376</v>
      </c>
      <c r="R464" s="30">
        <f>MIN(IF(MONTH($C464)=4,$S$3,IF(MONTH($C464)=5,$S$4,IF(MONTH($C464)=6,$S$5,IF(MONTH($C464)=7,$S$6,"ERROR")))),MAX(VLOOKUP($C464,COS!$B$8:$K$991,10,FALSE)-IF(MONTH($C464)=4,$Y$3,IF(MONTH($C464)=5,$Y$4,IF(MONTH($C464)=6,$Y$5,IF(MONTH($C464)=7,$Y$6,"ERROR")))),0),MAX(VLOOKUP($C464,COS!$B$8:$K$991,9,FALSE)-IF(MONTH($C464)=4,$V$3,IF(MONTH($C464)=5,$V$4,IF(MONTH($C464)=6,$V$5,IF(MONTH($C464)=7,$V$6,"ERROR"))))-VLOOKUP($C464,COS!$B$8:$K$991,6,FALSE)/2,0))</f>
        <v>1500</v>
      </c>
      <c r="S464" s="30">
        <f t="shared" ref="S464:S467" si="745">R464*DAY($C464)*86400/43560/1000</f>
        <v>89.256198347107429</v>
      </c>
      <c r="T464" s="30">
        <f t="shared" ref="T464:T467" si="746">(O464+Q464)/2+S464</f>
        <v>114.91847851966037</v>
      </c>
      <c r="U464" s="30" t="str">
        <f>IF(VLOOKUP($C464,COS!$B$8:$I$991,8,FALSE)=1,"UWFE","IBU")</f>
        <v>UWFE</v>
      </c>
      <c r="V464" s="30">
        <f t="shared" ref="V464" si="747">MIN(IF(IF($AA$3=2,AND(E464=1,G464=1,L464=1,L469=1,M464=1,U464="IBU"),AND(E464=1,G464=1,L464=1,L469=1,M464=1)),T464,0),I464)</f>
        <v>0</v>
      </c>
      <c r="W464" s="30"/>
      <c r="X464" s="30"/>
      <c r="Y464" s="30"/>
      <c r="Z464" s="30"/>
      <c r="AA464" s="30"/>
      <c r="AB464" s="31"/>
    </row>
    <row r="465" spans="1:28" x14ac:dyDescent="0.3">
      <c r="A465" s="32">
        <f>VLOOKUP(YEAR(C465),Flags!$A$13:$B$95,2,FALSE)</f>
        <v>3</v>
      </c>
      <c r="B465" s="24">
        <f t="shared" si="739"/>
        <v>1972</v>
      </c>
      <c r="C465" s="25">
        <v>26450</v>
      </c>
      <c r="D465" s="26">
        <f>VLOOKUP($C465,COS!$B$8:$H$991,3,FALSE)</f>
        <v>7295.134765625</v>
      </c>
      <c r="E465" s="24">
        <f>IF(D465&gt;=IF(MONTH($C465)=4,$C$3,IF(MONTH($C465)=5,$C$4,IF(MONTH($C465)=6,$C$5,IF(MONTH($C465)=7,$C$6,"ERROR")))),1,0)</f>
        <v>1</v>
      </c>
      <c r="F465" s="26">
        <f>VLOOKUP($C465,COS!$B$8:$H$991,7,FALSE)</f>
        <v>50.610748291015625</v>
      </c>
      <c r="G465" s="24">
        <f>IF(F465&lt;=IF(MONTH($C465)=4,$F$3,IF(MONTH($C465)=5,$F$4,IF(MONTH($C465)=6,$F$5,IF(MONTH($C465)=7,$F$6,"ERROR")))),1,0)</f>
        <v>1</v>
      </c>
      <c r="H465" s="26">
        <f>IF(J465=1,D465-$C$4,0)</f>
        <v>1295.134765625</v>
      </c>
      <c r="I465" s="26">
        <f t="shared" si="661"/>
        <v>79.634732696280992</v>
      </c>
      <c r="J465" s="24">
        <f t="shared" si="740"/>
        <v>1</v>
      </c>
      <c r="K465" s="26">
        <f>VLOOKUP($C465,COS!$B$8:$H$991,2,FALSE)</f>
        <v>4444.4248046875</v>
      </c>
      <c r="L465" s="24">
        <f t="shared" si="741"/>
        <v>1</v>
      </c>
      <c r="M465" s="24">
        <f t="shared" si="742"/>
        <v>1</v>
      </c>
      <c r="N465" s="26">
        <f>VLOOKUP($C465,COS!$B$8:$H$991,5,FALSE)</f>
        <v>214.1783447265625</v>
      </c>
      <c r="O465" s="26">
        <f t="shared" si="743"/>
        <v>13.169313097236572</v>
      </c>
      <c r="P465" s="26">
        <f>VLOOKUP($C465,COS!$B$8:$H$991,6,FALSE)</f>
        <v>2237.25634765625</v>
      </c>
      <c r="Q465" s="26">
        <f t="shared" si="744"/>
        <v>137.56353079803719</v>
      </c>
      <c r="R465" s="26">
        <f>MIN(IF(MONTH($C465)=4,$S$3,IF(MONTH($C465)=5,$S$4,IF(MONTH($C465)=6,$S$5,IF(MONTH($C465)=7,$S$6,"ERROR")))),MAX(VLOOKUP($C465,COS!$B$8:$K$991,10,FALSE)-IF(MONTH($C465)=4,$Y$3,IF(MONTH($C465)=5,$Y$4,IF(MONTH($C465)=6,$Y$5,IF(MONTH($C465)=7,$Y$6,"ERROR")))),0),MAX(VLOOKUP($C465,COS!$B$8:$K$991,9,FALSE)-IF(MONTH($C465)=4,$V$3,IF(MONTH($C465)=5,$V$4,IF(MONTH($C465)=6,$V$5,IF(MONTH($C465)=7,$V$6,"ERROR"))))-VLOOKUP($C465,COS!$B$8:$K$991,6,FALSE)/2,0))</f>
        <v>1500</v>
      </c>
      <c r="S465" s="26">
        <f t="shared" si="745"/>
        <v>92.231404958677686</v>
      </c>
      <c r="T465" s="26">
        <f t="shared" si="746"/>
        <v>167.59782690631457</v>
      </c>
      <c r="U465" s="26" t="str">
        <f>IF(VLOOKUP($C465,COS!$B$8:$I$991,8,FALSE)=1,"UWFE","IBU")</f>
        <v>UWFE</v>
      </c>
      <c r="V465" s="26">
        <f t="shared" ref="V465" si="748">MIN(IF(IF($AA$3=2,AND(E465=1,G465=1,L465=1,L469=1,M465=1,U465="IBU"),AND(E465=1,G465=1,L465=1,L469=1,M465=1)),T465,0),I465)</f>
        <v>0</v>
      </c>
      <c r="W465" s="26"/>
      <c r="X465" s="26"/>
      <c r="Y465" s="26"/>
      <c r="Z465" s="26"/>
      <c r="AA465" s="26"/>
      <c r="AB465" s="33"/>
    </row>
    <row r="466" spans="1:28" x14ac:dyDescent="0.3">
      <c r="A466" s="32">
        <f>VLOOKUP(YEAR(C466),Flags!$A$13:$B$95,2,FALSE)</f>
        <v>3</v>
      </c>
      <c r="B466" s="24">
        <f t="shared" si="739"/>
        <v>1972</v>
      </c>
      <c r="C466" s="25">
        <v>26480</v>
      </c>
      <c r="D466" s="26">
        <f>VLOOKUP($C466,COS!$B$8:$H$991,3,FALSE)</f>
        <v>13446.5849609375</v>
      </c>
      <c r="E466" s="24">
        <f>IF(D466&gt;=IF(MONTH($C466)=4,$C$3,IF(MONTH($C466)=5,$C$4,IF(MONTH($C466)=6,$C$5,IF(MONTH($C466)=7,$C$6,"ERROR")))),1,0)</f>
        <v>1</v>
      </c>
      <c r="F466" s="26">
        <f>VLOOKUP($C466,COS!$B$8:$H$991,7,FALSE)</f>
        <v>50.5291748046875</v>
      </c>
      <c r="G466" s="24">
        <f>IF(F466&lt;=IF(MONTH($C466)=4,$F$3,IF(MONTH($C466)=5,$F$4,IF(MONTH($C466)=6,$F$5,IF(MONTH($C466)=7,$F$6,"ERROR")))),1,0)</f>
        <v>1</v>
      </c>
      <c r="H466" s="26">
        <f>IF(J466=1,D466-$C$5,0)</f>
        <v>3446.5849609375</v>
      </c>
      <c r="I466" s="26">
        <f t="shared" si="661"/>
        <v>205.0860472623967</v>
      </c>
      <c r="J466" s="24">
        <f t="shared" si="740"/>
        <v>1</v>
      </c>
      <c r="K466" s="26">
        <f>VLOOKUP($C466,COS!$B$8:$H$991,2,FALSE)</f>
        <v>3879.44091796875</v>
      </c>
      <c r="L466" s="24">
        <f t="shared" si="741"/>
        <v>1</v>
      </c>
      <c r="M466" s="24">
        <f t="shared" si="742"/>
        <v>1</v>
      </c>
      <c r="N466" s="26">
        <f>VLOOKUP($C466,COS!$B$8:$H$991,5,FALSE)</f>
        <v>428.46661376953125</v>
      </c>
      <c r="O466" s="26">
        <f t="shared" si="743"/>
        <v>25.495534042484504</v>
      </c>
      <c r="P466" s="26">
        <f>VLOOKUP($C466,COS!$B$8:$H$991,6,FALSE)</f>
        <v>2616.696044921875</v>
      </c>
      <c r="Q466" s="26">
        <f t="shared" si="744"/>
        <v>155.70422746642564</v>
      </c>
      <c r="R466" s="26">
        <f>MIN(IF(MONTH($C466)=4,$S$3,IF(MONTH($C466)=5,$S$4,IF(MONTH($C466)=6,$S$5,IF(MONTH($C466)=7,$S$6,"ERROR")))),MAX(VLOOKUP($C466,COS!$B$8:$K$991,10,FALSE)-IF(MONTH($C466)=4,$Y$3,IF(MONTH($C466)=5,$Y$4,IF(MONTH($C466)=6,$Y$5,IF(MONTH($C466)=7,$Y$6,"ERROR")))),0),MAX(VLOOKUP($C466,COS!$B$8:$K$991,9,FALSE)-IF(MONTH($C466)=4,$V$3,IF(MONTH($C466)=5,$V$4,IF(MONTH($C466)=6,$V$5,IF(MONTH($C466)=7,$V$6,"ERROR"))))-VLOOKUP($C466,COS!$B$8:$K$991,6,FALSE)/2,0))</f>
        <v>1500</v>
      </c>
      <c r="S466" s="26">
        <f t="shared" si="745"/>
        <v>89.256198347107429</v>
      </c>
      <c r="T466" s="26">
        <f t="shared" si="746"/>
        <v>179.8560791015625</v>
      </c>
      <c r="U466" s="26" t="str">
        <f>IF(VLOOKUP($C466,COS!$B$8:$I$991,8,FALSE)=1,"UWFE","IBU")</f>
        <v>IBU</v>
      </c>
      <c r="V466" s="26">
        <f t="shared" ref="V466" si="749">MIN(IF(IF($AA$3=2,AND(E466=1,G466=1,L466=1,L469=1,M466=1,U466="IBU"),AND(E466=1,G466=1,L466=1,L469=1,M466=1)),T466,0),I466)</f>
        <v>179.8560791015625</v>
      </c>
      <c r="W466" s="26"/>
      <c r="X466" s="26"/>
      <c r="Y466" s="26"/>
      <c r="Z466" s="26"/>
      <c r="AA466" s="26"/>
      <c r="AB466" s="33"/>
    </row>
    <row r="467" spans="1:28" x14ac:dyDescent="0.3">
      <c r="A467" s="32">
        <f>VLOOKUP(YEAR(C467),Flags!$A$13:$B$95,2,FALSE)</f>
        <v>3</v>
      </c>
      <c r="B467" s="24">
        <f t="shared" si="739"/>
        <v>1972</v>
      </c>
      <c r="C467" s="25">
        <v>26511</v>
      </c>
      <c r="D467" s="26">
        <f>VLOOKUP($C467,COS!$B$8:$H$991,3,FALSE)</f>
        <v>15975.8271484375</v>
      </c>
      <c r="E467" s="24">
        <f>IF(D467&gt;=IF(MONTH($C467)=4,$C$3,IF(MONTH($C467)=5,$C$4,IF(MONTH($C467)=6,$C$5,IF(MONTH($C467)=7,$C$6,"ERROR")))),1,0)</f>
        <v>1</v>
      </c>
      <c r="F467" s="26">
        <f>VLOOKUP($C467,COS!$B$8:$H$991,7,FALSE)</f>
        <v>51.616970062255859</v>
      </c>
      <c r="G467" s="24">
        <f>IF(F467&lt;=IF(MONTH($C467)=4,$F$3,IF(MONTH($C467)=5,$F$4,IF(MONTH($C467)=6,$F$5,IF(MONTH($C467)=7,$F$6,"ERROR")))),1,0)</f>
        <v>1</v>
      </c>
      <c r="H467" s="26">
        <f>IF(J467=1,D467-$C$6,0)</f>
        <v>3975.8271484375</v>
      </c>
      <c r="I467" s="26">
        <f t="shared" si="661"/>
        <v>244.46408251549585</v>
      </c>
      <c r="J467" s="24">
        <f t="shared" si="740"/>
        <v>1</v>
      </c>
      <c r="K467" s="26">
        <f>VLOOKUP($C467,COS!$B$8:$H$991,2,FALSE)</f>
        <v>3200</v>
      </c>
      <c r="L467" s="24">
        <f t="shared" si="741"/>
        <v>1</v>
      </c>
      <c r="M467" s="24">
        <f t="shared" si="742"/>
        <v>1</v>
      </c>
      <c r="N467" s="26">
        <f>VLOOKUP($C467,COS!$B$8:$H$991,5,FALSE)</f>
        <v>484.07479858398438</v>
      </c>
      <c r="O467" s="26">
        <f t="shared" si="743"/>
        <v>29.764599185659868</v>
      </c>
      <c r="P467" s="26">
        <f>VLOOKUP($C467,COS!$B$8:$H$991,6,FALSE)</f>
        <v>2537.385498046875</v>
      </c>
      <c r="Q467" s="26">
        <f t="shared" si="744"/>
        <v>156.01775293775825</v>
      </c>
      <c r="R467" s="26">
        <f>MIN(IF(MONTH($C467)=4,$S$3,IF(MONTH($C467)=5,$S$4,IF(MONTH($C467)=6,$S$5,IF(MONTH($C467)=7,$S$6,"ERROR")))),MAX(VLOOKUP($C467,COS!$B$8:$K$991,10,FALSE)-IF(MONTH($C467)=4,$Y$3,IF(MONTH($C467)=5,$Y$4,IF(MONTH($C467)=6,$Y$5,IF(MONTH($C467)=7,$Y$6,"ERROR")))),0),MAX(VLOOKUP($C467,COS!$B$8:$K$991,9,FALSE)-IF(MONTH($C467)=4,$V$3,IF(MONTH($C467)=5,$V$4,IF(MONTH($C467)=6,$V$5,IF(MONTH($C467)=7,$V$6,"ERROR"))))-VLOOKUP($C467,COS!$B$8:$K$991,6,FALSE)/2,0))</f>
        <v>1500</v>
      </c>
      <c r="S467" s="26">
        <f t="shared" si="745"/>
        <v>92.231404958677686</v>
      </c>
      <c r="T467" s="26">
        <f t="shared" si="746"/>
        <v>185.12258102038675</v>
      </c>
      <c r="U467" s="26" t="str">
        <f>IF(VLOOKUP($C467,COS!$B$8:$I$991,8,FALSE)=1,"UWFE","IBU")</f>
        <v>IBU</v>
      </c>
      <c r="V467" s="26">
        <f t="shared" ref="V467" si="750">MIN(IF(IF($AA$3=2,AND(E467=1,G467=1,L467=1,L469=1,M467=1,U467="IBU"),AND(E467=1,G467=1,L467=1,L469=1,M467=1)),T467,0),I467)</f>
        <v>185.12258102038675</v>
      </c>
      <c r="W467" s="26"/>
      <c r="X467" s="26"/>
      <c r="Y467" s="26"/>
      <c r="Z467" s="26"/>
      <c r="AA467" s="26"/>
      <c r="AB467" s="33"/>
    </row>
    <row r="468" spans="1:28" x14ac:dyDescent="0.3">
      <c r="A468" s="32">
        <f>VLOOKUP(YEAR(C468),Flags!$A$13:$B$95,2,FALSE)</f>
        <v>3</v>
      </c>
      <c r="B468" s="24">
        <f t="shared" si="739"/>
        <v>1972</v>
      </c>
      <c r="C468" s="25">
        <v>26542</v>
      </c>
      <c r="D468" s="26"/>
      <c r="E468" s="24"/>
      <c r="F468" s="26"/>
      <c r="G468" s="24"/>
      <c r="H468" s="24"/>
      <c r="I468" s="26"/>
      <c r="J468" s="24"/>
      <c r="K468" s="26"/>
      <c r="L468" s="24"/>
      <c r="M468" s="24"/>
      <c r="N468" s="26"/>
      <c r="O468" s="26"/>
      <c r="P468" s="26"/>
      <c r="Q468" s="26"/>
      <c r="R468" s="26"/>
      <c r="S468" s="26"/>
      <c r="T468" s="26"/>
      <c r="U468" s="26"/>
      <c r="V468" s="26"/>
      <c r="W468" s="26">
        <f>MAX($C$7-VLOOKUP($C468,COS!$B$8:$H$991,3,FALSE),0)</f>
        <v>89878.541015625</v>
      </c>
      <c r="X468" s="26">
        <f t="shared" si="667"/>
        <v>5526.4160756714873</v>
      </c>
      <c r="Y468" s="26">
        <f>VLOOKUP($C468,COS!$B$8:$H$991,4,FALSE)</f>
        <v>1250.875732421875</v>
      </c>
      <c r="Z468" s="26">
        <f t="shared" si="668"/>
        <v>76.913350819989674</v>
      </c>
      <c r="AA468" s="26">
        <f t="shared" ref="AA468:AA472" si="751">MIN(W468,Y468)</f>
        <v>1250.875732421875</v>
      </c>
      <c r="AB468" s="33">
        <f t="shared" ref="AB468:AB526" si="752">AA468*DAY($C468)*86400/43560/1000*IF(MONTH($C468)=8,$P$3,IF(MONTH($C468)=9,$P$4,IF(MONTH($C468)=10,$P$5,IF(MONTH($C468)=11,$P$6,IF(MONTH($C468)=12,$P$7,NA())))))</f>
        <v>76.913350819989674</v>
      </c>
    </row>
    <row r="469" spans="1:28" x14ac:dyDescent="0.3">
      <c r="A469" s="32">
        <f>VLOOKUP(YEAR(C469),Flags!$A$13:$B$95,2,FALSE)</f>
        <v>3</v>
      </c>
      <c r="B469" s="24">
        <f t="shared" si="739"/>
        <v>1972</v>
      </c>
      <c r="C469" s="25">
        <v>26572</v>
      </c>
      <c r="D469" s="26"/>
      <c r="E469" s="24"/>
      <c r="F469" s="26"/>
      <c r="G469" s="24"/>
      <c r="H469" s="24"/>
      <c r="I469" s="26"/>
      <c r="J469" s="24"/>
      <c r="K469" s="26">
        <f>VLOOKUP($C469,COS!$B$8:$H$991,2,FALSE)</f>
        <v>2958.29638671875</v>
      </c>
      <c r="L469" s="24">
        <f t="shared" ref="L469" si="753">IF(AND(K469&gt;$I$7,K469&lt;$I$8),1,0)</f>
        <v>1</v>
      </c>
      <c r="M469" s="24"/>
      <c r="N469" s="26"/>
      <c r="O469" s="26"/>
      <c r="P469" s="26"/>
      <c r="Q469" s="26"/>
      <c r="R469" s="26"/>
      <c r="S469" s="26"/>
      <c r="T469" s="26"/>
      <c r="U469" s="26"/>
      <c r="V469" s="26"/>
      <c r="W469" s="26">
        <f>MAX($C$8-VLOOKUP($C469,COS!$B$8:$H$991,3,FALSE),0)</f>
        <v>95242.72265625</v>
      </c>
      <c r="X469" s="26">
        <f t="shared" si="667"/>
        <v>5667.3355630165288</v>
      </c>
      <c r="Y469" s="26">
        <f>VLOOKUP($C469,COS!$B$8:$H$991,4,FALSE)</f>
        <v>954.7808837890625</v>
      </c>
      <c r="Z469" s="26">
        <f t="shared" si="668"/>
        <v>56.813407961002063</v>
      </c>
      <c r="AA469" s="26">
        <f t="shared" si="751"/>
        <v>954.7808837890625</v>
      </c>
      <c r="AB469" s="33">
        <f t="shared" si="752"/>
        <v>56.813407961002063</v>
      </c>
    </row>
    <row r="470" spans="1:28" x14ac:dyDescent="0.3">
      <c r="A470" s="32">
        <f>VLOOKUP(YEAR(C470),Flags!$A$13:$B$95,2,FALSE)</f>
        <v>3</v>
      </c>
      <c r="B470" s="24">
        <f t="shared" si="739"/>
        <v>1972</v>
      </c>
      <c r="C470" s="25">
        <v>26603</v>
      </c>
      <c r="D470" s="26"/>
      <c r="E470" s="24"/>
      <c r="F470" s="26"/>
      <c r="G470" s="26"/>
      <c r="H470" s="26"/>
      <c r="I470" s="26"/>
      <c r="J470" s="26"/>
      <c r="K470" s="26"/>
      <c r="L470" s="24"/>
      <c r="M470" s="24"/>
      <c r="N470" s="26"/>
      <c r="O470" s="26"/>
      <c r="P470" s="26"/>
      <c r="Q470" s="26"/>
      <c r="R470" s="26"/>
      <c r="S470" s="26"/>
      <c r="T470" s="26"/>
      <c r="U470" s="26"/>
      <c r="V470" s="26"/>
      <c r="W470" s="26">
        <f>MAX($C$9-VLOOKUP($C470,COS!$B$8:$H$991,3,FALSE),0)</f>
        <v>95128.9990234375</v>
      </c>
      <c r="X470" s="26">
        <f t="shared" si="667"/>
        <v>5849.2541548295458</v>
      </c>
      <c r="Y470" s="26">
        <f>VLOOKUP($C470,COS!$B$8:$H$991,4,FALSE)</f>
        <v>439.72247314453125</v>
      </c>
      <c r="Z470" s="26">
        <f t="shared" si="668"/>
        <v>27.037480993349689</v>
      </c>
      <c r="AA470" s="26">
        <f t="shared" si="751"/>
        <v>439.72247314453125</v>
      </c>
      <c r="AB470" s="33">
        <f t="shared" si="752"/>
        <v>27.037480993349689</v>
      </c>
    </row>
    <row r="471" spans="1:28" x14ac:dyDescent="0.3">
      <c r="A471" s="32">
        <f>VLOOKUP(YEAR(C471),Flags!$A$13:$B$95,2,FALSE)</f>
        <v>3</v>
      </c>
      <c r="B471" s="24">
        <f t="shared" si="739"/>
        <v>1972</v>
      </c>
      <c r="C471" s="25">
        <v>26633</v>
      </c>
      <c r="D471" s="26"/>
      <c r="E471" s="24"/>
      <c r="F471" s="26"/>
      <c r="G471" s="26"/>
      <c r="H471" s="26"/>
      <c r="I471" s="26"/>
      <c r="J471" s="26"/>
      <c r="K471" s="26"/>
      <c r="L471" s="24"/>
      <c r="M471" s="24"/>
      <c r="N471" s="26"/>
      <c r="O471" s="26"/>
      <c r="P471" s="26"/>
      <c r="Q471" s="26"/>
      <c r="R471" s="26"/>
      <c r="S471" s="26"/>
      <c r="T471" s="26"/>
      <c r="U471" s="26"/>
      <c r="V471" s="26"/>
      <c r="W471" s="26">
        <f>MAX($C$10-VLOOKUP($C471,COS!$B$8:$H$991,3,FALSE),0)</f>
        <v>96243.074462890625</v>
      </c>
      <c r="X471" s="26">
        <f t="shared" si="667"/>
        <v>5726.8606291967972</v>
      </c>
      <c r="Y471" s="26">
        <f>VLOOKUP($C471,COS!$B$8:$H$991,4,FALSE)</f>
        <v>2301.576171875</v>
      </c>
      <c r="Z471" s="26">
        <f t="shared" si="668"/>
        <v>136.95329287190083</v>
      </c>
      <c r="AA471" s="26">
        <f t="shared" si="751"/>
        <v>2301.576171875</v>
      </c>
      <c r="AB471" s="33">
        <f t="shared" si="752"/>
        <v>68.476646435950414</v>
      </c>
    </row>
    <row r="472" spans="1:28" x14ac:dyDescent="0.3">
      <c r="A472" s="34">
        <f>VLOOKUP(YEAR(C472),Flags!$A$13:$B$95,2,FALSE)</f>
        <v>3</v>
      </c>
      <c r="B472" s="35">
        <f t="shared" si="739"/>
        <v>1972</v>
      </c>
      <c r="C472" s="36">
        <v>26664</v>
      </c>
      <c r="D472" s="37"/>
      <c r="E472" s="35"/>
      <c r="F472" s="37"/>
      <c r="G472" s="37"/>
      <c r="H472" s="37"/>
      <c r="I472" s="37"/>
      <c r="J472" s="37"/>
      <c r="K472" s="37"/>
      <c r="L472" s="35"/>
      <c r="M472" s="35"/>
      <c r="N472" s="37"/>
      <c r="O472" s="37"/>
      <c r="P472" s="37"/>
      <c r="Q472" s="37"/>
      <c r="R472" s="37"/>
      <c r="S472" s="37"/>
      <c r="T472" s="37"/>
      <c r="U472" s="37"/>
      <c r="V472" s="37"/>
      <c r="W472" s="37">
        <f>MAX($C$11-VLOOKUP($C472,COS!$B$8:$H$991,3,FALSE),0)</f>
        <v>0</v>
      </c>
      <c r="X472" s="37">
        <f t="shared" si="667"/>
        <v>0</v>
      </c>
      <c r="Y472" s="37">
        <f>VLOOKUP($C472,COS!$B$8:$H$991,4,FALSE)</f>
        <v>0</v>
      </c>
      <c r="Z472" s="37">
        <f t="shared" si="668"/>
        <v>0</v>
      </c>
      <c r="AA472" s="37">
        <f t="shared" si="751"/>
        <v>0</v>
      </c>
      <c r="AB472" s="38">
        <f t="shared" si="752"/>
        <v>0</v>
      </c>
    </row>
    <row r="473" spans="1:28" x14ac:dyDescent="0.3">
      <c r="A473" s="27">
        <f>VLOOKUP(YEAR(C473),Flags!$A$13:$B$95,2,FALSE)</f>
        <v>2</v>
      </c>
      <c r="B473" s="28">
        <f t="shared" si="739"/>
        <v>1973</v>
      </c>
      <c r="C473" s="29">
        <v>26784</v>
      </c>
      <c r="D473" s="30">
        <f>VLOOKUP($C473,COS!$B$8:$H$991,3,FALSE)</f>
        <v>3250</v>
      </c>
      <c r="E473" s="28">
        <f>IF(D473&gt;=IF(MONTH($C473)=4,$C$3,IF(MONTH($C473)=5,$C$4,IF(MONTH($C473)=6,$C$5,IF(MONTH($C473)=7,$C$6,"ERROR")))),1,0)</f>
        <v>0</v>
      </c>
      <c r="F473" s="30">
        <f>VLOOKUP($C473,COS!$B$8:$H$991,7,FALSE)</f>
        <v>50.581394195556641</v>
      </c>
      <c r="G473" s="28">
        <f>IF(F473&lt;=IF(MONTH($C473)=4,$F$3,IF(MONTH($C473)=5,$F$4,IF(MONTH($C473)=6,$F$5,IF(MONTH($C473)=7,$F$6,"ERROR")))),1,0)</f>
        <v>1</v>
      </c>
      <c r="H473" s="30">
        <f>IF(J473=1,D473-$C$3,0)</f>
        <v>0</v>
      </c>
      <c r="I473" s="30">
        <f t="shared" si="661"/>
        <v>0</v>
      </c>
      <c r="J473" s="28">
        <f t="shared" ref="J473:J476" si="754">IF(AND(E473=1,G473=1),1,0)</f>
        <v>0</v>
      </c>
      <c r="K473" s="30">
        <f>VLOOKUP($C473,COS!$B$8:$H$991,2,FALSE)</f>
        <v>4464.4716796875</v>
      </c>
      <c r="L473" s="28">
        <f t="shared" ref="L473" si="755">IF(K473&lt;=IF(MONTH($C473)=4,$I$3,IF(MONTH($C473)=5,$I$4,IF(MONTH($C473)=6,$I$5,IF(MONTH($C473)=7,$I$6,"ERROR")))),1,0)</f>
        <v>1</v>
      </c>
      <c r="M473" s="28">
        <f t="shared" ref="M473" si="756">VLOOKUP($A473,$L$3:$M$7,2,FALSE)</f>
        <v>0</v>
      </c>
      <c r="N473" s="30">
        <f>VLOOKUP($C473,COS!$B$8:$H$991,5,FALSE)</f>
        <v>411.989013671875</v>
      </c>
      <c r="O473" s="30">
        <f t="shared" ref="O473:O476" si="757">N473*DAY($C473)*86400/43560/1000</f>
        <v>24.515048747417357</v>
      </c>
      <c r="P473" s="30">
        <f>VLOOKUP($C473,COS!$B$8:$H$991,6,FALSE)</f>
        <v>453.39697265625</v>
      </c>
      <c r="Q473" s="30">
        <f t="shared" ref="Q473:Q476" si="758">P473*DAY($C473)*86400/43560/1000</f>
        <v>26.978993414256198</v>
      </c>
      <c r="R473" s="30">
        <f>MIN(IF(MONTH($C473)=4,$S$3,IF(MONTH($C473)=5,$S$4,IF(MONTH($C473)=6,$S$5,IF(MONTH($C473)=7,$S$6,"ERROR")))),MAX(VLOOKUP($C473,COS!$B$8:$K$991,10,FALSE)-IF(MONTH($C473)=4,$Y$3,IF(MONTH($C473)=5,$Y$4,IF(MONTH($C473)=6,$Y$5,IF(MONTH($C473)=7,$Y$6,"ERROR")))),0),MAX(VLOOKUP($C473,COS!$B$8:$K$991,9,FALSE)-IF(MONTH($C473)=4,$V$3,IF(MONTH($C473)=5,$V$4,IF(MONTH($C473)=6,$V$5,IF(MONTH($C473)=7,$V$6,"ERROR"))))-VLOOKUP($C473,COS!$B$8:$K$991,6,FALSE)/2,0))</f>
        <v>1500</v>
      </c>
      <c r="S473" s="30">
        <f t="shared" ref="S473:S476" si="759">R473*DAY($C473)*86400/43560/1000</f>
        <v>89.256198347107429</v>
      </c>
      <c r="T473" s="30">
        <f t="shared" ref="T473:T476" si="760">(O473+Q473)/2+S473</f>
        <v>115.0032194279442</v>
      </c>
      <c r="U473" s="30" t="str">
        <f>IF(VLOOKUP($C473,COS!$B$8:$I$991,8,FALSE)=1,"UWFE","IBU")</f>
        <v>UWFE</v>
      </c>
      <c r="V473" s="30">
        <f t="shared" ref="V473" si="761">MIN(IF(IF($AA$3=2,AND(E473=1,G473=1,L473=1,L478=1,M473=1,U473="IBU"),AND(E473=1,G473=1,L473=1,L478=1,M473=1)),T473,0),I473)</f>
        <v>0</v>
      </c>
      <c r="W473" s="30"/>
      <c r="X473" s="30"/>
      <c r="Y473" s="30"/>
      <c r="Z473" s="30"/>
      <c r="AA473" s="30"/>
      <c r="AB473" s="31"/>
    </row>
    <row r="474" spans="1:28" x14ac:dyDescent="0.3">
      <c r="A474" s="32">
        <f>VLOOKUP(YEAR(C474),Flags!$A$13:$B$95,2,FALSE)</f>
        <v>2</v>
      </c>
      <c r="B474" s="24">
        <f t="shared" si="739"/>
        <v>1973</v>
      </c>
      <c r="C474" s="25">
        <v>26815</v>
      </c>
      <c r="D474" s="26">
        <f>VLOOKUP($C474,COS!$B$8:$H$991,3,FALSE)</f>
        <v>6365.75537109375</v>
      </c>
      <c r="E474" s="24">
        <f>IF(D474&gt;=IF(MONTH($C474)=4,$C$3,IF(MONTH($C474)=5,$C$4,IF(MONTH($C474)=6,$C$5,IF(MONTH($C474)=7,$C$6,"ERROR")))),1,0)</f>
        <v>1</v>
      </c>
      <c r="F474" s="26">
        <f>VLOOKUP($C474,COS!$B$8:$H$991,7,FALSE)</f>
        <v>51.265758514404297</v>
      </c>
      <c r="G474" s="24">
        <f>IF(F474&lt;=IF(MONTH($C474)=4,$F$3,IF(MONTH($C474)=5,$F$4,IF(MONTH($C474)=6,$F$5,IF(MONTH($C474)=7,$F$6,"ERROR")))),1,0)</f>
        <v>1</v>
      </c>
      <c r="H474" s="26">
        <f>IF(J474=1,D474-$C$4,0)</f>
        <v>365.75537109375</v>
      </c>
      <c r="I474" s="26">
        <f t="shared" si="661"/>
        <v>22.489421164772729</v>
      </c>
      <c r="J474" s="24">
        <f t="shared" si="754"/>
        <v>1</v>
      </c>
      <c r="K474" s="26">
        <f>VLOOKUP($C474,COS!$B$8:$H$991,2,FALSE)</f>
        <v>4489.771484375</v>
      </c>
      <c r="L474" s="24">
        <f t="shared" si="741"/>
        <v>1</v>
      </c>
      <c r="M474" s="24">
        <f t="shared" si="742"/>
        <v>0</v>
      </c>
      <c r="N474" s="26">
        <f>VLOOKUP($C474,COS!$B$8:$H$991,5,FALSE)</f>
        <v>753.90789794921875</v>
      </c>
      <c r="O474" s="26">
        <f t="shared" si="757"/>
        <v>46.355989758199897</v>
      </c>
      <c r="P474" s="26">
        <f>VLOOKUP($C474,COS!$B$8:$H$991,6,FALSE)</f>
        <v>2250.21826171875</v>
      </c>
      <c r="Q474" s="26">
        <f t="shared" si="758"/>
        <v>138.36052782799587</v>
      </c>
      <c r="R474" s="26">
        <f>MIN(IF(MONTH($C474)=4,$S$3,IF(MONTH($C474)=5,$S$4,IF(MONTH($C474)=6,$S$5,IF(MONTH($C474)=7,$S$6,"ERROR")))),MAX(VLOOKUP($C474,COS!$B$8:$K$991,10,FALSE)-IF(MONTH($C474)=4,$Y$3,IF(MONTH($C474)=5,$Y$4,IF(MONTH($C474)=6,$Y$5,IF(MONTH($C474)=7,$Y$6,"ERROR")))),0),MAX(VLOOKUP($C474,COS!$B$8:$K$991,9,FALSE)-IF(MONTH($C474)=4,$V$3,IF(MONTH($C474)=5,$V$4,IF(MONTH($C474)=6,$V$5,IF(MONTH($C474)=7,$V$6,"ERROR"))))-VLOOKUP($C474,COS!$B$8:$K$991,6,FALSE)/2,0))</f>
        <v>1500</v>
      </c>
      <c r="S474" s="26">
        <f t="shared" si="759"/>
        <v>92.231404958677686</v>
      </c>
      <c r="T474" s="26">
        <f t="shared" si="760"/>
        <v>184.58966375177556</v>
      </c>
      <c r="U474" s="26" t="str">
        <f>IF(VLOOKUP($C474,COS!$B$8:$I$991,8,FALSE)=1,"UWFE","IBU")</f>
        <v>UWFE</v>
      </c>
      <c r="V474" s="26">
        <f t="shared" ref="V474" si="762">MIN(IF(IF($AA$3=2,AND(E474=1,G474=1,L474=1,L478=1,M474=1,U474="IBU"),AND(E474=1,G474=1,L474=1,L478=1,M474=1)),T474,0),I474)</f>
        <v>0</v>
      </c>
      <c r="W474" s="26"/>
      <c r="X474" s="26"/>
      <c r="Y474" s="26"/>
      <c r="Z474" s="26"/>
      <c r="AA474" s="26"/>
      <c r="AB474" s="33"/>
    </row>
    <row r="475" spans="1:28" x14ac:dyDescent="0.3">
      <c r="A475" s="32">
        <f>VLOOKUP(YEAR(C475),Flags!$A$13:$B$95,2,FALSE)</f>
        <v>2</v>
      </c>
      <c r="B475" s="24">
        <f t="shared" si="739"/>
        <v>1973</v>
      </c>
      <c r="C475" s="25">
        <v>26845</v>
      </c>
      <c r="D475" s="26">
        <f>VLOOKUP($C475,COS!$B$8:$H$991,3,FALSE)</f>
        <v>13158.140625</v>
      </c>
      <c r="E475" s="24">
        <f>IF(D475&gt;=IF(MONTH($C475)=4,$C$3,IF(MONTH($C475)=5,$C$4,IF(MONTH($C475)=6,$C$5,IF(MONTH($C475)=7,$C$6,"ERROR")))),1,0)</f>
        <v>1</v>
      </c>
      <c r="F475" s="26">
        <f>VLOOKUP($C475,COS!$B$8:$H$991,7,FALSE)</f>
        <v>49.900630950927734</v>
      </c>
      <c r="G475" s="24">
        <f>IF(F475&lt;=IF(MONTH($C475)=4,$F$3,IF(MONTH($C475)=5,$F$4,IF(MONTH($C475)=6,$F$5,IF(MONTH($C475)=7,$F$6,"ERROR")))),1,0)</f>
        <v>1</v>
      </c>
      <c r="H475" s="26">
        <f>IF(J475=1,D475-$C$5,0)</f>
        <v>3158.140625</v>
      </c>
      <c r="I475" s="26">
        <f t="shared" si="661"/>
        <v>187.92241735537189</v>
      </c>
      <c r="J475" s="24">
        <f t="shared" si="754"/>
        <v>1</v>
      </c>
      <c r="K475" s="26">
        <f>VLOOKUP($C475,COS!$B$8:$H$991,2,FALSE)</f>
        <v>3919.55078125</v>
      </c>
      <c r="L475" s="24">
        <f t="shared" si="741"/>
        <v>1</v>
      </c>
      <c r="M475" s="24">
        <f t="shared" si="742"/>
        <v>0</v>
      </c>
      <c r="N475" s="26">
        <f>VLOOKUP($C475,COS!$B$8:$H$991,5,FALSE)</f>
        <v>1050.899658203125</v>
      </c>
      <c r="O475" s="26">
        <f t="shared" si="757"/>
        <v>62.532872223657023</v>
      </c>
      <c r="P475" s="26">
        <f>VLOOKUP($C475,COS!$B$8:$H$991,6,FALSE)</f>
        <v>2424.520751953125</v>
      </c>
      <c r="Q475" s="26">
        <f t="shared" si="758"/>
        <v>144.26900342200415</v>
      </c>
      <c r="R475" s="26">
        <f>MIN(IF(MONTH($C475)=4,$S$3,IF(MONTH($C475)=5,$S$4,IF(MONTH($C475)=6,$S$5,IF(MONTH($C475)=7,$S$6,"ERROR")))),MAX(VLOOKUP($C475,COS!$B$8:$K$991,10,FALSE)-IF(MONTH($C475)=4,$Y$3,IF(MONTH($C475)=5,$Y$4,IF(MONTH($C475)=6,$Y$5,IF(MONTH($C475)=7,$Y$6,"ERROR")))),0),MAX(VLOOKUP($C475,COS!$B$8:$K$991,9,FALSE)-IF(MONTH($C475)=4,$V$3,IF(MONTH($C475)=5,$V$4,IF(MONTH($C475)=6,$V$5,IF(MONTH($C475)=7,$V$6,"ERROR"))))-VLOOKUP($C475,COS!$B$8:$K$991,6,FALSE)/2,0))</f>
        <v>1500</v>
      </c>
      <c r="S475" s="26">
        <f t="shared" si="759"/>
        <v>89.256198347107429</v>
      </c>
      <c r="T475" s="26">
        <f t="shared" si="760"/>
        <v>192.65713616993801</v>
      </c>
      <c r="U475" s="26" t="str">
        <f>IF(VLOOKUP($C475,COS!$B$8:$I$991,8,FALSE)=1,"UWFE","IBU")</f>
        <v>IBU</v>
      </c>
      <c r="V475" s="26">
        <f t="shared" ref="V475" si="763">MIN(IF(IF($AA$3=2,AND(E475=1,G475=1,L475=1,L478=1,M475=1,U475="IBU"),AND(E475=1,G475=1,L475=1,L478=1,M475=1)),T475,0),I475)</f>
        <v>0</v>
      </c>
      <c r="W475" s="26"/>
      <c r="X475" s="26"/>
      <c r="Y475" s="26"/>
      <c r="Z475" s="26"/>
      <c r="AA475" s="26"/>
      <c r="AB475" s="33"/>
    </row>
    <row r="476" spans="1:28" x14ac:dyDescent="0.3">
      <c r="A476" s="32">
        <f>VLOOKUP(YEAR(C476),Flags!$A$13:$B$95,2,FALSE)</f>
        <v>2</v>
      </c>
      <c r="B476" s="24">
        <f t="shared" si="739"/>
        <v>1973</v>
      </c>
      <c r="C476" s="25">
        <v>26876</v>
      </c>
      <c r="D476" s="26">
        <f>VLOOKUP($C476,COS!$B$8:$H$991,3,FALSE)</f>
        <v>16000</v>
      </c>
      <c r="E476" s="24">
        <f>IF(D476&gt;=IF(MONTH($C476)=4,$C$3,IF(MONTH($C476)=5,$C$4,IF(MONTH($C476)=6,$C$5,IF(MONTH($C476)=7,$C$6,"ERROR")))),1,0)</f>
        <v>1</v>
      </c>
      <c r="F476" s="26">
        <f>VLOOKUP($C476,COS!$B$8:$H$991,7,FALSE)</f>
        <v>50.579265594482422</v>
      </c>
      <c r="G476" s="24">
        <f>IF(F476&lt;=IF(MONTH($C476)=4,$F$3,IF(MONTH($C476)=5,$F$4,IF(MONTH($C476)=6,$F$5,IF(MONTH($C476)=7,$F$6,"ERROR")))),1,0)</f>
        <v>1</v>
      </c>
      <c r="H476" s="26">
        <f>IF(J476=1,D476-$C$6,0)</f>
        <v>4000</v>
      </c>
      <c r="I476" s="26">
        <f t="shared" ref="I476:I539" si="764">H476*DAY($C476)*86400/43560/1000</f>
        <v>245.95041322314049</v>
      </c>
      <c r="J476" s="24">
        <f t="shared" si="754"/>
        <v>1</v>
      </c>
      <c r="K476" s="26">
        <f>VLOOKUP($C476,COS!$B$8:$H$991,2,FALSE)</f>
        <v>3219.93359375</v>
      </c>
      <c r="L476" s="24">
        <f t="shared" si="741"/>
        <v>1</v>
      </c>
      <c r="M476" s="24">
        <f t="shared" si="742"/>
        <v>0</v>
      </c>
      <c r="N476" s="26">
        <f>VLOOKUP($C476,COS!$B$8:$H$991,5,FALSE)</f>
        <v>1148.61376953125</v>
      </c>
      <c r="O476" s="26">
        <f t="shared" si="757"/>
        <v>70.625507812500004</v>
      </c>
      <c r="P476" s="26">
        <f>VLOOKUP($C476,COS!$B$8:$H$991,6,FALSE)</f>
        <v>2522.65771484375</v>
      </c>
      <c r="Q476" s="26">
        <f t="shared" si="758"/>
        <v>155.1121768465909</v>
      </c>
      <c r="R476" s="26">
        <f>MIN(IF(MONTH($C476)=4,$S$3,IF(MONTH($C476)=5,$S$4,IF(MONTH($C476)=6,$S$5,IF(MONTH($C476)=7,$S$6,"ERROR")))),MAX(VLOOKUP($C476,COS!$B$8:$K$991,10,FALSE)-IF(MONTH($C476)=4,$Y$3,IF(MONTH($C476)=5,$Y$4,IF(MONTH($C476)=6,$Y$5,IF(MONTH($C476)=7,$Y$6,"ERROR")))),0),MAX(VLOOKUP($C476,COS!$B$8:$K$991,9,FALSE)-IF(MONTH($C476)=4,$V$3,IF(MONTH($C476)=5,$V$4,IF(MONTH($C476)=6,$V$5,IF(MONTH($C476)=7,$V$6,"ERROR"))))-VLOOKUP($C476,COS!$B$8:$K$991,6,FALSE)/2,0))</f>
        <v>1500</v>
      </c>
      <c r="S476" s="26">
        <f t="shared" si="759"/>
        <v>92.231404958677686</v>
      </c>
      <c r="T476" s="26">
        <f t="shared" si="760"/>
        <v>205.10024728822316</v>
      </c>
      <c r="U476" s="26" t="str">
        <f>IF(VLOOKUP($C476,COS!$B$8:$I$991,8,FALSE)=1,"UWFE","IBU")</f>
        <v>IBU</v>
      </c>
      <c r="V476" s="26">
        <f t="shared" ref="V476" si="765">MIN(IF(IF($AA$3=2,AND(E476=1,G476=1,L476=1,L478=1,M476=1,U476="IBU"),AND(E476=1,G476=1,L476=1,L478=1,M476=1)),T476,0),I476)</f>
        <v>0</v>
      </c>
      <c r="W476" s="26"/>
      <c r="X476" s="26"/>
      <c r="Y476" s="26"/>
      <c r="Z476" s="26"/>
      <c r="AA476" s="26"/>
      <c r="AB476" s="33"/>
    </row>
    <row r="477" spans="1:28" x14ac:dyDescent="0.3">
      <c r="A477" s="32">
        <f>VLOOKUP(YEAR(C477),Flags!$A$13:$B$95,2,FALSE)</f>
        <v>2</v>
      </c>
      <c r="B477" s="24">
        <f t="shared" si="739"/>
        <v>1973</v>
      </c>
      <c r="C477" s="25">
        <v>26907</v>
      </c>
      <c r="D477" s="26"/>
      <c r="E477" s="24"/>
      <c r="F477" s="26"/>
      <c r="G477" s="24"/>
      <c r="H477" s="24"/>
      <c r="I477" s="26"/>
      <c r="J477" s="24"/>
      <c r="K477" s="26"/>
      <c r="L477" s="24"/>
      <c r="M477" s="24"/>
      <c r="N477" s="26"/>
      <c r="O477" s="26"/>
      <c r="P477" s="26"/>
      <c r="Q477" s="26"/>
      <c r="R477" s="26"/>
      <c r="S477" s="26"/>
      <c r="T477" s="26"/>
      <c r="U477" s="26"/>
      <c r="V477" s="26"/>
      <c r="W477" s="26">
        <f>MAX($C$7-VLOOKUP($C477,COS!$B$8:$H$991,3,FALSE),0)</f>
        <v>91231.0947265625</v>
      </c>
      <c r="X477" s="26">
        <f t="shared" si="667"/>
        <v>5609.5813616993801</v>
      </c>
      <c r="Y477" s="26">
        <f>VLOOKUP($C477,COS!$B$8:$H$991,4,FALSE)</f>
        <v>266.08578491210938</v>
      </c>
      <c r="Z477" s="26">
        <f t="shared" si="668"/>
        <v>16.360977187984247</v>
      </c>
      <c r="AA477" s="26">
        <f t="shared" ref="AA477:AA481" si="766">MIN(W477,Y477)</f>
        <v>266.08578491210938</v>
      </c>
      <c r="AB477" s="33">
        <f t="shared" ref="AB477" si="767">AA477*DAY($C477)*86400/43560/1000*IF(MONTH($C477)=8,$P$3,IF(MONTH($C477)=9,$P$4,IF(MONTH($C477)=10,$P$5,IF(MONTH($C477)=11,$P$6,IF(MONTH($C477)=12,$P$7,NA())))))</f>
        <v>16.360977187984247</v>
      </c>
    </row>
    <row r="478" spans="1:28" x14ac:dyDescent="0.3">
      <c r="A478" s="32">
        <f>VLOOKUP(YEAR(C478),Flags!$A$13:$B$95,2,FALSE)</f>
        <v>2</v>
      </c>
      <c r="B478" s="24">
        <f t="shared" si="739"/>
        <v>1973</v>
      </c>
      <c r="C478" s="25">
        <v>26937</v>
      </c>
      <c r="D478" s="26"/>
      <c r="E478" s="24"/>
      <c r="F478" s="26"/>
      <c r="G478" s="24"/>
      <c r="H478" s="24"/>
      <c r="I478" s="26"/>
      <c r="J478" s="24"/>
      <c r="K478" s="26">
        <f>VLOOKUP($C478,COS!$B$8:$H$991,2,FALSE)</f>
        <v>2805.609619140625</v>
      </c>
      <c r="L478" s="24">
        <f t="shared" ref="L478" si="768">IF(AND(K478&gt;$I$7,K478&lt;$I$8),1,0)</f>
        <v>1</v>
      </c>
      <c r="M478" s="24"/>
      <c r="N478" s="26"/>
      <c r="O478" s="26"/>
      <c r="P478" s="26"/>
      <c r="Q478" s="26"/>
      <c r="R478" s="26"/>
      <c r="S478" s="26"/>
      <c r="T478" s="26"/>
      <c r="U478" s="26"/>
      <c r="V478" s="26"/>
      <c r="W478" s="26">
        <f>MAX($C$8-VLOOKUP($C478,COS!$B$8:$H$991,3,FALSE),0)</f>
        <v>90741.9873046875</v>
      </c>
      <c r="X478" s="26">
        <f t="shared" si="667"/>
        <v>5399.5232115185954</v>
      </c>
      <c r="Y478" s="26">
        <f>VLOOKUP($C478,COS!$B$8:$H$991,4,FALSE)</f>
        <v>632.89453125</v>
      </c>
      <c r="Z478" s="26">
        <f t="shared" si="668"/>
        <v>37.659839876033061</v>
      </c>
      <c r="AA478" s="26">
        <f t="shared" si="766"/>
        <v>632.89453125</v>
      </c>
      <c r="AB478" s="33">
        <f t="shared" si="752"/>
        <v>37.659839876033061</v>
      </c>
    </row>
    <row r="479" spans="1:28" x14ac:dyDescent="0.3">
      <c r="A479" s="32">
        <f>VLOOKUP(YEAR(C479),Flags!$A$13:$B$95,2,FALSE)</f>
        <v>2</v>
      </c>
      <c r="B479" s="24">
        <f t="shared" si="739"/>
        <v>1973</v>
      </c>
      <c r="C479" s="25">
        <v>26968</v>
      </c>
      <c r="D479" s="26"/>
      <c r="E479" s="24"/>
      <c r="F479" s="26"/>
      <c r="G479" s="26"/>
      <c r="H479" s="26"/>
      <c r="I479" s="26"/>
      <c r="J479" s="26"/>
      <c r="K479" s="26"/>
      <c r="L479" s="24"/>
      <c r="M479" s="24"/>
      <c r="N479" s="26"/>
      <c r="O479" s="26"/>
      <c r="P479" s="26"/>
      <c r="Q479" s="26"/>
      <c r="R479" s="26"/>
      <c r="S479" s="26"/>
      <c r="T479" s="26"/>
      <c r="U479" s="26"/>
      <c r="V479" s="26"/>
      <c r="W479" s="26">
        <f>MAX($C$9-VLOOKUP($C479,COS!$B$8:$H$991,3,FALSE),0)</f>
        <v>94903.3291015625</v>
      </c>
      <c r="X479" s="26">
        <f t="shared" ref="X479:X542" si="769">W479*DAY($C479)*86400/43560/1000</f>
        <v>5835.378252195248</v>
      </c>
      <c r="Y479" s="26">
        <f>VLOOKUP($C479,COS!$B$8:$H$991,4,FALSE)</f>
        <v>827.64825439453125</v>
      </c>
      <c r="Z479" s="26">
        <f t="shared" ref="Z479:Z542" si="770">Y479*DAY($C479)*86400/43560/1000</f>
        <v>50.890107542936462</v>
      </c>
      <c r="AA479" s="26">
        <f t="shared" si="766"/>
        <v>827.64825439453125</v>
      </c>
      <c r="AB479" s="33">
        <f t="shared" si="752"/>
        <v>50.890107542936462</v>
      </c>
    </row>
    <row r="480" spans="1:28" x14ac:dyDescent="0.3">
      <c r="A480" s="32">
        <f>VLOOKUP(YEAR(C480),Flags!$A$13:$B$95,2,FALSE)</f>
        <v>2</v>
      </c>
      <c r="B480" s="24">
        <f t="shared" si="739"/>
        <v>1973</v>
      </c>
      <c r="C480" s="25">
        <v>26998</v>
      </c>
      <c r="D480" s="26"/>
      <c r="E480" s="24"/>
      <c r="F480" s="26"/>
      <c r="G480" s="26"/>
      <c r="H480" s="26"/>
      <c r="I480" s="26"/>
      <c r="J480" s="26"/>
      <c r="K480" s="26"/>
      <c r="L480" s="24"/>
      <c r="M480" s="24"/>
      <c r="N480" s="26"/>
      <c r="O480" s="26"/>
      <c r="P480" s="26"/>
      <c r="Q480" s="26"/>
      <c r="R480" s="26"/>
      <c r="S480" s="26"/>
      <c r="T480" s="26"/>
      <c r="U480" s="26"/>
      <c r="V480" s="26"/>
      <c r="W480" s="26">
        <f>MAX($C$10-VLOOKUP($C480,COS!$B$8:$H$991,3,FALSE),0)</f>
        <v>71353.306640625</v>
      </c>
      <c r="X480" s="26">
        <f t="shared" si="769"/>
        <v>4245.8165934917361</v>
      </c>
      <c r="Y480" s="26">
        <f>VLOOKUP($C480,COS!$B$8:$H$991,4,FALSE)</f>
        <v>0</v>
      </c>
      <c r="Z480" s="26">
        <f t="shared" si="770"/>
        <v>0</v>
      </c>
      <c r="AA480" s="26">
        <f t="shared" si="766"/>
        <v>0</v>
      </c>
      <c r="AB480" s="33">
        <f t="shared" si="752"/>
        <v>0</v>
      </c>
    </row>
    <row r="481" spans="1:28" x14ac:dyDescent="0.3">
      <c r="A481" s="34">
        <f>VLOOKUP(YEAR(C481),Flags!$A$13:$B$95,2,FALSE)</f>
        <v>2</v>
      </c>
      <c r="B481" s="35">
        <f t="shared" si="739"/>
        <v>1973</v>
      </c>
      <c r="C481" s="36">
        <v>27029</v>
      </c>
      <c r="D481" s="37"/>
      <c r="E481" s="35"/>
      <c r="F481" s="37"/>
      <c r="G481" s="37"/>
      <c r="H481" s="37"/>
      <c r="I481" s="37"/>
      <c r="J481" s="37"/>
      <c r="K481" s="37"/>
      <c r="L481" s="35"/>
      <c r="M481" s="35"/>
      <c r="N481" s="37"/>
      <c r="O481" s="37"/>
      <c r="P481" s="37"/>
      <c r="Q481" s="37"/>
      <c r="R481" s="37"/>
      <c r="S481" s="37"/>
      <c r="T481" s="37"/>
      <c r="U481" s="37"/>
      <c r="V481" s="37"/>
      <c r="W481" s="37">
        <f>MAX($C$11-VLOOKUP($C481,COS!$B$8:$H$991,3,FALSE),0)</f>
        <v>0</v>
      </c>
      <c r="X481" s="37">
        <f t="shared" si="769"/>
        <v>0</v>
      </c>
      <c r="Y481" s="37">
        <f>VLOOKUP($C481,COS!$B$8:$H$991,4,FALSE)</f>
        <v>0</v>
      </c>
      <c r="Z481" s="37">
        <f t="shared" si="770"/>
        <v>0</v>
      </c>
      <c r="AA481" s="37">
        <f t="shared" si="766"/>
        <v>0</v>
      </c>
      <c r="AB481" s="38">
        <f t="shared" si="752"/>
        <v>0</v>
      </c>
    </row>
    <row r="482" spans="1:28" x14ac:dyDescent="0.3">
      <c r="A482" s="27">
        <f>VLOOKUP(YEAR(C482),Flags!$A$13:$B$95,2,FALSE)</f>
        <v>1</v>
      </c>
      <c r="B482" s="28">
        <f t="shared" si="739"/>
        <v>1974</v>
      </c>
      <c r="C482" s="29">
        <v>27149</v>
      </c>
      <c r="D482" s="30">
        <f>VLOOKUP($C482,COS!$B$8:$H$991,3,FALSE)</f>
        <v>5857.21484375</v>
      </c>
      <c r="E482" s="28">
        <f>IF(D482&gt;=IF(MONTH($C482)=4,$C$3,IF(MONTH($C482)=5,$C$4,IF(MONTH($C482)=6,$C$5,IF(MONTH($C482)=7,$C$6,"ERROR")))),1,0)</f>
        <v>0</v>
      </c>
      <c r="F482" s="30">
        <f>VLOOKUP($C482,COS!$B$8:$H$991,7,FALSE)</f>
        <v>48.415458679199219</v>
      </c>
      <c r="G482" s="28">
        <f>IF(F482&lt;=IF(MONTH($C482)=4,$F$3,IF(MONTH($C482)=5,$F$4,IF(MONTH($C482)=6,$F$5,IF(MONTH($C482)=7,$F$6,"ERROR")))),1,0)</f>
        <v>1</v>
      </c>
      <c r="H482" s="30">
        <f>IF(J482=1,D482-$C$3,0)</f>
        <v>0</v>
      </c>
      <c r="I482" s="30">
        <f t="shared" si="764"/>
        <v>0</v>
      </c>
      <c r="J482" s="28">
        <f t="shared" ref="J482:J485" si="771">IF(AND(E482=1,G482=1),1,0)</f>
        <v>0</v>
      </c>
      <c r="K482" s="30">
        <f>VLOOKUP($C482,COS!$B$8:$H$991,2,FALSE)</f>
        <v>4289</v>
      </c>
      <c r="L482" s="28">
        <f t="shared" ref="L482" si="772">IF(K482&lt;=IF(MONTH($C482)=4,$I$3,IF(MONTH($C482)=5,$I$4,IF(MONTH($C482)=6,$I$5,IF(MONTH($C482)=7,$I$6,"ERROR")))),1,0)</f>
        <v>1</v>
      </c>
      <c r="M482" s="28">
        <f t="shared" ref="M482" si="773">VLOOKUP($A482,$L$3:$M$7,2,FALSE)</f>
        <v>0</v>
      </c>
      <c r="N482" s="30">
        <f>VLOOKUP($C482,COS!$B$8:$H$991,5,FALSE)</f>
        <v>44.716442108154297</v>
      </c>
      <c r="O482" s="30">
        <f t="shared" ref="O482:O485" si="774">N482*DAY($C482)*86400/43560/1000</f>
        <v>2.6608130841215778</v>
      </c>
      <c r="P482" s="30">
        <f>VLOOKUP($C482,COS!$B$8:$H$991,6,FALSE)</f>
        <v>403.17050170898438</v>
      </c>
      <c r="Q482" s="30">
        <f t="shared" ref="Q482:Q485" si="775">P482*DAY($C482)*86400/43560/1000</f>
        <v>23.990310845493283</v>
      </c>
      <c r="R482" s="30">
        <f>MIN(IF(MONTH($C482)=4,$S$3,IF(MONTH($C482)=5,$S$4,IF(MONTH($C482)=6,$S$5,IF(MONTH($C482)=7,$S$6,"ERROR")))),MAX(VLOOKUP($C482,COS!$B$8:$K$991,10,FALSE)-IF(MONTH($C482)=4,$Y$3,IF(MONTH($C482)=5,$Y$4,IF(MONTH($C482)=6,$Y$5,IF(MONTH($C482)=7,$Y$6,"ERROR")))),0),MAX(VLOOKUP($C482,COS!$B$8:$K$991,9,FALSE)-IF(MONTH($C482)=4,$V$3,IF(MONTH($C482)=5,$V$4,IF(MONTH($C482)=6,$V$5,IF(MONTH($C482)=7,$V$6,"ERROR"))))-VLOOKUP($C482,COS!$B$8:$K$991,6,FALSE)/2,0))</f>
        <v>1500</v>
      </c>
      <c r="S482" s="30">
        <f t="shared" ref="S482:S485" si="776">R482*DAY($C482)*86400/43560/1000</f>
        <v>89.256198347107429</v>
      </c>
      <c r="T482" s="30">
        <f t="shared" ref="T482:T485" si="777">(O482+Q482)/2+S482</f>
        <v>102.58176031191486</v>
      </c>
      <c r="U482" s="30" t="str">
        <f>IF(VLOOKUP($C482,COS!$B$8:$I$991,8,FALSE)=1,"UWFE","IBU")</f>
        <v>UWFE</v>
      </c>
      <c r="V482" s="30">
        <f t="shared" ref="V482" si="778">MIN(IF(IF($AA$3=2,AND(E482=1,G482=1,L482=1,L487=1,M482=1,U482="IBU"),AND(E482=1,G482=1,L482=1,L487=1,M482=1)),T482,0),I482)</f>
        <v>0</v>
      </c>
      <c r="W482" s="30"/>
      <c r="X482" s="30"/>
      <c r="Y482" s="30"/>
      <c r="Z482" s="30"/>
      <c r="AA482" s="30"/>
      <c r="AB482" s="31"/>
    </row>
    <row r="483" spans="1:28" x14ac:dyDescent="0.3">
      <c r="A483" s="32">
        <f>VLOOKUP(YEAR(C483),Flags!$A$13:$B$95,2,FALSE)</f>
        <v>1</v>
      </c>
      <c r="B483" s="24">
        <f t="shared" si="739"/>
        <v>1974</v>
      </c>
      <c r="C483" s="25">
        <v>27180</v>
      </c>
      <c r="D483" s="26">
        <f>VLOOKUP($C483,COS!$B$8:$H$991,3,FALSE)</f>
        <v>5594.63427734375</v>
      </c>
      <c r="E483" s="24">
        <f>IF(D483&gt;=IF(MONTH($C483)=4,$C$3,IF(MONTH($C483)=5,$C$4,IF(MONTH($C483)=6,$C$5,IF(MONTH($C483)=7,$C$6,"ERROR")))),1,0)</f>
        <v>0</v>
      </c>
      <c r="F483" s="26">
        <f>VLOOKUP($C483,COS!$B$8:$H$991,7,FALSE)</f>
        <v>50.93426513671875</v>
      </c>
      <c r="G483" s="24">
        <f>IF(F483&lt;=IF(MONTH($C483)=4,$F$3,IF(MONTH($C483)=5,$F$4,IF(MONTH($C483)=6,$F$5,IF(MONTH($C483)=7,$F$6,"ERROR")))),1,0)</f>
        <v>1</v>
      </c>
      <c r="H483" s="26">
        <f>IF(J483=1,D483-$C$4,0)</f>
        <v>0</v>
      </c>
      <c r="I483" s="26">
        <f t="shared" si="764"/>
        <v>0</v>
      </c>
      <c r="J483" s="24">
        <f t="shared" si="771"/>
        <v>0</v>
      </c>
      <c r="K483" s="26">
        <f>VLOOKUP($C483,COS!$B$8:$H$991,2,FALSE)</f>
        <v>4515.02880859375</v>
      </c>
      <c r="L483" s="24">
        <f t="shared" si="741"/>
        <v>1</v>
      </c>
      <c r="M483" s="24">
        <f t="shared" si="742"/>
        <v>0</v>
      </c>
      <c r="N483" s="26">
        <f>VLOOKUP($C483,COS!$B$8:$H$991,5,FALSE)</f>
        <v>762.792724609375</v>
      </c>
      <c r="O483" s="26">
        <f t="shared" si="774"/>
        <v>46.902296455320247</v>
      </c>
      <c r="P483" s="26">
        <f>VLOOKUP($C483,COS!$B$8:$H$991,6,FALSE)</f>
        <v>2255.40283203125</v>
      </c>
      <c r="Q483" s="26">
        <f t="shared" si="775"/>
        <v>138.67931463068183</v>
      </c>
      <c r="R483" s="26">
        <f>MIN(IF(MONTH($C483)=4,$S$3,IF(MONTH($C483)=5,$S$4,IF(MONTH($C483)=6,$S$5,IF(MONTH($C483)=7,$S$6,"ERROR")))),MAX(VLOOKUP($C483,COS!$B$8:$K$991,10,FALSE)-IF(MONTH($C483)=4,$Y$3,IF(MONTH($C483)=5,$Y$4,IF(MONTH($C483)=6,$Y$5,IF(MONTH($C483)=7,$Y$6,"ERROR")))),0),MAX(VLOOKUP($C483,COS!$B$8:$K$991,9,FALSE)-IF(MONTH($C483)=4,$V$3,IF(MONTH($C483)=5,$V$4,IF(MONTH($C483)=6,$V$5,IF(MONTH($C483)=7,$V$6,"ERROR"))))-VLOOKUP($C483,COS!$B$8:$K$991,6,FALSE)/2,0))</f>
        <v>1500</v>
      </c>
      <c r="S483" s="26">
        <f t="shared" si="776"/>
        <v>92.231404958677686</v>
      </c>
      <c r="T483" s="26">
        <f t="shared" si="777"/>
        <v>185.02221050167873</v>
      </c>
      <c r="U483" s="26" t="str">
        <f>IF(VLOOKUP($C483,COS!$B$8:$I$991,8,FALSE)=1,"UWFE","IBU")</f>
        <v>UWFE</v>
      </c>
      <c r="V483" s="26">
        <f t="shared" ref="V483" si="779">MIN(IF(IF($AA$3=2,AND(E483=1,G483=1,L483=1,L487=1,M483=1,U483="IBU"),AND(E483=1,G483=1,L483=1,L487=1,M483=1)),T483,0),I483)</f>
        <v>0</v>
      </c>
      <c r="W483" s="26"/>
      <c r="X483" s="26"/>
      <c r="Y483" s="26"/>
      <c r="Z483" s="26"/>
      <c r="AA483" s="26"/>
      <c r="AB483" s="33"/>
    </row>
    <row r="484" spans="1:28" x14ac:dyDescent="0.3">
      <c r="A484" s="32">
        <f>VLOOKUP(YEAR(C484),Flags!$A$13:$B$95,2,FALSE)</f>
        <v>1</v>
      </c>
      <c r="B484" s="24">
        <f t="shared" si="739"/>
        <v>1974</v>
      </c>
      <c r="C484" s="25">
        <v>27210</v>
      </c>
      <c r="D484" s="26">
        <f>VLOOKUP($C484,COS!$B$8:$H$991,3,FALSE)</f>
        <v>8124.50732421875</v>
      </c>
      <c r="E484" s="24">
        <f>IF(D484&gt;=IF(MONTH($C484)=4,$C$3,IF(MONTH($C484)=5,$C$4,IF(MONTH($C484)=6,$C$5,IF(MONTH($C484)=7,$C$6,"ERROR")))),1,0)</f>
        <v>0</v>
      </c>
      <c r="F484" s="26">
        <f>VLOOKUP($C484,COS!$B$8:$H$991,7,FALSE)</f>
        <v>51.255088806152344</v>
      </c>
      <c r="G484" s="24">
        <f>IF(F484&lt;=IF(MONTH($C484)=4,$F$3,IF(MONTH($C484)=5,$F$4,IF(MONTH($C484)=6,$F$5,IF(MONTH($C484)=7,$F$6,"ERROR")))),1,0)</f>
        <v>1</v>
      </c>
      <c r="H484" s="26">
        <f>IF(J484=1,D484-$C$5,0)</f>
        <v>0</v>
      </c>
      <c r="I484" s="26">
        <f t="shared" si="764"/>
        <v>0</v>
      </c>
      <c r="J484" s="24">
        <f t="shared" si="771"/>
        <v>0</v>
      </c>
      <c r="K484" s="26">
        <f>VLOOKUP($C484,COS!$B$8:$H$991,2,FALSE)</f>
        <v>4359.88232421875</v>
      </c>
      <c r="L484" s="24">
        <f t="shared" si="741"/>
        <v>1</v>
      </c>
      <c r="M484" s="24">
        <f t="shared" si="742"/>
        <v>0</v>
      </c>
      <c r="N484" s="26">
        <f>VLOOKUP($C484,COS!$B$8:$H$991,5,FALSE)</f>
        <v>1221.2120361328125</v>
      </c>
      <c r="O484" s="26">
        <f t="shared" si="774"/>
        <v>72.667162480630168</v>
      </c>
      <c r="P484" s="26">
        <f>VLOOKUP($C484,COS!$B$8:$H$991,6,FALSE)</f>
        <v>2328.534912109375</v>
      </c>
      <c r="Q484" s="26">
        <f t="shared" si="775"/>
        <v>138.55744931559917</v>
      </c>
      <c r="R484" s="26">
        <f>MIN(IF(MONTH($C484)=4,$S$3,IF(MONTH($C484)=5,$S$4,IF(MONTH($C484)=6,$S$5,IF(MONTH($C484)=7,$S$6,"ERROR")))),MAX(VLOOKUP($C484,COS!$B$8:$K$991,10,FALSE)-IF(MONTH($C484)=4,$Y$3,IF(MONTH($C484)=5,$Y$4,IF(MONTH($C484)=6,$Y$5,IF(MONTH($C484)=7,$Y$6,"ERROR")))),0),MAX(VLOOKUP($C484,COS!$B$8:$K$991,9,FALSE)-IF(MONTH($C484)=4,$V$3,IF(MONTH($C484)=5,$V$4,IF(MONTH($C484)=6,$V$5,IF(MONTH($C484)=7,$V$6,"ERROR"))))-VLOOKUP($C484,COS!$B$8:$K$991,6,FALSE)/2,0))</f>
        <v>1500</v>
      </c>
      <c r="S484" s="26">
        <f t="shared" si="776"/>
        <v>89.256198347107429</v>
      </c>
      <c r="T484" s="26">
        <f t="shared" si="777"/>
        <v>194.86850424522208</v>
      </c>
      <c r="U484" s="26" t="str">
        <f>IF(VLOOKUP($C484,COS!$B$8:$I$991,8,FALSE)=1,"UWFE","IBU")</f>
        <v>UWFE</v>
      </c>
      <c r="V484" s="26">
        <f t="shared" ref="V484" si="780">MIN(IF(IF($AA$3=2,AND(E484=1,G484=1,L484=1,L487=1,M484=1,U484="IBU"),AND(E484=1,G484=1,L484=1,L487=1,M484=1)),T484,0),I484)</f>
        <v>0</v>
      </c>
      <c r="W484" s="26"/>
      <c r="X484" s="26"/>
      <c r="Y484" s="26"/>
      <c r="Z484" s="26"/>
      <c r="AA484" s="26"/>
      <c r="AB484" s="33"/>
    </row>
    <row r="485" spans="1:28" x14ac:dyDescent="0.3">
      <c r="A485" s="32">
        <f>VLOOKUP(YEAR(C485),Flags!$A$13:$B$95,2,FALSE)</f>
        <v>1</v>
      </c>
      <c r="B485" s="24">
        <f t="shared" si="739"/>
        <v>1974</v>
      </c>
      <c r="C485" s="25">
        <v>27241</v>
      </c>
      <c r="D485" s="26">
        <f>VLOOKUP($C485,COS!$B$8:$H$991,3,FALSE)</f>
        <v>12602.3798828125</v>
      </c>
      <c r="E485" s="24">
        <f>IF(D485&gt;=IF(MONTH($C485)=4,$C$3,IF(MONTH($C485)=5,$C$4,IF(MONTH($C485)=6,$C$5,IF(MONTH($C485)=7,$C$6,"ERROR")))),1,0)</f>
        <v>1</v>
      </c>
      <c r="F485" s="26">
        <f>VLOOKUP($C485,COS!$B$8:$H$991,7,FALSE)</f>
        <v>51.680782318115234</v>
      </c>
      <c r="G485" s="24">
        <f>IF(F485&lt;=IF(MONTH($C485)=4,$F$3,IF(MONTH($C485)=5,$F$4,IF(MONTH($C485)=6,$F$5,IF(MONTH($C485)=7,$F$6,"ERROR")))),1,0)</f>
        <v>1</v>
      </c>
      <c r="H485" s="26">
        <f>IF(J485=1,D485-$C$6,0)</f>
        <v>602.3798828125</v>
      </c>
      <c r="I485" s="26">
        <f t="shared" si="764"/>
        <v>37.038895273760332</v>
      </c>
      <c r="J485" s="24">
        <f t="shared" si="771"/>
        <v>1</v>
      </c>
      <c r="K485" s="26">
        <f>VLOOKUP($C485,COS!$B$8:$H$991,2,FALSE)</f>
        <v>3927.6494140625</v>
      </c>
      <c r="L485" s="24">
        <f t="shared" si="741"/>
        <v>1</v>
      </c>
      <c r="M485" s="24">
        <f t="shared" si="742"/>
        <v>0</v>
      </c>
      <c r="N485" s="26">
        <f>VLOOKUP($C485,COS!$B$8:$H$991,5,FALSE)</f>
        <v>1157.809326171875</v>
      </c>
      <c r="O485" s="26">
        <f t="shared" si="774"/>
        <v>71.190920551394626</v>
      </c>
      <c r="P485" s="26">
        <f>VLOOKUP($C485,COS!$B$8:$H$991,6,FALSE)</f>
        <v>2265.91064453125</v>
      </c>
      <c r="Q485" s="26">
        <f t="shared" si="775"/>
        <v>139.32541483729338</v>
      </c>
      <c r="R485" s="26">
        <f>MIN(IF(MONTH($C485)=4,$S$3,IF(MONTH($C485)=5,$S$4,IF(MONTH($C485)=6,$S$5,IF(MONTH($C485)=7,$S$6,"ERROR")))),MAX(VLOOKUP($C485,COS!$B$8:$K$991,10,FALSE)-IF(MONTH($C485)=4,$Y$3,IF(MONTH($C485)=5,$Y$4,IF(MONTH($C485)=6,$Y$5,IF(MONTH($C485)=7,$Y$6,"ERROR")))),0),MAX(VLOOKUP($C485,COS!$B$8:$K$991,9,FALSE)-IF(MONTH($C485)=4,$V$3,IF(MONTH($C485)=5,$V$4,IF(MONTH($C485)=6,$V$5,IF(MONTH($C485)=7,$V$6,"ERROR"))))-VLOOKUP($C485,COS!$B$8:$K$991,6,FALSE)/2,0))</f>
        <v>1500</v>
      </c>
      <c r="S485" s="26">
        <f t="shared" si="776"/>
        <v>92.231404958677686</v>
      </c>
      <c r="T485" s="26">
        <f t="shared" si="777"/>
        <v>197.4895726530217</v>
      </c>
      <c r="U485" s="26" t="str">
        <f>IF(VLOOKUP($C485,COS!$B$8:$I$991,8,FALSE)=1,"UWFE","IBU")</f>
        <v>IBU</v>
      </c>
      <c r="V485" s="26">
        <f t="shared" ref="V485" si="781">MIN(IF(IF($AA$3=2,AND(E485=1,G485=1,L485=1,L487=1,M485=1,U485="IBU"),AND(E485=1,G485=1,L485=1,L487=1,M485=1)),T485,0),I485)</f>
        <v>0</v>
      </c>
      <c r="W485" s="26"/>
      <c r="X485" s="26"/>
      <c r="Y485" s="26"/>
      <c r="Z485" s="26"/>
      <c r="AA485" s="26"/>
      <c r="AB485" s="33"/>
    </row>
    <row r="486" spans="1:28" x14ac:dyDescent="0.3">
      <c r="A486" s="32">
        <f>VLOOKUP(YEAR(C486),Flags!$A$13:$B$95,2,FALSE)</f>
        <v>1</v>
      </c>
      <c r="B486" s="24">
        <f t="shared" si="739"/>
        <v>1974</v>
      </c>
      <c r="C486" s="25">
        <v>27272</v>
      </c>
      <c r="D486" s="26"/>
      <c r="E486" s="24"/>
      <c r="F486" s="26"/>
      <c r="G486" s="24"/>
      <c r="H486" s="24"/>
      <c r="I486" s="26"/>
      <c r="J486" s="24"/>
      <c r="K486" s="26"/>
      <c r="L486" s="24"/>
      <c r="M486" s="24"/>
      <c r="N486" s="26"/>
      <c r="O486" s="26"/>
      <c r="P486" s="26"/>
      <c r="Q486" s="26"/>
      <c r="R486" s="26"/>
      <c r="S486" s="26"/>
      <c r="T486" s="26"/>
      <c r="U486" s="26"/>
      <c r="V486" s="26"/>
      <c r="W486" s="26">
        <f>MAX($C$7-VLOOKUP($C486,COS!$B$8:$H$991,3,FALSE),0)</f>
        <v>90403.6591796875</v>
      </c>
      <c r="X486" s="26">
        <f t="shared" si="769"/>
        <v>5558.7043330320248</v>
      </c>
      <c r="Y486" s="26">
        <f>VLOOKUP($C486,COS!$B$8:$H$991,4,FALSE)</f>
        <v>0</v>
      </c>
      <c r="Z486" s="26">
        <f t="shared" si="770"/>
        <v>0</v>
      </c>
      <c r="AA486" s="26">
        <f t="shared" ref="AA486:AA490" si="782">MIN(W486,Y486)</f>
        <v>0</v>
      </c>
      <c r="AB486" s="33">
        <f t="shared" ref="AB486" si="783">AA486*DAY($C486)*86400/43560/1000*IF(MONTH($C486)=8,$P$3,IF(MONTH($C486)=9,$P$4,IF(MONTH($C486)=10,$P$5,IF(MONTH($C486)=11,$P$6,IF(MONTH($C486)=12,$P$7,NA())))))</f>
        <v>0</v>
      </c>
    </row>
    <row r="487" spans="1:28" x14ac:dyDescent="0.3">
      <c r="A487" s="32">
        <f>VLOOKUP(YEAR(C487),Flags!$A$13:$B$95,2,FALSE)</f>
        <v>1</v>
      </c>
      <c r="B487" s="24">
        <f t="shared" si="739"/>
        <v>1974</v>
      </c>
      <c r="C487" s="25">
        <v>27302</v>
      </c>
      <c r="D487" s="26"/>
      <c r="E487" s="24"/>
      <c r="F487" s="26"/>
      <c r="G487" s="24"/>
      <c r="H487" s="24"/>
      <c r="I487" s="26"/>
      <c r="J487" s="24"/>
      <c r="K487" s="26">
        <f>VLOOKUP($C487,COS!$B$8:$H$991,2,FALSE)</f>
        <v>3201.753173828125</v>
      </c>
      <c r="L487" s="24">
        <f t="shared" ref="L487" si="784">IF(AND(K487&gt;$I$7,K487&lt;$I$8),1,0)</f>
        <v>1</v>
      </c>
      <c r="M487" s="24"/>
      <c r="N487" s="26"/>
      <c r="O487" s="26"/>
      <c r="P487" s="26"/>
      <c r="Q487" s="26"/>
      <c r="R487" s="26"/>
      <c r="S487" s="26"/>
      <c r="T487" s="26"/>
      <c r="U487" s="26"/>
      <c r="V487" s="26"/>
      <c r="W487" s="26">
        <f>MAX($C$8-VLOOKUP($C487,COS!$B$8:$H$991,3,FALSE),0)</f>
        <v>86925.96875</v>
      </c>
      <c r="X487" s="26">
        <f t="shared" si="769"/>
        <v>5172.4543388429747</v>
      </c>
      <c r="Y487" s="26">
        <f>VLOOKUP($C487,COS!$B$8:$H$991,4,FALSE)</f>
        <v>0</v>
      </c>
      <c r="Z487" s="26">
        <f t="shared" si="770"/>
        <v>0</v>
      </c>
      <c r="AA487" s="26">
        <f t="shared" si="782"/>
        <v>0</v>
      </c>
      <c r="AB487" s="33">
        <f t="shared" si="752"/>
        <v>0</v>
      </c>
    </row>
    <row r="488" spans="1:28" x14ac:dyDescent="0.3">
      <c r="A488" s="32">
        <f>VLOOKUP(YEAR(C488),Flags!$A$13:$B$95,2,FALSE)</f>
        <v>1</v>
      </c>
      <c r="B488" s="24">
        <f t="shared" si="739"/>
        <v>1974</v>
      </c>
      <c r="C488" s="25">
        <v>27333</v>
      </c>
      <c r="D488" s="26"/>
      <c r="E488" s="24"/>
      <c r="F488" s="26"/>
      <c r="G488" s="26"/>
      <c r="H488" s="26"/>
      <c r="I488" s="26"/>
      <c r="J488" s="26"/>
      <c r="K488" s="26"/>
      <c r="L488" s="24"/>
      <c r="M488" s="24"/>
      <c r="N488" s="26"/>
      <c r="O488" s="26"/>
      <c r="P488" s="26"/>
      <c r="Q488" s="26"/>
      <c r="R488" s="26"/>
      <c r="S488" s="26"/>
      <c r="T488" s="26"/>
      <c r="U488" s="26"/>
      <c r="V488" s="26"/>
      <c r="W488" s="26">
        <f>MAX($C$9-VLOOKUP($C488,COS!$B$8:$H$991,3,FALSE),0)</f>
        <v>91203.32421875</v>
      </c>
      <c r="X488" s="26">
        <f t="shared" si="769"/>
        <v>5607.8738197314051</v>
      </c>
      <c r="Y488" s="26">
        <f>VLOOKUP($C488,COS!$B$8:$H$991,4,FALSE)</f>
        <v>1233.3179931640625</v>
      </c>
      <c r="Z488" s="26">
        <f t="shared" si="770"/>
        <v>75.833767513558882</v>
      </c>
      <c r="AA488" s="26">
        <f t="shared" si="782"/>
        <v>1233.3179931640625</v>
      </c>
      <c r="AB488" s="33">
        <f t="shared" si="752"/>
        <v>75.833767513558882</v>
      </c>
    </row>
    <row r="489" spans="1:28" x14ac:dyDescent="0.3">
      <c r="A489" s="32">
        <f>VLOOKUP(YEAR(C489),Flags!$A$13:$B$95,2,FALSE)</f>
        <v>1</v>
      </c>
      <c r="B489" s="24">
        <f t="shared" si="739"/>
        <v>1974</v>
      </c>
      <c r="C489" s="25">
        <v>27363</v>
      </c>
      <c r="D489" s="26"/>
      <c r="E489" s="24"/>
      <c r="F489" s="26"/>
      <c r="G489" s="26"/>
      <c r="H489" s="26"/>
      <c r="I489" s="26"/>
      <c r="J489" s="26"/>
      <c r="K489" s="26"/>
      <c r="L489" s="24"/>
      <c r="M489" s="24"/>
      <c r="N489" s="26"/>
      <c r="O489" s="26"/>
      <c r="P489" s="26"/>
      <c r="Q489" s="26"/>
      <c r="R489" s="26"/>
      <c r="S489" s="26"/>
      <c r="T489" s="26"/>
      <c r="U489" s="26"/>
      <c r="V489" s="26"/>
      <c r="W489" s="26">
        <f>MAX($C$10-VLOOKUP($C489,COS!$B$8:$H$991,3,FALSE),0)</f>
        <v>87555.9794921875</v>
      </c>
      <c r="X489" s="26">
        <f t="shared" si="769"/>
        <v>5209.9425813533062</v>
      </c>
      <c r="Y489" s="26">
        <f>VLOOKUP($C489,COS!$B$8:$H$991,4,FALSE)</f>
        <v>1391.8277587890625</v>
      </c>
      <c r="Z489" s="26">
        <f t="shared" si="770"/>
        <v>82.819503002324367</v>
      </c>
      <c r="AA489" s="26">
        <f t="shared" si="782"/>
        <v>1391.8277587890625</v>
      </c>
      <c r="AB489" s="33">
        <f t="shared" si="752"/>
        <v>41.409751501162184</v>
      </c>
    </row>
    <row r="490" spans="1:28" x14ac:dyDescent="0.3">
      <c r="A490" s="34">
        <f>VLOOKUP(YEAR(C490),Flags!$A$13:$B$95,2,FALSE)</f>
        <v>1</v>
      </c>
      <c r="B490" s="35">
        <f t="shared" si="739"/>
        <v>1974</v>
      </c>
      <c r="C490" s="36">
        <v>27394</v>
      </c>
      <c r="D490" s="37"/>
      <c r="E490" s="35"/>
      <c r="F490" s="37"/>
      <c r="G490" s="37"/>
      <c r="H490" s="37"/>
      <c r="I490" s="37"/>
      <c r="J490" s="37"/>
      <c r="K490" s="37"/>
      <c r="L490" s="35"/>
      <c r="M490" s="35"/>
      <c r="N490" s="37"/>
      <c r="O490" s="37"/>
      <c r="P490" s="37"/>
      <c r="Q490" s="37"/>
      <c r="R490" s="37"/>
      <c r="S490" s="37"/>
      <c r="T490" s="37"/>
      <c r="U490" s="37"/>
      <c r="V490" s="37"/>
      <c r="W490" s="37">
        <f>MAX($C$11-VLOOKUP($C490,COS!$B$8:$H$991,3,FALSE),0)</f>
        <v>0</v>
      </c>
      <c r="X490" s="37">
        <f t="shared" si="769"/>
        <v>0</v>
      </c>
      <c r="Y490" s="37">
        <f>VLOOKUP($C490,COS!$B$8:$H$991,4,FALSE)</f>
        <v>0</v>
      </c>
      <c r="Z490" s="37">
        <f t="shared" si="770"/>
        <v>0</v>
      </c>
      <c r="AA490" s="37">
        <f t="shared" si="782"/>
        <v>0</v>
      </c>
      <c r="AB490" s="38">
        <f t="shared" si="752"/>
        <v>0</v>
      </c>
    </row>
    <row r="491" spans="1:28" x14ac:dyDescent="0.3">
      <c r="A491" s="27">
        <f>VLOOKUP(YEAR(C491),Flags!$A$13:$B$95,2,FALSE)</f>
        <v>1</v>
      </c>
      <c r="B491" s="28">
        <f t="shared" si="739"/>
        <v>1975</v>
      </c>
      <c r="C491" s="29">
        <v>27514</v>
      </c>
      <c r="D491" s="30">
        <f>VLOOKUP($C491,COS!$B$8:$H$991,3,FALSE)</f>
        <v>3250</v>
      </c>
      <c r="E491" s="28">
        <f>IF(D491&gt;=IF(MONTH($C491)=4,$C$3,IF(MONTH($C491)=5,$C$4,IF(MONTH($C491)=6,$C$5,IF(MONTH($C491)=7,$C$6,"ERROR")))),1,0)</f>
        <v>0</v>
      </c>
      <c r="F491" s="30">
        <f>VLOOKUP($C491,COS!$B$8:$H$991,7,FALSE)</f>
        <v>50.470378875732422</v>
      </c>
      <c r="G491" s="28">
        <f>IF(F491&lt;=IF(MONTH($C491)=4,$F$3,IF(MONTH($C491)=5,$F$4,IF(MONTH($C491)=6,$F$5,IF(MONTH($C491)=7,$F$6,"ERROR")))),1,0)</f>
        <v>1</v>
      </c>
      <c r="H491" s="30">
        <f>IF(J491=1,D491-$C$3,0)</f>
        <v>0</v>
      </c>
      <c r="I491" s="30">
        <f t="shared" si="764"/>
        <v>0</v>
      </c>
      <c r="J491" s="28">
        <f t="shared" ref="J491:J494" si="785">IF(AND(E491=1,G491=1),1,0)</f>
        <v>0</v>
      </c>
      <c r="K491" s="30">
        <f>VLOOKUP($C491,COS!$B$8:$H$991,2,FALSE)</f>
        <v>4449.69873046875</v>
      </c>
      <c r="L491" s="28">
        <f t="shared" ref="L491" si="786">IF(K491&lt;=IF(MONTH($C491)=4,$I$3,IF(MONTH($C491)=5,$I$4,IF(MONTH($C491)=6,$I$5,IF(MONTH($C491)=7,$I$6,"ERROR")))),1,0)</f>
        <v>1</v>
      </c>
      <c r="M491" s="28">
        <f t="shared" ref="M491" si="787">VLOOKUP($A491,$L$3:$M$7,2,FALSE)</f>
        <v>0</v>
      </c>
      <c r="N491" s="30">
        <f>VLOOKUP($C491,COS!$B$8:$H$991,5,FALSE)</f>
        <v>348.71612548828125</v>
      </c>
      <c r="O491" s="30">
        <f t="shared" ref="O491:O494" si="788">N491*DAY($C491)*86400/43560/1000</f>
        <v>20.750050442277892</v>
      </c>
      <c r="P491" s="30">
        <f>VLOOKUP($C491,COS!$B$8:$H$991,6,FALSE)</f>
        <v>422.25656127929688</v>
      </c>
      <c r="Q491" s="30">
        <f t="shared" ref="Q491:Q494" si="789">P491*DAY($C491)*86400/43560/1000</f>
        <v>25.12601025794163</v>
      </c>
      <c r="R491" s="30">
        <f>MIN(IF(MONTH($C491)=4,$S$3,IF(MONTH($C491)=5,$S$4,IF(MONTH($C491)=6,$S$5,IF(MONTH($C491)=7,$S$6,"ERROR")))),MAX(VLOOKUP($C491,COS!$B$8:$K$991,10,FALSE)-IF(MONTH($C491)=4,$Y$3,IF(MONTH($C491)=5,$Y$4,IF(MONTH($C491)=6,$Y$5,IF(MONTH($C491)=7,$Y$6,"ERROR")))),0),MAX(VLOOKUP($C491,COS!$B$8:$K$991,9,FALSE)-IF(MONTH($C491)=4,$V$3,IF(MONTH($C491)=5,$V$4,IF(MONTH($C491)=6,$V$5,IF(MONTH($C491)=7,$V$6,"ERROR"))))-VLOOKUP($C491,COS!$B$8:$K$991,6,FALSE)/2,0))</f>
        <v>1500</v>
      </c>
      <c r="S491" s="30">
        <f t="shared" ref="S491:S494" si="790">R491*DAY($C491)*86400/43560/1000</f>
        <v>89.256198347107429</v>
      </c>
      <c r="T491" s="30">
        <f t="shared" ref="T491:T494" si="791">(O491+Q491)/2+S491</f>
        <v>112.1942286972172</v>
      </c>
      <c r="U491" s="30" t="str">
        <f>IF(VLOOKUP($C491,COS!$B$8:$I$991,8,FALSE)=1,"UWFE","IBU")</f>
        <v>UWFE</v>
      </c>
      <c r="V491" s="30">
        <f t="shared" ref="V491" si="792">MIN(IF(IF($AA$3=2,AND(E491=1,G491=1,L491=1,L496=1,M491=1,U491="IBU"),AND(E491=1,G491=1,L491=1,L496=1,M491=1)),T491,0),I491)</f>
        <v>0</v>
      </c>
      <c r="W491" s="30"/>
      <c r="X491" s="30"/>
      <c r="Y491" s="30"/>
      <c r="Z491" s="30"/>
      <c r="AA491" s="30"/>
      <c r="AB491" s="31"/>
    </row>
    <row r="492" spans="1:28" x14ac:dyDescent="0.3">
      <c r="A492" s="32">
        <f>VLOOKUP(YEAR(C492),Flags!$A$13:$B$95,2,FALSE)</f>
        <v>1</v>
      </c>
      <c r="B492" s="24">
        <f t="shared" si="739"/>
        <v>1975</v>
      </c>
      <c r="C492" s="25">
        <v>27545</v>
      </c>
      <c r="D492" s="26">
        <f>VLOOKUP($C492,COS!$B$8:$H$991,3,FALSE)</f>
        <v>9954.1455078125</v>
      </c>
      <c r="E492" s="24">
        <f>IF(D492&gt;=IF(MONTH($C492)=4,$C$3,IF(MONTH($C492)=5,$C$4,IF(MONTH($C492)=6,$C$5,IF(MONTH($C492)=7,$C$6,"ERROR")))),1,0)</f>
        <v>1</v>
      </c>
      <c r="F492" s="26">
        <f>VLOOKUP($C492,COS!$B$8:$H$991,7,FALSE)</f>
        <v>50.279342651367188</v>
      </c>
      <c r="G492" s="24">
        <f>IF(F492&lt;=IF(MONTH($C492)=4,$F$3,IF(MONTH($C492)=5,$F$4,IF(MONTH($C492)=6,$F$5,IF(MONTH($C492)=7,$F$6,"ERROR")))),1,0)</f>
        <v>1</v>
      </c>
      <c r="H492" s="26">
        <f>IF(J492=1,D492-$C$4,0)</f>
        <v>3954.1455078125</v>
      </c>
      <c r="I492" s="26">
        <f t="shared" si="764"/>
        <v>243.13093039772727</v>
      </c>
      <c r="J492" s="24">
        <f t="shared" si="785"/>
        <v>1</v>
      </c>
      <c r="K492" s="26">
        <f>VLOOKUP($C492,COS!$B$8:$H$991,2,FALSE)</f>
        <v>4552</v>
      </c>
      <c r="L492" s="24">
        <f t="shared" si="741"/>
        <v>1</v>
      </c>
      <c r="M492" s="24">
        <f t="shared" si="742"/>
        <v>0</v>
      </c>
      <c r="N492" s="26">
        <f>VLOOKUP($C492,COS!$B$8:$H$991,5,FALSE)</f>
        <v>880.44073486328125</v>
      </c>
      <c r="O492" s="26">
        <f t="shared" si="788"/>
        <v>54.136190639527378</v>
      </c>
      <c r="P492" s="26">
        <f>VLOOKUP($C492,COS!$B$8:$H$991,6,FALSE)</f>
        <v>2314.501708984375</v>
      </c>
      <c r="Q492" s="26">
        <f t="shared" si="789"/>
        <v>142.31316293259297</v>
      </c>
      <c r="R492" s="26">
        <f>MIN(IF(MONTH($C492)=4,$S$3,IF(MONTH($C492)=5,$S$4,IF(MONTH($C492)=6,$S$5,IF(MONTH($C492)=7,$S$6,"ERROR")))),MAX(VLOOKUP($C492,COS!$B$8:$K$991,10,FALSE)-IF(MONTH($C492)=4,$Y$3,IF(MONTH($C492)=5,$Y$4,IF(MONTH($C492)=6,$Y$5,IF(MONTH($C492)=7,$Y$6,"ERROR")))),0),MAX(VLOOKUP($C492,COS!$B$8:$K$991,9,FALSE)-IF(MONTH($C492)=4,$V$3,IF(MONTH($C492)=5,$V$4,IF(MONTH($C492)=6,$V$5,IF(MONTH($C492)=7,$V$6,"ERROR"))))-VLOOKUP($C492,COS!$B$8:$K$991,6,FALSE)/2,0))</f>
        <v>1500</v>
      </c>
      <c r="S492" s="26">
        <f t="shared" si="790"/>
        <v>92.231404958677686</v>
      </c>
      <c r="T492" s="26">
        <f t="shared" si="791"/>
        <v>190.45608174473784</v>
      </c>
      <c r="U492" s="26" t="str">
        <f>IF(VLOOKUP($C492,COS!$B$8:$I$991,8,FALSE)=1,"UWFE","IBU")</f>
        <v>UWFE</v>
      </c>
      <c r="V492" s="26">
        <f t="shared" ref="V492" si="793">MIN(IF(IF($AA$3=2,AND(E492=1,G492=1,L492=1,L496=1,M492=1,U492="IBU"),AND(E492=1,G492=1,L492=1,L496=1,M492=1)),T492,0),I492)</f>
        <v>0</v>
      </c>
      <c r="W492" s="26"/>
      <c r="X492" s="26"/>
      <c r="Y492" s="26"/>
      <c r="Z492" s="26"/>
      <c r="AA492" s="26"/>
      <c r="AB492" s="33"/>
    </row>
    <row r="493" spans="1:28" x14ac:dyDescent="0.3">
      <c r="A493" s="32">
        <f>VLOOKUP(YEAR(C493),Flags!$A$13:$B$95,2,FALSE)</f>
        <v>1</v>
      </c>
      <c r="B493" s="24">
        <f t="shared" si="739"/>
        <v>1975</v>
      </c>
      <c r="C493" s="25">
        <v>27575</v>
      </c>
      <c r="D493" s="26">
        <f>VLOOKUP($C493,COS!$B$8:$H$991,3,FALSE)</f>
        <v>8908.6064453125</v>
      </c>
      <c r="E493" s="24">
        <f>IF(D493&gt;=IF(MONTH($C493)=4,$C$3,IF(MONTH($C493)=5,$C$4,IF(MONTH($C493)=6,$C$5,IF(MONTH($C493)=7,$C$6,"ERROR")))),1,0)</f>
        <v>0</v>
      </c>
      <c r="F493" s="26">
        <f>VLOOKUP($C493,COS!$B$8:$H$991,7,FALSE)</f>
        <v>51.962612152099609</v>
      </c>
      <c r="G493" s="24">
        <f>IF(F493&lt;=IF(MONTH($C493)=4,$F$3,IF(MONTH($C493)=5,$F$4,IF(MONTH($C493)=6,$F$5,IF(MONTH($C493)=7,$F$6,"ERROR")))),1,0)</f>
        <v>1</v>
      </c>
      <c r="H493" s="26">
        <f>IF(J493=1,D493-$C$5,0)</f>
        <v>0</v>
      </c>
      <c r="I493" s="26">
        <f t="shared" si="764"/>
        <v>0</v>
      </c>
      <c r="J493" s="24">
        <f t="shared" si="785"/>
        <v>0</v>
      </c>
      <c r="K493" s="26">
        <f>VLOOKUP($C493,COS!$B$8:$H$991,2,FALSE)</f>
        <v>4422.015625</v>
      </c>
      <c r="L493" s="24">
        <f t="shared" si="741"/>
        <v>1</v>
      </c>
      <c r="M493" s="24">
        <f t="shared" si="742"/>
        <v>0</v>
      </c>
      <c r="N493" s="26">
        <f>VLOOKUP($C493,COS!$B$8:$H$991,5,FALSE)</f>
        <v>1191.22607421875</v>
      </c>
      <c r="O493" s="26">
        <f t="shared" si="788"/>
        <v>70.882873837809925</v>
      </c>
      <c r="P493" s="26">
        <f>VLOOKUP($C493,COS!$B$8:$H$991,6,FALSE)</f>
        <v>2278.943359375</v>
      </c>
      <c r="Q493" s="26">
        <f t="shared" si="789"/>
        <v>135.60654700413224</v>
      </c>
      <c r="R493" s="26">
        <f>MIN(IF(MONTH($C493)=4,$S$3,IF(MONTH($C493)=5,$S$4,IF(MONTH($C493)=6,$S$5,IF(MONTH($C493)=7,$S$6,"ERROR")))),MAX(VLOOKUP($C493,COS!$B$8:$K$991,10,FALSE)-IF(MONTH($C493)=4,$Y$3,IF(MONTH($C493)=5,$Y$4,IF(MONTH($C493)=6,$Y$5,IF(MONTH($C493)=7,$Y$6,"ERROR")))),0),MAX(VLOOKUP($C493,COS!$B$8:$K$991,9,FALSE)-IF(MONTH($C493)=4,$V$3,IF(MONTH($C493)=5,$V$4,IF(MONTH($C493)=6,$V$5,IF(MONTH($C493)=7,$V$6,"ERROR"))))-VLOOKUP($C493,COS!$B$8:$K$991,6,FALSE)/2,0))</f>
        <v>1500</v>
      </c>
      <c r="S493" s="26">
        <f t="shared" si="790"/>
        <v>89.256198347107429</v>
      </c>
      <c r="T493" s="26">
        <f t="shared" si="791"/>
        <v>192.50090876807849</v>
      </c>
      <c r="U493" s="26" t="str">
        <f>IF(VLOOKUP($C493,COS!$B$8:$I$991,8,FALSE)=1,"UWFE","IBU")</f>
        <v>UWFE</v>
      </c>
      <c r="V493" s="26">
        <f t="shared" ref="V493" si="794">MIN(IF(IF($AA$3=2,AND(E493=1,G493=1,L493=1,L496=1,M493=1,U493="IBU"),AND(E493=1,G493=1,L493=1,L496=1,M493=1)),T493,0),I493)</f>
        <v>0</v>
      </c>
      <c r="W493" s="26"/>
      <c r="X493" s="26"/>
      <c r="Y493" s="26"/>
      <c r="Z493" s="26"/>
      <c r="AA493" s="26"/>
      <c r="AB493" s="33"/>
    </row>
    <row r="494" spans="1:28" x14ac:dyDescent="0.3">
      <c r="A494" s="32">
        <f>VLOOKUP(YEAR(C494),Flags!$A$13:$B$95,2,FALSE)</f>
        <v>1</v>
      </c>
      <c r="B494" s="24">
        <f t="shared" si="739"/>
        <v>1975</v>
      </c>
      <c r="C494" s="25">
        <v>27606</v>
      </c>
      <c r="D494" s="26">
        <f>VLOOKUP($C494,COS!$B$8:$H$991,3,FALSE)</f>
        <v>13871.7421875</v>
      </c>
      <c r="E494" s="24">
        <f>IF(D494&gt;=IF(MONTH($C494)=4,$C$3,IF(MONTH($C494)=5,$C$4,IF(MONTH($C494)=6,$C$5,IF(MONTH($C494)=7,$C$6,"ERROR")))),1,0)</f>
        <v>1</v>
      </c>
      <c r="F494" s="26">
        <f>VLOOKUP($C494,COS!$B$8:$H$991,7,FALSE)</f>
        <v>52.175071716308594</v>
      </c>
      <c r="G494" s="24">
        <f>IF(F494&lt;=IF(MONTH($C494)=4,$F$3,IF(MONTH($C494)=5,$F$4,IF(MONTH($C494)=6,$F$5,IF(MONTH($C494)=7,$F$6,"ERROR")))),1,0)</f>
        <v>1</v>
      </c>
      <c r="H494" s="26">
        <f>IF(J494=1,D494-$C$6,0)</f>
        <v>1871.7421875</v>
      </c>
      <c r="I494" s="26">
        <f t="shared" si="764"/>
        <v>115.08894111570247</v>
      </c>
      <c r="J494" s="24">
        <f t="shared" si="785"/>
        <v>1</v>
      </c>
      <c r="K494" s="26">
        <f>VLOOKUP($C494,COS!$B$8:$H$991,2,FALSE)</f>
        <v>3940.190673828125</v>
      </c>
      <c r="L494" s="24">
        <f t="shared" si="741"/>
        <v>1</v>
      </c>
      <c r="M494" s="24">
        <f t="shared" si="742"/>
        <v>0</v>
      </c>
      <c r="N494" s="26">
        <f>VLOOKUP($C494,COS!$B$8:$H$991,5,FALSE)</f>
        <v>1259.2373046875</v>
      </c>
      <c r="O494" s="26">
        <f t="shared" si="788"/>
        <v>77.427483858471078</v>
      </c>
      <c r="P494" s="26">
        <f>VLOOKUP($C494,COS!$B$8:$H$991,6,FALSE)</f>
        <v>2566.025634765625</v>
      </c>
      <c r="Q494" s="26">
        <f t="shared" si="789"/>
        <v>157.77876630294421</v>
      </c>
      <c r="R494" s="26">
        <f>MIN(IF(MONTH($C494)=4,$S$3,IF(MONTH($C494)=5,$S$4,IF(MONTH($C494)=6,$S$5,IF(MONTH($C494)=7,$S$6,"ERROR")))),MAX(VLOOKUP($C494,COS!$B$8:$K$991,10,FALSE)-IF(MONTH($C494)=4,$Y$3,IF(MONTH($C494)=5,$Y$4,IF(MONTH($C494)=6,$Y$5,IF(MONTH($C494)=7,$Y$6,"ERROR")))),0),MAX(VLOOKUP($C494,COS!$B$8:$K$991,9,FALSE)-IF(MONTH($C494)=4,$V$3,IF(MONTH($C494)=5,$V$4,IF(MONTH($C494)=6,$V$5,IF(MONTH($C494)=7,$V$6,"ERROR"))))-VLOOKUP($C494,COS!$B$8:$K$991,6,FALSE)/2,0))</f>
        <v>1500</v>
      </c>
      <c r="S494" s="26">
        <f t="shared" si="790"/>
        <v>92.231404958677686</v>
      </c>
      <c r="T494" s="26">
        <f t="shared" si="791"/>
        <v>209.83453003938533</v>
      </c>
      <c r="U494" s="26" t="str">
        <f>IF(VLOOKUP($C494,COS!$B$8:$I$991,8,FALSE)=1,"UWFE","IBU")</f>
        <v>IBU</v>
      </c>
      <c r="V494" s="26">
        <f t="shared" ref="V494" si="795">MIN(IF(IF($AA$3=2,AND(E494=1,G494=1,L494=1,L496=1,M494=1,U494="IBU"),AND(E494=1,G494=1,L494=1,L496=1,M494=1)),T494,0),I494)</f>
        <v>0</v>
      </c>
      <c r="W494" s="26"/>
      <c r="X494" s="26"/>
      <c r="Y494" s="26"/>
      <c r="Z494" s="26"/>
      <c r="AA494" s="26"/>
      <c r="AB494" s="33"/>
    </row>
    <row r="495" spans="1:28" x14ac:dyDescent="0.3">
      <c r="A495" s="32">
        <f>VLOOKUP(YEAR(C495),Flags!$A$13:$B$95,2,FALSE)</f>
        <v>1</v>
      </c>
      <c r="B495" s="24">
        <f t="shared" si="739"/>
        <v>1975</v>
      </c>
      <c r="C495" s="25">
        <v>27637</v>
      </c>
      <c r="D495" s="26"/>
      <c r="E495" s="24"/>
      <c r="F495" s="26"/>
      <c r="G495" s="24"/>
      <c r="H495" s="24"/>
      <c r="I495" s="26"/>
      <c r="J495" s="24"/>
      <c r="K495" s="26"/>
      <c r="L495" s="24"/>
      <c r="M495" s="24"/>
      <c r="N495" s="26"/>
      <c r="O495" s="26"/>
      <c r="P495" s="26"/>
      <c r="Q495" s="26"/>
      <c r="R495" s="26"/>
      <c r="S495" s="26"/>
      <c r="T495" s="26"/>
      <c r="U495" s="26"/>
      <c r="V495" s="26"/>
      <c r="W495" s="26">
        <f>MAX($C$7-VLOOKUP($C495,COS!$B$8:$H$991,3,FALSE),0)</f>
        <v>90235.9765625</v>
      </c>
      <c r="X495" s="26">
        <f t="shared" si="769"/>
        <v>5548.3939307851242</v>
      </c>
      <c r="Y495" s="26">
        <f>VLOOKUP($C495,COS!$B$8:$H$991,4,FALSE)</f>
        <v>0</v>
      </c>
      <c r="Z495" s="26">
        <f t="shared" si="770"/>
        <v>0</v>
      </c>
      <c r="AA495" s="26">
        <f t="shared" ref="AA495:AA499" si="796">MIN(W495,Y495)</f>
        <v>0</v>
      </c>
      <c r="AB495" s="33">
        <f t="shared" ref="AB495" si="797">AA495*DAY($C495)*86400/43560/1000*IF(MONTH($C495)=8,$P$3,IF(MONTH($C495)=9,$P$4,IF(MONTH($C495)=10,$P$5,IF(MONTH($C495)=11,$P$6,IF(MONTH($C495)=12,$P$7,NA())))))</f>
        <v>0</v>
      </c>
    </row>
    <row r="496" spans="1:28" x14ac:dyDescent="0.3">
      <c r="A496" s="32">
        <f>VLOOKUP(YEAR(C496),Flags!$A$13:$B$95,2,FALSE)</f>
        <v>1</v>
      </c>
      <c r="B496" s="24">
        <f t="shared" si="739"/>
        <v>1975</v>
      </c>
      <c r="C496" s="25">
        <v>27667</v>
      </c>
      <c r="D496" s="26"/>
      <c r="E496" s="24"/>
      <c r="F496" s="26"/>
      <c r="G496" s="24"/>
      <c r="H496" s="24"/>
      <c r="I496" s="26"/>
      <c r="J496" s="24"/>
      <c r="K496" s="26">
        <f>VLOOKUP($C496,COS!$B$8:$H$991,2,FALSE)</f>
        <v>3139.902587890625</v>
      </c>
      <c r="L496" s="24">
        <f t="shared" ref="L496" si="798">IF(AND(K496&gt;$I$7,K496&lt;$I$8),1,0)</f>
        <v>1</v>
      </c>
      <c r="M496" s="24"/>
      <c r="N496" s="26"/>
      <c r="O496" s="26"/>
      <c r="P496" s="26"/>
      <c r="Q496" s="26"/>
      <c r="R496" s="26"/>
      <c r="S496" s="26"/>
      <c r="T496" s="26"/>
      <c r="U496" s="26"/>
      <c r="V496" s="26"/>
      <c r="W496" s="26">
        <f>MAX($C$8-VLOOKUP($C496,COS!$B$8:$H$991,3,FALSE),0)</f>
        <v>84908.5556640625</v>
      </c>
      <c r="X496" s="26">
        <f t="shared" si="769"/>
        <v>5052.4099238119834</v>
      </c>
      <c r="Y496" s="26">
        <f>VLOOKUP($C496,COS!$B$8:$H$991,4,FALSE)</f>
        <v>0</v>
      </c>
      <c r="Z496" s="26">
        <f t="shared" si="770"/>
        <v>0</v>
      </c>
      <c r="AA496" s="26">
        <f t="shared" si="796"/>
        <v>0</v>
      </c>
      <c r="AB496" s="33">
        <f t="shared" si="752"/>
        <v>0</v>
      </c>
    </row>
    <row r="497" spans="1:28" x14ac:dyDescent="0.3">
      <c r="A497" s="32">
        <f>VLOOKUP(YEAR(C497),Flags!$A$13:$B$95,2,FALSE)</f>
        <v>1</v>
      </c>
      <c r="B497" s="24">
        <f t="shared" si="739"/>
        <v>1975</v>
      </c>
      <c r="C497" s="25">
        <v>27698</v>
      </c>
      <c r="D497" s="26"/>
      <c r="E497" s="24"/>
      <c r="F497" s="26"/>
      <c r="G497" s="26"/>
      <c r="H497" s="26"/>
      <c r="I497" s="26"/>
      <c r="J497" s="26"/>
      <c r="K497" s="26"/>
      <c r="L497" s="24"/>
      <c r="M497" s="24"/>
      <c r="N497" s="26"/>
      <c r="O497" s="26"/>
      <c r="P497" s="26"/>
      <c r="Q497" s="26"/>
      <c r="R497" s="26"/>
      <c r="S497" s="26"/>
      <c r="T497" s="26"/>
      <c r="U497" s="26"/>
      <c r="V497" s="26"/>
      <c r="W497" s="26">
        <f>MAX($C$9-VLOOKUP($C497,COS!$B$8:$H$991,3,FALSE),0)</f>
        <v>93899.6826171875</v>
      </c>
      <c r="X497" s="26">
        <f t="shared" si="769"/>
        <v>5773.6664353047518</v>
      </c>
      <c r="Y497" s="26">
        <f>VLOOKUP($C497,COS!$B$8:$H$991,4,FALSE)</f>
        <v>935.7257080078125</v>
      </c>
      <c r="Z497" s="26">
        <f t="shared" si="770"/>
        <v>57.535531137009293</v>
      </c>
      <c r="AA497" s="26">
        <f t="shared" si="796"/>
        <v>935.7257080078125</v>
      </c>
      <c r="AB497" s="33">
        <f t="shared" si="752"/>
        <v>57.535531137009293</v>
      </c>
    </row>
    <row r="498" spans="1:28" x14ac:dyDescent="0.3">
      <c r="A498" s="32">
        <f>VLOOKUP(YEAR(C498),Flags!$A$13:$B$95,2,FALSE)</f>
        <v>1</v>
      </c>
      <c r="B498" s="24">
        <f t="shared" si="739"/>
        <v>1975</v>
      </c>
      <c r="C498" s="25">
        <v>27728</v>
      </c>
      <c r="D498" s="26"/>
      <c r="E498" s="24"/>
      <c r="F498" s="26"/>
      <c r="G498" s="26"/>
      <c r="H498" s="26"/>
      <c r="I498" s="26"/>
      <c r="J498" s="26"/>
      <c r="K498" s="26"/>
      <c r="L498" s="24"/>
      <c r="M498" s="24"/>
      <c r="N498" s="26"/>
      <c r="O498" s="26"/>
      <c r="P498" s="26"/>
      <c r="Q498" s="26"/>
      <c r="R498" s="26"/>
      <c r="S498" s="26"/>
      <c r="T498" s="26"/>
      <c r="U498" s="26"/>
      <c r="V498" s="26"/>
      <c r="W498" s="26">
        <f>MAX($C$10-VLOOKUP($C498,COS!$B$8:$H$991,3,FALSE),0)</f>
        <v>90029.630859375</v>
      </c>
      <c r="X498" s="26">
        <f t="shared" si="769"/>
        <v>5357.1350594008263</v>
      </c>
      <c r="Y498" s="26">
        <f>VLOOKUP($C498,COS!$B$8:$H$991,4,FALSE)</f>
        <v>1105.79541015625</v>
      </c>
      <c r="Z498" s="26">
        <f t="shared" si="770"/>
        <v>65.799396306818181</v>
      </c>
      <c r="AA498" s="26">
        <f t="shared" si="796"/>
        <v>1105.79541015625</v>
      </c>
      <c r="AB498" s="33">
        <f t="shared" si="752"/>
        <v>32.899698153409091</v>
      </c>
    </row>
    <row r="499" spans="1:28" x14ac:dyDescent="0.3">
      <c r="A499" s="34">
        <f>VLOOKUP(YEAR(C499),Flags!$A$13:$B$95,2,FALSE)</f>
        <v>1</v>
      </c>
      <c r="B499" s="35">
        <f t="shared" si="739"/>
        <v>1975</v>
      </c>
      <c r="C499" s="36">
        <v>27759</v>
      </c>
      <c r="D499" s="37"/>
      <c r="E499" s="35"/>
      <c r="F499" s="37"/>
      <c r="G499" s="37"/>
      <c r="H499" s="37"/>
      <c r="I499" s="37"/>
      <c r="J499" s="37"/>
      <c r="K499" s="37"/>
      <c r="L499" s="35"/>
      <c r="M499" s="35"/>
      <c r="N499" s="37"/>
      <c r="O499" s="37"/>
      <c r="P499" s="37"/>
      <c r="Q499" s="37"/>
      <c r="R499" s="37"/>
      <c r="S499" s="37"/>
      <c r="T499" s="37"/>
      <c r="U499" s="37"/>
      <c r="V499" s="37"/>
      <c r="W499" s="37">
        <f>MAX($C$11-VLOOKUP($C499,COS!$B$8:$H$991,3,FALSE),0)</f>
        <v>0</v>
      </c>
      <c r="X499" s="37">
        <f t="shared" si="769"/>
        <v>0</v>
      </c>
      <c r="Y499" s="37">
        <f>VLOOKUP($C499,COS!$B$8:$H$991,4,FALSE)</f>
        <v>0</v>
      </c>
      <c r="Z499" s="37">
        <f t="shared" si="770"/>
        <v>0</v>
      </c>
      <c r="AA499" s="37">
        <f t="shared" si="796"/>
        <v>0</v>
      </c>
      <c r="AB499" s="38">
        <f t="shared" si="752"/>
        <v>0</v>
      </c>
    </row>
    <row r="500" spans="1:28" x14ac:dyDescent="0.3">
      <c r="A500" s="27">
        <f>VLOOKUP(YEAR(C500),Flags!$A$13:$B$95,2,FALSE)</f>
        <v>4</v>
      </c>
      <c r="B500" s="28">
        <f t="shared" si="739"/>
        <v>1976</v>
      </c>
      <c r="C500" s="29">
        <v>27880</v>
      </c>
      <c r="D500" s="30">
        <f>VLOOKUP($C500,COS!$B$8:$H$991,3,FALSE)</f>
        <v>3250</v>
      </c>
      <c r="E500" s="28">
        <f>IF(D500&gt;=IF(MONTH($C500)=4,$C$3,IF(MONTH($C500)=5,$C$4,IF(MONTH($C500)=6,$C$5,IF(MONTH($C500)=7,$C$6,"ERROR")))),1,0)</f>
        <v>0</v>
      </c>
      <c r="F500" s="30">
        <f>VLOOKUP($C500,COS!$B$8:$H$991,7,FALSE)</f>
        <v>51.587924957275391</v>
      </c>
      <c r="G500" s="28">
        <f>IF(F500&lt;=IF(MONTH($C500)=4,$F$3,IF(MONTH($C500)=5,$F$4,IF(MONTH($C500)=6,$F$5,IF(MONTH($C500)=7,$F$6,"ERROR")))),1,0)</f>
        <v>1</v>
      </c>
      <c r="H500" s="30">
        <f>IF(J500=1,D500-$C$3,0)</f>
        <v>0</v>
      </c>
      <c r="I500" s="30">
        <f t="shared" si="764"/>
        <v>0</v>
      </c>
      <c r="J500" s="28">
        <f t="shared" ref="J500:J503" si="799">IF(AND(E500=1,G500=1),1,0)</f>
        <v>0</v>
      </c>
      <c r="K500" s="30">
        <f>VLOOKUP($C500,COS!$B$8:$H$991,2,FALSE)</f>
        <v>3878.489990234375</v>
      </c>
      <c r="L500" s="28">
        <f t="shared" ref="L500" si="800">IF(K500&lt;=IF(MONTH($C500)=4,$I$3,IF(MONTH($C500)=5,$I$4,IF(MONTH($C500)=6,$I$5,IF(MONTH($C500)=7,$I$6,"ERROR")))),1,0)</f>
        <v>1</v>
      </c>
      <c r="M500" s="28">
        <f t="shared" ref="M500" si="801">VLOOKUP($A500,$L$3:$M$7,2,FALSE)</f>
        <v>1</v>
      </c>
      <c r="N500" s="30">
        <f>VLOOKUP($C500,COS!$B$8:$H$991,5,FALSE)</f>
        <v>162.41636657714844</v>
      </c>
      <c r="O500" s="30">
        <f t="shared" ref="O500:O503" si="802">N500*DAY($C500)*86400/43560/1000</f>
        <v>9.6644449533509817</v>
      </c>
      <c r="P500" s="30">
        <f>VLOOKUP($C500,COS!$B$8:$H$991,6,FALSE)</f>
        <v>525.2208251953125</v>
      </c>
      <c r="Q500" s="30">
        <f t="shared" ref="Q500:Q503" si="803">P500*DAY($C500)*86400/43560/1000</f>
        <v>31.252809433109505</v>
      </c>
      <c r="R500" s="30">
        <f>MIN(IF(MONTH($C500)=4,$S$3,IF(MONTH($C500)=5,$S$4,IF(MONTH($C500)=6,$S$5,IF(MONTH($C500)=7,$S$6,"ERROR")))),MAX(VLOOKUP($C500,COS!$B$8:$K$991,10,FALSE)-IF(MONTH($C500)=4,$Y$3,IF(MONTH($C500)=5,$Y$4,IF(MONTH($C500)=6,$Y$5,IF(MONTH($C500)=7,$Y$6,"ERROR")))),0),MAX(VLOOKUP($C500,COS!$B$8:$K$991,9,FALSE)-IF(MONTH($C500)=4,$V$3,IF(MONTH($C500)=5,$V$4,IF(MONTH($C500)=6,$V$5,IF(MONTH($C500)=7,$V$6,"ERROR"))))-VLOOKUP($C500,COS!$B$8:$K$991,6,FALSE)/2,0))</f>
        <v>1238.28173828125</v>
      </c>
      <c r="S500" s="30">
        <f t="shared" ref="S500:S503" si="804">R500*DAY($C500)*86400/43560/1000</f>
        <v>73.68288029442148</v>
      </c>
      <c r="T500" s="30">
        <f t="shared" ref="T500:T503" si="805">(O500+Q500)/2+S500</f>
        <v>94.141507487651722</v>
      </c>
      <c r="U500" s="30" t="str">
        <f>IF(VLOOKUP($C500,COS!$B$8:$I$991,8,FALSE)=1,"UWFE","IBU")</f>
        <v>UWFE</v>
      </c>
      <c r="V500" s="30">
        <f t="shared" ref="V500" si="806">MIN(IF(IF($AA$3=2,AND(E500=1,G500=1,L500=1,L505=1,M500=1,U500="IBU"),AND(E500=1,G500=1,L500=1,L505=1,M500=1)),T500,0),I500)</f>
        <v>0</v>
      </c>
      <c r="W500" s="30"/>
      <c r="X500" s="30"/>
      <c r="Y500" s="30"/>
      <c r="Z500" s="30"/>
      <c r="AA500" s="30"/>
      <c r="AB500" s="31"/>
    </row>
    <row r="501" spans="1:28" x14ac:dyDescent="0.3">
      <c r="A501" s="32">
        <f>VLOOKUP(YEAR(C501),Flags!$A$13:$B$95,2,FALSE)</f>
        <v>4</v>
      </c>
      <c r="B501" s="24">
        <f t="shared" si="739"/>
        <v>1976</v>
      </c>
      <c r="C501" s="25">
        <v>27911</v>
      </c>
      <c r="D501" s="26">
        <f>VLOOKUP($C501,COS!$B$8:$H$991,3,FALSE)</f>
        <v>10081.5947265625</v>
      </c>
      <c r="E501" s="24">
        <f>IF(D501&gt;=IF(MONTH($C501)=4,$C$3,IF(MONTH($C501)=5,$C$4,IF(MONTH($C501)=6,$C$5,IF(MONTH($C501)=7,$C$6,"ERROR")))),1,0)</f>
        <v>1</v>
      </c>
      <c r="F501" s="26">
        <f>VLOOKUP($C501,COS!$B$8:$H$991,7,FALSE)</f>
        <v>51.443138122558594</v>
      </c>
      <c r="G501" s="24">
        <f>IF(F501&lt;=IF(MONTH($C501)=4,$F$3,IF(MONTH($C501)=5,$F$4,IF(MONTH($C501)=6,$F$5,IF(MONTH($C501)=7,$F$6,"ERROR")))),1,0)</f>
        <v>1</v>
      </c>
      <c r="H501" s="26">
        <f>IF(J501=1,D501-$C$4,0)</f>
        <v>4081.5947265625</v>
      </c>
      <c r="I501" s="26">
        <f t="shared" si="764"/>
        <v>250.9674774018595</v>
      </c>
      <c r="J501" s="24">
        <f t="shared" si="799"/>
        <v>1</v>
      </c>
      <c r="K501" s="26">
        <f>VLOOKUP($C501,COS!$B$8:$H$991,2,FALSE)</f>
        <v>3615.4599609375</v>
      </c>
      <c r="L501" s="24">
        <f t="shared" si="741"/>
        <v>1</v>
      </c>
      <c r="M501" s="24">
        <f t="shared" si="742"/>
        <v>1</v>
      </c>
      <c r="N501" s="26">
        <f>VLOOKUP($C501,COS!$B$8:$H$991,5,FALSE)</f>
        <v>197.63545227050781</v>
      </c>
      <c r="O501" s="26">
        <f t="shared" si="802"/>
        <v>12.152130288368415</v>
      </c>
      <c r="P501" s="26">
        <f>VLOOKUP($C501,COS!$B$8:$H$991,6,FALSE)</f>
        <v>2397.456298828125</v>
      </c>
      <c r="Q501" s="26">
        <f t="shared" si="803"/>
        <v>147.41384184529957</v>
      </c>
      <c r="R501" s="26">
        <f>MIN(IF(MONTH($C501)=4,$S$3,IF(MONTH($C501)=5,$S$4,IF(MONTH($C501)=6,$S$5,IF(MONTH($C501)=7,$S$6,"ERROR")))),MAX(VLOOKUP($C501,COS!$B$8:$K$991,10,FALSE)-IF(MONTH($C501)=4,$Y$3,IF(MONTH($C501)=5,$Y$4,IF(MONTH($C501)=6,$Y$5,IF(MONTH($C501)=7,$Y$6,"ERROR")))),0),MAX(VLOOKUP($C501,COS!$B$8:$K$991,9,FALSE)-IF(MONTH($C501)=4,$V$3,IF(MONTH($C501)=5,$V$4,IF(MONTH($C501)=6,$V$5,IF(MONTH($C501)=7,$V$6,"ERROR"))))-VLOOKUP($C501,COS!$B$8:$K$991,6,FALSE)/2,0))</f>
        <v>1500</v>
      </c>
      <c r="S501" s="26">
        <f t="shared" si="804"/>
        <v>92.231404958677686</v>
      </c>
      <c r="T501" s="26">
        <f t="shared" si="805"/>
        <v>172.01439102551169</v>
      </c>
      <c r="U501" s="26" t="str">
        <f>IF(VLOOKUP($C501,COS!$B$8:$I$991,8,FALSE)=1,"UWFE","IBU")</f>
        <v>IBU</v>
      </c>
      <c r="V501" s="26">
        <f t="shared" ref="V501" si="807">MIN(IF(IF($AA$3=2,AND(E501=1,G501=1,L501=1,L505=1,M501=1,U501="IBU"),AND(E501=1,G501=1,L501=1,L505=1,M501=1)),T501,0),I501)</f>
        <v>172.01439102551169</v>
      </c>
      <c r="W501" s="26"/>
      <c r="X501" s="26"/>
      <c r="Y501" s="26"/>
      <c r="Z501" s="26"/>
      <c r="AA501" s="26"/>
      <c r="AB501" s="33"/>
    </row>
    <row r="502" spans="1:28" x14ac:dyDescent="0.3">
      <c r="A502" s="32">
        <f>VLOOKUP(YEAR(C502),Flags!$A$13:$B$95,2,FALSE)</f>
        <v>4</v>
      </c>
      <c r="B502" s="24">
        <f t="shared" si="739"/>
        <v>1976</v>
      </c>
      <c r="C502" s="25">
        <v>27941</v>
      </c>
      <c r="D502" s="26">
        <f>VLOOKUP($C502,COS!$B$8:$H$991,3,FALSE)</f>
        <v>9693.1298828125</v>
      </c>
      <c r="E502" s="24">
        <f>IF(D502&gt;=IF(MONTH($C502)=4,$C$3,IF(MONTH($C502)=5,$C$4,IF(MONTH($C502)=6,$C$5,IF(MONTH($C502)=7,$C$6,"ERROR")))),1,0)</f>
        <v>0</v>
      </c>
      <c r="F502" s="26">
        <f>VLOOKUP($C502,COS!$B$8:$H$991,7,FALSE)</f>
        <v>52.964691162109375</v>
      </c>
      <c r="G502" s="24">
        <f>IF(F502&lt;=IF(MONTH($C502)=4,$F$3,IF(MONTH($C502)=5,$F$4,IF(MONTH($C502)=6,$F$5,IF(MONTH($C502)=7,$F$6,"ERROR")))),1,0)</f>
        <v>1</v>
      </c>
      <c r="H502" s="26">
        <f>IF(J502=1,D502-$C$5,0)</f>
        <v>0</v>
      </c>
      <c r="I502" s="26">
        <f t="shared" si="764"/>
        <v>0</v>
      </c>
      <c r="J502" s="24">
        <f t="shared" si="799"/>
        <v>0</v>
      </c>
      <c r="K502" s="26">
        <f>VLOOKUP($C502,COS!$B$8:$H$991,2,FALSE)</f>
        <v>3290.374755859375</v>
      </c>
      <c r="L502" s="24">
        <f t="shared" si="741"/>
        <v>1</v>
      </c>
      <c r="M502" s="24">
        <f t="shared" si="742"/>
        <v>1</v>
      </c>
      <c r="N502" s="26">
        <f>VLOOKUP($C502,COS!$B$8:$H$991,5,FALSE)</f>
        <v>220.81330871582031</v>
      </c>
      <c r="O502" s="26">
        <f t="shared" si="802"/>
        <v>13.139304320280216</v>
      </c>
      <c r="P502" s="26">
        <f>VLOOKUP($C502,COS!$B$8:$H$991,6,FALSE)</f>
        <v>2496.31787109375</v>
      </c>
      <c r="Q502" s="26">
        <f t="shared" si="803"/>
        <v>148.54122869318184</v>
      </c>
      <c r="R502" s="26">
        <f>MIN(IF(MONTH($C502)=4,$S$3,IF(MONTH($C502)=5,$S$4,IF(MONTH($C502)=6,$S$5,IF(MONTH($C502)=7,$S$6,"ERROR")))),MAX(VLOOKUP($C502,COS!$B$8:$K$991,10,FALSE)-IF(MONTH($C502)=4,$Y$3,IF(MONTH($C502)=5,$Y$4,IF(MONTH($C502)=6,$Y$5,IF(MONTH($C502)=7,$Y$6,"ERROR")))),0),MAX(VLOOKUP($C502,COS!$B$8:$K$991,9,FALSE)-IF(MONTH($C502)=4,$V$3,IF(MONTH($C502)=5,$V$4,IF(MONTH($C502)=6,$V$5,IF(MONTH($C502)=7,$V$6,"ERROR"))))-VLOOKUP($C502,COS!$B$8:$K$991,6,FALSE)/2,0))</f>
        <v>1500</v>
      </c>
      <c r="S502" s="26">
        <f t="shared" si="804"/>
        <v>89.256198347107429</v>
      </c>
      <c r="T502" s="26">
        <f t="shared" si="805"/>
        <v>170.09646485383846</v>
      </c>
      <c r="U502" s="26" t="str">
        <f>IF(VLOOKUP($C502,COS!$B$8:$I$991,8,FALSE)=1,"UWFE","IBU")</f>
        <v>IBU</v>
      </c>
      <c r="V502" s="26">
        <f t="shared" ref="V502" si="808">MIN(IF(IF($AA$3=2,AND(E502=1,G502=1,L502=1,L505=1,M502=1,U502="IBU"),AND(E502=1,G502=1,L502=1,L505=1,M502=1)),T502,0),I502)</f>
        <v>0</v>
      </c>
      <c r="W502" s="26"/>
      <c r="X502" s="26"/>
      <c r="Y502" s="26"/>
      <c r="Z502" s="26"/>
      <c r="AA502" s="26"/>
      <c r="AB502" s="33"/>
    </row>
    <row r="503" spans="1:28" x14ac:dyDescent="0.3">
      <c r="A503" s="32">
        <f>VLOOKUP(YEAR(C503),Flags!$A$13:$B$95,2,FALSE)</f>
        <v>4</v>
      </c>
      <c r="B503" s="24">
        <f t="shared" si="739"/>
        <v>1976</v>
      </c>
      <c r="C503" s="25">
        <v>27972</v>
      </c>
      <c r="D503" s="26">
        <f>VLOOKUP($C503,COS!$B$8:$H$991,3,FALSE)</f>
        <v>13307.634765625</v>
      </c>
      <c r="E503" s="24">
        <f>IF(D503&gt;=IF(MONTH($C503)=4,$C$3,IF(MONTH($C503)=5,$C$4,IF(MONTH($C503)=6,$C$5,IF(MONTH($C503)=7,$C$6,"ERROR")))),1,0)</f>
        <v>1</v>
      </c>
      <c r="F503" s="26">
        <f>VLOOKUP($C503,COS!$B$8:$H$991,7,FALSE)</f>
        <v>54.076438903808594</v>
      </c>
      <c r="G503" s="24">
        <f>IF(F503&lt;=IF(MONTH($C503)=4,$F$3,IF(MONTH($C503)=5,$F$4,IF(MONTH($C503)=6,$F$5,IF(MONTH($C503)=7,$F$6,"ERROR")))),1,0)</f>
        <v>0</v>
      </c>
      <c r="H503" s="26">
        <f>IF(J503=1,D503-$C$6,0)</f>
        <v>0</v>
      </c>
      <c r="I503" s="26">
        <f t="shared" si="764"/>
        <v>0</v>
      </c>
      <c r="J503" s="24">
        <f t="shared" si="799"/>
        <v>0</v>
      </c>
      <c r="K503" s="26">
        <f>VLOOKUP($C503,COS!$B$8:$H$991,2,FALSE)</f>
        <v>2839.34033203125</v>
      </c>
      <c r="L503" s="24">
        <f t="shared" si="741"/>
        <v>1</v>
      </c>
      <c r="M503" s="24">
        <f t="shared" si="742"/>
        <v>1</v>
      </c>
      <c r="N503" s="26">
        <f>VLOOKUP($C503,COS!$B$8:$H$991,5,FALSE)</f>
        <v>243.29853820800781</v>
      </c>
      <c r="O503" s="26">
        <f t="shared" si="802"/>
        <v>14.959844002211391</v>
      </c>
      <c r="P503" s="26">
        <f>VLOOKUP($C503,COS!$B$8:$H$991,6,FALSE)</f>
        <v>2326.644775390625</v>
      </c>
      <c r="Q503" s="26">
        <f t="shared" si="803"/>
        <v>143.05981098269626</v>
      </c>
      <c r="R503" s="26">
        <f>MIN(IF(MONTH($C503)=4,$S$3,IF(MONTH($C503)=5,$S$4,IF(MONTH($C503)=6,$S$5,IF(MONTH($C503)=7,$S$6,"ERROR")))),MAX(VLOOKUP($C503,COS!$B$8:$K$991,10,FALSE)-IF(MONTH($C503)=4,$Y$3,IF(MONTH($C503)=5,$Y$4,IF(MONTH($C503)=6,$Y$5,IF(MONTH($C503)=7,$Y$6,"ERROR")))),0),MAX(VLOOKUP($C503,COS!$B$8:$K$991,9,FALSE)-IF(MONTH($C503)=4,$V$3,IF(MONTH($C503)=5,$V$4,IF(MONTH($C503)=6,$V$5,IF(MONTH($C503)=7,$V$6,"ERROR"))))-VLOOKUP($C503,COS!$B$8:$K$991,6,FALSE)/2,0))</f>
        <v>1500</v>
      </c>
      <c r="S503" s="26">
        <f t="shared" si="804"/>
        <v>92.231404958677686</v>
      </c>
      <c r="T503" s="26">
        <f t="shared" si="805"/>
        <v>171.24123245113151</v>
      </c>
      <c r="U503" s="26" t="str">
        <f>IF(VLOOKUP($C503,COS!$B$8:$I$991,8,FALSE)=1,"UWFE","IBU")</f>
        <v>IBU</v>
      </c>
      <c r="V503" s="26">
        <f t="shared" ref="V503" si="809">MIN(IF(IF($AA$3=2,AND(E503=1,G503=1,L503=1,L505=1,M503=1,U503="IBU"),AND(E503=1,G503=1,L503=1,L505=1,M503=1)),T503,0),I503)</f>
        <v>0</v>
      </c>
      <c r="W503" s="26"/>
      <c r="X503" s="26"/>
      <c r="Y503" s="26"/>
      <c r="Z503" s="26"/>
      <c r="AA503" s="26"/>
      <c r="AB503" s="33"/>
    </row>
    <row r="504" spans="1:28" x14ac:dyDescent="0.3">
      <c r="A504" s="32">
        <f>VLOOKUP(YEAR(C504),Flags!$A$13:$B$95,2,FALSE)</f>
        <v>4</v>
      </c>
      <c r="B504" s="24">
        <f t="shared" si="739"/>
        <v>1976</v>
      </c>
      <c r="C504" s="25">
        <v>28003</v>
      </c>
      <c r="D504" s="26"/>
      <c r="E504" s="24"/>
      <c r="F504" s="26"/>
      <c r="G504" s="24"/>
      <c r="H504" s="24"/>
      <c r="I504" s="26"/>
      <c r="J504" s="24"/>
      <c r="K504" s="26"/>
      <c r="L504" s="24"/>
      <c r="M504" s="24"/>
      <c r="N504" s="26"/>
      <c r="O504" s="26"/>
      <c r="P504" s="26"/>
      <c r="Q504" s="26"/>
      <c r="R504" s="26"/>
      <c r="S504" s="26"/>
      <c r="T504" s="26"/>
      <c r="U504" s="26"/>
      <c r="V504" s="26"/>
      <c r="W504" s="26">
        <f>MAX($C$7-VLOOKUP($C504,COS!$B$8:$H$991,3,FALSE),0)</f>
        <v>93360.21484375</v>
      </c>
      <c r="X504" s="26">
        <f t="shared" si="769"/>
        <v>5740.4958548553714</v>
      </c>
      <c r="Y504" s="26">
        <f>VLOOKUP($C504,COS!$B$8:$H$991,4,FALSE)</f>
        <v>1948.8914794921875</v>
      </c>
      <c r="Z504" s="26">
        <f t="shared" si="770"/>
        <v>119.83266617704028</v>
      </c>
      <c r="AA504" s="26">
        <f t="shared" ref="AA504:AA508" si="810">MIN(W504,Y504)</f>
        <v>1948.8914794921875</v>
      </c>
      <c r="AB504" s="33">
        <f t="shared" ref="AB504" si="811">AA504*DAY($C504)*86400/43560/1000*IF(MONTH($C504)=8,$P$3,IF(MONTH($C504)=9,$P$4,IF(MONTH($C504)=10,$P$5,IF(MONTH($C504)=11,$P$6,IF(MONTH($C504)=12,$P$7,NA())))))</f>
        <v>119.83266617704028</v>
      </c>
    </row>
    <row r="505" spans="1:28" x14ac:dyDescent="0.3">
      <c r="A505" s="32">
        <f>VLOOKUP(YEAR(C505),Flags!$A$13:$B$95,2,FALSE)</f>
        <v>4</v>
      </c>
      <c r="B505" s="24">
        <f t="shared" si="739"/>
        <v>1976</v>
      </c>
      <c r="C505" s="25">
        <v>28033</v>
      </c>
      <c r="D505" s="26"/>
      <c r="E505" s="24"/>
      <c r="F505" s="26"/>
      <c r="G505" s="24"/>
      <c r="H505" s="24"/>
      <c r="I505" s="26"/>
      <c r="J505" s="24"/>
      <c r="K505" s="26">
        <f>VLOOKUP($C505,COS!$B$8:$H$991,2,FALSE)</f>
        <v>2776.3486328125</v>
      </c>
      <c r="L505" s="24">
        <f t="shared" ref="L505" si="812">IF(AND(K505&gt;$I$7,K505&lt;$I$8),1,0)</f>
        <v>1</v>
      </c>
      <c r="M505" s="24"/>
      <c r="N505" s="26"/>
      <c r="O505" s="26"/>
      <c r="P505" s="26"/>
      <c r="Q505" s="26"/>
      <c r="R505" s="26"/>
      <c r="S505" s="26"/>
      <c r="T505" s="26"/>
      <c r="U505" s="26"/>
      <c r="V505" s="26"/>
      <c r="W505" s="26">
        <f>MAX($C$8-VLOOKUP($C505,COS!$B$8:$H$991,3,FALSE),0)</f>
        <v>95118.068359375</v>
      </c>
      <c r="X505" s="26">
        <f t="shared" si="769"/>
        <v>5659.9181172520657</v>
      </c>
      <c r="Y505" s="26">
        <f>VLOOKUP($C505,COS!$B$8:$H$991,4,FALSE)</f>
        <v>1649.7568359375</v>
      </c>
      <c r="Z505" s="26">
        <f t="shared" si="770"/>
        <v>98.167348915289253</v>
      </c>
      <c r="AA505" s="26">
        <f t="shared" si="810"/>
        <v>1649.7568359375</v>
      </c>
      <c r="AB505" s="33">
        <f t="shared" si="752"/>
        <v>98.167348915289253</v>
      </c>
    </row>
    <row r="506" spans="1:28" x14ac:dyDescent="0.3">
      <c r="A506" s="32">
        <f>VLOOKUP(YEAR(C506),Flags!$A$13:$B$95,2,FALSE)</f>
        <v>4</v>
      </c>
      <c r="B506" s="24">
        <f t="shared" si="739"/>
        <v>1976</v>
      </c>
      <c r="C506" s="25">
        <v>28064</v>
      </c>
      <c r="D506" s="26"/>
      <c r="E506" s="24"/>
      <c r="F506" s="26"/>
      <c r="G506" s="26"/>
      <c r="H506" s="26"/>
      <c r="I506" s="26"/>
      <c r="J506" s="26"/>
      <c r="K506" s="26"/>
      <c r="L506" s="24"/>
      <c r="M506" s="24"/>
      <c r="N506" s="26"/>
      <c r="O506" s="26"/>
      <c r="P506" s="26"/>
      <c r="Q506" s="26"/>
      <c r="R506" s="26"/>
      <c r="S506" s="26"/>
      <c r="T506" s="26"/>
      <c r="U506" s="26"/>
      <c r="V506" s="26"/>
      <c r="W506" s="26">
        <f>MAX($C$9-VLOOKUP($C506,COS!$B$8:$H$991,3,FALSE),0)</f>
        <v>92269.14697265625</v>
      </c>
      <c r="X506" s="26">
        <f t="shared" si="769"/>
        <v>5673.4087064178721</v>
      </c>
      <c r="Y506" s="26">
        <f>VLOOKUP($C506,COS!$B$8:$H$991,4,FALSE)</f>
        <v>1735.9190673828125</v>
      </c>
      <c r="Z506" s="26">
        <f t="shared" si="770"/>
        <v>106.73750298618285</v>
      </c>
      <c r="AA506" s="26">
        <f t="shared" si="810"/>
        <v>1735.9190673828125</v>
      </c>
      <c r="AB506" s="33">
        <f t="shared" si="752"/>
        <v>106.73750298618285</v>
      </c>
    </row>
    <row r="507" spans="1:28" x14ac:dyDescent="0.3">
      <c r="A507" s="32">
        <f>VLOOKUP(YEAR(C507),Flags!$A$13:$B$95,2,FALSE)</f>
        <v>4</v>
      </c>
      <c r="B507" s="24">
        <f t="shared" si="739"/>
        <v>1976</v>
      </c>
      <c r="C507" s="25">
        <v>28094</v>
      </c>
      <c r="D507" s="26"/>
      <c r="E507" s="24"/>
      <c r="F507" s="26"/>
      <c r="G507" s="26"/>
      <c r="H507" s="26"/>
      <c r="I507" s="26"/>
      <c r="J507" s="26"/>
      <c r="K507" s="26"/>
      <c r="L507" s="24"/>
      <c r="M507" s="24"/>
      <c r="N507" s="26"/>
      <c r="O507" s="26"/>
      <c r="P507" s="26"/>
      <c r="Q507" s="26"/>
      <c r="R507" s="26"/>
      <c r="S507" s="26"/>
      <c r="T507" s="26"/>
      <c r="U507" s="26"/>
      <c r="V507" s="26"/>
      <c r="W507" s="26">
        <f>MAX($C$10-VLOOKUP($C507,COS!$B$8:$H$991,3,FALSE),0)</f>
        <v>92605.25439453125</v>
      </c>
      <c r="X507" s="26">
        <f t="shared" si="769"/>
        <v>5510.3953028150827</v>
      </c>
      <c r="Y507" s="26">
        <f>VLOOKUP($C507,COS!$B$8:$H$991,4,FALSE)</f>
        <v>1444.778564453125</v>
      </c>
      <c r="Z507" s="26">
        <f t="shared" si="770"/>
        <v>85.970294744318181</v>
      </c>
      <c r="AA507" s="26">
        <f t="shared" si="810"/>
        <v>1444.778564453125</v>
      </c>
      <c r="AB507" s="33">
        <f t="shared" si="752"/>
        <v>42.985147372159091</v>
      </c>
    </row>
    <row r="508" spans="1:28" x14ac:dyDescent="0.3">
      <c r="A508" s="34">
        <f>VLOOKUP(YEAR(C508),Flags!$A$13:$B$95,2,FALSE)</f>
        <v>4</v>
      </c>
      <c r="B508" s="35">
        <f t="shared" si="739"/>
        <v>1976</v>
      </c>
      <c r="C508" s="36">
        <v>28125</v>
      </c>
      <c r="D508" s="37"/>
      <c r="E508" s="35"/>
      <c r="F508" s="37"/>
      <c r="G508" s="37"/>
      <c r="H508" s="37"/>
      <c r="I508" s="37"/>
      <c r="J508" s="37"/>
      <c r="K508" s="37"/>
      <c r="L508" s="35"/>
      <c r="M508" s="35"/>
      <c r="N508" s="37"/>
      <c r="O508" s="37"/>
      <c r="P508" s="37"/>
      <c r="Q508" s="37"/>
      <c r="R508" s="37"/>
      <c r="S508" s="37"/>
      <c r="T508" s="37"/>
      <c r="U508" s="37"/>
      <c r="V508" s="37"/>
      <c r="W508" s="37">
        <f>MAX($C$11-VLOOKUP($C508,COS!$B$8:$H$991,3,FALSE),0)</f>
        <v>0</v>
      </c>
      <c r="X508" s="37">
        <f t="shared" si="769"/>
        <v>0</v>
      </c>
      <c r="Y508" s="37">
        <f>VLOOKUP($C508,COS!$B$8:$H$991,4,FALSE)</f>
        <v>2446.426025390625</v>
      </c>
      <c r="Z508" s="37">
        <f t="shared" si="770"/>
        <v>150.42487296616736</v>
      </c>
      <c r="AA508" s="37">
        <f t="shared" si="810"/>
        <v>0</v>
      </c>
      <c r="AB508" s="38">
        <f t="shared" si="752"/>
        <v>0</v>
      </c>
    </row>
    <row r="509" spans="1:28" x14ac:dyDescent="0.3">
      <c r="A509" s="27">
        <f>VLOOKUP(YEAR(C509),Flags!$A$13:$B$95,2,FALSE)</f>
        <v>5</v>
      </c>
      <c r="B509" s="28">
        <f t="shared" si="739"/>
        <v>1977</v>
      </c>
      <c r="C509" s="29">
        <v>28245</v>
      </c>
      <c r="D509" s="30">
        <f>VLOOKUP($C509,COS!$B$8:$H$991,3,FALSE)</f>
        <v>7071.7509765625</v>
      </c>
      <c r="E509" s="28">
        <f>IF(D509&gt;=IF(MONTH($C509)=4,$C$3,IF(MONTH($C509)=5,$C$4,IF(MONTH($C509)=6,$C$5,IF(MONTH($C509)=7,$C$6,"ERROR")))),1,0)</f>
        <v>1</v>
      </c>
      <c r="F509" s="30">
        <f>VLOOKUP($C509,COS!$B$8:$H$991,7,FALSE)</f>
        <v>50.791873931884766</v>
      </c>
      <c r="G509" s="28">
        <f>IF(F509&lt;=IF(MONTH($C509)=4,$F$3,IF(MONTH($C509)=5,$F$4,IF(MONTH($C509)=6,$F$5,IF(MONTH($C509)=7,$F$6,"ERROR")))),1,0)</f>
        <v>1</v>
      </c>
      <c r="H509" s="30">
        <f>IF(J509=1,D509-$C$3,0)</f>
        <v>1071.7509765625</v>
      </c>
      <c r="I509" s="30">
        <f t="shared" si="764"/>
        <v>63.773611828512394</v>
      </c>
      <c r="J509" s="28">
        <f t="shared" ref="J509:J512" si="813">IF(AND(E509=1,G509=1),1,0)</f>
        <v>1</v>
      </c>
      <c r="K509" s="30">
        <f>VLOOKUP($C509,COS!$B$8:$H$991,2,FALSE)</f>
        <v>1944.6558837890625</v>
      </c>
      <c r="L509" s="28">
        <f t="shared" ref="L509" si="814">IF(K509&lt;=IF(MONTH($C509)=4,$I$3,IF(MONTH($C509)=5,$I$4,IF(MONTH($C509)=6,$I$5,IF(MONTH($C509)=7,$I$6,"ERROR")))),1,0)</f>
        <v>1</v>
      </c>
      <c r="M509" s="28">
        <f t="shared" ref="M509" si="815">VLOOKUP($A509,$L$3:$M$7,2,FALSE)</f>
        <v>1</v>
      </c>
      <c r="N509" s="30">
        <f>VLOOKUP($C509,COS!$B$8:$H$991,5,FALSE)</f>
        <v>201.60958862304688</v>
      </c>
      <c r="O509" s="30">
        <f t="shared" ref="O509:O512" si="816">N509*DAY($C509)*86400/43560/1000</f>
        <v>11.996603620544938</v>
      </c>
      <c r="P509" s="30">
        <f>VLOOKUP($C509,COS!$B$8:$H$991,6,FALSE)</f>
        <v>581.802490234375</v>
      </c>
      <c r="Q509" s="30">
        <f t="shared" ref="Q509:Q512" si="817">P509*DAY($C509)*86400/43560/1000</f>
        <v>34.619652311466943</v>
      </c>
      <c r="R509" s="30">
        <f>MIN(IF(MONTH($C509)=4,$S$3,IF(MONTH($C509)=5,$S$4,IF(MONTH($C509)=6,$S$5,IF(MONTH($C509)=7,$S$6,"ERROR")))),MAX(VLOOKUP($C509,COS!$B$8:$K$991,10,FALSE)-IF(MONTH($C509)=4,$Y$3,IF(MONTH($C509)=5,$Y$4,IF(MONTH($C509)=6,$Y$5,IF(MONTH($C509)=7,$Y$6,"ERROR")))),0),MAX(VLOOKUP($C509,COS!$B$8:$K$991,9,FALSE)-IF(MONTH($C509)=4,$V$3,IF(MONTH($C509)=5,$V$4,IF(MONTH($C509)=6,$V$5,IF(MONTH($C509)=7,$V$6,"ERROR"))))-VLOOKUP($C509,COS!$B$8:$K$991,6,FALSE)/2,0))</f>
        <v>1500</v>
      </c>
      <c r="S509" s="30">
        <f t="shared" ref="S509:S512" si="818">R509*DAY($C509)*86400/43560/1000</f>
        <v>89.256198347107429</v>
      </c>
      <c r="T509" s="30">
        <f t="shared" ref="T509:T512" si="819">(O509+Q509)/2+S509</f>
        <v>112.56432631311337</v>
      </c>
      <c r="U509" s="30" t="str">
        <f>IF(VLOOKUP($C509,COS!$B$8:$I$991,8,FALSE)=1,"UWFE","IBU")</f>
        <v>IBU</v>
      </c>
      <c r="V509" s="30">
        <f t="shared" ref="V509" si="820">MIN(IF(IF($AA$3=2,AND(E509=1,G509=1,L509=1,L514=1,M509=1,U509="IBU"),AND(E509=1,G509=1,L509=1,L514=1,M509=1)),T509,0),I509)</f>
        <v>63.773611828512394</v>
      </c>
      <c r="W509" s="30"/>
      <c r="X509" s="30"/>
      <c r="Y509" s="30"/>
      <c r="Z509" s="30"/>
      <c r="AA509" s="30"/>
      <c r="AB509" s="31"/>
    </row>
    <row r="510" spans="1:28" x14ac:dyDescent="0.3">
      <c r="A510" s="32">
        <f>VLOOKUP(YEAR(C510),Flags!$A$13:$B$95,2,FALSE)</f>
        <v>5</v>
      </c>
      <c r="B510" s="24">
        <f t="shared" si="739"/>
        <v>1977</v>
      </c>
      <c r="C510" s="25">
        <v>28276</v>
      </c>
      <c r="D510" s="26">
        <f>VLOOKUP($C510,COS!$B$8:$H$991,3,FALSE)</f>
        <v>5902.6396484375</v>
      </c>
      <c r="E510" s="24">
        <f>IF(D510&gt;=IF(MONTH($C510)=4,$C$3,IF(MONTH($C510)=5,$C$4,IF(MONTH($C510)=6,$C$5,IF(MONTH($C510)=7,$C$6,"ERROR")))),1,0)</f>
        <v>0</v>
      </c>
      <c r="F510" s="26">
        <f>VLOOKUP($C510,COS!$B$8:$H$991,7,FALSE)</f>
        <v>52.327152252197266</v>
      </c>
      <c r="G510" s="24">
        <f>IF(F510&lt;=IF(MONTH($C510)=4,$F$3,IF(MONTH($C510)=5,$F$4,IF(MONTH($C510)=6,$F$5,IF(MONTH($C510)=7,$F$6,"ERROR")))),1,0)</f>
        <v>1</v>
      </c>
      <c r="H510" s="26">
        <f>IF(J510=1,D510-$C$4,0)</f>
        <v>0</v>
      </c>
      <c r="I510" s="26">
        <f t="shared" si="764"/>
        <v>0</v>
      </c>
      <c r="J510" s="24">
        <f t="shared" si="813"/>
        <v>0</v>
      </c>
      <c r="K510" s="26">
        <f>VLOOKUP($C510,COS!$B$8:$H$991,2,FALSE)</f>
        <v>1775.2607421875</v>
      </c>
      <c r="L510" s="24">
        <f t="shared" si="741"/>
        <v>1</v>
      </c>
      <c r="M510" s="24">
        <f t="shared" si="742"/>
        <v>1</v>
      </c>
      <c r="N510" s="26">
        <f>VLOOKUP($C510,COS!$B$8:$H$991,5,FALSE)</f>
        <v>129.15513610839844</v>
      </c>
      <c r="O510" s="26">
        <f t="shared" si="816"/>
        <v>7.941439773937887</v>
      </c>
      <c r="P510" s="26">
        <f>VLOOKUP($C510,COS!$B$8:$H$991,6,FALSE)</f>
        <v>1768.8984375</v>
      </c>
      <c r="Q510" s="26">
        <f t="shared" si="817"/>
        <v>108.76532541322314</v>
      </c>
      <c r="R510" s="26">
        <f>MIN(IF(MONTH($C510)=4,$S$3,IF(MONTH($C510)=5,$S$4,IF(MONTH($C510)=6,$S$5,IF(MONTH($C510)=7,$S$6,"ERROR")))),MAX(VLOOKUP($C510,COS!$B$8:$K$991,10,FALSE)-IF(MONTH($C510)=4,$Y$3,IF(MONTH($C510)=5,$Y$4,IF(MONTH($C510)=6,$Y$5,IF(MONTH($C510)=7,$Y$6,"ERROR")))),0),MAX(VLOOKUP($C510,COS!$B$8:$K$991,9,FALSE)-IF(MONTH($C510)=4,$V$3,IF(MONTH($C510)=5,$V$4,IF(MONTH($C510)=6,$V$5,IF(MONTH($C510)=7,$V$6,"ERROR"))))-VLOOKUP($C510,COS!$B$8:$K$991,6,FALSE)/2,0))</f>
        <v>1500</v>
      </c>
      <c r="S510" s="26">
        <f t="shared" si="818"/>
        <v>92.231404958677686</v>
      </c>
      <c r="T510" s="26">
        <f t="shared" si="819"/>
        <v>150.58478755225821</v>
      </c>
      <c r="U510" s="26" t="str">
        <f>IF(VLOOKUP($C510,COS!$B$8:$I$991,8,FALSE)=1,"UWFE","IBU")</f>
        <v>IBU</v>
      </c>
      <c r="V510" s="26">
        <f t="shared" ref="V510" si="821">MIN(IF(IF($AA$3=2,AND(E510=1,G510=1,L510=1,L514=1,M510=1,U510="IBU"),AND(E510=1,G510=1,L510=1,L514=1,M510=1)),T510,0),I510)</f>
        <v>0</v>
      </c>
      <c r="W510" s="26"/>
      <c r="X510" s="26"/>
      <c r="Y510" s="26"/>
      <c r="Z510" s="26"/>
      <c r="AA510" s="26"/>
      <c r="AB510" s="33"/>
    </row>
    <row r="511" spans="1:28" x14ac:dyDescent="0.3">
      <c r="A511" s="32">
        <f>VLOOKUP(YEAR(C511),Flags!$A$13:$B$95,2,FALSE)</f>
        <v>5</v>
      </c>
      <c r="B511" s="24">
        <f t="shared" si="739"/>
        <v>1977</v>
      </c>
      <c r="C511" s="25">
        <v>28306</v>
      </c>
      <c r="D511" s="26">
        <f>VLOOKUP($C511,COS!$B$8:$H$991,3,FALSE)</f>
        <v>12227.62890625</v>
      </c>
      <c r="E511" s="24">
        <f>IF(D511&gt;=IF(MONTH($C511)=4,$C$3,IF(MONTH($C511)=5,$C$4,IF(MONTH($C511)=6,$C$5,IF(MONTH($C511)=7,$C$6,"ERROR")))),1,0)</f>
        <v>1</v>
      </c>
      <c r="F511" s="26">
        <f>VLOOKUP($C511,COS!$B$8:$H$991,7,FALSE)</f>
        <v>54.287090301513672</v>
      </c>
      <c r="G511" s="24">
        <f>IF(F511&lt;=IF(MONTH($C511)=4,$F$3,IF(MONTH($C511)=5,$F$4,IF(MONTH($C511)=6,$F$5,IF(MONTH($C511)=7,$F$6,"ERROR")))),1,0)</f>
        <v>1</v>
      </c>
      <c r="H511" s="26">
        <f>IF(J511=1,D511-$C$5,0)</f>
        <v>2227.62890625</v>
      </c>
      <c r="I511" s="26">
        <f t="shared" si="764"/>
        <v>132.55312499999999</v>
      </c>
      <c r="J511" s="24">
        <f t="shared" si="813"/>
        <v>1</v>
      </c>
      <c r="K511" s="26">
        <f>VLOOKUP($C511,COS!$B$8:$H$991,2,FALSE)</f>
        <v>1227.3997802734375</v>
      </c>
      <c r="L511" s="24">
        <f t="shared" si="741"/>
        <v>1</v>
      </c>
      <c r="M511" s="24">
        <f t="shared" si="742"/>
        <v>1</v>
      </c>
      <c r="N511" s="26">
        <f>VLOOKUP($C511,COS!$B$8:$H$991,5,FALSE)</f>
        <v>215.26878356933594</v>
      </c>
      <c r="O511" s="26">
        <f t="shared" si="816"/>
        <v>12.809382162803461</v>
      </c>
      <c r="P511" s="26">
        <f>VLOOKUP($C511,COS!$B$8:$H$991,6,FALSE)</f>
        <v>2477.72265625</v>
      </c>
      <c r="Q511" s="26">
        <f t="shared" si="817"/>
        <v>147.43473657024794</v>
      </c>
      <c r="R511" s="26">
        <f>MIN(IF(MONTH($C511)=4,$S$3,IF(MONTH($C511)=5,$S$4,IF(MONTH($C511)=6,$S$5,IF(MONTH($C511)=7,$S$6,"ERROR")))),MAX(VLOOKUP($C511,COS!$B$8:$K$991,10,FALSE)-IF(MONTH($C511)=4,$Y$3,IF(MONTH($C511)=5,$Y$4,IF(MONTH($C511)=6,$Y$5,IF(MONTH($C511)=7,$Y$6,"ERROR")))),0),MAX(VLOOKUP($C511,COS!$B$8:$K$991,9,FALSE)-IF(MONTH($C511)=4,$V$3,IF(MONTH($C511)=5,$V$4,IF(MONTH($C511)=6,$V$5,IF(MONTH($C511)=7,$V$6,"ERROR"))))-VLOOKUP($C511,COS!$B$8:$K$991,6,FALSE)/2,0))</f>
        <v>1500</v>
      </c>
      <c r="S511" s="26">
        <f t="shared" si="818"/>
        <v>89.256198347107429</v>
      </c>
      <c r="T511" s="26">
        <f t="shared" si="819"/>
        <v>169.37825771363313</v>
      </c>
      <c r="U511" s="26" t="str">
        <f>IF(VLOOKUP($C511,COS!$B$8:$I$991,8,FALSE)=1,"UWFE","IBU")</f>
        <v>IBU</v>
      </c>
      <c r="V511" s="26">
        <f t="shared" ref="V511" si="822">MIN(IF(IF($AA$3=2,AND(E511=1,G511=1,L511=1,L514=1,M511=1,U511="IBU"),AND(E511=1,G511=1,L511=1,L514=1,M511=1)),T511,0),I511)</f>
        <v>132.55312499999999</v>
      </c>
      <c r="W511" s="26"/>
      <c r="X511" s="26"/>
      <c r="Y511" s="26"/>
      <c r="Z511" s="26"/>
      <c r="AA511" s="26"/>
      <c r="AB511" s="33"/>
    </row>
    <row r="512" spans="1:28" x14ac:dyDescent="0.3">
      <c r="A512" s="32">
        <f>VLOOKUP(YEAR(C512),Flags!$A$13:$B$95,2,FALSE)</f>
        <v>5</v>
      </c>
      <c r="B512" s="24">
        <f t="shared" si="739"/>
        <v>1977</v>
      </c>
      <c r="C512" s="25">
        <v>28337</v>
      </c>
      <c r="D512" s="26">
        <f>VLOOKUP($C512,COS!$B$8:$H$991,3,FALSE)</f>
        <v>12847.9814453125</v>
      </c>
      <c r="E512" s="24">
        <f>IF(D512&gt;=IF(MONTH($C512)=4,$C$3,IF(MONTH($C512)=5,$C$4,IF(MONTH($C512)=6,$C$5,IF(MONTH($C512)=7,$C$6,"ERROR")))),1,0)</f>
        <v>1</v>
      </c>
      <c r="F512" s="26">
        <f>VLOOKUP($C512,COS!$B$8:$H$991,7,FALSE)</f>
        <v>56.79901123046875</v>
      </c>
      <c r="G512" s="24">
        <f>IF(F512&lt;=IF(MONTH($C512)=4,$F$3,IF(MONTH($C512)=5,$F$4,IF(MONTH($C512)=6,$F$5,IF(MONTH($C512)=7,$F$6,"ERROR")))),1,0)</f>
        <v>0</v>
      </c>
      <c r="H512" s="26">
        <f>IF(J512=1,D512-$C$6,0)</f>
        <v>0</v>
      </c>
      <c r="I512" s="26">
        <f t="shared" si="764"/>
        <v>0</v>
      </c>
      <c r="J512" s="24">
        <f t="shared" si="813"/>
        <v>0</v>
      </c>
      <c r="K512" s="26">
        <f>VLOOKUP($C512,COS!$B$8:$H$991,2,FALSE)</f>
        <v>674.0113525390625</v>
      </c>
      <c r="L512" s="24">
        <f t="shared" si="741"/>
        <v>1</v>
      </c>
      <c r="M512" s="24">
        <f t="shared" si="742"/>
        <v>1</v>
      </c>
      <c r="N512" s="26">
        <f>VLOOKUP($C512,COS!$B$8:$H$991,5,FALSE)</f>
        <v>236.5211181640625</v>
      </c>
      <c r="O512" s="26">
        <f t="shared" si="816"/>
        <v>14.543116687112603</v>
      </c>
      <c r="P512" s="26">
        <f>VLOOKUP($C512,COS!$B$8:$H$991,6,FALSE)</f>
        <v>2273.37158203125</v>
      </c>
      <c r="Q512" s="26">
        <f t="shared" si="817"/>
        <v>139.78417000258267</v>
      </c>
      <c r="R512" s="26">
        <f>MIN(IF(MONTH($C512)=4,$S$3,IF(MONTH($C512)=5,$S$4,IF(MONTH($C512)=6,$S$5,IF(MONTH($C512)=7,$S$6,"ERROR")))),MAX(VLOOKUP($C512,COS!$B$8:$K$991,10,FALSE)-IF(MONTH($C512)=4,$Y$3,IF(MONTH($C512)=5,$Y$4,IF(MONTH($C512)=6,$Y$5,IF(MONTH($C512)=7,$Y$6,"ERROR")))),0),MAX(VLOOKUP($C512,COS!$B$8:$K$991,9,FALSE)-IF(MONTH($C512)=4,$V$3,IF(MONTH($C512)=5,$V$4,IF(MONTH($C512)=6,$V$5,IF(MONTH($C512)=7,$V$6,"ERROR"))))-VLOOKUP($C512,COS!$B$8:$K$991,6,FALSE)/2,0))</f>
        <v>1500</v>
      </c>
      <c r="S512" s="26">
        <f t="shared" si="818"/>
        <v>92.231404958677686</v>
      </c>
      <c r="T512" s="26">
        <f t="shared" si="819"/>
        <v>169.39504830352533</v>
      </c>
      <c r="U512" s="26" t="str">
        <f>IF(VLOOKUP($C512,COS!$B$8:$I$991,8,FALSE)=1,"UWFE","IBU")</f>
        <v>IBU</v>
      </c>
      <c r="V512" s="26">
        <f t="shared" ref="V512" si="823">MIN(IF(IF($AA$3=2,AND(E512=1,G512=1,L512=1,L514=1,M512=1,U512="IBU"),AND(E512=1,G512=1,L512=1,L514=1,M512=1)),T512,0),I512)</f>
        <v>0</v>
      </c>
      <c r="W512" s="26"/>
      <c r="X512" s="26"/>
      <c r="Y512" s="26"/>
      <c r="Z512" s="26"/>
      <c r="AA512" s="26"/>
      <c r="AB512" s="33"/>
    </row>
    <row r="513" spans="1:28" x14ac:dyDescent="0.3">
      <c r="A513" s="32">
        <f>VLOOKUP(YEAR(C513),Flags!$A$13:$B$95,2,FALSE)</f>
        <v>5</v>
      </c>
      <c r="B513" s="24">
        <f t="shared" si="739"/>
        <v>1977</v>
      </c>
      <c r="C513" s="25">
        <v>28368</v>
      </c>
      <c r="D513" s="26"/>
      <c r="E513" s="24"/>
      <c r="F513" s="26"/>
      <c r="G513" s="24"/>
      <c r="H513" s="24"/>
      <c r="I513" s="26"/>
      <c r="J513" s="24"/>
      <c r="K513" s="26"/>
      <c r="L513" s="24"/>
      <c r="M513" s="24"/>
      <c r="N513" s="26"/>
      <c r="O513" s="26"/>
      <c r="P513" s="26"/>
      <c r="Q513" s="26"/>
      <c r="R513" s="26"/>
      <c r="S513" s="26"/>
      <c r="T513" s="26"/>
      <c r="U513" s="26"/>
      <c r="V513" s="26"/>
      <c r="W513" s="26">
        <f>MAX($C$7-VLOOKUP($C513,COS!$B$8:$H$991,3,FALSE),0)</f>
        <v>90811.39453125</v>
      </c>
      <c r="X513" s="26">
        <f t="shared" si="769"/>
        <v>5583.7750025826454</v>
      </c>
      <c r="Y513" s="26">
        <f>VLOOKUP($C513,COS!$B$8:$H$991,4,FALSE)</f>
        <v>3103.3232421875</v>
      </c>
      <c r="Z513" s="26">
        <f t="shared" si="770"/>
        <v>190.81590844524794</v>
      </c>
      <c r="AA513" s="26">
        <f t="shared" ref="AA513:AA517" si="824">MIN(W513,Y513)</f>
        <v>3103.3232421875</v>
      </c>
      <c r="AB513" s="33">
        <f t="shared" ref="AB513" si="825">AA513*DAY($C513)*86400/43560/1000*IF(MONTH($C513)=8,$P$3,IF(MONTH($C513)=9,$P$4,IF(MONTH($C513)=10,$P$5,IF(MONTH($C513)=11,$P$6,IF(MONTH($C513)=12,$P$7,NA())))))</f>
        <v>190.81590844524794</v>
      </c>
    </row>
    <row r="514" spans="1:28" x14ac:dyDescent="0.3">
      <c r="A514" s="32">
        <f>VLOOKUP(YEAR(C514),Flags!$A$13:$B$95,2,FALSE)</f>
        <v>5</v>
      </c>
      <c r="B514" s="24">
        <f t="shared" si="739"/>
        <v>1977</v>
      </c>
      <c r="C514" s="25">
        <v>28398</v>
      </c>
      <c r="D514" s="26"/>
      <c r="E514" s="24"/>
      <c r="F514" s="26"/>
      <c r="G514" s="24"/>
      <c r="H514" s="24"/>
      <c r="I514" s="26"/>
      <c r="J514" s="24"/>
      <c r="K514" s="26">
        <f>VLOOKUP($C514,COS!$B$8:$H$991,2,FALSE)</f>
        <v>550</v>
      </c>
      <c r="L514" s="24">
        <f t="shared" ref="L514" si="826">IF(AND(K514&gt;$I$7,K514&lt;$I$8),1,0)</f>
        <v>1</v>
      </c>
      <c r="M514" s="24"/>
      <c r="N514" s="26"/>
      <c r="O514" s="26"/>
      <c r="P514" s="26"/>
      <c r="Q514" s="26"/>
      <c r="R514" s="26"/>
      <c r="S514" s="26"/>
      <c r="T514" s="26"/>
      <c r="U514" s="26"/>
      <c r="V514" s="26"/>
      <c r="W514" s="26">
        <f>MAX($C$8-VLOOKUP($C514,COS!$B$8:$H$991,3,FALSE),0)</f>
        <v>96010.7861328125</v>
      </c>
      <c r="X514" s="26">
        <f t="shared" si="769"/>
        <v>5713.0385136880168</v>
      </c>
      <c r="Y514" s="26">
        <f>VLOOKUP($C514,COS!$B$8:$H$991,4,FALSE)</f>
        <v>2002.165283203125</v>
      </c>
      <c r="Z514" s="26">
        <f t="shared" si="770"/>
        <v>119.13710776084712</v>
      </c>
      <c r="AA514" s="26">
        <f t="shared" si="824"/>
        <v>2002.165283203125</v>
      </c>
      <c r="AB514" s="33">
        <f t="shared" si="752"/>
        <v>119.13710776084712</v>
      </c>
    </row>
    <row r="515" spans="1:28" x14ac:dyDescent="0.3">
      <c r="A515" s="32">
        <f>VLOOKUP(YEAR(C515),Flags!$A$13:$B$95,2,FALSE)</f>
        <v>5</v>
      </c>
      <c r="B515" s="24">
        <f t="shared" si="739"/>
        <v>1977</v>
      </c>
      <c r="C515" s="25">
        <v>28429</v>
      </c>
      <c r="D515" s="26"/>
      <c r="E515" s="24"/>
      <c r="F515" s="26"/>
      <c r="G515" s="26"/>
      <c r="H515" s="26"/>
      <c r="I515" s="26"/>
      <c r="J515" s="26"/>
      <c r="K515" s="26"/>
      <c r="L515" s="24"/>
      <c r="M515" s="24"/>
      <c r="N515" s="26"/>
      <c r="O515" s="26"/>
      <c r="P515" s="26"/>
      <c r="Q515" s="26"/>
      <c r="R515" s="26"/>
      <c r="S515" s="26"/>
      <c r="T515" s="26"/>
      <c r="U515" s="26"/>
      <c r="V515" s="26"/>
      <c r="W515" s="26">
        <f>MAX($C$9-VLOOKUP($C515,COS!$B$8:$H$991,3,FALSE),0)</f>
        <v>93437.82080078125</v>
      </c>
      <c r="X515" s="26">
        <f t="shared" si="769"/>
        <v>5745.2676591554746</v>
      </c>
      <c r="Y515" s="26">
        <f>VLOOKUP($C515,COS!$B$8:$H$991,4,FALSE)</f>
        <v>1799.302734375</v>
      </c>
      <c r="Z515" s="26">
        <f t="shared" si="770"/>
        <v>110.63481275826447</v>
      </c>
      <c r="AA515" s="26">
        <f t="shared" si="824"/>
        <v>1799.302734375</v>
      </c>
      <c r="AB515" s="33">
        <f t="shared" si="752"/>
        <v>110.63481275826447</v>
      </c>
    </row>
    <row r="516" spans="1:28" x14ac:dyDescent="0.3">
      <c r="A516" s="32">
        <f>VLOOKUP(YEAR(C516),Flags!$A$13:$B$95,2,FALSE)</f>
        <v>5</v>
      </c>
      <c r="B516" s="24">
        <f t="shared" si="739"/>
        <v>1977</v>
      </c>
      <c r="C516" s="25">
        <v>28459</v>
      </c>
      <c r="D516" s="26"/>
      <c r="E516" s="24"/>
      <c r="F516" s="26"/>
      <c r="G516" s="26"/>
      <c r="H516" s="26"/>
      <c r="I516" s="26"/>
      <c r="J516" s="26"/>
      <c r="K516" s="26"/>
      <c r="L516" s="24"/>
      <c r="M516" s="24"/>
      <c r="N516" s="26"/>
      <c r="O516" s="26"/>
      <c r="P516" s="26"/>
      <c r="Q516" s="26"/>
      <c r="R516" s="26"/>
      <c r="S516" s="26"/>
      <c r="T516" s="26"/>
      <c r="U516" s="26"/>
      <c r="V516" s="26"/>
      <c r="W516" s="26">
        <f>MAX($C$10-VLOOKUP($C516,COS!$B$8:$H$991,3,FALSE),0)</f>
        <v>96634.680419921875</v>
      </c>
      <c r="X516" s="26">
        <f t="shared" si="769"/>
        <v>5750.1628018465908</v>
      </c>
      <c r="Y516" s="26">
        <f>VLOOKUP($C516,COS!$B$8:$H$991,4,FALSE)</f>
        <v>1647.787109375</v>
      </c>
      <c r="Z516" s="26">
        <f t="shared" si="770"/>
        <v>98.05014204545455</v>
      </c>
      <c r="AA516" s="26">
        <f t="shared" si="824"/>
        <v>1647.787109375</v>
      </c>
      <c r="AB516" s="33">
        <f t="shared" si="752"/>
        <v>49.025071022727275</v>
      </c>
    </row>
    <row r="517" spans="1:28" x14ac:dyDescent="0.3">
      <c r="A517" s="34">
        <f>VLOOKUP(YEAR(C517),Flags!$A$13:$B$95,2,FALSE)</f>
        <v>5</v>
      </c>
      <c r="B517" s="35">
        <f t="shared" si="739"/>
        <v>1977</v>
      </c>
      <c r="C517" s="36">
        <v>28490</v>
      </c>
      <c r="D517" s="37"/>
      <c r="E517" s="35"/>
      <c r="F517" s="37"/>
      <c r="G517" s="37"/>
      <c r="H517" s="37"/>
      <c r="I517" s="37"/>
      <c r="J517" s="37"/>
      <c r="K517" s="37"/>
      <c r="L517" s="35"/>
      <c r="M517" s="35"/>
      <c r="N517" s="37"/>
      <c r="O517" s="37"/>
      <c r="P517" s="37"/>
      <c r="Q517" s="37"/>
      <c r="R517" s="37"/>
      <c r="S517" s="37"/>
      <c r="T517" s="37"/>
      <c r="U517" s="37"/>
      <c r="V517" s="37"/>
      <c r="W517" s="37">
        <f>MAX($C$11-VLOOKUP($C517,COS!$B$8:$H$991,3,FALSE),0)</f>
        <v>0</v>
      </c>
      <c r="X517" s="37">
        <f t="shared" si="769"/>
        <v>0</v>
      </c>
      <c r="Y517" s="37">
        <f>VLOOKUP($C517,COS!$B$8:$H$991,4,FALSE)</f>
        <v>1898.17529296875</v>
      </c>
      <c r="Z517" s="37">
        <f t="shared" si="770"/>
        <v>116.71424941890496</v>
      </c>
      <c r="AA517" s="37">
        <f t="shared" si="824"/>
        <v>0</v>
      </c>
      <c r="AB517" s="38">
        <f t="shared" si="752"/>
        <v>0</v>
      </c>
    </row>
    <row r="518" spans="1:28" x14ac:dyDescent="0.3">
      <c r="A518" s="27">
        <f>VLOOKUP(YEAR(C518),Flags!$A$13:$B$95,2,FALSE)</f>
        <v>2</v>
      </c>
      <c r="B518" s="28">
        <f t="shared" si="739"/>
        <v>1978</v>
      </c>
      <c r="C518" s="29">
        <v>28610</v>
      </c>
      <c r="D518" s="30">
        <f>VLOOKUP($C518,COS!$B$8:$H$991,3,FALSE)</f>
        <v>5366.947265625</v>
      </c>
      <c r="E518" s="28">
        <f>IF(D518&gt;=IF(MONTH($C518)=4,$C$3,IF(MONTH($C518)=5,$C$4,IF(MONTH($C518)=6,$C$5,IF(MONTH($C518)=7,$C$6,"ERROR")))),1,0)</f>
        <v>0</v>
      </c>
      <c r="F518" s="30">
        <f>VLOOKUP($C518,COS!$B$8:$H$991,7,FALSE)</f>
        <v>47.174221038818359</v>
      </c>
      <c r="G518" s="28">
        <f>IF(F518&lt;=IF(MONTH($C518)=4,$F$3,IF(MONTH($C518)=5,$F$4,IF(MONTH($C518)=6,$F$5,IF(MONTH($C518)=7,$F$6,"ERROR")))),1,0)</f>
        <v>1</v>
      </c>
      <c r="H518" s="30">
        <f>IF(J518=1,D518-$C$3,0)</f>
        <v>0</v>
      </c>
      <c r="I518" s="30">
        <f t="shared" si="764"/>
        <v>0</v>
      </c>
      <c r="J518" s="28">
        <f t="shared" ref="J518:J521" si="827">IF(AND(E518=1,G518=1),1,0)</f>
        <v>0</v>
      </c>
      <c r="K518" s="30">
        <f>VLOOKUP($C518,COS!$B$8:$H$991,2,FALSE)</f>
        <v>4552</v>
      </c>
      <c r="L518" s="28">
        <f t="shared" ref="L518" si="828">IF(K518&lt;=IF(MONTH($C518)=4,$I$3,IF(MONTH($C518)=5,$I$4,IF(MONTH($C518)=6,$I$5,IF(MONTH($C518)=7,$I$6,"ERROR")))),1,0)</f>
        <v>1</v>
      </c>
      <c r="M518" s="28">
        <f t="shared" ref="M518" si="829">VLOOKUP($A518,$L$3:$M$7,2,FALSE)</f>
        <v>0</v>
      </c>
      <c r="N518" s="30">
        <f>VLOOKUP($C518,COS!$B$8:$H$991,5,FALSE)</f>
        <v>14.349928855895996</v>
      </c>
      <c r="O518" s="30">
        <f t="shared" ref="O518:O521" si="830">N518*DAY($C518)*86400/43560/1000</f>
        <v>0.85388006415248896</v>
      </c>
      <c r="P518" s="30">
        <f>VLOOKUP($C518,COS!$B$8:$H$991,6,FALSE)</f>
        <v>353.44631958007813</v>
      </c>
      <c r="Q518" s="30">
        <f t="shared" ref="Q518:Q521" si="831">P518*DAY($C518)*86400/43560/1000</f>
        <v>21.031516536996385</v>
      </c>
      <c r="R518" s="30">
        <f>MIN(IF(MONTH($C518)=4,$S$3,IF(MONTH($C518)=5,$S$4,IF(MONTH($C518)=6,$S$5,IF(MONTH($C518)=7,$S$6,"ERROR")))),MAX(VLOOKUP($C518,COS!$B$8:$K$991,10,FALSE)-IF(MONTH($C518)=4,$Y$3,IF(MONTH($C518)=5,$Y$4,IF(MONTH($C518)=6,$Y$5,IF(MONTH($C518)=7,$Y$6,"ERROR")))),0),MAX(VLOOKUP($C518,COS!$B$8:$K$991,9,FALSE)-IF(MONTH($C518)=4,$V$3,IF(MONTH($C518)=5,$V$4,IF(MONTH($C518)=6,$V$5,IF(MONTH($C518)=7,$V$6,"ERROR"))))-VLOOKUP($C518,COS!$B$8:$K$991,6,FALSE)/2,0))</f>
        <v>1500</v>
      </c>
      <c r="S518" s="30">
        <f t="shared" ref="S518:S521" si="832">R518*DAY($C518)*86400/43560/1000</f>
        <v>89.256198347107429</v>
      </c>
      <c r="T518" s="30">
        <f t="shared" ref="T518:T521" si="833">(O518+Q518)/2+S518</f>
        <v>100.19889664768186</v>
      </c>
      <c r="U518" s="30" t="str">
        <f>IF(VLOOKUP($C518,COS!$B$8:$I$991,8,FALSE)=1,"UWFE","IBU")</f>
        <v>UWFE</v>
      </c>
      <c r="V518" s="30">
        <f t="shared" ref="V518" si="834">MIN(IF(IF($AA$3=2,AND(E518=1,G518=1,L518=1,L523=1,M518=1,U518="IBU"),AND(E518=1,G518=1,L518=1,L523=1,M518=1)),T518,0),I518)</f>
        <v>0</v>
      </c>
      <c r="W518" s="30"/>
      <c r="X518" s="30"/>
      <c r="Y518" s="30"/>
      <c r="Z518" s="30"/>
      <c r="AA518" s="30"/>
      <c r="AB518" s="31"/>
    </row>
    <row r="519" spans="1:28" x14ac:dyDescent="0.3">
      <c r="A519" s="32">
        <f>VLOOKUP(YEAR(C519),Flags!$A$13:$B$95,2,FALSE)</f>
        <v>2</v>
      </c>
      <c r="B519" s="24">
        <f t="shared" si="739"/>
        <v>1978</v>
      </c>
      <c r="C519" s="25">
        <v>28641</v>
      </c>
      <c r="D519" s="26">
        <f>VLOOKUP($C519,COS!$B$8:$H$991,3,FALSE)</f>
        <v>8295.84765625</v>
      </c>
      <c r="E519" s="24">
        <f>IF(D519&gt;=IF(MONTH($C519)=4,$C$3,IF(MONTH($C519)=5,$C$4,IF(MONTH($C519)=6,$C$5,IF(MONTH($C519)=7,$C$6,"ERROR")))),1,0)</f>
        <v>1</v>
      </c>
      <c r="F519" s="26">
        <f>VLOOKUP($C519,COS!$B$8:$H$991,7,FALSE)</f>
        <v>48.754131317138672</v>
      </c>
      <c r="G519" s="24">
        <f>IF(F519&lt;=IF(MONTH($C519)=4,$F$3,IF(MONTH($C519)=5,$F$4,IF(MONTH($C519)=6,$F$5,IF(MONTH($C519)=7,$F$6,"ERROR")))),1,0)</f>
        <v>1</v>
      </c>
      <c r="H519" s="26">
        <f>IF(J519=1,D519-$C$4,0)</f>
        <v>2295.84765625</v>
      </c>
      <c r="I519" s="26">
        <f t="shared" si="764"/>
        <v>141.16616993801654</v>
      </c>
      <c r="J519" s="24">
        <f t="shared" si="827"/>
        <v>1</v>
      </c>
      <c r="K519" s="26">
        <f>VLOOKUP($C519,COS!$B$8:$H$991,2,FALSE)</f>
        <v>4552</v>
      </c>
      <c r="L519" s="24">
        <f t="shared" si="741"/>
        <v>1</v>
      </c>
      <c r="M519" s="24">
        <f t="shared" si="742"/>
        <v>0</v>
      </c>
      <c r="N519" s="26">
        <f>VLOOKUP($C519,COS!$B$8:$H$991,5,FALSE)</f>
        <v>802.34027099609375</v>
      </c>
      <c r="O519" s="26">
        <f t="shared" si="830"/>
        <v>49.333980299263942</v>
      </c>
      <c r="P519" s="26">
        <f>VLOOKUP($C519,COS!$B$8:$H$991,6,FALSE)</f>
        <v>2254.8779296875</v>
      </c>
      <c r="Q519" s="26">
        <f t="shared" si="831"/>
        <v>138.64703964359506</v>
      </c>
      <c r="R519" s="26">
        <f>MIN(IF(MONTH($C519)=4,$S$3,IF(MONTH($C519)=5,$S$4,IF(MONTH($C519)=6,$S$5,IF(MONTH($C519)=7,$S$6,"ERROR")))),MAX(VLOOKUP($C519,COS!$B$8:$K$991,10,FALSE)-IF(MONTH($C519)=4,$Y$3,IF(MONTH($C519)=5,$Y$4,IF(MONTH($C519)=6,$Y$5,IF(MONTH($C519)=7,$Y$6,"ERROR")))),0),MAX(VLOOKUP($C519,COS!$B$8:$K$991,9,FALSE)-IF(MONTH($C519)=4,$V$3,IF(MONTH($C519)=5,$V$4,IF(MONTH($C519)=6,$V$5,IF(MONTH($C519)=7,$V$6,"ERROR"))))-VLOOKUP($C519,COS!$B$8:$K$991,6,FALSE)/2,0))</f>
        <v>1500</v>
      </c>
      <c r="S519" s="26">
        <f t="shared" si="832"/>
        <v>92.231404958677686</v>
      </c>
      <c r="T519" s="26">
        <f t="shared" si="833"/>
        <v>186.22191493010718</v>
      </c>
      <c r="U519" s="26" t="str">
        <f>IF(VLOOKUP($C519,COS!$B$8:$I$991,8,FALSE)=1,"UWFE","IBU")</f>
        <v>UWFE</v>
      </c>
      <c r="V519" s="26">
        <f t="shared" ref="V519" si="835">MIN(IF(IF($AA$3=2,AND(E519=1,G519=1,L519=1,L523=1,M519=1,U519="IBU"),AND(E519=1,G519=1,L519=1,L523=1,M519=1)),T519,0),I519)</f>
        <v>0</v>
      </c>
      <c r="W519" s="26"/>
      <c r="X519" s="26"/>
      <c r="Y519" s="26"/>
      <c r="Z519" s="26"/>
      <c r="AA519" s="26"/>
      <c r="AB519" s="33"/>
    </row>
    <row r="520" spans="1:28" x14ac:dyDescent="0.3">
      <c r="A520" s="32">
        <f>VLOOKUP(YEAR(C520),Flags!$A$13:$B$95,2,FALSE)</f>
        <v>2</v>
      </c>
      <c r="B520" s="24">
        <f t="shared" si="739"/>
        <v>1978</v>
      </c>
      <c r="C520" s="25">
        <v>28671</v>
      </c>
      <c r="D520" s="26">
        <f>VLOOKUP($C520,COS!$B$8:$H$991,3,FALSE)</f>
        <v>9561.716796875</v>
      </c>
      <c r="E520" s="24">
        <f>IF(D520&gt;=IF(MONTH($C520)=4,$C$3,IF(MONTH($C520)=5,$C$4,IF(MONTH($C520)=6,$C$5,IF(MONTH($C520)=7,$C$6,"ERROR")))),1,0)</f>
        <v>0</v>
      </c>
      <c r="F520" s="26">
        <f>VLOOKUP($C520,COS!$B$8:$H$991,7,FALSE)</f>
        <v>49.9637451171875</v>
      </c>
      <c r="G520" s="24">
        <f>IF(F520&lt;=IF(MONTH($C520)=4,$F$3,IF(MONTH($C520)=5,$F$4,IF(MONTH($C520)=6,$F$5,IF(MONTH($C520)=7,$F$6,"ERROR")))),1,0)</f>
        <v>1</v>
      </c>
      <c r="H520" s="26">
        <f>IF(J520=1,D520-$C$5,0)</f>
        <v>0</v>
      </c>
      <c r="I520" s="26">
        <f t="shared" si="764"/>
        <v>0</v>
      </c>
      <c r="J520" s="24">
        <f t="shared" si="827"/>
        <v>0</v>
      </c>
      <c r="K520" s="26">
        <f>VLOOKUP($C520,COS!$B$8:$H$991,2,FALSE)</f>
        <v>4231.4814453125</v>
      </c>
      <c r="L520" s="24">
        <f t="shared" si="741"/>
        <v>1</v>
      </c>
      <c r="M520" s="24">
        <f t="shared" si="742"/>
        <v>0</v>
      </c>
      <c r="N520" s="26">
        <f>VLOOKUP($C520,COS!$B$8:$H$991,5,FALSE)</f>
        <v>1242.423828125</v>
      </c>
      <c r="O520" s="26">
        <f t="shared" si="830"/>
        <v>73.929351756198344</v>
      </c>
      <c r="P520" s="26">
        <f>VLOOKUP($C520,COS!$B$8:$H$991,6,FALSE)</f>
        <v>2349.44482421875</v>
      </c>
      <c r="Q520" s="26">
        <f t="shared" si="831"/>
        <v>139.80167549070248</v>
      </c>
      <c r="R520" s="26">
        <f>MIN(IF(MONTH($C520)=4,$S$3,IF(MONTH($C520)=5,$S$4,IF(MONTH($C520)=6,$S$5,IF(MONTH($C520)=7,$S$6,"ERROR")))),MAX(VLOOKUP($C520,COS!$B$8:$K$991,10,FALSE)-IF(MONTH($C520)=4,$Y$3,IF(MONTH($C520)=5,$Y$4,IF(MONTH($C520)=6,$Y$5,IF(MONTH($C520)=7,$Y$6,"ERROR")))),0),MAX(VLOOKUP($C520,COS!$B$8:$K$991,9,FALSE)-IF(MONTH($C520)=4,$V$3,IF(MONTH($C520)=5,$V$4,IF(MONTH($C520)=6,$V$5,IF(MONTH($C520)=7,$V$6,"ERROR"))))-VLOOKUP($C520,COS!$B$8:$K$991,6,FALSE)/2,0))</f>
        <v>1500</v>
      </c>
      <c r="S520" s="26">
        <f t="shared" si="832"/>
        <v>89.256198347107429</v>
      </c>
      <c r="T520" s="26">
        <f t="shared" si="833"/>
        <v>196.12171197055784</v>
      </c>
      <c r="U520" s="26" t="str">
        <f>IF(VLOOKUP($C520,COS!$B$8:$I$991,8,FALSE)=1,"UWFE","IBU")</f>
        <v>UWFE</v>
      </c>
      <c r="V520" s="26">
        <f t="shared" ref="V520" si="836">MIN(IF(IF($AA$3=2,AND(E520=1,G520=1,L520=1,L523=1,M520=1,U520="IBU"),AND(E520=1,G520=1,L520=1,L523=1,M520=1)),T520,0),I520)</f>
        <v>0</v>
      </c>
      <c r="W520" s="26"/>
      <c r="X520" s="26"/>
      <c r="Y520" s="26"/>
      <c r="Z520" s="26"/>
      <c r="AA520" s="26"/>
      <c r="AB520" s="33"/>
    </row>
    <row r="521" spans="1:28" x14ac:dyDescent="0.3">
      <c r="A521" s="32">
        <f>VLOOKUP(YEAR(C521),Flags!$A$13:$B$95,2,FALSE)</f>
        <v>2</v>
      </c>
      <c r="B521" s="24">
        <f t="shared" si="739"/>
        <v>1978</v>
      </c>
      <c r="C521" s="25">
        <v>28702</v>
      </c>
      <c r="D521" s="26">
        <f>VLOOKUP($C521,COS!$B$8:$H$991,3,FALSE)</f>
        <v>13248.9892578125</v>
      </c>
      <c r="E521" s="24">
        <f>IF(D521&gt;=IF(MONTH($C521)=4,$C$3,IF(MONTH($C521)=5,$C$4,IF(MONTH($C521)=6,$C$5,IF(MONTH($C521)=7,$C$6,"ERROR")))),1,0)</f>
        <v>1</v>
      </c>
      <c r="F521" s="26">
        <f>VLOOKUP($C521,COS!$B$8:$H$991,7,FALSE)</f>
        <v>50.877964019775391</v>
      </c>
      <c r="G521" s="24">
        <f>IF(F521&lt;=IF(MONTH($C521)=4,$F$3,IF(MONTH($C521)=5,$F$4,IF(MONTH($C521)=6,$F$5,IF(MONTH($C521)=7,$F$6,"ERROR")))),1,0)</f>
        <v>1</v>
      </c>
      <c r="H521" s="26">
        <f>IF(J521=1,D521-$C$6,0)</f>
        <v>1248.9892578125</v>
      </c>
      <c r="I521" s="26">
        <f t="shared" si="764"/>
        <v>76.797356017561981</v>
      </c>
      <c r="J521" s="24">
        <f t="shared" si="827"/>
        <v>1</v>
      </c>
      <c r="K521" s="26">
        <f>VLOOKUP($C521,COS!$B$8:$H$991,2,FALSE)</f>
        <v>3678.985107421875</v>
      </c>
      <c r="L521" s="24">
        <f t="shared" si="741"/>
        <v>1</v>
      </c>
      <c r="M521" s="24">
        <f t="shared" si="742"/>
        <v>0</v>
      </c>
      <c r="N521" s="26">
        <f>VLOOKUP($C521,COS!$B$8:$H$991,5,FALSE)</f>
        <v>1355.9876708984375</v>
      </c>
      <c r="O521" s="26">
        <f t="shared" si="830"/>
        <v>83.376431995738628</v>
      </c>
      <c r="P521" s="26">
        <f>VLOOKUP($C521,COS!$B$8:$H$991,6,FALSE)</f>
        <v>2562.892822265625</v>
      </c>
      <c r="Q521" s="26">
        <f t="shared" si="831"/>
        <v>157.58613717071282</v>
      </c>
      <c r="R521" s="26">
        <f>MIN(IF(MONTH($C521)=4,$S$3,IF(MONTH($C521)=5,$S$4,IF(MONTH($C521)=6,$S$5,IF(MONTH($C521)=7,$S$6,"ERROR")))),MAX(VLOOKUP($C521,COS!$B$8:$K$991,10,FALSE)-IF(MONTH($C521)=4,$Y$3,IF(MONTH($C521)=5,$Y$4,IF(MONTH($C521)=6,$Y$5,IF(MONTH($C521)=7,$Y$6,"ERROR")))),0),MAX(VLOOKUP($C521,COS!$B$8:$K$991,9,FALSE)-IF(MONTH($C521)=4,$V$3,IF(MONTH($C521)=5,$V$4,IF(MONTH($C521)=6,$V$5,IF(MONTH($C521)=7,$V$6,"ERROR"))))-VLOOKUP($C521,COS!$B$8:$K$991,6,FALSE)/2,0))</f>
        <v>1500</v>
      </c>
      <c r="S521" s="26">
        <f t="shared" si="832"/>
        <v>92.231404958677686</v>
      </c>
      <c r="T521" s="26">
        <f t="shared" si="833"/>
        <v>212.71268954190339</v>
      </c>
      <c r="U521" s="26" t="str">
        <f>IF(VLOOKUP($C521,COS!$B$8:$I$991,8,FALSE)=1,"UWFE","IBU")</f>
        <v>IBU</v>
      </c>
      <c r="V521" s="26">
        <f t="shared" ref="V521" si="837">MIN(IF(IF($AA$3=2,AND(E521=1,G521=1,L521=1,L523=1,M521=1,U521="IBU"),AND(E521=1,G521=1,L521=1,L523=1,M521=1)),T521,0),I521)</f>
        <v>0</v>
      </c>
      <c r="W521" s="26"/>
      <c r="X521" s="26"/>
      <c r="Y521" s="26"/>
      <c r="Z521" s="26"/>
      <c r="AA521" s="26"/>
      <c r="AB521" s="33"/>
    </row>
    <row r="522" spans="1:28" x14ac:dyDescent="0.3">
      <c r="A522" s="32">
        <f>VLOOKUP(YEAR(C522),Flags!$A$13:$B$95,2,FALSE)</f>
        <v>2</v>
      </c>
      <c r="B522" s="24">
        <f t="shared" si="739"/>
        <v>1978</v>
      </c>
      <c r="C522" s="25">
        <v>28733</v>
      </c>
      <c r="D522" s="26"/>
      <c r="E522" s="24"/>
      <c r="F522" s="26"/>
      <c r="G522" s="24"/>
      <c r="H522" s="24"/>
      <c r="I522" s="26"/>
      <c r="J522" s="24"/>
      <c r="K522" s="26"/>
      <c r="L522" s="24"/>
      <c r="M522" s="24"/>
      <c r="N522" s="26"/>
      <c r="O522" s="26"/>
      <c r="P522" s="26"/>
      <c r="Q522" s="26"/>
      <c r="R522" s="26"/>
      <c r="S522" s="26"/>
      <c r="T522" s="26"/>
      <c r="U522" s="26"/>
      <c r="V522" s="26"/>
      <c r="W522" s="26">
        <f>MAX($C$7-VLOOKUP($C522,COS!$B$8:$H$991,3,FALSE),0)</f>
        <v>90311.0869140625</v>
      </c>
      <c r="X522" s="26">
        <f t="shared" si="769"/>
        <v>5553.0122862861563</v>
      </c>
      <c r="Y522" s="26">
        <f>VLOOKUP($C522,COS!$B$8:$H$991,4,FALSE)</f>
        <v>138.08555603027344</v>
      </c>
      <c r="Z522" s="26">
        <f t="shared" si="770"/>
        <v>8.490549891448218</v>
      </c>
      <c r="AA522" s="26">
        <f t="shared" ref="AA522:AA526" si="838">MIN(W522,Y522)</f>
        <v>138.08555603027344</v>
      </c>
      <c r="AB522" s="33">
        <f t="shared" ref="AB522" si="839">AA522*DAY($C522)*86400/43560/1000*IF(MONTH($C522)=8,$P$3,IF(MONTH($C522)=9,$P$4,IF(MONTH($C522)=10,$P$5,IF(MONTH($C522)=11,$P$6,IF(MONTH($C522)=12,$P$7,NA())))))</f>
        <v>8.490549891448218</v>
      </c>
    </row>
    <row r="523" spans="1:28" x14ac:dyDescent="0.3">
      <c r="A523" s="32">
        <f>VLOOKUP(YEAR(C523),Flags!$A$13:$B$95,2,FALSE)</f>
        <v>2</v>
      </c>
      <c r="B523" s="24">
        <f t="shared" si="739"/>
        <v>1978</v>
      </c>
      <c r="C523" s="25">
        <v>28763</v>
      </c>
      <c r="D523" s="26"/>
      <c r="E523" s="24"/>
      <c r="F523" s="26"/>
      <c r="G523" s="24"/>
      <c r="H523" s="24"/>
      <c r="I523" s="26"/>
      <c r="J523" s="24"/>
      <c r="K523" s="26">
        <f>VLOOKUP($C523,COS!$B$8:$H$991,2,FALSE)</f>
        <v>3233.942626953125</v>
      </c>
      <c r="L523" s="24">
        <f t="shared" ref="L523" si="840">IF(AND(K523&gt;$I$7,K523&lt;$I$8),1,0)</f>
        <v>1</v>
      </c>
      <c r="M523" s="24"/>
      <c r="N523" s="26"/>
      <c r="O523" s="26"/>
      <c r="P523" s="26"/>
      <c r="Q523" s="26"/>
      <c r="R523" s="26"/>
      <c r="S523" s="26"/>
      <c r="T523" s="26"/>
      <c r="U523" s="26"/>
      <c r="V523" s="26"/>
      <c r="W523" s="26">
        <f>MAX($C$8-VLOOKUP($C523,COS!$B$8:$H$991,3,FALSE),0)</f>
        <v>93316.7197265625</v>
      </c>
      <c r="X523" s="26">
        <f t="shared" si="769"/>
        <v>5552.7304300103306</v>
      </c>
      <c r="Y523" s="26">
        <f>VLOOKUP($C523,COS!$B$8:$H$991,4,FALSE)</f>
        <v>124.30649566650391</v>
      </c>
      <c r="Z523" s="26">
        <f t="shared" si="770"/>
        <v>7.3967501553622164</v>
      </c>
      <c r="AA523" s="26">
        <f t="shared" si="838"/>
        <v>124.30649566650391</v>
      </c>
      <c r="AB523" s="33">
        <f t="shared" si="752"/>
        <v>7.3967501553622164</v>
      </c>
    </row>
    <row r="524" spans="1:28" x14ac:dyDescent="0.3">
      <c r="A524" s="32">
        <f>VLOOKUP(YEAR(C524),Flags!$A$13:$B$95,2,FALSE)</f>
        <v>2</v>
      </c>
      <c r="B524" s="24">
        <f t="shared" si="739"/>
        <v>1978</v>
      </c>
      <c r="C524" s="25">
        <v>28794</v>
      </c>
      <c r="D524" s="26"/>
      <c r="E524" s="24"/>
      <c r="F524" s="26"/>
      <c r="G524" s="26"/>
      <c r="H524" s="26"/>
      <c r="I524" s="26"/>
      <c r="J524" s="26"/>
      <c r="K524" s="26"/>
      <c r="L524" s="24"/>
      <c r="M524" s="24"/>
      <c r="N524" s="26"/>
      <c r="O524" s="26"/>
      <c r="P524" s="26"/>
      <c r="Q524" s="26"/>
      <c r="R524" s="26"/>
      <c r="S524" s="26"/>
      <c r="T524" s="26"/>
      <c r="U524" s="26"/>
      <c r="V524" s="26"/>
      <c r="W524" s="26">
        <f>MAX($C$9-VLOOKUP($C524,COS!$B$8:$H$991,3,FALSE),0)</f>
        <v>94237.51806640625</v>
      </c>
      <c r="X524" s="26">
        <f t="shared" si="769"/>
        <v>5794.4391273889469</v>
      </c>
      <c r="Y524" s="26">
        <f>VLOOKUP($C524,COS!$B$8:$H$991,4,FALSE)</f>
        <v>308.338623046875</v>
      </c>
      <c r="Z524" s="26">
        <f t="shared" si="770"/>
        <v>18.959002937758264</v>
      </c>
      <c r="AA524" s="26">
        <f t="shared" si="838"/>
        <v>308.338623046875</v>
      </c>
      <c r="AB524" s="33">
        <f t="shared" si="752"/>
        <v>18.959002937758264</v>
      </c>
    </row>
    <row r="525" spans="1:28" x14ac:dyDescent="0.3">
      <c r="A525" s="32">
        <f>VLOOKUP(YEAR(C525),Flags!$A$13:$B$95,2,FALSE)</f>
        <v>2</v>
      </c>
      <c r="B525" s="24">
        <f t="shared" si="739"/>
        <v>1978</v>
      </c>
      <c r="C525" s="25">
        <v>28824</v>
      </c>
      <c r="D525" s="26"/>
      <c r="E525" s="24"/>
      <c r="F525" s="26"/>
      <c r="G525" s="26"/>
      <c r="H525" s="26"/>
      <c r="I525" s="26"/>
      <c r="J525" s="26"/>
      <c r="K525" s="26"/>
      <c r="L525" s="24"/>
      <c r="M525" s="24"/>
      <c r="N525" s="26"/>
      <c r="O525" s="26"/>
      <c r="P525" s="26"/>
      <c r="Q525" s="26"/>
      <c r="R525" s="26"/>
      <c r="S525" s="26"/>
      <c r="T525" s="26"/>
      <c r="U525" s="26"/>
      <c r="V525" s="26"/>
      <c r="W525" s="26">
        <f>MAX($C$10-VLOOKUP($C525,COS!$B$8:$H$991,3,FALSE),0)</f>
        <v>90817.384765625</v>
      </c>
      <c r="X525" s="26">
        <f t="shared" si="769"/>
        <v>5404.0096720041329</v>
      </c>
      <c r="Y525" s="26">
        <f>VLOOKUP($C525,COS!$B$8:$H$991,4,FALSE)</f>
        <v>283.46884155273438</v>
      </c>
      <c r="Z525" s="26">
        <f t="shared" si="770"/>
        <v>16.867567431237088</v>
      </c>
      <c r="AA525" s="26">
        <f t="shared" si="838"/>
        <v>283.46884155273438</v>
      </c>
      <c r="AB525" s="33">
        <f t="shared" si="752"/>
        <v>8.433783715618544</v>
      </c>
    </row>
    <row r="526" spans="1:28" x14ac:dyDescent="0.3">
      <c r="A526" s="34">
        <f>VLOOKUP(YEAR(C526),Flags!$A$13:$B$95,2,FALSE)</f>
        <v>2</v>
      </c>
      <c r="B526" s="35">
        <f t="shared" si="739"/>
        <v>1978</v>
      </c>
      <c r="C526" s="36">
        <v>28855</v>
      </c>
      <c r="D526" s="37"/>
      <c r="E526" s="35"/>
      <c r="F526" s="37"/>
      <c r="G526" s="37"/>
      <c r="H526" s="37"/>
      <c r="I526" s="37"/>
      <c r="J526" s="37"/>
      <c r="K526" s="37"/>
      <c r="L526" s="35"/>
      <c r="M526" s="35"/>
      <c r="N526" s="37"/>
      <c r="O526" s="37"/>
      <c r="P526" s="37"/>
      <c r="Q526" s="37"/>
      <c r="R526" s="37"/>
      <c r="S526" s="37"/>
      <c r="T526" s="37"/>
      <c r="U526" s="37"/>
      <c r="V526" s="37"/>
      <c r="W526" s="37">
        <f>MAX($C$11-VLOOKUP($C526,COS!$B$8:$H$991,3,FALSE),0)</f>
        <v>0</v>
      </c>
      <c r="X526" s="37">
        <f t="shared" si="769"/>
        <v>0</v>
      </c>
      <c r="Y526" s="37">
        <f>VLOOKUP($C526,COS!$B$8:$H$991,4,FALSE)</f>
        <v>569.04254150390625</v>
      </c>
      <c r="Z526" s="37">
        <f t="shared" si="770"/>
        <v>34.989062056107954</v>
      </c>
      <c r="AA526" s="37">
        <f t="shared" si="838"/>
        <v>0</v>
      </c>
      <c r="AB526" s="38">
        <f t="shared" si="752"/>
        <v>0</v>
      </c>
    </row>
    <row r="527" spans="1:28" x14ac:dyDescent="0.3">
      <c r="A527" s="27">
        <f>VLOOKUP(YEAR(C527),Flags!$A$13:$B$95,2,FALSE)</f>
        <v>4</v>
      </c>
      <c r="B527" s="28">
        <f t="shared" ref="B527:B590" si="841">YEAR(C527)</f>
        <v>1979</v>
      </c>
      <c r="C527" s="29">
        <v>28975</v>
      </c>
      <c r="D527" s="30">
        <f>VLOOKUP($C527,COS!$B$8:$H$991,3,FALSE)</f>
        <v>3250</v>
      </c>
      <c r="E527" s="28">
        <f>IF(D527&gt;=IF(MONTH($C527)=4,$C$3,IF(MONTH($C527)=5,$C$4,IF(MONTH($C527)=6,$C$5,IF(MONTH($C527)=7,$C$6,"ERROR")))),1,0)</f>
        <v>0</v>
      </c>
      <c r="F527" s="30">
        <f>VLOOKUP($C527,COS!$B$8:$H$991,7,FALSE)</f>
        <v>51.270172119140625</v>
      </c>
      <c r="G527" s="28">
        <f>IF(F527&lt;=IF(MONTH($C527)=4,$F$3,IF(MONTH($C527)=5,$F$4,IF(MONTH($C527)=6,$F$5,IF(MONTH($C527)=7,$F$6,"ERROR")))),1,0)</f>
        <v>1</v>
      </c>
      <c r="H527" s="30">
        <f>IF(J527=1,D527-$C$3,0)</f>
        <v>0</v>
      </c>
      <c r="I527" s="30">
        <f t="shared" si="764"/>
        <v>0</v>
      </c>
      <c r="J527" s="28">
        <f t="shared" ref="J527:J530" si="842">IF(AND(E527=1,G527=1),1,0)</f>
        <v>0</v>
      </c>
      <c r="K527" s="30">
        <f>VLOOKUP($C527,COS!$B$8:$H$991,2,FALSE)</f>
        <v>4053.44189453125</v>
      </c>
      <c r="L527" s="28">
        <f t="shared" ref="L527:L584" si="843">IF(K527&lt;=IF(MONTH($C527)=4,$I$3,IF(MONTH($C527)=5,$I$4,IF(MONTH($C527)=6,$I$5,IF(MONTH($C527)=7,$I$6,"ERROR")))),1,0)</f>
        <v>1</v>
      </c>
      <c r="M527" s="28">
        <f t="shared" ref="M527:M584" si="844">VLOOKUP($A527,$L$3:$M$7,2,FALSE)</f>
        <v>1</v>
      </c>
      <c r="N527" s="30">
        <f>VLOOKUP($C527,COS!$B$8:$H$991,5,FALSE)</f>
        <v>214.24491882324219</v>
      </c>
      <c r="O527" s="30">
        <f t="shared" ref="O527:O530" si="845">N527*DAY($C527)*86400/43560/1000</f>
        <v>12.748457979564824</v>
      </c>
      <c r="P527" s="30">
        <f>VLOOKUP($C527,COS!$B$8:$H$991,6,FALSE)</f>
        <v>439.33358764648438</v>
      </c>
      <c r="Q527" s="30">
        <f t="shared" ref="Q527:Q530" si="846">P527*DAY($C527)*86400/43560/1000</f>
        <v>26.142163893013944</v>
      </c>
      <c r="R527" s="30">
        <f>MIN(IF(MONTH($C527)=4,$S$3,IF(MONTH($C527)=5,$S$4,IF(MONTH($C527)=6,$S$5,IF(MONTH($C527)=7,$S$6,"ERROR")))),MAX(VLOOKUP($C527,COS!$B$8:$K$991,10,FALSE)-IF(MONTH($C527)=4,$Y$3,IF(MONTH($C527)=5,$Y$4,IF(MONTH($C527)=6,$Y$5,IF(MONTH($C527)=7,$Y$6,"ERROR")))),0),MAX(VLOOKUP($C527,COS!$B$8:$K$991,9,FALSE)-IF(MONTH($C527)=4,$V$3,IF(MONTH($C527)=5,$V$4,IF(MONTH($C527)=6,$V$5,IF(MONTH($C527)=7,$V$6,"ERROR"))))-VLOOKUP($C527,COS!$B$8:$K$991,6,FALSE)/2,0))</f>
        <v>1500</v>
      </c>
      <c r="S527" s="30">
        <f t="shared" ref="S527:S530" si="847">R527*DAY($C527)*86400/43560/1000</f>
        <v>89.256198347107429</v>
      </c>
      <c r="T527" s="30">
        <f t="shared" ref="T527:T530" si="848">(O527+Q527)/2+S527</f>
        <v>108.70150928339682</v>
      </c>
      <c r="U527" s="30" t="str">
        <f>IF(VLOOKUP($C527,COS!$B$8:$I$991,8,FALSE)=1,"UWFE","IBU")</f>
        <v>UWFE</v>
      </c>
      <c r="V527" s="30">
        <f t="shared" ref="V527" si="849">MIN(IF(IF($AA$3=2,AND(E527=1,G527=1,L527=1,L532=1,M527=1,U527="IBU"),AND(E527=1,G527=1,L527=1,L532=1,M527=1)),T527,0),I527)</f>
        <v>0</v>
      </c>
      <c r="W527" s="30"/>
      <c r="X527" s="30"/>
      <c r="Y527" s="30"/>
      <c r="Z527" s="30"/>
      <c r="AA527" s="30"/>
      <c r="AB527" s="31"/>
    </row>
    <row r="528" spans="1:28" x14ac:dyDescent="0.3">
      <c r="A528" s="32">
        <f>VLOOKUP(YEAR(C528),Flags!$A$13:$B$95,2,FALSE)</f>
        <v>4</v>
      </c>
      <c r="B528" s="24">
        <f t="shared" si="841"/>
        <v>1979</v>
      </c>
      <c r="C528" s="25">
        <v>29006</v>
      </c>
      <c r="D528" s="26">
        <f>VLOOKUP($C528,COS!$B$8:$H$991,3,FALSE)</f>
        <v>4739.0380859375</v>
      </c>
      <c r="E528" s="24">
        <f>IF(D528&gt;=IF(MONTH($C528)=4,$C$3,IF(MONTH($C528)=5,$C$4,IF(MONTH($C528)=6,$C$5,IF(MONTH($C528)=7,$C$6,"ERROR")))),1,0)</f>
        <v>0</v>
      </c>
      <c r="F528" s="26">
        <f>VLOOKUP($C528,COS!$B$8:$H$991,7,FALSE)</f>
        <v>53.222888946533203</v>
      </c>
      <c r="G528" s="24">
        <f>IF(F528&lt;=IF(MONTH($C528)=4,$F$3,IF(MONTH($C528)=5,$F$4,IF(MONTH($C528)=6,$F$5,IF(MONTH($C528)=7,$F$6,"ERROR")))),1,0)</f>
        <v>1</v>
      </c>
      <c r="H528" s="26">
        <f>IF(J528=1,D528-$C$4,0)</f>
        <v>0</v>
      </c>
      <c r="I528" s="26">
        <f t="shared" si="764"/>
        <v>0</v>
      </c>
      <c r="J528" s="24">
        <f t="shared" si="842"/>
        <v>0</v>
      </c>
      <c r="K528" s="26">
        <f>VLOOKUP($C528,COS!$B$8:$H$991,2,FALSE)</f>
        <v>4220.81298828125</v>
      </c>
      <c r="L528" s="24">
        <f t="shared" si="843"/>
        <v>1</v>
      </c>
      <c r="M528" s="24">
        <f t="shared" si="844"/>
        <v>1</v>
      </c>
      <c r="N528" s="26">
        <f>VLOOKUP($C528,COS!$B$8:$H$991,5,FALSE)</f>
        <v>321.92453002929688</v>
      </c>
      <c r="O528" s="26">
        <f t="shared" si="845"/>
        <v>19.794367796842717</v>
      </c>
      <c r="P528" s="26">
        <f>VLOOKUP($C528,COS!$B$8:$H$991,6,FALSE)</f>
        <v>2260.58740234375</v>
      </c>
      <c r="Q528" s="26">
        <f t="shared" si="846"/>
        <v>138.99810143336776</v>
      </c>
      <c r="R528" s="26">
        <f>MIN(IF(MONTH($C528)=4,$S$3,IF(MONTH($C528)=5,$S$4,IF(MONTH($C528)=6,$S$5,IF(MONTH($C528)=7,$S$6,"ERROR")))),MAX(VLOOKUP($C528,COS!$B$8:$K$991,10,FALSE)-IF(MONTH($C528)=4,$Y$3,IF(MONTH($C528)=5,$Y$4,IF(MONTH($C528)=6,$Y$5,IF(MONTH($C528)=7,$Y$6,"ERROR")))),0),MAX(VLOOKUP($C528,COS!$B$8:$K$991,9,FALSE)-IF(MONTH($C528)=4,$V$3,IF(MONTH($C528)=5,$V$4,IF(MONTH($C528)=6,$V$5,IF(MONTH($C528)=7,$V$6,"ERROR"))))-VLOOKUP($C528,COS!$B$8:$K$991,6,FALSE)/2,0))</f>
        <v>1374.939453125</v>
      </c>
      <c r="S528" s="26">
        <f t="shared" si="847"/>
        <v>84.541731663223132</v>
      </c>
      <c r="T528" s="26">
        <f t="shared" si="848"/>
        <v>163.93796627832836</v>
      </c>
      <c r="U528" s="26" t="str">
        <f>IF(VLOOKUP($C528,COS!$B$8:$I$991,8,FALSE)=1,"UWFE","IBU")</f>
        <v>UWFE</v>
      </c>
      <c r="V528" s="26">
        <f t="shared" ref="V528" si="850">MIN(IF(IF($AA$3=2,AND(E528=1,G528=1,L528=1,L532=1,M528=1,U528="IBU"),AND(E528=1,G528=1,L528=1,L532=1,M528=1)),T528,0),I528)</f>
        <v>0</v>
      </c>
      <c r="W528" s="26"/>
      <c r="X528" s="26"/>
      <c r="Y528" s="26"/>
      <c r="Z528" s="26"/>
      <c r="AA528" s="26"/>
      <c r="AB528" s="33"/>
    </row>
    <row r="529" spans="1:28" x14ac:dyDescent="0.3">
      <c r="A529" s="32">
        <f>VLOOKUP(YEAR(C529),Flags!$A$13:$B$95,2,FALSE)</f>
        <v>4</v>
      </c>
      <c r="B529" s="24">
        <f t="shared" si="841"/>
        <v>1979</v>
      </c>
      <c r="C529" s="25">
        <v>29036</v>
      </c>
      <c r="D529" s="26">
        <f>VLOOKUP($C529,COS!$B$8:$H$991,3,FALSE)</f>
        <v>10586.1376953125</v>
      </c>
      <c r="E529" s="24">
        <f>IF(D529&gt;=IF(MONTH($C529)=4,$C$3,IF(MONTH($C529)=5,$C$4,IF(MONTH($C529)=6,$C$5,IF(MONTH($C529)=7,$C$6,"ERROR")))),1,0)</f>
        <v>1</v>
      </c>
      <c r="F529" s="26">
        <f>VLOOKUP($C529,COS!$B$8:$H$991,7,FALSE)</f>
        <v>51.544940948486328</v>
      </c>
      <c r="G529" s="24">
        <f>IF(F529&lt;=IF(MONTH($C529)=4,$F$3,IF(MONTH($C529)=5,$F$4,IF(MONTH($C529)=6,$F$5,IF(MONTH($C529)=7,$F$6,"ERROR")))),1,0)</f>
        <v>1</v>
      </c>
      <c r="H529" s="26">
        <f>IF(J529=1,D529-$C$5,0)</f>
        <v>586.1376953125</v>
      </c>
      <c r="I529" s="26">
        <f t="shared" si="764"/>
        <v>34.877614927685947</v>
      </c>
      <c r="J529" s="24">
        <f t="shared" si="842"/>
        <v>1</v>
      </c>
      <c r="K529" s="26">
        <f>VLOOKUP($C529,COS!$B$8:$H$991,2,FALSE)</f>
        <v>3800.5693359375</v>
      </c>
      <c r="L529" s="24">
        <f t="shared" si="843"/>
        <v>1</v>
      </c>
      <c r="M529" s="24">
        <f t="shared" si="844"/>
        <v>1</v>
      </c>
      <c r="N529" s="26">
        <f>VLOOKUP($C529,COS!$B$8:$H$991,5,FALSE)</f>
        <v>618.16412353515625</v>
      </c>
      <c r="O529" s="26">
        <f t="shared" si="845"/>
        <v>36.783319747546486</v>
      </c>
      <c r="P529" s="26">
        <f>VLOOKUP($C529,COS!$B$8:$H$991,6,FALSE)</f>
        <v>2677.335693359375</v>
      </c>
      <c r="Q529" s="26">
        <f t="shared" si="846"/>
        <v>159.31253712551654</v>
      </c>
      <c r="R529" s="26">
        <f>MIN(IF(MONTH($C529)=4,$S$3,IF(MONTH($C529)=5,$S$4,IF(MONTH($C529)=6,$S$5,IF(MONTH($C529)=7,$S$6,"ERROR")))),MAX(VLOOKUP($C529,COS!$B$8:$K$991,10,FALSE)-IF(MONTH($C529)=4,$Y$3,IF(MONTH($C529)=5,$Y$4,IF(MONTH($C529)=6,$Y$5,IF(MONTH($C529)=7,$Y$6,"ERROR")))),0),MAX(VLOOKUP($C529,COS!$B$8:$K$991,9,FALSE)-IF(MONTH($C529)=4,$V$3,IF(MONTH($C529)=5,$V$4,IF(MONTH($C529)=6,$V$5,IF(MONTH($C529)=7,$V$6,"ERROR"))))-VLOOKUP($C529,COS!$B$8:$K$991,6,FALSE)/2,0))</f>
        <v>1500</v>
      </c>
      <c r="S529" s="26">
        <f t="shared" si="847"/>
        <v>89.256198347107429</v>
      </c>
      <c r="T529" s="26">
        <f t="shared" si="848"/>
        <v>187.30412678363894</v>
      </c>
      <c r="U529" s="26" t="str">
        <f>IF(VLOOKUP($C529,COS!$B$8:$I$991,8,FALSE)=1,"UWFE","IBU")</f>
        <v>IBU</v>
      </c>
      <c r="V529" s="26">
        <f t="shared" ref="V529" si="851">MIN(IF(IF($AA$3=2,AND(E529=1,G529=1,L529=1,L532=1,M529=1,U529="IBU"),AND(E529=1,G529=1,L529=1,L532=1,M529=1)),T529,0),I529)</f>
        <v>34.877614927685947</v>
      </c>
      <c r="W529" s="26"/>
      <c r="X529" s="26"/>
      <c r="Y529" s="26"/>
      <c r="Z529" s="26"/>
      <c r="AA529" s="26"/>
      <c r="AB529" s="33"/>
    </row>
    <row r="530" spans="1:28" x14ac:dyDescent="0.3">
      <c r="A530" s="32">
        <f>VLOOKUP(YEAR(C530),Flags!$A$13:$B$95,2,FALSE)</f>
        <v>4</v>
      </c>
      <c r="B530" s="24">
        <f t="shared" si="841"/>
        <v>1979</v>
      </c>
      <c r="C530" s="25">
        <v>29067</v>
      </c>
      <c r="D530" s="26">
        <f>VLOOKUP($C530,COS!$B$8:$H$991,3,FALSE)</f>
        <v>10198.0205078125</v>
      </c>
      <c r="E530" s="24">
        <f>IF(D530&gt;=IF(MONTH($C530)=4,$C$3,IF(MONTH($C530)=5,$C$4,IF(MONTH($C530)=6,$C$5,IF(MONTH($C530)=7,$C$6,"ERROR")))),1,0)</f>
        <v>0</v>
      </c>
      <c r="F530" s="26">
        <f>VLOOKUP($C530,COS!$B$8:$H$991,7,FALSE)</f>
        <v>52.837936401367188</v>
      </c>
      <c r="G530" s="24">
        <f>IF(F530&lt;=IF(MONTH($C530)=4,$F$3,IF(MONTH($C530)=5,$F$4,IF(MONTH($C530)=6,$F$5,IF(MONTH($C530)=7,$F$6,"ERROR")))),1,0)</f>
        <v>1</v>
      </c>
      <c r="H530" s="26">
        <f>IF(J530=1,D530-$C$6,0)</f>
        <v>0</v>
      </c>
      <c r="I530" s="26">
        <f t="shared" si="764"/>
        <v>0</v>
      </c>
      <c r="J530" s="24">
        <f t="shared" si="842"/>
        <v>0</v>
      </c>
      <c r="K530" s="26">
        <f>VLOOKUP($C530,COS!$B$8:$H$991,2,FALSE)</f>
        <v>3407.86474609375</v>
      </c>
      <c r="L530" s="24">
        <f t="shared" si="843"/>
        <v>1</v>
      </c>
      <c r="M530" s="24">
        <f t="shared" si="844"/>
        <v>1</v>
      </c>
      <c r="N530" s="26">
        <f>VLOOKUP($C530,COS!$B$8:$H$991,5,FALSE)</f>
        <v>673.1793212890625</v>
      </c>
      <c r="O530" s="26">
        <f t="shared" si="845"/>
        <v>41.392183061079542</v>
      </c>
      <c r="P530" s="26">
        <f>VLOOKUP($C530,COS!$B$8:$H$991,6,FALSE)</f>
        <v>2632.5888671875</v>
      </c>
      <c r="Q530" s="26">
        <f t="shared" si="846"/>
        <v>161.87157993285126</v>
      </c>
      <c r="R530" s="26">
        <f>MIN(IF(MONTH($C530)=4,$S$3,IF(MONTH($C530)=5,$S$4,IF(MONTH($C530)=6,$S$5,IF(MONTH($C530)=7,$S$6,"ERROR")))),MAX(VLOOKUP($C530,COS!$B$8:$K$991,10,FALSE)-IF(MONTH($C530)=4,$Y$3,IF(MONTH($C530)=5,$Y$4,IF(MONTH($C530)=6,$Y$5,IF(MONTH($C530)=7,$Y$6,"ERROR")))),0),MAX(VLOOKUP($C530,COS!$B$8:$K$991,9,FALSE)-IF(MONTH($C530)=4,$V$3,IF(MONTH($C530)=5,$V$4,IF(MONTH($C530)=6,$V$5,IF(MONTH($C530)=7,$V$6,"ERROR"))))-VLOOKUP($C530,COS!$B$8:$K$991,6,FALSE)/2,0))</f>
        <v>1500</v>
      </c>
      <c r="S530" s="26">
        <f t="shared" si="847"/>
        <v>92.231404958677686</v>
      </c>
      <c r="T530" s="26">
        <f t="shared" si="848"/>
        <v>193.86328645564311</v>
      </c>
      <c r="U530" s="26" t="str">
        <f>IF(VLOOKUP($C530,COS!$B$8:$I$991,8,FALSE)=1,"UWFE","IBU")</f>
        <v>IBU</v>
      </c>
      <c r="V530" s="26">
        <f t="shared" ref="V530" si="852">MIN(IF(IF($AA$3=2,AND(E530=1,G530=1,L530=1,L532=1,M530=1,U530="IBU"),AND(E530=1,G530=1,L530=1,L532=1,M530=1)),T530,0),I530)</f>
        <v>0</v>
      </c>
      <c r="W530" s="26"/>
      <c r="X530" s="26"/>
      <c r="Y530" s="26"/>
      <c r="Z530" s="26"/>
      <c r="AA530" s="26"/>
      <c r="AB530" s="33"/>
    </row>
    <row r="531" spans="1:28" x14ac:dyDescent="0.3">
      <c r="A531" s="32">
        <f>VLOOKUP(YEAR(C531),Flags!$A$13:$B$95,2,FALSE)</f>
        <v>4</v>
      </c>
      <c r="B531" s="24">
        <f t="shared" si="841"/>
        <v>1979</v>
      </c>
      <c r="C531" s="25">
        <v>29098</v>
      </c>
      <c r="D531" s="26"/>
      <c r="E531" s="24"/>
      <c r="F531" s="26"/>
      <c r="G531" s="24"/>
      <c r="H531" s="24"/>
      <c r="I531" s="26"/>
      <c r="J531" s="24"/>
      <c r="K531" s="26"/>
      <c r="L531" s="24"/>
      <c r="M531" s="24"/>
      <c r="N531" s="26"/>
      <c r="O531" s="26"/>
      <c r="P531" s="26"/>
      <c r="Q531" s="26"/>
      <c r="R531" s="26"/>
      <c r="S531" s="26"/>
      <c r="T531" s="26"/>
      <c r="U531" s="26"/>
      <c r="V531" s="26"/>
      <c r="W531" s="26">
        <f>MAX($C$7-VLOOKUP($C531,COS!$B$8:$H$991,3,FALSE),0)</f>
        <v>91695.837890625</v>
      </c>
      <c r="X531" s="26">
        <f t="shared" si="769"/>
        <v>5638.1573050103307</v>
      </c>
      <c r="Y531" s="26">
        <f>VLOOKUP($C531,COS!$B$8:$H$991,4,FALSE)</f>
        <v>53.124755859375</v>
      </c>
      <c r="Z531" s="26">
        <f t="shared" si="770"/>
        <v>3.2665139139979336</v>
      </c>
      <c r="AA531" s="26">
        <f t="shared" ref="AA531:AA535" si="853">MIN(W531,Y531)</f>
        <v>53.124755859375</v>
      </c>
      <c r="AB531" s="33">
        <f t="shared" ref="AB531:AB589" si="854">AA531*DAY($C531)*86400/43560/1000*IF(MONTH($C531)=8,$P$3,IF(MONTH($C531)=9,$P$4,IF(MONTH($C531)=10,$P$5,IF(MONTH($C531)=11,$P$6,IF(MONTH($C531)=12,$P$7,NA())))))</f>
        <v>3.2665139139979336</v>
      </c>
    </row>
    <row r="532" spans="1:28" x14ac:dyDescent="0.3">
      <c r="A532" s="32">
        <f>VLOOKUP(YEAR(C532),Flags!$A$13:$B$95,2,FALSE)</f>
        <v>4</v>
      </c>
      <c r="B532" s="24">
        <f t="shared" si="841"/>
        <v>1979</v>
      </c>
      <c r="C532" s="25">
        <v>29128</v>
      </c>
      <c r="D532" s="26"/>
      <c r="E532" s="24"/>
      <c r="F532" s="26"/>
      <c r="G532" s="24"/>
      <c r="H532" s="24"/>
      <c r="I532" s="26"/>
      <c r="J532" s="24"/>
      <c r="K532" s="26">
        <f>VLOOKUP($C532,COS!$B$8:$H$991,2,FALSE)</f>
        <v>3119.8076171875</v>
      </c>
      <c r="L532" s="24">
        <f t="shared" ref="L532" si="855">IF(AND(K532&gt;$I$7,K532&lt;$I$8),1,0)</f>
        <v>1</v>
      </c>
      <c r="M532" s="24"/>
      <c r="N532" s="26"/>
      <c r="O532" s="26"/>
      <c r="P532" s="26"/>
      <c r="Q532" s="26"/>
      <c r="R532" s="26"/>
      <c r="S532" s="26"/>
      <c r="T532" s="26"/>
      <c r="U532" s="26"/>
      <c r="V532" s="26"/>
      <c r="W532" s="26">
        <f>MAX($C$8-VLOOKUP($C532,COS!$B$8:$H$991,3,FALSE),0)</f>
        <v>95203.8974609375</v>
      </c>
      <c r="X532" s="26">
        <f t="shared" si="769"/>
        <v>5665.025303460744</v>
      </c>
      <c r="Y532" s="26">
        <f>VLOOKUP($C532,COS!$B$8:$H$991,4,FALSE)</f>
        <v>0</v>
      </c>
      <c r="Z532" s="26">
        <f t="shared" si="770"/>
        <v>0</v>
      </c>
      <c r="AA532" s="26">
        <f t="shared" si="853"/>
        <v>0</v>
      </c>
      <c r="AB532" s="33">
        <f t="shared" si="854"/>
        <v>0</v>
      </c>
    </row>
    <row r="533" spans="1:28" x14ac:dyDescent="0.3">
      <c r="A533" s="32">
        <f>VLOOKUP(YEAR(C533),Flags!$A$13:$B$95,2,FALSE)</f>
        <v>4</v>
      </c>
      <c r="B533" s="24">
        <f t="shared" si="841"/>
        <v>1979</v>
      </c>
      <c r="C533" s="25">
        <v>29159</v>
      </c>
      <c r="D533" s="26"/>
      <c r="E533" s="24"/>
      <c r="F533" s="26"/>
      <c r="G533" s="26"/>
      <c r="H533" s="26"/>
      <c r="I533" s="26"/>
      <c r="J533" s="26"/>
      <c r="K533" s="26"/>
      <c r="L533" s="24"/>
      <c r="M533" s="24"/>
      <c r="N533" s="26"/>
      <c r="O533" s="26"/>
      <c r="P533" s="26"/>
      <c r="Q533" s="26"/>
      <c r="R533" s="26"/>
      <c r="S533" s="26"/>
      <c r="T533" s="26"/>
      <c r="U533" s="26"/>
      <c r="V533" s="26"/>
      <c r="W533" s="26">
        <f>MAX($C$9-VLOOKUP($C533,COS!$B$8:$H$991,3,FALSE),0)</f>
        <v>95850.04736328125</v>
      </c>
      <c r="X533" s="26">
        <f t="shared" si="769"/>
        <v>5893.5896891141529</v>
      </c>
      <c r="Y533" s="26">
        <f>VLOOKUP($C533,COS!$B$8:$H$991,4,FALSE)</f>
        <v>801.079833984375</v>
      </c>
      <c r="Z533" s="26">
        <f t="shared" si="770"/>
        <v>49.256479048295454</v>
      </c>
      <c r="AA533" s="26">
        <f t="shared" si="853"/>
        <v>801.079833984375</v>
      </c>
      <c r="AB533" s="33">
        <f t="shared" si="854"/>
        <v>49.256479048295454</v>
      </c>
    </row>
    <row r="534" spans="1:28" x14ac:dyDescent="0.3">
      <c r="A534" s="32">
        <f>VLOOKUP(YEAR(C534),Flags!$A$13:$B$95,2,FALSE)</f>
        <v>4</v>
      </c>
      <c r="B534" s="24">
        <f t="shared" si="841"/>
        <v>1979</v>
      </c>
      <c r="C534" s="25">
        <v>29189</v>
      </c>
      <c r="D534" s="26"/>
      <c r="E534" s="24"/>
      <c r="F534" s="26"/>
      <c r="G534" s="26"/>
      <c r="H534" s="26"/>
      <c r="I534" s="26"/>
      <c r="J534" s="26"/>
      <c r="K534" s="26"/>
      <c r="L534" s="24"/>
      <c r="M534" s="24"/>
      <c r="N534" s="26"/>
      <c r="O534" s="26"/>
      <c r="P534" s="26"/>
      <c r="Q534" s="26"/>
      <c r="R534" s="26"/>
      <c r="S534" s="26"/>
      <c r="T534" s="26"/>
      <c r="U534" s="26"/>
      <c r="V534" s="26"/>
      <c r="W534" s="26">
        <f>MAX($C$10-VLOOKUP($C534,COS!$B$8:$H$991,3,FALSE),0)</f>
        <v>94181.76708984375</v>
      </c>
      <c r="X534" s="26">
        <f t="shared" si="769"/>
        <v>5604.2043227014465</v>
      </c>
      <c r="Y534" s="26">
        <f>VLOOKUP($C534,COS!$B$8:$H$991,4,FALSE)</f>
        <v>1226.431884765625</v>
      </c>
      <c r="Z534" s="26">
        <f t="shared" si="770"/>
        <v>72.977765043904967</v>
      </c>
      <c r="AA534" s="26">
        <f t="shared" si="853"/>
        <v>1226.431884765625</v>
      </c>
      <c r="AB534" s="33">
        <f t="shared" si="854"/>
        <v>36.488882521952483</v>
      </c>
    </row>
    <row r="535" spans="1:28" x14ac:dyDescent="0.3">
      <c r="A535" s="34">
        <f>VLOOKUP(YEAR(C535),Flags!$A$13:$B$95,2,FALSE)</f>
        <v>4</v>
      </c>
      <c r="B535" s="35">
        <f t="shared" si="841"/>
        <v>1979</v>
      </c>
      <c r="C535" s="36">
        <v>29220</v>
      </c>
      <c r="D535" s="37"/>
      <c r="E535" s="35"/>
      <c r="F535" s="37"/>
      <c r="G535" s="37"/>
      <c r="H535" s="37"/>
      <c r="I535" s="37"/>
      <c r="J535" s="37"/>
      <c r="K535" s="37"/>
      <c r="L535" s="35"/>
      <c r="M535" s="35"/>
      <c r="N535" s="37"/>
      <c r="O535" s="37"/>
      <c r="P535" s="37"/>
      <c r="Q535" s="37"/>
      <c r="R535" s="37"/>
      <c r="S535" s="37"/>
      <c r="T535" s="37"/>
      <c r="U535" s="37"/>
      <c r="V535" s="37"/>
      <c r="W535" s="37">
        <f>MAX($C$11-VLOOKUP($C535,COS!$B$8:$H$991,3,FALSE),0)</f>
        <v>0</v>
      </c>
      <c r="X535" s="37">
        <f t="shared" si="769"/>
        <v>0</v>
      </c>
      <c r="Y535" s="37">
        <f>VLOOKUP($C535,COS!$B$8:$H$991,4,FALSE)</f>
        <v>0</v>
      </c>
      <c r="Z535" s="37">
        <f t="shared" si="770"/>
        <v>0</v>
      </c>
      <c r="AA535" s="37">
        <f t="shared" si="853"/>
        <v>0</v>
      </c>
      <c r="AB535" s="38">
        <f t="shared" si="854"/>
        <v>0</v>
      </c>
    </row>
    <row r="536" spans="1:28" x14ac:dyDescent="0.3">
      <c r="A536" s="27">
        <f>VLOOKUP(YEAR(C536),Flags!$A$13:$B$95,2,FALSE)</f>
        <v>2</v>
      </c>
      <c r="B536" s="28">
        <f t="shared" si="841"/>
        <v>1980</v>
      </c>
      <c r="C536" s="29">
        <v>29341</v>
      </c>
      <c r="D536" s="30">
        <f>VLOOKUP($C536,COS!$B$8:$H$991,3,FALSE)</f>
        <v>3250</v>
      </c>
      <c r="E536" s="28">
        <f>IF(D536&gt;=IF(MONTH($C536)=4,$C$3,IF(MONTH($C536)=5,$C$4,IF(MONTH($C536)=6,$C$5,IF(MONTH($C536)=7,$C$6,"ERROR")))),1,0)</f>
        <v>0</v>
      </c>
      <c r="F536" s="30">
        <f>VLOOKUP($C536,COS!$B$8:$H$991,7,FALSE)</f>
        <v>50.949337005615234</v>
      </c>
      <c r="G536" s="28">
        <f>IF(F536&lt;=IF(MONTH($C536)=4,$F$3,IF(MONTH($C536)=5,$F$4,IF(MONTH($C536)=6,$F$5,IF(MONTH($C536)=7,$F$6,"ERROR")))),1,0)</f>
        <v>1</v>
      </c>
      <c r="H536" s="30">
        <f>IF(J536=1,D536-$C$3,0)</f>
        <v>0</v>
      </c>
      <c r="I536" s="30">
        <f t="shared" si="764"/>
        <v>0</v>
      </c>
      <c r="J536" s="28">
        <f t="shared" ref="J536:J539" si="856">IF(AND(E536=1,G536=1),1,0)</f>
        <v>0</v>
      </c>
      <c r="K536" s="30">
        <f>VLOOKUP($C536,COS!$B$8:$H$991,2,FALSE)</f>
        <v>4390.5458984375</v>
      </c>
      <c r="L536" s="28">
        <f t="shared" ref="L536" si="857">IF(K536&lt;=IF(MONTH($C536)=4,$I$3,IF(MONTH($C536)=5,$I$4,IF(MONTH($C536)=6,$I$5,IF(MONTH($C536)=7,$I$6,"ERROR")))),1,0)</f>
        <v>1</v>
      </c>
      <c r="M536" s="28">
        <f t="shared" ref="M536" si="858">VLOOKUP($A536,$L$3:$M$7,2,FALSE)</f>
        <v>0</v>
      </c>
      <c r="N536" s="30">
        <f>VLOOKUP($C536,COS!$B$8:$H$991,5,FALSE)</f>
        <v>343.85354614257813</v>
      </c>
      <c r="O536" s="30">
        <f t="shared" ref="O536:O539" si="859">N536*DAY($C536)*86400/43560/1000</f>
        <v>20.460706877905476</v>
      </c>
      <c r="P536" s="30">
        <f>VLOOKUP($C536,COS!$B$8:$H$991,6,FALSE)</f>
        <v>435.81771850585938</v>
      </c>
      <c r="Q536" s="30">
        <f t="shared" ref="Q536:Q539" si="860">P536*DAY($C536)*86400/43560/1000</f>
        <v>25.932955150761881</v>
      </c>
      <c r="R536" s="30">
        <f>MIN(IF(MONTH($C536)=4,$S$3,IF(MONTH($C536)=5,$S$4,IF(MONTH($C536)=6,$S$5,IF(MONTH($C536)=7,$S$6,"ERROR")))),MAX(VLOOKUP($C536,COS!$B$8:$K$991,10,FALSE)-IF(MONTH($C536)=4,$Y$3,IF(MONTH($C536)=5,$Y$4,IF(MONTH($C536)=6,$Y$5,IF(MONTH($C536)=7,$Y$6,"ERROR")))),0),MAX(VLOOKUP($C536,COS!$B$8:$K$991,9,FALSE)-IF(MONTH($C536)=4,$V$3,IF(MONTH($C536)=5,$V$4,IF(MONTH($C536)=6,$V$5,IF(MONTH($C536)=7,$V$6,"ERROR"))))-VLOOKUP($C536,COS!$B$8:$K$991,6,FALSE)/2,0))</f>
        <v>1500</v>
      </c>
      <c r="S536" s="30">
        <f t="shared" ref="S536:S539" si="861">R536*DAY($C536)*86400/43560/1000</f>
        <v>89.256198347107429</v>
      </c>
      <c r="T536" s="30">
        <f t="shared" ref="T536:T539" si="862">(O536+Q536)/2+S536</f>
        <v>112.45302936144111</v>
      </c>
      <c r="U536" s="30" t="str">
        <f>IF(VLOOKUP($C536,COS!$B$8:$I$991,8,FALSE)=1,"UWFE","IBU")</f>
        <v>UWFE</v>
      </c>
      <c r="V536" s="30">
        <f t="shared" ref="V536" si="863">MIN(IF(IF($AA$3=2,AND(E536=1,G536=1,L536=1,L541=1,M536=1,U536="IBU"),AND(E536=1,G536=1,L536=1,L541=1,M536=1)),T536,0),I536)</f>
        <v>0</v>
      </c>
      <c r="W536" s="30"/>
      <c r="X536" s="30"/>
      <c r="Y536" s="30"/>
      <c r="Z536" s="30"/>
      <c r="AA536" s="30"/>
      <c r="AB536" s="31"/>
    </row>
    <row r="537" spans="1:28" x14ac:dyDescent="0.3">
      <c r="A537" s="32">
        <f>VLOOKUP(YEAR(C537),Flags!$A$13:$B$95,2,FALSE)</f>
        <v>2</v>
      </c>
      <c r="B537" s="24">
        <f t="shared" si="841"/>
        <v>1980</v>
      </c>
      <c r="C537" s="25">
        <v>29372</v>
      </c>
      <c r="D537" s="26">
        <f>VLOOKUP($C537,COS!$B$8:$H$991,3,FALSE)</f>
        <v>6651.8935546875</v>
      </c>
      <c r="E537" s="24">
        <f>IF(D537&gt;=IF(MONTH($C537)=4,$C$3,IF(MONTH($C537)=5,$C$4,IF(MONTH($C537)=6,$C$5,IF(MONTH($C537)=7,$C$6,"ERROR")))),1,0)</f>
        <v>1</v>
      </c>
      <c r="F537" s="26">
        <f>VLOOKUP($C537,COS!$B$8:$H$991,7,FALSE)</f>
        <v>50.088848114013672</v>
      </c>
      <c r="G537" s="24">
        <f>IF(F537&lt;=IF(MONTH($C537)=4,$F$3,IF(MONTH($C537)=5,$F$4,IF(MONTH($C537)=6,$F$5,IF(MONTH($C537)=7,$F$6,"ERROR")))),1,0)</f>
        <v>1</v>
      </c>
      <c r="H537" s="26">
        <f>IF(J537=1,D537-$C$4,0)</f>
        <v>651.8935546875</v>
      </c>
      <c r="I537" s="26">
        <f t="shared" si="764"/>
        <v>40.083372288223138</v>
      </c>
      <c r="J537" s="24">
        <f t="shared" si="856"/>
        <v>1</v>
      </c>
      <c r="K537" s="26">
        <f>VLOOKUP($C537,COS!$B$8:$H$991,2,FALSE)</f>
        <v>4360.00341796875</v>
      </c>
      <c r="L537" s="24">
        <f t="shared" si="843"/>
        <v>1</v>
      </c>
      <c r="M537" s="24">
        <f t="shared" si="844"/>
        <v>0</v>
      </c>
      <c r="N537" s="26">
        <f>VLOOKUP($C537,COS!$B$8:$H$991,5,FALSE)</f>
        <v>671.396728515625</v>
      </c>
      <c r="O537" s="26">
        <f t="shared" si="859"/>
        <v>41.282575703770661</v>
      </c>
      <c r="P537" s="26">
        <f>VLOOKUP($C537,COS!$B$8:$H$991,6,FALSE)</f>
        <v>2141.340087890625</v>
      </c>
      <c r="Q537" s="26">
        <f t="shared" si="860"/>
        <v>131.6658698669938</v>
      </c>
      <c r="R537" s="26">
        <f>MIN(IF(MONTH($C537)=4,$S$3,IF(MONTH($C537)=5,$S$4,IF(MONTH($C537)=6,$S$5,IF(MONTH($C537)=7,$S$6,"ERROR")))),MAX(VLOOKUP($C537,COS!$B$8:$K$991,10,FALSE)-IF(MONTH($C537)=4,$Y$3,IF(MONTH($C537)=5,$Y$4,IF(MONTH($C537)=6,$Y$5,IF(MONTH($C537)=7,$Y$6,"ERROR")))),0),MAX(VLOOKUP($C537,COS!$B$8:$K$991,9,FALSE)-IF(MONTH($C537)=4,$V$3,IF(MONTH($C537)=5,$V$4,IF(MONTH($C537)=6,$V$5,IF(MONTH($C537)=7,$V$6,"ERROR"))))-VLOOKUP($C537,COS!$B$8:$K$991,6,FALSE)/2,0))</f>
        <v>1500</v>
      </c>
      <c r="S537" s="26">
        <f t="shared" si="861"/>
        <v>92.231404958677686</v>
      </c>
      <c r="T537" s="26">
        <f t="shared" si="862"/>
        <v>178.70562774405994</v>
      </c>
      <c r="U537" s="26" t="str">
        <f>IF(VLOOKUP($C537,COS!$B$8:$I$991,8,FALSE)=1,"UWFE","IBU")</f>
        <v>UWFE</v>
      </c>
      <c r="V537" s="26">
        <f t="shared" ref="V537" si="864">MIN(IF(IF($AA$3=2,AND(E537=1,G537=1,L537=1,L541=1,M537=1,U537="IBU"),AND(E537=1,G537=1,L537=1,L541=1,M537=1)),T537,0),I537)</f>
        <v>0</v>
      </c>
      <c r="W537" s="26"/>
      <c r="X537" s="26"/>
      <c r="Y537" s="26"/>
      <c r="Z537" s="26"/>
      <c r="AA537" s="26"/>
      <c r="AB537" s="33"/>
    </row>
    <row r="538" spans="1:28" x14ac:dyDescent="0.3">
      <c r="A538" s="32">
        <f>VLOOKUP(YEAR(C538),Flags!$A$13:$B$95,2,FALSE)</f>
        <v>2</v>
      </c>
      <c r="B538" s="24">
        <f t="shared" si="841"/>
        <v>1980</v>
      </c>
      <c r="C538" s="25">
        <v>29402</v>
      </c>
      <c r="D538" s="26">
        <f>VLOOKUP($C538,COS!$B$8:$H$991,3,FALSE)</f>
        <v>9056.001953125</v>
      </c>
      <c r="E538" s="24">
        <f>IF(D538&gt;=IF(MONTH($C538)=4,$C$3,IF(MONTH($C538)=5,$C$4,IF(MONTH($C538)=6,$C$5,IF(MONTH($C538)=7,$C$6,"ERROR")))),1,0)</f>
        <v>0</v>
      </c>
      <c r="F538" s="26">
        <f>VLOOKUP($C538,COS!$B$8:$H$991,7,FALSE)</f>
        <v>51.123935699462891</v>
      </c>
      <c r="G538" s="24">
        <f>IF(F538&lt;=IF(MONTH($C538)=4,$F$3,IF(MONTH($C538)=5,$F$4,IF(MONTH($C538)=6,$F$5,IF(MONTH($C538)=7,$F$6,"ERROR")))),1,0)</f>
        <v>1</v>
      </c>
      <c r="H538" s="26">
        <f>IF(J538=1,D538-$C$5,0)</f>
        <v>0</v>
      </c>
      <c r="I538" s="26">
        <f t="shared" si="764"/>
        <v>0</v>
      </c>
      <c r="J538" s="24">
        <f t="shared" si="856"/>
        <v>0</v>
      </c>
      <c r="K538" s="26">
        <f>VLOOKUP($C538,COS!$B$8:$H$991,2,FALSE)</f>
        <v>4114.19091796875</v>
      </c>
      <c r="L538" s="24">
        <f t="shared" si="843"/>
        <v>1</v>
      </c>
      <c r="M538" s="24">
        <f t="shared" si="844"/>
        <v>0</v>
      </c>
      <c r="N538" s="26">
        <f>VLOOKUP($C538,COS!$B$8:$H$991,5,FALSE)</f>
        <v>914.7728271484375</v>
      </c>
      <c r="O538" s="26">
        <f t="shared" si="859"/>
        <v>54.432763268336778</v>
      </c>
      <c r="P538" s="26">
        <f>VLOOKUP($C538,COS!$B$8:$H$991,6,FALSE)</f>
        <v>2280.555419921875</v>
      </c>
      <c r="Q538" s="26">
        <f t="shared" si="860"/>
        <v>135.70247126807851</v>
      </c>
      <c r="R538" s="26">
        <f>MIN(IF(MONTH($C538)=4,$S$3,IF(MONTH($C538)=5,$S$4,IF(MONTH($C538)=6,$S$5,IF(MONTH($C538)=7,$S$6,"ERROR")))),MAX(VLOOKUP($C538,COS!$B$8:$K$991,10,FALSE)-IF(MONTH($C538)=4,$Y$3,IF(MONTH($C538)=5,$Y$4,IF(MONTH($C538)=6,$Y$5,IF(MONTH($C538)=7,$Y$6,"ERROR")))),0),MAX(VLOOKUP($C538,COS!$B$8:$K$991,9,FALSE)-IF(MONTH($C538)=4,$V$3,IF(MONTH($C538)=5,$V$4,IF(MONTH($C538)=6,$V$5,IF(MONTH($C538)=7,$V$6,"ERROR"))))-VLOOKUP($C538,COS!$B$8:$K$991,6,FALSE)/2,0))</f>
        <v>1500</v>
      </c>
      <c r="S538" s="26">
        <f t="shared" si="861"/>
        <v>89.256198347107429</v>
      </c>
      <c r="T538" s="26">
        <f t="shared" si="862"/>
        <v>184.32381561531508</v>
      </c>
      <c r="U538" s="26" t="str">
        <f>IF(VLOOKUP($C538,COS!$B$8:$I$991,8,FALSE)=1,"UWFE","IBU")</f>
        <v>UWFE</v>
      </c>
      <c r="V538" s="26">
        <f t="shared" ref="V538" si="865">MIN(IF(IF($AA$3=2,AND(E538=1,G538=1,L538=1,L541=1,M538=1,U538="IBU"),AND(E538=1,G538=1,L538=1,L541=1,M538=1)),T538,0),I538)</f>
        <v>0</v>
      </c>
      <c r="W538" s="26"/>
      <c r="X538" s="26"/>
      <c r="Y538" s="26"/>
      <c r="Z538" s="26"/>
      <c r="AA538" s="26"/>
      <c r="AB538" s="33"/>
    </row>
    <row r="539" spans="1:28" x14ac:dyDescent="0.3">
      <c r="A539" s="32">
        <f>VLOOKUP(YEAR(C539),Flags!$A$13:$B$95,2,FALSE)</f>
        <v>2</v>
      </c>
      <c r="B539" s="24">
        <f t="shared" si="841"/>
        <v>1980</v>
      </c>
      <c r="C539" s="25">
        <v>29433</v>
      </c>
      <c r="D539" s="26">
        <f>VLOOKUP($C539,COS!$B$8:$H$991,3,FALSE)</f>
        <v>11086.111328125</v>
      </c>
      <c r="E539" s="24">
        <f>IF(D539&gt;=IF(MONTH($C539)=4,$C$3,IF(MONTH($C539)=5,$C$4,IF(MONTH($C539)=6,$C$5,IF(MONTH($C539)=7,$C$6,"ERROR")))),1,0)</f>
        <v>0</v>
      </c>
      <c r="F539" s="26">
        <f>VLOOKUP($C539,COS!$B$8:$H$991,7,FALSE)</f>
        <v>51.426025390625</v>
      </c>
      <c r="G539" s="24">
        <f>IF(F539&lt;=IF(MONTH($C539)=4,$F$3,IF(MONTH($C539)=5,$F$4,IF(MONTH($C539)=6,$F$5,IF(MONTH($C539)=7,$F$6,"ERROR")))),1,0)</f>
        <v>1</v>
      </c>
      <c r="H539" s="26">
        <f>IF(J539=1,D539-$C$6,0)</f>
        <v>0</v>
      </c>
      <c r="I539" s="26">
        <f t="shared" si="764"/>
        <v>0</v>
      </c>
      <c r="J539" s="24">
        <f t="shared" si="856"/>
        <v>0</v>
      </c>
      <c r="K539" s="26">
        <f>VLOOKUP($C539,COS!$B$8:$H$991,2,FALSE)</f>
        <v>3708.154052734375</v>
      </c>
      <c r="L539" s="24">
        <f t="shared" si="843"/>
        <v>1</v>
      </c>
      <c r="M539" s="24">
        <f t="shared" si="844"/>
        <v>0</v>
      </c>
      <c r="N539" s="26">
        <f>VLOOKUP($C539,COS!$B$8:$H$991,5,FALSE)</f>
        <v>1062.265380859375</v>
      </c>
      <c r="O539" s="26">
        <f t="shared" si="859"/>
        <v>65.316152343750005</v>
      </c>
      <c r="P539" s="26">
        <f>VLOOKUP($C539,COS!$B$8:$H$991,6,FALSE)</f>
        <v>2538.12646484375</v>
      </c>
      <c r="Q539" s="26">
        <f t="shared" si="860"/>
        <v>156.06331321022728</v>
      </c>
      <c r="R539" s="26">
        <f>MIN(IF(MONTH($C539)=4,$S$3,IF(MONTH($C539)=5,$S$4,IF(MONTH($C539)=6,$S$5,IF(MONTH($C539)=7,$S$6,"ERROR")))),MAX(VLOOKUP($C539,COS!$B$8:$K$991,10,FALSE)-IF(MONTH($C539)=4,$Y$3,IF(MONTH($C539)=5,$Y$4,IF(MONTH($C539)=6,$Y$5,IF(MONTH($C539)=7,$Y$6,"ERROR")))),0),MAX(VLOOKUP($C539,COS!$B$8:$K$991,9,FALSE)-IF(MONTH($C539)=4,$V$3,IF(MONTH($C539)=5,$V$4,IF(MONTH($C539)=6,$V$5,IF(MONTH($C539)=7,$V$6,"ERROR"))))-VLOOKUP($C539,COS!$B$8:$K$991,6,FALSE)/2,0))</f>
        <v>1500</v>
      </c>
      <c r="S539" s="26">
        <f t="shared" si="861"/>
        <v>92.231404958677686</v>
      </c>
      <c r="T539" s="26">
        <f t="shared" si="862"/>
        <v>202.92113773566632</v>
      </c>
      <c r="U539" s="26" t="str">
        <f>IF(VLOOKUP($C539,COS!$B$8:$I$991,8,FALSE)=1,"UWFE","IBU")</f>
        <v>IBU</v>
      </c>
      <c r="V539" s="26">
        <f t="shared" ref="V539" si="866">MIN(IF(IF($AA$3=2,AND(E539=1,G539=1,L539=1,L541=1,M539=1,U539="IBU"),AND(E539=1,G539=1,L539=1,L541=1,M539=1)),T539,0),I539)</f>
        <v>0</v>
      </c>
      <c r="W539" s="26"/>
      <c r="X539" s="26"/>
      <c r="Y539" s="26"/>
      <c r="Z539" s="26"/>
      <c r="AA539" s="26"/>
      <c r="AB539" s="33"/>
    </row>
    <row r="540" spans="1:28" x14ac:dyDescent="0.3">
      <c r="A540" s="32">
        <f>VLOOKUP(YEAR(C540),Flags!$A$13:$B$95,2,FALSE)</f>
        <v>2</v>
      </c>
      <c r="B540" s="24">
        <f t="shared" si="841"/>
        <v>1980</v>
      </c>
      <c r="C540" s="25">
        <v>29464</v>
      </c>
      <c r="D540" s="26"/>
      <c r="E540" s="24"/>
      <c r="F540" s="26"/>
      <c r="G540" s="24"/>
      <c r="H540" s="24"/>
      <c r="I540" s="26"/>
      <c r="J540" s="24"/>
      <c r="K540" s="26"/>
      <c r="L540" s="24"/>
      <c r="M540" s="24"/>
      <c r="N540" s="26"/>
      <c r="O540" s="26"/>
      <c r="P540" s="26"/>
      <c r="Q540" s="26"/>
      <c r="R540" s="26"/>
      <c r="S540" s="26"/>
      <c r="T540" s="26"/>
      <c r="U540" s="26"/>
      <c r="V540" s="26"/>
      <c r="W540" s="26">
        <f>MAX($C$7-VLOOKUP($C540,COS!$B$8:$H$991,3,FALSE),0)</f>
        <v>90859.5693359375</v>
      </c>
      <c r="X540" s="26">
        <f t="shared" si="769"/>
        <v>5586.7371558626037</v>
      </c>
      <c r="Y540" s="26">
        <f>VLOOKUP($C540,COS!$B$8:$H$991,4,FALSE)</f>
        <v>0</v>
      </c>
      <c r="Z540" s="26">
        <f t="shared" si="770"/>
        <v>0</v>
      </c>
      <c r="AA540" s="26">
        <f t="shared" ref="AA540:AA544" si="867">MIN(W540,Y540)</f>
        <v>0</v>
      </c>
      <c r="AB540" s="33">
        <f t="shared" ref="AB540" si="868">AA540*DAY($C540)*86400/43560/1000*IF(MONTH($C540)=8,$P$3,IF(MONTH($C540)=9,$P$4,IF(MONTH($C540)=10,$P$5,IF(MONTH($C540)=11,$P$6,IF(MONTH($C540)=12,$P$7,NA())))))</f>
        <v>0</v>
      </c>
    </row>
    <row r="541" spans="1:28" x14ac:dyDescent="0.3">
      <c r="A541" s="32">
        <f>VLOOKUP(YEAR(C541),Flags!$A$13:$B$95,2,FALSE)</f>
        <v>2</v>
      </c>
      <c r="B541" s="24">
        <f t="shared" si="841"/>
        <v>1980</v>
      </c>
      <c r="C541" s="25">
        <v>29494</v>
      </c>
      <c r="D541" s="26"/>
      <c r="E541" s="24"/>
      <c r="F541" s="26"/>
      <c r="G541" s="24"/>
      <c r="H541" s="24"/>
      <c r="I541" s="26"/>
      <c r="J541" s="24"/>
      <c r="K541" s="26">
        <f>VLOOKUP($C541,COS!$B$8:$H$991,2,FALSE)</f>
        <v>3161.38623046875</v>
      </c>
      <c r="L541" s="24">
        <f t="shared" ref="L541" si="869">IF(AND(K541&gt;$I$7,K541&lt;$I$8),1,0)</f>
        <v>1</v>
      </c>
      <c r="M541" s="24"/>
      <c r="N541" s="26"/>
      <c r="O541" s="26"/>
      <c r="P541" s="26"/>
      <c r="Q541" s="26"/>
      <c r="R541" s="26"/>
      <c r="S541" s="26"/>
      <c r="T541" s="26"/>
      <c r="U541" s="26"/>
      <c r="V541" s="26"/>
      <c r="W541" s="26">
        <f>MAX($C$8-VLOOKUP($C541,COS!$B$8:$H$991,3,FALSE),0)</f>
        <v>91065.9287109375</v>
      </c>
      <c r="X541" s="26">
        <f t="shared" si="769"/>
        <v>5418.7990637913226</v>
      </c>
      <c r="Y541" s="26">
        <f>VLOOKUP($C541,COS!$B$8:$H$991,4,FALSE)</f>
        <v>103.58695983886719</v>
      </c>
      <c r="Z541" s="26">
        <f t="shared" si="770"/>
        <v>6.1638521557011883</v>
      </c>
      <c r="AA541" s="26">
        <f t="shared" si="867"/>
        <v>103.58695983886719</v>
      </c>
      <c r="AB541" s="33">
        <f t="shared" si="854"/>
        <v>6.1638521557011883</v>
      </c>
    </row>
    <row r="542" spans="1:28" x14ac:dyDescent="0.3">
      <c r="A542" s="32">
        <f>VLOOKUP(YEAR(C542),Flags!$A$13:$B$95,2,FALSE)</f>
        <v>2</v>
      </c>
      <c r="B542" s="24">
        <f t="shared" si="841"/>
        <v>1980</v>
      </c>
      <c r="C542" s="25">
        <v>29525</v>
      </c>
      <c r="D542" s="26"/>
      <c r="E542" s="24"/>
      <c r="F542" s="26"/>
      <c r="G542" s="26"/>
      <c r="H542" s="26"/>
      <c r="I542" s="26"/>
      <c r="J542" s="26"/>
      <c r="K542" s="26"/>
      <c r="L542" s="24"/>
      <c r="M542" s="24"/>
      <c r="N542" s="26"/>
      <c r="O542" s="26"/>
      <c r="P542" s="26"/>
      <c r="Q542" s="26"/>
      <c r="R542" s="26"/>
      <c r="S542" s="26"/>
      <c r="T542" s="26"/>
      <c r="U542" s="26"/>
      <c r="V542" s="26"/>
      <c r="W542" s="26">
        <f>MAX($C$9-VLOOKUP($C542,COS!$B$8:$H$991,3,FALSE),0)</f>
        <v>93740.7666015625</v>
      </c>
      <c r="X542" s="26">
        <f t="shared" si="769"/>
        <v>5763.8950703770661</v>
      </c>
      <c r="Y542" s="26">
        <f>VLOOKUP($C542,COS!$B$8:$H$991,4,FALSE)</f>
        <v>295.8243408203125</v>
      </c>
      <c r="Z542" s="26">
        <f t="shared" si="770"/>
        <v>18.189529716554752</v>
      </c>
      <c r="AA542" s="26">
        <f t="shared" si="867"/>
        <v>295.8243408203125</v>
      </c>
      <c r="AB542" s="33">
        <f t="shared" si="854"/>
        <v>18.189529716554752</v>
      </c>
    </row>
    <row r="543" spans="1:28" x14ac:dyDescent="0.3">
      <c r="A543" s="32">
        <f>VLOOKUP(YEAR(C543),Flags!$A$13:$B$95,2,FALSE)</f>
        <v>2</v>
      </c>
      <c r="B543" s="24">
        <f t="shared" si="841"/>
        <v>1980</v>
      </c>
      <c r="C543" s="25">
        <v>29555</v>
      </c>
      <c r="D543" s="26"/>
      <c r="E543" s="24"/>
      <c r="F543" s="26"/>
      <c r="G543" s="26"/>
      <c r="H543" s="26"/>
      <c r="I543" s="26"/>
      <c r="J543" s="26"/>
      <c r="K543" s="26"/>
      <c r="L543" s="24"/>
      <c r="M543" s="24"/>
      <c r="N543" s="26"/>
      <c r="O543" s="26"/>
      <c r="P543" s="26"/>
      <c r="Q543" s="26"/>
      <c r="R543" s="26"/>
      <c r="S543" s="26"/>
      <c r="T543" s="26"/>
      <c r="U543" s="26"/>
      <c r="V543" s="26"/>
      <c r="W543" s="26">
        <f>MAX($C$10-VLOOKUP($C543,COS!$B$8:$H$991,3,FALSE),0)</f>
        <v>89348.224609375</v>
      </c>
      <c r="X543" s="26">
        <f t="shared" ref="X543:X606" si="870">W543*DAY($C543)*86400/43560/1000</f>
        <v>5316.5885717975207</v>
      </c>
      <c r="Y543" s="26">
        <f>VLOOKUP($C543,COS!$B$8:$H$991,4,FALSE)</f>
        <v>250.89311218261719</v>
      </c>
      <c r="Z543" s="26">
        <f t="shared" ref="Z543:Z606" si="871">Y543*DAY($C543)*86400/43560/1000</f>
        <v>14.929176923263173</v>
      </c>
      <c r="AA543" s="26">
        <f t="shared" si="867"/>
        <v>250.89311218261719</v>
      </c>
      <c r="AB543" s="33">
        <f t="shared" si="854"/>
        <v>7.4645884616315863</v>
      </c>
    </row>
    <row r="544" spans="1:28" x14ac:dyDescent="0.3">
      <c r="A544" s="34">
        <f>VLOOKUP(YEAR(C544),Flags!$A$13:$B$95,2,FALSE)</f>
        <v>2</v>
      </c>
      <c r="B544" s="35">
        <f t="shared" si="841"/>
        <v>1980</v>
      </c>
      <c r="C544" s="36">
        <v>29586</v>
      </c>
      <c r="D544" s="37"/>
      <c r="E544" s="35"/>
      <c r="F544" s="37"/>
      <c r="G544" s="37"/>
      <c r="H544" s="37"/>
      <c r="I544" s="37"/>
      <c r="J544" s="37"/>
      <c r="K544" s="37"/>
      <c r="L544" s="35"/>
      <c r="M544" s="35"/>
      <c r="N544" s="37"/>
      <c r="O544" s="37"/>
      <c r="P544" s="37"/>
      <c r="Q544" s="37"/>
      <c r="R544" s="37"/>
      <c r="S544" s="37"/>
      <c r="T544" s="37"/>
      <c r="U544" s="37"/>
      <c r="V544" s="37"/>
      <c r="W544" s="37">
        <f>MAX($C$11-VLOOKUP($C544,COS!$B$8:$H$991,3,FALSE),0)</f>
        <v>0</v>
      </c>
      <c r="X544" s="37">
        <f t="shared" si="870"/>
        <v>0</v>
      </c>
      <c r="Y544" s="37">
        <f>VLOOKUP($C544,COS!$B$8:$H$991,4,FALSE)</f>
        <v>0</v>
      </c>
      <c r="Z544" s="37">
        <f t="shared" si="871"/>
        <v>0</v>
      </c>
      <c r="AA544" s="37">
        <f t="shared" si="867"/>
        <v>0</v>
      </c>
      <c r="AB544" s="38">
        <f t="shared" si="854"/>
        <v>0</v>
      </c>
    </row>
    <row r="545" spans="1:28" x14ac:dyDescent="0.3">
      <c r="A545" s="27">
        <f>VLOOKUP(YEAR(C545),Flags!$A$13:$B$95,2,FALSE)</f>
        <v>4</v>
      </c>
      <c r="B545" s="28">
        <f t="shared" si="841"/>
        <v>1981</v>
      </c>
      <c r="C545" s="29">
        <v>29706</v>
      </c>
      <c r="D545" s="30">
        <f>VLOOKUP($C545,COS!$B$8:$H$991,3,FALSE)</f>
        <v>3250</v>
      </c>
      <c r="E545" s="28">
        <f>IF(D545&gt;=IF(MONTH($C545)=4,$C$3,IF(MONTH($C545)=5,$C$4,IF(MONTH($C545)=6,$C$5,IF(MONTH($C545)=7,$C$6,"ERROR")))),1,0)</f>
        <v>0</v>
      </c>
      <c r="F545" s="30">
        <f>VLOOKUP($C545,COS!$B$8:$H$991,7,FALSE)</f>
        <v>51.835830688476563</v>
      </c>
      <c r="G545" s="28">
        <f>IF(F545&lt;=IF(MONTH($C545)=4,$F$3,IF(MONTH($C545)=5,$F$4,IF(MONTH($C545)=6,$F$5,IF(MONTH($C545)=7,$F$6,"ERROR")))),1,0)</f>
        <v>1</v>
      </c>
      <c r="H545" s="30">
        <f>IF(J545=1,D545-$C$3,0)</f>
        <v>0</v>
      </c>
      <c r="I545" s="30">
        <f t="shared" ref="I545:I608" si="872">H545*DAY($C545)*86400/43560/1000</f>
        <v>0</v>
      </c>
      <c r="J545" s="28">
        <f t="shared" ref="J545:J548" si="873">IF(AND(E545=1,G545=1),1,0)</f>
        <v>0</v>
      </c>
      <c r="K545" s="30">
        <f>VLOOKUP($C545,COS!$B$8:$H$991,2,FALSE)</f>
        <v>4273.45361328125</v>
      </c>
      <c r="L545" s="28">
        <f t="shared" ref="L545" si="874">IF(K545&lt;=IF(MONTH($C545)=4,$I$3,IF(MONTH($C545)=5,$I$4,IF(MONTH($C545)=6,$I$5,IF(MONTH($C545)=7,$I$6,"ERROR")))),1,0)</f>
        <v>1</v>
      </c>
      <c r="M545" s="28">
        <f t="shared" ref="M545" si="875">VLOOKUP($A545,$L$3:$M$7,2,FALSE)</f>
        <v>1</v>
      </c>
      <c r="N545" s="30">
        <f>VLOOKUP($C545,COS!$B$8:$H$991,5,FALSE)</f>
        <v>216.92788696289063</v>
      </c>
      <c r="O545" s="30">
        <f t="shared" ref="O545:O548" si="876">N545*DAY($C545)*86400/43560/1000</f>
        <v>12.908105670519111</v>
      </c>
      <c r="P545" s="30">
        <f>VLOOKUP($C545,COS!$B$8:$H$991,6,FALSE)</f>
        <v>405.1795654296875</v>
      </c>
      <c r="Q545" s="30">
        <f t="shared" ref="Q545:Q548" si="877">P545*DAY($C545)*86400/43560/1000</f>
        <v>24.109858438791321</v>
      </c>
      <c r="R545" s="30">
        <f>MIN(IF(MONTH($C545)=4,$S$3,IF(MONTH($C545)=5,$S$4,IF(MONTH($C545)=6,$S$5,IF(MONTH($C545)=7,$S$6,"ERROR")))),MAX(VLOOKUP($C545,COS!$B$8:$K$991,10,FALSE)-IF(MONTH($C545)=4,$Y$3,IF(MONTH($C545)=5,$Y$4,IF(MONTH($C545)=6,$Y$5,IF(MONTH($C545)=7,$Y$6,"ERROR")))),0),MAX(VLOOKUP($C545,COS!$B$8:$K$991,9,FALSE)-IF(MONTH($C545)=4,$V$3,IF(MONTH($C545)=5,$V$4,IF(MONTH($C545)=6,$V$5,IF(MONTH($C545)=7,$V$6,"ERROR"))))-VLOOKUP($C545,COS!$B$8:$K$991,6,FALSE)/2,0))</f>
        <v>1500</v>
      </c>
      <c r="S545" s="30">
        <f t="shared" ref="S545:S548" si="878">R545*DAY($C545)*86400/43560/1000</f>
        <v>89.256198347107429</v>
      </c>
      <c r="T545" s="30">
        <f t="shared" ref="T545:T548" si="879">(O545+Q545)/2+S545</f>
        <v>107.76518040176265</v>
      </c>
      <c r="U545" s="30" t="str">
        <f>IF(VLOOKUP($C545,COS!$B$8:$I$991,8,FALSE)=1,"UWFE","IBU")</f>
        <v>UWFE</v>
      </c>
      <c r="V545" s="30">
        <f t="shared" ref="V545" si="880">MIN(IF(IF($AA$3=2,AND(E545=1,G545=1,L545=1,L550=1,M545=1,U545="IBU"),AND(E545=1,G545=1,L545=1,L550=1,M545=1)),T545,0),I545)</f>
        <v>0</v>
      </c>
      <c r="W545" s="30"/>
      <c r="X545" s="30"/>
      <c r="Y545" s="30"/>
      <c r="Z545" s="30"/>
      <c r="AA545" s="30"/>
      <c r="AB545" s="31"/>
    </row>
    <row r="546" spans="1:28" x14ac:dyDescent="0.3">
      <c r="A546" s="32">
        <f>VLOOKUP(YEAR(C546),Flags!$A$13:$B$95,2,FALSE)</f>
        <v>4</v>
      </c>
      <c r="B546" s="24">
        <f t="shared" si="841"/>
        <v>1981</v>
      </c>
      <c r="C546" s="25">
        <v>29737</v>
      </c>
      <c r="D546" s="26">
        <f>VLOOKUP($C546,COS!$B$8:$H$991,3,FALSE)</f>
        <v>7636.04248046875</v>
      </c>
      <c r="E546" s="24">
        <f>IF(D546&gt;=IF(MONTH($C546)=4,$C$3,IF(MONTH($C546)=5,$C$4,IF(MONTH($C546)=6,$C$5,IF(MONTH($C546)=7,$C$6,"ERROR")))),1,0)</f>
        <v>1</v>
      </c>
      <c r="F546" s="26">
        <f>VLOOKUP($C546,COS!$B$8:$H$991,7,FALSE)</f>
        <v>50.98291015625</v>
      </c>
      <c r="G546" s="24">
        <f>IF(F546&lt;=IF(MONTH($C546)=4,$F$3,IF(MONTH($C546)=5,$F$4,IF(MONTH($C546)=6,$F$5,IF(MONTH($C546)=7,$F$6,"ERROR")))),1,0)</f>
        <v>1</v>
      </c>
      <c r="H546" s="26">
        <f>IF(J546=1,D546-$C$4,0)</f>
        <v>1636.04248046875</v>
      </c>
      <c r="I546" s="26">
        <f t="shared" si="872"/>
        <v>100.59633103047521</v>
      </c>
      <c r="J546" s="24">
        <f t="shared" si="873"/>
        <v>1</v>
      </c>
      <c r="K546" s="26">
        <f>VLOOKUP($C546,COS!$B$8:$H$991,2,FALSE)</f>
        <v>4072.649658203125</v>
      </c>
      <c r="L546" s="24">
        <f t="shared" si="843"/>
        <v>1</v>
      </c>
      <c r="M546" s="24">
        <f t="shared" si="844"/>
        <v>1</v>
      </c>
      <c r="N546" s="26">
        <f>VLOOKUP($C546,COS!$B$8:$H$991,5,FALSE)</f>
        <v>512.199951171875</v>
      </c>
      <c r="O546" s="26">
        <f t="shared" si="876"/>
        <v>31.493947410898759</v>
      </c>
      <c r="P546" s="26">
        <f>VLOOKUP($C546,COS!$B$8:$H$991,6,FALSE)</f>
        <v>2162.07861328125</v>
      </c>
      <c r="Q546" s="26">
        <f t="shared" si="877"/>
        <v>132.94103208935951</v>
      </c>
      <c r="R546" s="26">
        <f>MIN(IF(MONTH($C546)=4,$S$3,IF(MONTH($C546)=5,$S$4,IF(MONTH($C546)=6,$S$5,IF(MONTH($C546)=7,$S$6,"ERROR")))),MAX(VLOOKUP($C546,COS!$B$8:$K$991,10,FALSE)-IF(MONTH($C546)=4,$Y$3,IF(MONTH($C546)=5,$Y$4,IF(MONTH($C546)=6,$Y$5,IF(MONTH($C546)=7,$Y$6,"ERROR")))),0),MAX(VLOOKUP($C546,COS!$B$8:$K$991,9,FALSE)-IF(MONTH($C546)=4,$V$3,IF(MONTH($C546)=5,$V$4,IF(MONTH($C546)=6,$V$5,IF(MONTH($C546)=7,$V$6,"ERROR"))))-VLOOKUP($C546,COS!$B$8:$K$991,6,FALSE)/2,0))</f>
        <v>1500</v>
      </c>
      <c r="S546" s="26">
        <f t="shared" si="878"/>
        <v>92.231404958677686</v>
      </c>
      <c r="T546" s="26">
        <f t="shared" si="879"/>
        <v>174.44889470880682</v>
      </c>
      <c r="U546" s="26" t="str">
        <f>IF(VLOOKUP($C546,COS!$B$8:$I$991,8,FALSE)=1,"UWFE","IBU")</f>
        <v>IBU</v>
      </c>
      <c r="V546" s="26">
        <f t="shared" ref="V546" si="881">MIN(IF(IF($AA$3=2,AND(E546=1,G546=1,L546=1,L550=1,M546=1,U546="IBU"),AND(E546=1,G546=1,L546=1,L550=1,M546=1)),T546,0),I546)</f>
        <v>100.59633103047521</v>
      </c>
      <c r="W546" s="26"/>
      <c r="X546" s="26"/>
      <c r="Y546" s="26"/>
      <c r="Z546" s="26"/>
      <c r="AA546" s="26"/>
      <c r="AB546" s="33"/>
    </row>
    <row r="547" spans="1:28" x14ac:dyDescent="0.3">
      <c r="A547" s="32">
        <f>VLOOKUP(YEAR(C547),Flags!$A$13:$B$95,2,FALSE)</f>
        <v>4</v>
      </c>
      <c r="B547" s="24">
        <f t="shared" si="841"/>
        <v>1981</v>
      </c>
      <c r="C547" s="25">
        <v>29767</v>
      </c>
      <c r="D547" s="26">
        <f>VLOOKUP($C547,COS!$B$8:$H$991,3,FALSE)</f>
        <v>14118.259765625</v>
      </c>
      <c r="E547" s="24">
        <f>IF(D547&gt;=IF(MONTH($C547)=4,$C$3,IF(MONTH($C547)=5,$C$4,IF(MONTH($C547)=6,$C$5,IF(MONTH($C547)=7,$C$6,"ERROR")))),1,0)</f>
        <v>1</v>
      </c>
      <c r="F547" s="26">
        <f>VLOOKUP($C547,COS!$B$8:$H$991,7,FALSE)</f>
        <v>50.939315795898438</v>
      </c>
      <c r="G547" s="24">
        <f>IF(F547&lt;=IF(MONTH($C547)=4,$F$3,IF(MONTH($C547)=5,$F$4,IF(MONTH($C547)=6,$F$5,IF(MONTH($C547)=7,$F$6,"ERROR")))),1,0)</f>
        <v>1</v>
      </c>
      <c r="H547" s="26">
        <f>IF(J547=1,D547-$C$5,0)</f>
        <v>4118.259765625</v>
      </c>
      <c r="I547" s="26">
        <f t="shared" si="872"/>
        <v>245.0534736570248</v>
      </c>
      <c r="J547" s="24">
        <f t="shared" si="873"/>
        <v>1</v>
      </c>
      <c r="K547" s="26">
        <f>VLOOKUP($C547,COS!$B$8:$H$991,2,FALSE)</f>
        <v>3447.17138671875</v>
      </c>
      <c r="L547" s="24">
        <f t="shared" si="843"/>
        <v>1</v>
      </c>
      <c r="M547" s="24">
        <f t="shared" si="844"/>
        <v>1</v>
      </c>
      <c r="N547" s="26">
        <f>VLOOKUP($C547,COS!$B$8:$H$991,5,FALSE)</f>
        <v>824.02752685546875</v>
      </c>
      <c r="O547" s="26">
        <f t="shared" si="876"/>
        <v>49.033042920325407</v>
      </c>
      <c r="P547" s="26">
        <f>VLOOKUP($C547,COS!$B$8:$H$991,6,FALSE)</f>
        <v>2714.961669921875</v>
      </c>
      <c r="Q547" s="26">
        <f t="shared" si="877"/>
        <v>161.55143821022727</v>
      </c>
      <c r="R547" s="26">
        <f>MIN(IF(MONTH($C547)=4,$S$3,IF(MONTH($C547)=5,$S$4,IF(MONTH($C547)=6,$S$5,IF(MONTH($C547)=7,$S$6,"ERROR")))),MAX(VLOOKUP($C547,COS!$B$8:$K$991,10,FALSE)-IF(MONTH($C547)=4,$Y$3,IF(MONTH($C547)=5,$Y$4,IF(MONTH($C547)=6,$Y$5,IF(MONTH($C547)=7,$Y$6,"ERROR")))),0),MAX(VLOOKUP($C547,COS!$B$8:$K$991,9,FALSE)-IF(MONTH($C547)=4,$V$3,IF(MONTH($C547)=5,$V$4,IF(MONTH($C547)=6,$V$5,IF(MONTH($C547)=7,$V$6,"ERROR"))))-VLOOKUP($C547,COS!$B$8:$K$991,6,FALSE)/2,0))</f>
        <v>1500</v>
      </c>
      <c r="S547" s="26">
        <f t="shared" si="878"/>
        <v>89.256198347107429</v>
      </c>
      <c r="T547" s="26">
        <f t="shared" si="879"/>
        <v>194.54843891238377</v>
      </c>
      <c r="U547" s="26" t="str">
        <f>IF(VLOOKUP($C547,COS!$B$8:$I$991,8,FALSE)=1,"UWFE","IBU")</f>
        <v>IBU</v>
      </c>
      <c r="V547" s="26">
        <f t="shared" ref="V547" si="882">MIN(IF(IF($AA$3=2,AND(E547=1,G547=1,L547=1,L550=1,M547=1,U547="IBU"),AND(E547=1,G547=1,L547=1,L550=1,M547=1)),T547,0),I547)</f>
        <v>194.54843891238377</v>
      </c>
      <c r="W547" s="26"/>
      <c r="X547" s="26"/>
      <c r="Y547" s="26"/>
      <c r="Z547" s="26"/>
      <c r="AA547" s="26"/>
      <c r="AB547" s="33"/>
    </row>
    <row r="548" spans="1:28" x14ac:dyDescent="0.3">
      <c r="A548" s="32">
        <f>VLOOKUP(YEAR(C548),Flags!$A$13:$B$95,2,FALSE)</f>
        <v>4</v>
      </c>
      <c r="B548" s="24">
        <f t="shared" si="841"/>
        <v>1981</v>
      </c>
      <c r="C548" s="25">
        <v>29798</v>
      </c>
      <c r="D548" s="26">
        <f>VLOOKUP($C548,COS!$B$8:$H$991,3,FALSE)</f>
        <v>16000</v>
      </c>
      <c r="E548" s="24">
        <f>IF(D548&gt;=IF(MONTH($C548)=4,$C$3,IF(MONTH($C548)=5,$C$4,IF(MONTH($C548)=6,$C$5,IF(MONTH($C548)=7,$C$6,"ERROR")))),1,0)</f>
        <v>1</v>
      </c>
      <c r="F548" s="26">
        <f>VLOOKUP($C548,COS!$B$8:$H$991,7,FALSE)</f>
        <v>52.245452880859375</v>
      </c>
      <c r="G548" s="24">
        <f>IF(F548&lt;=IF(MONTH($C548)=4,$F$3,IF(MONTH($C548)=5,$F$4,IF(MONTH($C548)=6,$F$5,IF(MONTH($C548)=7,$F$6,"ERROR")))),1,0)</f>
        <v>1</v>
      </c>
      <c r="H548" s="26">
        <f>IF(J548=1,D548-$C$6,0)</f>
        <v>4000</v>
      </c>
      <c r="I548" s="26">
        <f t="shared" si="872"/>
        <v>245.95041322314049</v>
      </c>
      <c r="J548" s="24">
        <f t="shared" si="873"/>
        <v>1</v>
      </c>
      <c r="K548" s="26">
        <f>VLOOKUP($C548,COS!$B$8:$H$991,2,FALSE)</f>
        <v>2809.813720703125</v>
      </c>
      <c r="L548" s="24">
        <f t="shared" si="843"/>
        <v>1</v>
      </c>
      <c r="M548" s="24">
        <f t="shared" si="844"/>
        <v>1</v>
      </c>
      <c r="N548" s="26">
        <f>VLOOKUP($C548,COS!$B$8:$H$991,5,FALSE)</f>
        <v>902.334716796875</v>
      </c>
      <c r="O548" s="26">
        <f t="shared" si="876"/>
        <v>55.48239911544421</v>
      </c>
      <c r="P548" s="26">
        <f>VLOOKUP($C548,COS!$B$8:$H$991,6,FALSE)</f>
        <v>2538.07568359375</v>
      </c>
      <c r="Q548" s="26">
        <f t="shared" si="877"/>
        <v>156.06019079287191</v>
      </c>
      <c r="R548" s="26">
        <f>MIN(IF(MONTH($C548)=4,$S$3,IF(MONTH($C548)=5,$S$4,IF(MONTH($C548)=6,$S$5,IF(MONTH($C548)=7,$S$6,"ERROR")))),MAX(VLOOKUP($C548,COS!$B$8:$K$991,10,FALSE)-IF(MONTH($C548)=4,$Y$3,IF(MONTH($C548)=5,$Y$4,IF(MONTH($C548)=6,$Y$5,IF(MONTH($C548)=7,$Y$6,"ERROR")))),0),MAX(VLOOKUP($C548,COS!$B$8:$K$991,9,FALSE)-IF(MONTH($C548)=4,$V$3,IF(MONTH($C548)=5,$V$4,IF(MONTH($C548)=6,$V$5,IF(MONTH($C548)=7,$V$6,"ERROR"))))-VLOOKUP($C548,COS!$B$8:$K$991,6,FALSE)/2,0))</f>
        <v>1500</v>
      </c>
      <c r="S548" s="26">
        <f t="shared" si="878"/>
        <v>92.231404958677686</v>
      </c>
      <c r="T548" s="26">
        <f t="shared" si="879"/>
        <v>198.00269991283574</v>
      </c>
      <c r="U548" s="26" t="str">
        <f>IF(VLOOKUP($C548,COS!$B$8:$I$991,8,FALSE)=1,"UWFE","IBU")</f>
        <v>IBU</v>
      </c>
      <c r="V548" s="26">
        <f t="shared" ref="V548" si="883">MIN(IF(IF($AA$3=2,AND(E548=1,G548=1,L548=1,L550=1,M548=1,U548="IBU"),AND(E548=1,G548=1,L548=1,L550=1,M548=1)),T548,0),I548)</f>
        <v>198.00269991283574</v>
      </c>
      <c r="W548" s="26"/>
      <c r="X548" s="26"/>
      <c r="Y548" s="26"/>
      <c r="Z548" s="26"/>
      <c r="AA548" s="26"/>
      <c r="AB548" s="33"/>
    </row>
    <row r="549" spans="1:28" x14ac:dyDescent="0.3">
      <c r="A549" s="32">
        <f>VLOOKUP(YEAR(C549),Flags!$A$13:$B$95,2,FALSE)</f>
        <v>4</v>
      </c>
      <c r="B549" s="24">
        <f t="shared" si="841"/>
        <v>1981</v>
      </c>
      <c r="C549" s="25">
        <v>29829</v>
      </c>
      <c r="D549" s="26"/>
      <c r="E549" s="24"/>
      <c r="F549" s="26"/>
      <c r="G549" s="24"/>
      <c r="H549" s="24"/>
      <c r="I549" s="26"/>
      <c r="J549" s="24"/>
      <c r="K549" s="26"/>
      <c r="L549" s="24"/>
      <c r="M549" s="24"/>
      <c r="N549" s="26"/>
      <c r="O549" s="26"/>
      <c r="P549" s="26"/>
      <c r="Q549" s="26"/>
      <c r="R549" s="26"/>
      <c r="S549" s="26"/>
      <c r="T549" s="26"/>
      <c r="U549" s="26"/>
      <c r="V549" s="26"/>
      <c r="W549" s="26">
        <f>MAX($C$7-VLOOKUP($C549,COS!$B$8:$H$991,3,FALSE),0)</f>
        <v>91031.4130859375</v>
      </c>
      <c r="X549" s="26">
        <f t="shared" si="870"/>
        <v>5597.3034161931819</v>
      </c>
      <c r="Y549" s="26">
        <f>VLOOKUP($C549,COS!$B$8:$H$991,4,FALSE)</f>
        <v>3055.62109375</v>
      </c>
      <c r="Z549" s="26">
        <f t="shared" si="871"/>
        <v>187.88281766528925</v>
      </c>
      <c r="AA549" s="26">
        <f t="shared" ref="AA549:AA553" si="884">MIN(W549,Y549)</f>
        <v>3055.62109375</v>
      </c>
      <c r="AB549" s="33">
        <f t="shared" ref="AB549" si="885">AA549*DAY($C549)*86400/43560/1000*IF(MONTH($C549)=8,$P$3,IF(MONTH($C549)=9,$P$4,IF(MONTH($C549)=10,$P$5,IF(MONTH($C549)=11,$P$6,IF(MONTH($C549)=12,$P$7,NA())))))</f>
        <v>187.88281766528925</v>
      </c>
    </row>
    <row r="550" spans="1:28" x14ac:dyDescent="0.3">
      <c r="A550" s="32">
        <f>VLOOKUP(YEAR(C550),Flags!$A$13:$B$95,2,FALSE)</f>
        <v>4</v>
      </c>
      <c r="B550" s="24">
        <f t="shared" si="841"/>
        <v>1981</v>
      </c>
      <c r="C550" s="25">
        <v>29859</v>
      </c>
      <c r="D550" s="26"/>
      <c r="E550" s="24"/>
      <c r="F550" s="26"/>
      <c r="G550" s="24"/>
      <c r="H550" s="24"/>
      <c r="I550" s="26"/>
      <c r="J550" s="24"/>
      <c r="K550" s="26">
        <f>VLOOKUP($C550,COS!$B$8:$H$991,2,FALSE)</f>
        <v>2475.966796875</v>
      </c>
      <c r="L550" s="24">
        <f t="shared" ref="L550" si="886">IF(AND(K550&gt;$I$7,K550&lt;$I$8),1,0)</f>
        <v>1</v>
      </c>
      <c r="M550" s="24"/>
      <c r="N550" s="26"/>
      <c r="O550" s="26"/>
      <c r="P550" s="26"/>
      <c r="Q550" s="26"/>
      <c r="R550" s="26"/>
      <c r="S550" s="26"/>
      <c r="T550" s="26"/>
      <c r="U550" s="26"/>
      <c r="V550" s="26"/>
      <c r="W550" s="26">
        <f>MAX($C$8-VLOOKUP($C550,COS!$B$8:$H$991,3,FALSE),0)</f>
        <v>94645.4052734375</v>
      </c>
      <c r="X550" s="26">
        <f t="shared" si="870"/>
        <v>5631.7927104855371</v>
      </c>
      <c r="Y550" s="26">
        <f>VLOOKUP($C550,COS!$B$8:$H$991,4,FALSE)</f>
        <v>917.53326416015625</v>
      </c>
      <c r="Z550" s="26">
        <f t="shared" si="871"/>
        <v>54.597020677298552</v>
      </c>
      <c r="AA550" s="26">
        <f t="shared" si="884"/>
        <v>917.53326416015625</v>
      </c>
      <c r="AB550" s="33">
        <f t="shared" si="854"/>
        <v>54.597020677298552</v>
      </c>
    </row>
    <row r="551" spans="1:28" x14ac:dyDescent="0.3">
      <c r="A551" s="32">
        <f>VLOOKUP(YEAR(C551),Flags!$A$13:$B$95,2,FALSE)</f>
        <v>4</v>
      </c>
      <c r="B551" s="24">
        <f t="shared" si="841"/>
        <v>1981</v>
      </c>
      <c r="C551" s="25">
        <v>29890</v>
      </c>
      <c r="D551" s="26"/>
      <c r="E551" s="24"/>
      <c r="F551" s="26"/>
      <c r="G551" s="26"/>
      <c r="H551" s="26"/>
      <c r="I551" s="26"/>
      <c r="J551" s="26"/>
      <c r="K551" s="26"/>
      <c r="L551" s="24"/>
      <c r="M551" s="24"/>
      <c r="N551" s="26"/>
      <c r="O551" s="26"/>
      <c r="P551" s="26"/>
      <c r="Q551" s="26"/>
      <c r="R551" s="26"/>
      <c r="S551" s="26"/>
      <c r="T551" s="26"/>
      <c r="U551" s="26"/>
      <c r="V551" s="26"/>
      <c r="W551" s="26">
        <f>MAX($C$9-VLOOKUP($C551,COS!$B$8:$H$991,3,FALSE),0)</f>
        <v>96679.089599609375</v>
      </c>
      <c r="X551" s="26">
        <f t="shared" si="870"/>
        <v>5944.5655092652378</v>
      </c>
      <c r="Y551" s="26">
        <f>VLOOKUP($C551,COS!$B$8:$H$991,4,FALSE)</f>
        <v>1399.4996337890625</v>
      </c>
      <c r="Z551" s="26">
        <f t="shared" si="871"/>
        <v>86.051878309013418</v>
      </c>
      <c r="AA551" s="26">
        <f t="shared" si="884"/>
        <v>1399.4996337890625</v>
      </c>
      <c r="AB551" s="33">
        <f t="shared" si="854"/>
        <v>86.051878309013418</v>
      </c>
    </row>
    <row r="552" spans="1:28" x14ac:dyDescent="0.3">
      <c r="A552" s="32">
        <f>VLOOKUP(YEAR(C552),Flags!$A$13:$B$95,2,FALSE)</f>
        <v>4</v>
      </c>
      <c r="B552" s="24">
        <f t="shared" si="841"/>
        <v>1981</v>
      </c>
      <c r="C552" s="25">
        <v>29920</v>
      </c>
      <c r="D552" s="26"/>
      <c r="E552" s="24"/>
      <c r="F552" s="26"/>
      <c r="G552" s="26"/>
      <c r="H552" s="26"/>
      <c r="I552" s="26"/>
      <c r="J552" s="26"/>
      <c r="K552" s="26"/>
      <c r="L552" s="24"/>
      <c r="M552" s="24"/>
      <c r="N552" s="26"/>
      <c r="O552" s="26"/>
      <c r="P552" s="26"/>
      <c r="Q552" s="26"/>
      <c r="R552" s="26"/>
      <c r="S552" s="26"/>
      <c r="T552" s="26"/>
      <c r="U552" s="26"/>
      <c r="V552" s="26"/>
      <c r="W552" s="26">
        <f>MAX($C$10-VLOOKUP($C552,COS!$B$8:$H$991,3,FALSE),0)</f>
        <v>91684.076171875</v>
      </c>
      <c r="X552" s="26">
        <f t="shared" si="870"/>
        <v>5455.5813920454539</v>
      </c>
      <c r="Y552" s="26">
        <f>VLOOKUP($C552,COS!$B$8:$H$991,4,FALSE)</f>
        <v>0</v>
      </c>
      <c r="Z552" s="26">
        <f t="shared" si="871"/>
        <v>0</v>
      </c>
      <c r="AA552" s="26">
        <f t="shared" si="884"/>
        <v>0</v>
      </c>
      <c r="AB552" s="33">
        <f t="shared" si="854"/>
        <v>0</v>
      </c>
    </row>
    <row r="553" spans="1:28" x14ac:dyDescent="0.3">
      <c r="A553" s="34">
        <f>VLOOKUP(YEAR(C553),Flags!$A$13:$B$95,2,FALSE)</f>
        <v>4</v>
      </c>
      <c r="B553" s="35">
        <f t="shared" si="841"/>
        <v>1981</v>
      </c>
      <c r="C553" s="36">
        <v>29951</v>
      </c>
      <c r="D553" s="37"/>
      <c r="E553" s="35"/>
      <c r="F553" s="37"/>
      <c r="G553" s="37"/>
      <c r="H553" s="37"/>
      <c r="I553" s="37"/>
      <c r="J553" s="37"/>
      <c r="K553" s="37"/>
      <c r="L553" s="35"/>
      <c r="M553" s="35"/>
      <c r="N553" s="37"/>
      <c r="O553" s="37"/>
      <c r="P553" s="37"/>
      <c r="Q553" s="37"/>
      <c r="R553" s="37"/>
      <c r="S553" s="37"/>
      <c r="T553" s="37"/>
      <c r="U553" s="37"/>
      <c r="V553" s="37"/>
      <c r="W553" s="37">
        <f>MAX($C$11-VLOOKUP($C553,COS!$B$8:$H$991,3,FALSE),0)</f>
        <v>0</v>
      </c>
      <c r="X553" s="37">
        <f t="shared" si="870"/>
        <v>0</v>
      </c>
      <c r="Y553" s="37">
        <f>VLOOKUP($C553,COS!$B$8:$H$991,4,FALSE)</f>
        <v>0</v>
      </c>
      <c r="Z553" s="37">
        <f t="shared" si="871"/>
        <v>0</v>
      </c>
      <c r="AA553" s="37">
        <f t="shared" si="884"/>
        <v>0</v>
      </c>
      <c r="AB553" s="38">
        <f t="shared" si="854"/>
        <v>0</v>
      </c>
    </row>
    <row r="554" spans="1:28" x14ac:dyDescent="0.3">
      <c r="A554" s="27">
        <f>VLOOKUP(YEAR(C554),Flags!$A$13:$B$95,2,FALSE)</f>
        <v>1</v>
      </c>
      <c r="B554" s="28">
        <f t="shared" si="841"/>
        <v>1982</v>
      </c>
      <c r="C554" s="29">
        <v>30071</v>
      </c>
      <c r="D554" s="30">
        <f>VLOOKUP($C554,COS!$B$8:$H$991,3,FALSE)</f>
        <v>24913.6875</v>
      </c>
      <c r="E554" s="28">
        <f>IF(D554&gt;=IF(MONTH($C554)=4,$C$3,IF(MONTH($C554)=5,$C$4,IF(MONTH($C554)=6,$C$5,IF(MONTH($C554)=7,$C$6,"ERROR")))),1,0)</f>
        <v>1</v>
      </c>
      <c r="F554" s="30">
        <f>VLOOKUP($C554,COS!$B$8:$H$991,7,FALSE)</f>
        <v>46.657176971435547</v>
      </c>
      <c r="G554" s="28">
        <f>IF(F554&lt;=IF(MONTH($C554)=4,$F$3,IF(MONTH($C554)=5,$F$4,IF(MONTH($C554)=6,$F$5,IF(MONTH($C554)=7,$F$6,"ERROR")))),1,0)</f>
        <v>1</v>
      </c>
      <c r="H554" s="30">
        <f>IF(J554=1,D554-$C$3,0)</f>
        <v>18913.6875</v>
      </c>
      <c r="I554" s="30">
        <f t="shared" si="872"/>
        <v>1125.442561983471</v>
      </c>
      <c r="J554" s="28">
        <f t="shared" ref="J554:J557" si="887">IF(AND(E554=1,G554=1),1,0)</f>
        <v>1</v>
      </c>
      <c r="K554" s="30">
        <f>VLOOKUP($C554,COS!$B$8:$H$991,2,FALSE)</f>
        <v>4094</v>
      </c>
      <c r="L554" s="28">
        <f t="shared" ref="L554" si="888">IF(K554&lt;=IF(MONTH($C554)=4,$I$3,IF(MONTH($C554)=5,$I$4,IF(MONTH($C554)=6,$I$5,IF(MONTH($C554)=7,$I$6,"ERROR")))),1,0)</f>
        <v>1</v>
      </c>
      <c r="M554" s="28">
        <f t="shared" ref="M554" si="889">VLOOKUP($A554,$L$3:$M$7,2,FALSE)</f>
        <v>0</v>
      </c>
      <c r="N554" s="30">
        <f>VLOOKUP($C554,COS!$B$8:$H$991,5,FALSE)</f>
        <v>47.432540893554688</v>
      </c>
      <c r="O554" s="30">
        <f t="shared" ref="O554:O557" si="890">N554*DAY($C554)*86400/43560/1000</f>
        <v>2.8224321854016012</v>
      </c>
      <c r="P554" s="30">
        <f>VLOOKUP($C554,COS!$B$8:$H$991,6,FALSE)</f>
        <v>305.73114013671875</v>
      </c>
      <c r="Q554" s="30">
        <f t="shared" ref="Q554:Q557" si="891">P554*DAY($C554)*86400/43560/1000</f>
        <v>18.192266189953511</v>
      </c>
      <c r="R554" s="30">
        <f>MIN(IF(MONTH($C554)=4,$S$3,IF(MONTH($C554)=5,$S$4,IF(MONTH($C554)=6,$S$5,IF(MONTH($C554)=7,$S$6,"ERROR")))),MAX(VLOOKUP($C554,COS!$B$8:$K$991,10,FALSE)-IF(MONTH($C554)=4,$Y$3,IF(MONTH($C554)=5,$Y$4,IF(MONTH($C554)=6,$Y$5,IF(MONTH($C554)=7,$Y$6,"ERROR")))),0),MAX(VLOOKUP($C554,COS!$B$8:$K$991,9,FALSE)-IF(MONTH($C554)=4,$V$3,IF(MONTH($C554)=5,$V$4,IF(MONTH($C554)=6,$V$5,IF(MONTH($C554)=7,$V$6,"ERROR"))))-VLOOKUP($C554,COS!$B$8:$K$991,6,FALSE)/2,0))</f>
        <v>1500</v>
      </c>
      <c r="S554" s="30">
        <f t="shared" ref="S554:S557" si="892">R554*DAY($C554)*86400/43560/1000</f>
        <v>89.256198347107429</v>
      </c>
      <c r="T554" s="30">
        <f t="shared" ref="T554:T557" si="893">(O554+Q554)/2+S554</f>
        <v>99.76354753478499</v>
      </c>
      <c r="U554" s="30" t="str">
        <f>IF(VLOOKUP($C554,COS!$B$8:$I$991,8,FALSE)=1,"UWFE","IBU")</f>
        <v>UWFE</v>
      </c>
      <c r="V554" s="30">
        <f t="shared" ref="V554" si="894">MIN(IF(IF($AA$3=2,AND(E554=1,G554=1,L554=1,L559=1,M554=1,U554="IBU"),AND(E554=1,G554=1,L554=1,L559=1,M554=1)),T554,0),I554)</f>
        <v>0</v>
      </c>
      <c r="W554" s="30"/>
      <c r="X554" s="30"/>
      <c r="Y554" s="30"/>
      <c r="Z554" s="30"/>
      <c r="AA554" s="30"/>
      <c r="AB554" s="31"/>
    </row>
    <row r="555" spans="1:28" x14ac:dyDescent="0.3">
      <c r="A555" s="32">
        <f>VLOOKUP(YEAR(C555),Flags!$A$13:$B$95,2,FALSE)</f>
        <v>1</v>
      </c>
      <c r="B555" s="24">
        <f t="shared" si="841"/>
        <v>1982</v>
      </c>
      <c r="C555" s="25">
        <v>30102</v>
      </c>
      <c r="D555" s="26">
        <f>VLOOKUP($C555,COS!$B$8:$H$991,3,FALSE)</f>
        <v>3472.723876953125</v>
      </c>
      <c r="E555" s="24">
        <f>IF(D555&gt;=IF(MONTH($C555)=4,$C$3,IF(MONTH($C555)=5,$C$4,IF(MONTH($C555)=6,$C$5,IF(MONTH($C555)=7,$C$6,"ERROR")))),1,0)</f>
        <v>0</v>
      </c>
      <c r="F555" s="26">
        <f>VLOOKUP($C555,COS!$B$8:$H$991,7,FALSE)</f>
        <v>53.570789337158203</v>
      </c>
      <c r="G555" s="24">
        <f>IF(F555&lt;=IF(MONTH($C555)=4,$F$3,IF(MONTH($C555)=5,$F$4,IF(MONTH($C555)=6,$F$5,IF(MONTH($C555)=7,$F$6,"ERROR")))),1,0)</f>
        <v>1</v>
      </c>
      <c r="H555" s="26">
        <f>IF(J555=1,D555-$C$4,0)</f>
        <v>0</v>
      </c>
      <c r="I555" s="26">
        <f t="shared" si="872"/>
        <v>0</v>
      </c>
      <c r="J555" s="24">
        <f t="shared" si="887"/>
        <v>0</v>
      </c>
      <c r="K555" s="26">
        <f>VLOOKUP($C555,COS!$B$8:$H$991,2,FALSE)</f>
        <v>4481.19091796875</v>
      </c>
      <c r="L555" s="24">
        <f t="shared" si="843"/>
        <v>1</v>
      </c>
      <c r="M555" s="24">
        <f t="shared" si="844"/>
        <v>0</v>
      </c>
      <c r="N555" s="26">
        <f>VLOOKUP($C555,COS!$B$8:$H$991,5,FALSE)</f>
        <v>674.9888916015625</v>
      </c>
      <c r="O555" s="26">
        <f t="shared" si="890"/>
        <v>41.503449202608472</v>
      </c>
      <c r="P555" s="26">
        <f>VLOOKUP($C555,COS!$B$8:$H$991,6,FALSE)</f>
        <v>2221.702392578125</v>
      </c>
      <c r="Q555" s="26">
        <f t="shared" si="891"/>
        <v>136.60715537835745</v>
      </c>
      <c r="R555" s="26">
        <f>MIN(IF(MONTH($C555)=4,$S$3,IF(MONTH($C555)=5,$S$4,IF(MONTH($C555)=6,$S$5,IF(MONTH($C555)=7,$S$6,"ERROR")))),MAX(VLOOKUP($C555,COS!$B$8:$K$991,10,FALSE)-IF(MONTH($C555)=4,$Y$3,IF(MONTH($C555)=5,$Y$4,IF(MONTH($C555)=6,$Y$5,IF(MONTH($C555)=7,$Y$6,"ERROR")))),0),MAX(VLOOKUP($C555,COS!$B$8:$K$991,9,FALSE)-IF(MONTH($C555)=4,$V$3,IF(MONTH($C555)=5,$V$4,IF(MONTH($C555)=6,$V$5,IF(MONTH($C555)=7,$V$6,"ERROR"))))-VLOOKUP($C555,COS!$B$8:$K$991,6,FALSE)/2,0))</f>
        <v>858.08984375</v>
      </c>
      <c r="S555" s="26">
        <f t="shared" si="892"/>
        <v>52.761887913223134</v>
      </c>
      <c r="T555" s="26">
        <f t="shared" si="893"/>
        <v>141.8171902037061</v>
      </c>
      <c r="U555" s="26" t="str">
        <f>IF(VLOOKUP($C555,COS!$B$8:$I$991,8,FALSE)=1,"UWFE","IBU")</f>
        <v>UWFE</v>
      </c>
      <c r="V555" s="26">
        <f t="shared" ref="V555" si="895">MIN(IF(IF($AA$3=2,AND(E555=1,G555=1,L555=1,L559=1,M555=1,U555="IBU"),AND(E555=1,G555=1,L555=1,L559=1,M555=1)),T555,0),I555)</f>
        <v>0</v>
      </c>
      <c r="W555" s="26"/>
      <c r="X555" s="26"/>
      <c r="Y555" s="26"/>
      <c r="Z555" s="26"/>
      <c r="AA555" s="26"/>
      <c r="AB555" s="33"/>
    </row>
    <row r="556" spans="1:28" x14ac:dyDescent="0.3">
      <c r="A556" s="32">
        <f>VLOOKUP(YEAR(C556),Flags!$A$13:$B$95,2,FALSE)</f>
        <v>1</v>
      </c>
      <c r="B556" s="24">
        <f t="shared" si="841"/>
        <v>1982</v>
      </c>
      <c r="C556" s="25">
        <v>30132</v>
      </c>
      <c r="D556" s="26">
        <f>VLOOKUP($C556,COS!$B$8:$H$991,3,FALSE)</f>
        <v>6372.11962890625</v>
      </c>
      <c r="E556" s="24">
        <f>IF(D556&gt;=IF(MONTH($C556)=4,$C$3,IF(MONTH($C556)=5,$C$4,IF(MONTH($C556)=6,$C$5,IF(MONTH($C556)=7,$C$6,"ERROR")))),1,0)</f>
        <v>0</v>
      </c>
      <c r="F556" s="26">
        <f>VLOOKUP($C556,COS!$B$8:$H$991,7,FALSE)</f>
        <v>52.376934051513672</v>
      </c>
      <c r="G556" s="24">
        <f>IF(F556&lt;=IF(MONTH($C556)=4,$F$3,IF(MONTH($C556)=5,$F$4,IF(MONTH($C556)=6,$F$5,IF(MONTH($C556)=7,$F$6,"ERROR")))),1,0)</f>
        <v>1</v>
      </c>
      <c r="H556" s="26">
        <f>IF(J556=1,D556-$C$5,0)</f>
        <v>0</v>
      </c>
      <c r="I556" s="26">
        <f t="shared" si="872"/>
        <v>0</v>
      </c>
      <c r="J556" s="24">
        <f t="shared" si="887"/>
        <v>0</v>
      </c>
      <c r="K556" s="26">
        <f>VLOOKUP($C556,COS!$B$8:$H$991,2,FALSE)</f>
        <v>4397.3564453125</v>
      </c>
      <c r="L556" s="24">
        <f t="shared" si="843"/>
        <v>1</v>
      </c>
      <c r="M556" s="24">
        <f t="shared" si="844"/>
        <v>0</v>
      </c>
      <c r="N556" s="26">
        <f>VLOOKUP($C556,COS!$B$8:$H$991,5,FALSE)</f>
        <v>1084.0577392578125</v>
      </c>
      <c r="O556" s="26">
        <f t="shared" si="890"/>
        <v>64.505915063274784</v>
      </c>
      <c r="P556" s="26">
        <f>VLOOKUP($C556,COS!$B$8:$H$991,6,FALSE)</f>
        <v>2094.6748046875</v>
      </c>
      <c r="Q556" s="26">
        <f t="shared" si="891"/>
        <v>124.64180655991736</v>
      </c>
      <c r="R556" s="26">
        <f>MIN(IF(MONTH($C556)=4,$S$3,IF(MONTH($C556)=5,$S$4,IF(MONTH($C556)=6,$S$5,IF(MONTH($C556)=7,$S$6,"ERROR")))),MAX(VLOOKUP($C556,COS!$B$8:$K$991,10,FALSE)-IF(MONTH($C556)=4,$Y$3,IF(MONTH($C556)=5,$Y$4,IF(MONTH($C556)=6,$Y$5,IF(MONTH($C556)=7,$Y$6,"ERROR")))),0),MAX(VLOOKUP($C556,COS!$B$8:$K$991,9,FALSE)-IF(MONTH($C556)=4,$V$3,IF(MONTH($C556)=5,$V$4,IF(MONTH($C556)=6,$V$5,IF(MONTH($C556)=7,$V$6,"ERROR"))))-VLOOKUP($C556,COS!$B$8:$K$991,6,FALSE)/2,0))</f>
        <v>1500</v>
      </c>
      <c r="S556" s="26">
        <f t="shared" si="892"/>
        <v>89.256198347107429</v>
      </c>
      <c r="T556" s="26">
        <f t="shared" si="893"/>
        <v>183.83005915870348</v>
      </c>
      <c r="U556" s="26" t="str">
        <f>IF(VLOOKUP($C556,COS!$B$8:$I$991,8,FALSE)=1,"UWFE","IBU")</f>
        <v>UWFE</v>
      </c>
      <c r="V556" s="26">
        <f t="shared" ref="V556" si="896">MIN(IF(IF($AA$3=2,AND(E556=1,G556=1,L556=1,L559=1,M556=1,U556="IBU"),AND(E556=1,G556=1,L556=1,L559=1,M556=1)),T556,0),I556)</f>
        <v>0</v>
      </c>
      <c r="W556" s="26"/>
      <c r="X556" s="26"/>
      <c r="Y556" s="26"/>
      <c r="Z556" s="26"/>
      <c r="AA556" s="26"/>
      <c r="AB556" s="33"/>
    </row>
    <row r="557" spans="1:28" x14ac:dyDescent="0.3">
      <c r="A557" s="32">
        <f>VLOOKUP(YEAR(C557),Flags!$A$13:$B$95,2,FALSE)</f>
        <v>1</v>
      </c>
      <c r="B557" s="24">
        <f t="shared" si="841"/>
        <v>1982</v>
      </c>
      <c r="C557" s="25">
        <v>30163</v>
      </c>
      <c r="D557" s="26">
        <f>VLOOKUP($C557,COS!$B$8:$H$991,3,FALSE)</f>
        <v>10502.37890625</v>
      </c>
      <c r="E557" s="24">
        <f>IF(D557&gt;=IF(MONTH($C557)=4,$C$3,IF(MONTH($C557)=5,$C$4,IF(MONTH($C557)=6,$C$5,IF(MONTH($C557)=7,$C$6,"ERROR")))),1,0)</f>
        <v>0</v>
      </c>
      <c r="F557" s="26">
        <f>VLOOKUP($C557,COS!$B$8:$H$991,7,FALSE)</f>
        <v>52.655227661132813</v>
      </c>
      <c r="G557" s="24">
        <f>IF(F557&lt;=IF(MONTH($C557)=4,$F$3,IF(MONTH($C557)=5,$F$4,IF(MONTH($C557)=6,$F$5,IF(MONTH($C557)=7,$F$6,"ERROR")))),1,0)</f>
        <v>1</v>
      </c>
      <c r="H557" s="26">
        <f>IF(J557=1,D557-$C$6,0)</f>
        <v>0</v>
      </c>
      <c r="I557" s="26">
        <f t="shared" si="872"/>
        <v>0</v>
      </c>
      <c r="J557" s="24">
        <f t="shared" si="887"/>
        <v>0</v>
      </c>
      <c r="K557" s="26">
        <f>VLOOKUP($C557,COS!$B$8:$H$991,2,FALSE)</f>
        <v>4071.590576171875</v>
      </c>
      <c r="L557" s="24">
        <f t="shared" si="843"/>
        <v>1</v>
      </c>
      <c r="M557" s="24">
        <f t="shared" si="844"/>
        <v>0</v>
      </c>
      <c r="N557" s="26">
        <f>VLOOKUP($C557,COS!$B$8:$H$991,5,FALSE)</f>
        <v>1375.2449951171875</v>
      </c>
      <c r="O557" s="26">
        <f t="shared" si="890"/>
        <v>84.560518708032035</v>
      </c>
      <c r="P557" s="26">
        <f>VLOOKUP($C557,COS!$B$8:$H$991,6,FALSE)</f>
        <v>2616.67822265625</v>
      </c>
      <c r="Q557" s="26">
        <f t="shared" si="891"/>
        <v>160.89327253357436</v>
      </c>
      <c r="R557" s="26">
        <f>MIN(IF(MONTH($C557)=4,$S$3,IF(MONTH($C557)=5,$S$4,IF(MONTH($C557)=6,$S$5,IF(MONTH($C557)=7,$S$6,"ERROR")))),MAX(VLOOKUP($C557,COS!$B$8:$K$991,10,FALSE)-IF(MONTH($C557)=4,$Y$3,IF(MONTH($C557)=5,$Y$4,IF(MONTH($C557)=6,$Y$5,IF(MONTH($C557)=7,$Y$6,"ERROR")))),0),MAX(VLOOKUP($C557,COS!$B$8:$K$991,9,FALSE)-IF(MONTH($C557)=4,$V$3,IF(MONTH($C557)=5,$V$4,IF(MONTH($C557)=6,$V$5,IF(MONTH($C557)=7,$V$6,"ERROR"))))-VLOOKUP($C557,COS!$B$8:$K$991,6,FALSE)/2,0))</f>
        <v>1500</v>
      </c>
      <c r="S557" s="26">
        <f t="shared" si="892"/>
        <v>92.231404958677686</v>
      </c>
      <c r="T557" s="26">
        <f t="shared" si="893"/>
        <v>214.95830057948086</v>
      </c>
      <c r="U557" s="26" t="str">
        <f>IF(VLOOKUP($C557,COS!$B$8:$I$991,8,FALSE)=1,"UWFE","IBU")</f>
        <v>IBU</v>
      </c>
      <c r="V557" s="26">
        <f t="shared" ref="V557" si="897">MIN(IF(IF($AA$3=2,AND(E557=1,G557=1,L557=1,L559=1,M557=1,U557="IBU"),AND(E557=1,G557=1,L557=1,L559=1,M557=1)),T557,0),I557)</f>
        <v>0</v>
      </c>
      <c r="W557" s="26"/>
      <c r="X557" s="26"/>
      <c r="Y557" s="26"/>
      <c r="Z557" s="26"/>
      <c r="AA557" s="26"/>
      <c r="AB557" s="33"/>
    </row>
    <row r="558" spans="1:28" x14ac:dyDescent="0.3">
      <c r="A558" s="32">
        <f>VLOOKUP(YEAR(C558),Flags!$A$13:$B$95,2,FALSE)</f>
        <v>1</v>
      </c>
      <c r="B558" s="24">
        <f t="shared" si="841"/>
        <v>1982</v>
      </c>
      <c r="C558" s="25">
        <v>30194</v>
      </c>
      <c r="D558" s="26"/>
      <c r="E558" s="24"/>
      <c r="F558" s="26"/>
      <c r="G558" s="24"/>
      <c r="H558" s="24"/>
      <c r="I558" s="26"/>
      <c r="J558" s="24"/>
      <c r="K558" s="26"/>
      <c r="L558" s="24"/>
      <c r="M558" s="24"/>
      <c r="N558" s="26"/>
      <c r="O558" s="26"/>
      <c r="P558" s="26"/>
      <c r="Q558" s="26"/>
      <c r="R558" s="26"/>
      <c r="S558" s="26"/>
      <c r="T558" s="26"/>
      <c r="U558" s="26"/>
      <c r="V558" s="26"/>
      <c r="W558" s="26">
        <f>MAX($C$7-VLOOKUP($C558,COS!$B$8:$H$991,3,FALSE),0)</f>
        <v>90771.0556640625</v>
      </c>
      <c r="X558" s="26">
        <f t="shared" si="870"/>
        <v>5581.2946623192147</v>
      </c>
      <c r="Y558" s="26">
        <f>VLOOKUP($C558,COS!$B$8:$H$991,4,FALSE)</f>
        <v>0</v>
      </c>
      <c r="Z558" s="26">
        <f t="shared" si="871"/>
        <v>0</v>
      </c>
      <c r="AA558" s="26">
        <f t="shared" ref="AA558:AA562" si="898">MIN(W558,Y558)</f>
        <v>0</v>
      </c>
      <c r="AB558" s="33">
        <f t="shared" ref="AB558" si="899">AA558*DAY($C558)*86400/43560/1000*IF(MONTH($C558)=8,$P$3,IF(MONTH($C558)=9,$P$4,IF(MONTH($C558)=10,$P$5,IF(MONTH($C558)=11,$P$6,IF(MONTH($C558)=12,$P$7,NA())))))</f>
        <v>0</v>
      </c>
    </row>
    <row r="559" spans="1:28" x14ac:dyDescent="0.3">
      <c r="A559" s="32">
        <f>VLOOKUP(YEAR(C559),Flags!$A$13:$B$95,2,FALSE)</f>
        <v>1</v>
      </c>
      <c r="B559" s="24">
        <f t="shared" si="841"/>
        <v>1982</v>
      </c>
      <c r="C559" s="25">
        <v>30224</v>
      </c>
      <c r="D559" s="26"/>
      <c r="E559" s="24"/>
      <c r="F559" s="26"/>
      <c r="G559" s="24"/>
      <c r="H559" s="24"/>
      <c r="I559" s="26"/>
      <c r="J559" s="24"/>
      <c r="K559" s="26">
        <f>VLOOKUP($C559,COS!$B$8:$H$991,2,FALSE)</f>
        <v>3400</v>
      </c>
      <c r="L559" s="24">
        <f t="shared" ref="L559" si="900">IF(AND(K559&gt;$I$7,K559&lt;$I$8),1,0)</f>
        <v>1</v>
      </c>
      <c r="M559" s="24"/>
      <c r="N559" s="26"/>
      <c r="O559" s="26"/>
      <c r="P559" s="26"/>
      <c r="Q559" s="26"/>
      <c r="R559" s="26"/>
      <c r="S559" s="26"/>
      <c r="T559" s="26"/>
      <c r="U559" s="26"/>
      <c r="V559" s="26"/>
      <c r="W559" s="26">
        <f>MAX($C$8-VLOOKUP($C559,COS!$B$8:$H$991,3,FALSE),0)</f>
        <v>90620.83984375</v>
      </c>
      <c r="X559" s="26">
        <f t="shared" si="870"/>
        <v>5392.3144369834708</v>
      </c>
      <c r="Y559" s="26">
        <f>VLOOKUP($C559,COS!$B$8:$H$991,4,FALSE)</f>
        <v>0</v>
      </c>
      <c r="Z559" s="26">
        <f t="shared" si="871"/>
        <v>0</v>
      </c>
      <c r="AA559" s="26">
        <f t="shared" si="898"/>
        <v>0</v>
      </c>
      <c r="AB559" s="33">
        <f t="shared" si="854"/>
        <v>0</v>
      </c>
    </row>
    <row r="560" spans="1:28" x14ac:dyDescent="0.3">
      <c r="A560" s="32">
        <f>VLOOKUP(YEAR(C560),Flags!$A$13:$B$95,2,FALSE)</f>
        <v>1</v>
      </c>
      <c r="B560" s="24">
        <f t="shared" si="841"/>
        <v>1982</v>
      </c>
      <c r="C560" s="25">
        <v>30255</v>
      </c>
      <c r="D560" s="26"/>
      <c r="E560" s="24"/>
      <c r="F560" s="26"/>
      <c r="G560" s="26"/>
      <c r="H560" s="26"/>
      <c r="I560" s="26"/>
      <c r="J560" s="26"/>
      <c r="K560" s="26"/>
      <c r="L560" s="24"/>
      <c r="M560" s="24"/>
      <c r="N560" s="26"/>
      <c r="O560" s="26"/>
      <c r="P560" s="26"/>
      <c r="Q560" s="26"/>
      <c r="R560" s="26"/>
      <c r="S560" s="26"/>
      <c r="T560" s="26"/>
      <c r="U560" s="26"/>
      <c r="V560" s="26"/>
      <c r="W560" s="26">
        <f>MAX($C$9-VLOOKUP($C560,COS!$B$8:$H$991,3,FALSE),0)</f>
        <v>92108.1201171875</v>
      </c>
      <c r="X560" s="26">
        <f t="shared" si="870"/>
        <v>5663.507551007232</v>
      </c>
      <c r="Y560" s="26">
        <f>VLOOKUP($C560,COS!$B$8:$H$991,4,FALSE)</f>
        <v>0</v>
      </c>
      <c r="Z560" s="26">
        <f t="shared" si="871"/>
        <v>0</v>
      </c>
      <c r="AA560" s="26">
        <f t="shared" si="898"/>
        <v>0</v>
      </c>
      <c r="AB560" s="33">
        <f t="shared" si="854"/>
        <v>0</v>
      </c>
    </row>
    <row r="561" spans="1:28" x14ac:dyDescent="0.3">
      <c r="A561" s="32">
        <f>VLOOKUP(YEAR(C561),Flags!$A$13:$B$95,2,FALSE)</f>
        <v>1</v>
      </c>
      <c r="B561" s="24">
        <f t="shared" si="841"/>
        <v>1982</v>
      </c>
      <c r="C561" s="25">
        <v>30285</v>
      </c>
      <c r="D561" s="26"/>
      <c r="E561" s="24"/>
      <c r="F561" s="26"/>
      <c r="G561" s="26"/>
      <c r="H561" s="26"/>
      <c r="I561" s="26"/>
      <c r="J561" s="26"/>
      <c r="K561" s="26"/>
      <c r="L561" s="24"/>
      <c r="M561" s="24"/>
      <c r="N561" s="26"/>
      <c r="O561" s="26"/>
      <c r="P561" s="26"/>
      <c r="Q561" s="26"/>
      <c r="R561" s="26"/>
      <c r="S561" s="26"/>
      <c r="T561" s="26"/>
      <c r="U561" s="26"/>
      <c r="V561" s="26"/>
      <c r="W561" s="26">
        <f>MAX($C$10-VLOOKUP($C561,COS!$B$8:$H$991,3,FALSE),0)</f>
        <v>93024.1962890625</v>
      </c>
      <c r="X561" s="26">
        <f t="shared" si="870"/>
        <v>5535.3240767045463</v>
      </c>
      <c r="Y561" s="26">
        <f>VLOOKUP($C561,COS!$B$8:$H$991,4,FALSE)</f>
        <v>0</v>
      </c>
      <c r="Z561" s="26">
        <f t="shared" si="871"/>
        <v>0</v>
      </c>
      <c r="AA561" s="26">
        <f t="shared" si="898"/>
        <v>0</v>
      </c>
      <c r="AB561" s="33">
        <f t="shared" si="854"/>
        <v>0</v>
      </c>
    </row>
    <row r="562" spans="1:28" x14ac:dyDescent="0.3">
      <c r="A562" s="34">
        <f>VLOOKUP(YEAR(C562),Flags!$A$13:$B$95,2,FALSE)</f>
        <v>1</v>
      </c>
      <c r="B562" s="35">
        <f t="shared" si="841"/>
        <v>1982</v>
      </c>
      <c r="C562" s="36">
        <v>30316</v>
      </c>
      <c r="D562" s="37"/>
      <c r="E562" s="35"/>
      <c r="F562" s="37"/>
      <c r="G562" s="37"/>
      <c r="H562" s="37"/>
      <c r="I562" s="37"/>
      <c r="J562" s="37"/>
      <c r="K562" s="37"/>
      <c r="L562" s="35"/>
      <c r="M562" s="35"/>
      <c r="N562" s="37"/>
      <c r="O562" s="37"/>
      <c r="P562" s="37"/>
      <c r="Q562" s="37"/>
      <c r="R562" s="37"/>
      <c r="S562" s="37"/>
      <c r="T562" s="37"/>
      <c r="U562" s="37"/>
      <c r="V562" s="37"/>
      <c r="W562" s="37">
        <f>MAX($C$11-VLOOKUP($C562,COS!$B$8:$H$991,3,FALSE),0)</f>
        <v>0</v>
      </c>
      <c r="X562" s="37">
        <f t="shared" si="870"/>
        <v>0</v>
      </c>
      <c r="Y562" s="37">
        <f>VLOOKUP($C562,COS!$B$8:$H$991,4,FALSE)</f>
        <v>0</v>
      </c>
      <c r="Z562" s="37">
        <f t="shared" si="871"/>
        <v>0</v>
      </c>
      <c r="AA562" s="37">
        <f t="shared" si="898"/>
        <v>0</v>
      </c>
      <c r="AB562" s="38">
        <f t="shared" si="854"/>
        <v>0</v>
      </c>
    </row>
    <row r="563" spans="1:28" x14ac:dyDescent="0.3">
      <c r="A563" s="27">
        <f>VLOOKUP(YEAR(C563),Flags!$A$13:$B$95,2,FALSE)</f>
        <v>1</v>
      </c>
      <c r="B563" s="28">
        <f t="shared" si="841"/>
        <v>1983</v>
      </c>
      <c r="C563" s="29">
        <v>30436</v>
      </c>
      <c r="D563" s="30">
        <f>VLOOKUP($C563,COS!$B$8:$H$991,3,FALSE)</f>
        <v>21283.287109375</v>
      </c>
      <c r="E563" s="28">
        <f>IF(D563&gt;=IF(MONTH($C563)=4,$C$3,IF(MONTH($C563)=5,$C$4,IF(MONTH($C563)=6,$C$5,IF(MONTH($C563)=7,$C$6,"ERROR")))),1,0)</f>
        <v>1</v>
      </c>
      <c r="F563" s="30">
        <f>VLOOKUP($C563,COS!$B$8:$H$991,7,FALSE)</f>
        <v>47.246109008789063</v>
      </c>
      <c r="G563" s="28">
        <f>IF(F563&lt;=IF(MONTH($C563)=4,$F$3,IF(MONTH($C563)=5,$F$4,IF(MONTH($C563)=6,$F$5,IF(MONTH($C563)=7,$F$6,"ERROR")))),1,0)</f>
        <v>1</v>
      </c>
      <c r="H563" s="30">
        <f>IF(J563=1,D563-$C$3,0)</f>
        <v>15283.287109375</v>
      </c>
      <c r="I563" s="30">
        <f t="shared" si="872"/>
        <v>909.4187370867769</v>
      </c>
      <c r="J563" s="28">
        <f t="shared" ref="J563:J566" si="901">IF(AND(E563=1,G563=1),1,0)</f>
        <v>1</v>
      </c>
      <c r="K563" s="30">
        <f>VLOOKUP($C563,COS!$B$8:$H$991,2,FALSE)</f>
        <v>4074</v>
      </c>
      <c r="L563" s="28">
        <f t="shared" ref="L563" si="902">IF(K563&lt;=IF(MONTH($C563)=4,$I$3,IF(MONTH($C563)=5,$I$4,IF(MONTH($C563)=6,$I$5,IF(MONTH($C563)=7,$I$6,"ERROR")))),1,0)</f>
        <v>1</v>
      </c>
      <c r="M563" s="28">
        <f t="shared" ref="M563" si="903">VLOOKUP($A563,$L$3:$M$7,2,FALSE)</f>
        <v>0</v>
      </c>
      <c r="N563" s="30">
        <f>VLOOKUP($C563,COS!$B$8:$H$991,5,FALSE)</f>
        <v>21.902835845947266</v>
      </c>
      <c r="O563" s="30">
        <f t="shared" ref="O563:O566" si="904">N563*DAY($C563)*86400/43560/1000</f>
        <v>1.3033092404200026</v>
      </c>
      <c r="P563" s="30">
        <f>VLOOKUP($C563,COS!$B$8:$H$991,6,FALSE)</f>
        <v>283.12924194335938</v>
      </c>
      <c r="Q563" s="30">
        <f t="shared" ref="Q563:Q566" si="905">P563*DAY($C563)*86400/43560/1000</f>
        <v>16.847359851175103</v>
      </c>
      <c r="R563" s="30">
        <f>MIN(IF(MONTH($C563)=4,$S$3,IF(MONTH($C563)=5,$S$4,IF(MONTH($C563)=6,$S$5,IF(MONTH($C563)=7,$S$6,"ERROR")))),MAX(VLOOKUP($C563,COS!$B$8:$K$991,10,FALSE)-IF(MONTH($C563)=4,$Y$3,IF(MONTH($C563)=5,$Y$4,IF(MONTH($C563)=6,$Y$5,IF(MONTH($C563)=7,$Y$6,"ERROR")))),0),MAX(VLOOKUP($C563,COS!$B$8:$K$991,9,FALSE)-IF(MONTH($C563)=4,$V$3,IF(MONTH($C563)=5,$V$4,IF(MONTH($C563)=6,$V$5,IF(MONTH($C563)=7,$V$6,"ERROR"))))-VLOOKUP($C563,COS!$B$8:$K$991,6,FALSE)/2,0))</f>
        <v>1500</v>
      </c>
      <c r="S563" s="30">
        <f t="shared" ref="S563:S566" si="906">R563*DAY($C563)*86400/43560/1000</f>
        <v>89.256198347107429</v>
      </c>
      <c r="T563" s="30">
        <f t="shared" ref="T563:T566" si="907">(O563+Q563)/2+S563</f>
        <v>98.331532892904988</v>
      </c>
      <c r="U563" s="30" t="str">
        <f>IF(VLOOKUP($C563,COS!$B$8:$I$991,8,FALSE)=1,"UWFE","IBU")</f>
        <v>UWFE</v>
      </c>
      <c r="V563" s="30">
        <f t="shared" ref="V563" si="908">MIN(IF(IF($AA$3=2,AND(E563=1,G563=1,L563=1,L568=1,M563=1,U563="IBU"),AND(E563=1,G563=1,L563=1,L568=1,M563=1)),T563,0),I563)</f>
        <v>0</v>
      </c>
      <c r="W563" s="30"/>
      <c r="X563" s="30"/>
      <c r="Y563" s="30"/>
      <c r="Z563" s="30"/>
      <c r="AA563" s="30"/>
      <c r="AB563" s="31"/>
    </row>
    <row r="564" spans="1:28" x14ac:dyDescent="0.3">
      <c r="A564" s="32">
        <f>VLOOKUP(YEAR(C564),Flags!$A$13:$B$95,2,FALSE)</f>
        <v>1</v>
      </c>
      <c r="B564" s="24">
        <f t="shared" si="841"/>
        <v>1983</v>
      </c>
      <c r="C564" s="25">
        <v>30467</v>
      </c>
      <c r="D564" s="26">
        <f>VLOOKUP($C564,COS!$B$8:$H$991,3,FALSE)</f>
        <v>9426.208984375</v>
      </c>
      <c r="E564" s="24">
        <f>IF(D564&gt;=IF(MONTH($C564)=4,$C$3,IF(MONTH($C564)=5,$C$4,IF(MONTH($C564)=6,$C$5,IF(MONTH($C564)=7,$C$6,"ERROR")))),1,0)</f>
        <v>1</v>
      </c>
      <c r="F564" s="26">
        <f>VLOOKUP($C564,COS!$B$8:$H$991,7,FALSE)</f>
        <v>51.257026672363281</v>
      </c>
      <c r="G564" s="24">
        <f>IF(F564&lt;=IF(MONTH($C564)=4,$F$3,IF(MONTH($C564)=5,$F$4,IF(MONTH($C564)=6,$F$5,IF(MONTH($C564)=7,$F$6,"ERROR")))),1,0)</f>
        <v>1</v>
      </c>
      <c r="H564" s="26">
        <f>IF(J564=1,D564-$C$4,0)</f>
        <v>3426.208984375</v>
      </c>
      <c r="I564" s="26">
        <f t="shared" si="872"/>
        <v>210.66937887396696</v>
      </c>
      <c r="J564" s="24">
        <f t="shared" si="901"/>
        <v>1</v>
      </c>
      <c r="K564" s="26">
        <f>VLOOKUP($C564,COS!$B$8:$H$991,2,FALSE)</f>
        <v>4552</v>
      </c>
      <c r="L564" s="24">
        <f t="shared" si="843"/>
        <v>1</v>
      </c>
      <c r="M564" s="24">
        <f t="shared" si="844"/>
        <v>0</v>
      </c>
      <c r="N564" s="26">
        <f>VLOOKUP($C564,COS!$B$8:$H$991,5,FALSE)</f>
        <v>574.8585205078125</v>
      </c>
      <c r="O564" s="26">
        <f t="shared" si="904"/>
        <v>35.346672665934918</v>
      </c>
      <c r="P564" s="26">
        <f>VLOOKUP($C564,COS!$B$8:$H$991,6,FALSE)</f>
        <v>2133.038330078125</v>
      </c>
      <c r="Q564" s="26">
        <f t="shared" si="905"/>
        <v>131.15541467587809</v>
      </c>
      <c r="R564" s="26">
        <f>MIN(IF(MONTH($C564)=4,$S$3,IF(MONTH($C564)=5,$S$4,IF(MONTH($C564)=6,$S$5,IF(MONTH($C564)=7,$S$6,"ERROR")))),MAX(VLOOKUP($C564,COS!$B$8:$K$991,10,FALSE)-IF(MONTH($C564)=4,$Y$3,IF(MONTH($C564)=5,$Y$4,IF(MONTH($C564)=6,$Y$5,IF(MONTH($C564)=7,$Y$6,"ERROR")))),0),MAX(VLOOKUP($C564,COS!$B$8:$K$991,9,FALSE)-IF(MONTH($C564)=4,$V$3,IF(MONTH($C564)=5,$V$4,IF(MONTH($C564)=6,$V$5,IF(MONTH($C564)=7,$V$6,"ERROR"))))-VLOOKUP($C564,COS!$B$8:$K$991,6,FALSE)/2,0))</f>
        <v>1500</v>
      </c>
      <c r="S564" s="26">
        <f t="shared" si="906"/>
        <v>92.231404958677686</v>
      </c>
      <c r="T564" s="26">
        <f t="shared" si="907"/>
        <v>175.48244862958421</v>
      </c>
      <c r="U564" s="26" t="str">
        <f>IF(VLOOKUP($C564,COS!$B$8:$I$991,8,FALSE)=1,"UWFE","IBU")</f>
        <v>UWFE</v>
      </c>
      <c r="V564" s="26">
        <f t="shared" ref="V564" si="909">MIN(IF(IF($AA$3=2,AND(E564=1,G564=1,L564=1,L568=1,M564=1,U564="IBU"),AND(E564=1,G564=1,L564=1,L568=1,M564=1)),T564,0),I564)</f>
        <v>0</v>
      </c>
      <c r="W564" s="26"/>
      <c r="X564" s="26"/>
      <c r="Y564" s="26"/>
      <c r="Z564" s="26"/>
      <c r="AA564" s="26"/>
      <c r="AB564" s="33"/>
    </row>
    <row r="565" spans="1:28" x14ac:dyDescent="0.3">
      <c r="A565" s="32">
        <f>VLOOKUP(YEAR(C565),Flags!$A$13:$B$95,2,FALSE)</f>
        <v>1</v>
      </c>
      <c r="B565" s="24">
        <f t="shared" si="841"/>
        <v>1983</v>
      </c>
      <c r="C565" s="25">
        <v>30497</v>
      </c>
      <c r="D565" s="26">
        <f>VLOOKUP($C565,COS!$B$8:$H$991,3,FALSE)</f>
        <v>12851.6533203125</v>
      </c>
      <c r="E565" s="24">
        <f>IF(D565&gt;=IF(MONTH($C565)=4,$C$3,IF(MONTH($C565)=5,$C$4,IF(MONTH($C565)=6,$C$5,IF(MONTH($C565)=7,$C$6,"ERROR")))),1,0)</f>
        <v>1</v>
      </c>
      <c r="F565" s="26">
        <f>VLOOKUP($C565,COS!$B$8:$H$991,7,FALSE)</f>
        <v>52.077590942382813</v>
      </c>
      <c r="G565" s="24">
        <f>IF(F565&lt;=IF(MONTH($C565)=4,$F$3,IF(MONTH($C565)=5,$F$4,IF(MONTH($C565)=6,$F$5,IF(MONTH($C565)=7,$F$6,"ERROR")))),1,0)</f>
        <v>1</v>
      </c>
      <c r="H565" s="26">
        <f>IF(J565=1,D565-$C$5,0)</f>
        <v>2851.6533203125</v>
      </c>
      <c r="I565" s="26">
        <f t="shared" si="872"/>
        <v>169.68515625000001</v>
      </c>
      <c r="J565" s="24">
        <f t="shared" si="901"/>
        <v>1</v>
      </c>
      <c r="K565" s="26">
        <f>VLOOKUP($C565,COS!$B$8:$H$991,2,FALSE)</f>
        <v>4500</v>
      </c>
      <c r="L565" s="24">
        <f t="shared" si="843"/>
        <v>1</v>
      </c>
      <c r="M565" s="24">
        <f t="shared" si="844"/>
        <v>0</v>
      </c>
      <c r="N565" s="26">
        <f>VLOOKUP($C565,COS!$B$8:$H$991,5,FALSE)</f>
        <v>1170.465087890625</v>
      </c>
      <c r="O565" s="26">
        <f t="shared" si="904"/>
        <v>69.647509362086765</v>
      </c>
      <c r="P565" s="26">
        <f>VLOOKUP($C565,COS!$B$8:$H$991,6,FALSE)</f>
        <v>2257.964111328125</v>
      </c>
      <c r="Q565" s="26">
        <f t="shared" si="905"/>
        <v>134.35819505423555</v>
      </c>
      <c r="R565" s="26">
        <f>MIN(IF(MONTH($C565)=4,$S$3,IF(MONTH($C565)=5,$S$4,IF(MONTH($C565)=6,$S$5,IF(MONTH($C565)=7,$S$6,"ERROR")))),MAX(VLOOKUP($C565,COS!$B$8:$K$991,10,FALSE)-IF(MONTH($C565)=4,$Y$3,IF(MONTH($C565)=5,$Y$4,IF(MONTH($C565)=6,$Y$5,IF(MONTH($C565)=7,$Y$6,"ERROR")))),0),MAX(VLOOKUP($C565,COS!$B$8:$K$991,9,FALSE)-IF(MONTH($C565)=4,$V$3,IF(MONTH($C565)=5,$V$4,IF(MONTH($C565)=6,$V$5,IF(MONTH($C565)=7,$V$6,"ERROR"))))-VLOOKUP($C565,COS!$B$8:$K$991,6,FALSE)/2,0))</f>
        <v>1500</v>
      </c>
      <c r="S565" s="26">
        <f t="shared" si="906"/>
        <v>89.256198347107429</v>
      </c>
      <c r="T565" s="26">
        <f t="shared" si="907"/>
        <v>191.25905055526857</v>
      </c>
      <c r="U565" s="26" t="str">
        <f>IF(VLOOKUP($C565,COS!$B$8:$I$991,8,FALSE)=1,"UWFE","IBU")</f>
        <v>UWFE</v>
      </c>
      <c r="V565" s="26">
        <f t="shared" ref="V565" si="910">MIN(IF(IF($AA$3=2,AND(E565=1,G565=1,L565=1,L568=1,M565=1,U565="IBU"),AND(E565=1,G565=1,L565=1,L568=1,M565=1)),T565,0),I565)</f>
        <v>0</v>
      </c>
      <c r="W565" s="26"/>
      <c r="X565" s="26"/>
      <c r="Y565" s="26"/>
      <c r="Z565" s="26"/>
      <c r="AA565" s="26"/>
      <c r="AB565" s="33"/>
    </row>
    <row r="566" spans="1:28" x14ac:dyDescent="0.3">
      <c r="A566" s="32">
        <f>VLOOKUP(YEAR(C566),Flags!$A$13:$B$95,2,FALSE)</f>
        <v>1</v>
      </c>
      <c r="B566" s="24">
        <f t="shared" si="841"/>
        <v>1983</v>
      </c>
      <c r="C566" s="25">
        <v>30528</v>
      </c>
      <c r="D566" s="26">
        <f>VLOOKUP($C566,COS!$B$8:$H$991,3,FALSE)</f>
        <v>13464.8525390625</v>
      </c>
      <c r="E566" s="24">
        <f>IF(D566&gt;=IF(MONTH($C566)=4,$C$3,IF(MONTH($C566)=5,$C$4,IF(MONTH($C566)=6,$C$5,IF(MONTH($C566)=7,$C$6,"ERROR")))),1,0)</f>
        <v>1</v>
      </c>
      <c r="F566" s="26">
        <f>VLOOKUP($C566,COS!$B$8:$H$991,7,FALSE)</f>
        <v>52.801334381103516</v>
      </c>
      <c r="G566" s="24">
        <f>IF(F566&lt;=IF(MONTH($C566)=4,$F$3,IF(MONTH($C566)=5,$F$4,IF(MONTH($C566)=6,$F$5,IF(MONTH($C566)=7,$F$6,"ERROR")))),1,0)</f>
        <v>1</v>
      </c>
      <c r="H566" s="26">
        <f>IF(J566=1,D566-$C$6,0)</f>
        <v>1464.8525390625</v>
      </c>
      <c r="I566" s="26">
        <f t="shared" si="872"/>
        <v>90.070271823347113</v>
      </c>
      <c r="J566" s="24">
        <f t="shared" si="901"/>
        <v>1</v>
      </c>
      <c r="K566" s="26">
        <f>VLOOKUP($C566,COS!$B$8:$H$991,2,FALSE)</f>
        <v>4150</v>
      </c>
      <c r="L566" s="24">
        <f t="shared" si="843"/>
        <v>1</v>
      </c>
      <c r="M566" s="24">
        <f t="shared" si="844"/>
        <v>0</v>
      </c>
      <c r="N566" s="26">
        <f>VLOOKUP($C566,COS!$B$8:$H$991,5,FALSE)</f>
        <v>1382.7108154296875</v>
      </c>
      <c r="O566" s="26">
        <f t="shared" si="904"/>
        <v>85.01957410575929</v>
      </c>
      <c r="P566" s="26">
        <f>VLOOKUP($C566,COS!$B$8:$H$991,6,FALSE)</f>
        <v>2616.67822265625</v>
      </c>
      <c r="Q566" s="26">
        <f t="shared" si="905"/>
        <v>160.89327253357436</v>
      </c>
      <c r="R566" s="26">
        <f>MIN(IF(MONTH($C566)=4,$S$3,IF(MONTH($C566)=5,$S$4,IF(MONTH($C566)=6,$S$5,IF(MONTH($C566)=7,$S$6,"ERROR")))),MAX(VLOOKUP($C566,COS!$B$8:$K$991,10,FALSE)-IF(MONTH($C566)=4,$Y$3,IF(MONTH($C566)=5,$Y$4,IF(MONTH($C566)=6,$Y$5,IF(MONTH($C566)=7,$Y$6,"ERROR")))),0),MAX(VLOOKUP($C566,COS!$B$8:$K$991,9,FALSE)-IF(MONTH($C566)=4,$V$3,IF(MONTH($C566)=5,$V$4,IF(MONTH($C566)=6,$V$5,IF(MONTH($C566)=7,$V$6,"ERROR"))))-VLOOKUP($C566,COS!$B$8:$K$991,6,FALSE)/2,0))</f>
        <v>1500</v>
      </c>
      <c r="S566" s="26">
        <f t="shared" si="906"/>
        <v>92.231404958677686</v>
      </c>
      <c r="T566" s="26">
        <f t="shared" si="907"/>
        <v>215.18782827834451</v>
      </c>
      <c r="U566" s="26" t="str">
        <f>IF(VLOOKUP($C566,COS!$B$8:$I$991,8,FALSE)=1,"UWFE","IBU")</f>
        <v>UWFE</v>
      </c>
      <c r="V566" s="26">
        <f t="shared" ref="V566" si="911">MIN(IF(IF($AA$3=2,AND(E566=1,G566=1,L566=1,L568=1,M566=1,U566="IBU"),AND(E566=1,G566=1,L566=1,L568=1,M566=1)),T566,0),I566)</f>
        <v>0</v>
      </c>
      <c r="W566" s="26"/>
      <c r="X566" s="26"/>
      <c r="Y566" s="26"/>
      <c r="Z566" s="26"/>
      <c r="AA566" s="26"/>
      <c r="AB566" s="33"/>
    </row>
    <row r="567" spans="1:28" x14ac:dyDescent="0.3">
      <c r="A567" s="32">
        <f>VLOOKUP(YEAR(C567),Flags!$A$13:$B$95,2,FALSE)</f>
        <v>1</v>
      </c>
      <c r="B567" s="24">
        <f t="shared" si="841"/>
        <v>1983</v>
      </c>
      <c r="C567" s="25">
        <v>30559</v>
      </c>
      <c r="D567" s="26"/>
      <c r="E567" s="24"/>
      <c r="F567" s="26"/>
      <c r="G567" s="24"/>
      <c r="H567" s="24"/>
      <c r="I567" s="26"/>
      <c r="J567" s="24"/>
      <c r="K567" s="26"/>
      <c r="L567" s="24"/>
      <c r="M567" s="24"/>
      <c r="N567" s="26"/>
      <c r="O567" s="26"/>
      <c r="P567" s="26"/>
      <c r="Q567" s="26"/>
      <c r="R567" s="26"/>
      <c r="S567" s="26"/>
      <c r="T567" s="26"/>
      <c r="U567" s="26"/>
      <c r="V567" s="26"/>
      <c r="W567" s="26">
        <f>MAX($C$7-VLOOKUP($C567,COS!$B$8:$H$991,3,FALSE),0)</f>
        <v>86628.7666015625</v>
      </c>
      <c r="X567" s="26">
        <f t="shared" si="870"/>
        <v>5326.5952356663229</v>
      </c>
      <c r="Y567" s="26">
        <f>VLOOKUP($C567,COS!$B$8:$H$991,4,FALSE)</f>
        <v>0</v>
      </c>
      <c r="Z567" s="26">
        <f t="shared" si="871"/>
        <v>0</v>
      </c>
      <c r="AA567" s="26">
        <f t="shared" ref="AA567:AA571" si="912">MIN(W567,Y567)</f>
        <v>0</v>
      </c>
      <c r="AB567" s="33">
        <f t="shared" ref="AB567" si="913">AA567*DAY($C567)*86400/43560/1000*IF(MONTH($C567)=8,$P$3,IF(MONTH($C567)=9,$P$4,IF(MONTH($C567)=10,$P$5,IF(MONTH($C567)=11,$P$6,IF(MONTH($C567)=12,$P$7,NA())))))</f>
        <v>0</v>
      </c>
    </row>
    <row r="568" spans="1:28" x14ac:dyDescent="0.3">
      <c r="A568" s="32">
        <f>VLOOKUP(YEAR(C568),Flags!$A$13:$B$95,2,FALSE)</f>
        <v>1</v>
      </c>
      <c r="B568" s="24">
        <f t="shared" si="841"/>
        <v>1983</v>
      </c>
      <c r="C568" s="25">
        <v>30589</v>
      </c>
      <c r="D568" s="26"/>
      <c r="E568" s="24"/>
      <c r="F568" s="26"/>
      <c r="G568" s="24"/>
      <c r="H568" s="24"/>
      <c r="I568" s="26"/>
      <c r="J568" s="24"/>
      <c r="K568" s="26">
        <f>VLOOKUP($C568,COS!$B$8:$H$991,2,FALSE)</f>
        <v>3400</v>
      </c>
      <c r="L568" s="24">
        <f t="shared" ref="L568" si="914">IF(AND(K568&gt;$I$7,K568&lt;$I$8),1,0)</f>
        <v>1</v>
      </c>
      <c r="M568" s="24"/>
      <c r="N568" s="26"/>
      <c r="O568" s="26"/>
      <c r="P568" s="26"/>
      <c r="Q568" s="26"/>
      <c r="R568" s="26"/>
      <c r="S568" s="26"/>
      <c r="T568" s="26"/>
      <c r="U568" s="26"/>
      <c r="V568" s="26"/>
      <c r="W568" s="26">
        <f>MAX($C$8-VLOOKUP($C568,COS!$B$8:$H$991,3,FALSE),0)</f>
        <v>87804.103515625</v>
      </c>
      <c r="X568" s="26">
        <f t="shared" si="870"/>
        <v>5224.7069860537194</v>
      </c>
      <c r="Y568" s="26">
        <f>VLOOKUP($C568,COS!$B$8:$H$991,4,FALSE)</f>
        <v>0</v>
      </c>
      <c r="Z568" s="26">
        <f t="shared" si="871"/>
        <v>0</v>
      </c>
      <c r="AA568" s="26">
        <f t="shared" si="912"/>
        <v>0</v>
      </c>
      <c r="AB568" s="33">
        <f t="shared" si="854"/>
        <v>0</v>
      </c>
    </row>
    <row r="569" spans="1:28" x14ac:dyDescent="0.3">
      <c r="A569" s="32">
        <f>VLOOKUP(YEAR(C569),Flags!$A$13:$B$95,2,FALSE)</f>
        <v>1</v>
      </c>
      <c r="B569" s="24">
        <f t="shared" si="841"/>
        <v>1983</v>
      </c>
      <c r="C569" s="25">
        <v>30620</v>
      </c>
      <c r="D569" s="26"/>
      <c r="E569" s="24"/>
      <c r="F569" s="26"/>
      <c r="G569" s="26"/>
      <c r="H569" s="26"/>
      <c r="I569" s="26"/>
      <c r="J569" s="26"/>
      <c r="K569" s="26"/>
      <c r="L569" s="24"/>
      <c r="M569" s="24"/>
      <c r="N569" s="26"/>
      <c r="O569" s="26"/>
      <c r="P569" s="26"/>
      <c r="Q569" s="26"/>
      <c r="R569" s="26"/>
      <c r="S569" s="26"/>
      <c r="T569" s="26"/>
      <c r="U569" s="26"/>
      <c r="V569" s="26"/>
      <c r="W569" s="26">
        <f>MAX($C$9-VLOOKUP($C569,COS!$B$8:$H$991,3,FALSE),0)</f>
        <v>90957.4501953125</v>
      </c>
      <c r="X569" s="26">
        <f t="shared" si="870"/>
        <v>5592.7556153150827</v>
      </c>
      <c r="Y569" s="26">
        <f>VLOOKUP($C569,COS!$B$8:$H$991,4,FALSE)</f>
        <v>322.68313598632813</v>
      </c>
      <c r="Z569" s="26">
        <f t="shared" si="871"/>
        <v>19.84101265899406</v>
      </c>
      <c r="AA569" s="26">
        <f t="shared" si="912"/>
        <v>322.68313598632813</v>
      </c>
      <c r="AB569" s="33">
        <f t="shared" si="854"/>
        <v>19.84101265899406</v>
      </c>
    </row>
    <row r="570" spans="1:28" x14ac:dyDescent="0.3">
      <c r="A570" s="32">
        <f>VLOOKUP(YEAR(C570),Flags!$A$13:$B$95,2,FALSE)</f>
        <v>1</v>
      </c>
      <c r="B570" s="24">
        <f t="shared" si="841"/>
        <v>1983</v>
      </c>
      <c r="C570" s="25">
        <v>30650</v>
      </c>
      <c r="D570" s="26"/>
      <c r="E570" s="24"/>
      <c r="F570" s="26"/>
      <c r="G570" s="26"/>
      <c r="H570" s="26"/>
      <c r="I570" s="26"/>
      <c r="J570" s="26"/>
      <c r="K570" s="26"/>
      <c r="L570" s="24"/>
      <c r="M570" s="24"/>
      <c r="N570" s="26"/>
      <c r="O570" s="26"/>
      <c r="P570" s="26"/>
      <c r="Q570" s="26"/>
      <c r="R570" s="26"/>
      <c r="S570" s="26"/>
      <c r="T570" s="26"/>
      <c r="U570" s="26"/>
      <c r="V570" s="26"/>
      <c r="W570" s="26">
        <f>MAX($C$10-VLOOKUP($C570,COS!$B$8:$H$991,3,FALSE),0)</f>
        <v>86177.234375</v>
      </c>
      <c r="X570" s="26">
        <f t="shared" si="870"/>
        <v>5127.901549586777</v>
      </c>
      <c r="Y570" s="26">
        <f>VLOOKUP($C570,COS!$B$8:$H$991,4,FALSE)</f>
        <v>0</v>
      </c>
      <c r="Z570" s="26">
        <f t="shared" si="871"/>
        <v>0</v>
      </c>
      <c r="AA570" s="26">
        <f t="shared" si="912"/>
        <v>0</v>
      </c>
      <c r="AB570" s="33">
        <f t="shared" si="854"/>
        <v>0</v>
      </c>
    </row>
    <row r="571" spans="1:28" x14ac:dyDescent="0.3">
      <c r="A571" s="34">
        <f>VLOOKUP(YEAR(C571),Flags!$A$13:$B$95,2,FALSE)</f>
        <v>1</v>
      </c>
      <c r="B571" s="35">
        <f t="shared" si="841"/>
        <v>1983</v>
      </c>
      <c r="C571" s="36">
        <v>30681</v>
      </c>
      <c r="D571" s="37"/>
      <c r="E571" s="35"/>
      <c r="F571" s="37"/>
      <c r="G571" s="37"/>
      <c r="H571" s="37"/>
      <c r="I571" s="37"/>
      <c r="J571" s="37"/>
      <c r="K571" s="37"/>
      <c r="L571" s="35"/>
      <c r="M571" s="35"/>
      <c r="N571" s="37"/>
      <c r="O571" s="37"/>
      <c r="P571" s="37"/>
      <c r="Q571" s="37"/>
      <c r="R571" s="37"/>
      <c r="S571" s="37"/>
      <c r="T571" s="37"/>
      <c r="U571" s="37"/>
      <c r="V571" s="37"/>
      <c r="W571" s="37">
        <f>MAX($C$11-VLOOKUP($C571,COS!$B$8:$H$991,3,FALSE),0)</f>
        <v>0</v>
      </c>
      <c r="X571" s="37">
        <f t="shared" si="870"/>
        <v>0</v>
      </c>
      <c r="Y571" s="37">
        <f>VLOOKUP($C571,COS!$B$8:$H$991,4,FALSE)</f>
        <v>0</v>
      </c>
      <c r="Z571" s="37">
        <f t="shared" si="871"/>
        <v>0</v>
      </c>
      <c r="AA571" s="37">
        <f t="shared" si="912"/>
        <v>0</v>
      </c>
      <c r="AB571" s="38">
        <f t="shared" si="854"/>
        <v>0</v>
      </c>
    </row>
    <row r="572" spans="1:28" x14ac:dyDescent="0.3">
      <c r="A572" s="27">
        <f>VLOOKUP(YEAR(C572),Flags!$A$13:$B$95,2,FALSE)</f>
        <v>1</v>
      </c>
      <c r="B572" s="28">
        <f t="shared" si="841"/>
        <v>1984</v>
      </c>
      <c r="C572" s="29">
        <v>30802</v>
      </c>
      <c r="D572" s="30">
        <f>VLOOKUP($C572,COS!$B$8:$H$991,3,FALSE)</f>
        <v>3741.849609375</v>
      </c>
      <c r="E572" s="28">
        <f>IF(D572&gt;=IF(MONTH($C572)=4,$C$3,IF(MONTH($C572)=5,$C$4,IF(MONTH($C572)=6,$C$5,IF(MONTH($C572)=7,$C$6,"ERROR")))),1,0)</f>
        <v>0</v>
      </c>
      <c r="F572" s="30">
        <f>VLOOKUP($C572,COS!$B$8:$H$991,7,FALSE)</f>
        <v>49.945255279541016</v>
      </c>
      <c r="G572" s="28">
        <f>IF(F572&lt;=IF(MONTH($C572)=4,$F$3,IF(MONTH($C572)=5,$F$4,IF(MONTH($C572)=6,$F$5,IF(MONTH($C572)=7,$F$6,"ERROR")))),1,0)</f>
        <v>1</v>
      </c>
      <c r="H572" s="30">
        <f>IF(J572=1,D572-$C$3,0)</f>
        <v>0</v>
      </c>
      <c r="I572" s="30">
        <f t="shared" si="872"/>
        <v>0</v>
      </c>
      <c r="J572" s="28">
        <f t="shared" ref="J572:J575" si="915">IF(AND(E572=1,G572=1),1,0)</f>
        <v>0</v>
      </c>
      <c r="K572" s="30">
        <f>VLOOKUP($C572,COS!$B$8:$H$991,2,FALSE)</f>
        <v>4552</v>
      </c>
      <c r="L572" s="28">
        <f t="shared" ref="L572" si="916">IF(K572&lt;=IF(MONTH($C572)=4,$I$3,IF(MONTH($C572)=5,$I$4,IF(MONTH($C572)=6,$I$5,IF(MONTH($C572)=7,$I$6,"ERROR")))),1,0)</f>
        <v>1</v>
      </c>
      <c r="M572" s="28">
        <f t="shared" ref="M572" si="917">VLOOKUP($A572,$L$3:$M$7,2,FALSE)</f>
        <v>0</v>
      </c>
      <c r="N572" s="30">
        <f>VLOOKUP($C572,COS!$B$8:$H$991,5,FALSE)</f>
        <v>325.60305786132813</v>
      </c>
      <c r="O572" s="30">
        <f t="shared" ref="O572:O575" si="918">N572*DAY($C572)*86400/43560/1000</f>
        <v>19.374727409930269</v>
      </c>
      <c r="P572" s="30">
        <f>VLOOKUP($C572,COS!$B$8:$H$991,6,FALSE)</f>
        <v>551.338623046875</v>
      </c>
      <c r="Q572" s="30">
        <f t="shared" ref="Q572:Q575" si="919">P572*DAY($C572)*86400/43560/1000</f>
        <v>32.806926330061984</v>
      </c>
      <c r="R572" s="30">
        <f>MIN(IF(MONTH($C572)=4,$S$3,IF(MONTH($C572)=5,$S$4,IF(MONTH($C572)=6,$S$5,IF(MONTH($C572)=7,$S$6,"ERROR")))),MAX(VLOOKUP($C572,COS!$B$8:$K$991,10,FALSE)-IF(MONTH($C572)=4,$Y$3,IF(MONTH($C572)=5,$Y$4,IF(MONTH($C572)=6,$Y$5,IF(MONTH($C572)=7,$Y$6,"ERROR")))),0),MAX(VLOOKUP($C572,COS!$B$8:$K$991,9,FALSE)-IF(MONTH($C572)=4,$V$3,IF(MONTH($C572)=5,$V$4,IF(MONTH($C572)=6,$V$5,IF(MONTH($C572)=7,$V$6,"ERROR"))))-VLOOKUP($C572,COS!$B$8:$K$991,6,FALSE)/2,0))</f>
        <v>1500</v>
      </c>
      <c r="S572" s="30">
        <f t="shared" ref="S572:S575" si="920">R572*DAY($C572)*86400/43560/1000</f>
        <v>89.256198347107429</v>
      </c>
      <c r="T572" s="30">
        <f t="shared" ref="T572:T575" si="921">(O572+Q572)/2+S572</f>
        <v>115.34702521710355</v>
      </c>
      <c r="U572" s="30" t="str">
        <f>IF(VLOOKUP($C572,COS!$B$8:$I$991,8,FALSE)=1,"UWFE","IBU")</f>
        <v>UWFE</v>
      </c>
      <c r="V572" s="30">
        <f t="shared" ref="V572" si="922">MIN(IF(IF($AA$3=2,AND(E572=1,G572=1,L572=1,L577=1,M572=1,U572="IBU"),AND(E572=1,G572=1,L572=1,L577=1,M572=1)),T572,0),I572)</f>
        <v>0</v>
      </c>
      <c r="W572" s="30"/>
      <c r="X572" s="30"/>
      <c r="Y572" s="30"/>
      <c r="Z572" s="30"/>
      <c r="AA572" s="30"/>
      <c r="AB572" s="31"/>
    </row>
    <row r="573" spans="1:28" x14ac:dyDescent="0.3">
      <c r="A573" s="32">
        <f>VLOOKUP(YEAR(C573),Flags!$A$13:$B$95,2,FALSE)</f>
        <v>1</v>
      </c>
      <c r="B573" s="24">
        <f t="shared" si="841"/>
        <v>1984</v>
      </c>
      <c r="C573" s="25">
        <v>30833</v>
      </c>
      <c r="D573" s="26">
        <f>VLOOKUP($C573,COS!$B$8:$H$991,3,FALSE)</f>
        <v>7339.09130859375</v>
      </c>
      <c r="E573" s="24">
        <f>IF(D573&gt;=IF(MONTH($C573)=4,$C$3,IF(MONTH($C573)=5,$C$4,IF(MONTH($C573)=6,$C$5,IF(MONTH($C573)=7,$C$6,"ERROR")))),1,0)</f>
        <v>1</v>
      </c>
      <c r="F573" s="26">
        <f>VLOOKUP($C573,COS!$B$8:$H$991,7,FALSE)</f>
        <v>50.413700103759766</v>
      </c>
      <c r="G573" s="24">
        <f>IF(F573&lt;=IF(MONTH($C573)=4,$F$3,IF(MONTH($C573)=5,$F$4,IF(MONTH($C573)=6,$F$5,IF(MONTH($C573)=7,$F$6,"ERROR")))),1,0)</f>
        <v>1</v>
      </c>
      <c r="H573" s="26">
        <f>IF(J573=1,D573-$C$4,0)</f>
        <v>1339.09130859375</v>
      </c>
      <c r="I573" s="26">
        <f t="shared" si="872"/>
        <v>82.33751517303719</v>
      </c>
      <c r="J573" s="24">
        <f t="shared" si="915"/>
        <v>1</v>
      </c>
      <c r="K573" s="26">
        <f>VLOOKUP($C573,COS!$B$8:$H$991,2,FALSE)</f>
        <v>4539.20361328125</v>
      </c>
      <c r="L573" s="24">
        <f t="shared" si="843"/>
        <v>1</v>
      </c>
      <c r="M573" s="24">
        <f t="shared" si="844"/>
        <v>0</v>
      </c>
      <c r="N573" s="26">
        <f>VLOOKUP($C573,COS!$B$8:$H$991,5,FALSE)</f>
        <v>787.246337890625</v>
      </c>
      <c r="O573" s="26">
        <f t="shared" si="918"/>
        <v>48.405890528150827</v>
      </c>
      <c r="P573" s="26">
        <f>VLOOKUP($C573,COS!$B$8:$H$991,6,FALSE)</f>
        <v>2330.58056640625</v>
      </c>
      <c r="Q573" s="26">
        <f t="shared" si="919"/>
        <v>143.30181333935951</v>
      </c>
      <c r="R573" s="26">
        <f>MIN(IF(MONTH($C573)=4,$S$3,IF(MONTH($C573)=5,$S$4,IF(MONTH($C573)=6,$S$5,IF(MONTH($C573)=7,$S$6,"ERROR")))),MAX(VLOOKUP($C573,COS!$B$8:$K$991,10,FALSE)-IF(MONTH($C573)=4,$Y$3,IF(MONTH($C573)=5,$Y$4,IF(MONTH($C573)=6,$Y$5,IF(MONTH($C573)=7,$Y$6,"ERROR")))),0),MAX(VLOOKUP($C573,COS!$B$8:$K$991,9,FALSE)-IF(MONTH($C573)=4,$V$3,IF(MONTH($C573)=5,$V$4,IF(MONTH($C573)=6,$V$5,IF(MONTH($C573)=7,$V$6,"ERROR"))))-VLOOKUP($C573,COS!$B$8:$K$991,6,FALSE)/2,0))</f>
        <v>1500</v>
      </c>
      <c r="S573" s="26">
        <f t="shared" si="920"/>
        <v>92.231404958677686</v>
      </c>
      <c r="T573" s="26">
        <f t="shared" si="921"/>
        <v>188.08525689243285</v>
      </c>
      <c r="U573" s="26" t="str">
        <f>IF(VLOOKUP($C573,COS!$B$8:$I$991,8,FALSE)=1,"UWFE","IBU")</f>
        <v>UWFE</v>
      </c>
      <c r="V573" s="26">
        <f t="shared" ref="V573" si="923">MIN(IF(IF($AA$3=2,AND(E573=1,G573=1,L573=1,L577=1,M573=1,U573="IBU"),AND(E573=1,G573=1,L573=1,L577=1,M573=1)),T573,0),I573)</f>
        <v>0</v>
      </c>
      <c r="W573" s="26"/>
      <c r="X573" s="26"/>
      <c r="Y573" s="26"/>
      <c r="Z573" s="26"/>
      <c r="AA573" s="26"/>
      <c r="AB573" s="33"/>
    </row>
    <row r="574" spans="1:28" x14ac:dyDescent="0.3">
      <c r="A574" s="32">
        <f>VLOOKUP(YEAR(C574),Flags!$A$13:$B$95,2,FALSE)</f>
        <v>1</v>
      </c>
      <c r="B574" s="24">
        <f t="shared" si="841"/>
        <v>1984</v>
      </c>
      <c r="C574" s="25">
        <v>30863</v>
      </c>
      <c r="D574" s="26">
        <f>VLOOKUP($C574,COS!$B$8:$H$991,3,FALSE)</f>
        <v>11324.5849609375</v>
      </c>
      <c r="E574" s="24">
        <f>IF(D574&gt;=IF(MONTH($C574)=4,$C$3,IF(MONTH($C574)=5,$C$4,IF(MONTH($C574)=6,$C$5,IF(MONTH($C574)=7,$C$6,"ERROR")))),1,0)</f>
        <v>1</v>
      </c>
      <c r="F574" s="26">
        <f>VLOOKUP($C574,COS!$B$8:$H$991,7,FALSE)</f>
        <v>50.518535614013672</v>
      </c>
      <c r="G574" s="24">
        <f>IF(F574&lt;=IF(MONTH($C574)=4,$F$3,IF(MONTH($C574)=5,$F$4,IF(MONTH($C574)=6,$F$5,IF(MONTH($C574)=7,$F$6,"ERROR")))),1,0)</f>
        <v>1</v>
      </c>
      <c r="H574" s="26">
        <f>IF(J574=1,D574-$C$5,0)</f>
        <v>1324.5849609375</v>
      </c>
      <c r="I574" s="26">
        <f t="shared" si="872"/>
        <v>78.818278667355372</v>
      </c>
      <c r="J574" s="24">
        <f t="shared" si="915"/>
        <v>1</v>
      </c>
      <c r="K574" s="26">
        <f>VLOOKUP($C574,COS!$B$8:$H$991,2,FALSE)</f>
        <v>4156.24755859375</v>
      </c>
      <c r="L574" s="24">
        <f t="shared" si="843"/>
        <v>1</v>
      </c>
      <c r="M574" s="24">
        <f t="shared" si="844"/>
        <v>0</v>
      </c>
      <c r="N574" s="26">
        <f>VLOOKUP($C574,COS!$B$8:$H$991,5,FALSE)</f>
        <v>904.4803466796875</v>
      </c>
      <c r="O574" s="26">
        <f t="shared" si="918"/>
        <v>53.820318149535126</v>
      </c>
      <c r="P574" s="26">
        <f>VLOOKUP($C574,COS!$B$8:$H$991,6,FALSE)</f>
        <v>2326.57470703125</v>
      </c>
      <c r="Q574" s="26">
        <f t="shared" si="919"/>
        <v>138.44080901342974</v>
      </c>
      <c r="R574" s="26">
        <f>MIN(IF(MONTH($C574)=4,$S$3,IF(MONTH($C574)=5,$S$4,IF(MONTH($C574)=6,$S$5,IF(MONTH($C574)=7,$S$6,"ERROR")))),MAX(VLOOKUP($C574,COS!$B$8:$K$991,10,FALSE)-IF(MONTH($C574)=4,$Y$3,IF(MONTH($C574)=5,$Y$4,IF(MONTH($C574)=6,$Y$5,IF(MONTH($C574)=7,$Y$6,"ERROR")))),0),MAX(VLOOKUP($C574,COS!$B$8:$K$991,9,FALSE)-IF(MONTH($C574)=4,$V$3,IF(MONTH($C574)=5,$V$4,IF(MONTH($C574)=6,$V$5,IF(MONTH($C574)=7,$V$6,"ERROR"))))-VLOOKUP($C574,COS!$B$8:$K$991,6,FALSE)/2,0))</f>
        <v>1500</v>
      </c>
      <c r="S574" s="26">
        <f t="shared" si="920"/>
        <v>89.256198347107429</v>
      </c>
      <c r="T574" s="26">
        <f t="shared" si="921"/>
        <v>185.38676192858986</v>
      </c>
      <c r="U574" s="26" t="str">
        <f>IF(VLOOKUP($C574,COS!$B$8:$I$991,8,FALSE)=1,"UWFE","IBU")</f>
        <v>IBU</v>
      </c>
      <c r="V574" s="26">
        <f t="shared" ref="V574" si="924">MIN(IF(IF($AA$3=2,AND(E574=1,G574=1,L574=1,L577=1,M574=1,U574="IBU"),AND(E574=1,G574=1,L574=1,L577=1,M574=1)),T574,0),I574)</f>
        <v>0</v>
      </c>
      <c r="W574" s="26"/>
      <c r="X574" s="26"/>
      <c r="Y574" s="26"/>
      <c r="Z574" s="26"/>
      <c r="AA574" s="26"/>
      <c r="AB574" s="33"/>
    </row>
    <row r="575" spans="1:28" x14ac:dyDescent="0.3">
      <c r="A575" s="32">
        <f>VLOOKUP(YEAR(C575),Flags!$A$13:$B$95,2,FALSE)</f>
        <v>1</v>
      </c>
      <c r="B575" s="24">
        <f t="shared" si="841"/>
        <v>1984</v>
      </c>
      <c r="C575" s="25">
        <v>30894</v>
      </c>
      <c r="D575" s="26">
        <f>VLOOKUP($C575,COS!$B$8:$H$991,3,FALSE)</f>
        <v>16000</v>
      </c>
      <c r="E575" s="24">
        <f>IF(D575&gt;=IF(MONTH($C575)=4,$C$3,IF(MONTH($C575)=5,$C$4,IF(MONTH($C575)=6,$C$5,IF(MONTH($C575)=7,$C$6,"ERROR")))),1,0)</f>
        <v>1</v>
      </c>
      <c r="F575" s="26">
        <f>VLOOKUP($C575,COS!$B$8:$H$991,7,FALSE)</f>
        <v>51.311916351318359</v>
      </c>
      <c r="G575" s="24">
        <f>IF(F575&lt;=IF(MONTH($C575)=4,$F$3,IF(MONTH($C575)=5,$F$4,IF(MONTH($C575)=6,$F$5,IF(MONTH($C575)=7,$F$6,"ERROR")))),1,0)</f>
        <v>1</v>
      </c>
      <c r="H575" s="26">
        <f>IF(J575=1,D575-$C$6,0)</f>
        <v>4000</v>
      </c>
      <c r="I575" s="26">
        <f t="shared" si="872"/>
        <v>245.95041322314049</v>
      </c>
      <c r="J575" s="24">
        <f t="shared" si="915"/>
        <v>1</v>
      </c>
      <c r="K575" s="26">
        <f>VLOOKUP($C575,COS!$B$8:$H$991,2,FALSE)</f>
        <v>3457.78173828125</v>
      </c>
      <c r="L575" s="24">
        <f t="shared" si="843"/>
        <v>1</v>
      </c>
      <c r="M575" s="24">
        <f t="shared" si="844"/>
        <v>0</v>
      </c>
      <c r="N575" s="26">
        <f>VLOOKUP($C575,COS!$B$8:$H$991,5,FALSE)</f>
        <v>1002.6513061523438</v>
      </c>
      <c r="O575" s="26">
        <f t="shared" si="918"/>
        <v>61.650625766722627</v>
      </c>
      <c r="P575" s="26">
        <f>VLOOKUP($C575,COS!$B$8:$H$991,6,FALSE)</f>
        <v>2616.67822265625</v>
      </c>
      <c r="Q575" s="26">
        <f t="shared" si="919"/>
        <v>160.89327253357436</v>
      </c>
      <c r="R575" s="26">
        <f>MIN(IF(MONTH($C575)=4,$S$3,IF(MONTH($C575)=5,$S$4,IF(MONTH($C575)=6,$S$5,IF(MONTH($C575)=7,$S$6,"ERROR")))),MAX(VLOOKUP($C575,COS!$B$8:$K$991,10,FALSE)-IF(MONTH($C575)=4,$Y$3,IF(MONTH($C575)=5,$Y$4,IF(MONTH($C575)=6,$Y$5,IF(MONTH($C575)=7,$Y$6,"ERROR")))),0),MAX(VLOOKUP($C575,COS!$B$8:$K$991,9,FALSE)-IF(MONTH($C575)=4,$V$3,IF(MONTH($C575)=5,$V$4,IF(MONTH($C575)=6,$V$5,IF(MONTH($C575)=7,$V$6,"ERROR"))))-VLOOKUP($C575,COS!$B$8:$K$991,6,FALSE)/2,0))</f>
        <v>1500</v>
      </c>
      <c r="S575" s="26">
        <f t="shared" si="920"/>
        <v>92.231404958677686</v>
      </c>
      <c r="T575" s="26">
        <f t="shared" si="921"/>
        <v>203.50335410882616</v>
      </c>
      <c r="U575" s="26" t="str">
        <f>IF(VLOOKUP($C575,COS!$B$8:$I$991,8,FALSE)=1,"UWFE","IBU")</f>
        <v>IBU</v>
      </c>
      <c r="V575" s="26">
        <f t="shared" ref="V575" si="925">MIN(IF(IF($AA$3=2,AND(E575=1,G575=1,L575=1,L577=1,M575=1,U575="IBU"),AND(E575=1,G575=1,L575=1,L577=1,M575=1)),T575,0),I575)</f>
        <v>0</v>
      </c>
      <c r="W575" s="26"/>
      <c r="X575" s="26"/>
      <c r="Y575" s="26"/>
      <c r="Z575" s="26"/>
      <c r="AA575" s="26"/>
      <c r="AB575" s="33"/>
    </row>
    <row r="576" spans="1:28" x14ac:dyDescent="0.3">
      <c r="A576" s="32">
        <f>VLOOKUP(YEAR(C576),Flags!$A$13:$B$95,2,FALSE)</f>
        <v>1</v>
      </c>
      <c r="B576" s="24">
        <f t="shared" si="841"/>
        <v>1984</v>
      </c>
      <c r="C576" s="25">
        <v>30925</v>
      </c>
      <c r="D576" s="26"/>
      <c r="E576" s="24"/>
      <c r="F576" s="26"/>
      <c r="G576" s="24"/>
      <c r="H576" s="24"/>
      <c r="I576" s="26"/>
      <c r="J576" s="24"/>
      <c r="K576" s="26"/>
      <c r="L576" s="24"/>
      <c r="M576" s="24"/>
      <c r="N576" s="26"/>
      <c r="O576" s="26"/>
      <c r="P576" s="26"/>
      <c r="Q576" s="26"/>
      <c r="R576" s="26"/>
      <c r="S576" s="26"/>
      <c r="T576" s="26"/>
      <c r="U576" s="26"/>
      <c r="V576" s="26"/>
      <c r="W576" s="26">
        <f>MAX($C$7-VLOOKUP($C576,COS!$B$8:$H$991,3,FALSE),0)</f>
        <v>91391.3505859375</v>
      </c>
      <c r="X576" s="26">
        <f t="shared" si="870"/>
        <v>5619.4351104080579</v>
      </c>
      <c r="Y576" s="26">
        <f>VLOOKUP($C576,COS!$B$8:$H$991,4,FALSE)</f>
        <v>0</v>
      </c>
      <c r="Z576" s="26">
        <f t="shared" si="871"/>
        <v>0</v>
      </c>
      <c r="AA576" s="26">
        <f t="shared" ref="AA576:AA580" si="926">MIN(W576,Y576)</f>
        <v>0</v>
      </c>
      <c r="AB576" s="33">
        <f t="shared" ref="AB576" si="927">AA576*DAY($C576)*86400/43560/1000*IF(MONTH($C576)=8,$P$3,IF(MONTH($C576)=9,$P$4,IF(MONTH($C576)=10,$P$5,IF(MONTH($C576)=11,$P$6,IF(MONTH($C576)=12,$P$7,NA())))))</f>
        <v>0</v>
      </c>
    </row>
    <row r="577" spans="1:28" x14ac:dyDescent="0.3">
      <c r="A577" s="32">
        <f>VLOOKUP(YEAR(C577),Flags!$A$13:$B$95,2,FALSE)</f>
        <v>1</v>
      </c>
      <c r="B577" s="24">
        <f t="shared" si="841"/>
        <v>1984</v>
      </c>
      <c r="C577" s="25">
        <v>30955</v>
      </c>
      <c r="D577" s="26"/>
      <c r="E577" s="24"/>
      <c r="F577" s="26"/>
      <c r="G577" s="24"/>
      <c r="H577" s="24"/>
      <c r="I577" s="26"/>
      <c r="J577" s="24"/>
      <c r="K577" s="26">
        <f>VLOOKUP($C577,COS!$B$8:$H$991,2,FALSE)</f>
        <v>2599.457763671875</v>
      </c>
      <c r="L577" s="24">
        <f t="shared" ref="L577" si="928">IF(AND(K577&gt;$I$7,K577&lt;$I$8),1,0)</f>
        <v>1</v>
      </c>
      <c r="M577" s="24"/>
      <c r="N577" s="26"/>
      <c r="O577" s="26"/>
      <c r="P577" s="26"/>
      <c r="Q577" s="26"/>
      <c r="R577" s="26"/>
      <c r="S577" s="26"/>
      <c r="T577" s="26"/>
      <c r="U577" s="26"/>
      <c r="V577" s="26"/>
      <c r="W577" s="26">
        <f>MAX($C$8-VLOOKUP($C577,COS!$B$8:$H$991,3,FALSE),0)</f>
        <v>83999</v>
      </c>
      <c r="X577" s="26">
        <f t="shared" si="870"/>
        <v>4998.2876033057846</v>
      </c>
      <c r="Y577" s="26">
        <f>VLOOKUP($C577,COS!$B$8:$H$991,4,FALSE)</f>
        <v>489.46258544921875</v>
      </c>
      <c r="Z577" s="26">
        <f t="shared" si="871"/>
        <v>29.12504640689566</v>
      </c>
      <c r="AA577" s="26">
        <f t="shared" si="926"/>
        <v>489.46258544921875</v>
      </c>
      <c r="AB577" s="33">
        <f t="shared" si="854"/>
        <v>29.12504640689566</v>
      </c>
    </row>
    <row r="578" spans="1:28" x14ac:dyDescent="0.3">
      <c r="A578" s="32">
        <f>VLOOKUP(YEAR(C578),Flags!$A$13:$B$95,2,FALSE)</f>
        <v>1</v>
      </c>
      <c r="B578" s="24">
        <f t="shared" si="841"/>
        <v>1984</v>
      </c>
      <c r="C578" s="25">
        <v>30986</v>
      </c>
      <c r="D578" s="26"/>
      <c r="E578" s="24"/>
      <c r="F578" s="26"/>
      <c r="G578" s="26"/>
      <c r="H578" s="26"/>
      <c r="I578" s="26"/>
      <c r="J578" s="26"/>
      <c r="K578" s="26"/>
      <c r="L578" s="24"/>
      <c r="M578" s="24"/>
      <c r="N578" s="26"/>
      <c r="O578" s="26"/>
      <c r="P578" s="26"/>
      <c r="Q578" s="26"/>
      <c r="R578" s="26"/>
      <c r="S578" s="26"/>
      <c r="T578" s="26"/>
      <c r="U578" s="26"/>
      <c r="V578" s="26"/>
      <c r="W578" s="26">
        <f>MAX($C$9-VLOOKUP($C578,COS!$B$8:$H$991,3,FALSE),0)</f>
        <v>92538.021484375</v>
      </c>
      <c r="X578" s="26">
        <f t="shared" si="870"/>
        <v>5689.9411557334706</v>
      </c>
      <c r="Y578" s="26">
        <f>VLOOKUP($C578,COS!$B$8:$H$991,4,FALSE)</f>
        <v>692.67999267578125</v>
      </c>
      <c r="Z578" s="26">
        <f t="shared" si="871"/>
        <v>42.591232607502583</v>
      </c>
      <c r="AA578" s="26">
        <f t="shared" si="926"/>
        <v>692.67999267578125</v>
      </c>
      <c r="AB578" s="33">
        <f t="shared" si="854"/>
        <v>42.591232607502583</v>
      </c>
    </row>
    <row r="579" spans="1:28" x14ac:dyDescent="0.3">
      <c r="A579" s="32">
        <f>VLOOKUP(YEAR(C579),Flags!$A$13:$B$95,2,FALSE)</f>
        <v>1</v>
      </c>
      <c r="B579" s="24">
        <f t="shared" si="841"/>
        <v>1984</v>
      </c>
      <c r="C579" s="25">
        <v>31016</v>
      </c>
      <c r="D579" s="26"/>
      <c r="E579" s="24"/>
      <c r="F579" s="26"/>
      <c r="G579" s="26"/>
      <c r="H579" s="26"/>
      <c r="I579" s="26"/>
      <c r="J579" s="26"/>
      <c r="K579" s="26"/>
      <c r="L579" s="24"/>
      <c r="M579" s="24"/>
      <c r="N579" s="26"/>
      <c r="O579" s="26"/>
      <c r="P579" s="26"/>
      <c r="Q579" s="26"/>
      <c r="R579" s="26"/>
      <c r="S579" s="26"/>
      <c r="T579" s="26"/>
      <c r="U579" s="26"/>
      <c r="V579" s="26"/>
      <c r="W579" s="26">
        <f>MAX($C$10-VLOOKUP($C579,COS!$B$8:$H$991,3,FALSE),0)</f>
        <v>96749</v>
      </c>
      <c r="X579" s="26">
        <f t="shared" si="870"/>
        <v>5756.965289256198</v>
      </c>
      <c r="Y579" s="26">
        <f>VLOOKUP($C579,COS!$B$8:$H$991,4,FALSE)</f>
        <v>0</v>
      </c>
      <c r="Z579" s="26">
        <f t="shared" si="871"/>
        <v>0</v>
      </c>
      <c r="AA579" s="26">
        <f t="shared" si="926"/>
        <v>0</v>
      </c>
      <c r="AB579" s="33">
        <f t="shared" si="854"/>
        <v>0</v>
      </c>
    </row>
    <row r="580" spans="1:28" x14ac:dyDescent="0.3">
      <c r="A580" s="34">
        <f>VLOOKUP(YEAR(C580),Flags!$A$13:$B$95,2,FALSE)</f>
        <v>1</v>
      </c>
      <c r="B580" s="35">
        <f t="shared" si="841"/>
        <v>1984</v>
      </c>
      <c r="C580" s="36">
        <v>31047</v>
      </c>
      <c r="D580" s="37"/>
      <c r="E580" s="35"/>
      <c r="F580" s="37"/>
      <c r="G580" s="37"/>
      <c r="H580" s="37"/>
      <c r="I580" s="37"/>
      <c r="J580" s="37"/>
      <c r="K580" s="37"/>
      <c r="L580" s="35"/>
      <c r="M580" s="35"/>
      <c r="N580" s="37"/>
      <c r="O580" s="37"/>
      <c r="P580" s="37"/>
      <c r="Q580" s="37"/>
      <c r="R580" s="37"/>
      <c r="S580" s="37"/>
      <c r="T580" s="37"/>
      <c r="U580" s="37"/>
      <c r="V580" s="37"/>
      <c r="W580" s="37">
        <f>MAX($C$11-VLOOKUP($C580,COS!$B$8:$H$991,3,FALSE),0)</f>
        <v>0</v>
      </c>
      <c r="X580" s="37">
        <f t="shared" si="870"/>
        <v>0</v>
      </c>
      <c r="Y580" s="37">
        <f>VLOOKUP($C580,COS!$B$8:$H$991,4,FALSE)</f>
        <v>0</v>
      </c>
      <c r="Z580" s="37">
        <f t="shared" si="871"/>
        <v>0</v>
      </c>
      <c r="AA580" s="37">
        <f t="shared" si="926"/>
        <v>0</v>
      </c>
      <c r="AB580" s="38">
        <f t="shared" si="854"/>
        <v>0</v>
      </c>
    </row>
    <row r="581" spans="1:28" x14ac:dyDescent="0.3">
      <c r="A581" s="27">
        <f>VLOOKUP(YEAR(C581),Flags!$A$13:$B$95,2,FALSE)</f>
        <v>3</v>
      </c>
      <c r="B581" s="28">
        <f t="shared" si="841"/>
        <v>1985</v>
      </c>
      <c r="C581" s="29">
        <v>31167</v>
      </c>
      <c r="D581" s="30">
        <f>VLOOKUP($C581,COS!$B$8:$H$991,3,FALSE)</f>
        <v>3250</v>
      </c>
      <c r="E581" s="28">
        <f>IF(D581&gt;=IF(MONTH($C581)=4,$C$3,IF(MONTH($C581)=5,$C$4,IF(MONTH($C581)=6,$C$5,IF(MONTH($C581)=7,$C$6,"ERROR")))),1,0)</f>
        <v>0</v>
      </c>
      <c r="F581" s="30">
        <f>VLOOKUP($C581,COS!$B$8:$H$991,7,FALSE)</f>
        <v>52.461292266845703</v>
      </c>
      <c r="G581" s="28">
        <f>IF(F581&lt;=IF(MONTH($C581)=4,$F$3,IF(MONTH($C581)=5,$F$4,IF(MONTH($C581)=6,$F$5,IF(MONTH($C581)=7,$F$6,"ERROR")))),1,0)</f>
        <v>1</v>
      </c>
      <c r="H581" s="30">
        <f>IF(J581=1,D581-$C$3,0)</f>
        <v>0</v>
      </c>
      <c r="I581" s="30">
        <f t="shared" si="872"/>
        <v>0</v>
      </c>
      <c r="J581" s="28">
        <f t="shared" ref="J581:J584" si="929">IF(AND(E581=1,G581=1),1,0)</f>
        <v>0</v>
      </c>
      <c r="K581" s="30">
        <f>VLOOKUP($C581,COS!$B$8:$H$991,2,FALSE)</f>
        <v>3952.674072265625</v>
      </c>
      <c r="L581" s="28">
        <f t="shared" ref="L581" si="930">IF(K581&lt;=IF(MONTH($C581)=4,$I$3,IF(MONTH($C581)=5,$I$4,IF(MONTH($C581)=6,$I$5,IF(MONTH($C581)=7,$I$6,"ERROR")))),1,0)</f>
        <v>1</v>
      </c>
      <c r="M581" s="28">
        <f t="shared" ref="M581" si="931">VLOOKUP($A581,$L$3:$M$7,2,FALSE)</f>
        <v>1</v>
      </c>
      <c r="N581" s="30">
        <f>VLOOKUP($C581,COS!$B$8:$H$991,5,FALSE)</f>
        <v>325.05386352539063</v>
      </c>
      <c r="O581" s="30">
        <f t="shared" ref="O581:O584" si="932">N581*DAY($C581)*86400/43560/1000</f>
        <v>19.342048077543907</v>
      </c>
      <c r="P581" s="30">
        <f>VLOOKUP($C581,COS!$B$8:$H$991,6,FALSE)</f>
        <v>469.97174072265625</v>
      </c>
      <c r="Q581" s="30">
        <f t="shared" ref="Q581:Q584" si="933">P581*DAY($C581)*86400/43560/1000</f>
        <v>27.965260604984504</v>
      </c>
      <c r="R581" s="30">
        <f>MIN(IF(MONTH($C581)=4,$S$3,IF(MONTH($C581)=5,$S$4,IF(MONTH($C581)=6,$S$5,IF(MONTH($C581)=7,$S$6,"ERROR")))),MAX(VLOOKUP($C581,COS!$B$8:$K$991,10,FALSE)-IF(MONTH($C581)=4,$Y$3,IF(MONTH($C581)=5,$Y$4,IF(MONTH($C581)=6,$Y$5,IF(MONTH($C581)=7,$Y$6,"ERROR")))),0),MAX(VLOOKUP($C581,COS!$B$8:$K$991,9,FALSE)-IF(MONTH($C581)=4,$V$3,IF(MONTH($C581)=5,$V$4,IF(MONTH($C581)=6,$V$5,IF(MONTH($C581)=7,$V$6,"ERROR"))))-VLOOKUP($C581,COS!$B$8:$K$991,6,FALSE)/2,0))</f>
        <v>1164.9433288574219</v>
      </c>
      <c r="S581" s="30">
        <f t="shared" ref="S581:S584" si="934">R581*DAY($C581)*86400/43560/1000</f>
        <v>69.318941882425108</v>
      </c>
      <c r="T581" s="30">
        <f t="shared" ref="T581:T584" si="935">(O581+Q581)/2+S581</f>
        <v>92.972596223689322</v>
      </c>
      <c r="U581" s="30" t="str">
        <f>IF(VLOOKUP($C581,COS!$B$8:$I$991,8,FALSE)=1,"UWFE","IBU")</f>
        <v>UWFE</v>
      </c>
      <c r="V581" s="30">
        <f t="shared" ref="V581" si="936">MIN(IF(IF($AA$3=2,AND(E581=1,G581=1,L581=1,L586=1,M581=1,U581="IBU"),AND(E581=1,G581=1,L581=1,L586=1,M581=1)),T581,0),I581)</f>
        <v>0</v>
      </c>
      <c r="W581" s="30"/>
      <c r="X581" s="30"/>
      <c r="Y581" s="30"/>
      <c r="Z581" s="30"/>
      <c r="AA581" s="30"/>
      <c r="AB581" s="31"/>
    </row>
    <row r="582" spans="1:28" x14ac:dyDescent="0.3">
      <c r="A582" s="32">
        <f>VLOOKUP(YEAR(C582),Flags!$A$13:$B$95,2,FALSE)</f>
        <v>3</v>
      </c>
      <c r="B582" s="24">
        <f t="shared" si="841"/>
        <v>1985</v>
      </c>
      <c r="C582" s="25">
        <v>31198</v>
      </c>
      <c r="D582" s="26">
        <f>VLOOKUP($C582,COS!$B$8:$H$991,3,FALSE)</f>
        <v>8077.96923828125</v>
      </c>
      <c r="E582" s="24">
        <f>IF(D582&gt;=IF(MONTH($C582)=4,$C$3,IF(MONTH($C582)=5,$C$4,IF(MONTH($C582)=6,$C$5,IF(MONTH($C582)=7,$C$6,"ERROR")))),1,0)</f>
        <v>1</v>
      </c>
      <c r="F582" s="26">
        <f>VLOOKUP($C582,COS!$B$8:$H$991,7,FALSE)</f>
        <v>50.861595153808594</v>
      </c>
      <c r="G582" s="24">
        <f>IF(F582&lt;=IF(MONTH($C582)=4,$F$3,IF(MONTH($C582)=5,$F$4,IF(MONTH($C582)=6,$F$5,IF(MONTH($C582)=7,$F$6,"ERROR")))),1,0)</f>
        <v>1</v>
      </c>
      <c r="H582" s="26">
        <f>IF(J582=1,D582-$C$4,0)</f>
        <v>2077.96923828125</v>
      </c>
      <c r="I582" s="26">
        <f t="shared" si="872"/>
        <v>127.76934820506197</v>
      </c>
      <c r="J582" s="24">
        <f t="shared" si="929"/>
        <v>1</v>
      </c>
      <c r="K582" s="26">
        <f>VLOOKUP($C582,COS!$B$8:$H$991,2,FALSE)</f>
        <v>3694.770751953125</v>
      </c>
      <c r="L582" s="24">
        <f t="shared" si="843"/>
        <v>1</v>
      </c>
      <c r="M582" s="24">
        <f t="shared" si="844"/>
        <v>1</v>
      </c>
      <c r="N582" s="26">
        <f>VLOOKUP($C582,COS!$B$8:$H$991,5,FALSE)</f>
        <v>497.94390869140625</v>
      </c>
      <c r="O582" s="26">
        <f t="shared" si="932"/>
        <v>30.617377526149276</v>
      </c>
      <c r="P582" s="26">
        <f>VLOOKUP($C582,COS!$B$8:$H$991,6,FALSE)</f>
        <v>2340.425048828125</v>
      </c>
      <c r="Q582" s="26">
        <f t="shared" si="933"/>
        <v>143.90712696926653</v>
      </c>
      <c r="R582" s="26">
        <f>MIN(IF(MONTH($C582)=4,$S$3,IF(MONTH($C582)=5,$S$4,IF(MONTH($C582)=6,$S$5,IF(MONTH($C582)=7,$S$6,"ERROR")))),MAX(VLOOKUP($C582,COS!$B$8:$K$991,10,FALSE)-IF(MONTH($C582)=4,$Y$3,IF(MONTH($C582)=5,$Y$4,IF(MONTH($C582)=6,$Y$5,IF(MONTH($C582)=7,$Y$6,"ERROR")))),0),MAX(VLOOKUP($C582,COS!$B$8:$K$991,9,FALSE)-IF(MONTH($C582)=4,$V$3,IF(MONTH($C582)=5,$V$4,IF(MONTH($C582)=6,$V$5,IF(MONTH($C582)=7,$V$6,"ERROR"))))-VLOOKUP($C582,COS!$B$8:$K$991,6,FALSE)/2,0))</f>
        <v>1500</v>
      </c>
      <c r="S582" s="26">
        <f t="shared" si="934"/>
        <v>92.231404958677686</v>
      </c>
      <c r="T582" s="26">
        <f t="shared" si="935"/>
        <v>179.49365720638559</v>
      </c>
      <c r="U582" s="26" t="str">
        <f>IF(VLOOKUP($C582,COS!$B$8:$I$991,8,FALSE)=1,"UWFE","IBU")</f>
        <v>IBU</v>
      </c>
      <c r="V582" s="26">
        <f t="shared" ref="V582" si="937">MIN(IF(IF($AA$3=2,AND(E582=1,G582=1,L582=1,L586=1,M582=1,U582="IBU"),AND(E582=1,G582=1,L582=1,L586=1,M582=1)),T582,0),I582)</f>
        <v>127.76934820506197</v>
      </c>
      <c r="W582" s="26"/>
      <c r="X582" s="26"/>
      <c r="Y582" s="26"/>
      <c r="Z582" s="26"/>
      <c r="AA582" s="26"/>
      <c r="AB582" s="33"/>
    </row>
    <row r="583" spans="1:28" x14ac:dyDescent="0.3">
      <c r="A583" s="32">
        <f>VLOOKUP(YEAR(C583),Flags!$A$13:$B$95,2,FALSE)</f>
        <v>3</v>
      </c>
      <c r="B583" s="24">
        <f t="shared" si="841"/>
        <v>1985</v>
      </c>
      <c r="C583" s="25">
        <v>31228</v>
      </c>
      <c r="D583" s="26">
        <f>VLOOKUP($C583,COS!$B$8:$H$991,3,FALSE)</f>
        <v>12637.884765625</v>
      </c>
      <c r="E583" s="24">
        <f>IF(D583&gt;=IF(MONTH($C583)=4,$C$3,IF(MONTH($C583)=5,$C$4,IF(MONTH($C583)=6,$C$5,IF(MONTH($C583)=7,$C$6,"ERROR")))),1,0)</f>
        <v>1</v>
      </c>
      <c r="F583" s="26">
        <f>VLOOKUP($C583,COS!$B$8:$H$991,7,FALSE)</f>
        <v>51.714122772216797</v>
      </c>
      <c r="G583" s="24">
        <f>IF(F583&lt;=IF(MONTH($C583)=4,$F$3,IF(MONTH($C583)=5,$F$4,IF(MONTH($C583)=6,$F$5,IF(MONTH($C583)=7,$F$6,"ERROR")))),1,0)</f>
        <v>1</v>
      </c>
      <c r="H583" s="26">
        <f>IF(J583=1,D583-$C$5,0)</f>
        <v>2637.884765625</v>
      </c>
      <c r="I583" s="26">
        <f t="shared" si="872"/>
        <v>156.96504390495866</v>
      </c>
      <c r="J583" s="24">
        <f t="shared" si="929"/>
        <v>1</v>
      </c>
      <c r="K583" s="26">
        <f>VLOOKUP($C583,COS!$B$8:$H$991,2,FALSE)</f>
        <v>3196.5283203125</v>
      </c>
      <c r="L583" s="24">
        <f t="shared" si="843"/>
        <v>1</v>
      </c>
      <c r="M583" s="24">
        <f t="shared" si="844"/>
        <v>1</v>
      </c>
      <c r="N583" s="26">
        <f>VLOOKUP($C583,COS!$B$8:$H$991,5,FALSE)</f>
        <v>737.8311767578125</v>
      </c>
      <c r="O583" s="26">
        <f t="shared" si="932"/>
        <v>43.904003906249997</v>
      </c>
      <c r="P583" s="26">
        <f>VLOOKUP($C583,COS!$B$8:$H$991,6,FALSE)</f>
        <v>2708.118408203125</v>
      </c>
      <c r="Q583" s="26">
        <f t="shared" si="933"/>
        <v>161.14423586002064</v>
      </c>
      <c r="R583" s="26">
        <f>MIN(IF(MONTH($C583)=4,$S$3,IF(MONTH($C583)=5,$S$4,IF(MONTH($C583)=6,$S$5,IF(MONTH($C583)=7,$S$6,"ERROR")))),MAX(VLOOKUP($C583,COS!$B$8:$K$991,10,FALSE)-IF(MONTH($C583)=4,$Y$3,IF(MONTH($C583)=5,$Y$4,IF(MONTH($C583)=6,$Y$5,IF(MONTH($C583)=7,$Y$6,"ERROR")))),0),MAX(VLOOKUP($C583,COS!$B$8:$K$991,9,FALSE)-IF(MONTH($C583)=4,$V$3,IF(MONTH($C583)=5,$V$4,IF(MONTH($C583)=6,$V$5,IF(MONTH($C583)=7,$V$6,"ERROR"))))-VLOOKUP($C583,COS!$B$8:$K$991,6,FALSE)/2,0))</f>
        <v>1500</v>
      </c>
      <c r="S583" s="26">
        <f t="shared" si="934"/>
        <v>89.256198347107429</v>
      </c>
      <c r="T583" s="26">
        <f t="shared" si="935"/>
        <v>191.78031823024276</v>
      </c>
      <c r="U583" s="26" t="str">
        <f>IF(VLOOKUP($C583,COS!$B$8:$I$991,8,FALSE)=1,"UWFE","IBU")</f>
        <v>IBU</v>
      </c>
      <c r="V583" s="26">
        <f t="shared" ref="V583" si="938">MIN(IF(IF($AA$3=2,AND(E583=1,G583=1,L583=1,L586=1,M583=1,U583="IBU"),AND(E583=1,G583=1,L583=1,L586=1,M583=1)),T583,0),I583)</f>
        <v>156.96504390495866</v>
      </c>
      <c r="W583" s="26"/>
      <c r="X583" s="26"/>
      <c r="Y583" s="26"/>
      <c r="Z583" s="26"/>
      <c r="AA583" s="26"/>
      <c r="AB583" s="33"/>
    </row>
    <row r="584" spans="1:28" x14ac:dyDescent="0.3">
      <c r="A584" s="32">
        <f>VLOOKUP(YEAR(C584),Flags!$A$13:$B$95,2,FALSE)</f>
        <v>3</v>
      </c>
      <c r="B584" s="24">
        <f t="shared" si="841"/>
        <v>1985</v>
      </c>
      <c r="C584" s="25">
        <v>31259</v>
      </c>
      <c r="D584" s="26">
        <f>VLOOKUP($C584,COS!$B$8:$H$991,3,FALSE)</f>
        <v>15330.47265625</v>
      </c>
      <c r="E584" s="24">
        <f>IF(D584&gt;=IF(MONTH($C584)=4,$C$3,IF(MONTH($C584)=5,$C$4,IF(MONTH($C584)=6,$C$5,IF(MONTH($C584)=7,$C$6,"ERROR")))),1,0)</f>
        <v>1</v>
      </c>
      <c r="F584" s="26">
        <f>VLOOKUP($C584,COS!$B$8:$H$991,7,FALSE)</f>
        <v>53.327499389648438</v>
      </c>
      <c r="G584" s="24">
        <f>IF(F584&lt;=IF(MONTH($C584)=4,$F$3,IF(MONTH($C584)=5,$F$4,IF(MONTH($C584)=6,$F$5,IF(MONTH($C584)=7,$F$6,"ERROR")))),1,0)</f>
        <v>1</v>
      </c>
      <c r="H584" s="26">
        <f>IF(J584=1,D584-$C$6,0)</f>
        <v>3330.47265625</v>
      </c>
      <c r="I584" s="26">
        <f t="shared" si="872"/>
        <v>204.78278150826446</v>
      </c>
      <c r="J584" s="24">
        <f t="shared" si="929"/>
        <v>1</v>
      </c>
      <c r="K584" s="26">
        <f>VLOOKUP($C584,COS!$B$8:$H$991,2,FALSE)</f>
        <v>2582.746337890625</v>
      </c>
      <c r="L584" s="24">
        <f t="shared" si="843"/>
        <v>1</v>
      </c>
      <c r="M584" s="24">
        <f t="shared" si="844"/>
        <v>1</v>
      </c>
      <c r="N584" s="26">
        <f>VLOOKUP($C584,COS!$B$8:$H$991,5,FALSE)</f>
        <v>805.3907470703125</v>
      </c>
      <c r="O584" s="26">
        <f t="shared" si="932"/>
        <v>49.521546762009294</v>
      </c>
      <c r="P584" s="26">
        <f>VLOOKUP($C584,COS!$B$8:$H$991,6,FALSE)</f>
        <v>2442.872314453125</v>
      </c>
      <c r="Q584" s="26">
        <f t="shared" si="933"/>
        <v>150.20636379777892</v>
      </c>
      <c r="R584" s="26">
        <f>MIN(IF(MONTH($C584)=4,$S$3,IF(MONTH($C584)=5,$S$4,IF(MONTH($C584)=6,$S$5,IF(MONTH($C584)=7,$S$6,"ERROR")))),MAX(VLOOKUP($C584,COS!$B$8:$K$991,10,FALSE)-IF(MONTH($C584)=4,$Y$3,IF(MONTH($C584)=5,$Y$4,IF(MONTH($C584)=6,$Y$5,IF(MONTH($C584)=7,$Y$6,"ERROR")))),0),MAX(VLOOKUP($C584,COS!$B$8:$K$991,9,FALSE)-IF(MONTH($C584)=4,$V$3,IF(MONTH($C584)=5,$V$4,IF(MONTH($C584)=6,$V$5,IF(MONTH($C584)=7,$V$6,"ERROR"))))-VLOOKUP($C584,COS!$B$8:$K$991,6,FALSE)/2,0))</f>
        <v>1500</v>
      </c>
      <c r="S584" s="26">
        <f t="shared" si="934"/>
        <v>92.231404958677686</v>
      </c>
      <c r="T584" s="26">
        <f t="shared" si="935"/>
        <v>192.0953602385718</v>
      </c>
      <c r="U584" s="26" t="str">
        <f>IF(VLOOKUP($C584,COS!$B$8:$I$991,8,FALSE)=1,"UWFE","IBU")</f>
        <v>IBU</v>
      </c>
      <c r="V584" s="26">
        <f t="shared" ref="V584" si="939">MIN(IF(IF($AA$3=2,AND(E584=1,G584=1,L584=1,L586=1,M584=1,U584="IBU"),AND(E584=1,G584=1,L584=1,L586=1,M584=1)),T584,0),I584)</f>
        <v>192.0953602385718</v>
      </c>
      <c r="W584" s="26"/>
      <c r="X584" s="26"/>
      <c r="Y584" s="26"/>
      <c r="Z584" s="26"/>
      <c r="AA584" s="26"/>
      <c r="AB584" s="33"/>
    </row>
    <row r="585" spans="1:28" x14ac:dyDescent="0.3">
      <c r="A585" s="32">
        <f>VLOOKUP(YEAR(C585),Flags!$A$13:$B$95,2,FALSE)</f>
        <v>3</v>
      </c>
      <c r="B585" s="24">
        <f t="shared" si="841"/>
        <v>1985</v>
      </c>
      <c r="C585" s="25">
        <v>31290</v>
      </c>
      <c r="D585" s="26"/>
      <c r="E585" s="24"/>
      <c r="F585" s="26"/>
      <c r="G585" s="24"/>
      <c r="H585" s="24"/>
      <c r="I585" s="26"/>
      <c r="J585" s="24"/>
      <c r="K585" s="26"/>
      <c r="L585" s="24"/>
      <c r="M585" s="24"/>
      <c r="N585" s="26"/>
      <c r="O585" s="26"/>
      <c r="P585" s="26"/>
      <c r="Q585" s="26"/>
      <c r="R585" s="26"/>
      <c r="S585" s="26"/>
      <c r="T585" s="26"/>
      <c r="U585" s="26"/>
      <c r="V585" s="26"/>
      <c r="W585" s="26">
        <f>MAX($C$7-VLOOKUP($C585,COS!$B$8:$H$991,3,FALSE),0)</f>
        <v>88180.107421875</v>
      </c>
      <c r="X585" s="26">
        <f t="shared" si="870"/>
        <v>5421.9834646177687</v>
      </c>
      <c r="Y585" s="26">
        <f>VLOOKUP($C585,COS!$B$8:$H$991,4,FALSE)</f>
        <v>2388.483154296875</v>
      </c>
      <c r="Z585" s="26">
        <f t="shared" si="871"/>
        <v>146.86210469395661</v>
      </c>
      <c r="AA585" s="26">
        <f t="shared" ref="AA585:AA589" si="940">MIN(W585,Y585)</f>
        <v>2388.483154296875</v>
      </c>
      <c r="AB585" s="33">
        <f t="shared" ref="AB585" si="941">AA585*DAY($C585)*86400/43560/1000*IF(MONTH($C585)=8,$P$3,IF(MONTH($C585)=9,$P$4,IF(MONTH($C585)=10,$P$5,IF(MONTH($C585)=11,$P$6,IF(MONTH($C585)=12,$P$7,NA())))))</f>
        <v>146.86210469395661</v>
      </c>
    </row>
    <row r="586" spans="1:28" x14ac:dyDescent="0.3">
      <c r="A586" s="32">
        <f>VLOOKUP(YEAR(C586),Flags!$A$13:$B$95,2,FALSE)</f>
        <v>3</v>
      </c>
      <c r="B586" s="24">
        <f t="shared" si="841"/>
        <v>1985</v>
      </c>
      <c r="C586" s="25">
        <v>31320</v>
      </c>
      <c r="D586" s="26"/>
      <c r="E586" s="24"/>
      <c r="F586" s="26"/>
      <c r="G586" s="24"/>
      <c r="H586" s="24"/>
      <c r="I586" s="26"/>
      <c r="J586" s="24"/>
      <c r="K586" s="26">
        <f>VLOOKUP($C586,COS!$B$8:$H$991,2,FALSE)</f>
        <v>2217.799560546875</v>
      </c>
      <c r="L586" s="24">
        <f t="shared" ref="L586" si="942">IF(AND(K586&gt;$I$7,K586&lt;$I$8),1,0)</f>
        <v>1</v>
      </c>
      <c r="M586" s="24"/>
      <c r="N586" s="26"/>
      <c r="O586" s="26"/>
      <c r="P586" s="26"/>
      <c r="Q586" s="26"/>
      <c r="R586" s="26"/>
      <c r="S586" s="26"/>
      <c r="T586" s="26"/>
      <c r="U586" s="26"/>
      <c r="V586" s="26"/>
      <c r="W586" s="26">
        <f>MAX($C$8-VLOOKUP($C586,COS!$B$8:$H$991,3,FALSE),0)</f>
        <v>94424.607421875</v>
      </c>
      <c r="X586" s="26">
        <f t="shared" si="870"/>
        <v>5618.6543259297514</v>
      </c>
      <c r="Y586" s="26">
        <f>VLOOKUP($C586,COS!$B$8:$H$991,4,FALSE)</f>
        <v>202.43043518066406</v>
      </c>
      <c r="Z586" s="26">
        <f t="shared" si="871"/>
        <v>12.045447382651084</v>
      </c>
      <c r="AA586" s="26">
        <f t="shared" si="940"/>
        <v>202.43043518066406</v>
      </c>
      <c r="AB586" s="33">
        <f t="shared" si="854"/>
        <v>12.045447382651084</v>
      </c>
    </row>
    <row r="587" spans="1:28" x14ac:dyDescent="0.3">
      <c r="A587" s="32">
        <f>VLOOKUP(YEAR(C587),Flags!$A$13:$B$95,2,FALSE)</f>
        <v>3</v>
      </c>
      <c r="B587" s="24">
        <f t="shared" si="841"/>
        <v>1985</v>
      </c>
      <c r="C587" s="25">
        <v>31351</v>
      </c>
      <c r="D587" s="26"/>
      <c r="E587" s="24"/>
      <c r="F587" s="26"/>
      <c r="G587" s="26"/>
      <c r="H587" s="26"/>
      <c r="I587" s="26"/>
      <c r="J587" s="26"/>
      <c r="K587" s="26"/>
      <c r="L587" s="24"/>
      <c r="M587" s="24"/>
      <c r="N587" s="26"/>
      <c r="O587" s="26"/>
      <c r="P587" s="26"/>
      <c r="Q587" s="26"/>
      <c r="R587" s="26"/>
      <c r="S587" s="26"/>
      <c r="T587" s="26"/>
      <c r="U587" s="26"/>
      <c r="V587" s="26"/>
      <c r="W587" s="26">
        <f>MAX($C$9-VLOOKUP($C587,COS!$B$8:$H$991,3,FALSE),0)</f>
        <v>95205.248046875</v>
      </c>
      <c r="X587" s="26">
        <f t="shared" si="870"/>
        <v>5853.942524535124</v>
      </c>
      <c r="Y587" s="26">
        <f>VLOOKUP($C587,COS!$B$8:$H$991,4,FALSE)</f>
        <v>1064.7911376953125</v>
      </c>
      <c r="Z587" s="26">
        <f t="shared" si="871"/>
        <v>65.471455078125004</v>
      </c>
      <c r="AA587" s="26">
        <f t="shared" si="940"/>
        <v>1064.7911376953125</v>
      </c>
      <c r="AB587" s="33">
        <f t="shared" si="854"/>
        <v>65.471455078125004</v>
      </c>
    </row>
    <row r="588" spans="1:28" x14ac:dyDescent="0.3">
      <c r="A588" s="32">
        <f>VLOOKUP(YEAR(C588),Flags!$A$13:$B$95,2,FALSE)</f>
        <v>3</v>
      </c>
      <c r="B588" s="24">
        <f t="shared" si="841"/>
        <v>1985</v>
      </c>
      <c r="C588" s="25">
        <v>31381</v>
      </c>
      <c r="D588" s="26"/>
      <c r="E588" s="24"/>
      <c r="F588" s="26"/>
      <c r="G588" s="26"/>
      <c r="H588" s="26"/>
      <c r="I588" s="26"/>
      <c r="J588" s="26"/>
      <c r="K588" s="26"/>
      <c r="L588" s="24"/>
      <c r="M588" s="24"/>
      <c r="N588" s="26"/>
      <c r="O588" s="26"/>
      <c r="P588" s="26"/>
      <c r="Q588" s="26"/>
      <c r="R588" s="26"/>
      <c r="S588" s="26"/>
      <c r="T588" s="26"/>
      <c r="U588" s="26"/>
      <c r="V588" s="26"/>
      <c r="W588" s="26">
        <f>MAX($C$10-VLOOKUP($C588,COS!$B$8:$H$991,3,FALSE),0)</f>
        <v>96373.38037109375</v>
      </c>
      <c r="X588" s="26">
        <f t="shared" si="870"/>
        <v>5734.6143691890502</v>
      </c>
      <c r="Y588" s="26">
        <f>VLOOKUP($C588,COS!$B$8:$H$991,4,FALSE)</f>
        <v>110.72906494140625</v>
      </c>
      <c r="Z588" s="26">
        <f t="shared" si="871"/>
        <v>6.5888369221332646</v>
      </c>
      <c r="AA588" s="26">
        <f t="shared" si="940"/>
        <v>110.72906494140625</v>
      </c>
      <c r="AB588" s="33">
        <f t="shared" si="854"/>
        <v>3.2944184610666323</v>
      </c>
    </row>
    <row r="589" spans="1:28" x14ac:dyDescent="0.3">
      <c r="A589" s="34">
        <f>VLOOKUP(YEAR(C589),Flags!$A$13:$B$95,2,FALSE)</f>
        <v>3</v>
      </c>
      <c r="B589" s="35">
        <f t="shared" si="841"/>
        <v>1985</v>
      </c>
      <c r="C589" s="36">
        <v>31412</v>
      </c>
      <c r="D589" s="37"/>
      <c r="E589" s="35"/>
      <c r="F589" s="37"/>
      <c r="G589" s="37"/>
      <c r="H589" s="37"/>
      <c r="I589" s="37"/>
      <c r="J589" s="37"/>
      <c r="K589" s="37"/>
      <c r="L589" s="35"/>
      <c r="M589" s="35"/>
      <c r="N589" s="37"/>
      <c r="O589" s="37"/>
      <c r="P589" s="37"/>
      <c r="Q589" s="37"/>
      <c r="R589" s="37"/>
      <c r="S589" s="37"/>
      <c r="T589" s="37"/>
      <c r="U589" s="37"/>
      <c r="V589" s="37"/>
      <c r="W589" s="37">
        <f>MAX($C$11-VLOOKUP($C589,COS!$B$8:$H$991,3,FALSE),0)</f>
        <v>0</v>
      </c>
      <c r="X589" s="37">
        <f t="shared" si="870"/>
        <v>0</v>
      </c>
      <c r="Y589" s="37">
        <f>VLOOKUP($C589,COS!$B$8:$H$991,4,FALSE)</f>
        <v>364.45733642578125</v>
      </c>
      <c r="Z589" s="37">
        <f t="shared" si="871"/>
        <v>22.409608124031507</v>
      </c>
      <c r="AA589" s="37">
        <f t="shared" si="940"/>
        <v>0</v>
      </c>
      <c r="AB589" s="38">
        <f t="shared" si="854"/>
        <v>0</v>
      </c>
    </row>
    <row r="590" spans="1:28" x14ac:dyDescent="0.3">
      <c r="A590" s="27">
        <f>VLOOKUP(YEAR(C590),Flags!$A$13:$B$95,2,FALSE)</f>
        <v>1</v>
      </c>
      <c r="B590" s="28">
        <f t="shared" si="841"/>
        <v>1986</v>
      </c>
      <c r="C590" s="29">
        <v>31532</v>
      </c>
      <c r="D590" s="30">
        <f>VLOOKUP($C590,COS!$B$8:$H$991,3,FALSE)</f>
        <v>3250</v>
      </c>
      <c r="E590" s="28">
        <f>IF(D590&gt;=IF(MONTH($C590)=4,$C$3,IF(MONTH($C590)=5,$C$4,IF(MONTH($C590)=6,$C$5,IF(MONTH($C590)=7,$C$6,"ERROR")))),1,0)</f>
        <v>0</v>
      </c>
      <c r="F590" s="30">
        <f>VLOOKUP($C590,COS!$B$8:$H$991,7,FALSE)</f>
        <v>51.891460418701172</v>
      </c>
      <c r="G590" s="28">
        <f>IF(F590&lt;=IF(MONTH($C590)=4,$F$3,IF(MONTH($C590)=5,$F$4,IF(MONTH($C590)=6,$F$5,IF(MONTH($C590)=7,$F$6,"ERROR")))),1,0)</f>
        <v>1</v>
      </c>
      <c r="H590" s="30">
        <f>IF(J590=1,D590-$C$3,0)</f>
        <v>0</v>
      </c>
      <c r="I590" s="30">
        <f t="shared" si="872"/>
        <v>0</v>
      </c>
      <c r="J590" s="28">
        <f t="shared" ref="J590:J593" si="943">IF(AND(E590=1,G590=1),1,0)</f>
        <v>0</v>
      </c>
      <c r="K590" s="30">
        <f>VLOOKUP($C590,COS!$B$8:$H$991,2,FALSE)</f>
        <v>4012.635986328125</v>
      </c>
      <c r="L590" s="28">
        <f t="shared" ref="L590:L647" si="944">IF(K590&lt;=IF(MONTH($C590)=4,$I$3,IF(MONTH($C590)=5,$I$4,IF(MONTH($C590)=6,$I$5,IF(MONTH($C590)=7,$I$6,"ERROR")))),1,0)</f>
        <v>1</v>
      </c>
      <c r="M590" s="28">
        <f t="shared" ref="M590:M647" si="945">VLOOKUP($A590,$L$3:$M$7,2,FALSE)</f>
        <v>0</v>
      </c>
      <c r="N590" s="30">
        <f>VLOOKUP($C590,COS!$B$8:$H$991,5,FALSE)</f>
        <v>174.09121704101563</v>
      </c>
      <c r="O590" s="30">
        <f t="shared" ref="O590:O593" si="946">N590*DAY($C590)*86400/43560/1000</f>
        <v>10.359146799134814</v>
      </c>
      <c r="P590" s="30">
        <f>VLOOKUP($C590,COS!$B$8:$H$991,6,FALSE)</f>
        <v>419.7452392578125</v>
      </c>
      <c r="Q590" s="30">
        <f t="shared" ref="Q590:Q593" si="947">P590*DAY($C590)*86400/43560/1000</f>
        <v>24.976576220299588</v>
      </c>
      <c r="R590" s="30">
        <f>MIN(IF(MONTH($C590)=4,$S$3,IF(MONTH($C590)=5,$S$4,IF(MONTH($C590)=6,$S$5,IF(MONTH($C590)=7,$S$6,"ERROR")))),MAX(VLOOKUP($C590,COS!$B$8:$K$991,10,FALSE)-IF(MONTH($C590)=4,$Y$3,IF(MONTH($C590)=5,$Y$4,IF(MONTH($C590)=6,$Y$5,IF(MONTH($C590)=7,$Y$6,"ERROR")))),0),MAX(VLOOKUP($C590,COS!$B$8:$K$991,9,FALSE)-IF(MONTH($C590)=4,$V$3,IF(MONTH($C590)=5,$V$4,IF(MONTH($C590)=6,$V$5,IF(MONTH($C590)=7,$V$6,"ERROR"))))-VLOOKUP($C590,COS!$B$8:$K$991,6,FALSE)/2,0))</f>
        <v>1500</v>
      </c>
      <c r="S590" s="30">
        <f t="shared" ref="S590:S593" si="948">R590*DAY($C590)*86400/43560/1000</f>
        <v>89.256198347107429</v>
      </c>
      <c r="T590" s="30">
        <f t="shared" ref="T590:T593" si="949">(O590+Q590)/2+S590</f>
        <v>106.92405985682463</v>
      </c>
      <c r="U590" s="30" t="str">
        <f>IF(VLOOKUP($C590,COS!$B$8:$I$991,8,FALSE)=1,"UWFE","IBU")</f>
        <v>UWFE</v>
      </c>
      <c r="V590" s="30">
        <f t="shared" ref="V590" si="950">MIN(IF(IF($AA$3=2,AND(E590=1,G590=1,L590=1,L595=1,M590=1,U590="IBU"),AND(E590=1,G590=1,L590=1,L595=1,M590=1)),T590,0),I590)</f>
        <v>0</v>
      </c>
      <c r="W590" s="30"/>
      <c r="X590" s="30"/>
      <c r="Y590" s="30"/>
      <c r="Z590" s="30"/>
      <c r="AA590" s="30"/>
      <c r="AB590" s="31"/>
    </row>
    <row r="591" spans="1:28" x14ac:dyDescent="0.3">
      <c r="A591" s="32">
        <f>VLOOKUP(YEAR(C591),Flags!$A$13:$B$95,2,FALSE)</f>
        <v>1</v>
      </c>
      <c r="B591" s="24">
        <f t="shared" ref="B591:B654" si="951">YEAR(C591)</f>
        <v>1986</v>
      </c>
      <c r="C591" s="25">
        <v>31563</v>
      </c>
      <c r="D591" s="26">
        <f>VLOOKUP($C591,COS!$B$8:$H$991,3,FALSE)</f>
        <v>6404.04443359375</v>
      </c>
      <c r="E591" s="24">
        <f>IF(D591&gt;=IF(MONTH($C591)=4,$C$3,IF(MONTH($C591)=5,$C$4,IF(MONTH($C591)=6,$C$5,IF(MONTH($C591)=7,$C$6,"ERROR")))),1,0)</f>
        <v>1</v>
      </c>
      <c r="F591" s="26">
        <f>VLOOKUP($C591,COS!$B$8:$H$991,7,FALSE)</f>
        <v>50.922679901123047</v>
      </c>
      <c r="G591" s="24">
        <f>IF(F591&lt;=IF(MONTH($C591)=4,$F$3,IF(MONTH($C591)=5,$F$4,IF(MONTH($C591)=6,$F$5,IF(MONTH($C591)=7,$F$6,"ERROR")))),1,0)</f>
        <v>1</v>
      </c>
      <c r="H591" s="26">
        <f>IF(J591=1,D591-$C$4,0)</f>
        <v>404.04443359375</v>
      </c>
      <c r="I591" s="26">
        <f t="shared" si="872"/>
        <v>24.843723850723141</v>
      </c>
      <c r="J591" s="24">
        <f t="shared" si="943"/>
        <v>1</v>
      </c>
      <c r="K591" s="26">
        <f>VLOOKUP($C591,COS!$B$8:$H$991,2,FALSE)</f>
        <v>4026.975341796875</v>
      </c>
      <c r="L591" s="24">
        <f t="shared" si="944"/>
        <v>1</v>
      </c>
      <c r="M591" s="24">
        <f t="shared" si="945"/>
        <v>0</v>
      </c>
      <c r="N591" s="26">
        <f>VLOOKUP($C591,COS!$B$8:$H$991,5,FALSE)</f>
        <v>294.54061889648438</v>
      </c>
      <c r="O591" s="26">
        <f t="shared" si="946"/>
        <v>18.110596732147467</v>
      </c>
      <c r="P591" s="26">
        <f>VLOOKUP($C591,COS!$B$8:$H$991,6,FALSE)</f>
        <v>2245.033447265625</v>
      </c>
      <c r="Q591" s="26">
        <f t="shared" si="947"/>
        <v>138.04172601368802</v>
      </c>
      <c r="R591" s="26">
        <f>MIN(IF(MONTH($C591)=4,$S$3,IF(MONTH($C591)=5,$S$4,IF(MONTH($C591)=6,$S$5,IF(MONTH($C591)=7,$S$6,"ERROR")))),MAX(VLOOKUP($C591,COS!$B$8:$K$991,10,FALSE)-IF(MONTH($C591)=4,$Y$3,IF(MONTH($C591)=5,$Y$4,IF(MONTH($C591)=6,$Y$5,IF(MONTH($C591)=7,$Y$6,"ERROR")))),0),MAX(VLOOKUP($C591,COS!$B$8:$K$991,9,FALSE)-IF(MONTH($C591)=4,$V$3,IF(MONTH($C591)=5,$V$4,IF(MONTH($C591)=6,$V$5,IF(MONTH($C591)=7,$V$6,"ERROR"))))-VLOOKUP($C591,COS!$B$8:$K$991,6,FALSE)/2,0))</f>
        <v>1500</v>
      </c>
      <c r="S591" s="26">
        <f t="shared" si="948"/>
        <v>92.231404958677686</v>
      </c>
      <c r="T591" s="26">
        <f t="shared" si="949"/>
        <v>170.30756633159541</v>
      </c>
      <c r="U591" s="26" t="str">
        <f>IF(VLOOKUP($C591,COS!$B$8:$I$991,8,FALSE)=1,"UWFE","IBU")</f>
        <v>UWFE</v>
      </c>
      <c r="V591" s="26">
        <f t="shared" ref="V591" si="952">MIN(IF(IF($AA$3=2,AND(E591=1,G591=1,L591=1,L595=1,M591=1,U591="IBU"),AND(E591=1,G591=1,L591=1,L595=1,M591=1)),T591,0),I591)</f>
        <v>0</v>
      </c>
      <c r="W591" s="26"/>
      <c r="X591" s="26"/>
      <c r="Y591" s="26"/>
      <c r="Z591" s="26"/>
      <c r="AA591" s="26"/>
      <c r="AB591" s="33"/>
    </row>
    <row r="592" spans="1:28" x14ac:dyDescent="0.3">
      <c r="A592" s="32">
        <f>VLOOKUP(YEAR(C592),Flags!$A$13:$B$95,2,FALSE)</f>
        <v>1</v>
      </c>
      <c r="B592" s="24">
        <f t="shared" si="951"/>
        <v>1986</v>
      </c>
      <c r="C592" s="25">
        <v>31593</v>
      </c>
      <c r="D592" s="26">
        <f>VLOOKUP($C592,COS!$B$8:$H$991,3,FALSE)</f>
        <v>8645.5615234375</v>
      </c>
      <c r="E592" s="24">
        <f>IF(D592&gt;=IF(MONTH($C592)=4,$C$3,IF(MONTH($C592)=5,$C$4,IF(MONTH($C592)=6,$C$5,IF(MONTH($C592)=7,$C$6,"ERROR")))),1,0)</f>
        <v>0</v>
      </c>
      <c r="F592" s="26">
        <f>VLOOKUP($C592,COS!$B$8:$H$991,7,FALSE)</f>
        <v>51.637722015380859</v>
      </c>
      <c r="G592" s="24">
        <f>IF(F592&lt;=IF(MONTH($C592)=4,$F$3,IF(MONTH($C592)=5,$F$4,IF(MONTH($C592)=6,$F$5,IF(MONTH($C592)=7,$F$6,"ERROR")))),1,0)</f>
        <v>1</v>
      </c>
      <c r="H592" s="26">
        <f>IF(J592=1,D592-$C$5,0)</f>
        <v>0</v>
      </c>
      <c r="I592" s="26">
        <f t="shared" si="872"/>
        <v>0</v>
      </c>
      <c r="J592" s="24">
        <f t="shared" si="943"/>
        <v>0</v>
      </c>
      <c r="K592" s="26">
        <f>VLOOKUP($C592,COS!$B$8:$H$991,2,FALSE)</f>
        <v>3745.956298828125</v>
      </c>
      <c r="L592" s="24">
        <f t="shared" si="944"/>
        <v>1</v>
      </c>
      <c r="M592" s="24">
        <f t="shared" si="945"/>
        <v>0</v>
      </c>
      <c r="N592" s="26">
        <f>VLOOKUP($C592,COS!$B$8:$H$991,5,FALSE)</f>
        <v>616.0546875</v>
      </c>
      <c r="O592" s="26">
        <f t="shared" si="946"/>
        <v>36.657799586776861</v>
      </c>
      <c r="P592" s="26">
        <f>VLOOKUP($C592,COS!$B$8:$H$991,6,FALSE)</f>
        <v>2278.943359375</v>
      </c>
      <c r="Q592" s="26">
        <f t="shared" si="947"/>
        <v>135.60654700413224</v>
      </c>
      <c r="R592" s="26">
        <f>MIN(IF(MONTH($C592)=4,$S$3,IF(MONTH($C592)=5,$S$4,IF(MONTH($C592)=6,$S$5,IF(MONTH($C592)=7,$S$6,"ERROR")))),MAX(VLOOKUP($C592,COS!$B$8:$K$991,10,FALSE)-IF(MONTH($C592)=4,$Y$3,IF(MONTH($C592)=5,$Y$4,IF(MONTH($C592)=6,$Y$5,IF(MONTH($C592)=7,$Y$6,"ERROR")))),0),MAX(VLOOKUP($C592,COS!$B$8:$K$991,9,FALSE)-IF(MONTH($C592)=4,$V$3,IF(MONTH($C592)=5,$V$4,IF(MONTH($C592)=6,$V$5,IF(MONTH($C592)=7,$V$6,"ERROR"))))-VLOOKUP($C592,COS!$B$8:$K$991,6,FALSE)/2,0))</f>
        <v>1500</v>
      </c>
      <c r="S592" s="26">
        <f t="shared" si="948"/>
        <v>89.256198347107429</v>
      </c>
      <c r="T592" s="26">
        <f t="shared" si="949"/>
        <v>175.38837164256199</v>
      </c>
      <c r="U592" s="26" t="str">
        <f>IF(VLOOKUP($C592,COS!$B$8:$I$991,8,FALSE)=1,"UWFE","IBU")</f>
        <v>IBU</v>
      </c>
      <c r="V592" s="26">
        <f t="shared" ref="V592" si="953">MIN(IF(IF($AA$3=2,AND(E592=1,G592=1,L592=1,L595=1,M592=1,U592="IBU"),AND(E592=1,G592=1,L592=1,L595=1,M592=1)),T592,0),I592)</f>
        <v>0</v>
      </c>
      <c r="W592" s="26"/>
      <c r="X592" s="26"/>
      <c r="Y592" s="26"/>
      <c r="Z592" s="26"/>
      <c r="AA592" s="26"/>
      <c r="AB592" s="33"/>
    </row>
    <row r="593" spans="1:28" x14ac:dyDescent="0.3">
      <c r="A593" s="32">
        <f>VLOOKUP(YEAR(C593),Flags!$A$13:$B$95,2,FALSE)</f>
        <v>1</v>
      </c>
      <c r="B593" s="24">
        <f t="shared" si="951"/>
        <v>1986</v>
      </c>
      <c r="C593" s="25">
        <v>31624</v>
      </c>
      <c r="D593" s="26">
        <f>VLOOKUP($C593,COS!$B$8:$H$991,3,FALSE)</f>
        <v>12633.615234375</v>
      </c>
      <c r="E593" s="24">
        <f>IF(D593&gt;=IF(MONTH($C593)=4,$C$3,IF(MONTH($C593)=5,$C$4,IF(MONTH($C593)=6,$C$5,IF(MONTH($C593)=7,$C$6,"ERROR")))),1,0)</f>
        <v>1</v>
      </c>
      <c r="F593" s="26">
        <f>VLOOKUP($C593,COS!$B$8:$H$991,7,FALSE)</f>
        <v>51.914817810058594</v>
      </c>
      <c r="G593" s="24">
        <f>IF(F593&lt;=IF(MONTH($C593)=4,$F$3,IF(MONTH($C593)=5,$F$4,IF(MONTH($C593)=6,$F$5,IF(MONTH($C593)=7,$F$6,"ERROR")))),1,0)</f>
        <v>1</v>
      </c>
      <c r="H593" s="26">
        <f>IF(J593=1,D593-$C$6,0)</f>
        <v>633.615234375</v>
      </c>
      <c r="I593" s="26">
        <f t="shared" si="872"/>
        <v>38.959482179752065</v>
      </c>
      <c r="J593" s="24">
        <f t="shared" si="943"/>
        <v>1</v>
      </c>
      <c r="K593" s="26">
        <f>VLOOKUP($C593,COS!$B$8:$H$991,2,FALSE)</f>
        <v>3301.90478515625</v>
      </c>
      <c r="L593" s="24">
        <f t="shared" si="944"/>
        <v>1</v>
      </c>
      <c r="M593" s="24">
        <f t="shared" si="945"/>
        <v>0</v>
      </c>
      <c r="N593" s="26">
        <f>VLOOKUP($C593,COS!$B$8:$H$991,5,FALSE)</f>
        <v>673.447265625</v>
      </c>
      <c r="O593" s="26">
        <f t="shared" si="946"/>
        <v>41.408658316115705</v>
      </c>
      <c r="P593" s="26">
        <f>VLOOKUP($C593,COS!$B$8:$H$991,6,FALSE)</f>
        <v>2521.474853515625</v>
      </c>
      <c r="Q593" s="26">
        <f t="shared" si="947"/>
        <v>155.0394455384814</v>
      </c>
      <c r="R593" s="26">
        <f>MIN(IF(MONTH($C593)=4,$S$3,IF(MONTH($C593)=5,$S$4,IF(MONTH($C593)=6,$S$5,IF(MONTH($C593)=7,$S$6,"ERROR")))),MAX(VLOOKUP($C593,COS!$B$8:$K$991,10,FALSE)-IF(MONTH($C593)=4,$Y$3,IF(MONTH($C593)=5,$Y$4,IF(MONTH($C593)=6,$Y$5,IF(MONTH($C593)=7,$Y$6,"ERROR")))),0),MAX(VLOOKUP($C593,COS!$B$8:$K$991,9,FALSE)-IF(MONTH($C593)=4,$V$3,IF(MONTH($C593)=5,$V$4,IF(MONTH($C593)=6,$V$5,IF(MONTH($C593)=7,$V$6,"ERROR"))))-VLOOKUP($C593,COS!$B$8:$K$991,6,FALSE)/2,0))</f>
        <v>1500</v>
      </c>
      <c r="S593" s="26">
        <f t="shared" si="948"/>
        <v>92.231404958677686</v>
      </c>
      <c r="T593" s="26">
        <f t="shared" si="949"/>
        <v>190.45545688597622</v>
      </c>
      <c r="U593" s="26" t="str">
        <f>IF(VLOOKUP($C593,COS!$B$8:$I$991,8,FALSE)=1,"UWFE","IBU")</f>
        <v>IBU</v>
      </c>
      <c r="V593" s="26">
        <f t="shared" ref="V593" si="954">MIN(IF(IF($AA$3=2,AND(E593=1,G593=1,L593=1,L595=1,M593=1,U593="IBU"),AND(E593=1,G593=1,L593=1,L595=1,M593=1)),T593,0),I593)</f>
        <v>0</v>
      </c>
      <c r="W593" s="26"/>
      <c r="X593" s="26"/>
      <c r="Y593" s="26"/>
      <c r="Z593" s="26"/>
      <c r="AA593" s="26"/>
      <c r="AB593" s="33"/>
    </row>
    <row r="594" spans="1:28" x14ac:dyDescent="0.3">
      <c r="A594" s="32">
        <f>VLOOKUP(YEAR(C594),Flags!$A$13:$B$95,2,FALSE)</f>
        <v>1</v>
      </c>
      <c r="B594" s="24">
        <f t="shared" si="951"/>
        <v>1986</v>
      </c>
      <c r="C594" s="25">
        <v>31655</v>
      </c>
      <c r="D594" s="26"/>
      <c r="E594" s="24"/>
      <c r="F594" s="26"/>
      <c r="G594" s="24"/>
      <c r="H594" s="24"/>
      <c r="I594" s="26"/>
      <c r="J594" s="24"/>
      <c r="K594" s="26"/>
      <c r="L594" s="24"/>
      <c r="M594" s="24"/>
      <c r="N594" s="26"/>
      <c r="O594" s="26"/>
      <c r="P594" s="26"/>
      <c r="Q594" s="26"/>
      <c r="R594" s="26"/>
      <c r="S594" s="26"/>
      <c r="T594" s="26"/>
      <c r="U594" s="26"/>
      <c r="V594" s="26"/>
      <c r="W594" s="26">
        <f>MAX($C$7-VLOOKUP($C594,COS!$B$8:$H$991,3,FALSE),0)</f>
        <v>90769.2431640625</v>
      </c>
      <c r="X594" s="26">
        <f t="shared" si="870"/>
        <v>5581.1832160382237</v>
      </c>
      <c r="Y594" s="26">
        <f>VLOOKUP($C594,COS!$B$8:$H$991,4,FALSE)</f>
        <v>387.97982788085938</v>
      </c>
      <c r="Z594" s="26">
        <f t="shared" si="871"/>
        <v>23.855949747385072</v>
      </c>
      <c r="AA594" s="26">
        <f t="shared" ref="AA594:AA598" si="955">MIN(W594,Y594)</f>
        <v>387.97982788085938</v>
      </c>
      <c r="AB594" s="33">
        <f t="shared" ref="AB594:AB652" si="956">AA594*DAY($C594)*86400/43560/1000*IF(MONTH($C594)=8,$P$3,IF(MONTH($C594)=9,$P$4,IF(MONTH($C594)=10,$P$5,IF(MONTH($C594)=11,$P$6,IF(MONTH($C594)=12,$P$7,NA())))))</f>
        <v>23.855949747385072</v>
      </c>
    </row>
    <row r="595" spans="1:28" x14ac:dyDescent="0.3">
      <c r="A595" s="32">
        <f>VLOOKUP(YEAR(C595),Flags!$A$13:$B$95,2,FALSE)</f>
        <v>1</v>
      </c>
      <c r="B595" s="24">
        <f t="shared" si="951"/>
        <v>1986</v>
      </c>
      <c r="C595" s="25">
        <v>31685</v>
      </c>
      <c r="D595" s="26"/>
      <c r="E595" s="24"/>
      <c r="F595" s="26"/>
      <c r="G595" s="24"/>
      <c r="H595" s="24"/>
      <c r="I595" s="26"/>
      <c r="J595" s="24"/>
      <c r="K595" s="26">
        <f>VLOOKUP($C595,COS!$B$8:$H$991,2,FALSE)</f>
        <v>2914.57763671875</v>
      </c>
      <c r="L595" s="24">
        <f t="shared" ref="L595" si="957">IF(AND(K595&gt;$I$7,K595&lt;$I$8),1,0)</f>
        <v>1</v>
      </c>
      <c r="M595" s="24"/>
      <c r="N595" s="26"/>
      <c r="O595" s="26"/>
      <c r="P595" s="26"/>
      <c r="Q595" s="26"/>
      <c r="R595" s="26"/>
      <c r="S595" s="26"/>
      <c r="T595" s="26"/>
      <c r="U595" s="26"/>
      <c r="V595" s="26"/>
      <c r="W595" s="26">
        <f>MAX($C$8-VLOOKUP($C595,COS!$B$8:$H$991,3,FALSE),0)</f>
        <v>92355.841796875</v>
      </c>
      <c r="X595" s="26">
        <f t="shared" si="870"/>
        <v>5495.5542226239668</v>
      </c>
      <c r="Y595" s="26">
        <f>VLOOKUP($C595,COS!$B$8:$H$991,4,FALSE)</f>
        <v>343.38613891601563</v>
      </c>
      <c r="Z595" s="26">
        <f t="shared" si="871"/>
        <v>20.432894216490187</v>
      </c>
      <c r="AA595" s="26">
        <f t="shared" si="955"/>
        <v>343.38613891601563</v>
      </c>
      <c r="AB595" s="33">
        <f t="shared" si="956"/>
        <v>20.432894216490187</v>
      </c>
    </row>
    <row r="596" spans="1:28" x14ac:dyDescent="0.3">
      <c r="A596" s="32">
        <f>VLOOKUP(YEAR(C596),Flags!$A$13:$B$95,2,FALSE)</f>
        <v>1</v>
      </c>
      <c r="B596" s="24">
        <f t="shared" si="951"/>
        <v>1986</v>
      </c>
      <c r="C596" s="25">
        <v>31716</v>
      </c>
      <c r="D596" s="26"/>
      <c r="E596" s="24"/>
      <c r="F596" s="26"/>
      <c r="G596" s="26"/>
      <c r="H596" s="26"/>
      <c r="I596" s="26"/>
      <c r="J596" s="26"/>
      <c r="K596" s="26"/>
      <c r="L596" s="24"/>
      <c r="M596" s="24"/>
      <c r="N596" s="26"/>
      <c r="O596" s="26"/>
      <c r="P596" s="26"/>
      <c r="Q596" s="26"/>
      <c r="R596" s="26"/>
      <c r="S596" s="26"/>
      <c r="T596" s="26"/>
      <c r="U596" s="26"/>
      <c r="V596" s="26"/>
      <c r="W596" s="26">
        <f>MAX($C$9-VLOOKUP($C596,COS!$B$8:$H$991,3,FALSE),0)</f>
        <v>93664.2392578125</v>
      </c>
      <c r="X596" s="26">
        <f t="shared" si="870"/>
        <v>5759.1895874225211</v>
      </c>
      <c r="Y596" s="26">
        <f>VLOOKUP($C596,COS!$B$8:$H$991,4,FALSE)</f>
        <v>539.67193603515625</v>
      </c>
      <c r="Z596" s="26">
        <f t="shared" si="871"/>
        <v>33.183133918194734</v>
      </c>
      <c r="AA596" s="26">
        <f t="shared" si="955"/>
        <v>539.67193603515625</v>
      </c>
      <c r="AB596" s="33">
        <f t="shared" si="956"/>
        <v>33.183133918194734</v>
      </c>
    </row>
    <row r="597" spans="1:28" x14ac:dyDescent="0.3">
      <c r="A597" s="32">
        <f>VLOOKUP(YEAR(C597),Flags!$A$13:$B$95,2,FALSE)</f>
        <v>1</v>
      </c>
      <c r="B597" s="24">
        <f t="shared" si="951"/>
        <v>1986</v>
      </c>
      <c r="C597" s="25">
        <v>31746</v>
      </c>
      <c r="D597" s="26"/>
      <c r="E597" s="24"/>
      <c r="F597" s="26"/>
      <c r="G597" s="26"/>
      <c r="H597" s="26"/>
      <c r="I597" s="26"/>
      <c r="J597" s="26"/>
      <c r="K597" s="26"/>
      <c r="L597" s="24"/>
      <c r="M597" s="24"/>
      <c r="N597" s="26"/>
      <c r="O597" s="26"/>
      <c r="P597" s="26"/>
      <c r="Q597" s="26"/>
      <c r="R597" s="26"/>
      <c r="S597" s="26"/>
      <c r="T597" s="26"/>
      <c r="U597" s="26"/>
      <c r="V597" s="26"/>
      <c r="W597" s="26">
        <f>MAX($C$10-VLOOKUP($C597,COS!$B$8:$H$991,3,FALSE),0)</f>
        <v>89193.92578125</v>
      </c>
      <c r="X597" s="26">
        <f t="shared" si="870"/>
        <v>5307.4071539256202</v>
      </c>
      <c r="Y597" s="26">
        <f>VLOOKUP($C597,COS!$B$8:$H$991,4,FALSE)</f>
        <v>3081.6455078125</v>
      </c>
      <c r="Z597" s="26">
        <f t="shared" si="871"/>
        <v>183.37064178719007</v>
      </c>
      <c r="AA597" s="26">
        <f t="shared" si="955"/>
        <v>3081.6455078125</v>
      </c>
      <c r="AB597" s="33">
        <f t="shared" si="956"/>
        <v>91.685320893595033</v>
      </c>
    </row>
    <row r="598" spans="1:28" x14ac:dyDescent="0.3">
      <c r="A598" s="34">
        <f>VLOOKUP(YEAR(C598),Flags!$A$13:$B$95,2,FALSE)</f>
        <v>1</v>
      </c>
      <c r="B598" s="35">
        <f t="shared" si="951"/>
        <v>1986</v>
      </c>
      <c r="C598" s="36">
        <v>31777</v>
      </c>
      <c r="D598" s="37"/>
      <c r="E598" s="35"/>
      <c r="F598" s="37"/>
      <c r="G598" s="37"/>
      <c r="H598" s="37"/>
      <c r="I598" s="37"/>
      <c r="J598" s="37"/>
      <c r="K598" s="37"/>
      <c r="L598" s="35"/>
      <c r="M598" s="35"/>
      <c r="N598" s="37"/>
      <c r="O598" s="37"/>
      <c r="P598" s="37"/>
      <c r="Q598" s="37"/>
      <c r="R598" s="37"/>
      <c r="S598" s="37"/>
      <c r="T598" s="37"/>
      <c r="U598" s="37"/>
      <c r="V598" s="37"/>
      <c r="W598" s="37">
        <f>MAX($C$11-VLOOKUP($C598,COS!$B$8:$H$991,3,FALSE),0)</f>
        <v>0</v>
      </c>
      <c r="X598" s="37">
        <f t="shared" si="870"/>
        <v>0</v>
      </c>
      <c r="Y598" s="37">
        <f>VLOOKUP($C598,COS!$B$8:$H$991,4,FALSE)</f>
        <v>442.69561767578125</v>
      </c>
      <c r="Z598" s="37">
        <f t="shared" si="871"/>
        <v>27.220292524857957</v>
      </c>
      <c r="AA598" s="37">
        <f t="shared" si="955"/>
        <v>0</v>
      </c>
      <c r="AB598" s="38">
        <f t="shared" si="956"/>
        <v>0</v>
      </c>
    </row>
    <row r="599" spans="1:28" x14ac:dyDescent="0.3">
      <c r="A599" s="27">
        <f>VLOOKUP(YEAR(C599),Flags!$A$13:$B$95,2,FALSE)</f>
        <v>4</v>
      </c>
      <c r="B599" s="28">
        <f t="shared" si="951"/>
        <v>1987</v>
      </c>
      <c r="C599" s="29">
        <v>31897</v>
      </c>
      <c r="D599" s="30">
        <f>VLOOKUP($C599,COS!$B$8:$H$991,3,FALSE)</f>
        <v>5294.4443359375</v>
      </c>
      <c r="E599" s="28">
        <f>IF(D599&gt;=IF(MONTH($C599)=4,$C$3,IF(MONTH($C599)=5,$C$4,IF(MONTH($C599)=6,$C$5,IF(MONTH($C599)=7,$C$6,"ERROR")))),1,0)</f>
        <v>0</v>
      </c>
      <c r="F599" s="30">
        <f>VLOOKUP($C599,COS!$B$8:$H$991,7,FALSE)</f>
        <v>50.914810180664063</v>
      </c>
      <c r="G599" s="28">
        <f>IF(F599&lt;=IF(MONTH($C599)=4,$F$3,IF(MONTH($C599)=5,$F$4,IF(MONTH($C599)=6,$F$5,IF(MONTH($C599)=7,$F$6,"ERROR")))),1,0)</f>
        <v>1</v>
      </c>
      <c r="H599" s="30">
        <f>IF(J599=1,D599-$C$3,0)</f>
        <v>0</v>
      </c>
      <c r="I599" s="30">
        <f t="shared" si="872"/>
        <v>0</v>
      </c>
      <c r="J599" s="28">
        <f t="shared" ref="J599:J602" si="958">IF(AND(E599=1,G599=1),1,0)</f>
        <v>0</v>
      </c>
      <c r="K599" s="30">
        <f>VLOOKUP($C599,COS!$B$8:$H$991,2,FALSE)</f>
        <v>3623.035888671875</v>
      </c>
      <c r="L599" s="28">
        <f t="shared" ref="L599" si="959">IF(K599&lt;=IF(MONTH($C599)=4,$I$3,IF(MONTH($C599)=5,$I$4,IF(MONTH($C599)=6,$I$5,IF(MONTH($C599)=7,$I$6,"ERROR")))),1,0)</f>
        <v>1</v>
      </c>
      <c r="M599" s="28">
        <f t="shared" ref="M599" si="960">VLOOKUP($A599,$L$3:$M$7,2,FALSE)</f>
        <v>1</v>
      </c>
      <c r="N599" s="30">
        <f>VLOOKUP($C599,COS!$B$8:$H$991,5,FALSE)</f>
        <v>182.17179870605469</v>
      </c>
      <c r="O599" s="30">
        <f t="shared" ref="O599:O602" si="961">N599*DAY($C599)*86400/43560/1000</f>
        <v>10.839974799037966</v>
      </c>
      <c r="P599" s="30">
        <f>VLOOKUP($C599,COS!$B$8:$H$991,6,FALSE)</f>
        <v>465.95361328125</v>
      </c>
      <c r="Q599" s="30">
        <f t="shared" ref="Q599:Q602" si="962">P599*DAY($C599)*86400/43560/1000</f>
        <v>27.72616541838843</v>
      </c>
      <c r="R599" s="30">
        <f>MIN(IF(MONTH($C599)=4,$S$3,IF(MONTH($C599)=5,$S$4,IF(MONTH($C599)=6,$S$5,IF(MONTH($C599)=7,$S$6,"ERROR")))),MAX(VLOOKUP($C599,COS!$B$8:$K$991,10,FALSE)-IF(MONTH($C599)=4,$Y$3,IF(MONTH($C599)=5,$Y$4,IF(MONTH($C599)=6,$Y$5,IF(MONTH($C599)=7,$Y$6,"ERROR")))),0),MAX(VLOOKUP($C599,COS!$B$8:$K$991,9,FALSE)-IF(MONTH($C599)=4,$V$3,IF(MONTH($C599)=5,$V$4,IF(MONTH($C599)=6,$V$5,IF(MONTH($C599)=7,$V$6,"ERROR"))))-VLOOKUP($C599,COS!$B$8:$K$991,6,FALSE)/2,0))</f>
        <v>1500</v>
      </c>
      <c r="S599" s="30">
        <f t="shared" ref="S599:S602" si="963">R599*DAY($C599)*86400/43560/1000</f>
        <v>89.256198347107429</v>
      </c>
      <c r="T599" s="30">
        <f t="shared" ref="T599:T602" si="964">(O599+Q599)/2+S599</f>
        <v>108.53926845582063</v>
      </c>
      <c r="U599" s="30" t="str">
        <f>IF(VLOOKUP($C599,COS!$B$8:$I$991,8,FALSE)=1,"UWFE","IBU")</f>
        <v>UWFE</v>
      </c>
      <c r="V599" s="30">
        <f t="shared" ref="V599" si="965">MIN(IF(IF($AA$3=2,AND(E599=1,G599=1,L599=1,L604=1,M599=1,U599="IBU"),AND(E599=1,G599=1,L599=1,L604=1,M599=1)),T599,0),I599)</f>
        <v>0</v>
      </c>
      <c r="W599" s="30"/>
      <c r="X599" s="30"/>
      <c r="Y599" s="30"/>
      <c r="Z599" s="30"/>
      <c r="AA599" s="30"/>
      <c r="AB599" s="31"/>
    </row>
    <row r="600" spans="1:28" x14ac:dyDescent="0.3">
      <c r="A600" s="32">
        <f>VLOOKUP(YEAR(C600),Flags!$A$13:$B$95,2,FALSE)</f>
        <v>4</v>
      </c>
      <c r="B600" s="24">
        <f t="shared" si="951"/>
        <v>1987</v>
      </c>
      <c r="C600" s="25">
        <v>31928</v>
      </c>
      <c r="D600" s="26">
        <f>VLOOKUP($C600,COS!$B$8:$H$991,3,FALSE)</f>
        <v>9427.30078125</v>
      </c>
      <c r="E600" s="24">
        <f>IF(D600&gt;=IF(MONTH($C600)=4,$C$3,IF(MONTH($C600)=5,$C$4,IF(MONTH($C600)=6,$C$5,IF(MONTH($C600)=7,$C$6,"ERROR")))),1,0)</f>
        <v>1</v>
      </c>
      <c r="F600" s="26">
        <f>VLOOKUP($C600,COS!$B$8:$H$991,7,FALSE)</f>
        <v>50.738330841064453</v>
      </c>
      <c r="G600" s="24">
        <f>IF(F600&lt;=IF(MONTH($C600)=4,$F$3,IF(MONTH($C600)=5,$F$4,IF(MONTH($C600)=6,$F$5,IF(MONTH($C600)=7,$F$6,"ERROR")))),1,0)</f>
        <v>1</v>
      </c>
      <c r="H600" s="26">
        <f>IF(J600=1,D600-$C$4,0)</f>
        <v>3427.30078125</v>
      </c>
      <c r="I600" s="26">
        <f t="shared" si="872"/>
        <v>210.73651084710744</v>
      </c>
      <c r="J600" s="24">
        <f t="shared" si="958"/>
        <v>1</v>
      </c>
      <c r="K600" s="26">
        <f>VLOOKUP($C600,COS!$B$8:$H$991,2,FALSE)</f>
        <v>3278.966796875</v>
      </c>
      <c r="L600" s="24">
        <f t="shared" si="944"/>
        <v>1</v>
      </c>
      <c r="M600" s="24">
        <f t="shared" si="945"/>
        <v>1</v>
      </c>
      <c r="N600" s="26">
        <f>VLOOKUP($C600,COS!$B$8:$H$991,5,FALSE)</f>
        <v>250.50456237792969</v>
      </c>
      <c r="O600" s="26">
        <f t="shared" si="961"/>
        <v>15.402925157783447</v>
      </c>
      <c r="P600" s="26">
        <f>VLOOKUP($C600,COS!$B$8:$H$991,6,FALSE)</f>
        <v>2345.609619140625</v>
      </c>
      <c r="Q600" s="26">
        <f t="shared" si="962"/>
        <v>144.22591377195246</v>
      </c>
      <c r="R600" s="26">
        <f>MIN(IF(MONTH($C600)=4,$S$3,IF(MONTH($C600)=5,$S$4,IF(MONTH($C600)=6,$S$5,IF(MONTH($C600)=7,$S$6,"ERROR")))),MAX(VLOOKUP($C600,COS!$B$8:$K$991,10,FALSE)-IF(MONTH($C600)=4,$Y$3,IF(MONTH($C600)=5,$Y$4,IF(MONTH($C600)=6,$Y$5,IF(MONTH($C600)=7,$Y$6,"ERROR")))),0),MAX(VLOOKUP($C600,COS!$B$8:$K$991,9,FALSE)-IF(MONTH($C600)=4,$V$3,IF(MONTH($C600)=5,$V$4,IF(MONTH($C600)=6,$V$5,IF(MONTH($C600)=7,$V$6,"ERROR"))))-VLOOKUP($C600,COS!$B$8:$K$991,6,FALSE)/2,0))</f>
        <v>1500</v>
      </c>
      <c r="S600" s="26">
        <f t="shared" si="963"/>
        <v>92.231404958677686</v>
      </c>
      <c r="T600" s="26">
        <f t="shared" si="964"/>
        <v>172.04582442354564</v>
      </c>
      <c r="U600" s="26" t="str">
        <f>IF(VLOOKUP($C600,COS!$B$8:$I$991,8,FALSE)=1,"UWFE","IBU")</f>
        <v>IBU</v>
      </c>
      <c r="V600" s="26">
        <f t="shared" ref="V600" si="966">MIN(IF(IF($AA$3=2,AND(E600=1,G600=1,L600=1,L604=1,M600=1,U600="IBU"),AND(E600=1,G600=1,L600=1,L604=1,M600=1)),T600,0),I600)</f>
        <v>172.04582442354564</v>
      </c>
      <c r="W600" s="26"/>
      <c r="X600" s="26"/>
      <c r="Y600" s="26"/>
      <c r="Z600" s="26"/>
      <c r="AA600" s="26"/>
      <c r="AB600" s="33"/>
    </row>
    <row r="601" spans="1:28" x14ac:dyDescent="0.3">
      <c r="A601" s="32">
        <f>VLOOKUP(YEAR(C601),Flags!$A$13:$B$95,2,FALSE)</f>
        <v>4</v>
      </c>
      <c r="B601" s="24">
        <f t="shared" si="951"/>
        <v>1987</v>
      </c>
      <c r="C601" s="25">
        <v>31958</v>
      </c>
      <c r="D601" s="26">
        <f>VLOOKUP($C601,COS!$B$8:$H$991,3,FALSE)</f>
        <v>12915.80859375</v>
      </c>
      <c r="E601" s="24">
        <f>IF(D601&gt;=IF(MONTH($C601)=4,$C$3,IF(MONTH($C601)=5,$C$4,IF(MONTH($C601)=6,$C$5,IF(MONTH($C601)=7,$C$6,"ERROR")))),1,0)</f>
        <v>1</v>
      </c>
      <c r="F601" s="26">
        <f>VLOOKUP($C601,COS!$B$8:$H$991,7,FALSE)</f>
        <v>52.064525604248047</v>
      </c>
      <c r="G601" s="24">
        <f>IF(F601&lt;=IF(MONTH($C601)=4,$F$3,IF(MONTH($C601)=5,$F$4,IF(MONTH($C601)=6,$F$5,IF(MONTH($C601)=7,$F$6,"ERROR")))),1,0)</f>
        <v>1</v>
      </c>
      <c r="H601" s="26">
        <f>IF(J601=1,D601-$C$5,0)</f>
        <v>2915.80859375</v>
      </c>
      <c r="I601" s="26">
        <f t="shared" si="872"/>
        <v>173.50266012396696</v>
      </c>
      <c r="J601" s="24">
        <f t="shared" si="958"/>
        <v>1</v>
      </c>
      <c r="K601" s="26">
        <f>VLOOKUP($C601,COS!$B$8:$H$991,2,FALSE)</f>
        <v>2849.214111328125</v>
      </c>
      <c r="L601" s="24">
        <f t="shared" si="944"/>
        <v>1</v>
      </c>
      <c r="M601" s="24">
        <f t="shared" si="945"/>
        <v>1</v>
      </c>
      <c r="N601" s="26">
        <f>VLOOKUP($C601,COS!$B$8:$H$991,5,FALSE)</f>
        <v>294.71493530273438</v>
      </c>
      <c r="O601" s="26">
        <f t="shared" si="961"/>
        <v>17.536756480823865</v>
      </c>
      <c r="P601" s="26">
        <f>VLOOKUP($C601,COS!$B$8:$H$991,6,FALSE)</f>
        <v>2714.961669921875</v>
      </c>
      <c r="Q601" s="26">
        <f t="shared" si="962"/>
        <v>161.55143821022727</v>
      </c>
      <c r="R601" s="26">
        <f>MIN(IF(MONTH($C601)=4,$S$3,IF(MONTH($C601)=5,$S$4,IF(MONTH($C601)=6,$S$5,IF(MONTH($C601)=7,$S$6,"ERROR")))),MAX(VLOOKUP($C601,COS!$B$8:$K$991,10,FALSE)-IF(MONTH($C601)=4,$Y$3,IF(MONTH($C601)=5,$Y$4,IF(MONTH($C601)=6,$Y$5,IF(MONTH($C601)=7,$Y$6,"ERROR")))),0),MAX(VLOOKUP($C601,COS!$B$8:$K$991,9,FALSE)-IF(MONTH($C601)=4,$V$3,IF(MONTH($C601)=5,$V$4,IF(MONTH($C601)=6,$V$5,IF(MONTH($C601)=7,$V$6,"ERROR"))))-VLOOKUP($C601,COS!$B$8:$K$991,6,FALSE)/2,0))</f>
        <v>1500</v>
      </c>
      <c r="S601" s="26">
        <f t="shared" si="963"/>
        <v>89.256198347107429</v>
      </c>
      <c r="T601" s="26">
        <f t="shared" si="964"/>
        <v>178.800295692633</v>
      </c>
      <c r="U601" s="26" t="str">
        <f>IF(VLOOKUP($C601,COS!$B$8:$I$991,8,FALSE)=1,"UWFE","IBU")</f>
        <v>IBU</v>
      </c>
      <c r="V601" s="26">
        <f t="shared" ref="V601" si="967">MIN(IF(IF($AA$3=2,AND(E601=1,G601=1,L601=1,L604=1,M601=1,U601="IBU"),AND(E601=1,G601=1,L601=1,L604=1,M601=1)),T601,0),I601)</f>
        <v>173.50266012396696</v>
      </c>
      <c r="W601" s="26"/>
      <c r="X601" s="26"/>
      <c r="Y601" s="26"/>
      <c r="Z601" s="26"/>
      <c r="AA601" s="26"/>
      <c r="AB601" s="33"/>
    </row>
    <row r="602" spans="1:28" x14ac:dyDescent="0.3">
      <c r="A602" s="32">
        <f>VLOOKUP(YEAR(C602),Flags!$A$13:$B$95,2,FALSE)</f>
        <v>4</v>
      </c>
      <c r="B602" s="24">
        <f t="shared" si="951"/>
        <v>1987</v>
      </c>
      <c r="C602" s="25">
        <v>31989</v>
      </c>
      <c r="D602" s="26">
        <f>VLOOKUP($C602,COS!$B$8:$H$991,3,FALSE)</f>
        <v>12279.78515625</v>
      </c>
      <c r="E602" s="24">
        <f>IF(D602&gt;=IF(MONTH($C602)=4,$C$3,IF(MONTH($C602)=5,$C$4,IF(MONTH($C602)=6,$C$5,IF(MONTH($C602)=7,$C$6,"ERROR")))),1,0)</f>
        <v>1</v>
      </c>
      <c r="F602" s="26">
        <f>VLOOKUP($C602,COS!$B$8:$H$991,7,FALSE)</f>
        <v>53.705059051513672</v>
      </c>
      <c r="G602" s="24">
        <f>IF(F602&lt;=IF(MONTH($C602)=4,$F$3,IF(MONTH($C602)=5,$F$4,IF(MONTH($C602)=6,$F$5,IF(MONTH($C602)=7,$F$6,"ERROR")))),1,0)</f>
        <v>0</v>
      </c>
      <c r="H602" s="26">
        <f>IF(J602=1,D602-$C$6,0)</f>
        <v>0</v>
      </c>
      <c r="I602" s="26">
        <f t="shared" si="872"/>
        <v>0</v>
      </c>
      <c r="J602" s="24">
        <f t="shared" si="958"/>
        <v>0</v>
      </c>
      <c r="K602" s="26">
        <f>VLOOKUP($C602,COS!$B$8:$H$991,2,FALSE)</f>
        <v>2473.188232421875</v>
      </c>
      <c r="L602" s="24">
        <f t="shared" si="944"/>
        <v>1</v>
      </c>
      <c r="M602" s="24">
        <f t="shared" si="945"/>
        <v>1</v>
      </c>
      <c r="N602" s="26">
        <f>VLOOKUP($C602,COS!$B$8:$H$991,5,FALSE)</f>
        <v>320.8253173828125</v>
      </c>
      <c r="O602" s="26">
        <f t="shared" si="961"/>
        <v>19.726779845686984</v>
      </c>
      <c r="P602" s="26">
        <f>VLOOKUP($C602,COS!$B$8:$H$991,6,FALSE)</f>
        <v>2538.07568359375</v>
      </c>
      <c r="Q602" s="26">
        <f t="shared" si="962"/>
        <v>156.06019079287191</v>
      </c>
      <c r="R602" s="26">
        <f>MIN(IF(MONTH($C602)=4,$S$3,IF(MONTH($C602)=5,$S$4,IF(MONTH($C602)=6,$S$5,IF(MONTH($C602)=7,$S$6,"ERROR")))),MAX(VLOOKUP($C602,COS!$B$8:$K$991,10,FALSE)-IF(MONTH($C602)=4,$Y$3,IF(MONTH($C602)=5,$Y$4,IF(MONTH($C602)=6,$Y$5,IF(MONTH($C602)=7,$Y$6,"ERROR")))),0),MAX(VLOOKUP($C602,COS!$B$8:$K$991,9,FALSE)-IF(MONTH($C602)=4,$V$3,IF(MONTH($C602)=5,$V$4,IF(MONTH($C602)=6,$V$5,IF(MONTH($C602)=7,$V$6,"ERROR"))))-VLOOKUP($C602,COS!$B$8:$K$991,6,FALSE)/2,0))</f>
        <v>1500</v>
      </c>
      <c r="S602" s="26">
        <f t="shared" si="963"/>
        <v>92.231404958677686</v>
      </c>
      <c r="T602" s="26">
        <f t="shared" si="964"/>
        <v>180.12489027795715</v>
      </c>
      <c r="U602" s="26" t="str">
        <f>IF(VLOOKUP($C602,COS!$B$8:$I$991,8,FALSE)=1,"UWFE","IBU")</f>
        <v>IBU</v>
      </c>
      <c r="V602" s="26">
        <f t="shared" ref="V602" si="968">MIN(IF(IF($AA$3=2,AND(E602=1,G602=1,L602=1,L604=1,M602=1,U602="IBU"),AND(E602=1,G602=1,L602=1,L604=1,M602=1)),T602,0),I602)</f>
        <v>0</v>
      </c>
      <c r="W602" s="26"/>
      <c r="X602" s="26"/>
      <c r="Y602" s="26"/>
      <c r="Z602" s="26"/>
      <c r="AA602" s="26"/>
      <c r="AB602" s="33"/>
    </row>
    <row r="603" spans="1:28" x14ac:dyDescent="0.3">
      <c r="A603" s="32">
        <f>VLOOKUP(YEAR(C603),Flags!$A$13:$B$95,2,FALSE)</f>
        <v>4</v>
      </c>
      <c r="B603" s="24">
        <f t="shared" si="951"/>
        <v>1987</v>
      </c>
      <c r="C603" s="25">
        <v>32020</v>
      </c>
      <c r="D603" s="26"/>
      <c r="E603" s="24"/>
      <c r="F603" s="26"/>
      <c r="G603" s="24"/>
      <c r="H603" s="24"/>
      <c r="I603" s="26"/>
      <c r="J603" s="24"/>
      <c r="K603" s="26"/>
      <c r="L603" s="24"/>
      <c r="M603" s="24"/>
      <c r="N603" s="26"/>
      <c r="O603" s="26"/>
      <c r="P603" s="26"/>
      <c r="Q603" s="26"/>
      <c r="R603" s="26"/>
      <c r="S603" s="26"/>
      <c r="T603" s="26"/>
      <c r="U603" s="26"/>
      <c r="V603" s="26"/>
      <c r="W603" s="26">
        <f>MAX($C$7-VLOOKUP($C603,COS!$B$8:$H$991,3,FALSE),0)</f>
        <v>92401.0830078125</v>
      </c>
      <c r="X603" s="26">
        <f t="shared" si="870"/>
        <v>5681.5211370092975</v>
      </c>
      <c r="Y603" s="26">
        <f>VLOOKUP($C603,COS!$B$8:$H$991,4,FALSE)</f>
        <v>2881.91650390625</v>
      </c>
      <c r="Z603" s="26">
        <f t="shared" si="871"/>
        <v>177.20213875258267</v>
      </c>
      <c r="AA603" s="26">
        <f t="shared" ref="AA603:AA607" si="969">MIN(W603,Y603)</f>
        <v>2881.91650390625</v>
      </c>
      <c r="AB603" s="33">
        <f t="shared" ref="AB603" si="970">AA603*DAY($C603)*86400/43560/1000*IF(MONTH($C603)=8,$P$3,IF(MONTH($C603)=9,$P$4,IF(MONTH($C603)=10,$P$5,IF(MONTH($C603)=11,$P$6,IF(MONTH($C603)=12,$P$7,NA())))))</f>
        <v>177.20213875258267</v>
      </c>
    </row>
    <row r="604" spans="1:28" x14ac:dyDescent="0.3">
      <c r="A604" s="32">
        <f>VLOOKUP(YEAR(C604),Flags!$A$13:$B$95,2,FALSE)</f>
        <v>4</v>
      </c>
      <c r="B604" s="24">
        <f t="shared" si="951"/>
        <v>1987</v>
      </c>
      <c r="C604" s="25">
        <v>32050</v>
      </c>
      <c r="D604" s="26"/>
      <c r="E604" s="24"/>
      <c r="F604" s="26"/>
      <c r="G604" s="24"/>
      <c r="H604" s="24"/>
      <c r="I604" s="26"/>
      <c r="J604" s="24"/>
      <c r="K604" s="26">
        <f>VLOOKUP($C604,COS!$B$8:$H$991,2,FALSE)</f>
        <v>2192.67578125</v>
      </c>
      <c r="L604" s="24">
        <f t="shared" ref="L604" si="971">IF(AND(K604&gt;$I$7,K604&lt;$I$8),1,0)</f>
        <v>1</v>
      </c>
      <c r="M604" s="24"/>
      <c r="N604" s="26"/>
      <c r="O604" s="26"/>
      <c r="P604" s="26"/>
      <c r="Q604" s="26"/>
      <c r="R604" s="26"/>
      <c r="S604" s="26"/>
      <c r="T604" s="26"/>
      <c r="U604" s="26"/>
      <c r="V604" s="26"/>
      <c r="W604" s="26">
        <f>MAX($C$8-VLOOKUP($C604,COS!$B$8:$H$991,3,FALSE),0)</f>
        <v>94661.54638671875</v>
      </c>
      <c r="X604" s="26">
        <f t="shared" si="870"/>
        <v>5632.7531734245867</v>
      </c>
      <c r="Y604" s="26">
        <f>VLOOKUP($C604,COS!$B$8:$H$991,4,FALSE)</f>
        <v>1887.955078125</v>
      </c>
      <c r="Z604" s="26">
        <f t="shared" si="871"/>
        <v>112.34112861570247</v>
      </c>
      <c r="AA604" s="26">
        <f t="shared" si="969"/>
        <v>1887.955078125</v>
      </c>
      <c r="AB604" s="33">
        <f t="shared" si="956"/>
        <v>112.34112861570247</v>
      </c>
    </row>
    <row r="605" spans="1:28" x14ac:dyDescent="0.3">
      <c r="A605" s="32">
        <f>VLOOKUP(YEAR(C605),Flags!$A$13:$B$95,2,FALSE)</f>
        <v>4</v>
      </c>
      <c r="B605" s="24">
        <f t="shared" si="951"/>
        <v>1987</v>
      </c>
      <c r="C605" s="25">
        <v>32081</v>
      </c>
      <c r="D605" s="26"/>
      <c r="E605" s="24"/>
      <c r="F605" s="26"/>
      <c r="G605" s="26"/>
      <c r="H605" s="26"/>
      <c r="I605" s="26"/>
      <c r="J605" s="26"/>
      <c r="K605" s="26"/>
      <c r="L605" s="24"/>
      <c r="M605" s="24"/>
      <c r="N605" s="26"/>
      <c r="O605" s="26"/>
      <c r="P605" s="26"/>
      <c r="Q605" s="26"/>
      <c r="R605" s="26"/>
      <c r="S605" s="26"/>
      <c r="T605" s="26"/>
      <c r="U605" s="26"/>
      <c r="V605" s="26"/>
      <c r="W605" s="26">
        <f>MAX($C$9-VLOOKUP($C605,COS!$B$8:$H$991,3,FALSE),0)</f>
        <v>93485.296875</v>
      </c>
      <c r="X605" s="26">
        <f t="shared" si="870"/>
        <v>5748.1868491735531</v>
      </c>
      <c r="Y605" s="26">
        <f>VLOOKUP($C605,COS!$B$8:$H$991,4,FALSE)</f>
        <v>1710.297119140625</v>
      </c>
      <c r="Z605" s="26">
        <f t="shared" si="871"/>
        <v>105.16207079674588</v>
      </c>
      <c r="AA605" s="26">
        <f t="shared" si="969"/>
        <v>1710.297119140625</v>
      </c>
      <c r="AB605" s="33">
        <f t="shared" si="956"/>
        <v>105.16207079674588</v>
      </c>
    </row>
    <row r="606" spans="1:28" x14ac:dyDescent="0.3">
      <c r="A606" s="32">
        <f>VLOOKUP(YEAR(C606),Flags!$A$13:$B$95,2,FALSE)</f>
        <v>4</v>
      </c>
      <c r="B606" s="24">
        <f t="shared" si="951"/>
        <v>1987</v>
      </c>
      <c r="C606" s="25">
        <v>32111</v>
      </c>
      <c r="D606" s="26"/>
      <c r="E606" s="24"/>
      <c r="F606" s="26"/>
      <c r="G606" s="26"/>
      <c r="H606" s="26"/>
      <c r="I606" s="26"/>
      <c r="J606" s="26"/>
      <c r="K606" s="26"/>
      <c r="L606" s="24"/>
      <c r="M606" s="24"/>
      <c r="N606" s="26"/>
      <c r="O606" s="26"/>
      <c r="P606" s="26"/>
      <c r="Q606" s="26"/>
      <c r="R606" s="26"/>
      <c r="S606" s="26"/>
      <c r="T606" s="26"/>
      <c r="U606" s="26"/>
      <c r="V606" s="26"/>
      <c r="W606" s="26">
        <f>MAX($C$10-VLOOKUP($C606,COS!$B$8:$H$991,3,FALSE),0)</f>
        <v>95803.09228515625</v>
      </c>
      <c r="X606" s="26">
        <f t="shared" si="870"/>
        <v>5700.67987151343</v>
      </c>
      <c r="Y606" s="26">
        <f>VLOOKUP($C606,COS!$B$8:$H$991,4,FALSE)</f>
        <v>1824.783935546875</v>
      </c>
      <c r="Z606" s="26">
        <f t="shared" si="871"/>
        <v>108.58218459452479</v>
      </c>
      <c r="AA606" s="26">
        <f t="shared" si="969"/>
        <v>1824.783935546875</v>
      </c>
      <c r="AB606" s="33">
        <f t="shared" si="956"/>
        <v>54.291092297262395</v>
      </c>
    </row>
    <row r="607" spans="1:28" x14ac:dyDescent="0.3">
      <c r="A607" s="34">
        <f>VLOOKUP(YEAR(C607),Flags!$A$13:$B$95,2,FALSE)</f>
        <v>4</v>
      </c>
      <c r="B607" s="35">
        <f t="shared" si="951"/>
        <v>1987</v>
      </c>
      <c r="C607" s="36">
        <v>32142</v>
      </c>
      <c r="D607" s="37"/>
      <c r="E607" s="35"/>
      <c r="F607" s="37"/>
      <c r="G607" s="37"/>
      <c r="H607" s="37"/>
      <c r="I607" s="37"/>
      <c r="J607" s="37"/>
      <c r="K607" s="37"/>
      <c r="L607" s="35"/>
      <c r="M607" s="35"/>
      <c r="N607" s="37"/>
      <c r="O607" s="37"/>
      <c r="P607" s="37"/>
      <c r="Q607" s="37"/>
      <c r="R607" s="37"/>
      <c r="S607" s="37"/>
      <c r="T607" s="37"/>
      <c r="U607" s="37"/>
      <c r="V607" s="37"/>
      <c r="W607" s="37">
        <f>MAX($C$11-VLOOKUP($C607,COS!$B$8:$H$991,3,FALSE),0)</f>
        <v>0</v>
      </c>
      <c r="X607" s="37">
        <f t="shared" ref="X607:X670" si="972">W607*DAY($C607)*86400/43560/1000</f>
        <v>0</v>
      </c>
      <c r="Y607" s="37">
        <f>VLOOKUP($C607,COS!$B$8:$H$991,4,FALSE)</f>
        <v>906.1927490234375</v>
      </c>
      <c r="Z607" s="37">
        <f t="shared" ref="Z607:Z670" si="973">Y607*DAY($C607)*86400/43560/1000</f>
        <v>55.719620270532026</v>
      </c>
      <c r="AA607" s="37">
        <f t="shared" si="969"/>
        <v>0</v>
      </c>
      <c r="AB607" s="38">
        <f t="shared" si="956"/>
        <v>0</v>
      </c>
    </row>
    <row r="608" spans="1:28" x14ac:dyDescent="0.3">
      <c r="A608" s="27">
        <f>VLOOKUP(YEAR(C608),Flags!$A$13:$B$95,2,FALSE)</f>
        <v>5</v>
      </c>
      <c r="B608" s="28">
        <f t="shared" si="951"/>
        <v>1988</v>
      </c>
      <c r="C608" s="29">
        <v>32263</v>
      </c>
      <c r="D608" s="30">
        <f>VLOOKUP($C608,COS!$B$8:$H$991,3,FALSE)</f>
        <v>3250</v>
      </c>
      <c r="E608" s="28">
        <f>IF(D608&gt;=IF(MONTH($C608)=4,$C$3,IF(MONTH($C608)=5,$C$4,IF(MONTH($C608)=6,$C$5,IF(MONTH($C608)=7,$C$6,"ERROR")))),1,0)</f>
        <v>0</v>
      </c>
      <c r="F608" s="30">
        <f>VLOOKUP($C608,COS!$B$8:$H$991,7,FALSE)</f>
        <v>51.376628875732422</v>
      </c>
      <c r="G608" s="28">
        <f>IF(F608&lt;=IF(MONTH($C608)=4,$F$3,IF(MONTH($C608)=5,$F$4,IF(MONTH($C608)=6,$F$5,IF(MONTH($C608)=7,$F$6,"ERROR")))),1,0)</f>
        <v>1</v>
      </c>
      <c r="H608" s="30">
        <f>IF(J608=1,D608-$C$3,0)</f>
        <v>0</v>
      </c>
      <c r="I608" s="30">
        <f t="shared" si="872"/>
        <v>0</v>
      </c>
      <c r="J608" s="28">
        <f t="shared" ref="J608:J611" si="974">IF(AND(E608=1,G608=1),1,0)</f>
        <v>0</v>
      </c>
      <c r="K608" s="30">
        <f>VLOOKUP($C608,COS!$B$8:$H$991,2,FALSE)</f>
        <v>3432.6455078125</v>
      </c>
      <c r="L608" s="28">
        <f t="shared" ref="L608" si="975">IF(K608&lt;=IF(MONTH($C608)=4,$I$3,IF(MONTH($C608)=5,$I$4,IF(MONTH($C608)=6,$I$5,IF(MONTH($C608)=7,$I$6,"ERROR")))),1,0)</f>
        <v>1</v>
      </c>
      <c r="M608" s="28">
        <f t="shared" ref="M608" si="976">VLOOKUP($A608,$L$3:$M$7,2,FALSE)</f>
        <v>1</v>
      </c>
      <c r="N608" s="30">
        <f>VLOOKUP($C608,COS!$B$8:$H$991,5,FALSE)</f>
        <v>119.56303405761719</v>
      </c>
      <c r="O608" s="30">
        <f t="shared" ref="O608:O611" si="977">N608*DAY($C608)*86400/43560/1000</f>
        <v>7.1144945885524278</v>
      </c>
      <c r="P608" s="30">
        <f>VLOOKUP($C608,COS!$B$8:$H$991,6,FALSE)</f>
        <v>472.98532104492188</v>
      </c>
      <c r="Q608" s="30">
        <f t="shared" ref="Q608:Q611" si="978">P608*DAY($C608)*86400/43560/1000</f>
        <v>28.144581086970557</v>
      </c>
      <c r="R608" s="30">
        <f>MIN(IF(MONTH($C608)=4,$S$3,IF(MONTH($C608)=5,$S$4,IF(MONTH($C608)=6,$S$5,IF(MONTH($C608)=7,$S$6,"ERROR")))),MAX(VLOOKUP($C608,COS!$B$8:$K$991,10,FALSE)-IF(MONTH($C608)=4,$Y$3,IF(MONTH($C608)=5,$Y$4,IF(MONTH($C608)=6,$Y$5,IF(MONTH($C608)=7,$Y$6,"ERROR")))),0),MAX(VLOOKUP($C608,COS!$B$8:$K$991,9,FALSE)-IF(MONTH($C608)=4,$V$3,IF(MONTH($C608)=5,$V$4,IF(MONTH($C608)=6,$V$5,IF(MONTH($C608)=7,$V$6,"ERROR"))))-VLOOKUP($C608,COS!$B$8:$K$991,6,FALSE)/2,0))</f>
        <v>764.98193359375</v>
      </c>
      <c r="S608" s="30">
        <f t="shared" ref="S608:S611" si="979">R608*DAY($C608)*86400/43560/1000</f>
        <v>45.519586131198345</v>
      </c>
      <c r="T608" s="30">
        <f t="shared" ref="T608:T611" si="980">(O608+Q608)/2+S608</f>
        <v>63.149123968959842</v>
      </c>
      <c r="U608" s="30" t="str">
        <f>IF(VLOOKUP($C608,COS!$B$8:$I$991,8,FALSE)=1,"UWFE","IBU")</f>
        <v>UWFE</v>
      </c>
      <c r="V608" s="30">
        <f t="shared" ref="V608" si="981">MIN(IF(IF($AA$3=2,AND(E608=1,G608=1,L608=1,L613=1,M608=1,U608="IBU"),AND(E608=1,G608=1,L608=1,L613=1,M608=1)),T608,0),I608)</f>
        <v>0</v>
      </c>
      <c r="W608" s="30"/>
      <c r="X608" s="30"/>
      <c r="Y608" s="30"/>
      <c r="Z608" s="30"/>
      <c r="AA608" s="30"/>
      <c r="AB608" s="31"/>
    </row>
    <row r="609" spans="1:28" x14ac:dyDescent="0.3">
      <c r="A609" s="32">
        <f>VLOOKUP(YEAR(C609),Flags!$A$13:$B$95,2,FALSE)</f>
        <v>5</v>
      </c>
      <c r="B609" s="24">
        <f t="shared" si="951"/>
        <v>1988</v>
      </c>
      <c r="C609" s="25">
        <v>32294</v>
      </c>
      <c r="D609" s="26">
        <f>VLOOKUP($C609,COS!$B$8:$H$991,3,FALSE)</f>
        <v>6883.46142578125</v>
      </c>
      <c r="E609" s="24">
        <f>IF(D609&gt;=IF(MONTH($C609)=4,$C$3,IF(MONTH($C609)=5,$C$4,IF(MONTH($C609)=6,$C$5,IF(MONTH($C609)=7,$C$6,"ERROR")))),1,0)</f>
        <v>1</v>
      </c>
      <c r="F609" s="26">
        <f>VLOOKUP($C609,COS!$B$8:$H$991,7,FALSE)</f>
        <v>51.008148193359375</v>
      </c>
      <c r="G609" s="24">
        <f>IF(F609&lt;=IF(MONTH($C609)=4,$F$3,IF(MONTH($C609)=5,$F$4,IF(MONTH($C609)=6,$F$5,IF(MONTH($C609)=7,$F$6,"ERROR")))),1,0)</f>
        <v>1</v>
      </c>
      <c r="H609" s="26">
        <f>IF(J609=1,D609-$C$4,0)</f>
        <v>883.46142578125</v>
      </c>
      <c r="I609" s="26">
        <f t="shared" ref="I609:I672" si="982">H609*DAY($C609)*86400/43560/1000</f>
        <v>54.321925684400824</v>
      </c>
      <c r="J609" s="24">
        <f t="shared" si="974"/>
        <v>1</v>
      </c>
      <c r="K609" s="26">
        <f>VLOOKUP($C609,COS!$B$8:$H$991,2,FALSE)</f>
        <v>3330.71044921875</v>
      </c>
      <c r="L609" s="24">
        <f t="shared" si="944"/>
        <v>1</v>
      </c>
      <c r="M609" s="24">
        <f t="shared" si="945"/>
        <v>1</v>
      </c>
      <c r="N609" s="26">
        <f>VLOOKUP($C609,COS!$B$8:$H$991,5,FALSE)</f>
        <v>152.79158020019531</v>
      </c>
      <c r="O609" s="26">
        <f t="shared" si="977"/>
        <v>9.3947880718136627</v>
      </c>
      <c r="P609" s="26">
        <f>VLOOKUP($C609,COS!$B$8:$H$991,6,FALSE)</f>
        <v>2086.376220703125</v>
      </c>
      <c r="Q609" s="26">
        <f t="shared" si="978"/>
        <v>128.28627340521695</v>
      </c>
      <c r="R609" s="26">
        <f>MIN(IF(MONTH($C609)=4,$S$3,IF(MONTH($C609)=5,$S$4,IF(MONTH($C609)=6,$S$5,IF(MONTH($C609)=7,$S$6,"ERROR")))),MAX(VLOOKUP($C609,COS!$B$8:$K$991,10,FALSE)-IF(MONTH($C609)=4,$Y$3,IF(MONTH($C609)=5,$Y$4,IF(MONTH($C609)=6,$Y$5,IF(MONTH($C609)=7,$Y$6,"ERROR")))),0),MAX(VLOOKUP($C609,COS!$B$8:$K$991,9,FALSE)-IF(MONTH($C609)=4,$V$3,IF(MONTH($C609)=5,$V$4,IF(MONTH($C609)=6,$V$5,IF(MONTH($C609)=7,$V$6,"ERROR"))))-VLOOKUP($C609,COS!$B$8:$K$991,6,FALSE)/2,0))</f>
        <v>1500</v>
      </c>
      <c r="S609" s="26">
        <f t="shared" si="979"/>
        <v>92.231404958677686</v>
      </c>
      <c r="T609" s="26">
        <f t="shared" si="980"/>
        <v>161.071935697193</v>
      </c>
      <c r="U609" s="26" t="str">
        <f>IF(VLOOKUP($C609,COS!$B$8:$I$991,8,FALSE)=1,"UWFE","IBU")</f>
        <v>IBU</v>
      </c>
      <c r="V609" s="26">
        <f t="shared" ref="V609" si="983">MIN(IF(IF($AA$3=2,AND(E609=1,G609=1,L609=1,L613=1,M609=1,U609="IBU"),AND(E609=1,G609=1,L609=1,L613=1,M609=1)),T609,0),I609)</f>
        <v>54.321925684400824</v>
      </c>
      <c r="W609" s="26"/>
      <c r="X609" s="26"/>
      <c r="Y609" s="26"/>
      <c r="Z609" s="26"/>
      <c r="AA609" s="26"/>
      <c r="AB609" s="33"/>
    </row>
    <row r="610" spans="1:28" x14ac:dyDescent="0.3">
      <c r="A610" s="32">
        <f>VLOOKUP(YEAR(C610),Flags!$A$13:$B$95,2,FALSE)</f>
        <v>5</v>
      </c>
      <c r="B610" s="24">
        <f t="shared" si="951"/>
        <v>1988</v>
      </c>
      <c r="C610" s="25">
        <v>32324</v>
      </c>
      <c r="D610" s="26">
        <f>VLOOKUP($C610,COS!$B$8:$H$991,3,FALSE)</f>
        <v>10946.3818359375</v>
      </c>
      <c r="E610" s="24">
        <f>IF(D610&gt;=IF(MONTH($C610)=4,$C$3,IF(MONTH($C610)=5,$C$4,IF(MONTH($C610)=6,$C$5,IF(MONTH($C610)=7,$C$6,"ERROR")))),1,0)</f>
        <v>1</v>
      </c>
      <c r="F610" s="26">
        <f>VLOOKUP($C610,COS!$B$8:$H$991,7,FALSE)</f>
        <v>51.772979736328125</v>
      </c>
      <c r="G610" s="24">
        <f>IF(F610&lt;=IF(MONTH($C610)=4,$F$3,IF(MONTH($C610)=5,$F$4,IF(MONTH($C610)=6,$F$5,IF(MONTH($C610)=7,$F$6,"ERROR")))),1,0)</f>
        <v>1</v>
      </c>
      <c r="H610" s="26">
        <f>IF(J610=1,D610-$C$5,0)</f>
        <v>946.3818359375</v>
      </c>
      <c r="I610" s="26">
        <f t="shared" si="982"/>
        <v>56.31362990702479</v>
      </c>
      <c r="J610" s="24">
        <f t="shared" si="974"/>
        <v>1</v>
      </c>
      <c r="K610" s="26">
        <f>VLOOKUP($C610,COS!$B$8:$H$991,2,FALSE)</f>
        <v>2960.935791015625</v>
      </c>
      <c r="L610" s="24">
        <f t="shared" si="944"/>
        <v>1</v>
      </c>
      <c r="M610" s="24">
        <f t="shared" si="945"/>
        <v>1</v>
      </c>
      <c r="N610" s="26">
        <f>VLOOKUP($C610,COS!$B$8:$H$991,5,FALSE)</f>
        <v>203.79988098144531</v>
      </c>
      <c r="O610" s="26">
        <f t="shared" si="977"/>
        <v>12.126935066664515</v>
      </c>
      <c r="P610" s="26">
        <f>VLOOKUP($C610,COS!$B$8:$H$991,6,FALSE)</f>
        <v>2416.343017578125</v>
      </c>
      <c r="Q610" s="26">
        <f t="shared" si="978"/>
        <v>143.78239443440083</v>
      </c>
      <c r="R610" s="26">
        <f>MIN(IF(MONTH($C610)=4,$S$3,IF(MONTH($C610)=5,$S$4,IF(MONTH($C610)=6,$S$5,IF(MONTH($C610)=7,$S$6,"ERROR")))),MAX(VLOOKUP($C610,COS!$B$8:$K$991,10,FALSE)-IF(MONTH($C610)=4,$Y$3,IF(MONTH($C610)=5,$Y$4,IF(MONTH($C610)=6,$Y$5,IF(MONTH($C610)=7,$Y$6,"ERROR")))),0),MAX(VLOOKUP($C610,COS!$B$8:$K$991,9,FALSE)-IF(MONTH($C610)=4,$V$3,IF(MONTH($C610)=5,$V$4,IF(MONTH($C610)=6,$V$5,IF(MONTH($C610)=7,$V$6,"ERROR"))))-VLOOKUP($C610,COS!$B$8:$K$991,6,FALSE)/2,0))</f>
        <v>1500</v>
      </c>
      <c r="S610" s="26">
        <f t="shared" si="979"/>
        <v>89.256198347107429</v>
      </c>
      <c r="T610" s="26">
        <f t="shared" si="980"/>
        <v>167.2108630976401</v>
      </c>
      <c r="U610" s="26" t="str">
        <f>IF(VLOOKUP($C610,COS!$B$8:$I$991,8,FALSE)=1,"UWFE","IBU")</f>
        <v>IBU</v>
      </c>
      <c r="V610" s="26">
        <f t="shared" ref="V610" si="984">MIN(IF(IF($AA$3=2,AND(E610=1,G610=1,L610=1,L613=1,M610=1,U610="IBU"),AND(E610=1,G610=1,L610=1,L613=1,M610=1)),T610,0),I610)</f>
        <v>56.31362990702479</v>
      </c>
      <c r="W610" s="26"/>
      <c r="X610" s="26"/>
      <c r="Y610" s="26"/>
      <c r="Z610" s="26"/>
      <c r="AA610" s="26"/>
      <c r="AB610" s="33"/>
    </row>
    <row r="611" spans="1:28" x14ac:dyDescent="0.3">
      <c r="A611" s="32">
        <f>VLOOKUP(YEAR(C611),Flags!$A$13:$B$95,2,FALSE)</f>
        <v>5</v>
      </c>
      <c r="B611" s="24">
        <f t="shared" si="951"/>
        <v>1988</v>
      </c>
      <c r="C611" s="25">
        <v>32355</v>
      </c>
      <c r="D611" s="26">
        <f>VLOOKUP($C611,COS!$B$8:$H$991,3,FALSE)</f>
        <v>11770.708984375</v>
      </c>
      <c r="E611" s="24">
        <f>IF(D611&gt;=IF(MONTH($C611)=4,$C$3,IF(MONTH($C611)=5,$C$4,IF(MONTH($C611)=6,$C$5,IF(MONTH($C611)=7,$C$6,"ERROR")))),1,0)</f>
        <v>0</v>
      </c>
      <c r="F611" s="26">
        <f>VLOOKUP($C611,COS!$B$8:$H$991,7,FALSE)</f>
        <v>53.894107818603516</v>
      </c>
      <c r="G611" s="24">
        <f>IF(F611&lt;=IF(MONTH($C611)=4,$F$3,IF(MONTH($C611)=5,$F$4,IF(MONTH($C611)=6,$F$5,IF(MONTH($C611)=7,$F$6,"ERROR")))),1,0)</f>
        <v>0</v>
      </c>
      <c r="H611" s="26">
        <f>IF(J611=1,D611-$C$6,0)</f>
        <v>0</v>
      </c>
      <c r="I611" s="26">
        <f t="shared" si="982"/>
        <v>0</v>
      </c>
      <c r="J611" s="24">
        <f t="shared" si="974"/>
        <v>0</v>
      </c>
      <c r="K611" s="26">
        <f>VLOOKUP($C611,COS!$B$8:$H$991,2,FALSE)</f>
        <v>2490.652587890625</v>
      </c>
      <c r="L611" s="24">
        <f t="shared" si="944"/>
        <v>1</v>
      </c>
      <c r="M611" s="24">
        <f t="shared" si="945"/>
        <v>1</v>
      </c>
      <c r="N611" s="26">
        <f>VLOOKUP($C611,COS!$B$8:$H$991,5,FALSE)</f>
        <v>242.14094543457031</v>
      </c>
      <c r="O611" s="26">
        <f t="shared" si="977"/>
        <v>14.888666396968622</v>
      </c>
      <c r="P611" s="26">
        <f>VLOOKUP($C611,COS!$B$8:$H$991,6,FALSE)</f>
        <v>2326.644775390625</v>
      </c>
      <c r="Q611" s="26">
        <f t="shared" si="978"/>
        <v>143.05981098269626</v>
      </c>
      <c r="R611" s="26">
        <f>MIN(IF(MONTH($C611)=4,$S$3,IF(MONTH($C611)=5,$S$4,IF(MONTH($C611)=6,$S$5,IF(MONTH($C611)=7,$S$6,"ERROR")))),MAX(VLOOKUP($C611,COS!$B$8:$K$991,10,FALSE)-IF(MONTH($C611)=4,$Y$3,IF(MONTH($C611)=5,$Y$4,IF(MONTH($C611)=6,$Y$5,IF(MONTH($C611)=7,$Y$6,"ERROR")))),0),MAX(VLOOKUP($C611,COS!$B$8:$K$991,9,FALSE)-IF(MONTH($C611)=4,$V$3,IF(MONTH($C611)=5,$V$4,IF(MONTH($C611)=6,$V$5,IF(MONTH($C611)=7,$V$6,"ERROR"))))-VLOOKUP($C611,COS!$B$8:$K$991,6,FALSE)/2,0))</f>
        <v>1500</v>
      </c>
      <c r="S611" s="26">
        <f t="shared" si="979"/>
        <v>92.231404958677686</v>
      </c>
      <c r="T611" s="26">
        <f t="shared" si="980"/>
        <v>171.20564364851015</v>
      </c>
      <c r="U611" s="26" t="str">
        <f>IF(VLOOKUP($C611,COS!$B$8:$I$991,8,FALSE)=1,"UWFE","IBU")</f>
        <v>IBU</v>
      </c>
      <c r="V611" s="26">
        <f t="shared" ref="V611" si="985">MIN(IF(IF($AA$3=2,AND(E611=1,G611=1,L611=1,L613=1,M611=1,U611="IBU"),AND(E611=1,G611=1,L611=1,L613=1,M611=1)),T611,0),I611)</f>
        <v>0</v>
      </c>
      <c r="W611" s="26"/>
      <c r="X611" s="26"/>
      <c r="Y611" s="26"/>
      <c r="Z611" s="26"/>
      <c r="AA611" s="26"/>
      <c r="AB611" s="33"/>
    </row>
    <row r="612" spans="1:28" x14ac:dyDescent="0.3">
      <c r="A612" s="32">
        <f>VLOOKUP(YEAR(C612),Flags!$A$13:$B$95,2,FALSE)</f>
        <v>5</v>
      </c>
      <c r="B612" s="24">
        <f t="shared" si="951"/>
        <v>1988</v>
      </c>
      <c r="C612" s="25">
        <v>32386</v>
      </c>
      <c r="D612" s="26"/>
      <c r="E612" s="24"/>
      <c r="F612" s="26"/>
      <c r="G612" s="24"/>
      <c r="H612" s="24"/>
      <c r="I612" s="26"/>
      <c r="J612" s="24"/>
      <c r="K612" s="26"/>
      <c r="L612" s="24"/>
      <c r="M612" s="24"/>
      <c r="N612" s="26"/>
      <c r="O612" s="26"/>
      <c r="P612" s="26"/>
      <c r="Q612" s="26"/>
      <c r="R612" s="26"/>
      <c r="S612" s="26"/>
      <c r="T612" s="26"/>
      <c r="U612" s="26"/>
      <c r="V612" s="26"/>
      <c r="W612" s="26">
        <f>MAX($C$7-VLOOKUP($C612,COS!$B$8:$H$991,3,FALSE),0)</f>
        <v>92407.8330078125</v>
      </c>
      <c r="X612" s="26">
        <f t="shared" si="972"/>
        <v>5681.9361783316117</v>
      </c>
      <c r="Y612" s="26">
        <f>VLOOKUP($C612,COS!$B$8:$H$991,4,FALSE)</f>
        <v>2363.936279296875</v>
      </c>
      <c r="Z612" s="26">
        <f t="shared" si="973"/>
        <v>145.35277618155993</v>
      </c>
      <c r="AA612" s="26">
        <f t="shared" ref="AA612:AA616" si="986">MIN(W612,Y612)</f>
        <v>2363.936279296875</v>
      </c>
      <c r="AB612" s="33">
        <f t="shared" ref="AB612" si="987">AA612*DAY($C612)*86400/43560/1000*IF(MONTH($C612)=8,$P$3,IF(MONTH($C612)=9,$P$4,IF(MONTH($C612)=10,$P$5,IF(MONTH($C612)=11,$P$6,IF(MONTH($C612)=12,$P$7,NA())))))</f>
        <v>145.35277618155993</v>
      </c>
    </row>
    <row r="613" spans="1:28" x14ac:dyDescent="0.3">
      <c r="A613" s="32">
        <f>VLOOKUP(YEAR(C613),Flags!$A$13:$B$95,2,FALSE)</f>
        <v>5</v>
      </c>
      <c r="B613" s="24">
        <f t="shared" si="951"/>
        <v>1988</v>
      </c>
      <c r="C613" s="25">
        <v>32416</v>
      </c>
      <c r="D613" s="26"/>
      <c r="E613" s="24"/>
      <c r="F613" s="26"/>
      <c r="G613" s="24"/>
      <c r="H613" s="24"/>
      <c r="I613" s="26"/>
      <c r="J613" s="24"/>
      <c r="K613" s="26">
        <f>VLOOKUP($C613,COS!$B$8:$H$991,2,FALSE)</f>
        <v>2110.7509765625</v>
      </c>
      <c r="L613" s="24">
        <f t="shared" ref="L613" si="988">IF(AND(K613&gt;$I$7,K613&lt;$I$8),1,0)</f>
        <v>1</v>
      </c>
      <c r="M613" s="24"/>
      <c r="N613" s="26"/>
      <c r="O613" s="26"/>
      <c r="P613" s="26"/>
      <c r="Q613" s="26"/>
      <c r="R613" s="26"/>
      <c r="S613" s="26"/>
      <c r="T613" s="26"/>
      <c r="U613" s="26"/>
      <c r="V613" s="26"/>
      <c r="W613" s="26">
        <f>MAX($C$8-VLOOKUP($C613,COS!$B$8:$H$991,3,FALSE),0)</f>
        <v>94115.951171875</v>
      </c>
      <c r="X613" s="26">
        <f t="shared" si="972"/>
        <v>5600.2880036157021</v>
      </c>
      <c r="Y613" s="26">
        <f>VLOOKUP($C613,COS!$B$8:$H$991,4,FALSE)</f>
        <v>1955.6697998046875</v>
      </c>
      <c r="Z613" s="26">
        <f t="shared" si="973"/>
        <v>116.37043436854339</v>
      </c>
      <c r="AA613" s="26">
        <f t="shared" si="986"/>
        <v>1955.6697998046875</v>
      </c>
      <c r="AB613" s="33">
        <f t="shared" si="956"/>
        <v>116.37043436854339</v>
      </c>
    </row>
    <row r="614" spans="1:28" x14ac:dyDescent="0.3">
      <c r="A614" s="32">
        <f>VLOOKUP(YEAR(C614),Flags!$A$13:$B$95,2,FALSE)</f>
        <v>5</v>
      </c>
      <c r="B614" s="24">
        <f t="shared" si="951"/>
        <v>1988</v>
      </c>
      <c r="C614" s="25">
        <v>32447</v>
      </c>
      <c r="D614" s="26"/>
      <c r="E614" s="24"/>
      <c r="F614" s="26"/>
      <c r="G614" s="26"/>
      <c r="H614" s="26"/>
      <c r="I614" s="26"/>
      <c r="J614" s="26"/>
      <c r="K614" s="26"/>
      <c r="L614" s="24"/>
      <c r="M614" s="24"/>
      <c r="N614" s="26"/>
      <c r="O614" s="26"/>
      <c r="P614" s="26"/>
      <c r="Q614" s="26"/>
      <c r="R614" s="26"/>
      <c r="S614" s="26"/>
      <c r="T614" s="26"/>
      <c r="U614" s="26"/>
      <c r="V614" s="26"/>
      <c r="W614" s="26">
        <f>MAX($C$9-VLOOKUP($C614,COS!$B$8:$H$991,3,FALSE),0)</f>
        <v>94431.38720703125</v>
      </c>
      <c r="X614" s="26">
        <f t="shared" si="972"/>
        <v>5806.3596762009302</v>
      </c>
      <c r="Y614" s="26">
        <f>VLOOKUP($C614,COS!$B$8:$H$991,4,FALSE)</f>
        <v>1615.891357421875</v>
      </c>
      <c r="Z614" s="26">
        <f t="shared" si="973"/>
        <v>99.357286770402894</v>
      </c>
      <c r="AA614" s="26">
        <f t="shared" si="986"/>
        <v>1615.891357421875</v>
      </c>
      <c r="AB614" s="33">
        <f t="shared" si="956"/>
        <v>99.357286770402894</v>
      </c>
    </row>
    <row r="615" spans="1:28" x14ac:dyDescent="0.3">
      <c r="A615" s="32">
        <f>VLOOKUP(YEAR(C615),Flags!$A$13:$B$95,2,FALSE)</f>
        <v>5</v>
      </c>
      <c r="B615" s="24">
        <f t="shared" si="951"/>
        <v>1988</v>
      </c>
      <c r="C615" s="25">
        <v>32477</v>
      </c>
      <c r="D615" s="26"/>
      <c r="E615" s="24"/>
      <c r="F615" s="26"/>
      <c r="G615" s="26"/>
      <c r="H615" s="26"/>
      <c r="I615" s="26"/>
      <c r="J615" s="26"/>
      <c r="K615" s="26"/>
      <c r="L615" s="24"/>
      <c r="M615" s="24"/>
      <c r="N615" s="26"/>
      <c r="O615" s="26"/>
      <c r="P615" s="26"/>
      <c r="Q615" s="26"/>
      <c r="R615" s="26"/>
      <c r="S615" s="26"/>
      <c r="T615" s="26"/>
      <c r="U615" s="26"/>
      <c r="V615" s="26"/>
      <c r="W615" s="26">
        <f>MAX($C$10-VLOOKUP($C615,COS!$B$8:$H$991,3,FALSE),0)</f>
        <v>96749</v>
      </c>
      <c r="X615" s="26">
        <f t="shared" si="972"/>
        <v>5756.965289256198</v>
      </c>
      <c r="Y615" s="26">
        <f>VLOOKUP($C615,COS!$B$8:$H$991,4,FALSE)</f>
        <v>1854.902587890625</v>
      </c>
      <c r="Z615" s="26">
        <f t="shared" si="973"/>
        <v>110.37436886621902</v>
      </c>
      <c r="AA615" s="26">
        <f t="shared" si="986"/>
        <v>1854.902587890625</v>
      </c>
      <c r="AB615" s="33">
        <f t="shared" si="956"/>
        <v>55.187184433109508</v>
      </c>
    </row>
    <row r="616" spans="1:28" x14ac:dyDescent="0.3">
      <c r="A616" s="34">
        <f>VLOOKUP(YEAR(C616),Flags!$A$13:$B$95,2,FALSE)</f>
        <v>5</v>
      </c>
      <c r="B616" s="35">
        <f t="shared" si="951"/>
        <v>1988</v>
      </c>
      <c r="C616" s="36">
        <v>32508</v>
      </c>
      <c r="D616" s="37"/>
      <c r="E616" s="35"/>
      <c r="F616" s="37"/>
      <c r="G616" s="37"/>
      <c r="H616" s="37"/>
      <c r="I616" s="37"/>
      <c r="J616" s="37"/>
      <c r="K616" s="37"/>
      <c r="L616" s="35"/>
      <c r="M616" s="35"/>
      <c r="N616" s="37"/>
      <c r="O616" s="37"/>
      <c r="P616" s="37"/>
      <c r="Q616" s="37"/>
      <c r="R616" s="37"/>
      <c r="S616" s="37"/>
      <c r="T616" s="37"/>
      <c r="U616" s="37"/>
      <c r="V616" s="37"/>
      <c r="W616" s="37">
        <f>MAX($C$11-VLOOKUP($C616,COS!$B$8:$H$991,3,FALSE),0)</f>
        <v>0</v>
      </c>
      <c r="X616" s="37">
        <f t="shared" si="972"/>
        <v>0</v>
      </c>
      <c r="Y616" s="37">
        <f>VLOOKUP($C616,COS!$B$8:$H$991,4,FALSE)</f>
        <v>1030.474853515625</v>
      </c>
      <c r="Z616" s="37">
        <f t="shared" si="973"/>
        <v>63.361429009555785</v>
      </c>
      <c r="AA616" s="37">
        <f t="shared" si="986"/>
        <v>0</v>
      </c>
      <c r="AB616" s="38">
        <f t="shared" si="956"/>
        <v>0</v>
      </c>
    </row>
    <row r="617" spans="1:28" x14ac:dyDescent="0.3">
      <c r="A617" s="27">
        <f>VLOOKUP(YEAR(C617),Flags!$A$13:$B$95,2,FALSE)</f>
        <v>4</v>
      </c>
      <c r="B617" s="28">
        <f t="shared" si="951"/>
        <v>1989</v>
      </c>
      <c r="C617" s="29">
        <v>32628</v>
      </c>
      <c r="D617" s="30">
        <f>VLOOKUP($C617,COS!$B$8:$H$991,3,FALSE)</f>
        <v>3250</v>
      </c>
      <c r="E617" s="28">
        <f>IF(D617&gt;=IF(MONTH($C617)=4,$C$3,IF(MONTH($C617)=5,$C$4,IF(MONTH($C617)=6,$C$5,IF(MONTH($C617)=7,$C$6,"ERROR")))),1,0)</f>
        <v>0</v>
      </c>
      <c r="F617" s="30">
        <f>VLOOKUP($C617,COS!$B$8:$H$991,7,FALSE)</f>
        <v>52.776580810546875</v>
      </c>
      <c r="G617" s="28">
        <f>IF(F617&lt;=IF(MONTH($C617)=4,$F$3,IF(MONTH($C617)=5,$F$4,IF(MONTH($C617)=6,$F$5,IF(MONTH($C617)=7,$F$6,"ERROR")))),1,0)</f>
        <v>1</v>
      </c>
      <c r="H617" s="30">
        <f>IF(J617=1,D617-$C$3,0)</f>
        <v>0</v>
      </c>
      <c r="I617" s="30">
        <f t="shared" si="982"/>
        <v>0</v>
      </c>
      <c r="J617" s="28">
        <f t="shared" ref="J617:J620" si="989">IF(AND(E617=1,G617=1),1,0)</f>
        <v>0</v>
      </c>
      <c r="K617" s="30">
        <f>VLOOKUP($C617,COS!$B$8:$H$991,2,FALSE)</f>
        <v>4257.525390625</v>
      </c>
      <c r="L617" s="28">
        <f t="shared" ref="L617" si="990">IF(K617&lt;=IF(MONTH($C617)=4,$I$3,IF(MONTH($C617)=5,$I$4,IF(MONTH($C617)=6,$I$5,IF(MONTH($C617)=7,$I$6,"ERROR")))),1,0)</f>
        <v>1</v>
      </c>
      <c r="M617" s="28">
        <f t="shared" ref="M617" si="991">VLOOKUP($A617,$L$3:$M$7,2,FALSE)</f>
        <v>1</v>
      </c>
      <c r="N617" s="30">
        <f>VLOOKUP($C617,COS!$B$8:$H$991,5,FALSE)</f>
        <v>278.56231689453125</v>
      </c>
      <c r="O617" s="30">
        <f t="shared" ref="O617:O620" si="992">N617*DAY($C617)*86400/43560/1000</f>
        <v>16.575608939178718</v>
      </c>
      <c r="P617" s="30">
        <f>VLOOKUP($C617,COS!$B$8:$H$991,6,FALSE)</f>
        <v>448.37432861328125</v>
      </c>
      <c r="Q617" s="30">
        <f t="shared" ref="Q617:Q620" si="993">P617*DAY($C617)*86400/43560/1000</f>
        <v>26.680125338972108</v>
      </c>
      <c r="R617" s="30">
        <f>MIN(IF(MONTH($C617)=4,$S$3,IF(MONTH($C617)=5,$S$4,IF(MONTH($C617)=6,$S$5,IF(MONTH($C617)=7,$S$6,"ERROR")))),MAX(VLOOKUP($C617,COS!$B$8:$K$991,10,FALSE)-IF(MONTH($C617)=4,$Y$3,IF(MONTH($C617)=5,$Y$4,IF(MONTH($C617)=6,$Y$5,IF(MONTH($C617)=7,$Y$6,"ERROR")))),0),MAX(VLOOKUP($C617,COS!$B$8:$K$991,9,FALSE)-IF(MONTH($C617)=4,$V$3,IF(MONTH($C617)=5,$V$4,IF(MONTH($C617)=6,$V$5,IF(MONTH($C617)=7,$V$6,"ERROR"))))-VLOOKUP($C617,COS!$B$8:$K$991,6,FALSE)/2,0))</f>
        <v>1500</v>
      </c>
      <c r="S617" s="30">
        <f t="shared" ref="S617:S620" si="994">R617*DAY($C617)*86400/43560/1000</f>
        <v>89.256198347107429</v>
      </c>
      <c r="T617" s="30">
        <f t="shared" ref="T617:T620" si="995">(O617+Q617)/2+S617</f>
        <v>110.88406548618283</v>
      </c>
      <c r="U617" s="30" t="str">
        <f>IF(VLOOKUP($C617,COS!$B$8:$I$991,8,FALSE)=1,"UWFE","IBU")</f>
        <v>UWFE</v>
      </c>
      <c r="V617" s="30">
        <f t="shared" ref="V617" si="996">MIN(IF(IF($AA$3=2,AND(E617=1,G617=1,L617=1,L622=1,M617=1,U617="IBU"),AND(E617=1,G617=1,L617=1,L622=1,M617=1)),T617,0),I617)</f>
        <v>0</v>
      </c>
      <c r="W617" s="30"/>
      <c r="X617" s="30"/>
      <c r="Y617" s="30"/>
      <c r="Z617" s="30"/>
      <c r="AA617" s="30"/>
      <c r="AB617" s="31"/>
    </row>
    <row r="618" spans="1:28" x14ac:dyDescent="0.3">
      <c r="A618" s="32">
        <f>VLOOKUP(YEAR(C618),Flags!$A$13:$B$95,2,FALSE)</f>
        <v>4</v>
      </c>
      <c r="B618" s="24">
        <f t="shared" si="951"/>
        <v>1989</v>
      </c>
      <c r="C618" s="25">
        <v>32659</v>
      </c>
      <c r="D618" s="26">
        <f>VLOOKUP($C618,COS!$B$8:$H$991,3,FALSE)</f>
        <v>10011.177734375</v>
      </c>
      <c r="E618" s="24">
        <f>IF(D618&gt;=IF(MONTH($C618)=4,$C$3,IF(MONTH($C618)=5,$C$4,IF(MONTH($C618)=6,$C$5,IF(MONTH($C618)=7,$C$6,"ERROR")))),1,0)</f>
        <v>1</v>
      </c>
      <c r="F618" s="26">
        <f>VLOOKUP($C618,COS!$B$8:$H$991,7,FALSE)</f>
        <v>50.918426513671875</v>
      </c>
      <c r="G618" s="24">
        <f>IF(F618&lt;=IF(MONTH($C618)=4,$F$3,IF(MONTH($C618)=5,$F$4,IF(MONTH($C618)=6,$F$5,IF(MONTH($C618)=7,$F$6,"ERROR")))),1,0)</f>
        <v>1</v>
      </c>
      <c r="H618" s="26">
        <f>IF(J618=1,D618-$C$4,0)</f>
        <v>4011.177734375</v>
      </c>
      <c r="I618" s="26">
        <f t="shared" si="982"/>
        <v>246.63770532024793</v>
      </c>
      <c r="J618" s="24">
        <f t="shared" si="989"/>
        <v>1</v>
      </c>
      <c r="K618" s="26">
        <f>VLOOKUP($C618,COS!$B$8:$H$991,2,FALSE)</f>
        <v>3934.481689453125</v>
      </c>
      <c r="L618" s="24">
        <f t="shared" si="944"/>
        <v>1</v>
      </c>
      <c r="M618" s="24">
        <f t="shared" si="945"/>
        <v>1</v>
      </c>
      <c r="N618" s="26">
        <f>VLOOKUP($C618,COS!$B$8:$H$991,5,FALSE)</f>
        <v>317.6539306640625</v>
      </c>
      <c r="O618" s="26">
        <f t="shared" si="992"/>
        <v>19.531778877195247</v>
      </c>
      <c r="P618" s="26">
        <f>VLOOKUP($C618,COS!$B$8:$H$991,6,FALSE)</f>
        <v>2368.940673828125</v>
      </c>
      <c r="Q618" s="26">
        <f t="shared" si="993"/>
        <v>145.66048440728304</v>
      </c>
      <c r="R618" s="26">
        <f>MIN(IF(MONTH($C618)=4,$S$3,IF(MONTH($C618)=5,$S$4,IF(MONTH($C618)=6,$S$5,IF(MONTH($C618)=7,$S$6,"ERROR")))),MAX(VLOOKUP($C618,COS!$B$8:$K$991,10,FALSE)-IF(MONTH($C618)=4,$Y$3,IF(MONTH($C618)=5,$Y$4,IF(MONTH($C618)=6,$Y$5,IF(MONTH($C618)=7,$Y$6,"ERROR")))),0),MAX(VLOOKUP($C618,COS!$B$8:$K$991,9,FALSE)-IF(MONTH($C618)=4,$V$3,IF(MONTH($C618)=5,$V$4,IF(MONTH($C618)=6,$V$5,IF(MONTH($C618)=7,$V$6,"ERROR"))))-VLOOKUP($C618,COS!$B$8:$K$991,6,FALSE)/2,0))</f>
        <v>1500</v>
      </c>
      <c r="S618" s="26">
        <f t="shared" si="994"/>
        <v>92.231404958677686</v>
      </c>
      <c r="T618" s="26">
        <f t="shared" si="995"/>
        <v>174.82753660091683</v>
      </c>
      <c r="U618" s="26" t="str">
        <f>IF(VLOOKUP($C618,COS!$B$8:$I$991,8,FALSE)=1,"UWFE","IBU")</f>
        <v>IBU</v>
      </c>
      <c r="V618" s="26">
        <f t="shared" ref="V618" si="997">MIN(IF(IF($AA$3=2,AND(E618=1,G618=1,L618=1,L622=1,M618=1,U618="IBU"),AND(E618=1,G618=1,L618=1,L622=1,M618=1)),T618,0),I618)</f>
        <v>174.82753660091683</v>
      </c>
      <c r="W618" s="26"/>
      <c r="X618" s="26"/>
      <c r="Y618" s="26"/>
      <c r="Z618" s="26"/>
      <c r="AA618" s="26"/>
      <c r="AB618" s="33"/>
    </row>
    <row r="619" spans="1:28" x14ac:dyDescent="0.3">
      <c r="A619" s="32">
        <f>VLOOKUP(YEAR(C619),Flags!$A$13:$B$95,2,FALSE)</f>
        <v>4</v>
      </c>
      <c r="B619" s="24">
        <f t="shared" si="951"/>
        <v>1989</v>
      </c>
      <c r="C619" s="25">
        <v>32689</v>
      </c>
      <c r="D619" s="26">
        <f>VLOOKUP($C619,COS!$B$8:$H$991,3,FALSE)</f>
        <v>11206.92578125</v>
      </c>
      <c r="E619" s="24">
        <f>IF(D619&gt;=IF(MONTH($C619)=4,$C$3,IF(MONTH($C619)=5,$C$4,IF(MONTH($C619)=6,$C$5,IF(MONTH($C619)=7,$C$6,"ERROR")))),1,0)</f>
        <v>1</v>
      </c>
      <c r="F619" s="26">
        <f>VLOOKUP($C619,COS!$B$8:$H$991,7,FALSE)</f>
        <v>51.800579071044922</v>
      </c>
      <c r="G619" s="24">
        <f>IF(F619&lt;=IF(MONTH($C619)=4,$F$3,IF(MONTH($C619)=5,$F$4,IF(MONTH($C619)=6,$F$5,IF(MONTH($C619)=7,$F$6,"ERROR")))),1,0)</f>
        <v>1</v>
      </c>
      <c r="H619" s="26">
        <f>IF(J619=1,D619-$C$5,0)</f>
        <v>1206.92578125</v>
      </c>
      <c r="I619" s="26">
        <f t="shared" si="982"/>
        <v>71.817071280991726</v>
      </c>
      <c r="J619" s="24">
        <f t="shared" si="989"/>
        <v>1</v>
      </c>
      <c r="K619" s="26">
        <f>VLOOKUP($C619,COS!$B$8:$H$991,2,FALSE)</f>
        <v>3457.87646484375</v>
      </c>
      <c r="L619" s="24">
        <f t="shared" si="944"/>
        <v>1</v>
      </c>
      <c r="M619" s="24">
        <f t="shared" si="945"/>
        <v>1</v>
      </c>
      <c r="N619" s="26">
        <f>VLOOKUP($C619,COS!$B$8:$H$991,5,FALSE)</f>
        <v>517.07537841796875</v>
      </c>
      <c r="O619" s="26">
        <f t="shared" si="992"/>
        <v>30.768121690986568</v>
      </c>
      <c r="P619" s="26">
        <f>VLOOKUP($C619,COS!$B$8:$H$991,6,FALSE)</f>
        <v>2621.433837890625</v>
      </c>
      <c r="Q619" s="26">
        <f t="shared" si="993"/>
        <v>155.98614572572316</v>
      </c>
      <c r="R619" s="26">
        <f>MIN(IF(MONTH($C619)=4,$S$3,IF(MONTH($C619)=5,$S$4,IF(MONTH($C619)=6,$S$5,IF(MONTH($C619)=7,$S$6,"ERROR")))),MAX(VLOOKUP($C619,COS!$B$8:$K$991,10,FALSE)-IF(MONTH($C619)=4,$Y$3,IF(MONTH($C619)=5,$Y$4,IF(MONTH($C619)=6,$Y$5,IF(MONTH($C619)=7,$Y$6,"ERROR")))),0),MAX(VLOOKUP($C619,COS!$B$8:$K$991,9,FALSE)-IF(MONTH($C619)=4,$V$3,IF(MONTH($C619)=5,$V$4,IF(MONTH($C619)=6,$V$5,IF(MONTH($C619)=7,$V$6,"ERROR"))))-VLOOKUP($C619,COS!$B$8:$K$991,6,FALSE)/2,0))</f>
        <v>1500</v>
      </c>
      <c r="S619" s="26">
        <f t="shared" si="994"/>
        <v>89.256198347107429</v>
      </c>
      <c r="T619" s="26">
        <f t="shared" si="995"/>
        <v>182.63333205546229</v>
      </c>
      <c r="U619" s="26" t="str">
        <f>IF(VLOOKUP($C619,COS!$B$8:$I$991,8,FALSE)=1,"UWFE","IBU")</f>
        <v>IBU</v>
      </c>
      <c r="V619" s="26">
        <f t="shared" ref="V619" si="998">MIN(IF(IF($AA$3=2,AND(E619=1,G619=1,L619=1,L622=1,M619=1,U619="IBU"),AND(E619=1,G619=1,L619=1,L622=1,M619=1)),T619,0),I619)</f>
        <v>71.817071280991726</v>
      </c>
      <c r="W619" s="26"/>
      <c r="X619" s="26"/>
      <c r="Y619" s="26"/>
      <c r="Z619" s="26"/>
      <c r="AA619" s="26"/>
      <c r="AB619" s="33"/>
    </row>
    <row r="620" spans="1:28" x14ac:dyDescent="0.3">
      <c r="A620" s="32">
        <f>VLOOKUP(YEAR(C620),Flags!$A$13:$B$95,2,FALSE)</f>
        <v>4</v>
      </c>
      <c r="B620" s="24">
        <f t="shared" si="951"/>
        <v>1989</v>
      </c>
      <c r="C620" s="25">
        <v>32720</v>
      </c>
      <c r="D620" s="26">
        <f>VLOOKUP($C620,COS!$B$8:$H$991,3,FALSE)</f>
        <v>12592.146484375</v>
      </c>
      <c r="E620" s="24">
        <f>IF(D620&gt;=IF(MONTH($C620)=4,$C$3,IF(MONTH($C620)=5,$C$4,IF(MONTH($C620)=6,$C$5,IF(MONTH($C620)=7,$C$6,"ERROR")))),1,0)</f>
        <v>1</v>
      </c>
      <c r="F620" s="26">
        <f>VLOOKUP($C620,COS!$B$8:$H$991,7,FALSE)</f>
        <v>53.21966552734375</v>
      </c>
      <c r="G620" s="24">
        <f>IF(F620&lt;=IF(MONTH($C620)=4,$F$3,IF(MONTH($C620)=5,$F$4,IF(MONTH($C620)=6,$F$5,IF(MONTH($C620)=7,$F$6,"ERROR")))),1,0)</f>
        <v>1</v>
      </c>
      <c r="H620" s="26">
        <f>IF(J620=1,D620-$C$6,0)</f>
        <v>592.146484375</v>
      </c>
      <c r="I620" s="26">
        <f t="shared" si="982"/>
        <v>36.409668130165286</v>
      </c>
      <c r="J620" s="24">
        <f t="shared" si="989"/>
        <v>1</v>
      </c>
      <c r="K620" s="26">
        <f>VLOOKUP($C620,COS!$B$8:$H$991,2,FALSE)</f>
        <v>2918.839599609375</v>
      </c>
      <c r="L620" s="24">
        <f t="shared" si="944"/>
        <v>1</v>
      </c>
      <c r="M620" s="24">
        <f t="shared" si="945"/>
        <v>1</v>
      </c>
      <c r="N620" s="26">
        <f>VLOOKUP($C620,COS!$B$8:$H$991,5,FALSE)</f>
        <v>602.97808837890625</v>
      </c>
      <c r="O620" s="26">
        <f t="shared" si="992"/>
        <v>37.075677500322833</v>
      </c>
      <c r="P620" s="26">
        <f>VLOOKUP($C620,COS!$B$8:$H$991,6,FALSE)</f>
        <v>2442.872314453125</v>
      </c>
      <c r="Q620" s="26">
        <f t="shared" si="993"/>
        <v>150.20636379777892</v>
      </c>
      <c r="R620" s="26">
        <f>MIN(IF(MONTH($C620)=4,$S$3,IF(MONTH($C620)=5,$S$4,IF(MONTH($C620)=6,$S$5,IF(MONTH($C620)=7,$S$6,"ERROR")))),MAX(VLOOKUP($C620,COS!$B$8:$K$991,10,FALSE)-IF(MONTH($C620)=4,$Y$3,IF(MONTH($C620)=5,$Y$4,IF(MONTH($C620)=6,$Y$5,IF(MONTH($C620)=7,$Y$6,"ERROR")))),0),MAX(VLOOKUP($C620,COS!$B$8:$K$991,9,FALSE)-IF(MONTH($C620)=4,$V$3,IF(MONTH($C620)=5,$V$4,IF(MONTH($C620)=6,$V$5,IF(MONTH($C620)=7,$V$6,"ERROR"))))-VLOOKUP($C620,COS!$B$8:$K$991,6,FALSE)/2,0))</f>
        <v>1500</v>
      </c>
      <c r="S620" s="26">
        <f t="shared" si="994"/>
        <v>92.231404958677686</v>
      </c>
      <c r="T620" s="26">
        <f t="shared" si="995"/>
        <v>185.87242560772856</v>
      </c>
      <c r="U620" s="26" t="str">
        <f>IF(VLOOKUP($C620,COS!$B$8:$I$991,8,FALSE)=1,"UWFE","IBU")</f>
        <v>IBU</v>
      </c>
      <c r="V620" s="26">
        <f t="shared" ref="V620" si="999">MIN(IF(IF($AA$3=2,AND(E620=1,G620=1,L620=1,L622=1,M620=1,U620="IBU"),AND(E620=1,G620=1,L620=1,L622=1,M620=1)),T620,0),I620)</f>
        <v>36.409668130165286</v>
      </c>
      <c r="W620" s="26"/>
      <c r="X620" s="26"/>
      <c r="Y620" s="26"/>
      <c r="Z620" s="26"/>
      <c r="AA620" s="26"/>
      <c r="AB620" s="33"/>
    </row>
    <row r="621" spans="1:28" x14ac:dyDescent="0.3">
      <c r="A621" s="32">
        <f>VLOOKUP(YEAR(C621),Flags!$A$13:$B$95,2,FALSE)</f>
        <v>4</v>
      </c>
      <c r="B621" s="24">
        <f t="shared" si="951"/>
        <v>1989</v>
      </c>
      <c r="C621" s="25">
        <v>32751</v>
      </c>
      <c r="D621" s="26"/>
      <c r="E621" s="24"/>
      <c r="F621" s="26"/>
      <c r="G621" s="24"/>
      <c r="H621" s="24"/>
      <c r="I621" s="26"/>
      <c r="J621" s="24"/>
      <c r="K621" s="26"/>
      <c r="L621" s="24"/>
      <c r="M621" s="24"/>
      <c r="N621" s="26"/>
      <c r="O621" s="26"/>
      <c r="P621" s="26"/>
      <c r="Q621" s="26"/>
      <c r="R621" s="26"/>
      <c r="S621" s="26"/>
      <c r="T621" s="26"/>
      <c r="U621" s="26"/>
      <c r="V621" s="26"/>
      <c r="W621" s="26">
        <f>MAX($C$7-VLOOKUP($C621,COS!$B$8:$H$991,3,FALSE),0)</f>
        <v>91856.2431640625</v>
      </c>
      <c r="X621" s="26">
        <f t="shared" si="972"/>
        <v>5648.0202408316118</v>
      </c>
      <c r="Y621" s="26">
        <f>VLOOKUP($C621,COS!$B$8:$H$991,4,FALSE)</f>
        <v>2140.86328125</v>
      </c>
      <c r="Z621" s="26">
        <f t="shared" si="973"/>
        <v>131.63655216942149</v>
      </c>
      <c r="AA621" s="26">
        <f t="shared" ref="AA621:AA625" si="1000">MIN(W621,Y621)</f>
        <v>2140.86328125</v>
      </c>
      <c r="AB621" s="33">
        <f t="shared" ref="AB621" si="1001">AA621*DAY($C621)*86400/43560/1000*IF(MONTH($C621)=8,$P$3,IF(MONTH($C621)=9,$P$4,IF(MONTH($C621)=10,$P$5,IF(MONTH($C621)=11,$P$6,IF(MONTH($C621)=12,$P$7,NA())))))</f>
        <v>131.63655216942149</v>
      </c>
    </row>
    <row r="622" spans="1:28" x14ac:dyDescent="0.3">
      <c r="A622" s="32">
        <f>VLOOKUP(YEAR(C622),Flags!$A$13:$B$95,2,FALSE)</f>
        <v>4</v>
      </c>
      <c r="B622" s="24">
        <f t="shared" si="951"/>
        <v>1989</v>
      </c>
      <c r="C622" s="25">
        <v>32781</v>
      </c>
      <c r="D622" s="26"/>
      <c r="E622" s="24"/>
      <c r="F622" s="26"/>
      <c r="G622" s="24"/>
      <c r="H622" s="24"/>
      <c r="I622" s="26"/>
      <c r="J622" s="24"/>
      <c r="K622" s="26">
        <f>VLOOKUP($C622,COS!$B$8:$H$991,2,FALSE)</f>
        <v>2659.4970703125</v>
      </c>
      <c r="L622" s="24">
        <f t="shared" ref="L622" si="1002">IF(AND(K622&gt;$I$7,K622&lt;$I$8),1,0)</f>
        <v>1</v>
      </c>
      <c r="M622" s="24"/>
      <c r="N622" s="26"/>
      <c r="O622" s="26"/>
      <c r="P622" s="26"/>
      <c r="Q622" s="26"/>
      <c r="R622" s="26"/>
      <c r="S622" s="26"/>
      <c r="T622" s="26"/>
      <c r="U622" s="26"/>
      <c r="V622" s="26"/>
      <c r="W622" s="26">
        <f>MAX($C$8-VLOOKUP($C622,COS!$B$8:$H$991,3,FALSE),0)</f>
        <v>96571.319580078125</v>
      </c>
      <c r="X622" s="26">
        <f t="shared" si="972"/>
        <v>5746.3925700542359</v>
      </c>
      <c r="Y622" s="26">
        <f>VLOOKUP($C622,COS!$B$8:$H$991,4,FALSE)</f>
        <v>447.037109375</v>
      </c>
      <c r="Z622" s="26">
        <f t="shared" si="973"/>
        <v>26.600555268595041</v>
      </c>
      <c r="AA622" s="26">
        <f t="shared" si="1000"/>
        <v>447.037109375</v>
      </c>
      <c r="AB622" s="33">
        <f t="shared" si="956"/>
        <v>26.600555268595041</v>
      </c>
    </row>
    <row r="623" spans="1:28" x14ac:dyDescent="0.3">
      <c r="A623" s="32">
        <f>VLOOKUP(YEAR(C623),Flags!$A$13:$B$95,2,FALSE)</f>
        <v>4</v>
      </c>
      <c r="B623" s="24">
        <f t="shared" si="951"/>
        <v>1989</v>
      </c>
      <c r="C623" s="25">
        <v>32812</v>
      </c>
      <c r="D623" s="26"/>
      <c r="E623" s="24"/>
      <c r="F623" s="26"/>
      <c r="G623" s="26"/>
      <c r="H623" s="26"/>
      <c r="I623" s="26"/>
      <c r="J623" s="26"/>
      <c r="K623" s="26"/>
      <c r="L623" s="24"/>
      <c r="M623" s="24"/>
      <c r="N623" s="26"/>
      <c r="O623" s="26"/>
      <c r="P623" s="26"/>
      <c r="Q623" s="26"/>
      <c r="R623" s="26"/>
      <c r="S623" s="26"/>
      <c r="T623" s="26"/>
      <c r="U623" s="26"/>
      <c r="V623" s="26"/>
      <c r="W623" s="26">
        <f>MAX($C$9-VLOOKUP($C623,COS!$B$8:$H$991,3,FALSE),0)</f>
        <v>95860.29296875</v>
      </c>
      <c r="X623" s="26">
        <f t="shared" si="972"/>
        <v>5894.2196668388433</v>
      </c>
      <c r="Y623" s="26">
        <f>VLOOKUP($C623,COS!$B$8:$H$991,4,FALSE)</f>
        <v>977.87164306640625</v>
      </c>
      <c r="Z623" s="26">
        <f t="shared" si="973"/>
        <v>60.126983672843487</v>
      </c>
      <c r="AA623" s="26">
        <f t="shared" si="1000"/>
        <v>977.87164306640625</v>
      </c>
      <c r="AB623" s="33">
        <f t="shared" si="956"/>
        <v>60.126983672843487</v>
      </c>
    </row>
    <row r="624" spans="1:28" x14ac:dyDescent="0.3">
      <c r="A624" s="32">
        <f>VLOOKUP(YEAR(C624),Flags!$A$13:$B$95,2,FALSE)</f>
        <v>4</v>
      </c>
      <c r="B624" s="24">
        <f t="shared" si="951"/>
        <v>1989</v>
      </c>
      <c r="C624" s="25">
        <v>32842</v>
      </c>
      <c r="D624" s="26"/>
      <c r="E624" s="24"/>
      <c r="F624" s="26"/>
      <c r="G624" s="26"/>
      <c r="H624" s="26"/>
      <c r="I624" s="26"/>
      <c r="J624" s="26"/>
      <c r="K624" s="26"/>
      <c r="L624" s="24"/>
      <c r="M624" s="24"/>
      <c r="N624" s="26"/>
      <c r="O624" s="26"/>
      <c r="P624" s="26"/>
      <c r="Q624" s="26"/>
      <c r="R624" s="26"/>
      <c r="S624" s="26"/>
      <c r="T624" s="26"/>
      <c r="U624" s="26"/>
      <c r="V624" s="26"/>
      <c r="W624" s="26">
        <f>MAX($C$10-VLOOKUP($C624,COS!$B$8:$H$991,3,FALSE),0)</f>
        <v>94450.890625</v>
      </c>
      <c r="X624" s="26">
        <f t="shared" si="972"/>
        <v>5620.2182851239668</v>
      </c>
      <c r="Y624" s="26">
        <f>VLOOKUP($C624,COS!$B$8:$H$991,4,FALSE)</f>
        <v>1557.039306640625</v>
      </c>
      <c r="Z624" s="26">
        <f t="shared" si="973"/>
        <v>92.650272791838844</v>
      </c>
      <c r="AA624" s="26">
        <f t="shared" si="1000"/>
        <v>1557.039306640625</v>
      </c>
      <c r="AB624" s="33">
        <f t="shared" si="956"/>
        <v>46.325136395919422</v>
      </c>
    </row>
    <row r="625" spans="1:28" x14ac:dyDescent="0.3">
      <c r="A625" s="34">
        <f>VLOOKUP(YEAR(C625),Flags!$A$13:$B$95,2,FALSE)</f>
        <v>4</v>
      </c>
      <c r="B625" s="35">
        <f t="shared" si="951"/>
        <v>1989</v>
      </c>
      <c r="C625" s="36">
        <v>32873</v>
      </c>
      <c r="D625" s="37"/>
      <c r="E625" s="35"/>
      <c r="F625" s="37"/>
      <c r="G625" s="37"/>
      <c r="H625" s="37"/>
      <c r="I625" s="37"/>
      <c r="J625" s="37"/>
      <c r="K625" s="37"/>
      <c r="L625" s="35"/>
      <c r="M625" s="35"/>
      <c r="N625" s="37"/>
      <c r="O625" s="37"/>
      <c r="P625" s="37"/>
      <c r="Q625" s="37"/>
      <c r="R625" s="37"/>
      <c r="S625" s="37"/>
      <c r="T625" s="37"/>
      <c r="U625" s="37"/>
      <c r="V625" s="37"/>
      <c r="W625" s="37">
        <f>MAX($C$11-VLOOKUP($C625,COS!$B$8:$H$991,3,FALSE),0)</f>
        <v>0</v>
      </c>
      <c r="X625" s="37">
        <f t="shared" si="972"/>
        <v>0</v>
      </c>
      <c r="Y625" s="37">
        <f>VLOOKUP($C625,COS!$B$8:$H$991,4,FALSE)</f>
        <v>2009.1300048828125</v>
      </c>
      <c r="Z625" s="37">
        <f t="shared" si="973"/>
        <v>123.5365887299845</v>
      </c>
      <c r="AA625" s="37">
        <f t="shared" si="1000"/>
        <v>0</v>
      </c>
      <c r="AB625" s="38">
        <f t="shared" si="956"/>
        <v>0</v>
      </c>
    </row>
    <row r="626" spans="1:28" x14ac:dyDescent="0.3">
      <c r="A626" s="27">
        <f>VLOOKUP(YEAR(C626),Flags!$A$13:$B$95,2,FALSE)</f>
        <v>5</v>
      </c>
      <c r="B626" s="28">
        <f t="shared" si="951"/>
        <v>1990</v>
      </c>
      <c r="C626" s="29">
        <v>32993</v>
      </c>
      <c r="D626" s="30">
        <f>VLOOKUP($C626,COS!$B$8:$H$991,3,FALSE)</f>
        <v>3250</v>
      </c>
      <c r="E626" s="28">
        <f>IF(D626&gt;=IF(MONTH($C626)=4,$C$3,IF(MONTH($C626)=5,$C$4,IF(MONTH($C626)=6,$C$5,IF(MONTH($C626)=7,$C$6,"ERROR")))),1,0)</f>
        <v>0</v>
      </c>
      <c r="F626" s="30">
        <f>VLOOKUP($C626,COS!$B$8:$H$991,7,FALSE)</f>
        <v>52.837333679199219</v>
      </c>
      <c r="G626" s="28">
        <f>IF(F626&lt;=IF(MONTH($C626)=4,$F$3,IF(MONTH($C626)=5,$F$4,IF(MONTH($C626)=6,$F$5,IF(MONTH($C626)=7,$F$6,"ERROR")))),1,0)</f>
        <v>1</v>
      </c>
      <c r="H626" s="30">
        <f>IF(J626=1,D626-$C$3,0)</f>
        <v>0</v>
      </c>
      <c r="I626" s="30">
        <f t="shared" si="982"/>
        <v>0</v>
      </c>
      <c r="J626" s="28">
        <f t="shared" ref="J626:J629" si="1003">IF(AND(E626=1,G626=1),1,0)</f>
        <v>0</v>
      </c>
      <c r="K626" s="30">
        <f>VLOOKUP($C626,COS!$B$8:$H$991,2,FALSE)</f>
        <v>3255.982421875</v>
      </c>
      <c r="L626" s="28">
        <f t="shared" ref="L626" si="1004">IF(K626&lt;=IF(MONTH($C626)=4,$I$3,IF(MONTH($C626)=5,$I$4,IF(MONTH($C626)=6,$I$5,IF(MONTH($C626)=7,$I$6,"ERROR")))),1,0)</f>
        <v>1</v>
      </c>
      <c r="M626" s="28">
        <f t="shared" ref="M626" si="1005">VLOOKUP($A626,$L$3:$M$7,2,FALSE)</f>
        <v>1</v>
      </c>
      <c r="N626" s="30">
        <f>VLOOKUP($C626,COS!$B$8:$H$991,5,FALSE)</f>
        <v>164.3074951171875</v>
      </c>
      <c r="O626" s="30">
        <f t="shared" ref="O626:O629" si="1006">N626*DAY($C626)*86400/43560/1000</f>
        <v>9.7769749160640487</v>
      </c>
      <c r="P626" s="30">
        <f>VLOOKUP($C626,COS!$B$8:$H$991,6,FALSE)</f>
        <v>546.31597900390625</v>
      </c>
      <c r="Q626" s="30">
        <f t="shared" ref="Q626:Q629" si="1007">P626*DAY($C626)*86400/43560/1000</f>
        <v>32.508058254777893</v>
      </c>
      <c r="R626" s="30">
        <f>MIN(IF(MONTH($C626)=4,$S$3,IF(MONTH($C626)=5,$S$4,IF(MONTH($C626)=6,$S$5,IF(MONTH($C626)=7,$S$6,"ERROR")))),MAX(VLOOKUP($C626,COS!$B$8:$K$991,10,FALSE)-IF(MONTH($C626)=4,$Y$3,IF(MONTH($C626)=5,$Y$4,IF(MONTH($C626)=6,$Y$5,IF(MONTH($C626)=7,$Y$6,"ERROR")))),0),MAX(VLOOKUP($C626,COS!$B$8:$K$991,9,FALSE)-IF(MONTH($C626)=4,$V$3,IF(MONTH($C626)=5,$V$4,IF(MONTH($C626)=6,$V$5,IF(MONTH($C626)=7,$V$6,"ERROR"))))-VLOOKUP($C626,COS!$B$8:$K$991,6,FALSE)/2,0))</f>
        <v>0</v>
      </c>
      <c r="S626" s="30">
        <f t="shared" ref="S626:S629" si="1008">R626*DAY($C626)*86400/43560/1000</f>
        <v>0</v>
      </c>
      <c r="T626" s="30">
        <f t="shared" ref="T626:T629" si="1009">(O626+Q626)/2+S626</f>
        <v>21.142516585420971</v>
      </c>
      <c r="U626" s="30" t="str">
        <f>IF(VLOOKUP($C626,COS!$B$8:$I$991,8,FALSE)=1,"UWFE","IBU")</f>
        <v>UWFE</v>
      </c>
      <c r="V626" s="30">
        <f t="shared" ref="V626" si="1010">MIN(IF(IF($AA$3=2,AND(E626=1,G626=1,L626=1,L631=1,M626=1,U626="IBU"),AND(E626=1,G626=1,L626=1,L631=1,M626=1)),T626,0),I626)</f>
        <v>0</v>
      </c>
      <c r="W626" s="30"/>
      <c r="X626" s="30"/>
      <c r="Y626" s="30"/>
      <c r="Z626" s="30"/>
      <c r="AA626" s="30"/>
      <c r="AB626" s="31"/>
    </row>
    <row r="627" spans="1:28" x14ac:dyDescent="0.3">
      <c r="A627" s="32">
        <f>VLOOKUP(YEAR(C627),Flags!$A$13:$B$95,2,FALSE)</f>
        <v>5</v>
      </c>
      <c r="B627" s="24">
        <f t="shared" si="951"/>
        <v>1990</v>
      </c>
      <c r="C627" s="25">
        <v>33024</v>
      </c>
      <c r="D627" s="26">
        <f>VLOOKUP($C627,COS!$B$8:$H$991,3,FALSE)</f>
        <v>5630.49853515625</v>
      </c>
      <c r="E627" s="24">
        <f>IF(D627&gt;=IF(MONTH($C627)=4,$C$3,IF(MONTH($C627)=5,$C$4,IF(MONTH($C627)=6,$C$5,IF(MONTH($C627)=7,$C$6,"ERROR")))),1,0)</f>
        <v>0</v>
      </c>
      <c r="F627" s="26">
        <f>VLOOKUP($C627,COS!$B$8:$H$991,7,FALSE)</f>
        <v>52.459934234619141</v>
      </c>
      <c r="G627" s="24">
        <f>IF(F627&lt;=IF(MONTH($C627)=4,$F$3,IF(MONTH($C627)=5,$F$4,IF(MONTH($C627)=6,$F$5,IF(MONTH($C627)=7,$F$6,"ERROR")))),1,0)</f>
        <v>1</v>
      </c>
      <c r="H627" s="26">
        <f>IF(J627=1,D627-$C$4,0)</f>
        <v>0</v>
      </c>
      <c r="I627" s="26">
        <f t="shared" si="982"/>
        <v>0</v>
      </c>
      <c r="J627" s="24">
        <f t="shared" si="1003"/>
        <v>0</v>
      </c>
      <c r="K627" s="26">
        <f>VLOOKUP($C627,COS!$B$8:$H$991,2,FALSE)</f>
        <v>3362.06884765625</v>
      </c>
      <c r="L627" s="24">
        <f t="shared" si="944"/>
        <v>1</v>
      </c>
      <c r="M627" s="24">
        <f t="shared" si="945"/>
        <v>1</v>
      </c>
      <c r="N627" s="26">
        <f>VLOOKUP($C627,COS!$B$8:$H$991,5,FALSE)</f>
        <v>102.29715728759766</v>
      </c>
      <c r="O627" s="26">
        <f t="shared" si="1006"/>
        <v>6.2900070266093104</v>
      </c>
      <c r="P627" s="26">
        <f>VLOOKUP($C627,COS!$B$8:$H$991,6,FALSE)</f>
        <v>1666.94287109375</v>
      </c>
      <c r="Q627" s="26">
        <f t="shared" si="1007"/>
        <v>102.49632199121901</v>
      </c>
      <c r="R627" s="26">
        <f>MIN(IF(MONTH($C627)=4,$S$3,IF(MONTH($C627)=5,$S$4,IF(MONTH($C627)=6,$S$5,IF(MONTH($C627)=7,$S$6,"ERROR")))),MAX(VLOOKUP($C627,COS!$B$8:$K$991,10,FALSE)-IF(MONTH($C627)=4,$Y$3,IF(MONTH($C627)=5,$Y$4,IF(MONTH($C627)=6,$Y$5,IF(MONTH($C627)=7,$Y$6,"ERROR")))),0),MAX(VLOOKUP($C627,COS!$B$8:$K$991,9,FALSE)-IF(MONTH($C627)=4,$V$3,IF(MONTH($C627)=5,$V$4,IF(MONTH($C627)=6,$V$5,IF(MONTH($C627)=7,$V$6,"ERROR"))))-VLOOKUP($C627,COS!$B$8:$K$991,6,FALSE)/2,0))</f>
        <v>1500</v>
      </c>
      <c r="S627" s="26">
        <f t="shared" si="1008"/>
        <v>92.231404958677686</v>
      </c>
      <c r="T627" s="26">
        <f t="shared" si="1009"/>
        <v>146.62456946759184</v>
      </c>
      <c r="U627" s="26" t="str">
        <f>IF(VLOOKUP($C627,COS!$B$8:$I$991,8,FALSE)=1,"UWFE","IBU")</f>
        <v>UWFE</v>
      </c>
      <c r="V627" s="26">
        <f t="shared" ref="V627" si="1011">MIN(IF(IF($AA$3=2,AND(E627=1,G627=1,L627=1,L631=1,M627=1,U627="IBU"),AND(E627=1,G627=1,L627=1,L631=1,M627=1)),T627,0),I627)</f>
        <v>0</v>
      </c>
      <c r="W627" s="26"/>
      <c r="X627" s="26"/>
      <c r="Y627" s="26"/>
      <c r="Z627" s="26"/>
      <c r="AA627" s="26"/>
      <c r="AB627" s="33"/>
    </row>
    <row r="628" spans="1:28" x14ac:dyDescent="0.3">
      <c r="A628" s="32">
        <f>VLOOKUP(YEAR(C628),Flags!$A$13:$B$95,2,FALSE)</f>
        <v>5</v>
      </c>
      <c r="B628" s="24">
        <f t="shared" si="951"/>
        <v>1990</v>
      </c>
      <c r="C628" s="25">
        <v>33054</v>
      </c>
      <c r="D628" s="26">
        <f>VLOOKUP($C628,COS!$B$8:$H$991,3,FALSE)</f>
        <v>8063.263671875</v>
      </c>
      <c r="E628" s="24">
        <f>IF(D628&gt;=IF(MONTH($C628)=4,$C$3,IF(MONTH($C628)=5,$C$4,IF(MONTH($C628)=6,$C$5,IF(MONTH($C628)=7,$C$6,"ERROR")))),1,0)</f>
        <v>0</v>
      </c>
      <c r="F628" s="26">
        <f>VLOOKUP($C628,COS!$B$8:$H$991,7,FALSE)</f>
        <v>53.181201934814453</v>
      </c>
      <c r="G628" s="24">
        <f>IF(F628&lt;=IF(MONTH($C628)=4,$F$3,IF(MONTH($C628)=5,$F$4,IF(MONTH($C628)=6,$F$5,IF(MONTH($C628)=7,$F$6,"ERROR")))),1,0)</f>
        <v>1</v>
      </c>
      <c r="H628" s="26">
        <f>IF(J628=1,D628-$C$5,0)</f>
        <v>0</v>
      </c>
      <c r="I628" s="26">
        <f t="shared" si="982"/>
        <v>0</v>
      </c>
      <c r="J628" s="24">
        <f t="shared" si="1003"/>
        <v>0</v>
      </c>
      <c r="K628" s="26">
        <f>VLOOKUP($C628,COS!$B$8:$H$991,2,FALSE)</f>
        <v>3180.568359375</v>
      </c>
      <c r="L628" s="24">
        <f t="shared" si="944"/>
        <v>1</v>
      </c>
      <c r="M628" s="24">
        <f t="shared" si="945"/>
        <v>1</v>
      </c>
      <c r="N628" s="26">
        <f>VLOOKUP($C628,COS!$B$8:$H$991,5,FALSE)</f>
        <v>206.65235900878906</v>
      </c>
      <c r="O628" s="26">
        <f t="shared" si="1006"/>
        <v>12.296669296390753</v>
      </c>
      <c r="P628" s="26">
        <f>VLOOKUP($C628,COS!$B$8:$H$991,6,FALSE)</f>
        <v>2506.8408203125</v>
      </c>
      <c r="Q628" s="26">
        <f t="shared" si="1007"/>
        <v>149.16738765495867</v>
      </c>
      <c r="R628" s="26">
        <f>MIN(IF(MONTH($C628)=4,$S$3,IF(MONTH($C628)=5,$S$4,IF(MONTH($C628)=6,$S$5,IF(MONTH($C628)=7,$S$6,"ERROR")))),MAX(VLOOKUP($C628,COS!$B$8:$K$991,10,FALSE)-IF(MONTH($C628)=4,$Y$3,IF(MONTH($C628)=5,$Y$4,IF(MONTH($C628)=6,$Y$5,IF(MONTH($C628)=7,$Y$6,"ERROR")))),0),MAX(VLOOKUP($C628,COS!$B$8:$K$991,9,FALSE)-IF(MONTH($C628)=4,$V$3,IF(MONTH($C628)=5,$V$4,IF(MONTH($C628)=6,$V$5,IF(MONTH($C628)=7,$V$6,"ERROR"))))-VLOOKUP($C628,COS!$B$8:$K$991,6,FALSE)/2,0))</f>
        <v>1500</v>
      </c>
      <c r="S628" s="26">
        <f t="shared" si="1008"/>
        <v>89.256198347107429</v>
      </c>
      <c r="T628" s="26">
        <f t="shared" si="1009"/>
        <v>169.98822682278214</v>
      </c>
      <c r="U628" s="26" t="str">
        <f>IF(VLOOKUP($C628,COS!$B$8:$I$991,8,FALSE)=1,"UWFE","IBU")</f>
        <v>IBU</v>
      </c>
      <c r="V628" s="26">
        <f t="shared" ref="V628" si="1012">MIN(IF(IF($AA$3=2,AND(E628=1,G628=1,L628=1,L631=1,M628=1,U628="IBU"),AND(E628=1,G628=1,L628=1,L631=1,M628=1)),T628,0),I628)</f>
        <v>0</v>
      </c>
      <c r="W628" s="26"/>
      <c r="X628" s="26"/>
      <c r="Y628" s="26"/>
      <c r="Z628" s="26"/>
      <c r="AA628" s="26"/>
      <c r="AB628" s="33"/>
    </row>
    <row r="629" spans="1:28" x14ac:dyDescent="0.3">
      <c r="A629" s="32">
        <f>VLOOKUP(YEAR(C629),Flags!$A$13:$B$95,2,FALSE)</f>
        <v>5</v>
      </c>
      <c r="B629" s="24">
        <f t="shared" si="951"/>
        <v>1990</v>
      </c>
      <c r="C629" s="25">
        <v>33085</v>
      </c>
      <c r="D629" s="26">
        <f>VLOOKUP($C629,COS!$B$8:$H$991,3,FALSE)</f>
        <v>12447.279296875</v>
      </c>
      <c r="E629" s="24">
        <f>IF(D629&gt;=IF(MONTH($C629)=4,$C$3,IF(MONTH($C629)=5,$C$4,IF(MONTH($C629)=6,$C$5,IF(MONTH($C629)=7,$C$6,"ERROR")))),1,0)</f>
        <v>1</v>
      </c>
      <c r="F629" s="26">
        <f>VLOOKUP($C629,COS!$B$8:$H$991,7,FALSE)</f>
        <v>53.944061279296875</v>
      </c>
      <c r="G629" s="24">
        <f>IF(F629&lt;=IF(MONTH($C629)=4,$F$3,IF(MONTH($C629)=5,$F$4,IF(MONTH($C629)=6,$F$5,IF(MONTH($C629)=7,$F$6,"ERROR")))),1,0)</f>
        <v>0</v>
      </c>
      <c r="H629" s="26">
        <f>IF(J629=1,D629-$C$6,0)</f>
        <v>0</v>
      </c>
      <c r="I629" s="26">
        <f t="shared" si="982"/>
        <v>0</v>
      </c>
      <c r="J629" s="24">
        <f t="shared" si="1003"/>
        <v>0</v>
      </c>
      <c r="K629" s="26">
        <f>VLOOKUP($C629,COS!$B$8:$H$991,2,FALSE)</f>
        <v>2634.774169921875</v>
      </c>
      <c r="L629" s="24">
        <f t="shared" si="944"/>
        <v>1</v>
      </c>
      <c r="M629" s="24">
        <f t="shared" si="945"/>
        <v>1</v>
      </c>
      <c r="N629" s="26">
        <f>VLOOKUP($C629,COS!$B$8:$H$991,5,FALSE)</f>
        <v>227.43785095214844</v>
      </c>
      <c r="O629" s="26">
        <f t="shared" si="1006"/>
        <v>13.984608356065987</v>
      </c>
      <c r="P629" s="26">
        <f>VLOOKUP($C629,COS!$B$8:$H$991,6,FALSE)</f>
        <v>2326.644775390625</v>
      </c>
      <c r="Q629" s="26">
        <f t="shared" si="1007"/>
        <v>143.05981098269626</v>
      </c>
      <c r="R629" s="26">
        <f>MIN(IF(MONTH($C629)=4,$S$3,IF(MONTH($C629)=5,$S$4,IF(MONTH($C629)=6,$S$5,IF(MONTH($C629)=7,$S$6,"ERROR")))),MAX(VLOOKUP($C629,COS!$B$8:$K$991,10,FALSE)-IF(MONTH($C629)=4,$Y$3,IF(MONTH($C629)=5,$Y$4,IF(MONTH($C629)=6,$Y$5,IF(MONTH($C629)=7,$Y$6,"ERROR")))),0),MAX(VLOOKUP($C629,COS!$B$8:$K$991,9,FALSE)-IF(MONTH($C629)=4,$V$3,IF(MONTH($C629)=5,$V$4,IF(MONTH($C629)=6,$V$5,IF(MONTH($C629)=7,$V$6,"ERROR"))))-VLOOKUP($C629,COS!$B$8:$K$991,6,FALSE)/2,0))</f>
        <v>1500</v>
      </c>
      <c r="S629" s="26">
        <f t="shared" si="1008"/>
        <v>92.231404958677686</v>
      </c>
      <c r="T629" s="26">
        <f t="shared" si="1009"/>
        <v>170.75361462805881</v>
      </c>
      <c r="U629" s="26" t="str">
        <f>IF(VLOOKUP($C629,COS!$B$8:$I$991,8,FALSE)=1,"UWFE","IBU")</f>
        <v>IBU</v>
      </c>
      <c r="V629" s="26">
        <f t="shared" ref="V629" si="1013">MIN(IF(IF($AA$3=2,AND(E629=1,G629=1,L629=1,L631=1,M629=1,U629="IBU"),AND(E629=1,G629=1,L629=1,L631=1,M629=1)),T629,0),I629)</f>
        <v>0</v>
      </c>
      <c r="W629" s="26"/>
      <c r="X629" s="26"/>
      <c r="Y629" s="26"/>
      <c r="Z629" s="26"/>
      <c r="AA629" s="26"/>
      <c r="AB629" s="33"/>
    </row>
    <row r="630" spans="1:28" x14ac:dyDescent="0.3">
      <c r="A630" s="32">
        <f>VLOOKUP(YEAR(C630),Flags!$A$13:$B$95,2,FALSE)</f>
        <v>5</v>
      </c>
      <c r="B630" s="24">
        <f t="shared" si="951"/>
        <v>1990</v>
      </c>
      <c r="C630" s="25">
        <v>33116</v>
      </c>
      <c r="D630" s="26"/>
      <c r="E630" s="24"/>
      <c r="F630" s="26"/>
      <c r="G630" s="24"/>
      <c r="H630" s="24"/>
      <c r="I630" s="26"/>
      <c r="J630" s="24"/>
      <c r="K630" s="26"/>
      <c r="L630" s="24"/>
      <c r="M630" s="24"/>
      <c r="N630" s="26"/>
      <c r="O630" s="26"/>
      <c r="P630" s="26"/>
      <c r="Q630" s="26"/>
      <c r="R630" s="26"/>
      <c r="S630" s="26"/>
      <c r="T630" s="26"/>
      <c r="U630" s="26"/>
      <c r="V630" s="26"/>
      <c r="W630" s="26">
        <f>MAX($C$7-VLOOKUP($C630,COS!$B$8:$H$991,3,FALSE),0)</f>
        <v>91987.85546875</v>
      </c>
      <c r="X630" s="26">
        <f t="shared" si="972"/>
        <v>5656.1127660123966</v>
      </c>
      <c r="Y630" s="26">
        <f>VLOOKUP($C630,COS!$B$8:$H$991,4,FALSE)</f>
        <v>3233.810302734375</v>
      </c>
      <c r="Z630" s="26">
        <f t="shared" si="973"/>
        <v>198.83924506069215</v>
      </c>
      <c r="AA630" s="26">
        <f t="shared" ref="AA630:AA634" si="1014">MIN(W630,Y630)</f>
        <v>3233.810302734375</v>
      </c>
      <c r="AB630" s="33">
        <f t="shared" ref="AB630" si="1015">AA630*DAY($C630)*86400/43560/1000*IF(MONTH($C630)=8,$P$3,IF(MONTH($C630)=9,$P$4,IF(MONTH($C630)=10,$P$5,IF(MONTH($C630)=11,$P$6,IF(MONTH($C630)=12,$P$7,NA())))))</f>
        <v>198.83924506069215</v>
      </c>
    </row>
    <row r="631" spans="1:28" x14ac:dyDescent="0.3">
      <c r="A631" s="32">
        <f>VLOOKUP(YEAR(C631),Flags!$A$13:$B$95,2,FALSE)</f>
        <v>5</v>
      </c>
      <c r="B631" s="24">
        <f t="shared" si="951"/>
        <v>1990</v>
      </c>
      <c r="C631" s="25">
        <v>33146</v>
      </c>
      <c r="D631" s="26"/>
      <c r="E631" s="24"/>
      <c r="F631" s="26"/>
      <c r="G631" s="24"/>
      <c r="H631" s="24"/>
      <c r="I631" s="26"/>
      <c r="J631" s="24"/>
      <c r="K631" s="26">
        <f>VLOOKUP($C631,COS!$B$8:$H$991,2,FALSE)</f>
        <v>2239.517822265625</v>
      </c>
      <c r="L631" s="24">
        <f t="shared" ref="L631" si="1016">IF(AND(K631&gt;$I$7,K631&lt;$I$8),1,0)</f>
        <v>1</v>
      </c>
      <c r="M631" s="24"/>
      <c r="N631" s="26"/>
      <c r="O631" s="26"/>
      <c r="P631" s="26"/>
      <c r="Q631" s="26"/>
      <c r="R631" s="26"/>
      <c r="S631" s="26"/>
      <c r="T631" s="26"/>
      <c r="U631" s="26"/>
      <c r="V631" s="26"/>
      <c r="W631" s="26">
        <f>MAX($C$8-VLOOKUP($C631,COS!$B$8:$H$991,3,FALSE),0)</f>
        <v>94345.31689453125</v>
      </c>
      <c r="X631" s="26">
        <f t="shared" si="972"/>
        <v>5613.9362119059915</v>
      </c>
      <c r="Y631" s="26">
        <f>VLOOKUP($C631,COS!$B$8:$H$991,4,FALSE)</f>
        <v>1878.513671875</v>
      </c>
      <c r="Z631" s="26">
        <f t="shared" si="973"/>
        <v>111.77932592975208</v>
      </c>
      <c r="AA631" s="26">
        <f t="shared" si="1014"/>
        <v>1878.513671875</v>
      </c>
      <c r="AB631" s="33">
        <f t="shared" si="956"/>
        <v>111.77932592975208</v>
      </c>
    </row>
    <row r="632" spans="1:28" x14ac:dyDescent="0.3">
      <c r="A632" s="32">
        <f>VLOOKUP(YEAR(C632),Flags!$A$13:$B$95,2,FALSE)</f>
        <v>5</v>
      </c>
      <c r="B632" s="24">
        <f t="shared" si="951"/>
        <v>1990</v>
      </c>
      <c r="C632" s="25">
        <v>33177</v>
      </c>
      <c r="D632" s="26"/>
      <c r="E632" s="24"/>
      <c r="F632" s="26"/>
      <c r="G632" s="26"/>
      <c r="H632" s="26"/>
      <c r="I632" s="26"/>
      <c r="J632" s="26"/>
      <c r="K632" s="26"/>
      <c r="L632" s="24"/>
      <c r="M632" s="24"/>
      <c r="N632" s="26"/>
      <c r="O632" s="26"/>
      <c r="P632" s="26"/>
      <c r="Q632" s="26"/>
      <c r="R632" s="26"/>
      <c r="S632" s="26"/>
      <c r="T632" s="26"/>
      <c r="U632" s="26"/>
      <c r="V632" s="26"/>
      <c r="W632" s="26">
        <f>MAX($C$9-VLOOKUP($C632,COS!$B$8:$H$991,3,FALSE),0)</f>
        <v>94935.169921875</v>
      </c>
      <c r="X632" s="26">
        <f t="shared" si="972"/>
        <v>5837.3360679235529</v>
      </c>
      <c r="Y632" s="26">
        <f>VLOOKUP($C632,COS!$B$8:$H$991,4,FALSE)</f>
        <v>1555.8990478515625</v>
      </c>
      <c r="Z632" s="26">
        <f t="shared" si="973"/>
        <v>95.668503438145663</v>
      </c>
      <c r="AA632" s="26">
        <f t="shared" si="1014"/>
        <v>1555.8990478515625</v>
      </c>
      <c r="AB632" s="33">
        <f t="shared" si="956"/>
        <v>95.668503438145663</v>
      </c>
    </row>
    <row r="633" spans="1:28" x14ac:dyDescent="0.3">
      <c r="A633" s="32">
        <f>VLOOKUP(YEAR(C633),Flags!$A$13:$B$95,2,FALSE)</f>
        <v>5</v>
      </c>
      <c r="B633" s="24">
        <f t="shared" si="951"/>
        <v>1990</v>
      </c>
      <c r="C633" s="25">
        <v>33207</v>
      </c>
      <c r="D633" s="26"/>
      <c r="E633" s="24"/>
      <c r="F633" s="26"/>
      <c r="G633" s="26"/>
      <c r="H633" s="26"/>
      <c r="I633" s="26"/>
      <c r="J633" s="26"/>
      <c r="K633" s="26"/>
      <c r="L633" s="24"/>
      <c r="M633" s="24"/>
      <c r="N633" s="26"/>
      <c r="O633" s="26"/>
      <c r="P633" s="26"/>
      <c r="Q633" s="26"/>
      <c r="R633" s="26"/>
      <c r="S633" s="26"/>
      <c r="T633" s="26"/>
      <c r="U633" s="26"/>
      <c r="V633" s="26"/>
      <c r="W633" s="26">
        <f>MAX($C$10-VLOOKUP($C633,COS!$B$8:$H$991,3,FALSE),0)</f>
        <v>95913.387451171875</v>
      </c>
      <c r="X633" s="26">
        <f t="shared" si="972"/>
        <v>5707.2428896565079</v>
      </c>
      <c r="Y633" s="26">
        <f>VLOOKUP($C633,COS!$B$8:$H$991,4,FALSE)</f>
        <v>1488.062255859375</v>
      </c>
      <c r="Z633" s="26">
        <f t="shared" si="973"/>
        <v>88.545853241219007</v>
      </c>
      <c r="AA633" s="26">
        <f t="shared" si="1014"/>
        <v>1488.062255859375</v>
      </c>
      <c r="AB633" s="33">
        <f t="shared" si="956"/>
        <v>44.272926620609503</v>
      </c>
    </row>
    <row r="634" spans="1:28" x14ac:dyDescent="0.3">
      <c r="A634" s="34">
        <f>VLOOKUP(YEAR(C634),Flags!$A$13:$B$95,2,FALSE)</f>
        <v>5</v>
      </c>
      <c r="B634" s="35">
        <f t="shared" si="951"/>
        <v>1990</v>
      </c>
      <c r="C634" s="36">
        <v>33238</v>
      </c>
      <c r="D634" s="37"/>
      <c r="E634" s="35"/>
      <c r="F634" s="37"/>
      <c r="G634" s="37"/>
      <c r="H634" s="37"/>
      <c r="I634" s="37"/>
      <c r="J634" s="37"/>
      <c r="K634" s="37"/>
      <c r="L634" s="35"/>
      <c r="M634" s="35"/>
      <c r="N634" s="37"/>
      <c r="O634" s="37"/>
      <c r="P634" s="37"/>
      <c r="Q634" s="37"/>
      <c r="R634" s="37"/>
      <c r="S634" s="37"/>
      <c r="T634" s="37"/>
      <c r="U634" s="37"/>
      <c r="V634" s="37"/>
      <c r="W634" s="37">
        <f>MAX($C$11-VLOOKUP($C634,COS!$B$8:$H$991,3,FALSE),0)</f>
        <v>0</v>
      </c>
      <c r="X634" s="37">
        <f t="shared" si="972"/>
        <v>0</v>
      </c>
      <c r="Y634" s="37">
        <f>VLOOKUP($C634,COS!$B$8:$H$991,4,FALSE)</f>
        <v>3086.0771484375</v>
      </c>
      <c r="Z634" s="37">
        <f t="shared" si="973"/>
        <v>189.75548747417355</v>
      </c>
      <c r="AA634" s="37">
        <f t="shared" si="1014"/>
        <v>0</v>
      </c>
      <c r="AB634" s="38">
        <f t="shared" si="956"/>
        <v>0</v>
      </c>
    </row>
    <row r="635" spans="1:28" x14ac:dyDescent="0.3">
      <c r="A635" s="27">
        <f>VLOOKUP(YEAR(C635),Flags!$A$13:$B$95,2,FALSE)</f>
        <v>5</v>
      </c>
      <c r="B635" s="28">
        <f t="shared" si="951"/>
        <v>1991</v>
      </c>
      <c r="C635" s="29">
        <v>33358</v>
      </c>
      <c r="D635" s="30">
        <f>VLOOKUP($C635,COS!$B$8:$H$991,3,FALSE)</f>
        <v>3250</v>
      </c>
      <c r="E635" s="28">
        <f>IF(D635&gt;=IF(MONTH($C635)=4,$C$3,IF(MONTH($C635)=5,$C$4,IF(MONTH($C635)=6,$C$5,IF(MONTH($C635)=7,$C$6,"ERROR")))),1,0)</f>
        <v>0</v>
      </c>
      <c r="F635" s="30">
        <f>VLOOKUP($C635,COS!$B$8:$H$991,7,FALSE)</f>
        <v>52.174777984619141</v>
      </c>
      <c r="G635" s="28">
        <f>IF(F635&lt;=IF(MONTH($C635)=4,$F$3,IF(MONTH($C635)=5,$F$4,IF(MONTH($C635)=6,$F$5,IF(MONTH($C635)=7,$F$6,"ERROR")))),1,0)</f>
        <v>1</v>
      </c>
      <c r="H635" s="30">
        <f>IF(J635=1,D635-$C$3,0)</f>
        <v>0</v>
      </c>
      <c r="I635" s="30">
        <f t="shared" si="982"/>
        <v>0</v>
      </c>
      <c r="J635" s="28">
        <f t="shared" ref="J635:J638" si="1017">IF(AND(E635=1,G635=1),1,0)</f>
        <v>0</v>
      </c>
      <c r="K635" s="30">
        <f>VLOOKUP($C635,COS!$B$8:$H$991,2,FALSE)</f>
        <v>2608.74365234375</v>
      </c>
      <c r="L635" s="28">
        <f t="shared" ref="L635" si="1018">IF(K635&lt;=IF(MONTH($C635)=4,$I$3,IF(MONTH($C635)=5,$I$4,IF(MONTH($C635)=6,$I$5,IF(MONTH($C635)=7,$I$6,"ERROR")))),1,0)</f>
        <v>1</v>
      </c>
      <c r="M635" s="28">
        <f t="shared" ref="M635" si="1019">VLOOKUP($A635,$L$3:$M$7,2,FALSE)</f>
        <v>1</v>
      </c>
      <c r="N635" s="30">
        <f>VLOOKUP($C635,COS!$B$8:$H$991,5,FALSE)</f>
        <v>99.786216735839844</v>
      </c>
      <c r="O635" s="30">
        <f t="shared" ref="O635:O638" si="1020">N635*DAY($C635)*86400/43560/1000</f>
        <v>5.9376922355210482</v>
      </c>
      <c r="P635" s="30">
        <f>VLOOKUP($C635,COS!$B$8:$H$991,6,FALSE)</f>
        <v>390.43963623046875</v>
      </c>
      <c r="Q635" s="30">
        <f t="shared" ref="Q635:Q638" si="1021">P635*DAY($C635)*86400/43560/1000</f>
        <v>23.232771742639464</v>
      </c>
      <c r="R635" s="30">
        <f>MIN(IF(MONTH($C635)=4,$S$3,IF(MONTH($C635)=5,$S$4,IF(MONTH($C635)=6,$S$5,IF(MONTH($C635)=7,$S$6,"ERROR")))),MAX(VLOOKUP($C635,COS!$B$8:$K$991,10,FALSE)-IF(MONTH($C635)=4,$Y$3,IF(MONTH($C635)=5,$Y$4,IF(MONTH($C635)=6,$Y$5,IF(MONTH($C635)=7,$Y$6,"ERROR")))),0),MAX(VLOOKUP($C635,COS!$B$8:$K$991,9,FALSE)-IF(MONTH($C635)=4,$V$3,IF(MONTH($C635)=5,$V$4,IF(MONTH($C635)=6,$V$5,IF(MONTH($C635)=7,$V$6,"ERROR"))))-VLOOKUP($C635,COS!$B$8:$K$991,6,FALSE)/2,0))</f>
        <v>1454.1971740722656</v>
      </c>
      <c r="S635" s="30">
        <f t="shared" ref="S635:S638" si="1022">R635*DAY($C635)*86400/43560/1000</f>
        <v>86.530740936531515</v>
      </c>
      <c r="T635" s="30">
        <f t="shared" ref="T635:T638" si="1023">(O635+Q635)/2+S635</f>
        <v>101.11597292561177</v>
      </c>
      <c r="U635" s="30" t="str">
        <f>IF(VLOOKUP($C635,COS!$B$8:$I$991,8,FALSE)=1,"UWFE","IBU")</f>
        <v>UWFE</v>
      </c>
      <c r="V635" s="30">
        <f t="shared" ref="V635" si="1024">MIN(IF(IF($AA$3=2,AND(E635=1,G635=1,L635=1,L640=1,M635=1,U635="IBU"),AND(E635=1,G635=1,L635=1,L640=1,M635=1)),T635,0),I635)</f>
        <v>0</v>
      </c>
      <c r="W635" s="30"/>
      <c r="X635" s="30"/>
      <c r="Y635" s="30"/>
      <c r="Z635" s="30"/>
      <c r="AA635" s="30"/>
      <c r="AB635" s="31"/>
    </row>
    <row r="636" spans="1:28" x14ac:dyDescent="0.3">
      <c r="A636" s="32">
        <f>VLOOKUP(YEAR(C636),Flags!$A$13:$B$95,2,FALSE)</f>
        <v>5</v>
      </c>
      <c r="B636" s="24">
        <f t="shared" si="951"/>
        <v>1991</v>
      </c>
      <c r="C636" s="25">
        <v>33389</v>
      </c>
      <c r="D636" s="26">
        <f>VLOOKUP($C636,COS!$B$8:$H$991,3,FALSE)</f>
        <v>6746.265625</v>
      </c>
      <c r="E636" s="24">
        <f>IF(D636&gt;=IF(MONTH($C636)=4,$C$3,IF(MONTH($C636)=5,$C$4,IF(MONTH($C636)=6,$C$5,IF(MONTH($C636)=7,$C$6,"ERROR")))),1,0)</f>
        <v>1</v>
      </c>
      <c r="F636" s="26">
        <f>VLOOKUP($C636,COS!$B$8:$H$991,7,FALSE)</f>
        <v>52.1820068359375</v>
      </c>
      <c r="G636" s="24">
        <f>IF(F636&lt;=IF(MONTH($C636)=4,$F$3,IF(MONTH($C636)=5,$F$4,IF(MONTH($C636)=6,$F$5,IF(MONTH($C636)=7,$F$6,"ERROR")))),1,0)</f>
        <v>1</v>
      </c>
      <c r="H636" s="26">
        <f>IF(J636=1,D636-$C$4,0)</f>
        <v>746.265625</v>
      </c>
      <c r="I636" s="26">
        <f t="shared" si="982"/>
        <v>45.886084710743802</v>
      </c>
      <c r="J636" s="24">
        <f t="shared" si="1017"/>
        <v>1</v>
      </c>
      <c r="K636" s="26">
        <f>VLOOKUP($C636,COS!$B$8:$H$991,2,FALSE)</f>
        <v>2510.05419921875</v>
      </c>
      <c r="L636" s="24">
        <f t="shared" si="944"/>
        <v>1</v>
      </c>
      <c r="M636" s="24">
        <f t="shared" si="945"/>
        <v>1</v>
      </c>
      <c r="N636" s="26">
        <f>VLOOKUP($C636,COS!$B$8:$H$991,5,FALSE)</f>
        <v>265.20388793945313</v>
      </c>
      <c r="O636" s="26">
        <f t="shared" si="1020"/>
        <v>16.306751456772986</v>
      </c>
      <c r="P636" s="26">
        <f>VLOOKUP($C636,COS!$B$8:$H$991,6,FALSE)</f>
        <v>2166.270751953125</v>
      </c>
      <c r="Q636" s="26">
        <f t="shared" si="1021"/>
        <v>133.19879664901859</v>
      </c>
      <c r="R636" s="26">
        <f>MIN(IF(MONTH($C636)=4,$S$3,IF(MONTH($C636)=5,$S$4,IF(MONTH($C636)=6,$S$5,IF(MONTH($C636)=7,$S$6,"ERROR")))),MAX(VLOOKUP($C636,COS!$B$8:$K$991,10,FALSE)-IF(MONTH($C636)=4,$Y$3,IF(MONTH($C636)=5,$Y$4,IF(MONTH($C636)=6,$Y$5,IF(MONTH($C636)=7,$Y$6,"ERROR")))),0),MAX(VLOOKUP($C636,COS!$B$8:$K$991,9,FALSE)-IF(MONTH($C636)=4,$V$3,IF(MONTH($C636)=5,$V$4,IF(MONTH($C636)=6,$V$5,IF(MONTH($C636)=7,$V$6,"ERROR"))))-VLOOKUP($C636,COS!$B$8:$K$991,6,FALSE)/2,0))</f>
        <v>1500</v>
      </c>
      <c r="S636" s="26">
        <f t="shared" si="1022"/>
        <v>92.231404958677686</v>
      </c>
      <c r="T636" s="26">
        <f t="shared" si="1023"/>
        <v>166.98417901157347</v>
      </c>
      <c r="U636" s="26" t="str">
        <f>IF(VLOOKUP($C636,COS!$B$8:$I$991,8,FALSE)=1,"UWFE","IBU")</f>
        <v>UWFE</v>
      </c>
      <c r="V636" s="26">
        <f t="shared" ref="V636" si="1025">MIN(IF(IF($AA$3=2,AND(E636=1,G636=1,L636=1,L640=1,M636=1,U636="IBU"),AND(E636=1,G636=1,L636=1,L640=1,M636=1)),T636,0),I636)</f>
        <v>0</v>
      </c>
      <c r="W636" s="26"/>
      <c r="X636" s="26"/>
      <c r="Y636" s="26"/>
      <c r="Z636" s="26"/>
      <c r="AA636" s="26"/>
      <c r="AB636" s="33"/>
    </row>
    <row r="637" spans="1:28" x14ac:dyDescent="0.3">
      <c r="A637" s="32">
        <f>VLOOKUP(YEAR(C637),Flags!$A$13:$B$95,2,FALSE)</f>
        <v>5</v>
      </c>
      <c r="B637" s="24">
        <f t="shared" si="951"/>
        <v>1991</v>
      </c>
      <c r="C637" s="25">
        <v>33419</v>
      </c>
      <c r="D637" s="26">
        <f>VLOOKUP($C637,COS!$B$8:$H$991,3,FALSE)</f>
        <v>7646.2861328125</v>
      </c>
      <c r="E637" s="24">
        <f>IF(D637&gt;=IF(MONTH($C637)=4,$C$3,IF(MONTH($C637)=5,$C$4,IF(MONTH($C637)=6,$C$5,IF(MONTH($C637)=7,$C$6,"ERROR")))),1,0)</f>
        <v>0</v>
      </c>
      <c r="F637" s="26">
        <f>VLOOKUP($C637,COS!$B$8:$H$991,7,FALSE)</f>
        <v>53.892311096191406</v>
      </c>
      <c r="G637" s="24">
        <f>IF(F637&lt;=IF(MONTH($C637)=4,$F$3,IF(MONTH($C637)=5,$F$4,IF(MONTH($C637)=6,$F$5,IF(MONTH($C637)=7,$F$6,"ERROR")))),1,0)</f>
        <v>1</v>
      </c>
      <c r="H637" s="26">
        <f>IF(J637=1,D637-$C$5,0)</f>
        <v>0</v>
      </c>
      <c r="I637" s="26">
        <f t="shared" si="982"/>
        <v>0</v>
      </c>
      <c r="J637" s="24">
        <f t="shared" si="1017"/>
        <v>0</v>
      </c>
      <c r="K637" s="26">
        <f>VLOOKUP($C637,COS!$B$8:$H$991,2,FALSE)</f>
        <v>2234.704833984375</v>
      </c>
      <c r="L637" s="24">
        <f t="shared" si="944"/>
        <v>1</v>
      </c>
      <c r="M637" s="24">
        <f t="shared" si="945"/>
        <v>1</v>
      </c>
      <c r="N637" s="26">
        <f>VLOOKUP($C637,COS!$B$8:$H$991,5,FALSE)</f>
        <v>362.696044921875</v>
      </c>
      <c r="O637" s="26">
        <f t="shared" si="1020"/>
        <v>21.581913416838844</v>
      </c>
      <c r="P637" s="26">
        <f>VLOOKUP($C637,COS!$B$8:$H$991,6,FALSE)</f>
        <v>2380.910888671875</v>
      </c>
      <c r="Q637" s="26">
        <f t="shared" si="1021"/>
        <v>141.67403635072316</v>
      </c>
      <c r="R637" s="26">
        <f>MIN(IF(MONTH($C637)=4,$S$3,IF(MONTH($C637)=5,$S$4,IF(MONTH($C637)=6,$S$5,IF(MONTH($C637)=7,$S$6,"ERROR")))),MAX(VLOOKUP($C637,COS!$B$8:$K$991,10,FALSE)-IF(MONTH($C637)=4,$Y$3,IF(MONTH($C637)=5,$Y$4,IF(MONTH($C637)=6,$Y$5,IF(MONTH($C637)=7,$Y$6,"ERROR")))),0),MAX(VLOOKUP($C637,COS!$B$8:$K$991,9,FALSE)-IF(MONTH($C637)=4,$V$3,IF(MONTH($C637)=5,$V$4,IF(MONTH($C637)=6,$V$5,IF(MONTH($C637)=7,$V$6,"ERROR"))))-VLOOKUP($C637,COS!$B$8:$K$991,6,FALSE)/2,0))</f>
        <v>1289.97314453125</v>
      </c>
      <c r="S637" s="26">
        <f t="shared" si="1022"/>
        <v>76.758732567148769</v>
      </c>
      <c r="T637" s="26">
        <f t="shared" si="1023"/>
        <v>158.38670745092978</v>
      </c>
      <c r="U637" s="26" t="str">
        <f>IF(VLOOKUP($C637,COS!$B$8:$I$991,8,FALSE)=1,"UWFE","IBU")</f>
        <v>IBU</v>
      </c>
      <c r="V637" s="26">
        <f t="shared" ref="V637" si="1026">MIN(IF(IF($AA$3=2,AND(E637=1,G637=1,L637=1,L640=1,M637=1,U637="IBU"),AND(E637=1,G637=1,L637=1,L640=1,M637=1)),T637,0),I637)</f>
        <v>0</v>
      </c>
      <c r="W637" s="26"/>
      <c r="X637" s="26"/>
      <c r="Y637" s="26"/>
      <c r="Z637" s="26"/>
      <c r="AA637" s="26"/>
      <c r="AB637" s="33"/>
    </row>
    <row r="638" spans="1:28" x14ac:dyDescent="0.3">
      <c r="A638" s="32">
        <f>VLOOKUP(YEAR(C638),Flags!$A$13:$B$95,2,FALSE)</f>
        <v>5</v>
      </c>
      <c r="B638" s="24">
        <f t="shared" si="951"/>
        <v>1991</v>
      </c>
      <c r="C638" s="25">
        <v>33450</v>
      </c>
      <c r="D638" s="26">
        <f>VLOOKUP($C638,COS!$B$8:$H$991,3,FALSE)</f>
        <v>8667.65625</v>
      </c>
      <c r="E638" s="24">
        <f>IF(D638&gt;=IF(MONTH($C638)=4,$C$3,IF(MONTH($C638)=5,$C$4,IF(MONTH($C638)=6,$C$5,IF(MONTH($C638)=7,$C$6,"ERROR")))),1,0)</f>
        <v>0</v>
      </c>
      <c r="F638" s="26">
        <f>VLOOKUP($C638,COS!$B$8:$H$991,7,FALSE)</f>
        <v>56.067035675048828</v>
      </c>
      <c r="G638" s="24">
        <f>IF(F638&lt;=IF(MONTH($C638)=4,$F$3,IF(MONTH($C638)=5,$F$4,IF(MONTH($C638)=6,$F$5,IF(MONTH($C638)=7,$F$6,"ERROR")))),1,0)</f>
        <v>0</v>
      </c>
      <c r="H638" s="26">
        <f>IF(J638=1,D638-$C$6,0)</f>
        <v>0</v>
      </c>
      <c r="I638" s="26">
        <f t="shared" si="982"/>
        <v>0</v>
      </c>
      <c r="J638" s="24">
        <f t="shared" si="1017"/>
        <v>0</v>
      </c>
      <c r="K638" s="26">
        <f>VLOOKUP($C638,COS!$B$8:$H$991,2,FALSE)</f>
        <v>1917.2408447265625</v>
      </c>
      <c r="L638" s="24">
        <f t="shared" si="944"/>
        <v>1</v>
      </c>
      <c r="M638" s="24">
        <f t="shared" si="945"/>
        <v>1</v>
      </c>
      <c r="N638" s="26">
        <f>VLOOKUP($C638,COS!$B$8:$H$991,5,FALSE)</f>
        <v>424.0916748046875</v>
      </c>
      <c r="O638" s="26">
        <f t="shared" si="1020"/>
        <v>26.076380665676655</v>
      </c>
      <c r="P638" s="26">
        <f>VLOOKUP($C638,COS!$B$8:$H$991,6,FALSE)</f>
        <v>2281.4833984375</v>
      </c>
      <c r="Q638" s="26">
        <f t="shared" si="1021"/>
        <v>140.28294615185951</v>
      </c>
      <c r="R638" s="26">
        <f>MIN(IF(MONTH($C638)=4,$S$3,IF(MONTH($C638)=5,$S$4,IF(MONTH($C638)=6,$S$5,IF(MONTH($C638)=7,$S$6,"ERROR")))),MAX(VLOOKUP($C638,COS!$B$8:$K$991,10,FALSE)-IF(MONTH($C638)=4,$Y$3,IF(MONTH($C638)=5,$Y$4,IF(MONTH($C638)=6,$Y$5,IF(MONTH($C638)=7,$Y$6,"ERROR")))),0),MAX(VLOOKUP($C638,COS!$B$8:$K$991,9,FALSE)-IF(MONTH($C638)=4,$V$3,IF(MONTH($C638)=5,$V$4,IF(MONTH($C638)=6,$V$5,IF(MONTH($C638)=7,$V$6,"ERROR"))))-VLOOKUP($C638,COS!$B$8:$K$991,6,FALSE)/2,0))</f>
        <v>1500</v>
      </c>
      <c r="S638" s="26">
        <f t="shared" si="1022"/>
        <v>92.231404958677686</v>
      </c>
      <c r="T638" s="26">
        <f t="shared" si="1023"/>
        <v>175.41106836744575</v>
      </c>
      <c r="U638" s="26" t="str">
        <f>IF(VLOOKUP($C638,COS!$B$8:$I$991,8,FALSE)=1,"UWFE","IBU")</f>
        <v>IBU</v>
      </c>
      <c r="V638" s="26">
        <f t="shared" ref="V638" si="1027">MIN(IF(IF($AA$3=2,AND(E638=1,G638=1,L638=1,L640=1,M638=1,U638="IBU"),AND(E638=1,G638=1,L638=1,L640=1,M638=1)),T638,0),I638)</f>
        <v>0</v>
      </c>
      <c r="W638" s="26"/>
      <c r="X638" s="26"/>
      <c r="Y638" s="26"/>
      <c r="Z638" s="26"/>
      <c r="AA638" s="26"/>
      <c r="AB638" s="33"/>
    </row>
    <row r="639" spans="1:28" x14ac:dyDescent="0.3">
      <c r="A639" s="32">
        <f>VLOOKUP(YEAR(C639),Flags!$A$13:$B$95,2,FALSE)</f>
        <v>5</v>
      </c>
      <c r="B639" s="24">
        <f t="shared" si="951"/>
        <v>1991</v>
      </c>
      <c r="C639" s="25">
        <v>33481</v>
      </c>
      <c r="D639" s="26"/>
      <c r="E639" s="24"/>
      <c r="F639" s="26"/>
      <c r="G639" s="24"/>
      <c r="H639" s="24"/>
      <c r="I639" s="26"/>
      <c r="J639" s="24"/>
      <c r="K639" s="26"/>
      <c r="L639" s="24"/>
      <c r="M639" s="24"/>
      <c r="N639" s="26"/>
      <c r="O639" s="26"/>
      <c r="P639" s="26"/>
      <c r="Q639" s="26"/>
      <c r="R639" s="26"/>
      <c r="S639" s="26"/>
      <c r="T639" s="26"/>
      <c r="U639" s="26"/>
      <c r="V639" s="26"/>
      <c r="W639" s="26">
        <f>MAX($C$7-VLOOKUP($C639,COS!$B$8:$H$991,3,FALSE),0)</f>
        <v>93270.849609375</v>
      </c>
      <c r="X639" s="26">
        <f t="shared" si="972"/>
        <v>5735.0010007747933</v>
      </c>
      <c r="Y639" s="26">
        <f>VLOOKUP($C639,COS!$B$8:$H$991,4,FALSE)</f>
        <v>3158.24462890625</v>
      </c>
      <c r="Z639" s="26">
        <f t="shared" si="973"/>
        <v>194.19289288481406</v>
      </c>
      <c r="AA639" s="26">
        <f t="shared" ref="AA639:AA643" si="1028">MIN(W639,Y639)</f>
        <v>3158.24462890625</v>
      </c>
      <c r="AB639" s="33">
        <f t="shared" ref="AB639" si="1029">AA639*DAY($C639)*86400/43560/1000*IF(MONTH($C639)=8,$P$3,IF(MONTH($C639)=9,$P$4,IF(MONTH($C639)=10,$P$5,IF(MONTH($C639)=11,$P$6,IF(MONTH($C639)=12,$P$7,NA())))))</f>
        <v>194.19289288481406</v>
      </c>
    </row>
    <row r="640" spans="1:28" x14ac:dyDescent="0.3">
      <c r="A640" s="32">
        <f>VLOOKUP(YEAR(C640),Flags!$A$13:$B$95,2,FALSE)</f>
        <v>5</v>
      </c>
      <c r="B640" s="24">
        <f t="shared" si="951"/>
        <v>1991</v>
      </c>
      <c r="C640" s="25">
        <v>33511</v>
      </c>
      <c r="D640" s="26"/>
      <c r="E640" s="24"/>
      <c r="F640" s="26"/>
      <c r="G640" s="24"/>
      <c r="H640" s="24"/>
      <c r="I640" s="26"/>
      <c r="J640" s="24"/>
      <c r="K640" s="26">
        <f>VLOOKUP($C640,COS!$B$8:$H$991,2,FALSE)</f>
        <v>1656.5145263671875</v>
      </c>
      <c r="L640" s="24">
        <f t="shared" ref="L640" si="1030">IF(AND(K640&gt;$I$7,K640&lt;$I$8),1,0)</f>
        <v>1</v>
      </c>
      <c r="M640" s="24"/>
      <c r="N640" s="26"/>
      <c r="O640" s="26"/>
      <c r="P640" s="26"/>
      <c r="Q640" s="26"/>
      <c r="R640" s="26"/>
      <c r="S640" s="26"/>
      <c r="T640" s="26"/>
      <c r="U640" s="26"/>
      <c r="V640" s="26"/>
      <c r="W640" s="26">
        <f>MAX($C$8-VLOOKUP($C640,COS!$B$8:$H$991,3,FALSE),0)</f>
        <v>95645.72998046875</v>
      </c>
      <c r="X640" s="26">
        <f t="shared" si="972"/>
        <v>5691.3161641270653</v>
      </c>
      <c r="Y640" s="26">
        <f>VLOOKUP($C640,COS!$B$8:$H$991,4,FALSE)</f>
        <v>2165.95703125</v>
      </c>
      <c r="Z640" s="26">
        <f t="shared" si="973"/>
        <v>128.88339359504133</v>
      </c>
      <c r="AA640" s="26">
        <f t="shared" si="1028"/>
        <v>2165.95703125</v>
      </c>
      <c r="AB640" s="33">
        <f t="shared" si="956"/>
        <v>128.88339359504133</v>
      </c>
    </row>
    <row r="641" spans="1:28" x14ac:dyDescent="0.3">
      <c r="A641" s="32">
        <f>VLOOKUP(YEAR(C641),Flags!$A$13:$B$95,2,FALSE)</f>
        <v>5</v>
      </c>
      <c r="B641" s="24">
        <f t="shared" si="951"/>
        <v>1991</v>
      </c>
      <c r="C641" s="25">
        <v>33542</v>
      </c>
      <c r="D641" s="26"/>
      <c r="E641" s="24"/>
      <c r="F641" s="26"/>
      <c r="G641" s="26"/>
      <c r="H641" s="26"/>
      <c r="I641" s="26"/>
      <c r="J641" s="26"/>
      <c r="K641" s="26"/>
      <c r="L641" s="24"/>
      <c r="M641" s="24"/>
      <c r="N641" s="26"/>
      <c r="O641" s="26"/>
      <c r="P641" s="26"/>
      <c r="Q641" s="26"/>
      <c r="R641" s="26"/>
      <c r="S641" s="26"/>
      <c r="T641" s="26"/>
      <c r="U641" s="26"/>
      <c r="V641" s="26"/>
      <c r="W641" s="26">
        <f>MAX($C$9-VLOOKUP($C641,COS!$B$8:$H$991,3,FALSE),0)</f>
        <v>94862.1748046875</v>
      </c>
      <c r="X641" s="26">
        <f t="shared" si="972"/>
        <v>5832.8477731146695</v>
      </c>
      <c r="Y641" s="26">
        <f>VLOOKUP($C641,COS!$B$8:$H$991,4,FALSE)</f>
        <v>1365.7271728515625</v>
      </c>
      <c r="Z641" s="26">
        <f t="shared" si="973"/>
        <v>83.975290628228308</v>
      </c>
      <c r="AA641" s="26">
        <f t="shared" si="1028"/>
        <v>1365.7271728515625</v>
      </c>
      <c r="AB641" s="33">
        <f t="shared" si="956"/>
        <v>83.975290628228308</v>
      </c>
    </row>
    <row r="642" spans="1:28" x14ac:dyDescent="0.3">
      <c r="A642" s="32">
        <f>VLOOKUP(YEAR(C642),Flags!$A$13:$B$95,2,FALSE)</f>
        <v>5</v>
      </c>
      <c r="B642" s="24">
        <f t="shared" si="951"/>
        <v>1991</v>
      </c>
      <c r="C642" s="25">
        <v>33572</v>
      </c>
      <c r="D642" s="26"/>
      <c r="E642" s="24"/>
      <c r="F642" s="26"/>
      <c r="G642" s="26"/>
      <c r="H642" s="26"/>
      <c r="I642" s="26"/>
      <c r="J642" s="26"/>
      <c r="K642" s="26"/>
      <c r="L642" s="24"/>
      <c r="M642" s="24"/>
      <c r="N642" s="26"/>
      <c r="O642" s="26"/>
      <c r="P642" s="26"/>
      <c r="Q642" s="26"/>
      <c r="R642" s="26"/>
      <c r="S642" s="26"/>
      <c r="T642" s="26"/>
      <c r="U642" s="26"/>
      <c r="V642" s="26"/>
      <c r="W642" s="26">
        <f>MAX($C$10-VLOOKUP($C642,COS!$B$8:$H$991,3,FALSE),0)</f>
        <v>94541.99853515625</v>
      </c>
      <c r="X642" s="26">
        <f t="shared" si="972"/>
        <v>5625.6395822572313</v>
      </c>
      <c r="Y642" s="26">
        <f>VLOOKUP($C642,COS!$B$8:$H$991,4,FALSE)</f>
        <v>1633.0859375</v>
      </c>
      <c r="Z642" s="26">
        <f t="shared" si="973"/>
        <v>97.175361570247929</v>
      </c>
      <c r="AA642" s="26">
        <f t="shared" si="1028"/>
        <v>1633.0859375</v>
      </c>
      <c r="AB642" s="33">
        <f t="shared" si="956"/>
        <v>48.587680785123965</v>
      </c>
    </row>
    <row r="643" spans="1:28" x14ac:dyDescent="0.3">
      <c r="A643" s="34">
        <f>VLOOKUP(YEAR(C643),Flags!$A$13:$B$95,2,FALSE)</f>
        <v>5</v>
      </c>
      <c r="B643" s="35">
        <f t="shared" si="951"/>
        <v>1991</v>
      </c>
      <c r="C643" s="36">
        <v>33603</v>
      </c>
      <c r="D643" s="37"/>
      <c r="E643" s="35"/>
      <c r="F643" s="37"/>
      <c r="G643" s="37"/>
      <c r="H643" s="37"/>
      <c r="I643" s="37"/>
      <c r="J643" s="37"/>
      <c r="K643" s="37"/>
      <c r="L643" s="35"/>
      <c r="M643" s="35"/>
      <c r="N643" s="37"/>
      <c r="O643" s="37"/>
      <c r="P643" s="37"/>
      <c r="Q643" s="37"/>
      <c r="R643" s="37"/>
      <c r="S643" s="37"/>
      <c r="T643" s="37"/>
      <c r="U643" s="37"/>
      <c r="V643" s="37"/>
      <c r="W643" s="37">
        <f>MAX($C$11-VLOOKUP($C643,COS!$B$8:$H$991,3,FALSE),0)</f>
        <v>0</v>
      </c>
      <c r="X643" s="37">
        <f t="shared" si="972"/>
        <v>0</v>
      </c>
      <c r="Y643" s="37">
        <f>VLOOKUP($C643,COS!$B$8:$H$991,4,FALSE)</f>
        <v>3048.85693359375</v>
      </c>
      <c r="Z643" s="37">
        <f t="shared" si="973"/>
        <v>187.46690566890496</v>
      </c>
      <c r="AA643" s="37">
        <f t="shared" si="1028"/>
        <v>0</v>
      </c>
      <c r="AB643" s="38">
        <f t="shared" si="956"/>
        <v>0</v>
      </c>
    </row>
    <row r="644" spans="1:28" x14ac:dyDescent="0.3">
      <c r="A644" s="27">
        <f>VLOOKUP(YEAR(C644),Flags!$A$13:$B$95,2,FALSE)</f>
        <v>5</v>
      </c>
      <c r="B644" s="28">
        <f t="shared" si="951"/>
        <v>1992</v>
      </c>
      <c r="C644" s="29">
        <v>33724</v>
      </c>
      <c r="D644" s="30">
        <f>VLOOKUP($C644,COS!$B$8:$H$991,3,FALSE)</f>
        <v>3250</v>
      </c>
      <c r="E644" s="28">
        <f>IF(D644&gt;=IF(MONTH($C644)=4,$C$3,IF(MONTH($C644)=5,$C$4,IF(MONTH($C644)=6,$C$5,IF(MONTH($C644)=7,$C$6,"ERROR")))),1,0)</f>
        <v>0</v>
      </c>
      <c r="F644" s="30">
        <f>VLOOKUP($C644,COS!$B$8:$H$991,7,FALSE)</f>
        <v>52.492954254150391</v>
      </c>
      <c r="G644" s="28">
        <f>IF(F644&lt;=IF(MONTH($C644)=4,$F$3,IF(MONTH($C644)=5,$F$4,IF(MONTH($C644)=6,$F$5,IF(MONTH($C644)=7,$F$6,"ERROR")))),1,0)</f>
        <v>1</v>
      </c>
      <c r="H644" s="30">
        <f>IF(J644=1,D644-$C$3,0)</f>
        <v>0</v>
      </c>
      <c r="I644" s="30">
        <f t="shared" si="982"/>
        <v>0</v>
      </c>
      <c r="J644" s="28">
        <f t="shared" ref="J644:J647" si="1031">IF(AND(E644=1,G644=1),1,0)</f>
        <v>0</v>
      </c>
      <c r="K644" s="30">
        <f>VLOOKUP($C644,COS!$B$8:$H$991,2,FALSE)</f>
        <v>2746.148681640625</v>
      </c>
      <c r="L644" s="28">
        <f t="shared" ref="L644" si="1032">IF(K644&lt;=IF(MONTH($C644)=4,$I$3,IF(MONTH($C644)=5,$I$4,IF(MONTH($C644)=6,$I$5,IF(MONTH($C644)=7,$I$6,"ERROR")))),1,0)</f>
        <v>1</v>
      </c>
      <c r="M644" s="28">
        <f t="shared" ref="M644" si="1033">VLOOKUP($A644,$L$3:$M$7,2,FALSE)</f>
        <v>1</v>
      </c>
      <c r="N644" s="30">
        <f>VLOOKUP($C644,COS!$B$8:$H$991,5,FALSE)</f>
        <v>32.692440032958984</v>
      </c>
      <c r="O644" s="30">
        <f t="shared" ref="O644:O647" si="1034">N644*DAY($C644)*86400/43560/1000</f>
        <v>1.9453352746884685</v>
      </c>
      <c r="P644" s="30">
        <f>VLOOKUP($C644,COS!$B$8:$H$991,6,FALSE)</f>
        <v>421.25204467773438</v>
      </c>
      <c r="Q644" s="30">
        <f t="shared" ref="Q644:Q647" si="1035">P644*DAY($C644)*86400/43560/1000</f>
        <v>25.066237369253617</v>
      </c>
      <c r="R644" s="30">
        <f>MIN(IF(MONTH($C644)=4,$S$3,IF(MONTH($C644)=5,$S$4,IF(MONTH($C644)=6,$S$5,IF(MONTH($C644)=7,$S$6,"ERROR")))),MAX(VLOOKUP($C644,COS!$B$8:$K$991,10,FALSE)-IF(MONTH($C644)=4,$Y$3,IF(MONTH($C644)=5,$Y$4,IF(MONTH($C644)=6,$Y$5,IF(MONTH($C644)=7,$Y$6,"ERROR")))),0),MAX(VLOOKUP($C644,COS!$B$8:$K$991,9,FALSE)-IF(MONTH($C644)=4,$V$3,IF(MONTH($C644)=5,$V$4,IF(MONTH($C644)=6,$V$5,IF(MONTH($C644)=7,$V$6,"ERROR"))))-VLOOKUP($C644,COS!$B$8:$K$991,6,FALSE)/2,0))</f>
        <v>1500</v>
      </c>
      <c r="S644" s="30">
        <f t="shared" ref="S644:S647" si="1036">R644*DAY($C644)*86400/43560/1000</f>
        <v>89.256198347107429</v>
      </c>
      <c r="T644" s="30">
        <f t="shared" ref="T644:T647" si="1037">(O644+Q644)/2+S644</f>
        <v>102.76198466907847</v>
      </c>
      <c r="U644" s="30" t="str">
        <f>IF(VLOOKUP($C644,COS!$B$8:$I$991,8,FALSE)=1,"UWFE","IBU")</f>
        <v>UWFE</v>
      </c>
      <c r="V644" s="30">
        <f t="shared" ref="V644" si="1038">MIN(IF(IF($AA$3=2,AND(E644=1,G644=1,L644=1,L649=1,M644=1,U644="IBU"),AND(E644=1,G644=1,L644=1,L649=1,M644=1)),T644,0),I644)</f>
        <v>0</v>
      </c>
      <c r="W644" s="30"/>
      <c r="X644" s="30"/>
      <c r="Y644" s="30"/>
      <c r="Z644" s="30"/>
      <c r="AA644" s="30"/>
      <c r="AB644" s="31"/>
    </row>
    <row r="645" spans="1:28" x14ac:dyDescent="0.3">
      <c r="A645" s="32">
        <f>VLOOKUP(YEAR(C645),Flags!$A$13:$B$95,2,FALSE)</f>
        <v>5</v>
      </c>
      <c r="B645" s="24">
        <f t="shared" si="951"/>
        <v>1992</v>
      </c>
      <c r="C645" s="25">
        <v>33755</v>
      </c>
      <c r="D645" s="26">
        <f>VLOOKUP($C645,COS!$B$8:$H$991,3,FALSE)</f>
        <v>8644.7744140625</v>
      </c>
      <c r="E645" s="24">
        <f>IF(D645&gt;=IF(MONTH($C645)=4,$C$3,IF(MONTH($C645)=5,$C$4,IF(MONTH($C645)=6,$C$5,IF(MONTH($C645)=7,$C$6,"ERROR")))),1,0)</f>
        <v>1</v>
      </c>
      <c r="F645" s="26">
        <f>VLOOKUP($C645,COS!$B$8:$H$991,7,FALSE)</f>
        <v>52.123382568359375</v>
      </c>
      <c r="G645" s="24">
        <f>IF(F645&lt;=IF(MONTH($C645)=4,$F$3,IF(MONTH($C645)=5,$F$4,IF(MONTH($C645)=6,$F$5,IF(MONTH($C645)=7,$F$6,"ERROR")))),1,0)</f>
        <v>1</v>
      </c>
      <c r="H645" s="26">
        <f>IF(J645=1,D645-$C$4,0)</f>
        <v>2644.7744140625</v>
      </c>
      <c r="I645" s="26">
        <f t="shared" si="982"/>
        <v>162.62084000516529</v>
      </c>
      <c r="J645" s="24">
        <f t="shared" si="1031"/>
        <v>1</v>
      </c>
      <c r="K645" s="26">
        <f>VLOOKUP($C645,COS!$B$8:$H$991,2,FALSE)</f>
        <v>2460.489501953125</v>
      </c>
      <c r="L645" s="24">
        <f t="shared" si="944"/>
        <v>1</v>
      </c>
      <c r="M645" s="24">
        <f t="shared" si="945"/>
        <v>1</v>
      </c>
      <c r="N645" s="26">
        <f>VLOOKUP($C645,COS!$B$8:$H$991,5,FALSE)</f>
        <v>10.813337326049805</v>
      </c>
      <c r="O645" s="26">
        <f t="shared" si="1034"/>
        <v>0.66488619591578968</v>
      </c>
      <c r="P645" s="26">
        <f>VLOOKUP($C645,COS!$B$8:$H$991,6,FALSE)</f>
        <v>2317.093994140625</v>
      </c>
      <c r="Q645" s="26">
        <f t="shared" si="1035"/>
        <v>142.47255633393593</v>
      </c>
      <c r="R645" s="26">
        <f>MIN(IF(MONTH($C645)=4,$S$3,IF(MONTH($C645)=5,$S$4,IF(MONTH($C645)=6,$S$5,IF(MONTH($C645)=7,$S$6,"ERROR")))),MAX(VLOOKUP($C645,COS!$B$8:$K$991,10,FALSE)-IF(MONTH($C645)=4,$Y$3,IF(MONTH($C645)=5,$Y$4,IF(MONTH($C645)=6,$Y$5,IF(MONTH($C645)=7,$Y$6,"ERROR")))),0),MAX(VLOOKUP($C645,COS!$B$8:$K$991,9,FALSE)-IF(MONTH($C645)=4,$V$3,IF(MONTH($C645)=5,$V$4,IF(MONTH($C645)=6,$V$5,IF(MONTH($C645)=7,$V$6,"ERROR"))))-VLOOKUP($C645,COS!$B$8:$K$991,6,FALSE)/2,0))</f>
        <v>1500</v>
      </c>
      <c r="S645" s="26">
        <f t="shared" si="1036"/>
        <v>92.231404958677686</v>
      </c>
      <c r="T645" s="26">
        <f t="shared" si="1037"/>
        <v>163.80012622360354</v>
      </c>
      <c r="U645" s="26" t="str">
        <f>IF(VLOOKUP($C645,COS!$B$8:$I$991,8,FALSE)=1,"UWFE","IBU")</f>
        <v>IBU</v>
      </c>
      <c r="V645" s="26">
        <f t="shared" ref="V645" si="1039">MIN(IF(IF($AA$3=2,AND(E645=1,G645=1,L645=1,L649=1,M645=1,U645="IBU"),AND(E645=1,G645=1,L645=1,L649=1,M645=1)),T645,0),I645)</f>
        <v>162.62084000516529</v>
      </c>
      <c r="W645" s="26"/>
      <c r="X645" s="26"/>
      <c r="Y645" s="26"/>
      <c r="Z645" s="26"/>
      <c r="AA645" s="26"/>
      <c r="AB645" s="33"/>
    </row>
    <row r="646" spans="1:28" x14ac:dyDescent="0.3">
      <c r="A646" s="32">
        <f>VLOOKUP(YEAR(C646),Flags!$A$13:$B$95,2,FALSE)</f>
        <v>5</v>
      </c>
      <c r="B646" s="24">
        <f t="shared" si="951"/>
        <v>1992</v>
      </c>
      <c r="C646" s="25">
        <v>33785</v>
      </c>
      <c r="D646" s="26">
        <f>VLOOKUP($C646,COS!$B$8:$H$991,3,FALSE)</f>
        <v>10366.1689453125</v>
      </c>
      <c r="E646" s="24">
        <f>IF(D646&gt;=IF(MONTH($C646)=4,$C$3,IF(MONTH($C646)=5,$C$4,IF(MONTH($C646)=6,$C$5,IF(MONTH($C646)=7,$C$6,"ERROR")))),1,0)</f>
        <v>1</v>
      </c>
      <c r="F646" s="26">
        <f>VLOOKUP($C646,COS!$B$8:$H$991,7,FALSE)</f>
        <v>53.589008331298828</v>
      </c>
      <c r="G646" s="24">
        <f>IF(F646&lt;=IF(MONTH($C646)=4,$F$3,IF(MONTH($C646)=5,$F$4,IF(MONTH($C646)=6,$F$5,IF(MONTH($C646)=7,$F$6,"ERROR")))),1,0)</f>
        <v>1</v>
      </c>
      <c r="H646" s="26">
        <f>IF(J646=1,D646-$C$5,0)</f>
        <v>366.1689453125</v>
      </c>
      <c r="I646" s="26">
        <f t="shared" si="982"/>
        <v>21.788565340909091</v>
      </c>
      <c r="J646" s="24">
        <f t="shared" si="1031"/>
        <v>1</v>
      </c>
      <c r="K646" s="26">
        <f>VLOOKUP($C646,COS!$B$8:$H$991,2,FALSE)</f>
        <v>2027.753173828125</v>
      </c>
      <c r="L646" s="24">
        <f t="shared" si="944"/>
        <v>1</v>
      </c>
      <c r="M646" s="24">
        <f t="shared" si="945"/>
        <v>1</v>
      </c>
      <c r="N646" s="26">
        <f>VLOOKUP($C646,COS!$B$8:$H$991,5,FALSE)</f>
        <v>98.261642456054688</v>
      </c>
      <c r="O646" s="26">
        <f t="shared" si="1034"/>
        <v>5.8469737659801142</v>
      </c>
      <c r="P646" s="26">
        <f>VLOOKUP($C646,COS!$B$8:$H$991,6,FALSE)</f>
        <v>2327.949951171875</v>
      </c>
      <c r="Q646" s="26">
        <f t="shared" si="1035"/>
        <v>138.52264172262394</v>
      </c>
      <c r="R646" s="26">
        <f>MIN(IF(MONTH($C646)=4,$S$3,IF(MONTH($C646)=5,$S$4,IF(MONTH($C646)=6,$S$5,IF(MONTH($C646)=7,$S$6,"ERROR")))),MAX(VLOOKUP($C646,COS!$B$8:$K$991,10,FALSE)-IF(MONTH($C646)=4,$Y$3,IF(MONTH($C646)=5,$Y$4,IF(MONTH($C646)=6,$Y$5,IF(MONTH($C646)=7,$Y$6,"ERROR")))),0),MAX(VLOOKUP($C646,COS!$B$8:$K$991,9,FALSE)-IF(MONTH($C646)=4,$V$3,IF(MONTH($C646)=5,$V$4,IF(MONTH($C646)=6,$V$5,IF(MONTH($C646)=7,$V$6,"ERROR"))))-VLOOKUP($C646,COS!$B$8:$K$991,6,FALSE)/2,0))</f>
        <v>1500</v>
      </c>
      <c r="S646" s="26">
        <f t="shared" si="1036"/>
        <v>89.256198347107429</v>
      </c>
      <c r="T646" s="26">
        <f t="shared" si="1037"/>
        <v>161.44100609140946</v>
      </c>
      <c r="U646" s="26" t="str">
        <f>IF(VLOOKUP($C646,COS!$B$8:$I$991,8,FALSE)=1,"UWFE","IBU")</f>
        <v>IBU</v>
      </c>
      <c r="V646" s="26">
        <f t="shared" ref="V646" si="1040">MIN(IF(IF($AA$3=2,AND(E646=1,G646=1,L646=1,L649=1,M646=1,U646="IBU"),AND(E646=1,G646=1,L646=1,L649=1,M646=1)),T646,0),I646)</f>
        <v>21.788565340909091</v>
      </c>
      <c r="W646" s="26"/>
      <c r="X646" s="26"/>
      <c r="Y646" s="26"/>
      <c r="Z646" s="26"/>
      <c r="AA646" s="26"/>
      <c r="AB646" s="33"/>
    </row>
    <row r="647" spans="1:28" x14ac:dyDescent="0.3">
      <c r="A647" s="32">
        <f>VLOOKUP(YEAR(C647),Flags!$A$13:$B$95,2,FALSE)</f>
        <v>5</v>
      </c>
      <c r="B647" s="24">
        <f t="shared" si="951"/>
        <v>1992</v>
      </c>
      <c r="C647" s="25">
        <v>33816</v>
      </c>
      <c r="D647" s="26">
        <f>VLOOKUP($C647,COS!$B$8:$H$991,3,FALSE)</f>
        <v>9934.8115234375</v>
      </c>
      <c r="E647" s="24">
        <f>IF(D647&gt;=IF(MONTH($C647)=4,$C$3,IF(MONTH($C647)=5,$C$4,IF(MONTH($C647)=6,$C$5,IF(MONTH($C647)=7,$C$6,"ERROR")))),1,0)</f>
        <v>0</v>
      </c>
      <c r="F647" s="26">
        <f>VLOOKUP($C647,COS!$B$8:$H$991,7,FALSE)</f>
        <v>55.741245269775391</v>
      </c>
      <c r="G647" s="24">
        <f>IF(F647&lt;=IF(MONTH($C647)=4,$F$3,IF(MONTH($C647)=5,$F$4,IF(MONTH($C647)=6,$F$5,IF(MONTH($C647)=7,$F$6,"ERROR")))),1,0)</f>
        <v>0</v>
      </c>
      <c r="H647" s="26">
        <f>IF(J647=1,D647-$C$6,0)</f>
        <v>0</v>
      </c>
      <c r="I647" s="26">
        <f t="shared" si="982"/>
        <v>0</v>
      </c>
      <c r="J647" s="24">
        <f t="shared" si="1031"/>
        <v>0</v>
      </c>
      <c r="K647" s="26">
        <f>VLOOKUP($C647,COS!$B$8:$H$991,2,FALSE)</f>
        <v>1648.2286376953125</v>
      </c>
      <c r="L647" s="24">
        <f t="shared" si="944"/>
        <v>1</v>
      </c>
      <c r="M647" s="24">
        <f t="shared" si="945"/>
        <v>1</v>
      </c>
      <c r="N647" s="26">
        <f>VLOOKUP($C647,COS!$B$8:$H$991,5,FALSE)</f>
        <v>123.65061187744141</v>
      </c>
      <c r="O647" s="26">
        <f t="shared" si="1034"/>
        <v>7.6029797716377194</v>
      </c>
      <c r="P647" s="26">
        <f>VLOOKUP($C647,COS!$B$8:$H$991,6,FALSE)</f>
        <v>2316.5048828125</v>
      </c>
      <c r="Q647" s="26">
        <f t="shared" si="1035"/>
        <v>142.43633329028924</v>
      </c>
      <c r="R647" s="26">
        <f>MIN(IF(MONTH($C647)=4,$S$3,IF(MONTH($C647)=5,$S$4,IF(MONTH($C647)=6,$S$5,IF(MONTH($C647)=7,$S$6,"ERROR")))),MAX(VLOOKUP($C647,COS!$B$8:$K$991,10,FALSE)-IF(MONTH($C647)=4,$Y$3,IF(MONTH($C647)=5,$Y$4,IF(MONTH($C647)=6,$Y$5,IF(MONTH($C647)=7,$Y$6,"ERROR")))),0),MAX(VLOOKUP($C647,COS!$B$8:$K$991,9,FALSE)-IF(MONTH($C647)=4,$V$3,IF(MONTH($C647)=5,$V$4,IF(MONTH($C647)=6,$V$5,IF(MONTH($C647)=7,$V$6,"ERROR"))))-VLOOKUP($C647,COS!$B$8:$K$991,6,FALSE)/2,0))</f>
        <v>1500</v>
      </c>
      <c r="S647" s="26">
        <f t="shared" si="1036"/>
        <v>92.231404958677686</v>
      </c>
      <c r="T647" s="26">
        <f t="shared" si="1037"/>
        <v>167.25106148964116</v>
      </c>
      <c r="U647" s="26" t="str">
        <f>IF(VLOOKUP($C647,COS!$B$8:$I$991,8,FALSE)=1,"UWFE","IBU")</f>
        <v>IBU</v>
      </c>
      <c r="V647" s="26">
        <f t="shared" ref="V647" si="1041">MIN(IF(IF($AA$3=2,AND(E647=1,G647=1,L647=1,L649=1,M647=1,U647="IBU"),AND(E647=1,G647=1,L647=1,L649=1,M647=1)),T647,0),I647)</f>
        <v>0</v>
      </c>
      <c r="W647" s="26"/>
      <c r="X647" s="26"/>
      <c r="Y647" s="26"/>
      <c r="Z647" s="26"/>
      <c r="AA647" s="26"/>
      <c r="AB647" s="33"/>
    </row>
    <row r="648" spans="1:28" x14ac:dyDescent="0.3">
      <c r="A648" s="32">
        <f>VLOOKUP(YEAR(C648),Flags!$A$13:$B$95,2,FALSE)</f>
        <v>5</v>
      </c>
      <c r="B648" s="24">
        <f t="shared" si="951"/>
        <v>1992</v>
      </c>
      <c r="C648" s="25">
        <v>33847</v>
      </c>
      <c r="D648" s="26"/>
      <c r="E648" s="24"/>
      <c r="F648" s="26"/>
      <c r="G648" s="24"/>
      <c r="H648" s="24"/>
      <c r="I648" s="26"/>
      <c r="J648" s="24"/>
      <c r="K648" s="26"/>
      <c r="L648" s="24"/>
      <c r="M648" s="24"/>
      <c r="N648" s="26"/>
      <c r="O648" s="26"/>
      <c r="P648" s="26"/>
      <c r="Q648" s="26"/>
      <c r="R648" s="26"/>
      <c r="S648" s="26"/>
      <c r="T648" s="26"/>
      <c r="U648" s="26"/>
      <c r="V648" s="26"/>
      <c r="W648" s="26">
        <f>MAX($C$7-VLOOKUP($C648,COS!$B$8:$H$991,3,FALSE),0)</f>
        <v>92619.11181640625</v>
      </c>
      <c r="X648" s="26">
        <f t="shared" si="972"/>
        <v>5694.9272059013438</v>
      </c>
      <c r="Y648" s="26">
        <f>VLOOKUP($C648,COS!$B$8:$H$991,4,FALSE)</f>
        <v>2159.716552734375</v>
      </c>
      <c r="Z648" s="26">
        <f t="shared" si="973"/>
        <v>132.79579464746902</v>
      </c>
      <c r="AA648" s="26">
        <f t="shared" ref="AA648:AA652" si="1042">MIN(W648,Y648)</f>
        <v>2159.716552734375</v>
      </c>
      <c r="AB648" s="33">
        <f t="shared" ref="AB648" si="1043">AA648*DAY($C648)*86400/43560/1000*IF(MONTH($C648)=8,$P$3,IF(MONTH($C648)=9,$P$4,IF(MONTH($C648)=10,$P$5,IF(MONTH($C648)=11,$P$6,IF(MONTH($C648)=12,$P$7,NA())))))</f>
        <v>132.79579464746902</v>
      </c>
    </row>
    <row r="649" spans="1:28" x14ac:dyDescent="0.3">
      <c r="A649" s="32">
        <f>VLOOKUP(YEAR(C649),Flags!$A$13:$B$95,2,FALSE)</f>
        <v>5</v>
      </c>
      <c r="B649" s="24">
        <f t="shared" si="951"/>
        <v>1992</v>
      </c>
      <c r="C649" s="25">
        <v>33877</v>
      </c>
      <c r="D649" s="26"/>
      <c r="E649" s="24"/>
      <c r="F649" s="26"/>
      <c r="G649" s="24"/>
      <c r="H649" s="24"/>
      <c r="I649" s="26"/>
      <c r="J649" s="24"/>
      <c r="K649" s="26">
        <f>VLOOKUP($C649,COS!$B$8:$H$991,2,FALSE)</f>
        <v>1352.76123046875</v>
      </c>
      <c r="L649" s="24">
        <f t="shared" ref="L649" si="1044">IF(AND(K649&gt;$I$7,K649&lt;$I$8),1,0)</f>
        <v>1</v>
      </c>
      <c r="M649" s="24"/>
      <c r="N649" s="26"/>
      <c r="O649" s="26"/>
      <c r="P649" s="26"/>
      <c r="Q649" s="26"/>
      <c r="R649" s="26"/>
      <c r="S649" s="26"/>
      <c r="T649" s="26"/>
      <c r="U649" s="26"/>
      <c r="V649" s="26"/>
      <c r="W649" s="26">
        <f>MAX($C$8-VLOOKUP($C649,COS!$B$8:$H$991,3,FALSE),0)</f>
        <v>95768.34130859375</v>
      </c>
      <c r="X649" s="26">
        <f t="shared" si="972"/>
        <v>5698.6120448088841</v>
      </c>
      <c r="Y649" s="26">
        <f>VLOOKUP($C649,COS!$B$8:$H$991,4,FALSE)</f>
        <v>1930.2186279296875</v>
      </c>
      <c r="Z649" s="26">
        <f t="shared" si="973"/>
        <v>114.85598447184918</v>
      </c>
      <c r="AA649" s="26">
        <f t="shared" si="1042"/>
        <v>1930.2186279296875</v>
      </c>
      <c r="AB649" s="33">
        <f t="shared" si="956"/>
        <v>114.85598447184918</v>
      </c>
    </row>
    <row r="650" spans="1:28" x14ac:dyDescent="0.3">
      <c r="A650" s="32">
        <f>VLOOKUP(YEAR(C650),Flags!$A$13:$B$95,2,FALSE)</f>
        <v>5</v>
      </c>
      <c r="B650" s="24">
        <f t="shared" si="951"/>
        <v>1992</v>
      </c>
      <c r="C650" s="25">
        <v>33908</v>
      </c>
      <c r="D650" s="26"/>
      <c r="E650" s="24"/>
      <c r="F650" s="26"/>
      <c r="G650" s="26"/>
      <c r="H650" s="26"/>
      <c r="I650" s="26"/>
      <c r="J650" s="26"/>
      <c r="K650" s="26"/>
      <c r="L650" s="24"/>
      <c r="M650" s="24"/>
      <c r="N650" s="26"/>
      <c r="O650" s="26"/>
      <c r="P650" s="26"/>
      <c r="Q650" s="26"/>
      <c r="R650" s="26"/>
      <c r="S650" s="26"/>
      <c r="T650" s="26"/>
      <c r="U650" s="26"/>
      <c r="V650" s="26"/>
      <c r="W650" s="26">
        <f>MAX($C$9-VLOOKUP($C650,COS!$B$8:$H$991,3,FALSE),0)</f>
        <v>94532.16748046875</v>
      </c>
      <c r="X650" s="26">
        <f t="shared" si="972"/>
        <v>5812.5564136751036</v>
      </c>
      <c r="Y650" s="26">
        <f>VLOOKUP($C650,COS!$B$8:$H$991,4,FALSE)</f>
        <v>1311.4129638671875</v>
      </c>
      <c r="Z650" s="26">
        <f t="shared" si="973"/>
        <v>80.635640092329538</v>
      </c>
      <c r="AA650" s="26">
        <f t="shared" si="1042"/>
        <v>1311.4129638671875</v>
      </c>
      <c r="AB650" s="33">
        <f t="shared" si="956"/>
        <v>80.635640092329538</v>
      </c>
    </row>
    <row r="651" spans="1:28" x14ac:dyDescent="0.3">
      <c r="A651" s="32">
        <f>VLOOKUP(YEAR(C651),Flags!$A$13:$B$95,2,FALSE)</f>
        <v>5</v>
      </c>
      <c r="B651" s="24">
        <f t="shared" si="951"/>
        <v>1992</v>
      </c>
      <c r="C651" s="25">
        <v>33938</v>
      </c>
      <c r="D651" s="26"/>
      <c r="E651" s="24"/>
      <c r="F651" s="26"/>
      <c r="G651" s="26"/>
      <c r="H651" s="26"/>
      <c r="I651" s="26"/>
      <c r="J651" s="26"/>
      <c r="K651" s="26"/>
      <c r="L651" s="24"/>
      <c r="M651" s="24"/>
      <c r="N651" s="26"/>
      <c r="O651" s="26"/>
      <c r="P651" s="26"/>
      <c r="Q651" s="26"/>
      <c r="R651" s="26"/>
      <c r="S651" s="26"/>
      <c r="T651" s="26"/>
      <c r="U651" s="26"/>
      <c r="V651" s="26"/>
      <c r="W651" s="26">
        <f>MAX($C$10-VLOOKUP($C651,COS!$B$8:$H$991,3,FALSE),0)</f>
        <v>95167.818359375</v>
      </c>
      <c r="X651" s="26">
        <f t="shared" si="972"/>
        <v>5662.8784478305779</v>
      </c>
      <c r="Y651" s="26">
        <f>VLOOKUP($C651,COS!$B$8:$H$991,4,FALSE)</f>
        <v>1543.501953125</v>
      </c>
      <c r="Z651" s="26">
        <f t="shared" si="973"/>
        <v>91.844744318181824</v>
      </c>
      <c r="AA651" s="26">
        <f t="shared" si="1042"/>
        <v>1543.501953125</v>
      </c>
      <c r="AB651" s="33">
        <f t="shared" si="956"/>
        <v>45.922372159090912</v>
      </c>
    </row>
    <row r="652" spans="1:28" x14ac:dyDescent="0.3">
      <c r="A652" s="34">
        <f>VLOOKUP(YEAR(C652),Flags!$A$13:$B$95,2,FALSE)</f>
        <v>5</v>
      </c>
      <c r="B652" s="35">
        <f t="shared" si="951"/>
        <v>1992</v>
      </c>
      <c r="C652" s="36">
        <v>33969</v>
      </c>
      <c r="D652" s="37"/>
      <c r="E652" s="35"/>
      <c r="F652" s="37"/>
      <c r="G652" s="37"/>
      <c r="H652" s="37"/>
      <c r="I652" s="37"/>
      <c r="J652" s="37"/>
      <c r="K652" s="37"/>
      <c r="L652" s="35"/>
      <c r="M652" s="35"/>
      <c r="N652" s="37"/>
      <c r="O652" s="37"/>
      <c r="P652" s="37"/>
      <c r="Q652" s="37"/>
      <c r="R652" s="37"/>
      <c r="S652" s="37"/>
      <c r="T652" s="37"/>
      <c r="U652" s="37"/>
      <c r="V652" s="37"/>
      <c r="W652" s="37">
        <f>MAX($C$11-VLOOKUP($C652,COS!$B$8:$H$991,3,FALSE),0)</f>
        <v>0</v>
      </c>
      <c r="X652" s="37">
        <f t="shared" si="972"/>
        <v>0</v>
      </c>
      <c r="Y652" s="37">
        <f>VLOOKUP($C652,COS!$B$8:$H$991,4,FALSE)</f>
        <v>1778.0540771484375</v>
      </c>
      <c r="Z652" s="37">
        <f t="shared" si="973"/>
        <v>109.32828375193698</v>
      </c>
      <c r="AA652" s="37">
        <f t="shared" si="1042"/>
        <v>0</v>
      </c>
      <c r="AB652" s="38">
        <f t="shared" si="956"/>
        <v>0</v>
      </c>
    </row>
    <row r="653" spans="1:28" x14ac:dyDescent="0.3">
      <c r="A653" s="27">
        <f>VLOOKUP(YEAR(C653),Flags!$A$13:$B$95,2,FALSE)</f>
        <v>2</v>
      </c>
      <c r="B653" s="28">
        <f t="shared" si="951"/>
        <v>1993</v>
      </c>
      <c r="C653" s="29">
        <v>34089</v>
      </c>
      <c r="D653" s="30">
        <f>VLOOKUP($C653,COS!$B$8:$H$991,3,FALSE)</f>
        <v>4509.7060546875</v>
      </c>
      <c r="E653" s="28">
        <f>IF(D653&gt;=IF(MONTH($C653)=4,$C$3,IF(MONTH($C653)=5,$C$4,IF(MONTH($C653)=6,$C$5,IF(MONTH($C653)=7,$C$6,"ERROR")))),1,0)</f>
        <v>0</v>
      </c>
      <c r="F653" s="30">
        <f>VLOOKUP($C653,COS!$B$8:$H$991,7,FALSE)</f>
        <v>48.90673828125</v>
      </c>
      <c r="G653" s="28">
        <f>IF(F653&lt;=IF(MONTH($C653)=4,$F$3,IF(MONTH($C653)=5,$F$4,IF(MONTH($C653)=6,$F$5,IF(MONTH($C653)=7,$F$6,"ERROR")))),1,0)</f>
        <v>1</v>
      </c>
      <c r="H653" s="30">
        <f>IF(J653=1,D653-$C$3,0)</f>
        <v>0</v>
      </c>
      <c r="I653" s="30">
        <f t="shared" si="982"/>
        <v>0</v>
      </c>
      <c r="J653" s="28">
        <f t="shared" ref="J653:J656" si="1045">IF(AND(E653=1,G653=1),1,0)</f>
        <v>0</v>
      </c>
      <c r="K653" s="30">
        <f>VLOOKUP($C653,COS!$B$8:$H$991,2,FALSE)</f>
        <v>4552</v>
      </c>
      <c r="L653" s="28">
        <f t="shared" ref="L653:L710" si="1046">IF(K653&lt;=IF(MONTH($C653)=4,$I$3,IF(MONTH($C653)=5,$I$4,IF(MONTH($C653)=6,$I$5,IF(MONTH($C653)=7,$I$6,"ERROR")))),1,0)</f>
        <v>1</v>
      </c>
      <c r="M653" s="28">
        <f t="shared" ref="M653:M710" si="1047">VLOOKUP($A653,$L$3:$M$7,2,FALSE)</f>
        <v>0</v>
      </c>
      <c r="N653" s="30">
        <f>VLOOKUP($C653,COS!$B$8:$H$991,5,FALSE)</f>
        <v>455.07608032226563</v>
      </c>
      <c r="O653" s="30">
        <f t="shared" ref="O653:O656" si="1048">N653*DAY($C653)*86400/43560/1000</f>
        <v>27.078907258845557</v>
      </c>
      <c r="P653" s="30">
        <f>VLOOKUP($C653,COS!$B$8:$H$991,6,FALSE)</f>
        <v>445.36074829101563</v>
      </c>
      <c r="Q653" s="30">
        <f t="shared" ref="Q653:Q656" si="1049">P653*DAY($C653)*86400/43560/1000</f>
        <v>26.500804856986054</v>
      </c>
      <c r="R653" s="30">
        <f>MIN(IF(MONTH($C653)=4,$S$3,IF(MONTH($C653)=5,$S$4,IF(MONTH($C653)=6,$S$5,IF(MONTH($C653)=7,$S$6,"ERROR")))),MAX(VLOOKUP($C653,COS!$B$8:$K$991,10,FALSE)-IF(MONTH($C653)=4,$Y$3,IF(MONTH($C653)=5,$Y$4,IF(MONTH($C653)=6,$Y$5,IF(MONTH($C653)=7,$Y$6,"ERROR")))),0),MAX(VLOOKUP($C653,COS!$B$8:$K$991,9,FALSE)-IF(MONTH($C653)=4,$V$3,IF(MONTH($C653)=5,$V$4,IF(MONTH($C653)=6,$V$5,IF(MONTH($C653)=7,$V$6,"ERROR"))))-VLOOKUP($C653,COS!$B$8:$K$991,6,FALSE)/2,0))</f>
        <v>1500</v>
      </c>
      <c r="S653" s="30">
        <f t="shared" ref="S653:S656" si="1050">R653*DAY($C653)*86400/43560/1000</f>
        <v>89.256198347107429</v>
      </c>
      <c r="T653" s="30">
        <f t="shared" ref="T653:T656" si="1051">(O653+Q653)/2+S653</f>
        <v>116.04605440502323</v>
      </c>
      <c r="U653" s="30" t="str">
        <f>IF(VLOOKUP($C653,COS!$B$8:$I$991,8,FALSE)=1,"UWFE","IBU")</f>
        <v>UWFE</v>
      </c>
      <c r="V653" s="30">
        <f t="shared" ref="V653" si="1052">MIN(IF(IF($AA$3=2,AND(E653=1,G653=1,L653=1,L658=1,M653=1,U653="IBU"),AND(E653=1,G653=1,L653=1,L658=1,M653=1)),T653,0),I653)</f>
        <v>0</v>
      </c>
      <c r="W653" s="30"/>
      <c r="X653" s="30"/>
      <c r="Y653" s="30"/>
      <c r="Z653" s="30"/>
      <c r="AA653" s="30"/>
      <c r="AB653" s="31"/>
    </row>
    <row r="654" spans="1:28" x14ac:dyDescent="0.3">
      <c r="A654" s="32">
        <f>VLOOKUP(YEAR(C654),Flags!$A$13:$B$95,2,FALSE)</f>
        <v>2</v>
      </c>
      <c r="B654" s="24">
        <f t="shared" si="951"/>
        <v>1993</v>
      </c>
      <c r="C654" s="25">
        <v>34120</v>
      </c>
      <c r="D654" s="26">
        <f>VLOOKUP($C654,COS!$B$8:$H$991,3,FALSE)</f>
        <v>9188.9970703125</v>
      </c>
      <c r="E654" s="24">
        <f>IF(D654&gt;=IF(MONTH($C654)=4,$C$3,IF(MONTH($C654)=5,$C$4,IF(MONTH($C654)=6,$C$5,IF(MONTH($C654)=7,$C$6,"ERROR")))),1,0)</f>
        <v>1</v>
      </c>
      <c r="F654" s="26">
        <f>VLOOKUP($C654,COS!$B$8:$H$991,7,FALSE)</f>
        <v>49.416866302490234</v>
      </c>
      <c r="G654" s="24">
        <f>IF(F654&lt;=IF(MONTH($C654)=4,$F$3,IF(MONTH($C654)=5,$F$4,IF(MONTH($C654)=6,$F$5,IF(MONTH($C654)=7,$F$6,"ERROR")))),1,0)</f>
        <v>1</v>
      </c>
      <c r="H654" s="26">
        <f>IF(J654=1,D654-$C$4,0)</f>
        <v>3188.9970703125</v>
      </c>
      <c r="I654" s="26">
        <f t="shared" si="982"/>
        <v>196.08378680268595</v>
      </c>
      <c r="J654" s="24">
        <f t="shared" si="1045"/>
        <v>1</v>
      </c>
      <c r="K654" s="26">
        <f>VLOOKUP($C654,COS!$B$8:$H$991,2,FALSE)</f>
        <v>4552</v>
      </c>
      <c r="L654" s="24">
        <f t="shared" si="1046"/>
        <v>1</v>
      </c>
      <c r="M654" s="24">
        <f t="shared" si="1047"/>
        <v>0</v>
      </c>
      <c r="N654" s="26">
        <f>VLOOKUP($C654,COS!$B$8:$H$991,5,FALSE)</f>
        <v>533.46905517578125</v>
      </c>
      <c r="O654" s="26">
        <f t="shared" si="1048"/>
        <v>32.801733640560435</v>
      </c>
      <c r="P654" s="26">
        <f>VLOOKUP($C654,COS!$B$8:$H$991,6,FALSE)</f>
        <v>1840.1044921875</v>
      </c>
      <c r="Q654" s="26">
        <f t="shared" si="1049"/>
        <v>113.14361505681818</v>
      </c>
      <c r="R654" s="26">
        <f>MIN(IF(MONTH($C654)=4,$S$3,IF(MONTH($C654)=5,$S$4,IF(MONTH($C654)=6,$S$5,IF(MONTH($C654)=7,$S$6,"ERROR")))),MAX(VLOOKUP($C654,COS!$B$8:$K$991,10,FALSE)-IF(MONTH($C654)=4,$Y$3,IF(MONTH($C654)=5,$Y$4,IF(MONTH($C654)=6,$Y$5,IF(MONTH($C654)=7,$Y$6,"ERROR")))),0),MAX(VLOOKUP($C654,COS!$B$8:$K$991,9,FALSE)-IF(MONTH($C654)=4,$V$3,IF(MONTH($C654)=5,$V$4,IF(MONTH($C654)=6,$V$5,IF(MONTH($C654)=7,$V$6,"ERROR"))))-VLOOKUP($C654,COS!$B$8:$K$991,6,FALSE)/2,0))</f>
        <v>1500</v>
      </c>
      <c r="S654" s="26">
        <f t="shared" si="1050"/>
        <v>92.231404958677686</v>
      </c>
      <c r="T654" s="26">
        <f t="shared" si="1051"/>
        <v>165.20407930736701</v>
      </c>
      <c r="U654" s="26" t="str">
        <f>IF(VLOOKUP($C654,COS!$B$8:$I$991,8,FALSE)=1,"UWFE","IBU")</f>
        <v>UWFE</v>
      </c>
      <c r="V654" s="26">
        <f t="shared" ref="V654" si="1053">MIN(IF(IF($AA$3=2,AND(E654=1,G654=1,L654=1,L658=1,M654=1,U654="IBU"),AND(E654=1,G654=1,L654=1,L658=1,M654=1)),T654,0),I654)</f>
        <v>0</v>
      </c>
      <c r="W654" s="26"/>
      <c r="X654" s="26"/>
      <c r="Y654" s="26"/>
      <c r="Z654" s="26"/>
      <c r="AA654" s="26"/>
      <c r="AB654" s="33"/>
    </row>
    <row r="655" spans="1:28" x14ac:dyDescent="0.3">
      <c r="A655" s="32">
        <f>VLOOKUP(YEAR(C655),Flags!$A$13:$B$95,2,FALSE)</f>
        <v>2</v>
      </c>
      <c r="B655" s="24">
        <f t="shared" ref="B655:B718" si="1054">YEAR(C655)</f>
        <v>1993</v>
      </c>
      <c r="C655" s="25">
        <v>34150</v>
      </c>
      <c r="D655" s="26">
        <f>VLOOKUP($C655,COS!$B$8:$H$991,3,FALSE)</f>
        <v>8366.6103515625</v>
      </c>
      <c r="E655" s="24">
        <f>IF(D655&gt;=IF(MONTH($C655)=4,$C$3,IF(MONTH($C655)=5,$C$4,IF(MONTH($C655)=6,$C$5,IF(MONTH($C655)=7,$C$6,"ERROR")))),1,0)</f>
        <v>0</v>
      </c>
      <c r="F655" s="26">
        <f>VLOOKUP($C655,COS!$B$8:$H$991,7,FALSE)</f>
        <v>51.333587646484375</v>
      </c>
      <c r="G655" s="24">
        <f>IF(F655&lt;=IF(MONTH($C655)=4,$F$3,IF(MONTH($C655)=5,$F$4,IF(MONTH($C655)=6,$F$5,IF(MONTH($C655)=7,$F$6,"ERROR")))),1,0)</f>
        <v>1</v>
      </c>
      <c r="H655" s="26">
        <f>IF(J655=1,D655-$C$5,0)</f>
        <v>0</v>
      </c>
      <c r="I655" s="26">
        <f t="shared" si="982"/>
        <v>0</v>
      </c>
      <c r="J655" s="24">
        <f t="shared" si="1045"/>
        <v>0</v>
      </c>
      <c r="K655" s="26">
        <f>VLOOKUP($C655,COS!$B$8:$H$991,2,FALSE)</f>
        <v>4500</v>
      </c>
      <c r="L655" s="24">
        <f t="shared" si="1046"/>
        <v>1</v>
      </c>
      <c r="M655" s="24">
        <f t="shared" si="1047"/>
        <v>0</v>
      </c>
      <c r="N655" s="26">
        <f>VLOOKUP($C655,COS!$B$8:$H$991,5,FALSE)</f>
        <v>1014.9423828125</v>
      </c>
      <c r="O655" s="26">
        <f t="shared" si="1048"/>
        <v>60.39326575413223</v>
      </c>
      <c r="P655" s="26">
        <f>VLOOKUP($C655,COS!$B$8:$H$991,6,FALSE)</f>
        <v>2171.25048828125</v>
      </c>
      <c r="Q655" s="26">
        <f t="shared" si="1049"/>
        <v>129.19837616219007</v>
      </c>
      <c r="R655" s="26">
        <f>MIN(IF(MONTH($C655)=4,$S$3,IF(MONTH($C655)=5,$S$4,IF(MONTH($C655)=6,$S$5,IF(MONTH($C655)=7,$S$6,"ERROR")))),MAX(VLOOKUP($C655,COS!$B$8:$K$991,10,FALSE)-IF(MONTH($C655)=4,$Y$3,IF(MONTH($C655)=5,$Y$4,IF(MONTH($C655)=6,$Y$5,IF(MONTH($C655)=7,$Y$6,"ERROR")))),0),MAX(VLOOKUP($C655,COS!$B$8:$K$991,9,FALSE)-IF(MONTH($C655)=4,$V$3,IF(MONTH($C655)=5,$V$4,IF(MONTH($C655)=6,$V$5,IF(MONTH($C655)=7,$V$6,"ERROR"))))-VLOOKUP($C655,COS!$B$8:$K$991,6,FALSE)/2,0))</f>
        <v>1500</v>
      </c>
      <c r="S655" s="26">
        <f t="shared" si="1050"/>
        <v>89.256198347107429</v>
      </c>
      <c r="T655" s="26">
        <f t="shared" si="1051"/>
        <v>184.05201930526857</v>
      </c>
      <c r="U655" s="26" t="str">
        <f>IF(VLOOKUP($C655,COS!$B$8:$I$991,8,FALSE)=1,"UWFE","IBU")</f>
        <v>UWFE</v>
      </c>
      <c r="V655" s="26">
        <f t="shared" ref="V655" si="1055">MIN(IF(IF($AA$3=2,AND(E655=1,G655=1,L655=1,L658=1,M655=1,U655="IBU"),AND(E655=1,G655=1,L655=1,L658=1,M655=1)),T655,0),I655)</f>
        <v>0</v>
      </c>
      <c r="W655" s="26"/>
      <c r="X655" s="26"/>
      <c r="Y655" s="26"/>
      <c r="Z655" s="26"/>
      <c r="AA655" s="26"/>
      <c r="AB655" s="33"/>
    </row>
    <row r="656" spans="1:28" x14ac:dyDescent="0.3">
      <c r="A656" s="32">
        <f>VLOOKUP(YEAR(C656),Flags!$A$13:$B$95,2,FALSE)</f>
        <v>2</v>
      </c>
      <c r="B656" s="24">
        <f t="shared" si="1054"/>
        <v>1993</v>
      </c>
      <c r="C656" s="25">
        <v>34181</v>
      </c>
      <c r="D656" s="26">
        <f>VLOOKUP($C656,COS!$B$8:$H$991,3,FALSE)</f>
        <v>14804.357421875</v>
      </c>
      <c r="E656" s="24">
        <f>IF(D656&gt;=IF(MONTH($C656)=4,$C$3,IF(MONTH($C656)=5,$C$4,IF(MONTH($C656)=6,$C$5,IF(MONTH($C656)=7,$C$6,"ERROR")))),1,0)</f>
        <v>1</v>
      </c>
      <c r="F656" s="26">
        <f>VLOOKUP($C656,COS!$B$8:$H$991,7,FALSE)</f>
        <v>51.517642974853516</v>
      </c>
      <c r="G656" s="24">
        <f>IF(F656&lt;=IF(MONTH($C656)=4,$F$3,IF(MONTH($C656)=5,$F$4,IF(MONTH($C656)=6,$F$5,IF(MONTH($C656)=7,$F$6,"ERROR")))),1,0)</f>
        <v>1</v>
      </c>
      <c r="H656" s="26">
        <f>IF(J656=1,D656-$C$6,0)</f>
        <v>2804.357421875</v>
      </c>
      <c r="I656" s="26">
        <f t="shared" si="982"/>
        <v>172.4332166838843</v>
      </c>
      <c r="J656" s="24">
        <f t="shared" si="1045"/>
        <v>1</v>
      </c>
      <c r="K656" s="26">
        <f>VLOOKUP($C656,COS!$B$8:$H$991,2,FALSE)</f>
        <v>3787.8994140625</v>
      </c>
      <c r="L656" s="24">
        <f t="shared" si="1046"/>
        <v>1</v>
      </c>
      <c r="M656" s="24">
        <f t="shared" si="1047"/>
        <v>0</v>
      </c>
      <c r="N656" s="26">
        <f>VLOOKUP($C656,COS!$B$8:$H$991,5,FALSE)</f>
        <v>1376.93798828125</v>
      </c>
      <c r="O656" s="26">
        <f t="shared" si="1048"/>
        <v>84.664616800103303</v>
      </c>
      <c r="P656" s="26">
        <f>VLOOKUP($C656,COS!$B$8:$H$991,6,FALSE)</f>
        <v>2562.892822265625</v>
      </c>
      <c r="Q656" s="26">
        <f t="shared" si="1049"/>
        <v>157.58613717071282</v>
      </c>
      <c r="R656" s="26">
        <f>MIN(IF(MONTH($C656)=4,$S$3,IF(MONTH($C656)=5,$S$4,IF(MONTH($C656)=6,$S$5,IF(MONTH($C656)=7,$S$6,"ERROR")))),MAX(VLOOKUP($C656,COS!$B$8:$K$991,10,FALSE)-IF(MONTH($C656)=4,$Y$3,IF(MONTH($C656)=5,$Y$4,IF(MONTH($C656)=6,$Y$5,IF(MONTH($C656)=7,$Y$6,"ERROR")))),0),MAX(VLOOKUP($C656,COS!$B$8:$K$991,9,FALSE)-IF(MONTH($C656)=4,$V$3,IF(MONTH($C656)=5,$V$4,IF(MONTH($C656)=6,$V$5,IF(MONTH($C656)=7,$V$6,"ERROR"))))-VLOOKUP($C656,COS!$B$8:$K$991,6,FALSE)/2,0))</f>
        <v>1500</v>
      </c>
      <c r="S656" s="26">
        <f t="shared" si="1050"/>
        <v>92.231404958677686</v>
      </c>
      <c r="T656" s="26">
        <f t="shared" si="1051"/>
        <v>213.35678194408575</v>
      </c>
      <c r="U656" s="26" t="str">
        <f>IF(VLOOKUP($C656,COS!$B$8:$I$991,8,FALSE)=1,"UWFE","IBU")</f>
        <v>IBU</v>
      </c>
      <c r="V656" s="26">
        <f t="shared" ref="V656" si="1056">MIN(IF(IF($AA$3=2,AND(E656=1,G656=1,L656=1,L658=1,M656=1,U656="IBU"),AND(E656=1,G656=1,L656=1,L658=1,M656=1)),T656,0),I656)</f>
        <v>0</v>
      </c>
      <c r="W656" s="26"/>
      <c r="X656" s="26"/>
      <c r="Y656" s="26"/>
      <c r="Z656" s="26"/>
      <c r="AA656" s="26"/>
      <c r="AB656" s="33"/>
    </row>
    <row r="657" spans="1:28" x14ac:dyDescent="0.3">
      <c r="A657" s="32">
        <f>VLOOKUP(YEAR(C657),Flags!$A$13:$B$95,2,FALSE)</f>
        <v>2</v>
      </c>
      <c r="B657" s="24">
        <f t="shared" si="1054"/>
        <v>1993</v>
      </c>
      <c r="C657" s="25">
        <v>34212</v>
      </c>
      <c r="D657" s="26"/>
      <c r="E657" s="24"/>
      <c r="F657" s="26"/>
      <c r="G657" s="24"/>
      <c r="H657" s="24"/>
      <c r="I657" s="26"/>
      <c r="J657" s="24"/>
      <c r="K657" s="26"/>
      <c r="L657" s="24"/>
      <c r="M657" s="24"/>
      <c r="N657" s="26"/>
      <c r="O657" s="26"/>
      <c r="P657" s="26"/>
      <c r="Q657" s="26"/>
      <c r="R657" s="26"/>
      <c r="S657" s="26"/>
      <c r="T657" s="26"/>
      <c r="U657" s="26"/>
      <c r="V657" s="26"/>
      <c r="W657" s="26">
        <f>MAX($C$7-VLOOKUP($C657,COS!$B$8:$H$991,3,FALSE),0)</f>
        <v>90622.63671875</v>
      </c>
      <c r="X657" s="26">
        <f t="shared" si="972"/>
        <v>5572.1687370867767</v>
      </c>
      <c r="Y657" s="26">
        <f>VLOOKUP($C657,COS!$B$8:$H$991,4,FALSE)</f>
        <v>168.43087768554688</v>
      </c>
      <c r="Z657" s="26">
        <f t="shared" si="973"/>
        <v>10.356410991574121</v>
      </c>
      <c r="AA657" s="26">
        <f t="shared" ref="AA657:AA661" si="1057">MIN(W657,Y657)</f>
        <v>168.43087768554688</v>
      </c>
      <c r="AB657" s="33">
        <f t="shared" ref="AB657:AB715" si="1058">AA657*DAY($C657)*86400/43560/1000*IF(MONTH($C657)=8,$P$3,IF(MONTH($C657)=9,$P$4,IF(MONTH($C657)=10,$P$5,IF(MONTH($C657)=11,$P$6,IF(MONTH($C657)=12,$P$7,NA())))))</f>
        <v>10.356410991574121</v>
      </c>
    </row>
    <row r="658" spans="1:28" x14ac:dyDescent="0.3">
      <c r="A658" s="32">
        <f>VLOOKUP(YEAR(C658),Flags!$A$13:$B$95,2,FALSE)</f>
        <v>2</v>
      </c>
      <c r="B658" s="24">
        <f t="shared" si="1054"/>
        <v>1993</v>
      </c>
      <c r="C658" s="25">
        <v>34242</v>
      </c>
      <c r="D658" s="26"/>
      <c r="E658" s="24"/>
      <c r="F658" s="26"/>
      <c r="G658" s="24"/>
      <c r="H658" s="24"/>
      <c r="I658" s="26"/>
      <c r="J658" s="24"/>
      <c r="K658" s="26">
        <f>VLOOKUP($C658,COS!$B$8:$H$991,2,FALSE)</f>
        <v>3136.02685546875</v>
      </c>
      <c r="L658" s="24">
        <f t="shared" ref="L658" si="1059">IF(AND(K658&gt;$I$7,K658&lt;$I$8),1,0)</f>
        <v>1</v>
      </c>
      <c r="M658" s="24"/>
      <c r="N658" s="26"/>
      <c r="O658" s="26"/>
      <c r="P658" s="26"/>
      <c r="Q658" s="26"/>
      <c r="R658" s="26"/>
      <c r="S658" s="26"/>
      <c r="T658" s="26"/>
      <c r="U658" s="26"/>
      <c r="V658" s="26"/>
      <c r="W658" s="26">
        <f>MAX($C$8-VLOOKUP($C658,COS!$B$8:$H$991,3,FALSE),0)</f>
        <v>89617.8046875</v>
      </c>
      <c r="X658" s="26">
        <f t="shared" si="972"/>
        <v>5332.629700413223</v>
      </c>
      <c r="Y658" s="26">
        <f>VLOOKUP($C658,COS!$B$8:$H$991,4,FALSE)</f>
        <v>0</v>
      </c>
      <c r="Z658" s="26">
        <f t="shared" si="973"/>
        <v>0</v>
      </c>
      <c r="AA658" s="26">
        <f t="shared" si="1057"/>
        <v>0</v>
      </c>
      <c r="AB658" s="33">
        <f t="shared" si="1058"/>
        <v>0</v>
      </c>
    </row>
    <row r="659" spans="1:28" x14ac:dyDescent="0.3">
      <c r="A659" s="32">
        <f>VLOOKUP(YEAR(C659),Flags!$A$13:$B$95,2,FALSE)</f>
        <v>2</v>
      </c>
      <c r="B659" s="24">
        <f t="shared" si="1054"/>
        <v>1993</v>
      </c>
      <c r="C659" s="25">
        <v>34273</v>
      </c>
      <c r="D659" s="26"/>
      <c r="E659" s="24"/>
      <c r="F659" s="26"/>
      <c r="G659" s="26"/>
      <c r="H659" s="26"/>
      <c r="I659" s="26"/>
      <c r="J659" s="26"/>
      <c r="K659" s="26"/>
      <c r="L659" s="24"/>
      <c r="M659" s="24"/>
      <c r="N659" s="26"/>
      <c r="O659" s="26"/>
      <c r="P659" s="26"/>
      <c r="Q659" s="26"/>
      <c r="R659" s="26"/>
      <c r="S659" s="26"/>
      <c r="T659" s="26"/>
      <c r="U659" s="26"/>
      <c r="V659" s="26"/>
      <c r="W659" s="26">
        <f>MAX($C$9-VLOOKUP($C659,COS!$B$8:$H$991,3,FALSE),0)</f>
        <v>94269.517578125</v>
      </c>
      <c r="X659" s="26">
        <f t="shared" si="972"/>
        <v>5796.4067006714877</v>
      </c>
      <c r="Y659" s="26">
        <f>VLOOKUP($C659,COS!$B$8:$H$991,4,FALSE)</f>
        <v>766.87762451171875</v>
      </c>
      <c r="Z659" s="26">
        <f t="shared" si="973"/>
        <v>47.1534671600594</v>
      </c>
      <c r="AA659" s="26">
        <f t="shared" si="1057"/>
        <v>766.87762451171875</v>
      </c>
      <c r="AB659" s="33">
        <f t="shared" si="1058"/>
        <v>47.1534671600594</v>
      </c>
    </row>
    <row r="660" spans="1:28" x14ac:dyDescent="0.3">
      <c r="A660" s="32">
        <f>VLOOKUP(YEAR(C660),Flags!$A$13:$B$95,2,FALSE)</f>
        <v>2</v>
      </c>
      <c r="B660" s="24">
        <f t="shared" si="1054"/>
        <v>1993</v>
      </c>
      <c r="C660" s="25">
        <v>34303</v>
      </c>
      <c r="D660" s="26"/>
      <c r="E660" s="24"/>
      <c r="F660" s="26"/>
      <c r="G660" s="26"/>
      <c r="H660" s="26"/>
      <c r="I660" s="26"/>
      <c r="J660" s="26"/>
      <c r="K660" s="26"/>
      <c r="L660" s="24"/>
      <c r="M660" s="24"/>
      <c r="N660" s="26"/>
      <c r="O660" s="26"/>
      <c r="P660" s="26"/>
      <c r="Q660" s="26"/>
      <c r="R660" s="26"/>
      <c r="S660" s="26"/>
      <c r="T660" s="26"/>
      <c r="U660" s="26"/>
      <c r="V660" s="26"/>
      <c r="W660" s="26">
        <f>MAX($C$10-VLOOKUP($C660,COS!$B$8:$H$991,3,FALSE),0)</f>
        <v>89853.9892578125</v>
      </c>
      <c r="X660" s="26">
        <f t="shared" si="972"/>
        <v>5346.6836583161157</v>
      </c>
      <c r="Y660" s="26">
        <f>VLOOKUP($C660,COS!$B$8:$H$991,4,FALSE)</f>
        <v>1359.887451171875</v>
      </c>
      <c r="Z660" s="26">
        <f t="shared" si="973"/>
        <v>80.91892271435951</v>
      </c>
      <c r="AA660" s="26">
        <f t="shared" si="1057"/>
        <v>1359.887451171875</v>
      </c>
      <c r="AB660" s="33">
        <f t="shared" si="1058"/>
        <v>40.459461357179755</v>
      </c>
    </row>
    <row r="661" spans="1:28" x14ac:dyDescent="0.3">
      <c r="A661" s="34">
        <f>VLOOKUP(YEAR(C661),Flags!$A$13:$B$95,2,FALSE)</f>
        <v>2</v>
      </c>
      <c r="B661" s="35">
        <f t="shared" si="1054"/>
        <v>1993</v>
      </c>
      <c r="C661" s="36">
        <v>34334</v>
      </c>
      <c r="D661" s="37"/>
      <c r="E661" s="35"/>
      <c r="F661" s="37"/>
      <c r="G661" s="37"/>
      <c r="H661" s="37"/>
      <c r="I661" s="37"/>
      <c r="J661" s="37"/>
      <c r="K661" s="37"/>
      <c r="L661" s="35"/>
      <c r="M661" s="35"/>
      <c r="N661" s="37"/>
      <c r="O661" s="37"/>
      <c r="P661" s="37"/>
      <c r="Q661" s="37"/>
      <c r="R661" s="37"/>
      <c r="S661" s="37"/>
      <c r="T661" s="37"/>
      <c r="U661" s="37"/>
      <c r="V661" s="37"/>
      <c r="W661" s="37">
        <f>MAX($C$11-VLOOKUP($C661,COS!$B$8:$H$991,3,FALSE),0)</f>
        <v>0</v>
      </c>
      <c r="X661" s="37">
        <f t="shared" si="972"/>
        <v>0</v>
      </c>
      <c r="Y661" s="37">
        <f>VLOOKUP($C661,COS!$B$8:$H$991,4,FALSE)</f>
        <v>188.46723937988281</v>
      </c>
      <c r="Z661" s="37">
        <f t="shared" si="973"/>
        <v>11.588398851126678</v>
      </c>
      <c r="AA661" s="37">
        <f t="shared" si="1057"/>
        <v>0</v>
      </c>
      <c r="AB661" s="38">
        <f t="shared" si="1058"/>
        <v>0</v>
      </c>
    </row>
    <row r="662" spans="1:28" x14ac:dyDescent="0.3">
      <c r="A662" s="27">
        <f>VLOOKUP(YEAR(C662),Flags!$A$13:$B$95,2,FALSE)</f>
        <v>5</v>
      </c>
      <c r="B662" s="28">
        <f t="shared" si="1054"/>
        <v>1994</v>
      </c>
      <c r="C662" s="29">
        <v>34454</v>
      </c>
      <c r="D662" s="30">
        <f>VLOOKUP($C662,COS!$B$8:$H$991,3,FALSE)</f>
        <v>3250</v>
      </c>
      <c r="E662" s="28">
        <f>IF(D662&gt;=IF(MONTH($C662)=4,$C$3,IF(MONTH($C662)=5,$C$4,IF(MONTH($C662)=6,$C$5,IF(MONTH($C662)=7,$C$6,"ERROR")))),1,0)</f>
        <v>0</v>
      </c>
      <c r="F662" s="30">
        <f>VLOOKUP($C662,COS!$B$8:$H$991,7,FALSE)</f>
        <v>52.782566070556641</v>
      </c>
      <c r="G662" s="28">
        <f>IF(F662&lt;=IF(MONTH($C662)=4,$F$3,IF(MONTH($C662)=5,$F$4,IF(MONTH($C662)=6,$F$5,IF(MONTH($C662)=7,$F$6,"ERROR")))),1,0)</f>
        <v>1</v>
      </c>
      <c r="H662" s="30">
        <f>IF(J662=1,D662-$C$3,0)</f>
        <v>0</v>
      </c>
      <c r="I662" s="30">
        <f t="shared" si="982"/>
        <v>0</v>
      </c>
      <c r="J662" s="28">
        <f t="shared" ref="J662:J665" si="1060">IF(AND(E662=1,G662=1),1,0)</f>
        <v>0</v>
      </c>
      <c r="K662" s="30">
        <f>VLOOKUP($C662,COS!$B$8:$H$991,2,FALSE)</f>
        <v>3428.306884765625</v>
      </c>
      <c r="L662" s="28">
        <f t="shared" ref="L662" si="1061">IF(K662&lt;=IF(MONTH($C662)=4,$I$3,IF(MONTH($C662)=5,$I$4,IF(MONTH($C662)=6,$I$5,IF(MONTH($C662)=7,$I$6,"ERROR")))),1,0)</f>
        <v>1</v>
      </c>
      <c r="M662" s="28">
        <f t="shared" ref="M662" si="1062">VLOOKUP($A662,$L$3:$M$7,2,FALSE)</f>
        <v>1</v>
      </c>
      <c r="N662" s="30">
        <f>VLOOKUP($C662,COS!$B$8:$H$991,5,FALSE)</f>
        <v>498.4775390625</v>
      </c>
      <c r="O662" s="30">
        <f t="shared" ref="O662:O665" si="1063">N662*DAY($C662)*86400/43560/1000</f>
        <v>29.661473398760332</v>
      </c>
      <c r="P662" s="30">
        <f>VLOOKUP($C662,COS!$B$8:$H$991,6,FALSE)</f>
        <v>517.51263427734375</v>
      </c>
      <c r="Q662" s="30">
        <f t="shared" ref="Q662:Q665" si="1064">P662*DAY($C662)*86400/43560/1000</f>
        <v>30.794140221461777</v>
      </c>
      <c r="R662" s="30">
        <f>MIN(IF(MONTH($C662)=4,$S$3,IF(MONTH($C662)=5,$S$4,IF(MONTH($C662)=6,$S$5,IF(MONTH($C662)=7,$S$6,"ERROR")))),MAX(VLOOKUP($C662,COS!$B$8:$K$991,10,FALSE)-IF(MONTH($C662)=4,$Y$3,IF(MONTH($C662)=5,$Y$4,IF(MONTH($C662)=6,$Y$5,IF(MONTH($C662)=7,$Y$6,"ERROR")))),0),MAX(VLOOKUP($C662,COS!$B$8:$K$991,9,FALSE)-IF(MONTH($C662)=4,$V$3,IF(MONTH($C662)=5,$V$4,IF(MONTH($C662)=6,$V$5,IF(MONTH($C662)=7,$V$6,"ERROR"))))-VLOOKUP($C662,COS!$B$8:$K$991,6,FALSE)/2,0))</f>
        <v>84.6376953125</v>
      </c>
      <c r="S662" s="30">
        <f t="shared" ref="S662:S665" si="1065">R662*DAY($C662)*86400/43560/1000</f>
        <v>5.0362926136363644</v>
      </c>
      <c r="T662" s="30">
        <f t="shared" ref="T662:T665" si="1066">(O662+Q662)/2+S662</f>
        <v>35.264099423747417</v>
      </c>
      <c r="U662" s="30" t="str">
        <f>IF(VLOOKUP($C662,COS!$B$8:$I$991,8,FALSE)=1,"UWFE","IBU")</f>
        <v>UWFE</v>
      </c>
      <c r="V662" s="30">
        <f t="shared" ref="V662" si="1067">MIN(IF(IF($AA$3=2,AND(E662=1,G662=1,L662=1,L667=1,M662=1,U662="IBU"),AND(E662=1,G662=1,L662=1,L667=1,M662=1)),T662,0),I662)</f>
        <v>0</v>
      </c>
      <c r="W662" s="30"/>
      <c r="X662" s="30"/>
      <c r="Y662" s="30"/>
      <c r="Z662" s="30"/>
      <c r="AA662" s="30"/>
      <c r="AB662" s="31"/>
    </row>
    <row r="663" spans="1:28" x14ac:dyDescent="0.3">
      <c r="A663" s="32">
        <f>VLOOKUP(YEAR(C663),Flags!$A$13:$B$95,2,FALSE)</f>
        <v>5</v>
      </c>
      <c r="B663" s="24">
        <f t="shared" si="1054"/>
        <v>1994</v>
      </c>
      <c r="C663" s="25">
        <v>34485</v>
      </c>
      <c r="D663" s="26">
        <f>VLOOKUP($C663,COS!$B$8:$H$991,3,FALSE)</f>
        <v>5763.49560546875</v>
      </c>
      <c r="E663" s="24">
        <f>IF(D663&gt;=IF(MONTH($C663)=4,$C$3,IF(MONTH($C663)=5,$C$4,IF(MONTH($C663)=6,$C$5,IF(MONTH($C663)=7,$C$6,"ERROR")))),1,0)</f>
        <v>0</v>
      </c>
      <c r="F663" s="26">
        <f>VLOOKUP($C663,COS!$B$8:$H$991,7,FALSE)</f>
        <v>52.981971740722656</v>
      </c>
      <c r="G663" s="24">
        <f>IF(F663&lt;=IF(MONTH($C663)=4,$F$3,IF(MONTH($C663)=5,$F$4,IF(MONTH($C663)=6,$F$5,IF(MONTH($C663)=7,$F$6,"ERROR")))),1,0)</f>
        <v>1</v>
      </c>
      <c r="H663" s="26">
        <f>IF(J663=1,D663-$C$4,0)</f>
        <v>0</v>
      </c>
      <c r="I663" s="26">
        <f t="shared" si="982"/>
        <v>0</v>
      </c>
      <c r="J663" s="24">
        <f t="shared" si="1060"/>
        <v>0</v>
      </c>
      <c r="K663" s="26">
        <f>VLOOKUP($C663,COS!$B$8:$H$991,2,FALSE)</f>
        <v>3315.498291015625</v>
      </c>
      <c r="L663" s="24">
        <f t="shared" si="1046"/>
        <v>1</v>
      </c>
      <c r="M663" s="24">
        <f t="shared" si="1047"/>
        <v>1</v>
      </c>
      <c r="N663" s="26">
        <f>VLOOKUP($C663,COS!$B$8:$H$991,5,FALSE)</f>
        <v>494.24356079101563</v>
      </c>
      <c r="O663" s="26">
        <f t="shared" si="1063"/>
        <v>30.389852002356662</v>
      </c>
      <c r="P663" s="26">
        <f>VLOOKUP($C663,COS!$B$8:$H$991,6,FALSE)</f>
        <v>1839.63671875</v>
      </c>
      <c r="Q663" s="26">
        <f t="shared" si="1064"/>
        <v>113.1148527892562</v>
      </c>
      <c r="R663" s="26">
        <f>MIN(IF(MONTH($C663)=4,$S$3,IF(MONTH($C663)=5,$S$4,IF(MONTH($C663)=6,$S$5,IF(MONTH($C663)=7,$S$6,"ERROR")))),MAX(VLOOKUP($C663,COS!$B$8:$K$991,10,FALSE)-IF(MONTH($C663)=4,$Y$3,IF(MONTH($C663)=5,$Y$4,IF(MONTH($C663)=6,$Y$5,IF(MONTH($C663)=7,$Y$6,"ERROR")))),0),MAX(VLOOKUP($C663,COS!$B$8:$K$991,9,FALSE)-IF(MONTH($C663)=4,$V$3,IF(MONTH($C663)=5,$V$4,IF(MONTH($C663)=6,$V$5,IF(MONTH($C663)=7,$V$6,"ERROR"))))-VLOOKUP($C663,COS!$B$8:$K$991,6,FALSE)/2,0))</f>
        <v>1248.31787109375</v>
      </c>
      <c r="S663" s="26">
        <f t="shared" si="1065"/>
        <v>76.756074057334715</v>
      </c>
      <c r="T663" s="26">
        <f t="shared" si="1066"/>
        <v>148.50842645314117</v>
      </c>
      <c r="U663" s="26" t="str">
        <f>IF(VLOOKUP($C663,COS!$B$8:$I$991,8,FALSE)=1,"UWFE","IBU")</f>
        <v>UWFE</v>
      </c>
      <c r="V663" s="26">
        <f t="shared" ref="V663" si="1068">MIN(IF(IF($AA$3=2,AND(E663=1,G663=1,L663=1,L667=1,M663=1,U663="IBU"),AND(E663=1,G663=1,L663=1,L667=1,M663=1)),T663,0),I663)</f>
        <v>0</v>
      </c>
      <c r="W663" s="26"/>
      <c r="X663" s="26"/>
      <c r="Y663" s="26"/>
      <c r="Z663" s="26"/>
      <c r="AA663" s="26"/>
      <c r="AB663" s="33"/>
    </row>
    <row r="664" spans="1:28" x14ac:dyDescent="0.3">
      <c r="A664" s="32">
        <f>VLOOKUP(YEAR(C664),Flags!$A$13:$B$95,2,FALSE)</f>
        <v>5</v>
      </c>
      <c r="B664" s="24">
        <f t="shared" si="1054"/>
        <v>1994</v>
      </c>
      <c r="C664" s="25">
        <v>34515</v>
      </c>
      <c r="D664" s="26">
        <f>VLOOKUP($C664,COS!$B$8:$H$991,3,FALSE)</f>
        <v>10365.828125</v>
      </c>
      <c r="E664" s="24">
        <f>IF(D664&gt;=IF(MONTH($C664)=4,$C$3,IF(MONTH($C664)=5,$C$4,IF(MONTH($C664)=6,$C$5,IF(MONTH($C664)=7,$C$6,"ERROR")))),1,0)</f>
        <v>1</v>
      </c>
      <c r="F664" s="26">
        <f>VLOOKUP($C664,COS!$B$8:$H$991,7,FALSE)</f>
        <v>52.776744842529297</v>
      </c>
      <c r="G664" s="24">
        <f>IF(F664&lt;=IF(MONTH($C664)=4,$F$3,IF(MONTH($C664)=5,$F$4,IF(MONTH($C664)=6,$F$5,IF(MONTH($C664)=7,$F$6,"ERROR")))),1,0)</f>
        <v>1</v>
      </c>
      <c r="H664" s="26">
        <f>IF(J664=1,D664-$C$5,0)</f>
        <v>365.828125</v>
      </c>
      <c r="I664" s="26">
        <f t="shared" si="982"/>
        <v>21.768285123966944</v>
      </c>
      <c r="J664" s="24">
        <f t="shared" si="1060"/>
        <v>1</v>
      </c>
      <c r="K664" s="26">
        <f>VLOOKUP($C664,COS!$B$8:$H$991,2,FALSE)</f>
        <v>2912.7509765625</v>
      </c>
      <c r="L664" s="24">
        <f t="shared" si="1046"/>
        <v>1</v>
      </c>
      <c r="M664" s="24">
        <f t="shared" si="1047"/>
        <v>1</v>
      </c>
      <c r="N664" s="26">
        <f>VLOOKUP($C664,COS!$B$8:$H$991,5,FALSE)</f>
        <v>825.04803466796875</v>
      </c>
      <c r="O664" s="26">
        <f t="shared" si="1063"/>
        <v>49.093767352143594</v>
      </c>
      <c r="P664" s="26">
        <f>VLOOKUP($C664,COS!$B$8:$H$991,6,FALSE)</f>
        <v>2477.72265625</v>
      </c>
      <c r="Q664" s="26">
        <f t="shared" si="1064"/>
        <v>147.43473657024794</v>
      </c>
      <c r="R664" s="26">
        <f>MIN(IF(MONTH($C664)=4,$S$3,IF(MONTH($C664)=5,$S$4,IF(MONTH($C664)=6,$S$5,IF(MONTH($C664)=7,$S$6,"ERROR")))),MAX(VLOOKUP($C664,COS!$B$8:$K$991,10,FALSE)-IF(MONTH($C664)=4,$Y$3,IF(MONTH($C664)=5,$Y$4,IF(MONTH($C664)=6,$Y$5,IF(MONTH($C664)=7,$Y$6,"ERROR")))),0),MAX(VLOOKUP($C664,COS!$B$8:$K$991,9,FALSE)-IF(MONTH($C664)=4,$V$3,IF(MONTH($C664)=5,$V$4,IF(MONTH($C664)=6,$V$5,IF(MONTH($C664)=7,$V$6,"ERROR"))))-VLOOKUP($C664,COS!$B$8:$K$991,6,FALSE)/2,0))</f>
        <v>1500</v>
      </c>
      <c r="S664" s="26">
        <f t="shared" si="1065"/>
        <v>89.256198347107429</v>
      </c>
      <c r="T664" s="26">
        <f t="shared" si="1066"/>
        <v>187.5204503083032</v>
      </c>
      <c r="U664" s="26" t="str">
        <f>IF(VLOOKUP($C664,COS!$B$8:$I$991,8,FALSE)=1,"UWFE","IBU")</f>
        <v>IBU</v>
      </c>
      <c r="V664" s="26">
        <f t="shared" ref="V664" si="1069">MIN(IF(IF($AA$3=2,AND(E664=1,G664=1,L664=1,L667=1,M664=1,U664="IBU"),AND(E664=1,G664=1,L664=1,L667=1,M664=1)),T664,0),I664)</f>
        <v>21.768285123966944</v>
      </c>
      <c r="W664" s="26"/>
      <c r="X664" s="26"/>
      <c r="Y664" s="26"/>
      <c r="Z664" s="26"/>
      <c r="AA664" s="26"/>
      <c r="AB664" s="33"/>
    </row>
    <row r="665" spans="1:28" x14ac:dyDescent="0.3">
      <c r="A665" s="32">
        <f>VLOOKUP(YEAR(C665),Flags!$A$13:$B$95,2,FALSE)</f>
        <v>5</v>
      </c>
      <c r="B665" s="24">
        <f t="shared" si="1054"/>
        <v>1994</v>
      </c>
      <c r="C665" s="25">
        <v>34546</v>
      </c>
      <c r="D665" s="26">
        <f>VLOOKUP($C665,COS!$B$8:$H$991,3,FALSE)</f>
        <v>14755.16796875</v>
      </c>
      <c r="E665" s="24">
        <f>IF(D665&gt;=IF(MONTH($C665)=4,$C$3,IF(MONTH($C665)=5,$C$4,IF(MONTH($C665)=6,$C$5,IF(MONTH($C665)=7,$C$6,"ERROR")))),1,0)</f>
        <v>1</v>
      </c>
      <c r="F665" s="26">
        <f>VLOOKUP($C665,COS!$B$8:$H$991,7,FALSE)</f>
        <v>54.302021026611328</v>
      </c>
      <c r="G665" s="24">
        <f>IF(F665&lt;=IF(MONTH($C665)=4,$F$3,IF(MONTH($C665)=5,$F$4,IF(MONTH($C665)=6,$F$5,IF(MONTH($C665)=7,$F$6,"ERROR")))),1,0)</f>
        <v>0</v>
      </c>
      <c r="H665" s="26">
        <f>IF(J665=1,D665-$C$6,0)</f>
        <v>0</v>
      </c>
      <c r="I665" s="26">
        <f t="shared" si="982"/>
        <v>0</v>
      </c>
      <c r="J665" s="24">
        <f t="shared" si="1060"/>
        <v>0</v>
      </c>
      <c r="K665" s="26">
        <f>VLOOKUP($C665,COS!$B$8:$H$991,2,FALSE)</f>
        <v>2260.914306640625</v>
      </c>
      <c r="L665" s="24">
        <f t="shared" si="1046"/>
        <v>1</v>
      </c>
      <c r="M665" s="24">
        <f t="shared" si="1047"/>
        <v>1</v>
      </c>
      <c r="N665" s="26">
        <f>VLOOKUP($C665,COS!$B$8:$H$991,5,FALSE)</f>
        <v>905.84417724609375</v>
      </c>
      <c r="O665" s="26">
        <f t="shared" si="1063"/>
        <v>55.698187427363116</v>
      </c>
      <c r="P665" s="26">
        <f>VLOOKUP($C665,COS!$B$8:$H$991,6,FALSE)</f>
        <v>2281.4833984375</v>
      </c>
      <c r="Q665" s="26">
        <f t="shared" si="1064"/>
        <v>140.28294615185951</v>
      </c>
      <c r="R665" s="26">
        <f>MIN(IF(MONTH($C665)=4,$S$3,IF(MONTH($C665)=5,$S$4,IF(MONTH($C665)=6,$S$5,IF(MONTH($C665)=7,$S$6,"ERROR")))),MAX(VLOOKUP($C665,COS!$B$8:$K$991,10,FALSE)-IF(MONTH($C665)=4,$Y$3,IF(MONTH($C665)=5,$Y$4,IF(MONTH($C665)=6,$Y$5,IF(MONTH($C665)=7,$Y$6,"ERROR")))),0),MAX(VLOOKUP($C665,COS!$B$8:$K$991,9,FALSE)-IF(MONTH($C665)=4,$V$3,IF(MONTH($C665)=5,$V$4,IF(MONTH($C665)=6,$V$5,IF(MONTH($C665)=7,$V$6,"ERROR"))))-VLOOKUP($C665,COS!$B$8:$K$991,6,FALSE)/2,0))</f>
        <v>1500</v>
      </c>
      <c r="S665" s="26">
        <f t="shared" si="1065"/>
        <v>92.231404958677686</v>
      </c>
      <c r="T665" s="26">
        <f t="shared" si="1066"/>
        <v>190.22197174828898</v>
      </c>
      <c r="U665" s="26" t="str">
        <f>IF(VLOOKUP($C665,COS!$B$8:$I$991,8,FALSE)=1,"UWFE","IBU")</f>
        <v>IBU</v>
      </c>
      <c r="V665" s="26">
        <f t="shared" ref="V665" si="1070">MIN(IF(IF($AA$3=2,AND(E665=1,G665=1,L665=1,L667=1,M665=1,U665="IBU"),AND(E665=1,G665=1,L665=1,L667=1,M665=1)),T665,0),I665)</f>
        <v>0</v>
      </c>
      <c r="W665" s="26"/>
      <c r="X665" s="26"/>
      <c r="Y665" s="26"/>
      <c r="Z665" s="26"/>
      <c r="AA665" s="26"/>
      <c r="AB665" s="33"/>
    </row>
    <row r="666" spans="1:28" x14ac:dyDescent="0.3">
      <c r="A666" s="32">
        <f>VLOOKUP(YEAR(C666),Flags!$A$13:$B$95,2,FALSE)</f>
        <v>5</v>
      </c>
      <c r="B666" s="24">
        <f t="shared" si="1054"/>
        <v>1994</v>
      </c>
      <c r="C666" s="25">
        <v>34577</v>
      </c>
      <c r="D666" s="26"/>
      <c r="E666" s="24"/>
      <c r="F666" s="26"/>
      <c r="G666" s="24"/>
      <c r="H666" s="24"/>
      <c r="I666" s="26"/>
      <c r="J666" s="24"/>
      <c r="K666" s="26"/>
      <c r="L666" s="24"/>
      <c r="M666" s="24"/>
      <c r="N666" s="26"/>
      <c r="O666" s="26"/>
      <c r="P666" s="26"/>
      <c r="Q666" s="26"/>
      <c r="R666" s="26"/>
      <c r="S666" s="26"/>
      <c r="T666" s="26"/>
      <c r="U666" s="26"/>
      <c r="V666" s="26"/>
      <c r="W666" s="26">
        <f>MAX($C$7-VLOOKUP($C666,COS!$B$8:$H$991,3,FALSE),0)</f>
        <v>91434.9501953125</v>
      </c>
      <c r="X666" s="26">
        <f t="shared" si="972"/>
        <v>5622.1159458935954</v>
      </c>
      <c r="Y666" s="26">
        <f>VLOOKUP($C666,COS!$B$8:$H$991,4,FALSE)</f>
        <v>3456.213134765625</v>
      </c>
      <c r="Z666" s="26">
        <f t="shared" si="973"/>
        <v>212.51426217071281</v>
      </c>
      <c r="AA666" s="26">
        <f t="shared" ref="AA666:AA670" si="1071">MIN(W666,Y666)</f>
        <v>3456.213134765625</v>
      </c>
      <c r="AB666" s="33">
        <f t="shared" ref="AB666" si="1072">AA666*DAY($C666)*86400/43560/1000*IF(MONTH($C666)=8,$P$3,IF(MONTH($C666)=9,$P$4,IF(MONTH($C666)=10,$P$5,IF(MONTH($C666)=11,$P$6,IF(MONTH($C666)=12,$P$7,NA())))))</f>
        <v>212.51426217071281</v>
      </c>
    </row>
    <row r="667" spans="1:28" x14ac:dyDescent="0.3">
      <c r="A667" s="32">
        <f>VLOOKUP(YEAR(C667),Flags!$A$13:$B$95,2,FALSE)</f>
        <v>5</v>
      </c>
      <c r="B667" s="24">
        <f t="shared" si="1054"/>
        <v>1994</v>
      </c>
      <c r="C667" s="25">
        <v>34607</v>
      </c>
      <c r="D667" s="26"/>
      <c r="E667" s="24"/>
      <c r="F667" s="26"/>
      <c r="G667" s="24"/>
      <c r="H667" s="24"/>
      <c r="I667" s="26"/>
      <c r="J667" s="24"/>
      <c r="K667" s="26">
        <f>VLOOKUP($C667,COS!$B$8:$H$991,2,FALSE)</f>
        <v>1881.7786865234375</v>
      </c>
      <c r="L667" s="24">
        <f t="shared" ref="L667" si="1073">IF(AND(K667&gt;$I$7,K667&lt;$I$8),1,0)</f>
        <v>1</v>
      </c>
      <c r="M667" s="24"/>
      <c r="N667" s="26"/>
      <c r="O667" s="26"/>
      <c r="P667" s="26"/>
      <c r="Q667" s="26"/>
      <c r="R667" s="26"/>
      <c r="S667" s="26"/>
      <c r="T667" s="26"/>
      <c r="U667" s="26"/>
      <c r="V667" s="26"/>
      <c r="W667" s="26">
        <f>MAX($C$8-VLOOKUP($C667,COS!$B$8:$H$991,3,FALSE),0)</f>
        <v>95592.1025390625</v>
      </c>
      <c r="X667" s="26">
        <f t="shared" si="972"/>
        <v>5688.1251097623963</v>
      </c>
      <c r="Y667" s="26">
        <f>VLOOKUP($C667,COS!$B$8:$H$991,4,FALSE)</f>
        <v>676.519775390625</v>
      </c>
      <c r="Z667" s="26">
        <f t="shared" si="973"/>
        <v>40.255722172004134</v>
      </c>
      <c r="AA667" s="26">
        <f t="shared" si="1071"/>
        <v>676.519775390625</v>
      </c>
      <c r="AB667" s="33">
        <f t="shared" si="1058"/>
        <v>40.255722172004134</v>
      </c>
    </row>
    <row r="668" spans="1:28" x14ac:dyDescent="0.3">
      <c r="A668" s="32">
        <f>VLOOKUP(YEAR(C668),Flags!$A$13:$B$95,2,FALSE)</f>
        <v>5</v>
      </c>
      <c r="B668" s="24">
        <f t="shared" si="1054"/>
        <v>1994</v>
      </c>
      <c r="C668" s="25">
        <v>34638</v>
      </c>
      <c r="D668" s="26"/>
      <c r="E668" s="24"/>
      <c r="F668" s="26"/>
      <c r="G668" s="26"/>
      <c r="H668" s="26"/>
      <c r="I668" s="26"/>
      <c r="J668" s="26"/>
      <c r="K668" s="26"/>
      <c r="L668" s="24"/>
      <c r="M668" s="24"/>
      <c r="N668" s="26"/>
      <c r="O668" s="26"/>
      <c r="P668" s="26"/>
      <c r="Q668" s="26"/>
      <c r="R668" s="26"/>
      <c r="S668" s="26"/>
      <c r="T668" s="26"/>
      <c r="U668" s="26"/>
      <c r="V668" s="26"/>
      <c r="W668" s="26">
        <f>MAX($C$9-VLOOKUP($C668,COS!$B$8:$H$991,3,FALSE),0)</f>
        <v>95461.50390625</v>
      </c>
      <c r="X668" s="26">
        <f t="shared" si="972"/>
        <v>5869.6990831611565</v>
      </c>
      <c r="Y668" s="26">
        <f>VLOOKUP($C668,COS!$B$8:$H$991,4,FALSE)</f>
        <v>1343.8326416015625</v>
      </c>
      <c r="Z668" s="26">
        <f t="shared" si="973"/>
        <v>82.629048376162189</v>
      </c>
      <c r="AA668" s="26">
        <f t="shared" si="1071"/>
        <v>1343.8326416015625</v>
      </c>
      <c r="AB668" s="33">
        <f t="shared" si="1058"/>
        <v>82.629048376162189</v>
      </c>
    </row>
    <row r="669" spans="1:28" x14ac:dyDescent="0.3">
      <c r="A669" s="32">
        <f>VLOOKUP(YEAR(C669),Flags!$A$13:$B$95,2,FALSE)</f>
        <v>5</v>
      </c>
      <c r="B669" s="24">
        <f t="shared" si="1054"/>
        <v>1994</v>
      </c>
      <c r="C669" s="25">
        <v>34668</v>
      </c>
      <c r="D669" s="26"/>
      <c r="E669" s="24"/>
      <c r="F669" s="26"/>
      <c r="G669" s="26"/>
      <c r="H669" s="26"/>
      <c r="I669" s="26"/>
      <c r="J669" s="26"/>
      <c r="K669" s="26"/>
      <c r="L669" s="24"/>
      <c r="M669" s="24"/>
      <c r="N669" s="26"/>
      <c r="O669" s="26"/>
      <c r="P669" s="26"/>
      <c r="Q669" s="26"/>
      <c r="R669" s="26"/>
      <c r="S669" s="26"/>
      <c r="T669" s="26"/>
      <c r="U669" s="26"/>
      <c r="V669" s="26"/>
      <c r="W669" s="26">
        <f>MAX($C$10-VLOOKUP($C669,COS!$B$8:$H$991,3,FALSE),0)</f>
        <v>96749</v>
      </c>
      <c r="X669" s="26">
        <f t="shared" si="972"/>
        <v>5756.965289256198</v>
      </c>
      <c r="Y669" s="26">
        <f>VLOOKUP($C669,COS!$B$8:$H$991,4,FALSE)</f>
        <v>1050.6527099609375</v>
      </c>
      <c r="Z669" s="26">
        <f t="shared" si="973"/>
        <v>62.51817778279959</v>
      </c>
      <c r="AA669" s="26">
        <f t="shared" si="1071"/>
        <v>1050.6527099609375</v>
      </c>
      <c r="AB669" s="33">
        <f t="shared" si="1058"/>
        <v>31.259088891399795</v>
      </c>
    </row>
    <row r="670" spans="1:28" x14ac:dyDescent="0.3">
      <c r="A670" s="34">
        <f>VLOOKUP(YEAR(C670),Flags!$A$13:$B$95,2,FALSE)</f>
        <v>5</v>
      </c>
      <c r="B670" s="35">
        <f t="shared" si="1054"/>
        <v>1994</v>
      </c>
      <c r="C670" s="36">
        <v>34699</v>
      </c>
      <c r="D670" s="37"/>
      <c r="E670" s="35"/>
      <c r="F670" s="37"/>
      <c r="G670" s="37"/>
      <c r="H670" s="37"/>
      <c r="I670" s="37"/>
      <c r="J670" s="37"/>
      <c r="K670" s="37"/>
      <c r="L670" s="35"/>
      <c r="M670" s="35"/>
      <c r="N670" s="37"/>
      <c r="O670" s="37"/>
      <c r="P670" s="37"/>
      <c r="Q670" s="37"/>
      <c r="R670" s="37"/>
      <c r="S670" s="37"/>
      <c r="T670" s="37"/>
      <c r="U670" s="37"/>
      <c r="V670" s="37"/>
      <c r="W670" s="37">
        <f>MAX($C$11-VLOOKUP($C670,COS!$B$8:$H$991,3,FALSE),0)</f>
        <v>0</v>
      </c>
      <c r="X670" s="37">
        <f t="shared" si="972"/>
        <v>0</v>
      </c>
      <c r="Y670" s="37">
        <f>VLOOKUP($C670,COS!$B$8:$H$991,4,FALSE)</f>
        <v>2007.343505859375</v>
      </c>
      <c r="Z670" s="37">
        <f t="shared" si="973"/>
        <v>123.42674118672521</v>
      </c>
      <c r="AA670" s="37">
        <f t="shared" si="1071"/>
        <v>0</v>
      </c>
      <c r="AB670" s="38">
        <f t="shared" si="1058"/>
        <v>0</v>
      </c>
    </row>
    <row r="671" spans="1:28" x14ac:dyDescent="0.3">
      <c r="A671" s="27">
        <f>VLOOKUP(YEAR(C671),Flags!$A$13:$B$95,2,FALSE)</f>
        <v>1</v>
      </c>
      <c r="B671" s="28">
        <f t="shared" si="1054"/>
        <v>1995</v>
      </c>
      <c r="C671" s="29">
        <v>34819</v>
      </c>
      <c r="D671" s="30">
        <f>VLOOKUP($C671,COS!$B$8:$H$991,3,FALSE)</f>
        <v>7633.5703125</v>
      </c>
      <c r="E671" s="28">
        <f>IF(D671&gt;=IF(MONTH($C671)=4,$C$3,IF(MONTH($C671)=5,$C$4,IF(MONTH($C671)=6,$C$5,IF(MONTH($C671)=7,$C$6,"ERROR")))),1,0)</f>
        <v>1</v>
      </c>
      <c r="F671" s="30">
        <f>VLOOKUP($C671,COS!$B$8:$H$991,7,FALSE)</f>
        <v>49.096889495849609</v>
      </c>
      <c r="G671" s="28">
        <f>IF(F671&lt;=IF(MONTH($C671)=4,$F$3,IF(MONTH($C671)=5,$F$4,IF(MONTH($C671)=6,$F$5,IF(MONTH($C671)=7,$F$6,"ERROR")))),1,0)</f>
        <v>1</v>
      </c>
      <c r="H671" s="30">
        <f>IF(J671=1,D671-$C$3,0)</f>
        <v>1633.5703125</v>
      </c>
      <c r="I671" s="30">
        <f t="shared" si="982"/>
        <v>97.204183884297521</v>
      </c>
      <c r="J671" s="28">
        <f t="shared" ref="J671:J674" si="1074">IF(AND(E671=1,G671=1),1,0)</f>
        <v>1</v>
      </c>
      <c r="K671" s="30">
        <f>VLOOKUP($C671,COS!$B$8:$H$991,2,FALSE)</f>
        <v>4216.7998046875</v>
      </c>
      <c r="L671" s="28">
        <f t="shared" ref="L671" si="1075">IF(K671&lt;=IF(MONTH($C671)=4,$I$3,IF(MONTH($C671)=5,$I$4,IF(MONTH($C671)=6,$I$5,IF(MONTH($C671)=7,$I$6,"ERROR")))),1,0)</f>
        <v>1</v>
      </c>
      <c r="M671" s="28">
        <f t="shared" ref="M671" si="1076">VLOOKUP($A671,$L$3:$M$7,2,FALSE)</f>
        <v>0</v>
      </c>
      <c r="N671" s="30">
        <f>VLOOKUP($C671,COS!$B$8:$H$991,5,FALSE)</f>
        <v>350.99301147460938</v>
      </c>
      <c r="O671" s="30">
        <f t="shared" ref="O671:O674" si="1077">N671*DAY($C671)*86400/43560/1000</f>
        <v>20.885534567084193</v>
      </c>
      <c r="P671" s="30">
        <f>VLOOKUP($C671,COS!$B$8:$H$991,6,FALSE)</f>
        <v>420.74978637695313</v>
      </c>
      <c r="Q671" s="30">
        <f t="shared" ref="Q671:Q674" si="1078">P671*DAY($C671)*86400/43560/1000</f>
        <v>25.036350924909605</v>
      </c>
      <c r="R671" s="30">
        <f>MIN(IF(MONTH($C671)=4,$S$3,IF(MONTH($C671)=5,$S$4,IF(MONTH($C671)=6,$S$5,IF(MONTH($C671)=7,$S$6,"ERROR")))),MAX(VLOOKUP($C671,COS!$B$8:$K$991,10,FALSE)-IF(MONTH($C671)=4,$Y$3,IF(MONTH($C671)=5,$Y$4,IF(MONTH($C671)=6,$Y$5,IF(MONTH($C671)=7,$Y$6,"ERROR")))),0),MAX(VLOOKUP($C671,COS!$B$8:$K$991,9,FALSE)-IF(MONTH($C671)=4,$V$3,IF(MONTH($C671)=5,$V$4,IF(MONTH($C671)=6,$V$5,IF(MONTH($C671)=7,$V$6,"ERROR"))))-VLOOKUP($C671,COS!$B$8:$K$991,6,FALSE)/2,0))</f>
        <v>1500</v>
      </c>
      <c r="S671" s="30">
        <f t="shared" ref="S671:S674" si="1079">R671*DAY($C671)*86400/43560/1000</f>
        <v>89.256198347107429</v>
      </c>
      <c r="T671" s="30">
        <f t="shared" ref="T671:T674" si="1080">(O671+Q671)/2+S671</f>
        <v>112.21714109310433</v>
      </c>
      <c r="U671" s="30" t="str">
        <f>IF(VLOOKUP($C671,COS!$B$8:$I$991,8,FALSE)=1,"UWFE","IBU")</f>
        <v>UWFE</v>
      </c>
      <c r="V671" s="30">
        <f t="shared" ref="V671" si="1081">MIN(IF(IF($AA$3=2,AND(E671=1,G671=1,L671=1,L676=1,M671=1,U671="IBU"),AND(E671=1,G671=1,L671=1,L676=1,M671=1)),T671,0),I671)</f>
        <v>0</v>
      </c>
      <c r="W671" s="30"/>
      <c r="X671" s="30"/>
      <c r="Y671" s="30"/>
      <c r="Z671" s="30"/>
      <c r="AA671" s="30"/>
      <c r="AB671" s="31"/>
    </row>
    <row r="672" spans="1:28" x14ac:dyDescent="0.3">
      <c r="A672" s="32">
        <f>VLOOKUP(YEAR(C672),Flags!$A$13:$B$95,2,FALSE)</f>
        <v>1</v>
      </c>
      <c r="B672" s="24">
        <f t="shared" si="1054"/>
        <v>1995</v>
      </c>
      <c r="C672" s="25">
        <v>34850</v>
      </c>
      <c r="D672" s="26">
        <f>VLOOKUP($C672,COS!$B$8:$H$991,3,FALSE)</f>
        <v>10509.75390625</v>
      </c>
      <c r="E672" s="24">
        <f>IF(D672&gt;=IF(MONTH($C672)=4,$C$3,IF(MONTH($C672)=5,$C$4,IF(MONTH($C672)=6,$C$5,IF(MONTH($C672)=7,$C$6,"ERROR")))),1,0)</f>
        <v>1</v>
      </c>
      <c r="F672" s="26">
        <f>VLOOKUP($C672,COS!$B$8:$H$991,7,FALSE)</f>
        <v>50.252239227294922</v>
      </c>
      <c r="G672" s="24">
        <f>IF(F672&lt;=IF(MONTH($C672)=4,$F$3,IF(MONTH($C672)=5,$F$4,IF(MONTH($C672)=6,$F$5,IF(MONTH($C672)=7,$F$6,"ERROR")))),1,0)</f>
        <v>1</v>
      </c>
      <c r="H672" s="26">
        <f>IF(J672=1,D672-$C$4,0)</f>
        <v>4509.75390625</v>
      </c>
      <c r="I672" s="26">
        <f t="shared" si="982"/>
        <v>277.29395919421489</v>
      </c>
      <c r="J672" s="24">
        <f t="shared" si="1074"/>
        <v>1</v>
      </c>
      <c r="K672" s="26">
        <f>VLOOKUP($C672,COS!$B$8:$H$991,2,FALSE)</f>
        <v>4552</v>
      </c>
      <c r="L672" s="24">
        <f t="shared" si="1046"/>
        <v>1</v>
      </c>
      <c r="M672" s="24">
        <f t="shared" si="1047"/>
        <v>0</v>
      </c>
      <c r="N672" s="26">
        <f>VLOOKUP($C672,COS!$B$8:$H$991,5,FALSE)</f>
        <v>475.432861328125</v>
      </c>
      <c r="O672" s="26">
        <f t="shared" si="1077"/>
        <v>29.233227175878099</v>
      </c>
      <c r="P672" s="26">
        <f>VLOOKUP($C672,COS!$B$8:$H$991,6,FALSE)</f>
        <v>1824.550537109375</v>
      </c>
      <c r="Q672" s="26">
        <f t="shared" si="1078"/>
        <v>112.18723963713842</v>
      </c>
      <c r="R672" s="26">
        <f>MIN(IF(MONTH($C672)=4,$S$3,IF(MONTH($C672)=5,$S$4,IF(MONTH($C672)=6,$S$5,IF(MONTH($C672)=7,$S$6,"ERROR")))),MAX(VLOOKUP($C672,COS!$B$8:$K$991,10,FALSE)-IF(MONTH($C672)=4,$Y$3,IF(MONTH($C672)=5,$Y$4,IF(MONTH($C672)=6,$Y$5,IF(MONTH($C672)=7,$Y$6,"ERROR")))),0),MAX(VLOOKUP($C672,COS!$B$8:$K$991,9,FALSE)-IF(MONTH($C672)=4,$V$3,IF(MONTH($C672)=5,$V$4,IF(MONTH($C672)=6,$V$5,IF(MONTH($C672)=7,$V$6,"ERROR"))))-VLOOKUP($C672,COS!$B$8:$K$991,6,FALSE)/2,0))</f>
        <v>1500</v>
      </c>
      <c r="S672" s="26">
        <f t="shared" si="1079"/>
        <v>92.231404958677686</v>
      </c>
      <c r="T672" s="26">
        <f t="shared" si="1080"/>
        <v>162.94163836518595</v>
      </c>
      <c r="U672" s="26" t="str">
        <f>IF(VLOOKUP($C672,COS!$B$8:$I$991,8,FALSE)=1,"UWFE","IBU")</f>
        <v>UWFE</v>
      </c>
      <c r="V672" s="26">
        <f t="shared" ref="V672" si="1082">MIN(IF(IF($AA$3=2,AND(E672=1,G672=1,L672=1,L676=1,M672=1,U672="IBU"),AND(E672=1,G672=1,L672=1,L676=1,M672=1)),T672,0),I672)</f>
        <v>0</v>
      </c>
      <c r="W672" s="26"/>
      <c r="X672" s="26"/>
      <c r="Y672" s="26"/>
      <c r="Z672" s="26"/>
      <c r="AA672" s="26"/>
      <c r="AB672" s="33"/>
    </row>
    <row r="673" spans="1:28" x14ac:dyDescent="0.3">
      <c r="A673" s="32">
        <f>VLOOKUP(YEAR(C673),Flags!$A$13:$B$95,2,FALSE)</f>
        <v>1</v>
      </c>
      <c r="B673" s="24">
        <f t="shared" si="1054"/>
        <v>1995</v>
      </c>
      <c r="C673" s="25">
        <v>34880</v>
      </c>
      <c r="D673" s="26">
        <f>VLOOKUP($C673,COS!$B$8:$H$991,3,FALSE)</f>
        <v>8446.6552734375</v>
      </c>
      <c r="E673" s="24">
        <f>IF(D673&gt;=IF(MONTH($C673)=4,$C$3,IF(MONTH($C673)=5,$C$4,IF(MONTH($C673)=6,$C$5,IF(MONTH($C673)=7,$C$6,"ERROR")))),1,0)</f>
        <v>0</v>
      </c>
      <c r="F673" s="26">
        <f>VLOOKUP($C673,COS!$B$8:$H$991,7,FALSE)</f>
        <v>52.693340301513672</v>
      </c>
      <c r="G673" s="24">
        <f>IF(F673&lt;=IF(MONTH($C673)=4,$F$3,IF(MONTH($C673)=5,$F$4,IF(MONTH($C673)=6,$F$5,IF(MONTH($C673)=7,$F$6,"ERROR")))),1,0)</f>
        <v>1</v>
      </c>
      <c r="H673" s="26">
        <f>IF(J673=1,D673-$C$5,0)</f>
        <v>0</v>
      </c>
      <c r="I673" s="26">
        <f t="shared" ref="I673:I736" si="1083">H673*DAY($C673)*86400/43560/1000</f>
        <v>0</v>
      </c>
      <c r="J673" s="24">
        <f t="shared" si="1074"/>
        <v>0</v>
      </c>
      <c r="K673" s="26">
        <f>VLOOKUP($C673,COS!$B$8:$H$991,2,FALSE)</f>
        <v>4500</v>
      </c>
      <c r="L673" s="24">
        <f t="shared" si="1046"/>
        <v>1</v>
      </c>
      <c r="M673" s="24">
        <f t="shared" si="1047"/>
        <v>0</v>
      </c>
      <c r="N673" s="26">
        <f>VLOOKUP($C673,COS!$B$8:$H$991,5,FALSE)</f>
        <v>1088.7784423828125</v>
      </c>
      <c r="O673" s="26">
        <f t="shared" si="1077"/>
        <v>64.786816406249997</v>
      </c>
      <c r="P673" s="26">
        <f>VLOOKUP($C673,COS!$B$8:$H$991,6,FALSE)</f>
        <v>2195.234619140625</v>
      </c>
      <c r="Q673" s="26">
        <f t="shared" si="1078"/>
        <v>130.62553105630167</v>
      </c>
      <c r="R673" s="26">
        <f>MIN(IF(MONTH($C673)=4,$S$3,IF(MONTH($C673)=5,$S$4,IF(MONTH($C673)=6,$S$5,IF(MONTH($C673)=7,$S$6,"ERROR")))),MAX(VLOOKUP($C673,COS!$B$8:$K$991,10,FALSE)-IF(MONTH($C673)=4,$Y$3,IF(MONTH($C673)=5,$Y$4,IF(MONTH($C673)=6,$Y$5,IF(MONTH($C673)=7,$Y$6,"ERROR")))),0),MAX(VLOOKUP($C673,COS!$B$8:$K$991,9,FALSE)-IF(MONTH($C673)=4,$V$3,IF(MONTH($C673)=5,$V$4,IF(MONTH($C673)=6,$V$5,IF(MONTH($C673)=7,$V$6,"ERROR"))))-VLOOKUP($C673,COS!$B$8:$K$991,6,FALSE)/2,0))</f>
        <v>1500</v>
      </c>
      <c r="S673" s="26">
        <f t="shared" si="1079"/>
        <v>89.256198347107429</v>
      </c>
      <c r="T673" s="26">
        <f t="shared" si="1080"/>
        <v>186.96237207838328</v>
      </c>
      <c r="U673" s="26" t="str">
        <f>IF(VLOOKUP($C673,COS!$B$8:$I$991,8,FALSE)=1,"UWFE","IBU")</f>
        <v>UWFE</v>
      </c>
      <c r="V673" s="26">
        <f t="shared" ref="V673" si="1084">MIN(IF(IF($AA$3=2,AND(E673=1,G673=1,L673=1,L676=1,M673=1,U673="IBU"),AND(E673=1,G673=1,L673=1,L676=1,M673=1)),T673,0),I673)</f>
        <v>0</v>
      </c>
      <c r="W673" s="26"/>
      <c r="X673" s="26"/>
      <c r="Y673" s="26"/>
      <c r="Z673" s="26"/>
      <c r="AA673" s="26"/>
      <c r="AB673" s="33"/>
    </row>
    <row r="674" spans="1:28" x14ac:dyDescent="0.3">
      <c r="A674" s="32">
        <f>VLOOKUP(YEAR(C674),Flags!$A$13:$B$95,2,FALSE)</f>
        <v>1</v>
      </c>
      <c r="B674" s="24">
        <f t="shared" si="1054"/>
        <v>1995</v>
      </c>
      <c r="C674" s="25">
        <v>34911</v>
      </c>
      <c r="D674" s="26">
        <f>VLOOKUP($C674,COS!$B$8:$H$991,3,FALSE)</f>
        <v>9700.0400390625</v>
      </c>
      <c r="E674" s="24">
        <f>IF(D674&gt;=IF(MONTH($C674)=4,$C$3,IF(MONTH($C674)=5,$C$4,IF(MONTH($C674)=6,$C$5,IF(MONTH($C674)=7,$C$6,"ERROR")))),1,0)</f>
        <v>0</v>
      </c>
      <c r="F674" s="26">
        <f>VLOOKUP($C674,COS!$B$8:$H$991,7,FALSE)</f>
        <v>53.995834350585938</v>
      </c>
      <c r="G674" s="24">
        <f>IF(F674&lt;=IF(MONTH($C674)=4,$F$3,IF(MONTH($C674)=5,$F$4,IF(MONTH($C674)=6,$F$5,IF(MONTH($C674)=7,$F$6,"ERROR")))),1,0)</f>
        <v>0</v>
      </c>
      <c r="H674" s="26">
        <f>IF(J674=1,D674-$C$6,0)</f>
        <v>0</v>
      </c>
      <c r="I674" s="26">
        <f t="shared" si="1083"/>
        <v>0</v>
      </c>
      <c r="J674" s="24">
        <f t="shared" si="1074"/>
        <v>0</v>
      </c>
      <c r="K674" s="26">
        <f>VLOOKUP($C674,COS!$B$8:$H$991,2,FALSE)</f>
        <v>4150</v>
      </c>
      <c r="L674" s="24">
        <f t="shared" si="1046"/>
        <v>1</v>
      </c>
      <c r="M674" s="24">
        <f t="shared" si="1047"/>
        <v>0</v>
      </c>
      <c r="N674" s="26">
        <f>VLOOKUP($C674,COS!$B$8:$H$991,5,FALSE)</f>
        <v>1360.538818359375</v>
      </c>
      <c r="O674" s="26">
        <f t="shared" si="1077"/>
        <v>83.656271145402897</v>
      </c>
      <c r="P674" s="26">
        <f>VLOOKUP($C674,COS!$B$8:$H$991,6,FALSE)</f>
        <v>2616.67822265625</v>
      </c>
      <c r="Q674" s="26">
        <f t="shared" si="1078"/>
        <v>160.89327253357436</v>
      </c>
      <c r="R674" s="26">
        <f>MIN(IF(MONTH($C674)=4,$S$3,IF(MONTH($C674)=5,$S$4,IF(MONTH($C674)=6,$S$5,IF(MONTH($C674)=7,$S$6,"ERROR")))),MAX(VLOOKUP($C674,COS!$B$8:$K$991,10,FALSE)-IF(MONTH($C674)=4,$Y$3,IF(MONTH($C674)=5,$Y$4,IF(MONTH($C674)=6,$Y$5,IF(MONTH($C674)=7,$Y$6,"ERROR")))),0),MAX(VLOOKUP($C674,COS!$B$8:$K$991,9,FALSE)-IF(MONTH($C674)=4,$V$3,IF(MONTH($C674)=5,$V$4,IF(MONTH($C674)=6,$V$5,IF(MONTH($C674)=7,$V$6,"ERROR"))))-VLOOKUP($C674,COS!$B$8:$K$991,6,FALSE)/2,0))</f>
        <v>1500</v>
      </c>
      <c r="S674" s="26">
        <f t="shared" si="1079"/>
        <v>92.231404958677686</v>
      </c>
      <c r="T674" s="26">
        <f t="shared" si="1080"/>
        <v>214.50617679816634</v>
      </c>
      <c r="U674" s="26" t="str">
        <f>IF(VLOOKUP($C674,COS!$B$8:$I$991,8,FALSE)=1,"UWFE","IBU")</f>
        <v>UWFE</v>
      </c>
      <c r="V674" s="26">
        <f t="shared" ref="V674" si="1085">MIN(IF(IF($AA$3=2,AND(E674=1,G674=1,L674=1,L676=1,M674=1,U674="IBU"),AND(E674=1,G674=1,L674=1,L676=1,M674=1)),T674,0),I674)</f>
        <v>0</v>
      </c>
      <c r="W674" s="26"/>
      <c r="X674" s="26"/>
      <c r="Y674" s="26"/>
      <c r="Z674" s="26"/>
      <c r="AA674" s="26"/>
      <c r="AB674" s="33"/>
    </row>
    <row r="675" spans="1:28" x14ac:dyDescent="0.3">
      <c r="A675" s="32">
        <f>VLOOKUP(YEAR(C675),Flags!$A$13:$B$95,2,FALSE)</f>
        <v>1</v>
      </c>
      <c r="B675" s="24">
        <f t="shared" si="1054"/>
        <v>1995</v>
      </c>
      <c r="C675" s="25">
        <v>34942</v>
      </c>
      <c r="D675" s="26"/>
      <c r="E675" s="24"/>
      <c r="F675" s="26"/>
      <c r="G675" s="24"/>
      <c r="H675" s="24"/>
      <c r="I675" s="26"/>
      <c r="J675" s="24"/>
      <c r="K675" s="26"/>
      <c r="L675" s="24"/>
      <c r="M675" s="24"/>
      <c r="N675" s="26"/>
      <c r="O675" s="26"/>
      <c r="P675" s="26"/>
      <c r="Q675" s="26"/>
      <c r="R675" s="26"/>
      <c r="S675" s="26"/>
      <c r="T675" s="26"/>
      <c r="U675" s="26"/>
      <c r="V675" s="26"/>
      <c r="W675" s="26">
        <f>MAX($C$7-VLOOKUP($C675,COS!$B$8:$H$991,3,FALSE),0)</f>
        <v>87744.4052734375</v>
      </c>
      <c r="X675" s="26">
        <f t="shared" ref="X675:X738" si="1086">W675*DAY($C675)*86400/43560/1000</f>
        <v>5395.1931837551647</v>
      </c>
      <c r="Y675" s="26">
        <f>VLOOKUP($C675,COS!$B$8:$H$991,4,FALSE)</f>
        <v>0</v>
      </c>
      <c r="Z675" s="26">
        <f t="shared" ref="Z675:Z738" si="1087">Y675*DAY($C675)*86400/43560/1000</f>
        <v>0</v>
      </c>
      <c r="AA675" s="26">
        <f t="shared" ref="AA675:AA679" si="1088">MIN(W675,Y675)</f>
        <v>0</v>
      </c>
      <c r="AB675" s="33">
        <f t="shared" ref="AB675" si="1089">AA675*DAY($C675)*86400/43560/1000*IF(MONTH($C675)=8,$P$3,IF(MONTH($C675)=9,$P$4,IF(MONTH($C675)=10,$P$5,IF(MONTH($C675)=11,$P$6,IF(MONTH($C675)=12,$P$7,NA())))))</f>
        <v>0</v>
      </c>
    </row>
    <row r="676" spans="1:28" x14ac:dyDescent="0.3">
      <c r="A676" s="32">
        <f>VLOOKUP(YEAR(C676),Flags!$A$13:$B$95,2,FALSE)</f>
        <v>1</v>
      </c>
      <c r="B676" s="24">
        <f t="shared" si="1054"/>
        <v>1995</v>
      </c>
      <c r="C676" s="25">
        <v>34972</v>
      </c>
      <c r="D676" s="26"/>
      <c r="E676" s="24"/>
      <c r="F676" s="26"/>
      <c r="G676" s="24"/>
      <c r="H676" s="24"/>
      <c r="I676" s="26"/>
      <c r="J676" s="24"/>
      <c r="K676" s="26">
        <f>VLOOKUP($C676,COS!$B$8:$H$991,2,FALSE)</f>
        <v>3358.360595703125</v>
      </c>
      <c r="L676" s="24">
        <f t="shared" ref="L676" si="1090">IF(AND(K676&gt;$I$7,K676&lt;$I$8),1,0)</f>
        <v>1</v>
      </c>
      <c r="M676" s="24"/>
      <c r="N676" s="26"/>
      <c r="O676" s="26"/>
      <c r="P676" s="26"/>
      <c r="Q676" s="26"/>
      <c r="R676" s="26"/>
      <c r="S676" s="26"/>
      <c r="T676" s="26"/>
      <c r="U676" s="26"/>
      <c r="V676" s="26"/>
      <c r="W676" s="26">
        <f>MAX($C$8-VLOOKUP($C676,COS!$B$8:$H$991,3,FALSE),0)</f>
        <v>88333.3603515625</v>
      </c>
      <c r="X676" s="26">
        <f t="shared" si="1086"/>
        <v>5256.1999548037193</v>
      </c>
      <c r="Y676" s="26">
        <f>VLOOKUP($C676,COS!$B$8:$H$991,4,FALSE)</f>
        <v>0</v>
      </c>
      <c r="Z676" s="26">
        <f t="shared" si="1087"/>
        <v>0</v>
      </c>
      <c r="AA676" s="26">
        <f t="shared" si="1088"/>
        <v>0</v>
      </c>
      <c r="AB676" s="33">
        <f t="shared" si="1058"/>
        <v>0</v>
      </c>
    </row>
    <row r="677" spans="1:28" x14ac:dyDescent="0.3">
      <c r="A677" s="32">
        <f>VLOOKUP(YEAR(C677),Flags!$A$13:$B$95,2,FALSE)</f>
        <v>1</v>
      </c>
      <c r="B677" s="24">
        <f t="shared" si="1054"/>
        <v>1995</v>
      </c>
      <c r="C677" s="25">
        <v>35003</v>
      </c>
      <c r="D677" s="26"/>
      <c r="E677" s="24"/>
      <c r="F677" s="26"/>
      <c r="G677" s="26"/>
      <c r="H677" s="26"/>
      <c r="I677" s="26"/>
      <c r="J677" s="26"/>
      <c r="K677" s="26"/>
      <c r="L677" s="24"/>
      <c r="M677" s="24"/>
      <c r="N677" s="26"/>
      <c r="O677" s="26"/>
      <c r="P677" s="26"/>
      <c r="Q677" s="26"/>
      <c r="R677" s="26"/>
      <c r="S677" s="26"/>
      <c r="T677" s="26"/>
      <c r="U677" s="26"/>
      <c r="V677" s="26"/>
      <c r="W677" s="26">
        <f>MAX($C$9-VLOOKUP($C677,COS!$B$8:$H$991,3,FALSE),0)</f>
        <v>92444.8486328125</v>
      </c>
      <c r="X677" s="26">
        <f t="shared" si="1086"/>
        <v>5684.2121803977279</v>
      </c>
      <c r="Y677" s="26">
        <f>VLOOKUP($C677,COS!$B$8:$H$991,4,FALSE)</f>
        <v>122.30811309814453</v>
      </c>
      <c r="Z677" s="26">
        <f t="shared" si="1087"/>
        <v>7.5204327392578127</v>
      </c>
      <c r="AA677" s="26">
        <f t="shared" si="1088"/>
        <v>122.30811309814453</v>
      </c>
      <c r="AB677" s="33">
        <f t="shared" si="1058"/>
        <v>7.5204327392578127</v>
      </c>
    </row>
    <row r="678" spans="1:28" x14ac:dyDescent="0.3">
      <c r="A678" s="32">
        <f>VLOOKUP(YEAR(C678),Flags!$A$13:$B$95,2,FALSE)</f>
        <v>1</v>
      </c>
      <c r="B678" s="24">
        <f t="shared" si="1054"/>
        <v>1995</v>
      </c>
      <c r="C678" s="25">
        <v>35033</v>
      </c>
      <c r="D678" s="26"/>
      <c r="E678" s="24"/>
      <c r="F678" s="26"/>
      <c r="G678" s="26"/>
      <c r="H678" s="26"/>
      <c r="I678" s="26"/>
      <c r="J678" s="26"/>
      <c r="K678" s="26"/>
      <c r="L678" s="24"/>
      <c r="M678" s="24"/>
      <c r="N678" s="26"/>
      <c r="O678" s="26"/>
      <c r="P678" s="26"/>
      <c r="Q678" s="26"/>
      <c r="R678" s="26"/>
      <c r="S678" s="26"/>
      <c r="T678" s="26"/>
      <c r="U678" s="26"/>
      <c r="V678" s="26"/>
      <c r="W678" s="26">
        <f>MAX($C$10-VLOOKUP($C678,COS!$B$8:$H$991,3,FALSE),0)</f>
        <v>88843.8232421875</v>
      </c>
      <c r="X678" s="26">
        <f t="shared" si="1086"/>
        <v>5286.5746061466944</v>
      </c>
      <c r="Y678" s="26">
        <f>VLOOKUP($C678,COS!$B$8:$H$991,4,FALSE)</f>
        <v>1767.1361083984375</v>
      </c>
      <c r="Z678" s="26">
        <f t="shared" si="1087"/>
        <v>105.15190066503099</v>
      </c>
      <c r="AA678" s="26">
        <f t="shared" si="1088"/>
        <v>1767.1361083984375</v>
      </c>
      <c r="AB678" s="33">
        <f t="shared" si="1058"/>
        <v>52.575950332515497</v>
      </c>
    </row>
    <row r="679" spans="1:28" x14ac:dyDescent="0.3">
      <c r="A679" s="34">
        <f>VLOOKUP(YEAR(C679),Flags!$A$13:$B$95,2,FALSE)</f>
        <v>1</v>
      </c>
      <c r="B679" s="35">
        <f t="shared" si="1054"/>
        <v>1995</v>
      </c>
      <c r="C679" s="36">
        <v>35064</v>
      </c>
      <c r="D679" s="37"/>
      <c r="E679" s="35"/>
      <c r="F679" s="37"/>
      <c r="G679" s="37"/>
      <c r="H679" s="37"/>
      <c r="I679" s="37"/>
      <c r="J679" s="37"/>
      <c r="K679" s="37"/>
      <c r="L679" s="35"/>
      <c r="M679" s="35"/>
      <c r="N679" s="37"/>
      <c r="O679" s="37"/>
      <c r="P679" s="37"/>
      <c r="Q679" s="37"/>
      <c r="R679" s="37"/>
      <c r="S679" s="37"/>
      <c r="T679" s="37"/>
      <c r="U679" s="37"/>
      <c r="V679" s="37"/>
      <c r="W679" s="37">
        <f>MAX($C$11-VLOOKUP($C679,COS!$B$8:$H$991,3,FALSE),0)</f>
        <v>0</v>
      </c>
      <c r="X679" s="37">
        <f t="shared" si="1086"/>
        <v>0</v>
      </c>
      <c r="Y679" s="37">
        <f>VLOOKUP($C679,COS!$B$8:$H$991,4,FALSE)</f>
        <v>0</v>
      </c>
      <c r="Z679" s="37">
        <f t="shared" si="1087"/>
        <v>0</v>
      </c>
      <c r="AA679" s="37">
        <f t="shared" si="1088"/>
        <v>0</v>
      </c>
      <c r="AB679" s="38">
        <f t="shared" si="1058"/>
        <v>0</v>
      </c>
    </row>
    <row r="680" spans="1:28" x14ac:dyDescent="0.3">
      <c r="A680" s="27">
        <f>VLOOKUP(YEAR(C680),Flags!$A$13:$B$95,2,FALSE)</f>
        <v>1</v>
      </c>
      <c r="B680" s="28">
        <f t="shared" si="1054"/>
        <v>1996</v>
      </c>
      <c r="C680" s="29">
        <v>35185</v>
      </c>
      <c r="D680" s="30">
        <f>VLOOKUP($C680,COS!$B$8:$H$991,3,FALSE)</f>
        <v>3250</v>
      </c>
      <c r="E680" s="28">
        <f>IF(D680&gt;=IF(MONTH($C680)=4,$C$3,IF(MONTH($C680)=5,$C$4,IF(MONTH($C680)=6,$C$5,IF(MONTH($C680)=7,$C$6,"ERROR")))),1,0)</f>
        <v>0</v>
      </c>
      <c r="F680" s="30">
        <f>VLOOKUP($C680,COS!$B$8:$H$991,7,FALSE)</f>
        <v>52.729835510253906</v>
      </c>
      <c r="G680" s="28">
        <f>IF(F680&lt;=IF(MONTH($C680)=4,$F$3,IF(MONTH($C680)=5,$F$4,IF(MONTH($C680)=6,$F$5,IF(MONTH($C680)=7,$F$6,"ERROR")))),1,0)</f>
        <v>1</v>
      </c>
      <c r="H680" s="30">
        <f>IF(J680=1,D680-$C$3,0)</f>
        <v>0</v>
      </c>
      <c r="I680" s="30">
        <f t="shared" si="1083"/>
        <v>0</v>
      </c>
      <c r="J680" s="28">
        <f t="shared" ref="J680:J683" si="1091">IF(AND(E680=1,G680=1),1,0)</f>
        <v>0</v>
      </c>
      <c r="K680" s="30">
        <f>VLOOKUP($C680,COS!$B$8:$H$991,2,FALSE)</f>
        <v>4477.14208984375</v>
      </c>
      <c r="L680" s="28">
        <f t="shared" ref="L680" si="1092">IF(K680&lt;=IF(MONTH($C680)=4,$I$3,IF(MONTH($C680)=5,$I$4,IF(MONTH($C680)=6,$I$5,IF(MONTH($C680)=7,$I$6,"ERROR")))),1,0)</f>
        <v>1</v>
      </c>
      <c r="M680" s="28">
        <f t="shared" ref="M680" si="1093">VLOOKUP($A680,$L$3:$M$7,2,FALSE)</f>
        <v>0</v>
      </c>
      <c r="N680" s="30">
        <f>VLOOKUP($C680,COS!$B$8:$H$991,5,FALSE)</f>
        <v>334.49749755859375</v>
      </c>
      <c r="O680" s="30">
        <f t="shared" ref="O680:O683" si="1094">N680*DAY($C680)*86400/43560/1000</f>
        <v>19.903983325800617</v>
      </c>
      <c r="P680" s="30">
        <f>VLOOKUP($C680,COS!$B$8:$H$991,6,FALSE)</f>
        <v>392.12069702148438</v>
      </c>
      <c r="Q680" s="30">
        <f t="shared" ref="Q680:Q683" si="1095">P680*DAY($C680)*86400/43560/1000</f>
        <v>23.332801806237086</v>
      </c>
      <c r="R680" s="30">
        <f>MIN(IF(MONTH($C680)=4,$S$3,IF(MONTH($C680)=5,$S$4,IF(MONTH($C680)=6,$S$5,IF(MONTH($C680)=7,$S$6,"ERROR")))),MAX(VLOOKUP($C680,COS!$B$8:$K$991,10,FALSE)-IF(MONTH($C680)=4,$Y$3,IF(MONTH($C680)=5,$Y$4,IF(MONTH($C680)=6,$Y$5,IF(MONTH($C680)=7,$Y$6,"ERROR")))),0),MAX(VLOOKUP($C680,COS!$B$8:$K$991,9,FALSE)-IF(MONTH($C680)=4,$V$3,IF(MONTH($C680)=5,$V$4,IF(MONTH($C680)=6,$V$5,IF(MONTH($C680)=7,$V$6,"ERROR"))))-VLOOKUP($C680,COS!$B$8:$K$991,6,FALSE)/2,0))</f>
        <v>1500</v>
      </c>
      <c r="S680" s="30">
        <f t="shared" ref="S680:S683" si="1096">R680*DAY($C680)*86400/43560/1000</f>
        <v>89.256198347107429</v>
      </c>
      <c r="T680" s="30">
        <f t="shared" ref="T680:T683" si="1097">(O680+Q680)/2+S680</f>
        <v>110.87459091312628</v>
      </c>
      <c r="U680" s="30" t="str">
        <f>IF(VLOOKUP($C680,COS!$B$8:$I$991,8,FALSE)=1,"UWFE","IBU")</f>
        <v>UWFE</v>
      </c>
      <c r="V680" s="30">
        <f t="shared" ref="V680" si="1098">MIN(IF(IF($AA$3=2,AND(E680=1,G680=1,L680=1,L685=1,M680=1,U680="IBU"),AND(E680=1,G680=1,L680=1,L685=1,M680=1)),T680,0),I680)</f>
        <v>0</v>
      </c>
      <c r="W680" s="30"/>
      <c r="X680" s="30"/>
      <c r="Y680" s="30"/>
      <c r="Z680" s="30"/>
      <c r="AA680" s="30"/>
      <c r="AB680" s="31"/>
    </row>
    <row r="681" spans="1:28" x14ac:dyDescent="0.3">
      <c r="A681" s="32">
        <f>VLOOKUP(YEAR(C681),Flags!$A$13:$B$95,2,FALSE)</f>
        <v>1</v>
      </c>
      <c r="B681" s="24">
        <f t="shared" si="1054"/>
        <v>1996</v>
      </c>
      <c r="C681" s="25">
        <v>35216</v>
      </c>
      <c r="D681" s="26">
        <f>VLOOKUP($C681,COS!$B$8:$H$991,3,FALSE)</f>
        <v>10559.1572265625</v>
      </c>
      <c r="E681" s="24">
        <f>IF(D681&gt;=IF(MONTH($C681)=4,$C$3,IF(MONTH($C681)=5,$C$4,IF(MONTH($C681)=6,$C$5,IF(MONTH($C681)=7,$C$6,"ERROR")))),1,0)</f>
        <v>1</v>
      </c>
      <c r="F681" s="26">
        <f>VLOOKUP($C681,COS!$B$8:$H$991,7,FALSE)</f>
        <v>51.389583587646484</v>
      </c>
      <c r="G681" s="24">
        <f>IF(F681&lt;=IF(MONTH($C681)=4,$F$3,IF(MONTH($C681)=5,$F$4,IF(MONTH($C681)=6,$F$5,IF(MONTH($C681)=7,$F$6,"ERROR")))),1,0)</f>
        <v>1</v>
      </c>
      <c r="H681" s="26">
        <f>IF(J681=1,D681-$C$4,0)</f>
        <v>4559.1572265625</v>
      </c>
      <c r="I681" s="26">
        <f t="shared" si="1083"/>
        <v>280.33165095557848</v>
      </c>
      <c r="J681" s="24">
        <f t="shared" si="1091"/>
        <v>1</v>
      </c>
      <c r="K681" s="26">
        <f>VLOOKUP($C681,COS!$B$8:$H$991,2,FALSE)</f>
        <v>4552</v>
      </c>
      <c r="L681" s="24">
        <f t="shared" si="1046"/>
        <v>1</v>
      </c>
      <c r="M681" s="24">
        <f t="shared" si="1047"/>
        <v>0</v>
      </c>
      <c r="N681" s="26">
        <f>VLOOKUP($C681,COS!$B$8:$H$991,5,FALSE)</f>
        <v>391.34814453125</v>
      </c>
      <c r="O681" s="26">
        <f t="shared" si="1094"/>
        <v>24.063059465392563</v>
      </c>
      <c r="P681" s="26">
        <f>VLOOKUP($C681,COS!$B$8:$H$991,6,FALSE)</f>
        <v>1692.3414306640625</v>
      </c>
      <c r="Q681" s="26">
        <f t="shared" si="1095"/>
        <v>104.05801854661674</v>
      </c>
      <c r="R681" s="26">
        <f>MIN(IF(MONTH($C681)=4,$S$3,IF(MONTH($C681)=5,$S$4,IF(MONTH($C681)=6,$S$5,IF(MONTH($C681)=7,$S$6,"ERROR")))),MAX(VLOOKUP($C681,COS!$B$8:$K$991,10,FALSE)-IF(MONTH($C681)=4,$Y$3,IF(MONTH($C681)=5,$Y$4,IF(MONTH($C681)=6,$Y$5,IF(MONTH($C681)=7,$Y$6,"ERROR")))),0),MAX(VLOOKUP($C681,COS!$B$8:$K$991,9,FALSE)-IF(MONTH($C681)=4,$V$3,IF(MONTH($C681)=5,$V$4,IF(MONTH($C681)=6,$V$5,IF(MONTH($C681)=7,$V$6,"ERROR"))))-VLOOKUP($C681,COS!$B$8:$K$991,6,FALSE)/2,0))</f>
        <v>1500</v>
      </c>
      <c r="S681" s="26">
        <f t="shared" si="1096"/>
        <v>92.231404958677686</v>
      </c>
      <c r="T681" s="26">
        <f t="shared" si="1097"/>
        <v>156.29194396468233</v>
      </c>
      <c r="U681" s="26" t="str">
        <f>IF(VLOOKUP($C681,COS!$B$8:$I$991,8,FALSE)=1,"UWFE","IBU")</f>
        <v>UWFE</v>
      </c>
      <c r="V681" s="26">
        <f t="shared" ref="V681" si="1099">MIN(IF(IF($AA$3=2,AND(E681=1,G681=1,L681=1,L685=1,M681=1,U681="IBU"),AND(E681=1,G681=1,L681=1,L685=1,M681=1)),T681,0),I681)</f>
        <v>0</v>
      </c>
      <c r="W681" s="26"/>
      <c r="X681" s="26"/>
      <c r="Y681" s="26"/>
      <c r="Z681" s="26"/>
      <c r="AA681" s="26"/>
      <c r="AB681" s="33"/>
    </row>
    <row r="682" spans="1:28" x14ac:dyDescent="0.3">
      <c r="A682" s="32">
        <f>VLOOKUP(YEAR(C682),Flags!$A$13:$B$95,2,FALSE)</f>
        <v>1</v>
      </c>
      <c r="B682" s="24">
        <f t="shared" si="1054"/>
        <v>1996</v>
      </c>
      <c r="C682" s="25">
        <v>35246</v>
      </c>
      <c r="D682" s="26">
        <f>VLOOKUP($C682,COS!$B$8:$H$991,3,FALSE)</f>
        <v>7585.73583984375</v>
      </c>
      <c r="E682" s="24">
        <f>IF(D682&gt;=IF(MONTH($C682)=4,$C$3,IF(MONTH($C682)=5,$C$4,IF(MONTH($C682)=6,$C$5,IF(MONTH($C682)=7,$C$6,"ERROR")))),1,0)</f>
        <v>0</v>
      </c>
      <c r="F682" s="26">
        <f>VLOOKUP($C682,COS!$B$8:$H$991,7,FALSE)</f>
        <v>53.900276184082031</v>
      </c>
      <c r="G682" s="24">
        <f>IF(F682&lt;=IF(MONTH($C682)=4,$F$3,IF(MONTH($C682)=5,$F$4,IF(MONTH($C682)=6,$F$5,IF(MONTH($C682)=7,$F$6,"ERROR")))),1,0)</f>
        <v>1</v>
      </c>
      <c r="H682" s="26">
        <f>IF(J682=1,D682-$C$5,0)</f>
        <v>0</v>
      </c>
      <c r="I682" s="26">
        <f t="shared" si="1083"/>
        <v>0</v>
      </c>
      <c r="J682" s="24">
        <f t="shared" si="1091"/>
        <v>0</v>
      </c>
      <c r="K682" s="26">
        <f>VLOOKUP($C682,COS!$B$8:$H$991,2,FALSE)</f>
        <v>4421.00390625</v>
      </c>
      <c r="L682" s="24">
        <f t="shared" si="1046"/>
        <v>1</v>
      </c>
      <c r="M682" s="24">
        <f t="shared" si="1047"/>
        <v>0</v>
      </c>
      <c r="N682" s="26">
        <f>VLOOKUP($C682,COS!$B$8:$H$991,5,FALSE)</f>
        <v>1206.450439453125</v>
      </c>
      <c r="O682" s="26">
        <f t="shared" si="1094"/>
        <v>71.788786479855375</v>
      </c>
      <c r="P682" s="26">
        <f>VLOOKUP($C682,COS!$B$8:$H$991,6,FALSE)</f>
        <v>2328.534912109375</v>
      </c>
      <c r="Q682" s="26">
        <f t="shared" si="1095"/>
        <v>138.55744931559917</v>
      </c>
      <c r="R682" s="26">
        <f>MIN(IF(MONTH($C682)=4,$S$3,IF(MONTH($C682)=5,$S$4,IF(MONTH($C682)=6,$S$5,IF(MONTH($C682)=7,$S$6,"ERROR")))),MAX(VLOOKUP($C682,COS!$B$8:$K$991,10,FALSE)-IF(MONTH($C682)=4,$Y$3,IF(MONTH($C682)=5,$Y$4,IF(MONTH($C682)=6,$Y$5,IF(MONTH($C682)=7,$Y$6,"ERROR")))),0),MAX(VLOOKUP($C682,COS!$B$8:$K$991,9,FALSE)-IF(MONTH($C682)=4,$V$3,IF(MONTH($C682)=5,$V$4,IF(MONTH($C682)=6,$V$5,IF(MONTH($C682)=7,$V$6,"ERROR"))))-VLOOKUP($C682,COS!$B$8:$K$991,6,FALSE)/2,0))</f>
        <v>1500</v>
      </c>
      <c r="S682" s="26">
        <f t="shared" si="1096"/>
        <v>89.256198347107429</v>
      </c>
      <c r="T682" s="26">
        <f t="shared" si="1097"/>
        <v>194.42931624483469</v>
      </c>
      <c r="U682" s="26" t="str">
        <f>IF(VLOOKUP($C682,COS!$B$8:$I$991,8,FALSE)=1,"UWFE","IBU")</f>
        <v>UWFE</v>
      </c>
      <c r="V682" s="26">
        <f t="shared" ref="V682" si="1100">MIN(IF(IF($AA$3=2,AND(E682=1,G682=1,L682=1,L685=1,M682=1,U682="IBU"),AND(E682=1,G682=1,L682=1,L685=1,M682=1)),T682,0),I682)</f>
        <v>0</v>
      </c>
      <c r="W682" s="26"/>
      <c r="X682" s="26"/>
      <c r="Y682" s="26"/>
      <c r="Z682" s="26"/>
      <c r="AA682" s="26"/>
      <c r="AB682" s="33"/>
    </row>
    <row r="683" spans="1:28" x14ac:dyDescent="0.3">
      <c r="A683" s="32">
        <f>VLOOKUP(YEAR(C683),Flags!$A$13:$B$95,2,FALSE)</f>
        <v>1</v>
      </c>
      <c r="B683" s="24">
        <f t="shared" si="1054"/>
        <v>1996</v>
      </c>
      <c r="C683" s="25">
        <v>35277</v>
      </c>
      <c r="D683" s="26">
        <f>VLOOKUP($C683,COS!$B$8:$H$991,3,FALSE)</f>
        <v>15098.107421875</v>
      </c>
      <c r="E683" s="24">
        <f>IF(D683&gt;=IF(MONTH($C683)=4,$C$3,IF(MONTH($C683)=5,$C$4,IF(MONTH($C683)=6,$C$5,IF(MONTH($C683)=7,$C$6,"ERROR")))),1,0)</f>
        <v>1</v>
      </c>
      <c r="F683" s="26">
        <f>VLOOKUP($C683,COS!$B$8:$H$991,7,FALSE)</f>
        <v>53.102745056152344</v>
      </c>
      <c r="G683" s="24">
        <f>IF(F683&lt;=IF(MONTH($C683)=4,$F$3,IF(MONTH($C683)=5,$F$4,IF(MONTH($C683)=6,$F$5,IF(MONTH($C683)=7,$F$6,"ERROR")))),1,0)</f>
        <v>1</v>
      </c>
      <c r="H683" s="26">
        <f>IF(J683=1,D683-$C$6,0)</f>
        <v>3098.107421875</v>
      </c>
      <c r="I683" s="26">
        <f t="shared" si="1083"/>
        <v>190.49520015495867</v>
      </c>
      <c r="J683" s="24">
        <f t="shared" si="1091"/>
        <v>1</v>
      </c>
      <c r="K683" s="26">
        <f>VLOOKUP($C683,COS!$B$8:$H$991,2,FALSE)</f>
        <v>3708.637451171875</v>
      </c>
      <c r="L683" s="24">
        <f t="shared" si="1046"/>
        <v>1</v>
      </c>
      <c r="M683" s="24">
        <f t="shared" si="1047"/>
        <v>0</v>
      </c>
      <c r="N683" s="26">
        <f>VLOOKUP($C683,COS!$B$8:$H$991,5,FALSE)</f>
        <v>1377.7275390625</v>
      </c>
      <c r="O683" s="26">
        <f t="shared" si="1094"/>
        <v>84.713164385330572</v>
      </c>
      <c r="P683" s="26">
        <f>VLOOKUP($C683,COS!$B$8:$H$991,6,FALSE)</f>
        <v>2521.474853515625</v>
      </c>
      <c r="Q683" s="26">
        <f t="shared" si="1095"/>
        <v>155.0394455384814</v>
      </c>
      <c r="R683" s="26">
        <f>MIN(IF(MONTH($C683)=4,$S$3,IF(MONTH($C683)=5,$S$4,IF(MONTH($C683)=6,$S$5,IF(MONTH($C683)=7,$S$6,"ERROR")))),MAX(VLOOKUP($C683,COS!$B$8:$K$991,10,FALSE)-IF(MONTH($C683)=4,$Y$3,IF(MONTH($C683)=5,$Y$4,IF(MONTH($C683)=6,$Y$5,IF(MONTH($C683)=7,$Y$6,"ERROR")))),0),MAX(VLOOKUP($C683,COS!$B$8:$K$991,9,FALSE)-IF(MONTH($C683)=4,$V$3,IF(MONTH($C683)=5,$V$4,IF(MONTH($C683)=6,$V$5,IF(MONTH($C683)=7,$V$6,"ERROR"))))-VLOOKUP($C683,COS!$B$8:$K$991,6,FALSE)/2,0))</f>
        <v>1500</v>
      </c>
      <c r="S683" s="26">
        <f t="shared" si="1096"/>
        <v>92.231404958677686</v>
      </c>
      <c r="T683" s="26">
        <f t="shared" si="1097"/>
        <v>212.10770992058366</v>
      </c>
      <c r="U683" s="26" t="str">
        <f>IF(VLOOKUP($C683,COS!$B$8:$I$991,8,FALSE)=1,"UWFE","IBU")</f>
        <v>IBU</v>
      </c>
      <c r="V683" s="26">
        <f t="shared" ref="V683" si="1101">MIN(IF(IF($AA$3=2,AND(E683=1,G683=1,L683=1,L685=1,M683=1,U683="IBU"),AND(E683=1,G683=1,L683=1,L685=1,M683=1)),T683,0),I683)</f>
        <v>0</v>
      </c>
      <c r="W683" s="26"/>
      <c r="X683" s="26"/>
      <c r="Y683" s="26"/>
      <c r="Z683" s="26"/>
      <c r="AA683" s="26"/>
      <c r="AB683" s="33"/>
    </row>
    <row r="684" spans="1:28" x14ac:dyDescent="0.3">
      <c r="A684" s="32">
        <f>VLOOKUP(YEAR(C684),Flags!$A$13:$B$95,2,FALSE)</f>
        <v>1</v>
      </c>
      <c r="B684" s="24">
        <f t="shared" si="1054"/>
        <v>1996</v>
      </c>
      <c r="C684" s="25">
        <v>35308</v>
      </c>
      <c r="D684" s="26"/>
      <c r="E684" s="24"/>
      <c r="F684" s="26"/>
      <c r="G684" s="24"/>
      <c r="H684" s="24"/>
      <c r="I684" s="26"/>
      <c r="J684" s="24"/>
      <c r="K684" s="26"/>
      <c r="L684" s="24"/>
      <c r="M684" s="24"/>
      <c r="N684" s="26"/>
      <c r="O684" s="26"/>
      <c r="P684" s="26"/>
      <c r="Q684" s="26"/>
      <c r="R684" s="26"/>
      <c r="S684" s="26"/>
      <c r="T684" s="26"/>
      <c r="U684" s="26"/>
      <c r="V684" s="26"/>
      <c r="W684" s="26">
        <f>MAX($C$7-VLOOKUP($C684,COS!$B$8:$H$991,3,FALSE),0)</f>
        <v>90642.01953125</v>
      </c>
      <c r="X684" s="26">
        <f t="shared" si="1086"/>
        <v>5573.3605397727279</v>
      </c>
      <c r="Y684" s="26">
        <f>VLOOKUP($C684,COS!$B$8:$H$991,4,FALSE)</f>
        <v>0</v>
      </c>
      <c r="Z684" s="26">
        <f t="shared" si="1087"/>
        <v>0</v>
      </c>
      <c r="AA684" s="26">
        <f t="shared" ref="AA684:AA688" si="1102">MIN(W684,Y684)</f>
        <v>0</v>
      </c>
      <c r="AB684" s="33">
        <f t="shared" ref="AB684" si="1103">AA684*DAY($C684)*86400/43560/1000*IF(MONTH($C684)=8,$P$3,IF(MONTH($C684)=9,$P$4,IF(MONTH($C684)=10,$P$5,IF(MONTH($C684)=11,$P$6,IF(MONTH($C684)=12,$P$7,NA())))))</f>
        <v>0</v>
      </c>
    </row>
    <row r="685" spans="1:28" x14ac:dyDescent="0.3">
      <c r="A685" s="32">
        <f>VLOOKUP(YEAR(C685),Flags!$A$13:$B$95,2,FALSE)</f>
        <v>1</v>
      </c>
      <c r="B685" s="24">
        <f t="shared" si="1054"/>
        <v>1996</v>
      </c>
      <c r="C685" s="25">
        <v>35338</v>
      </c>
      <c r="D685" s="26"/>
      <c r="E685" s="24"/>
      <c r="F685" s="26"/>
      <c r="G685" s="24"/>
      <c r="H685" s="24"/>
      <c r="I685" s="26"/>
      <c r="J685" s="24"/>
      <c r="K685" s="26">
        <f>VLOOKUP($C685,COS!$B$8:$H$991,2,FALSE)</f>
        <v>3012.986572265625</v>
      </c>
      <c r="L685" s="24">
        <f t="shared" ref="L685" si="1104">IF(AND(K685&gt;$I$7,K685&lt;$I$8),1,0)</f>
        <v>1</v>
      </c>
      <c r="M685" s="24"/>
      <c r="N685" s="26"/>
      <c r="O685" s="26"/>
      <c r="P685" s="26"/>
      <c r="Q685" s="26"/>
      <c r="R685" s="26"/>
      <c r="S685" s="26"/>
      <c r="T685" s="26"/>
      <c r="U685" s="26"/>
      <c r="V685" s="26"/>
      <c r="W685" s="26">
        <f>MAX($C$8-VLOOKUP($C685,COS!$B$8:$H$991,3,FALSE),0)</f>
        <v>87735.287109375</v>
      </c>
      <c r="X685" s="26">
        <f t="shared" si="1086"/>
        <v>5220.612125516529</v>
      </c>
      <c r="Y685" s="26">
        <f>VLOOKUP($C685,COS!$B$8:$H$991,4,FALSE)</f>
        <v>0</v>
      </c>
      <c r="Z685" s="26">
        <f t="shared" si="1087"/>
        <v>0</v>
      </c>
      <c r="AA685" s="26">
        <f t="shared" si="1102"/>
        <v>0</v>
      </c>
      <c r="AB685" s="33">
        <f t="shared" si="1058"/>
        <v>0</v>
      </c>
    </row>
    <row r="686" spans="1:28" x14ac:dyDescent="0.3">
      <c r="A686" s="32">
        <f>VLOOKUP(YEAR(C686),Flags!$A$13:$B$95,2,FALSE)</f>
        <v>1</v>
      </c>
      <c r="B686" s="24">
        <f t="shared" si="1054"/>
        <v>1996</v>
      </c>
      <c r="C686" s="25">
        <v>35369</v>
      </c>
      <c r="D686" s="26"/>
      <c r="E686" s="24"/>
      <c r="F686" s="26"/>
      <c r="G686" s="26"/>
      <c r="H686" s="26"/>
      <c r="I686" s="26"/>
      <c r="J686" s="26"/>
      <c r="K686" s="26"/>
      <c r="L686" s="24"/>
      <c r="M686" s="24"/>
      <c r="N686" s="26"/>
      <c r="O686" s="26"/>
      <c r="P686" s="26"/>
      <c r="Q686" s="26"/>
      <c r="R686" s="26"/>
      <c r="S686" s="26"/>
      <c r="T686" s="26"/>
      <c r="U686" s="26"/>
      <c r="V686" s="26"/>
      <c r="W686" s="26">
        <f>MAX($C$9-VLOOKUP($C686,COS!$B$8:$H$991,3,FALSE),0)</f>
        <v>90257.6123046875</v>
      </c>
      <c r="X686" s="26">
        <f t="shared" si="1086"/>
        <v>5549.7242607179751</v>
      </c>
      <c r="Y686" s="26">
        <f>VLOOKUP($C686,COS!$B$8:$H$991,4,FALSE)</f>
        <v>729.4923095703125</v>
      </c>
      <c r="Z686" s="26">
        <f t="shared" si="1087"/>
        <v>44.854733745480374</v>
      </c>
      <c r="AA686" s="26">
        <f t="shared" si="1102"/>
        <v>729.4923095703125</v>
      </c>
      <c r="AB686" s="33">
        <f t="shared" si="1058"/>
        <v>44.854733745480374</v>
      </c>
    </row>
    <row r="687" spans="1:28" x14ac:dyDescent="0.3">
      <c r="A687" s="32">
        <f>VLOOKUP(YEAR(C687),Flags!$A$13:$B$95,2,FALSE)</f>
        <v>1</v>
      </c>
      <c r="B687" s="24">
        <f t="shared" si="1054"/>
        <v>1996</v>
      </c>
      <c r="C687" s="25">
        <v>35399</v>
      </c>
      <c r="D687" s="26"/>
      <c r="E687" s="24"/>
      <c r="F687" s="26"/>
      <c r="G687" s="26"/>
      <c r="H687" s="26"/>
      <c r="I687" s="26"/>
      <c r="J687" s="26"/>
      <c r="K687" s="26"/>
      <c r="L687" s="24"/>
      <c r="M687" s="24"/>
      <c r="N687" s="26"/>
      <c r="O687" s="26"/>
      <c r="P687" s="26"/>
      <c r="Q687" s="26"/>
      <c r="R687" s="26"/>
      <c r="S687" s="26"/>
      <c r="T687" s="26"/>
      <c r="U687" s="26"/>
      <c r="V687" s="26"/>
      <c r="W687" s="26">
        <f>MAX($C$10-VLOOKUP($C687,COS!$B$8:$H$991,3,FALSE),0)</f>
        <v>89483.75</v>
      </c>
      <c r="X687" s="26">
        <f t="shared" si="1086"/>
        <v>5324.6528925619832</v>
      </c>
      <c r="Y687" s="26">
        <f>VLOOKUP($C687,COS!$B$8:$H$991,4,FALSE)</f>
        <v>1822.423095703125</v>
      </c>
      <c r="Z687" s="26">
        <f t="shared" si="1087"/>
        <v>108.44170486828513</v>
      </c>
      <c r="AA687" s="26">
        <f t="shared" si="1102"/>
        <v>1822.423095703125</v>
      </c>
      <c r="AB687" s="33">
        <f t="shared" si="1058"/>
        <v>54.220852434142564</v>
      </c>
    </row>
    <row r="688" spans="1:28" x14ac:dyDescent="0.3">
      <c r="A688" s="34">
        <f>VLOOKUP(YEAR(C688),Flags!$A$13:$B$95,2,FALSE)</f>
        <v>1</v>
      </c>
      <c r="B688" s="35">
        <f t="shared" si="1054"/>
        <v>1996</v>
      </c>
      <c r="C688" s="36">
        <v>35430</v>
      </c>
      <c r="D688" s="37"/>
      <c r="E688" s="35"/>
      <c r="F688" s="37"/>
      <c r="G688" s="37"/>
      <c r="H688" s="37"/>
      <c r="I688" s="37"/>
      <c r="J688" s="37"/>
      <c r="K688" s="37"/>
      <c r="L688" s="35"/>
      <c r="M688" s="35"/>
      <c r="N688" s="37"/>
      <c r="O688" s="37"/>
      <c r="P688" s="37"/>
      <c r="Q688" s="37"/>
      <c r="R688" s="37"/>
      <c r="S688" s="37"/>
      <c r="T688" s="37"/>
      <c r="U688" s="37"/>
      <c r="V688" s="37"/>
      <c r="W688" s="37">
        <f>MAX($C$11-VLOOKUP($C688,COS!$B$8:$H$991,3,FALSE),0)</f>
        <v>0</v>
      </c>
      <c r="X688" s="37">
        <f t="shared" si="1086"/>
        <v>0</v>
      </c>
      <c r="Y688" s="37">
        <f>VLOOKUP($C688,COS!$B$8:$H$991,4,FALSE)</f>
        <v>0</v>
      </c>
      <c r="Z688" s="37">
        <f t="shared" si="1087"/>
        <v>0</v>
      </c>
      <c r="AA688" s="37">
        <f t="shared" si="1102"/>
        <v>0</v>
      </c>
      <c r="AB688" s="38">
        <f t="shared" si="1058"/>
        <v>0</v>
      </c>
    </row>
    <row r="689" spans="1:28" x14ac:dyDescent="0.3">
      <c r="A689" s="27">
        <f>VLOOKUP(YEAR(C689),Flags!$A$13:$B$95,2,FALSE)</f>
        <v>1</v>
      </c>
      <c r="B689" s="28">
        <f t="shared" si="1054"/>
        <v>1997</v>
      </c>
      <c r="C689" s="29">
        <v>35550</v>
      </c>
      <c r="D689" s="30">
        <f>VLOOKUP($C689,COS!$B$8:$H$991,3,FALSE)</f>
        <v>3250</v>
      </c>
      <c r="E689" s="28">
        <f>IF(D689&gt;=IF(MONTH($C689)=4,$C$3,IF(MONTH($C689)=5,$C$4,IF(MONTH($C689)=6,$C$5,IF(MONTH($C689)=7,$C$6,"ERROR")))),1,0)</f>
        <v>0</v>
      </c>
      <c r="F689" s="30">
        <f>VLOOKUP($C689,COS!$B$8:$H$991,7,FALSE)</f>
        <v>50.800266265869141</v>
      </c>
      <c r="G689" s="28">
        <f>IF(F689&lt;=IF(MONTH($C689)=4,$F$3,IF(MONTH($C689)=5,$F$4,IF(MONTH($C689)=6,$F$5,IF(MONTH($C689)=7,$F$6,"ERROR")))),1,0)</f>
        <v>1</v>
      </c>
      <c r="H689" s="30">
        <f>IF(J689=1,D689-$C$3,0)</f>
        <v>0</v>
      </c>
      <c r="I689" s="30">
        <f t="shared" si="1083"/>
        <v>0</v>
      </c>
      <c r="J689" s="28">
        <f t="shared" ref="J689:J692" si="1105">IF(AND(E689=1,G689=1),1,0)</f>
        <v>0</v>
      </c>
      <c r="K689" s="30">
        <f>VLOOKUP($C689,COS!$B$8:$H$991,2,FALSE)</f>
        <v>4284.2431640625</v>
      </c>
      <c r="L689" s="28">
        <f t="shared" ref="L689" si="1106">IF(K689&lt;=IF(MONTH($C689)=4,$I$3,IF(MONTH($C689)=5,$I$4,IF(MONTH($C689)=6,$I$5,IF(MONTH($C689)=7,$I$6,"ERROR")))),1,0)</f>
        <v>1</v>
      </c>
      <c r="M689" s="28">
        <f t="shared" ref="M689" si="1107">VLOOKUP($A689,$L$3:$M$7,2,FALSE)</f>
        <v>0</v>
      </c>
      <c r="N689" s="30">
        <f>VLOOKUP($C689,COS!$B$8:$H$991,5,FALSE)</f>
        <v>312.31362915039063</v>
      </c>
      <c r="O689" s="30">
        <f t="shared" ref="O689:O692" si="1108">N689*DAY($C689)*86400/43560/1000</f>
        <v>18.583951486634813</v>
      </c>
      <c r="P689" s="30">
        <f>VLOOKUP($C689,COS!$B$8:$H$991,6,FALSE)</f>
        <v>564.39752197265625</v>
      </c>
      <c r="Q689" s="30">
        <f t="shared" ref="Q689:Q692" si="1109">P689*DAY($C689)*86400/43560/1000</f>
        <v>33.583984778538223</v>
      </c>
      <c r="R689" s="30">
        <f>MIN(IF(MONTH($C689)=4,$S$3,IF(MONTH($C689)=5,$S$4,IF(MONTH($C689)=6,$S$5,IF(MONTH($C689)=7,$S$6,"ERROR")))),MAX(VLOOKUP($C689,COS!$B$8:$K$991,10,FALSE)-IF(MONTH($C689)=4,$Y$3,IF(MONTH($C689)=5,$Y$4,IF(MONTH($C689)=6,$Y$5,IF(MONTH($C689)=7,$Y$6,"ERROR")))),0),MAX(VLOOKUP($C689,COS!$B$8:$K$991,9,FALSE)-IF(MONTH($C689)=4,$V$3,IF(MONTH($C689)=5,$V$4,IF(MONTH($C689)=6,$V$5,IF(MONTH($C689)=7,$V$6,"ERROR"))))-VLOOKUP($C689,COS!$B$8:$K$991,6,FALSE)/2,0))</f>
        <v>1500</v>
      </c>
      <c r="S689" s="30">
        <f t="shared" ref="S689:S692" si="1110">R689*DAY($C689)*86400/43560/1000</f>
        <v>89.256198347107429</v>
      </c>
      <c r="T689" s="30">
        <f t="shared" ref="T689:T692" si="1111">(O689+Q689)/2+S689</f>
        <v>115.34016647969395</v>
      </c>
      <c r="U689" s="30" t="str">
        <f>IF(VLOOKUP($C689,COS!$B$8:$I$991,8,FALSE)=1,"UWFE","IBU")</f>
        <v>UWFE</v>
      </c>
      <c r="V689" s="30">
        <f t="shared" ref="V689" si="1112">MIN(IF(IF($AA$3=2,AND(E689=1,G689=1,L689=1,L694=1,M689=1,U689="IBU"),AND(E689=1,G689=1,L689=1,L694=1,M689=1)),T689,0),I689)</f>
        <v>0</v>
      </c>
      <c r="W689" s="30"/>
      <c r="X689" s="30"/>
      <c r="Y689" s="30"/>
      <c r="Z689" s="30"/>
      <c r="AA689" s="30"/>
      <c r="AB689" s="31"/>
    </row>
    <row r="690" spans="1:28" x14ac:dyDescent="0.3">
      <c r="A690" s="32">
        <f>VLOOKUP(YEAR(C690),Flags!$A$13:$B$95,2,FALSE)</f>
        <v>1</v>
      </c>
      <c r="B690" s="24">
        <f t="shared" si="1054"/>
        <v>1997</v>
      </c>
      <c r="C690" s="25">
        <v>35581</v>
      </c>
      <c r="D690" s="26">
        <f>VLOOKUP($C690,COS!$B$8:$H$991,3,FALSE)</f>
        <v>8600.0205078125</v>
      </c>
      <c r="E690" s="24">
        <f>IF(D690&gt;=IF(MONTH($C690)=4,$C$3,IF(MONTH($C690)=5,$C$4,IF(MONTH($C690)=6,$C$5,IF(MONTH($C690)=7,$C$6,"ERROR")))),1,0)</f>
        <v>1</v>
      </c>
      <c r="F690" s="26">
        <f>VLOOKUP($C690,COS!$B$8:$H$991,7,FALSE)</f>
        <v>50.114212036132813</v>
      </c>
      <c r="G690" s="24">
        <f>IF(F690&lt;=IF(MONTH($C690)=4,$F$3,IF(MONTH($C690)=5,$F$4,IF(MONTH($C690)=6,$F$5,IF(MONTH($C690)=7,$F$6,"ERROR")))),1,0)</f>
        <v>1</v>
      </c>
      <c r="H690" s="26">
        <f>IF(J690=1,D690-$C$4,0)</f>
        <v>2600.0205078125</v>
      </c>
      <c r="I690" s="26">
        <f t="shared" si="1083"/>
        <v>159.86902957128098</v>
      </c>
      <c r="J690" s="24">
        <f t="shared" si="1105"/>
        <v>1</v>
      </c>
      <c r="K690" s="26">
        <f>VLOOKUP($C690,COS!$B$8:$H$991,2,FALSE)</f>
        <v>4051.203369140625</v>
      </c>
      <c r="L690" s="24">
        <f t="shared" si="1046"/>
        <v>1</v>
      </c>
      <c r="M690" s="24">
        <f t="shared" si="1047"/>
        <v>0</v>
      </c>
      <c r="N690" s="26">
        <f>VLOOKUP($C690,COS!$B$8:$H$991,5,FALSE)</f>
        <v>869.624755859375</v>
      </c>
      <c r="O690" s="26">
        <f t="shared" si="1108"/>
        <v>53.471142013171487</v>
      </c>
      <c r="P690" s="26">
        <f>VLOOKUP($C690,COS!$B$8:$H$991,6,FALSE)</f>
        <v>2219.110107421875</v>
      </c>
      <c r="Q690" s="26">
        <f t="shared" si="1109"/>
        <v>136.44776197701447</v>
      </c>
      <c r="R690" s="26">
        <f>MIN(IF(MONTH($C690)=4,$S$3,IF(MONTH($C690)=5,$S$4,IF(MONTH($C690)=6,$S$5,IF(MONTH($C690)=7,$S$6,"ERROR")))),MAX(VLOOKUP($C690,COS!$B$8:$K$991,10,FALSE)-IF(MONTH($C690)=4,$Y$3,IF(MONTH($C690)=5,$Y$4,IF(MONTH($C690)=6,$Y$5,IF(MONTH($C690)=7,$Y$6,"ERROR")))),0),MAX(VLOOKUP($C690,COS!$B$8:$K$991,9,FALSE)-IF(MONTH($C690)=4,$V$3,IF(MONTH($C690)=5,$V$4,IF(MONTH($C690)=6,$V$5,IF(MONTH($C690)=7,$V$6,"ERROR"))))-VLOOKUP($C690,COS!$B$8:$K$991,6,FALSE)/2,0))</f>
        <v>1500</v>
      </c>
      <c r="S690" s="26">
        <f t="shared" si="1110"/>
        <v>92.231404958677686</v>
      </c>
      <c r="T690" s="26">
        <f t="shared" si="1111"/>
        <v>187.19085695377066</v>
      </c>
      <c r="U690" s="26" t="str">
        <f>IF(VLOOKUP($C690,COS!$B$8:$I$991,8,FALSE)=1,"UWFE","IBU")</f>
        <v>UWFE</v>
      </c>
      <c r="V690" s="26">
        <f t="shared" ref="V690" si="1113">MIN(IF(IF($AA$3=2,AND(E690=1,G690=1,L690=1,L694=1,M690=1,U690="IBU"),AND(E690=1,G690=1,L690=1,L694=1,M690=1)),T690,0),I690)</f>
        <v>0</v>
      </c>
      <c r="W690" s="26"/>
      <c r="X690" s="26"/>
      <c r="Y690" s="26"/>
      <c r="Z690" s="26"/>
      <c r="AA690" s="26"/>
      <c r="AB690" s="33"/>
    </row>
    <row r="691" spans="1:28" x14ac:dyDescent="0.3">
      <c r="A691" s="32">
        <f>VLOOKUP(YEAR(C691),Flags!$A$13:$B$95,2,FALSE)</f>
        <v>1</v>
      </c>
      <c r="B691" s="24">
        <f t="shared" si="1054"/>
        <v>1997</v>
      </c>
      <c r="C691" s="25">
        <v>35611</v>
      </c>
      <c r="D691" s="26">
        <f>VLOOKUP($C691,COS!$B$8:$H$991,3,FALSE)</f>
        <v>8785.2919921875</v>
      </c>
      <c r="E691" s="24">
        <f>IF(D691&gt;=IF(MONTH($C691)=4,$C$3,IF(MONTH($C691)=5,$C$4,IF(MONTH($C691)=6,$C$5,IF(MONTH($C691)=7,$C$6,"ERROR")))),1,0)</f>
        <v>0</v>
      </c>
      <c r="F691" s="26">
        <f>VLOOKUP($C691,COS!$B$8:$H$991,7,FALSE)</f>
        <v>50.868202209472656</v>
      </c>
      <c r="G691" s="24">
        <f>IF(F691&lt;=IF(MONTH($C691)=4,$F$3,IF(MONTH($C691)=5,$F$4,IF(MONTH($C691)=6,$F$5,IF(MONTH($C691)=7,$F$6,"ERROR")))),1,0)</f>
        <v>1</v>
      </c>
      <c r="H691" s="26">
        <f>IF(J691=1,D691-$C$5,0)</f>
        <v>0</v>
      </c>
      <c r="I691" s="26">
        <f t="shared" si="1083"/>
        <v>0</v>
      </c>
      <c r="J691" s="24">
        <f t="shared" si="1105"/>
        <v>0</v>
      </c>
      <c r="K691" s="26">
        <f>VLOOKUP($C691,COS!$B$8:$H$991,2,FALSE)</f>
        <v>3776.169677734375</v>
      </c>
      <c r="L691" s="24">
        <f t="shared" si="1046"/>
        <v>1</v>
      </c>
      <c r="M691" s="24">
        <f t="shared" si="1047"/>
        <v>0</v>
      </c>
      <c r="N691" s="26">
        <f>VLOOKUP($C691,COS!$B$8:$H$991,5,FALSE)</f>
        <v>771.67578125</v>
      </c>
      <c r="O691" s="26">
        <f t="shared" si="1108"/>
        <v>45.917897727272731</v>
      </c>
      <c r="P691" s="26">
        <f>VLOOKUP($C691,COS!$B$8:$H$991,6,FALSE)</f>
        <v>2299.130615234375</v>
      </c>
      <c r="Q691" s="26">
        <f t="shared" si="1109"/>
        <v>136.80777214617768</v>
      </c>
      <c r="R691" s="26">
        <f>MIN(IF(MONTH($C691)=4,$S$3,IF(MONTH($C691)=5,$S$4,IF(MONTH($C691)=6,$S$5,IF(MONTH($C691)=7,$S$6,"ERROR")))),MAX(VLOOKUP($C691,COS!$B$8:$K$991,10,FALSE)-IF(MONTH($C691)=4,$Y$3,IF(MONTH($C691)=5,$Y$4,IF(MONTH($C691)=6,$Y$5,IF(MONTH($C691)=7,$Y$6,"ERROR")))),0),MAX(VLOOKUP($C691,COS!$B$8:$K$991,9,FALSE)-IF(MONTH($C691)=4,$V$3,IF(MONTH($C691)=5,$V$4,IF(MONTH($C691)=6,$V$5,IF(MONTH($C691)=7,$V$6,"ERROR"))))-VLOOKUP($C691,COS!$B$8:$K$991,6,FALSE)/2,0))</f>
        <v>1500</v>
      </c>
      <c r="S691" s="26">
        <f t="shared" si="1110"/>
        <v>89.256198347107429</v>
      </c>
      <c r="T691" s="26">
        <f t="shared" si="1111"/>
        <v>180.61903328383264</v>
      </c>
      <c r="U691" s="26" t="str">
        <f>IF(VLOOKUP($C691,COS!$B$8:$I$991,8,FALSE)=1,"UWFE","IBU")</f>
        <v>IBU</v>
      </c>
      <c r="V691" s="26">
        <f t="shared" ref="V691" si="1114">MIN(IF(IF($AA$3=2,AND(E691=1,G691=1,L691=1,L694=1,M691=1,U691="IBU"),AND(E691=1,G691=1,L691=1,L694=1,M691=1)),T691,0),I691)</f>
        <v>0</v>
      </c>
      <c r="W691" s="26"/>
      <c r="X691" s="26"/>
      <c r="Y691" s="26"/>
      <c r="Z691" s="26"/>
      <c r="AA691" s="26"/>
      <c r="AB691" s="33"/>
    </row>
    <row r="692" spans="1:28" x14ac:dyDescent="0.3">
      <c r="A692" s="32">
        <f>VLOOKUP(YEAR(C692),Flags!$A$13:$B$95,2,FALSE)</f>
        <v>1</v>
      </c>
      <c r="B692" s="24">
        <f t="shared" si="1054"/>
        <v>1997</v>
      </c>
      <c r="C692" s="25">
        <v>35642</v>
      </c>
      <c r="D692" s="26">
        <f>VLOOKUP($C692,COS!$B$8:$H$991,3,FALSE)</f>
        <v>15565.1083984375</v>
      </c>
      <c r="E692" s="24">
        <f>IF(D692&gt;=IF(MONTH($C692)=4,$C$3,IF(MONTH($C692)=5,$C$4,IF(MONTH($C692)=6,$C$5,IF(MONTH($C692)=7,$C$6,"ERROR")))),1,0)</f>
        <v>1</v>
      </c>
      <c r="F692" s="26">
        <f>VLOOKUP($C692,COS!$B$8:$H$991,7,FALSE)</f>
        <v>51.028911590576172</v>
      </c>
      <c r="G692" s="24">
        <f>IF(F692&lt;=IF(MONTH($C692)=4,$F$3,IF(MONTH($C692)=5,$F$4,IF(MONTH($C692)=6,$F$5,IF(MONTH($C692)=7,$F$6,"ERROR")))),1,0)</f>
        <v>1</v>
      </c>
      <c r="H692" s="26">
        <f>IF(J692=1,D692-$C$6,0)</f>
        <v>3565.1083984375</v>
      </c>
      <c r="I692" s="26">
        <f t="shared" si="1083"/>
        <v>219.20997094524793</v>
      </c>
      <c r="J692" s="24">
        <f t="shared" si="1105"/>
        <v>1</v>
      </c>
      <c r="K692" s="26">
        <f>VLOOKUP($C692,COS!$B$8:$H$991,2,FALSE)</f>
        <v>3132.19189453125</v>
      </c>
      <c r="L692" s="24">
        <f t="shared" si="1046"/>
        <v>1</v>
      </c>
      <c r="M692" s="24">
        <f t="shared" si="1047"/>
        <v>0</v>
      </c>
      <c r="N692" s="26">
        <f>VLOOKUP($C692,COS!$B$8:$H$991,5,FALSE)</f>
        <v>889.0089111328125</v>
      </c>
      <c r="O692" s="26">
        <f t="shared" si="1108"/>
        <v>54.663027263042359</v>
      </c>
      <c r="P692" s="26">
        <f>VLOOKUP($C692,COS!$B$8:$H$991,6,FALSE)</f>
        <v>2607.468505859375</v>
      </c>
      <c r="Q692" s="26">
        <f t="shared" si="1109"/>
        <v>160.32698912060951</v>
      </c>
      <c r="R692" s="26">
        <f>MIN(IF(MONTH($C692)=4,$S$3,IF(MONTH($C692)=5,$S$4,IF(MONTH($C692)=6,$S$5,IF(MONTH($C692)=7,$S$6,"ERROR")))),MAX(VLOOKUP($C692,COS!$B$8:$K$991,10,FALSE)-IF(MONTH($C692)=4,$Y$3,IF(MONTH($C692)=5,$Y$4,IF(MONTH($C692)=6,$Y$5,IF(MONTH($C692)=7,$Y$6,"ERROR")))),0),MAX(VLOOKUP($C692,COS!$B$8:$K$991,9,FALSE)-IF(MONTH($C692)=4,$V$3,IF(MONTH($C692)=5,$V$4,IF(MONTH($C692)=6,$V$5,IF(MONTH($C692)=7,$V$6,"ERROR"))))-VLOOKUP($C692,COS!$B$8:$K$991,6,FALSE)/2,0))</f>
        <v>1500</v>
      </c>
      <c r="S692" s="26">
        <f t="shared" si="1110"/>
        <v>92.231404958677686</v>
      </c>
      <c r="T692" s="26">
        <f t="shared" si="1111"/>
        <v>199.72641315050362</v>
      </c>
      <c r="U692" s="26" t="str">
        <f>IF(VLOOKUP($C692,COS!$B$8:$I$991,8,FALSE)=1,"UWFE","IBU")</f>
        <v>IBU</v>
      </c>
      <c r="V692" s="26">
        <f t="shared" ref="V692" si="1115">MIN(IF(IF($AA$3=2,AND(E692=1,G692=1,L692=1,L694=1,M692=1,U692="IBU"),AND(E692=1,G692=1,L692=1,L694=1,M692=1)),T692,0),I692)</f>
        <v>0</v>
      </c>
      <c r="W692" s="26"/>
      <c r="X692" s="26"/>
      <c r="Y692" s="26"/>
      <c r="Z692" s="26"/>
      <c r="AA692" s="26"/>
      <c r="AB692" s="33"/>
    </row>
    <row r="693" spans="1:28" x14ac:dyDescent="0.3">
      <c r="A693" s="32">
        <f>VLOOKUP(YEAR(C693),Flags!$A$13:$B$95,2,FALSE)</f>
        <v>1</v>
      </c>
      <c r="B693" s="24">
        <f t="shared" si="1054"/>
        <v>1997</v>
      </c>
      <c r="C693" s="25">
        <v>35673</v>
      </c>
      <c r="D693" s="26"/>
      <c r="E693" s="24"/>
      <c r="F693" s="26"/>
      <c r="G693" s="24"/>
      <c r="H693" s="24"/>
      <c r="I693" s="26"/>
      <c r="J693" s="24"/>
      <c r="K693" s="26"/>
      <c r="L693" s="24"/>
      <c r="M693" s="24"/>
      <c r="N693" s="26"/>
      <c r="O693" s="26"/>
      <c r="P693" s="26"/>
      <c r="Q693" s="26"/>
      <c r="R693" s="26"/>
      <c r="S693" s="26"/>
      <c r="T693" s="26"/>
      <c r="U693" s="26"/>
      <c r="V693" s="26"/>
      <c r="W693" s="26">
        <f>MAX($C$7-VLOOKUP($C693,COS!$B$8:$H$991,3,FALSE),0)</f>
        <v>91754.5810546875</v>
      </c>
      <c r="X693" s="26">
        <f t="shared" si="1086"/>
        <v>5641.7692813791327</v>
      </c>
      <c r="Y693" s="26">
        <f>VLOOKUP($C693,COS!$B$8:$H$991,4,FALSE)</f>
        <v>0</v>
      </c>
      <c r="Z693" s="26">
        <f t="shared" si="1087"/>
        <v>0</v>
      </c>
      <c r="AA693" s="26">
        <f t="shared" ref="AA693:AA697" si="1116">MIN(W693,Y693)</f>
        <v>0</v>
      </c>
      <c r="AB693" s="33">
        <f t="shared" ref="AB693" si="1117">AA693*DAY($C693)*86400/43560/1000*IF(MONTH($C693)=8,$P$3,IF(MONTH($C693)=9,$P$4,IF(MONTH($C693)=10,$P$5,IF(MONTH($C693)=11,$P$6,IF(MONTH($C693)=12,$P$7,NA())))))</f>
        <v>0</v>
      </c>
    </row>
    <row r="694" spans="1:28" x14ac:dyDescent="0.3">
      <c r="A694" s="32">
        <f>VLOOKUP(YEAR(C694),Flags!$A$13:$B$95,2,FALSE)</f>
        <v>1</v>
      </c>
      <c r="B694" s="24">
        <f t="shared" si="1054"/>
        <v>1997</v>
      </c>
      <c r="C694" s="25">
        <v>35703</v>
      </c>
      <c r="D694" s="26"/>
      <c r="E694" s="24"/>
      <c r="F694" s="26"/>
      <c r="G694" s="24"/>
      <c r="H694" s="24"/>
      <c r="I694" s="26"/>
      <c r="J694" s="24"/>
      <c r="K694" s="26">
        <f>VLOOKUP($C694,COS!$B$8:$H$991,2,FALSE)</f>
        <v>2308.70703125</v>
      </c>
      <c r="L694" s="24">
        <f t="shared" ref="L694" si="1118">IF(AND(K694&gt;$I$7,K694&lt;$I$8),1,0)</f>
        <v>1</v>
      </c>
      <c r="M694" s="24"/>
      <c r="N694" s="26"/>
      <c r="O694" s="26"/>
      <c r="P694" s="26"/>
      <c r="Q694" s="26"/>
      <c r="R694" s="26"/>
      <c r="S694" s="26"/>
      <c r="T694" s="26"/>
      <c r="U694" s="26"/>
      <c r="V694" s="26"/>
      <c r="W694" s="26">
        <f>MAX($C$8-VLOOKUP($C694,COS!$B$8:$H$991,3,FALSE),0)</f>
        <v>84248.9375</v>
      </c>
      <c r="X694" s="26">
        <f t="shared" si="1086"/>
        <v>5013.1599173553714</v>
      </c>
      <c r="Y694" s="26">
        <f>VLOOKUP($C694,COS!$B$8:$H$991,4,FALSE)</f>
        <v>0</v>
      </c>
      <c r="Z694" s="26">
        <f t="shared" si="1087"/>
        <v>0</v>
      </c>
      <c r="AA694" s="26">
        <f t="shared" si="1116"/>
        <v>0</v>
      </c>
      <c r="AB694" s="33">
        <f t="shared" si="1058"/>
        <v>0</v>
      </c>
    </row>
    <row r="695" spans="1:28" x14ac:dyDescent="0.3">
      <c r="A695" s="32">
        <f>VLOOKUP(YEAR(C695),Flags!$A$13:$B$95,2,FALSE)</f>
        <v>1</v>
      </c>
      <c r="B695" s="24">
        <f t="shared" si="1054"/>
        <v>1997</v>
      </c>
      <c r="C695" s="25">
        <v>35734</v>
      </c>
      <c r="D695" s="26"/>
      <c r="E695" s="24"/>
      <c r="F695" s="26"/>
      <c r="G695" s="26"/>
      <c r="H695" s="26"/>
      <c r="I695" s="26"/>
      <c r="J695" s="26"/>
      <c r="K695" s="26"/>
      <c r="L695" s="24"/>
      <c r="M695" s="24"/>
      <c r="N695" s="26"/>
      <c r="O695" s="26"/>
      <c r="P695" s="26"/>
      <c r="Q695" s="26"/>
      <c r="R695" s="26"/>
      <c r="S695" s="26"/>
      <c r="T695" s="26"/>
      <c r="U695" s="26"/>
      <c r="V695" s="26"/>
      <c r="W695" s="26">
        <f>MAX($C$9-VLOOKUP($C695,COS!$B$8:$H$991,3,FALSE),0)</f>
        <v>89158.6005859375</v>
      </c>
      <c r="X695" s="26">
        <f t="shared" si="1086"/>
        <v>5482.1486641270658</v>
      </c>
      <c r="Y695" s="26">
        <f>VLOOKUP($C695,COS!$B$8:$H$991,4,FALSE)</f>
        <v>1005.2962646484375</v>
      </c>
      <c r="Z695" s="26">
        <f t="shared" si="1087"/>
        <v>61.813257925490703</v>
      </c>
      <c r="AA695" s="26">
        <f t="shared" si="1116"/>
        <v>1005.2962646484375</v>
      </c>
      <c r="AB695" s="33">
        <f t="shared" si="1058"/>
        <v>61.813257925490703</v>
      </c>
    </row>
    <row r="696" spans="1:28" x14ac:dyDescent="0.3">
      <c r="A696" s="32">
        <f>VLOOKUP(YEAR(C696),Flags!$A$13:$B$95,2,FALSE)</f>
        <v>1</v>
      </c>
      <c r="B696" s="24">
        <f t="shared" si="1054"/>
        <v>1997</v>
      </c>
      <c r="C696" s="25">
        <v>35764</v>
      </c>
      <c r="D696" s="26"/>
      <c r="E696" s="24"/>
      <c r="F696" s="26"/>
      <c r="G696" s="26"/>
      <c r="H696" s="26"/>
      <c r="I696" s="26"/>
      <c r="J696" s="26"/>
      <c r="K696" s="26"/>
      <c r="L696" s="24"/>
      <c r="M696" s="24"/>
      <c r="N696" s="26"/>
      <c r="O696" s="26"/>
      <c r="P696" s="26"/>
      <c r="Q696" s="26"/>
      <c r="R696" s="26"/>
      <c r="S696" s="26"/>
      <c r="T696" s="26"/>
      <c r="U696" s="26"/>
      <c r="V696" s="26"/>
      <c r="W696" s="26">
        <f>MAX($C$10-VLOOKUP($C696,COS!$B$8:$H$991,3,FALSE),0)</f>
        <v>89428.9970703125</v>
      </c>
      <c r="X696" s="26">
        <f t="shared" si="1086"/>
        <v>5321.3948669938018</v>
      </c>
      <c r="Y696" s="26">
        <f>VLOOKUP($C696,COS!$B$8:$H$991,4,FALSE)</f>
        <v>1155.107177734375</v>
      </c>
      <c r="Z696" s="26">
        <f t="shared" si="1087"/>
        <v>68.733650245351242</v>
      </c>
      <c r="AA696" s="26">
        <f t="shared" si="1116"/>
        <v>1155.107177734375</v>
      </c>
      <c r="AB696" s="33">
        <f t="shared" si="1058"/>
        <v>34.366825122675621</v>
      </c>
    </row>
    <row r="697" spans="1:28" x14ac:dyDescent="0.3">
      <c r="A697" s="34">
        <f>VLOOKUP(YEAR(C697),Flags!$A$13:$B$95,2,FALSE)</f>
        <v>1</v>
      </c>
      <c r="B697" s="35">
        <f t="shared" si="1054"/>
        <v>1997</v>
      </c>
      <c r="C697" s="36">
        <v>35795</v>
      </c>
      <c r="D697" s="37"/>
      <c r="E697" s="35"/>
      <c r="F697" s="37"/>
      <c r="G697" s="37"/>
      <c r="H697" s="37"/>
      <c r="I697" s="37"/>
      <c r="J697" s="37"/>
      <c r="K697" s="37"/>
      <c r="L697" s="35"/>
      <c r="M697" s="35"/>
      <c r="N697" s="37"/>
      <c r="O697" s="37"/>
      <c r="P697" s="37"/>
      <c r="Q697" s="37"/>
      <c r="R697" s="37"/>
      <c r="S697" s="37"/>
      <c r="T697" s="37"/>
      <c r="U697" s="37"/>
      <c r="V697" s="37"/>
      <c r="W697" s="37">
        <f>MAX($C$11-VLOOKUP($C697,COS!$B$8:$H$991,3,FALSE),0)</f>
        <v>0</v>
      </c>
      <c r="X697" s="37">
        <f t="shared" si="1086"/>
        <v>0</v>
      </c>
      <c r="Y697" s="37">
        <f>VLOOKUP($C697,COS!$B$8:$H$991,4,FALSE)</f>
        <v>0</v>
      </c>
      <c r="Z697" s="37">
        <f t="shared" si="1087"/>
        <v>0</v>
      </c>
      <c r="AA697" s="37">
        <f t="shared" si="1116"/>
        <v>0</v>
      </c>
      <c r="AB697" s="38">
        <f t="shared" si="1058"/>
        <v>0</v>
      </c>
    </row>
    <row r="698" spans="1:28" x14ac:dyDescent="0.3">
      <c r="A698" s="27">
        <f>VLOOKUP(YEAR(C698),Flags!$A$13:$B$95,2,FALSE)</f>
        <v>1</v>
      </c>
      <c r="B698" s="28">
        <f t="shared" si="1054"/>
        <v>1998</v>
      </c>
      <c r="C698" s="29">
        <v>35915</v>
      </c>
      <c r="D698" s="30">
        <f>VLOOKUP($C698,COS!$B$8:$H$991,3,FALSE)</f>
        <v>3250</v>
      </c>
      <c r="E698" s="28">
        <f>IF(D698&gt;=IF(MONTH($C698)=4,$C$3,IF(MONTH($C698)=5,$C$4,IF(MONTH($C698)=6,$C$5,IF(MONTH($C698)=7,$C$6,"ERROR")))),1,0)</f>
        <v>0</v>
      </c>
      <c r="F698" s="30">
        <f>VLOOKUP($C698,COS!$B$8:$H$991,7,FALSE)</f>
        <v>51.311630249023438</v>
      </c>
      <c r="G698" s="28">
        <f>IF(F698&lt;=IF(MONTH($C698)=4,$F$3,IF(MONTH($C698)=5,$F$4,IF(MONTH($C698)=6,$F$5,IF(MONTH($C698)=7,$F$6,"ERROR")))),1,0)</f>
        <v>1</v>
      </c>
      <c r="H698" s="30">
        <f>IF(J698=1,D698-$C$3,0)</f>
        <v>0</v>
      </c>
      <c r="I698" s="30">
        <f t="shared" si="1083"/>
        <v>0</v>
      </c>
      <c r="J698" s="28">
        <f t="shared" ref="J698:J701" si="1119">IF(AND(E698=1,G698=1),1,0)</f>
        <v>0</v>
      </c>
      <c r="K698" s="30">
        <f>VLOOKUP($C698,COS!$B$8:$H$991,2,FALSE)</f>
        <v>4367.82666015625</v>
      </c>
      <c r="L698" s="28">
        <f t="shared" ref="L698" si="1120">IF(K698&lt;=IF(MONTH($C698)=4,$I$3,IF(MONTH($C698)=5,$I$4,IF(MONTH($C698)=6,$I$5,IF(MONTH($C698)=7,$I$6,"ERROR")))),1,0)</f>
        <v>1</v>
      </c>
      <c r="M698" s="28">
        <f t="shared" ref="M698" si="1121">VLOOKUP($A698,$L$3:$M$7,2,FALSE)</f>
        <v>0</v>
      </c>
      <c r="N698" s="30">
        <f>VLOOKUP($C698,COS!$B$8:$H$991,5,FALSE)</f>
        <v>36.427017211914063</v>
      </c>
      <c r="O698" s="30">
        <f t="shared" ref="O698:O701" si="1122">N698*DAY($C698)*86400/43560/1000</f>
        <v>2.1675580489733988</v>
      </c>
      <c r="P698" s="30">
        <f>VLOOKUP($C698,COS!$B$8:$H$991,6,FALSE)</f>
        <v>359.47348022460938</v>
      </c>
      <c r="Q698" s="30">
        <f t="shared" ref="Q698:Q701" si="1123">P698*DAY($C698)*86400/43560/1000</f>
        <v>21.390157500968492</v>
      </c>
      <c r="R698" s="30">
        <f>MIN(IF(MONTH($C698)=4,$S$3,IF(MONTH($C698)=5,$S$4,IF(MONTH($C698)=6,$S$5,IF(MONTH($C698)=7,$S$6,"ERROR")))),MAX(VLOOKUP($C698,COS!$B$8:$K$991,10,FALSE)-IF(MONTH($C698)=4,$Y$3,IF(MONTH($C698)=5,$Y$4,IF(MONTH($C698)=6,$Y$5,IF(MONTH($C698)=7,$Y$6,"ERROR")))),0),MAX(VLOOKUP($C698,COS!$B$8:$K$991,9,FALSE)-IF(MONTH($C698)=4,$V$3,IF(MONTH($C698)=5,$V$4,IF(MONTH($C698)=6,$V$5,IF(MONTH($C698)=7,$V$6,"ERROR"))))-VLOOKUP($C698,COS!$B$8:$K$991,6,FALSE)/2,0))</f>
        <v>1500</v>
      </c>
      <c r="S698" s="30">
        <f t="shared" ref="S698:S701" si="1124">R698*DAY($C698)*86400/43560/1000</f>
        <v>89.256198347107429</v>
      </c>
      <c r="T698" s="30">
        <f t="shared" ref="T698:T701" si="1125">(O698+Q698)/2+S698</f>
        <v>101.03505612207837</v>
      </c>
      <c r="U698" s="30" t="str">
        <f>IF(VLOOKUP($C698,COS!$B$8:$I$991,8,FALSE)=1,"UWFE","IBU")</f>
        <v>UWFE</v>
      </c>
      <c r="V698" s="30">
        <f t="shared" ref="V698" si="1126">MIN(IF(IF($AA$3=2,AND(E698=1,G698=1,L698=1,L703=1,M698=1,U698="IBU"),AND(E698=1,G698=1,L698=1,L703=1,M698=1)),T698,0),I698)</f>
        <v>0</v>
      </c>
      <c r="W698" s="30"/>
      <c r="X698" s="30"/>
      <c r="Y698" s="30"/>
      <c r="Z698" s="30"/>
      <c r="AA698" s="30"/>
      <c r="AB698" s="31"/>
    </row>
    <row r="699" spans="1:28" x14ac:dyDescent="0.3">
      <c r="A699" s="32">
        <f>VLOOKUP(YEAR(C699),Flags!$A$13:$B$95,2,FALSE)</f>
        <v>1</v>
      </c>
      <c r="B699" s="24">
        <f t="shared" si="1054"/>
        <v>1998</v>
      </c>
      <c r="C699" s="25">
        <v>35946</v>
      </c>
      <c r="D699" s="26">
        <f>VLOOKUP($C699,COS!$B$8:$H$991,3,FALSE)</f>
        <v>14100.6455078125</v>
      </c>
      <c r="E699" s="24">
        <f>IF(D699&gt;=IF(MONTH($C699)=4,$C$3,IF(MONTH($C699)=5,$C$4,IF(MONTH($C699)=6,$C$5,IF(MONTH($C699)=7,$C$6,"ERROR")))),1,0)</f>
        <v>1</v>
      </c>
      <c r="F699" s="26">
        <f>VLOOKUP($C699,COS!$B$8:$H$991,7,FALSE)</f>
        <v>48.434772491455078</v>
      </c>
      <c r="G699" s="24">
        <f>IF(F699&lt;=IF(MONTH($C699)=4,$F$3,IF(MONTH($C699)=5,$F$4,IF(MONTH($C699)=6,$F$5,IF(MONTH($C699)=7,$F$6,"ERROR")))),1,0)</f>
        <v>1</v>
      </c>
      <c r="H699" s="26">
        <f>IF(J699=1,D699-$C$4,0)</f>
        <v>8100.6455078125</v>
      </c>
      <c r="I699" s="26">
        <f t="shared" si="1083"/>
        <v>498.08927750516534</v>
      </c>
      <c r="J699" s="24">
        <f t="shared" si="1119"/>
        <v>1</v>
      </c>
      <c r="K699" s="26">
        <f>VLOOKUP($C699,COS!$B$8:$H$991,2,FALSE)</f>
        <v>4552</v>
      </c>
      <c r="L699" s="24">
        <f t="shared" si="1046"/>
        <v>1</v>
      </c>
      <c r="M699" s="24">
        <f t="shared" si="1047"/>
        <v>0</v>
      </c>
      <c r="N699" s="26">
        <f>VLOOKUP($C699,COS!$B$8:$H$991,5,FALSE)</f>
        <v>95.197517395019531</v>
      </c>
      <c r="O699" s="26">
        <f t="shared" si="1122"/>
        <v>5.8534671852805396</v>
      </c>
      <c r="P699" s="26">
        <f>VLOOKUP($C699,COS!$B$8:$H$991,6,FALSE)</f>
        <v>1202.3902587890625</v>
      </c>
      <c r="Q699" s="26">
        <f t="shared" si="1123"/>
        <v>73.932095251162181</v>
      </c>
      <c r="R699" s="26">
        <f>MIN(IF(MONTH($C699)=4,$S$3,IF(MONTH($C699)=5,$S$4,IF(MONTH($C699)=6,$S$5,IF(MONTH($C699)=7,$S$6,"ERROR")))),MAX(VLOOKUP($C699,COS!$B$8:$K$991,10,FALSE)-IF(MONTH($C699)=4,$Y$3,IF(MONTH($C699)=5,$Y$4,IF(MONTH($C699)=6,$Y$5,IF(MONTH($C699)=7,$Y$6,"ERROR")))),0),MAX(VLOOKUP($C699,COS!$B$8:$K$991,9,FALSE)-IF(MONTH($C699)=4,$V$3,IF(MONTH($C699)=5,$V$4,IF(MONTH($C699)=6,$V$5,IF(MONTH($C699)=7,$V$6,"ERROR"))))-VLOOKUP($C699,COS!$B$8:$K$991,6,FALSE)/2,0))</f>
        <v>1500</v>
      </c>
      <c r="S699" s="26">
        <f t="shared" si="1124"/>
        <v>92.231404958677686</v>
      </c>
      <c r="T699" s="26">
        <f t="shared" si="1125"/>
        <v>132.12418617689906</v>
      </c>
      <c r="U699" s="26" t="str">
        <f>IF(VLOOKUP($C699,COS!$B$8:$I$991,8,FALSE)=1,"UWFE","IBU")</f>
        <v>UWFE</v>
      </c>
      <c r="V699" s="26">
        <f t="shared" ref="V699" si="1127">MIN(IF(IF($AA$3=2,AND(E699=1,G699=1,L699=1,L703=1,M699=1,U699="IBU"),AND(E699=1,G699=1,L699=1,L703=1,M699=1)),T699,0),I699)</f>
        <v>0</v>
      </c>
      <c r="W699" s="26"/>
      <c r="X699" s="26"/>
      <c r="Y699" s="26"/>
      <c r="Z699" s="26"/>
      <c r="AA699" s="26"/>
      <c r="AB699" s="33"/>
    </row>
    <row r="700" spans="1:28" x14ac:dyDescent="0.3">
      <c r="A700" s="32">
        <f>VLOOKUP(YEAR(C700),Flags!$A$13:$B$95,2,FALSE)</f>
        <v>1</v>
      </c>
      <c r="B700" s="24">
        <f t="shared" si="1054"/>
        <v>1998</v>
      </c>
      <c r="C700" s="25">
        <v>35976</v>
      </c>
      <c r="D700" s="26">
        <f>VLOOKUP($C700,COS!$B$8:$H$991,3,FALSE)</f>
        <v>16775.65625</v>
      </c>
      <c r="E700" s="24">
        <f>IF(D700&gt;=IF(MONTH($C700)=4,$C$3,IF(MONTH($C700)=5,$C$4,IF(MONTH($C700)=6,$C$5,IF(MONTH($C700)=7,$C$6,"ERROR")))),1,0)</f>
        <v>1</v>
      </c>
      <c r="F700" s="26">
        <f>VLOOKUP($C700,COS!$B$8:$H$991,7,FALSE)</f>
        <v>50.810955047607422</v>
      </c>
      <c r="G700" s="24">
        <f>IF(F700&lt;=IF(MONTH($C700)=4,$F$3,IF(MONTH($C700)=5,$F$4,IF(MONTH($C700)=6,$F$5,IF(MONTH($C700)=7,$F$6,"ERROR")))),1,0)</f>
        <v>1</v>
      </c>
      <c r="H700" s="26">
        <f>IF(J700=1,D700-$C$5,0)</f>
        <v>6775.65625</v>
      </c>
      <c r="I700" s="26">
        <f t="shared" si="1083"/>
        <v>403.17954545454546</v>
      </c>
      <c r="J700" s="24">
        <f t="shared" si="1119"/>
        <v>1</v>
      </c>
      <c r="K700" s="26">
        <f>VLOOKUP($C700,COS!$B$8:$H$991,2,FALSE)</f>
        <v>4500</v>
      </c>
      <c r="L700" s="24">
        <f t="shared" si="1046"/>
        <v>1</v>
      </c>
      <c r="M700" s="24">
        <f t="shared" si="1047"/>
        <v>0</v>
      </c>
      <c r="N700" s="26">
        <f>VLOOKUP($C700,COS!$B$8:$H$991,5,FALSE)</f>
        <v>1109.75537109375</v>
      </c>
      <c r="O700" s="26">
        <f t="shared" si="1122"/>
        <v>66.035030346074379</v>
      </c>
      <c r="P700" s="26">
        <f>VLOOKUP($C700,COS!$B$8:$H$991,6,FALSE)</f>
        <v>2242.28173828125</v>
      </c>
      <c r="Q700" s="26">
        <f t="shared" si="1123"/>
        <v>133.42502905475206</v>
      </c>
      <c r="R700" s="26">
        <f>MIN(IF(MONTH($C700)=4,$S$3,IF(MONTH($C700)=5,$S$4,IF(MONTH($C700)=6,$S$5,IF(MONTH($C700)=7,$S$6,"ERROR")))),MAX(VLOOKUP($C700,COS!$B$8:$K$991,10,FALSE)-IF(MONTH($C700)=4,$Y$3,IF(MONTH($C700)=5,$Y$4,IF(MONTH($C700)=6,$Y$5,IF(MONTH($C700)=7,$Y$6,"ERROR")))),0),MAX(VLOOKUP($C700,COS!$B$8:$K$991,9,FALSE)-IF(MONTH($C700)=4,$V$3,IF(MONTH($C700)=5,$V$4,IF(MONTH($C700)=6,$V$5,IF(MONTH($C700)=7,$V$6,"ERROR"))))-VLOOKUP($C700,COS!$B$8:$K$991,6,FALSE)/2,0))</f>
        <v>1500</v>
      </c>
      <c r="S700" s="26">
        <f t="shared" si="1124"/>
        <v>89.256198347107429</v>
      </c>
      <c r="T700" s="26">
        <f t="shared" si="1125"/>
        <v>188.98622804752063</v>
      </c>
      <c r="U700" s="26" t="str">
        <f>IF(VLOOKUP($C700,COS!$B$8:$I$991,8,FALSE)=1,"UWFE","IBU")</f>
        <v>UWFE</v>
      </c>
      <c r="V700" s="26">
        <f t="shared" ref="V700" si="1128">MIN(IF(IF($AA$3=2,AND(E700=1,G700=1,L700=1,L703=1,M700=1,U700="IBU"),AND(E700=1,G700=1,L700=1,L703=1,M700=1)),T700,0),I700)</f>
        <v>0</v>
      </c>
      <c r="W700" s="26"/>
      <c r="X700" s="26"/>
      <c r="Y700" s="26"/>
      <c r="Z700" s="26"/>
      <c r="AA700" s="26"/>
      <c r="AB700" s="33"/>
    </row>
    <row r="701" spans="1:28" x14ac:dyDescent="0.3">
      <c r="A701" s="32">
        <f>VLOOKUP(YEAR(C701),Flags!$A$13:$B$95,2,FALSE)</f>
        <v>1</v>
      </c>
      <c r="B701" s="24">
        <f t="shared" si="1054"/>
        <v>1998</v>
      </c>
      <c r="C701" s="25">
        <v>36007</v>
      </c>
      <c r="D701" s="26">
        <f>VLOOKUP($C701,COS!$B$8:$H$991,3,FALSE)</f>
        <v>14362.4873046875</v>
      </c>
      <c r="E701" s="24">
        <f>IF(D701&gt;=IF(MONTH($C701)=4,$C$3,IF(MONTH($C701)=5,$C$4,IF(MONTH($C701)=6,$C$5,IF(MONTH($C701)=7,$C$6,"ERROR")))),1,0)</f>
        <v>1</v>
      </c>
      <c r="F701" s="26">
        <f>VLOOKUP($C701,COS!$B$8:$H$991,7,FALSE)</f>
        <v>53.361946105957031</v>
      </c>
      <c r="G701" s="24">
        <f>IF(F701&lt;=IF(MONTH($C701)=4,$F$3,IF(MONTH($C701)=5,$F$4,IF(MONTH($C701)=6,$F$5,IF(MONTH($C701)=7,$F$6,"ERROR")))),1,0)</f>
        <v>1</v>
      </c>
      <c r="H701" s="26">
        <f>IF(J701=1,D701-$C$6,0)</f>
        <v>2362.4873046875</v>
      </c>
      <c r="I701" s="26">
        <f t="shared" si="1083"/>
        <v>145.2636822055785</v>
      </c>
      <c r="J701" s="24">
        <f t="shared" si="1119"/>
        <v>1</v>
      </c>
      <c r="K701" s="26">
        <f>VLOOKUP($C701,COS!$B$8:$H$991,2,FALSE)</f>
        <v>4150</v>
      </c>
      <c r="L701" s="24">
        <f t="shared" si="1046"/>
        <v>1</v>
      </c>
      <c r="M701" s="24">
        <f t="shared" si="1047"/>
        <v>0</v>
      </c>
      <c r="N701" s="26">
        <f>VLOOKUP($C701,COS!$B$8:$H$991,5,FALSE)</f>
        <v>1396.974609375</v>
      </c>
      <c r="O701" s="26">
        <f t="shared" si="1122"/>
        <v>85.896620609504126</v>
      </c>
      <c r="P701" s="26">
        <f>VLOOKUP($C701,COS!$B$8:$H$991,6,FALSE)</f>
        <v>2616.67822265625</v>
      </c>
      <c r="Q701" s="26">
        <f t="shared" si="1123"/>
        <v>160.89327253357436</v>
      </c>
      <c r="R701" s="26">
        <f>MIN(IF(MONTH($C701)=4,$S$3,IF(MONTH($C701)=5,$S$4,IF(MONTH($C701)=6,$S$5,IF(MONTH($C701)=7,$S$6,"ERROR")))),MAX(VLOOKUP($C701,COS!$B$8:$K$991,10,FALSE)-IF(MONTH($C701)=4,$Y$3,IF(MONTH($C701)=5,$Y$4,IF(MONTH($C701)=6,$Y$5,IF(MONTH($C701)=7,$Y$6,"ERROR")))),0),MAX(VLOOKUP($C701,COS!$B$8:$K$991,9,FALSE)-IF(MONTH($C701)=4,$V$3,IF(MONTH($C701)=5,$V$4,IF(MONTH($C701)=6,$V$5,IF(MONTH($C701)=7,$V$6,"ERROR"))))-VLOOKUP($C701,COS!$B$8:$K$991,6,FALSE)/2,0))</f>
        <v>1500</v>
      </c>
      <c r="S701" s="26">
        <f t="shared" si="1124"/>
        <v>92.231404958677686</v>
      </c>
      <c r="T701" s="26">
        <f t="shared" si="1125"/>
        <v>215.62635153021694</v>
      </c>
      <c r="U701" s="26" t="str">
        <f>IF(VLOOKUP($C701,COS!$B$8:$I$991,8,FALSE)=1,"UWFE","IBU")</f>
        <v>UWFE</v>
      </c>
      <c r="V701" s="26">
        <f t="shared" ref="V701" si="1129">MIN(IF(IF($AA$3=2,AND(E701=1,G701=1,L701=1,L703=1,M701=1,U701="IBU"),AND(E701=1,G701=1,L701=1,L703=1,M701=1)),T701,0),I701)</f>
        <v>0</v>
      </c>
      <c r="W701" s="26"/>
      <c r="X701" s="26"/>
      <c r="Y701" s="26"/>
      <c r="Z701" s="26"/>
      <c r="AA701" s="26"/>
      <c r="AB701" s="33"/>
    </row>
    <row r="702" spans="1:28" x14ac:dyDescent="0.3">
      <c r="A702" s="32">
        <f>VLOOKUP(YEAR(C702),Flags!$A$13:$B$95,2,FALSE)</f>
        <v>1</v>
      </c>
      <c r="B702" s="24">
        <f t="shared" si="1054"/>
        <v>1998</v>
      </c>
      <c r="C702" s="25">
        <v>36038</v>
      </c>
      <c r="D702" s="26"/>
      <c r="E702" s="24"/>
      <c r="F702" s="26"/>
      <c r="G702" s="24"/>
      <c r="H702" s="24"/>
      <c r="I702" s="26"/>
      <c r="J702" s="24"/>
      <c r="K702" s="26"/>
      <c r="L702" s="24"/>
      <c r="M702" s="24"/>
      <c r="N702" s="26"/>
      <c r="O702" s="26"/>
      <c r="P702" s="26"/>
      <c r="Q702" s="26"/>
      <c r="R702" s="26"/>
      <c r="S702" s="26"/>
      <c r="T702" s="26"/>
      <c r="U702" s="26"/>
      <c r="V702" s="26"/>
      <c r="W702" s="26">
        <f>MAX($C$7-VLOOKUP($C702,COS!$B$8:$H$991,3,FALSE),0)</f>
        <v>86468.90625</v>
      </c>
      <c r="X702" s="26">
        <f t="shared" si="1086"/>
        <v>5316.765805785124</v>
      </c>
      <c r="Y702" s="26">
        <f>VLOOKUP($C702,COS!$B$8:$H$991,4,FALSE)</f>
        <v>0</v>
      </c>
      <c r="Z702" s="26">
        <f t="shared" si="1087"/>
        <v>0</v>
      </c>
      <c r="AA702" s="26">
        <f t="shared" ref="AA702:AA706" si="1130">MIN(W702,Y702)</f>
        <v>0</v>
      </c>
      <c r="AB702" s="33">
        <f t="shared" ref="AB702" si="1131">AA702*DAY($C702)*86400/43560/1000*IF(MONTH($C702)=8,$P$3,IF(MONTH($C702)=9,$P$4,IF(MONTH($C702)=10,$P$5,IF(MONTH($C702)=11,$P$6,IF(MONTH($C702)=12,$P$7,NA())))))</f>
        <v>0</v>
      </c>
    </row>
    <row r="703" spans="1:28" x14ac:dyDescent="0.3">
      <c r="A703" s="32">
        <f>VLOOKUP(YEAR(C703),Flags!$A$13:$B$95,2,FALSE)</f>
        <v>1</v>
      </c>
      <c r="B703" s="24">
        <f t="shared" si="1054"/>
        <v>1998</v>
      </c>
      <c r="C703" s="25">
        <v>36068</v>
      </c>
      <c r="D703" s="26"/>
      <c r="E703" s="24"/>
      <c r="F703" s="26"/>
      <c r="G703" s="24"/>
      <c r="H703" s="24"/>
      <c r="I703" s="26"/>
      <c r="J703" s="24"/>
      <c r="K703" s="26">
        <f>VLOOKUP($C703,COS!$B$8:$H$991,2,FALSE)</f>
        <v>3400</v>
      </c>
      <c r="L703" s="24">
        <f t="shared" ref="L703" si="1132">IF(AND(K703&gt;$I$7,K703&lt;$I$8),1,0)</f>
        <v>1</v>
      </c>
      <c r="M703" s="24"/>
      <c r="N703" s="26"/>
      <c r="O703" s="26"/>
      <c r="P703" s="26"/>
      <c r="Q703" s="26"/>
      <c r="R703" s="26"/>
      <c r="S703" s="26"/>
      <c r="T703" s="26"/>
      <c r="U703" s="26"/>
      <c r="V703" s="26"/>
      <c r="W703" s="26">
        <f>MAX($C$8-VLOOKUP($C703,COS!$B$8:$H$991,3,FALSE),0)</f>
        <v>88005.72265625</v>
      </c>
      <c r="X703" s="26">
        <f t="shared" si="1086"/>
        <v>5236.7041580578507</v>
      </c>
      <c r="Y703" s="26">
        <f>VLOOKUP($C703,COS!$B$8:$H$991,4,FALSE)</f>
        <v>0</v>
      </c>
      <c r="Z703" s="26">
        <f t="shared" si="1087"/>
        <v>0</v>
      </c>
      <c r="AA703" s="26">
        <f t="shared" si="1130"/>
        <v>0</v>
      </c>
      <c r="AB703" s="33">
        <f t="shared" si="1058"/>
        <v>0</v>
      </c>
    </row>
    <row r="704" spans="1:28" x14ac:dyDescent="0.3">
      <c r="A704" s="32">
        <f>VLOOKUP(YEAR(C704),Flags!$A$13:$B$95,2,FALSE)</f>
        <v>1</v>
      </c>
      <c r="B704" s="24">
        <f t="shared" si="1054"/>
        <v>1998</v>
      </c>
      <c r="C704" s="25">
        <v>36099</v>
      </c>
      <c r="D704" s="26"/>
      <c r="E704" s="24"/>
      <c r="F704" s="26"/>
      <c r="G704" s="26"/>
      <c r="H704" s="26"/>
      <c r="I704" s="26"/>
      <c r="J704" s="26"/>
      <c r="K704" s="26"/>
      <c r="L704" s="24"/>
      <c r="M704" s="24"/>
      <c r="N704" s="26"/>
      <c r="O704" s="26"/>
      <c r="P704" s="26"/>
      <c r="Q704" s="26"/>
      <c r="R704" s="26"/>
      <c r="S704" s="26"/>
      <c r="T704" s="26"/>
      <c r="U704" s="26"/>
      <c r="V704" s="26"/>
      <c r="W704" s="26">
        <f>MAX($C$9-VLOOKUP($C704,COS!$B$8:$H$991,3,FALSE),0)</f>
        <v>90740.13671875</v>
      </c>
      <c r="X704" s="26">
        <f t="shared" si="1086"/>
        <v>5579.3935304752067</v>
      </c>
      <c r="Y704" s="26">
        <f>VLOOKUP($C704,COS!$B$8:$H$991,4,FALSE)</f>
        <v>53.249282836914063</v>
      </c>
      <c r="Z704" s="26">
        <f t="shared" si="1087"/>
        <v>3.2741707793937245</v>
      </c>
      <c r="AA704" s="26">
        <f t="shared" si="1130"/>
        <v>53.249282836914063</v>
      </c>
      <c r="AB704" s="33">
        <f t="shared" si="1058"/>
        <v>3.2741707793937245</v>
      </c>
    </row>
    <row r="705" spans="1:28" x14ac:dyDescent="0.3">
      <c r="A705" s="32">
        <f>VLOOKUP(YEAR(C705),Flags!$A$13:$B$95,2,FALSE)</f>
        <v>1</v>
      </c>
      <c r="B705" s="24">
        <f t="shared" si="1054"/>
        <v>1998</v>
      </c>
      <c r="C705" s="25">
        <v>36129</v>
      </c>
      <c r="D705" s="26"/>
      <c r="E705" s="24"/>
      <c r="F705" s="26"/>
      <c r="G705" s="26"/>
      <c r="H705" s="26"/>
      <c r="I705" s="26"/>
      <c r="J705" s="26"/>
      <c r="K705" s="26"/>
      <c r="L705" s="24"/>
      <c r="M705" s="24"/>
      <c r="N705" s="26"/>
      <c r="O705" s="26"/>
      <c r="P705" s="26"/>
      <c r="Q705" s="26"/>
      <c r="R705" s="26"/>
      <c r="S705" s="26"/>
      <c r="T705" s="26"/>
      <c r="U705" s="26"/>
      <c r="V705" s="26"/>
      <c r="W705" s="26">
        <f>MAX($C$10-VLOOKUP($C705,COS!$B$8:$H$991,3,FALSE),0)</f>
        <v>88483.4296875</v>
      </c>
      <c r="X705" s="26">
        <f t="shared" si="1086"/>
        <v>5265.129700413223</v>
      </c>
      <c r="Y705" s="26">
        <f>VLOOKUP($C705,COS!$B$8:$H$991,4,FALSE)</f>
        <v>0</v>
      </c>
      <c r="Z705" s="26">
        <f t="shared" si="1087"/>
        <v>0</v>
      </c>
      <c r="AA705" s="26">
        <f t="shared" si="1130"/>
        <v>0</v>
      </c>
      <c r="AB705" s="33">
        <f t="shared" si="1058"/>
        <v>0</v>
      </c>
    </row>
    <row r="706" spans="1:28" x14ac:dyDescent="0.3">
      <c r="A706" s="34">
        <f>VLOOKUP(YEAR(C706),Flags!$A$13:$B$95,2,FALSE)</f>
        <v>1</v>
      </c>
      <c r="B706" s="35">
        <f t="shared" si="1054"/>
        <v>1998</v>
      </c>
      <c r="C706" s="36">
        <v>36160</v>
      </c>
      <c r="D706" s="37"/>
      <c r="E706" s="35"/>
      <c r="F706" s="37"/>
      <c r="G706" s="37"/>
      <c r="H706" s="37"/>
      <c r="I706" s="37"/>
      <c r="J706" s="37"/>
      <c r="K706" s="37"/>
      <c r="L706" s="35"/>
      <c r="M706" s="35"/>
      <c r="N706" s="37"/>
      <c r="O706" s="37"/>
      <c r="P706" s="37"/>
      <c r="Q706" s="37"/>
      <c r="R706" s="37"/>
      <c r="S706" s="37"/>
      <c r="T706" s="37"/>
      <c r="U706" s="37"/>
      <c r="V706" s="37"/>
      <c r="W706" s="37">
        <f>MAX($C$11-VLOOKUP($C706,COS!$B$8:$H$991,3,FALSE),0)</f>
        <v>0</v>
      </c>
      <c r="X706" s="37">
        <f t="shared" si="1086"/>
        <v>0</v>
      </c>
      <c r="Y706" s="37">
        <f>VLOOKUP($C706,COS!$B$8:$H$991,4,FALSE)</f>
        <v>0</v>
      </c>
      <c r="Z706" s="37">
        <f t="shared" si="1087"/>
        <v>0</v>
      </c>
      <c r="AA706" s="37">
        <f t="shared" si="1130"/>
        <v>0</v>
      </c>
      <c r="AB706" s="38">
        <f t="shared" si="1058"/>
        <v>0</v>
      </c>
    </row>
    <row r="707" spans="1:28" x14ac:dyDescent="0.3">
      <c r="A707" s="27">
        <f>VLOOKUP(YEAR(C707),Flags!$A$13:$B$95,2,FALSE)</f>
        <v>1</v>
      </c>
      <c r="B707" s="28">
        <f t="shared" si="1054"/>
        <v>1999</v>
      </c>
      <c r="C707" s="29">
        <v>36280</v>
      </c>
      <c r="D707" s="30">
        <f>VLOOKUP($C707,COS!$B$8:$H$991,3,FALSE)</f>
        <v>3438.072509765625</v>
      </c>
      <c r="E707" s="28">
        <f>IF(D707&gt;=IF(MONTH($C707)=4,$C$3,IF(MONTH($C707)=5,$C$4,IF(MONTH($C707)=6,$C$5,IF(MONTH($C707)=7,$C$6,"ERROR")))),1,0)</f>
        <v>0</v>
      </c>
      <c r="F707" s="30">
        <f>VLOOKUP($C707,COS!$B$8:$H$991,7,FALSE)</f>
        <v>51.189750671386719</v>
      </c>
      <c r="G707" s="28">
        <f>IF(F707&lt;=IF(MONTH($C707)=4,$F$3,IF(MONTH($C707)=5,$F$4,IF(MONTH($C707)=6,$F$5,IF(MONTH($C707)=7,$F$6,"ERROR")))),1,0)</f>
        <v>1</v>
      </c>
      <c r="H707" s="30">
        <f>IF(J707=1,D707-$C$3,0)</f>
        <v>0</v>
      </c>
      <c r="I707" s="30">
        <f t="shared" si="1083"/>
        <v>0</v>
      </c>
      <c r="J707" s="28">
        <f t="shared" ref="J707:J710" si="1133">IF(AND(E707=1,G707=1),1,0)</f>
        <v>0</v>
      </c>
      <c r="K707" s="30">
        <f>VLOOKUP($C707,COS!$B$8:$H$991,2,FALSE)</f>
        <v>4552.10009765625</v>
      </c>
      <c r="L707" s="28">
        <f t="shared" ref="L707" si="1134">IF(K707&lt;=IF(MONTH($C707)=4,$I$3,IF(MONTH($C707)=5,$I$4,IF(MONTH($C707)=6,$I$5,IF(MONTH($C707)=7,$I$6,"ERROR")))),1,0)</f>
        <v>1</v>
      </c>
      <c r="M707" s="28">
        <f t="shared" ref="M707" si="1135">VLOOKUP($A707,$L$3:$M$7,2,FALSE)</f>
        <v>0</v>
      </c>
      <c r="N707" s="30">
        <f>VLOOKUP($C707,COS!$B$8:$H$991,5,FALSE)</f>
        <v>141.06893920898438</v>
      </c>
      <c r="O707" s="30">
        <f t="shared" ref="O707:O710" si="1136">N707*DAY($C707)*86400/43560/1000</f>
        <v>8.3941848124354355</v>
      </c>
      <c r="P707" s="30">
        <f>VLOOKUP($C707,COS!$B$8:$H$991,6,FALSE)</f>
        <v>412.21127319335938</v>
      </c>
      <c r="Q707" s="30">
        <f t="shared" ref="Q707:Q710" si="1137">P707*DAY($C707)*86400/43560/1000</f>
        <v>24.528274107373452</v>
      </c>
      <c r="R707" s="30">
        <f>MIN(IF(MONTH($C707)=4,$S$3,IF(MONTH($C707)=5,$S$4,IF(MONTH($C707)=6,$S$5,IF(MONTH($C707)=7,$S$6,"ERROR")))),MAX(VLOOKUP($C707,COS!$B$8:$K$991,10,FALSE)-IF(MONTH($C707)=4,$Y$3,IF(MONTH($C707)=5,$Y$4,IF(MONTH($C707)=6,$Y$5,IF(MONTH($C707)=7,$Y$6,"ERROR")))),0),MAX(VLOOKUP($C707,COS!$B$8:$K$991,9,FALSE)-IF(MONTH($C707)=4,$V$3,IF(MONTH($C707)=5,$V$4,IF(MONTH($C707)=6,$V$5,IF(MONTH($C707)=7,$V$6,"ERROR"))))-VLOOKUP($C707,COS!$B$8:$K$991,6,FALSE)/2,0))</f>
        <v>1500</v>
      </c>
      <c r="S707" s="30">
        <f t="shared" ref="S707:S710" si="1138">R707*DAY($C707)*86400/43560/1000</f>
        <v>89.256198347107429</v>
      </c>
      <c r="T707" s="30">
        <f t="shared" ref="T707:T710" si="1139">(O707+Q707)/2+S707</f>
        <v>105.71742780701187</v>
      </c>
      <c r="U707" s="30" t="str">
        <f>IF(VLOOKUP($C707,COS!$B$8:$I$991,8,FALSE)=1,"UWFE","IBU")</f>
        <v>UWFE</v>
      </c>
      <c r="V707" s="30">
        <f t="shared" ref="V707" si="1140">MIN(IF(IF($AA$3=2,AND(E707=1,G707=1,L707=1,L712=1,M707=1,U707="IBU"),AND(E707=1,G707=1,L707=1,L712=1,M707=1)),T707,0),I707)</f>
        <v>0</v>
      </c>
      <c r="W707" s="30"/>
      <c r="X707" s="30"/>
      <c r="Y707" s="30"/>
      <c r="Z707" s="30"/>
      <c r="AA707" s="30"/>
      <c r="AB707" s="31"/>
    </row>
    <row r="708" spans="1:28" x14ac:dyDescent="0.3">
      <c r="A708" s="32">
        <f>VLOOKUP(YEAR(C708),Flags!$A$13:$B$95,2,FALSE)</f>
        <v>1</v>
      </c>
      <c r="B708" s="24">
        <f t="shared" si="1054"/>
        <v>1999</v>
      </c>
      <c r="C708" s="25">
        <v>36311</v>
      </c>
      <c r="D708" s="26">
        <f>VLOOKUP($C708,COS!$B$8:$H$991,3,FALSE)</f>
        <v>8437.2080078125</v>
      </c>
      <c r="E708" s="24">
        <f>IF(D708&gt;=IF(MONTH($C708)=4,$C$3,IF(MONTH($C708)=5,$C$4,IF(MONTH($C708)=6,$C$5,IF(MONTH($C708)=7,$C$6,"ERROR")))),1,0)</f>
        <v>1</v>
      </c>
      <c r="F708" s="26">
        <f>VLOOKUP($C708,COS!$B$8:$H$991,7,FALSE)</f>
        <v>50.693416595458984</v>
      </c>
      <c r="G708" s="24">
        <f>IF(F708&lt;=IF(MONTH($C708)=4,$F$3,IF(MONTH($C708)=5,$F$4,IF(MONTH($C708)=6,$F$5,IF(MONTH($C708)=7,$F$6,"ERROR")))),1,0)</f>
        <v>1</v>
      </c>
      <c r="H708" s="26">
        <f>IF(J708=1,D708-$C$4,0)</f>
        <v>2437.2080078125</v>
      </c>
      <c r="I708" s="26">
        <f t="shared" si="1083"/>
        <v>149.85807915805785</v>
      </c>
      <c r="J708" s="24">
        <f t="shared" si="1133"/>
        <v>1</v>
      </c>
      <c r="K708" s="26">
        <f>VLOOKUP($C708,COS!$B$8:$H$991,2,FALSE)</f>
        <v>4552</v>
      </c>
      <c r="L708" s="24">
        <f t="shared" si="1046"/>
        <v>1</v>
      </c>
      <c r="M708" s="24">
        <f t="shared" si="1047"/>
        <v>0</v>
      </c>
      <c r="N708" s="26">
        <f>VLOOKUP($C708,COS!$B$8:$H$991,5,FALSE)</f>
        <v>838.45135498046875</v>
      </c>
      <c r="O708" s="26">
        <f t="shared" si="1136"/>
        <v>51.55436430623709</v>
      </c>
      <c r="P708" s="26">
        <f>VLOOKUP($C708,COS!$B$8:$H$991,6,FALSE)</f>
        <v>2288.578369140625</v>
      </c>
      <c r="Q708" s="26">
        <f t="shared" si="1137"/>
        <v>140.71919889591942</v>
      </c>
      <c r="R708" s="26">
        <f>MIN(IF(MONTH($C708)=4,$S$3,IF(MONTH($C708)=5,$S$4,IF(MONTH($C708)=6,$S$5,IF(MONTH($C708)=7,$S$6,"ERROR")))),MAX(VLOOKUP($C708,COS!$B$8:$K$991,10,FALSE)-IF(MONTH($C708)=4,$Y$3,IF(MONTH($C708)=5,$Y$4,IF(MONTH($C708)=6,$Y$5,IF(MONTH($C708)=7,$Y$6,"ERROR")))),0),MAX(VLOOKUP($C708,COS!$B$8:$K$991,9,FALSE)-IF(MONTH($C708)=4,$V$3,IF(MONTH($C708)=5,$V$4,IF(MONTH($C708)=6,$V$5,IF(MONTH($C708)=7,$V$6,"ERROR"))))-VLOOKUP($C708,COS!$B$8:$K$991,6,FALSE)/2,0))</f>
        <v>1500</v>
      </c>
      <c r="S708" s="26">
        <f t="shared" si="1138"/>
        <v>92.231404958677686</v>
      </c>
      <c r="T708" s="26">
        <f t="shared" si="1139"/>
        <v>188.36818655975594</v>
      </c>
      <c r="U708" s="26" t="str">
        <f>IF(VLOOKUP($C708,COS!$B$8:$I$991,8,FALSE)=1,"UWFE","IBU")</f>
        <v>UWFE</v>
      </c>
      <c r="V708" s="26">
        <f t="shared" ref="V708" si="1141">MIN(IF(IF($AA$3=2,AND(E708=1,G708=1,L708=1,L712=1,M708=1,U708="IBU"),AND(E708=1,G708=1,L708=1,L712=1,M708=1)),T708,0),I708)</f>
        <v>0</v>
      </c>
      <c r="W708" s="26"/>
      <c r="X708" s="26"/>
      <c r="Y708" s="26"/>
      <c r="Z708" s="26"/>
      <c r="AA708" s="26"/>
      <c r="AB708" s="33"/>
    </row>
    <row r="709" spans="1:28" x14ac:dyDescent="0.3">
      <c r="A709" s="32">
        <f>VLOOKUP(YEAR(C709),Flags!$A$13:$B$95,2,FALSE)</f>
        <v>1</v>
      </c>
      <c r="B709" s="24">
        <f t="shared" si="1054"/>
        <v>1999</v>
      </c>
      <c r="C709" s="25">
        <v>36341</v>
      </c>
      <c r="D709" s="26">
        <f>VLOOKUP($C709,COS!$B$8:$H$991,3,FALSE)</f>
        <v>8144.7666015625</v>
      </c>
      <c r="E709" s="24">
        <f>IF(D709&gt;=IF(MONTH($C709)=4,$C$3,IF(MONTH($C709)=5,$C$4,IF(MONTH($C709)=6,$C$5,IF(MONTH($C709)=7,$C$6,"ERROR")))),1,0)</f>
        <v>0</v>
      </c>
      <c r="F709" s="26">
        <f>VLOOKUP($C709,COS!$B$8:$H$991,7,FALSE)</f>
        <v>51.85150146484375</v>
      </c>
      <c r="G709" s="24">
        <f>IF(F709&lt;=IF(MONTH($C709)=4,$F$3,IF(MONTH($C709)=5,$F$4,IF(MONTH($C709)=6,$F$5,IF(MONTH($C709)=7,$F$6,"ERROR")))),1,0)</f>
        <v>1</v>
      </c>
      <c r="H709" s="26">
        <f>IF(J709=1,D709-$C$5,0)</f>
        <v>0</v>
      </c>
      <c r="I709" s="26">
        <f t="shared" si="1083"/>
        <v>0</v>
      </c>
      <c r="J709" s="24">
        <f t="shared" si="1133"/>
        <v>0</v>
      </c>
      <c r="K709" s="26">
        <f>VLOOKUP($C709,COS!$B$8:$H$991,2,FALSE)</f>
        <v>4382.97265625</v>
      </c>
      <c r="L709" s="24">
        <f t="shared" si="1046"/>
        <v>1</v>
      </c>
      <c r="M709" s="24">
        <f t="shared" si="1047"/>
        <v>0</v>
      </c>
      <c r="N709" s="26">
        <f>VLOOKUP($C709,COS!$B$8:$H$991,5,FALSE)</f>
        <v>1060.0843505859375</v>
      </c>
      <c r="O709" s="26">
        <f t="shared" si="1136"/>
        <v>63.079399373708675</v>
      </c>
      <c r="P709" s="26">
        <f>VLOOKUP($C709,COS!$B$8:$H$991,6,FALSE)</f>
        <v>2226.599365234375</v>
      </c>
      <c r="Q709" s="26">
        <f t="shared" si="1137"/>
        <v>132.4918630552686</v>
      </c>
      <c r="R709" s="26">
        <f>MIN(IF(MONTH($C709)=4,$S$3,IF(MONTH($C709)=5,$S$4,IF(MONTH($C709)=6,$S$5,IF(MONTH($C709)=7,$S$6,"ERROR")))),MAX(VLOOKUP($C709,COS!$B$8:$K$991,10,FALSE)-IF(MONTH($C709)=4,$Y$3,IF(MONTH($C709)=5,$Y$4,IF(MONTH($C709)=6,$Y$5,IF(MONTH($C709)=7,$Y$6,"ERROR")))),0),MAX(VLOOKUP($C709,COS!$B$8:$K$991,9,FALSE)-IF(MONTH($C709)=4,$V$3,IF(MONTH($C709)=5,$V$4,IF(MONTH($C709)=6,$V$5,IF(MONTH($C709)=7,$V$6,"ERROR"))))-VLOOKUP($C709,COS!$B$8:$K$991,6,FALSE)/2,0))</f>
        <v>1500</v>
      </c>
      <c r="S709" s="26">
        <f t="shared" si="1138"/>
        <v>89.256198347107429</v>
      </c>
      <c r="T709" s="26">
        <f t="shared" si="1139"/>
        <v>187.04182956159605</v>
      </c>
      <c r="U709" s="26" t="str">
        <f>IF(VLOOKUP($C709,COS!$B$8:$I$991,8,FALSE)=1,"UWFE","IBU")</f>
        <v>UWFE</v>
      </c>
      <c r="V709" s="26">
        <f t="shared" ref="V709" si="1142">MIN(IF(IF($AA$3=2,AND(E709=1,G709=1,L709=1,L712=1,M709=1,U709="IBU"),AND(E709=1,G709=1,L709=1,L712=1,M709=1)),T709,0),I709)</f>
        <v>0</v>
      </c>
      <c r="W709" s="26"/>
      <c r="X709" s="26"/>
      <c r="Y709" s="26"/>
      <c r="Z709" s="26"/>
      <c r="AA709" s="26"/>
      <c r="AB709" s="33"/>
    </row>
    <row r="710" spans="1:28" x14ac:dyDescent="0.3">
      <c r="A710" s="32">
        <f>VLOOKUP(YEAR(C710),Flags!$A$13:$B$95,2,FALSE)</f>
        <v>1</v>
      </c>
      <c r="B710" s="24">
        <f t="shared" si="1054"/>
        <v>1999</v>
      </c>
      <c r="C710" s="25">
        <v>36372</v>
      </c>
      <c r="D710" s="26">
        <f>VLOOKUP($C710,COS!$B$8:$H$991,3,FALSE)</f>
        <v>16000</v>
      </c>
      <c r="E710" s="24">
        <f>IF(D710&gt;=IF(MONTH($C710)=4,$C$3,IF(MONTH($C710)=5,$C$4,IF(MONTH($C710)=6,$C$5,IF(MONTH($C710)=7,$C$6,"ERROR")))),1,0)</f>
        <v>1</v>
      </c>
      <c r="F710" s="26">
        <f>VLOOKUP($C710,COS!$B$8:$H$991,7,FALSE)</f>
        <v>51.293598175048828</v>
      </c>
      <c r="G710" s="24">
        <f>IF(F710&lt;=IF(MONTH($C710)=4,$F$3,IF(MONTH($C710)=5,$F$4,IF(MONTH($C710)=6,$F$5,IF(MONTH($C710)=7,$F$6,"ERROR")))),1,0)</f>
        <v>1</v>
      </c>
      <c r="H710" s="26">
        <f>IF(J710=1,D710-$C$6,0)</f>
        <v>4000</v>
      </c>
      <c r="I710" s="26">
        <f t="shared" si="1083"/>
        <v>245.95041322314049</v>
      </c>
      <c r="J710" s="24">
        <f t="shared" si="1133"/>
        <v>1</v>
      </c>
      <c r="K710" s="26">
        <f>VLOOKUP($C710,COS!$B$8:$H$991,2,FALSE)</f>
        <v>3724.72216796875</v>
      </c>
      <c r="L710" s="24">
        <f t="shared" si="1046"/>
        <v>1</v>
      </c>
      <c r="M710" s="24">
        <f t="shared" si="1047"/>
        <v>0</v>
      </c>
      <c r="N710" s="26">
        <f>VLOOKUP($C710,COS!$B$8:$H$991,5,FALSE)</f>
        <v>1277.9014892578125</v>
      </c>
      <c r="O710" s="26">
        <f t="shared" si="1136"/>
        <v>78.575099835356411</v>
      </c>
      <c r="P710" s="26">
        <f>VLOOKUP($C710,COS!$B$8:$H$991,6,FALSE)</f>
        <v>2616.67822265625</v>
      </c>
      <c r="Q710" s="26">
        <f t="shared" si="1137"/>
        <v>160.89327253357436</v>
      </c>
      <c r="R710" s="26">
        <f>MIN(IF(MONTH($C710)=4,$S$3,IF(MONTH($C710)=5,$S$4,IF(MONTH($C710)=6,$S$5,IF(MONTH($C710)=7,$S$6,"ERROR")))),MAX(VLOOKUP($C710,COS!$B$8:$K$991,10,FALSE)-IF(MONTH($C710)=4,$Y$3,IF(MONTH($C710)=5,$Y$4,IF(MONTH($C710)=6,$Y$5,IF(MONTH($C710)=7,$Y$6,"ERROR")))),0),MAX(VLOOKUP($C710,COS!$B$8:$K$991,9,FALSE)-IF(MONTH($C710)=4,$V$3,IF(MONTH($C710)=5,$V$4,IF(MONTH($C710)=6,$V$5,IF(MONTH($C710)=7,$V$6,"ERROR"))))-VLOOKUP($C710,COS!$B$8:$K$991,6,FALSE)/2,0))</f>
        <v>1500</v>
      </c>
      <c r="S710" s="26">
        <f t="shared" si="1138"/>
        <v>92.231404958677686</v>
      </c>
      <c r="T710" s="26">
        <f t="shared" si="1139"/>
        <v>211.96559114314306</v>
      </c>
      <c r="U710" s="26" t="str">
        <f>IF(VLOOKUP($C710,COS!$B$8:$I$991,8,FALSE)=1,"UWFE","IBU")</f>
        <v>IBU</v>
      </c>
      <c r="V710" s="26">
        <f t="shared" ref="V710" si="1143">MIN(IF(IF($AA$3=2,AND(E710=1,G710=1,L710=1,L712=1,M710=1,U710="IBU"),AND(E710=1,G710=1,L710=1,L712=1,M710=1)),T710,0),I710)</f>
        <v>0</v>
      </c>
      <c r="W710" s="26"/>
      <c r="X710" s="26"/>
      <c r="Y710" s="26"/>
      <c r="Z710" s="26"/>
      <c r="AA710" s="26"/>
      <c r="AB710" s="33"/>
    </row>
    <row r="711" spans="1:28" x14ac:dyDescent="0.3">
      <c r="A711" s="32">
        <f>VLOOKUP(YEAR(C711),Flags!$A$13:$B$95,2,FALSE)</f>
        <v>1</v>
      </c>
      <c r="B711" s="24">
        <f t="shared" si="1054"/>
        <v>1999</v>
      </c>
      <c r="C711" s="25">
        <v>36403</v>
      </c>
      <c r="D711" s="26"/>
      <c r="E711" s="24"/>
      <c r="F711" s="26"/>
      <c r="G711" s="24"/>
      <c r="H711" s="24"/>
      <c r="I711" s="26"/>
      <c r="J711" s="24"/>
      <c r="K711" s="26"/>
      <c r="L711" s="24"/>
      <c r="M711" s="24"/>
      <c r="N711" s="26"/>
      <c r="O711" s="26"/>
      <c r="P711" s="26"/>
      <c r="Q711" s="26"/>
      <c r="R711" s="26"/>
      <c r="S711" s="26"/>
      <c r="T711" s="26"/>
      <c r="U711" s="26"/>
      <c r="V711" s="26"/>
      <c r="W711" s="26">
        <f>MAX($C$7-VLOOKUP($C711,COS!$B$8:$H$991,3,FALSE),0)</f>
        <v>90285.5068359375</v>
      </c>
      <c r="X711" s="26">
        <f t="shared" si="1086"/>
        <v>5551.4394285898761</v>
      </c>
      <c r="Y711" s="26">
        <f>VLOOKUP($C711,COS!$B$8:$H$991,4,FALSE)</f>
        <v>0</v>
      </c>
      <c r="Z711" s="26">
        <f t="shared" si="1087"/>
        <v>0</v>
      </c>
      <c r="AA711" s="26">
        <f t="shared" ref="AA711:AA715" si="1144">MIN(W711,Y711)</f>
        <v>0</v>
      </c>
      <c r="AB711" s="33">
        <f t="shared" ref="AB711" si="1145">AA711*DAY($C711)*86400/43560/1000*IF(MONTH($C711)=8,$P$3,IF(MONTH($C711)=9,$P$4,IF(MONTH($C711)=10,$P$5,IF(MONTH($C711)=11,$P$6,IF(MONTH($C711)=12,$P$7,NA())))))</f>
        <v>0</v>
      </c>
    </row>
    <row r="712" spans="1:28" x14ac:dyDescent="0.3">
      <c r="A712" s="32">
        <f>VLOOKUP(YEAR(C712),Flags!$A$13:$B$95,2,FALSE)</f>
        <v>1</v>
      </c>
      <c r="B712" s="24">
        <f t="shared" si="1054"/>
        <v>1999</v>
      </c>
      <c r="C712" s="25">
        <v>36433</v>
      </c>
      <c r="D712" s="26"/>
      <c r="E712" s="24"/>
      <c r="F712" s="26"/>
      <c r="G712" s="24"/>
      <c r="H712" s="24"/>
      <c r="I712" s="26"/>
      <c r="J712" s="24"/>
      <c r="K712" s="26">
        <f>VLOOKUP($C712,COS!$B$8:$H$991,2,FALSE)</f>
        <v>2879.5078125</v>
      </c>
      <c r="L712" s="24">
        <f t="shared" ref="L712" si="1146">IF(AND(K712&gt;$I$7,K712&lt;$I$8),1,0)</f>
        <v>1</v>
      </c>
      <c r="M712" s="24"/>
      <c r="N712" s="26"/>
      <c r="O712" s="26"/>
      <c r="P712" s="26"/>
      <c r="Q712" s="26"/>
      <c r="R712" s="26"/>
      <c r="S712" s="26"/>
      <c r="T712" s="26"/>
      <c r="U712" s="26"/>
      <c r="V712" s="26"/>
      <c r="W712" s="26">
        <f>MAX($C$8-VLOOKUP($C712,COS!$B$8:$H$991,3,FALSE),0)</f>
        <v>85063.7509765625</v>
      </c>
      <c r="X712" s="26">
        <f t="shared" si="1086"/>
        <v>5061.6446862086777</v>
      </c>
      <c r="Y712" s="26">
        <f>VLOOKUP($C712,COS!$B$8:$H$991,4,FALSE)</f>
        <v>0</v>
      </c>
      <c r="Z712" s="26">
        <f t="shared" si="1087"/>
        <v>0</v>
      </c>
      <c r="AA712" s="26">
        <f t="shared" si="1144"/>
        <v>0</v>
      </c>
      <c r="AB712" s="33">
        <f t="shared" si="1058"/>
        <v>0</v>
      </c>
    </row>
    <row r="713" spans="1:28" x14ac:dyDescent="0.3">
      <c r="A713" s="32">
        <f>VLOOKUP(YEAR(C713),Flags!$A$13:$B$95,2,FALSE)</f>
        <v>1</v>
      </c>
      <c r="B713" s="24">
        <f t="shared" si="1054"/>
        <v>1999</v>
      </c>
      <c r="C713" s="25">
        <v>36464</v>
      </c>
      <c r="D713" s="26"/>
      <c r="E713" s="24"/>
      <c r="F713" s="26"/>
      <c r="G713" s="26"/>
      <c r="H713" s="26"/>
      <c r="I713" s="26"/>
      <c r="J713" s="26"/>
      <c r="K713" s="26"/>
      <c r="L713" s="24"/>
      <c r="M713" s="24"/>
      <c r="N713" s="26"/>
      <c r="O713" s="26"/>
      <c r="P713" s="26"/>
      <c r="Q713" s="26"/>
      <c r="R713" s="26"/>
      <c r="S713" s="26"/>
      <c r="T713" s="26"/>
      <c r="U713" s="26"/>
      <c r="V713" s="26"/>
      <c r="W713" s="26">
        <f>MAX($C$9-VLOOKUP($C713,COS!$B$8:$H$991,3,FALSE),0)</f>
        <v>88700.0185546875</v>
      </c>
      <c r="X713" s="26">
        <f t="shared" si="1086"/>
        <v>5453.9515541064047</v>
      </c>
      <c r="Y713" s="26">
        <f>VLOOKUP($C713,COS!$B$8:$H$991,4,FALSE)</f>
        <v>1020.4207763671875</v>
      </c>
      <c r="Z713" s="26">
        <f t="shared" si="1087"/>
        <v>62.7432279022469</v>
      </c>
      <c r="AA713" s="26">
        <f t="shared" si="1144"/>
        <v>1020.4207763671875</v>
      </c>
      <c r="AB713" s="33">
        <f t="shared" si="1058"/>
        <v>62.7432279022469</v>
      </c>
    </row>
    <row r="714" spans="1:28" x14ac:dyDescent="0.3">
      <c r="A714" s="32">
        <f>VLOOKUP(YEAR(C714),Flags!$A$13:$B$95,2,FALSE)</f>
        <v>1</v>
      </c>
      <c r="B714" s="24">
        <f t="shared" si="1054"/>
        <v>1999</v>
      </c>
      <c r="C714" s="25">
        <v>36494</v>
      </c>
      <c r="D714" s="26"/>
      <c r="E714" s="24"/>
      <c r="F714" s="26"/>
      <c r="G714" s="26"/>
      <c r="H714" s="26"/>
      <c r="I714" s="26"/>
      <c r="J714" s="26"/>
      <c r="K714" s="26"/>
      <c r="L714" s="24"/>
      <c r="M714" s="24"/>
      <c r="N714" s="26"/>
      <c r="O714" s="26"/>
      <c r="P714" s="26"/>
      <c r="Q714" s="26"/>
      <c r="R714" s="26"/>
      <c r="S714" s="26"/>
      <c r="T714" s="26"/>
      <c r="U714" s="26"/>
      <c r="V714" s="26"/>
      <c r="W714" s="26">
        <f>MAX($C$10-VLOOKUP($C714,COS!$B$8:$H$991,3,FALSE),0)</f>
        <v>86044.97265625</v>
      </c>
      <c r="X714" s="26">
        <f t="shared" si="1086"/>
        <v>5120.031430785124</v>
      </c>
      <c r="Y714" s="26">
        <f>VLOOKUP($C714,COS!$B$8:$H$991,4,FALSE)</f>
        <v>1214.3294677734375</v>
      </c>
      <c r="Z714" s="26">
        <f t="shared" si="1087"/>
        <v>72.257621222882221</v>
      </c>
      <c r="AA714" s="26">
        <f t="shared" si="1144"/>
        <v>1214.3294677734375</v>
      </c>
      <c r="AB714" s="33">
        <f t="shared" si="1058"/>
        <v>36.128810611441111</v>
      </c>
    </row>
    <row r="715" spans="1:28" x14ac:dyDescent="0.3">
      <c r="A715" s="34">
        <f>VLOOKUP(YEAR(C715),Flags!$A$13:$B$95,2,FALSE)</f>
        <v>1</v>
      </c>
      <c r="B715" s="35">
        <f t="shared" si="1054"/>
        <v>1999</v>
      </c>
      <c r="C715" s="36">
        <v>36525</v>
      </c>
      <c r="D715" s="37"/>
      <c r="E715" s="35"/>
      <c r="F715" s="37"/>
      <c r="G715" s="37"/>
      <c r="H715" s="37"/>
      <c r="I715" s="37"/>
      <c r="J715" s="37"/>
      <c r="K715" s="37"/>
      <c r="L715" s="35"/>
      <c r="M715" s="35"/>
      <c r="N715" s="37"/>
      <c r="O715" s="37"/>
      <c r="P715" s="37"/>
      <c r="Q715" s="37"/>
      <c r="R715" s="37"/>
      <c r="S715" s="37"/>
      <c r="T715" s="37"/>
      <c r="U715" s="37"/>
      <c r="V715" s="37"/>
      <c r="W715" s="37">
        <f>MAX($C$11-VLOOKUP($C715,COS!$B$8:$H$991,3,FALSE),0)</f>
        <v>0</v>
      </c>
      <c r="X715" s="37">
        <f t="shared" si="1086"/>
        <v>0</v>
      </c>
      <c r="Y715" s="37">
        <f>VLOOKUP($C715,COS!$B$8:$H$991,4,FALSE)</f>
        <v>0</v>
      </c>
      <c r="Z715" s="37">
        <f t="shared" si="1087"/>
        <v>0</v>
      </c>
      <c r="AA715" s="37">
        <f t="shared" si="1144"/>
        <v>0</v>
      </c>
      <c r="AB715" s="38">
        <f t="shared" si="1058"/>
        <v>0</v>
      </c>
    </row>
    <row r="716" spans="1:28" x14ac:dyDescent="0.3">
      <c r="A716" s="27">
        <f>VLOOKUP(YEAR(C716),Flags!$A$13:$B$95,2,FALSE)</f>
        <v>2</v>
      </c>
      <c r="B716" s="28">
        <f t="shared" si="1054"/>
        <v>2000</v>
      </c>
      <c r="C716" s="29">
        <v>36646</v>
      </c>
      <c r="D716" s="30">
        <f>VLOOKUP($C716,COS!$B$8:$H$991,3,FALSE)</f>
        <v>3250</v>
      </c>
      <c r="E716" s="28">
        <f>IF(D716&gt;=IF(MONTH($C716)=4,$C$3,IF(MONTH($C716)=5,$C$4,IF(MONTH($C716)=6,$C$5,IF(MONTH($C716)=7,$C$6,"ERROR")))),1,0)</f>
        <v>0</v>
      </c>
      <c r="F716" s="30">
        <f>VLOOKUP($C716,COS!$B$8:$H$991,7,FALSE)</f>
        <v>53.549808502197266</v>
      </c>
      <c r="G716" s="28">
        <f>IF(F716&lt;=IF(MONTH($C716)=4,$F$3,IF(MONTH($C716)=5,$F$4,IF(MONTH($C716)=6,$F$5,IF(MONTH($C716)=7,$F$6,"ERROR")))),1,0)</f>
        <v>1</v>
      </c>
      <c r="H716" s="30">
        <f>IF(J716=1,D716-$C$3,0)</f>
        <v>0</v>
      </c>
      <c r="I716" s="30">
        <f t="shared" si="1083"/>
        <v>0</v>
      </c>
      <c r="J716" s="28">
        <f t="shared" ref="J716:J719" si="1147">IF(AND(E716=1,G716=1),1,0)</f>
        <v>0</v>
      </c>
      <c r="K716" s="30">
        <f>VLOOKUP($C716,COS!$B$8:$H$991,2,FALSE)</f>
        <v>4550.50927734375</v>
      </c>
      <c r="L716" s="28">
        <f t="shared" ref="L716:L737" si="1148">IF(K716&lt;=IF(MONTH($C716)=4,$I$3,IF(MONTH($C716)=5,$I$4,IF(MONTH($C716)=6,$I$5,IF(MONTH($C716)=7,$I$6,"ERROR")))),1,0)</f>
        <v>1</v>
      </c>
      <c r="M716" s="28">
        <f t="shared" ref="M716:M737" si="1149">VLOOKUP($A716,$L$3:$M$7,2,FALSE)</f>
        <v>0</v>
      </c>
      <c r="N716" s="30">
        <f>VLOOKUP($C716,COS!$B$8:$H$991,5,FALSE)</f>
        <v>37.464950561523438</v>
      </c>
      <c r="O716" s="30">
        <f t="shared" ref="O716:O719" si="1150">N716*DAY($C716)*86400/43560/1000</f>
        <v>2.2293193722559401</v>
      </c>
      <c r="P716" s="30">
        <f>VLOOKUP($C716,COS!$B$8:$H$991,6,FALSE)</f>
        <v>403.17050170898438</v>
      </c>
      <c r="Q716" s="30">
        <f t="shared" ref="Q716:Q719" si="1151">P716*DAY($C716)*86400/43560/1000</f>
        <v>23.990310845493283</v>
      </c>
      <c r="R716" s="30">
        <f>MIN(IF(MONTH($C716)=4,$S$3,IF(MONTH($C716)=5,$S$4,IF(MONTH($C716)=6,$S$5,IF(MONTH($C716)=7,$S$6,"ERROR")))),MAX(VLOOKUP($C716,COS!$B$8:$K$991,10,FALSE)-IF(MONTH($C716)=4,$Y$3,IF(MONTH($C716)=5,$Y$4,IF(MONTH($C716)=6,$Y$5,IF(MONTH($C716)=7,$Y$6,"ERROR")))),0),MAX(VLOOKUP($C716,COS!$B$8:$K$991,9,FALSE)-IF(MONTH($C716)=4,$V$3,IF(MONTH($C716)=5,$V$4,IF(MONTH($C716)=6,$V$5,IF(MONTH($C716)=7,$V$6,"ERROR"))))-VLOOKUP($C716,COS!$B$8:$K$991,6,FALSE)/2,0))</f>
        <v>1500</v>
      </c>
      <c r="S716" s="30">
        <f t="shared" ref="S716:S719" si="1152">R716*DAY($C716)*86400/43560/1000</f>
        <v>89.256198347107429</v>
      </c>
      <c r="T716" s="30">
        <f t="shared" ref="T716:T719" si="1153">(O716+Q716)/2+S716</f>
        <v>102.36601345598204</v>
      </c>
      <c r="U716" s="30" t="str">
        <f>IF(VLOOKUP($C716,COS!$B$8:$I$991,8,FALSE)=1,"UWFE","IBU")</f>
        <v>UWFE</v>
      </c>
      <c r="V716" s="30">
        <f t="shared" ref="V716" si="1154">MIN(IF(IF($AA$3=2,AND(E716=1,G716=1,L716=1,L721=1,M716=1,U716="IBU"),AND(E716=1,G716=1,L716=1,L721=1,M716=1)),T716,0),I716)</f>
        <v>0</v>
      </c>
      <c r="W716" s="30"/>
      <c r="X716" s="30"/>
      <c r="Y716" s="30"/>
      <c r="Z716" s="30"/>
      <c r="AA716" s="30"/>
      <c r="AB716" s="31"/>
    </row>
    <row r="717" spans="1:28" x14ac:dyDescent="0.3">
      <c r="A717" s="32">
        <f>VLOOKUP(YEAR(C717),Flags!$A$13:$B$95,2,FALSE)</f>
        <v>2</v>
      </c>
      <c r="B717" s="24">
        <f t="shared" si="1054"/>
        <v>2000</v>
      </c>
      <c r="C717" s="25">
        <v>36677</v>
      </c>
      <c r="D717" s="26">
        <f>VLOOKUP($C717,COS!$B$8:$H$991,3,FALSE)</f>
        <v>7298.4775390625</v>
      </c>
      <c r="E717" s="24">
        <f>IF(D717&gt;=IF(MONTH($C717)=4,$C$3,IF(MONTH($C717)=5,$C$4,IF(MONTH($C717)=6,$C$5,IF(MONTH($C717)=7,$C$6,"ERROR")))),1,0)</f>
        <v>1</v>
      </c>
      <c r="F717" s="26">
        <f>VLOOKUP($C717,COS!$B$8:$H$991,7,FALSE)</f>
        <v>51.98187255859375</v>
      </c>
      <c r="G717" s="24">
        <f>IF(F717&lt;=IF(MONTH($C717)=4,$F$3,IF(MONTH($C717)=5,$F$4,IF(MONTH($C717)=6,$F$5,IF(MONTH($C717)=7,$F$6,"ERROR")))),1,0)</f>
        <v>1</v>
      </c>
      <c r="H717" s="26">
        <f>IF(J717=1,D717-$C$4,0)</f>
        <v>1298.4775390625</v>
      </c>
      <c r="I717" s="26">
        <f t="shared" si="1083"/>
        <v>79.840271823347109</v>
      </c>
      <c r="J717" s="24">
        <f t="shared" si="1147"/>
        <v>1</v>
      </c>
      <c r="K717" s="26">
        <f>VLOOKUP($C717,COS!$B$8:$H$991,2,FALSE)</f>
        <v>4552</v>
      </c>
      <c r="L717" s="24">
        <f t="shared" si="1148"/>
        <v>1</v>
      </c>
      <c r="M717" s="24">
        <f t="shared" si="1149"/>
        <v>0</v>
      </c>
      <c r="N717" s="26">
        <f>VLOOKUP($C717,COS!$B$8:$H$991,5,FALSE)</f>
        <v>651.51641845703125</v>
      </c>
      <c r="O717" s="26">
        <f t="shared" si="1150"/>
        <v>40.060183085291833</v>
      </c>
      <c r="P717" s="26">
        <f>VLOOKUP($C717,COS!$B$8:$H$991,6,FALSE)</f>
        <v>1855.6585693359375</v>
      </c>
      <c r="Q717" s="26">
        <f t="shared" si="1151"/>
        <v>114.09999798230888</v>
      </c>
      <c r="R717" s="26">
        <f>MIN(IF(MONTH($C717)=4,$S$3,IF(MONTH($C717)=5,$S$4,IF(MONTH($C717)=6,$S$5,IF(MONTH($C717)=7,$S$6,"ERROR")))),MAX(VLOOKUP($C717,COS!$B$8:$K$991,10,FALSE)-IF(MONTH($C717)=4,$Y$3,IF(MONTH($C717)=5,$Y$4,IF(MONTH($C717)=6,$Y$5,IF(MONTH($C717)=7,$Y$6,"ERROR")))),0),MAX(VLOOKUP($C717,COS!$B$8:$K$991,9,FALSE)-IF(MONTH($C717)=4,$V$3,IF(MONTH($C717)=5,$V$4,IF(MONTH($C717)=6,$V$5,IF(MONTH($C717)=7,$V$6,"ERROR"))))-VLOOKUP($C717,COS!$B$8:$K$991,6,FALSE)/2,0))</f>
        <v>1500</v>
      </c>
      <c r="S717" s="26">
        <f t="shared" si="1152"/>
        <v>92.231404958677686</v>
      </c>
      <c r="T717" s="26">
        <f t="shared" si="1153"/>
        <v>169.31149549247806</v>
      </c>
      <c r="U717" s="26" t="str">
        <f>IF(VLOOKUP($C717,COS!$B$8:$I$991,8,FALSE)=1,"UWFE","IBU")</f>
        <v>UWFE</v>
      </c>
      <c r="V717" s="26">
        <f t="shared" ref="V717" si="1155">MIN(IF(IF($AA$3=2,AND(E717=1,G717=1,L717=1,L721=1,M717=1,U717="IBU"),AND(E717=1,G717=1,L717=1,L721=1,M717=1)),T717,0),I717)</f>
        <v>0</v>
      </c>
      <c r="W717" s="26"/>
      <c r="X717" s="26"/>
      <c r="Y717" s="26"/>
      <c r="Z717" s="26"/>
      <c r="AA717" s="26"/>
      <c r="AB717" s="33"/>
    </row>
    <row r="718" spans="1:28" x14ac:dyDescent="0.3">
      <c r="A718" s="32">
        <f>VLOOKUP(YEAR(C718),Flags!$A$13:$B$95,2,FALSE)</f>
        <v>2</v>
      </c>
      <c r="B718" s="24">
        <f t="shared" si="1054"/>
        <v>2000</v>
      </c>
      <c r="C718" s="25">
        <v>36707</v>
      </c>
      <c r="D718" s="26">
        <f>VLOOKUP($C718,COS!$B$8:$H$991,3,FALSE)</f>
        <v>12915.84765625</v>
      </c>
      <c r="E718" s="24">
        <f>IF(D718&gt;=IF(MONTH($C718)=4,$C$3,IF(MONTH($C718)=5,$C$4,IF(MONTH($C718)=6,$C$5,IF(MONTH($C718)=7,$C$6,"ERROR")))),1,0)</f>
        <v>1</v>
      </c>
      <c r="F718" s="26">
        <f>VLOOKUP($C718,COS!$B$8:$H$991,7,FALSE)</f>
        <v>51.933616638183594</v>
      </c>
      <c r="G718" s="24">
        <f>IF(F718&lt;=IF(MONTH($C718)=4,$F$3,IF(MONTH($C718)=5,$F$4,IF(MONTH($C718)=6,$F$5,IF(MONTH($C718)=7,$F$6,"ERROR")))),1,0)</f>
        <v>1</v>
      </c>
      <c r="H718" s="26">
        <f>IF(J718=1,D718-$C$5,0)</f>
        <v>2915.84765625</v>
      </c>
      <c r="I718" s="26">
        <f t="shared" si="1083"/>
        <v>173.50498450413224</v>
      </c>
      <c r="J718" s="24">
        <f t="shared" si="1147"/>
        <v>1</v>
      </c>
      <c r="K718" s="26">
        <f>VLOOKUP($C718,COS!$B$8:$H$991,2,FALSE)</f>
        <v>4064.68359375</v>
      </c>
      <c r="L718" s="24">
        <f t="shared" si="1148"/>
        <v>1</v>
      </c>
      <c r="M718" s="24">
        <f t="shared" si="1149"/>
        <v>0</v>
      </c>
      <c r="N718" s="26">
        <f>VLOOKUP($C718,COS!$B$8:$H$991,5,FALSE)</f>
        <v>1133.98681640625</v>
      </c>
      <c r="O718" s="26">
        <f t="shared" si="1150"/>
        <v>67.476901472107429</v>
      </c>
      <c r="P718" s="26">
        <f>VLOOKUP($C718,COS!$B$8:$H$991,6,FALSE)</f>
        <v>2300.9248046875</v>
      </c>
      <c r="Q718" s="26">
        <f t="shared" si="1151"/>
        <v>136.91453383264462</v>
      </c>
      <c r="R718" s="26">
        <f>MIN(IF(MONTH($C718)=4,$S$3,IF(MONTH($C718)=5,$S$4,IF(MONTH($C718)=6,$S$5,IF(MONTH($C718)=7,$S$6,"ERROR")))),MAX(VLOOKUP($C718,COS!$B$8:$K$991,10,FALSE)-IF(MONTH($C718)=4,$Y$3,IF(MONTH($C718)=5,$Y$4,IF(MONTH($C718)=6,$Y$5,IF(MONTH($C718)=7,$Y$6,"ERROR")))),0),MAX(VLOOKUP($C718,COS!$B$8:$K$991,9,FALSE)-IF(MONTH($C718)=4,$V$3,IF(MONTH($C718)=5,$V$4,IF(MONTH($C718)=6,$V$5,IF(MONTH($C718)=7,$V$6,"ERROR"))))-VLOOKUP($C718,COS!$B$8:$K$991,6,FALSE)/2,0))</f>
        <v>1500</v>
      </c>
      <c r="S718" s="26">
        <f t="shared" si="1152"/>
        <v>89.256198347107429</v>
      </c>
      <c r="T718" s="26">
        <f t="shared" si="1153"/>
        <v>191.45191599948345</v>
      </c>
      <c r="U718" s="26" t="str">
        <f>IF(VLOOKUP($C718,COS!$B$8:$I$991,8,FALSE)=1,"UWFE","IBU")</f>
        <v>IBU</v>
      </c>
      <c r="V718" s="26">
        <f t="shared" ref="V718" si="1156">MIN(IF(IF($AA$3=2,AND(E718=1,G718=1,L718=1,L721=1,M718=1,U718="IBU"),AND(E718=1,G718=1,L718=1,L721=1,M718=1)),T718,0),I718)</f>
        <v>0</v>
      </c>
      <c r="W718" s="26"/>
      <c r="X718" s="26"/>
      <c r="Y718" s="26"/>
      <c r="Z718" s="26"/>
      <c r="AA718" s="26"/>
      <c r="AB718" s="33"/>
    </row>
    <row r="719" spans="1:28" x14ac:dyDescent="0.3">
      <c r="A719" s="32">
        <f>VLOOKUP(YEAR(C719),Flags!$A$13:$B$95,2,FALSE)</f>
        <v>2</v>
      </c>
      <c r="B719" s="24">
        <f t="shared" ref="B719:B742" si="1157">YEAR(C719)</f>
        <v>2000</v>
      </c>
      <c r="C719" s="25">
        <v>36738</v>
      </c>
      <c r="D719" s="26">
        <f>VLOOKUP($C719,COS!$B$8:$H$991,3,FALSE)</f>
        <v>16243.5498046875</v>
      </c>
      <c r="E719" s="24">
        <f>IF(D719&gt;=IF(MONTH($C719)=4,$C$3,IF(MONTH($C719)=5,$C$4,IF(MONTH($C719)=6,$C$5,IF(MONTH($C719)=7,$C$6,"ERROR")))),1,0)</f>
        <v>1</v>
      </c>
      <c r="F719" s="26">
        <f>VLOOKUP($C719,COS!$B$8:$H$991,7,FALSE)</f>
        <v>51.968482971191406</v>
      </c>
      <c r="G719" s="24">
        <f>IF(F719&lt;=IF(MONTH($C719)=4,$F$3,IF(MONTH($C719)=5,$F$4,IF(MONTH($C719)=6,$F$5,IF(MONTH($C719)=7,$F$6,"ERROR")))),1,0)</f>
        <v>1</v>
      </c>
      <c r="H719" s="26">
        <f>IF(J719=1,D719-$C$6,0)</f>
        <v>4243.5498046875</v>
      </c>
      <c r="I719" s="26">
        <f t="shared" si="1083"/>
        <v>260.92570699896697</v>
      </c>
      <c r="J719" s="24">
        <f t="shared" si="1147"/>
        <v>1</v>
      </c>
      <c r="K719" s="26">
        <f>VLOOKUP($C719,COS!$B$8:$H$991,2,FALSE)</f>
        <v>3391.262451171875</v>
      </c>
      <c r="L719" s="24">
        <f t="shared" si="1148"/>
        <v>1</v>
      </c>
      <c r="M719" s="24">
        <f t="shared" si="1149"/>
        <v>0</v>
      </c>
      <c r="N719" s="26">
        <f>VLOOKUP($C719,COS!$B$8:$H$991,5,FALSE)</f>
        <v>1372.8363037109375</v>
      </c>
      <c r="O719" s="26">
        <f t="shared" si="1150"/>
        <v>84.412414046358478</v>
      </c>
      <c r="P719" s="26">
        <f>VLOOKUP($C719,COS!$B$8:$H$991,6,FALSE)</f>
        <v>2562.892822265625</v>
      </c>
      <c r="Q719" s="26">
        <f t="shared" si="1151"/>
        <v>157.58613717071282</v>
      </c>
      <c r="R719" s="26">
        <f>MIN(IF(MONTH($C719)=4,$S$3,IF(MONTH($C719)=5,$S$4,IF(MONTH($C719)=6,$S$5,IF(MONTH($C719)=7,$S$6,"ERROR")))),MAX(VLOOKUP($C719,COS!$B$8:$K$991,10,FALSE)-IF(MONTH($C719)=4,$Y$3,IF(MONTH($C719)=5,$Y$4,IF(MONTH($C719)=6,$Y$5,IF(MONTH($C719)=7,$Y$6,"ERROR")))),0),MAX(VLOOKUP($C719,COS!$B$8:$K$991,9,FALSE)-IF(MONTH($C719)=4,$V$3,IF(MONTH($C719)=5,$V$4,IF(MONTH($C719)=6,$V$5,IF(MONTH($C719)=7,$V$6,"ERROR"))))-VLOOKUP($C719,COS!$B$8:$K$991,6,FALSE)/2,0))</f>
        <v>1500</v>
      </c>
      <c r="S719" s="26">
        <f t="shared" si="1152"/>
        <v>92.231404958677686</v>
      </c>
      <c r="T719" s="26">
        <f t="shared" si="1153"/>
        <v>213.23068056721331</v>
      </c>
      <c r="U719" s="26" t="str">
        <f>IF(VLOOKUP($C719,COS!$B$8:$I$991,8,FALSE)=1,"UWFE","IBU")</f>
        <v>IBU</v>
      </c>
      <c r="V719" s="26">
        <f t="shared" ref="V719" si="1158">MIN(IF(IF($AA$3=2,AND(E719=1,G719=1,L719=1,L721=1,M719=1,U719="IBU"),AND(E719=1,G719=1,L719=1,L721=1,M719=1)),T719,0),I719)</f>
        <v>0</v>
      </c>
      <c r="W719" s="26"/>
      <c r="X719" s="26"/>
      <c r="Y719" s="26"/>
      <c r="Z719" s="26"/>
      <c r="AA719" s="26"/>
      <c r="AB719" s="33"/>
    </row>
    <row r="720" spans="1:28" x14ac:dyDescent="0.3">
      <c r="A720" s="32">
        <f>VLOOKUP(YEAR(C720),Flags!$A$13:$B$95,2,FALSE)</f>
        <v>2</v>
      </c>
      <c r="B720" s="24">
        <f t="shared" si="1157"/>
        <v>2000</v>
      </c>
      <c r="C720" s="25">
        <v>36769</v>
      </c>
      <c r="D720" s="26"/>
      <c r="E720" s="24"/>
      <c r="F720" s="26"/>
      <c r="G720" s="24"/>
      <c r="H720" s="24"/>
      <c r="I720" s="26"/>
      <c r="J720" s="24"/>
      <c r="K720" s="26"/>
      <c r="L720" s="24"/>
      <c r="M720" s="24"/>
      <c r="N720" s="26"/>
      <c r="O720" s="26"/>
      <c r="P720" s="26"/>
      <c r="Q720" s="26"/>
      <c r="R720" s="26"/>
      <c r="S720" s="26"/>
      <c r="T720" s="26"/>
      <c r="U720" s="26"/>
      <c r="V720" s="26"/>
      <c r="W720" s="26">
        <f>MAX($C$7-VLOOKUP($C720,COS!$B$8:$H$991,3,FALSE),0)</f>
        <v>89268.6640625</v>
      </c>
      <c r="X720" s="26">
        <f t="shared" si="1086"/>
        <v>5488.9162035123964</v>
      </c>
      <c r="Y720" s="26">
        <f>VLOOKUP($C720,COS!$B$8:$H$991,4,FALSE)</f>
        <v>0</v>
      </c>
      <c r="Z720" s="26">
        <f t="shared" si="1087"/>
        <v>0</v>
      </c>
      <c r="AA720" s="26">
        <f t="shared" ref="AA720:AA724" si="1159">MIN(W720,Y720)</f>
        <v>0</v>
      </c>
      <c r="AB720" s="33">
        <f t="shared" ref="AB720:AB742" si="1160">AA720*DAY($C720)*86400/43560/1000*IF(MONTH($C720)=8,$P$3,IF(MONTH($C720)=9,$P$4,IF(MONTH($C720)=10,$P$5,IF(MONTH($C720)=11,$P$6,IF(MONTH($C720)=12,$P$7,NA())))))</f>
        <v>0</v>
      </c>
    </row>
    <row r="721" spans="1:28" x14ac:dyDescent="0.3">
      <c r="A721" s="32">
        <f>VLOOKUP(YEAR(C721),Flags!$A$13:$B$95,2,FALSE)</f>
        <v>2</v>
      </c>
      <c r="B721" s="24">
        <f t="shared" si="1157"/>
        <v>2000</v>
      </c>
      <c r="C721" s="25">
        <v>36799</v>
      </c>
      <c r="D721" s="26"/>
      <c r="E721" s="24"/>
      <c r="F721" s="26"/>
      <c r="G721" s="24"/>
      <c r="H721" s="24"/>
      <c r="I721" s="26"/>
      <c r="J721" s="24"/>
      <c r="K721" s="26">
        <f>VLOOKUP($C721,COS!$B$8:$H$991,2,FALSE)</f>
        <v>2897.057861328125</v>
      </c>
      <c r="L721" s="24">
        <f t="shared" ref="L721" si="1161">IF(AND(K721&gt;$I$7,K721&lt;$I$8),1,0)</f>
        <v>1</v>
      </c>
      <c r="M721" s="24"/>
      <c r="N721" s="26"/>
      <c r="O721" s="26"/>
      <c r="P721" s="26"/>
      <c r="Q721" s="26"/>
      <c r="R721" s="26"/>
      <c r="S721" s="26"/>
      <c r="T721" s="26"/>
      <c r="U721" s="26"/>
      <c r="V721" s="26"/>
      <c r="W721" s="26">
        <f>MAX($C$8-VLOOKUP($C721,COS!$B$8:$H$991,3,FALSE),0)</f>
        <v>89757.765625</v>
      </c>
      <c r="X721" s="26">
        <f t="shared" si="1086"/>
        <v>5340.9579545454544</v>
      </c>
      <c r="Y721" s="26">
        <f>VLOOKUP($C721,COS!$B$8:$H$991,4,FALSE)</f>
        <v>0</v>
      </c>
      <c r="Z721" s="26">
        <f t="shared" si="1087"/>
        <v>0</v>
      </c>
      <c r="AA721" s="26">
        <f t="shared" si="1159"/>
        <v>0</v>
      </c>
      <c r="AB721" s="33">
        <f t="shared" si="1160"/>
        <v>0</v>
      </c>
    </row>
    <row r="722" spans="1:28" x14ac:dyDescent="0.3">
      <c r="A722" s="32">
        <f>VLOOKUP(YEAR(C722),Flags!$A$13:$B$95,2,FALSE)</f>
        <v>2</v>
      </c>
      <c r="B722" s="24">
        <f t="shared" si="1157"/>
        <v>2000</v>
      </c>
      <c r="C722" s="25">
        <v>36830</v>
      </c>
      <c r="D722" s="26"/>
      <c r="E722" s="24"/>
      <c r="F722" s="26"/>
      <c r="G722" s="26"/>
      <c r="H722" s="26"/>
      <c r="I722" s="26"/>
      <c r="J722" s="26"/>
      <c r="K722" s="26"/>
      <c r="L722" s="24"/>
      <c r="M722" s="24"/>
      <c r="N722" s="26"/>
      <c r="O722" s="26"/>
      <c r="P722" s="26"/>
      <c r="Q722" s="26"/>
      <c r="R722" s="26"/>
      <c r="S722" s="26"/>
      <c r="T722" s="26"/>
      <c r="U722" s="26"/>
      <c r="V722" s="26"/>
      <c r="W722" s="26">
        <f>MAX($C$9-VLOOKUP($C722,COS!$B$8:$H$991,3,FALSE),0)</f>
        <v>91791.708984375</v>
      </c>
      <c r="X722" s="26">
        <f t="shared" si="1086"/>
        <v>5644.0521887913228</v>
      </c>
      <c r="Y722" s="26">
        <f>VLOOKUP($C722,COS!$B$8:$H$991,4,FALSE)</f>
        <v>877.78619384765625</v>
      </c>
      <c r="Z722" s="26">
        <f t="shared" si="1087"/>
        <v>53.972969274599684</v>
      </c>
      <c r="AA722" s="26">
        <f t="shared" si="1159"/>
        <v>877.78619384765625</v>
      </c>
      <c r="AB722" s="33">
        <f t="shared" si="1160"/>
        <v>53.972969274599684</v>
      </c>
    </row>
    <row r="723" spans="1:28" x14ac:dyDescent="0.3">
      <c r="A723" s="32">
        <f>VLOOKUP(YEAR(C723),Flags!$A$13:$B$95,2,FALSE)</f>
        <v>2</v>
      </c>
      <c r="B723" s="24">
        <f t="shared" si="1157"/>
        <v>2000</v>
      </c>
      <c r="C723" s="25">
        <v>36860</v>
      </c>
      <c r="D723" s="26"/>
      <c r="E723" s="24"/>
      <c r="F723" s="26"/>
      <c r="G723" s="26"/>
      <c r="H723" s="26"/>
      <c r="I723" s="26"/>
      <c r="J723" s="26"/>
      <c r="K723" s="26"/>
      <c r="L723" s="24"/>
      <c r="M723" s="24"/>
      <c r="N723" s="26"/>
      <c r="O723" s="26"/>
      <c r="P723" s="26"/>
      <c r="Q723" s="26"/>
      <c r="R723" s="26"/>
      <c r="S723" s="26"/>
      <c r="T723" s="26"/>
      <c r="U723" s="26"/>
      <c r="V723" s="26"/>
      <c r="W723" s="26">
        <f>MAX($C$10-VLOOKUP($C723,COS!$B$8:$H$991,3,FALSE),0)</f>
        <v>88170.9169921875</v>
      </c>
      <c r="X723" s="26">
        <f t="shared" si="1086"/>
        <v>5246.5339036673549</v>
      </c>
      <c r="Y723" s="26">
        <f>VLOOKUP($C723,COS!$B$8:$H$991,4,FALSE)</f>
        <v>1047.9903564453125</v>
      </c>
      <c r="Z723" s="26">
        <f t="shared" si="1087"/>
        <v>62.359756747159089</v>
      </c>
      <c r="AA723" s="26">
        <f t="shared" si="1159"/>
        <v>1047.9903564453125</v>
      </c>
      <c r="AB723" s="33">
        <f t="shared" si="1160"/>
        <v>31.179878373579545</v>
      </c>
    </row>
    <row r="724" spans="1:28" x14ac:dyDescent="0.3">
      <c r="A724" s="34">
        <f>VLOOKUP(YEAR(C724),Flags!$A$13:$B$95,2,FALSE)</f>
        <v>2</v>
      </c>
      <c r="B724" s="35">
        <f t="shared" si="1157"/>
        <v>2000</v>
      </c>
      <c r="C724" s="36">
        <v>36891</v>
      </c>
      <c r="D724" s="37"/>
      <c r="E724" s="35"/>
      <c r="F724" s="37"/>
      <c r="G724" s="37"/>
      <c r="H724" s="37"/>
      <c r="I724" s="37"/>
      <c r="J724" s="37"/>
      <c r="K724" s="37"/>
      <c r="L724" s="35"/>
      <c r="M724" s="35"/>
      <c r="N724" s="37"/>
      <c r="O724" s="37"/>
      <c r="P724" s="37"/>
      <c r="Q724" s="37"/>
      <c r="R724" s="37"/>
      <c r="S724" s="37"/>
      <c r="T724" s="37"/>
      <c r="U724" s="37"/>
      <c r="V724" s="37"/>
      <c r="W724" s="37">
        <f>MAX($C$11-VLOOKUP($C724,COS!$B$8:$H$991,3,FALSE),0)</f>
        <v>0</v>
      </c>
      <c r="X724" s="37">
        <f t="shared" si="1086"/>
        <v>0</v>
      </c>
      <c r="Y724" s="37">
        <f>VLOOKUP($C724,COS!$B$8:$H$991,4,FALSE)</f>
        <v>1045.7059326171875</v>
      </c>
      <c r="Z724" s="37">
        <f t="shared" si="1087"/>
        <v>64.297951559271695</v>
      </c>
      <c r="AA724" s="37">
        <f t="shared" si="1159"/>
        <v>0</v>
      </c>
      <c r="AB724" s="38">
        <f t="shared" si="1160"/>
        <v>0</v>
      </c>
    </row>
    <row r="725" spans="1:28" x14ac:dyDescent="0.3">
      <c r="A725" s="27">
        <f>VLOOKUP(YEAR(C725),Flags!$A$13:$B$95,2,FALSE)</f>
        <v>4</v>
      </c>
      <c r="B725" s="28">
        <f t="shared" si="1157"/>
        <v>2001</v>
      </c>
      <c r="C725" s="29">
        <v>37011</v>
      </c>
      <c r="D725" s="30">
        <f>VLOOKUP($C725,COS!$B$8:$H$991,3,FALSE)</f>
        <v>3250</v>
      </c>
      <c r="E725" s="28">
        <f>IF(D725&gt;=IF(MONTH($C725)=4,$C$3,IF(MONTH($C725)=5,$C$4,IF(MONTH($C725)=6,$C$5,IF(MONTH($C725)=7,$C$6,"ERROR")))),1,0)</f>
        <v>0</v>
      </c>
      <c r="F725" s="30">
        <f>VLOOKUP($C725,COS!$B$8:$H$991,7,FALSE)</f>
        <v>51.856029510498047</v>
      </c>
      <c r="G725" s="28">
        <f>IF(F725&lt;=IF(MONTH($C725)=4,$F$3,IF(MONTH($C725)=5,$F$4,IF(MONTH($C725)=6,$F$5,IF(MONTH($C725)=7,$F$6,"ERROR")))),1,0)</f>
        <v>1</v>
      </c>
      <c r="H725" s="30">
        <f>IF(J725=1,D725-$C$3,0)</f>
        <v>0</v>
      </c>
      <c r="I725" s="30">
        <f t="shared" si="1083"/>
        <v>0</v>
      </c>
      <c r="J725" s="28">
        <f t="shared" ref="J725:J728" si="1162">IF(AND(E725=1,G725=1),1,0)</f>
        <v>0</v>
      </c>
      <c r="K725" s="30">
        <f>VLOOKUP($C725,COS!$B$8:$H$991,2,FALSE)</f>
        <v>3754.83837890625</v>
      </c>
      <c r="L725" s="28">
        <f t="shared" ref="L725" si="1163">IF(K725&lt;=IF(MONTH($C725)=4,$I$3,IF(MONTH($C725)=5,$I$4,IF(MONTH($C725)=6,$I$5,IF(MONTH($C725)=7,$I$6,"ERROR")))),1,0)</f>
        <v>1</v>
      </c>
      <c r="M725" s="28">
        <f t="shared" ref="M725" si="1164">VLOOKUP($A725,$L$3:$M$7,2,FALSE)</f>
        <v>1</v>
      </c>
      <c r="N725" s="30">
        <f>VLOOKUP($C725,COS!$B$8:$H$991,5,FALSE)</f>
        <v>153.87185668945313</v>
      </c>
      <c r="O725" s="30">
        <f t="shared" ref="O725:O728" si="1165">N725*DAY($C725)*86400/43560/1000</f>
        <v>9.1560113071410125</v>
      </c>
      <c r="P725" s="30">
        <f>VLOOKUP($C725,COS!$B$8:$H$991,6,FALSE)</f>
        <v>425.27017211914063</v>
      </c>
      <c r="Q725" s="30">
        <f t="shared" ref="Q725:Q728" si="1166">P725*DAY($C725)*86400/43560/1000</f>
        <v>25.305332555849692</v>
      </c>
      <c r="R725" s="30">
        <f>MIN(IF(MONTH($C725)=4,$S$3,IF(MONTH($C725)=5,$S$4,IF(MONTH($C725)=6,$S$5,IF(MONTH($C725)=7,$S$6,"ERROR")))),MAX(VLOOKUP($C725,COS!$B$8:$K$991,10,FALSE)-IF(MONTH($C725)=4,$Y$3,IF(MONTH($C725)=5,$Y$4,IF(MONTH($C725)=6,$Y$5,IF(MONTH($C725)=7,$Y$6,"ERROR")))),0),MAX(VLOOKUP($C725,COS!$B$8:$K$991,9,FALSE)-IF(MONTH($C725)=4,$V$3,IF(MONTH($C725)=5,$V$4,IF(MONTH($C725)=6,$V$5,IF(MONTH($C725)=7,$V$6,"ERROR"))))-VLOOKUP($C725,COS!$B$8:$K$991,6,FALSE)/2,0))</f>
        <v>1418.6572265625</v>
      </c>
      <c r="S725" s="30">
        <f t="shared" ref="S725:S728" si="1167">R725*DAY($C725)*86400/43560/1000</f>
        <v>84.415967200413235</v>
      </c>
      <c r="T725" s="30">
        <f t="shared" ref="T725:T728" si="1168">(O725+Q725)/2+S725</f>
        <v>101.64663913190859</v>
      </c>
      <c r="U725" s="30" t="str">
        <f>IF(VLOOKUP($C725,COS!$B$8:$I$991,8,FALSE)=1,"UWFE","IBU")</f>
        <v>UWFE</v>
      </c>
      <c r="V725" s="30">
        <f t="shared" ref="V725" si="1169">MIN(IF(IF($AA$3=2,AND(E725=1,G725=1,L725=1,L730=1,M725=1,U725="IBU"),AND(E725=1,G725=1,L725=1,L730=1,M725=1)),T725,0),I725)</f>
        <v>0</v>
      </c>
      <c r="W725" s="30"/>
      <c r="X725" s="30"/>
      <c r="Y725" s="30"/>
      <c r="Z725" s="30"/>
      <c r="AA725" s="30"/>
      <c r="AB725" s="31"/>
    </row>
    <row r="726" spans="1:28" x14ac:dyDescent="0.3">
      <c r="A726" s="32">
        <f>VLOOKUP(YEAR(C726),Flags!$A$13:$B$95,2,FALSE)</f>
        <v>4</v>
      </c>
      <c r="B726" s="24">
        <f t="shared" si="1157"/>
        <v>2001</v>
      </c>
      <c r="C726" s="25">
        <v>37042</v>
      </c>
      <c r="D726" s="26">
        <f>VLOOKUP($C726,COS!$B$8:$H$991,3,FALSE)</f>
        <v>9349.091796875</v>
      </c>
      <c r="E726" s="24">
        <f>IF(D726&gt;=IF(MONTH($C726)=4,$C$3,IF(MONTH($C726)=5,$C$4,IF(MONTH($C726)=6,$C$5,IF(MONTH($C726)=7,$C$6,"ERROR")))),1,0)</f>
        <v>1</v>
      </c>
      <c r="F726" s="26">
        <f>VLOOKUP($C726,COS!$B$8:$H$991,7,FALSE)</f>
        <v>51.669788360595703</v>
      </c>
      <c r="G726" s="24">
        <f>IF(F726&lt;=IF(MONTH($C726)=4,$F$3,IF(MONTH($C726)=5,$F$4,IF(MONTH($C726)=6,$F$5,IF(MONTH($C726)=7,$F$6,"ERROR")))),1,0)</f>
        <v>1</v>
      </c>
      <c r="H726" s="26">
        <f>IF(J726=1,D726-$C$4,0)</f>
        <v>3349.091796875</v>
      </c>
      <c r="I726" s="26">
        <f t="shared" si="1083"/>
        <v>205.92762784090908</v>
      </c>
      <c r="J726" s="24">
        <f t="shared" si="1162"/>
        <v>1</v>
      </c>
      <c r="K726" s="26">
        <f>VLOOKUP($C726,COS!$B$8:$H$991,2,FALSE)</f>
        <v>3513.1181640625</v>
      </c>
      <c r="L726" s="24">
        <f t="shared" si="1148"/>
        <v>1</v>
      </c>
      <c r="M726" s="24">
        <f t="shared" si="1149"/>
        <v>1</v>
      </c>
      <c r="N726" s="26">
        <f>VLOOKUP($C726,COS!$B$8:$H$991,5,FALSE)</f>
        <v>131.51080322265625</v>
      </c>
      <c r="O726" s="26">
        <f t="shared" si="1165"/>
        <v>8.0862840989798546</v>
      </c>
      <c r="P726" s="26">
        <f>VLOOKUP($C726,COS!$B$8:$H$991,6,FALSE)</f>
        <v>2330.0556640625</v>
      </c>
      <c r="Q726" s="26">
        <f t="shared" si="1166"/>
        <v>143.26953835227275</v>
      </c>
      <c r="R726" s="26">
        <f>MIN(IF(MONTH($C726)=4,$S$3,IF(MONTH($C726)=5,$S$4,IF(MONTH($C726)=6,$S$5,IF(MONTH($C726)=7,$S$6,"ERROR")))),MAX(VLOOKUP($C726,COS!$B$8:$K$991,10,FALSE)-IF(MONTH($C726)=4,$Y$3,IF(MONTH($C726)=5,$Y$4,IF(MONTH($C726)=6,$Y$5,IF(MONTH($C726)=7,$Y$6,"ERROR")))),0),MAX(VLOOKUP($C726,COS!$B$8:$K$991,9,FALSE)-IF(MONTH($C726)=4,$V$3,IF(MONTH($C726)=5,$V$4,IF(MONTH($C726)=6,$V$5,IF(MONTH($C726)=7,$V$6,"ERROR"))))-VLOOKUP($C726,COS!$B$8:$K$991,6,FALSE)/2,0))</f>
        <v>1500</v>
      </c>
      <c r="S726" s="26">
        <f t="shared" si="1167"/>
        <v>92.231404958677686</v>
      </c>
      <c r="T726" s="26">
        <f t="shared" si="1168"/>
        <v>167.90931618430398</v>
      </c>
      <c r="U726" s="26" t="str">
        <f>IF(VLOOKUP($C726,COS!$B$8:$I$991,8,FALSE)=1,"UWFE","IBU")</f>
        <v>IBU</v>
      </c>
      <c r="V726" s="26">
        <f t="shared" ref="V726" si="1170">MIN(IF(IF($AA$3=2,AND(E726=1,G726=1,L726=1,L730=1,M726=1,U726="IBU"),AND(E726=1,G726=1,L726=1,L730=1,M726=1)),T726,0),I726)</f>
        <v>167.90931618430398</v>
      </c>
      <c r="W726" s="26"/>
      <c r="X726" s="26"/>
      <c r="Y726" s="26"/>
      <c r="Z726" s="26"/>
      <c r="AA726" s="26"/>
      <c r="AB726" s="33"/>
    </row>
    <row r="727" spans="1:28" x14ac:dyDescent="0.3">
      <c r="A727" s="32">
        <f>VLOOKUP(YEAR(C727),Flags!$A$13:$B$95,2,FALSE)</f>
        <v>4</v>
      </c>
      <c r="B727" s="24">
        <f t="shared" si="1157"/>
        <v>2001</v>
      </c>
      <c r="C727" s="25">
        <v>37072</v>
      </c>
      <c r="D727" s="26">
        <f>VLOOKUP($C727,COS!$B$8:$H$991,3,FALSE)</f>
        <v>13580.42578125</v>
      </c>
      <c r="E727" s="24">
        <f>IF(D727&gt;=IF(MONTH($C727)=4,$C$3,IF(MONTH($C727)=5,$C$4,IF(MONTH($C727)=6,$C$5,IF(MONTH($C727)=7,$C$6,"ERROR")))),1,0)</f>
        <v>1</v>
      </c>
      <c r="F727" s="26">
        <f>VLOOKUP($C727,COS!$B$8:$H$991,7,FALSE)</f>
        <v>52.129489898681641</v>
      </c>
      <c r="G727" s="24">
        <f>IF(F727&lt;=IF(MONTH($C727)=4,$F$3,IF(MONTH($C727)=5,$F$4,IF(MONTH($C727)=6,$F$5,IF(MONTH($C727)=7,$F$6,"ERROR")))),1,0)</f>
        <v>1</v>
      </c>
      <c r="H727" s="26">
        <f>IF(J727=1,D727-$C$5,0)</f>
        <v>3580.42578125</v>
      </c>
      <c r="I727" s="26">
        <f t="shared" si="1083"/>
        <v>213.0501291322314</v>
      </c>
      <c r="J727" s="24">
        <f t="shared" si="1162"/>
        <v>1</v>
      </c>
      <c r="K727" s="26">
        <f>VLOOKUP($C727,COS!$B$8:$H$991,2,FALSE)</f>
        <v>3084.426025390625</v>
      </c>
      <c r="L727" s="24">
        <f t="shared" si="1148"/>
        <v>1</v>
      </c>
      <c r="M727" s="24">
        <f t="shared" si="1149"/>
        <v>1</v>
      </c>
      <c r="N727" s="26">
        <f>VLOOKUP($C727,COS!$B$8:$H$991,5,FALSE)</f>
        <v>341.73458862304688</v>
      </c>
      <c r="O727" s="26">
        <f t="shared" si="1165"/>
        <v>20.334620149470556</v>
      </c>
      <c r="P727" s="26">
        <f>VLOOKUP($C727,COS!$B$8:$H$991,6,FALSE)</f>
        <v>2635.120849609375</v>
      </c>
      <c r="Q727" s="26">
        <f t="shared" si="1166"/>
        <v>156.80057948088844</v>
      </c>
      <c r="R727" s="26">
        <f>MIN(IF(MONTH($C727)=4,$S$3,IF(MONTH($C727)=5,$S$4,IF(MONTH($C727)=6,$S$5,IF(MONTH($C727)=7,$S$6,"ERROR")))),MAX(VLOOKUP($C727,COS!$B$8:$K$991,10,FALSE)-IF(MONTH($C727)=4,$Y$3,IF(MONTH($C727)=5,$Y$4,IF(MONTH($C727)=6,$Y$5,IF(MONTH($C727)=7,$Y$6,"ERROR")))),0),MAX(VLOOKUP($C727,COS!$B$8:$K$991,9,FALSE)-IF(MONTH($C727)=4,$V$3,IF(MONTH($C727)=5,$V$4,IF(MONTH($C727)=6,$V$5,IF(MONTH($C727)=7,$V$6,"ERROR"))))-VLOOKUP($C727,COS!$B$8:$K$991,6,FALSE)/2,0))</f>
        <v>1500</v>
      </c>
      <c r="S727" s="26">
        <f t="shared" si="1167"/>
        <v>89.256198347107429</v>
      </c>
      <c r="T727" s="26">
        <f t="shared" si="1168"/>
        <v>177.82379816228695</v>
      </c>
      <c r="U727" s="26" t="str">
        <f>IF(VLOOKUP($C727,COS!$B$8:$I$991,8,FALSE)=1,"UWFE","IBU")</f>
        <v>IBU</v>
      </c>
      <c r="V727" s="26">
        <f t="shared" ref="V727" si="1171">MIN(IF(IF($AA$3=2,AND(E727=1,G727=1,L727=1,L730=1,M727=1,U727="IBU"),AND(E727=1,G727=1,L727=1,L730=1,M727=1)),T727,0),I727)</f>
        <v>177.82379816228695</v>
      </c>
      <c r="W727" s="26"/>
      <c r="X727" s="26"/>
      <c r="Y727" s="26"/>
      <c r="Z727" s="26"/>
      <c r="AA727" s="26"/>
      <c r="AB727" s="33"/>
    </row>
    <row r="728" spans="1:28" x14ac:dyDescent="0.3">
      <c r="A728" s="32">
        <f>VLOOKUP(YEAR(C728),Flags!$A$13:$B$95,2,FALSE)</f>
        <v>4</v>
      </c>
      <c r="B728" s="24">
        <f t="shared" si="1157"/>
        <v>2001</v>
      </c>
      <c r="C728" s="25">
        <v>37103</v>
      </c>
      <c r="D728" s="26">
        <f>VLOOKUP($C728,COS!$B$8:$H$991,3,FALSE)</f>
        <v>11758.25</v>
      </c>
      <c r="E728" s="24">
        <f>IF(D728&gt;=IF(MONTH($C728)=4,$C$3,IF(MONTH($C728)=5,$C$4,IF(MONTH($C728)=6,$C$5,IF(MONTH($C728)=7,$C$6,"ERROR")))),1,0)</f>
        <v>0</v>
      </c>
      <c r="F728" s="26">
        <f>VLOOKUP($C728,COS!$B$8:$H$991,7,FALSE)</f>
        <v>54.356548309326172</v>
      </c>
      <c r="G728" s="24">
        <f>IF(F728&lt;=IF(MONTH($C728)=4,$F$3,IF(MONTH($C728)=5,$F$4,IF(MONTH($C728)=6,$F$5,IF(MONTH($C728)=7,$F$6,"ERROR")))),1,0)</f>
        <v>0</v>
      </c>
      <c r="H728" s="26">
        <f>IF(J728=1,D728-$C$6,0)</f>
        <v>0</v>
      </c>
      <c r="I728" s="26">
        <f t="shared" si="1083"/>
        <v>0</v>
      </c>
      <c r="J728" s="24">
        <f t="shared" si="1162"/>
        <v>0</v>
      </c>
      <c r="K728" s="26">
        <f>VLOOKUP($C728,COS!$B$8:$H$991,2,FALSE)</f>
        <v>2758.937255859375</v>
      </c>
      <c r="L728" s="24">
        <f t="shared" si="1148"/>
        <v>1</v>
      </c>
      <c r="M728" s="24">
        <f t="shared" si="1149"/>
        <v>1</v>
      </c>
      <c r="N728" s="26">
        <f>VLOOKUP($C728,COS!$B$8:$H$991,5,FALSE)</f>
        <v>395.15768432617188</v>
      </c>
      <c r="O728" s="26">
        <f t="shared" si="1165"/>
        <v>24.297298937080321</v>
      </c>
      <c r="P728" s="26">
        <f>VLOOKUP($C728,COS!$B$8:$H$991,6,FALSE)</f>
        <v>2538.07568359375</v>
      </c>
      <c r="Q728" s="26">
        <f t="shared" si="1166"/>
        <v>156.06019079287191</v>
      </c>
      <c r="R728" s="26">
        <f>MIN(IF(MONTH($C728)=4,$S$3,IF(MONTH($C728)=5,$S$4,IF(MONTH($C728)=6,$S$5,IF(MONTH($C728)=7,$S$6,"ERROR")))),MAX(VLOOKUP($C728,COS!$B$8:$K$991,10,FALSE)-IF(MONTH($C728)=4,$Y$3,IF(MONTH($C728)=5,$Y$4,IF(MONTH($C728)=6,$Y$5,IF(MONTH($C728)=7,$Y$6,"ERROR")))),0),MAX(VLOOKUP($C728,COS!$B$8:$K$991,9,FALSE)-IF(MONTH($C728)=4,$V$3,IF(MONTH($C728)=5,$V$4,IF(MONTH($C728)=6,$V$5,IF(MONTH($C728)=7,$V$6,"ERROR"))))-VLOOKUP($C728,COS!$B$8:$K$991,6,FALSE)/2,0))</f>
        <v>1500</v>
      </c>
      <c r="S728" s="26">
        <f t="shared" si="1167"/>
        <v>92.231404958677686</v>
      </c>
      <c r="T728" s="26">
        <f t="shared" si="1168"/>
        <v>182.4101498236538</v>
      </c>
      <c r="U728" s="26" t="str">
        <f>IF(VLOOKUP($C728,COS!$B$8:$I$991,8,FALSE)=1,"UWFE","IBU")</f>
        <v>IBU</v>
      </c>
      <c r="V728" s="26">
        <f t="shared" ref="V728" si="1172">MIN(IF(IF($AA$3=2,AND(E728=1,G728=1,L728=1,L730=1,M728=1,U728="IBU"),AND(E728=1,G728=1,L728=1,L730=1,M728=1)),T728,0),I728)</f>
        <v>0</v>
      </c>
      <c r="W728" s="26"/>
      <c r="X728" s="26"/>
      <c r="Y728" s="26"/>
      <c r="Z728" s="26"/>
      <c r="AA728" s="26"/>
      <c r="AB728" s="33"/>
    </row>
    <row r="729" spans="1:28" x14ac:dyDescent="0.3">
      <c r="A729" s="32">
        <f>VLOOKUP(YEAR(C729),Flags!$A$13:$B$95,2,FALSE)</f>
        <v>4</v>
      </c>
      <c r="B729" s="24">
        <f t="shared" si="1157"/>
        <v>2001</v>
      </c>
      <c r="C729" s="25">
        <v>37134</v>
      </c>
      <c r="D729" s="26"/>
      <c r="E729" s="24"/>
      <c r="F729" s="26"/>
      <c r="G729" s="24"/>
      <c r="H729" s="24"/>
      <c r="I729" s="26"/>
      <c r="J729" s="24"/>
      <c r="K729" s="26"/>
      <c r="L729" s="24"/>
      <c r="M729" s="24"/>
      <c r="N729" s="26"/>
      <c r="O729" s="26"/>
      <c r="P729" s="26"/>
      <c r="Q729" s="26"/>
      <c r="R729" s="26"/>
      <c r="S729" s="26"/>
      <c r="T729" s="26"/>
      <c r="U729" s="26"/>
      <c r="V729" s="26"/>
      <c r="W729" s="26">
        <f>MAX($C$7-VLOOKUP($C729,COS!$B$8:$H$991,3,FALSE),0)</f>
        <v>92242.5517578125</v>
      </c>
      <c r="X729" s="26">
        <f t="shared" si="1086"/>
        <v>5671.7734303977277</v>
      </c>
      <c r="Y729" s="26">
        <f>VLOOKUP($C729,COS!$B$8:$H$991,4,FALSE)</f>
        <v>2668.290283203125</v>
      </c>
      <c r="Z729" s="26">
        <f t="shared" si="1087"/>
        <v>164.06677443827479</v>
      </c>
      <c r="AA729" s="26">
        <f t="shared" ref="AA729:AA733" si="1173">MIN(W729,Y729)</f>
        <v>2668.290283203125</v>
      </c>
      <c r="AB729" s="33">
        <f t="shared" ref="AB729" si="1174">AA729*DAY($C729)*86400/43560/1000*IF(MONTH($C729)=8,$P$3,IF(MONTH($C729)=9,$P$4,IF(MONTH($C729)=10,$P$5,IF(MONTH($C729)=11,$P$6,IF(MONTH($C729)=12,$P$7,NA())))))</f>
        <v>164.06677443827479</v>
      </c>
    </row>
    <row r="730" spans="1:28" x14ac:dyDescent="0.3">
      <c r="A730" s="32">
        <f>VLOOKUP(YEAR(C730),Flags!$A$13:$B$95,2,FALSE)</f>
        <v>4</v>
      </c>
      <c r="B730" s="24">
        <f t="shared" si="1157"/>
        <v>2001</v>
      </c>
      <c r="C730" s="25">
        <v>37164</v>
      </c>
      <c r="D730" s="26"/>
      <c r="E730" s="24"/>
      <c r="F730" s="26"/>
      <c r="G730" s="24"/>
      <c r="H730" s="24"/>
      <c r="I730" s="26"/>
      <c r="J730" s="24"/>
      <c r="K730" s="26">
        <f>VLOOKUP($C730,COS!$B$8:$H$991,2,FALSE)</f>
        <v>2536.139892578125</v>
      </c>
      <c r="L730" s="24">
        <f t="shared" ref="L730" si="1175">IF(AND(K730&gt;$I$7,K730&lt;$I$8),1,0)</f>
        <v>1</v>
      </c>
      <c r="M730" s="24"/>
      <c r="N730" s="26"/>
      <c r="O730" s="26"/>
      <c r="P730" s="26"/>
      <c r="Q730" s="26"/>
      <c r="R730" s="26"/>
      <c r="S730" s="26"/>
      <c r="T730" s="26"/>
      <c r="U730" s="26"/>
      <c r="V730" s="26"/>
      <c r="W730" s="26">
        <f>MAX($C$8-VLOOKUP($C730,COS!$B$8:$H$991,3,FALSE),0)</f>
        <v>94657.2197265625</v>
      </c>
      <c r="X730" s="26">
        <f t="shared" si="1086"/>
        <v>5632.4957192665288</v>
      </c>
      <c r="Y730" s="26">
        <f>VLOOKUP($C730,COS!$B$8:$H$991,4,FALSE)</f>
        <v>1212.2628173828125</v>
      </c>
      <c r="Z730" s="26">
        <f t="shared" si="1087"/>
        <v>72.134646984762398</v>
      </c>
      <c r="AA730" s="26">
        <f t="shared" si="1173"/>
        <v>1212.2628173828125</v>
      </c>
      <c r="AB730" s="33">
        <f t="shared" si="1160"/>
        <v>72.134646984762398</v>
      </c>
    </row>
    <row r="731" spans="1:28" x14ac:dyDescent="0.3">
      <c r="A731" s="32">
        <f>VLOOKUP(YEAR(C731),Flags!$A$13:$B$95,2,FALSE)</f>
        <v>4</v>
      </c>
      <c r="B731" s="24">
        <f t="shared" si="1157"/>
        <v>2001</v>
      </c>
      <c r="C731" s="25">
        <v>37195</v>
      </c>
      <c r="D731" s="26"/>
      <c r="E731" s="24"/>
      <c r="F731" s="26"/>
      <c r="G731" s="26"/>
      <c r="H731" s="26"/>
      <c r="I731" s="26"/>
      <c r="J731" s="26"/>
      <c r="K731" s="26"/>
      <c r="L731" s="24"/>
      <c r="M731" s="24"/>
      <c r="N731" s="26"/>
      <c r="O731" s="26"/>
      <c r="P731" s="26"/>
      <c r="Q731" s="26"/>
      <c r="R731" s="26"/>
      <c r="S731" s="26"/>
      <c r="T731" s="26"/>
      <c r="U731" s="26"/>
      <c r="V731" s="26"/>
      <c r="W731" s="26">
        <f>MAX($C$9-VLOOKUP($C731,COS!$B$8:$H$991,3,FALSE),0)</f>
        <v>91063.4443359375</v>
      </c>
      <c r="X731" s="26">
        <f t="shared" si="1086"/>
        <v>5599.2729409865697</v>
      </c>
      <c r="Y731" s="26">
        <f>VLOOKUP($C731,COS!$B$8:$H$991,4,FALSE)</f>
        <v>1937.2271728515625</v>
      </c>
      <c r="Z731" s="26">
        <f t="shared" si="1087"/>
        <v>119.11545591748451</v>
      </c>
      <c r="AA731" s="26">
        <f t="shared" si="1173"/>
        <v>1937.2271728515625</v>
      </c>
      <c r="AB731" s="33">
        <f t="shared" si="1160"/>
        <v>119.11545591748451</v>
      </c>
    </row>
    <row r="732" spans="1:28" x14ac:dyDescent="0.3">
      <c r="A732" s="32">
        <f>VLOOKUP(YEAR(C732),Flags!$A$13:$B$95,2,FALSE)</f>
        <v>4</v>
      </c>
      <c r="B732" s="24">
        <f t="shared" si="1157"/>
        <v>2001</v>
      </c>
      <c r="C732" s="25">
        <v>37225</v>
      </c>
      <c r="D732" s="26"/>
      <c r="E732" s="24"/>
      <c r="F732" s="26"/>
      <c r="G732" s="26"/>
      <c r="H732" s="26"/>
      <c r="I732" s="26"/>
      <c r="J732" s="26"/>
      <c r="K732" s="26"/>
      <c r="L732" s="24"/>
      <c r="M732" s="24"/>
      <c r="N732" s="26"/>
      <c r="O732" s="26"/>
      <c r="P732" s="26"/>
      <c r="Q732" s="26"/>
      <c r="R732" s="26"/>
      <c r="S732" s="26"/>
      <c r="T732" s="26"/>
      <c r="U732" s="26"/>
      <c r="V732" s="26"/>
      <c r="W732" s="26">
        <f>MAX($C$10-VLOOKUP($C732,COS!$B$8:$H$991,3,FALSE),0)</f>
        <v>96749</v>
      </c>
      <c r="X732" s="26">
        <f t="shared" si="1086"/>
        <v>5756.965289256198</v>
      </c>
      <c r="Y732" s="26">
        <f>VLOOKUP($C732,COS!$B$8:$H$991,4,FALSE)</f>
        <v>1367.04638671875</v>
      </c>
      <c r="Z732" s="26">
        <f t="shared" si="1087"/>
        <v>81.344908961776866</v>
      </c>
      <c r="AA732" s="26">
        <f t="shared" si="1173"/>
        <v>1367.04638671875</v>
      </c>
      <c r="AB732" s="33">
        <f t="shared" si="1160"/>
        <v>40.672454480888433</v>
      </c>
    </row>
    <row r="733" spans="1:28" x14ac:dyDescent="0.3">
      <c r="A733" s="34">
        <f>VLOOKUP(YEAR(C733),Flags!$A$13:$B$95,2,FALSE)</f>
        <v>4</v>
      </c>
      <c r="B733" s="35">
        <f t="shared" si="1157"/>
        <v>2001</v>
      </c>
      <c r="C733" s="36">
        <v>37256</v>
      </c>
      <c r="D733" s="37"/>
      <c r="E733" s="35"/>
      <c r="F733" s="37"/>
      <c r="G733" s="37"/>
      <c r="H733" s="37"/>
      <c r="I733" s="37"/>
      <c r="J733" s="37"/>
      <c r="K733" s="37"/>
      <c r="L733" s="35"/>
      <c r="M733" s="35"/>
      <c r="N733" s="37"/>
      <c r="O733" s="37"/>
      <c r="P733" s="37"/>
      <c r="Q733" s="37"/>
      <c r="R733" s="37"/>
      <c r="S733" s="37"/>
      <c r="T733" s="37"/>
      <c r="U733" s="37"/>
      <c r="V733" s="37"/>
      <c r="W733" s="37">
        <f>MAX($C$11-VLOOKUP($C733,COS!$B$8:$H$991,3,FALSE),0)</f>
        <v>0</v>
      </c>
      <c r="X733" s="37">
        <f t="shared" si="1086"/>
        <v>0</v>
      </c>
      <c r="Y733" s="37">
        <f>VLOOKUP($C733,COS!$B$8:$H$991,4,FALSE)</f>
        <v>0</v>
      </c>
      <c r="Z733" s="37">
        <f t="shared" si="1087"/>
        <v>0</v>
      </c>
      <c r="AA733" s="37">
        <f t="shared" si="1173"/>
        <v>0</v>
      </c>
      <c r="AB733" s="38">
        <f t="shared" si="1160"/>
        <v>0</v>
      </c>
    </row>
    <row r="734" spans="1:28" x14ac:dyDescent="0.3">
      <c r="A734" s="27">
        <f>VLOOKUP(YEAR(C734),Flags!$A$13:$B$95,2,FALSE)</f>
        <v>4</v>
      </c>
      <c r="B734" s="28">
        <f t="shared" si="1157"/>
        <v>2002</v>
      </c>
      <c r="C734" s="29">
        <v>37376</v>
      </c>
      <c r="D734" s="30">
        <f>VLOOKUP($C734,COS!$B$8:$H$991,3,FALSE)</f>
        <v>3790.32568359375</v>
      </c>
      <c r="E734" s="28">
        <f>IF(D734&gt;=IF(MONTH($C734)=4,$C$3,IF(MONTH($C734)=5,$C$4,IF(MONTH($C734)=6,$C$5,IF(MONTH($C734)=7,$C$6,"ERROR")))),1,0)</f>
        <v>0</v>
      </c>
      <c r="F734" s="30">
        <f>VLOOKUP($C734,COS!$B$8:$H$991,7,FALSE)</f>
        <v>51.393619537353516</v>
      </c>
      <c r="G734" s="28">
        <f>IF(F734&lt;=IF(MONTH($C734)=4,$F$3,IF(MONTH($C734)=5,$F$4,IF(MONTH($C734)=6,$F$5,IF(MONTH($C734)=7,$F$6,"ERROR")))),1,0)</f>
        <v>1</v>
      </c>
      <c r="H734" s="30">
        <f>IF(J734=1,D734-$C$3,0)</f>
        <v>0</v>
      </c>
      <c r="I734" s="30">
        <f t="shared" si="1083"/>
        <v>0</v>
      </c>
      <c r="J734" s="28">
        <f t="shared" ref="J734:J737" si="1176">IF(AND(E734=1,G734=1),1,0)</f>
        <v>0</v>
      </c>
      <c r="K734" s="30">
        <f>VLOOKUP($C734,COS!$B$8:$H$991,2,FALSE)</f>
        <v>4552.10009765625</v>
      </c>
      <c r="L734" s="28">
        <f t="shared" ref="L734" si="1177">IF(K734&lt;=IF(MONTH($C734)=4,$I$3,IF(MONTH($C734)=5,$I$4,IF(MONTH($C734)=6,$I$5,IF(MONTH($C734)=7,$I$6,"ERROR")))),1,0)</f>
        <v>1</v>
      </c>
      <c r="M734" s="28">
        <f t="shared" ref="M734" si="1178">VLOOKUP($A734,$L$3:$M$7,2,FALSE)</f>
        <v>1</v>
      </c>
      <c r="N734" s="30">
        <f>VLOOKUP($C734,COS!$B$8:$H$991,5,FALSE)</f>
        <v>592.5997314453125</v>
      </c>
      <c r="O734" s="30">
        <f t="shared" ref="O734:O737" si="1179">N734*DAY($C734)*86400/43560/1000</f>
        <v>35.262132780216938</v>
      </c>
      <c r="P734" s="30">
        <f>VLOOKUP($C734,COS!$B$8:$H$991,6,FALSE)</f>
        <v>570.92694091796875</v>
      </c>
      <c r="Q734" s="30">
        <f t="shared" ref="Q734:Q737" si="1180">P734*DAY($C734)*86400/43560/1000</f>
        <v>33.972512186854338</v>
      </c>
      <c r="R734" s="30">
        <f>MIN(IF(MONTH($C734)=4,$S$3,IF(MONTH($C734)=5,$S$4,IF(MONTH($C734)=6,$S$5,IF(MONTH($C734)=7,$S$6,"ERROR")))),MAX(VLOOKUP($C734,COS!$B$8:$K$991,10,FALSE)-IF(MONTH($C734)=4,$Y$3,IF(MONTH($C734)=5,$Y$4,IF(MONTH($C734)=6,$Y$5,IF(MONTH($C734)=7,$Y$6,"ERROR")))),0),MAX(VLOOKUP($C734,COS!$B$8:$K$991,9,FALSE)-IF(MONTH($C734)=4,$V$3,IF(MONTH($C734)=5,$V$4,IF(MONTH($C734)=6,$V$5,IF(MONTH($C734)=7,$V$6,"ERROR"))))-VLOOKUP($C734,COS!$B$8:$K$991,6,FALSE)/2,0))</f>
        <v>1500</v>
      </c>
      <c r="S734" s="30">
        <f t="shared" ref="S734:S737" si="1181">R734*DAY($C734)*86400/43560/1000</f>
        <v>89.256198347107429</v>
      </c>
      <c r="T734" s="30">
        <f t="shared" ref="T734:T737" si="1182">(O734+Q734)/2+S734</f>
        <v>123.87352083064306</v>
      </c>
      <c r="U734" s="30" t="str">
        <f>IF(VLOOKUP($C734,COS!$B$8:$I$991,8,FALSE)=1,"UWFE","IBU")</f>
        <v>UWFE</v>
      </c>
      <c r="V734" s="30">
        <f t="shared" ref="V734" si="1183">MIN(IF(IF($AA$3=2,AND(E734=1,G734=1,L734=1,L739=1,M734=1,U734="IBU"),AND(E734=1,G734=1,L734=1,L739=1,M734=1)),T734,0),I734)</f>
        <v>0</v>
      </c>
      <c r="W734" s="30"/>
      <c r="X734" s="30"/>
      <c r="Y734" s="30"/>
      <c r="Z734" s="30"/>
      <c r="AA734" s="30"/>
      <c r="AB734" s="31"/>
    </row>
    <row r="735" spans="1:28" x14ac:dyDescent="0.3">
      <c r="A735" s="32">
        <f>VLOOKUP(YEAR(C735),Flags!$A$13:$B$95,2,FALSE)</f>
        <v>4</v>
      </c>
      <c r="B735" s="24">
        <f t="shared" si="1157"/>
        <v>2002</v>
      </c>
      <c r="C735" s="25">
        <v>37407</v>
      </c>
      <c r="D735" s="26">
        <f>VLOOKUP($C735,COS!$B$8:$H$991,3,FALSE)</f>
        <v>8129.60498046875</v>
      </c>
      <c r="E735" s="24">
        <f>IF(D735&gt;=IF(MONTH($C735)=4,$C$3,IF(MONTH($C735)=5,$C$4,IF(MONTH($C735)=6,$C$5,IF(MONTH($C735)=7,$C$6,"ERROR")))),1,0)</f>
        <v>1</v>
      </c>
      <c r="F735" s="26">
        <f>VLOOKUP($C735,COS!$B$8:$H$991,7,FALSE)</f>
        <v>50.423126220703125</v>
      </c>
      <c r="G735" s="24">
        <f>IF(F735&lt;=IF(MONTH($C735)=4,$F$3,IF(MONTH($C735)=5,$F$4,IF(MONTH($C735)=6,$F$5,IF(MONTH($C735)=7,$F$6,"ERROR")))),1,0)</f>
        <v>1</v>
      </c>
      <c r="H735" s="26">
        <f>IF(J735=1,D735-$C$4,0)</f>
        <v>2129.60498046875</v>
      </c>
      <c r="I735" s="26">
        <f t="shared" si="1083"/>
        <v>130.94430623708678</v>
      </c>
      <c r="J735" s="24">
        <f t="shared" si="1176"/>
        <v>1</v>
      </c>
      <c r="K735" s="26">
        <f>VLOOKUP($C735,COS!$B$8:$H$991,2,FALSE)</f>
        <v>4345.9794921875</v>
      </c>
      <c r="L735" s="24">
        <f t="shared" si="1148"/>
        <v>1</v>
      </c>
      <c r="M735" s="24">
        <f t="shared" si="1149"/>
        <v>1</v>
      </c>
      <c r="N735" s="26">
        <f>VLOOKUP($C735,COS!$B$8:$H$991,5,FALSE)</f>
        <v>512.00897216796875</v>
      </c>
      <c r="O735" s="26">
        <f t="shared" si="1179"/>
        <v>31.482204569666838</v>
      </c>
      <c r="P735" s="26">
        <f>VLOOKUP($C735,COS!$B$8:$H$991,6,FALSE)</f>
        <v>2032.4620361328125</v>
      </c>
      <c r="Q735" s="26">
        <f t="shared" si="1180"/>
        <v>124.97121941180268</v>
      </c>
      <c r="R735" s="26">
        <f>MIN(IF(MONTH($C735)=4,$S$3,IF(MONTH($C735)=5,$S$4,IF(MONTH($C735)=6,$S$5,IF(MONTH($C735)=7,$S$6,"ERROR")))),MAX(VLOOKUP($C735,COS!$B$8:$K$991,10,FALSE)-IF(MONTH($C735)=4,$Y$3,IF(MONTH($C735)=5,$Y$4,IF(MONTH($C735)=6,$Y$5,IF(MONTH($C735)=7,$Y$6,"ERROR")))),0),MAX(VLOOKUP($C735,COS!$B$8:$K$991,9,FALSE)-IF(MONTH($C735)=4,$V$3,IF(MONTH($C735)=5,$V$4,IF(MONTH($C735)=6,$V$5,IF(MONTH($C735)=7,$V$6,"ERROR"))))-VLOOKUP($C735,COS!$B$8:$K$991,6,FALSE)/2,0))</f>
        <v>1500</v>
      </c>
      <c r="S735" s="26">
        <f t="shared" si="1181"/>
        <v>92.231404958677686</v>
      </c>
      <c r="T735" s="26">
        <f t="shared" si="1182"/>
        <v>170.45811694941244</v>
      </c>
      <c r="U735" s="26" t="str">
        <f>IF(VLOOKUP($C735,COS!$B$8:$I$991,8,FALSE)=1,"UWFE","IBU")</f>
        <v>UWFE</v>
      </c>
      <c r="V735" s="26">
        <f t="shared" ref="V735" si="1184">MIN(IF(IF($AA$3=2,AND(E735=1,G735=1,L735=1,L739=1,M735=1,U735="IBU"),AND(E735=1,G735=1,L735=1,L739=1,M735=1)),T735,0),I735)</f>
        <v>0</v>
      </c>
      <c r="W735" s="26"/>
      <c r="X735" s="26"/>
      <c r="Y735" s="26"/>
      <c r="Z735" s="26"/>
      <c r="AA735" s="26"/>
      <c r="AB735" s="33"/>
    </row>
    <row r="736" spans="1:28" x14ac:dyDescent="0.3">
      <c r="A736" s="32">
        <f>VLOOKUP(YEAR(C736),Flags!$A$13:$B$95,2,FALSE)</f>
        <v>4</v>
      </c>
      <c r="B736" s="24">
        <f t="shared" si="1157"/>
        <v>2002</v>
      </c>
      <c r="C736" s="25">
        <v>37437</v>
      </c>
      <c r="D736" s="26">
        <f>VLOOKUP($C736,COS!$B$8:$H$991,3,FALSE)</f>
        <v>11090.05078125</v>
      </c>
      <c r="E736" s="24">
        <f>IF(D736&gt;=IF(MONTH($C736)=4,$C$3,IF(MONTH($C736)=5,$C$4,IF(MONTH($C736)=6,$C$5,IF(MONTH($C736)=7,$C$6,"ERROR")))),1,0)</f>
        <v>1</v>
      </c>
      <c r="F736" s="26">
        <f>VLOOKUP($C736,COS!$B$8:$H$991,7,FALSE)</f>
        <v>51.078281402587891</v>
      </c>
      <c r="G736" s="24">
        <f>IF(F736&lt;=IF(MONTH($C736)=4,$F$3,IF(MONTH($C736)=5,$F$4,IF(MONTH($C736)=6,$F$5,IF(MONTH($C736)=7,$F$6,"ERROR")))),1,0)</f>
        <v>1</v>
      </c>
      <c r="H736" s="26">
        <f>IF(J736=1,D736-$C$5,0)</f>
        <v>1090.05078125</v>
      </c>
      <c r="I736" s="26">
        <f t="shared" si="1083"/>
        <v>64.862525826446287</v>
      </c>
      <c r="J736" s="24">
        <f t="shared" si="1176"/>
        <v>1</v>
      </c>
      <c r="K736" s="26">
        <f>VLOOKUP($C736,COS!$B$8:$H$991,2,FALSE)</f>
        <v>3872.047119140625</v>
      </c>
      <c r="L736" s="24">
        <f t="shared" si="1148"/>
        <v>1</v>
      </c>
      <c r="M736" s="24">
        <f t="shared" si="1149"/>
        <v>1</v>
      </c>
      <c r="N736" s="26">
        <f>VLOOKUP($C736,COS!$B$8:$H$991,5,FALSE)</f>
        <v>765.88287353515625</v>
      </c>
      <c r="O736" s="26">
        <f t="shared" si="1179"/>
        <v>45.573195780604337</v>
      </c>
      <c r="P736" s="26">
        <f>VLOOKUP($C736,COS!$B$8:$H$991,6,FALSE)</f>
        <v>2710.3994140625</v>
      </c>
      <c r="Q736" s="26">
        <f t="shared" si="1180"/>
        <v>161.27996513429753</v>
      </c>
      <c r="R736" s="26">
        <f>MIN(IF(MONTH($C736)=4,$S$3,IF(MONTH($C736)=5,$S$4,IF(MONTH($C736)=6,$S$5,IF(MONTH($C736)=7,$S$6,"ERROR")))),MAX(VLOOKUP($C736,COS!$B$8:$K$991,10,FALSE)-IF(MONTH($C736)=4,$Y$3,IF(MONTH($C736)=5,$Y$4,IF(MONTH($C736)=6,$Y$5,IF(MONTH($C736)=7,$Y$6,"ERROR")))),0),MAX(VLOOKUP($C736,COS!$B$8:$K$991,9,FALSE)-IF(MONTH($C736)=4,$V$3,IF(MONTH($C736)=5,$V$4,IF(MONTH($C736)=6,$V$5,IF(MONTH($C736)=7,$V$6,"ERROR"))))-VLOOKUP($C736,COS!$B$8:$K$991,6,FALSE)/2,0))</f>
        <v>1500</v>
      </c>
      <c r="S736" s="26">
        <f t="shared" si="1181"/>
        <v>89.256198347107429</v>
      </c>
      <c r="T736" s="26">
        <f t="shared" si="1182"/>
        <v>192.68277880455838</v>
      </c>
      <c r="U736" s="26" t="str">
        <f>IF(VLOOKUP($C736,COS!$B$8:$I$991,8,FALSE)=1,"UWFE","IBU")</f>
        <v>IBU</v>
      </c>
      <c r="V736" s="26">
        <f t="shared" ref="V736" si="1185">MIN(IF(IF($AA$3=2,AND(E736=1,G736=1,L736=1,L739=1,M736=1,U736="IBU"),AND(E736=1,G736=1,L736=1,L739=1,M736=1)),T736,0),I736)</f>
        <v>64.862525826446287</v>
      </c>
      <c r="W736" s="26"/>
      <c r="X736" s="26"/>
      <c r="Y736" s="26"/>
      <c r="Z736" s="26"/>
      <c r="AA736" s="26"/>
      <c r="AB736" s="33"/>
    </row>
    <row r="737" spans="1:28" x14ac:dyDescent="0.3">
      <c r="A737" s="32">
        <f>VLOOKUP(YEAR(C737),Flags!$A$13:$B$95,2,FALSE)</f>
        <v>4</v>
      </c>
      <c r="B737" s="24">
        <f t="shared" si="1157"/>
        <v>2002</v>
      </c>
      <c r="C737" s="25">
        <v>37468</v>
      </c>
      <c r="D737" s="26">
        <f>VLOOKUP($C737,COS!$B$8:$H$991,3,FALSE)</f>
        <v>14797.642578125</v>
      </c>
      <c r="E737" s="24">
        <f>IF(D737&gt;=IF(MONTH($C737)=4,$C$3,IF(MONTH($C737)=5,$C$4,IF(MONTH($C737)=6,$C$5,IF(MONTH($C737)=7,$C$6,"ERROR")))),1,0)</f>
        <v>1</v>
      </c>
      <c r="F737" s="26">
        <f>VLOOKUP($C737,COS!$B$8:$H$991,7,FALSE)</f>
        <v>51.499664306640625</v>
      </c>
      <c r="G737" s="24">
        <f>IF(F737&lt;=IF(MONTH($C737)=4,$F$3,IF(MONTH($C737)=5,$F$4,IF(MONTH($C737)=6,$F$5,IF(MONTH($C737)=7,$F$6,"ERROR")))),1,0)</f>
        <v>1</v>
      </c>
      <c r="H737" s="26">
        <f>IF(J737=1,D737-$C$6,0)</f>
        <v>2797.642578125</v>
      </c>
      <c r="I737" s="26">
        <f t="shared" ref="I737" si="1186">H737*DAY($C737)*86400/43560/1000</f>
        <v>172.02033703512396</v>
      </c>
      <c r="J737" s="24">
        <f t="shared" si="1176"/>
        <v>1</v>
      </c>
      <c r="K737" s="26">
        <f>VLOOKUP($C737,COS!$B$8:$H$991,2,FALSE)</f>
        <v>3213.63134765625</v>
      </c>
      <c r="L737" s="24">
        <f t="shared" si="1148"/>
        <v>1</v>
      </c>
      <c r="M737" s="24">
        <f t="shared" si="1149"/>
        <v>1</v>
      </c>
      <c r="N737" s="26">
        <f>VLOOKUP($C737,COS!$B$8:$H$991,5,FALSE)</f>
        <v>838.20123291015625</v>
      </c>
      <c r="O737" s="26">
        <f t="shared" si="1179"/>
        <v>51.53898489959969</v>
      </c>
      <c r="P737" s="26">
        <f>VLOOKUP($C737,COS!$B$8:$H$991,6,FALSE)</f>
        <v>2538.07568359375</v>
      </c>
      <c r="Q737" s="26">
        <f t="shared" si="1180"/>
        <v>156.06019079287191</v>
      </c>
      <c r="R737" s="26">
        <f>MIN(IF(MONTH($C737)=4,$S$3,IF(MONTH($C737)=5,$S$4,IF(MONTH($C737)=6,$S$5,IF(MONTH($C737)=7,$S$6,"ERROR")))),MAX(VLOOKUP($C737,COS!$B$8:$K$991,10,FALSE)-IF(MONTH($C737)=4,$Y$3,IF(MONTH($C737)=5,$Y$4,IF(MONTH($C737)=6,$Y$5,IF(MONTH($C737)=7,$Y$6,"ERROR")))),0),MAX(VLOOKUP($C737,COS!$B$8:$K$991,9,FALSE)-IF(MONTH($C737)=4,$V$3,IF(MONTH($C737)=5,$V$4,IF(MONTH($C737)=6,$V$5,IF(MONTH($C737)=7,$V$6,"ERROR"))))-VLOOKUP($C737,COS!$B$8:$K$991,6,FALSE)/2,0))</f>
        <v>1500</v>
      </c>
      <c r="S737" s="26">
        <f t="shared" si="1181"/>
        <v>92.231404958677686</v>
      </c>
      <c r="T737" s="26">
        <f t="shared" si="1182"/>
        <v>196.03099280491347</v>
      </c>
      <c r="U737" s="26" t="str">
        <f>IF(VLOOKUP($C737,COS!$B$8:$I$991,8,FALSE)=1,"UWFE","IBU")</f>
        <v>IBU</v>
      </c>
      <c r="V737" s="26">
        <f t="shared" ref="V737" si="1187">MIN(IF(IF($AA$3=2,AND(E737=1,G737=1,L737=1,L739=1,M737=1,U737="IBU"),AND(E737=1,G737=1,L737=1,L739=1,M737=1)),T737,0),I737)</f>
        <v>172.02033703512396</v>
      </c>
      <c r="W737" s="26"/>
      <c r="X737" s="26"/>
      <c r="Y737" s="26"/>
      <c r="Z737" s="26"/>
      <c r="AA737" s="26"/>
      <c r="AB737" s="33"/>
    </row>
    <row r="738" spans="1:28" x14ac:dyDescent="0.3">
      <c r="A738" s="32">
        <f>VLOOKUP(YEAR(C738),Flags!$A$13:$B$95,2,FALSE)</f>
        <v>4</v>
      </c>
      <c r="B738" s="24">
        <f t="shared" si="1157"/>
        <v>2002</v>
      </c>
      <c r="C738" s="25">
        <v>37499</v>
      </c>
      <c r="D738" s="26"/>
      <c r="E738" s="24"/>
      <c r="F738" s="26"/>
      <c r="G738" s="24"/>
      <c r="H738" s="24"/>
      <c r="I738" s="26"/>
      <c r="J738" s="24"/>
      <c r="K738" s="26"/>
      <c r="L738" s="24"/>
      <c r="M738" s="24"/>
      <c r="N738" s="26"/>
      <c r="O738" s="26"/>
      <c r="P738" s="26"/>
      <c r="Q738" s="26"/>
      <c r="R738" s="26"/>
      <c r="S738" s="26"/>
      <c r="T738" s="26"/>
      <c r="U738" s="26"/>
      <c r="V738" s="26"/>
      <c r="W738" s="26">
        <f>MAX($C$7-VLOOKUP($C738,COS!$B$8:$H$991,3,FALSE),0)</f>
        <v>92011.7978515625</v>
      </c>
      <c r="X738" s="26">
        <f t="shared" si="1086"/>
        <v>5657.5849257489663</v>
      </c>
      <c r="Y738" s="26">
        <f>VLOOKUP($C738,COS!$B$8:$H$991,4,FALSE)</f>
        <v>1265.3411865234375</v>
      </c>
      <c r="Z738" s="26">
        <f t="shared" si="1087"/>
        <v>77.80279692342458</v>
      </c>
      <c r="AA738" s="26">
        <f t="shared" ref="AA738:AA742" si="1188">MIN(W738,Y738)</f>
        <v>1265.3411865234375</v>
      </c>
      <c r="AB738" s="33">
        <f t="shared" ref="AB738" si="1189">AA738*DAY($C738)*86400/43560/1000*IF(MONTH($C738)=8,$P$3,IF(MONTH($C738)=9,$P$4,IF(MONTH($C738)=10,$P$5,IF(MONTH($C738)=11,$P$6,IF(MONTH($C738)=12,$P$7,NA())))))</f>
        <v>77.80279692342458</v>
      </c>
    </row>
    <row r="739" spans="1:28" x14ac:dyDescent="0.3">
      <c r="A739" s="32">
        <f>VLOOKUP(YEAR(C739),Flags!$A$13:$B$95,2,FALSE)</f>
        <v>4</v>
      </c>
      <c r="B739" s="24">
        <f t="shared" si="1157"/>
        <v>2002</v>
      </c>
      <c r="C739" s="25">
        <v>37529</v>
      </c>
      <c r="D739" s="26"/>
      <c r="E739" s="24"/>
      <c r="F739" s="26"/>
      <c r="G739" s="24"/>
      <c r="H739" s="24"/>
      <c r="I739" s="26"/>
      <c r="J739" s="24"/>
      <c r="K739" s="26">
        <f>VLOOKUP($C739,COS!$B$8:$H$991,2,FALSE)</f>
        <v>2964.52880859375</v>
      </c>
      <c r="L739" s="24">
        <f t="shared" ref="L739" si="1190">IF(AND(K739&gt;$I$7,K739&lt;$I$8),1,0)</f>
        <v>1</v>
      </c>
      <c r="M739" s="24"/>
      <c r="N739" s="26"/>
      <c r="O739" s="26"/>
      <c r="P739" s="26"/>
      <c r="Q739" s="26"/>
      <c r="R739" s="26"/>
      <c r="S739" s="26"/>
      <c r="T739" s="26"/>
      <c r="U739" s="26"/>
      <c r="V739" s="26"/>
      <c r="W739" s="26">
        <f>MAX($C$8-VLOOKUP($C739,COS!$B$8:$H$991,3,FALSE),0)</f>
        <v>95016.09326171875</v>
      </c>
      <c r="X739" s="26">
        <f t="shared" ref="X739:X742" si="1191">W739*DAY($C739)*86400/43560/1000</f>
        <v>5653.8501775568184</v>
      </c>
      <c r="Y739" s="26">
        <f>VLOOKUP($C739,COS!$B$8:$H$991,4,FALSE)</f>
        <v>1150.0072021484375</v>
      </c>
      <c r="Z739" s="26">
        <f t="shared" ref="Z739:Z742" si="1192">Y739*DAY($C739)*86400/43560/1000</f>
        <v>68.430180623708665</v>
      </c>
      <c r="AA739" s="26">
        <f t="shared" si="1188"/>
        <v>1150.0072021484375</v>
      </c>
      <c r="AB739" s="33">
        <f t="shared" si="1160"/>
        <v>68.430180623708665</v>
      </c>
    </row>
    <row r="740" spans="1:28" x14ac:dyDescent="0.3">
      <c r="A740" s="32">
        <f>VLOOKUP(YEAR(C740),Flags!$A$13:$B$95,2,FALSE)</f>
        <v>4</v>
      </c>
      <c r="B740" s="24">
        <f t="shared" si="1157"/>
        <v>2002</v>
      </c>
      <c r="C740" s="25">
        <v>37560</v>
      </c>
      <c r="D740" s="26"/>
      <c r="E740" s="24"/>
      <c r="F740" s="26"/>
      <c r="G740" s="26"/>
      <c r="H740" s="26"/>
      <c r="I740" s="26"/>
      <c r="J740" s="26"/>
      <c r="K740" s="26"/>
      <c r="L740" s="24"/>
      <c r="M740" s="24"/>
      <c r="N740" s="26"/>
      <c r="O740" s="26"/>
      <c r="P740" s="26"/>
      <c r="Q740" s="26"/>
      <c r="R740" s="26"/>
      <c r="S740" s="26"/>
      <c r="T740" s="26"/>
      <c r="U740" s="26"/>
      <c r="V740" s="26"/>
      <c r="W740" s="26">
        <f>MAX($C$9-VLOOKUP($C740,COS!$B$8:$H$991,3,FALSE),0)</f>
        <v>92889.2216796875</v>
      </c>
      <c r="X740" s="26">
        <f t="shared" si="1191"/>
        <v>5711.53561402376</v>
      </c>
      <c r="Y740" s="26">
        <f>VLOOKUP($C740,COS!$B$8:$H$991,4,FALSE)</f>
        <v>1966.750244140625</v>
      </c>
      <c r="Z740" s="26">
        <f t="shared" si="1192"/>
        <v>120.93075881327479</v>
      </c>
      <c r="AA740" s="26">
        <f t="shared" si="1188"/>
        <v>1966.750244140625</v>
      </c>
      <c r="AB740" s="33">
        <f t="shared" si="1160"/>
        <v>120.93075881327479</v>
      </c>
    </row>
    <row r="741" spans="1:28" x14ac:dyDescent="0.3">
      <c r="A741" s="32">
        <f>VLOOKUP(YEAR(C741),Flags!$A$13:$B$95,2,FALSE)</f>
        <v>4</v>
      </c>
      <c r="B741" s="24">
        <f t="shared" si="1157"/>
        <v>2002</v>
      </c>
      <c r="C741" s="25">
        <v>37590</v>
      </c>
      <c r="D741" s="26"/>
      <c r="E741" s="24"/>
      <c r="F741" s="26"/>
      <c r="G741" s="26"/>
      <c r="H741" s="26"/>
      <c r="I741" s="26"/>
      <c r="J741" s="26"/>
      <c r="K741" s="26"/>
      <c r="L741" s="24"/>
      <c r="M741" s="24"/>
      <c r="N741" s="26"/>
      <c r="O741" s="26"/>
      <c r="P741" s="26"/>
      <c r="Q741" s="26"/>
      <c r="R741" s="26"/>
      <c r="S741" s="26"/>
      <c r="T741" s="26"/>
      <c r="U741" s="26"/>
      <c r="V741" s="26"/>
      <c r="W741" s="26">
        <f>MAX($C$10-VLOOKUP($C741,COS!$B$8:$H$991,3,FALSE),0)</f>
        <v>93899.3330078125</v>
      </c>
      <c r="X741" s="26">
        <f t="shared" si="1191"/>
        <v>5587.3983277376037</v>
      </c>
      <c r="Y741" s="26">
        <f>VLOOKUP($C741,COS!$B$8:$H$991,4,FALSE)</f>
        <v>797.55865478515625</v>
      </c>
      <c r="Z741" s="26">
        <f t="shared" si="1192"/>
        <v>47.458035656637392</v>
      </c>
      <c r="AA741" s="26">
        <f t="shared" si="1188"/>
        <v>797.55865478515625</v>
      </c>
      <c r="AB741" s="33">
        <f t="shared" si="1160"/>
        <v>23.729017828318696</v>
      </c>
    </row>
    <row r="742" spans="1:28" x14ac:dyDescent="0.3">
      <c r="A742" s="34">
        <f>VLOOKUP(YEAR(C742),Flags!$A$13:$B$95,2,FALSE)</f>
        <v>4</v>
      </c>
      <c r="B742" s="35">
        <f t="shared" si="1157"/>
        <v>2002</v>
      </c>
      <c r="C742" s="36">
        <v>37621</v>
      </c>
      <c r="D742" s="37"/>
      <c r="E742" s="35"/>
      <c r="F742" s="37"/>
      <c r="G742" s="37"/>
      <c r="H742" s="37"/>
      <c r="I742" s="37"/>
      <c r="J742" s="37"/>
      <c r="K742" s="37"/>
      <c r="L742" s="35"/>
      <c r="M742" s="35"/>
      <c r="N742" s="37"/>
      <c r="O742" s="37"/>
      <c r="P742" s="37"/>
      <c r="Q742" s="37"/>
      <c r="R742" s="37"/>
      <c r="S742" s="37"/>
      <c r="T742" s="37"/>
      <c r="U742" s="37"/>
      <c r="V742" s="37"/>
      <c r="W742" s="37">
        <f>MAX($C$11-VLOOKUP($C742,COS!$B$8:$H$991,3,FALSE),0)</f>
        <v>0</v>
      </c>
      <c r="X742" s="37">
        <f t="shared" si="1191"/>
        <v>0</v>
      </c>
      <c r="Y742" s="37">
        <f>VLOOKUP($C742,COS!$B$8:$H$991,4,FALSE)</f>
        <v>0</v>
      </c>
      <c r="Z742" s="37">
        <f t="shared" si="1192"/>
        <v>0</v>
      </c>
      <c r="AA742" s="37">
        <f t="shared" si="1188"/>
        <v>0</v>
      </c>
      <c r="AB742" s="38">
        <f t="shared" si="1160"/>
        <v>0</v>
      </c>
    </row>
  </sheetData>
  <mergeCells count="20">
    <mergeCell ref="P12:Q12"/>
    <mergeCell ref="R12:S12"/>
    <mergeCell ref="A2:A11"/>
    <mergeCell ref="B2:C2"/>
    <mergeCell ref="E2:F2"/>
    <mergeCell ref="H2:I2"/>
    <mergeCell ref="K2:M2"/>
    <mergeCell ref="O2:P2"/>
    <mergeCell ref="D12:E12"/>
    <mergeCell ref="F12:G12"/>
    <mergeCell ref="H12:J12"/>
    <mergeCell ref="K12:L12"/>
    <mergeCell ref="N12:O12"/>
    <mergeCell ref="W12:X12"/>
    <mergeCell ref="Y12:Z12"/>
    <mergeCell ref="AA12:AB12"/>
    <mergeCell ref="AN14:AO14"/>
    <mergeCell ref="R2:S2"/>
    <mergeCell ref="U2:V2"/>
    <mergeCell ref="X2:Y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Option Button 1">
              <controlPr defaultSize="0" autoFill="0" autoLine="0" autoPict="0">
                <anchor moveWithCells="1">
                  <from>
                    <xdr:col>25</xdr:col>
                    <xdr:colOff>792480</xdr:colOff>
                    <xdr:row>1</xdr:row>
                    <xdr:rowOff>175260</xdr:rowOff>
                  </from>
                  <to>
                    <xdr:col>26</xdr:col>
                    <xdr:colOff>868680</xdr:colOff>
                    <xdr:row>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Option Button 2">
              <controlPr defaultSize="0" autoFill="0" autoLine="0" autoPict="0">
                <anchor moveWithCells="1">
                  <from>
                    <xdr:col>25</xdr:col>
                    <xdr:colOff>800100</xdr:colOff>
                    <xdr:row>2</xdr:row>
                    <xdr:rowOff>175260</xdr:rowOff>
                  </from>
                  <to>
                    <xdr:col>26</xdr:col>
                    <xdr:colOff>876300</xdr:colOff>
                    <xdr:row>4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838FB-791A-417C-A610-3CA761AADDD5}">
  <dimension ref="A1:AP742"/>
  <sheetViews>
    <sheetView topLeftCell="X1" workbookViewId="0">
      <selection activeCell="AO16" sqref="AO16"/>
    </sheetView>
  </sheetViews>
  <sheetFormatPr defaultRowHeight="14.4" x14ac:dyDescent="0.3"/>
  <cols>
    <col min="1" max="1" width="9.109375" bestFit="1" customWidth="1"/>
    <col min="3" max="3" width="10.5546875" bestFit="1" customWidth="1"/>
    <col min="4" max="4" width="11.77734375" style="6" bestFit="1" customWidth="1"/>
    <col min="5" max="5" width="8" customWidth="1"/>
    <col min="6" max="6" width="8.5546875" bestFit="1" customWidth="1"/>
    <col min="7" max="8" width="8.5546875" customWidth="1"/>
    <col min="9" max="9" width="8.5546875" style="6" customWidth="1"/>
    <col min="10" max="10" width="10.33203125" customWidth="1"/>
    <col min="11" max="11" width="8.5546875" bestFit="1" customWidth="1"/>
    <col min="12" max="13" width="8.5546875" customWidth="1"/>
    <col min="14" max="14" width="11" customWidth="1"/>
    <col min="15" max="15" width="12.6640625" customWidth="1"/>
    <col min="16" max="16" width="10.33203125" customWidth="1"/>
    <col min="17" max="17" width="13.109375" bestFit="1" customWidth="1"/>
    <col min="18" max="21" width="13.109375" customWidth="1"/>
    <col min="22" max="26" width="12.109375" customWidth="1"/>
    <col min="27" max="28" width="13.109375" customWidth="1"/>
    <col min="33" max="33" width="11.44140625" bestFit="1" customWidth="1"/>
    <col min="34" max="34" width="12.109375" bestFit="1" customWidth="1"/>
    <col min="35" max="36" width="12.109375" customWidth="1"/>
    <col min="41" max="41" width="12.109375" bestFit="1" customWidth="1"/>
  </cols>
  <sheetData>
    <row r="1" spans="1:41" x14ac:dyDescent="0.3">
      <c r="D1"/>
      <c r="F1" s="6"/>
      <c r="I1"/>
    </row>
    <row r="2" spans="1:41" ht="14.4" customHeight="1" x14ac:dyDescent="0.3">
      <c r="A2" s="124" t="s">
        <v>45</v>
      </c>
      <c r="B2" s="126" t="s">
        <v>58</v>
      </c>
      <c r="C2" s="127"/>
      <c r="D2"/>
      <c r="E2" s="126" t="s">
        <v>49</v>
      </c>
      <c r="F2" s="127"/>
      <c r="H2" s="126" t="s">
        <v>36</v>
      </c>
      <c r="I2" s="127"/>
      <c r="K2" s="126" t="s">
        <v>88</v>
      </c>
      <c r="L2" s="128"/>
      <c r="M2" s="127"/>
      <c r="N2" s="51"/>
      <c r="O2" s="126" t="s">
        <v>89</v>
      </c>
      <c r="P2" s="127"/>
      <c r="R2" s="122" t="s">
        <v>121</v>
      </c>
      <c r="S2" s="122"/>
      <c r="U2" s="122" t="s">
        <v>129</v>
      </c>
      <c r="V2" s="122"/>
      <c r="X2" s="122" t="s">
        <v>130</v>
      </c>
      <c r="Y2" s="122"/>
      <c r="AA2" s="20" t="s">
        <v>132</v>
      </c>
    </row>
    <row r="3" spans="1:41" x14ac:dyDescent="0.3">
      <c r="A3" s="124"/>
      <c r="B3" s="21" t="s">
        <v>46</v>
      </c>
      <c r="C3" s="22">
        <v>6000</v>
      </c>
      <c r="D3" t="s">
        <v>71</v>
      </c>
      <c r="E3" s="48" t="s">
        <v>46</v>
      </c>
      <c r="F3" s="20">
        <v>99999</v>
      </c>
      <c r="G3" t="s">
        <v>67</v>
      </c>
      <c r="H3" s="21" t="s">
        <v>46</v>
      </c>
      <c r="I3" s="20">
        <v>99999</v>
      </c>
      <c r="J3" t="s">
        <v>67</v>
      </c>
      <c r="K3" s="20" t="s">
        <v>30</v>
      </c>
      <c r="L3" s="20">
        <v>1</v>
      </c>
      <c r="M3" s="20">
        <v>0</v>
      </c>
      <c r="N3" s="52"/>
      <c r="O3" s="48" t="s">
        <v>62</v>
      </c>
      <c r="P3" s="20">
        <v>1</v>
      </c>
      <c r="R3" s="21" t="s">
        <v>46</v>
      </c>
      <c r="S3" s="20">
        <v>1500</v>
      </c>
      <c r="U3" s="21" t="s">
        <v>46</v>
      </c>
      <c r="V3" s="20">
        <v>3250</v>
      </c>
      <c r="X3" s="21" t="s">
        <v>46</v>
      </c>
      <c r="Y3" s="20">
        <v>4000</v>
      </c>
      <c r="AA3" s="90">
        <v>1</v>
      </c>
    </row>
    <row r="4" spans="1:41" ht="14.4" customHeight="1" x14ac:dyDescent="0.3">
      <c r="A4" s="124"/>
      <c r="B4" s="20" t="s">
        <v>37</v>
      </c>
      <c r="C4" s="20">
        <v>6000</v>
      </c>
      <c r="D4" t="s">
        <v>71</v>
      </c>
      <c r="E4" s="49" t="s">
        <v>37</v>
      </c>
      <c r="F4" s="20">
        <v>56</v>
      </c>
      <c r="G4" t="s">
        <v>70</v>
      </c>
      <c r="H4" s="20" t="s">
        <v>37</v>
      </c>
      <c r="I4" s="20">
        <v>99999</v>
      </c>
      <c r="J4" t="s">
        <v>67</v>
      </c>
      <c r="K4" s="20" t="s">
        <v>42</v>
      </c>
      <c r="L4" s="20">
        <v>2</v>
      </c>
      <c r="M4" s="20">
        <v>0</v>
      </c>
      <c r="N4" s="52"/>
      <c r="O4" s="48" t="s">
        <v>63</v>
      </c>
      <c r="P4" s="20">
        <v>1</v>
      </c>
      <c r="R4" s="20" t="s">
        <v>37</v>
      </c>
      <c r="S4" s="20">
        <v>1500</v>
      </c>
      <c r="U4" s="20" t="s">
        <v>37</v>
      </c>
      <c r="V4" s="20">
        <v>3250</v>
      </c>
      <c r="X4" s="20" t="s">
        <v>37</v>
      </c>
      <c r="Y4" s="20">
        <v>4000</v>
      </c>
      <c r="AA4" s="20"/>
    </row>
    <row r="5" spans="1:41" x14ac:dyDescent="0.3">
      <c r="A5" s="124"/>
      <c r="B5" s="20" t="s">
        <v>38</v>
      </c>
      <c r="C5" s="20">
        <v>10000</v>
      </c>
      <c r="D5" t="s">
        <v>71</v>
      </c>
      <c r="E5" s="49" t="s">
        <v>38</v>
      </c>
      <c r="F5" s="20">
        <v>56</v>
      </c>
      <c r="G5" t="s">
        <v>70</v>
      </c>
      <c r="H5" s="20" t="s">
        <v>38</v>
      </c>
      <c r="I5" s="20">
        <v>99999</v>
      </c>
      <c r="J5" t="s">
        <v>67</v>
      </c>
      <c r="K5" s="20" t="s">
        <v>32</v>
      </c>
      <c r="L5" s="20">
        <v>3</v>
      </c>
      <c r="M5" s="20">
        <v>0</v>
      </c>
      <c r="N5" s="52"/>
      <c r="O5" s="48" t="s">
        <v>64</v>
      </c>
      <c r="P5" s="20">
        <v>1</v>
      </c>
      <c r="R5" s="20" t="s">
        <v>38</v>
      </c>
      <c r="S5" s="20">
        <v>1500</v>
      </c>
      <c r="U5" s="20" t="s">
        <v>38</v>
      </c>
      <c r="V5" s="20">
        <v>3250</v>
      </c>
      <c r="X5" s="20" t="s">
        <v>38</v>
      </c>
      <c r="Y5" s="20">
        <v>4000</v>
      </c>
    </row>
    <row r="6" spans="1:41" x14ac:dyDescent="0.3">
      <c r="A6" s="124"/>
      <c r="B6" s="20" t="s">
        <v>39</v>
      </c>
      <c r="C6" s="20">
        <v>12000</v>
      </c>
      <c r="D6" t="s">
        <v>71</v>
      </c>
      <c r="E6" s="49" t="s">
        <v>39</v>
      </c>
      <c r="F6" s="20">
        <v>53.5</v>
      </c>
      <c r="G6" t="s">
        <v>69</v>
      </c>
      <c r="H6" s="20" t="s">
        <v>39</v>
      </c>
      <c r="I6" s="20">
        <v>99999</v>
      </c>
      <c r="J6" t="s">
        <v>67</v>
      </c>
      <c r="K6" s="20" t="s">
        <v>33</v>
      </c>
      <c r="L6" s="20">
        <v>4</v>
      </c>
      <c r="M6" s="20">
        <v>1</v>
      </c>
      <c r="N6" s="52"/>
      <c r="O6" s="48" t="s">
        <v>65</v>
      </c>
      <c r="P6" s="20">
        <v>0.5</v>
      </c>
      <c r="R6" s="20" t="s">
        <v>39</v>
      </c>
      <c r="S6" s="20">
        <v>1500</v>
      </c>
      <c r="U6" s="20" t="s">
        <v>39</v>
      </c>
      <c r="V6" s="20">
        <v>3250</v>
      </c>
      <c r="X6" s="20" t="s">
        <v>39</v>
      </c>
      <c r="Y6" s="20">
        <v>4000</v>
      </c>
    </row>
    <row r="7" spans="1:41" x14ac:dyDescent="0.3">
      <c r="A7" s="124"/>
      <c r="B7" s="47" t="s">
        <v>62</v>
      </c>
      <c r="C7" s="47">
        <v>99999</v>
      </c>
      <c r="D7" t="s">
        <v>86</v>
      </c>
      <c r="E7" s="6"/>
      <c r="H7" s="20" t="s">
        <v>136</v>
      </c>
      <c r="I7" s="20">
        <v>0</v>
      </c>
      <c r="J7" t="s">
        <v>67</v>
      </c>
      <c r="K7" s="20" t="s">
        <v>10</v>
      </c>
      <c r="L7" s="20">
        <v>5</v>
      </c>
      <c r="M7" s="20">
        <v>1</v>
      </c>
      <c r="N7" s="52"/>
      <c r="O7" s="48" t="s">
        <v>66</v>
      </c>
      <c r="P7" s="20">
        <v>0</v>
      </c>
    </row>
    <row r="8" spans="1:41" x14ac:dyDescent="0.3">
      <c r="A8" s="124"/>
      <c r="B8" s="47" t="s">
        <v>63</v>
      </c>
      <c r="C8" s="47">
        <v>99999</v>
      </c>
      <c r="D8" t="s">
        <v>86</v>
      </c>
      <c r="E8" s="6"/>
      <c r="H8" s="20" t="s">
        <v>137</v>
      </c>
      <c r="I8" s="20">
        <v>99999</v>
      </c>
    </row>
    <row r="9" spans="1:41" x14ac:dyDescent="0.3">
      <c r="A9" s="124"/>
      <c r="B9" s="47" t="s">
        <v>64</v>
      </c>
      <c r="C9" s="47">
        <v>99999</v>
      </c>
      <c r="D9" t="s">
        <v>86</v>
      </c>
      <c r="E9" s="6"/>
      <c r="H9" s="46"/>
      <c r="I9" s="46"/>
    </row>
    <row r="10" spans="1:41" x14ac:dyDescent="0.3">
      <c r="A10" s="124"/>
      <c r="B10" s="47" t="s">
        <v>65</v>
      </c>
      <c r="C10" s="47">
        <v>99999</v>
      </c>
      <c r="D10" t="s">
        <v>86</v>
      </c>
      <c r="E10" s="6"/>
      <c r="H10" s="46"/>
      <c r="I10" s="46"/>
    </row>
    <row r="11" spans="1:41" x14ac:dyDescent="0.3">
      <c r="A11" s="125"/>
      <c r="B11" s="47" t="s">
        <v>66</v>
      </c>
      <c r="C11" s="47">
        <v>0</v>
      </c>
      <c r="D11" t="s">
        <v>87</v>
      </c>
      <c r="E11" s="6"/>
      <c r="I11"/>
      <c r="AF11" t="s">
        <v>83</v>
      </c>
      <c r="AG11" t="s">
        <v>83</v>
      </c>
      <c r="AH11" t="s">
        <v>83</v>
      </c>
      <c r="AI11" t="s">
        <v>84</v>
      </c>
      <c r="AJ11" t="s">
        <v>84</v>
      </c>
      <c r="AK11" t="s">
        <v>84</v>
      </c>
      <c r="AL11" t="s">
        <v>85</v>
      </c>
    </row>
    <row r="12" spans="1:41" s="23" customFormat="1" ht="28.8" x14ac:dyDescent="0.3">
      <c r="A12" s="80"/>
      <c r="B12" s="81"/>
      <c r="C12" s="81"/>
      <c r="D12" s="129" t="s">
        <v>34</v>
      </c>
      <c r="E12" s="129"/>
      <c r="F12" s="123" t="s">
        <v>49</v>
      </c>
      <c r="G12" s="123"/>
      <c r="H12" s="123" t="s">
        <v>76</v>
      </c>
      <c r="I12" s="123"/>
      <c r="J12" s="123"/>
      <c r="K12" s="123" t="s">
        <v>36</v>
      </c>
      <c r="L12" s="123"/>
      <c r="M12" s="83" t="s">
        <v>88</v>
      </c>
      <c r="N12" s="130" t="s">
        <v>47</v>
      </c>
      <c r="O12" s="130"/>
      <c r="P12" s="123" t="s">
        <v>48</v>
      </c>
      <c r="Q12" s="123"/>
      <c r="R12" s="123" t="s">
        <v>131</v>
      </c>
      <c r="S12" s="123"/>
      <c r="T12" s="83" t="s">
        <v>122</v>
      </c>
      <c r="U12" s="83" t="s">
        <v>126</v>
      </c>
      <c r="V12" s="83" t="s">
        <v>61</v>
      </c>
      <c r="W12" s="116" t="s">
        <v>74</v>
      </c>
      <c r="X12" s="117"/>
      <c r="Y12" s="118" t="s">
        <v>35</v>
      </c>
      <c r="Z12" s="119"/>
      <c r="AA12" s="120" t="s">
        <v>75</v>
      </c>
      <c r="AB12" s="118"/>
      <c r="AC12" s="19"/>
      <c r="AF12" s="23">
        <v>1</v>
      </c>
      <c r="AG12" s="23">
        <v>2</v>
      </c>
      <c r="AH12" s="23" t="s">
        <v>80</v>
      </c>
      <c r="AI12" s="23">
        <v>3</v>
      </c>
      <c r="AJ12" s="23">
        <v>4</v>
      </c>
      <c r="AK12" s="23" t="s">
        <v>81</v>
      </c>
      <c r="AL12" s="50" t="s">
        <v>82</v>
      </c>
    </row>
    <row r="13" spans="1:41" s="84" customFormat="1" ht="28.8" x14ac:dyDescent="0.3">
      <c r="A13" s="39" t="s">
        <v>44</v>
      </c>
      <c r="B13" s="40"/>
      <c r="C13" s="40"/>
      <c r="D13" s="41" t="s">
        <v>18</v>
      </c>
      <c r="E13" s="40" t="s">
        <v>59</v>
      </c>
      <c r="F13" s="40" t="s">
        <v>15</v>
      </c>
      <c r="G13" s="40" t="s">
        <v>59</v>
      </c>
      <c r="H13" s="40" t="s">
        <v>18</v>
      </c>
      <c r="I13" s="41" t="s">
        <v>2</v>
      </c>
      <c r="J13" s="41" t="s">
        <v>59</v>
      </c>
      <c r="K13" s="40" t="s">
        <v>2</v>
      </c>
      <c r="L13" s="40" t="s">
        <v>59</v>
      </c>
      <c r="M13" s="40" t="s">
        <v>59</v>
      </c>
      <c r="N13" s="40" t="s">
        <v>18</v>
      </c>
      <c r="O13" s="40" t="s">
        <v>2</v>
      </c>
      <c r="P13" s="40" t="s">
        <v>18</v>
      </c>
      <c r="Q13" s="40" t="s">
        <v>2</v>
      </c>
      <c r="R13" s="40" t="s">
        <v>18</v>
      </c>
      <c r="S13" s="40" t="s">
        <v>2</v>
      </c>
      <c r="T13" s="40" t="s">
        <v>2</v>
      </c>
      <c r="U13" s="40"/>
      <c r="V13" s="40" t="s">
        <v>2</v>
      </c>
      <c r="W13" s="40" t="s">
        <v>18</v>
      </c>
      <c r="X13" s="40" t="s">
        <v>2</v>
      </c>
      <c r="Y13" s="40" t="s">
        <v>18</v>
      </c>
      <c r="Z13" s="40" t="s">
        <v>2</v>
      </c>
      <c r="AA13" s="40" t="s">
        <v>18</v>
      </c>
      <c r="AB13" s="42" t="s">
        <v>2</v>
      </c>
      <c r="AD13" s="82"/>
      <c r="AE13" s="82" t="s">
        <v>40</v>
      </c>
      <c r="AF13" s="82" t="s">
        <v>77</v>
      </c>
      <c r="AG13" s="82" t="s">
        <v>79</v>
      </c>
      <c r="AH13" s="82" t="s">
        <v>61</v>
      </c>
      <c r="AI13" s="82" t="s">
        <v>78</v>
      </c>
      <c r="AJ13" s="82" t="s">
        <v>35</v>
      </c>
      <c r="AK13" s="82" t="s">
        <v>75</v>
      </c>
      <c r="AL13" s="82" t="s">
        <v>60</v>
      </c>
    </row>
    <row r="14" spans="1:41" x14ac:dyDescent="0.3">
      <c r="A14" s="27">
        <f>VLOOKUP(YEAR(C14),Flags!$A$13:$B$95,2,FALSE)</f>
        <v>1</v>
      </c>
      <c r="B14" s="28">
        <f>YEAR(C14)</f>
        <v>1922</v>
      </c>
      <c r="C14" s="29">
        <v>8156</v>
      </c>
      <c r="D14" s="30">
        <f>VLOOKUP($C14,COS!$B$8:$H$991,3,FALSE)</f>
        <v>4490.92138671875</v>
      </c>
      <c r="E14" s="28">
        <f>IF(D14&gt;=IF(MONTH($C14)=4,$C$3,IF(MONTH($C14)=5,$C$4,IF(MONTH($C14)=6,$C$5,IF(MONTH($C14)=7,$C$6,"ERROR")))),1,0)</f>
        <v>0</v>
      </c>
      <c r="F14" s="30">
        <f>VLOOKUP($C14,COS!$B$8:$H$991,7,FALSE)</f>
        <v>53.804779052734375</v>
      </c>
      <c r="G14" s="28">
        <f>IF(F14&lt;=IF(MONTH($C14)=4,$F$3,IF(MONTH($C14)=5,$F$4,IF(MONTH($C14)=6,$F$5,IF(MONTH($C14)=7,$F$6,"ERROR")))),1,0)</f>
        <v>1</v>
      </c>
      <c r="H14" s="30">
        <f>IF(J14=1,D14-$C$3,0)</f>
        <v>0</v>
      </c>
      <c r="I14" s="30">
        <f t="shared" ref="I14:I17" si="0">H14*DAY($C14)*86400/43560/1000</f>
        <v>0</v>
      </c>
      <c r="J14" s="28">
        <f>IF(AND(E14=1,G14=1),1,0)</f>
        <v>0</v>
      </c>
      <c r="K14" s="30">
        <f>VLOOKUP($C14,COS!$B$8:$H$991,2,FALSE)</f>
        <v>4552</v>
      </c>
      <c r="L14" s="28">
        <f>IF(K14&lt;=IF(MONTH($C14)=4,$I$3,IF(MONTH($C14)=5,$I$4,IF(MONTH($C14)=6,$I$5,IF(MONTH($C14)=7,$I$6,"ERROR")))),1,0)</f>
        <v>1</v>
      </c>
      <c r="M14" s="28">
        <f>VLOOKUP($A14,$L$3:$M$7,2,FALSE)</f>
        <v>0</v>
      </c>
      <c r="N14" s="30">
        <f>VLOOKUP($C14,COS!$B$8:$H$991,5,FALSE)</f>
        <v>373.61062622070313</v>
      </c>
      <c r="O14" s="30">
        <f>N14*DAY($C14)*86400/43560/1000</f>
        <v>22.231376105694729</v>
      </c>
      <c r="P14" s="30">
        <f>VLOOKUP($C14,COS!$B$8:$H$991,6,FALSE)</f>
        <v>533.257080078125</v>
      </c>
      <c r="Q14" s="30">
        <f>P14*DAY($C14)*86400/43560/1000</f>
        <v>31.730999806301654</v>
      </c>
      <c r="R14" s="30">
        <f>MIN(IF(MONTH($C14)=4,$S$3,IF(MONTH($C14)=5,$S$4,IF(MONTH($C14)=6,$S$5,IF(MONTH($C14)=7,$S$6,"ERROR")))),MAX(VLOOKUP($C14,COS!$B$8:$K$991,10,FALSE)-IF(MONTH($C14)=4,$Y$3,IF(MONTH($C14)=5,$Y$4,IF(MONTH($C14)=6,$Y$5,IF(MONTH($C14)=7,$Y$6,"ERROR")))),0),MAX(VLOOKUP($C14,COS!$B$8:$K$991,9,FALSE)-IF(MONTH($C14)=4,$V$3,IF(MONTH($C14)=5,$V$4,IF(MONTH($C14)=6,$V$5,IF(MONTH($C14)=7,$V$6,"ERROR"))))-VLOOKUP($C14,COS!$B$8:$K$991,6,FALSE)/2,0))</f>
        <v>1500</v>
      </c>
      <c r="S14" s="30">
        <f>R14*DAY($C14)*86400/43560/1000</f>
        <v>89.256198347107429</v>
      </c>
      <c r="T14" s="30">
        <f>(O14+Q14)/2+S14</f>
        <v>116.23738630310562</v>
      </c>
      <c r="U14" s="30" t="str">
        <f>IF(VLOOKUP($C14,COS!$B$8:$I$991,8,FALSE)=1,"UWFE","IBU")</f>
        <v>UWFE</v>
      </c>
      <c r="V14" s="30">
        <f>MIN(IF(IF($AA$3=2,AND(E14=1,G14=1,L14=1,L19=1,M14=1,U14="IBU"),AND(E14=1,G14=1,L14=1,L19=1,M14=1)),T14,0),I14)</f>
        <v>0</v>
      </c>
      <c r="W14" s="30"/>
      <c r="X14" s="30"/>
      <c r="Y14" s="30"/>
      <c r="Z14" s="30"/>
      <c r="AA14" s="30"/>
      <c r="AB14" s="31"/>
      <c r="AC14" s="6"/>
      <c r="AD14" s="43">
        <v>1922</v>
      </c>
      <c r="AE14" s="1">
        <f>VLOOKUP(AD14,Flags!$A$13:$B$95,2,FALSE)</f>
        <v>1</v>
      </c>
      <c r="AF14" s="43">
        <f>SUMIF($B$14:$B$742,$AD14,$I$14:$I$742)</f>
        <v>375.87902827995867</v>
      </c>
      <c r="AG14" s="43">
        <f>SUMIF($B$14:$B$742,$AD14,$T$14:$T$742)</f>
        <v>704.36979855371897</v>
      </c>
      <c r="AH14" s="43">
        <f>SUMIF($B$14:$B$742,$AD14,$V$14:$V$742)</f>
        <v>0</v>
      </c>
      <c r="AI14" s="43">
        <f>SUMIF($B$14:$B$742,$AD14,$X$14:$X$742)</f>
        <v>21762.281993801651</v>
      </c>
      <c r="AJ14" s="43">
        <f>SUMIF($B$14:$B$742,$AD14,$Z$14:$Z$742)</f>
        <v>131.72308775342202</v>
      </c>
      <c r="AK14" s="43">
        <f t="shared" ref="AK14:AK77" si="1">SUMIF($B$14:$B$742,$AD14,$AB$14:$AB$742)</f>
        <v>98.847432407347625</v>
      </c>
      <c r="AL14" s="43">
        <f>MIN(AH14,AK14)</f>
        <v>0</v>
      </c>
      <c r="AN14" s="121" t="s">
        <v>60</v>
      </c>
      <c r="AO14" s="121"/>
    </row>
    <row r="15" spans="1:41" x14ac:dyDescent="0.3">
      <c r="A15" s="32">
        <f>VLOOKUP(YEAR(C15),Flags!$A$13:$B$95,2,FALSE)</f>
        <v>1</v>
      </c>
      <c r="B15" s="24">
        <f t="shared" ref="B15:B78" si="2">YEAR(C15)</f>
        <v>1922</v>
      </c>
      <c r="C15" s="25">
        <v>8187</v>
      </c>
      <c r="D15" s="26">
        <f>VLOOKUP($C15,COS!$B$8:$H$991,3,FALSE)</f>
        <v>11232.6396484375</v>
      </c>
      <c r="E15" s="24">
        <f>IF(D15&gt;=IF(MONTH($C15)=4,$C$3,IF(MONTH($C15)=5,$C$4,IF(MONTH($C15)=6,$C$5,IF(MONTH($C15)=7,$C$6,"ERROR")))),1,0)</f>
        <v>1</v>
      </c>
      <c r="F15" s="26">
        <f>VLOOKUP($C15,COS!$B$8:$H$991,7,FALSE)</f>
        <v>55.40838623046875</v>
      </c>
      <c r="G15" s="24">
        <f>IF(F15&lt;=IF(MONTH($C15)=4,$F$3,IF(MONTH($C15)=5,$F$4,IF(MONTH($C15)=6,$F$5,IF(MONTH($C15)=7,$F$6,"ERROR")))),1,0)</f>
        <v>1</v>
      </c>
      <c r="H15" s="26">
        <f>IF(J15=1,D15-$C$4,0)</f>
        <v>5232.6396484375</v>
      </c>
      <c r="I15" s="26">
        <f t="shared" si="0"/>
        <v>321.74247094524793</v>
      </c>
      <c r="J15" s="24">
        <f t="shared" ref="J15:J17" si="3">IF(AND(E15=1,G15=1),1,0)</f>
        <v>1</v>
      </c>
      <c r="K15" s="26">
        <f>VLOOKUP($C15,COS!$B$8:$H$991,2,FALSE)</f>
        <v>4552</v>
      </c>
      <c r="L15" s="24">
        <f t="shared" ref="L15:L17" si="4">IF(K15&lt;=IF(MONTH($C15)=4,$I$3,IF(MONTH($C15)=5,$I$4,IF(MONTH($C15)=6,$I$5,IF(MONTH($C15)=7,$I$6,"ERROR")))),1,0)</f>
        <v>1</v>
      </c>
      <c r="M15" s="24">
        <f t="shared" ref="M15:M17" si="5">VLOOKUP($A15,$L$3:$M$7,2,FALSE)</f>
        <v>0</v>
      </c>
      <c r="N15" s="26">
        <f>VLOOKUP($C15,COS!$B$8:$H$991,5,FALSE)</f>
        <v>868.27056884765625</v>
      </c>
      <c r="O15" s="26">
        <f>N15*DAY($C15)*86400/43560/1000</f>
        <v>53.387876299393078</v>
      </c>
      <c r="P15" s="26">
        <f>VLOOKUP($C15,COS!$B$8:$H$991,6,FALSE)</f>
        <v>2241.916259765625</v>
      </c>
      <c r="Q15" s="26">
        <f>P15*DAY($C15)*86400/43560/1000</f>
        <v>137.85005762525824</v>
      </c>
      <c r="R15" s="26">
        <f>MIN(IF(MONTH($C15)=4,$S$3,IF(MONTH($C15)=5,$S$4,IF(MONTH($C15)=6,$S$5,IF(MONTH($C15)=7,$S$6,"ERROR")))),MAX(VLOOKUP($C15,COS!$B$8:$K$991,10,FALSE)-IF(MONTH($C15)=4,$Y$3,IF(MONTH($C15)=5,$Y$4,IF(MONTH($C15)=6,$Y$5,IF(MONTH($C15)=7,$Y$6,"ERROR")))),0),MAX(VLOOKUP($C15,COS!$B$8:$K$991,9,FALSE)-IF(MONTH($C15)=4,$V$3,IF(MONTH($C15)=5,$V$4,IF(MONTH($C15)=6,$V$5,IF(MONTH($C15)=7,$V$6,"ERROR"))))-VLOOKUP($C15,COS!$B$8:$K$991,6,FALSE)/2,0))</f>
        <v>1500</v>
      </c>
      <c r="S15" s="26">
        <f>R15*DAY($C15)*86400/43560/1000</f>
        <v>92.231404958677686</v>
      </c>
      <c r="T15" s="26">
        <f>(O15+Q15)/2+S15</f>
        <v>187.85037192100333</v>
      </c>
      <c r="U15" s="26" t="str">
        <f>IF(VLOOKUP($C15,COS!$B$8:$I$991,8,FALSE)=1,"UWFE","IBU")</f>
        <v>UWFE</v>
      </c>
      <c r="V15" s="26">
        <f>MIN(IF(IF($AA$3=2,AND(E15=1,G15=1,L15=1,L19=1,M15=1,U15="IBU"),AND(E15=1,G15=1,L15=1,L19=1,M15=1)),T15,0),I15)</f>
        <v>0</v>
      </c>
      <c r="W15" s="26"/>
      <c r="X15" s="26"/>
      <c r="Y15" s="26"/>
      <c r="Z15" s="26"/>
      <c r="AA15" s="26"/>
      <c r="AB15" s="33"/>
      <c r="AC15" s="6"/>
      <c r="AD15" s="43">
        <v>1923</v>
      </c>
      <c r="AE15" s="1">
        <f>VLOOKUP(AD15,Flags!$A$13:$B$95,2,FALSE)</f>
        <v>3</v>
      </c>
      <c r="AF15" s="43">
        <f t="shared" ref="AF15:AF78" si="6">SUMIF($B$14:$B$742,$AD15,$I$14:$I$742)</f>
        <v>198.67443246384298</v>
      </c>
      <c r="AG15" s="43">
        <f t="shared" ref="AG15:AG78" si="7">SUMIF($B$14:$B$742,$AD15,$T$14:$T$742)</f>
        <v>652.53447745835479</v>
      </c>
      <c r="AH15" s="43">
        <f t="shared" ref="AH15:AH78" si="8">SUMIF($B$14:$B$742,$AD15,$V$14:$V$742)</f>
        <v>0</v>
      </c>
      <c r="AI15" s="43">
        <f t="shared" ref="AI15:AI78" si="9">SUMIF($B$14:$B$742,$AD15,$X$14:$X$742)</f>
        <v>22757.685081353306</v>
      </c>
      <c r="AJ15" s="43">
        <f t="shared" ref="AJ15:AJ78" si="10">SUMIF($B$14:$B$742,$AD15,$Z$14:$Z$742)</f>
        <v>218.30497927831226</v>
      </c>
      <c r="AK15" s="43">
        <f t="shared" si="1"/>
        <v>104.62114994269757</v>
      </c>
      <c r="AL15" s="43">
        <f t="shared" ref="AL15:AL78" si="11">MIN(AH15,AK15)</f>
        <v>0</v>
      </c>
      <c r="AN15" s="1" t="s">
        <v>41</v>
      </c>
      <c r="AO15" s="43">
        <f>AVERAGE($AL$14:$AL$94)</f>
        <v>55.740125428086799</v>
      </c>
    </row>
    <row r="16" spans="1:41" x14ac:dyDescent="0.3">
      <c r="A16" s="32">
        <f>VLOOKUP(YEAR(C16),Flags!$A$13:$B$95,2,FALSE)</f>
        <v>1</v>
      </c>
      <c r="B16" s="24">
        <f t="shared" si="2"/>
        <v>1922</v>
      </c>
      <c r="C16" s="25">
        <v>8217</v>
      </c>
      <c r="D16" s="26">
        <f>VLOOKUP($C16,COS!$B$8:$H$991,3,FALSE)</f>
        <v>10909.794921875</v>
      </c>
      <c r="E16" s="24">
        <f>IF(D16&gt;=IF(MONTH($C16)=4,$C$3,IF(MONTH($C16)=5,$C$4,IF(MONTH($C16)=6,$C$5,IF(MONTH($C16)=7,$C$6,"ERROR")))),1,0)</f>
        <v>1</v>
      </c>
      <c r="F16" s="26">
        <f>VLOOKUP($C16,COS!$B$8:$H$991,7,FALSE)</f>
        <v>53.329750061035156</v>
      </c>
      <c r="G16" s="24">
        <f>IF(F16&lt;=IF(MONTH($C16)=4,$F$3,IF(MONTH($C16)=5,$F$4,IF(MONTH($C16)=6,$F$5,IF(MONTH($C16)=7,$F$6,"ERROR")))),1,0)</f>
        <v>1</v>
      </c>
      <c r="H16" s="26">
        <f>IF(J16=1,D16-$C$5,0)</f>
        <v>909.794921875</v>
      </c>
      <c r="I16" s="26">
        <f t="shared" si="0"/>
        <v>54.136557334710744</v>
      </c>
      <c r="J16" s="24">
        <f t="shared" si="3"/>
        <v>1</v>
      </c>
      <c r="K16" s="26">
        <f>VLOOKUP($C16,COS!$B$8:$H$991,2,FALSE)</f>
        <v>4241.47265625</v>
      </c>
      <c r="L16" s="24">
        <f t="shared" si="4"/>
        <v>1</v>
      </c>
      <c r="M16" s="24">
        <f t="shared" si="5"/>
        <v>0</v>
      </c>
      <c r="N16" s="26">
        <f>VLOOKUP($C16,COS!$B$8:$H$991,5,FALSE)</f>
        <v>1108.1929931640625</v>
      </c>
      <c r="O16" s="26">
        <f>N16*DAY($C16)*86400/43560/1000</f>
        <v>65.942062403150814</v>
      </c>
      <c r="P16" s="26">
        <f>VLOOKUP($C16,COS!$B$8:$H$991,6,FALSE)</f>
        <v>2347.418701171875</v>
      </c>
      <c r="Q16" s="26">
        <f>P16*DAY($C16)*86400/43560/1000</f>
        <v>139.68111279700415</v>
      </c>
      <c r="R16" s="26">
        <f>MIN(IF(MONTH($C16)=4,$S$3,IF(MONTH($C16)=5,$S$4,IF(MONTH($C16)=6,$S$5,IF(MONTH($C16)=7,$S$6,"ERROR")))),MAX(VLOOKUP($C16,COS!$B$8:$K$991,10,FALSE)-IF(MONTH($C16)=4,$Y$3,IF(MONTH($C16)=5,$Y$4,IF(MONTH($C16)=6,$Y$5,IF(MONTH($C16)=7,$Y$6,"ERROR")))),0),MAX(VLOOKUP($C16,COS!$B$8:$K$991,9,FALSE)-IF(MONTH($C16)=4,$V$3,IF(MONTH($C16)=5,$V$4,IF(MONTH($C16)=6,$V$5,IF(MONTH($C16)=7,$V$6,"ERROR"))))-VLOOKUP($C16,COS!$B$8:$K$991,6,FALSE)/2,0))</f>
        <v>1500</v>
      </c>
      <c r="S16" s="26">
        <f>R16*DAY($C16)*86400/43560/1000</f>
        <v>89.256198347107429</v>
      </c>
      <c r="T16" s="26">
        <f t="shared" ref="T16:T17" si="12">(O16+Q16)/2+S16</f>
        <v>192.06778594718492</v>
      </c>
      <c r="U16" s="26" t="str">
        <f>IF(VLOOKUP($C16,COS!$B$8:$I$991,8,FALSE)=1,"UWFE","IBU")</f>
        <v>UWFE</v>
      </c>
      <c r="V16" s="26">
        <f>MIN(IF(IF($AA$3=2,AND(E16=1,G16=1,L16=1,L19=1,M16=1,U16="IBU"),AND(E16=1,G16=1,L16=1,L19=1,M16=1)),T16,0),I16)</f>
        <v>0</v>
      </c>
      <c r="W16" s="26"/>
      <c r="X16" s="26"/>
      <c r="Y16" s="26"/>
      <c r="Z16" s="26"/>
      <c r="AA16" s="26"/>
      <c r="AB16" s="33"/>
      <c r="AC16" s="6"/>
      <c r="AD16" s="43">
        <v>1924</v>
      </c>
      <c r="AE16" s="1">
        <f>VLOOKUP(AD16,Flags!$A$13:$B$95,2,FALSE)</f>
        <v>5</v>
      </c>
      <c r="AF16" s="43">
        <f t="shared" si="6"/>
        <v>161.14381650309917</v>
      </c>
      <c r="AG16" s="43">
        <f t="shared" si="7"/>
        <v>617.91795171059857</v>
      </c>
      <c r="AH16" s="43">
        <f t="shared" si="8"/>
        <v>161.14381650309917</v>
      </c>
      <c r="AI16" s="43">
        <f t="shared" si="9"/>
        <v>22888.106491154442</v>
      </c>
      <c r="AJ16" s="43">
        <f t="shared" si="10"/>
        <v>598.65797722430273</v>
      </c>
      <c r="AK16" s="43">
        <f t="shared" si="1"/>
        <v>365.60456700348664</v>
      </c>
      <c r="AL16" s="43">
        <f t="shared" si="11"/>
        <v>161.14381650309917</v>
      </c>
      <c r="AN16" s="1" t="s">
        <v>43</v>
      </c>
      <c r="AO16" s="43">
        <f>AVERAGEIF(Flags!$G$14:$G$94,1,$AL$14:$AL$94)</f>
        <v>122.40234074075782</v>
      </c>
    </row>
    <row r="17" spans="1:42" x14ac:dyDescent="0.3">
      <c r="A17" s="32">
        <f>VLOOKUP(YEAR(C17),Flags!$A$13:$B$95,2,FALSE)</f>
        <v>1</v>
      </c>
      <c r="B17" s="24">
        <f t="shared" si="2"/>
        <v>1922</v>
      </c>
      <c r="C17" s="25">
        <v>8248</v>
      </c>
      <c r="D17" s="26">
        <f>VLOOKUP($C17,COS!$B$8:$H$991,3,FALSE)</f>
        <v>12170.349609375</v>
      </c>
      <c r="E17" s="24">
        <f>IF(D17&gt;=IF(MONTH($C17)=4,$C$3,IF(MONTH($C17)=5,$C$4,IF(MONTH($C17)=6,$C$5,IF(MONTH($C17)=7,$C$6,"ERROR")))),1,0)</f>
        <v>1</v>
      </c>
      <c r="F17" s="26">
        <f>VLOOKUP($C17,COS!$B$8:$H$991,7,FALSE)</f>
        <v>54.132045745849609</v>
      </c>
      <c r="G17" s="24">
        <f>IF(F17&lt;=IF(MONTH($C17)=4,$F$3,IF(MONTH($C17)=5,$F$4,IF(MONTH($C17)=6,$F$5,IF(MONTH($C17)=7,$F$6,"ERROR")))),1,0)</f>
        <v>0</v>
      </c>
      <c r="H17" s="26">
        <f>IF(J17=1,D17-$C$6,0)</f>
        <v>0</v>
      </c>
      <c r="I17" s="26">
        <f t="shared" si="0"/>
        <v>0</v>
      </c>
      <c r="J17" s="24">
        <f t="shared" si="3"/>
        <v>0</v>
      </c>
      <c r="K17" s="26">
        <f>VLOOKUP($C17,COS!$B$8:$H$991,2,FALSE)</f>
        <v>3788.69091796875</v>
      </c>
      <c r="L17" s="24">
        <f t="shared" si="4"/>
        <v>1</v>
      </c>
      <c r="M17" s="24">
        <f t="shared" si="5"/>
        <v>0</v>
      </c>
      <c r="N17" s="26">
        <f>VLOOKUP($C17,COS!$B$8:$H$991,5,FALSE)</f>
        <v>1209.6676025390625</v>
      </c>
      <c r="O17" s="26">
        <f>N17*DAY($C17)*86400/43560/1000</f>
        <v>74.379561676782032</v>
      </c>
      <c r="P17" s="26">
        <f>VLOOKUP($C17,COS!$B$8:$H$991,6,FALSE)</f>
        <v>2562.892822265625</v>
      </c>
      <c r="Q17" s="26">
        <f>P17*DAY($C17)*86400/43560/1000</f>
        <v>157.58613717071282</v>
      </c>
      <c r="R17" s="26">
        <f>MIN(IF(MONTH($C17)=4,$S$3,IF(MONTH($C17)=5,$S$4,IF(MONTH($C17)=6,$S$5,IF(MONTH($C17)=7,$S$6,"ERROR")))),MAX(VLOOKUP($C17,COS!$B$8:$K$991,10,FALSE)-IF(MONTH($C17)=4,$Y$3,IF(MONTH($C17)=5,$Y$4,IF(MONTH($C17)=6,$Y$5,IF(MONTH($C17)=7,$Y$6,"ERROR")))),0),MAX(VLOOKUP($C17,COS!$B$8:$K$991,9,FALSE)-IF(MONTH($C17)=4,$V$3,IF(MONTH($C17)=5,$V$4,IF(MONTH($C17)=6,$V$5,IF(MONTH($C17)=7,$V$6,"ERROR"))))-VLOOKUP($C17,COS!$B$8:$K$991,6,FALSE)/2,0))</f>
        <v>1500</v>
      </c>
      <c r="S17" s="26">
        <f>R17*DAY($C17)*86400/43560/1000</f>
        <v>92.231404958677686</v>
      </c>
      <c r="T17" s="26">
        <f t="shared" si="12"/>
        <v>208.21425438242511</v>
      </c>
      <c r="U17" s="26" t="str">
        <f>IF(VLOOKUP($C17,COS!$B$8:$I$991,8,FALSE)=1,"UWFE","IBU")</f>
        <v>IBU</v>
      </c>
      <c r="V17" s="26">
        <f>MIN(IF(IF($AA$3=2,AND(E17=1,G17=1,L17=1,L19=1,M17=1,U17="IBU"),AND(E17=1,G17=1,L17=1,L19=1,M17=1)),T17,0),I17)</f>
        <v>0</v>
      </c>
      <c r="W17" s="26"/>
      <c r="X17" s="26"/>
      <c r="Y17" s="26"/>
      <c r="Z17" s="26"/>
      <c r="AA17" s="26"/>
      <c r="AB17" s="33"/>
      <c r="AC17" s="6"/>
      <c r="AD17" s="43">
        <v>1925</v>
      </c>
      <c r="AE17" s="1">
        <f>VLOOKUP(AD17,Flags!$A$13:$B$95,2,FALSE)</f>
        <v>4</v>
      </c>
      <c r="AF17" s="43">
        <f t="shared" si="6"/>
        <v>43.79148308367769</v>
      </c>
      <c r="AG17" s="43">
        <f t="shared" si="7"/>
        <v>654.4869609132877</v>
      </c>
      <c r="AH17" s="43">
        <f t="shared" si="8"/>
        <v>43.79148308367769</v>
      </c>
      <c r="AI17" s="43">
        <f t="shared" si="9"/>
        <v>22582.151480501034</v>
      </c>
      <c r="AJ17" s="43">
        <f t="shared" si="10"/>
        <v>376.96743043001032</v>
      </c>
      <c r="AK17" s="43">
        <f t="shared" si="1"/>
        <v>267.38984334646182</v>
      </c>
      <c r="AL17" s="43">
        <f>MIN(AH17,AK17)</f>
        <v>43.79148308367769</v>
      </c>
      <c r="AN17" s="1" t="s">
        <v>30</v>
      </c>
      <c r="AO17" s="43">
        <f>AVERAGEIF($AE$14:$AE$94,1,$AL$14:$AL$94)</f>
        <v>0</v>
      </c>
    </row>
    <row r="18" spans="1:42" x14ac:dyDescent="0.3">
      <c r="A18" s="32">
        <f>VLOOKUP(YEAR(C18),Flags!$A$13:$B$95,2,FALSE)</f>
        <v>1</v>
      </c>
      <c r="B18" s="24">
        <f t="shared" si="2"/>
        <v>1922</v>
      </c>
      <c r="C18" s="25">
        <v>8279</v>
      </c>
      <c r="D18" s="26"/>
      <c r="E18" s="24"/>
      <c r="F18" s="26"/>
      <c r="G18" s="24"/>
      <c r="H18" s="24"/>
      <c r="I18" s="26"/>
      <c r="J18" s="24"/>
      <c r="K18" s="26"/>
      <c r="L18" s="24"/>
      <c r="M18" s="24"/>
      <c r="N18" s="26"/>
      <c r="O18" s="26"/>
      <c r="P18" s="26"/>
      <c r="Q18" s="26"/>
      <c r="R18" s="26"/>
      <c r="S18" s="26"/>
      <c r="T18" s="26"/>
      <c r="U18" s="26"/>
      <c r="V18" s="26"/>
      <c r="W18" s="26">
        <f>MAX($C$7-VLOOKUP($C18,COS!$B$8:$H$991,3,FALSE),0)</f>
        <v>89237.1474609375</v>
      </c>
      <c r="X18" s="26">
        <f t="shared" ref="X18:X22" si="13">W18*DAY($C18)*86400/43560/1000</f>
        <v>5486.9783232179752</v>
      </c>
      <c r="Y18" s="26">
        <f>VLOOKUP($C18,COS!$B$8:$H$991,4,FALSE)</f>
        <v>0</v>
      </c>
      <c r="Z18" s="26">
        <f t="shared" ref="Z18:Z22" si="14">Y18*DAY($C18)*86400/43560/1000</f>
        <v>0</v>
      </c>
      <c r="AA18" s="26">
        <f>MIN(W18,Y18)</f>
        <v>0</v>
      </c>
      <c r="AB18" s="33">
        <f>AA18*DAY($C18)*86400/43560/1000*IF(MONTH($C18)=8,$P$3,IF(MONTH($C18)=9,$P$4,IF(MONTH($C18)=10,$P$5,IF(MONTH($C18)=11,$P$6,IF(MONTH($C18)=12,$P$7,NA())))))</f>
        <v>0</v>
      </c>
      <c r="AC18" s="6"/>
      <c r="AD18" s="43">
        <v>1926</v>
      </c>
      <c r="AE18" s="1">
        <f>VLOOKUP(AD18,Flags!$A$13:$B$95,2,FALSE)</f>
        <v>4</v>
      </c>
      <c r="AF18" s="43">
        <f t="shared" si="6"/>
        <v>194.10762009297522</v>
      </c>
      <c r="AG18" s="43">
        <f t="shared" si="7"/>
        <v>628.74933393746369</v>
      </c>
      <c r="AH18" s="43">
        <f t="shared" si="8"/>
        <v>173.3633407870206</v>
      </c>
      <c r="AI18" s="43">
        <f t="shared" si="9"/>
        <v>22920.123877840906</v>
      </c>
      <c r="AJ18" s="43">
        <f t="shared" si="10"/>
        <v>222.87584847946798</v>
      </c>
      <c r="AK18" s="43">
        <f t="shared" si="1"/>
        <v>222.87584847946798</v>
      </c>
      <c r="AL18" s="43">
        <f t="shared" si="11"/>
        <v>173.3633407870206</v>
      </c>
      <c r="AN18" s="1" t="s">
        <v>42</v>
      </c>
      <c r="AO18" s="43">
        <f>AVERAGEIF($AE$14:$AE$94,2,$AL$14:$AL$94)</f>
        <v>0</v>
      </c>
    </row>
    <row r="19" spans="1:42" x14ac:dyDescent="0.3">
      <c r="A19" s="32">
        <f>VLOOKUP(YEAR(C19),Flags!$A$13:$B$95,2,FALSE)</f>
        <v>1</v>
      </c>
      <c r="B19" s="24">
        <f t="shared" si="2"/>
        <v>1922</v>
      </c>
      <c r="C19" s="25">
        <v>8309</v>
      </c>
      <c r="D19" s="26"/>
      <c r="E19" s="24"/>
      <c r="F19" s="26"/>
      <c r="G19" s="24"/>
      <c r="H19" s="24"/>
      <c r="I19" s="26"/>
      <c r="J19" s="24"/>
      <c r="K19" s="26">
        <f>VLOOKUP($C19,COS!$B$8:$H$991,2,FALSE)</f>
        <v>2693.51513671875</v>
      </c>
      <c r="L19" s="24">
        <f>IF(AND(K19&gt;$I$7,K19&lt;$I$8),1,0)</f>
        <v>1</v>
      </c>
      <c r="M19" s="24"/>
      <c r="N19" s="26"/>
      <c r="O19" s="26"/>
      <c r="P19" s="26"/>
      <c r="Q19" s="26"/>
      <c r="R19" s="26"/>
      <c r="S19" s="26"/>
      <c r="T19" s="26"/>
      <c r="U19" s="26"/>
      <c r="V19" s="26"/>
      <c r="W19" s="26">
        <f>MAX($C$8-VLOOKUP($C19,COS!$B$8:$H$991,3,FALSE),0)</f>
        <v>82918.25390625</v>
      </c>
      <c r="X19" s="26">
        <f t="shared" si="13"/>
        <v>4933.9787448347106</v>
      </c>
      <c r="Y19" s="26">
        <f>VLOOKUP($C19,COS!$B$8:$H$991,4,FALSE)</f>
        <v>136.41513061523438</v>
      </c>
      <c r="Z19" s="26">
        <f t="shared" si="14"/>
        <v>8.1172639704932852</v>
      </c>
      <c r="AA19" s="26">
        <f t="shared" ref="AA19:AA22" si="15">MIN(W19,Y19)</f>
        <v>136.41513061523438</v>
      </c>
      <c r="AB19" s="33">
        <f t="shared" ref="AB19:AB22" si="16">AA19*DAY($C19)*86400/43560/1000*IF(MONTH($C19)=8,$P$3,IF(MONTH($C19)=9,$P$4,IF(MONTH($C19)=10,$P$5,IF(MONTH($C19)=11,$P$6,IF(MONTH($C19)=12,$P$7,NA())))))</f>
        <v>8.1172639704932852</v>
      </c>
      <c r="AC19" s="6"/>
      <c r="AD19" s="43">
        <v>1927</v>
      </c>
      <c r="AE19" s="1">
        <f>VLOOKUP(AD19,Flags!$A$13:$B$95,2,FALSE)</f>
        <v>2</v>
      </c>
      <c r="AF19" s="43">
        <f t="shared" si="6"/>
        <v>577.17067019628098</v>
      </c>
      <c r="AG19" s="43">
        <f t="shared" si="7"/>
        <v>702.40231152747288</v>
      </c>
      <c r="AH19" s="43">
        <f t="shared" si="8"/>
        <v>0</v>
      </c>
      <c r="AI19" s="43">
        <f t="shared" si="9"/>
        <v>22032.42545841942</v>
      </c>
      <c r="AJ19" s="43">
        <f t="shared" si="10"/>
        <v>102.32853633659931</v>
      </c>
      <c r="AK19" s="43">
        <f t="shared" si="1"/>
        <v>84.665892878760985</v>
      </c>
      <c r="AL19" s="43">
        <f t="shared" si="11"/>
        <v>0</v>
      </c>
      <c r="AN19" s="1" t="s">
        <v>32</v>
      </c>
      <c r="AO19" s="43">
        <f>AVERAGEIF($AE$14:$AE$94,3,$AL$14:$AL$94)</f>
        <v>0</v>
      </c>
    </row>
    <row r="20" spans="1:42" x14ac:dyDescent="0.3">
      <c r="A20" s="32">
        <f>VLOOKUP(YEAR(C20),Flags!$A$13:$B$95,2,FALSE)</f>
        <v>1</v>
      </c>
      <c r="B20" s="24">
        <f t="shared" si="2"/>
        <v>1922</v>
      </c>
      <c r="C20" s="25">
        <v>8340</v>
      </c>
      <c r="D20" s="26"/>
      <c r="E20" s="24"/>
      <c r="F20" s="26"/>
      <c r="G20" s="26"/>
      <c r="H20" s="26"/>
      <c r="I20" s="26"/>
      <c r="J20" s="26"/>
      <c r="K20" s="26"/>
      <c r="L20" s="24"/>
      <c r="M20" s="24"/>
      <c r="N20" s="26"/>
      <c r="O20" s="26"/>
      <c r="P20" s="26"/>
      <c r="Q20" s="26"/>
      <c r="R20" s="26"/>
      <c r="S20" s="26"/>
      <c r="T20" s="26"/>
      <c r="U20" s="26"/>
      <c r="V20" s="26"/>
      <c r="W20" s="26">
        <f>MAX($C$9-VLOOKUP($C20,COS!$B$8:$H$991,3,FALSE),0)</f>
        <v>95405.1708984375</v>
      </c>
      <c r="X20" s="26">
        <f t="shared" si="13"/>
        <v>5866.2353015237595</v>
      </c>
      <c r="Y20" s="26">
        <f>VLOOKUP($C20,COS!$B$8:$H$991,4,FALSE)</f>
        <v>940.9134521484375</v>
      </c>
      <c r="Z20" s="26">
        <f t="shared" si="14"/>
        <v>57.85451309077996</v>
      </c>
      <c r="AA20" s="26">
        <f t="shared" si="15"/>
        <v>940.9134521484375</v>
      </c>
      <c r="AB20" s="33">
        <f t="shared" si="16"/>
        <v>57.85451309077996</v>
      </c>
      <c r="AC20" s="6"/>
      <c r="AD20" s="44">
        <v>1928</v>
      </c>
      <c r="AE20" s="45">
        <f>VLOOKUP(AD20,Flags!$A$13:$B$95,2,FALSE)</f>
        <v>2</v>
      </c>
      <c r="AF20" s="44">
        <f t="shared" si="6"/>
        <v>530.64339456353309</v>
      </c>
      <c r="AG20" s="44">
        <f t="shared" si="7"/>
        <v>653.27225191478885</v>
      </c>
      <c r="AH20" s="44">
        <f t="shared" si="8"/>
        <v>0</v>
      </c>
      <c r="AI20" s="44">
        <f t="shared" si="9"/>
        <v>21821.997559400828</v>
      </c>
      <c r="AJ20" s="44">
        <f t="shared" si="10"/>
        <v>112.69071519394552</v>
      </c>
      <c r="AK20" s="44">
        <f t="shared" si="1"/>
        <v>81.927064302933118</v>
      </c>
      <c r="AL20" s="44">
        <f t="shared" si="11"/>
        <v>0</v>
      </c>
      <c r="AN20" s="1" t="s">
        <v>33</v>
      </c>
      <c r="AO20" s="43">
        <f>AVERAGEIF($AE$14:$AE$94,4,$AL$14:$AL$94)</f>
        <v>170.03286953785795</v>
      </c>
    </row>
    <row r="21" spans="1:42" x14ac:dyDescent="0.3">
      <c r="A21" s="32">
        <f>VLOOKUP(YEAR(C21),Flags!$A$13:$B$95,2,FALSE)</f>
        <v>1</v>
      </c>
      <c r="B21" s="24">
        <f t="shared" si="2"/>
        <v>1922</v>
      </c>
      <c r="C21" s="25">
        <v>8370</v>
      </c>
      <c r="D21" s="26"/>
      <c r="E21" s="24"/>
      <c r="F21" s="26"/>
      <c r="G21" s="26"/>
      <c r="H21" s="26"/>
      <c r="I21" s="26"/>
      <c r="J21" s="26"/>
      <c r="K21" s="26"/>
      <c r="L21" s="24"/>
      <c r="M21" s="24"/>
      <c r="N21" s="26"/>
      <c r="O21" s="26"/>
      <c r="P21" s="26"/>
      <c r="Q21" s="26"/>
      <c r="R21" s="26"/>
      <c r="S21" s="26"/>
      <c r="T21" s="26"/>
      <c r="U21" s="26"/>
      <c r="V21" s="26"/>
      <c r="W21" s="26">
        <f>MAX($C$10-VLOOKUP($C21,COS!$B$8:$H$991,3,FALSE),0)</f>
        <v>92011.9228515625</v>
      </c>
      <c r="X21" s="26">
        <f t="shared" si="13"/>
        <v>5475.0896242252065</v>
      </c>
      <c r="Y21" s="26">
        <f>VLOOKUP($C21,COS!$B$8:$H$991,4,FALSE)</f>
        <v>1104.9873046875</v>
      </c>
      <c r="Z21" s="26">
        <f t="shared" si="14"/>
        <v>65.751310692148763</v>
      </c>
      <c r="AA21" s="26">
        <f t="shared" si="15"/>
        <v>1104.9873046875</v>
      </c>
      <c r="AB21" s="33">
        <f t="shared" si="16"/>
        <v>32.875655346074382</v>
      </c>
      <c r="AC21" s="6"/>
      <c r="AD21" s="44">
        <v>1929</v>
      </c>
      <c r="AE21" s="45">
        <f>VLOOKUP(AD21,Flags!$A$13:$B$95,2,FALSE)</f>
        <v>5</v>
      </c>
      <c r="AF21" s="44">
        <f t="shared" si="6"/>
        <v>127.9222265625</v>
      </c>
      <c r="AG21" s="44">
        <f t="shared" si="7"/>
        <v>580.13305915265039</v>
      </c>
      <c r="AH21" s="44">
        <f t="shared" si="8"/>
        <v>127.9222265625</v>
      </c>
      <c r="AI21" s="44">
        <f t="shared" si="9"/>
        <v>22823.152223979851</v>
      </c>
      <c r="AJ21" s="44">
        <f t="shared" si="10"/>
        <v>547.35015011621897</v>
      </c>
      <c r="AK21" s="44">
        <f t="shared" si="1"/>
        <v>406.43818238313537</v>
      </c>
      <c r="AL21" s="44">
        <f t="shared" si="11"/>
        <v>127.9222265625</v>
      </c>
      <c r="AN21" s="1" t="s">
        <v>10</v>
      </c>
      <c r="AO21" s="43">
        <f>AVERAGEIF($AE$14:$AE$94,5,$AL$14:$AL$94)</f>
        <v>92.857730743155983</v>
      </c>
    </row>
    <row r="22" spans="1:42" x14ac:dyDescent="0.3">
      <c r="A22" s="34">
        <f>VLOOKUP(YEAR(C22),Flags!$A$13:$B$95,2,FALSE)</f>
        <v>1</v>
      </c>
      <c r="B22" s="35">
        <f t="shared" si="2"/>
        <v>1922</v>
      </c>
      <c r="C22" s="36">
        <v>8401</v>
      </c>
      <c r="D22" s="37"/>
      <c r="E22" s="35"/>
      <c r="F22" s="37"/>
      <c r="G22" s="37"/>
      <c r="H22" s="37"/>
      <c r="I22" s="37"/>
      <c r="J22" s="37"/>
      <c r="K22" s="37"/>
      <c r="L22" s="35"/>
      <c r="M22" s="35"/>
      <c r="N22" s="37"/>
      <c r="O22" s="37"/>
      <c r="P22" s="37"/>
      <c r="Q22" s="37"/>
      <c r="R22" s="37"/>
      <c r="S22" s="37"/>
      <c r="T22" s="37"/>
      <c r="U22" s="37"/>
      <c r="V22" s="37"/>
      <c r="W22" s="37">
        <f>MAX($C$11-VLOOKUP($C22,COS!$B$8:$H$991,3,FALSE),0)</f>
        <v>0</v>
      </c>
      <c r="X22" s="37">
        <f t="shared" si="13"/>
        <v>0</v>
      </c>
      <c r="Y22" s="37">
        <f>VLOOKUP($C22,COS!$B$8:$H$991,4,FALSE)</f>
        <v>0</v>
      </c>
      <c r="Z22" s="37">
        <f t="shared" si="14"/>
        <v>0</v>
      </c>
      <c r="AA22" s="37">
        <f t="shared" si="15"/>
        <v>0</v>
      </c>
      <c r="AB22" s="38">
        <f t="shared" si="16"/>
        <v>0</v>
      </c>
      <c r="AC22" s="6"/>
      <c r="AD22" s="44">
        <v>1930</v>
      </c>
      <c r="AE22" s="45">
        <f>VLOOKUP(AD22,Flags!$A$13:$B$95,2,FALSE)</f>
        <v>4</v>
      </c>
      <c r="AF22" s="44">
        <f t="shared" si="6"/>
        <v>0</v>
      </c>
      <c r="AG22" s="44">
        <f t="shared" si="7"/>
        <v>613.88301786690704</v>
      </c>
      <c r="AH22" s="44">
        <f t="shared" si="8"/>
        <v>0</v>
      </c>
      <c r="AI22" s="44">
        <f t="shared" si="9"/>
        <v>22966.413810046488</v>
      </c>
      <c r="AJ22" s="44">
        <f t="shared" si="10"/>
        <v>529.99753042678208</v>
      </c>
      <c r="AK22" s="44">
        <f t="shared" si="1"/>
        <v>359.26877881262914</v>
      </c>
      <c r="AL22" s="44">
        <f t="shared" si="11"/>
        <v>0</v>
      </c>
    </row>
    <row r="23" spans="1:42" x14ac:dyDescent="0.3">
      <c r="A23" s="27">
        <f>VLOOKUP(YEAR(C23),Flags!$A$13:$B$95,2,FALSE)</f>
        <v>3</v>
      </c>
      <c r="B23" s="28">
        <f t="shared" si="2"/>
        <v>1923</v>
      </c>
      <c r="C23" s="29">
        <v>8521</v>
      </c>
      <c r="D23" s="30">
        <f>VLOOKUP($C23,COS!$B$8:$H$991,3,FALSE)</f>
        <v>3250</v>
      </c>
      <c r="E23" s="28">
        <f>IF(D23&gt;=IF(MONTH($C23)=4,$C$3,IF(MONTH($C23)=5,$C$4,IF(MONTH($C23)=6,$C$5,IF(MONTH($C23)=7,$C$6,"ERROR")))),1,0)</f>
        <v>0</v>
      </c>
      <c r="F23" s="30">
        <f>VLOOKUP($C23,COS!$B$8:$H$991,7,FALSE)</f>
        <v>52.349773406982422</v>
      </c>
      <c r="G23" s="28">
        <f>IF(F23&lt;=IF(MONTH($C23)=4,$F$3,IF(MONTH($C23)=5,$F$4,IF(MONTH($C23)=6,$F$5,IF(MONTH($C23)=7,$F$6,"ERROR")))),1,0)</f>
        <v>1</v>
      </c>
      <c r="H23" s="30">
        <f>IF(J23=1,D23-$C$3,0)</f>
        <v>0</v>
      </c>
      <c r="I23" s="30">
        <f t="shared" ref="I23:I86" si="17">H23*DAY($C23)*86400/43560/1000</f>
        <v>0</v>
      </c>
      <c r="J23" s="28">
        <f t="shared" ref="J23:J26" si="18">IF(AND(E23=1,G23=1),1,0)</f>
        <v>0</v>
      </c>
      <c r="K23" s="30">
        <f>VLOOKUP($C23,COS!$B$8:$H$991,2,FALSE)</f>
        <v>3743.0517578125</v>
      </c>
      <c r="L23" s="28">
        <f t="shared" ref="L23:L80" si="19">IF(K23&lt;=IF(MONTH($C23)=4,$I$3,IF(MONTH($C23)=5,$I$4,IF(MONTH($C23)=6,$I$5,IF(MONTH($C23)=7,$I$6,"ERROR")))),1,0)</f>
        <v>1</v>
      </c>
      <c r="M23" s="28">
        <f t="shared" ref="M23:M80" si="20">VLOOKUP($A23,$L$3:$M$7,2,FALSE)</f>
        <v>0</v>
      </c>
      <c r="N23" s="30">
        <f>VLOOKUP($C23,COS!$B$8:$H$991,5,FALSE)</f>
        <v>244.48347473144531</v>
      </c>
      <c r="O23" s="30">
        <f t="shared" ref="O23:O26" si="21">N23*DAY($C23)*86400/43560/1000</f>
        <v>14.547777008813275</v>
      </c>
      <c r="P23" s="30">
        <f>VLOOKUP($C23,COS!$B$8:$H$991,6,FALSE)</f>
        <v>427.781494140625</v>
      </c>
      <c r="Q23" s="30">
        <f t="shared" ref="Q23:Q26" si="22">P23*DAY($C23)*86400/43560/1000</f>
        <v>25.454766593491733</v>
      </c>
      <c r="R23" s="30">
        <f>MIN(IF(MONTH($C23)=4,$S$3,IF(MONTH($C23)=5,$S$4,IF(MONTH($C23)=6,$S$5,IF(MONTH($C23)=7,$S$6,"ERROR")))),MAX(VLOOKUP($C23,COS!$B$8:$K$991,10,FALSE)-IF(MONTH($C23)=4,$Y$3,IF(MONTH($C23)=5,$Y$4,IF(MONTH($C23)=6,$Y$5,IF(MONTH($C23)=7,$Y$6,"ERROR")))),0),MAX(VLOOKUP($C23,COS!$B$8:$K$991,9,FALSE)-IF(MONTH($C23)=4,$V$3,IF(MONTH($C23)=5,$V$4,IF(MONTH($C23)=6,$V$5,IF(MONTH($C23)=7,$V$6,"ERROR"))))-VLOOKUP($C23,COS!$B$8:$K$991,6,FALSE)/2,0))</f>
        <v>1500</v>
      </c>
      <c r="S23" s="30">
        <f t="shared" ref="S23:S26" si="23">R23*DAY($C23)*86400/43560/1000</f>
        <v>89.256198347107429</v>
      </c>
      <c r="T23" s="30">
        <f t="shared" ref="T23:T26" si="24">(O23+Q23)/2+S23</f>
        <v>109.25747014825993</v>
      </c>
      <c r="U23" s="30" t="str">
        <f>IF(VLOOKUP($C23,COS!$B$8:$I$991,8,FALSE)=1,"UWFE","IBU")</f>
        <v>UWFE</v>
      </c>
      <c r="V23" s="30">
        <f t="shared" ref="V23" si="25">MIN(IF(IF($AA$3=2,AND(E23=1,G23=1,L23=1,L28=1,M23=1,U23="IBU"),AND(E23=1,G23=1,L23=1,L28=1,M23=1)),T23,0),I23)</f>
        <v>0</v>
      </c>
      <c r="W23" s="30"/>
      <c r="X23" s="30"/>
      <c r="Y23" s="30"/>
      <c r="Z23" s="30"/>
      <c r="AA23" s="30"/>
      <c r="AB23" s="31"/>
      <c r="AC23" s="6"/>
      <c r="AD23" s="44">
        <v>1931</v>
      </c>
      <c r="AE23" s="45">
        <f>VLOOKUP(AD23,Flags!$A$13:$B$95,2,FALSE)</f>
        <v>5</v>
      </c>
      <c r="AF23" s="44">
        <f t="shared" si="6"/>
        <v>174.23468879132233</v>
      </c>
      <c r="AG23" s="44">
        <f t="shared" si="7"/>
        <v>600.06150887985859</v>
      </c>
      <c r="AH23" s="44">
        <f t="shared" si="8"/>
        <v>174.23468879132233</v>
      </c>
      <c r="AI23" s="44">
        <f t="shared" si="9"/>
        <v>22998.790061660642</v>
      </c>
      <c r="AJ23" s="44">
        <f t="shared" si="10"/>
        <v>417.20645168840394</v>
      </c>
      <c r="AK23" s="44">
        <f t="shared" si="1"/>
        <v>377.63865161738124</v>
      </c>
      <c r="AL23" s="44">
        <f t="shared" si="11"/>
        <v>174.23468879132233</v>
      </c>
      <c r="AN23" s="6">
        <f>AO15</f>
        <v>55.740125428086799</v>
      </c>
      <c r="AO23">
        <f t="shared" ref="AO23:AO33" si="26">COUNTIF($AL$14:$AL$94,"&gt;"&amp;AN23)</f>
        <v>20</v>
      </c>
      <c r="AP23">
        <f>AVERAGEIF($AL$14:$AL$94,"&gt;"&amp;AN23)</f>
        <v>215.67048566001699</v>
      </c>
    </row>
    <row r="24" spans="1:42" x14ac:dyDescent="0.3">
      <c r="A24" s="32">
        <f>VLOOKUP(YEAR(C24),Flags!$A$13:$B$95,2,FALSE)</f>
        <v>3</v>
      </c>
      <c r="B24" s="24">
        <f t="shared" si="2"/>
        <v>1923</v>
      </c>
      <c r="C24" s="25">
        <v>8552</v>
      </c>
      <c r="D24" s="26">
        <f>VLOOKUP($C24,COS!$B$8:$H$991,3,FALSE)</f>
        <v>9231.1298828125</v>
      </c>
      <c r="E24" s="24">
        <f>IF(D24&gt;=IF(MONTH($C24)=4,$C$3,IF(MONTH($C24)=5,$C$4,IF(MONTH($C24)=6,$C$5,IF(MONTH($C24)=7,$C$6,"ERROR")))),1,0)</f>
        <v>1</v>
      </c>
      <c r="F24" s="26">
        <f>VLOOKUP($C24,COS!$B$8:$H$991,7,FALSE)</f>
        <v>55.448532104492188</v>
      </c>
      <c r="G24" s="24">
        <f>IF(F24&lt;=IF(MONTH($C24)=4,$F$3,IF(MONTH($C24)=5,$F$4,IF(MONTH($C24)=6,$F$5,IF(MONTH($C24)=7,$F$6,"ERROR")))),1,0)</f>
        <v>1</v>
      </c>
      <c r="H24" s="26">
        <f>IF(J24=1,D24-$C$4,0)</f>
        <v>3231.1298828125</v>
      </c>
      <c r="I24" s="26">
        <f t="shared" si="17"/>
        <v>198.67443246384298</v>
      </c>
      <c r="J24" s="24">
        <f t="shared" si="18"/>
        <v>1</v>
      </c>
      <c r="K24" s="26">
        <f>VLOOKUP($C24,COS!$B$8:$H$991,2,FALSE)</f>
        <v>3524.205322265625</v>
      </c>
      <c r="L24" s="24">
        <f t="shared" si="19"/>
        <v>1</v>
      </c>
      <c r="M24" s="24">
        <f t="shared" si="20"/>
        <v>0</v>
      </c>
      <c r="N24" s="26">
        <f>VLOOKUP($C24,COS!$B$8:$H$991,5,FALSE)</f>
        <v>301.41696166992188</v>
      </c>
      <c r="O24" s="26">
        <f t="shared" si="21"/>
        <v>18.533406568795193</v>
      </c>
      <c r="P24" s="26">
        <f>VLOOKUP($C24,COS!$B$8:$H$991,6,FALSE)</f>
        <v>2265.772216796875</v>
      </c>
      <c r="Q24" s="26">
        <f t="shared" si="22"/>
        <v>139.31690324767561</v>
      </c>
      <c r="R24" s="26">
        <f>MIN(IF(MONTH($C24)=4,$S$3,IF(MONTH($C24)=5,$S$4,IF(MONTH($C24)=6,$S$5,IF(MONTH($C24)=7,$S$6,"ERROR")))),MAX(VLOOKUP($C24,COS!$B$8:$K$991,10,FALSE)-IF(MONTH($C24)=4,$Y$3,IF(MONTH($C24)=5,$Y$4,IF(MONTH($C24)=6,$Y$5,IF(MONTH($C24)=7,$Y$6,"ERROR")))),0),MAX(VLOOKUP($C24,COS!$B$8:$K$991,9,FALSE)-IF(MONTH($C24)=4,$V$3,IF(MONTH($C24)=5,$V$4,IF(MONTH($C24)=6,$V$5,IF(MONTH($C24)=7,$V$6,"ERROR"))))-VLOOKUP($C24,COS!$B$8:$K$991,6,FALSE)/2,0))</f>
        <v>1500</v>
      </c>
      <c r="S24" s="26">
        <f t="shared" si="23"/>
        <v>92.231404958677686</v>
      </c>
      <c r="T24" s="26">
        <f t="shared" si="24"/>
        <v>171.15655986691308</v>
      </c>
      <c r="U24" s="26" t="str">
        <f>IF(VLOOKUP($C24,COS!$B$8:$I$991,8,FALSE)=1,"UWFE","IBU")</f>
        <v>UWFE</v>
      </c>
      <c r="V24" s="26">
        <f t="shared" ref="V24" si="27">MIN(IF(IF($AA$3=2,AND(E24=1,G24=1,L24=1,L28=1,M24=1,U24="IBU"),AND(E24=1,G24=1,L24=1,L28=1,M24=1)),T24,0),I24)</f>
        <v>0</v>
      </c>
      <c r="W24" s="26"/>
      <c r="X24" s="26"/>
      <c r="Y24" s="26"/>
      <c r="Z24" s="26"/>
      <c r="AA24" s="26"/>
      <c r="AB24" s="33"/>
      <c r="AC24" s="6"/>
      <c r="AD24" s="44">
        <v>1932</v>
      </c>
      <c r="AE24" s="45">
        <f>VLOOKUP(AD24,Flags!$A$13:$B$95,2,FALSE)</f>
        <v>5</v>
      </c>
      <c r="AF24" s="44">
        <f t="shared" si="6"/>
        <v>0</v>
      </c>
      <c r="AG24" s="44">
        <f t="shared" si="7"/>
        <v>577.67348919324638</v>
      </c>
      <c r="AH24" s="44">
        <f t="shared" si="8"/>
        <v>0</v>
      </c>
      <c r="AI24" s="44">
        <f t="shared" si="9"/>
        <v>22993.963981146695</v>
      </c>
      <c r="AJ24" s="44">
        <f t="shared" si="10"/>
        <v>468.21170793517558</v>
      </c>
      <c r="AK24" s="44">
        <f t="shared" si="1"/>
        <v>269.78905911027891</v>
      </c>
      <c r="AL24" s="44">
        <f t="shared" si="11"/>
        <v>0</v>
      </c>
      <c r="AN24" s="6">
        <v>15</v>
      </c>
      <c r="AO24">
        <f t="shared" si="26"/>
        <v>26</v>
      </c>
      <c r="AP24">
        <f>AVERAGEIF($AL$14:$AL$94,"&gt;"&amp;AN24)</f>
        <v>173.6519292182704</v>
      </c>
    </row>
    <row r="25" spans="1:42" x14ac:dyDescent="0.3">
      <c r="A25" s="32">
        <f>VLOOKUP(YEAR(C25),Flags!$A$13:$B$95,2,FALSE)</f>
        <v>3</v>
      </c>
      <c r="B25" s="24">
        <f t="shared" si="2"/>
        <v>1923</v>
      </c>
      <c r="C25" s="25">
        <v>8582</v>
      </c>
      <c r="D25" s="26">
        <f>VLOOKUP($C25,COS!$B$8:$H$991,3,FALSE)</f>
        <v>9187.771484375</v>
      </c>
      <c r="E25" s="24">
        <f>IF(D25&gt;=IF(MONTH($C25)=4,$C$3,IF(MONTH($C25)=5,$C$4,IF(MONTH($C25)=6,$C$5,IF(MONTH($C25)=7,$C$6,"ERROR")))),1,0)</f>
        <v>0</v>
      </c>
      <c r="F25" s="26">
        <f>VLOOKUP($C25,COS!$B$8:$H$991,7,FALSE)</f>
        <v>53.151496887207031</v>
      </c>
      <c r="G25" s="24">
        <f>IF(F25&lt;=IF(MONTH($C25)=4,$F$3,IF(MONTH($C25)=5,$F$4,IF(MONTH($C25)=6,$F$5,IF(MONTH($C25)=7,$F$6,"ERROR")))),1,0)</f>
        <v>1</v>
      </c>
      <c r="H25" s="26">
        <f>IF(J25=1,D25-$C$5,0)</f>
        <v>0</v>
      </c>
      <c r="I25" s="26">
        <f t="shared" si="17"/>
        <v>0</v>
      </c>
      <c r="J25" s="24">
        <f t="shared" si="18"/>
        <v>0</v>
      </c>
      <c r="K25" s="26">
        <f>VLOOKUP($C25,COS!$B$8:$H$991,2,FALSE)</f>
        <v>3273.186279296875</v>
      </c>
      <c r="L25" s="24">
        <f t="shared" si="19"/>
        <v>1</v>
      </c>
      <c r="M25" s="24">
        <f t="shared" si="20"/>
        <v>0</v>
      </c>
      <c r="N25" s="26">
        <f>VLOOKUP($C25,COS!$B$8:$H$991,5,FALSE)</f>
        <v>530.37872314453125</v>
      </c>
      <c r="O25" s="26">
        <f t="shared" si="21"/>
        <v>31.559725674715907</v>
      </c>
      <c r="P25" s="26">
        <f>VLOOKUP($C25,COS!$B$8:$H$991,6,FALSE)</f>
        <v>2621.187744140625</v>
      </c>
      <c r="Q25" s="26">
        <f t="shared" si="22"/>
        <v>155.97150213068181</v>
      </c>
      <c r="R25" s="26">
        <f>MIN(IF(MONTH($C25)=4,$S$3,IF(MONTH($C25)=5,$S$4,IF(MONTH($C25)=6,$S$5,IF(MONTH($C25)=7,$S$6,"ERROR")))),MAX(VLOOKUP($C25,COS!$B$8:$K$991,10,FALSE)-IF(MONTH($C25)=4,$Y$3,IF(MONTH($C25)=5,$Y$4,IF(MONTH($C25)=6,$Y$5,IF(MONTH($C25)=7,$Y$6,"ERROR")))),0),MAX(VLOOKUP($C25,COS!$B$8:$K$991,9,FALSE)-IF(MONTH($C25)=4,$V$3,IF(MONTH($C25)=5,$V$4,IF(MONTH($C25)=6,$V$5,IF(MONTH($C25)=7,$V$6,"ERROR"))))-VLOOKUP($C25,COS!$B$8:$K$991,6,FALSE)/2,0))</f>
        <v>1500</v>
      </c>
      <c r="S25" s="26">
        <f t="shared" si="23"/>
        <v>89.256198347107429</v>
      </c>
      <c r="T25" s="26">
        <f t="shared" si="24"/>
        <v>183.02181224980629</v>
      </c>
      <c r="U25" s="26" t="str">
        <f>IF(VLOOKUP($C25,COS!$B$8:$I$991,8,FALSE)=1,"UWFE","IBU")</f>
        <v>IBU</v>
      </c>
      <c r="V25" s="26">
        <f t="shared" ref="V25" si="28">MIN(IF(IF($AA$3=2,AND(E25=1,G25=1,L25=1,L28=1,M25=1,U25="IBU"),AND(E25=1,G25=1,L25=1,L28=1,M25=1)),T25,0),I25)</f>
        <v>0</v>
      </c>
      <c r="W25" s="26"/>
      <c r="X25" s="26"/>
      <c r="Y25" s="26"/>
      <c r="Z25" s="26"/>
      <c r="AA25" s="26"/>
      <c r="AB25" s="33"/>
      <c r="AC25" s="6"/>
      <c r="AD25" s="44">
        <v>1933</v>
      </c>
      <c r="AE25" s="45">
        <f>VLOOKUP(AD25,Flags!$A$13:$B$95,2,FALSE)</f>
        <v>5</v>
      </c>
      <c r="AF25" s="44">
        <f t="shared" si="6"/>
        <v>30.825164643595041</v>
      </c>
      <c r="AG25" s="44">
        <f t="shared" si="7"/>
        <v>581.39606733337905</v>
      </c>
      <c r="AH25" s="44">
        <f t="shared" si="8"/>
        <v>30.825164643595041</v>
      </c>
      <c r="AI25" s="44">
        <f t="shared" si="9"/>
        <v>22995.803822959708</v>
      </c>
      <c r="AJ25" s="44">
        <f t="shared" si="10"/>
        <v>364.82492195570762</v>
      </c>
      <c r="AK25" s="44">
        <f t="shared" si="1"/>
        <v>284.78267457063532</v>
      </c>
      <c r="AL25" s="44">
        <f t="shared" si="11"/>
        <v>30.825164643595041</v>
      </c>
      <c r="AN25" s="6">
        <v>30</v>
      </c>
      <c r="AO25">
        <f t="shared" si="26"/>
        <v>24</v>
      </c>
      <c r="AP25">
        <f t="shared" ref="AP25:AP33" si="29">AVERAGEIF($AL$14:$AL$94,"&gt;"&amp;AN25)</f>
        <v>186.19958585691847</v>
      </c>
    </row>
    <row r="26" spans="1:42" x14ac:dyDescent="0.3">
      <c r="A26" s="32">
        <f>VLOOKUP(YEAR(C26),Flags!$A$13:$B$95,2,FALSE)</f>
        <v>3</v>
      </c>
      <c r="B26" s="24">
        <f t="shared" si="2"/>
        <v>1923</v>
      </c>
      <c r="C26" s="25">
        <v>8613</v>
      </c>
      <c r="D26" s="26">
        <f>VLOOKUP($C26,COS!$B$8:$H$991,3,FALSE)</f>
        <v>11611.94921875</v>
      </c>
      <c r="E26" s="24">
        <f>IF(D26&gt;=IF(MONTH($C26)=4,$C$3,IF(MONTH($C26)=5,$C$4,IF(MONTH($C26)=6,$C$5,IF(MONTH($C26)=7,$C$6,"ERROR")))),1,0)</f>
        <v>0</v>
      </c>
      <c r="F26" s="26">
        <f>VLOOKUP($C26,COS!$B$8:$H$991,7,FALSE)</f>
        <v>55.377204895019531</v>
      </c>
      <c r="G26" s="24">
        <f>IF(F26&lt;=IF(MONTH($C26)=4,$F$3,IF(MONTH($C26)=5,$F$4,IF(MONTH($C26)=6,$F$5,IF(MONTH($C26)=7,$F$6,"ERROR")))),1,0)</f>
        <v>0</v>
      </c>
      <c r="H26" s="26">
        <f>IF(J26=1,D26-$C$6,0)</f>
        <v>0</v>
      </c>
      <c r="I26" s="26">
        <f t="shared" si="17"/>
        <v>0</v>
      </c>
      <c r="J26" s="24">
        <f t="shared" si="18"/>
        <v>0</v>
      </c>
      <c r="K26" s="26">
        <f>VLOOKUP($C26,COS!$B$8:$H$991,2,FALSE)</f>
        <v>2867.132080078125</v>
      </c>
      <c r="L26" s="24">
        <f t="shared" si="19"/>
        <v>1</v>
      </c>
      <c r="M26" s="24">
        <f t="shared" si="20"/>
        <v>0</v>
      </c>
      <c r="N26" s="26">
        <f>VLOOKUP($C26,COS!$B$8:$H$991,5,FALSE)</f>
        <v>613.4034423828125</v>
      </c>
      <c r="O26" s="26">
        <f t="shared" si="21"/>
        <v>37.716707531637397</v>
      </c>
      <c r="P26" s="26">
        <f>VLOOKUP($C26,COS!$B$8:$H$991,6,FALSE)</f>
        <v>2537.385498046875</v>
      </c>
      <c r="Q26" s="26">
        <f t="shared" si="22"/>
        <v>156.01775293775825</v>
      </c>
      <c r="R26" s="26">
        <f>MIN(IF(MONTH($C26)=4,$S$3,IF(MONTH($C26)=5,$S$4,IF(MONTH($C26)=6,$S$5,IF(MONTH($C26)=7,$S$6,"ERROR")))),MAX(VLOOKUP($C26,COS!$B$8:$K$991,10,FALSE)-IF(MONTH($C26)=4,$Y$3,IF(MONTH($C26)=5,$Y$4,IF(MONTH($C26)=6,$Y$5,IF(MONTH($C26)=7,$Y$6,"ERROR")))),0),MAX(VLOOKUP($C26,COS!$B$8:$K$991,9,FALSE)-IF(MONTH($C26)=4,$V$3,IF(MONTH($C26)=5,$V$4,IF(MONTH($C26)=6,$V$5,IF(MONTH($C26)=7,$V$6,"ERROR"))))-VLOOKUP($C26,COS!$B$8:$K$991,6,FALSE)/2,0))</f>
        <v>1500</v>
      </c>
      <c r="S26" s="26">
        <f t="shared" si="23"/>
        <v>92.231404958677686</v>
      </c>
      <c r="T26" s="26">
        <f t="shared" si="24"/>
        <v>189.09863519337551</v>
      </c>
      <c r="U26" s="26" t="str">
        <f>IF(VLOOKUP($C26,COS!$B$8:$I$991,8,FALSE)=1,"UWFE","IBU")</f>
        <v>IBU</v>
      </c>
      <c r="V26" s="26">
        <f t="shared" ref="V26" si="30">MIN(IF(IF($AA$3=2,AND(E26=1,G26=1,L26=1,L28=1,M26=1,U26="IBU"),AND(E26=1,G26=1,L26=1,L28=1,M26=1)),T26,0),I26)</f>
        <v>0</v>
      </c>
      <c r="W26" s="26"/>
      <c r="X26" s="26"/>
      <c r="Y26" s="26"/>
      <c r="Z26" s="26"/>
      <c r="AA26" s="26"/>
      <c r="AB26" s="33"/>
      <c r="AC26" s="6"/>
      <c r="AD26" s="44">
        <v>1934</v>
      </c>
      <c r="AE26" s="45">
        <f>VLOOKUP(AD26,Flags!$A$13:$B$95,2,FALSE)</f>
        <v>5</v>
      </c>
      <c r="AF26" s="44">
        <f t="shared" si="6"/>
        <v>61.140804816632233</v>
      </c>
      <c r="AG26" s="44">
        <f t="shared" si="7"/>
        <v>586.09518616227069</v>
      </c>
      <c r="AH26" s="44">
        <f t="shared" si="8"/>
        <v>61.140804816632233</v>
      </c>
      <c r="AI26" s="44">
        <f t="shared" si="9"/>
        <v>23163.341852886104</v>
      </c>
      <c r="AJ26" s="44">
        <f t="shared" si="10"/>
        <v>541.70656306495357</v>
      </c>
      <c r="AK26" s="44">
        <f t="shared" si="1"/>
        <v>464.95812314372415</v>
      </c>
      <c r="AL26" s="44">
        <f t="shared" si="11"/>
        <v>61.140804816632233</v>
      </c>
      <c r="AN26" s="6">
        <v>60</v>
      </c>
      <c r="AO26">
        <f t="shared" si="26"/>
        <v>20</v>
      </c>
      <c r="AP26">
        <f t="shared" si="29"/>
        <v>215.67048566001699</v>
      </c>
    </row>
    <row r="27" spans="1:42" x14ac:dyDescent="0.3">
      <c r="A27" s="32">
        <f>VLOOKUP(YEAR(C27),Flags!$A$13:$B$95,2,FALSE)</f>
        <v>3</v>
      </c>
      <c r="B27" s="24">
        <f t="shared" si="2"/>
        <v>1923</v>
      </c>
      <c r="C27" s="25">
        <v>8644</v>
      </c>
      <c r="D27" s="26"/>
      <c r="E27" s="24"/>
      <c r="F27" s="26"/>
      <c r="G27" s="24"/>
      <c r="H27" s="24"/>
      <c r="I27" s="26"/>
      <c r="J27" s="24"/>
      <c r="K27" s="26"/>
      <c r="L27" s="24"/>
      <c r="M27" s="24"/>
      <c r="N27" s="26"/>
      <c r="O27" s="26"/>
      <c r="P27" s="26"/>
      <c r="Q27" s="26"/>
      <c r="R27" s="26"/>
      <c r="S27" s="26"/>
      <c r="T27" s="26"/>
      <c r="U27" s="26"/>
      <c r="V27" s="26"/>
      <c r="W27" s="26">
        <f>MAX($C$7-VLOOKUP($C27,COS!$B$8:$H$991,3,FALSE),0)</f>
        <v>90980.109375</v>
      </c>
      <c r="X27" s="26">
        <f t="shared" ref="X27:X90" si="31">W27*DAY($C27)*86400/43560/1000</f>
        <v>5594.1488739669421</v>
      </c>
      <c r="Y27" s="26">
        <f>VLOOKUP($C27,COS!$B$8:$H$991,4,FALSE)</f>
        <v>223.26168823242188</v>
      </c>
      <c r="Z27" s="26">
        <f t="shared" ref="Z27:Z90" si="32">Y27*DAY($C27)*86400/43560/1000</f>
        <v>13.727826119415031</v>
      </c>
      <c r="AA27" s="26">
        <f t="shared" ref="AA27:AA31" si="33">MIN(W27,Y27)</f>
        <v>223.26168823242188</v>
      </c>
      <c r="AB27" s="33">
        <f t="shared" ref="AB27:AB85" si="34">AA27*DAY($C27)*86400/43560/1000*IF(MONTH($C27)=8,$P$3,IF(MONTH($C27)=9,$P$4,IF(MONTH($C27)=10,$P$5,IF(MONTH($C27)=11,$P$6,IF(MONTH($C27)=12,$P$7,NA())))))</f>
        <v>13.727826119415031</v>
      </c>
      <c r="AC27" s="6"/>
      <c r="AD27" s="43">
        <v>1935</v>
      </c>
      <c r="AE27" s="1">
        <f>VLOOKUP(AD27,Flags!$A$13:$B$95,2,FALSE)</f>
        <v>4</v>
      </c>
      <c r="AF27" s="43">
        <f t="shared" si="6"/>
        <v>0</v>
      </c>
      <c r="AG27" s="43">
        <f t="shared" si="7"/>
        <v>621.9039977995817</v>
      </c>
      <c r="AH27" s="43">
        <f t="shared" si="8"/>
        <v>0</v>
      </c>
      <c r="AI27" s="43">
        <f t="shared" si="9"/>
        <v>23012.192735989156</v>
      </c>
      <c r="AJ27" s="43">
        <f t="shared" si="10"/>
        <v>121.23425982388584</v>
      </c>
      <c r="AK27" s="43">
        <f t="shared" si="1"/>
        <v>106.91905838391013</v>
      </c>
      <c r="AL27" s="43">
        <f t="shared" si="11"/>
        <v>0</v>
      </c>
      <c r="AN27" s="6">
        <v>90</v>
      </c>
      <c r="AO27">
        <f t="shared" si="26"/>
        <v>19</v>
      </c>
      <c r="AP27">
        <f t="shared" si="29"/>
        <v>223.80362675703725</v>
      </c>
    </row>
    <row r="28" spans="1:42" x14ac:dyDescent="0.3">
      <c r="A28" s="32">
        <f>VLOOKUP(YEAR(C28),Flags!$A$13:$B$95,2,FALSE)</f>
        <v>3</v>
      </c>
      <c r="B28" s="24">
        <f t="shared" si="2"/>
        <v>1923</v>
      </c>
      <c r="C28" s="25">
        <v>8674</v>
      </c>
      <c r="D28" s="26"/>
      <c r="E28" s="24"/>
      <c r="F28" s="26"/>
      <c r="G28" s="24"/>
      <c r="H28" s="24"/>
      <c r="I28" s="26"/>
      <c r="J28" s="24"/>
      <c r="K28" s="26">
        <f>VLOOKUP($C28,COS!$B$8:$H$991,2,FALSE)</f>
        <v>2596.2392578125</v>
      </c>
      <c r="L28" s="24">
        <f t="shared" ref="L28" si="35">IF(AND(K28&gt;$I$7,K28&lt;$I$8),1,0)</f>
        <v>1</v>
      </c>
      <c r="M28" s="24"/>
      <c r="N28" s="26"/>
      <c r="O28" s="26"/>
      <c r="P28" s="26"/>
      <c r="Q28" s="26"/>
      <c r="R28" s="26"/>
      <c r="S28" s="26"/>
      <c r="T28" s="26"/>
      <c r="U28" s="26"/>
      <c r="V28" s="26"/>
      <c r="W28" s="26">
        <f>MAX($C$8-VLOOKUP($C28,COS!$B$8:$H$991,3,FALSE),0)</f>
        <v>95583.35595703125</v>
      </c>
      <c r="X28" s="26">
        <f t="shared" si="31"/>
        <v>5687.6046519886368</v>
      </c>
      <c r="Y28" s="26">
        <f>VLOOKUP($C28,COS!$B$8:$H$991,4,FALSE)</f>
        <v>0</v>
      </c>
      <c r="Z28" s="26">
        <f t="shared" si="32"/>
        <v>0</v>
      </c>
      <c r="AA28" s="26">
        <f t="shared" si="33"/>
        <v>0</v>
      </c>
      <c r="AB28" s="33">
        <f t="shared" si="34"/>
        <v>0</v>
      </c>
      <c r="AC28" s="6"/>
      <c r="AD28" s="43">
        <v>1936</v>
      </c>
      <c r="AE28" s="1">
        <f>VLOOKUP(AD28,Flags!$A$13:$B$95,2,FALSE)</f>
        <v>3</v>
      </c>
      <c r="AF28" s="43">
        <f t="shared" si="6"/>
        <v>0</v>
      </c>
      <c r="AG28" s="43">
        <f t="shared" si="7"/>
        <v>640.065817921536</v>
      </c>
      <c r="AH28" s="43">
        <f t="shared" si="8"/>
        <v>0</v>
      </c>
      <c r="AI28" s="43">
        <f t="shared" si="9"/>
        <v>22674.993048811983</v>
      </c>
      <c r="AJ28" s="43">
        <f t="shared" si="10"/>
        <v>178.08673882602659</v>
      </c>
      <c r="AK28" s="43">
        <f t="shared" si="1"/>
        <v>107.09379299699768</v>
      </c>
      <c r="AL28" s="43">
        <f t="shared" si="11"/>
        <v>0</v>
      </c>
      <c r="AN28" s="6">
        <v>100</v>
      </c>
      <c r="AO28">
        <f t="shared" si="26"/>
        <v>19</v>
      </c>
      <c r="AP28">
        <f t="shared" si="29"/>
        <v>223.80362675703725</v>
      </c>
    </row>
    <row r="29" spans="1:42" x14ac:dyDescent="0.3">
      <c r="A29" s="32">
        <f>VLOOKUP(YEAR(C29),Flags!$A$13:$B$95,2,FALSE)</f>
        <v>3</v>
      </c>
      <c r="B29" s="24">
        <f t="shared" si="2"/>
        <v>1923</v>
      </c>
      <c r="C29" s="25">
        <v>8705</v>
      </c>
      <c r="D29" s="26"/>
      <c r="E29" s="24"/>
      <c r="F29" s="26"/>
      <c r="G29" s="26"/>
      <c r="H29" s="26"/>
      <c r="I29" s="26"/>
      <c r="J29" s="26"/>
      <c r="K29" s="26"/>
      <c r="L29" s="24"/>
      <c r="M29" s="24"/>
      <c r="N29" s="26"/>
      <c r="O29" s="26"/>
      <c r="P29" s="26"/>
      <c r="Q29" s="26"/>
      <c r="R29" s="26"/>
      <c r="S29" s="26"/>
      <c r="T29" s="26"/>
      <c r="U29" s="26"/>
      <c r="V29" s="26"/>
      <c r="W29" s="26">
        <f>MAX($C$9-VLOOKUP($C29,COS!$B$8:$H$991,3,FALSE),0)</f>
        <v>95392.662109375</v>
      </c>
      <c r="X29" s="26">
        <f t="shared" si="31"/>
        <v>5865.4661660640504</v>
      </c>
      <c r="Y29" s="26">
        <f>VLOOKUP($C29,COS!$B$8:$H$991,4,FALSE)</f>
        <v>906.51263427734375</v>
      </c>
      <c r="Z29" s="26">
        <f t="shared" si="32"/>
        <v>55.739289248127584</v>
      </c>
      <c r="AA29" s="26">
        <f t="shared" si="33"/>
        <v>906.51263427734375</v>
      </c>
      <c r="AB29" s="33">
        <f t="shared" si="34"/>
        <v>55.739289248127584</v>
      </c>
      <c r="AC29" s="6"/>
      <c r="AD29" s="43">
        <v>1937</v>
      </c>
      <c r="AE29" s="1">
        <f>VLOOKUP(AD29,Flags!$A$13:$B$95,2,FALSE)</f>
        <v>4</v>
      </c>
      <c r="AF29" s="43">
        <f t="shared" si="6"/>
        <v>0</v>
      </c>
      <c r="AG29" s="43">
        <f t="shared" si="7"/>
        <v>644.85532843345459</v>
      </c>
      <c r="AH29" s="43">
        <f t="shared" si="8"/>
        <v>0</v>
      </c>
      <c r="AI29" s="43">
        <f t="shared" si="9"/>
        <v>22514.116536996382</v>
      </c>
      <c r="AJ29" s="43">
        <f t="shared" si="10"/>
        <v>104.74674873288998</v>
      </c>
      <c r="AK29" s="43">
        <f t="shared" si="1"/>
        <v>104.74674873288998</v>
      </c>
      <c r="AL29" s="43">
        <f t="shared" si="11"/>
        <v>0</v>
      </c>
      <c r="AN29" s="6">
        <v>120</v>
      </c>
      <c r="AO29">
        <f t="shared" si="26"/>
        <v>18</v>
      </c>
      <c r="AP29">
        <f t="shared" si="29"/>
        <v>230.09074182179347</v>
      </c>
    </row>
    <row r="30" spans="1:42" x14ac:dyDescent="0.3">
      <c r="A30" s="32">
        <f>VLOOKUP(YEAR(C30),Flags!$A$13:$B$95,2,FALSE)</f>
        <v>3</v>
      </c>
      <c r="B30" s="24">
        <f t="shared" si="2"/>
        <v>1923</v>
      </c>
      <c r="C30" s="25">
        <v>8735</v>
      </c>
      <c r="D30" s="26"/>
      <c r="E30" s="24"/>
      <c r="F30" s="26"/>
      <c r="G30" s="26"/>
      <c r="H30" s="26"/>
      <c r="I30" s="26"/>
      <c r="J30" s="26"/>
      <c r="K30" s="26"/>
      <c r="L30" s="24"/>
      <c r="M30" s="24"/>
      <c r="N30" s="26"/>
      <c r="O30" s="26"/>
      <c r="P30" s="26"/>
      <c r="Q30" s="26"/>
      <c r="R30" s="26"/>
      <c r="S30" s="26"/>
      <c r="T30" s="26"/>
      <c r="U30" s="26"/>
      <c r="V30" s="26"/>
      <c r="W30" s="26">
        <f>MAX($C$10-VLOOKUP($C30,COS!$B$8:$H$991,3,FALSE),0)</f>
        <v>94286.98779296875</v>
      </c>
      <c r="X30" s="26">
        <f t="shared" si="31"/>
        <v>5610.4653893336772</v>
      </c>
      <c r="Y30" s="26">
        <f>VLOOKUP($C30,COS!$B$8:$H$991,4,FALSE)</f>
        <v>1181.566162109375</v>
      </c>
      <c r="Z30" s="26">
        <f t="shared" si="32"/>
        <v>70.308069150309919</v>
      </c>
      <c r="AA30" s="26">
        <f t="shared" si="33"/>
        <v>1181.566162109375</v>
      </c>
      <c r="AB30" s="33">
        <f>AA30*DAY($C30)*86400/43560/1000*IF(MONTH($C30)=8,$P$3,IF(MONTH($C30)=9,$P$4,IF(MONTH($C30)=10,$P$5,IF(MONTH($C30)=11,$P$6,IF(MONTH($C30)=12,$P$7,NA())))))</f>
        <v>35.154034575154959</v>
      </c>
      <c r="AC30" s="6"/>
      <c r="AD30" s="43">
        <v>1938</v>
      </c>
      <c r="AE30" s="1">
        <f>VLOOKUP(AD30,Flags!$A$13:$B$95,2,FALSE)</f>
        <v>1</v>
      </c>
      <c r="AF30" s="43">
        <f t="shared" si="6"/>
        <v>467.85146435950412</v>
      </c>
      <c r="AG30" s="43">
        <f t="shared" si="7"/>
        <v>685.29858967426389</v>
      </c>
      <c r="AH30" s="43">
        <f t="shared" si="8"/>
        <v>0</v>
      </c>
      <c r="AI30" s="43">
        <f t="shared" si="9"/>
        <v>21785.538172778928</v>
      </c>
      <c r="AJ30" s="43">
        <f t="shared" si="10"/>
        <v>2.9732576581466295</v>
      </c>
      <c r="AK30" s="43">
        <f t="shared" si="1"/>
        <v>2.9732576581466295</v>
      </c>
      <c r="AL30" s="43">
        <f t="shared" si="11"/>
        <v>0</v>
      </c>
      <c r="AN30" s="6">
        <v>150</v>
      </c>
      <c r="AO30">
        <f t="shared" si="26"/>
        <v>16</v>
      </c>
      <c r="AP30">
        <f t="shared" si="29"/>
        <v>241.70699030316567</v>
      </c>
    </row>
    <row r="31" spans="1:42" x14ac:dyDescent="0.3">
      <c r="A31" s="34">
        <f>VLOOKUP(YEAR(C31),Flags!$A$13:$B$95,2,FALSE)</f>
        <v>3</v>
      </c>
      <c r="B31" s="35">
        <f t="shared" si="2"/>
        <v>1923</v>
      </c>
      <c r="C31" s="36">
        <v>8766</v>
      </c>
      <c r="D31" s="37"/>
      <c r="E31" s="35"/>
      <c r="F31" s="37"/>
      <c r="G31" s="37"/>
      <c r="H31" s="37"/>
      <c r="I31" s="37"/>
      <c r="J31" s="37"/>
      <c r="K31" s="37"/>
      <c r="L31" s="35"/>
      <c r="M31" s="35"/>
      <c r="N31" s="37"/>
      <c r="O31" s="37"/>
      <c r="P31" s="37"/>
      <c r="Q31" s="37"/>
      <c r="R31" s="37"/>
      <c r="S31" s="37"/>
      <c r="T31" s="37"/>
      <c r="U31" s="37"/>
      <c r="V31" s="37"/>
      <c r="W31" s="37">
        <f>MAX($C$11-VLOOKUP($C31,COS!$B$8:$H$991,3,FALSE),0)</f>
        <v>0</v>
      </c>
      <c r="X31" s="37">
        <f t="shared" si="31"/>
        <v>0</v>
      </c>
      <c r="Y31" s="37">
        <f>VLOOKUP($C31,COS!$B$8:$H$991,4,FALSE)</f>
        <v>1277.1646728515625</v>
      </c>
      <c r="Z31" s="37">
        <f t="shared" si="32"/>
        <v>78.529794760459708</v>
      </c>
      <c r="AA31" s="37">
        <f t="shared" si="33"/>
        <v>0</v>
      </c>
      <c r="AB31" s="38">
        <f t="shared" si="34"/>
        <v>0</v>
      </c>
      <c r="AC31" s="6"/>
      <c r="AD31" s="43">
        <v>1939</v>
      </c>
      <c r="AE31" s="1">
        <f>VLOOKUP(AD31,Flags!$A$13:$B$95,2,FALSE)</f>
        <v>3</v>
      </c>
      <c r="AF31" s="43">
        <f t="shared" si="6"/>
        <v>397.28989733987601</v>
      </c>
      <c r="AG31" s="43">
        <f t="shared" si="7"/>
        <v>676.80928974246194</v>
      </c>
      <c r="AH31" s="43">
        <f t="shared" si="8"/>
        <v>0</v>
      </c>
      <c r="AI31" s="43">
        <f t="shared" si="9"/>
        <v>22291.087903861051</v>
      </c>
      <c r="AJ31" s="43">
        <f t="shared" si="10"/>
        <v>623.40796705513947</v>
      </c>
      <c r="AK31" s="43">
        <f t="shared" si="1"/>
        <v>458.50778029764984</v>
      </c>
      <c r="AL31" s="43">
        <f t="shared" si="11"/>
        <v>0</v>
      </c>
      <c r="AN31" s="6">
        <v>180</v>
      </c>
      <c r="AO31">
        <f t="shared" si="26"/>
        <v>12</v>
      </c>
      <c r="AP31">
        <f t="shared" si="29"/>
        <v>265.54630064530812</v>
      </c>
    </row>
    <row r="32" spans="1:42" x14ac:dyDescent="0.3">
      <c r="A32" s="27">
        <f>VLOOKUP(YEAR(C32),Flags!$A$13:$B$95,2,FALSE)</f>
        <v>5</v>
      </c>
      <c r="B32" s="28">
        <f t="shared" si="2"/>
        <v>1924</v>
      </c>
      <c r="C32" s="29">
        <v>8887</v>
      </c>
      <c r="D32" s="30">
        <f>VLOOKUP($C32,COS!$B$8:$H$991,3,FALSE)</f>
        <v>5624.3779296875</v>
      </c>
      <c r="E32" s="28">
        <f>IF(D32&gt;=IF(MONTH($C32)=4,$C$3,IF(MONTH($C32)=5,$C$4,IF(MONTH($C32)=6,$C$5,IF(MONTH($C32)=7,$C$6,"ERROR")))),1,0)</f>
        <v>0</v>
      </c>
      <c r="F32" s="30">
        <f>VLOOKUP($C32,COS!$B$8:$H$991,7,FALSE)</f>
        <v>51.900558471679688</v>
      </c>
      <c r="G32" s="28">
        <f>IF(F32&lt;=IF(MONTH($C32)=4,$F$3,IF(MONTH($C32)=5,$F$4,IF(MONTH($C32)=6,$F$5,IF(MONTH($C32)=7,$F$6,"ERROR")))),1,0)</f>
        <v>1</v>
      </c>
      <c r="H32" s="30">
        <f>IF(J32=1,D32-$C$3,0)</f>
        <v>0</v>
      </c>
      <c r="I32" s="30">
        <f t="shared" si="17"/>
        <v>0</v>
      </c>
      <c r="J32" s="28">
        <f t="shared" ref="J32:J35" si="36">IF(AND(E32=1,G32=1),1,0)</f>
        <v>0</v>
      </c>
      <c r="K32" s="30">
        <f>VLOOKUP($C32,COS!$B$8:$H$991,2,FALSE)</f>
        <v>2500</v>
      </c>
      <c r="L32" s="28">
        <f t="shared" ref="L32" si="37">IF(K32&lt;=IF(MONTH($C32)=4,$I$3,IF(MONTH($C32)=5,$I$4,IF(MONTH($C32)=6,$I$5,IF(MONTH($C32)=7,$I$6,"ERROR")))),1,0)</f>
        <v>1</v>
      </c>
      <c r="M32" s="28">
        <f t="shared" ref="M32" si="38">VLOOKUP($A32,$L$3:$M$7,2,FALSE)</f>
        <v>1</v>
      </c>
      <c r="N32" s="30">
        <f>VLOOKUP($C32,COS!$B$8:$H$991,5,FALSE)</f>
        <v>202.00408935546875</v>
      </c>
      <c r="O32" s="30">
        <f t="shared" ref="O32:O35" si="39">N32*DAY($C32)*86400/43560/1000</f>
        <v>12.020078044292354</v>
      </c>
      <c r="P32" s="30">
        <f>VLOOKUP($C32,COS!$B$8:$H$991,6,FALSE)</f>
        <v>537.10101318359375</v>
      </c>
      <c r="Q32" s="30">
        <f t="shared" ref="Q32:Q35" si="40">P32*DAY($C32)*86400/43560/1000</f>
        <v>31.959729710098141</v>
      </c>
      <c r="R32" s="30">
        <f>MIN(IF(MONTH($C32)=4,$S$3,IF(MONTH($C32)=5,$S$4,IF(MONTH($C32)=6,$S$5,IF(MONTH($C32)=7,$S$6,"ERROR")))),MAX(VLOOKUP($C32,COS!$B$8:$K$991,10,FALSE)-IF(MONTH($C32)=4,$Y$3,IF(MONTH($C32)=5,$Y$4,IF(MONTH($C32)=6,$Y$5,IF(MONTH($C32)=7,$Y$6,"ERROR")))),0),MAX(VLOOKUP($C32,COS!$B$8:$K$991,9,FALSE)-IF(MONTH($C32)=4,$V$3,IF(MONTH($C32)=5,$V$4,IF(MONTH($C32)=6,$V$5,IF(MONTH($C32)=7,$V$6,"ERROR"))))-VLOOKUP($C32,COS!$B$8:$K$991,6,FALSE)/2,0))</f>
        <v>1411.9501953125</v>
      </c>
      <c r="S32" s="30">
        <f t="shared" ref="S32:S35" si="41">R32*DAY($C32)*86400/43560/1000</f>
        <v>84.016871126033067</v>
      </c>
      <c r="T32" s="30">
        <f t="shared" ref="T32:T35" si="42">(O32+Q32)/2+S32</f>
        <v>106.00677500322831</v>
      </c>
      <c r="U32" s="30" t="str">
        <f>IF(VLOOKUP($C32,COS!$B$8:$I$991,8,FALSE)=1,"UWFE","IBU")</f>
        <v>IBU</v>
      </c>
      <c r="V32" s="30">
        <f t="shared" ref="V32" si="43">MIN(IF(IF($AA$3=2,AND(E32=1,G32=1,L32=1,L37=1,M32=1,U32="IBU"),AND(E32=1,G32=1,L32=1,L37=1,M32=1)),T32,0),I32)</f>
        <v>0</v>
      </c>
      <c r="W32" s="30"/>
      <c r="X32" s="30"/>
      <c r="Y32" s="30"/>
      <c r="Z32" s="30"/>
      <c r="AA32" s="30"/>
      <c r="AB32" s="31"/>
      <c r="AC32" s="6"/>
      <c r="AD32" s="43">
        <v>1940</v>
      </c>
      <c r="AE32" s="1">
        <f>VLOOKUP(AD32,Flags!$A$13:$B$95,2,FALSE)</f>
        <v>2</v>
      </c>
      <c r="AF32" s="43">
        <f t="shared" si="6"/>
        <v>229.39817858987604</v>
      </c>
      <c r="AG32" s="43">
        <f t="shared" si="7"/>
        <v>663.77439249338204</v>
      </c>
      <c r="AH32" s="43">
        <f t="shared" si="8"/>
        <v>0</v>
      </c>
      <c r="AI32" s="43">
        <f t="shared" si="9"/>
        <v>22070.347577479341</v>
      </c>
      <c r="AJ32" s="43">
        <f t="shared" si="10"/>
        <v>129.20468558319345</v>
      </c>
      <c r="AK32" s="43">
        <f t="shared" si="1"/>
        <v>96.313467785543651</v>
      </c>
      <c r="AL32" s="43">
        <f t="shared" si="11"/>
        <v>0</v>
      </c>
      <c r="AN32" s="6">
        <v>210</v>
      </c>
      <c r="AO32">
        <f t="shared" si="26"/>
        <v>8</v>
      </c>
      <c r="AP32">
        <f t="shared" si="29"/>
        <v>301.19443014538979</v>
      </c>
    </row>
    <row r="33" spans="1:42" x14ac:dyDescent="0.3">
      <c r="A33" s="32">
        <f>VLOOKUP(YEAR(C33),Flags!$A$13:$B$95,2,FALSE)</f>
        <v>5</v>
      </c>
      <c r="B33" s="24">
        <f t="shared" si="2"/>
        <v>1924</v>
      </c>
      <c r="C33" s="25">
        <v>8918</v>
      </c>
      <c r="D33" s="26">
        <f>VLOOKUP($C33,COS!$B$8:$H$991,3,FALSE)</f>
        <v>8620.7529296875</v>
      </c>
      <c r="E33" s="24">
        <f>IF(D33&gt;=IF(MONTH($C33)=4,$C$3,IF(MONTH($C33)=5,$C$4,IF(MONTH($C33)=6,$C$5,IF(MONTH($C33)=7,$C$6,"ERROR")))),1,0)</f>
        <v>1</v>
      </c>
      <c r="F33" s="26">
        <f>VLOOKUP($C33,COS!$B$8:$H$991,7,FALSE)</f>
        <v>55.089752197265625</v>
      </c>
      <c r="G33" s="24">
        <f>IF(F33&lt;=IF(MONTH($C33)=4,$F$3,IF(MONTH($C33)=5,$F$4,IF(MONTH($C33)=6,$F$5,IF(MONTH($C33)=7,$F$6,"ERROR")))),1,0)</f>
        <v>1</v>
      </c>
      <c r="H33" s="26">
        <f>IF(J33=1,D33-$C$4,0)</f>
        <v>2620.7529296875</v>
      </c>
      <c r="I33" s="26">
        <f t="shared" si="17"/>
        <v>161.14381650309917</v>
      </c>
      <c r="J33" s="24">
        <f t="shared" si="36"/>
        <v>1</v>
      </c>
      <c r="K33" s="26">
        <f>VLOOKUP($C33,COS!$B$8:$H$991,2,FALSE)</f>
        <v>2135.375732421875</v>
      </c>
      <c r="L33" s="24">
        <f t="shared" si="19"/>
        <v>1</v>
      </c>
      <c r="M33" s="24">
        <f t="shared" si="20"/>
        <v>1</v>
      </c>
      <c r="N33" s="26">
        <f>VLOOKUP($C33,COS!$B$8:$H$991,5,FALSE)</f>
        <v>220.09066772460938</v>
      </c>
      <c r="O33" s="26">
        <f t="shared" si="39"/>
        <v>13.532847668356148</v>
      </c>
      <c r="P33" s="26">
        <f>VLOOKUP($C33,COS!$B$8:$H$991,6,FALSE)</f>
        <v>2324.4033203125</v>
      </c>
      <c r="Q33" s="26">
        <f t="shared" si="40"/>
        <v>142.92198928202478</v>
      </c>
      <c r="R33" s="26">
        <f>MIN(IF(MONTH($C33)=4,$S$3,IF(MONTH($C33)=5,$S$4,IF(MONTH($C33)=6,$S$5,IF(MONTH($C33)=7,$S$6,"ERROR")))),MAX(VLOOKUP($C33,COS!$B$8:$K$991,10,FALSE)-IF(MONTH($C33)=4,$Y$3,IF(MONTH($C33)=5,$Y$4,IF(MONTH($C33)=6,$Y$5,IF(MONTH($C33)=7,$Y$6,"ERROR")))),0),MAX(VLOOKUP($C33,COS!$B$8:$K$991,9,FALSE)-IF(MONTH($C33)=4,$V$3,IF(MONTH($C33)=5,$V$4,IF(MONTH($C33)=6,$V$5,IF(MONTH($C33)=7,$V$6,"ERROR"))))-VLOOKUP($C33,COS!$B$8:$K$991,6,FALSE)/2,0))</f>
        <v>1500</v>
      </c>
      <c r="S33" s="26">
        <f t="shared" si="41"/>
        <v>92.231404958677686</v>
      </c>
      <c r="T33" s="26">
        <f t="shared" si="42"/>
        <v>170.45882343386813</v>
      </c>
      <c r="U33" s="26" t="str">
        <f>IF(VLOOKUP($C33,COS!$B$8:$I$991,8,FALSE)=1,"UWFE","IBU")</f>
        <v>IBU</v>
      </c>
      <c r="V33" s="26">
        <f t="shared" ref="V33" si="44">MIN(IF(IF($AA$3=2,AND(E33=1,G33=1,L33=1,L37=1,M33=1,U33="IBU"),AND(E33=1,G33=1,L33=1,L37=1,M33=1)),T33,0),I33)</f>
        <v>161.14381650309917</v>
      </c>
      <c r="W33" s="26"/>
      <c r="X33" s="26"/>
      <c r="Y33" s="26"/>
      <c r="Z33" s="26"/>
      <c r="AA33" s="26"/>
      <c r="AB33" s="33"/>
      <c r="AC33" s="6"/>
      <c r="AD33" s="43">
        <v>1941</v>
      </c>
      <c r="AE33" s="1">
        <f>VLOOKUP(AD33,Flags!$A$13:$B$95,2,FALSE)</f>
        <v>1</v>
      </c>
      <c r="AF33" s="43">
        <f t="shared" si="6"/>
        <v>840.21232050619835</v>
      </c>
      <c r="AG33" s="43">
        <f t="shared" si="7"/>
        <v>667.11986649820619</v>
      </c>
      <c r="AH33" s="43">
        <f t="shared" si="8"/>
        <v>0</v>
      </c>
      <c r="AI33" s="43">
        <f t="shared" si="9"/>
        <v>21450.978354855375</v>
      </c>
      <c r="AJ33" s="43">
        <f t="shared" si="10"/>
        <v>62.00514242377163</v>
      </c>
      <c r="AK33" s="43">
        <f t="shared" si="1"/>
        <v>48.449239264874421</v>
      </c>
      <c r="AL33" s="43">
        <f t="shared" si="11"/>
        <v>0</v>
      </c>
      <c r="AN33" s="6">
        <v>240</v>
      </c>
      <c r="AO33">
        <f t="shared" si="26"/>
        <v>8</v>
      </c>
      <c r="AP33">
        <f t="shared" si="29"/>
        <v>301.19443014538979</v>
      </c>
    </row>
    <row r="34" spans="1:42" x14ac:dyDescent="0.3">
      <c r="A34" s="32">
        <f>VLOOKUP(YEAR(C34),Flags!$A$13:$B$95,2,FALSE)</f>
        <v>5</v>
      </c>
      <c r="B34" s="24">
        <f t="shared" si="2"/>
        <v>1924</v>
      </c>
      <c r="C34" s="25">
        <v>8948</v>
      </c>
      <c r="D34" s="26">
        <f>VLOOKUP($C34,COS!$B$8:$H$991,3,FALSE)</f>
        <v>8906.197265625</v>
      </c>
      <c r="E34" s="24">
        <f>IF(D34&gt;=IF(MONTH($C34)=4,$C$3,IF(MONTH($C34)=5,$C$4,IF(MONTH($C34)=6,$C$5,IF(MONTH($C34)=7,$C$6,"ERROR")))),1,0)</f>
        <v>0</v>
      </c>
      <c r="F34" s="26">
        <f>VLOOKUP($C34,COS!$B$8:$H$991,7,FALSE)</f>
        <v>56.186325073242188</v>
      </c>
      <c r="G34" s="24">
        <f>IF(F34&lt;=IF(MONTH($C34)=4,$F$3,IF(MONTH($C34)=5,$F$4,IF(MONTH($C34)=6,$F$5,IF(MONTH($C34)=7,$F$6,"ERROR")))),1,0)</f>
        <v>0</v>
      </c>
      <c r="H34" s="26">
        <f>IF(J34=1,D34-$C$5,0)</f>
        <v>0</v>
      </c>
      <c r="I34" s="26">
        <f t="shared" si="17"/>
        <v>0</v>
      </c>
      <c r="J34" s="24">
        <f t="shared" si="36"/>
        <v>0</v>
      </c>
      <c r="K34" s="26">
        <f>VLOOKUP($C34,COS!$B$8:$H$991,2,FALSE)</f>
        <v>1764.862060546875</v>
      </c>
      <c r="L34" s="24">
        <f t="shared" si="19"/>
        <v>1</v>
      </c>
      <c r="M34" s="24">
        <f t="shared" si="20"/>
        <v>1</v>
      </c>
      <c r="N34" s="26">
        <f>VLOOKUP($C34,COS!$B$8:$H$991,5,FALSE)</f>
        <v>251.78248596191406</v>
      </c>
      <c r="O34" s="26">
        <f t="shared" si="39"/>
        <v>14.982098338229596</v>
      </c>
      <c r="P34" s="26">
        <f>VLOOKUP($C34,COS!$B$8:$H$991,6,FALSE)</f>
        <v>2484.036376953125</v>
      </c>
      <c r="Q34" s="26">
        <f t="shared" si="40"/>
        <v>147.81042904183886</v>
      </c>
      <c r="R34" s="26">
        <f>MIN(IF(MONTH($C34)=4,$S$3,IF(MONTH($C34)=5,$S$4,IF(MONTH($C34)=6,$S$5,IF(MONTH($C34)=7,$S$6,"ERROR")))),MAX(VLOOKUP($C34,COS!$B$8:$K$991,10,FALSE)-IF(MONTH($C34)=4,$Y$3,IF(MONTH($C34)=5,$Y$4,IF(MONTH($C34)=6,$Y$5,IF(MONTH($C34)=7,$Y$6,"ERROR")))),0),MAX(VLOOKUP($C34,COS!$B$8:$K$991,9,FALSE)-IF(MONTH($C34)=4,$V$3,IF(MONTH($C34)=5,$V$4,IF(MONTH($C34)=6,$V$5,IF(MONTH($C34)=7,$V$6,"ERROR"))))-VLOOKUP($C34,COS!$B$8:$K$991,6,FALSE)/2,0))</f>
        <v>1500</v>
      </c>
      <c r="S34" s="26">
        <f t="shared" si="41"/>
        <v>89.256198347107429</v>
      </c>
      <c r="T34" s="26">
        <f t="shared" si="42"/>
        <v>170.65246203714167</v>
      </c>
      <c r="U34" s="26" t="str">
        <f>IF(VLOOKUP($C34,COS!$B$8:$I$991,8,FALSE)=1,"UWFE","IBU")</f>
        <v>IBU</v>
      </c>
      <c r="V34" s="26">
        <f t="shared" ref="V34" si="45">MIN(IF(IF($AA$3=2,AND(E34=1,G34=1,L34=1,L37=1,M34=1,U34="IBU"),AND(E34=1,G34=1,L34=1,L37=1,M34=1)),T34,0),I34)</f>
        <v>0</v>
      </c>
      <c r="W34" s="26"/>
      <c r="X34" s="26"/>
      <c r="Y34" s="26"/>
      <c r="Z34" s="26"/>
      <c r="AA34" s="26"/>
      <c r="AB34" s="33"/>
      <c r="AC34" s="6"/>
      <c r="AD34" s="43">
        <v>1942</v>
      </c>
      <c r="AE34" s="1">
        <f>VLOOKUP(AD34,Flags!$A$13:$B$95,2,FALSE)</f>
        <v>1</v>
      </c>
      <c r="AF34" s="43">
        <f t="shared" si="6"/>
        <v>277.68167936466938</v>
      </c>
      <c r="AG34" s="43">
        <f t="shared" si="7"/>
        <v>681.46334333435561</v>
      </c>
      <c r="AH34" s="43">
        <f t="shared" si="8"/>
        <v>0</v>
      </c>
      <c r="AI34" s="43">
        <f t="shared" si="9"/>
        <v>21514.893252195248</v>
      </c>
      <c r="AJ34" s="43">
        <f t="shared" si="10"/>
        <v>142.97065114927688</v>
      </c>
      <c r="AK34" s="43">
        <f t="shared" si="1"/>
        <v>106.14138857502583</v>
      </c>
      <c r="AL34" s="43">
        <f t="shared" si="11"/>
        <v>0</v>
      </c>
      <c r="AN34" s="6"/>
    </row>
    <row r="35" spans="1:42" x14ac:dyDescent="0.3">
      <c r="A35" s="32">
        <f>VLOOKUP(YEAR(C35),Flags!$A$13:$B$95,2,FALSE)</f>
        <v>5</v>
      </c>
      <c r="B35" s="24">
        <f t="shared" si="2"/>
        <v>1924</v>
      </c>
      <c r="C35" s="25">
        <v>8979</v>
      </c>
      <c r="D35" s="26">
        <f>VLOOKUP($C35,COS!$B$8:$H$991,3,FALSE)</f>
        <v>9371.8037109375</v>
      </c>
      <c r="E35" s="24">
        <f>IF(D35&gt;=IF(MONTH($C35)=4,$C$3,IF(MONTH($C35)=5,$C$4,IF(MONTH($C35)=6,$C$5,IF(MONTH($C35)=7,$C$6,"ERROR")))),1,0)</f>
        <v>0</v>
      </c>
      <c r="F35" s="26">
        <f>VLOOKUP($C35,COS!$B$8:$H$991,7,FALSE)</f>
        <v>55.104015350341797</v>
      </c>
      <c r="G35" s="24">
        <f>IF(F35&lt;=IF(MONTH($C35)=4,$F$3,IF(MONTH($C35)=5,$F$4,IF(MONTH($C35)=6,$F$5,IF(MONTH($C35)=7,$F$6,"ERROR")))),1,0)</f>
        <v>0</v>
      </c>
      <c r="H35" s="26">
        <f>IF(J35=1,D35-$C$6,0)</f>
        <v>0</v>
      </c>
      <c r="I35" s="26">
        <f t="shared" si="17"/>
        <v>0</v>
      </c>
      <c r="J35" s="24">
        <f t="shared" si="36"/>
        <v>0</v>
      </c>
      <c r="K35" s="26">
        <f>VLOOKUP($C35,COS!$B$8:$H$991,2,FALSE)</f>
        <v>1413.5540771484375</v>
      </c>
      <c r="L35" s="24">
        <f t="shared" si="19"/>
        <v>1</v>
      </c>
      <c r="M35" s="24">
        <f t="shared" si="20"/>
        <v>1</v>
      </c>
      <c r="N35" s="26">
        <f>VLOOKUP($C35,COS!$B$8:$H$991,5,FALSE)</f>
        <v>274.10446166992188</v>
      </c>
      <c r="O35" s="26">
        <f t="shared" si="39"/>
        <v>16.854026403505941</v>
      </c>
      <c r="P35" s="26">
        <f>VLOOKUP($C35,COS!$B$8:$H$991,6,FALSE)</f>
        <v>2281.4833984375</v>
      </c>
      <c r="Q35" s="26">
        <f t="shared" si="40"/>
        <v>140.28294615185951</v>
      </c>
      <c r="R35" s="26">
        <f>MIN(IF(MONTH($C35)=4,$S$3,IF(MONTH($C35)=5,$S$4,IF(MONTH($C35)=6,$S$5,IF(MONTH($C35)=7,$S$6,"ERROR")))),MAX(VLOOKUP($C35,COS!$B$8:$K$991,10,FALSE)-IF(MONTH($C35)=4,$Y$3,IF(MONTH($C35)=5,$Y$4,IF(MONTH($C35)=6,$Y$5,IF(MONTH($C35)=7,$Y$6,"ERROR")))),0),MAX(VLOOKUP($C35,COS!$B$8:$K$991,9,FALSE)-IF(MONTH($C35)=4,$V$3,IF(MONTH($C35)=5,$V$4,IF(MONTH($C35)=6,$V$5,IF(MONTH($C35)=7,$V$6,"ERROR"))))-VLOOKUP($C35,COS!$B$8:$K$991,6,FALSE)/2,0))</f>
        <v>1500</v>
      </c>
      <c r="S35" s="26">
        <f t="shared" si="41"/>
        <v>92.231404958677686</v>
      </c>
      <c r="T35" s="26">
        <f t="shared" si="42"/>
        <v>170.79989123636039</v>
      </c>
      <c r="U35" s="26" t="str">
        <f>IF(VLOOKUP($C35,COS!$B$8:$I$991,8,FALSE)=1,"UWFE","IBU")</f>
        <v>IBU</v>
      </c>
      <c r="V35" s="26">
        <f t="shared" ref="V35" si="46">MIN(IF(IF($AA$3=2,AND(E35=1,G35=1,L35=1,L37=1,M35=1,U35="IBU"),AND(E35=1,G35=1,L35=1,L37=1,M35=1)),T35,0),I35)</f>
        <v>0</v>
      </c>
      <c r="W35" s="26"/>
      <c r="X35" s="26"/>
      <c r="Y35" s="26"/>
      <c r="Z35" s="26"/>
      <c r="AA35" s="26"/>
      <c r="AB35" s="33"/>
      <c r="AC35" s="6"/>
      <c r="AD35" s="43">
        <v>1943</v>
      </c>
      <c r="AE35" s="1">
        <f>VLOOKUP(AD35,Flags!$A$13:$B$95,2,FALSE)</f>
        <v>1</v>
      </c>
      <c r="AF35" s="43">
        <f t="shared" si="6"/>
        <v>317.65369544163224</v>
      </c>
      <c r="AG35" s="43">
        <f t="shared" si="7"/>
        <v>677.93526625451966</v>
      </c>
      <c r="AH35" s="43">
        <f t="shared" si="8"/>
        <v>0</v>
      </c>
      <c r="AI35" s="43">
        <f t="shared" si="9"/>
        <v>21355.303961776859</v>
      </c>
      <c r="AJ35" s="43">
        <f t="shared" si="10"/>
        <v>283.83824287855919</v>
      </c>
      <c r="AK35" s="43">
        <f t="shared" si="1"/>
        <v>197.60666820683753</v>
      </c>
      <c r="AL35" s="43">
        <f t="shared" si="11"/>
        <v>0</v>
      </c>
    </row>
    <row r="36" spans="1:42" x14ac:dyDescent="0.3">
      <c r="A36" s="32">
        <f>VLOOKUP(YEAR(C36),Flags!$A$13:$B$95,2,FALSE)</f>
        <v>5</v>
      </c>
      <c r="B36" s="24">
        <f t="shared" si="2"/>
        <v>1924</v>
      </c>
      <c r="C36" s="25">
        <v>9010</v>
      </c>
      <c r="D36" s="26"/>
      <c r="E36" s="24"/>
      <c r="F36" s="26"/>
      <c r="G36" s="24"/>
      <c r="H36" s="24"/>
      <c r="I36" s="26"/>
      <c r="J36" s="24"/>
      <c r="K36" s="26"/>
      <c r="L36" s="24"/>
      <c r="M36" s="24"/>
      <c r="N36" s="26"/>
      <c r="O36" s="26"/>
      <c r="P36" s="26"/>
      <c r="Q36" s="26"/>
      <c r="R36" s="26"/>
      <c r="S36" s="26"/>
      <c r="T36" s="26"/>
      <c r="U36" s="26"/>
      <c r="V36" s="26"/>
      <c r="W36" s="26">
        <f>MAX($C$7-VLOOKUP($C36,COS!$B$8:$H$991,3,FALSE),0)</f>
        <v>91864.53125</v>
      </c>
      <c r="X36" s="26">
        <f t="shared" si="31"/>
        <v>5648.5298553719012</v>
      </c>
      <c r="Y36" s="26">
        <f>VLOOKUP($C36,COS!$B$8:$H$991,4,FALSE)</f>
        <v>3013.011474609375</v>
      </c>
      <c r="Z36" s="26">
        <f t="shared" si="32"/>
        <v>185.26285430655992</v>
      </c>
      <c r="AA36" s="26">
        <f t="shared" ref="AA36:AA40" si="47">MIN(W36,Y36)</f>
        <v>3013.011474609375</v>
      </c>
      <c r="AB36" s="33">
        <f t="shared" ref="AB36" si="48">AA36*DAY($C36)*86400/43560/1000*IF(MONTH($C36)=8,$P$3,IF(MONTH($C36)=9,$P$4,IF(MONTH($C36)=10,$P$5,IF(MONTH($C36)=11,$P$6,IF(MONTH($C36)=12,$P$7,NA())))))</f>
        <v>185.26285430655992</v>
      </c>
      <c r="AC36" s="6"/>
      <c r="AD36" s="43">
        <v>1944</v>
      </c>
      <c r="AE36" s="1">
        <f>VLOOKUP(AD36,Flags!$A$13:$B$95,2,FALSE)</f>
        <v>4</v>
      </c>
      <c r="AF36" s="43">
        <f t="shared" si="6"/>
        <v>0</v>
      </c>
      <c r="AG36" s="43">
        <f t="shared" si="7"/>
        <v>536.4356380027582</v>
      </c>
      <c r="AH36" s="43">
        <f t="shared" si="8"/>
        <v>0</v>
      </c>
      <c r="AI36" s="43">
        <f t="shared" si="9"/>
        <v>22830.62372707903</v>
      </c>
      <c r="AJ36" s="43">
        <f t="shared" si="10"/>
        <v>425.35607502582639</v>
      </c>
      <c r="AK36" s="43">
        <f t="shared" si="1"/>
        <v>270.94423537577478</v>
      </c>
      <c r="AL36" s="43">
        <f t="shared" si="11"/>
        <v>0</v>
      </c>
    </row>
    <row r="37" spans="1:42" x14ac:dyDescent="0.3">
      <c r="A37" s="32">
        <f>VLOOKUP(YEAR(C37),Flags!$A$13:$B$95,2,FALSE)</f>
        <v>5</v>
      </c>
      <c r="B37" s="24">
        <f t="shared" si="2"/>
        <v>1924</v>
      </c>
      <c r="C37" s="25">
        <v>9040</v>
      </c>
      <c r="D37" s="26"/>
      <c r="E37" s="24"/>
      <c r="F37" s="26"/>
      <c r="G37" s="24"/>
      <c r="H37" s="24"/>
      <c r="I37" s="26"/>
      <c r="J37" s="24"/>
      <c r="K37" s="26">
        <f>VLOOKUP($C37,COS!$B$8:$H$991,2,FALSE)</f>
        <v>953.81658935546875</v>
      </c>
      <c r="L37" s="24">
        <f t="shared" ref="L37" si="49">IF(AND(K37&gt;$I$7,K37&lt;$I$8),1,0)</f>
        <v>1</v>
      </c>
      <c r="M37" s="24"/>
      <c r="N37" s="26"/>
      <c r="O37" s="26"/>
      <c r="P37" s="26"/>
      <c r="Q37" s="26"/>
      <c r="R37" s="26"/>
      <c r="S37" s="26"/>
      <c r="T37" s="26"/>
      <c r="U37" s="26"/>
      <c r="V37" s="26"/>
      <c r="W37" s="26">
        <f>MAX($C$8-VLOOKUP($C37,COS!$B$8:$H$991,3,FALSE),0)</f>
        <v>93796.91650390625</v>
      </c>
      <c r="X37" s="26">
        <f t="shared" si="31"/>
        <v>5581.3041225464876</v>
      </c>
      <c r="Y37" s="26">
        <f>VLOOKUP($C37,COS!$B$8:$H$991,4,FALSE)</f>
        <v>1832.2586669921875</v>
      </c>
      <c r="Z37" s="26">
        <f t="shared" si="32"/>
        <v>109.02696200284092</v>
      </c>
      <c r="AA37" s="26">
        <f t="shared" si="47"/>
        <v>1832.2586669921875</v>
      </c>
      <c r="AB37" s="33">
        <f t="shared" si="34"/>
        <v>109.02696200284092</v>
      </c>
      <c r="AC37" s="6"/>
      <c r="AD37" s="43">
        <v>1945</v>
      </c>
      <c r="AE37" s="1">
        <f>VLOOKUP(AD37,Flags!$A$13:$B$95,2,FALSE)</f>
        <v>3</v>
      </c>
      <c r="AF37" s="43">
        <f t="shared" si="6"/>
        <v>114.73130423553718</v>
      </c>
      <c r="AG37" s="43">
        <f t="shared" si="7"/>
        <v>638.10357915200473</v>
      </c>
      <c r="AH37" s="43">
        <f t="shared" si="8"/>
        <v>0</v>
      </c>
      <c r="AI37" s="43">
        <f t="shared" si="9"/>
        <v>22557.930937500001</v>
      </c>
      <c r="AJ37" s="43">
        <f t="shared" si="10"/>
        <v>122.39421326188017</v>
      </c>
      <c r="AK37" s="43">
        <f t="shared" si="1"/>
        <v>101.6310337035124</v>
      </c>
      <c r="AL37" s="43">
        <f t="shared" si="11"/>
        <v>0</v>
      </c>
    </row>
    <row r="38" spans="1:42" x14ac:dyDescent="0.3">
      <c r="A38" s="32">
        <f>VLOOKUP(YEAR(C38),Flags!$A$13:$B$95,2,FALSE)</f>
        <v>5</v>
      </c>
      <c r="B38" s="24">
        <f t="shared" si="2"/>
        <v>1924</v>
      </c>
      <c r="C38" s="25">
        <v>9071</v>
      </c>
      <c r="D38" s="26"/>
      <c r="E38" s="24"/>
      <c r="F38" s="26"/>
      <c r="G38" s="26"/>
      <c r="H38" s="26"/>
      <c r="I38" s="26"/>
      <c r="J38" s="26"/>
      <c r="K38" s="26"/>
      <c r="L38" s="24"/>
      <c r="M38" s="24"/>
      <c r="N38" s="26"/>
      <c r="O38" s="26"/>
      <c r="P38" s="26"/>
      <c r="Q38" s="26"/>
      <c r="R38" s="26"/>
      <c r="S38" s="26"/>
      <c r="T38" s="26"/>
      <c r="U38" s="26"/>
      <c r="V38" s="26"/>
      <c r="W38" s="26">
        <f>MAX($C$9-VLOOKUP($C38,COS!$B$8:$H$991,3,FALSE),0)</f>
        <v>95975.56103515625</v>
      </c>
      <c r="X38" s="26">
        <f t="shared" si="31"/>
        <v>5901.3072239798548</v>
      </c>
      <c r="Y38" s="26">
        <f>VLOOKUP($C38,COS!$B$8:$H$991,4,FALSE)</f>
        <v>661.1058349609375</v>
      </c>
      <c r="Z38" s="26">
        <f t="shared" si="32"/>
        <v>40.649813323217977</v>
      </c>
      <c r="AA38" s="26">
        <f t="shared" si="47"/>
        <v>661.1058349609375</v>
      </c>
      <c r="AB38" s="33">
        <f t="shared" si="34"/>
        <v>40.649813323217977</v>
      </c>
      <c r="AC38" s="6"/>
      <c r="AD38" s="43">
        <v>1946</v>
      </c>
      <c r="AE38" s="1">
        <f>VLOOKUP(AD38,Flags!$A$13:$B$95,2,FALSE)</f>
        <v>2</v>
      </c>
      <c r="AF38" s="43">
        <f t="shared" si="6"/>
        <v>407.88433400051656</v>
      </c>
      <c r="AG38" s="43">
        <f t="shared" si="7"/>
        <v>703.64850392239146</v>
      </c>
      <c r="AH38" s="43">
        <f t="shared" si="8"/>
        <v>0</v>
      </c>
      <c r="AI38" s="43">
        <f t="shared" si="9"/>
        <v>21810.774801136362</v>
      </c>
      <c r="AJ38" s="43">
        <f t="shared" si="10"/>
        <v>168.4989415192407</v>
      </c>
      <c r="AK38" s="43">
        <f t="shared" si="1"/>
        <v>119.56327923230889</v>
      </c>
      <c r="AL38" s="43">
        <f t="shared" si="11"/>
        <v>0</v>
      </c>
    </row>
    <row r="39" spans="1:42" x14ac:dyDescent="0.3">
      <c r="A39" s="32">
        <f>VLOOKUP(YEAR(C39),Flags!$A$13:$B$95,2,FALSE)</f>
        <v>5</v>
      </c>
      <c r="B39" s="24">
        <f t="shared" si="2"/>
        <v>1924</v>
      </c>
      <c r="C39" s="25">
        <v>9101</v>
      </c>
      <c r="D39" s="26"/>
      <c r="E39" s="24"/>
      <c r="F39" s="26"/>
      <c r="G39" s="26"/>
      <c r="H39" s="26"/>
      <c r="I39" s="26"/>
      <c r="J39" s="26"/>
      <c r="K39" s="26"/>
      <c r="L39" s="24"/>
      <c r="M39" s="24"/>
      <c r="N39" s="26"/>
      <c r="O39" s="26"/>
      <c r="P39" s="26"/>
      <c r="Q39" s="26"/>
      <c r="R39" s="26"/>
      <c r="S39" s="26"/>
      <c r="T39" s="26"/>
      <c r="U39" s="26"/>
      <c r="V39" s="26"/>
      <c r="W39" s="26">
        <f>MAX($C$10-VLOOKUP($C39,COS!$B$8:$H$991,3,FALSE),0)</f>
        <v>96749</v>
      </c>
      <c r="X39" s="26">
        <f t="shared" si="31"/>
        <v>5756.965289256198</v>
      </c>
      <c r="Y39" s="26">
        <f>VLOOKUP($C39,COS!$B$8:$H$991,4,FALSE)</f>
        <v>1030.6826171875</v>
      </c>
      <c r="Z39" s="26">
        <f t="shared" si="32"/>
        <v>61.329874741735537</v>
      </c>
      <c r="AA39" s="26">
        <f t="shared" si="47"/>
        <v>1030.6826171875</v>
      </c>
      <c r="AB39" s="33">
        <f t="shared" si="34"/>
        <v>30.664937370867769</v>
      </c>
      <c r="AC39" s="6"/>
      <c r="AD39" s="43">
        <v>1947</v>
      </c>
      <c r="AE39" s="1">
        <f>VLOOKUP(AD39,Flags!$A$13:$B$95,2,FALSE)</f>
        <v>4</v>
      </c>
      <c r="AF39" s="43">
        <f t="shared" si="6"/>
        <v>277.55906249999998</v>
      </c>
      <c r="AG39" s="43">
        <f t="shared" si="7"/>
        <v>637.84218946724877</v>
      </c>
      <c r="AH39" s="43">
        <f t="shared" si="8"/>
        <v>277.55906249999998</v>
      </c>
      <c r="AI39" s="43">
        <f t="shared" si="9"/>
        <v>22894.272137138429</v>
      </c>
      <c r="AJ39" s="43">
        <f t="shared" si="10"/>
        <v>397.17103701252586</v>
      </c>
      <c r="AK39" s="43">
        <f t="shared" si="1"/>
        <v>267.69855565599175</v>
      </c>
      <c r="AL39" s="43">
        <f t="shared" si="11"/>
        <v>267.69855565599175</v>
      </c>
    </row>
    <row r="40" spans="1:42" x14ac:dyDescent="0.3">
      <c r="A40" s="34">
        <f>VLOOKUP(YEAR(C40),Flags!$A$13:$B$95,2,FALSE)</f>
        <v>5</v>
      </c>
      <c r="B40" s="35">
        <f t="shared" si="2"/>
        <v>1924</v>
      </c>
      <c r="C40" s="36">
        <v>9132</v>
      </c>
      <c r="D40" s="37"/>
      <c r="E40" s="35"/>
      <c r="F40" s="37"/>
      <c r="G40" s="37"/>
      <c r="H40" s="37"/>
      <c r="I40" s="37"/>
      <c r="J40" s="37"/>
      <c r="K40" s="37"/>
      <c r="L40" s="35"/>
      <c r="M40" s="35"/>
      <c r="N40" s="37"/>
      <c r="O40" s="37"/>
      <c r="P40" s="37"/>
      <c r="Q40" s="37"/>
      <c r="R40" s="37"/>
      <c r="S40" s="37"/>
      <c r="T40" s="37"/>
      <c r="U40" s="37"/>
      <c r="V40" s="37"/>
      <c r="W40" s="37">
        <f>MAX($C$11-VLOOKUP($C40,COS!$B$8:$H$991,3,FALSE),0)</f>
        <v>0</v>
      </c>
      <c r="X40" s="37">
        <f t="shared" si="31"/>
        <v>0</v>
      </c>
      <c r="Y40" s="37">
        <f>VLOOKUP($C40,COS!$B$8:$H$991,4,FALSE)</f>
        <v>3291.532958984375</v>
      </c>
      <c r="Z40" s="37">
        <f t="shared" si="32"/>
        <v>202.38847284994836</v>
      </c>
      <c r="AA40" s="37">
        <f t="shared" si="47"/>
        <v>0</v>
      </c>
      <c r="AB40" s="38">
        <f t="shared" si="34"/>
        <v>0</v>
      </c>
      <c r="AC40" s="6"/>
      <c r="AD40" s="43">
        <v>1948</v>
      </c>
      <c r="AE40" s="1">
        <f>VLOOKUP(AD40,Flags!$A$13:$B$95,2,FALSE)</f>
        <v>3</v>
      </c>
      <c r="AF40" s="43">
        <f t="shared" si="6"/>
        <v>208.57675878099175</v>
      </c>
      <c r="AG40" s="43">
        <f t="shared" si="7"/>
        <v>636.59657708538452</v>
      </c>
      <c r="AH40" s="43">
        <f t="shared" si="8"/>
        <v>0</v>
      </c>
      <c r="AI40" s="43">
        <f t="shared" si="9"/>
        <v>22611.16150277634</v>
      </c>
      <c r="AJ40" s="43">
        <f t="shared" si="10"/>
        <v>206.49819967474818</v>
      </c>
      <c r="AK40" s="43">
        <f t="shared" si="1"/>
        <v>88.672343043808098</v>
      </c>
      <c r="AL40" s="43">
        <f t="shared" si="11"/>
        <v>0</v>
      </c>
    </row>
    <row r="41" spans="1:42" x14ac:dyDescent="0.3">
      <c r="A41" s="27">
        <f>VLOOKUP(YEAR(C41),Flags!$A$13:$B$95,2,FALSE)</f>
        <v>4</v>
      </c>
      <c r="B41" s="28">
        <f t="shared" si="2"/>
        <v>1925</v>
      </c>
      <c r="C41" s="29">
        <v>9252</v>
      </c>
      <c r="D41" s="30">
        <f>VLOOKUP($C41,COS!$B$8:$H$991,3,FALSE)</f>
        <v>3250</v>
      </c>
      <c r="E41" s="28">
        <f>IF(D41&gt;=IF(MONTH($C41)=4,$C$3,IF(MONTH($C41)=5,$C$4,IF(MONTH($C41)=6,$C$5,IF(MONTH($C41)=7,$C$6,"ERROR")))),1,0)</f>
        <v>0</v>
      </c>
      <c r="F41" s="30">
        <f>VLOOKUP($C41,COS!$B$8:$H$991,7,FALSE)</f>
        <v>49.611015319824219</v>
      </c>
      <c r="G41" s="28">
        <f>IF(F41&lt;=IF(MONTH($C41)=4,$F$3,IF(MONTH($C41)=5,$F$4,IF(MONTH($C41)=6,$F$5,IF(MONTH($C41)=7,$F$6,"ERROR")))),1,0)</f>
        <v>1</v>
      </c>
      <c r="H41" s="30">
        <f>IF(J41=1,D41-$C$3,0)</f>
        <v>0</v>
      </c>
      <c r="I41" s="30">
        <f t="shared" si="17"/>
        <v>0</v>
      </c>
      <c r="J41" s="28">
        <f t="shared" ref="J41:J44" si="50">IF(AND(E41=1,G41=1),1,0)</f>
        <v>0</v>
      </c>
      <c r="K41" s="30">
        <f>VLOOKUP($C41,COS!$B$8:$H$991,2,FALSE)</f>
        <v>4202.82470703125</v>
      </c>
      <c r="L41" s="28">
        <f t="shared" ref="L41" si="51">IF(K41&lt;=IF(MONTH($C41)=4,$I$3,IF(MONTH($C41)=5,$I$4,IF(MONTH($C41)=6,$I$5,IF(MONTH($C41)=7,$I$6,"ERROR")))),1,0)</f>
        <v>1</v>
      </c>
      <c r="M41" s="28">
        <f t="shared" ref="M41" si="52">VLOOKUP($A41,$L$3:$M$7,2,FALSE)</f>
        <v>1</v>
      </c>
      <c r="N41" s="30">
        <f>VLOOKUP($C41,COS!$B$8:$H$991,5,FALSE)</f>
        <v>154.96903991699219</v>
      </c>
      <c r="O41" s="30">
        <f t="shared" ref="O41:O44" si="53">N41*DAY($C41)*86400/43560/1000</f>
        <v>9.2212982429945765</v>
      </c>
      <c r="P41" s="30">
        <f>VLOOKUP($C41,COS!$B$8:$H$991,6,FALSE)</f>
        <v>375.54595947265625</v>
      </c>
      <c r="Q41" s="30">
        <f t="shared" ref="Q41:Q44" si="54">P41*DAY($C41)*86400/43560/1000</f>
        <v>22.346536431430785</v>
      </c>
      <c r="R41" s="30">
        <f>MIN(IF(MONTH($C41)=4,$S$3,IF(MONTH($C41)=5,$S$4,IF(MONTH($C41)=6,$S$5,IF(MONTH($C41)=7,$S$6,"ERROR")))),MAX(VLOOKUP($C41,COS!$B$8:$K$991,10,FALSE)-IF(MONTH($C41)=4,$Y$3,IF(MONTH($C41)=5,$Y$4,IF(MONTH($C41)=6,$Y$5,IF(MONTH($C41)=7,$Y$6,"ERROR")))),0),MAX(VLOOKUP($C41,COS!$B$8:$K$991,9,FALSE)-IF(MONTH($C41)=4,$V$3,IF(MONTH($C41)=5,$V$4,IF(MONTH($C41)=6,$V$5,IF(MONTH($C41)=7,$V$6,"ERROR"))))-VLOOKUP($C41,COS!$B$8:$K$991,6,FALSE)/2,0))</f>
        <v>1500</v>
      </c>
      <c r="S41" s="30">
        <f t="shared" ref="S41:S44" si="55">R41*DAY($C41)*86400/43560/1000</f>
        <v>89.256198347107429</v>
      </c>
      <c r="T41" s="30">
        <f t="shared" ref="T41:T44" si="56">(O41+Q41)/2+S41</f>
        <v>105.04011568432011</v>
      </c>
      <c r="U41" s="30" t="str">
        <f>IF(VLOOKUP($C41,COS!$B$8:$I$991,8,FALSE)=1,"UWFE","IBU")</f>
        <v>UWFE</v>
      </c>
      <c r="V41" s="30">
        <f t="shared" ref="V41" si="57">MIN(IF(IF($AA$3=2,AND(E41=1,G41=1,L41=1,L46=1,M41=1,U41="IBU"),AND(E41=1,G41=1,L41=1,L46=1,M41=1)),T41,0),I41)</f>
        <v>0</v>
      </c>
      <c r="W41" s="30"/>
      <c r="X41" s="30"/>
      <c r="Y41" s="30"/>
      <c r="Z41" s="30"/>
      <c r="AA41" s="30"/>
      <c r="AB41" s="31"/>
      <c r="AC41" s="6"/>
      <c r="AD41" s="43">
        <v>1949</v>
      </c>
      <c r="AE41" s="1">
        <f>VLOOKUP(AD41,Flags!$A$13:$B$95,2,FALSE)</f>
        <v>4</v>
      </c>
      <c r="AF41" s="43">
        <f t="shared" si="6"/>
        <v>193.31074993543388</v>
      </c>
      <c r="AG41" s="43">
        <f t="shared" si="7"/>
        <v>668.08874654974829</v>
      </c>
      <c r="AH41" s="43">
        <f t="shared" si="8"/>
        <v>193.31074993543388</v>
      </c>
      <c r="AI41" s="43">
        <f t="shared" si="9"/>
        <v>22604.710092652374</v>
      </c>
      <c r="AJ41" s="43">
        <f t="shared" si="10"/>
        <v>433.91744003422002</v>
      </c>
      <c r="AK41" s="43">
        <f t="shared" si="1"/>
        <v>315.70640600787704</v>
      </c>
      <c r="AL41" s="43">
        <f t="shared" si="11"/>
        <v>193.31074993543388</v>
      </c>
    </row>
    <row r="42" spans="1:42" x14ac:dyDescent="0.3">
      <c r="A42" s="32">
        <f>VLOOKUP(YEAR(C42),Flags!$A$13:$B$95,2,FALSE)</f>
        <v>4</v>
      </c>
      <c r="B42" s="24">
        <f t="shared" si="2"/>
        <v>1925</v>
      </c>
      <c r="C42" s="25">
        <v>9283</v>
      </c>
      <c r="D42" s="26">
        <f>VLOOKUP($C42,COS!$B$8:$H$991,3,FALSE)</f>
        <v>6016.6982421875</v>
      </c>
      <c r="E42" s="24">
        <f>IF(D42&gt;=IF(MONTH($C42)=4,$C$3,IF(MONTH($C42)=5,$C$4,IF(MONTH($C42)=6,$C$5,IF(MONTH($C42)=7,$C$6,"ERROR")))),1,0)</f>
        <v>1</v>
      </c>
      <c r="F42" s="26">
        <f>VLOOKUP($C42,COS!$B$8:$H$991,7,FALSE)</f>
        <v>50.364429473876953</v>
      </c>
      <c r="G42" s="24">
        <f>IF(F42&lt;=IF(MONTH($C42)=4,$F$3,IF(MONTH($C42)=5,$F$4,IF(MONTH($C42)=6,$F$5,IF(MONTH($C42)=7,$F$6,"ERROR")))),1,0)</f>
        <v>1</v>
      </c>
      <c r="H42" s="26">
        <f>IF(J42=1,D42-$C$4,0)</f>
        <v>16.6982421875</v>
      </c>
      <c r="I42" s="26">
        <f t="shared" si="17"/>
        <v>1.0267348915289256</v>
      </c>
      <c r="J42" s="24">
        <f t="shared" si="50"/>
        <v>1</v>
      </c>
      <c r="K42" s="26">
        <f>VLOOKUP($C42,COS!$B$8:$H$991,2,FALSE)</f>
        <v>4282.16650390625</v>
      </c>
      <c r="L42" s="24">
        <f t="shared" si="19"/>
        <v>1</v>
      </c>
      <c r="M42" s="24">
        <f t="shared" si="20"/>
        <v>1</v>
      </c>
      <c r="N42" s="26">
        <f>VLOOKUP($C42,COS!$B$8:$H$991,5,FALSE)</f>
        <v>377.79129028320313</v>
      </c>
      <c r="O42" s="26">
        <f t="shared" si="53"/>
        <v>23.229480989314307</v>
      </c>
      <c r="P42" s="26">
        <f>VLOOKUP($C42,COS!$B$8:$H$991,6,FALSE)</f>
        <v>1796.5595703125</v>
      </c>
      <c r="Q42" s="26">
        <f t="shared" si="54"/>
        <v>110.46614217458676</v>
      </c>
      <c r="R42" s="26">
        <f>MIN(IF(MONTH($C42)=4,$S$3,IF(MONTH($C42)=5,$S$4,IF(MONTH($C42)=6,$S$5,IF(MONTH($C42)=7,$S$6,"ERROR")))),MAX(VLOOKUP($C42,COS!$B$8:$K$991,10,FALSE)-IF(MONTH($C42)=4,$Y$3,IF(MONTH($C42)=5,$Y$4,IF(MONTH($C42)=6,$Y$5,IF(MONTH($C42)=7,$Y$6,"ERROR")))),0),MAX(VLOOKUP($C42,COS!$B$8:$K$991,9,FALSE)-IF(MONTH($C42)=4,$V$3,IF(MONTH($C42)=5,$V$4,IF(MONTH($C42)=6,$V$5,IF(MONTH($C42)=7,$V$6,"ERROR"))))-VLOOKUP($C42,COS!$B$8:$K$991,6,FALSE)/2,0))</f>
        <v>1500</v>
      </c>
      <c r="S42" s="26">
        <f t="shared" si="55"/>
        <v>92.231404958677686</v>
      </c>
      <c r="T42" s="26">
        <f t="shared" si="56"/>
        <v>159.07921654062824</v>
      </c>
      <c r="U42" s="26" t="str">
        <f>IF(VLOOKUP($C42,COS!$B$8:$I$991,8,FALSE)=1,"UWFE","IBU")</f>
        <v>UWFE</v>
      </c>
      <c r="V42" s="26">
        <f t="shared" ref="V42" si="58">MIN(IF(IF($AA$3=2,AND(E42=1,G42=1,L42=1,L46=1,M42=1,U42="IBU"),AND(E42=1,G42=1,L42=1,L46=1,M42=1)),T42,0),I42)</f>
        <v>1.0267348915289256</v>
      </c>
      <c r="W42" s="26"/>
      <c r="X42" s="26"/>
      <c r="Y42" s="26"/>
      <c r="Z42" s="26"/>
      <c r="AA42" s="26"/>
      <c r="AB42" s="33"/>
      <c r="AC42" s="6"/>
      <c r="AD42" s="43">
        <v>1950</v>
      </c>
      <c r="AE42" s="1">
        <f>VLOOKUP(AD42,Flags!$A$13:$B$95,2,FALSE)</f>
        <v>4</v>
      </c>
      <c r="AF42" s="43">
        <f t="shared" si="6"/>
        <v>24.391813985020661</v>
      </c>
      <c r="AG42" s="43">
        <f t="shared" si="7"/>
        <v>648.70872080905383</v>
      </c>
      <c r="AH42" s="43">
        <f t="shared" si="8"/>
        <v>24.391813985020661</v>
      </c>
      <c r="AI42" s="43">
        <f t="shared" si="9"/>
        <v>22157.016136363636</v>
      </c>
      <c r="AJ42" s="43">
        <f t="shared" si="10"/>
        <v>112.07308938775182</v>
      </c>
      <c r="AK42" s="43">
        <f t="shared" si="1"/>
        <v>112.07308938775182</v>
      </c>
      <c r="AL42" s="43">
        <f t="shared" si="11"/>
        <v>24.391813985020661</v>
      </c>
    </row>
    <row r="43" spans="1:42" x14ac:dyDescent="0.3">
      <c r="A43" s="32">
        <f>VLOOKUP(YEAR(C43),Flags!$A$13:$B$95,2,FALSE)</f>
        <v>4</v>
      </c>
      <c r="B43" s="24">
        <f t="shared" si="2"/>
        <v>1925</v>
      </c>
      <c r="C43" s="25">
        <v>9313</v>
      </c>
      <c r="D43" s="26">
        <f>VLOOKUP($C43,COS!$B$8:$H$991,3,FALSE)</f>
        <v>9612.4140625</v>
      </c>
      <c r="E43" s="24">
        <f>IF(D43&gt;=IF(MONTH($C43)=4,$C$3,IF(MONTH($C43)=5,$C$4,IF(MONTH($C43)=6,$C$5,IF(MONTH($C43)=7,$C$6,"ERROR")))),1,0)</f>
        <v>0</v>
      </c>
      <c r="F43" s="26">
        <f>VLOOKUP($C43,COS!$B$8:$H$991,7,FALSE)</f>
        <v>50.799709320068359</v>
      </c>
      <c r="G43" s="24">
        <f>IF(F43&lt;=IF(MONTH($C43)=4,$F$3,IF(MONTH($C43)=5,$F$4,IF(MONTH($C43)=6,$F$5,IF(MONTH($C43)=7,$F$6,"ERROR")))),1,0)</f>
        <v>1</v>
      </c>
      <c r="H43" s="26">
        <f>IF(J43=1,D43-$C$5,0)</f>
        <v>0</v>
      </c>
      <c r="I43" s="26">
        <f t="shared" si="17"/>
        <v>0</v>
      </c>
      <c r="J43" s="24">
        <f t="shared" si="50"/>
        <v>0</v>
      </c>
      <c r="K43" s="26">
        <f>VLOOKUP($C43,COS!$B$8:$H$991,2,FALSE)</f>
        <v>3989.940673828125</v>
      </c>
      <c r="L43" s="24">
        <f t="shared" si="19"/>
        <v>1</v>
      </c>
      <c r="M43" s="24">
        <f t="shared" si="20"/>
        <v>1</v>
      </c>
      <c r="N43" s="26">
        <f>VLOOKUP($C43,COS!$B$8:$H$991,5,FALSE)</f>
        <v>794.0576171875</v>
      </c>
      <c r="O43" s="26">
        <f t="shared" si="53"/>
        <v>47.249709452479337</v>
      </c>
      <c r="P43" s="26">
        <f>VLOOKUP($C43,COS!$B$8:$H$991,6,FALSE)</f>
        <v>2591.778564453125</v>
      </c>
      <c r="Q43" s="26">
        <f t="shared" si="54"/>
        <v>154.22153441373965</v>
      </c>
      <c r="R43" s="26">
        <f>MIN(IF(MONTH($C43)=4,$S$3,IF(MONTH($C43)=5,$S$4,IF(MONTH($C43)=6,$S$5,IF(MONTH($C43)=7,$S$6,"ERROR")))),MAX(VLOOKUP($C43,COS!$B$8:$K$991,10,FALSE)-IF(MONTH($C43)=4,$Y$3,IF(MONTH($C43)=5,$Y$4,IF(MONTH($C43)=6,$Y$5,IF(MONTH($C43)=7,$Y$6,"ERROR")))),0),MAX(VLOOKUP($C43,COS!$B$8:$K$991,9,FALSE)-IF(MONTH($C43)=4,$V$3,IF(MONTH($C43)=5,$V$4,IF(MONTH($C43)=6,$V$5,IF(MONTH($C43)=7,$V$6,"ERROR"))))-VLOOKUP($C43,COS!$B$8:$K$991,6,FALSE)/2,0))</f>
        <v>1500</v>
      </c>
      <c r="S43" s="26">
        <f t="shared" si="55"/>
        <v>89.256198347107429</v>
      </c>
      <c r="T43" s="26">
        <f t="shared" si="56"/>
        <v>189.99182028021693</v>
      </c>
      <c r="U43" s="26" t="str">
        <f>IF(VLOOKUP($C43,COS!$B$8:$I$991,8,FALSE)=1,"UWFE","IBU")</f>
        <v>IBU</v>
      </c>
      <c r="V43" s="26">
        <f t="shared" ref="V43" si="59">MIN(IF(IF($AA$3=2,AND(E43=1,G43=1,L43=1,L46=1,M43=1,U43="IBU"),AND(E43=1,G43=1,L43=1,L46=1,M43=1)),T43,0),I43)</f>
        <v>0</v>
      </c>
      <c r="W43" s="26"/>
      <c r="X43" s="26"/>
      <c r="Y43" s="26"/>
      <c r="Z43" s="26"/>
      <c r="AA43" s="26"/>
      <c r="AB43" s="33"/>
      <c r="AC43" s="6"/>
      <c r="AD43" s="43">
        <v>1951</v>
      </c>
      <c r="AE43" s="1">
        <f>VLOOKUP(AD43,Flags!$A$13:$B$95,2,FALSE)</f>
        <v>2</v>
      </c>
      <c r="AF43" s="43">
        <f t="shared" si="6"/>
        <v>318.2121345557851</v>
      </c>
      <c r="AG43" s="43">
        <f t="shared" si="7"/>
        <v>645.21338185207901</v>
      </c>
      <c r="AH43" s="43">
        <f t="shared" si="8"/>
        <v>0</v>
      </c>
      <c r="AI43" s="43">
        <f t="shared" si="9"/>
        <v>21976.45691470816</v>
      </c>
      <c r="AJ43" s="43">
        <f t="shared" si="10"/>
        <v>123.98751945054235</v>
      </c>
      <c r="AK43" s="43">
        <f t="shared" si="1"/>
        <v>91.261757570377057</v>
      </c>
      <c r="AL43" s="43">
        <f t="shared" si="11"/>
        <v>0</v>
      </c>
    </row>
    <row r="44" spans="1:42" x14ac:dyDescent="0.3">
      <c r="A44" s="32">
        <f>VLOOKUP(YEAR(C44),Flags!$A$13:$B$95,2,FALSE)</f>
        <v>4</v>
      </c>
      <c r="B44" s="24">
        <f t="shared" si="2"/>
        <v>1925</v>
      </c>
      <c r="C44" s="25">
        <v>9344</v>
      </c>
      <c r="D44" s="26">
        <f>VLOOKUP($C44,COS!$B$8:$H$991,3,FALSE)</f>
        <v>12695.501953125</v>
      </c>
      <c r="E44" s="24">
        <f>IF(D44&gt;=IF(MONTH($C44)=4,$C$3,IF(MONTH($C44)=5,$C$4,IF(MONTH($C44)=6,$C$5,IF(MONTH($C44)=7,$C$6,"ERROR")))),1,0)</f>
        <v>1</v>
      </c>
      <c r="F44" s="26">
        <f>VLOOKUP($C44,COS!$B$8:$H$991,7,FALSE)</f>
        <v>51.456871032714844</v>
      </c>
      <c r="G44" s="24">
        <f>IF(F44&lt;=IF(MONTH($C44)=4,$F$3,IF(MONTH($C44)=5,$F$4,IF(MONTH($C44)=6,$F$5,IF(MONTH($C44)=7,$F$6,"ERROR")))),1,0)</f>
        <v>1</v>
      </c>
      <c r="H44" s="26">
        <f>IF(J44=1,D44-$C$6,0)</f>
        <v>695.501953125</v>
      </c>
      <c r="I44" s="26">
        <f t="shared" si="17"/>
        <v>42.764748192148765</v>
      </c>
      <c r="J44" s="24">
        <f t="shared" si="50"/>
        <v>1</v>
      </c>
      <c r="K44" s="26">
        <f>VLOOKUP($C44,COS!$B$8:$H$991,2,FALSE)</f>
        <v>3437.54150390625</v>
      </c>
      <c r="L44" s="24">
        <f t="shared" si="19"/>
        <v>1</v>
      </c>
      <c r="M44" s="24">
        <f t="shared" si="20"/>
        <v>1</v>
      </c>
      <c r="N44" s="26">
        <f>VLOOKUP($C44,COS!$B$8:$H$991,5,FALSE)</f>
        <v>979.5245361328125</v>
      </c>
      <c r="O44" s="26">
        <f t="shared" si="53"/>
        <v>60.228616106017569</v>
      </c>
      <c r="P44" s="26">
        <f>VLOOKUP($C44,COS!$B$8:$H$991,6,FALSE)</f>
        <v>2538.07568359375</v>
      </c>
      <c r="Q44" s="26">
        <f t="shared" si="54"/>
        <v>156.06019079287191</v>
      </c>
      <c r="R44" s="26">
        <f>MIN(IF(MONTH($C44)=4,$S$3,IF(MONTH($C44)=5,$S$4,IF(MONTH($C44)=6,$S$5,IF(MONTH($C44)=7,$S$6,"ERROR")))),MAX(VLOOKUP($C44,COS!$B$8:$K$991,10,FALSE)-IF(MONTH($C44)=4,$Y$3,IF(MONTH($C44)=5,$Y$4,IF(MONTH($C44)=6,$Y$5,IF(MONTH($C44)=7,$Y$6,"ERROR")))),0),MAX(VLOOKUP($C44,COS!$B$8:$K$991,9,FALSE)-IF(MONTH($C44)=4,$V$3,IF(MONTH($C44)=5,$V$4,IF(MONTH($C44)=6,$V$5,IF(MONTH($C44)=7,$V$6,"ERROR"))))-VLOOKUP($C44,COS!$B$8:$K$991,6,FALSE)/2,0))</f>
        <v>1500</v>
      </c>
      <c r="S44" s="26">
        <f t="shared" si="55"/>
        <v>92.231404958677686</v>
      </c>
      <c r="T44" s="26">
        <f t="shared" si="56"/>
        <v>200.37580840812242</v>
      </c>
      <c r="U44" s="26" t="str">
        <f>IF(VLOOKUP($C44,COS!$B$8:$I$991,8,FALSE)=1,"UWFE","IBU")</f>
        <v>IBU</v>
      </c>
      <c r="V44" s="26">
        <f t="shared" ref="V44" si="60">MIN(IF(IF($AA$3=2,AND(E44=1,G44=1,L44=1,L46=1,M44=1,U44="IBU"),AND(E44=1,G44=1,L44=1,L46=1,M44=1)),T44,0),I44)</f>
        <v>42.764748192148765</v>
      </c>
      <c r="W44" s="26"/>
      <c r="X44" s="26"/>
      <c r="Y44" s="26"/>
      <c r="Z44" s="26"/>
      <c r="AA44" s="26"/>
      <c r="AB44" s="33"/>
      <c r="AC44" s="6"/>
      <c r="AD44" s="43">
        <v>1952</v>
      </c>
      <c r="AE44" s="1">
        <f>VLOOKUP(AD44,Flags!$A$13:$B$95,2,FALSE)</f>
        <v>1</v>
      </c>
      <c r="AF44" s="43">
        <f t="shared" si="6"/>
        <v>697.78984633264463</v>
      </c>
      <c r="AG44" s="43">
        <f t="shared" si="7"/>
        <v>685.72902777553577</v>
      </c>
      <c r="AH44" s="43">
        <f t="shared" si="8"/>
        <v>0</v>
      </c>
      <c r="AI44" s="43">
        <f t="shared" si="9"/>
        <v>21660.340667936467</v>
      </c>
      <c r="AJ44" s="43">
        <f t="shared" si="10"/>
        <v>58.610078891722623</v>
      </c>
      <c r="AK44" s="43">
        <f t="shared" si="1"/>
        <v>36.686122038029438</v>
      </c>
      <c r="AL44" s="43">
        <f t="shared" si="11"/>
        <v>0</v>
      </c>
    </row>
    <row r="45" spans="1:42" x14ac:dyDescent="0.3">
      <c r="A45" s="32">
        <f>VLOOKUP(YEAR(C45),Flags!$A$13:$B$95,2,FALSE)</f>
        <v>4</v>
      </c>
      <c r="B45" s="24">
        <f t="shared" si="2"/>
        <v>1925</v>
      </c>
      <c r="C45" s="25">
        <v>9375</v>
      </c>
      <c r="D45" s="26"/>
      <c r="E45" s="24"/>
      <c r="F45" s="26"/>
      <c r="G45" s="24"/>
      <c r="H45" s="24"/>
      <c r="I45" s="26"/>
      <c r="J45" s="24"/>
      <c r="K45" s="26"/>
      <c r="L45" s="24"/>
      <c r="M45" s="24"/>
      <c r="N45" s="26"/>
      <c r="O45" s="26"/>
      <c r="P45" s="26"/>
      <c r="Q45" s="26"/>
      <c r="R45" s="26"/>
      <c r="S45" s="26"/>
      <c r="T45" s="26"/>
      <c r="U45" s="26"/>
      <c r="V45" s="26"/>
      <c r="W45" s="26">
        <f>MAX($C$7-VLOOKUP($C45,COS!$B$8:$H$991,3,FALSE),0)</f>
        <v>90169.4140625</v>
      </c>
      <c r="X45" s="26">
        <f t="shared" si="31"/>
        <v>5544.3011621900823</v>
      </c>
      <c r="Y45" s="26">
        <f>VLOOKUP($C45,COS!$B$8:$H$991,4,FALSE)</f>
        <v>1755.4483642578125</v>
      </c>
      <c r="Z45" s="26">
        <f t="shared" si="32"/>
        <v>107.93831264527377</v>
      </c>
      <c r="AA45" s="26">
        <f t="shared" ref="AA45:AA49" si="61">MIN(W45,Y45)</f>
        <v>1755.4483642578125</v>
      </c>
      <c r="AB45" s="33">
        <f t="shared" ref="AB45" si="62">AA45*DAY($C45)*86400/43560/1000*IF(MONTH($C45)=8,$P$3,IF(MONTH($C45)=9,$P$4,IF(MONTH($C45)=10,$P$5,IF(MONTH($C45)=11,$P$6,IF(MONTH($C45)=12,$P$7,NA())))))</f>
        <v>107.93831264527377</v>
      </c>
      <c r="AC45" s="6"/>
      <c r="AD45" s="43">
        <v>1953</v>
      </c>
      <c r="AE45" s="1">
        <f>VLOOKUP(AD45,Flags!$A$13:$B$95,2,FALSE)</f>
        <v>1</v>
      </c>
      <c r="AF45" s="43">
        <f t="shared" si="6"/>
        <v>393.94290805785124</v>
      </c>
      <c r="AG45" s="43">
        <f t="shared" si="7"/>
        <v>699.80341564840523</v>
      </c>
      <c r="AH45" s="43">
        <f t="shared" si="8"/>
        <v>0</v>
      </c>
      <c r="AI45" s="43">
        <f t="shared" si="9"/>
        <v>21378.207919679749</v>
      </c>
      <c r="AJ45" s="43">
        <f t="shared" si="10"/>
        <v>184.16609680806309</v>
      </c>
      <c r="AK45" s="43">
        <f t="shared" si="1"/>
        <v>127.2990606752506</v>
      </c>
      <c r="AL45" s="43">
        <f t="shared" si="11"/>
        <v>0</v>
      </c>
    </row>
    <row r="46" spans="1:42" x14ac:dyDescent="0.3">
      <c r="A46" s="32">
        <f>VLOOKUP(YEAR(C46),Flags!$A$13:$B$95,2,FALSE)</f>
        <v>4</v>
      </c>
      <c r="B46" s="24">
        <f t="shared" si="2"/>
        <v>1925</v>
      </c>
      <c r="C46" s="25">
        <v>9405</v>
      </c>
      <c r="D46" s="26"/>
      <c r="E46" s="24"/>
      <c r="F46" s="26"/>
      <c r="G46" s="24"/>
      <c r="H46" s="24"/>
      <c r="I46" s="26"/>
      <c r="J46" s="24"/>
      <c r="K46" s="26">
        <f>VLOOKUP($C46,COS!$B$8:$H$991,2,FALSE)</f>
        <v>2972.557373046875</v>
      </c>
      <c r="L46" s="24">
        <f t="shared" ref="L46" si="63">IF(AND(K46&gt;$I$7,K46&lt;$I$8),1,0)</f>
        <v>1</v>
      </c>
      <c r="M46" s="24"/>
      <c r="N46" s="26"/>
      <c r="O46" s="26"/>
      <c r="P46" s="26"/>
      <c r="Q46" s="26"/>
      <c r="R46" s="26"/>
      <c r="S46" s="26"/>
      <c r="T46" s="26"/>
      <c r="U46" s="26"/>
      <c r="V46" s="26"/>
      <c r="W46" s="26">
        <f>MAX($C$8-VLOOKUP($C46,COS!$B$8:$H$991,3,FALSE),0)</f>
        <v>94122.39599609375</v>
      </c>
      <c r="X46" s="26">
        <f t="shared" si="31"/>
        <v>5600.6714972882237</v>
      </c>
      <c r="Y46" s="26">
        <f>VLOOKUP($C46,COS!$B$8:$H$991,4,FALSE)</f>
        <v>601.609375</v>
      </c>
      <c r="Z46" s="26">
        <f t="shared" si="32"/>
        <v>35.798243801652887</v>
      </c>
      <c r="AA46" s="26">
        <f t="shared" si="61"/>
        <v>601.609375</v>
      </c>
      <c r="AB46" s="33">
        <f t="shared" si="34"/>
        <v>35.798243801652887</v>
      </c>
      <c r="AC46" s="6"/>
      <c r="AD46" s="43">
        <v>1954</v>
      </c>
      <c r="AE46" s="1">
        <f>VLOOKUP(AD46,Flags!$A$13:$B$95,2,FALSE)</f>
        <v>2</v>
      </c>
      <c r="AF46" s="43">
        <f t="shared" si="6"/>
        <v>628.75953060433881</v>
      </c>
      <c r="AG46" s="43">
        <f t="shared" si="7"/>
        <v>682.99890435337034</v>
      </c>
      <c r="AH46" s="43">
        <f t="shared" si="8"/>
        <v>0</v>
      </c>
      <c r="AI46" s="43">
        <f t="shared" si="9"/>
        <v>22009.53607728564</v>
      </c>
      <c r="AJ46" s="43">
        <f t="shared" si="10"/>
        <v>98.616977740831601</v>
      </c>
      <c r="AK46" s="43">
        <f t="shared" si="1"/>
        <v>73.855744447314038</v>
      </c>
      <c r="AL46" s="43">
        <f t="shared" si="11"/>
        <v>0</v>
      </c>
    </row>
    <row r="47" spans="1:42" x14ac:dyDescent="0.3">
      <c r="A47" s="32">
        <f>VLOOKUP(YEAR(C47),Flags!$A$13:$B$95,2,FALSE)</f>
        <v>4</v>
      </c>
      <c r="B47" s="24">
        <f t="shared" si="2"/>
        <v>1925</v>
      </c>
      <c r="C47" s="25">
        <v>9436</v>
      </c>
      <c r="D47" s="26"/>
      <c r="E47" s="24"/>
      <c r="F47" s="26"/>
      <c r="G47" s="26"/>
      <c r="H47" s="26"/>
      <c r="I47" s="26"/>
      <c r="J47" s="26"/>
      <c r="K47" s="26"/>
      <c r="L47" s="24"/>
      <c r="M47" s="24"/>
      <c r="N47" s="26"/>
      <c r="O47" s="26"/>
      <c r="P47" s="26"/>
      <c r="Q47" s="26"/>
      <c r="R47" s="26"/>
      <c r="S47" s="26"/>
      <c r="T47" s="26"/>
      <c r="U47" s="26"/>
      <c r="V47" s="26"/>
      <c r="W47" s="26">
        <f>MAX($C$9-VLOOKUP($C47,COS!$B$8:$H$991,3,FALSE),0)</f>
        <v>94097.9453125</v>
      </c>
      <c r="X47" s="26">
        <f t="shared" si="31"/>
        <v>5785.8571332644624</v>
      </c>
      <c r="Y47" s="26">
        <f>VLOOKUP($C47,COS!$B$8:$H$991,4,FALSE)</f>
        <v>1509.1988525390625</v>
      </c>
      <c r="Z47" s="26">
        <f t="shared" si="32"/>
        <v>92.797020354467975</v>
      </c>
      <c r="AA47" s="26">
        <f t="shared" si="61"/>
        <v>1509.1988525390625</v>
      </c>
      <c r="AB47" s="33">
        <f t="shared" si="34"/>
        <v>92.797020354467975</v>
      </c>
      <c r="AC47" s="6"/>
      <c r="AD47" s="43">
        <v>1955</v>
      </c>
      <c r="AE47" s="1">
        <f>VLOOKUP(AD47,Flags!$A$13:$B$95,2,FALSE)</f>
        <v>4</v>
      </c>
      <c r="AF47" s="43">
        <f t="shared" si="6"/>
        <v>146.39928137913225</v>
      </c>
      <c r="AG47" s="43">
        <f t="shared" si="7"/>
        <v>650.48586702204932</v>
      </c>
      <c r="AH47" s="43">
        <f t="shared" si="8"/>
        <v>146.39928137913225</v>
      </c>
      <c r="AI47" s="43">
        <f t="shared" si="9"/>
        <v>22858.056631262913</v>
      </c>
      <c r="AJ47" s="43">
        <f t="shared" si="10"/>
        <v>316.76745553008783</v>
      </c>
      <c r="AK47" s="43">
        <f t="shared" si="1"/>
        <v>274.17800482631719</v>
      </c>
      <c r="AL47" s="43">
        <f t="shared" si="11"/>
        <v>146.39928137913225</v>
      </c>
    </row>
    <row r="48" spans="1:42" x14ac:dyDescent="0.3">
      <c r="A48" s="32">
        <f>VLOOKUP(YEAR(C48),Flags!$A$13:$B$95,2,FALSE)</f>
        <v>4</v>
      </c>
      <c r="B48" s="24">
        <f t="shared" si="2"/>
        <v>1925</v>
      </c>
      <c r="C48" s="25">
        <v>9466</v>
      </c>
      <c r="D48" s="26"/>
      <c r="E48" s="24"/>
      <c r="F48" s="26"/>
      <c r="G48" s="26"/>
      <c r="H48" s="26"/>
      <c r="I48" s="26"/>
      <c r="J48" s="26"/>
      <c r="K48" s="26"/>
      <c r="L48" s="24"/>
      <c r="M48" s="24"/>
      <c r="N48" s="26"/>
      <c r="O48" s="26"/>
      <c r="P48" s="26"/>
      <c r="Q48" s="26"/>
      <c r="R48" s="26"/>
      <c r="S48" s="26"/>
      <c r="T48" s="26"/>
      <c r="U48" s="26"/>
      <c r="V48" s="26"/>
      <c r="W48" s="26">
        <f>MAX($C$10-VLOOKUP($C48,COS!$B$8:$H$991,3,FALSE),0)</f>
        <v>94973.6005859375</v>
      </c>
      <c r="X48" s="26">
        <f t="shared" si="31"/>
        <v>5651.3216877582645</v>
      </c>
      <c r="Y48" s="26">
        <f>VLOOKUP($C48,COS!$B$8:$H$991,4,FALSE)</f>
        <v>1037.1134033203125</v>
      </c>
      <c r="Z48" s="26">
        <f t="shared" si="32"/>
        <v>61.712533090134293</v>
      </c>
      <c r="AA48" s="26">
        <f t="shared" si="61"/>
        <v>1037.1134033203125</v>
      </c>
      <c r="AB48" s="33">
        <f t="shared" si="34"/>
        <v>30.856266545067147</v>
      </c>
      <c r="AC48" s="6"/>
      <c r="AD48" s="43">
        <v>1956</v>
      </c>
      <c r="AE48" s="1">
        <f>VLOOKUP(AD48,Flags!$A$13:$B$95,2,FALSE)</f>
        <v>1</v>
      </c>
      <c r="AF48" s="43">
        <f t="shared" si="6"/>
        <v>238.41283768078512</v>
      </c>
      <c r="AG48" s="43">
        <f t="shared" si="7"/>
        <v>688.1348309780152</v>
      </c>
      <c r="AH48" s="43">
        <f t="shared" si="8"/>
        <v>0</v>
      </c>
      <c r="AI48" s="43">
        <f t="shared" si="9"/>
        <v>21520.017618478825</v>
      </c>
      <c r="AJ48" s="43">
        <f t="shared" si="10"/>
        <v>69.803219589359514</v>
      </c>
      <c r="AK48" s="43">
        <f t="shared" si="1"/>
        <v>51.04191426426911</v>
      </c>
      <c r="AL48" s="43">
        <f t="shared" si="11"/>
        <v>0</v>
      </c>
    </row>
    <row r="49" spans="1:38" x14ac:dyDescent="0.3">
      <c r="A49" s="34">
        <f>VLOOKUP(YEAR(C49),Flags!$A$13:$B$95,2,FALSE)</f>
        <v>4</v>
      </c>
      <c r="B49" s="35">
        <f t="shared" si="2"/>
        <v>1925</v>
      </c>
      <c r="C49" s="36">
        <v>9497</v>
      </c>
      <c r="D49" s="37"/>
      <c r="E49" s="35"/>
      <c r="F49" s="37"/>
      <c r="G49" s="37"/>
      <c r="H49" s="37"/>
      <c r="I49" s="37"/>
      <c r="J49" s="37"/>
      <c r="K49" s="37"/>
      <c r="L49" s="35"/>
      <c r="M49" s="35"/>
      <c r="N49" s="37"/>
      <c r="O49" s="37"/>
      <c r="P49" s="37"/>
      <c r="Q49" s="37"/>
      <c r="R49" s="37"/>
      <c r="S49" s="37"/>
      <c r="T49" s="37"/>
      <c r="U49" s="37"/>
      <c r="V49" s="37"/>
      <c r="W49" s="37">
        <f>MAX($C$11-VLOOKUP($C49,COS!$B$8:$H$991,3,FALSE),0)</f>
        <v>0</v>
      </c>
      <c r="X49" s="37">
        <f t="shared" si="31"/>
        <v>0</v>
      </c>
      <c r="Y49" s="37">
        <f>VLOOKUP($C49,COS!$B$8:$H$991,4,FALSE)</f>
        <v>1280.279541015625</v>
      </c>
      <c r="Z49" s="37">
        <f t="shared" si="32"/>
        <v>78.721320538481407</v>
      </c>
      <c r="AA49" s="37">
        <f t="shared" si="61"/>
        <v>0</v>
      </c>
      <c r="AB49" s="38">
        <f t="shared" si="34"/>
        <v>0</v>
      </c>
      <c r="AC49" s="6"/>
      <c r="AD49" s="43">
        <v>1957</v>
      </c>
      <c r="AE49" s="1">
        <f>VLOOKUP(AD49,Flags!$A$13:$B$95,2,FALSE)</f>
        <v>2</v>
      </c>
      <c r="AF49" s="43">
        <f t="shared" si="6"/>
        <v>515.49969653925621</v>
      </c>
      <c r="AG49" s="43">
        <f t="shared" si="7"/>
        <v>678.53450308303195</v>
      </c>
      <c r="AH49" s="43">
        <f t="shared" si="8"/>
        <v>0</v>
      </c>
      <c r="AI49" s="43">
        <f t="shared" si="9"/>
        <v>22125.812749548037</v>
      </c>
      <c r="AJ49" s="43">
        <f t="shared" si="10"/>
        <v>311.10799308335481</v>
      </c>
      <c r="AK49" s="43">
        <f t="shared" si="1"/>
        <v>242.92148740153667</v>
      </c>
      <c r="AL49" s="43">
        <f t="shared" si="11"/>
        <v>0</v>
      </c>
    </row>
    <row r="50" spans="1:38" x14ac:dyDescent="0.3">
      <c r="A50" s="27">
        <f>VLOOKUP(YEAR(C50),Flags!$A$13:$B$95,2,FALSE)</f>
        <v>4</v>
      </c>
      <c r="B50" s="28">
        <f t="shared" si="2"/>
        <v>1926</v>
      </c>
      <c r="C50" s="29">
        <v>9617</v>
      </c>
      <c r="D50" s="30">
        <f>VLOOKUP($C50,COS!$B$8:$H$991,3,FALSE)</f>
        <v>3250</v>
      </c>
      <c r="E50" s="28">
        <f>IF(D50&gt;=IF(MONTH($C50)=4,$C$3,IF(MONTH($C50)=5,$C$4,IF(MONTH($C50)=6,$C$5,IF(MONTH($C50)=7,$C$6,"ERROR")))),1,0)</f>
        <v>0</v>
      </c>
      <c r="F50" s="30">
        <f>VLOOKUP($C50,COS!$B$8:$H$991,7,FALSE)</f>
        <v>51.212348937988281</v>
      </c>
      <c r="G50" s="28">
        <f>IF(F50&lt;=IF(MONTH($C50)=4,$F$3,IF(MONTH($C50)=5,$F$4,IF(MONTH($C50)=6,$F$5,IF(MONTH($C50)=7,$F$6,"ERROR")))),1,0)</f>
        <v>1</v>
      </c>
      <c r="H50" s="30">
        <f>IF(J50=1,D50-$C$3,0)</f>
        <v>0</v>
      </c>
      <c r="I50" s="30">
        <f t="shared" si="17"/>
        <v>0</v>
      </c>
      <c r="J50" s="28">
        <f t="shared" ref="J50:J53" si="64">IF(AND(E50=1,G50=1),1,0)</f>
        <v>0</v>
      </c>
      <c r="K50" s="30">
        <f>VLOOKUP($C50,COS!$B$8:$H$991,2,FALSE)</f>
        <v>3896.73193359375</v>
      </c>
      <c r="L50" s="28">
        <f t="shared" ref="L50" si="65">IF(K50&lt;=IF(MONTH($C50)=4,$I$3,IF(MONTH($C50)=5,$I$4,IF(MONTH($C50)=6,$I$5,IF(MONTH($C50)=7,$I$6,"ERROR")))),1,0)</f>
        <v>1</v>
      </c>
      <c r="M50" s="28">
        <f t="shared" ref="M50" si="66">VLOOKUP($A50,$L$3:$M$7,2,FALSE)</f>
        <v>1</v>
      </c>
      <c r="N50" s="30">
        <f>VLOOKUP($C50,COS!$B$8:$H$991,5,FALSE)</f>
        <v>52.222553253173828</v>
      </c>
      <c r="O50" s="30">
        <f t="shared" ref="O50:O53" si="67">N50*DAY($C50)*86400/43560/1000</f>
        <v>3.1074577142384427</v>
      </c>
      <c r="P50" s="30">
        <f>VLOOKUP($C50,COS!$B$8:$H$991,6,FALSE)</f>
        <v>311.75833129882813</v>
      </c>
      <c r="Q50" s="30">
        <f t="shared" ref="Q50:Q53" si="68">P50*DAY($C50)*86400/43560/1000</f>
        <v>18.550908969847622</v>
      </c>
      <c r="R50" s="30">
        <f>MIN(IF(MONTH($C50)=4,$S$3,IF(MONTH($C50)=5,$S$4,IF(MONTH($C50)=6,$S$5,IF(MONTH($C50)=7,$S$6,"ERROR")))),MAX(VLOOKUP($C50,COS!$B$8:$K$991,10,FALSE)-IF(MONTH($C50)=4,$Y$3,IF(MONTH($C50)=5,$Y$4,IF(MONTH($C50)=6,$Y$5,IF(MONTH($C50)=7,$Y$6,"ERROR")))),0),MAX(VLOOKUP($C50,COS!$B$8:$K$991,9,FALSE)-IF(MONTH($C50)=4,$V$3,IF(MONTH($C50)=5,$V$4,IF(MONTH($C50)=6,$V$5,IF(MONTH($C50)=7,$V$6,"ERROR"))))-VLOOKUP($C50,COS!$B$8:$K$991,6,FALSE)/2,0))</f>
        <v>1500</v>
      </c>
      <c r="S50" s="30">
        <f t="shared" ref="S50:S53" si="69">R50*DAY($C50)*86400/43560/1000</f>
        <v>89.256198347107429</v>
      </c>
      <c r="T50" s="30">
        <f t="shared" ref="T50:T53" si="70">(O50+Q50)/2+S50</f>
        <v>100.08538168915047</v>
      </c>
      <c r="U50" s="30" t="str">
        <f>IF(VLOOKUP($C50,COS!$B$8:$I$991,8,FALSE)=1,"UWFE","IBU")</f>
        <v>UWFE</v>
      </c>
      <c r="V50" s="30">
        <f t="shared" ref="V50" si="71">MIN(IF(IF($AA$3=2,AND(E50=1,G50=1,L50=1,L55=1,M50=1,U50="IBU"),AND(E50=1,G50=1,L50=1,L55=1,M50=1)),T50,0),I50)</f>
        <v>0</v>
      </c>
      <c r="W50" s="30"/>
      <c r="X50" s="30"/>
      <c r="Y50" s="30"/>
      <c r="Z50" s="30"/>
      <c r="AA50" s="30"/>
      <c r="AB50" s="31"/>
      <c r="AC50" s="6"/>
      <c r="AD50" s="43">
        <v>1958</v>
      </c>
      <c r="AE50" s="1">
        <f>VLOOKUP(AD50,Flags!$A$13:$B$95,2,FALSE)</f>
        <v>1</v>
      </c>
      <c r="AF50" s="43">
        <f t="shared" si="6"/>
        <v>412.32285705061986</v>
      </c>
      <c r="AG50" s="43">
        <f t="shared" si="7"/>
        <v>667.28328076323191</v>
      </c>
      <c r="AH50" s="43">
        <f t="shared" si="8"/>
        <v>0</v>
      </c>
      <c r="AI50" s="43">
        <f t="shared" si="9"/>
        <v>21442.499119641012</v>
      </c>
      <c r="AJ50" s="43">
        <f t="shared" si="10"/>
        <v>93.370713062128743</v>
      </c>
      <c r="AK50" s="43">
        <f t="shared" si="1"/>
        <v>48.244034343120475</v>
      </c>
      <c r="AL50" s="43">
        <f t="shared" si="11"/>
        <v>0</v>
      </c>
    </row>
    <row r="51" spans="1:38" x14ac:dyDescent="0.3">
      <c r="A51" s="32">
        <f>VLOOKUP(YEAR(C51),Flags!$A$13:$B$95,2,FALSE)</f>
        <v>4</v>
      </c>
      <c r="B51" s="24">
        <f t="shared" si="2"/>
        <v>1926</v>
      </c>
      <c r="C51" s="25">
        <v>9648</v>
      </c>
      <c r="D51" s="26">
        <f>VLOOKUP($C51,COS!$B$8:$H$991,3,FALSE)</f>
        <v>8995.443359375</v>
      </c>
      <c r="E51" s="24">
        <f>IF(D51&gt;=IF(MONTH($C51)=4,$C$3,IF(MONTH($C51)=5,$C$4,IF(MONTH($C51)=6,$C$5,IF(MONTH($C51)=7,$C$6,"ERROR")))),1,0)</f>
        <v>1</v>
      </c>
      <c r="F51" s="26">
        <f>VLOOKUP($C51,COS!$B$8:$H$991,7,FALSE)</f>
        <v>50.193782806396484</v>
      </c>
      <c r="G51" s="24">
        <f>IF(F51&lt;=IF(MONTH($C51)=4,$F$3,IF(MONTH($C51)=5,$F$4,IF(MONTH($C51)=6,$F$5,IF(MONTH($C51)=7,$F$6,"ERROR")))),1,0)</f>
        <v>1</v>
      </c>
      <c r="H51" s="26">
        <f>IF(J51=1,D51-$C$4,0)</f>
        <v>2995.443359375</v>
      </c>
      <c r="I51" s="26">
        <f t="shared" si="17"/>
        <v>184.18263300619836</v>
      </c>
      <c r="J51" s="24">
        <f t="shared" si="64"/>
        <v>1</v>
      </c>
      <c r="K51" s="26">
        <f>VLOOKUP($C51,COS!$B$8:$H$991,2,FALSE)</f>
        <v>3570.763671875</v>
      </c>
      <c r="L51" s="24">
        <f t="shared" si="19"/>
        <v>1</v>
      </c>
      <c r="M51" s="24">
        <f t="shared" si="20"/>
        <v>1</v>
      </c>
      <c r="N51" s="26">
        <f>VLOOKUP($C51,COS!$B$8:$H$991,5,FALSE)</f>
        <v>105.33164978027344</v>
      </c>
      <c r="O51" s="26">
        <f t="shared" si="67"/>
        <v>6.476590697233342</v>
      </c>
      <c r="P51" s="26">
        <f>VLOOKUP($C51,COS!$B$8:$H$991,6,FALSE)</f>
        <v>2210.808349609375</v>
      </c>
      <c r="Q51" s="26">
        <f t="shared" si="68"/>
        <v>135.93730678589876</v>
      </c>
      <c r="R51" s="26">
        <f>MIN(IF(MONTH($C51)=4,$S$3,IF(MONTH($C51)=5,$S$4,IF(MONTH($C51)=6,$S$5,IF(MONTH($C51)=7,$S$6,"ERROR")))),MAX(VLOOKUP($C51,COS!$B$8:$K$991,10,FALSE)-IF(MONTH($C51)=4,$Y$3,IF(MONTH($C51)=5,$Y$4,IF(MONTH($C51)=6,$Y$5,IF(MONTH($C51)=7,$Y$6,"ERROR")))),0),MAX(VLOOKUP($C51,COS!$B$8:$K$991,9,FALSE)-IF(MONTH($C51)=4,$V$3,IF(MONTH($C51)=5,$V$4,IF(MONTH($C51)=6,$V$5,IF(MONTH($C51)=7,$V$6,"ERROR"))))-VLOOKUP($C51,COS!$B$8:$K$991,6,FALSE)/2,0))</f>
        <v>1500</v>
      </c>
      <c r="S51" s="26">
        <f t="shared" si="69"/>
        <v>92.231404958677686</v>
      </c>
      <c r="T51" s="26">
        <f t="shared" si="70"/>
        <v>163.43835370024374</v>
      </c>
      <c r="U51" s="26" t="str">
        <f>IF(VLOOKUP($C51,COS!$B$8:$I$991,8,FALSE)=1,"UWFE","IBU")</f>
        <v>IBU</v>
      </c>
      <c r="V51" s="26">
        <f t="shared" ref="V51" si="72">MIN(IF(IF($AA$3=2,AND(E51=1,G51=1,L51=1,L55=1,M51=1,U51="IBU"),AND(E51=1,G51=1,L51=1,L55=1,M51=1)),T51,0),I51)</f>
        <v>163.43835370024374</v>
      </c>
      <c r="W51" s="26"/>
      <c r="X51" s="26"/>
      <c r="Y51" s="26"/>
      <c r="Z51" s="26"/>
      <c r="AA51" s="26"/>
      <c r="AB51" s="33"/>
      <c r="AC51" s="6"/>
      <c r="AD51" s="43">
        <v>1959</v>
      </c>
      <c r="AE51" s="1">
        <f>VLOOKUP(AD51,Flags!$A$13:$B$95,2,FALSE)</f>
        <v>3</v>
      </c>
      <c r="AF51" s="43">
        <f t="shared" si="6"/>
        <v>504.12418001033052</v>
      </c>
      <c r="AG51" s="43">
        <f t="shared" si="7"/>
        <v>681.42011773227659</v>
      </c>
      <c r="AH51" s="43">
        <f t="shared" si="8"/>
        <v>0</v>
      </c>
      <c r="AI51" s="43">
        <f t="shared" si="9"/>
        <v>22296.30887913223</v>
      </c>
      <c r="AJ51" s="43">
        <f t="shared" si="10"/>
        <v>344.76315813048814</v>
      </c>
      <c r="AK51" s="43">
        <f t="shared" si="1"/>
        <v>180.16086248224431</v>
      </c>
      <c r="AL51" s="43">
        <f t="shared" si="11"/>
        <v>0</v>
      </c>
    </row>
    <row r="52" spans="1:38" x14ac:dyDescent="0.3">
      <c r="A52" s="32">
        <f>VLOOKUP(YEAR(C52),Flags!$A$13:$B$95,2,FALSE)</f>
        <v>4</v>
      </c>
      <c r="B52" s="24">
        <f t="shared" si="2"/>
        <v>1926</v>
      </c>
      <c r="C52" s="25">
        <v>9678</v>
      </c>
      <c r="D52" s="26">
        <f>VLOOKUP($C52,COS!$B$8:$H$991,3,FALSE)</f>
        <v>10166.794921875</v>
      </c>
      <c r="E52" s="24">
        <f>IF(D52&gt;=IF(MONTH($C52)=4,$C$3,IF(MONTH($C52)=5,$C$4,IF(MONTH($C52)=6,$C$5,IF(MONTH($C52)=7,$C$6,"ERROR")))),1,0)</f>
        <v>1</v>
      </c>
      <c r="F52" s="26">
        <f>VLOOKUP($C52,COS!$B$8:$H$991,7,FALSE)</f>
        <v>51.801841735839844</v>
      </c>
      <c r="G52" s="24">
        <f>IF(F52&lt;=IF(MONTH($C52)=4,$F$3,IF(MONTH($C52)=5,$F$4,IF(MONTH($C52)=6,$F$5,IF(MONTH($C52)=7,$F$6,"ERROR")))),1,0)</f>
        <v>1</v>
      </c>
      <c r="H52" s="26">
        <f>IF(J52=1,D52-$C$5,0)</f>
        <v>166.794921875</v>
      </c>
      <c r="I52" s="26">
        <f t="shared" si="17"/>
        <v>9.9249870867768593</v>
      </c>
      <c r="J52" s="24">
        <f t="shared" si="64"/>
        <v>1</v>
      </c>
      <c r="K52" s="26">
        <f>VLOOKUP($C52,COS!$B$8:$H$991,2,FALSE)</f>
        <v>3144.499267578125</v>
      </c>
      <c r="L52" s="24">
        <f t="shared" si="19"/>
        <v>1</v>
      </c>
      <c r="M52" s="24">
        <f t="shared" si="20"/>
        <v>1</v>
      </c>
      <c r="N52" s="26">
        <f>VLOOKUP($C52,COS!$B$8:$H$991,5,FALSE)</f>
        <v>393.1129150390625</v>
      </c>
      <c r="O52" s="26">
        <f t="shared" si="67"/>
        <v>23.391842878357437</v>
      </c>
      <c r="P52" s="26">
        <f>VLOOKUP($C52,COS!$B$8:$H$991,6,FALSE)</f>
        <v>2714.961669921875</v>
      </c>
      <c r="Q52" s="26">
        <f t="shared" si="68"/>
        <v>161.55143821022727</v>
      </c>
      <c r="R52" s="26">
        <f>MIN(IF(MONTH($C52)=4,$S$3,IF(MONTH($C52)=5,$S$4,IF(MONTH($C52)=6,$S$5,IF(MONTH($C52)=7,$S$6,"ERROR")))),MAX(VLOOKUP($C52,COS!$B$8:$K$991,10,FALSE)-IF(MONTH($C52)=4,$Y$3,IF(MONTH($C52)=5,$Y$4,IF(MONTH($C52)=6,$Y$5,IF(MONTH($C52)=7,$Y$6,"ERROR")))),0),MAX(VLOOKUP($C52,COS!$B$8:$K$991,9,FALSE)-IF(MONTH($C52)=4,$V$3,IF(MONTH($C52)=5,$V$4,IF(MONTH($C52)=6,$V$5,IF(MONTH($C52)=7,$V$6,"ERROR"))))-VLOOKUP($C52,COS!$B$8:$K$991,6,FALSE)/2,0))</f>
        <v>1500</v>
      </c>
      <c r="S52" s="26">
        <f t="shared" si="69"/>
        <v>89.256198347107429</v>
      </c>
      <c r="T52" s="26">
        <f t="shared" si="70"/>
        <v>181.72783889139978</v>
      </c>
      <c r="U52" s="26" t="str">
        <f>IF(VLOOKUP($C52,COS!$B$8:$I$991,8,FALSE)=1,"UWFE","IBU")</f>
        <v>IBU</v>
      </c>
      <c r="V52" s="26">
        <f t="shared" ref="V52" si="73">MIN(IF(IF($AA$3=2,AND(E52=1,G52=1,L52=1,L55=1,M52=1,U52="IBU"),AND(E52=1,G52=1,L52=1,L55=1,M52=1)),T52,0),I52)</f>
        <v>9.9249870867768593</v>
      </c>
      <c r="W52" s="26"/>
      <c r="X52" s="26"/>
      <c r="Y52" s="26"/>
      <c r="Z52" s="26"/>
      <c r="AA52" s="26"/>
      <c r="AB52" s="33"/>
      <c r="AC52" s="6"/>
      <c r="AD52" s="43">
        <v>1960</v>
      </c>
      <c r="AE52" s="1">
        <f>VLOOKUP(AD52,Flags!$A$13:$B$95,2,FALSE)</f>
        <v>4</v>
      </c>
      <c r="AF52" s="43">
        <f t="shared" si="6"/>
        <v>382.20118737086773</v>
      </c>
      <c r="AG52" s="43">
        <f t="shared" si="7"/>
        <v>605.60543626265098</v>
      </c>
      <c r="AH52" s="43">
        <f t="shared" si="8"/>
        <v>373.34807911770406</v>
      </c>
      <c r="AI52" s="43">
        <f t="shared" si="9"/>
        <v>22673.423001678719</v>
      </c>
      <c r="AJ52" s="43">
        <f t="shared" si="10"/>
        <v>422.76635379003096</v>
      </c>
      <c r="AK52" s="43">
        <f t="shared" si="1"/>
        <v>263.79778449444728</v>
      </c>
      <c r="AL52" s="43">
        <f t="shared" si="11"/>
        <v>263.79778449444728</v>
      </c>
    </row>
    <row r="53" spans="1:38" x14ac:dyDescent="0.3">
      <c r="A53" s="32">
        <f>VLOOKUP(YEAR(C53),Flags!$A$13:$B$95,2,FALSE)</f>
        <v>4</v>
      </c>
      <c r="B53" s="24">
        <f t="shared" si="2"/>
        <v>1926</v>
      </c>
      <c r="C53" s="25">
        <v>9709</v>
      </c>
      <c r="D53" s="26">
        <f>VLOOKUP($C53,COS!$B$8:$H$991,3,FALSE)</f>
        <v>11392.6767578125</v>
      </c>
      <c r="E53" s="24">
        <f>IF(D53&gt;=IF(MONTH($C53)=4,$C$3,IF(MONTH($C53)=5,$C$4,IF(MONTH($C53)=6,$C$5,IF(MONTH($C53)=7,$C$6,"ERROR")))),1,0)</f>
        <v>0</v>
      </c>
      <c r="F53" s="26">
        <f>VLOOKUP($C53,COS!$B$8:$H$991,7,FALSE)</f>
        <v>53.78912353515625</v>
      </c>
      <c r="G53" s="24">
        <f>IF(F53&lt;=IF(MONTH($C53)=4,$F$3,IF(MONTH($C53)=5,$F$4,IF(MONTH($C53)=6,$F$5,IF(MONTH($C53)=7,$F$6,"ERROR")))),1,0)</f>
        <v>0</v>
      </c>
      <c r="H53" s="26">
        <f>IF(J53=1,D53-$C$6,0)</f>
        <v>0</v>
      </c>
      <c r="I53" s="26">
        <f t="shared" si="17"/>
        <v>0</v>
      </c>
      <c r="J53" s="24">
        <f t="shared" si="64"/>
        <v>0</v>
      </c>
      <c r="K53" s="26">
        <f>VLOOKUP($C53,COS!$B$8:$H$991,2,FALSE)</f>
        <v>2700.429443359375</v>
      </c>
      <c r="L53" s="24">
        <f t="shared" si="19"/>
        <v>1</v>
      </c>
      <c r="M53" s="24">
        <f t="shared" si="20"/>
        <v>1</v>
      </c>
      <c r="N53" s="26">
        <f>VLOOKUP($C53,COS!$B$8:$H$991,5,FALSE)</f>
        <v>430.53424072265625</v>
      </c>
      <c r="O53" s="26">
        <f t="shared" si="67"/>
        <v>26.472518603112086</v>
      </c>
      <c r="P53" s="26">
        <f>VLOOKUP($C53,COS!$B$8:$H$991,6,FALSE)</f>
        <v>2538.07568359375</v>
      </c>
      <c r="Q53" s="26">
        <f t="shared" si="68"/>
        <v>156.06019079287191</v>
      </c>
      <c r="R53" s="26">
        <f>MIN(IF(MONTH($C53)=4,$S$3,IF(MONTH($C53)=5,$S$4,IF(MONTH($C53)=6,$S$5,IF(MONTH($C53)=7,$S$6,"ERROR")))),MAX(VLOOKUP($C53,COS!$B$8:$K$991,10,FALSE)-IF(MONTH($C53)=4,$Y$3,IF(MONTH($C53)=5,$Y$4,IF(MONTH($C53)=6,$Y$5,IF(MONTH($C53)=7,$Y$6,"ERROR")))),0),MAX(VLOOKUP($C53,COS!$B$8:$K$991,9,FALSE)-IF(MONTH($C53)=4,$V$3,IF(MONTH($C53)=5,$V$4,IF(MONTH($C53)=6,$V$5,IF(MONTH($C53)=7,$V$6,"ERROR"))))-VLOOKUP($C53,COS!$B$8:$K$991,6,FALSE)/2,0))</f>
        <v>1500</v>
      </c>
      <c r="S53" s="26">
        <f t="shared" si="69"/>
        <v>92.231404958677686</v>
      </c>
      <c r="T53" s="26">
        <f t="shared" si="70"/>
        <v>183.4977596566697</v>
      </c>
      <c r="U53" s="26" t="str">
        <f>IF(VLOOKUP($C53,COS!$B$8:$I$991,8,FALSE)=1,"UWFE","IBU")</f>
        <v>IBU</v>
      </c>
      <c r="V53" s="26">
        <f t="shared" ref="V53" si="74">MIN(IF(IF($AA$3=2,AND(E53=1,G53=1,L53=1,L55=1,M53=1,U53="IBU"),AND(E53=1,G53=1,L53=1,L55=1,M53=1)),T53,0),I53)</f>
        <v>0</v>
      </c>
      <c r="W53" s="26"/>
      <c r="X53" s="26"/>
      <c r="Y53" s="26"/>
      <c r="Z53" s="26"/>
      <c r="AA53" s="26"/>
      <c r="AB53" s="33"/>
      <c r="AC53" s="6"/>
      <c r="AD53" s="43">
        <v>1961</v>
      </c>
      <c r="AE53" s="1">
        <f>VLOOKUP(AD53,Flags!$A$13:$B$95,2,FALSE)</f>
        <v>4</v>
      </c>
      <c r="AF53" s="43">
        <f t="shared" si="6"/>
        <v>359.59358406508261</v>
      </c>
      <c r="AG53" s="43">
        <f t="shared" si="7"/>
        <v>650.41003054784346</v>
      </c>
      <c r="AH53" s="43">
        <f t="shared" si="8"/>
        <v>302.66380377146822</v>
      </c>
      <c r="AI53" s="43">
        <f t="shared" si="9"/>
        <v>22564.776231275828</v>
      </c>
      <c r="AJ53" s="43">
        <f t="shared" si="10"/>
        <v>593.48291451446278</v>
      </c>
      <c r="AK53" s="43">
        <f t="shared" si="1"/>
        <v>456.66467248837802</v>
      </c>
      <c r="AL53" s="43">
        <f t="shared" si="11"/>
        <v>302.66380377146822</v>
      </c>
    </row>
    <row r="54" spans="1:38" x14ac:dyDescent="0.3">
      <c r="A54" s="32">
        <f>VLOOKUP(YEAR(C54),Flags!$A$13:$B$95,2,FALSE)</f>
        <v>4</v>
      </c>
      <c r="B54" s="24">
        <f t="shared" si="2"/>
        <v>1926</v>
      </c>
      <c r="C54" s="25">
        <v>9740</v>
      </c>
      <c r="D54" s="26"/>
      <c r="E54" s="24"/>
      <c r="F54" s="26"/>
      <c r="G54" s="24"/>
      <c r="H54" s="24"/>
      <c r="I54" s="26"/>
      <c r="J54" s="24"/>
      <c r="K54" s="26"/>
      <c r="L54" s="24"/>
      <c r="M54" s="24"/>
      <c r="N54" s="26"/>
      <c r="O54" s="26"/>
      <c r="P54" s="26"/>
      <c r="Q54" s="26"/>
      <c r="R54" s="26"/>
      <c r="S54" s="26"/>
      <c r="T54" s="26"/>
      <c r="U54" s="26"/>
      <c r="V54" s="26"/>
      <c r="W54" s="26">
        <f>MAX($C$7-VLOOKUP($C54,COS!$B$8:$H$991,3,FALSE),0)</f>
        <v>91690.6279296875</v>
      </c>
      <c r="X54" s="26">
        <f t="shared" si="31"/>
        <v>5637.8369569989663</v>
      </c>
      <c r="Y54" s="26">
        <f>VLOOKUP($C54,COS!$B$8:$H$991,4,FALSE)</f>
        <v>1075.45947265625</v>
      </c>
      <c r="Z54" s="26">
        <f t="shared" si="32"/>
        <v>66.127425426136369</v>
      </c>
      <c r="AA54" s="26">
        <f t="shared" ref="AA54:AA58" si="75">MIN(W54,Y54)</f>
        <v>1075.45947265625</v>
      </c>
      <c r="AB54" s="33">
        <f t="shared" ref="AB54" si="76">AA54*DAY($C54)*86400/43560/1000*IF(MONTH($C54)=8,$P$3,IF(MONTH($C54)=9,$P$4,IF(MONTH($C54)=10,$P$5,IF(MONTH($C54)=11,$P$6,IF(MONTH($C54)=12,$P$7,NA())))))</f>
        <v>66.127425426136369</v>
      </c>
      <c r="AC54" s="6"/>
      <c r="AD54" s="43">
        <v>1962</v>
      </c>
      <c r="AE54" s="1">
        <f>VLOOKUP(AD54,Flags!$A$13:$B$95,2,FALSE)</f>
        <v>3</v>
      </c>
      <c r="AF54" s="43">
        <f t="shared" si="6"/>
        <v>350.84847462551647</v>
      </c>
      <c r="AG54" s="43">
        <f t="shared" si="7"/>
        <v>686.24664181543767</v>
      </c>
      <c r="AH54" s="43">
        <f t="shared" si="8"/>
        <v>0</v>
      </c>
      <c r="AI54" s="43">
        <f t="shared" si="9"/>
        <v>22412.439996771696</v>
      </c>
      <c r="AJ54" s="43">
        <f t="shared" si="10"/>
        <v>20.045821845945248</v>
      </c>
      <c r="AK54" s="43">
        <f t="shared" si="1"/>
        <v>20.045821845945248</v>
      </c>
      <c r="AL54" s="43">
        <f t="shared" si="11"/>
        <v>0</v>
      </c>
    </row>
    <row r="55" spans="1:38" x14ac:dyDescent="0.3">
      <c r="A55" s="32">
        <f>VLOOKUP(YEAR(C55),Flags!$A$13:$B$95,2,FALSE)</f>
        <v>4</v>
      </c>
      <c r="B55" s="24">
        <f t="shared" si="2"/>
        <v>1926</v>
      </c>
      <c r="C55" s="25">
        <v>9770</v>
      </c>
      <c r="D55" s="26"/>
      <c r="E55" s="24"/>
      <c r="F55" s="26"/>
      <c r="G55" s="24"/>
      <c r="H55" s="24"/>
      <c r="I55" s="26"/>
      <c r="J55" s="24"/>
      <c r="K55" s="26">
        <f>VLOOKUP($C55,COS!$B$8:$H$991,2,FALSE)</f>
        <v>2281.95703125</v>
      </c>
      <c r="L55" s="24">
        <f t="shared" ref="L55" si="77">IF(AND(K55&gt;$I$7,K55&lt;$I$8),1,0)</f>
        <v>1</v>
      </c>
      <c r="M55" s="24"/>
      <c r="N55" s="26"/>
      <c r="O55" s="26"/>
      <c r="P55" s="26"/>
      <c r="Q55" s="26"/>
      <c r="R55" s="26"/>
      <c r="S55" s="26"/>
      <c r="T55" s="26"/>
      <c r="U55" s="26"/>
      <c r="V55" s="26"/>
      <c r="W55" s="26">
        <f>MAX($C$8-VLOOKUP($C55,COS!$B$8:$H$991,3,FALSE),0)</f>
        <v>95112.1767578125</v>
      </c>
      <c r="X55" s="26">
        <f t="shared" si="31"/>
        <v>5659.5675426136368</v>
      </c>
      <c r="Y55" s="26">
        <f>VLOOKUP($C55,COS!$B$8:$H$991,4,FALSE)</f>
        <v>1022.280029296875</v>
      </c>
      <c r="Z55" s="26">
        <f t="shared" si="32"/>
        <v>60.829886040805789</v>
      </c>
      <c r="AA55" s="26">
        <f t="shared" si="75"/>
        <v>1022.280029296875</v>
      </c>
      <c r="AB55" s="33">
        <f t="shared" si="34"/>
        <v>60.829886040805789</v>
      </c>
      <c r="AD55" s="43">
        <v>1963</v>
      </c>
      <c r="AE55" s="1">
        <f>VLOOKUP(AD55,Flags!$A$13:$B$95,2,FALSE)</f>
        <v>1</v>
      </c>
      <c r="AF55" s="43">
        <f t="shared" si="6"/>
        <v>1727.2135072314047</v>
      </c>
      <c r="AG55" s="43">
        <f t="shared" si="7"/>
        <v>677.1253517503975</v>
      </c>
      <c r="AH55" s="43">
        <f t="shared" si="8"/>
        <v>0</v>
      </c>
      <c r="AI55" s="43">
        <f t="shared" si="9"/>
        <v>21820.52690760589</v>
      </c>
      <c r="AJ55" s="43">
        <f t="shared" si="10"/>
        <v>160.53308410140107</v>
      </c>
      <c r="AK55" s="43">
        <f t="shared" si="1"/>
        <v>106.14043001033058</v>
      </c>
      <c r="AL55" s="43">
        <f t="shared" si="11"/>
        <v>0</v>
      </c>
    </row>
    <row r="56" spans="1:38" x14ac:dyDescent="0.3">
      <c r="A56" s="32">
        <f>VLOOKUP(YEAR(C56),Flags!$A$13:$B$95,2,FALSE)</f>
        <v>4</v>
      </c>
      <c r="B56" s="24">
        <f t="shared" si="2"/>
        <v>1926</v>
      </c>
      <c r="C56" s="25">
        <v>9801</v>
      </c>
      <c r="D56" s="26"/>
      <c r="E56" s="24"/>
      <c r="F56" s="26"/>
      <c r="G56" s="26"/>
      <c r="H56" s="26"/>
      <c r="I56" s="26"/>
      <c r="J56" s="26"/>
      <c r="K56" s="26"/>
      <c r="L56" s="24"/>
      <c r="M56" s="24"/>
      <c r="N56" s="26"/>
      <c r="O56" s="26"/>
      <c r="P56" s="26"/>
      <c r="Q56" s="26"/>
      <c r="R56" s="26"/>
      <c r="S56" s="26"/>
      <c r="T56" s="26"/>
      <c r="U56" s="26"/>
      <c r="V56" s="26"/>
      <c r="W56" s="26">
        <f>MAX($C$9-VLOOKUP($C56,COS!$B$8:$H$991,3,FALSE),0)</f>
        <v>95397.3447265625</v>
      </c>
      <c r="X56" s="26">
        <f t="shared" si="31"/>
        <v>5865.7540889721076</v>
      </c>
      <c r="Y56" s="26">
        <f>VLOOKUP($C56,COS!$B$8:$H$991,4,FALSE)</f>
        <v>1559.9654541015625</v>
      </c>
      <c r="Z56" s="26">
        <f t="shared" si="32"/>
        <v>95.918537012525817</v>
      </c>
      <c r="AA56" s="26">
        <f t="shared" si="75"/>
        <v>1559.9654541015625</v>
      </c>
      <c r="AB56" s="33">
        <f t="shared" si="34"/>
        <v>95.918537012525817</v>
      </c>
      <c r="AD56" s="43">
        <v>1964</v>
      </c>
      <c r="AE56" s="1">
        <f>VLOOKUP(AD56,Flags!$A$13:$B$95,2,FALSE)</f>
        <v>4</v>
      </c>
      <c r="AF56" s="43">
        <f t="shared" si="6"/>
        <v>202.95327447055786</v>
      </c>
      <c r="AG56" s="43">
        <f t="shared" si="7"/>
        <v>649.6019249782089</v>
      </c>
      <c r="AH56" s="43">
        <f t="shared" si="8"/>
        <v>202.95327447055786</v>
      </c>
      <c r="AI56" s="43">
        <f t="shared" si="9"/>
        <v>22854.937322766011</v>
      </c>
      <c r="AJ56" s="43">
        <f t="shared" si="10"/>
        <v>318.52011081159606</v>
      </c>
      <c r="AK56" s="43">
        <f t="shared" si="1"/>
        <v>259.26403715779958</v>
      </c>
      <c r="AL56" s="43">
        <f t="shared" si="11"/>
        <v>202.95327447055786</v>
      </c>
    </row>
    <row r="57" spans="1:38" x14ac:dyDescent="0.3">
      <c r="A57" s="32">
        <f>VLOOKUP(YEAR(C57),Flags!$A$13:$B$95,2,FALSE)</f>
        <v>4</v>
      </c>
      <c r="B57" s="24">
        <f t="shared" si="2"/>
        <v>1926</v>
      </c>
      <c r="C57" s="25">
        <v>9831</v>
      </c>
      <c r="D57" s="26"/>
      <c r="E57" s="24"/>
      <c r="F57" s="26"/>
      <c r="G57" s="26"/>
      <c r="H57" s="26"/>
      <c r="I57" s="26"/>
      <c r="J57" s="26"/>
      <c r="K57" s="26"/>
      <c r="L57" s="24"/>
      <c r="M57" s="24"/>
      <c r="N57" s="26"/>
      <c r="O57" s="26"/>
      <c r="P57" s="26"/>
      <c r="Q57" s="26"/>
      <c r="R57" s="26"/>
      <c r="S57" s="26"/>
      <c r="T57" s="26"/>
      <c r="U57" s="26"/>
      <c r="V57" s="26"/>
      <c r="W57" s="26">
        <f>MAX($C$10-VLOOKUP($C57,COS!$B$8:$H$991,3,FALSE),0)</f>
        <v>96749</v>
      </c>
      <c r="X57" s="26">
        <f t="shared" si="31"/>
        <v>5756.965289256198</v>
      </c>
      <c r="Y57" s="26">
        <f>VLOOKUP($C57,COS!$B$8:$H$991,4,FALSE)</f>
        <v>0</v>
      </c>
      <c r="Z57" s="26">
        <f t="shared" si="32"/>
        <v>0</v>
      </c>
      <c r="AA57" s="26">
        <f t="shared" si="75"/>
        <v>0</v>
      </c>
      <c r="AB57" s="33">
        <f t="shared" si="34"/>
        <v>0</v>
      </c>
      <c r="AD57" s="43">
        <v>1965</v>
      </c>
      <c r="AE57" s="1">
        <f>VLOOKUP(AD57,Flags!$A$13:$B$95,2,FALSE)</f>
        <v>1</v>
      </c>
      <c r="AF57" s="43">
        <f t="shared" si="6"/>
        <v>332.63346364927685</v>
      </c>
      <c r="AG57" s="43">
        <f t="shared" si="7"/>
        <v>667.59995301743174</v>
      </c>
      <c r="AH57" s="43">
        <f t="shared" si="8"/>
        <v>0</v>
      </c>
      <c r="AI57" s="43">
        <f t="shared" si="9"/>
        <v>21882.578600206609</v>
      </c>
      <c r="AJ57" s="43">
        <f t="shared" si="10"/>
        <v>84.214305308948866</v>
      </c>
      <c r="AK57" s="43">
        <f t="shared" si="1"/>
        <v>71.566032654313005</v>
      </c>
      <c r="AL57" s="43">
        <f t="shared" si="11"/>
        <v>0</v>
      </c>
    </row>
    <row r="58" spans="1:38" x14ac:dyDescent="0.3">
      <c r="A58" s="34">
        <f>VLOOKUP(YEAR(C58),Flags!$A$13:$B$95,2,FALSE)</f>
        <v>4</v>
      </c>
      <c r="B58" s="35">
        <f t="shared" si="2"/>
        <v>1926</v>
      </c>
      <c r="C58" s="36">
        <v>9862</v>
      </c>
      <c r="D58" s="37"/>
      <c r="E58" s="35"/>
      <c r="F58" s="37"/>
      <c r="G58" s="37"/>
      <c r="H58" s="37"/>
      <c r="I58" s="37"/>
      <c r="J58" s="37"/>
      <c r="K58" s="37"/>
      <c r="L58" s="35"/>
      <c r="M58" s="35"/>
      <c r="N58" s="37"/>
      <c r="O58" s="37"/>
      <c r="P58" s="37"/>
      <c r="Q58" s="37"/>
      <c r="R58" s="37"/>
      <c r="S58" s="37"/>
      <c r="T58" s="37"/>
      <c r="U58" s="37"/>
      <c r="V58" s="37"/>
      <c r="W58" s="37">
        <f>MAX($C$11-VLOOKUP($C58,COS!$B$8:$H$991,3,FALSE),0)</f>
        <v>0</v>
      </c>
      <c r="X58" s="37">
        <f t="shared" si="31"/>
        <v>0</v>
      </c>
      <c r="Y58" s="37">
        <f>VLOOKUP($C58,COS!$B$8:$H$991,4,FALSE)</f>
        <v>0</v>
      </c>
      <c r="Z58" s="37">
        <f t="shared" si="32"/>
        <v>0</v>
      </c>
      <c r="AA58" s="37">
        <f t="shared" si="75"/>
        <v>0</v>
      </c>
      <c r="AB58" s="38">
        <f t="shared" si="34"/>
        <v>0</v>
      </c>
      <c r="AD58" s="43">
        <v>1966</v>
      </c>
      <c r="AE58" s="1">
        <f>VLOOKUP(AD58,Flags!$A$13:$B$95,2,FALSE)</f>
        <v>3</v>
      </c>
      <c r="AF58" s="43">
        <f t="shared" si="6"/>
        <v>622.64396629648752</v>
      </c>
      <c r="AG58" s="43">
        <f t="shared" si="7"/>
        <v>692.24323587212677</v>
      </c>
      <c r="AH58" s="43">
        <f t="shared" si="8"/>
        <v>0</v>
      </c>
      <c r="AI58" s="43">
        <f t="shared" si="9"/>
        <v>22397.089360149792</v>
      </c>
      <c r="AJ58" s="43">
        <f t="shared" si="10"/>
        <v>202.35919891609635</v>
      </c>
      <c r="AK58" s="43">
        <f t="shared" si="1"/>
        <v>167.80600934998063</v>
      </c>
      <c r="AL58" s="43">
        <f t="shared" si="11"/>
        <v>0</v>
      </c>
    </row>
    <row r="59" spans="1:38" x14ac:dyDescent="0.3">
      <c r="A59" s="27">
        <f>VLOOKUP(YEAR(C59),Flags!$A$13:$B$95,2,FALSE)</f>
        <v>2</v>
      </c>
      <c r="B59" s="28">
        <f t="shared" si="2"/>
        <v>1927</v>
      </c>
      <c r="C59" s="29">
        <v>9982</v>
      </c>
      <c r="D59" s="30">
        <f>VLOOKUP($C59,COS!$B$8:$H$991,3,FALSE)</f>
        <v>9794.8115234375</v>
      </c>
      <c r="E59" s="28">
        <f>IF(D59&gt;=IF(MONTH($C59)=4,$C$3,IF(MONTH($C59)=5,$C$4,IF(MONTH($C59)=6,$C$5,IF(MONTH($C59)=7,$C$6,"ERROR")))),1,0)</f>
        <v>1</v>
      </c>
      <c r="F59" s="30">
        <f>VLOOKUP($C59,COS!$B$8:$H$991,7,FALSE)</f>
        <v>47.578723907470703</v>
      </c>
      <c r="G59" s="28">
        <f>IF(F59&lt;=IF(MONTH($C59)=4,$F$3,IF(MONTH($C59)=5,$F$4,IF(MONTH($C59)=6,$F$5,IF(MONTH($C59)=7,$F$6,"ERROR")))),1,0)</f>
        <v>1</v>
      </c>
      <c r="H59" s="30">
        <f>IF(J59=1,D59-$C$3,0)</f>
        <v>3794.8115234375</v>
      </c>
      <c r="I59" s="30">
        <f t="shared" si="17"/>
        <v>225.8069666838843</v>
      </c>
      <c r="J59" s="28">
        <f t="shared" ref="J59:J62" si="78">IF(AND(E59=1,G59=1),1,0)</f>
        <v>1</v>
      </c>
      <c r="K59" s="30">
        <f>VLOOKUP($C59,COS!$B$8:$H$991,2,FALSE)</f>
        <v>4552</v>
      </c>
      <c r="L59" s="28">
        <f t="shared" ref="L59" si="79">IF(K59&lt;=IF(MONTH($C59)=4,$I$3,IF(MONTH($C59)=5,$I$4,IF(MONTH($C59)=6,$I$5,IF(MONTH($C59)=7,$I$6,"ERROR")))),1,0)</f>
        <v>1</v>
      </c>
      <c r="M59" s="28">
        <f t="shared" ref="M59" si="80">VLOOKUP($A59,$L$3:$M$7,2,FALSE)</f>
        <v>0</v>
      </c>
      <c r="N59" s="30">
        <f>VLOOKUP($C59,COS!$B$8:$H$991,5,FALSE)</f>
        <v>550.79229736328125</v>
      </c>
      <c r="O59" s="30">
        <f t="shared" ref="O59:O62" si="81">N59*DAY($C59)*86400/43560/1000</f>
        <v>32.77441769434401</v>
      </c>
      <c r="P59" s="30">
        <f>VLOOKUP($C59,COS!$B$8:$H$991,6,FALSE)</f>
        <v>486.04421997070313</v>
      </c>
      <c r="Q59" s="30">
        <f t="shared" ref="Q59:Q62" si="82">P59*DAY($C59)*86400/43560/1000</f>
        <v>28.921639535446797</v>
      </c>
      <c r="R59" s="30">
        <f>MIN(IF(MONTH($C59)=4,$S$3,IF(MONTH($C59)=5,$S$4,IF(MONTH($C59)=6,$S$5,IF(MONTH($C59)=7,$S$6,"ERROR")))),MAX(VLOOKUP($C59,COS!$B$8:$K$991,10,FALSE)-IF(MONTH($C59)=4,$Y$3,IF(MONTH($C59)=5,$Y$4,IF(MONTH($C59)=6,$Y$5,IF(MONTH($C59)=7,$Y$6,"ERROR")))),0),MAX(VLOOKUP($C59,COS!$B$8:$K$991,9,FALSE)-IF(MONTH($C59)=4,$V$3,IF(MONTH($C59)=5,$V$4,IF(MONTH($C59)=6,$V$5,IF(MONTH($C59)=7,$V$6,"ERROR"))))-VLOOKUP($C59,COS!$B$8:$K$991,6,FALSE)/2,0))</f>
        <v>1500</v>
      </c>
      <c r="S59" s="30">
        <f t="shared" ref="S59:S62" si="83">R59*DAY($C59)*86400/43560/1000</f>
        <v>89.256198347107429</v>
      </c>
      <c r="T59" s="30">
        <f t="shared" ref="T59:T62" si="84">(O59+Q59)/2+S59</f>
        <v>120.10422696200283</v>
      </c>
      <c r="U59" s="30" t="str">
        <f>IF(VLOOKUP($C59,COS!$B$8:$I$991,8,FALSE)=1,"UWFE","IBU")</f>
        <v>UWFE</v>
      </c>
      <c r="V59" s="30">
        <f t="shared" ref="V59" si="85">MIN(IF(IF($AA$3=2,AND(E59=1,G59=1,L59=1,L64=1,M59=1,U59="IBU"),AND(E59=1,G59=1,L59=1,L64=1,M59=1)),T59,0),I59)</f>
        <v>0</v>
      </c>
      <c r="W59" s="30"/>
      <c r="X59" s="30"/>
      <c r="Y59" s="30"/>
      <c r="Z59" s="30"/>
      <c r="AA59" s="30"/>
      <c r="AB59" s="31"/>
      <c r="AD59" s="43">
        <v>1967</v>
      </c>
      <c r="AE59" s="1">
        <f>VLOOKUP(AD59,Flags!$A$13:$B$95,2,FALSE)</f>
        <v>1</v>
      </c>
      <c r="AF59" s="43">
        <f t="shared" si="6"/>
        <v>650.62075025826448</v>
      </c>
      <c r="AG59" s="43">
        <f t="shared" si="7"/>
        <v>666.82755976905503</v>
      </c>
      <c r="AH59" s="43">
        <f t="shared" si="8"/>
        <v>0</v>
      </c>
      <c r="AI59" s="43">
        <f t="shared" si="9"/>
        <v>21797.730382554237</v>
      </c>
      <c r="AJ59" s="43">
        <f t="shared" si="10"/>
        <v>121.2366370133329</v>
      </c>
      <c r="AK59" s="43">
        <f t="shared" si="1"/>
        <v>69.908479326736824</v>
      </c>
      <c r="AL59" s="43">
        <f t="shared" si="11"/>
        <v>0</v>
      </c>
    </row>
    <row r="60" spans="1:38" x14ac:dyDescent="0.3">
      <c r="A60" s="32">
        <f>VLOOKUP(YEAR(C60),Flags!$A$13:$B$95,2,FALSE)</f>
        <v>2</v>
      </c>
      <c r="B60" s="24">
        <f t="shared" si="2"/>
        <v>1927</v>
      </c>
      <c r="C60" s="25">
        <v>10013</v>
      </c>
      <c r="D60" s="26">
        <f>VLOOKUP($C60,COS!$B$8:$H$991,3,FALSE)</f>
        <v>7714.3828125</v>
      </c>
      <c r="E60" s="24">
        <f>IF(D60&gt;=IF(MONTH($C60)=4,$C$3,IF(MONTH($C60)=5,$C$4,IF(MONTH($C60)=6,$C$5,IF(MONTH($C60)=7,$C$6,"ERROR")))),1,0)</f>
        <v>1</v>
      </c>
      <c r="F60" s="26">
        <f>VLOOKUP($C60,COS!$B$8:$H$991,7,FALSE)</f>
        <v>50.201419830322266</v>
      </c>
      <c r="G60" s="24">
        <f>IF(F60&lt;=IF(MONTH($C60)=4,$F$3,IF(MONTH($C60)=5,$F$4,IF(MONTH($C60)=6,$F$5,IF(MONTH($C60)=7,$F$6,"ERROR")))),1,0)</f>
        <v>1</v>
      </c>
      <c r="H60" s="26">
        <f>IF(J60=1,D60-$C$4,0)</f>
        <v>1714.3828125</v>
      </c>
      <c r="I60" s="26">
        <f t="shared" si="17"/>
        <v>105.4132902892562</v>
      </c>
      <c r="J60" s="24">
        <f t="shared" si="78"/>
        <v>1</v>
      </c>
      <c r="K60" s="26">
        <f>VLOOKUP($C60,COS!$B$8:$H$991,2,FALSE)</f>
        <v>4552</v>
      </c>
      <c r="L60" s="24">
        <f t="shared" si="19"/>
        <v>1</v>
      </c>
      <c r="M60" s="24">
        <f t="shared" si="20"/>
        <v>0</v>
      </c>
      <c r="N60" s="26">
        <f>VLOOKUP($C60,COS!$B$8:$H$991,5,FALSE)</f>
        <v>894.1383056640625</v>
      </c>
      <c r="O60" s="26">
        <f t="shared" si="81"/>
        <v>54.978421439178717</v>
      </c>
      <c r="P60" s="26">
        <f>VLOOKUP($C60,COS!$B$8:$H$991,6,FALSE)</f>
        <v>2249.693359375</v>
      </c>
      <c r="Q60" s="26">
        <f t="shared" si="82"/>
        <v>138.3282528409091</v>
      </c>
      <c r="R60" s="26">
        <f>MIN(IF(MONTH($C60)=4,$S$3,IF(MONTH($C60)=5,$S$4,IF(MONTH($C60)=6,$S$5,IF(MONTH($C60)=7,$S$6,"ERROR")))),MAX(VLOOKUP($C60,COS!$B$8:$K$991,10,FALSE)-IF(MONTH($C60)=4,$Y$3,IF(MONTH($C60)=5,$Y$4,IF(MONTH($C60)=6,$Y$5,IF(MONTH($C60)=7,$Y$6,"ERROR")))),0),MAX(VLOOKUP($C60,COS!$B$8:$K$991,9,FALSE)-IF(MONTH($C60)=4,$V$3,IF(MONTH($C60)=5,$V$4,IF(MONTH($C60)=6,$V$5,IF(MONTH($C60)=7,$V$6,"ERROR"))))-VLOOKUP($C60,COS!$B$8:$K$991,6,FALSE)/2,0))</f>
        <v>1500</v>
      </c>
      <c r="S60" s="26">
        <f t="shared" si="83"/>
        <v>92.231404958677686</v>
      </c>
      <c r="T60" s="26">
        <f t="shared" si="84"/>
        <v>188.88474209872157</v>
      </c>
      <c r="U60" s="26" t="str">
        <f>IF(VLOOKUP($C60,COS!$B$8:$I$991,8,FALSE)=1,"UWFE","IBU")</f>
        <v>UWFE</v>
      </c>
      <c r="V60" s="26">
        <f t="shared" ref="V60" si="86">MIN(IF(IF($AA$3=2,AND(E60=1,G60=1,L60=1,L64=1,M60=1,U60="IBU"),AND(E60=1,G60=1,L60=1,L64=1,M60=1)),T60,0),I60)</f>
        <v>0</v>
      </c>
      <c r="W60" s="26"/>
      <c r="X60" s="26"/>
      <c r="Y60" s="26"/>
      <c r="Z60" s="26"/>
      <c r="AA60" s="26"/>
      <c r="AB60" s="33"/>
      <c r="AD60" s="43">
        <v>1968</v>
      </c>
      <c r="AE60" s="1">
        <f>VLOOKUP(AD60,Flags!$A$13:$B$95,2,FALSE)</f>
        <v>3</v>
      </c>
      <c r="AF60" s="43">
        <f t="shared" si="6"/>
        <v>497.01562403150825</v>
      </c>
      <c r="AG60" s="43">
        <f t="shared" si="7"/>
        <v>644.81326589537048</v>
      </c>
      <c r="AH60" s="43">
        <f t="shared" si="8"/>
        <v>0</v>
      </c>
      <c r="AI60" s="43">
        <f t="shared" si="9"/>
        <v>22802.487009297522</v>
      </c>
      <c r="AJ60" s="43">
        <f t="shared" si="10"/>
        <v>131.14432005827092</v>
      </c>
      <c r="AK60" s="43">
        <f t="shared" si="1"/>
        <v>117.78686721171229</v>
      </c>
      <c r="AL60" s="43">
        <f t="shared" si="11"/>
        <v>0</v>
      </c>
    </row>
    <row r="61" spans="1:38" x14ac:dyDescent="0.3">
      <c r="A61" s="32">
        <f>VLOOKUP(YEAR(C61),Flags!$A$13:$B$95,2,FALSE)</f>
        <v>2</v>
      </c>
      <c r="B61" s="24">
        <f t="shared" si="2"/>
        <v>1927</v>
      </c>
      <c r="C61" s="25">
        <v>10043</v>
      </c>
      <c r="D61" s="26">
        <f>VLOOKUP($C61,COS!$B$8:$H$991,3,FALSE)</f>
        <v>8988.9208984375</v>
      </c>
      <c r="E61" s="24">
        <f>IF(D61&gt;=IF(MONTH($C61)=4,$C$3,IF(MONTH($C61)=5,$C$4,IF(MONTH($C61)=6,$C$5,IF(MONTH($C61)=7,$C$6,"ERROR")))),1,0)</f>
        <v>0</v>
      </c>
      <c r="F61" s="26">
        <f>VLOOKUP($C61,COS!$B$8:$H$991,7,FALSE)</f>
        <v>51.129753112792969</v>
      </c>
      <c r="G61" s="24">
        <f>IF(F61&lt;=IF(MONTH($C61)=4,$F$3,IF(MONTH($C61)=5,$F$4,IF(MONTH($C61)=6,$F$5,IF(MONTH($C61)=7,$F$6,"ERROR")))),1,0)</f>
        <v>1</v>
      </c>
      <c r="H61" s="26">
        <f>IF(J61=1,D61-$C$5,0)</f>
        <v>0</v>
      </c>
      <c r="I61" s="26">
        <f t="shared" si="17"/>
        <v>0</v>
      </c>
      <c r="J61" s="24">
        <f t="shared" si="78"/>
        <v>0</v>
      </c>
      <c r="K61" s="26">
        <f>VLOOKUP($C61,COS!$B$8:$H$991,2,FALSE)</f>
        <v>4290.38525390625</v>
      </c>
      <c r="L61" s="24">
        <f t="shared" si="19"/>
        <v>1</v>
      </c>
      <c r="M61" s="24">
        <f t="shared" si="20"/>
        <v>0</v>
      </c>
      <c r="N61" s="26">
        <f>VLOOKUP($C61,COS!$B$8:$H$991,5,FALSE)</f>
        <v>1054.7291259765625</v>
      </c>
      <c r="O61" s="26">
        <f t="shared" si="81"/>
        <v>62.760741380423553</v>
      </c>
      <c r="P61" s="26">
        <f>VLOOKUP($C61,COS!$B$8:$H$991,6,FALSE)</f>
        <v>2141.721923828125</v>
      </c>
      <c r="Q61" s="26">
        <f t="shared" si="82"/>
        <v>127.44130455836778</v>
      </c>
      <c r="R61" s="26">
        <f>MIN(IF(MONTH($C61)=4,$S$3,IF(MONTH($C61)=5,$S$4,IF(MONTH($C61)=6,$S$5,IF(MONTH($C61)=7,$S$6,"ERROR")))),MAX(VLOOKUP($C61,COS!$B$8:$K$991,10,FALSE)-IF(MONTH($C61)=4,$Y$3,IF(MONTH($C61)=5,$Y$4,IF(MONTH($C61)=6,$Y$5,IF(MONTH($C61)=7,$Y$6,"ERROR")))),0),MAX(VLOOKUP($C61,COS!$B$8:$K$991,9,FALSE)-IF(MONTH($C61)=4,$V$3,IF(MONTH($C61)=5,$V$4,IF(MONTH($C61)=6,$V$5,IF(MONTH($C61)=7,$V$6,"ERROR"))))-VLOOKUP($C61,COS!$B$8:$K$991,6,FALSE)/2,0))</f>
        <v>1500</v>
      </c>
      <c r="S61" s="26">
        <f t="shared" si="83"/>
        <v>89.256198347107429</v>
      </c>
      <c r="T61" s="26">
        <f t="shared" si="84"/>
        <v>184.35722131650311</v>
      </c>
      <c r="U61" s="26" t="str">
        <f>IF(VLOOKUP($C61,COS!$B$8:$I$991,8,FALSE)=1,"UWFE","IBU")</f>
        <v>UWFE</v>
      </c>
      <c r="V61" s="26">
        <f t="shared" ref="V61" si="87">MIN(IF(IF($AA$3=2,AND(E61=1,G61=1,L61=1,L64=1,M61=1,U61="IBU"),AND(E61=1,G61=1,L61=1,L64=1,M61=1)),T61,0),I61)</f>
        <v>0</v>
      </c>
      <c r="W61" s="26"/>
      <c r="X61" s="26"/>
      <c r="Y61" s="26"/>
      <c r="Z61" s="26"/>
      <c r="AA61" s="26"/>
      <c r="AB61" s="33"/>
      <c r="AD61" s="43">
        <v>1969</v>
      </c>
      <c r="AE61" s="1">
        <f>VLOOKUP(AD61,Flags!$A$13:$B$95,2,FALSE)</f>
        <v>1</v>
      </c>
      <c r="AF61" s="43">
        <f t="shared" si="6"/>
        <v>438.45833871384298</v>
      </c>
      <c r="AG61" s="43">
        <f t="shared" si="7"/>
        <v>692.78652045131707</v>
      </c>
      <c r="AH61" s="43">
        <f t="shared" si="8"/>
        <v>0</v>
      </c>
      <c r="AI61" s="43">
        <f t="shared" si="9"/>
        <v>22009.915055849688</v>
      </c>
      <c r="AJ61" s="43">
        <f t="shared" si="10"/>
        <v>17.674964503769047</v>
      </c>
      <c r="AK61" s="43">
        <f t="shared" si="1"/>
        <v>17.674964503769047</v>
      </c>
      <c r="AL61" s="43">
        <f t="shared" si="11"/>
        <v>0</v>
      </c>
    </row>
    <row r="62" spans="1:38" x14ac:dyDescent="0.3">
      <c r="A62" s="32">
        <f>VLOOKUP(YEAR(C62),Flags!$A$13:$B$95,2,FALSE)</f>
        <v>2</v>
      </c>
      <c r="B62" s="24">
        <f t="shared" si="2"/>
        <v>1927</v>
      </c>
      <c r="C62" s="25">
        <v>10074</v>
      </c>
      <c r="D62" s="26">
        <f>VLOOKUP($C62,COS!$B$8:$H$991,3,FALSE)</f>
        <v>16000</v>
      </c>
      <c r="E62" s="24">
        <f>IF(D62&gt;=IF(MONTH($C62)=4,$C$3,IF(MONTH($C62)=5,$C$4,IF(MONTH($C62)=6,$C$5,IF(MONTH($C62)=7,$C$6,"ERROR")))),1,0)</f>
        <v>1</v>
      </c>
      <c r="F62" s="26">
        <f>VLOOKUP($C62,COS!$B$8:$H$991,7,FALSE)</f>
        <v>51.332504272460938</v>
      </c>
      <c r="G62" s="24">
        <f>IF(F62&lt;=IF(MONTH($C62)=4,$F$3,IF(MONTH($C62)=5,$F$4,IF(MONTH($C62)=6,$F$5,IF(MONTH($C62)=7,$F$6,"ERROR")))),1,0)</f>
        <v>1</v>
      </c>
      <c r="H62" s="26">
        <f>IF(J62=1,D62-$C$6,0)</f>
        <v>4000</v>
      </c>
      <c r="I62" s="26">
        <f t="shared" si="17"/>
        <v>245.95041322314049</v>
      </c>
      <c r="J62" s="24">
        <f t="shared" si="78"/>
        <v>1</v>
      </c>
      <c r="K62" s="26">
        <f>VLOOKUP($C62,COS!$B$8:$H$991,2,FALSE)</f>
        <v>3557.699462890625</v>
      </c>
      <c r="L62" s="24">
        <f t="shared" si="19"/>
        <v>1</v>
      </c>
      <c r="M62" s="24">
        <f t="shared" si="20"/>
        <v>0</v>
      </c>
      <c r="N62" s="26">
        <f>VLOOKUP($C62,COS!$B$8:$H$991,5,FALSE)</f>
        <v>1278.4688720703125</v>
      </c>
      <c r="O62" s="26">
        <f t="shared" si="81"/>
        <v>78.609986844653918</v>
      </c>
      <c r="P62" s="26">
        <f>VLOOKUP($C62,COS!$B$8:$H$991,6,FALSE)</f>
        <v>2521.474853515625</v>
      </c>
      <c r="Q62" s="26">
        <f t="shared" si="82"/>
        <v>155.0394455384814</v>
      </c>
      <c r="R62" s="26">
        <f>MIN(IF(MONTH($C62)=4,$S$3,IF(MONTH($C62)=5,$S$4,IF(MONTH($C62)=6,$S$5,IF(MONTH($C62)=7,$S$6,"ERROR")))),MAX(VLOOKUP($C62,COS!$B$8:$K$991,10,FALSE)-IF(MONTH($C62)=4,$Y$3,IF(MONTH($C62)=5,$Y$4,IF(MONTH($C62)=6,$Y$5,IF(MONTH($C62)=7,$Y$6,"ERROR")))),0),MAX(VLOOKUP($C62,COS!$B$8:$K$991,9,FALSE)-IF(MONTH($C62)=4,$V$3,IF(MONTH($C62)=5,$V$4,IF(MONTH($C62)=6,$V$5,IF(MONTH($C62)=7,$V$6,"ERROR"))))-VLOOKUP($C62,COS!$B$8:$K$991,6,FALSE)/2,0))</f>
        <v>1500</v>
      </c>
      <c r="S62" s="26">
        <f t="shared" si="83"/>
        <v>92.231404958677686</v>
      </c>
      <c r="T62" s="26">
        <f t="shared" si="84"/>
        <v>209.05612115024536</v>
      </c>
      <c r="U62" s="26" t="str">
        <f>IF(VLOOKUP($C62,COS!$B$8:$I$991,8,FALSE)=1,"UWFE","IBU")</f>
        <v>IBU</v>
      </c>
      <c r="V62" s="26">
        <f t="shared" ref="V62" si="88">MIN(IF(IF($AA$3=2,AND(E62=1,G62=1,L62=1,L64=1,M62=1,U62="IBU"),AND(E62=1,G62=1,L62=1,L64=1,M62=1)),T62,0),I62)</f>
        <v>0</v>
      </c>
      <c r="W62" s="26"/>
      <c r="X62" s="26"/>
      <c r="Y62" s="26"/>
      <c r="Z62" s="26"/>
      <c r="AA62" s="26"/>
      <c r="AB62" s="33"/>
      <c r="AD62" s="43">
        <v>1970</v>
      </c>
      <c r="AE62" s="1">
        <f>VLOOKUP(AD62,Flags!$A$13:$B$95,2,FALSE)</f>
        <v>1</v>
      </c>
      <c r="AF62" s="43">
        <f t="shared" si="6"/>
        <v>344.98198799070246</v>
      </c>
      <c r="AG62" s="43">
        <f t="shared" si="7"/>
        <v>613.52775824428591</v>
      </c>
      <c r="AH62" s="43">
        <f t="shared" si="8"/>
        <v>0</v>
      </c>
      <c r="AI62" s="43">
        <f t="shared" si="9"/>
        <v>21656.512585227272</v>
      </c>
      <c r="AJ62" s="43">
        <f t="shared" si="10"/>
        <v>170.52140419195507</v>
      </c>
      <c r="AK62" s="43">
        <f t="shared" si="1"/>
        <v>137.42072342297263</v>
      </c>
      <c r="AL62" s="43">
        <f t="shared" si="11"/>
        <v>0</v>
      </c>
    </row>
    <row r="63" spans="1:38" x14ac:dyDescent="0.3">
      <c r="A63" s="32">
        <f>VLOOKUP(YEAR(C63),Flags!$A$13:$B$95,2,FALSE)</f>
        <v>2</v>
      </c>
      <c r="B63" s="24">
        <f t="shared" si="2"/>
        <v>1927</v>
      </c>
      <c r="C63" s="25">
        <v>10105</v>
      </c>
      <c r="D63" s="26"/>
      <c r="E63" s="24"/>
      <c r="F63" s="26"/>
      <c r="G63" s="24"/>
      <c r="H63" s="24"/>
      <c r="I63" s="26"/>
      <c r="J63" s="24"/>
      <c r="K63" s="26"/>
      <c r="L63" s="24"/>
      <c r="M63" s="24"/>
      <c r="N63" s="26"/>
      <c r="O63" s="26"/>
      <c r="P63" s="26"/>
      <c r="Q63" s="26"/>
      <c r="R63" s="26"/>
      <c r="S63" s="26"/>
      <c r="T63" s="26"/>
      <c r="U63" s="26"/>
      <c r="V63" s="26"/>
      <c r="W63" s="26">
        <f>MAX($C$7-VLOOKUP($C63,COS!$B$8:$H$991,3,FALSE),0)</f>
        <v>88882.072265625</v>
      </c>
      <c r="X63" s="26">
        <f t="shared" si="31"/>
        <v>5465.1456004648762</v>
      </c>
      <c r="Y63" s="26">
        <f>VLOOKUP($C63,COS!$B$8:$H$991,4,FALSE)</f>
        <v>131.21571350097656</v>
      </c>
      <c r="Z63" s="26">
        <f t="shared" si="32"/>
        <v>8.0681397392336009</v>
      </c>
      <c r="AA63" s="26">
        <f t="shared" ref="AA63:AA67" si="89">MIN(W63,Y63)</f>
        <v>131.21571350097656</v>
      </c>
      <c r="AB63" s="33">
        <f t="shared" ref="AB63" si="90">AA63*DAY($C63)*86400/43560/1000*IF(MONTH($C63)=8,$P$3,IF(MONTH($C63)=9,$P$4,IF(MONTH($C63)=10,$P$5,IF(MONTH($C63)=11,$P$6,IF(MONTH($C63)=12,$P$7,NA())))))</f>
        <v>8.0681397392336009</v>
      </c>
      <c r="AD63" s="43">
        <v>1971</v>
      </c>
      <c r="AE63" s="1">
        <f>VLOOKUP(AD63,Flags!$A$13:$B$95,2,FALSE)</f>
        <v>1</v>
      </c>
      <c r="AF63" s="43">
        <f t="shared" si="6"/>
        <v>413.69826252582646</v>
      </c>
      <c r="AG63" s="43">
        <f t="shared" si="7"/>
        <v>685.45884684917348</v>
      </c>
      <c r="AH63" s="43">
        <f t="shared" si="8"/>
        <v>0</v>
      </c>
      <c r="AI63" s="43">
        <f t="shared" si="9"/>
        <v>21546.728224431819</v>
      </c>
      <c r="AJ63" s="43">
        <f t="shared" si="10"/>
        <v>198.7760154434078</v>
      </c>
      <c r="AK63" s="43">
        <f t="shared" si="1"/>
        <v>148.09176917210098</v>
      </c>
      <c r="AL63" s="43">
        <f t="shared" si="11"/>
        <v>0</v>
      </c>
    </row>
    <row r="64" spans="1:38" x14ac:dyDescent="0.3">
      <c r="A64" s="32">
        <f>VLOOKUP(YEAR(C64),Flags!$A$13:$B$95,2,FALSE)</f>
        <v>2</v>
      </c>
      <c r="B64" s="24">
        <f t="shared" si="2"/>
        <v>1927</v>
      </c>
      <c r="C64" s="25">
        <v>10135</v>
      </c>
      <c r="D64" s="26"/>
      <c r="E64" s="24"/>
      <c r="F64" s="26"/>
      <c r="G64" s="24"/>
      <c r="H64" s="24"/>
      <c r="I64" s="26"/>
      <c r="J64" s="24"/>
      <c r="K64" s="26">
        <f>VLOOKUP($C64,COS!$B$8:$H$991,2,FALSE)</f>
        <v>2812.22802734375</v>
      </c>
      <c r="L64" s="24">
        <f t="shared" ref="L64" si="91">IF(AND(K64&gt;$I$7,K64&lt;$I$8),1,0)</f>
        <v>1</v>
      </c>
      <c r="M64" s="24"/>
      <c r="N64" s="26"/>
      <c r="O64" s="26"/>
      <c r="P64" s="26"/>
      <c r="Q64" s="26"/>
      <c r="R64" s="26"/>
      <c r="S64" s="26"/>
      <c r="T64" s="26"/>
      <c r="U64" s="26"/>
      <c r="V64" s="26"/>
      <c r="W64" s="26">
        <f>MAX($C$8-VLOOKUP($C64,COS!$B$8:$H$991,3,FALSE),0)</f>
        <v>89196.4267578125</v>
      </c>
      <c r="X64" s="26">
        <f t="shared" si="31"/>
        <v>5307.5559723657025</v>
      </c>
      <c r="Y64" s="26">
        <f>VLOOKUP($C64,COS!$B$8:$H$991,4,FALSE)</f>
        <v>0</v>
      </c>
      <c r="Z64" s="26">
        <f t="shared" si="32"/>
        <v>0</v>
      </c>
      <c r="AA64" s="26">
        <f t="shared" si="89"/>
        <v>0</v>
      </c>
      <c r="AB64" s="33">
        <f t="shared" si="34"/>
        <v>0</v>
      </c>
      <c r="AD64" s="43">
        <v>1972</v>
      </c>
      <c r="AE64" s="1">
        <f>VLOOKUP(AD64,Flags!$A$13:$B$95,2,FALSE)</f>
        <v>3</v>
      </c>
      <c r="AF64" s="43">
        <f t="shared" si="6"/>
        <v>529.18486247417354</v>
      </c>
      <c r="AG64" s="43">
        <f t="shared" si="7"/>
        <v>647.49496554792415</v>
      </c>
      <c r="AH64" s="43">
        <f t="shared" si="8"/>
        <v>0</v>
      </c>
      <c r="AI64" s="43">
        <f t="shared" si="9"/>
        <v>22769.86642271436</v>
      </c>
      <c r="AJ64" s="43">
        <f t="shared" si="10"/>
        <v>297.71753264624226</v>
      </c>
      <c r="AK64" s="43">
        <f t="shared" si="1"/>
        <v>229.24088621029185</v>
      </c>
      <c r="AL64" s="43">
        <f t="shared" si="11"/>
        <v>0</v>
      </c>
    </row>
    <row r="65" spans="1:38" x14ac:dyDescent="0.3">
      <c r="A65" s="32">
        <f>VLOOKUP(YEAR(C65),Flags!$A$13:$B$95,2,FALSE)</f>
        <v>2</v>
      </c>
      <c r="B65" s="24">
        <f t="shared" si="2"/>
        <v>1927</v>
      </c>
      <c r="C65" s="25">
        <v>10166</v>
      </c>
      <c r="D65" s="26"/>
      <c r="E65" s="24"/>
      <c r="F65" s="26"/>
      <c r="G65" s="26"/>
      <c r="H65" s="26"/>
      <c r="I65" s="26"/>
      <c r="J65" s="26"/>
      <c r="K65" s="26"/>
      <c r="L65" s="24"/>
      <c r="M65" s="24"/>
      <c r="N65" s="26"/>
      <c r="O65" s="26"/>
      <c r="P65" s="26"/>
      <c r="Q65" s="26"/>
      <c r="R65" s="26"/>
      <c r="S65" s="26"/>
      <c r="T65" s="26"/>
      <c r="U65" s="26"/>
      <c r="V65" s="26"/>
      <c r="W65" s="26">
        <f>MAX($C$9-VLOOKUP($C65,COS!$B$8:$H$991,3,FALSE),0)</f>
        <v>92950.994140625</v>
      </c>
      <c r="X65" s="26">
        <f t="shared" si="31"/>
        <v>5715.3338545971073</v>
      </c>
      <c r="Y65" s="26">
        <f>VLOOKUP($C65,COS!$B$8:$H$991,4,FALSE)</f>
        <v>958.4876708984375</v>
      </c>
      <c r="Z65" s="26">
        <f t="shared" si="32"/>
        <v>58.935109681689049</v>
      </c>
      <c r="AA65" s="26">
        <f t="shared" si="89"/>
        <v>958.4876708984375</v>
      </c>
      <c r="AB65" s="33">
        <f t="shared" si="34"/>
        <v>58.935109681689049</v>
      </c>
      <c r="AD65" s="43">
        <v>1973</v>
      </c>
      <c r="AE65" s="1">
        <f>VLOOKUP(AD65,Flags!$A$13:$B$95,2,FALSE)</f>
        <v>2</v>
      </c>
      <c r="AF65" s="43">
        <f t="shared" si="6"/>
        <v>456.36225174328513</v>
      </c>
      <c r="AG65" s="43">
        <f t="shared" si="7"/>
        <v>697.35026663788096</v>
      </c>
      <c r="AH65" s="43">
        <f t="shared" si="8"/>
        <v>0</v>
      </c>
      <c r="AI65" s="43">
        <f t="shared" si="9"/>
        <v>21090.299418904957</v>
      </c>
      <c r="AJ65" s="43">
        <f t="shared" si="10"/>
        <v>104.91092460695377</v>
      </c>
      <c r="AK65" s="43">
        <f t="shared" si="1"/>
        <v>104.91092460695377</v>
      </c>
      <c r="AL65" s="43">
        <f t="shared" si="11"/>
        <v>0</v>
      </c>
    </row>
    <row r="66" spans="1:38" x14ac:dyDescent="0.3">
      <c r="A66" s="32">
        <f>VLOOKUP(YEAR(C66),Flags!$A$13:$B$95,2,FALSE)</f>
        <v>2</v>
      </c>
      <c r="B66" s="24">
        <f t="shared" si="2"/>
        <v>1927</v>
      </c>
      <c r="C66" s="25">
        <v>10196</v>
      </c>
      <c r="D66" s="26"/>
      <c r="E66" s="24"/>
      <c r="F66" s="26"/>
      <c r="G66" s="26"/>
      <c r="H66" s="26"/>
      <c r="I66" s="26"/>
      <c r="J66" s="26"/>
      <c r="K66" s="26"/>
      <c r="L66" s="24"/>
      <c r="M66" s="24"/>
      <c r="N66" s="26"/>
      <c r="O66" s="26"/>
      <c r="P66" s="26"/>
      <c r="Q66" s="26"/>
      <c r="R66" s="26"/>
      <c r="S66" s="26"/>
      <c r="T66" s="26"/>
      <c r="U66" s="26"/>
      <c r="V66" s="26"/>
      <c r="W66" s="26">
        <f>MAX($C$10-VLOOKUP($C66,COS!$B$8:$H$991,3,FALSE),0)</f>
        <v>93176.5546875</v>
      </c>
      <c r="X66" s="26">
        <f t="shared" si="31"/>
        <v>5544.3900309917362</v>
      </c>
      <c r="Y66" s="26">
        <f>VLOOKUP($C66,COS!$B$8:$H$991,4,FALSE)</f>
        <v>593.66107177734375</v>
      </c>
      <c r="Z66" s="26">
        <f t="shared" si="32"/>
        <v>35.325286915676656</v>
      </c>
      <c r="AA66" s="26">
        <f t="shared" si="89"/>
        <v>593.66107177734375</v>
      </c>
      <c r="AB66" s="33">
        <f t="shared" si="34"/>
        <v>17.662643457838328</v>
      </c>
      <c r="AD66" s="43">
        <v>1974</v>
      </c>
      <c r="AE66" s="1">
        <f>VLOOKUP(AD66,Flags!$A$13:$B$95,2,FALSE)</f>
        <v>1</v>
      </c>
      <c r="AF66" s="43">
        <f t="shared" si="6"/>
        <v>37.038895273760332</v>
      </c>
      <c r="AG66" s="43">
        <f t="shared" si="7"/>
        <v>679.96204771183739</v>
      </c>
      <c r="AH66" s="43">
        <f t="shared" si="8"/>
        <v>0</v>
      </c>
      <c r="AI66" s="43">
        <f t="shared" si="9"/>
        <v>21548.975072959711</v>
      </c>
      <c r="AJ66" s="43">
        <f t="shared" si="10"/>
        <v>158.65327051588326</v>
      </c>
      <c r="AK66" s="43">
        <f t="shared" si="1"/>
        <v>117.24351901472107</v>
      </c>
      <c r="AL66" s="43">
        <f t="shared" si="11"/>
        <v>0</v>
      </c>
    </row>
    <row r="67" spans="1:38" x14ac:dyDescent="0.3">
      <c r="A67" s="34">
        <f>VLOOKUP(YEAR(C67),Flags!$A$13:$B$95,2,FALSE)</f>
        <v>2</v>
      </c>
      <c r="B67" s="35">
        <f t="shared" si="2"/>
        <v>1927</v>
      </c>
      <c r="C67" s="36">
        <v>10227</v>
      </c>
      <c r="D67" s="37"/>
      <c r="E67" s="35"/>
      <c r="F67" s="37"/>
      <c r="G67" s="37"/>
      <c r="H67" s="37"/>
      <c r="I67" s="37"/>
      <c r="J67" s="37"/>
      <c r="K67" s="37"/>
      <c r="L67" s="35"/>
      <c r="M67" s="35"/>
      <c r="N67" s="37"/>
      <c r="O67" s="37"/>
      <c r="P67" s="37"/>
      <c r="Q67" s="37"/>
      <c r="R67" s="37"/>
      <c r="S67" s="37"/>
      <c r="T67" s="37"/>
      <c r="U67" s="37"/>
      <c r="V67" s="37"/>
      <c r="W67" s="37">
        <f>MAX($C$11-VLOOKUP($C67,COS!$B$8:$H$991,3,FALSE),0)</f>
        <v>0</v>
      </c>
      <c r="X67" s="37">
        <f t="shared" si="31"/>
        <v>0</v>
      </c>
      <c r="Y67" s="37">
        <f>VLOOKUP($C67,COS!$B$8:$H$991,4,FALSE)</f>
        <v>0</v>
      </c>
      <c r="Z67" s="37">
        <f t="shared" si="32"/>
        <v>0</v>
      </c>
      <c r="AA67" s="37">
        <f t="shared" si="89"/>
        <v>0</v>
      </c>
      <c r="AB67" s="38">
        <f t="shared" si="34"/>
        <v>0</v>
      </c>
      <c r="AD67" s="43">
        <v>1975</v>
      </c>
      <c r="AE67" s="1">
        <f>VLOOKUP(AD67,Flags!$A$13:$B$95,2,FALSE)</f>
        <v>1</v>
      </c>
      <c r="AF67" s="43">
        <f t="shared" si="6"/>
        <v>358.21987151342972</v>
      </c>
      <c r="AG67" s="43">
        <f t="shared" si="7"/>
        <v>704.98574924941886</v>
      </c>
      <c r="AH67" s="43">
        <f t="shared" si="8"/>
        <v>0</v>
      </c>
      <c r="AI67" s="43">
        <f t="shared" si="9"/>
        <v>21731.605349302685</v>
      </c>
      <c r="AJ67" s="43">
        <f t="shared" si="10"/>
        <v>123.33492744382747</v>
      </c>
      <c r="AK67" s="43">
        <f t="shared" si="1"/>
        <v>90.435229290418391</v>
      </c>
      <c r="AL67" s="43">
        <f t="shared" si="11"/>
        <v>0</v>
      </c>
    </row>
    <row r="68" spans="1:38" x14ac:dyDescent="0.3">
      <c r="A68" s="27">
        <f>VLOOKUP(YEAR(C68),Flags!$A$13:$B$95,2,FALSE)</f>
        <v>2</v>
      </c>
      <c r="B68" s="28">
        <f t="shared" si="2"/>
        <v>1928</v>
      </c>
      <c r="C68" s="29">
        <v>10348</v>
      </c>
      <c r="D68" s="30">
        <f>VLOOKUP($C68,COS!$B$8:$H$991,3,FALSE)</f>
        <v>3250</v>
      </c>
      <c r="E68" s="28">
        <f>IF(D68&gt;=IF(MONTH($C68)=4,$C$3,IF(MONTH($C68)=5,$C$4,IF(MONTH($C68)=6,$C$5,IF(MONTH($C68)=7,$C$6,"ERROR")))),1,0)</f>
        <v>0</v>
      </c>
      <c r="F68" s="30">
        <f>VLOOKUP($C68,COS!$B$8:$H$991,7,FALSE)</f>
        <v>51.280696868896484</v>
      </c>
      <c r="G68" s="28">
        <f>IF(F68&lt;=IF(MONTH($C68)=4,$F$3,IF(MONTH($C68)=5,$F$4,IF(MONTH($C68)=6,$F$5,IF(MONTH($C68)=7,$F$6,"ERROR")))),1,0)</f>
        <v>1</v>
      </c>
      <c r="H68" s="30">
        <f>IF(J68=1,D68-$C$3,0)</f>
        <v>0</v>
      </c>
      <c r="I68" s="30">
        <f t="shared" si="17"/>
        <v>0</v>
      </c>
      <c r="J68" s="28">
        <f t="shared" ref="J68:J71" si="92">IF(AND(E68=1,G68=1),1,0)</f>
        <v>0</v>
      </c>
      <c r="K68" s="30">
        <f>VLOOKUP($C68,COS!$B$8:$H$991,2,FALSE)</f>
        <v>4536.6591796875</v>
      </c>
      <c r="L68" s="28">
        <f t="shared" ref="L68" si="93">IF(K68&lt;=IF(MONTH($C68)=4,$I$3,IF(MONTH($C68)=5,$I$4,IF(MONTH($C68)=6,$I$5,IF(MONTH($C68)=7,$I$6,"ERROR")))),1,0)</f>
        <v>1</v>
      </c>
      <c r="M68" s="28">
        <f t="shared" ref="M68" si="94">VLOOKUP($A68,$L$3:$M$7,2,FALSE)</f>
        <v>0</v>
      </c>
      <c r="N68" s="30">
        <f>VLOOKUP($C68,COS!$B$8:$H$991,5,FALSE)</f>
        <v>195.05795288085938</v>
      </c>
      <c r="O68" s="30">
        <f t="shared" ref="O68:O71" si="95">N68*DAY($C68)*86400/43560/1000</f>
        <v>11.606754221009815</v>
      </c>
      <c r="P68" s="30">
        <f>VLOOKUP($C68,COS!$B$8:$H$991,6,FALSE)</f>
        <v>419.7452392578125</v>
      </c>
      <c r="Q68" s="30">
        <f t="shared" ref="Q68:Q71" si="96">P68*DAY($C68)*86400/43560/1000</f>
        <v>24.976576220299588</v>
      </c>
      <c r="R68" s="30">
        <f>MIN(IF(MONTH($C68)=4,$S$3,IF(MONTH($C68)=5,$S$4,IF(MONTH($C68)=6,$S$5,IF(MONTH($C68)=7,$S$6,"ERROR")))),MAX(VLOOKUP($C68,COS!$B$8:$K$991,10,FALSE)-IF(MONTH($C68)=4,$Y$3,IF(MONTH($C68)=5,$Y$4,IF(MONTH($C68)=6,$Y$5,IF(MONTH($C68)=7,$Y$6,"ERROR")))),0),MAX(VLOOKUP($C68,COS!$B$8:$K$991,9,FALSE)-IF(MONTH($C68)=4,$V$3,IF(MONTH($C68)=5,$V$4,IF(MONTH($C68)=6,$V$5,IF(MONTH($C68)=7,$V$6,"ERROR"))))-VLOOKUP($C68,COS!$B$8:$K$991,6,FALSE)/2,0))</f>
        <v>1500</v>
      </c>
      <c r="S68" s="30">
        <f t="shared" ref="S68:S71" si="97">R68*DAY($C68)*86400/43560/1000</f>
        <v>89.256198347107429</v>
      </c>
      <c r="T68" s="30">
        <f t="shared" ref="T68:T71" si="98">(O68+Q68)/2+S68</f>
        <v>107.54786356776214</v>
      </c>
      <c r="U68" s="30" t="str">
        <f>IF(VLOOKUP($C68,COS!$B$8:$I$991,8,FALSE)=1,"UWFE","IBU")</f>
        <v>UWFE</v>
      </c>
      <c r="V68" s="30">
        <f t="shared" ref="V68" si="99">MIN(IF(IF($AA$3=2,AND(E68=1,G68=1,L68=1,L73=1,M68=1,U68="IBU"),AND(E68=1,G68=1,L68=1,L73=1,M68=1)),T68,0),I68)</f>
        <v>0</v>
      </c>
      <c r="W68" s="30"/>
      <c r="X68" s="30"/>
      <c r="Y68" s="30"/>
      <c r="Z68" s="30"/>
      <c r="AA68" s="30"/>
      <c r="AB68" s="31"/>
      <c r="AD68" s="44">
        <v>1976</v>
      </c>
      <c r="AE68" s="45">
        <f>VLOOKUP(AD68,Flags!$A$13:$B$95,2,FALSE)</f>
        <v>4</v>
      </c>
      <c r="AF68" s="44">
        <f t="shared" si="6"/>
        <v>250.9674774018595</v>
      </c>
      <c r="AG68" s="44">
        <f t="shared" si="7"/>
        <v>607.49359581813337</v>
      </c>
      <c r="AH68" s="44">
        <f t="shared" si="8"/>
        <v>172.01439102551169</v>
      </c>
      <c r="AI68" s="44">
        <f t="shared" si="9"/>
        <v>22584.217981340393</v>
      </c>
      <c r="AJ68" s="44">
        <f t="shared" si="10"/>
        <v>561.13268578899783</v>
      </c>
      <c r="AK68" s="44">
        <f t="shared" si="1"/>
        <v>367.72266545067146</v>
      </c>
      <c r="AL68" s="44">
        <f t="shared" si="11"/>
        <v>172.01439102551169</v>
      </c>
    </row>
    <row r="69" spans="1:38" x14ac:dyDescent="0.3">
      <c r="A69" s="32">
        <f>VLOOKUP(YEAR(C69),Flags!$A$13:$B$95,2,FALSE)</f>
        <v>2</v>
      </c>
      <c r="B69" s="24">
        <f t="shared" si="2"/>
        <v>1928</v>
      </c>
      <c r="C69" s="25">
        <v>10379</v>
      </c>
      <c r="D69" s="26">
        <f>VLOOKUP($C69,COS!$B$8:$H$991,3,FALSE)</f>
        <v>7197.19873046875</v>
      </c>
      <c r="E69" s="24">
        <f>IF(D69&gt;=IF(MONTH($C69)=4,$C$3,IF(MONTH($C69)=5,$C$4,IF(MONTH($C69)=6,$C$5,IF(MONTH($C69)=7,$C$6,"ERROR")))),1,0)</f>
        <v>1</v>
      </c>
      <c r="F69" s="26">
        <f>VLOOKUP($C69,COS!$B$8:$H$991,7,FALSE)</f>
        <v>51.672935485839844</v>
      </c>
      <c r="G69" s="24">
        <f>IF(F69&lt;=IF(MONTH($C69)=4,$F$3,IF(MONTH($C69)=5,$F$4,IF(MONTH($C69)=6,$F$5,IF(MONTH($C69)=7,$F$6,"ERROR")))),1,0)</f>
        <v>1</v>
      </c>
      <c r="H69" s="26">
        <f>IF(J69=1,D69-$C$4,0)</f>
        <v>1197.19873046875</v>
      </c>
      <c r="I69" s="26">
        <f t="shared" si="17"/>
        <v>73.612880617252074</v>
      </c>
      <c r="J69" s="24">
        <f t="shared" si="92"/>
        <v>1</v>
      </c>
      <c r="K69" s="26">
        <f>VLOOKUP($C69,COS!$B$8:$H$991,2,FALSE)</f>
        <v>4435.58349609375</v>
      </c>
      <c r="L69" s="24">
        <f t="shared" si="19"/>
        <v>1</v>
      </c>
      <c r="M69" s="24">
        <f t="shared" si="20"/>
        <v>0</v>
      </c>
      <c r="N69" s="26">
        <f>VLOOKUP($C69,COS!$B$8:$H$991,5,FALSE)</f>
        <v>357.50259399414063</v>
      </c>
      <c r="O69" s="26">
        <f t="shared" si="95"/>
        <v>21.981977680300879</v>
      </c>
      <c r="P69" s="26">
        <f>VLOOKUP($C69,COS!$B$8:$H$991,6,FALSE)</f>
        <v>2314.501708984375</v>
      </c>
      <c r="Q69" s="26">
        <f t="shared" si="96"/>
        <v>142.31316293259297</v>
      </c>
      <c r="R69" s="26">
        <f>MIN(IF(MONTH($C69)=4,$S$3,IF(MONTH($C69)=5,$S$4,IF(MONTH($C69)=6,$S$5,IF(MONTH($C69)=7,$S$6,"ERROR")))),MAX(VLOOKUP($C69,COS!$B$8:$K$991,10,FALSE)-IF(MONTH($C69)=4,$Y$3,IF(MONTH($C69)=5,$Y$4,IF(MONTH($C69)=6,$Y$5,IF(MONTH($C69)=7,$Y$6,"ERROR")))),0),MAX(VLOOKUP($C69,COS!$B$8:$K$991,9,FALSE)-IF(MONTH($C69)=4,$V$3,IF(MONTH($C69)=5,$V$4,IF(MONTH($C69)=6,$V$5,IF(MONTH($C69)=7,$V$6,"ERROR"))))-VLOOKUP($C69,COS!$B$8:$K$991,6,FALSE)/2,0))</f>
        <v>1500</v>
      </c>
      <c r="S69" s="26">
        <f t="shared" si="97"/>
        <v>92.231404958677686</v>
      </c>
      <c r="T69" s="26">
        <f t="shared" si="98"/>
        <v>174.37897526512461</v>
      </c>
      <c r="U69" s="26" t="str">
        <f>IF(VLOOKUP($C69,COS!$B$8:$I$991,8,FALSE)=1,"UWFE","IBU")</f>
        <v>UWFE</v>
      </c>
      <c r="V69" s="26">
        <f t="shared" ref="V69" si="100">MIN(IF(IF($AA$3=2,AND(E69=1,G69=1,L69=1,L73=1,M69=1,U69="IBU"),AND(E69=1,G69=1,L69=1,L73=1,M69=1)),T69,0),I69)</f>
        <v>0</v>
      </c>
      <c r="W69" s="26"/>
      <c r="X69" s="26"/>
      <c r="Y69" s="26"/>
      <c r="Z69" s="26"/>
      <c r="AA69" s="26"/>
      <c r="AB69" s="33"/>
      <c r="AD69" s="44">
        <v>1977</v>
      </c>
      <c r="AE69" s="45">
        <f>VLOOKUP(AD69,Flags!$A$13:$B$95,2,FALSE)</f>
        <v>5</v>
      </c>
      <c r="AF69" s="44">
        <f t="shared" si="6"/>
        <v>196.3267368285124</v>
      </c>
      <c r="AG69" s="44">
        <f t="shared" si="7"/>
        <v>601.92241988252999</v>
      </c>
      <c r="AH69" s="44">
        <f t="shared" si="8"/>
        <v>196.3267368285124</v>
      </c>
      <c r="AI69" s="44">
        <f t="shared" si="9"/>
        <v>22792.24397727273</v>
      </c>
      <c r="AJ69" s="44">
        <f t="shared" si="10"/>
        <v>635.35222042871908</v>
      </c>
      <c r="AK69" s="44">
        <f t="shared" si="1"/>
        <v>469.61289998708685</v>
      </c>
      <c r="AL69" s="44">
        <f t="shared" si="11"/>
        <v>196.3267368285124</v>
      </c>
    </row>
    <row r="70" spans="1:38" x14ac:dyDescent="0.3">
      <c r="A70" s="32">
        <f>VLOOKUP(YEAR(C70),Flags!$A$13:$B$95,2,FALSE)</f>
        <v>2</v>
      </c>
      <c r="B70" s="24">
        <f t="shared" si="2"/>
        <v>1928</v>
      </c>
      <c r="C70" s="25">
        <v>10409</v>
      </c>
      <c r="D70" s="26">
        <f>VLOOKUP($C70,COS!$B$8:$H$991,3,FALSE)</f>
        <v>13547.318359375</v>
      </c>
      <c r="E70" s="24">
        <f>IF(D70&gt;=IF(MONTH($C70)=4,$C$3,IF(MONTH($C70)=5,$C$4,IF(MONTH($C70)=6,$C$5,IF(MONTH($C70)=7,$C$6,"ERROR")))),1,0)</f>
        <v>1</v>
      </c>
      <c r="F70" s="26">
        <f>VLOOKUP($C70,COS!$B$8:$H$991,7,FALSE)</f>
        <v>51.193431854248047</v>
      </c>
      <c r="G70" s="24">
        <f>IF(F70&lt;=IF(MONTH($C70)=4,$F$3,IF(MONTH($C70)=5,$F$4,IF(MONTH($C70)=6,$F$5,IF(MONTH($C70)=7,$F$6,"ERROR")))),1,0)</f>
        <v>1</v>
      </c>
      <c r="H70" s="26">
        <f>IF(J70=1,D70-$C$5,0)</f>
        <v>3547.318359375</v>
      </c>
      <c r="I70" s="26">
        <f t="shared" si="17"/>
        <v>211.0801007231405</v>
      </c>
      <c r="J70" s="24">
        <f t="shared" si="92"/>
        <v>1</v>
      </c>
      <c r="K70" s="26">
        <f>VLOOKUP($C70,COS!$B$8:$H$991,2,FALSE)</f>
        <v>3819.055419921875</v>
      </c>
      <c r="L70" s="24">
        <f t="shared" si="19"/>
        <v>1</v>
      </c>
      <c r="M70" s="24">
        <f t="shared" si="20"/>
        <v>0</v>
      </c>
      <c r="N70" s="26">
        <f>VLOOKUP($C70,COS!$B$8:$H$991,5,FALSE)</f>
        <v>655.33172607421875</v>
      </c>
      <c r="O70" s="26">
        <f t="shared" si="95"/>
        <v>38.994945683755162</v>
      </c>
      <c r="P70" s="26">
        <f>VLOOKUP($C70,COS!$B$8:$H$991,6,FALSE)</f>
        <v>2329.183349609375</v>
      </c>
      <c r="Q70" s="26">
        <f t="shared" si="96"/>
        <v>138.59603402634298</v>
      </c>
      <c r="R70" s="26">
        <f>MIN(IF(MONTH($C70)=4,$S$3,IF(MONTH($C70)=5,$S$4,IF(MONTH($C70)=6,$S$5,IF(MONTH($C70)=7,$S$6,"ERROR")))),MAX(VLOOKUP($C70,COS!$B$8:$K$991,10,FALSE)-IF(MONTH($C70)=4,$Y$3,IF(MONTH($C70)=5,$Y$4,IF(MONTH($C70)=6,$Y$5,IF(MONTH($C70)=7,$Y$6,"ERROR")))),0),MAX(VLOOKUP($C70,COS!$B$8:$K$991,9,FALSE)-IF(MONTH($C70)=4,$V$3,IF(MONTH($C70)=5,$V$4,IF(MONTH($C70)=6,$V$5,IF(MONTH($C70)=7,$V$6,"ERROR"))))-VLOOKUP($C70,COS!$B$8:$K$991,6,FALSE)/2,0))</f>
        <v>1500</v>
      </c>
      <c r="S70" s="26">
        <f t="shared" si="97"/>
        <v>89.256198347107429</v>
      </c>
      <c r="T70" s="26">
        <f t="shared" si="98"/>
        <v>178.0516882021565</v>
      </c>
      <c r="U70" s="26" t="str">
        <f>IF(VLOOKUP($C70,COS!$B$8:$I$991,8,FALSE)=1,"UWFE","IBU")</f>
        <v>IBU</v>
      </c>
      <c r="V70" s="26">
        <f t="shared" ref="V70" si="101">MIN(IF(IF($AA$3=2,AND(E70=1,G70=1,L70=1,L73=1,M70=1,U70="IBU"),AND(E70=1,G70=1,L70=1,L73=1,M70=1)),T70,0),I70)</f>
        <v>0</v>
      </c>
      <c r="W70" s="26"/>
      <c r="X70" s="26"/>
      <c r="Y70" s="26"/>
      <c r="Z70" s="26"/>
      <c r="AA70" s="26"/>
      <c r="AB70" s="33"/>
      <c r="AD70" s="43">
        <v>1978</v>
      </c>
      <c r="AE70" s="1">
        <f>VLOOKUP(AD70,Flags!$A$13:$B$95,2,FALSE)</f>
        <v>2</v>
      </c>
      <c r="AF70" s="43">
        <f t="shared" si="6"/>
        <v>217.96352595557852</v>
      </c>
      <c r="AG70" s="43">
        <f t="shared" si="7"/>
        <v>695.25521309025021</v>
      </c>
      <c r="AH70" s="43">
        <f t="shared" si="8"/>
        <v>0</v>
      </c>
      <c r="AI70" s="43">
        <f t="shared" si="9"/>
        <v>22304.191515689567</v>
      </c>
      <c r="AJ70" s="43">
        <f t="shared" si="10"/>
        <v>86.702932471913741</v>
      </c>
      <c r="AK70" s="43">
        <f t="shared" si="1"/>
        <v>43.28008670018724</v>
      </c>
      <c r="AL70" s="43">
        <f t="shared" si="11"/>
        <v>0</v>
      </c>
    </row>
    <row r="71" spans="1:38" x14ac:dyDescent="0.3">
      <c r="A71" s="32">
        <f>VLOOKUP(YEAR(C71),Flags!$A$13:$B$95,2,FALSE)</f>
        <v>2</v>
      </c>
      <c r="B71" s="24">
        <f t="shared" si="2"/>
        <v>1928</v>
      </c>
      <c r="C71" s="25">
        <v>10440</v>
      </c>
      <c r="D71" s="26">
        <f>VLOOKUP($C71,COS!$B$8:$H$991,3,FALSE)</f>
        <v>16000</v>
      </c>
      <c r="E71" s="24">
        <f>IF(D71&gt;=IF(MONTH($C71)=4,$C$3,IF(MONTH($C71)=5,$C$4,IF(MONTH($C71)=6,$C$5,IF(MONTH($C71)=7,$C$6,"ERROR")))),1,0)</f>
        <v>1</v>
      </c>
      <c r="F71" s="26">
        <f>VLOOKUP($C71,COS!$B$8:$H$991,7,FALSE)</f>
        <v>52.268638610839844</v>
      </c>
      <c r="G71" s="24">
        <f>IF(F71&lt;=IF(MONTH($C71)=4,$F$3,IF(MONTH($C71)=5,$F$4,IF(MONTH($C71)=6,$F$5,IF(MONTH($C71)=7,$F$6,"ERROR")))),1,0)</f>
        <v>1</v>
      </c>
      <c r="H71" s="26">
        <f>IF(J71=1,D71-$C$6,0)</f>
        <v>4000</v>
      </c>
      <c r="I71" s="26">
        <f t="shared" si="17"/>
        <v>245.95041322314049</v>
      </c>
      <c r="J71" s="24">
        <f t="shared" si="92"/>
        <v>1</v>
      </c>
      <c r="K71" s="26">
        <f>VLOOKUP($C71,COS!$B$8:$H$991,2,FALSE)</f>
        <v>3098.602294921875</v>
      </c>
      <c r="L71" s="24">
        <f t="shared" si="19"/>
        <v>1</v>
      </c>
      <c r="M71" s="24">
        <f t="shared" si="20"/>
        <v>0</v>
      </c>
      <c r="N71" s="26">
        <f>VLOOKUP($C71,COS!$B$8:$H$991,5,FALSE)</f>
        <v>724.34930419921875</v>
      </c>
      <c r="O71" s="26">
        <f t="shared" si="95"/>
        <v>44.538502671423039</v>
      </c>
      <c r="P71" s="26">
        <f>VLOOKUP($C71,COS!$B$8:$H$991,6,FALSE)</f>
        <v>2562.892822265625</v>
      </c>
      <c r="Q71" s="26">
        <f t="shared" si="96"/>
        <v>157.58613717071282</v>
      </c>
      <c r="R71" s="26">
        <f>MIN(IF(MONTH($C71)=4,$S$3,IF(MONTH($C71)=5,$S$4,IF(MONTH($C71)=6,$S$5,IF(MONTH($C71)=7,$S$6,"ERROR")))),MAX(VLOOKUP($C71,COS!$B$8:$K$991,10,FALSE)-IF(MONTH($C71)=4,$Y$3,IF(MONTH($C71)=5,$Y$4,IF(MONTH($C71)=6,$Y$5,IF(MONTH($C71)=7,$Y$6,"ERROR")))),0),MAX(VLOOKUP($C71,COS!$B$8:$K$991,9,FALSE)-IF(MONTH($C71)=4,$V$3,IF(MONTH($C71)=5,$V$4,IF(MONTH($C71)=6,$V$5,IF(MONTH($C71)=7,$V$6,"ERROR"))))-VLOOKUP($C71,COS!$B$8:$K$991,6,FALSE)/2,0))</f>
        <v>1500</v>
      </c>
      <c r="S71" s="26">
        <f t="shared" si="97"/>
        <v>92.231404958677686</v>
      </c>
      <c r="T71" s="26">
        <f t="shared" si="98"/>
        <v>193.29372487974561</v>
      </c>
      <c r="U71" s="26" t="str">
        <f>IF(VLOOKUP($C71,COS!$B$8:$I$991,8,FALSE)=1,"UWFE","IBU")</f>
        <v>IBU</v>
      </c>
      <c r="V71" s="26">
        <f t="shared" ref="V71" si="102">MIN(IF(IF($AA$3=2,AND(E71=1,G71=1,L71=1,L73=1,M71=1,U71="IBU"),AND(E71=1,G71=1,L71=1,L73=1,M71=1)),T71,0),I71)</f>
        <v>0</v>
      </c>
      <c r="W71" s="26"/>
      <c r="X71" s="26"/>
      <c r="Y71" s="26"/>
      <c r="Z71" s="26"/>
      <c r="AA71" s="26"/>
      <c r="AB71" s="33"/>
      <c r="AD71" s="43">
        <v>1979</v>
      </c>
      <c r="AE71" s="1">
        <f>VLOOKUP(AD71,Flags!$A$13:$B$95,2,FALSE)</f>
        <v>4</v>
      </c>
      <c r="AF71" s="43">
        <f t="shared" si="6"/>
        <v>34.877614927685947</v>
      </c>
      <c r="AG71" s="43">
        <f t="shared" si="7"/>
        <v>653.80688880100729</v>
      </c>
      <c r="AH71" s="43">
        <f t="shared" si="8"/>
        <v>34.877614927685947</v>
      </c>
      <c r="AI71" s="43">
        <f t="shared" si="9"/>
        <v>22800.976620286674</v>
      </c>
      <c r="AJ71" s="43">
        <f t="shared" si="10"/>
        <v>125.50075800619835</v>
      </c>
      <c r="AK71" s="43">
        <f t="shared" si="1"/>
        <v>89.011875484245877</v>
      </c>
      <c r="AL71" s="43">
        <f t="shared" si="11"/>
        <v>34.877614927685947</v>
      </c>
    </row>
    <row r="72" spans="1:38" x14ac:dyDescent="0.3">
      <c r="A72" s="32">
        <f>VLOOKUP(YEAR(C72),Flags!$A$13:$B$95,2,FALSE)</f>
        <v>2</v>
      </c>
      <c r="B72" s="24">
        <f t="shared" si="2"/>
        <v>1928</v>
      </c>
      <c r="C72" s="25">
        <v>10471</v>
      </c>
      <c r="D72" s="26"/>
      <c r="E72" s="24"/>
      <c r="F72" s="26"/>
      <c r="G72" s="24"/>
      <c r="H72" s="24"/>
      <c r="I72" s="26"/>
      <c r="J72" s="24"/>
      <c r="K72" s="26"/>
      <c r="L72" s="24"/>
      <c r="M72" s="24"/>
      <c r="N72" s="26"/>
      <c r="O72" s="26"/>
      <c r="P72" s="26"/>
      <c r="Q72" s="26"/>
      <c r="R72" s="26"/>
      <c r="S72" s="26"/>
      <c r="T72" s="26"/>
      <c r="U72" s="26"/>
      <c r="V72" s="26"/>
      <c r="W72" s="26">
        <f>MAX($C$7-VLOOKUP($C72,COS!$B$8:$H$991,3,FALSE),0)</f>
        <v>87836.8740234375</v>
      </c>
      <c r="X72" s="26">
        <f t="shared" si="31"/>
        <v>5400.8788655733479</v>
      </c>
      <c r="Y72" s="26">
        <f>VLOOKUP($C72,COS!$B$8:$H$991,4,FALSE)</f>
        <v>4.0736780166625977</v>
      </c>
      <c r="Z72" s="26">
        <f t="shared" si="32"/>
        <v>0.25048069788404731</v>
      </c>
      <c r="AA72" s="26">
        <f t="shared" ref="AA72:AA76" si="103">MIN(W72,Y72)</f>
        <v>4.0736780166625977</v>
      </c>
      <c r="AB72" s="33">
        <f t="shared" ref="AB72" si="104">AA72*DAY($C72)*86400/43560/1000*IF(MONTH($C72)=8,$P$3,IF(MONTH($C72)=9,$P$4,IF(MONTH($C72)=10,$P$5,IF(MONTH($C72)=11,$P$6,IF(MONTH($C72)=12,$P$7,NA())))))</f>
        <v>0.25048069788404731</v>
      </c>
      <c r="AD72" s="43">
        <v>1980</v>
      </c>
      <c r="AE72" s="1">
        <f>VLOOKUP(AD72,Flags!$A$13:$B$95,2,FALSE)</f>
        <v>2</v>
      </c>
      <c r="AF72" s="43">
        <f t="shared" si="6"/>
        <v>40.083372288223138</v>
      </c>
      <c r="AG72" s="43">
        <f t="shared" si="7"/>
        <v>678.40361045648251</v>
      </c>
      <c r="AH72" s="43">
        <f t="shared" si="8"/>
        <v>0</v>
      </c>
      <c r="AI72" s="43">
        <f t="shared" si="9"/>
        <v>22086.019861828514</v>
      </c>
      <c r="AJ72" s="43">
        <f t="shared" si="10"/>
        <v>39.282558795519115</v>
      </c>
      <c r="AK72" s="43">
        <f t="shared" si="1"/>
        <v>31.817970333887526</v>
      </c>
      <c r="AL72" s="43">
        <f t="shared" si="11"/>
        <v>0</v>
      </c>
    </row>
    <row r="73" spans="1:38" x14ac:dyDescent="0.3">
      <c r="A73" s="32">
        <f>VLOOKUP(YEAR(C73),Flags!$A$13:$B$95,2,FALSE)</f>
        <v>2</v>
      </c>
      <c r="B73" s="24">
        <f t="shared" si="2"/>
        <v>1928</v>
      </c>
      <c r="C73" s="25">
        <v>10501</v>
      </c>
      <c r="D73" s="26"/>
      <c r="E73" s="24"/>
      <c r="F73" s="26"/>
      <c r="G73" s="24"/>
      <c r="H73" s="24"/>
      <c r="I73" s="26"/>
      <c r="J73" s="24"/>
      <c r="K73" s="26">
        <f>VLOOKUP($C73,COS!$B$8:$H$991,2,FALSE)</f>
        <v>2247.118896484375</v>
      </c>
      <c r="L73" s="24">
        <f t="shared" ref="L73" si="105">IF(AND(K73&gt;$I$7,K73&lt;$I$8),1,0)</f>
        <v>1</v>
      </c>
      <c r="M73" s="24"/>
      <c r="N73" s="26"/>
      <c r="O73" s="26"/>
      <c r="P73" s="26"/>
      <c r="Q73" s="26"/>
      <c r="R73" s="26"/>
      <c r="S73" s="26"/>
      <c r="T73" s="26"/>
      <c r="U73" s="26"/>
      <c r="V73" s="26"/>
      <c r="W73" s="26">
        <f>MAX($C$8-VLOOKUP($C73,COS!$B$8:$H$991,3,FALSE),0)</f>
        <v>87919.5517578125</v>
      </c>
      <c r="X73" s="26">
        <f t="shared" si="31"/>
        <v>5231.5766335227272</v>
      </c>
      <c r="Y73" s="26">
        <f>VLOOKUP($C73,COS!$B$8:$H$991,4,FALSE)</f>
        <v>0</v>
      </c>
      <c r="Z73" s="26">
        <f t="shared" si="32"/>
        <v>0</v>
      </c>
      <c r="AA73" s="26">
        <f t="shared" si="103"/>
        <v>0</v>
      </c>
      <c r="AB73" s="33">
        <f t="shared" si="34"/>
        <v>0</v>
      </c>
      <c r="AD73" s="43">
        <v>1981</v>
      </c>
      <c r="AE73" s="1">
        <f>VLOOKUP(AD73,Flags!$A$13:$B$95,2,FALSE)</f>
        <v>4</v>
      </c>
      <c r="AF73" s="43">
        <f t="shared" si="6"/>
        <v>591.60021791064048</v>
      </c>
      <c r="AG73" s="43">
        <f t="shared" si="7"/>
        <v>674.76521393578901</v>
      </c>
      <c r="AH73" s="43">
        <f t="shared" si="8"/>
        <v>493.14746985569474</v>
      </c>
      <c r="AI73" s="43">
        <f t="shared" si="9"/>
        <v>22629.243027989411</v>
      </c>
      <c r="AJ73" s="43">
        <f t="shared" si="10"/>
        <v>328.53171665160124</v>
      </c>
      <c r="AK73" s="43">
        <f t="shared" si="1"/>
        <v>328.53171665160124</v>
      </c>
      <c r="AL73" s="43">
        <f t="shared" si="11"/>
        <v>328.53171665160124</v>
      </c>
    </row>
    <row r="74" spans="1:38" x14ac:dyDescent="0.3">
      <c r="A74" s="32">
        <f>VLOOKUP(YEAR(C74),Flags!$A$13:$B$95,2,FALSE)</f>
        <v>2</v>
      </c>
      <c r="B74" s="24">
        <f t="shared" si="2"/>
        <v>1928</v>
      </c>
      <c r="C74" s="25">
        <v>10532</v>
      </c>
      <c r="D74" s="26"/>
      <c r="E74" s="24"/>
      <c r="F74" s="26"/>
      <c r="G74" s="26"/>
      <c r="H74" s="26"/>
      <c r="I74" s="26"/>
      <c r="J74" s="26"/>
      <c r="K74" s="26"/>
      <c r="L74" s="24"/>
      <c r="M74" s="24"/>
      <c r="N74" s="26"/>
      <c r="O74" s="26"/>
      <c r="P74" s="26"/>
      <c r="Q74" s="26"/>
      <c r="R74" s="26"/>
      <c r="S74" s="26"/>
      <c r="T74" s="26"/>
      <c r="U74" s="26"/>
      <c r="V74" s="26"/>
      <c r="W74" s="26">
        <f>MAX($C$9-VLOOKUP($C74,COS!$B$8:$H$991,3,FALSE),0)</f>
        <v>91149.44921875</v>
      </c>
      <c r="X74" s="26">
        <f t="shared" si="31"/>
        <v>5604.5611751033057</v>
      </c>
      <c r="Y74" s="26">
        <f>VLOOKUP($C74,COS!$B$8:$H$991,4,FALSE)</f>
        <v>828.01947021484375</v>
      </c>
      <c r="Z74" s="26">
        <f t="shared" si="32"/>
        <v>50.912932714036671</v>
      </c>
      <c r="AA74" s="26">
        <f t="shared" si="103"/>
        <v>828.01947021484375</v>
      </c>
      <c r="AB74" s="33">
        <f t="shared" si="34"/>
        <v>50.912932714036671</v>
      </c>
      <c r="AD74" s="43">
        <v>1982</v>
      </c>
      <c r="AE74" s="1">
        <f>VLOOKUP(AD74,Flags!$A$13:$B$95,2,FALSE)</f>
        <v>1</v>
      </c>
      <c r="AF74" s="43">
        <f t="shared" si="6"/>
        <v>1125.442561983471</v>
      </c>
      <c r="AG74" s="43">
        <f t="shared" si="7"/>
        <v>640.36909747667551</v>
      </c>
      <c r="AH74" s="43">
        <f t="shared" si="8"/>
        <v>0</v>
      </c>
      <c r="AI74" s="43">
        <f t="shared" si="9"/>
        <v>22172.440727014462</v>
      </c>
      <c r="AJ74" s="43">
        <f t="shared" si="10"/>
        <v>0</v>
      </c>
      <c r="AK74" s="43">
        <f t="shared" si="1"/>
        <v>0</v>
      </c>
      <c r="AL74" s="43">
        <f t="shared" si="11"/>
        <v>0</v>
      </c>
    </row>
    <row r="75" spans="1:38" x14ac:dyDescent="0.3">
      <c r="A75" s="32">
        <f>VLOOKUP(YEAR(C75),Flags!$A$13:$B$95,2,FALSE)</f>
        <v>2</v>
      </c>
      <c r="B75" s="24">
        <f t="shared" si="2"/>
        <v>1928</v>
      </c>
      <c r="C75" s="25">
        <v>10562</v>
      </c>
      <c r="D75" s="26"/>
      <c r="E75" s="24"/>
      <c r="F75" s="26"/>
      <c r="G75" s="26"/>
      <c r="H75" s="26"/>
      <c r="I75" s="26"/>
      <c r="J75" s="26"/>
      <c r="K75" s="26"/>
      <c r="L75" s="24"/>
      <c r="M75" s="24"/>
      <c r="N75" s="26"/>
      <c r="O75" s="26"/>
      <c r="P75" s="26"/>
      <c r="Q75" s="26"/>
      <c r="R75" s="26"/>
      <c r="S75" s="26"/>
      <c r="T75" s="26"/>
      <c r="U75" s="26"/>
      <c r="V75" s="26"/>
      <c r="W75" s="26">
        <f>MAX($C$10-VLOOKUP($C75,COS!$B$8:$H$991,3,FALSE),0)</f>
        <v>93858.70654296875</v>
      </c>
      <c r="X75" s="26">
        <f t="shared" si="31"/>
        <v>5584.9808852014467</v>
      </c>
      <c r="Y75" s="26">
        <f>VLOOKUP($C75,COS!$B$8:$H$991,4,FALSE)</f>
        <v>1034.00048828125</v>
      </c>
      <c r="Z75" s="26">
        <f t="shared" si="32"/>
        <v>61.527301782024793</v>
      </c>
      <c r="AA75" s="26">
        <f t="shared" si="103"/>
        <v>1034.00048828125</v>
      </c>
      <c r="AB75" s="33">
        <f t="shared" si="34"/>
        <v>30.763650891012396</v>
      </c>
      <c r="AD75" s="43">
        <v>1983</v>
      </c>
      <c r="AE75" s="1">
        <f>VLOOKUP(AD75,Flags!$A$13:$B$95,2,FALSE)</f>
        <v>1</v>
      </c>
      <c r="AF75" s="43">
        <f t="shared" si="6"/>
        <v>1379.8435440340911</v>
      </c>
      <c r="AG75" s="43">
        <f t="shared" si="7"/>
        <v>680.26086035610228</v>
      </c>
      <c r="AH75" s="43">
        <f t="shared" si="8"/>
        <v>0</v>
      </c>
      <c r="AI75" s="43">
        <f t="shared" si="9"/>
        <v>21271.9593866219</v>
      </c>
      <c r="AJ75" s="43">
        <f t="shared" si="10"/>
        <v>19.84101265899406</v>
      </c>
      <c r="AK75" s="43">
        <f t="shared" si="1"/>
        <v>19.84101265899406</v>
      </c>
      <c r="AL75" s="43">
        <f t="shared" si="11"/>
        <v>0</v>
      </c>
    </row>
    <row r="76" spans="1:38" x14ac:dyDescent="0.3">
      <c r="A76" s="34">
        <f>VLOOKUP(YEAR(C76),Flags!$A$13:$B$95,2,FALSE)</f>
        <v>2</v>
      </c>
      <c r="B76" s="35">
        <f t="shared" si="2"/>
        <v>1928</v>
      </c>
      <c r="C76" s="36">
        <v>10593</v>
      </c>
      <c r="D76" s="37"/>
      <c r="E76" s="35"/>
      <c r="F76" s="37"/>
      <c r="G76" s="37"/>
      <c r="H76" s="37"/>
      <c r="I76" s="37"/>
      <c r="J76" s="37"/>
      <c r="K76" s="37"/>
      <c r="L76" s="35"/>
      <c r="M76" s="35"/>
      <c r="N76" s="37"/>
      <c r="O76" s="37"/>
      <c r="P76" s="37"/>
      <c r="Q76" s="37"/>
      <c r="R76" s="37"/>
      <c r="S76" s="37"/>
      <c r="T76" s="37"/>
      <c r="U76" s="37"/>
      <c r="V76" s="37"/>
      <c r="W76" s="37">
        <f>MAX($C$11-VLOOKUP($C76,COS!$B$8:$H$991,3,FALSE),0)</f>
        <v>0</v>
      </c>
      <c r="X76" s="37">
        <f t="shared" si="31"/>
        <v>0</v>
      </c>
      <c r="Y76" s="37">
        <f>VLOOKUP($C76,COS!$B$8:$H$991,4,FALSE)</f>
        <v>0</v>
      </c>
      <c r="Z76" s="37">
        <f t="shared" si="32"/>
        <v>0</v>
      </c>
      <c r="AA76" s="37">
        <f t="shared" si="103"/>
        <v>0</v>
      </c>
      <c r="AB76" s="38">
        <f t="shared" si="34"/>
        <v>0</v>
      </c>
      <c r="AD76" s="43">
        <v>1984</v>
      </c>
      <c r="AE76" s="1">
        <f>VLOOKUP(AD76,Flags!$A$13:$B$95,2,FALSE)</f>
        <v>1</v>
      </c>
      <c r="AF76" s="43">
        <f t="shared" si="6"/>
        <v>407.10620706353302</v>
      </c>
      <c r="AG76" s="43">
        <f t="shared" si="7"/>
        <v>692.32239814695242</v>
      </c>
      <c r="AH76" s="43">
        <f t="shared" si="8"/>
        <v>0</v>
      </c>
      <c r="AI76" s="43">
        <f t="shared" si="9"/>
        <v>22064.629158703512</v>
      </c>
      <c r="AJ76" s="43">
        <f t="shared" si="10"/>
        <v>71.716279014398239</v>
      </c>
      <c r="AK76" s="43">
        <f t="shared" si="1"/>
        <v>71.716279014398239</v>
      </c>
      <c r="AL76" s="43">
        <f t="shared" si="11"/>
        <v>0</v>
      </c>
    </row>
    <row r="77" spans="1:38" x14ac:dyDescent="0.3">
      <c r="A77" s="27">
        <f>VLOOKUP(YEAR(C77),Flags!$A$13:$B$95,2,FALSE)</f>
        <v>5</v>
      </c>
      <c r="B77" s="28">
        <f t="shared" si="2"/>
        <v>1929</v>
      </c>
      <c r="C77" s="29">
        <v>10713</v>
      </c>
      <c r="D77" s="30">
        <f>VLOOKUP($C77,COS!$B$8:$H$991,3,FALSE)</f>
        <v>3250</v>
      </c>
      <c r="E77" s="28">
        <f>IF(D77&gt;=IF(MONTH($C77)=4,$C$3,IF(MONTH($C77)=5,$C$4,IF(MONTH($C77)=6,$C$5,IF(MONTH($C77)=7,$C$6,"ERROR")))),1,0)</f>
        <v>0</v>
      </c>
      <c r="F77" s="30">
        <f>VLOOKUP($C77,COS!$B$8:$H$991,7,FALSE)</f>
        <v>51.192344665527344</v>
      </c>
      <c r="G77" s="28">
        <f>IF(F77&lt;=IF(MONTH($C77)=4,$F$3,IF(MONTH($C77)=5,$F$4,IF(MONTH($C77)=6,$F$5,IF(MONTH($C77)=7,$F$6,"ERROR")))),1,0)</f>
        <v>1</v>
      </c>
      <c r="H77" s="30">
        <f>IF(J77=1,D77-$C$3,0)</f>
        <v>0</v>
      </c>
      <c r="I77" s="30">
        <f t="shared" si="17"/>
        <v>0</v>
      </c>
      <c r="J77" s="28">
        <f t="shared" ref="J77:J80" si="106">IF(AND(E77=1,G77=1),1,0)</f>
        <v>0</v>
      </c>
      <c r="K77" s="30">
        <f>VLOOKUP($C77,COS!$B$8:$H$991,2,FALSE)</f>
        <v>2771.09326171875</v>
      </c>
      <c r="L77" s="28">
        <f t="shared" ref="L77" si="107">IF(K77&lt;=IF(MONTH($C77)=4,$I$3,IF(MONTH($C77)=5,$I$4,IF(MONTH($C77)=6,$I$5,IF(MONTH($C77)=7,$I$6,"ERROR")))),1,0)</f>
        <v>1</v>
      </c>
      <c r="M77" s="28">
        <f t="shared" ref="M77" si="108">VLOOKUP($A77,$L$3:$M$7,2,FALSE)</f>
        <v>1</v>
      </c>
      <c r="N77" s="30">
        <f>VLOOKUP($C77,COS!$B$8:$H$991,5,FALSE)</f>
        <v>223.38325500488281</v>
      </c>
      <c r="O77" s="30">
        <f t="shared" ref="O77:O80" si="109">N77*DAY($C77)*86400/43560/1000</f>
        <v>13.292226744092201</v>
      </c>
      <c r="P77" s="30">
        <f>VLOOKUP($C77,COS!$B$8:$H$991,6,FALSE)</f>
        <v>516.50811767578125</v>
      </c>
      <c r="Q77" s="30">
        <f t="shared" ref="Q77:Q80" si="110">P77*DAY($C77)*86400/43560/1000</f>
        <v>30.734367332773761</v>
      </c>
      <c r="R77" s="30">
        <f>MIN(IF(MONTH($C77)=4,$S$3,IF(MONTH($C77)=5,$S$4,IF(MONTH($C77)=6,$S$5,IF(MONTH($C77)=7,$S$6,"ERROR")))),MAX(VLOOKUP($C77,COS!$B$8:$K$991,10,FALSE)-IF(MONTH($C77)=4,$Y$3,IF(MONTH($C77)=5,$Y$4,IF(MONTH($C77)=6,$Y$5,IF(MONTH($C77)=7,$Y$6,"ERROR")))),0),MAX(VLOOKUP($C77,COS!$B$8:$K$991,9,FALSE)-IF(MONTH($C77)=4,$V$3,IF(MONTH($C77)=5,$V$4,IF(MONTH($C77)=6,$V$5,IF(MONTH($C77)=7,$V$6,"ERROR"))))-VLOOKUP($C77,COS!$B$8:$K$991,6,FALSE)/2,0))</f>
        <v>785.21630859375</v>
      </c>
      <c r="S77" s="30">
        <f t="shared" ref="S77:S80" si="111">R77*DAY($C77)*86400/43560/1000</f>
        <v>46.723615056818183</v>
      </c>
      <c r="T77" s="30">
        <f t="shared" ref="T77:T80" si="112">(O77+Q77)/2+S77</f>
        <v>68.736912095251171</v>
      </c>
      <c r="U77" s="30" t="str">
        <f>IF(VLOOKUP($C77,COS!$B$8:$I$991,8,FALSE)=1,"UWFE","IBU")</f>
        <v>UWFE</v>
      </c>
      <c r="V77" s="30">
        <f t="shared" ref="V77" si="113">MIN(IF(IF($AA$3=2,AND(E77=1,G77=1,L77=1,L82=1,M77=1,U77="IBU"),AND(E77=1,G77=1,L77=1,L82=1,M77=1)),T77,0),I77)</f>
        <v>0</v>
      </c>
      <c r="W77" s="30"/>
      <c r="X77" s="30"/>
      <c r="Y77" s="30"/>
      <c r="Z77" s="30"/>
      <c r="AA77" s="30"/>
      <c r="AB77" s="31"/>
      <c r="AD77" s="43">
        <v>1985</v>
      </c>
      <c r="AE77" s="1">
        <f>VLOOKUP(AD77,Flags!$A$13:$B$95,2,FALSE)</f>
        <v>3</v>
      </c>
      <c r="AF77" s="43">
        <f t="shared" si="6"/>
        <v>489.51717361828509</v>
      </c>
      <c r="AG77" s="43">
        <f t="shared" si="7"/>
        <v>656.34193189888947</v>
      </c>
      <c r="AH77" s="43">
        <f t="shared" si="8"/>
        <v>0</v>
      </c>
      <c r="AI77" s="43">
        <f t="shared" si="9"/>
        <v>22629.194684271693</v>
      </c>
      <c r="AJ77" s="43">
        <f t="shared" si="10"/>
        <v>253.37745220089744</v>
      </c>
      <c r="AK77" s="43">
        <f t="shared" si="1"/>
        <v>227.67342561579932</v>
      </c>
      <c r="AL77" s="43">
        <f t="shared" si="11"/>
        <v>0</v>
      </c>
    </row>
    <row r="78" spans="1:38" x14ac:dyDescent="0.3">
      <c r="A78" s="32">
        <f>VLOOKUP(YEAR(C78),Flags!$A$13:$B$95,2,FALSE)</f>
        <v>5</v>
      </c>
      <c r="B78" s="24">
        <f t="shared" si="2"/>
        <v>1929</v>
      </c>
      <c r="C78" s="25">
        <v>10744</v>
      </c>
      <c r="D78" s="26">
        <f>VLOOKUP($C78,COS!$B$8:$H$991,3,FALSE)</f>
        <v>8080.45556640625</v>
      </c>
      <c r="E78" s="24">
        <f>IF(D78&gt;=IF(MONTH($C78)=4,$C$3,IF(MONTH($C78)=5,$C$4,IF(MONTH($C78)=6,$C$5,IF(MONTH($C78)=7,$C$6,"ERROR")))),1,0)</f>
        <v>1</v>
      </c>
      <c r="F78" s="26">
        <f>VLOOKUP($C78,COS!$B$8:$H$991,7,FALSE)</f>
        <v>51.678050994873047</v>
      </c>
      <c r="G78" s="24">
        <f>IF(F78&lt;=IF(MONTH($C78)=4,$F$3,IF(MONTH($C78)=5,$F$4,IF(MONTH($C78)=6,$F$5,IF(MONTH($C78)=7,$F$6,"ERROR")))),1,0)</f>
        <v>1</v>
      </c>
      <c r="H78" s="26">
        <f>IF(J78=1,D78-$C$4,0)</f>
        <v>2080.45556640625</v>
      </c>
      <c r="I78" s="26">
        <f t="shared" si="17"/>
        <v>127.9222265625</v>
      </c>
      <c r="J78" s="24">
        <f t="shared" si="106"/>
        <v>1</v>
      </c>
      <c r="K78" s="26">
        <f>VLOOKUP($C78,COS!$B$8:$H$991,2,FALSE)</f>
        <v>2547.78955078125</v>
      </c>
      <c r="L78" s="24">
        <f t="shared" si="19"/>
        <v>1</v>
      </c>
      <c r="M78" s="24">
        <f t="shared" si="20"/>
        <v>1</v>
      </c>
      <c r="N78" s="26">
        <f>VLOOKUP($C78,COS!$B$8:$H$991,5,FALSE)</f>
        <v>306.94467163085938</v>
      </c>
      <c r="O78" s="26">
        <f t="shared" si="109"/>
        <v>18.873292206062757</v>
      </c>
      <c r="P78" s="26">
        <f>VLOOKUP($C78,COS!$B$8:$H$991,6,FALSE)</f>
        <v>2370.671630859375</v>
      </c>
      <c r="Q78" s="26">
        <f t="shared" si="110"/>
        <v>145.76691680655992</v>
      </c>
      <c r="R78" s="26">
        <f>MIN(IF(MONTH($C78)=4,$S$3,IF(MONTH($C78)=5,$S$4,IF(MONTH($C78)=6,$S$5,IF(MONTH($C78)=7,$S$6,"ERROR")))),MAX(VLOOKUP($C78,COS!$B$8:$K$991,10,FALSE)-IF(MONTH($C78)=4,$Y$3,IF(MONTH($C78)=5,$Y$4,IF(MONTH($C78)=6,$Y$5,IF(MONTH($C78)=7,$Y$6,"ERROR")))),0),MAX(VLOOKUP($C78,COS!$B$8:$K$991,9,FALSE)-IF(MONTH($C78)=4,$V$3,IF(MONTH($C78)=5,$V$4,IF(MONTH($C78)=6,$V$5,IF(MONTH($C78)=7,$V$6,"ERROR"))))-VLOOKUP($C78,COS!$B$8:$K$991,6,FALSE)/2,0))</f>
        <v>1500</v>
      </c>
      <c r="S78" s="26">
        <f t="shared" si="111"/>
        <v>92.231404958677686</v>
      </c>
      <c r="T78" s="26">
        <f t="shared" si="112"/>
        <v>174.55150946498901</v>
      </c>
      <c r="U78" s="26" t="str">
        <f>IF(VLOOKUP($C78,COS!$B$8:$I$991,8,FALSE)=1,"UWFE","IBU")</f>
        <v>IBU</v>
      </c>
      <c r="V78" s="26">
        <f t="shared" ref="V78" si="114">MIN(IF(IF($AA$3=2,AND(E78=1,G78=1,L78=1,L82=1,M78=1,U78="IBU"),AND(E78=1,G78=1,L78=1,L82=1,M78=1)),T78,0),I78)</f>
        <v>127.9222265625</v>
      </c>
      <c r="W78" s="26"/>
      <c r="X78" s="26"/>
      <c r="Y78" s="26"/>
      <c r="Z78" s="26"/>
      <c r="AA78" s="26"/>
      <c r="AB78" s="33"/>
      <c r="AD78" s="44">
        <v>1986</v>
      </c>
      <c r="AE78" s="45">
        <f>VLOOKUP(AD78,Flags!$A$13:$B$95,2,FALSE)</f>
        <v>1</v>
      </c>
      <c r="AF78" s="44">
        <f t="shared" si="6"/>
        <v>63.803206030475209</v>
      </c>
      <c r="AG78" s="44">
        <f t="shared" si="7"/>
        <v>643.07545471695823</v>
      </c>
      <c r="AH78" s="44">
        <f t="shared" si="8"/>
        <v>0</v>
      </c>
      <c r="AI78" s="44">
        <f t="shared" si="9"/>
        <v>22143.33418001033</v>
      </c>
      <c r="AJ78" s="44">
        <f t="shared" si="10"/>
        <v>288.06291219411798</v>
      </c>
      <c r="AK78" s="44">
        <f t="shared" ref="AK78:AK94" si="115">SUMIF($B$14:$B$742,$AD78,$AB$14:$AB$742)</f>
        <v>169.15729877566503</v>
      </c>
      <c r="AL78" s="44">
        <f t="shared" si="11"/>
        <v>0</v>
      </c>
    </row>
    <row r="79" spans="1:38" x14ac:dyDescent="0.3">
      <c r="A79" s="32">
        <f>VLOOKUP(YEAR(C79),Flags!$A$13:$B$95,2,FALSE)</f>
        <v>5</v>
      </c>
      <c r="B79" s="24">
        <f t="shared" ref="B79:B142" si="116">YEAR(C79)</f>
        <v>1929</v>
      </c>
      <c r="C79" s="25">
        <v>10774</v>
      </c>
      <c r="D79" s="26">
        <f>VLOOKUP($C79,COS!$B$8:$H$991,3,FALSE)</f>
        <v>8416.89453125</v>
      </c>
      <c r="E79" s="24">
        <f>IF(D79&gt;=IF(MONTH($C79)=4,$C$3,IF(MONTH($C79)=5,$C$4,IF(MONTH($C79)=6,$C$5,IF(MONTH($C79)=7,$C$6,"ERROR")))),1,0)</f>
        <v>0</v>
      </c>
      <c r="F79" s="26">
        <f>VLOOKUP($C79,COS!$B$8:$H$991,7,FALSE)</f>
        <v>54.286209106445313</v>
      </c>
      <c r="G79" s="24">
        <f>IF(F79&lt;=IF(MONTH($C79)=4,$F$3,IF(MONTH($C79)=5,$F$4,IF(MONTH($C79)=6,$F$5,IF(MONTH($C79)=7,$F$6,"ERROR")))),1,0)</f>
        <v>1</v>
      </c>
      <c r="H79" s="26">
        <f>IF(J79=1,D79-$C$5,0)</f>
        <v>0</v>
      </c>
      <c r="I79" s="26">
        <f t="shared" si="17"/>
        <v>0</v>
      </c>
      <c r="J79" s="24">
        <f t="shared" si="106"/>
        <v>0</v>
      </c>
      <c r="K79" s="26">
        <f>VLOOKUP($C79,COS!$B$8:$H$991,2,FALSE)</f>
        <v>2247.309814453125</v>
      </c>
      <c r="L79" s="24">
        <f t="shared" si="19"/>
        <v>1</v>
      </c>
      <c r="M79" s="24">
        <f t="shared" si="20"/>
        <v>1</v>
      </c>
      <c r="N79" s="26">
        <f>VLOOKUP($C79,COS!$B$8:$H$991,5,FALSE)</f>
        <v>280.00125122070313</v>
      </c>
      <c r="O79" s="26">
        <f t="shared" si="109"/>
        <v>16.661231477595557</v>
      </c>
      <c r="P79" s="26">
        <f>VLOOKUP($C79,COS!$B$8:$H$991,6,FALSE)</f>
        <v>2189.392578125</v>
      </c>
      <c r="Q79" s="26">
        <f t="shared" si="110"/>
        <v>130.27790547520661</v>
      </c>
      <c r="R79" s="26">
        <f>MIN(IF(MONTH($C79)=4,$S$3,IF(MONTH($C79)=5,$S$4,IF(MONTH($C79)=6,$S$5,IF(MONTH($C79)=7,$S$6,"ERROR")))),MAX(VLOOKUP($C79,COS!$B$8:$K$991,10,FALSE)-IF(MONTH($C79)=4,$Y$3,IF(MONTH($C79)=5,$Y$4,IF(MONTH($C79)=6,$Y$5,IF(MONTH($C79)=7,$Y$6,"ERROR")))),0),MAX(VLOOKUP($C79,COS!$B$8:$K$991,9,FALSE)-IF(MONTH($C79)=4,$V$3,IF(MONTH($C79)=5,$V$4,IF(MONTH($C79)=6,$V$5,IF(MONTH($C79)=7,$V$6,"ERROR"))))-VLOOKUP($C79,COS!$B$8:$K$991,6,FALSE)/2,0))</f>
        <v>1500</v>
      </c>
      <c r="S79" s="26">
        <f t="shared" si="111"/>
        <v>89.256198347107429</v>
      </c>
      <c r="T79" s="26">
        <f t="shared" si="112"/>
        <v>162.72576682350851</v>
      </c>
      <c r="U79" s="26" t="str">
        <f>IF(VLOOKUP($C79,COS!$B$8:$I$991,8,FALSE)=1,"UWFE","IBU")</f>
        <v>IBU</v>
      </c>
      <c r="V79" s="26">
        <f t="shared" ref="V79" si="117">MIN(IF(IF($AA$3=2,AND(E79=1,G79=1,L79=1,L82=1,M79=1,U79="IBU"),AND(E79=1,G79=1,L79=1,L82=1,M79=1)),T79,0),I79)</f>
        <v>0</v>
      </c>
      <c r="W79" s="26"/>
      <c r="X79" s="26"/>
      <c r="Y79" s="26"/>
      <c r="Z79" s="26"/>
      <c r="AA79" s="26"/>
      <c r="AB79" s="33"/>
      <c r="AD79" s="44">
        <v>1987</v>
      </c>
      <c r="AE79" s="45">
        <f>VLOOKUP(AD79,Flags!$A$13:$B$95,2,FALSE)</f>
        <v>4</v>
      </c>
      <c r="AF79" s="44">
        <f t="shared" ref="AF79:AF94" si="118">SUMIF($B$14:$B$742,$AD79,$I$14:$I$742)</f>
        <v>384.23917097107437</v>
      </c>
      <c r="AG79" s="44">
        <f t="shared" ref="AG79:AG94" si="119">SUMIF($B$14:$B$742,$AD79,$T$14:$T$742)</f>
        <v>639.51027884995642</v>
      </c>
      <c r="AH79" s="44">
        <f t="shared" ref="AH79:AH94" si="120">SUMIF($B$14:$B$742,$AD79,$V$14:$V$742)</f>
        <v>345.5484845475126</v>
      </c>
      <c r="AI79" s="44">
        <f t="shared" ref="AI79:AI94" si="121">SUMIF($B$14:$B$742,$AD79,$X$14:$X$742)</f>
        <v>22763.141031120867</v>
      </c>
      <c r="AJ79" s="44">
        <f t="shared" ref="AJ79:AJ94" si="122">SUMIF($B$14:$B$742,$AD79,$Z$14:$Z$742)</f>
        <v>559.00714303008783</v>
      </c>
      <c r="AK79" s="44">
        <f t="shared" si="115"/>
        <v>448.99643046229335</v>
      </c>
      <c r="AL79" s="44">
        <f t="shared" ref="AL79:AL94" si="123">MIN(AH79,AK79)</f>
        <v>345.5484845475126</v>
      </c>
    </row>
    <row r="80" spans="1:38" x14ac:dyDescent="0.3">
      <c r="A80" s="32">
        <f>VLOOKUP(YEAR(C80),Flags!$A$13:$B$95,2,FALSE)</f>
        <v>5</v>
      </c>
      <c r="B80" s="24">
        <f t="shared" si="116"/>
        <v>1929</v>
      </c>
      <c r="C80" s="25">
        <v>10805</v>
      </c>
      <c r="D80" s="26">
        <f>VLOOKUP($C80,COS!$B$8:$H$991,3,FALSE)</f>
        <v>12141.1708984375</v>
      </c>
      <c r="E80" s="24">
        <f>IF(D80&gt;=IF(MONTH($C80)=4,$C$3,IF(MONTH($C80)=5,$C$4,IF(MONTH($C80)=6,$C$5,IF(MONTH($C80)=7,$C$6,"ERROR")))),1,0)</f>
        <v>1</v>
      </c>
      <c r="F80" s="26">
        <f>VLOOKUP($C80,COS!$B$8:$H$991,7,FALSE)</f>
        <v>55.623313903808594</v>
      </c>
      <c r="G80" s="24">
        <f>IF(F80&lt;=IF(MONTH($C80)=4,$F$3,IF(MONTH($C80)=5,$F$4,IF(MONTH($C80)=6,$F$5,IF(MONTH($C80)=7,$F$6,"ERROR")))),1,0)</f>
        <v>0</v>
      </c>
      <c r="H80" s="26">
        <f>IF(J80=1,D80-$C$6,0)</f>
        <v>0</v>
      </c>
      <c r="I80" s="26">
        <f t="shared" si="17"/>
        <v>0</v>
      </c>
      <c r="J80" s="24">
        <f t="shared" si="106"/>
        <v>0</v>
      </c>
      <c r="K80" s="26">
        <f>VLOOKUP($C80,COS!$B$8:$H$991,2,FALSE)</f>
        <v>1718.207763671875</v>
      </c>
      <c r="L80" s="24">
        <f t="shared" si="19"/>
        <v>1</v>
      </c>
      <c r="M80" s="24">
        <f t="shared" si="20"/>
        <v>1</v>
      </c>
      <c r="N80" s="26">
        <f>VLOOKUP($C80,COS!$B$8:$H$991,5,FALSE)</f>
        <v>382.06051635742188</v>
      </c>
      <c r="O80" s="26">
        <f t="shared" si="109"/>
        <v>23.491985468588584</v>
      </c>
      <c r="P80" s="26">
        <f>VLOOKUP($C80,COS!$B$8:$H$991,6,FALSE)</f>
        <v>2281.4833984375</v>
      </c>
      <c r="Q80" s="26">
        <f t="shared" si="110"/>
        <v>140.28294615185951</v>
      </c>
      <c r="R80" s="26">
        <f>MIN(IF(MONTH($C80)=4,$S$3,IF(MONTH($C80)=5,$S$4,IF(MONTH($C80)=6,$S$5,IF(MONTH($C80)=7,$S$6,"ERROR")))),MAX(VLOOKUP($C80,COS!$B$8:$K$991,10,FALSE)-IF(MONTH($C80)=4,$Y$3,IF(MONTH($C80)=5,$Y$4,IF(MONTH($C80)=6,$Y$5,IF(MONTH($C80)=7,$Y$6,"ERROR")))),0),MAX(VLOOKUP($C80,COS!$B$8:$K$991,9,FALSE)-IF(MONTH($C80)=4,$V$3,IF(MONTH($C80)=5,$V$4,IF(MONTH($C80)=6,$V$5,IF(MONTH($C80)=7,$V$6,"ERROR"))))-VLOOKUP($C80,COS!$B$8:$K$991,6,FALSE)/2,0))</f>
        <v>1500</v>
      </c>
      <c r="S80" s="26">
        <f t="shared" si="111"/>
        <v>92.231404958677686</v>
      </c>
      <c r="T80" s="26">
        <f t="shared" si="112"/>
        <v>174.11887076890173</v>
      </c>
      <c r="U80" s="26" t="str">
        <f>IF(VLOOKUP($C80,COS!$B$8:$I$991,8,FALSE)=1,"UWFE","IBU")</f>
        <v>IBU</v>
      </c>
      <c r="V80" s="26">
        <f t="shared" ref="V80" si="124">MIN(IF(IF($AA$3=2,AND(E80=1,G80=1,L80=1,L82=1,M80=1,U80="IBU"),AND(E80=1,G80=1,L80=1,L82=1,M80=1)),T80,0),I80)</f>
        <v>0</v>
      </c>
      <c r="W80" s="26"/>
      <c r="X80" s="26"/>
      <c r="Y80" s="26"/>
      <c r="Z80" s="26"/>
      <c r="AA80" s="26"/>
      <c r="AB80" s="33"/>
      <c r="AD80" s="44">
        <v>1988</v>
      </c>
      <c r="AE80" s="45">
        <f>VLOOKUP(AD80,Flags!$A$13:$B$95,2,FALSE)</f>
        <v>5</v>
      </c>
      <c r="AF80" s="44">
        <f t="shared" si="118"/>
        <v>110.63555559142561</v>
      </c>
      <c r="AG80" s="44">
        <f t="shared" si="119"/>
        <v>562.63756641230316</v>
      </c>
      <c r="AH80" s="44">
        <f t="shared" si="120"/>
        <v>110.63555559142561</v>
      </c>
      <c r="AI80" s="44">
        <f t="shared" si="121"/>
        <v>22845.549147404439</v>
      </c>
      <c r="AJ80" s="44">
        <f t="shared" si="122"/>
        <v>534.81629519628098</v>
      </c>
      <c r="AK80" s="44">
        <f t="shared" si="115"/>
        <v>416.2676817536157</v>
      </c>
      <c r="AL80" s="44">
        <f t="shared" si="123"/>
        <v>110.63555559142561</v>
      </c>
    </row>
    <row r="81" spans="1:38" x14ac:dyDescent="0.3">
      <c r="A81" s="32">
        <f>VLOOKUP(YEAR(C81),Flags!$A$13:$B$95,2,FALSE)</f>
        <v>5</v>
      </c>
      <c r="B81" s="24">
        <f t="shared" si="116"/>
        <v>1929</v>
      </c>
      <c r="C81" s="25">
        <v>10836</v>
      </c>
      <c r="D81" s="26"/>
      <c r="E81" s="24"/>
      <c r="F81" s="26"/>
      <c r="G81" s="24"/>
      <c r="H81" s="24"/>
      <c r="I81" s="26"/>
      <c r="J81" s="24"/>
      <c r="K81" s="26"/>
      <c r="L81" s="24"/>
      <c r="M81" s="24"/>
      <c r="N81" s="26"/>
      <c r="O81" s="26"/>
      <c r="P81" s="26"/>
      <c r="Q81" s="26"/>
      <c r="R81" s="26"/>
      <c r="S81" s="26"/>
      <c r="T81" s="26"/>
      <c r="U81" s="26"/>
      <c r="V81" s="26"/>
      <c r="W81" s="26">
        <f>MAX($C$7-VLOOKUP($C81,COS!$B$8:$H$991,3,FALSE),0)</f>
        <v>92112.06689453125</v>
      </c>
      <c r="X81" s="26">
        <f t="shared" si="31"/>
        <v>5663.75022888688</v>
      </c>
      <c r="Y81" s="26">
        <f>VLOOKUP($C81,COS!$B$8:$H$991,4,FALSE)</f>
        <v>2623.390625</v>
      </c>
      <c r="Z81" s="26">
        <f t="shared" si="32"/>
        <v>161.3060020661157</v>
      </c>
      <c r="AA81" s="26">
        <f t="shared" ref="AA81:AA85" si="125">MIN(W81,Y81)</f>
        <v>2623.390625</v>
      </c>
      <c r="AB81" s="33">
        <f t="shared" ref="AB81" si="126">AA81*DAY($C81)*86400/43560/1000*IF(MONTH($C81)=8,$P$3,IF(MONTH($C81)=9,$P$4,IF(MONTH($C81)=10,$P$5,IF(MONTH($C81)=11,$P$6,IF(MONTH($C81)=12,$P$7,NA())))))</f>
        <v>161.3060020661157</v>
      </c>
      <c r="AD81" s="44">
        <v>1989</v>
      </c>
      <c r="AE81" s="45">
        <f>VLOOKUP(AD81,Flags!$A$13:$B$95,2,FALSE)</f>
        <v>4</v>
      </c>
      <c r="AF81" s="44">
        <f t="shared" si="118"/>
        <v>354.86444473140494</v>
      </c>
      <c r="AG81" s="44">
        <f t="shared" si="119"/>
        <v>654.21735975029048</v>
      </c>
      <c r="AH81" s="44">
        <f t="shared" si="120"/>
        <v>283.05427601207384</v>
      </c>
      <c r="AI81" s="44">
        <f t="shared" si="121"/>
        <v>22908.850762848659</v>
      </c>
      <c r="AJ81" s="44">
        <f t="shared" si="122"/>
        <v>434.55095263268333</v>
      </c>
      <c r="AK81" s="44">
        <f t="shared" si="115"/>
        <v>264.68922750677945</v>
      </c>
      <c r="AL81" s="44">
        <f t="shared" si="123"/>
        <v>264.68922750677945</v>
      </c>
    </row>
    <row r="82" spans="1:38" x14ac:dyDescent="0.3">
      <c r="A82" s="32">
        <f>VLOOKUP(YEAR(C82),Flags!$A$13:$B$95,2,FALSE)</f>
        <v>5</v>
      </c>
      <c r="B82" s="24">
        <f t="shared" si="116"/>
        <v>1929</v>
      </c>
      <c r="C82" s="25">
        <v>10866</v>
      </c>
      <c r="D82" s="26"/>
      <c r="E82" s="24"/>
      <c r="F82" s="26"/>
      <c r="G82" s="24"/>
      <c r="H82" s="24"/>
      <c r="I82" s="26"/>
      <c r="J82" s="24"/>
      <c r="K82" s="26">
        <f>VLOOKUP($C82,COS!$B$8:$H$991,2,FALSE)</f>
        <v>1326.92724609375</v>
      </c>
      <c r="L82" s="24">
        <f t="shared" ref="L82" si="127">IF(AND(K82&gt;$I$7,K82&lt;$I$8),1,0)</f>
        <v>1</v>
      </c>
      <c r="M82" s="24"/>
      <c r="N82" s="26"/>
      <c r="O82" s="26"/>
      <c r="P82" s="26"/>
      <c r="Q82" s="26"/>
      <c r="R82" s="26"/>
      <c r="S82" s="26"/>
      <c r="T82" s="26"/>
      <c r="U82" s="26"/>
      <c r="V82" s="26"/>
      <c r="W82" s="26">
        <f>MAX($C$8-VLOOKUP($C82,COS!$B$8:$H$991,3,FALSE),0)</f>
        <v>94693.32568359375</v>
      </c>
      <c r="X82" s="26">
        <f t="shared" si="31"/>
        <v>5634.644172908057</v>
      </c>
      <c r="Y82" s="26">
        <f>VLOOKUP($C82,COS!$B$8:$H$991,4,FALSE)</f>
        <v>1966.5052490234375</v>
      </c>
      <c r="Z82" s="26">
        <f t="shared" si="32"/>
        <v>117.01518837164257</v>
      </c>
      <c r="AA82" s="26">
        <f t="shared" si="125"/>
        <v>1966.5052490234375</v>
      </c>
      <c r="AB82" s="33">
        <f t="shared" si="34"/>
        <v>117.01518837164257</v>
      </c>
      <c r="AD82" s="44">
        <v>1990</v>
      </c>
      <c r="AE82" s="45">
        <f>VLOOKUP(AD82,Flags!$A$13:$B$95,2,FALSE)</f>
        <v>5</v>
      </c>
      <c r="AF82" s="44">
        <f t="shared" si="118"/>
        <v>0</v>
      </c>
      <c r="AG82" s="44">
        <f t="shared" si="119"/>
        <v>508.50892750385378</v>
      </c>
      <c r="AH82" s="44">
        <f t="shared" si="120"/>
        <v>0</v>
      </c>
      <c r="AI82" s="44">
        <f t="shared" si="121"/>
        <v>22814.627935498447</v>
      </c>
      <c r="AJ82" s="44">
        <f t="shared" si="122"/>
        <v>684.5884151439825</v>
      </c>
      <c r="AK82" s="44">
        <f t="shared" si="115"/>
        <v>450.5600010491994</v>
      </c>
      <c r="AL82" s="44">
        <f t="shared" si="123"/>
        <v>0</v>
      </c>
    </row>
    <row r="83" spans="1:38" x14ac:dyDescent="0.3">
      <c r="A83" s="32">
        <f>VLOOKUP(YEAR(C83),Flags!$A$13:$B$95,2,FALSE)</f>
        <v>5</v>
      </c>
      <c r="B83" s="24">
        <f t="shared" si="116"/>
        <v>1929</v>
      </c>
      <c r="C83" s="25">
        <v>10897</v>
      </c>
      <c r="D83" s="26"/>
      <c r="E83" s="24"/>
      <c r="F83" s="26"/>
      <c r="G83" s="26"/>
      <c r="H83" s="26"/>
      <c r="I83" s="26"/>
      <c r="J83" s="26"/>
      <c r="K83" s="26"/>
      <c r="L83" s="24"/>
      <c r="M83" s="24"/>
      <c r="N83" s="26"/>
      <c r="O83" s="26"/>
      <c r="P83" s="26"/>
      <c r="Q83" s="26"/>
      <c r="R83" s="26"/>
      <c r="S83" s="26"/>
      <c r="T83" s="26"/>
      <c r="U83" s="26"/>
      <c r="V83" s="26"/>
      <c r="W83" s="26">
        <f>MAX($C$9-VLOOKUP($C83,COS!$B$8:$H$991,3,FALSE),0)</f>
        <v>94798.603515625</v>
      </c>
      <c r="X83" s="26">
        <f t="shared" si="31"/>
        <v>5828.9389269111571</v>
      </c>
      <c r="Y83" s="26">
        <f>VLOOKUP($C83,COS!$B$8:$H$991,4,FALSE)</f>
        <v>1369.061767578125</v>
      </c>
      <c r="Z83" s="26">
        <f t="shared" si="32"/>
        <v>84.180326865960737</v>
      </c>
      <c r="AA83" s="26">
        <f t="shared" si="125"/>
        <v>1369.061767578125</v>
      </c>
      <c r="AB83" s="33">
        <f t="shared" si="34"/>
        <v>84.180326865960737</v>
      </c>
      <c r="AD83" s="44">
        <v>1991</v>
      </c>
      <c r="AE83" s="45">
        <f>VLOOKUP(AD83,Flags!$A$13:$B$95,2,FALSE)</f>
        <v>5</v>
      </c>
      <c r="AF83" s="44">
        <f t="shared" si="118"/>
        <v>45.886084710743802</v>
      </c>
      <c r="AG83" s="44">
        <f t="shared" si="119"/>
        <v>601.89792775556077</v>
      </c>
      <c r="AH83" s="44">
        <f t="shared" si="120"/>
        <v>45.886084710743802</v>
      </c>
      <c r="AI83" s="44">
        <f t="shared" si="121"/>
        <v>22884.804520273759</v>
      </c>
      <c r="AJ83" s="44">
        <f t="shared" si="122"/>
        <v>691.69384434723656</v>
      </c>
      <c r="AK83" s="44">
        <f t="shared" si="115"/>
        <v>455.63925789320768</v>
      </c>
      <c r="AL83" s="44">
        <f t="shared" si="123"/>
        <v>45.886084710743802</v>
      </c>
    </row>
    <row r="84" spans="1:38" x14ac:dyDescent="0.3">
      <c r="A84" s="32">
        <f>VLOOKUP(YEAR(C84),Flags!$A$13:$B$95,2,FALSE)</f>
        <v>5</v>
      </c>
      <c r="B84" s="24">
        <f t="shared" si="116"/>
        <v>1929</v>
      </c>
      <c r="C84" s="25">
        <v>10927</v>
      </c>
      <c r="D84" s="26"/>
      <c r="E84" s="24"/>
      <c r="F84" s="26"/>
      <c r="G84" s="26"/>
      <c r="H84" s="26"/>
      <c r="I84" s="26"/>
      <c r="J84" s="26"/>
      <c r="K84" s="26"/>
      <c r="L84" s="24"/>
      <c r="M84" s="24"/>
      <c r="N84" s="26"/>
      <c r="O84" s="26"/>
      <c r="P84" s="26"/>
      <c r="Q84" s="26"/>
      <c r="R84" s="26"/>
      <c r="S84" s="26"/>
      <c r="T84" s="26"/>
      <c r="U84" s="26"/>
      <c r="V84" s="26"/>
      <c r="W84" s="26">
        <f>MAX($C$10-VLOOKUP($C84,COS!$B$8:$H$991,3,FALSE),0)</f>
        <v>95721.40087890625</v>
      </c>
      <c r="X84" s="26">
        <f t="shared" si="31"/>
        <v>5695.8188952737601</v>
      </c>
      <c r="Y84" s="26">
        <f>VLOOKUP($C84,COS!$B$8:$H$991,4,FALSE)</f>
        <v>1476.7601318359375</v>
      </c>
      <c r="Z84" s="26">
        <f t="shared" si="32"/>
        <v>87.873330158832644</v>
      </c>
      <c r="AA84" s="26">
        <f t="shared" si="125"/>
        <v>1476.7601318359375</v>
      </c>
      <c r="AB84" s="33">
        <f t="shared" si="34"/>
        <v>43.936665079416322</v>
      </c>
      <c r="AD84" s="43">
        <v>1992</v>
      </c>
      <c r="AE84" s="1">
        <f>VLOOKUP(AD84,Flags!$A$13:$B$95,2,FALSE)</f>
        <v>5</v>
      </c>
      <c r="AF84" s="43">
        <f t="shared" si="118"/>
        <v>184.40940534607438</v>
      </c>
      <c r="AG84" s="43">
        <f t="shared" si="119"/>
        <v>595.25417847373262</v>
      </c>
      <c r="AH84" s="43">
        <f t="shared" si="120"/>
        <v>184.40940534607438</v>
      </c>
      <c r="AI84" s="43">
        <f t="shared" si="121"/>
        <v>22868.97411221591</v>
      </c>
      <c r="AJ84" s="43">
        <f t="shared" si="122"/>
        <v>529.46044728176651</v>
      </c>
      <c r="AK84" s="43">
        <f t="shared" si="115"/>
        <v>374.20979137073863</v>
      </c>
      <c r="AL84" s="43">
        <f t="shared" si="123"/>
        <v>184.40940534607438</v>
      </c>
    </row>
    <row r="85" spans="1:38" x14ac:dyDescent="0.3">
      <c r="A85" s="34">
        <f>VLOOKUP(YEAR(C85),Flags!$A$13:$B$95,2,FALSE)</f>
        <v>5</v>
      </c>
      <c r="B85" s="35">
        <f t="shared" si="116"/>
        <v>1929</v>
      </c>
      <c r="C85" s="36">
        <v>10958</v>
      </c>
      <c r="D85" s="37"/>
      <c r="E85" s="35"/>
      <c r="F85" s="37"/>
      <c r="G85" s="37"/>
      <c r="H85" s="37"/>
      <c r="I85" s="37"/>
      <c r="J85" s="37"/>
      <c r="K85" s="37"/>
      <c r="L85" s="35"/>
      <c r="M85" s="35"/>
      <c r="N85" s="37"/>
      <c r="O85" s="37"/>
      <c r="P85" s="37"/>
      <c r="Q85" s="37"/>
      <c r="R85" s="37"/>
      <c r="S85" s="37"/>
      <c r="T85" s="37"/>
      <c r="U85" s="37"/>
      <c r="V85" s="37"/>
      <c r="W85" s="37">
        <f>MAX($C$11-VLOOKUP($C85,COS!$B$8:$H$991,3,FALSE),0)</f>
        <v>0</v>
      </c>
      <c r="X85" s="37">
        <f t="shared" si="31"/>
        <v>0</v>
      </c>
      <c r="Y85" s="37">
        <f>VLOOKUP($C85,COS!$B$8:$H$991,4,FALSE)</f>
        <v>1577.152099609375</v>
      </c>
      <c r="Z85" s="37">
        <f t="shared" si="32"/>
        <v>96.975302653667356</v>
      </c>
      <c r="AA85" s="37">
        <f t="shared" si="125"/>
        <v>0</v>
      </c>
      <c r="AB85" s="38">
        <f t="shared" si="34"/>
        <v>0</v>
      </c>
      <c r="AD85" s="43">
        <v>1993</v>
      </c>
      <c r="AE85" s="1">
        <f>VLOOKUP(AD85,Flags!$A$13:$B$95,2,FALSE)</f>
        <v>2</v>
      </c>
      <c r="AF85" s="43">
        <f t="shared" si="118"/>
        <v>368.51700348657027</v>
      </c>
      <c r="AG85" s="43">
        <f t="shared" si="119"/>
        <v>678.65893496174454</v>
      </c>
      <c r="AH85" s="43">
        <f t="shared" si="120"/>
        <v>0</v>
      </c>
      <c r="AI85" s="43">
        <f t="shared" si="121"/>
        <v>22047.888796487605</v>
      </c>
      <c r="AJ85" s="43">
        <f t="shared" si="122"/>
        <v>150.01719971711969</v>
      </c>
      <c r="AK85" s="43">
        <f t="shared" si="115"/>
        <v>97.969339508813277</v>
      </c>
      <c r="AL85" s="43">
        <f t="shared" si="123"/>
        <v>0</v>
      </c>
    </row>
    <row r="86" spans="1:38" x14ac:dyDescent="0.3">
      <c r="A86" s="27">
        <f>VLOOKUP(YEAR(C86),Flags!$A$13:$B$95,2,FALSE)</f>
        <v>4</v>
      </c>
      <c r="B86" s="28">
        <f t="shared" si="116"/>
        <v>1930</v>
      </c>
      <c r="C86" s="29">
        <v>11078</v>
      </c>
      <c r="D86" s="30">
        <f>VLOOKUP($C86,COS!$B$8:$H$991,3,FALSE)</f>
        <v>3250</v>
      </c>
      <c r="E86" s="28">
        <f>IF(D86&gt;=IF(MONTH($C86)=4,$C$3,IF(MONTH($C86)=5,$C$4,IF(MONTH($C86)=6,$C$5,IF(MONTH($C86)=7,$C$6,"ERROR")))),1,0)</f>
        <v>0</v>
      </c>
      <c r="F86" s="30">
        <f>VLOOKUP($C86,COS!$B$8:$H$991,7,FALSE)</f>
        <v>51.239517211914063</v>
      </c>
      <c r="G86" s="28">
        <f>IF(F86&lt;=IF(MONTH($C86)=4,$F$3,IF(MONTH($C86)=5,$F$4,IF(MONTH($C86)=6,$F$5,IF(MONTH($C86)=7,$F$6,"ERROR")))),1,0)</f>
        <v>1</v>
      </c>
      <c r="H86" s="30">
        <f>IF(J86=1,D86-$C$3,0)</f>
        <v>0</v>
      </c>
      <c r="I86" s="30">
        <f t="shared" si="17"/>
        <v>0</v>
      </c>
      <c r="J86" s="28">
        <f t="shared" ref="J86:J89" si="128">IF(AND(E86=1,G86=1),1,0)</f>
        <v>0</v>
      </c>
      <c r="K86" s="30">
        <f>VLOOKUP($C86,COS!$B$8:$H$991,2,FALSE)</f>
        <v>2916.82275390625</v>
      </c>
      <c r="L86" s="28">
        <f t="shared" ref="L86:L143" si="129">IF(K86&lt;=IF(MONTH($C86)=4,$I$3,IF(MONTH($C86)=5,$I$4,IF(MONTH($C86)=6,$I$5,IF(MONTH($C86)=7,$I$6,"ERROR")))),1,0)</f>
        <v>1</v>
      </c>
      <c r="M86" s="28">
        <f t="shared" ref="M86:M143" si="130">VLOOKUP($A86,$L$3:$M$7,2,FALSE)</f>
        <v>1</v>
      </c>
      <c r="N86" s="30">
        <f>VLOOKUP($C86,COS!$B$8:$H$991,5,FALSE)</f>
        <v>44.508659362792969</v>
      </c>
      <c r="O86" s="30">
        <f t="shared" ref="O86:O89" si="131">N86*DAY($C86)*86400/43560/1000</f>
        <v>2.6484491521661928</v>
      </c>
      <c r="P86" s="30">
        <f>VLOOKUP($C86,COS!$B$8:$H$991,6,FALSE)</f>
        <v>392.62295532226563</v>
      </c>
      <c r="Q86" s="30">
        <f t="shared" ref="Q86:Q89" si="132">P86*DAY($C86)*86400/43560/1000</f>
        <v>23.362688250581094</v>
      </c>
      <c r="R86" s="30">
        <f>MIN(IF(MONTH($C86)=4,$S$3,IF(MONTH($C86)=5,$S$4,IF(MONTH($C86)=6,$S$5,IF(MONTH($C86)=7,$S$6,"ERROR")))),MAX(VLOOKUP($C86,COS!$B$8:$K$991,10,FALSE)-IF(MONTH($C86)=4,$Y$3,IF(MONTH($C86)=5,$Y$4,IF(MONTH($C86)=6,$Y$5,IF(MONTH($C86)=7,$Y$6,"ERROR")))),0),MAX(VLOOKUP($C86,COS!$B$8:$K$991,9,FALSE)-IF(MONTH($C86)=4,$V$3,IF(MONTH($C86)=5,$V$4,IF(MONTH($C86)=6,$V$5,IF(MONTH($C86)=7,$V$6,"ERROR"))))-VLOOKUP($C86,COS!$B$8:$K$991,6,FALSE)/2,0))</f>
        <v>1500</v>
      </c>
      <c r="S86" s="30">
        <f t="shared" ref="S86:S89" si="133">R86*DAY($C86)*86400/43560/1000</f>
        <v>89.256198347107429</v>
      </c>
      <c r="T86" s="30">
        <f t="shared" ref="T86:T89" si="134">(O86+Q86)/2+S86</f>
        <v>102.26176704848108</v>
      </c>
      <c r="U86" s="30" t="str">
        <f>IF(VLOOKUP($C86,COS!$B$8:$I$991,8,FALSE)=1,"UWFE","IBU")</f>
        <v>UWFE</v>
      </c>
      <c r="V86" s="30">
        <f t="shared" ref="V86" si="135">MIN(IF(IF($AA$3=2,AND(E86=1,G86=1,L86=1,L91=1,M86=1,U86="IBU"),AND(E86=1,G86=1,L86=1,L91=1,M86=1)),T86,0),I86)</f>
        <v>0</v>
      </c>
      <c r="W86" s="30"/>
      <c r="X86" s="30"/>
      <c r="Y86" s="30"/>
      <c r="Z86" s="30"/>
      <c r="AA86" s="30"/>
      <c r="AB86" s="31"/>
      <c r="AD86" s="43">
        <v>1994</v>
      </c>
      <c r="AE86" s="1">
        <f>VLOOKUP(AD86,Flags!$A$13:$B$95,2,FALSE)</f>
        <v>5</v>
      </c>
      <c r="AF86" s="43">
        <f t="shared" si="118"/>
        <v>21.768285123966944</v>
      </c>
      <c r="AG86" s="43">
        <f t="shared" si="119"/>
        <v>561.5149479334807</v>
      </c>
      <c r="AH86" s="43">
        <f t="shared" si="120"/>
        <v>21.768285123966944</v>
      </c>
      <c r="AI86" s="43">
        <f t="shared" si="121"/>
        <v>22936.905428073344</v>
      </c>
      <c r="AJ86" s="43">
        <f t="shared" si="122"/>
        <v>521.34395168840388</v>
      </c>
      <c r="AK86" s="43">
        <f t="shared" si="115"/>
        <v>366.65812161027895</v>
      </c>
      <c r="AL86" s="43">
        <f t="shared" si="123"/>
        <v>21.768285123966944</v>
      </c>
    </row>
    <row r="87" spans="1:38" x14ac:dyDescent="0.3">
      <c r="A87" s="32">
        <f>VLOOKUP(YEAR(C87),Flags!$A$13:$B$95,2,FALSE)</f>
        <v>4</v>
      </c>
      <c r="B87" s="24">
        <f t="shared" si="116"/>
        <v>1930</v>
      </c>
      <c r="C87" s="25">
        <v>11109</v>
      </c>
      <c r="D87" s="26">
        <f>VLOOKUP($C87,COS!$B$8:$H$991,3,FALSE)</f>
        <v>5412.98681640625</v>
      </c>
      <c r="E87" s="24">
        <f>IF(D87&gt;=IF(MONTH($C87)=4,$C$3,IF(MONTH($C87)=5,$C$4,IF(MONTH($C87)=6,$C$5,IF(MONTH($C87)=7,$C$6,"ERROR")))),1,0)</f>
        <v>0</v>
      </c>
      <c r="F87" s="26">
        <f>VLOOKUP($C87,COS!$B$8:$H$991,7,FALSE)</f>
        <v>51.472103118896484</v>
      </c>
      <c r="G87" s="24">
        <f>IF(F87&lt;=IF(MONTH($C87)=4,$F$3,IF(MONTH($C87)=5,$F$4,IF(MONTH($C87)=6,$F$5,IF(MONTH($C87)=7,$F$6,"ERROR")))),1,0)</f>
        <v>1</v>
      </c>
      <c r="H87" s="26">
        <f>IF(J87=1,D87-$C$4,0)</f>
        <v>0</v>
      </c>
      <c r="I87" s="26">
        <f t="shared" ref="I87:I150" si="136">H87*DAY($C87)*86400/43560/1000</f>
        <v>0</v>
      </c>
      <c r="J87" s="24">
        <f t="shared" si="128"/>
        <v>0</v>
      </c>
      <c r="K87" s="26">
        <f>VLOOKUP($C87,COS!$B$8:$H$991,2,FALSE)</f>
        <v>2856.510986328125</v>
      </c>
      <c r="L87" s="24">
        <f t="shared" si="129"/>
        <v>1</v>
      </c>
      <c r="M87" s="24">
        <f t="shared" si="130"/>
        <v>1</v>
      </c>
      <c r="N87" s="26">
        <f>VLOOKUP($C87,COS!$B$8:$H$991,5,FALSE)</f>
        <v>14.996692657470703</v>
      </c>
      <c r="O87" s="26">
        <f t="shared" si="131"/>
        <v>0.92211068902133908</v>
      </c>
      <c r="P87" s="26">
        <f>VLOOKUP($C87,COS!$B$8:$H$991,6,FALSE)</f>
        <v>2146.524658203125</v>
      </c>
      <c r="Q87" s="26">
        <f t="shared" si="132"/>
        <v>131.98465666967974</v>
      </c>
      <c r="R87" s="26">
        <f>MIN(IF(MONTH($C87)=4,$S$3,IF(MONTH($C87)=5,$S$4,IF(MONTH($C87)=6,$S$5,IF(MONTH($C87)=7,$S$6,"ERROR")))),MAX(VLOOKUP($C87,COS!$B$8:$K$991,10,FALSE)-IF(MONTH($C87)=4,$Y$3,IF(MONTH($C87)=5,$Y$4,IF(MONTH($C87)=6,$Y$5,IF(MONTH($C87)=7,$Y$6,"ERROR")))),0),MAX(VLOOKUP($C87,COS!$B$8:$K$991,9,FALSE)-IF(MONTH($C87)=4,$V$3,IF(MONTH($C87)=5,$V$4,IF(MONTH($C87)=6,$V$5,IF(MONTH($C87)=7,$V$6,"ERROR"))))-VLOOKUP($C87,COS!$B$8:$K$991,6,FALSE)/2,0))</f>
        <v>1500</v>
      </c>
      <c r="S87" s="26">
        <f t="shared" si="133"/>
        <v>92.231404958677686</v>
      </c>
      <c r="T87" s="26">
        <f t="shared" si="134"/>
        <v>158.68478863802824</v>
      </c>
      <c r="U87" s="26" t="str">
        <f>IF(VLOOKUP($C87,COS!$B$8:$I$991,8,FALSE)=1,"UWFE","IBU")</f>
        <v>UWFE</v>
      </c>
      <c r="V87" s="26">
        <f t="shared" ref="V87" si="137">MIN(IF(IF($AA$3=2,AND(E87=1,G87=1,L87=1,L91=1,M87=1,U87="IBU"),AND(E87=1,G87=1,L87=1,L91=1,M87=1)),T87,0),I87)</f>
        <v>0</v>
      </c>
      <c r="W87" s="26"/>
      <c r="X87" s="26"/>
      <c r="Y87" s="26"/>
      <c r="Z87" s="26"/>
      <c r="AA87" s="26"/>
      <c r="AB87" s="33"/>
      <c r="AD87" s="43">
        <v>1995</v>
      </c>
      <c r="AE87" s="1">
        <f>VLOOKUP(AD87,Flags!$A$13:$B$95,2,FALSE)</f>
        <v>1</v>
      </c>
      <c r="AF87" s="43">
        <f t="shared" si="118"/>
        <v>374.49814307851238</v>
      </c>
      <c r="AG87" s="43">
        <f t="shared" si="119"/>
        <v>676.62732833483983</v>
      </c>
      <c r="AH87" s="43">
        <f t="shared" si="120"/>
        <v>0</v>
      </c>
      <c r="AI87" s="43">
        <f t="shared" si="121"/>
        <v>21622.179925103308</v>
      </c>
      <c r="AJ87" s="43">
        <f t="shared" si="122"/>
        <v>112.67233340428881</v>
      </c>
      <c r="AK87" s="43">
        <f t="shared" si="115"/>
        <v>60.09638307177331</v>
      </c>
      <c r="AL87" s="43">
        <f t="shared" si="123"/>
        <v>0</v>
      </c>
    </row>
    <row r="88" spans="1:38" x14ac:dyDescent="0.3">
      <c r="A88" s="32">
        <f>VLOOKUP(YEAR(C88),Flags!$A$13:$B$95,2,FALSE)</f>
        <v>4</v>
      </c>
      <c r="B88" s="24">
        <f t="shared" si="116"/>
        <v>1930</v>
      </c>
      <c r="C88" s="25">
        <v>11139</v>
      </c>
      <c r="D88" s="26">
        <f>VLOOKUP($C88,COS!$B$8:$H$991,3,FALSE)</f>
        <v>8881.8974609375</v>
      </c>
      <c r="E88" s="24">
        <f>IF(D88&gt;=IF(MONTH($C88)=4,$C$3,IF(MONTH($C88)=5,$C$4,IF(MONTH($C88)=6,$C$5,IF(MONTH($C88)=7,$C$6,"ERROR")))),1,0)</f>
        <v>0</v>
      </c>
      <c r="F88" s="26">
        <f>VLOOKUP($C88,COS!$B$8:$H$991,7,FALSE)</f>
        <v>52.899250030517578</v>
      </c>
      <c r="G88" s="24">
        <f>IF(F88&lt;=IF(MONTH($C88)=4,$F$3,IF(MONTH($C88)=5,$F$4,IF(MONTH($C88)=6,$F$5,IF(MONTH($C88)=7,$F$6,"ERROR")))),1,0)</f>
        <v>1</v>
      </c>
      <c r="H88" s="26">
        <f>IF(J88=1,D88-$C$5,0)</f>
        <v>0</v>
      </c>
      <c r="I88" s="26">
        <f t="shared" si="136"/>
        <v>0</v>
      </c>
      <c r="J88" s="24">
        <f t="shared" si="128"/>
        <v>0</v>
      </c>
      <c r="K88" s="26">
        <f>VLOOKUP($C88,COS!$B$8:$H$991,2,FALSE)</f>
        <v>2536.044189453125</v>
      </c>
      <c r="L88" s="24">
        <f t="shared" si="129"/>
        <v>1</v>
      </c>
      <c r="M88" s="24">
        <f t="shared" si="130"/>
        <v>1</v>
      </c>
      <c r="N88" s="26">
        <f>VLOOKUP($C88,COS!$B$8:$H$991,5,FALSE)</f>
        <v>199.59013366699219</v>
      </c>
      <c r="O88" s="26">
        <f t="shared" si="131"/>
        <v>11.876437705804493</v>
      </c>
      <c r="P88" s="26">
        <f>VLOOKUP($C88,COS!$B$8:$H$991,6,FALSE)</f>
        <v>2714.961669921875</v>
      </c>
      <c r="Q88" s="26">
        <f t="shared" si="132"/>
        <v>161.55143821022727</v>
      </c>
      <c r="R88" s="26">
        <f>MIN(IF(MONTH($C88)=4,$S$3,IF(MONTH($C88)=5,$S$4,IF(MONTH($C88)=6,$S$5,IF(MONTH($C88)=7,$S$6,"ERROR")))),MAX(VLOOKUP($C88,COS!$B$8:$K$991,10,FALSE)-IF(MONTH($C88)=4,$Y$3,IF(MONTH($C88)=5,$Y$4,IF(MONTH($C88)=6,$Y$5,IF(MONTH($C88)=7,$Y$6,"ERROR")))),0),MAX(VLOOKUP($C88,COS!$B$8:$K$991,9,FALSE)-IF(MONTH($C88)=4,$V$3,IF(MONTH($C88)=5,$V$4,IF(MONTH($C88)=6,$V$5,IF(MONTH($C88)=7,$V$6,"ERROR"))))-VLOOKUP($C88,COS!$B$8:$K$991,6,FALSE)/2,0))</f>
        <v>1500</v>
      </c>
      <c r="S88" s="26">
        <f t="shared" si="133"/>
        <v>89.256198347107429</v>
      </c>
      <c r="T88" s="26">
        <f t="shared" si="134"/>
        <v>175.97013630512333</v>
      </c>
      <c r="U88" s="26" t="str">
        <f>IF(VLOOKUP($C88,COS!$B$8:$I$991,8,FALSE)=1,"UWFE","IBU")</f>
        <v>IBU</v>
      </c>
      <c r="V88" s="26">
        <f t="shared" ref="V88" si="138">MIN(IF(IF($AA$3=2,AND(E88=1,G88=1,L88=1,L91=1,M88=1,U88="IBU"),AND(E88=1,G88=1,L88=1,L91=1,M88=1)),T88,0),I88)</f>
        <v>0</v>
      </c>
      <c r="W88" s="26"/>
      <c r="X88" s="26"/>
      <c r="Y88" s="26"/>
      <c r="Z88" s="26"/>
      <c r="AA88" s="26"/>
      <c r="AB88" s="33"/>
      <c r="AD88" s="43">
        <v>1996</v>
      </c>
      <c r="AE88" s="1">
        <f>VLOOKUP(AD88,Flags!$A$13:$B$95,2,FALSE)</f>
        <v>1</v>
      </c>
      <c r="AF88" s="43">
        <f t="shared" si="118"/>
        <v>470.82685111053718</v>
      </c>
      <c r="AG88" s="43">
        <f t="shared" si="119"/>
        <v>673.70356104322696</v>
      </c>
      <c r="AH88" s="43">
        <f t="shared" si="120"/>
        <v>0</v>
      </c>
      <c r="AI88" s="43">
        <f t="shared" si="121"/>
        <v>21668.349818569215</v>
      </c>
      <c r="AJ88" s="43">
        <f t="shared" si="122"/>
        <v>153.2964386137655</v>
      </c>
      <c r="AK88" s="43">
        <f t="shared" si="115"/>
        <v>99.075586179622945</v>
      </c>
      <c r="AL88" s="43">
        <f t="shared" si="123"/>
        <v>0</v>
      </c>
    </row>
    <row r="89" spans="1:38" x14ac:dyDescent="0.3">
      <c r="A89" s="32">
        <f>VLOOKUP(YEAR(C89),Flags!$A$13:$B$95,2,FALSE)</f>
        <v>4</v>
      </c>
      <c r="B89" s="24">
        <f t="shared" si="116"/>
        <v>1930</v>
      </c>
      <c r="C89" s="25">
        <v>11170</v>
      </c>
      <c r="D89" s="26">
        <f>VLOOKUP($C89,COS!$B$8:$H$991,3,FALSE)</f>
        <v>9171.2353515625</v>
      </c>
      <c r="E89" s="24">
        <f>IF(D89&gt;=IF(MONTH($C89)=4,$C$3,IF(MONTH($C89)=5,$C$4,IF(MONTH($C89)=6,$C$5,IF(MONTH($C89)=7,$C$6,"ERROR")))),1,0)</f>
        <v>0</v>
      </c>
      <c r="F89" s="26">
        <f>VLOOKUP($C89,COS!$B$8:$H$991,7,FALSE)</f>
        <v>55.481464385986328</v>
      </c>
      <c r="G89" s="24">
        <f>IF(F89&lt;=IF(MONTH($C89)=4,$F$3,IF(MONTH($C89)=5,$F$4,IF(MONTH($C89)=6,$F$5,IF(MONTH($C89)=7,$F$6,"ERROR")))),1,0)</f>
        <v>0</v>
      </c>
      <c r="H89" s="26">
        <f>IF(J89=1,D89-$C$6,0)</f>
        <v>0</v>
      </c>
      <c r="I89" s="26">
        <f t="shared" si="136"/>
        <v>0</v>
      </c>
      <c r="J89" s="24">
        <f t="shared" si="128"/>
        <v>0</v>
      </c>
      <c r="K89" s="26">
        <f>VLOOKUP($C89,COS!$B$8:$H$991,2,FALSE)</f>
        <v>2214.108642578125</v>
      </c>
      <c r="L89" s="24">
        <f t="shared" si="129"/>
        <v>1</v>
      </c>
      <c r="M89" s="24">
        <f t="shared" si="130"/>
        <v>1</v>
      </c>
      <c r="N89" s="26">
        <f>VLOOKUP($C89,COS!$B$8:$H$991,5,FALSE)</f>
        <v>218.08706665039063</v>
      </c>
      <c r="O89" s="26">
        <f t="shared" si="131"/>
        <v>13.40965104032154</v>
      </c>
      <c r="P89" s="26">
        <f>VLOOKUP($C89,COS!$B$8:$H$991,6,FALSE)</f>
        <v>2538.07568359375</v>
      </c>
      <c r="Q89" s="26">
        <f t="shared" si="132"/>
        <v>156.06019079287191</v>
      </c>
      <c r="R89" s="26">
        <f>MIN(IF(MONTH($C89)=4,$S$3,IF(MONTH($C89)=5,$S$4,IF(MONTH($C89)=6,$S$5,IF(MONTH($C89)=7,$S$6,"ERROR")))),MAX(VLOOKUP($C89,COS!$B$8:$K$991,10,FALSE)-IF(MONTH($C89)=4,$Y$3,IF(MONTH($C89)=5,$Y$4,IF(MONTH($C89)=6,$Y$5,IF(MONTH($C89)=7,$Y$6,"ERROR")))),0),MAX(VLOOKUP($C89,COS!$B$8:$K$991,9,FALSE)-IF(MONTH($C89)=4,$V$3,IF(MONTH($C89)=5,$V$4,IF(MONTH($C89)=6,$V$5,IF(MONTH($C89)=7,$V$6,"ERROR"))))-VLOOKUP($C89,COS!$B$8:$K$991,6,FALSE)/2,0))</f>
        <v>1500</v>
      </c>
      <c r="S89" s="26">
        <f t="shared" si="133"/>
        <v>92.231404958677686</v>
      </c>
      <c r="T89" s="26">
        <f t="shared" si="134"/>
        <v>176.96632587527441</v>
      </c>
      <c r="U89" s="26" t="str">
        <f>IF(VLOOKUP($C89,COS!$B$8:$I$991,8,FALSE)=1,"UWFE","IBU")</f>
        <v>IBU</v>
      </c>
      <c r="V89" s="26">
        <f t="shared" ref="V89" si="139">MIN(IF(IF($AA$3=2,AND(E89=1,G89=1,L89=1,L91=1,M89=1,U89="IBU"),AND(E89=1,G89=1,L89=1,L91=1,M89=1)),T89,0),I89)</f>
        <v>0</v>
      </c>
      <c r="W89" s="26"/>
      <c r="X89" s="26"/>
      <c r="Y89" s="26"/>
      <c r="Z89" s="26"/>
      <c r="AA89" s="26"/>
      <c r="AB89" s="33"/>
      <c r="AD89" s="43">
        <v>1997</v>
      </c>
      <c r="AE89" s="1">
        <f>VLOOKUP(AD89,Flags!$A$13:$B$95,2,FALSE)</f>
        <v>1</v>
      </c>
      <c r="AF89" s="43">
        <f t="shared" si="118"/>
        <v>379.07900051652894</v>
      </c>
      <c r="AG89" s="43">
        <f t="shared" si="119"/>
        <v>682.87646986780089</v>
      </c>
      <c r="AH89" s="43">
        <f t="shared" si="120"/>
        <v>0</v>
      </c>
      <c r="AI89" s="43">
        <f t="shared" si="121"/>
        <v>21458.47272985537</v>
      </c>
      <c r="AJ89" s="43">
        <f t="shared" si="122"/>
        <v>130.54690817084196</v>
      </c>
      <c r="AK89" s="43">
        <f t="shared" si="115"/>
        <v>96.180083048166324</v>
      </c>
      <c r="AL89" s="43">
        <f t="shared" si="123"/>
        <v>0</v>
      </c>
    </row>
    <row r="90" spans="1:38" x14ac:dyDescent="0.3">
      <c r="A90" s="32">
        <f>VLOOKUP(YEAR(C90),Flags!$A$13:$B$95,2,FALSE)</f>
        <v>4</v>
      </c>
      <c r="B90" s="24">
        <f t="shared" si="116"/>
        <v>1930</v>
      </c>
      <c r="C90" s="25">
        <v>11201</v>
      </c>
      <c r="D90" s="26"/>
      <c r="E90" s="24"/>
      <c r="F90" s="26"/>
      <c r="G90" s="24"/>
      <c r="H90" s="24"/>
      <c r="I90" s="26"/>
      <c r="J90" s="24"/>
      <c r="K90" s="26"/>
      <c r="L90" s="24"/>
      <c r="M90" s="24"/>
      <c r="N90" s="26"/>
      <c r="O90" s="26"/>
      <c r="P90" s="26"/>
      <c r="Q90" s="26"/>
      <c r="R90" s="26"/>
      <c r="S90" s="26"/>
      <c r="T90" s="26"/>
      <c r="U90" s="26"/>
      <c r="V90" s="26"/>
      <c r="W90" s="26">
        <f>MAX($C$7-VLOOKUP($C90,COS!$B$8:$H$991,3,FALSE),0)</f>
        <v>92245.44091796875</v>
      </c>
      <c r="X90" s="26">
        <f t="shared" si="31"/>
        <v>5671.9510779313014</v>
      </c>
      <c r="Y90" s="26">
        <f>VLOOKUP($C90,COS!$B$8:$H$991,4,FALSE)</f>
        <v>2140.212646484375</v>
      </c>
      <c r="Z90" s="26">
        <f t="shared" si="32"/>
        <v>131.59654619705577</v>
      </c>
      <c r="AA90" s="26">
        <f t="shared" ref="AA90:AA94" si="140">MIN(W90,Y90)</f>
        <v>2140.212646484375</v>
      </c>
      <c r="AB90" s="33">
        <f t="shared" ref="AB90:AB148" si="141">AA90*DAY($C90)*86400/43560/1000*IF(MONTH($C90)=8,$P$3,IF(MONTH($C90)=9,$P$4,IF(MONTH($C90)=10,$P$5,IF(MONTH($C90)=11,$P$6,IF(MONTH($C90)=12,$P$7,NA())))))</f>
        <v>131.59654619705577</v>
      </c>
      <c r="AD90" s="43">
        <v>1998</v>
      </c>
      <c r="AE90" s="1">
        <f>VLOOKUP(AD90,Flags!$A$13:$B$95,2,FALSE)</f>
        <v>1</v>
      </c>
      <c r="AF90" s="43">
        <f t="shared" si="118"/>
        <v>1046.5325051652894</v>
      </c>
      <c r="AG90" s="43">
        <f t="shared" si="119"/>
        <v>637.77182187671497</v>
      </c>
      <c r="AH90" s="43">
        <f t="shared" si="120"/>
        <v>0</v>
      </c>
      <c r="AI90" s="43">
        <f t="shared" si="121"/>
        <v>21397.993194731403</v>
      </c>
      <c r="AJ90" s="43">
        <f t="shared" si="122"/>
        <v>3.2741707793937245</v>
      </c>
      <c r="AK90" s="43">
        <f t="shared" si="115"/>
        <v>3.2741707793937245</v>
      </c>
      <c r="AL90" s="43">
        <f t="shared" si="123"/>
        <v>0</v>
      </c>
    </row>
    <row r="91" spans="1:38" x14ac:dyDescent="0.3">
      <c r="A91" s="32">
        <f>VLOOKUP(YEAR(C91),Flags!$A$13:$B$95,2,FALSE)</f>
        <v>4</v>
      </c>
      <c r="B91" s="24">
        <f t="shared" si="116"/>
        <v>1930</v>
      </c>
      <c r="C91" s="25">
        <v>11231</v>
      </c>
      <c r="D91" s="26"/>
      <c r="E91" s="24"/>
      <c r="F91" s="26"/>
      <c r="G91" s="24"/>
      <c r="H91" s="24"/>
      <c r="I91" s="26"/>
      <c r="J91" s="24"/>
      <c r="K91" s="26">
        <f>VLOOKUP($C91,COS!$B$8:$H$991,2,FALSE)</f>
        <v>1915.04248046875</v>
      </c>
      <c r="L91" s="24">
        <f t="shared" ref="L91" si="142">IF(AND(K91&gt;$I$7,K91&lt;$I$8),1,0)</f>
        <v>1</v>
      </c>
      <c r="M91" s="24"/>
      <c r="N91" s="26"/>
      <c r="O91" s="26"/>
      <c r="P91" s="26"/>
      <c r="Q91" s="26"/>
      <c r="R91" s="26"/>
      <c r="S91" s="26"/>
      <c r="T91" s="26"/>
      <c r="U91" s="26"/>
      <c r="V91" s="26"/>
      <c r="W91" s="26">
        <f>MAX($C$8-VLOOKUP($C91,COS!$B$8:$H$991,3,FALSE),0)</f>
        <v>95941.968505859375</v>
      </c>
      <c r="X91" s="26">
        <f t="shared" ref="X91:X154" si="143">W91*DAY($C91)*86400/43560/1000</f>
        <v>5708.9435805139465</v>
      </c>
      <c r="Y91" s="26">
        <f>VLOOKUP($C91,COS!$B$8:$H$991,4,FALSE)</f>
        <v>1280.4638671875</v>
      </c>
      <c r="Z91" s="26">
        <f t="shared" ref="Z91:Z154" si="144">Y91*DAY($C91)*86400/43560/1000</f>
        <v>76.192891270661164</v>
      </c>
      <c r="AA91" s="26">
        <f t="shared" si="140"/>
        <v>1280.4638671875</v>
      </c>
      <c r="AB91" s="33">
        <f t="shared" si="141"/>
        <v>76.192891270661164</v>
      </c>
      <c r="AD91" s="43">
        <v>1999</v>
      </c>
      <c r="AE91" s="1">
        <f>VLOOKUP(AD91,Flags!$A$13:$B$95,2,FALSE)</f>
        <v>1</v>
      </c>
      <c r="AF91" s="43">
        <f t="shared" si="118"/>
        <v>395.80849238119833</v>
      </c>
      <c r="AG91" s="43">
        <f t="shared" si="119"/>
        <v>693.09303507150685</v>
      </c>
      <c r="AH91" s="43">
        <f t="shared" si="120"/>
        <v>0</v>
      </c>
      <c r="AI91" s="43">
        <f t="shared" si="121"/>
        <v>21187.067099690081</v>
      </c>
      <c r="AJ91" s="43">
        <f t="shared" si="122"/>
        <v>135.00084912512912</v>
      </c>
      <c r="AK91" s="43">
        <f t="shared" si="115"/>
        <v>98.872038513688011</v>
      </c>
      <c r="AL91" s="43">
        <f t="shared" si="123"/>
        <v>0</v>
      </c>
    </row>
    <row r="92" spans="1:38" x14ac:dyDescent="0.3">
      <c r="A92" s="32">
        <f>VLOOKUP(YEAR(C92),Flags!$A$13:$B$95,2,FALSE)</f>
        <v>4</v>
      </c>
      <c r="B92" s="24">
        <f t="shared" si="116"/>
        <v>1930</v>
      </c>
      <c r="C92" s="25">
        <v>11262</v>
      </c>
      <c r="D92" s="26"/>
      <c r="E92" s="24"/>
      <c r="F92" s="26"/>
      <c r="G92" s="26"/>
      <c r="H92" s="26"/>
      <c r="I92" s="26"/>
      <c r="J92" s="26"/>
      <c r="K92" s="26"/>
      <c r="L92" s="24"/>
      <c r="M92" s="24"/>
      <c r="N92" s="26"/>
      <c r="O92" s="26"/>
      <c r="P92" s="26"/>
      <c r="Q92" s="26"/>
      <c r="R92" s="26"/>
      <c r="S92" s="26"/>
      <c r="T92" s="26"/>
      <c r="U92" s="26"/>
      <c r="V92" s="26"/>
      <c r="W92" s="26">
        <f>MAX($C$9-VLOOKUP($C92,COS!$B$8:$H$991,3,FALSE),0)</f>
        <v>95080.65087890625</v>
      </c>
      <c r="X92" s="26">
        <f t="shared" si="143"/>
        <v>5846.2813432980374</v>
      </c>
      <c r="Y92" s="26">
        <f>VLOOKUP($C92,COS!$B$8:$H$991,4,FALSE)</f>
        <v>1605.8980712890625</v>
      </c>
      <c r="Z92" s="26">
        <f t="shared" si="144"/>
        <v>98.742823556947315</v>
      </c>
      <c r="AA92" s="26">
        <f t="shared" si="140"/>
        <v>1605.8980712890625</v>
      </c>
      <c r="AB92" s="33">
        <f t="shared" si="141"/>
        <v>98.742823556947315</v>
      </c>
      <c r="AD92" s="43">
        <v>2000</v>
      </c>
      <c r="AE92" s="1">
        <f>VLOOKUP(AD92,Flags!$A$13:$B$95,2,FALSE)</f>
        <v>2</v>
      </c>
      <c r="AF92" s="43">
        <f t="shared" si="118"/>
        <v>514.27096332644635</v>
      </c>
      <c r="AG92" s="43">
        <f t="shared" si="119"/>
        <v>676.36010551515687</v>
      </c>
      <c r="AH92" s="43">
        <f t="shared" si="120"/>
        <v>0</v>
      </c>
      <c r="AI92" s="43">
        <f t="shared" si="121"/>
        <v>21720.460250516528</v>
      </c>
      <c r="AJ92" s="43">
        <f t="shared" si="122"/>
        <v>180.63067758103045</v>
      </c>
      <c r="AK92" s="43">
        <f t="shared" si="115"/>
        <v>85.152847648179232</v>
      </c>
      <c r="AL92" s="43">
        <f t="shared" si="123"/>
        <v>0</v>
      </c>
    </row>
    <row r="93" spans="1:38" x14ac:dyDescent="0.3">
      <c r="A93" s="32">
        <f>VLOOKUP(YEAR(C93),Flags!$A$13:$B$95,2,FALSE)</f>
        <v>4</v>
      </c>
      <c r="B93" s="24">
        <f t="shared" si="116"/>
        <v>1930</v>
      </c>
      <c r="C93" s="25">
        <v>11292</v>
      </c>
      <c r="D93" s="26"/>
      <c r="E93" s="24"/>
      <c r="F93" s="26"/>
      <c r="G93" s="26"/>
      <c r="H93" s="26"/>
      <c r="I93" s="26"/>
      <c r="J93" s="26"/>
      <c r="K93" s="26"/>
      <c r="L93" s="24"/>
      <c r="M93" s="24"/>
      <c r="N93" s="26"/>
      <c r="O93" s="26"/>
      <c r="P93" s="26"/>
      <c r="Q93" s="26"/>
      <c r="R93" s="26"/>
      <c r="S93" s="26"/>
      <c r="T93" s="26"/>
      <c r="U93" s="26"/>
      <c r="V93" s="26"/>
      <c r="W93" s="26">
        <f>MAX($C$10-VLOOKUP($C93,COS!$B$8:$H$991,3,FALSE),0)</f>
        <v>96451.079833984375</v>
      </c>
      <c r="X93" s="26">
        <f t="shared" si="143"/>
        <v>5739.2378083032027</v>
      </c>
      <c r="Y93" s="26">
        <f>VLOOKUP($C93,COS!$B$8:$H$991,4,FALSE)</f>
        <v>1772.532958984375</v>
      </c>
      <c r="Z93" s="26">
        <f t="shared" si="144"/>
        <v>105.47303557592976</v>
      </c>
      <c r="AA93" s="26">
        <f t="shared" si="140"/>
        <v>1772.532958984375</v>
      </c>
      <c r="AB93" s="33">
        <f t="shared" si="141"/>
        <v>52.736517787964878</v>
      </c>
      <c r="AD93" s="43">
        <v>2001</v>
      </c>
      <c r="AE93" s="1">
        <f>VLOOKUP(AD93,Flags!$A$13:$B$95,2,FALSE)</f>
        <v>4</v>
      </c>
      <c r="AF93" s="43">
        <f t="shared" si="118"/>
        <v>418.97775697314046</v>
      </c>
      <c r="AG93" s="43">
        <f t="shared" si="119"/>
        <v>629.78990330215333</v>
      </c>
      <c r="AH93" s="43">
        <f t="shared" si="120"/>
        <v>345.73311434659092</v>
      </c>
      <c r="AI93" s="43">
        <f t="shared" si="121"/>
        <v>22660.507379907023</v>
      </c>
      <c r="AJ93" s="43">
        <f t="shared" si="122"/>
        <v>436.66178630229854</v>
      </c>
      <c r="AK93" s="43">
        <f t="shared" si="115"/>
        <v>395.98933182141013</v>
      </c>
      <c r="AL93" s="43">
        <f t="shared" si="123"/>
        <v>345.73311434659092</v>
      </c>
    </row>
    <row r="94" spans="1:38" x14ac:dyDescent="0.3">
      <c r="A94" s="34">
        <f>VLOOKUP(YEAR(C94),Flags!$A$13:$B$95,2,FALSE)</f>
        <v>4</v>
      </c>
      <c r="B94" s="35">
        <f t="shared" si="116"/>
        <v>1930</v>
      </c>
      <c r="C94" s="36">
        <v>11323</v>
      </c>
      <c r="D94" s="37"/>
      <c r="E94" s="35"/>
      <c r="F94" s="37"/>
      <c r="G94" s="37"/>
      <c r="H94" s="37"/>
      <c r="I94" s="37"/>
      <c r="J94" s="37"/>
      <c r="K94" s="37"/>
      <c r="L94" s="35"/>
      <c r="M94" s="35"/>
      <c r="N94" s="37"/>
      <c r="O94" s="37"/>
      <c r="P94" s="37"/>
      <c r="Q94" s="37"/>
      <c r="R94" s="37"/>
      <c r="S94" s="37"/>
      <c r="T94" s="37"/>
      <c r="U94" s="37"/>
      <c r="V94" s="37"/>
      <c r="W94" s="37">
        <f>MAX($C$11-VLOOKUP($C94,COS!$B$8:$H$991,3,FALSE),0)</f>
        <v>0</v>
      </c>
      <c r="X94" s="37">
        <f t="shared" si="143"/>
        <v>0</v>
      </c>
      <c r="Y94" s="37">
        <f>VLOOKUP($C94,COS!$B$8:$H$991,4,FALSE)</f>
        <v>1918.959716796875</v>
      </c>
      <c r="Z94" s="37">
        <f t="shared" si="144"/>
        <v>117.99223382618803</v>
      </c>
      <c r="AA94" s="37">
        <f t="shared" si="140"/>
        <v>0</v>
      </c>
      <c r="AB94" s="38">
        <f t="shared" si="141"/>
        <v>0</v>
      </c>
      <c r="AD94" s="43">
        <v>2002</v>
      </c>
      <c r="AE94" s="1">
        <f>VLOOKUP(AD94,Flags!$A$13:$B$95,2,FALSE)</f>
        <v>4</v>
      </c>
      <c r="AF94" s="43">
        <f t="shared" si="118"/>
        <v>367.82716909865701</v>
      </c>
      <c r="AG94" s="43">
        <f t="shared" si="119"/>
        <v>683.04540938952732</v>
      </c>
      <c r="AH94" s="43">
        <f t="shared" si="120"/>
        <v>367.82716909865701</v>
      </c>
      <c r="AI94" s="43">
        <f t="shared" si="121"/>
        <v>22610.369045067149</v>
      </c>
      <c r="AJ94" s="43">
        <f t="shared" si="122"/>
        <v>314.62177201704543</v>
      </c>
      <c r="AK94" s="43">
        <f t="shared" si="115"/>
        <v>290.89275418872677</v>
      </c>
      <c r="AL94" s="43">
        <f t="shared" si="123"/>
        <v>290.89275418872677</v>
      </c>
    </row>
    <row r="95" spans="1:38" x14ac:dyDescent="0.3">
      <c r="A95" s="27">
        <f>VLOOKUP(YEAR(C95),Flags!$A$13:$B$95,2,FALSE)</f>
        <v>5</v>
      </c>
      <c r="B95" s="28">
        <f t="shared" si="116"/>
        <v>1931</v>
      </c>
      <c r="C95" s="29">
        <v>11443</v>
      </c>
      <c r="D95" s="30">
        <f>VLOOKUP($C95,COS!$B$8:$H$991,3,FALSE)</f>
        <v>6839.51904296875</v>
      </c>
      <c r="E95" s="28">
        <f>IF(D95&gt;=IF(MONTH($C95)=4,$C$3,IF(MONTH($C95)=5,$C$4,IF(MONTH($C95)=6,$C$5,IF(MONTH($C95)=7,$C$6,"ERROR")))),1,0)</f>
        <v>1</v>
      </c>
      <c r="F95" s="30">
        <f>VLOOKUP($C95,COS!$B$8:$H$991,7,FALSE)</f>
        <v>50.956645965576172</v>
      </c>
      <c r="G95" s="28">
        <f>IF(F95&lt;=IF(MONTH($C95)=4,$F$3,IF(MONTH($C95)=5,$F$4,IF(MONTH($C95)=6,$F$5,IF(MONTH($C95)=7,$F$6,"ERROR")))),1,0)</f>
        <v>1</v>
      </c>
      <c r="H95" s="30">
        <f>IF(J95=1,D95-$C$3,0)</f>
        <v>839.51904296875</v>
      </c>
      <c r="I95" s="30">
        <f t="shared" si="136"/>
        <v>49.954852143595041</v>
      </c>
      <c r="J95" s="28">
        <f t="shared" ref="J95:J98" si="145">IF(AND(E95=1,G95=1),1,0)</f>
        <v>1</v>
      </c>
      <c r="K95" s="30">
        <f>VLOOKUP($C95,COS!$B$8:$H$991,2,FALSE)</f>
        <v>1860.261474609375</v>
      </c>
      <c r="L95" s="28">
        <f t="shared" ref="L95" si="146">IF(K95&lt;=IF(MONTH($C95)=4,$I$3,IF(MONTH($C95)=5,$I$4,IF(MONTH($C95)=6,$I$5,IF(MONTH($C95)=7,$I$6,"ERROR")))),1,0)</f>
        <v>1</v>
      </c>
      <c r="M95" s="28">
        <f t="shared" ref="M95" si="147">VLOOKUP($A95,$L$3:$M$7,2,FALSE)</f>
        <v>1</v>
      </c>
      <c r="N95" s="30">
        <f>VLOOKUP($C95,COS!$B$8:$H$991,5,FALSE)</f>
        <v>166.208740234375</v>
      </c>
      <c r="O95" s="30">
        <f t="shared" ref="O95:O98" si="148">N95*DAY($C95)*86400/43560/1000</f>
        <v>9.8901068569214878</v>
      </c>
      <c r="P95" s="30">
        <f>VLOOKUP($C95,COS!$B$8:$H$991,6,FALSE)</f>
        <v>541.11907958984375</v>
      </c>
      <c r="Q95" s="30">
        <f t="shared" ref="Q95:Q98" si="149">P95*DAY($C95)*86400/43560/1000</f>
        <v>32.198821264850203</v>
      </c>
      <c r="R95" s="30">
        <f>MIN(IF(MONTH($C95)=4,$S$3,IF(MONTH($C95)=5,$S$4,IF(MONTH($C95)=6,$S$5,IF(MONTH($C95)=7,$S$6,"ERROR")))),MAX(VLOOKUP($C95,COS!$B$8:$K$991,10,FALSE)-IF(MONTH($C95)=4,$Y$3,IF(MONTH($C95)=5,$Y$4,IF(MONTH($C95)=6,$Y$5,IF(MONTH($C95)=7,$Y$6,"ERROR")))),0),MAX(VLOOKUP($C95,COS!$B$8:$K$991,9,FALSE)-IF(MONTH($C95)=4,$V$3,IF(MONTH($C95)=5,$V$4,IF(MONTH($C95)=6,$V$5,IF(MONTH($C95)=7,$V$6,"ERROR"))))-VLOOKUP($C95,COS!$B$8:$K$991,6,FALSE)/2,0))</f>
        <v>1500</v>
      </c>
      <c r="S95" s="30">
        <f t="shared" ref="S95:S98" si="150">R95*DAY($C95)*86400/43560/1000</f>
        <v>89.256198347107429</v>
      </c>
      <c r="T95" s="30">
        <f t="shared" ref="T95:T98" si="151">(O95+Q95)/2+S95</f>
        <v>110.30066240799327</v>
      </c>
      <c r="U95" s="30" t="str">
        <f>IF(VLOOKUP($C95,COS!$B$8:$I$991,8,FALSE)=1,"UWFE","IBU")</f>
        <v>IBU</v>
      </c>
      <c r="V95" s="30">
        <f t="shared" ref="V95" si="152">MIN(IF(IF($AA$3=2,AND(E95=1,G95=1,L95=1,L100=1,M95=1,U95="IBU"),AND(E95=1,G95=1,L95=1,L100=1,M95=1)),T95,0),I95)</f>
        <v>49.954852143595041</v>
      </c>
      <c r="W95" s="30"/>
      <c r="X95" s="30"/>
      <c r="Y95" s="30"/>
      <c r="Z95" s="30"/>
      <c r="AA95" s="30"/>
      <c r="AB95" s="31"/>
      <c r="AD95" s="6"/>
      <c r="AE95" s="6"/>
      <c r="AF95" s="6"/>
      <c r="AG95" s="6"/>
    </row>
    <row r="96" spans="1:38" x14ac:dyDescent="0.3">
      <c r="A96" s="32">
        <f>VLOOKUP(YEAR(C96),Flags!$A$13:$B$95,2,FALSE)</f>
        <v>5</v>
      </c>
      <c r="B96" s="24">
        <f t="shared" si="116"/>
        <v>1931</v>
      </c>
      <c r="C96" s="25">
        <v>11474</v>
      </c>
      <c r="D96" s="26">
        <f>VLOOKUP($C96,COS!$B$8:$H$991,3,FALSE)</f>
        <v>8021.2177734375</v>
      </c>
      <c r="E96" s="24">
        <f>IF(D96&gt;=IF(MONTH($C96)=4,$C$3,IF(MONTH($C96)=5,$C$4,IF(MONTH($C96)=6,$C$5,IF(MONTH($C96)=7,$C$6,"ERROR")))),1,0)</f>
        <v>1</v>
      </c>
      <c r="F96" s="26">
        <f>VLOOKUP($C96,COS!$B$8:$H$991,7,FALSE)</f>
        <v>54.440109252929688</v>
      </c>
      <c r="G96" s="24">
        <f>IF(F96&lt;=IF(MONTH($C96)=4,$F$3,IF(MONTH($C96)=5,$F$4,IF(MONTH($C96)=6,$F$5,IF(MONTH($C96)=7,$F$6,"ERROR")))),1,0)</f>
        <v>1</v>
      </c>
      <c r="H96" s="26">
        <f>IF(J96=1,D96-$C$4,0)</f>
        <v>2021.2177734375</v>
      </c>
      <c r="I96" s="26">
        <f t="shared" si="136"/>
        <v>124.27983664772728</v>
      </c>
      <c r="J96" s="24">
        <f t="shared" si="145"/>
        <v>1</v>
      </c>
      <c r="K96" s="26">
        <f>VLOOKUP($C96,COS!$B$8:$H$991,2,FALSE)</f>
        <v>1533.49609375</v>
      </c>
      <c r="L96" s="24">
        <f t="shared" si="129"/>
        <v>1</v>
      </c>
      <c r="M96" s="24">
        <f t="shared" si="130"/>
        <v>1</v>
      </c>
      <c r="N96" s="26">
        <f>VLOOKUP($C96,COS!$B$8:$H$991,5,FALSE)</f>
        <v>149.48806762695313</v>
      </c>
      <c r="O96" s="26">
        <f t="shared" si="148"/>
        <v>9.1916630011944722</v>
      </c>
      <c r="P96" s="26">
        <f>VLOOKUP($C96,COS!$B$8:$H$991,6,FALSE)</f>
        <v>2010.7308349609375</v>
      </c>
      <c r="Q96" s="26">
        <f t="shared" si="149"/>
        <v>123.63501993478823</v>
      </c>
      <c r="R96" s="26">
        <f>MIN(IF(MONTH($C96)=4,$S$3,IF(MONTH($C96)=5,$S$4,IF(MONTH($C96)=6,$S$5,IF(MONTH($C96)=7,$S$6,"ERROR")))),MAX(VLOOKUP($C96,COS!$B$8:$K$991,10,FALSE)-IF(MONTH($C96)=4,$Y$3,IF(MONTH($C96)=5,$Y$4,IF(MONTH($C96)=6,$Y$5,IF(MONTH($C96)=7,$Y$6,"ERROR")))),0),MAX(VLOOKUP($C96,COS!$B$8:$K$991,9,FALSE)-IF(MONTH($C96)=4,$V$3,IF(MONTH($C96)=5,$V$4,IF(MONTH($C96)=6,$V$5,IF(MONTH($C96)=7,$V$6,"ERROR"))))-VLOOKUP($C96,COS!$B$8:$K$991,6,FALSE)/2,0))</f>
        <v>1500</v>
      </c>
      <c r="S96" s="26">
        <f t="shared" si="150"/>
        <v>92.231404958677686</v>
      </c>
      <c r="T96" s="26">
        <f t="shared" si="151"/>
        <v>158.64474642666903</v>
      </c>
      <c r="U96" s="26" t="str">
        <f>IF(VLOOKUP($C96,COS!$B$8:$I$991,8,FALSE)=1,"UWFE","IBU")</f>
        <v>IBU</v>
      </c>
      <c r="V96" s="26">
        <f t="shared" ref="V96" si="153">MIN(IF(IF($AA$3=2,AND(E96=1,G96=1,L96=1,L100=1,M96=1,U96="IBU"),AND(E96=1,G96=1,L96=1,L100=1,M96=1)),T96,0),I96)</f>
        <v>124.27983664772728</v>
      </c>
      <c r="W96" s="26"/>
      <c r="X96" s="26"/>
      <c r="Y96" s="26"/>
      <c r="Z96" s="26"/>
      <c r="AA96" s="26"/>
      <c r="AB96" s="33"/>
    </row>
    <row r="97" spans="1:28" x14ac:dyDescent="0.3">
      <c r="A97" s="32">
        <f>VLOOKUP(YEAR(C97),Flags!$A$13:$B$95,2,FALSE)</f>
        <v>5</v>
      </c>
      <c r="B97" s="24">
        <f t="shared" si="116"/>
        <v>1931</v>
      </c>
      <c r="C97" s="25">
        <v>11504</v>
      </c>
      <c r="D97" s="26">
        <f>VLOOKUP($C97,COS!$B$8:$H$991,3,FALSE)</f>
        <v>8236.236328125</v>
      </c>
      <c r="E97" s="24">
        <f>IF(D97&gt;=IF(MONTH($C97)=4,$C$3,IF(MONTH($C97)=5,$C$4,IF(MONTH($C97)=6,$C$5,IF(MONTH($C97)=7,$C$6,"ERROR")))),1,0)</f>
        <v>0</v>
      </c>
      <c r="F97" s="26">
        <f>VLOOKUP($C97,COS!$B$8:$H$991,7,FALSE)</f>
        <v>53.915287017822266</v>
      </c>
      <c r="G97" s="24">
        <f>IF(F97&lt;=IF(MONTH($C97)=4,$F$3,IF(MONTH($C97)=5,$F$4,IF(MONTH($C97)=6,$F$5,IF(MONTH($C97)=7,$F$6,"ERROR")))),1,0)</f>
        <v>1</v>
      </c>
      <c r="H97" s="26">
        <f>IF(J97=1,D97-$C$5,0)</f>
        <v>0</v>
      </c>
      <c r="I97" s="26">
        <f t="shared" si="136"/>
        <v>0</v>
      </c>
      <c r="J97" s="24">
        <f t="shared" si="145"/>
        <v>0</v>
      </c>
      <c r="K97" s="26">
        <f>VLOOKUP($C97,COS!$B$8:$H$991,2,FALSE)</f>
        <v>1203.680419921875</v>
      </c>
      <c r="L97" s="24">
        <f t="shared" si="129"/>
        <v>1</v>
      </c>
      <c r="M97" s="24">
        <f t="shared" si="130"/>
        <v>1</v>
      </c>
      <c r="N97" s="26">
        <f>VLOOKUP($C97,COS!$B$8:$H$991,5,FALSE)</f>
        <v>183.68203735351563</v>
      </c>
      <c r="O97" s="26">
        <f t="shared" si="148"/>
        <v>10.929840239217459</v>
      </c>
      <c r="P97" s="26">
        <f>VLOOKUP($C97,COS!$B$8:$H$991,6,FALSE)</f>
        <v>2250.943115234375</v>
      </c>
      <c r="Q97" s="26">
        <f t="shared" si="149"/>
        <v>133.94041677427685</v>
      </c>
      <c r="R97" s="26">
        <f>MIN(IF(MONTH($C97)=4,$S$3,IF(MONTH($C97)=5,$S$4,IF(MONTH($C97)=6,$S$5,IF(MONTH($C97)=7,$S$6,"ERROR")))),MAX(VLOOKUP($C97,COS!$B$8:$K$991,10,FALSE)-IF(MONTH($C97)=4,$Y$3,IF(MONTH($C97)=5,$Y$4,IF(MONTH($C97)=6,$Y$5,IF(MONTH($C97)=7,$Y$6,"ERROR")))),0),MAX(VLOOKUP($C97,COS!$B$8:$K$991,9,FALSE)-IF(MONTH($C97)=4,$V$3,IF(MONTH($C97)=5,$V$4,IF(MONTH($C97)=6,$V$5,IF(MONTH($C97)=7,$V$6,"ERROR"))))-VLOOKUP($C97,COS!$B$8:$K$991,6,FALSE)/2,0))</f>
        <v>1500</v>
      </c>
      <c r="S97" s="26">
        <f t="shared" si="150"/>
        <v>89.256198347107429</v>
      </c>
      <c r="T97" s="26">
        <f t="shared" si="151"/>
        <v>161.6913268538546</v>
      </c>
      <c r="U97" s="26" t="str">
        <f>IF(VLOOKUP($C97,COS!$B$8:$I$991,8,FALSE)=1,"UWFE","IBU")</f>
        <v>IBU</v>
      </c>
      <c r="V97" s="26">
        <f t="shared" ref="V97" si="154">MIN(IF(IF($AA$3=2,AND(E97=1,G97=1,L97=1,L100=1,M97=1,U97="IBU"),AND(E97=1,G97=1,L97=1,L100=1,M97=1)),T97,0),I97)</f>
        <v>0</v>
      </c>
      <c r="W97" s="26"/>
      <c r="X97" s="26"/>
      <c r="Y97" s="26"/>
      <c r="Z97" s="26"/>
      <c r="AA97" s="26"/>
      <c r="AB97" s="33"/>
    </row>
    <row r="98" spans="1:28" x14ac:dyDescent="0.3">
      <c r="A98" s="32">
        <f>VLOOKUP(YEAR(C98),Flags!$A$13:$B$95,2,FALSE)</f>
        <v>5</v>
      </c>
      <c r="B98" s="24">
        <f t="shared" si="116"/>
        <v>1931</v>
      </c>
      <c r="C98" s="25">
        <v>11535</v>
      </c>
      <c r="D98" s="26">
        <f>VLOOKUP($C98,COS!$B$8:$H$991,3,FALSE)</f>
        <v>9719.40234375</v>
      </c>
      <c r="E98" s="24">
        <f>IF(D98&gt;=IF(MONTH($C98)=4,$C$3,IF(MONTH($C98)=5,$C$4,IF(MONTH($C98)=6,$C$5,IF(MONTH($C98)=7,$C$6,"ERROR")))),1,0)</f>
        <v>0</v>
      </c>
      <c r="F98" s="26">
        <f>VLOOKUP($C98,COS!$B$8:$H$991,7,FALSE)</f>
        <v>56.554588317871094</v>
      </c>
      <c r="G98" s="24">
        <f>IF(F98&lt;=IF(MONTH($C98)=4,$F$3,IF(MONTH($C98)=5,$F$4,IF(MONTH($C98)=6,$F$5,IF(MONTH($C98)=7,$F$6,"ERROR")))),1,0)</f>
        <v>0</v>
      </c>
      <c r="H98" s="26">
        <f>IF(J98=1,D98-$C$6,0)</f>
        <v>0</v>
      </c>
      <c r="I98" s="26">
        <f t="shared" si="136"/>
        <v>0</v>
      </c>
      <c r="J98" s="24">
        <f t="shared" si="145"/>
        <v>0</v>
      </c>
      <c r="K98" s="26">
        <f>VLOOKUP($C98,COS!$B$8:$H$991,2,FALSE)</f>
        <v>751.55364990234375</v>
      </c>
      <c r="L98" s="24">
        <f t="shared" si="129"/>
        <v>1</v>
      </c>
      <c r="M98" s="24">
        <f t="shared" si="130"/>
        <v>1</v>
      </c>
      <c r="N98" s="26">
        <f>VLOOKUP($C98,COS!$B$8:$H$991,5,FALSE)</f>
        <v>229.37615966796875</v>
      </c>
      <c r="O98" s="26">
        <f t="shared" si="148"/>
        <v>14.10379031346849</v>
      </c>
      <c r="P98" s="26">
        <f>VLOOKUP($C98,COS!$B$8:$H$991,6,FALSE)</f>
        <v>2281.4833984375</v>
      </c>
      <c r="Q98" s="26">
        <f t="shared" si="149"/>
        <v>140.28294615185951</v>
      </c>
      <c r="R98" s="26">
        <f>MIN(IF(MONTH($C98)=4,$S$3,IF(MONTH($C98)=5,$S$4,IF(MONTH($C98)=6,$S$5,IF(MONTH($C98)=7,$S$6,"ERROR")))),MAX(VLOOKUP($C98,COS!$B$8:$K$991,10,FALSE)-IF(MONTH($C98)=4,$Y$3,IF(MONTH($C98)=5,$Y$4,IF(MONTH($C98)=6,$Y$5,IF(MONTH($C98)=7,$Y$6,"ERROR")))),0),MAX(VLOOKUP($C98,COS!$B$8:$K$991,9,FALSE)-IF(MONTH($C98)=4,$V$3,IF(MONTH($C98)=5,$V$4,IF(MONTH($C98)=6,$V$5,IF(MONTH($C98)=7,$V$6,"ERROR"))))-VLOOKUP($C98,COS!$B$8:$K$991,6,FALSE)/2,0))</f>
        <v>1500</v>
      </c>
      <c r="S98" s="26">
        <f t="shared" si="150"/>
        <v>92.231404958677686</v>
      </c>
      <c r="T98" s="26">
        <f t="shared" si="151"/>
        <v>169.42477319134167</v>
      </c>
      <c r="U98" s="26" t="str">
        <f>IF(VLOOKUP($C98,COS!$B$8:$I$991,8,FALSE)=1,"UWFE","IBU")</f>
        <v>IBU</v>
      </c>
      <c r="V98" s="26">
        <f t="shared" ref="V98" si="155">MIN(IF(IF($AA$3=2,AND(E98=1,G98=1,L98=1,L100=1,M98=1,U98="IBU"),AND(E98=1,G98=1,L98=1,L100=1,M98=1)),T98,0),I98)</f>
        <v>0</v>
      </c>
      <c r="W98" s="26"/>
      <c r="X98" s="26"/>
      <c r="Y98" s="26"/>
      <c r="Z98" s="26"/>
      <c r="AA98" s="26"/>
      <c r="AB98" s="33"/>
    </row>
    <row r="99" spans="1:28" x14ac:dyDescent="0.3">
      <c r="A99" s="32">
        <f>VLOOKUP(YEAR(C99),Flags!$A$13:$B$95,2,FALSE)</f>
        <v>5</v>
      </c>
      <c r="B99" s="24">
        <f t="shared" si="116"/>
        <v>1931</v>
      </c>
      <c r="C99" s="25">
        <v>11566</v>
      </c>
      <c r="D99" s="26"/>
      <c r="E99" s="24"/>
      <c r="F99" s="26"/>
      <c r="G99" s="24"/>
      <c r="H99" s="24"/>
      <c r="I99" s="26"/>
      <c r="J99" s="24"/>
      <c r="K99" s="26"/>
      <c r="L99" s="24"/>
      <c r="M99" s="24"/>
      <c r="N99" s="26"/>
      <c r="O99" s="26"/>
      <c r="P99" s="26"/>
      <c r="Q99" s="26"/>
      <c r="R99" s="26"/>
      <c r="S99" s="26"/>
      <c r="T99" s="26"/>
      <c r="U99" s="26"/>
      <c r="V99" s="26"/>
      <c r="W99" s="26">
        <f>MAX($C$7-VLOOKUP($C99,COS!$B$8:$H$991,3,FALSE),0)</f>
        <v>92453.15478515625</v>
      </c>
      <c r="X99" s="26">
        <f t="shared" si="143"/>
        <v>5684.7229057980376</v>
      </c>
      <c r="Y99" s="26">
        <f>VLOOKUP($C99,COS!$B$8:$H$991,4,FALSE)</f>
        <v>1954.847412109375</v>
      </c>
      <c r="Z99" s="26">
        <f t="shared" si="144"/>
        <v>120.1988821991219</v>
      </c>
      <c r="AA99" s="26">
        <f t="shared" ref="AA99:AA103" si="156">MIN(W99,Y99)</f>
        <v>1954.847412109375</v>
      </c>
      <c r="AB99" s="33">
        <f t="shared" ref="AB99" si="157">AA99*DAY($C99)*86400/43560/1000*IF(MONTH($C99)=8,$P$3,IF(MONTH($C99)=9,$P$4,IF(MONTH($C99)=10,$P$5,IF(MONTH($C99)=11,$P$6,IF(MONTH($C99)=12,$P$7,NA())))))</f>
        <v>120.1988821991219</v>
      </c>
    </row>
    <row r="100" spans="1:28" x14ac:dyDescent="0.3">
      <c r="A100" s="32">
        <f>VLOOKUP(YEAR(C100),Flags!$A$13:$B$95,2,FALSE)</f>
        <v>5</v>
      </c>
      <c r="B100" s="24">
        <f t="shared" si="116"/>
        <v>1931</v>
      </c>
      <c r="C100" s="25">
        <v>11596</v>
      </c>
      <c r="D100" s="26"/>
      <c r="E100" s="24"/>
      <c r="F100" s="26"/>
      <c r="G100" s="24"/>
      <c r="H100" s="24"/>
      <c r="I100" s="26"/>
      <c r="J100" s="24"/>
      <c r="K100" s="26">
        <f>VLOOKUP($C100,COS!$B$8:$H$991,2,FALSE)</f>
        <v>558.61627197265625</v>
      </c>
      <c r="L100" s="24">
        <f t="shared" ref="L100" si="158">IF(AND(K100&gt;$I$7,K100&lt;$I$8),1,0)</f>
        <v>1</v>
      </c>
      <c r="M100" s="24"/>
      <c r="N100" s="26"/>
      <c r="O100" s="26"/>
      <c r="P100" s="26"/>
      <c r="Q100" s="26"/>
      <c r="R100" s="26"/>
      <c r="S100" s="26"/>
      <c r="T100" s="26"/>
      <c r="U100" s="26"/>
      <c r="V100" s="26"/>
      <c r="W100" s="26">
        <f>MAX($C$8-VLOOKUP($C100,COS!$B$8:$H$991,3,FALSE),0)</f>
        <v>95634.48095703125</v>
      </c>
      <c r="X100" s="26">
        <f t="shared" si="143"/>
        <v>5690.6468007489666</v>
      </c>
      <c r="Y100" s="26">
        <f>VLOOKUP($C100,COS!$B$8:$H$991,4,FALSE)</f>
        <v>2060.603515625</v>
      </c>
      <c r="Z100" s="26">
        <f t="shared" si="144"/>
        <v>122.61442407024794</v>
      </c>
      <c r="AA100" s="26">
        <f t="shared" si="156"/>
        <v>2060.603515625</v>
      </c>
      <c r="AB100" s="33">
        <f t="shared" si="141"/>
        <v>122.61442407024794</v>
      </c>
    </row>
    <row r="101" spans="1:28" x14ac:dyDescent="0.3">
      <c r="A101" s="32">
        <f>VLOOKUP(YEAR(C101),Flags!$A$13:$B$95,2,FALSE)</f>
        <v>5</v>
      </c>
      <c r="B101" s="24">
        <f t="shared" si="116"/>
        <v>1931</v>
      </c>
      <c r="C101" s="25">
        <v>11627</v>
      </c>
      <c r="D101" s="26"/>
      <c r="E101" s="24"/>
      <c r="F101" s="26"/>
      <c r="G101" s="26"/>
      <c r="H101" s="26"/>
      <c r="I101" s="26"/>
      <c r="J101" s="26"/>
      <c r="K101" s="26"/>
      <c r="L101" s="24"/>
      <c r="M101" s="24"/>
      <c r="N101" s="26"/>
      <c r="O101" s="26"/>
      <c r="P101" s="26"/>
      <c r="Q101" s="26"/>
      <c r="R101" s="26"/>
      <c r="S101" s="26"/>
      <c r="T101" s="26"/>
      <c r="U101" s="26"/>
      <c r="V101" s="26"/>
      <c r="W101" s="26">
        <f>MAX($C$9-VLOOKUP($C101,COS!$B$8:$H$991,3,FALSE),0)</f>
        <v>95356.61572265625</v>
      </c>
      <c r="X101" s="26">
        <f t="shared" si="143"/>
        <v>5863.2497601368796</v>
      </c>
      <c r="Y101" s="26">
        <f>VLOOKUP($C101,COS!$B$8:$H$991,4,FALSE)</f>
        <v>1549.2154541015625</v>
      </c>
      <c r="Z101" s="26">
        <f t="shared" si="144"/>
        <v>95.257545276988637</v>
      </c>
      <c r="AA101" s="26">
        <f t="shared" si="156"/>
        <v>1549.2154541015625</v>
      </c>
      <c r="AB101" s="33">
        <f t="shared" si="141"/>
        <v>95.257545276988637</v>
      </c>
    </row>
    <row r="102" spans="1:28" x14ac:dyDescent="0.3">
      <c r="A102" s="32">
        <f>VLOOKUP(YEAR(C102),Flags!$A$13:$B$95,2,FALSE)</f>
        <v>5</v>
      </c>
      <c r="B102" s="24">
        <f t="shared" si="116"/>
        <v>1931</v>
      </c>
      <c r="C102" s="25">
        <v>11657</v>
      </c>
      <c r="D102" s="26"/>
      <c r="E102" s="24"/>
      <c r="F102" s="26"/>
      <c r="G102" s="26"/>
      <c r="H102" s="26"/>
      <c r="I102" s="26"/>
      <c r="J102" s="26"/>
      <c r="K102" s="26"/>
      <c r="L102" s="24"/>
      <c r="M102" s="24"/>
      <c r="N102" s="26"/>
      <c r="O102" s="26"/>
      <c r="P102" s="26"/>
      <c r="Q102" s="26"/>
      <c r="R102" s="26"/>
      <c r="S102" s="26"/>
      <c r="T102" s="26"/>
      <c r="U102" s="26"/>
      <c r="V102" s="26"/>
      <c r="W102" s="26">
        <f>MAX($C$10-VLOOKUP($C102,COS!$B$8:$H$991,3,FALSE),0)</f>
        <v>96802.866943359375</v>
      </c>
      <c r="X102" s="26">
        <f t="shared" si="143"/>
        <v>5760.1705949767556</v>
      </c>
      <c r="Y102" s="26">
        <f>VLOOKUP($C102,COS!$B$8:$H$991,4,FALSE)</f>
        <v>1329.917724609375</v>
      </c>
      <c r="Z102" s="26">
        <f t="shared" si="144"/>
        <v>79.135600142045462</v>
      </c>
      <c r="AA102" s="26">
        <f t="shared" si="156"/>
        <v>1329.917724609375</v>
      </c>
      <c r="AB102" s="33">
        <f t="shared" si="141"/>
        <v>39.567800071022731</v>
      </c>
    </row>
    <row r="103" spans="1:28" x14ac:dyDescent="0.3">
      <c r="A103" s="34">
        <f>VLOOKUP(YEAR(C103),Flags!$A$13:$B$95,2,FALSE)</f>
        <v>5</v>
      </c>
      <c r="B103" s="35">
        <f t="shared" si="116"/>
        <v>1931</v>
      </c>
      <c r="C103" s="36">
        <v>11688</v>
      </c>
      <c r="D103" s="37"/>
      <c r="E103" s="35"/>
      <c r="F103" s="37"/>
      <c r="G103" s="37"/>
      <c r="H103" s="37"/>
      <c r="I103" s="37"/>
      <c r="J103" s="37"/>
      <c r="K103" s="37"/>
      <c r="L103" s="35"/>
      <c r="M103" s="35"/>
      <c r="N103" s="37"/>
      <c r="O103" s="37"/>
      <c r="P103" s="37"/>
      <c r="Q103" s="37"/>
      <c r="R103" s="37"/>
      <c r="S103" s="37"/>
      <c r="T103" s="37"/>
      <c r="U103" s="37"/>
      <c r="V103" s="37"/>
      <c r="W103" s="37">
        <f>MAX($C$11-VLOOKUP($C103,COS!$B$8:$H$991,3,FALSE),0)</f>
        <v>0</v>
      </c>
      <c r="X103" s="37">
        <f t="shared" si="143"/>
        <v>0</v>
      </c>
      <c r="Y103" s="37">
        <f>VLOOKUP($C103,COS!$B$8:$H$991,4,FALSE)</f>
        <v>0</v>
      </c>
      <c r="Z103" s="37">
        <f t="shared" si="144"/>
        <v>0</v>
      </c>
      <c r="AA103" s="37">
        <f t="shared" si="156"/>
        <v>0</v>
      </c>
      <c r="AB103" s="38">
        <f t="shared" si="141"/>
        <v>0</v>
      </c>
    </row>
    <row r="104" spans="1:28" x14ac:dyDescent="0.3">
      <c r="A104" s="27">
        <f>VLOOKUP(YEAR(C104),Flags!$A$13:$B$95,2,FALSE)</f>
        <v>5</v>
      </c>
      <c r="B104" s="28">
        <f t="shared" si="116"/>
        <v>1932</v>
      </c>
      <c r="C104" s="29">
        <v>11809</v>
      </c>
      <c r="D104" s="30">
        <f>VLOOKUP($C104,COS!$B$8:$H$991,3,FALSE)</f>
        <v>3250</v>
      </c>
      <c r="E104" s="28">
        <f>IF(D104&gt;=IF(MONTH($C104)=4,$C$3,IF(MONTH($C104)=5,$C$4,IF(MONTH($C104)=6,$C$5,IF(MONTH($C104)=7,$C$6,"ERROR")))),1,0)</f>
        <v>0</v>
      </c>
      <c r="F104" s="30">
        <f>VLOOKUP($C104,COS!$B$8:$H$991,7,FALSE)</f>
        <v>49.347862243652344</v>
      </c>
      <c r="G104" s="28">
        <f>IF(F104&lt;=IF(MONTH($C104)=4,$F$3,IF(MONTH($C104)=5,$F$4,IF(MONTH($C104)=6,$F$5,IF(MONTH($C104)=7,$F$6,"ERROR")))),1,0)</f>
        <v>1</v>
      </c>
      <c r="H104" s="30">
        <f>IF(J104=1,D104-$C$3,0)</f>
        <v>0</v>
      </c>
      <c r="I104" s="30">
        <f t="shared" si="136"/>
        <v>0</v>
      </c>
      <c r="J104" s="28">
        <f t="shared" ref="J104:J107" si="159">IF(AND(E104=1,G104=1),1,0)</f>
        <v>0</v>
      </c>
      <c r="K104" s="30">
        <f>VLOOKUP($C104,COS!$B$8:$H$991,2,FALSE)</f>
        <v>1787.3011474609375</v>
      </c>
      <c r="L104" s="28">
        <f t="shared" ref="L104" si="160">IF(K104&lt;=IF(MONTH($C104)=4,$I$3,IF(MONTH($C104)=5,$I$4,IF(MONTH($C104)=6,$I$5,IF(MONTH($C104)=7,$I$6,"ERROR")))),1,0)</f>
        <v>1</v>
      </c>
      <c r="M104" s="28">
        <f t="shared" ref="M104" si="161">VLOOKUP($A104,$L$3:$M$7,2,FALSE)</f>
        <v>1</v>
      </c>
      <c r="N104" s="30">
        <f>VLOOKUP($C104,COS!$B$8:$H$991,5,FALSE)</f>
        <v>0</v>
      </c>
      <c r="O104" s="30">
        <f t="shared" ref="O104:O107" si="162">N104*DAY($C104)*86400/43560/1000</f>
        <v>0</v>
      </c>
      <c r="P104" s="30">
        <f>VLOOKUP($C104,COS!$B$8:$H$991,6,FALSE)</f>
        <v>527.22991943359375</v>
      </c>
      <c r="Q104" s="30">
        <f t="shared" ref="Q104:Q107" si="163">P104*DAY($C104)*86400/43560/1000</f>
        <v>31.372358842329543</v>
      </c>
      <c r="R104" s="30">
        <f>MIN(IF(MONTH($C104)=4,$S$3,IF(MONTH($C104)=5,$S$4,IF(MONTH($C104)=6,$S$5,IF(MONTH($C104)=7,$S$6,"ERROR")))),MAX(VLOOKUP($C104,COS!$B$8:$K$991,10,FALSE)-IF(MONTH($C104)=4,$Y$3,IF(MONTH($C104)=5,$Y$4,IF(MONTH($C104)=6,$Y$5,IF(MONTH($C104)=7,$Y$6,"ERROR")))),0),MAX(VLOOKUP($C104,COS!$B$8:$K$991,9,FALSE)-IF(MONTH($C104)=4,$V$3,IF(MONTH($C104)=5,$V$4,IF(MONTH($C104)=6,$V$5,IF(MONTH($C104)=7,$V$6,"ERROR"))))-VLOOKUP($C104,COS!$B$8:$K$991,6,FALSE)/2,0))</f>
        <v>1207.2068176269531</v>
      </c>
      <c r="S104" s="30">
        <f t="shared" ref="S104:S107" si="164">R104*DAY($C104)*86400/43560/1000</f>
        <v>71.83379410672778</v>
      </c>
      <c r="T104" s="30">
        <f t="shared" ref="T104:T107" si="165">(O104+Q104)/2+S104</f>
        <v>87.519973527892546</v>
      </c>
      <c r="U104" s="30" t="str">
        <f>IF(VLOOKUP($C104,COS!$B$8:$I$991,8,FALSE)=1,"UWFE","IBU")</f>
        <v>UWFE</v>
      </c>
      <c r="V104" s="30">
        <f t="shared" ref="V104" si="166">MIN(IF(IF($AA$3=2,AND(E104=1,G104=1,L104=1,L109=1,M104=1,U104="IBU"),AND(E104=1,G104=1,L104=1,L109=1,M104=1)),T104,0),I104)</f>
        <v>0</v>
      </c>
      <c r="W104" s="30"/>
      <c r="X104" s="30"/>
      <c r="Y104" s="30"/>
      <c r="Z104" s="30"/>
      <c r="AA104" s="30"/>
      <c r="AB104" s="31"/>
    </row>
    <row r="105" spans="1:28" x14ac:dyDescent="0.3">
      <c r="A105" s="32">
        <f>VLOOKUP(YEAR(C105),Flags!$A$13:$B$95,2,FALSE)</f>
        <v>5</v>
      </c>
      <c r="B105" s="24">
        <f t="shared" si="116"/>
        <v>1932</v>
      </c>
      <c r="C105" s="25">
        <v>11840</v>
      </c>
      <c r="D105" s="26">
        <f>VLOOKUP($C105,COS!$B$8:$H$991,3,FALSE)</f>
        <v>4951.02978515625</v>
      </c>
      <c r="E105" s="24">
        <f>IF(D105&gt;=IF(MONTH($C105)=4,$C$3,IF(MONTH($C105)=5,$C$4,IF(MONTH($C105)=6,$C$5,IF(MONTH($C105)=7,$C$6,"ERROR")))),1,0)</f>
        <v>0</v>
      </c>
      <c r="F105" s="26">
        <f>VLOOKUP($C105,COS!$B$8:$H$991,7,FALSE)</f>
        <v>51.659408569335938</v>
      </c>
      <c r="G105" s="24">
        <f>IF(F105&lt;=IF(MONTH($C105)=4,$F$3,IF(MONTH($C105)=5,$F$4,IF(MONTH($C105)=6,$F$5,IF(MONTH($C105)=7,$F$6,"ERROR")))),1,0)</f>
        <v>1</v>
      </c>
      <c r="H105" s="26">
        <f>IF(J105=1,D105-$C$4,0)</f>
        <v>0</v>
      </c>
      <c r="I105" s="26">
        <f t="shared" si="136"/>
        <v>0</v>
      </c>
      <c r="J105" s="24">
        <f t="shared" si="159"/>
        <v>0</v>
      </c>
      <c r="K105" s="26">
        <f>VLOOKUP($C105,COS!$B$8:$H$991,2,FALSE)</f>
        <v>1880.785400390625</v>
      </c>
      <c r="L105" s="24">
        <f t="shared" si="129"/>
        <v>1</v>
      </c>
      <c r="M105" s="24">
        <f t="shared" si="130"/>
        <v>1</v>
      </c>
      <c r="N105" s="26">
        <f>VLOOKUP($C105,COS!$B$8:$H$991,5,FALSE)</f>
        <v>0</v>
      </c>
      <c r="O105" s="26">
        <f t="shared" si="162"/>
        <v>0</v>
      </c>
      <c r="P105" s="26">
        <f>VLOOKUP($C105,COS!$B$8:$H$991,6,FALSE)</f>
        <v>2037.6466064453125</v>
      </c>
      <c r="Q105" s="26">
        <f t="shared" si="163"/>
        <v>125.29000621448863</v>
      </c>
      <c r="R105" s="26">
        <f>MIN(IF(MONTH($C105)=4,$S$3,IF(MONTH($C105)=5,$S$4,IF(MONTH($C105)=6,$S$5,IF(MONTH($C105)=7,$S$6,"ERROR")))),MAX(VLOOKUP($C105,COS!$B$8:$K$991,10,FALSE)-IF(MONTH($C105)=4,$Y$3,IF(MONTH($C105)=5,$Y$4,IF(MONTH($C105)=6,$Y$5,IF(MONTH($C105)=7,$Y$6,"ERROR")))),0),MAX(VLOOKUP($C105,COS!$B$8:$K$991,9,FALSE)-IF(MONTH($C105)=4,$V$3,IF(MONTH($C105)=5,$V$4,IF(MONTH($C105)=6,$V$5,IF(MONTH($C105)=7,$V$6,"ERROR"))))-VLOOKUP($C105,COS!$B$8:$K$991,6,FALSE)/2,0))</f>
        <v>1500</v>
      </c>
      <c r="S105" s="26">
        <f t="shared" si="164"/>
        <v>92.231404958677686</v>
      </c>
      <c r="T105" s="26">
        <f t="shared" si="165"/>
        <v>154.87640806592199</v>
      </c>
      <c r="U105" s="26" t="str">
        <f>IF(VLOOKUP($C105,COS!$B$8:$I$991,8,FALSE)=1,"UWFE","IBU")</f>
        <v>UWFE</v>
      </c>
      <c r="V105" s="26">
        <f t="shared" ref="V105" si="167">MIN(IF(IF($AA$3=2,AND(E105=1,G105=1,L105=1,L109=1,M105=1,U105="IBU"),AND(E105=1,G105=1,L105=1,L109=1,M105=1)),T105,0),I105)</f>
        <v>0</v>
      </c>
      <c r="W105" s="26"/>
      <c r="X105" s="26"/>
      <c r="Y105" s="26"/>
      <c r="Z105" s="26"/>
      <c r="AA105" s="26"/>
      <c r="AB105" s="33"/>
    </row>
    <row r="106" spans="1:28" x14ac:dyDescent="0.3">
      <c r="A106" s="32">
        <f>VLOOKUP(YEAR(C106),Flags!$A$13:$B$95,2,FALSE)</f>
        <v>5</v>
      </c>
      <c r="B106" s="24">
        <f t="shared" si="116"/>
        <v>1932</v>
      </c>
      <c r="C106" s="25">
        <v>11870</v>
      </c>
      <c r="D106" s="26">
        <f>VLOOKUP($C106,COS!$B$8:$H$991,3,FALSE)</f>
        <v>7197.30029296875</v>
      </c>
      <c r="E106" s="24">
        <f>IF(D106&gt;=IF(MONTH($C106)=4,$C$3,IF(MONTH($C106)=5,$C$4,IF(MONTH($C106)=6,$C$5,IF(MONTH($C106)=7,$C$6,"ERROR")))),1,0)</f>
        <v>0</v>
      </c>
      <c r="F106" s="26">
        <f>VLOOKUP($C106,COS!$B$8:$H$991,7,FALSE)</f>
        <v>54.089519500732422</v>
      </c>
      <c r="G106" s="24">
        <f>IF(F106&lt;=IF(MONTH($C106)=4,$F$3,IF(MONTH($C106)=5,$F$4,IF(MONTH($C106)=6,$F$5,IF(MONTH($C106)=7,$F$6,"ERROR")))),1,0)</f>
        <v>1</v>
      </c>
      <c r="H106" s="26">
        <f>IF(J106=1,D106-$C$5,0)</f>
        <v>0</v>
      </c>
      <c r="I106" s="26">
        <f t="shared" si="136"/>
        <v>0</v>
      </c>
      <c r="J106" s="24">
        <f t="shared" si="159"/>
        <v>0</v>
      </c>
      <c r="K106" s="26">
        <f>VLOOKUP($C106,COS!$B$8:$H$991,2,FALSE)</f>
        <v>1657.180419921875</v>
      </c>
      <c r="L106" s="24">
        <f t="shared" si="129"/>
        <v>1</v>
      </c>
      <c r="M106" s="24">
        <f t="shared" si="130"/>
        <v>1</v>
      </c>
      <c r="N106" s="26">
        <f>VLOOKUP($C106,COS!$B$8:$H$991,5,FALSE)</f>
        <v>0</v>
      </c>
      <c r="O106" s="26">
        <f t="shared" si="162"/>
        <v>0</v>
      </c>
      <c r="P106" s="26">
        <f>VLOOKUP($C106,COS!$B$8:$H$991,6,FALSE)</f>
        <v>2546.35791015625</v>
      </c>
      <c r="Q106" s="26">
        <f t="shared" si="163"/>
        <v>151.51881779442149</v>
      </c>
      <c r="R106" s="26">
        <f>MIN(IF(MONTH($C106)=4,$S$3,IF(MONTH($C106)=5,$S$4,IF(MONTH($C106)=6,$S$5,IF(MONTH($C106)=7,$S$6,"ERROR")))),MAX(VLOOKUP($C106,COS!$B$8:$K$991,10,FALSE)-IF(MONTH($C106)=4,$Y$3,IF(MONTH($C106)=5,$Y$4,IF(MONTH($C106)=6,$Y$5,IF(MONTH($C106)=7,$Y$6,"ERROR")))),0),MAX(VLOOKUP($C106,COS!$B$8:$K$991,9,FALSE)-IF(MONTH($C106)=4,$V$3,IF(MONTH($C106)=5,$V$4,IF(MONTH($C106)=6,$V$5,IF(MONTH($C106)=7,$V$6,"ERROR"))))-VLOOKUP($C106,COS!$B$8:$K$991,6,FALSE)/2,0))</f>
        <v>1500</v>
      </c>
      <c r="S106" s="26">
        <f t="shared" si="164"/>
        <v>89.256198347107429</v>
      </c>
      <c r="T106" s="26">
        <f t="shared" si="165"/>
        <v>165.01560724431818</v>
      </c>
      <c r="U106" s="26" t="str">
        <f>IF(VLOOKUP($C106,COS!$B$8:$I$991,8,FALSE)=1,"UWFE","IBU")</f>
        <v>IBU</v>
      </c>
      <c r="V106" s="26">
        <f t="shared" ref="V106" si="168">MIN(IF(IF($AA$3=2,AND(E106=1,G106=1,L106=1,L109=1,M106=1,U106="IBU"),AND(E106=1,G106=1,L106=1,L109=1,M106=1)),T106,0),I106)</f>
        <v>0</v>
      </c>
      <c r="W106" s="26"/>
      <c r="X106" s="26"/>
      <c r="Y106" s="26"/>
      <c r="Z106" s="26"/>
      <c r="AA106" s="26"/>
      <c r="AB106" s="33"/>
    </row>
    <row r="107" spans="1:28" x14ac:dyDescent="0.3">
      <c r="A107" s="32">
        <f>VLOOKUP(YEAR(C107),Flags!$A$13:$B$95,2,FALSE)</f>
        <v>5</v>
      </c>
      <c r="B107" s="24">
        <f t="shared" si="116"/>
        <v>1932</v>
      </c>
      <c r="C107" s="25">
        <v>11901</v>
      </c>
      <c r="D107" s="26">
        <f>VLOOKUP($C107,COS!$B$8:$H$991,3,FALSE)</f>
        <v>8582.53125</v>
      </c>
      <c r="E107" s="24">
        <f>IF(D107&gt;=IF(MONTH($C107)=4,$C$3,IF(MONTH($C107)=5,$C$4,IF(MONTH($C107)=6,$C$5,IF(MONTH($C107)=7,$C$6,"ERROR")))),1,0)</f>
        <v>0</v>
      </c>
      <c r="F107" s="26">
        <f>VLOOKUP($C107,COS!$B$8:$H$991,7,FALSE)</f>
        <v>55.753875732421875</v>
      </c>
      <c r="G107" s="24">
        <f>IF(F107&lt;=IF(MONTH($C107)=4,$F$3,IF(MONTH($C107)=5,$F$4,IF(MONTH($C107)=6,$F$5,IF(MONTH($C107)=7,$F$6,"ERROR")))),1,0)</f>
        <v>0</v>
      </c>
      <c r="H107" s="26">
        <f>IF(J107=1,D107-$C$6,0)</f>
        <v>0</v>
      </c>
      <c r="I107" s="26">
        <f t="shared" si="136"/>
        <v>0</v>
      </c>
      <c r="J107" s="24">
        <f t="shared" si="159"/>
        <v>0</v>
      </c>
      <c r="K107" s="26">
        <f>VLOOKUP($C107,COS!$B$8:$H$991,2,FALSE)</f>
        <v>1286.91845703125</v>
      </c>
      <c r="L107" s="24">
        <f t="shared" si="129"/>
        <v>1</v>
      </c>
      <c r="M107" s="24">
        <f t="shared" si="130"/>
        <v>1</v>
      </c>
      <c r="N107" s="26">
        <f>VLOOKUP($C107,COS!$B$8:$H$991,5,FALSE)</f>
        <v>0</v>
      </c>
      <c r="O107" s="26">
        <f t="shared" si="162"/>
        <v>0</v>
      </c>
      <c r="P107" s="26">
        <f>VLOOKUP($C107,COS!$B$8:$H$991,6,FALSE)</f>
        <v>2538.07568359375</v>
      </c>
      <c r="Q107" s="26">
        <f t="shared" si="163"/>
        <v>156.06019079287191</v>
      </c>
      <c r="R107" s="26">
        <f>MIN(IF(MONTH($C107)=4,$S$3,IF(MONTH($C107)=5,$S$4,IF(MONTH($C107)=6,$S$5,IF(MONTH($C107)=7,$S$6,"ERROR")))),MAX(VLOOKUP($C107,COS!$B$8:$K$991,10,FALSE)-IF(MONTH($C107)=4,$Y$3,IF(MONTH($C107)=5,$Y$4,IF(MONTH($C107)=6,$Y$5,IF(MONTH($C107)=7,$Y$6,"ERROR")))),0),MAX(VLOOKUP($C107,COS!$B$8:$K$991,9,FALSE)-IF(MONTH($C107)=4,$V$3,IF(MONTH($C107)=5,$V$4,IF(MONTH($C107)=6,$V$5,IF(MONTH($C107)=7,$V$6,"ERROR"))))-VLOOKUP($C107,COS!$B$8:$K$991,6,FALSE)/2,0))</f>
        <v>1500</v>
      </c>
      <c r="S107" s="26">
        <f t="shared" si="164"/>
        <v>92.231404958677686</v>
      </c>
      <c r="T107" s="26">
        <f t="shared" si="165"/>
        <v>170.26150035511364</v>
      </c>
      <c r="U107" s="26" t="str">
        <f>IF(VLOOKUP($C107,COS!$B$8:$I$991,8,FALSE)=1,"UWFE","IBU")</f>
        <v>IBU</v>
      </c>
      <c r="V107" s="26">
        <f t="shared" ref="V107" si="169">MIN(IF(IF($AA$3=2,AND(E107=1,G107=1,L107=1,L109=1,M107=1,U107="IBU"),AND(E107=1,G107=1,L107=1,L109=1,M107=1)),T107,0),I107)</f>
        <v>0</v>
      </c>
      <c r="W107" s="26"/>
      <c r="X107" s="26"/>
      <c r="Y107" s="26"/>
      <c r="Z107" s="26"/>
      <c r="AA107" s="26"/>
      <c r="AB107" s="33"/>
    </row>
    <row r="108" spans="1:28" x14ac:dyDescent="0.3">
      <c r="A108" s="32">
        <f>VLOOKUP(YEAR(C108),Flags!$A$13:$B$95,2,FALSE)</f>
        <v>5</v>
      </c>
      <c r="B108" s="24">
        <f t="shared" si="116"/>
        <v>1932</v>
      </c>
      <c r="C108" s="25">
        <v>11932</v>
      </c>
      <c r="D108" s="26"/>
      <c r="E108" s="24"/>
      <c r="F108" s="26"/>
      <c r="G108" s="24"/>
      <c r="H108" s="24"/>
      <c r="I108" s="26"/>
      <c r="J108" s="24"/>
      <c r="K108" s="26"/>
      <c r="L108" s="24"/>
      <c r="M108" s="24"/>
      <c r="N108" s="26"/>
      <c r="O108" s="26"/>
      <c r="P108" s="26"/>
      <c r="Q108" s="26"/>
      <c r="R108" s="26"/>
      <c r="S108" s="26"/>
      <c r="T108" s="26"/>
      <c r="U108" s="26"/>
      <c r="V108" s="26"/>
      <c r="W108" s="26">
        <f>MAX($C$7-VLOOKUP($C108,COS!$B$8:$H$991,3,FALSE),0)</f>
        <v>92726.396484375</v>
      </c>
      <c r="X108" s="26">
        <f t="shared" si="143"/>
        <v>5701.523883006198</v>
      </c>
      <c r="Y108" s="26">
        <f>VLOOKUP($C108,COS!$B$8:$H$991,4,FALSE)</f>
        <v>1881.437744140625</v>
      </c>
      <c r="Z108" s="26">
        <f t="shared" si="144"/>
        <v>115.68509765624999</v>
      </c>
      <c r="AA108" s="26">
        <f t="shared" ref="AA108:AA112" si="170">MIN(W108,Y108)</f>
        <v>1881.437744140625</v>
      </c>
      <c r="AB108" s="33">
        <f t="shared" ref="AB108" si="171">AA108*DAY($C108)*86400/43560/1000*IF(MONTH($C108)=8,$P$3,IF(MONTH($C108)=9,$P$4,IF(MONTH($C108)=10,$P$5,IF(MONTH($C108)=11,$P$6,IF(MONTH($C108)=12,$P$7,NA())))))</f>
        <v>115.68509765624999</v>
      </c>
    </row>
    <row r="109" spans="1:28" x14ac:dyDescent="0.3">
      <c r="A109" s="32">
        <f>VLOOKUP(YEAR(C109),Flags!$A$13:$B$95,2,FALSE)</f>
        <v>5</v>
      </c>
      <c r="B109" s="24">
        <f t="shared" si="116"/>
        <v>1932</v>
      </c>
      <c r="C109" s="25">
        <v>11962</v>
      </c>
      <c r="D109" s="26"/>
      <c r="E109" s="24"/>
      <c r="F109" s="26"/>
      <c r="G109" s="24"/>
      <c r="H109" s="24"/>
      <c r="I109" s="26"/>
      <c r="J109" s="24"/>
      <c r="K109" s="26">
        <f>VLOOKUP($C109,COS!$B$8:$H$991,2,FALSE)</f>
        <v>902.0557861328125</v>
      </c>
      <c r="L109" s="24">
        <f t="shared" ref="L109" si="172">IF(AND(K109&gt;$I$7,K109&lt;$I$8),1,0)</f>
        <v>1</v>
      </c>
      <c r="M109" s="24"/>
      <c r="N109" s="26"/>
      <c r="O109" s="26"/>
      <c r="P109" s="26"/>
      <c r="Q109" s="26"/>
      <c r="R109" s="26"/>
      <c r="S109" s="26"/>
      <c r="T109" s="26"/>
      <c r="U109" s="26"/>
      <c r="V109" s="26"/>
      <c r="W109" s="26">
        <f>MAX($C$8-VLOOKUP($C109,COS!$B$8:$H$991,3,FALSE),0)</f>
        <v>95768.7431640625</v>
      </c>
      <c r="X109" s="26">
        <f t="shared" si="143"/>
        <v>5698.6359568698354</v>
      </c>
      <c r="Y109" s="26">
        <f>VLOOKUP($C109,COS!$B$8:$H$991,4,FALSE)</f>
        <v>909.056396484375</v>
      </c>
      <c r="Z109" s="26">
        <f t="shared" si="144"/>
        <v>54.092612022210744</v>
      </c>
      <c r="AA109" s="26">
        <f t="shared" si="170"/>
        <v>909.056396484375</v>
      </c>
      <c r="AB109" s="33">
        <f t="shared" si="141"/>
        <v>54.092612022210744</v>
      </c>
    </row>
    <row r="110" spans="1:28" x14ac:dyDescent="0.3">
      <c r="A110" s="32">
        <f>VLOOKUP(YEAR(C110),Flags!$A$13:$B$95,2,FALSE)</f>
        <v>5</v>
      </c>
      <c r="B110" s="24">
        <f t="shared" si="116"/>
        <v>1932</v>
      </c>
      <c r="C110" s="25">
        <v>11993</v>
      </c>
      <c r="D110" s="26"/>
      <c r="E110" s="24"/>
      <c r="F110" s="26"/>
      <c r="G110" s="26"/>
      <c r="H110" s="26"/>
      <c r="I110" s="26"/>
      <c r="J110" s="26"/>
      <c r="K110" s="26"/>
      <c r="L110" s="24"/>
      <c r="M110" s="24"/>
      <c r="N110" s="26"/>
      <c r="O110" s="26"/>
      <c r="P110" s="26"/>
      <c r="Q110" s="26"/>
      <c r="R110" s="26"/>
      <c r="S110" s="26"/>
      <c r="T110" s="26"/>
      <c r="U110" s="26"/>
      <c r="V110" s="26"/>
      <c r="W110" s="26">
        <f>MAX($C$9-VLOOKUP($C110,COS!$B$8:$H$991,3,FALSE),0)</f>
        <v>95267.88623046875</v>
      </c>
      <c r="X110" s="26">
        <f t="shared" si="143"/>
        <v>5857.7939963197314</v>
      </c>
      <c r="Y110" s="26">
        <f>VLOOKUP($C110,COS!$B$8:$H$991,4,FALSE)</f>
        <v>1075.1279296875</v>
      </c>
      <c r="Z110" s="26">
        <f t="shared" si="144"/>
        <v>66.107039643595044</v>
      </c>
      <c r="AA110" s="26">
        <f t="shared" si="170"/>
        <v>1075.1279296875</v>
      </c>
      <c r="AB110" s="33">
        <f t="shared" si="141"/>
        <v>66.107039643595044</v>
      </c>
    </row>
    <row r="111" spans="1:28" x14ac:dyDescent="0.3">
      <c r="A111" s="32">
        <f>VLOOKUP(YEAR(C111),Flags!$A$13:$B$95,2,FALSE)</f>
        <v>5</v>
      </c>
      <c r="B111" s="24">
        <f t="shared" si="116"/>
        <v>1932</v>
      </c>
      <c r="C111" s="25">
        <v>12023</v>
      </c>
      <c r="D111" s="26"/>
      <c r="E111" s="24"/>
      <c r="F111" s="26"/>
      <c r="G111" s="26"/>
      <c r="H111" s="26"/>
      <c r="I111" s="26"/>
      <c r="J111" s="26"/>
      <c r="K111" s="26"/>
      <c r="L111" s="24"/>
      <c r="M111" s="24"/>
      <c r="N111" s="26"/>
      <c r="O111" s="26"/>
      <c r="P111" s="26"/>
      <c r="Q111" s="26"/>
      <c r="R111" s="26"/>
      <c r="S111" s="26"/>
      <c r="T111" s="26"/>
      <c r="U111" s="26"/>
      <c r="V111" s="26"/>
      <c r="W111" s="26">
        <f>MAX($C$10-VLOOKUP($C111,COS!$B$8:$H$991,3,FALSE),0)</f>
        <v>96396.837158203125</v>
      </c>
      <c r="X111" s="26">
        <f t="shared" si="143"/>
        <v>5736.0101449509302</v>
      </c>
      <c r="Y111" s="26">
        <f>VLOOKUP($C111,COS!$B$8:$H$991,4,FALSE)</f>
        <v>1139.5615234375</v>
      </c>
      <c r="Z111" s="26">
        <f t="shared" si="144"/>
        <v>67.808619576446276</v>
      </c>
      <c r="AA111" s="26">
        <f t="shared" si="170"/>
        <v>1139.5615234375</v>
      </c>
      <c r="AB111" s="33">
        <f t="shared" si="141"/>
        <v>33.904309788223138</v>
      </c>
    </row>
    <row r="112" spans="1:28" x14ac:dyDescent="0.3">
      <c r="A112" s="34">
        <f>VLOOKUP(YEAR(C112),Flags!$A$13:$B$95,2,FALSE)</f>
        <v>5</v>
      </c>
      <c r="B112" s="35">
        <f t="shared" si="116"/>
        <v>1932</v>
      </c>
      <c r="C112" s="36">
        <v>12054</v>
      </c>
      <c r="D112" s="37"/>
      <c r="E112" s="35"/>
      <c r="F112" s="37"/>
      <c r="G112" s="37"/>
      <c r="H112" s="37"/>
      <c r="I112" s="37"/>
      <c r="J112" s="37"/>
      <c r="K112" s="37"/>
      <c r="L112" s="35"/>
      <c r="M112" s="35"/>
      <c r="N112" s="37"/>
      <c r="O112" s="37"/>
      <c r="P112" s="37"/>
      <c r="Q112" s="37"/>
      <c r="R112" s="37"/>
      <c r="S112" s="37"/>
      <c r="T112" s="37"/>
      <c r="U112" s="37"/>
      <c r="V112" s="37"/>
      <c r="W112" s="37">
        <f>MAX($C$11-VLOOKUP($C112,COS!$B$8:$H$991,3,FALSE),0)</f>
        <v>0</v>
      </c>
      <c r="X112" s="37">
        <f t="shared" si="143"/>
        <v>0</v>
      </c>
      <c r="Y112" s="37">
        <f>VLOOKUP($C112,COS!$B$8:$H$991,4,FALSE)</f>
        <v>2675.63427734375</v>
      </c>
      <c r="Z112" s="37">
        <f t="shared" si="144"/>
        <v>164.51833903667355</v>
      </c>
      <c r="AA112" s="37">
        <f t="shared" si="170"/>
        <v>0</v>
      </c>
      <c r="AB112" s="38">
        <f t="shared" si="141"/>
        <v>0</v>
      </c>
    </row>
    <row r="113" spans="1:28" x14ac:dyDescent="0.3">
      <c r="A113" s="27">
        <f>VLOOKUP(YEAR(C113),Flags!$A$13:$B$95,2,FALSE)</f>
        <v>5</v>
      </c>
      <c r="B113" s="28">
        <f t="shared" si="116"/>
        <v>1933</v>
      </c>
      <c r="C113" s="29">
        <v>12174</v>
      </c>
      <c r="D113" s="30">
        <f>VLOOKUP($C113,COS!$B$8:$H$991,3,FALSE)</f>
        <v>3250</v>
      </c>
      <c r="E113" s="28">
        <f>IF(D113&gt;=IF(MONTH($C113)=4,$C$3,IF(MONTH($C113)=5,$C$4,IF(MONTH($C113)=6,$C$5,IF(MONTH($C113)=7,$C$6,"ERROR")))),1,0)</f>
        <v>0</v>
      </c>
      <c r="F113" s="30">
        <f>VLOOKUP($C113,COS!$B$8:$H$991,7,FALSE)</f>
        <v>51.034336090087891</v>
      </c>
      <c r="G113" s="28">
        <f>IF(F113&lt;=IF(MONTH($C113)=4,$F$3,IF(MONTH($C113)=5,$F$4,IF(MONTH($C113)=6,$F$5,IF(MONTH($C113)=7,$F$6,"ERROR")))),1,0)</f>
        <v>1</v>
      </c>
      <c r="H113" s="30">
        <f>IF(J113=1,D113-$C$3,0)</f>
        <v>0</v>
      </c>
      <c r="I113" s="30">
        <f t="shared" si="136"/>
        <v>0</v>
      </c>
      <c r="J113" s="28">
        <f t="shared" ref="J113:J116" si="173">IF(AND(E113=1,G113=1),1,0)</f>
        <v>0</v>
      </c>
      <c r="K113" s="30">
        <f>VLOOKUP($C113,COS!$B$8:$H$991,2,FALSE)</f>
        <v>1716.4488525390625</v>
      </c>
      <c r="L113" s="28">
        <f t="shared" ref="L113" si="174">IF(K113&lt;=IF(MONTH($C113)=4,$I$3,IF(MONTH($C113)=5,$I$4,IF(MONTH($C113)=6,$I$5,IF(MONTH($C113)=7,$I$6,"ERROR")))),1,0)</f>
        <v>1</v>
      </c>
      <c r="M113" s="28">
        <f t="shared" ref="M113" si="175">VLOOKUP($A113,$L$3:$M$7,2,FALSE)</f>
        <v>1</v>
      </c>
      <c r="N113" s="30">
        <f>VLOOKUP($C113,COS!$B$8:$H$991,5,FALSE)</f>
        <v>180.99517822265625</v>
      </c>
      <c r="O113" s="30">
        <f t="shared" ref="O113:O116" si="176">N113*DAY($C113)*86400/43560/1000</f>
        <v>10.769961018207646</v>
      </c>
      <c r="P113" s="30">
        <f>VLOOKUP($C113,COS!$B$8:$H$991,6,FALSE)</f>
        <v>566.2322998046875</v>
      </c>
      <c r="Q113" s="30">
        <f t="shared" ref="Q113:Q116" si="177">P113*DAY($C113)*86400/43560/1000</f>
        <v>33.693161641270663</v>
      </c>
      <c r="R113" s="30">
        <f>MIN(IF(MONTH($C113)=4,$S$3,IF(MONTH($C113)=5,$S$4,IF(MONTH($C113)=6,$S$5,IF(MONTH($C113)=7,$S$6,"ERROR")))),MAX(VLOOKUP($C113,COS!$B$8:$K$991,10,FALSE)-IF(MONTH($C113)=4,$Y$3,IF(MONTH($C113)=5,$Y$4,IF(MONTH($C113)=6,$Y$5,IF(MONTH($C113)=7,$Y$6,"ERROR")))),0),MAX(VLOOKUP($C113,COS!$B$8:$K$991,9,FALSE)-IF(MONTH($C113)=4,$V$3,IF(MONTH($C113)=5,$V$4,IF(MONTH($C113)=6,$V$5,IF(MONTH($C113)=7,$V$6,"ERROR"))))-VLOOKUP($C113,COS!$B$8:$K$991,6,FALSE)/2,0))</f>
        <v>929.328125</v>
      </c>
      <c r="S113" s="30">
        <f t="shared" ref="S113:S116" si="178">R113*DAY($C113)*86400/43560/1000</f>
        <v>55.298863636363642</v>
      </c>
      <c r="T113" s="30">
        <f t="shared" ref="T113:T116" si="179">(O113+Q113)/2+S113</f>
        <v>77.5304249661028</v>
      </c>
      <c r="U113" s="30" t="str">
        <f>IF(VLOOKUP($C113,COS!$B$8:$I$991,8,FALSE)=1,"UWFE","IBU")</f>
        <v>UWFE</v>
      </c>
      <c r="V113" s="30">
        <f t="shared" ref="V113" si="180">MIN(IF(IF($AA$3=2,AND(E113=1,G113=1,L113=1,L118=1,M113=1,U113="IBU"),AND(E113=1,G113=1,L113=1,L118=1,M113=1)),T113,0),I113)</f>
        <v>0</v>
      </c>
      <c r="W113" s="30"/>
      <c r="X113" s="30"/>
      <c r="Y113" s="30"/>
      <c r="Z113" s="30"/>
      <c r="AA113" s="30"/>
      <c r="AB113" s="31"/>
    </row>
    <row r="114" spans="1:28" x14ac:dyDescent="0.3">
      <c r="A114" s="32">
        <f>VLOOKUP(YEAR(C114),Flags!$A$13:$B$95,2,FALSE)</f>
        <v>5</v>
      </c>
      <c r="B114" s="24">
        <f t="shared" si="116"/>
        <v>1933</v>
      </c>
      <c r="C114" s="25">
        <v>12205</v>
      </c>
      <c r="D114" s="26">
        <f>VLOOKUP($C114,COS!$B$8:$H$991,3,FALSE)</f>
        <v>6501.3232421875</v>
      </c>
      <c r="E114" s="24">
        <f>IF(D114&gt;=IF(MONTH($C114)=4,$C$3,IF(MONTH($C114)=5,$C$4,IF(MONTH($C114)=6,$C$5,IF(MONTH($C114)=7,$C$6,"ERROR")))),1,0)</f>
        <v>1</v>
      </c>
      <c r="F114" s="26">
        <f>VLOOKUP($C114,COS!$B$8:$H$991,7,FALSE)</f>
        <v>51.829986572265625</v>
      </c>
      <c r="G114" s="24">
        <f>IF(F114&lt;=IF(MONTH($C114)=4,$F$3,IF(MONTH($C114)=5,$F$4,IF(MONTH($C114)=6,$F$5,IF(MONTH($C114)=7,$F$6,"ERROR")))),1,0)</f>
        <v>1</v>
      </c>
      <c r="H114" s="26">
        <f>IF(J114=1,D114-$C$4,0)</f>
        <v>501.3232421875</v>
      </c>
      <c r="I114" s="26">
        <f t="shared" si="136"/>
        <v>30.825164643595041</v>
      </c>
      <c r="J114" s="24">
        <f t="shared" si="173"/>
        <v>1</v>
      </c>
      <c r="K114" s="26">
        <f>VLOOKUP($C114,COS!$B$8:$H$991,2,FALSE)</f>
        <v>1691.36767578125</v>
      </c>
      <c r="L114" s="24">
        <f t="shared" si="129"/>
        <v>1</v>
      </c>
      <c r="M114" s="24">
        <f t="shared" si="130"/>
        <v>1</v>
      </c>
      <c r="N114" s="26">
        <f>VLOOKUP($C114,COS!$B$8:$H$991,5,FALSE)</f>
        <v>170.30894470214844</v>
      </c>
      <c r="O114" s="26">
        <f t="shared" si="176"/>
        <v>10.471888831272597</v>
      </c>
      <c r="P114" s="26">
        <f>VLOOKUP($C114,COS!$B$8:$H$991,6,FALSE)</f>
        <v>2197.37890625</v>
      </c>
      <c r="Q114" s="26">
        <f t="shared" si="177"/>
        <v>135.11156249999999</v>
      </c>
      <c r="R114" s="26">
        <f>MIN(IF(MONTH($C114)=4,$S$3,IF(MONTH($C114)=5,$S$4,IF(MONTH($C114)=6,$S$5,IF(MONTH($C114)=7,$S$6,"ERROR")))),MAX(VLOOKUP($C114,COS!$B$8:$K$991,10,FALSE)-IF(MONTH($C114)=4,$Y$3,IF(MONTH($C114)=5,$Y$4,IF(MONTH($C114)=6,$Y$5,IF(MONTH($C114)=7,$Y$6,"ERROR")))),0),MAX(VLOOKUP($C114,COS!$B$8:$K$991,9,FALSE)-IF(MONTH($C114)=4,$V$3,IF(MONTH($C114)=5,$V$4,IF(MONTH($C114)=6,$V$5,IF(MONTH($C114)=7,$V$6,"ERROR"))))-VLOOKUP($C114,COS!$B$8:$K$991,6,FALSE)/2,0))</f>
        <v>1500</v>
      </c>
      <c r="S114" s="26">
        <f t="shared" si="178"/>
        <v>92.231404958677686</v>
      </c>
      <c r="T114" s="26">
        <f t="shared" si="179"/>
        <v>165.02313062431398</v>
      </c>
      <c r="U114" s="26" t="str">
        <f>IF(VLOOKUP($C114,COS!$B$8:$I$991,8,FALSE)=1,"UWFE","IBU")</f>
        <v>UWFE</v>
      </c>
      <c r="V114" s="26">
        <f t="shared" ref="V114" si="181">MIN(IF(IF($AA$3=2,AND(E114=1,G114=1,L114=1,L118=1,M114=1,U114="IBU"),AND(E114=1,G114=1,L114=1,L118=1,M114=1)),T114,0),I114)</f>
        <v>30.825164643595041</v>
      </c>
      <c r="W114" s="26"/>
      <c r="X114" s="26"/>
      <c r="Y114" s="26"/>
      <c r="Z114" s="26"/>
      <c r="AA114" s="26"/>
      <c r="AB114" s="33"/>
    </row>
    <row r="115" spans="1:28" x14ac:dyDescent="0.3">
      <c r="A115" s="32">
        <f>VLOOKUP(YEAR(C115),Flags!$A$13:$B$95,2,FALSE)</f>
        <v>5</v>
      </c>
      <c r="B115" s="24">
        <f t="shared" si="116"/>
        <v>1933</v>
      </c>
      <c r="C115" s="25">
        <v>12235</v>
      </c>
      <c r="D115" s="26">
        <f>VLOOKUP($C115,COS!$B$8:$H$991,3,FALSE)</f>
        <v>7378.09228515625</v>
      </c>
      <c r="E115" s="24">
        <f>IF(D115&gt;=IF(MONTH($C115)=4,$C$3,IF(MONTH($C115)=5,$C$4,IF(MONTH($C115)=6,$C$5,IF(MONTH($C115)=7,$C$6,"ERROR")))),1,0)</f>
        <v>0</v>
      </c>
      <c r="F115" s="26">
        <f>VLOOKUP($C115,COS!$B$8:$H$991,7,FALSE)</f>
        <v>54.679584503173828</v>
      </c>
      <c r="G115" s="24">
        <f>IF(F115&lt;=IF(MONTH($C115)=4,$F$3,IF(MONTH($C115)=5,$F$4,IF(MONTH($C115)=6,$F$5,IF(MONTH($C115)=7,$F$6,"ERROR")))),1,0)</f>
        <v>1</v>
      </c>
      <c r="H115" s="26">
        <f>IF(J115=1,D115-$C$5,0)</f>
        <v>0</v>
      </c>
      <c r="I115" s="26">
        <f t="shared" si="136"/>
        <v>0</v>
      </c>
      <c r="J115" s="24">
        <f t="shared" si="173"/>
        <v>0</v>
      </c>
      <c r="K115" s="26">
        <f>VLOOKUP($C115,COS!$B$8:$H$991,2,FALSE)</f>
        <v>1503.1099853515625</v>
      </c>
      <c r="L115" s="24">
        <f t="shared" si="129"/>
        <v>1</v>
      </c>
      <c r="M115" s="24">
        <f t="shared" si="130"/>
        <v>1</v>
      </c>
      <c r="N115" s="26">
        <f>VLOOKUP($C115,COS!$B$8:$H$991,5,FALSE)</f>
        <v>210.99021911621094</v>
      </c>
      <c r="O115" s="26">
        <f t="shared" si="176"/>
        <v>12.55478989782412</v>
      </c>
      <c r="P115" s="26">
        <f>VLOOKUP($C115,COS!$B$8:$H$991,6,FALSE)</f>
        <v>2481.931884765625</v>
      </c>
      <c r="Q115" s="26">
        <f t="shared" si="177"/>
        <v>147.68520306043388</v>
      </c>
      <c r="R115" s="26">
        <f>MIN(IF(MONTH($C115)=4,$S$3,IF(MONTH($C115)=5,$S$4,IF(MONTH($C115)=6,$S$5,IF(MONTH($C115)=7,$S$6,"ERROR")))),MAX(VLOOKUP($C115,COS!$B$8:$K$991,10,FALSE)-IF(MONTH($C115)=4,$Y$3,IF(MONTH($C115)=5,$Y$4,IF(MONTH($C115)=6,$Y$5,IF(MONTH($C115)=7,$Y$6,"ERROR")))),0),MAX(VLOOKUP($C115,COS!$B$8:$K$991,9,FALSE)-IF(MONTH($C115)=4,$V$3,IF(MONTH($C115)=5,$V$4,IF(MONTH($C115)=6,$V$5,IF(MONTH($C115)=7,$V$6,"ERROR"))))-VLOOKUP($C115,COS!$B$8:$K$991,6,FALSE)/2,0))</f>
        <v>1500</v>
      </c>
      <c r="S115" s="26">
        <f t="shared" si="178"/>
        <v>89.256198347107429</v>
      </c>
      <c r="T115" s="26">
        <f t="shared" si="179"/>
        <v>169.37619482623643</v>
      </c>
      <c r="U115" s="26" t="str">
        <f>IF(VLOOKUP($C115,COS!$B$8:$I$991,8,FALSE)=1,"UWFE","IBU")</f>
        <v>IBU</v>
      </c>
      <c r="V115" s="26">
        <f t="shared" ref="V115" si="182">MIN(IF(IF($AA$3=2,AND(E115=1,G115=1,L115=1,L118=1,M115=1,U115="IBU"),AND(E115=1,G115=1,L115=1,L118=1,M115=1)),T115,0),I115)</f>
        <v>0</v>
      </c>
      <c r="W115" s="26"/>
      <c r="X115" s="26"/>
      <c r="Y115" s="26"/>
      <c r="Z115" s="26"/>
      <c r="AA115" s="26"/>
      <c r="AB115" s="33"/>
    </row>
    <row r="116" spans="1:28" x14ac:dyDescent="0.3">
      <c r="A116" s="32">
        <f>VLOOKUP(YEAR(C116),Flags!$A$13:$B$95,2,FALSE)</f>
        <v>5</v>
      </c>
      <c r="B116" s="24">
        <f t="shared" si="116"/>
        <v>1933</v>
      </c>
      <c r="C116" s="25">
        <v>12266</v>
      </c>
      <c r="D116" s="26">
        <f>VLOOKUP($C116,COS!$B$8:$H$991,3,FALSE)</f>
        <v>10174.720703125</v>
      </c>
      <c r="E116" s="24">
        <f>IF(D116&gt;=IF(MONTH($C116)=4,$C$3,IF(MONTH($C116)=5,$C$4,IF(MONTH($C116)=6,$C$5,IF(MONTH($C116)=7,$C$6,"ERROR")))),1,0)</f>
        <v>0</v>
      </c>
      <c r="F116" s="26">
        <f>VLOOKUP($C116,COS!$B$8:$H$991,7,FALSE)</f>
        <v>55.866065979003906</v>
      </c>
      <c r="G116" s="24">
        <f>IF(F116&lt;=IF(MONTH($C116)=4,$F$3,IF(MONTH($C116)=5,$F$4,IF(MONTH($C116)=6,$F$5,IF(MONTH($C116)=7,$F$6,"ERROR")))),1,0)</f>
        <v>0</v>
      </c>
      <c r="H116" s="26">
        <f>IF(J116=1,D116-$C$6,0)</f>
        <v>0</v>
      </c>
      <c r="I116" s="26">
        <f t="shared" si="136"/>
        <v>0</v>
      </c>
      <c r="J116" s="24">
        <f t="shared" si="173"/>
        <v>0</v>
      </c>
      <c r="K116" s="26">
        <f>VLOOKUP($C116,COS!$B$8:$H$991,2,FALSE)</f>
        <v>1036.812744140625</v>
      </c>
      <c r="L116" s="24">
        <f t="shared" si="129"/>
        <v>1</v>
      </c>
      <c r="M116" s="24">
        <f t="shared" si="130"/>
        <v>1</v>
      </c>
      <c r="N116" s="26">
        <f>VLOOKUP($C116,COS!$B$8:$H$991,5,FALSE)</f>
        <v>230.72744750976563</v>
      </c>
      <c r="O116" s="26">
        <f t="shared" si="176"/>
        <v>14.186877764236828</v>
      </c>
      <c r="P116" s="26">
        <f>VLOOKUP($C116,COS!$B$8:$H$991,6,FALSE)</f>
        <v>2281.4833984375</v>
      </c>
      <c r="Q116" s="26">
        <f t="shared" si="177"/>
        <v>140.28294615185951</v>
      </c>
      <c r="R116" s="26">
        <f>MIN(IF(MONTH($C116)=4,$S$3,IF(MONTH($C116)=5,$S$4,IF(MONTH($C116)=6,$S$5,IF(MONTH($C116)=7,$S$6,"ERROR")))),MAX(VLOOKUP($C116,COS!$B$8:$K$991,10,FALSE)-IF(MONTH($C116)=4,$Y$3,IF(MONTH($C116)=5,$Y$4,IF(MONTH($C116)=6,$Y$5,IF(MONTH($C116)=7,$Y$6,"ERROR")))),0),MAX(VLOOKUP($C116,COS!$B$8:$K$991,9,FALSE)-IF(MONTH($C116)=4,$V$3,IF(MONTH($C116)=5,$V$4,IF(MONTH($C116)=6,$V$5,IF(MONTH($C116)=7,$V$6,"ERROR"))))-VLOOKUP($C116,COS!$B$8:$K$991,6,FALSE)/2,0))</f>
        <v>1500</v>
      </c>
      <c r="S116" s="26">
        <f t="shared" si="178"/>
        <v>92.231404958677686</v>
      </c>
      <c r="T116" s="26">
        <f t="shared" si="179"/>
        <v>169.46631691672587</v>
      </c>
      <c r="U116" s="26" t="str">
        <f>IF(VLOOKUP($C116,COS!$B$8:$I$991,8,FALSE)=1,"UWFE","IBU")</f>
        <v>IBU</v>
      </c>
      <c r="V116" s="26">
        <f t="shared" ref="V116" si="183">MIN(IF(IF($AA$3=2,AND(E116=1,G116=1,L116=1,L118=1,M116=1,U116="IBU"),AND(E116=1,G116=1,L116=1,L118=1,M116=1)),T116,0),I116)</f>
        <v>0</v>
      </c>
      <c r="W116" s="26"/>
      <c r="X116" s="26"/>
      <c r="Y116" s="26"/>
      <c r="Z116" s="26"/>
      <c r="AA116" s="26"/>
      <c r="AB116" s="33"/>
    </row>
    <row r="117" spans="1:28" x14ac:dyDescent="0.3">
      <c r="A117" s="32">
        <f>VLOOKUP(YEAR(C117),Flags!$A$13:$B$95,2,FALSE)</f>
        <v>5</v>
      </c>
      <c r="B117" s="24">
        <f t="shared" si="116"/>
        <v>1933</v>
      </c>
      <c r="C117" s="25">
        <v>12297</v>
      </c>
      <c r="D117" s="26"/>
      <c r="E117" s="24"/>
      <c r="F117" s="26"/>
      <c r="G117" s="24"/>
      <c r="H117" s="24"/>
      <c r="I117" s="26"/>
      <c r="J117" s="24"/>
      <c r="K117" s="26"/>
      <c r="L117" s="24"/>
      <c r="M117" s="24"/>
      <c r="N117" s="26"/>
      <c r="O117" s="26"/>
      <c r="P117" s="26"/>
      <c r="Q117" s="26"/>
      <c r="R117" s="26"/>
      <c r="S117" s="26"/>
      <c r="T117" s="26"/>
      <c r="U117" s="26"/>
      <c r="V117" s="26"/>
      <c r="W117" s="26">
        <f>MAX($C$7-VLOOKUP($C117,COS!$B$8:$H$991,3,FALSE),0)</f>
        <v>91960.78125</v>
      </c>
      <c r="X117" s="26">
        <f t="shared" si="143"/>
        <v>5654.4480371900827</v>
      </c>
      <c r="Y117" s="26">
        <f>VLOOKUP($C117,COS!$B$8:$H$991,4,FALSE)</f>
        <v>1026.3896484375</v>
      </c>
      <c r="Z117" s="26">
        <f t="shared" si="144"/>
        <v>63.110239540289257</v>
      </c>
      <c r="AA117" s="26">
        <f t="shared" ref="AA117:AA121" si="184">MIN(W117,Y117)</f>
        <v>1026.3896484375</v>
      </c>
      <c r="AB117" s="33">
        <f t="shared" ref="AB117" si="185">AA117*DAY($C117)*86400/43560/1000*IF(MONTH($C117)=8,$P$3,IF(MONTH($C117)=9,$P$4,IF(MONTH($C117)=10,$P$5,IF(MONTH($C117)=11,$P$6,IF(MONTH($C117)=12,$P$7,NA())))))</f>
        <v>63.110239540289257</v>
      </c>
    </row>
    <row r="118" spans="1:28" x14ac:dyDescent="0.3">
      <c r="A118" s="32">
        <f>VLOOKUP(YEAR(C118),Flags!$A$13:$B$95,2,FALSE)</f>
        <v>5</v>
      </c>
      <c r="B118" s="24">
        <f t="shared" si="116"/>
        <v>1933</v>
      </c>
      <c r="C118" s="25">
        <v>12327</v>
      </c>
      <c r="D118" s="26"/>
      <c r="E118" s="24"/>
      <c r="F118" s="26"/>
      <c r="G118" s="24"/>
      <c r="H118" s="24"/>
      <c r="I118" s="26"/>
      <c r="J118" s="24"/>
      <c r="K118" s="26">
        <f>VLOOKUP($C118,COS!$B$8:$H$991,2,FALSE)</f>
        <v>614.1947021484375</v>
      </c>
      <c r="L118" s="24">
        <f t="shared" ref="L118" si="186">IF(AND(K118&gt;$I$7,K118&lt;$I$8),1,0)</f>
        <v>1</v>
      </c>
      <c r="M118" s="24"/>
      <c r="N118" s="26"/>
      <c r="O118" s="26"/>
      <c r="P118" s="26"/>
      <c r="Q118" s="26"/>
      <c r="R118" s="26"/>
      <c r="S118" s="26"/>
      <c r="T118" s="26"/>
      <c r="U118" s="26"/>
      <c r="V118" s="26"/>
      <c r="W118" s="26">
        <f>MAX($C$8-VLOOKUP($C118,COS!$B$8:$H$991,3,FALSE),0)</f>
        <v>95805.57763671875</v>
      </c>
      <c r="X118" s="26">
        <f t="shared" si="143"/>
        <v>5700.8277602014468</v>
      </c>
      <c r="Y118" s="26">
        <f>VLOOKUP($C118,COS!$B$8:$H$991,4,FALSE)</f>
        <v>1631.19287109375</v>
      </c>
      <c r="Z118" s="26">
        <f t="shared" si="144"/>
        <v>97.062716296487608</v>
      </c>
      <c r="AA118" s="26">
        <f t="shared" si="184"/>
        <v>1631.19287109375</v>
      </c>
      <c r="AB118" s="33">
        <f t="shared" si="141"/>
        <v>97.062716296487608</v>
      </c>
    </row>
    <row r="119" spans="1:28" x14ac:dyDescent="0.3">
      <c r="A119" s="32">
        <f>VLOOKUP(YEAR(C119),Flags!$A$13:$B$95,2,FALSE)</f>
        <v>5</v>
      </c>
      <c r="B119" s="24">
        <f t="shared" si="116"/>
        <v>1933</v>
      </c>
      <c r="C119" s="25">
        <v>12358</v>
      </c>
      <c r="D119" s="26"/>
      <c r="E119" s="24"/>
      <c r="F119" s="26"/>
      <c r="G119" s="26"/>
      <c r="H119" s="26"/>
      <c r="I119" s="26"/>
      <c r="J119" s="26"/>
      <c r="K119" s="26"/>
      <c r="L119" s="24"/>
      <c r="M119" s="24"/>
      <c r="N119" s="26"/>
      <c r="O119" s="26"/>
      <c r="P119" s="26"/>
      <c r="Q119" s="26"/>
      <c r="R119" s="26"/>
      <c r="S119" s="26"/>
      <c r="T119" s="26"/>
      <c r="U119" s="26"/>
      <c r="V119" s="26"/>
      <c r="W119" s="26">
        <f>MAX($C$9-VLOOKUP($C119,COS!$B$8:$H$991,3,FALSE),0)</f>
        <v>95686.974609375</v>
      </c>
      <c r="X119" s="26">
        <f t="shared" si="143"/>
        <v>5883.5627363119829</v>
      </c>
      <c r="Y119" s="26">
        <f>VLOOKUP($C119,COS!$B$8:$H$991,4,FALSE)</f>
        <v>1357.4503173828125</v>
      </c>
      <c r="Z119" s="26">
        <f t="shared" si="144"/>
        <v>83.466366622546488</v>
      </c>
      <c r="AA119" s="26">
        <f t="shared" si="184"/>
        <v>1357.4503173828125</v>
      </c>
      <c r="AB119" s="33">
        <f t="shared" si="141"/>
        <v>83.466366622546488</v>
      </c>
    </row>
    <row r="120" spans="1:28" x14ac:dyDescent="0.3">
      <c r="A120" s="32">
        <f>VLOOKUP(YEAR(C120),Flags!$A$13:$B$95,2,FALSE)</f>
        <v>5</v>
      </c>
      <c r="B120" s="24">
        <f t="shared" si="116"/>
        <v>1933</v>
      </c>
      <c r="C120" s="25">
        <v>12388</v>
      </c>
      <c r="D120" s="26"/>
      <c r="E120" s="24"/>
      <c r="F120" s="26"/>
      <c r="G120" s="26"/>
      <c r="H120" s="26"/>
      <c r="I120" s="26"/>
      <c r="J120" s="26"/>
      <c r="K120" s="26"/>
      <c r="L120" s="24"/>
      <c r="M120" s="24"/>
      <c r="N120" s="26"/>
      <c r="O120" s="26"/>
      <c r="P120" s="26"/>
      <c r="Q120" s="26"/>
      <c r="R120" s="26"/>
      <c r="S120" s="26"/>
      <c r="T120" s="26"/>
      <c r="U120" s="26"/>
      <c r="V120" s="26"/>
      <c r="W120" s="26">
        <f>MAX($C$10-VLOOKUP($C120,COS!$B$8:$H$991,3,FALSE),0)</f>
        <v>96749</v>
      </c>
      <c r="X120" s="26">
        <f t="shared" si="143"/>
        <v>5756.965289256198</v>
      </c>
      <c r="Y120" s="26">
        <f>VLOOKUP($C120,COS!$B$8:$H$991,4,FALSE)</f>
        <v>1382.873779296875</v>
      </c>
      <c r="Z120" s="26">
        <f t="shared" si="144"/>
        <v>82.286704222623968</v>
      </c>
      <c r="AA120" s="26">
        <f t="shared" si="184"/>
        <v>1382.873779296875</v>
      </c>
      <c r="AB120" s="33">
        <f t="shared" si="141"/>
        <v>41.143352111311984</v>
      </c>
    </row>
    <row r="121" spans="1:28" x14ac:dyDescent="0.3">
      <c r="A121" s="34">
        <f>VLOOKUP(YEAR(C121),Flags!$A$13:$B$95,2,FALSE)</f>
        <v>5</v>
      </c>
      <c r="B121" s="35">
        <f t="shared" si="116"/>
        <v>1933</v>
      </c>
      <c r="C121" s="36">
        <v>12419</v>
      </c>
      <c r="D121" s="37"/>
      <c r="E121" s="35"/>
      <c r="F121" s="37"/>
      <c r="G121" s="37"/>
      <c r="H121" s="37"/>
      <c r="I121" s="37"/>
      <c r="J121" s="37"/>
      <c r="K121" s="37"/>
      <c r="L121" s="35"/>
      <c r="M121" s="35"/>
      <c r="N121" s="37"/>
      <c r="O121" s="37"/>
      <c r="P121" s="37"/>
      <c r="Q121" s="37"/>
      <c r="R121" s="37"/>
      <c r="S121" s="37"/>
      <c r="T121" s="37"/>
      <c r="U121" s="37"/>
      <c r="V121" s="37"/>
      <c r="W121" s="37">
        <f>MAX($C$11-VLOOKUP($C121,COS!$B$8:$H$991,3,FALSE),0)</f>
        <v>0</v>
      </c>
      <c r="X121" s="37">
        <f t="shared" si="143"/>
        <v>0</v>
      </c>
      <c r="Y121" s="37">
        <f>VLOOKUP($C121,COS!$B$8:$H$991,4,FALSE)</f>
        <v>632.6298828125</v>
      </c>
      <c r="Z121" s="37">
        <f t="shared" si="144"/>
        <v>38.898895273760331</v>
      </c>
      <c r="AA121" s="37">
        <f t="shared" si="184"/>
        <v>0</v>
      </c>
      <c r="AB121" s="38">
        <f t="shared" si="141"/>
        <v>0</v>
      </c>
    </row>
    <row r="122" spans="1:28" x14ac:dyDescent="0.3">
      <c r="A122" s="27">
        <f>VLOOKUP(YEAR(C122),Flags!$A$13:$B$95,2,FALSE)</f>
        <v>5</v>
      </c>
      <c r="B122" s="28">
        <f t="shared" si="116"/>
        <v>1934</v>
      </c>
      <c r="C122" s="29">
        <v>12539</v>
      </c>
      <c r="D122" s="30">
        <f>VLOOKUP($C122,COS!$B$8:$H$991,3,FALSE)</f>
        <v>3250</v>
      </c>
      <c r="E122" s="28">
        <f>IF(D122&gt;=IF(MONTH($C122)=4,$C$3,IF(MONTH($C122)=5,$C$4,IF(MONTH($C122)=6,$C$5,IF(MONTH($C122)=7,$C$6,"ERROR")))),1,0)</f>
        <v>0</v>
      </c>
      <c r="F122" s="30">
        <f>VLOOKUP($C122,COS!$B$8:$H$991,7,FALSE)</f>
        <v>50.49676513671875</v>
      </c>
      <c r="G122" s="28">
        <f>IF(F122&lt;=IF(MONTH($C122)=4,$F$3,IF(MONTH($C122)=5,$F$4,IF(MONTH($C122)=6,$F$5,IF(MONTH($C122)=7,$F$6,"ERROR")))),1,0)</f>
        <v>1</v>
      </c>
      <c r="H122" s="30">
        <f>IF(J122=1,D122-$C$3,0)</f>
        <v>0</v>
      </c>
      <c r="I122" s="30">
        <f t="shared" si="136"/>
        <v>0</v>
      </c>
      <c r="J122" s="28">
        <f t="shared" ref="J122:J125" si="187">IF(AND(E122=1,G122=1),1,0)</f>
        <v>0</v>
      </c>
      <c r="K122" s="30">
        <f>VLOOKUP($C122,COS!$B$8:$H$991,2,FALSE)</f>
        <v>1640.1229248046875</v>
      </c>
      <c r="L122" s="28">
        <f t="shared" ref="L122" si="188">IF(K122&lt;=IF(MONTH($C122)=4,$I$3,IF(MONTH($C122)=5,$I$4,IF(MONTH($C122)=6,$I$5,IF(MONTH($C122)=7,$I$6,"ERROR")))),1,0)</f>
        <v>1</v>
      </c>
      <c r="M122" s="28">
        <f t="shared" ref="M122" si="189">VLOOKUP($A122,$L$3:$M$7,2,FALSE)</f>
        <v>1</v>
      </c>
      <c r="N122" s="30">
        <f>VLOOKUP($C122,COS!$B$8:$H$991,5,FALSE)</f>
        <v>162.71662902832031</v>
      </c>
      <c r="O122" s="30">
        <f t="shared" ref="O122:O125" si="190">N122*DAY($C122)*86400/43560/1000</f>
        <v>9.6823118099496384</v>
      </c>
      <c r="P122" s="30">
        <f>VLOOKUP($C122,COS!$B$8:$H$991,6,FALSE)</f>
        <v>521.53076171875</v>
      </c>
      <c r="Q122" s="30">
        <f t="shared" ref="Q122:Q125" si="191">P122*DAY($C122)*86400/43560/1000</f>
        <v>31.033235408057852</v>
      </c>
      <c r="R122" s="30">
        <f>MIN(IF(MONTH($C122)=4,$S$3,IF(MONTH($C122)=5,$S$4,IF(MONTH($C122)=6,$S$5,IF(MONTH($C122)=7,$S$6,"ERROR")))),MAX(VLOOKUP($C122,COS!$B$8:$K$991,10,FALSE)-IF(MONTH($C122)=4,$Y$3,IF(MONTH($C122)=5,$Y$4,IF(MONTH($C122)=6,$Y$5,IF(MONTH($C122)=7,$Y$6,"ERROR")))),0),MAX(VLOOKUP($C122,COS!$B$8:$K$991,9,FALSE)-IF(MONTH($C122)=4,$V$3,IF(MONTH($C122)=5,$V$4,IF(MONTH($C122)=6,$V$5,IF(MONTH($C122)=7,$V$6,"ERROR"))))-VLOOKUP($C122,COS!$B$8:$K$991,6,FALSE)/2,0))</f>
        <v>953.18115234375</v>
      </c>
      <c r="S122" s="30">
        <f t="shared" ref="S122:S125" si="192">R122*DAY($C122)*86400/43560/1000</f>
        <v>56.718217329545453</v>
      </c>
      <c r="T122" s="30">
        <f t="shared" ref="T122:T125" si="193">(O122+Q122)/2+S122</f>
        <v>77.075990938549197</v>
      </c>
      <c r="U122" s="30" t="str">
        <f>IF(VLOOKUP($C122,COS!$B$8:$I$991,8,FALSE)=1,"UWFE","IBU")</f>
        <v>UWFE</v>
      </c>
      <c r="V122" s="30">
        <f t="shared" ref="V122" si="194">MIN(IF(IF($AA$3=2,AND(E122=1,G122=1,L122=1,L127=1,M122=1,U122="IBU"),AND(E122=1,G122=1,L122=1,L127=1,M122=1)),T122,0),I122)</f>
        <v>0</v>
      </c>
      <c r="W122" s="30"/>
      <c r="X122" s="30"/>
      <c r="Y122" s="30"/>
      <c r="Z122" s="30"/>
      <c r="AA122" s="30"/>
      <c r="AB122" s="31"/>
    </row>
    <row r="123" spans="1:28" x14ac:dyDescent="0.3">
      <c r="A123" s="32">
        <f>VLOOKUP(YEAR(C123),Flags!$A$13:$B$95,2,FALSE)</f>
        <v>5</v>
      </c>
      <c r="B123" s="24">
        <f t="shared" si="116"/>
        <v>1934</v>
      </c>
      <c r="C123" s="25">
        <v>12570</v>
      </c>
      <c r="D123" s="26">
        <f>VLOOKUP($C123,COS!$B$8:$H$991,3,FALSE)</f>
        <v>6994.35986328125</v>
      </c>
      <c r="E123" s="24">
        <f>IF(D123&gt;=IF(MONTH($C123)=4,$C$3,IF(MONTH($C123)=5,$C$4,IF(MONTH($C123)=6,$C$5,IF(MONTH($C123)=7,$C$6,"ERROR")))),1,0)</f>
        <v>1</v>
      </c>
      <c r="F123" s="26">
        <f>VLOOKUP($C123,COS!$B$8:$H$991,7,FALSE)</f>
        <v>51.022247314453125</v>
      </c>
      <c r="G123" s="24">
        <f>IF(F123&lt;=IF(MONTH($C123)=4,$F$3,IF(MONTH($C123)=5,$F$4,IF(MONTH($C123)=6,$F$5,IF(MONTH($C123)=7,$F$6,"ERROR")))),1,0)</f>
        <v>1</v>
      </c>
      <c r="H123" s="26">
        <f>IF(J123=1,D123-$C$4,0)</f>
        <v>994.35986328125</v>
      </c>
      <c r="I123" s="26">
        <f t="shared" si="136"/>
        <v>61.140804816632233</v>
      </c>
      <c r="J123" s="24">
        <f t="shared" si="187"/>
        <v>1</v>
      </c>
      <c r="K123" s="26">
        <f>VLOOKUP($C123,COS!$B$8:$H$991,2,FALSE)</f>
        <v>1420.9012451171875</v>
      </c>
      <c r="L123" s="24">
        <f t="shared" si="129"/>
        <v>1</v>
      </c>
      <c r="M123" s="24">
        <f t="shared" si="130"/>
        <v>1</v>
      </c>
      <c r="N123" s="26">
        <f>VLOOKUP($C123,COS!$B$8:$H$991,5,FALSE)</f>
        <v>222.39739990234375</v>
      </c>
      <c r="O123" s="26">
        <f t="shared" si="190"/>
        <v>13.674683101433368</v>
      </c>
      <c r="P123" s="26">
        <f>VLOOKUP($C123,COS!$B$8:$H$991,6,FALSE)</f>
        <v>2243.647216796875</v>
      </c>
      <c r="Q123" s="26">
        <f t="shared" si="191"/>
        <v>137.95649002453513</v>
      </c>
      <c r="R123" s="26">
        <f>MIN(IF(MONTH($C123)=4,$S$3,IF(MONTH($C123)=5,$S$4,IF(MONTH($C123)=6,$S$5,IF(MONTH($C123)=7,$S$6,"ERROR")))),MAX(VLOOKUP($C123,COS!$B$8:$K$991,10,FALSE)-IF(MONTH($C123)=4,$Y$3,IF(MONTH($C123)=5,$Y$4,IF(MONTH($C123)=6,$Y$5,IF(MONTH($C123)=7,$Y$6,"ERROR")))),0),MAX(VLOOKUP($C123,COS!$B$8:$K$991,9,FALSE)-IF(MONTH($C123)=4,$V$3,IF(MONTH($C123)=5,$V$4,IF(MONTH($C123)=6,$V$5,IF(MONTH($C123)=7,$V$6,"ERROR"))))-VLOOKUP($C123,COS!$B$8:$K$991,6,FALSE)/2,0))</f>
        <v>1500</v>
      </c>
      <c r="S123" s="26">
        <f t="shared" si="192"/>
        <v>92.231404958677686</v>
      </c>
      <c r="T123" s="26">
        <f t="shared" si="193"/>
        <v>168.04699152166194</v>
      </c>
      <c r="U123" s="26" t="str">
        <f>IF(VLOOKUP($C123,COS!$B$8:$I$991,8,FALSE)=1,"UWFE","IBU")</f>
        <v>IBU</v>
      </c>
      <c r="V123" s="26">
        <f t="shared" ref="V123" si="195">MIN(IF(IF($AA$3=2,AND(E123=1,G123=1,L123=1,L127=1,M123=1,U123="IBU"),AND(E123=1,G123=1,L123=1,L127=1,M123=1)),T123,0),I123)</f>
        <v>61.140804816632233</v>
      </c>
      <c r="W123" s="26"/>
      <c r="X123" s="26"/>
      <c r="Y123" s="26"/>
      <c r="Z123" s="26"/>
      <c r="AA123" s="26"/>
      <c r="AB123" s="33"/>
    </row>
    <row r="124" spans="1:28" x14ac:dyDescent="0.3">
      <c r="A124" s="32">
        <f>VLOOKUP(YEAR(C124),Flags!$A$13:$B$95,2,FALSE)</f>
        <v>5</v>
      </c>
      <c r="B124" s="24">
        <f t="shared" si="116"/>
        <v>1934</v>
      </c>
      <c r="C124" s="25">
        <v>12600</v>
      </c>
      <c r="D124" s="26">
        <f>VLOOKUP($C124,COS!$B$8:$H$991,3,FALSE)</f>
        <v>8056.033203125</v>
      </c>
      <c r="E124" s="24">
        <f>IF(D124&gt;=IF(MONTH($C124)=4,$C$3,IF(MONTH($C124)=5,$C$4,IF(MONTH($C124)=6,$C$5,IF(MONTH($C124)=7,$C$6,"ERROR")))),1,0)</f>
        <v>0</v>
      </c>
      <c r="F124" s="26">
        <f>VLOOKUP($C124,COS!$B$8:$H$991,7,FALSE)</f>
        <v>54.752338409423828</v>
      </c>
      <c r="G124" s="24">
        <f>IF(F124&lt;=IF(MONTH($C124)=4,$F$3,IF(MONTH($C124)=5,$F$4,IF(MONTH($C124)=6,$F$5,IF(MONTH($C124)=7,$F$6,"ERROR")))),1,0)</f>
        <v>1</v>
      </c>
      <c r="H124" s="26">
        <f>IF(J124=1,D124-$C$5,0)</f>
        <v>0</v>
      </c>
      <c r="I124" s="26">
        <f t="shared" si="136"/>
        <v>0</v>
      </c>
      <c r="J124" s="24">
        <f t="shared" si="187"/>
        <v>0</v>
      </c>
      <c r="K124" s="26">
        <f>VLOOKUP($C124,COS!$B$8:$H$991,2,FALSE)</f>
        <v>1102.0863037109375</v>
      </c>
      <c r="L124" s="24">
        <f t="shared" si="129"/>
        <v>1</v>
      </c>
      <c r="M124" s="24">
        <f t="shared" si="130"/>
        <v>1</v>
      </c>
      <c r="N124" s="26">
        <f>VLOOKUP($C124,COS!$B$8:$H$991,5,FALSE)</f>
        <v>267.839599609375</v>
      </c>
      <c r="O124" s="26">
        <f t="shared" si="190"/>
        <v>15.937562951962809</v>
      </c>
      <c r="P124" s="26">
        <f>VLOOKUP($C124,COS!$B$8:$H$991,6,FALSE)</f>
        <v>2418.7939453125</v>
      </c>
      <c r="Q124" s="26">
        <f t="shared" si="191"/>
        <v>143.9282347623967</v>
      </c>
      <c r="R124" s="26">
        <f>MIN(IF(MONTH($C124)=4,$S$3,IF(MONTH($C124)=5,$S$4,IF(MONTH($C124)=6,$S$5,IF(MONTH($C124)=7,$S$6,"ERROR")))),MAX(VLOOKUP($C124,COS!$B$8:$K$991,10,FALSE)-IF(MONTH($C124)=4,$Y$3,IF(MONTH($C124)=5,$Y$4,IF(MONTH($C124)=6,$Y$5,IF(MONTH($C124)=7,$Y$6,"ERROR")))),0),MAX(VLOOKUP($C124,COS!$B$8:$K$991,9,FALSE)-IF(MONTH($C124)=4,$V$3,IF(MONTH($C124)=5,$V$4,IF(MONTH($C124)=6,$V$5,IF(MONTH($C124)=7,$V$6,"ERROR"))))-VLOOKUP($C124,COS!$B$8:$K$991,6,FALSE)/2,0))</f>
        <v>1500</v>
      </c>
      <c r="S124" s="26">
        <f t="shared" si="192"/>
        <v>89.256198347107429</v>
      </c>
      <c r="T124" s="26">
        <f t="shared" si="193"/>
        <v>169.18909720428718</v>
      </c>
      <c r="U124" s="26" t="str">
        <f>IF(VLOOKUP($C124,COS!$B$8:$I$991,8,FALSE)=1,"UWFE","IBU")</f>
        <v>IBU</v>
      </c>
      <c r="V124" s="26">
        <f t="shared" ref="V124" si="196">MIN(IF(IF($AA$3=2,AND(E124=1,G124=1,L124=1,L127=1,M124=1,U124="IBU"),AND(E124=1,G124=1,L124=1,L127=1,M124=1)),T124,0),I124)</f>
        <v>0</v>
      </c>
      <c r="W124" s="26"/>
      <c r="X124" s="26"/>
      <c r="Y124" s="26"/>
      <c r="Z124" s="26"/>
      <c r="AA124" s="26"/>
      <c r="AB124" s="33"/>
    </row>
    <row r="125" spans="1:28" x14ac:dyDescent="0.3">
      <c r="A125" s="32">
        <f>VLOOKUP(YEAR(C125),Flags!$A$13:$B$95,2,FALSE)</f>
        <v>5</v>
      </c>
      <c r="B125" s="24">
        <f t="shared" si="116"/>
        <v>1934</v>
      </c>
      <c r="C125" s="25">
        <v>12631</v>
      </c>
      <c r="D125" s="26">
        <f>VLOOKUP($C125,COS!$B$8:$H$991,3,FALSE)</f>
        <v>10945.8583984375</v>
      </c>
      <c r="E125" s="24">
        <f>IF(D125&gt;=IF(MONTH($C125)=4,$C$3,IF(MONTH($C125)=5,$C$4,IF(MONTH($C125)=6,$C$5,IF(MONTH($C125)=7,$C$6,"ERROR")))),1,0)</f>
        <v>0</v>
      </c>
      <c r="F125" s="26">
        <f>VLOOKUP($C125,COS!$B$8:$H$991,7,FALSE)</f>
        <v>56.054607391357422</v>
      </c>
      <c r="G125" s="24">
        <f>IF(F125&lt;=IF(MONTH($C125)=4,$F$3,IF(MONTH($C125)=5,$F$4,IF(MONTH($C125)=6,$F$5,IF(MONTH($C125)=7,$F$6,"ERROR")))),1,0)</f>
        <v>0</v>
      </c>
      <c r="H125" s="26">
        <f>IF(J125=1,D125-$C$6,0)</f>
        <v>0</v>
      </c>
      <c r="I125" s="26">
        <f t="shared" si="136"/>
        <v>0</v>
      </c>
      <c r="J125" s="24">
        <f t="shared" si="187"/>
        <v>0</v>
      </c>
      <c r="K125" s="26">
        <f>VLOOKUP($C125,COS!$B$8:$H$991,2,FALSE)</f>
        <v>650</v>
      </c>
      <c r="L125" s="24">
        <f t="shared" si="129"/>
        <v>1</v>
      </c>
      <c r="M125" s="24">
        <f t="shared" si="130"/>
        <v>1</v>
      </c>
      <c r="N125" s="26">
        <f>VLOOKUP($C125,COS!$B$8:$H$991,5,FALSE)</f>
        <v>306.08538818359375</v>
      </c>
      <c r="O125" s="26">
        <f t="shared" si="190"/>
        <v>18.820456926330063</v>
      </c>
      <c r="P125" s="26">
        <f>VLOOKUP($C125,COS!$B$8:$H$991,6,FALSE)</f>
        <v>2281.4833984375</v>
      </c>
      <c r="Q125" s="26">
        <f t="shared" si="191"/>
        <v>140.28294615185951</v>
      </c>
      <c r="R125" s="26">
        <f>MIN(IF(MONTH($C125)=4,$S$3,IF(MONTH($C125)=5,$S$4,IF(MONTH($C125)=6,$S$5,IF(MONTH($C125)=7,$S$6,"ERROR")))),MAX(VLOOKUP($C125,COS!$B$8:$K$991,10,FALSE)-IF(MONTH($C125)=4,$Y$3,IF(MONTH($C125)=5,$Y$4,IF(MONTH($C125)=6,$Y$5,IF(MONTH($C125)=7,$Y$6,"ERROR")))),0),MAX(VLOOKUP($C125,COS!$B$8:$K$991,9,FALSE)-IF(MONTH($C125)=4,$V$3,IF(MONTH($C125)=5,$V$4,IF(MONTH($C125)=6,$V$5,IF(MONTH($C125)=7,$V$6,"ERROR"))))-VLOOKUP($C125,COS!$B$8:$K$991,6,FALSE)/2,0))</f>
        <v>1500</v>
      </c>
      <c r="S125" s="26">
        <f t="shared" si="192"/>
        <v>92.231404958677686</v>
      </c>
      <c r="T125" s="26">
        <f t="shared" si="193"/>
        <v>171.78310649777245</v>
      </c>
      <c r="U125" s="26" t="str">
        <f>IF(VLOOKUP($C125,COS!$B$8:$I$991,8,FALSE)=1,"UWFE","IBU")</f>
        <v>IBU</v>
      </c>
      <c r="V125" s="26">
        <f t="shared" ref="V125" si="197">MIN(IF(IF($AA$3=2,AND(E125=1,G125=1,L125=1,L127=1,M125=1,U125="IBU"),AND(E125=1,G125=1,L125=1,L127=1,M125=1)),T125,0),I125)</f>
        <v>0</v>
      </c>
      <c r="W125" s="26"/>
      <c r="X125" s="26"/>
      <c r="Y125" s="26"/>
      <c r="Z125" s="26"/>
      <c r="AA125" s="26"/>
      <c r="AB125" s="33"/>
    </row>
    <row r="126" spans="1:28" x14ac:dyDescent="0.3">
      <c r="A126" s="32">
        <f>VLOOKUP(YEAR(C126),Flags!$A$13:$B$95,2,FALSE)</f>
        <v>5</v>
      </c>
      <c r="B126" s="24">
        <f t="shared" si="116"/>
        <v>1934</v>
      </c>
      <c r="C126" s="25">
        <v>12662</v>
      </c>
      <c r="D126" s="26"/>
      <c r="E126" s="24"/>
      <c r="F126" s="26"/>
      <c r="G126" s="24"/>
      <c r="H126" s="24"/>
      <c r="I126" s="26"/>
      <c r="J126" s="24"/>
      <c r="K126" s="26"/>
      <c r="L126" s="24"/>
      <c r="M126" s="24"/>
      <c r="N126" s="26"/>
      <c r="O126" s="26"/>
      <c r="P126" s="26"/>
      <c r="Q126" s="26"/>
      <c r="R126" s="26"/>
      <c r="S126" s="26"/>
      <c r="T126" s="26"/>
      <c r="U126" s="26"/>
      <c r="V126" s="26"/>
      <c r="W126" s="26">
        <f>MAX($C$7-VLOOKUP($C126,COS!$B$8:$H$991,3,FALSE),0)</f>
        <v>92824.48193359375</v>
      </c>
      <c r="X126" s="26">
        <f t="shared" si="143"/>
        <v>5707.5549221978308</v>
      </c>
      <c r="Y126" s="26">
        <f>VLOOKUP($C126,COS!$B$8:$H$991,4,FALSE)</f>
        <v>3029.425537109375</v>
      </c>
      <c r="Z126" s="26">
        <f t="shared" si="144"/>
        <v>186.27211567019629</v>
      </c>
      <c r="AA126" s="26">
        <f t="shared" ref="AA126:AA130" si="198">MIN(W126,Y126)</f>
        <v>3029.425537109375</v>
      </c>
      <c r="AB126" s="33">
        <f t="shared" ref="AB126" si="199">AA126*DAY($C126)*86400/43560/1000*IF(MONTH($C126)=8,$P$3,IF(MONTH($C126)=9,$P$4,IF(MONTH($C126)=10,$P$5,IF(MONTH($C126)=11,$P$6,IF(MONTH($C126)=12,$P$7,NA())))))</f>
        <v>186.27211567019629</v>
      </c>
    </row>
    <row r="127" spans="1:28" x14ac:dyDescent="0.3">
      <c r="A127" s="32">
        <f>VLOOKUP(YEAR(C127),Flags!$A$13:$B$95,2,FALSE)</f>
        <v>5</v>
      </c>
      <c r="B127" s="24">
        <f t="shared" si="116"/>
        <v>1934</v>
      </c>
      <c r="C127" s="25">
        <v>12692</v>
      </c>
      <c r="D127" s="26"/>
      <c r="E127" s="24"/>
      <c r="F127" s="26"/>
      <c r="G127" s="24"/>
      <c r="H127" s="24"/>
      <c r="I127" s="26"/>
      <c r="J127" s="24"/>
      <c r="K127" s="26">
        <f>VLOOKUP($C127,COS!$B$8:$H$991,2,FALSE)</f>
        <v>550</v>
      </c>
      <c r="L127" s="24">
        <f t="shared" ref="L127" si="200">IF(AND(K127&gt;$I$7,K127&lt;$I$8),1,0)</f>
        <v>1</v>
      </c>
      <c r="M127" s="24"/>
      <c r="N127" s="26"/>
      <c r="O127" s="26"/>
      <c r="P127" s="26"/>
      <c r="Q127" s="26"/>
      <c r="R127" s="26"/>
      <c r="S127" s="26"/>
      <c r="T127" s="26"/>
      <c r="U127" s="26"/>
      <c r="V127" s="26"/>
      <c r="W127" s="26">
        <f>MAX($C$8-VLOOKUP($C127,COS!$B$8:$H$991,3,FALSE),0)</f>
        <v>96065.62744140625</v>
      </c>
      <c r="X127" s="26">
        <f t="shared" si="143"/>
        <v>5716.3017981663224</v>
      </c>
      <c r="Y127" s="26">
        <f>VLOOKUP($C127,COS!$B$8:$H$991,4,FALSE)</f>
        <v>1900.230224609375</v>
      </c>
      <c r="Z127" s="26">
        <f t="shared" si="144"/>
        <v>113.07155055526859</v>
      </c>
      <c r="AA127" s="26">
        <f t="shared" si="198"/>
        <v>1900.230224609375</v>
      </c>
      <c r="AB127" s="33">
        <f t="shared" si="141"/>
        <v>113.07155055526859</v>
      </c>
    </row>
    <row r="128" spans="1:28" x14ac:dyDescent="0.3">
      <c r="A128" s="32">
        <f>VLOOKUP(YEAR(C128),Flags!$A$13:$B$95,2,FALSE)</f>
        <v>5</v>
      </c>
      <c r="B128" s="24">
        <f t="shared" si="116"/>
        <v>1934</v>
      </c>
      <c r="C128" s="25">
        <v>12723</v>
      </c>
      <c r="D128" s="26"/>
      <c r="E128" s="24"/>
      <c r="F128" s="26"/>
      <c r="G128" s="26"/>
      <c r="H128" s="26"/>
      <c r="I128" s="26"/>
      <c r="J128" s="26"/>
      <c r="K128" s="26"/>
      <c r="L128" s="24"/>
      <c r="M128" s="24"/>
      <c r="N128" s="26"/>
      <c r="O128" s="26"/>
      <c r="P128" s="26"/>
      <c r="Q128" s="26"/>
      <c r="R128" s="26"/>
      <c r="S128" s="26"/>
      <c r="T128" s="26"/>
      <c r="U128" s="26"/>
      <c r="V128" s="26"/>
      <c r="W128" s="26">
        <f>MAX($C$9-VLOOKUP($C128,COS!$B$8:$H$991,3,FALSE),0)</f>
        <v>97296.357666015625</v>
      </c>
      <c r="X128" s="26">
        <f t="shared" si="143"/>
        <v>5982.5198432657544</v>
      </c>
      <c r="Y128" s="26">
        <f>VLOOKUP($C128,COS!$B$8:$H$991,4,FALSE)</f>
        <v>1445.2672119140625</v>
      </c>
      <c r="Z128" s="26">
        <f t="shared" si="144"/>
        <v>88.866016997029959</v>
      </c>
      <c r="AA128" s="26">
        <f t="shared" si="198"/>
        <v>1445.2672119140625</v>
      </c>
      <c r="AB128" s="33">
        <f t="shared" si="141"/>
        <v>88.866016997029959</v>
      </c>
    </row>
    <row r="129" spans="1:28" x14ac:dyDescent="0.3">
      <c r="A129" s="32">
        <f>VLOOKUP(YEAR(C129),Flags!$A$13:$B$95,2,FALSE)</f>
        <v>5</v>
      </c>
      <c r="B129" s="24">
        <f t="shared" si="116"/>
        <v>1934</v>
      </c>
      <c r="C129" s="25">
        <v>12753</v>
      </c>
      <c r="D129" s="26"/>
      <c r="E129" s="24"/>
      <c r="F129" s="26"/>
      <c r="G129" s="26"/>
      <c r="H129" s="26"/>
      <c r="I129" s="26"/>
      <c r="J129" s="26"/>
      <c r="K129" s="26"/>
      <c r="L129" s="24"/>
      <c r="M129" s="24"/>
      <c r="N129" s="26"/>
      <c r="O129" s="26"/>
      <c r="P129" s="26"/>
      <c r="Q129" s="26"/>
      <c r="R129" s="26"/>
      <c r="S129" s="26"/>
      <c r="T129" s="26"/>
      <c r="U129" s="26"/>
      <c r="V129" s="26"/>
      <c r="W129" s="26">
        <f>MAX($C$10-VLOOKUP($C129,COS!$B$8:$H$991,3,FALSE),0)</f>
        <v>96749</v>
      </c>
      <c r="X129" s="26">
        <f t="shared" si="143"/>
        <v>5756.965289256198</v>
      </c>
      <c r="Y129" s="26">
        <f>VLOOKUP($C129,COS!$B$8:$H$991,4,FALSE)</f>
        <v>2579.600341796875</v>
      </c>
      <c r="Z129" s="26">
        <f t="shared" si="144"/>
        <v>153.49687984245867</v>
      </c>
      <c r="AA129" s="26">
        <f t="shared" si="198"/>
        <v>2579.600341796875</v>
      </c>
      <c r="AB129" s="33">
        <f t="shared" si="141"/>
        <v>76.748439921229334</v>
      </c>
    </row>
    <row r="130" spans="1:28" x14ac:dyDescent="0.3">
      <c r="A130" s="34">
        <f>VLOOKUP(YEAR(C130),Flags!$A$13:$B$95,2,FALSE)</f>
        <v>5</v>
      </c>
      <c r="B130" s="35">
        <f t="shared" si="116"/>
        <v>1934</v>
      </c>
      <c r="C130" s="36">
        <v>12784</v>
      </c>
      <c r="D130" s="37"/>
      <c r="E130" s="35"/>
      <c r="F130" s="37"/>
      <c r="G130" s="37"/>
      <c r="H130" s="37"/>
      <c r="I130" s="37"/>
      <c r="J130" s="37"/>
      <c r="K130" s="37"/>
      <c r="L130" s="35"/>
      <c r="M130" s="35"/>
      <c r="N130" s="37"/>
      <c r="O130" s="37"/>
      <c r="P130" s="37"/>
      <c r="Q130" s="37"/>
      <c r="R130" s="37"/>
      <c r="S130" s="37"/>
      <c r="T130" s="37"/>
      <c r="U130" s="37"/>
      <c r="V130" s="37"/>
      <c r="W130" s="37">
        <f>MAX($C$11-VLOOKUP($C130,COS!$B$8:$H$991,3,FALSE),0)</f>
        <v>0</v>
      </c>
      <c r="X130" s="37">
        <f t="shared" si="143"/>
        <v>0</v>
      </c>
      <c r="Y130" s="37">
        <f>VLOOKUP($C130,COS!$B$8:$H$991,4,FALSE)</f>
        <v>0</v>
      </c>
      <c r="Z130" s="37">
        <f t="shared" si="144"/>
        <v>0</v>
      </c>
      <c r="AA130" s="37">
        <f t="shared" si="198"/>
        <v>0</v>
      </c>
      <c r="AB130" s="38">
        <f t="shared" si="141"/>
        <v>0</v>
      </c>
    </row>
    <row r="131" spans="1:28" x14ac:dyDescent="0.3">
      <c r="A131" s="27">
        <f>VLOOKUP(YEAR(C131),Flags!$A$13:$B$95,2,FALSE)</f>
        <v>4</v>
      </c>
      <c r="B131" s="28">
        <f t="shared" si="116"/>
        <v>1935</v>
      </c>
      <c r="C131" s="29">
        <v>12904</v>
      </c>
      <c r="D131" s="30">
        <f>VLOOKUP($C131,COS!$B$8:$H$991,3,FALSE)</f>
        <v>3250</v>
      </c>
      <c r="E131" s="28">
        <f>IF(D131&gt;=IF(MONTH($C131)=4,$C$3,IF(MONTH($C131)=5,$C$4,IF(MONTH($C131)=6,$C$5,IF(MONTH($C131)=7,$C$6,"ERROR")))),1,0)</f>
        <v>0</v>
      </c>
      <c r="F131" s="30">
        <f>VLOOKUP($C131,COS!$B$8:$H$991,7,FALSE)</f>
        <v>49.358055114746094</v>
      </c>
      <c r="G131" s="28">
        <f>IF(F131&lt;=IF(MONTH($C131)=4,$F$3,IF(MONTH($C131)=5,$F$4,IF(MONTH($C131)=6,$F$5,IF(MONTH($C131)=7,$F$6,"ERROR")))),1,0)</f>
        <v>1</v>
      </c>
      <c r="H131" s="30">
        <f>IF(J131=1,D131-$C$3,0)</f>
        <v>0</v>
      </c>
      <c r="I131" s="30">
        <f t="shared" si="136"/>
        <v>0</v>
      </c>
      <c r="J131" s="28">
        <f t="shared" ref="J131:J134" si="201">IF(AND(E131=1,G131=1),1,0)</f>
        <v>0</v>
      </c>
      <c r="K131" s="30">
        <f>VLOOKUP($C131,COS!$B$8:$H$991,2,FALSE)</f>
        <v>2701.329833984375</v>
      </c>
      <c r="L131" s="28">
        <f t="shared" ref="L131" si="202">IF(K131&lt;=IF(MONTH($C131)=4,$I$3,IF(MONTH($C131)=5,$I$4,IF(MONTH($C131)=6,$I$5,IF(MONTH($C131)=7,$I$6,"ERROR")))),1,0)</f>
        <v>1</v>
      </c>
      <c r="M131" s="28">
        <f t="shared" ref="M131" si="203">VLOOKUP($A131,$L$3:$M$7,2,FALSE)</f>
        <v>1</v>
      </c>
      <c r="N131" s="30">
        <f>VLOOKUP($C131,COS!$B$8:$H$991,5,FALSE)</f>
        <v>1.3366308212280273</v>
      </c>
      <c r="O131" s="30">
        <f t="shared" ref="O131:O134" si="204">N131*DAY($C131)*86400/43560/1000</f>
        <v>7.9535057130923945E-2</v>
      </c>
      <c r="P131" s="30">
        <f>VLOOKUP($C131,COS!$B$8:$H$991,6,FALSE)</f>
        <v>295.18359375</v>
      </c>
      <c r="Q131" s="30">
        <f t="shared" ref="Q131:Q134" si="205">P131*DAY($C131)*86400/43560/1000</f>
        <v>17.564643595041321</v>
      </c>
      <c r="R131" s="30">
        <f>MIN(IF(MONTH($C131)=4,$S$3,IF(MONTH($C131)=5,$S$4,IF(MONTH($C131)=6,$S$5,IF(MONTH($C131)=7,$S$6,"ERROR")))),MAX(VLOOKUP($C131,COS!$B$8:$K$991,10,FALSE)-IF(MONTH($C131)=4,$Y$3,IF(MONTH($C131)=5,$Y$4,IF(MONTH($C131)=6,$Y$5,IF(MONTH($C131)=7,$Y$6,"ERROR")))),0),MAX(VLOOKUP($C131,COS!$B$8:$K$991,9,FALSE)-IF(MONTH($C131)=4,$V$3,IF(MONTH($C131)=5,$V$4,IF(MONTH($C131)=6,$V$5,IF(MONTH($C131)=7,$V$6,"ERROR"))))-VLOOKUP($C131,COS!$B$8:$K$991,6,FALSE)/2,0))</f>
        <v>1500</v>
      </c>
      <c r="S131" s="30">
        <f t="shared" ref="S131:S134" si="206">R131*DAY($C131)*86400/43560/1000</f>
        <v>89.256198347107429</v>
      </c>
      <c r="T131" s="30">
        <f t="shared" ref="T131:T134" si="207">(O131+Q131)/2+S131</f>
        <v>98.078287673193557</v>
      </c>
      <c r="U131" s="30" t="str">
        <f>IF(VLOOKUP($C131,COS!$B$8:$I$991,8,FALSE)=1,"UWFE","IBU")</f>
        <v>UWFE</v>
      </c>
      <c r="V131" s="30">
        <f t="shared" ref="V131" si="208">MIN(IF(IF($AA$3=2,AND(E131=1,G131=1,L131=1,L136=1,M131=1,U131="IBU"),AND(E131=1,G131=1,L131=1,L136=1,M131=1)),T131,0),I131)</f>
        <v>0</v>
      </c>
      <c r="W131" s="30"/>
      <c r="X131" s="30"/>
      <c r="Y131" s="30"/>
      <c r="Z131" s="30"/>
      <c r="AA131" s="30"/>
      <c r="AB131" s="31"/>
    </row>
    <row r="132" spans="1:28" x14ac:dyDescent="0.3">
      <c r="A132" s="32">
        <f>VLOOKUP(YEAR(C132),Flags!$A$13:$B$95,2,FALSE)</f>
        <v>4</v>
      </c>
      <c r="B132" s="24">
        <f t="shared" si="116"/>
        <v>1935</v>
      </c>
      <c r="C132" s="25">
        <v>12935</v>
      </c>
      <c r="D132" s="26">
        <f>VLOOKUP($C132,COS!$B$8:$H$991,3,FALSE)</f>
        <v>3785.33349609375</v>
      </c>
      <c r="E132" s="24">
        <f>IF(D132&gt;=IF(MONTH($C132)=4,$C$3,IF(MONTH($C132)=5,$C$4,IF(MONTH($C132)=6,$C$5,IF(MONTH($C132)=7,$C$6,"ERROR")))),1,0)</f>
        <v>0</v>
      </c>
      <c r="F132" s="26">
        <f>VLOOKUP($C132,COS!$B$8:$H$991,7,FALSE)</f>
        <v>51.774246215820313</v>
      </c>
      <c r="G132" s="24">
        <f>IF(F132&lt;=IF(MONTH($C132)=4,$F$3,IF(MONTH($C132)=5,$F$4,IF(MONTH($C132)=6,$F$5,IF(MONTH($C132)=7,$F$6,"ERROR")))),1,0)</f>
        <v>1</v>
      </c>
      <c r="H132" s="26">
        <f>IF(J132=1,D132-$C$4,0)</f>
        <v>0</v>
      </c>
      <c r="I132" s="26">
        <f t="shared" si="136"/>
        <v>0</v>
      </c>
      <c r="J132" s="24">
        <f t="shared" si="201"/>
        <v>0</v>
      </c>
      <c r="K132" s="26">
        <f>VLOOKUP($C132,COS!$B$8:$H$991,2,FALSE)</f>
        <v>2993.270751953125</v>
      </c>
      <c r="L132" s="24">
        <f t="shared" si="129"/>
        <v>1</v>
      </c>
      <c r="M132" s="24">
        <f t="shared" si="130"/>
        <v>1</v>
      </c>
      <c r="N132" s="26">
        <f>VLOOKUP($C132,COS!$B$8:$H$991,5,FALSE)</f>
        <v>70.798858642578125</v>
      </c>
      <c r="O132" s="26">
        <f t="shared" si="204"/>
        <v>4.3532521347172004</v>
      </c>
      <c r="P132" s="26">
        <f>VLOOKUP($C132,COS!$B$8:$H$991,6,FALSE)</f>
        <v>2185.40966796875</v>
      </c>
      <c r="Q132" s="26">
        <f t="shared" si="205"/>
        <v>134.37560272469008</v>
      </c>
      <c r="R132" s="26">
        <f>MIN(IF(MONTH($C132)=4,$S$3,IF(MONTH($C132)=5,$S$4,IF(MONTH($C132)=6,$S$5,IF(MONTH($C132)=7,$S$6,"ERROR")))),MAX(VLOOKUP($C132,COS!$B$8:$K$991,10,FALSE)-IF(MONTH($C132)=4,$Y$3,IF(MONTH($C132)=5,$Y$4,IF(MONTH($C132)=6,$Y$5,IF(MONTH($C132)=7,$Y$6,"ERROR")))),0),MAX(VLOOKUP($C132,COS!$B$8:$K$991,9,FALSE)-IF(MONTH($C132)=4,$V$3,IF(MONTH($C132)=5,$V$4,IF(MONTH($C132)=6,$V$5,IF(MONTH($C132)=7,$V$6,"ERROR"))))-VLOOKUP($C132,COS!$B$8:$K$991,6,FALSE)/2,0))</f>
        <v>1500</v>
      </c>
      <c r="S132" s="26">
        <f t="shared" si="206"/>
        <v>92.231404958677686</v>
      </c>
      <c r="T132" s="26">
        <f t="shared" si="207"/>
        <v>161.59583238838133</v>
      </c>
      <c r="U132" s="26" t="str">
        <f>IF(VLOOKUP($C132,COS!$B$8:$I$991,8,FALSE)=1,"UWFE","IBU")</f>
        <v>UWFE</v>
      </c>
      <c r="V132" s="26">
        <f t="shared" ref="V132" si="209">MIN(IF(IF($AA$3=2,AND(E132=1,G132=1,L132=1,L136=1,M132=1,U132="IBU"),AND(E132=1,G132=1,L132=1,L136=1,M132=1)),T132,0),I132)</f>
        <v>0</v>
      </c>
      <c r="W132" s="26"/>
      <c r="X132" s="26"/>
      <c r="Y132" s="26"/>
      <c r="Z132" s="26"/>
      <c r="AA132" s="26"/>
      <c r="AB132" s="33"/>
    </row>
    <row r="133" spans="1:28" x14ac:dyDescent="0.3">
      <c r="A133" s="32">
        <f>VLOOKUP(YEAR(C133),Flags!$A$13:$B$95,2,FALSE)</f>
        <v>4</v>
      </c>
      <c r="B133" s="24">
        <f t="shared" si="116"/>
        <v>1935</v>
      </c>
      <c r="C133" s="25">
        <v>12965</v>
      </c>
      <c r="D133" s="26">
        <f>VLOOKUP($C133,COS!$B$8:$H$991,3,FALSE)</f>
        <v>8129.7919921875</v>
      </c>
      <c r="E133" s="24">
        <f>IF(D133&gt;=IF(MONTH($C133)=4,$C$3,IF(MONTH($C133)=5,$C$4,IF(MONTH($C133)=6,$C$5,IF(MONTH($C133)=7,$C$6,"ERROR")))),1,0)</f>
        <v>0</v>
      </c>
      <c r="F133" s="26">
        <f>VLOOKUP($C133,COS!$B$8:$H$991,7,FALSE)</f>
        <v>51.700939178466797</v>
      </c>
      <c r="G133" s="24">
        <f>IF(F133&lt;=IF(MONTH($C133)=4,$F$3,IF(MONTH($C133)=5,$F$4,IF(MONTH($C133)=6,$F$5,IF(MONTH($C133)=7,$F$6,"ERROR")))),1,0)</f>
        <v>1</v>
      </c>
      <c r="H133" s="26">
        <f>IF(J133=1,D133-$C$5,0)</f>
        <v>0</v>
      </c>
      <c r="I133" s="26">
        <f t="shared" si="136"/>
        <v>0</v>
      </c>
      <c r="J133" s="24">
        <f t="shared" si="201"/>
        <v>0</v>
      </c>
      <c r="K133" s="26">
        <f>VLOOKUP($C133,COS!$B$8:$H$991,2,FALSE)</f>
        <v>2742.553466796875</v>
      </c>
      <c r="L133" s="24">
        <f t="shared" si="129"/>
        <v>1</v>
      </c>
      <c r="M133" s="24">
        <f t="shared" si="130"/>
        <v>1</v>
      </c>
      <c r="N133" s="26">
        <f>VLOOKUP($C133,COS!$B$8:$H$991,5,FALSE)</f>
        <v>355.03094482421875</v>
      </c>
      <c r="O133" s="26">
        <f t="shared" si="204"/>
        <v>21.125808287060952</v>
      </c>
      <c r="P133" s="26">
        <f>VLOOKUP($C133,COS!$B$8:$H$991,6,FALSE)</f>
        <v>2600.013916015625</v>
      </c>
      <c r="Q133" s="26">
        <f t="shared" si="205"/>
        <v>154.71157186208677</v>
      </c>
      <c r="R133" s="26">
        <f>MIN(IF(MONTH($C133)=4,$S$3,IF(MONTH($C133)=5,$S$4,IF(MONTH($C133)=6,$S$5,IF(MONTH($C133)=7,$S$6,"ERROR")))),MAX(VLOOKUP($C133,COS!$B$8:$K$991,10,FALSE)-IF(MONTH($C133)=4,$Y$3,IF(MONTH($C133)=5,$Y$4,IF(MONTH($C133)=6,$Y$5,IF(MONTH($C133)=7,$Y$6,"ERROR")))),0),MAX(VLOOKUP($C133,COS!$B$8:$K$991,9,FALSE)-IF(MONTH($C133)=4,$V$3,IF(MONTH($C133)=5,$V$4,IF(MONTH($C133)=6,$V$5,IF(MONTH($C133)=7,$V$6,"ERROR"))))-VLOOKUP($C133,COS!$B$8:$K$991,6,FALSE)/2,0))</f>
        <v>1500</v>
      </c>
      <c r="S133" s="26">
        <f t="shared" si="206"/>
        <v>89.256198347107429</v>
      </c>
      <c r="T133" s="26">
        <f t="shared" si="207"/>
        <v>177.17488842168129</v>
      </c>
      <c r="U133" s="26" t="str">
        <f>IF(VLOOKUP($C133,COS!$B$8:$I$991,8,FALSE)=1,"UWFE","IBU")</f>
        <v>IBU</v>
      </c>
      <c r="V133" s="26">
        <f t="shared" ref="V133" si="210">MIN(IF(IF($AA$3=2,AND(E133=1,G133=1,L133=1,L136=1,M133=1,U133="IBU"),AND(E133=1,G133=1,L133=1,L136=1,M133=1)),T133,0),I133)</f>
        <v>0</v>
      </c>
      <c r="W133" s="26"/>
      <c r="X133" s="26"/>
      <c r="Y133" s="26"/>
      <c r="Z133" s="26"/>
      <c r="AA133" s="26"/>
      <c r="AB133" s="33"/>
    </row>
    <row r="134" spans="1:28" x14ac:dyDescent="0.3">
      <c r="A134" s="32">
        <f>VLOOKUP(YEAR(C134),Flags!$A$13:$B$95,2,FALSE)</f>
        <v>4</v>
      </c>
      <c r="B134" s="24">
        <f t="shared" si="116"/>
        <v>1935</v>
      </c>
      <c r="C134" s="25">
        <v>12996</v>
      </c>
      <c r="D134" s="26">
        <f>VLOOKUP($C134,COS!$B$8:$H$991,3,FALSE)</f>
        <v>9552.029296875</v>
      </c>
      <c r="E134" s="24">
        <f>IF(D134&gt;=IF(MONTH($C134)=4,$C$3,IF(MONTH($C134)=5,$C$4,IF(MONTH($C134)=6,$C$5,IF(MONTH($C134)=7,$C$6,"ERROR")))),1,0)</f>
        <v>0</v>
      </c>
      <c r="F134" s="26">
        <f>VLOOKUP($C134,COS!$B$8:$H$991,7,FALSE)</f>
        <v>53.422840118408203</v>
      </c>
      <c r="G134" s="24">
        <f>IF(F134&lt;=IF(MONTH($C134)=4,$F$3,IF(MONTH($C134)=5,$F$4,IF(MONTH($C134)=6,$F$5,IF(MONTH($C134)=7,$F$6,"ERROR")))),1,0)</f>
        <v>1</v>
      </c>
      <c r="H134" s="26">
        <f>IF(J134=1,D134-$C$6,0)</f>
        <v>0</v>
      </c>
      <c r="I134" s="26">
        <f t="shared" si="136"/>
        <v>0</v>
      </c>
      <c r="J134" s="24">
        <f t="shared" si="201"/>
        <v>0</v>
      </c>
      <c r="K134" s="26">
        <f>VLOOKUP($C134,COS!$B$8:$H$991,2,FALSE)</f>
        <v>2381.828857421875</v>
      </c>
      <c r="L134" s="24">
        <f t="shared" si="129"/>
        <v>1</v>
      </c>
      <c r="M134" s="24">
        <f t="shared" si="130"/>
        <v>1</v>
      </c>
      <c r="N134" s="26">
        <f>VLOOKUP($C134,COS!$B$8:$H$991,5,FALSE)</f>
        <v>386.67288208007813</v>
      </c>
      <c r="O134" s="26">
        <f t="shared" si="204"/>
        <v>23.775588782444473</v>
      </c>
      <c r="P134" s="26">
        <f>VLOOKUP($C134,COS!$B$8:$H$991,6,FALSE)</f>
        <v>2632.5888671875</v>
      </c>
      <c r="Q134" s="26">
        <f t="shared" si="205"/>
        <v>161.87157993285126</v>
      </c>
      <c r="R134" s="26">
        <f>MIN(IF(MONTH($C134)=4,$S$3,IF(MONTH($C134)=5,$S$4,IF(MONTH($C134)=6,$S$5,IF(MONTH($C134)=7,$S$6,"ERROR")))),MAX(VLOOKUP($C134,COS!$B$8:$K$991,10,FALSE)-IF(MONTH($C134)=4,$Y$3,IF(MONTH($C134)=5,$Y$4,IF(MONTH($C134)=6,$Y$5,IF(MONTH($C134)=7,$Y$6,"ERROR")))),0),MAX(VLOOKUP($C134,COS!$B$8:$K$991,9,FALSE)-IF(MONTH($C134)=4,$V$3,IF(MONTH($C134)=5,$V$4,IF(MONTH($C134)=6,$V$5,IF(MONTH($C134)=7,$V$6,"ERROR"))))-VLOOKUP($C134,COS!$B$8:$K$991,6,FALSE)/2,0))</f>
        <v>1500</v>
      </c>
      <c r="S134" s="26">
        <f t="shared" si="206"/>
        <v>92.231404958677686</v>
      </c>
      <c r="T134" s="26">
        <f t="shared" si="207"/>
        <v>185.05498931632553</v>
      </c>
      <c r="U134" s="26" t="str">
        <f>IF(VLOOKUP($C134,COS!$B$8:$I$991,8,FALSE)=1,"UWFE","IBU")</f>
        <v>IBU</v>
      </c>
      <c r="V134" s="26">
        <f t="shared" ref="V134" si="211">MIN(IF(IF($AA$3=2,AND(E134=1,G134=1,L134=1,L136=1,M134=1,U134="IBU"),AND(E134=1,G134=1,L134=1,L136=1,M134=1)),T134,0),I134)</f>
        <v>0</v>
      </c>
      <c r="W134" s="26"/>
      <c r="X134" s="26"/>
      <c r="Y134" s="26"/>
      <c r="Z134" s="26"/>
      <c r="AA134" s="26"/>
      <c r="AB134" s="33"/>
    </row>
    <row r="135" spans="1:28" x14ac:dyDescent="0.3">
      <c r="A135" s="32">
        <f>VLOOKUP(YEAR(C135),Flags!$A$13:$B$95,2,FALSE)</f>
        <v>4</v>
      </c>
      <c r="B135" s="24">
        <f t="shared" si="116"/>
        <v>1935</v>
      </c>
      <c r="C135" s="25">
        <v>13027</v>
      </c>
      <c r="D135" s="26"/>
      <c r="E135" s="24"/>
      <c r="F135" s="26"/>
      <c r="G135" s="24"/>
      <c r="H135" s="24"/>
      <c r="I135" s="26"/>
      <c r="J135" s="24"/>
      <c r="K135" s="26"/>
      <c r="L135" s="24"/>
      <c r="M135" s="24"/>
      <c r="N135" s="26"/>
      <c r="O135" s="26"/>
      <c r="P135" s="26"/>
      <c r="Q135" s="26"/>
      <c r="R135" s="26"/>
      <c r="S135" s="26"/>
      <c r="T135" s="26"/>
      <c r="U135" s="26"/>
      <c r="V135" s="26"/>
      <c r="W135" s="26">
        <f>MAX($C$7-VLOOKUP($C135,COS!$B$8:$H$991,3,FALSE),0)</f>
        <v>91777.314453125</v>
      </c>
      <c r="X135" s="26">
        <f t="shared" si="143"/>
        <v>5643.1671035640502</v>
      </c>
      <c r="Y135" s="26">
        <f>VLOOKUP($C135,COS!$B$8:$H$991,4,FALSE)</f>
        <v>311.4095458984375</v>
      </c>
      <c r="Z135" s="26">
        <f t="shared" si="144"/>
        <v>19.147826623837808</v>
      </c>
      <c r="AA135" s="26">
        <f t="shared" ref="AA135:AA139" si="212">MIN(W135,Y135)</f>
        <v>311.4095458984375</v>
      </c>
      <c r="AB135" s="33">
        <f t="shared" ref="AB135" si="213">AA135*DAY($C135)*86400/43560/1000*IF(MONTH($C135)=8,$P$3,IF(MONTH($C135)=9,$P$4,IF(MONTH($C135)=10,$P$5,IF(MONTH($C135)=11,$P$6,IF(MONTH($C135)=12,$P$7,NA())))))</f>
        <v>19.147826623837808</v>
      </c>
    </row>
    <row r="136" spans="1:28" x14ac:dyDescent="0.3">
      <c r="A136" s="32">
        <f>VLOOKUP(YEAR(C136),Flags!$A$13:$B$95,2,FALSE)</f>
        <v>4</v>
      </c>
      <c r="B136" s="24">
        <f t="shared" si="116"/>
        <v>1935</v>
      </c>
      <c r="C136" s="25">
        <v>13057</v>
      </c>
      <c r="D136" s="26"/>
      <c r="E136" s="24"/>
      <c r="F136" s="26"/>
      <c r="G136" s="24"/>
      <c r="H136" s="24"/>
      <c r="I136" s="26"/>
      <c r="J136" s="24"/>
      <c r="K136" s="26">
        <f>VLOOKUP($C136,COS!$B$8:$H$991,2,FALSE)</f>
        <v>1958.6934814453125</v>
      </c>
      <c r="L136" s="24">
        <f t="shared" ref="L136" si="214">IF(AND(K136&gt;$I$7,K136&lt;$I$8),1,0)</f>
        <v>1</v>
      </c>
      <c r="M136" s="24"/>
      <c r="N136" s="26"/>
      <c r="O136" s="26"/>
      <c r="P136" s="26"/>
      <c r="Q136" s="26"/>
      <c r="R136" s="26"/>
      <c r="S136" s="26"/>
      <c r="T136" s="26"/>
      <c r="U136" s="26"/>
      <c r="V136" s="26"/>
      <c r="W136" s="26">
        <f>MAX($C$8-VLOOKUP($C136,COS!$B$8:$H$991,3,FALSE),0)</f>
        <v>95974.235595703125</v>
      </c>
      <c r="X136" s="26">
        <f t="shared" si="143"/>
        <v>5710.8636056947316</v>
      </c>
      <c r="Y136" s="26">
        <f>VLOOKUP($C136,COS!$B$8:$H$991,4,FALSE)</f>
        <v>386.73208618164063</v>
      </c>
      <c r="Z136" s="26">
        <f t="shared" si="144"/>
        <v>23.012157194279443</v>
      </c>
      <c r="AA136" s="26">
        <f t="shared" si="212"/>
        <v>386.73208618164063</v>
      </c>
      <c r="AB136" s="33">
        <f t="shared" si="141"/>
        <v>23.012157194279443</v>
      </c>
    </row>
    <row r="137" spans="1:28" x14ac:dyDescent="0.3">
      <c r="A137" s="32">
        <f>VLOOKUP(YEAR(C137),Flags!$A$13:$B$95,2,FALSE)</f>
        <v>4</v>
      </c>
      <c r="B137" s="24">
        <f t="shared" si="116"/>
        <v>1935</v>
      </c>
      <c r="C137" s="25">
        <v>13088</v>
      </c>
      <c r="D137" s="26"/>
      <c r="E137" s="24"/>
      <c r="F137" s="26"/>
      <c r="G137" s="26"/>
      <c r="H137" s="26"/>
      <c r="I137" s="26"/>
      <c r="J137" s="26"/>
      <c r="K137" s="26"/>
      <c r="L137" s="24"/>
      <c r="M137" s="24"/>
      <c r="N137" s="26"/>
      <c r="O137" s="26"/>
      <c r="P137" s="26"/>
      <c r="Q137" s="26"/>
      <c r="R137" s="26"/>
      <c r="S137" s="26"/>
      <c r="T137" s="26"/>
      <c r="U137" s="26"/>
      <c r="V137" s="26"/>
      <c r="W137" s="26">
        <f>MAX($C$9-VLOOKUP($C137,COS!$B$8:$H$991,3,FALSE),0)</f>
        <v>96108.80029296875</v>
      </c>
      <c r="X137" s="26">
        <f t="shared" si="143"/>
        <v>5909.4997866089871</v>
      </c>
      <c r="Y137" s="26">
        <f>VLOOKUP($C137,COS!$B$8:$H$991,4,FALSE)</f>
        <v>839.30419921875</v>
      </c>
      <c r="Z137" s="26">
        <f t="shared" si="144"/>
        <v>51.606803654442146</v>
      </c>
      <c r="AA137" s="26">
        <f t="shared" si="212"/>
        <v>839.30419921875</v>
      </c>
      <c r="AB137" s="33">
        <f t="shared" si="141"/>
        <v>51.606803654442146</v>
      </c>
    </row>
    <row r="138" spans="1:28" x14ac:dyDescent="0.3">
      <c r="A138" s="32">
        <f>VLOOKUP(YEAR(C138),Flags!$A$13:$B$95,2,FALSE)</f>
        <v>4</v>
      </c>
      <c r="B138" s="24">
        <f t="shared" si="116"/>
        <v>1935</v>
      </c>
      <c r="C138" s="25">
        <v>13118</v>
      </c>
      <c r="D138" s="26"/>
      <c r="E138" s="24"/>
      <c r="F138" s="26"/>
      <c r="G138" s="26"/>
      <c r="H138" s="26"/>
      <c r="I138" s="26"/>
      <c r="J138" s="26"/>
      <c r="K138" s="26"/>
      <c r="L138" s="24"/>
      <c r="M138" s="24"/>
      <c r="N138" s="26"/>
      <c r="O138" s="26"/>
      <c r="P138" s="26"/>
      <c r="Q138" s="26"/>
      <c r="R138" s="26"/>
      <c r="S138" s="26"/>
      <c r="T138" s="26"/>
      <c r="U138" s="26"/>
      <c r="V138" s="26"/>
      <c r="W138" s="26">
        <f>MAX($C$10-VLOOKUP($C138,COS!$B$8:$H$991,3,FALSE),0)</f>
        <v>96609.462646484375</v>
      </c>
      <c r="X138" s="26">
        <f t="shared" si="143"/>
        <v>5748.6622401213845</v>
      </c>
      <c r="Y138" s="26">
        <f>VLOOKUP($C138,COS!$B$8:$H$991,4,FALSE)</f>
        <v>442.06243896484375</v>
      </c>
      <c r="Z138" s="26">
        <f t="shared" si="144"/>
        <v>26.304541822701445</v>
      </c>
      <c r="AA138" s="26">
        <f t="shared" si="212"/>
        <v>442.06243896484375</v>
      </c>
      <c r="AB138" s="33">
        <f t="shared" si="141"/>
        <v>13.152270911350723</v>
      </c>
    </row>
    <row r="139" spans="1:28" x14ac:dyDescent="0.3">
      <c r="A139" s="34">
        <f>VLOOKUP(YEAR(C139),Flags!$A$13:$B$95,2,FALSE)</f>
        <v>4</v>
      </c>
      <c r="B139" s="35">
        <f t="shared" si="116"/>
        <v>1935</v>
      </c>
      <c r="C139" s="36">
        <v>13149</v>
      </c>
      <c r="D139" s="37"/>
      <c r="E139" s="35"/>
      <c r="F139" s="37"/>
      <c r="G139" s="37"/>
      <c r="H139" s="37"/>
      <c r="I139" s="37"/>
      <c r="J139" s="37"/>
      <c r="K139" s="37"/>
      <c r="L139" s="35"/>
      <c r="M139" s="35"/>
      <c r="N139" s="37"/>
      <c r="O139" s="37"/>
      <c r="P139" s="37"/>
      <c r="Q139" s="37"/>
      <c r="R139" s="37"/>
      <c r="S139" s="37"/>
      <c r="T139" s="37"/>
      <c r="U139" s="37"/>
      <c r="V139" s="37"/>
      <c r="W139" s="37">
        <f>MAX($C$11-VLOOKUP($C139,COS!$B$8:$H$991,3,FALSE),0)</f>
        <v>0</v>
      </c>
      <c r="X139" s="37">
        <f t="shared" si="143"/>
        <v>0</v>
      </c>
      <c r="Y139" s="37">
        <f>VLOOKUP($C139,COS!$B$8:$H$991,4,FALSE)</f>
        <v>18.913251876831055</v>
      </c>
      <c r="Z139" s="37">
        <f t="shared" si="144"/>
        <v>1.162930528624984</v>
      </c>
      <c r="AA139" s="37">
        <f t="shared" si="212"/>
        <v>0</v>
      </c>
      <c r="AB139" s="38">
        <f t="shared" si="141"/>
        <v>0</v>
      </c>
    </row>
    <row r="140" spans="1:28" x14ac:dyDescent="0.3">
      <c r="A140" s="27">
        <f>VLOOKUP(YEAR(C140),Flags!$A$13:$B$95,2,FALSE)</f>
        <v>3</v>
      </c>
      <c r="B140" s="28">
        <f t="shared" si="116"/>
        <v>1936</v>
      </c>
      <c r="C140" s="29">
        <v>13270</v>
      </c>
      <c r="D140" s="30">
        <f>VLOOKUP($C140,COS!$B$8:$H$991,3,FALSE)</f>
        <v>3250</v>
      </c>
      <c r="E140" s="28">
        <f>IF(D140&gt;=IF(MONTH($C140)=4,$C$3,IF(MONTH($C140)=5,$C$4,IF(MONTH($C140)=6,$C$5,IF(MONTH($C140)=7,$C$6,"ERROR")))),1,0)</f>
        <v>0</v>
      </c>
      <c r="F140" s="30">
        <f>VLOOKUP($C140,COS!$B$8:$H$991,7,FALSE)</f>
        <v>49.935798645019531</v>
      </c>
      <c r="G140" s="28">
        <f>IF(F140&lt;=IF(MONTH($C140)=4,$F$3,IF(MONTH($C140)=5,$F$4,IF(MONTH($C140)=6,$F$5,IF(MONTH($C140)=7,$F$6,"ERROR")))),1,0)</f>
        <v>1</v>
      </c>
      <c r="H140" s="30">
        <f>IF(J140=1,D140-$C$3,0)</f>
        <v>0</v>
      </c>
      <c r="I140" s="30">
        <f t="shared" si="136"/>
        <v>0</v>
      </c>
      <c r="J140" s="28">
        <f t="shared" ref="J140:J143" si="215">IF(AND(E140=1,G140=1),1,0)</f>
        <v>0</v>
      </c>
      <c r="K140" s="30">
        <f>VLOOKUP($C140,COS!$B$8:$H$991,2,FALSE)</f>
        <v>4126.388671875</v>
      </c>
      <c r="L140" s="28">
        <f t="shared" ref="L140" si="216">IF(K140&lt;=IF(MONTH($C140)=4,$I$3,IF(MONTH($C140)=5,$I$4,IF(MONTH($C140)=6,$I$5,IF(MONTH($C140)=7,$I$6,"ERROR")))),1,0)</f>
        <v>1</v>
      </c>
      <c r="M140" s="28">
        <f t="shared" ref="M140" si="217">VLOOKUP($A140,$L$3:$M$7,2,FALSE)</f>
        <v>0</v>
      </c>
      <c r="N140" s="30">
        <f>VLOOKUP($C140,COS!$B$8:$H$991,5,FALSE)</f>
        <v>205.43023681640625</v>
      </c>
      <c r="O140" s="30">
        <f t="shared" ref="O140:O143" si="218">N140*DAY($C140)*86400/43560/1000</f>
        <v>12.223947975852273</v>
      </c>
      <c r="P140" s="30">
        <f>VLOOKUP($C140,COS!$B$8:$H$991,6,FALSE)</f>
        <v>427.27923583984375</v>
      </c>
      <c r="Q140" s="30">
        <f t="shared" ref="Q140:Q143" si="219">P140*DAY($C140)*86400/43560/1000</f>
        <v>25.424880149147729</v>
      </c>
      <c r="R140" s="30">
        <f>MIN(IF(MONTH($C140)=4,$S$3,IF(MONTH($C140)=5,$S$4,IF(MONTH($C140)=6,$S$5,IF(MONTH($C140)=7,$S$6,"ERROR")))),MAX(VLOOKUP($C140,COS!$B$8:$K$991,10,FALSE)-IF(MONTH($C140)=4,$Y$3,IF(MONTH($C140)=5,$Y$4,IF(MONTH($C140)=6,$Y$5,IF(MONTH($C140)=7,$Y$6,"ERROR")))),0),MAX(VLOOKUP($C140,COS!$B$8:$K$991,9,FALSE)-IF(MONTH($C140)=4,$V$3,IF(MONTH($C140)=5,$V$4,IF(MONTH($C140)=6,$V$5,IF(MONTH($C140)=7,$V$6,"ERROR"))))-VLOOKUP($C140,COS!$B$8:$K$991,6,FALSE)/2,0))</f>
        <v>1500</v>
      </c>
      <c r="S140" s="30">
        <f t="shared" ref="S140:S143" si="220">R140*DAY($C140)*86400/43560/1000</f>
        <v>89.256198347107429</v>
      </c>
      <c r="T140" s="30">
        <f t="shared" ref="T140:T143" si="221">(O140+Q140)/2+S140</f>
        <v>108.08061240960743</v>
      </c>
      <c r="U140" s="30" t="str">
        <f>IF(VLOOKUP($C140,COS!$B$8:$I$991,8,FALSE)=1,"UWFE","IBU")</f>
        <v>UWFE</v>
      </c>
      <c r="V140" s="30">
        <f t="shared" ref="V140" si="222">MIN(IF(IF($AA$3=2,AND(E140=1,G140=1,L140=1,L145=1,M140=1,U140="IBU"),AND(E140=1,G140=1,L140=1,L145=1,M140=1)),T140,0),I140)</f>
        <v>0</v>
      </c>
      <c r="W140" s="30"/>
      <c r="X140" s="30"/>
      <c r="Y140" s="30"/>
      <c r="Z140" s="30"/>
      <c r="AA140" s="30"/>
      <c r="AB140" s="31"/>
    </row>
    <row r="141" spans="1:28" x14ac:dyDescent="0.3">
      <c r="A141" s="32">
        <f>VLOOKUP(YEAR(C141),Flags!$A$13:$B$95,2,FALSE)</f>
        <v>3</v>
      </c>
      <c r="B141" s="24">
        <f t="shared" si="116"/>
        <v>1936</v>
      </c>
      <c r="C141" s="25">
        <v>13301</v>
      </c>
      <c r="D141" s="26">
        <f>VLOOKUP($C141,COS!$B$8:$H$991,3,FALSE)</f>
        <v>5730.4501953125</v>
      </c>
      <c r="E141" s="24">
        <f>IF(D141&gt;=IF(MONTH($C141)=4,$C$3,IF(MONTH($C141)=5,$C$4,IF(MONTH($C141)=6,$C$5,IF(MONTH($C141)=7,$C$6,"ERROR")))),1,0)</f>
        <v>0</v>
      </c>
      <c r="F141" s="26">
        <f>VLOOKUP($C141,COS!$B$8:$H$991,7,FALSE)</f>
        <v>50.767982482910156</v>
      </c>
      <c r="G141" s="24">
        <f>IF(F141&lt;=IF(MONTH($C141)=4,$F$3,IF(MONTH($C141)=5,$F$4,IF(MONTH($C141)=6,$F$5,IF(MONTH($C141)=7,$F$6,"ERROR")))),1,0)</f>
        <v>1</v>
      </c>
      <c r="H141" s="26">
        <f>IF(J141=1,D141-$C$4,0)</f>
        <v>0</v>
      </c>
      <c r="I141" s="26">
        <f t="shared" si="136"/>
        <v>0</v>
      </c>
      <c r="J141" s="24">
        <f t="shared" si="215"/>
        <v>0</v>
      </c>
      <c r="K141" s="26">
        <f>VLOOKUP($C141,COS!$B$8:$H$991,2,FALSE)</f>
        <v>4065.37890625</v>
      </c>
      <c r="L141" s="24">
        <f t="shared" si="129"/>
        <v>1</v>
      </c>
      <c r="M141" s="24">
        <f t="shared" si="130"/>
        <v>0</v>
      </c>
      <c r="N141" s="26">
        <f>VLOOKUP($C141,COS!$B$8:$H$991,5,FALSE)</f>
        <v>284.62387084960938</v>
      </c>
      <c r="O141" s="26">
        <f t="shared" si="218"/>
        <v>17.500839662157798</v>
      </c>
      <c r="P141" s="26">
        <f>VLOOKUP($C141,COS!$B$8:$H$991,6,FALSE)</f>
        <v>2118.009033203125</v>
      </c>
      <c r="Q141" s="26">
        <f t="shared" si="219"/>
        <v>130.23129923166323</v>
      </c>
      <c r="R141" s="26">
        <f>MIN(IF(MONTH($C141)=4,$S$3,IF(MONTH($C141)=5,$S$4,IF(MONTH($C141)=6,$S$5,IF(MONTH($C141)=7,$S$6,"ERROR")))),MAX(VLOOKUP($C141,COS!$B$8:$K$991,10,FALSE)-IF(MONTH($C141)=4,$Y$3,IF(MONTH($C141)=5,$Y$4,IF(MONTH($C141)=6,$Y$5,IF(MONTH($C141)=7,$Y$6,"ERROR")))),0),MAX(VLOOKUP($C141,COS!$B$8:$K$991,9,FALSE)-IF(MONTH($C141)=4,$V$3,IF(MONTH($C141)=5,$V$4,IF(MONTH($C141)=6,$V$5,IF(MONTH($C141)=7,$V$6,"ERROR"))))-VLOOKUP($C141,COS!$B$8:$K$991,6,FALSE)/2,0))</f>
        <v>1500</v>
      </c>
      <c r="S141" s="26">
        <f t="shared" si="220"/>
        <v>92.231404958677686</v>
      </c>
      <c r="T141" s="26">
        <f t="shared" si="221"/>
        <v>166.0974744055882</v>
      </c>
      <c r="U141" s="26" t="str">
        <f>IF(VLOOKUP($C141,COS!$B$8:$I$991,8,FALSE)=1,"UWFE","IBU")</f>
        <v>UWFE</v>
      </c>
      <c r="V141" s="26">
        <f t="shared" ref="V141" si="223">MIN(IF(IF($AA$3=2,AND(E141=1,G141=1,L141=1,L145=1,M141=1,U141="IBU"),AND(E141=1,G141=1,L141=1,L145=1,M141=1)),T141,0),I141)</f>
        <v>0</v>
      </c>
      <c r="W141" s="26"/>
      <c r="X141" s="26"/>
      <c r="Y141" s="26"/>
      <c r="Z141" s="26"/>
      <c r="AA141" s="26"/>
      <c r="AB141" s="33"/>
    </row>
    <row r="142" spans="1:28" x14ac:dyDescent="0.3">
      <c r="A142" s="32">
        <f>VLOOKUP(YEAR(C142),Flags!$A$13:$B$95,2,FALSE)</f>
        <v>3</v>
      </c>
      <c r="B142" s="24">
        <f t="shared" si="116"/>
        <v>1936</v>
      </c>
      <c r="C142" s="25">
        <v>13331</v>
      </c>
      <c r="D142" s="26">
        <f>VLOOKUP($C142,COS!$B$8:$H$991,3,FALSE)</f>
        <v>7140.05078125</v>
      </c>
      <c r="E142" s="24">
        <f>IF(D142&gt;=IF(MONTH($C142)=4,$C$3,IF(MONTH($C142)=5,$C$4,IF(MONTH($C142)=6,$C$5,IF(MONTH($C142)=7,$C$6,"ERROR")))),1,0)</f>
        <v>0</v>
      </c>
      <c r="F142" s="26">
        <f>VLOOKUP($C142,COS!$B$8:$H$991,7,FALSE)</f>
        <v>50.706310272216797</v>
      </c>
      <c r="G142" s="24">
        <f>IF(F142&lt;=IF(MONTH($C142)=4,$F$3,IF(MONTH($C142)=5,$F$4,IF(MONTH($C142)=6,$F$5,IF(MONTH($C142)=7,$F$6,"ERROR")))),1,0)</f>
        <v>1</v>
      </c>
      <c r="H142" s="26">
        <f>IF(J142=1,D142-$C$5,0)</f>
        <v>0</v>
      </c>
      <c r="I142" s="26">
        <f t="shared" si="136"/>
        <v>0</v>
      </c>
      <c r="J142" s="24">
        <f t="shared" si="215"/>
        <v>0</v>
      </c>
      <c r="K142" s="26">
        <f>VLOOKUP($C142,COS!$B$8:$H$991,2,FALSE)</f>
        <v>3872.543701171875</v>
      </c>
      <c r="L142" s="24">
        <f t="shared" si="129"/>
        <v>1</v>
      </c>
      <c r="M142" s="24">
        <f t="shared" si="130"/>
        <v>0</v>
      </c>
      <c r="N142" s="26">
        <f>VLOOKUP($C142,COS!$B$8:$H$991,5,FALSE)</f>
        <v>523.20947265625</v>
      </c>
      <c r="O142" s="26">
        <f t="shared" si="218"/>
        <v>31.133125645661156</v>
      </c>
      <c r="P142" s="26">
        <f>VLOOKUP($C142,COS!$B$8:$H$991,6,FALSE)</f>
        <v>2337.24169921875</v>
      </c>
      <c r="Q142" s="26">
        <f t="shared" si="219"/>
        <v>139.07553912706612</v>
      </c>
      <c r="R142" s="26">
        <f>MIN(IF(MONTH($C142)=4,$S$3,IF(MONTH($C142)=5,$S$4,IF(MONTH($C142)=6,$S$5,IF(MONTH($C142)=7,$S$6,"ERROR")))),MAX(VLOOKUP($C142,COS!$B$8:$K$991,10,FALSE)-IF(MONTH($C142)=4,$Y$3,IF(MONTH($C142)=5,$Y$4,IF(MONTH($C142)=6,$Y$5,IF(MONTH($C142)=7,$Y$6,"ERROR")))),0),MAX(VLOOKUP($C142,COS!$B$8:$K$991,9,FALSE)-IF(MONTH($C142)=4,$V$3,IF(MONTH($C142)=5,$V$4,IF(MONTH($C142)=6,$V$5,IF(MONTH($C142)=7,$V$6,"ERROR"))))-VLOOKUP($C142,COS!$B$8:$K$991,6,FALSE)/2,0))</f>
        <v>1500</v>
      </c>
      <c r="S142" s="26">
        <f t="shared" si="220"/>
        <v>89.256198347107429</v>
      </c>
      <c r="T142" s="26">
        <f t="shared" si="221"/>
        <v>174.36053073347108</v>
      </c>
      <c r="U142" s="26" t="str">
        <f>IF(VLOOKUP($C142,COS!$B$8:$I$991,8,FALSE)=1,"UWFE","IBU")</f>
        <v>UWFE</v>
      </c>
      <c r="V142" s="26">
        <f t="shared" ref="V142" si="224">MIN(IF(IF($AA$3=2,AND(E142=1,G142=1,L142=1,L145=1,M142=1,U142="IBU"),AND(E142=1,G142=1,L142=1,L145=1,M142=1)),T142,0),I142)</f>
        <v>0</v>
      </c>
      <c r="W142" s="26"/>
      <c r="X142" s="26"/>
      <c r="Y142" s="26"/>
      <c r="Z142" s="26"/>
      <c r="AA142" s="26"/>
      <c r="AB142" s="33"/>
    </row>
    <row r="143" spans="1:28" x14ac:dyDescent="0.3">
      <c r="A143" s="32">
        <f>VLOOKUP(YEAR(C143),Flags!$A$13:$B$95,2,FALSE)</f>
        <v>3</v>
      </c>
      <c r="B143" s="24">
        <f t="shared" ref="B143:B206" si="225">YEAR(C143)</f>
        <v>1936</v>
      </c>
      <c r="C143" s="25">
        <v>13362</v>
      </c>
      <c r="D143" s="26">
        <f>VLOOKUP($C143,COS!$B$8:$H$991,3,FALSE)</f>
        <v>10100.955078125</v>
      </c>
      <c r="E143" s="24">
        <f>IF(D143&gt;=IF(MONTH($C143)=4,$C$3,IF(MONTH($C143)=5,$C$4,IF(MONTH($C143)=6,$C$5,IF(MONTH($C143)=7,$C$6,"ERROR")))),1,0)</f>
        <v>0</v>
      </c>
      <c r="F143" s="26">
        <f>VLOOKUP($C143,COS!$B$8:$H$991,7,FALSE)</f>
        <v>50.784397125244141</v>
      </c>
      <c r="G143" s="24">
        <f>IF(F143&lt;=IF(MONTH($C143)=4,$F$3,IF(MONTH($C143)=5,$F$4,IF(MONTH($C143)=6,$F$5,IF(MONTH($C143)=7,$F$6,"ERROR")))),1,0)</f>
        <v>1</v>
      </c>
      <c r="H143" s="26">
        <f>IF(J143=1,D143-$C$6,0)</f>
        <v>0</v>
      </c>
      <c r="I143" s="26">
        <f t="shared" si="136"/>
        <v>0</v>
      </c>
      <c r="J143" s="24">
        <f t="shared" si="215"/>
        <v>0</v>
      </c>
      <c r="K143" s="26">
        <f>VLOOKUP($C143,COS!$B$8:$H$991,2,FALSE)</f>
        <v>3405.32080078125</v>
      </c>
      <c r="L143" s="24">
        <f t="shared" si="129"/>
        <v>1</v>
      </c>
      <c r="M143" s="24">
        <f t="shared" si="130"/>
        <v>0</v>
      </c>
      <c r="N143" s="26">
        <f>VLOOKUP($C143,COS!$B$8:$H$991,5,FALSE)</f>
        <v>692.3970947265625</v>
      </c>
      <c r="O143" s="26">
        <f t="shared" si="218"/>
        <v>42.573837890625001</v>
      </c>
      <c r="P143" s="26">
        <f>VLOOKUP($C143,COS!$B$8:$H$991,6,FALSE)</f>
        <v>2537.385498046875</v>
      </c>
      <c r="Q143" s="26">
        <f t="shared" si="219"/>
        <v>156.01775293775825</v>
      </c>
      <c r="R143" s="26">
        <f>MIN(IF(MONTH($C143)=4,$S$3,IF(MONTH($C143)=5,$S$4,IF(MONTH($C143)=6,$S$5,IF(MONTH($C143)=7,$S$6,"ERROR")))),MAX(VLOOKUP($C143,COS!$B$8:$K$991,10,FALSE)-IF(MONTH($C143)=4,$Y$3,IF(MONTH($C143)=5,$Y$4,IF(MONTH($C143)=6,$Y$5,IF(MONTH($C143)=7,$Y$6,"ERROR")))),0),MAX(VLOOKUP($C143,COS!$B$8:$K$991,9,FALSE)-IF(MONTH($C143)=4,$V$3,IF(MONTH($C143)=5,$V$4,IF(MONTH($C143)=6,$V$5,IF(MONTH($C143)=7,$V$6,"ERROR"))))-VLOOKUP($C143,COS!$B$8:$K$991,6,FALSE)/2,0))</f>
        <v>1500</v>
      </c>
      <c r="S143" s="26">
        <f t="shared" si="220"/>
        <v>92.231404958677686</v>
      </c>
      <c r="T143" s="26">
        <f t="shared" si="221"/>
        <v>191.52720037286929</v>
      </c>
      <c r="U143" s="26" t="str">
        <f>IF(VLOOKUP($C143,COS!$B$8:$I$991,8,FALSE)=1,"UWFE","IBU")</f>
        <v>IBU</v>
      </c>
      <c r="V143" s="26">
        <f t="shared" ref="V143" si="226">MIN(IF(IF($AA$3=2,AND(E143=1,G143=1,L143=1,L145=1,M143=1,U143="IBU"),AND(E143=1,G143=1,L143=1,L145=1,M143=1)),T143,0),I143)</f>
        <v>0</v>
      </c>
      <c r="W143" s="26"/>
      <c r="X143" s="26"/>
      <c r="Y143" s="26"/>
      <c r="Z143" s="26"/>
      <c r="AA143" s="26"/>
      <c r="AB143" s="33"/>
    </row>
    <row r="144" spans="1:28" x14ac:dyDescent="0.3">
      <c r="A144" s="32">
        <f>VLOOKUP(YEAR(C144),Flags!$A$13:$B$95,2,FALSE)</f>
        <v>3</v>
      </c>
      <c r="B144" s="24">
        <f t="shared" si="225"/>
        <v>1936</v>
      </c>
      <c r="C144" s="25">
        <v>13393</v>
      </c>
      <c r="D144" s="26"/>
      <c r="E144" s="24"/>
      <c r="F144" s="26"/>
      <c r="G144" s="24"/>
      <c r="H144" s="24"/>
      <c r="I144" s="26"/>
      <c r="J144" s="24"/>
      <c r="K144" s="26"/>
      <c r="L144" s="24"/>
      <c r="M144" s="24"/>
      <c r="N144" s="26"/>
      <c r="O144" s="26"/>
      <c r="P144" s="26"/>
      <c r="Q144" s="26"/>
      <c r="R144" s="26"/>
      <c r="S144" s="26"/>
      <c r="T144" s="26"/>
      <c r="U144" s="26"/>
      <c r="V144" s="26"/>
      <c r="W144" s="26">
        <f>MAX($C$7-VLOOKUP($C144,COS!$B$8:$H$991,3,FALSE),0)</f>
        <v>90321.0078125</v>
      </c>
      <c r="X144" s="26">
        <f t="shared" si="143"/>
        <v>5553.6222985537188</v>
      </c>
      <c r="Y144" s="26">
        <f>VLOOKUP($C144,COS!$B$8:$H$991,4,FALSE)</f>
        <v>354.93222045898438</v>
      </c>
      <c r="Z144" s="26">
        <f t="shared" si="144"/>
        <v>21.823931572023504</v>
      </c>
      <c r="AA144" s="26">
        <f t="shared" ref="AA144:AA148" si="227">MIN(W144,Y144)</f>
        <v>354.93222045898438</v>
      </c>
      <c r="AB144" s="33">
        <f t="shared" ref="AB144" si="228">AA144*DAY($C144)*86400/43560/1000*IF(MONTH($C144)=8,$P$3,IF(MONTH($C144)=9,$P$4,IF(MONTH($C144)=10,$P$5,IF(MONTH($C144)=11,$P$6,IF(MONTH($C144)=12,$P$7,NA())))))</f>
        <v>21.823931572023504</v>
      </c>
    </row>
    <row r="145" spans="1:28" x14ac:dyDescent="0.3">
      <c r="A145" s="32">
        <f>VLOOKUP(YEAR(C145),Flags!$A$13:$B$95,2,FALSE)</f>
        <v>3</v>
      </c>
      <c r="B145" s="24">
        <f t="shared" si="225"/>
        <v>1936</v>
      </c>
      <c r="C145" s="25">
        <v>13423</v>
      </c>
      <c r="D145" s="26"/>
      <c r="E145" s="24"/>
      <c r="F145" s="26"/>
      <c r="G145" s="24"/>
      <c r="H145" s="24"/>
      <c r="I145" s="26"/>
      <c r="J145" s="24"/>
      <c r="K145" s="26">
        <f>VLOOKUP($C145,COS!$B$8:$H$991,2,FALSE)</f>
        <v>2909.572509765625</v>
      </c>
      <c r="L145" s="24">
        <f t="shared" ref="L145" si="229">IF(AND(K145&gt;$I$7,K145&lt;$I$8),1,0)</f>
        <v>1</v>
      </c>
      <c r="M145" s="24"/>
      <c r="N145" s="26"/>
      <c r="O145" s="26"/>
      <c r="P145" s="26"/>
      <c r="Q145" s="26"/>
      <c r="R145" s="26"/>
      <c r="S145" s="26"/>
      <c r="T145" s="26"/>
      <c r="U145" s="26"/>
      <c r="V145" s="26"/>
      <c r="W145" s="26">
        <f>MAX($C$8-VLOOKUP($C145,COS!$B$8:$H$991,3,FALSE),0)</f>
        <v>95795.64453125</v>
      </c>
      <c r="X145" s="26">
        <f t="shared" si="143"/>
        <v>5700.2366993801652</v>
      </c>
      <c r="Y145" s="26">
        <f>VLOOKUP($C145,COS!$B$8:$H$991,4,FALSE)</f>
        <v>0</v>
      </c>
      <c r="Z145" s="26">
        <f t="shared" si="144"/>
        <v>0</v>
      </c>
      <c r="AA145" s="26">
        <f t="shared" si="227"/>
        <v>0</v>
      </c>
      <c r="AB145" s="33">
        <f t="shared" si="141"/>
        <v>0</v>
      </c>
    </row>
    <row r="146" spans="1:28" x14ac:dyDescent="0.3">
      <c r="A146" s="32">
        <f>VLOOKUP(YEAR(C146),Flags!$A$13:$B$95,2,FALSE)</f>
        <v>3</v>
      </c>
      <c r="B146" s="24">
        <f t="shared" si="225"/>
        <v>1936</v>
      </c>
      <c r="C146" s="25">
        <v>13454</v>
      </c>
      <c r="D146" s="26"/>
      <c r="E146" s="24"/>
      <c r="F146" s="26"/>
      <c r="G146" s="26"/>
      <c r="H146" s="26"/>
      <c r="I146" s="26"/>
      <c r="J146" s="26"/>
      <c r="K146" s="26"/>
      <c r="L146" s="24"/>
      <c r="M146" s="24"/>
      <c r="N146" s="26"/>
      <c r="O146" s="26"/>
      <c r="P146" s="26"/>
      <c r="Q146" s="26"/>
      <c r="R146" s="26"/>
      <c r="S146" s="26"/>
      <c r="T146" s="26"/>
      <c r="U146" s="26"/>
      <c r="V146" s="26"/>
      <c r="W146" s="26">
        <f>MAX($C$9-VLOOKUP($C146,COS!$B$8:$H$991,3,FALSE),0)</f>
        <v>94201.28515625</v>
      </c>
      <c r="X146" s="26">
        <f t="shared" si="143"/>
        <v>5792.2112525826451</v>
      </c>
      <c r="Y146" s="26">
        <f>VLOOKUP($C146,COS!$B$8:$H$991,4,FALSE)</f>
        <v>840.8681640625</v>
      </c>
      <c r="Z146" s="26">
        <f t="shared" si="144"/>
        <v>51.702968104338844</v>
      </c>
      <c r="AA146" s="26">
        <f t="shared" si="227"/>
        <v>840.8681640625</v>
      </c>
      <c r="AB146" s="33">
        <f t="shared" si="141"/>
        <v>51.702968104338844</v>
      </c>
    </row>
    <row r="147" spans="1:28" x14ac:dyDescent="0.3">
      <c r="A147" s="32">
        <f>VLOOKUP(YEAR(C147),Flags!$A$13:$B$95,2,FALSE)</f>
        <v>3</v>
      </c>
      <c r="B147" s="24">
        <f t="shared" si="225"/>
        <v>1936</v>
      </c>
      <c r="C147" s="25">
        <v>13484</v>
      </c>
      <c r="D147" s="26"/>
      <c r="E147" s="24"/>
      <c r="F147" s="26"/>
      <c r="G147" s="26"/>
      <c r="H147" s="26"/>
      <c r="I147" s="26"/>
      <c r="J147" s="26"/>
      <c r="K147" s="26"/>
      <c r="L147" s="24"/>
      <c r="M147" s="24"/>
      <c r="N147" s="26"/>
      <c r="O147" s="26"/>
      <c r="P147" s="26"/>
      <c r="Q147" s="26"/>
      <c r="R147" s="26"/>
      <c r="S147" s="26"/>
      <c r="T147" s="26"/>
      <c r="U147" s="26"/>
      <c r="V147" s="26"/>
      <c r="W147" s="26">
        <f>MAX($C$10-VLOOKUP($C147,COS!$B$8:$H$991,3,FALSE),0)</f>
        <v>94597.1748046875</v>
      </c>
      <c r="X147" s="26">
        <f t="shared" si="143"/>
        <v>5628.9227982954544</v>
      </c>
      <c r="Y147" s="26">
        <f>VLOOKUP($C147,COS!$B$8:$H$991,4,FALSE)</f>
        <v>1128.2205810546875</v>
      </c>
      <c r="Z147" s="26">
        <f t="shared" si="144"/>
        <v>67.13378664127066</v>
      </c>
      <c r="AA147" s="26">
        <f t="shared" si="227"/>
        <v>1128.2205810546875</v>
      </c>
      <c r="AB147" s="33">
        <f t="shared" si="141"/>
        <v>33.56689332063533</v>
      </c>
    </row>
    <row r="148" spans="1:28" x14ac:dyDescent="0.3">
      <c r="A148" s="34">
        <f>VLOOKUP(YEAR(C148),Flags!$A$13:$B$95,2,FALSE)</f>
        <v>3</v>
      </c>
      <c r="B148" s="35">
        <f t="shared" si="225"/>
        <v>1936</v>
      </c>
      <c r="C148" s="36">
        <v>13515</v>
      </c>
      <c r="D148" s="37"/>
      <c r="E148" s="35"/>
      <c r="F148" s="37"/>
      <c r="G148" s="37"/>
      <c r="H148" s="37"/>
      <c r="I148" s="37"/>
      <c r="J148" s="37"/>
      <c r="K148" s="37"/>
      <c r="L148" s="35"/>
      <c r="M148" s="35"/>
      <c r="N148" s="37"/>
      <c r="O148" s="37"/>
      <c r="P148" s="37"/>
      <c r="Q148" s="37"/>
      <c r="R148" s="37"/>
      <c r="S148" s="37"/>
      <c r="T148" s="37"/>
      <c r="U148" s="37"/>
      <c r="V148" s="37"/>
      <c r="W148" s="37">
        <f>MAX($C$11-VLOOKUP($C148,COS!$B$8:$H$991,3,FALSE),0)</f>
        <v>0</v>
      </c>
      <c r="X148" s="37">
        <f t="shared" si="143"/>
        <v>0</v>
      </c>
      <c r="Y148" s="37">
        <f>VLOOKUP($C148,COS!$B$8:$H$991,4,FALSE)</f>
        <v>608.6763916015625</v>
      </c>
      <c r="Z148" s="37">
        <f t="shared" si="144"/>
        <v>37.426052508393596</v>
      </c>
      <c r="AA148" s="37">
        <f t="shared" si="227"/>
        <v>0</v>
      </c>
      <c r="AB148" s="38">
        <f t="shared" si="141"/>
        <v>0</v>
      </c>
    </row>
    <row r="149" spans="1:28" x14ac:dyDescent="0.3">
      <c r="A149" s="27">
        <f>VLOOKUP(YEAR(C149),Flags!$A$13:$B$95,2,FALSE)</f>
        <v>4</v>
      </c>
      <c r="B149" s="28">
        <f t="shared" si="225"/>
        <v>1937</v>
      </c>
      <c r="C149" s="29">
        <v>13635</v>
      </c>
      <c r="D149" s="30">
        <f>VLOOKUP($C149,COS!$B$8:$H$991,3,FALSE)</f>
        <v>3250</v>
      </c>
      <c r="E149" s="28">
        <f>IF(D149&gt;=IF(MONTH($C149)=4,$C$3,IF(MONTH($C149)=5,$C$4,IF(MONTH($C149)=6,$C$5,IF(MONTH($C149)=7,$C$6,"ERROR")))),1,0)</f>
        <v>0</v>
      </c>
      <c r="F149" s="30">
        <f>VLOOKUP($C149,COS!$B$8:$H$991,7,FALSE)</f>
        <v>51.161907196044922</v>
      </c>
      <c r="G149" s="28">
        <f>IF(F149&lt;=IF(MONTH($C149)=4,$F$3,IF(MONTH($C149)=5,$F$4,IF(MONTH($C149)=6,$F$5,IF(MONTH($C149)=7,$F$6,"ERROR")))),1,0)</f>
        <v>1</v>
      </c>
      <c r="H149" s="30">
        <f>IF(J149=1,D149-$C$3,0)</f>
        <v>0</v>
      </c>
      <c r="I149" s="30">
        <f t="shared" si="136"/>
        <v>0</v>
      </c>
      <c r="J149" s="28">
        <f t="shared" ref="J149:J152" si="230">IF(AND(E149=1,G149=1),1,0)</f>
        <v>0</v>
      </c>
      <c r="K149" s="30">
        <f>VLOOKUP($C149,COS!$B$8:$H$991,2,FALSE)</f>
        <v>4047.59912109375</v>
      </c>
      <c r="L149" s="28">
        <f t="shared" ref="L149:L206" si="231">IF(K149&lt;=IF(MONTH($C149)=4,$I$3,IF(MONTH($C149)=5,$I$4,IF(MONTH($C149)=6,$I$5,IF(MONTH($C149)=7,$I$6,"ERROR")))),1,0)</f>
        <v>1</v>
      </c>
      <c r="M149" s="28">
        <f t="shared" ref="M149:M206" si="232">VLOOKUP($A149,$L$3:$M$7,2,FALSE)</f>
        <v>1</v>
      </c>
      <c r="N149" s="30">
        <f>VLOOKUP($C149,COS!$B$8:$H$991,5,FALSE)</f>
        <v>21.622846603393555</v>
      </c>
      <c r="O149" s="30">
        <f t="shared" ref="O149:O152" si="233">N149*DAY($C149)*86400/43560/1000</f>
        <v>1.2866487235077158</v>
      </c>
      <c r="P149" s="30">
        <f>VLOOKUP($C149,COS!$B$8:$H$991,6,FALSE)</f>
        <v>433.80865478515625</v>
      </c>
      <c r="Q149" s="30">
        <f t="shared" ref="Q149:Q152" si="234">P149*DAY($C149)*86400/43560/1000</f>
        <v>25.813407557463844</v>
      </c>
      <c r="R149" s="30">
        <f>MIN(IF(MONTH($C149)=4,$S$3,IF(MONTH($C149)=5,$S$4,IF(MONTH($C149)=6,$S$5,IF(MONTH($C149)=7,$S$6,"ERROR")))),MAX(VLOOKUP($C149,COS!$B$8:$K$991,10,FALSE)-IF(MONTH($C149)=4,$Y$3,IF(MONTH($C149)=5,$Y$4,IF(MONTH($C149)=6,$Y$5,IF(MONTH($C149)=7,$Y$6,"ERROR")))),0),MAX(VLOOKUP($C149,COS!$B$8:$K$991,9,FALSE)-IF(MONTH($C149)=4,$V$3,IF(MONTH($C149)=5,$V$4,IF(MONTH($C149)=6,$V$5,IF(MONTH($C149)=7,$V$6,"ERROR"))))-VLOOKUP($C149,COS!$B$8:$K$991,6,FALSE)/2,0))</f>
        <v>1500</v>
      </c>
      <c r="S149" s="30">
        <f t="shared" ref="S149:S152" si="235">R149*DAY($C149)*86400/43560/1000</f>
        <v>89.256198347107429</v>
      </c>
      <c r="T149" s="30">
        <f t="shared" ref="T149:T152" si="236">(O149+Q149)/2+S149</f>
        <v>102.80622648759321</v>
      </c>
      <c r="U149" s="30" t="str">
        <f>IF(VLOOKUP($C149,COS!$B$8:$I$991,8,FALSE)=1,"UWFE","IBU")</f>
        <v>UWFE</v>
      </c>
      <c r="V149" s="30">
        <f t="shared" ref="V149" si="237">MIN(IF(IF($AA$3=2,AND(E149=1,G149=1,L149=1,L154=1,M149=1,U149="IBU"),AND(E149=1,G149=1,L149=1,L154=1,M149=1)),T149,0),I149)</f>
        <v>0</v>
      </c>
      <c r="W149" s="30"/>
      <c r="X149" s="30"/>
      <c r="Y149" s="30"/>
      <c r="Z149" s="30"/>
      <c r="AA149" s="30"/>
      <c r="AB149" s="31"/>
    </row>
    <row r="150" spans="1:28" x14ac:dyDescent="0.3">
      <c r="A150" s="32">
        <f>VLOOKUP(YEAR(C150),Flags!$A$13:$B$95,2,FALSE)</f>
        <v>4</v>
      </c>
      <c r="B150" s="24">
        <f t="shared" si="225"/>
        <v>1937</v>
      </c>
      <c r="C150" s="25">
        <v>13666</v>
      </c>
      <c r="D150" s="26">
        <f>VLOOKUP($C150,COS!$B$8:$H$991,3,FALSE)</f>
        <v>5043.80322265625</v>
      </c>
      <c r="E150" s="24">
        <f>IF(D150&gt;=IF(MONTH($C150)=4,$C$3,IF(MONTH($C150)=5,$C$4,IF(MONTH($C150)=6,$C$5,IF(MONTH($C150)=7,$C$6,"ERROR")))),1,0)</f>
        <v>0</v>
      </c>
      <c r="F150" s="26">
        <f>VLOOKUP($C150,COS!$B$8:$H$991,7,FALSE)</f>
        <v>52.362800598144531</v>
      </c>
      <c r="G150" s="24">
        <f>IF(F150&lt;=IF(MONTH($C150)=4,$F$3,IF(MONTH($C150)=5,$F$4,IF(MONTH($C150)=6,$F$5,IF(MONTH($C150)=7,$F$6,"ERROR")))),1,0)</f>
        <v>1</v>
      </c>
      <c r="H150" s="26">
        <f>IF(J150=1,D150-$C$4,0)</f>
        <v>0</v>
      </c>
      <c r="I150" s="26">
        <f t="shared" si="136"/>
        <v>0</v>
      </c>
      <c r="J150" s="24">
        <f t="shared" si="230"/>
        <v>0</v>
      </c>
      <c r="K150" s="26">
        <f>VLOOKUP($C150,COS!$B$8:$H$991,2,FALSE)</f>
        <v>4246.3125</v>
      </c>
      <c r="L150" s="24">
        <f t="shared" si="231"/>
        <v>1</v>
      </c>
      <c r="M150" s="24">
        <f t="shared" si="232"/>
        <v>1</v>
      </c>
      <c r="N150" s="26">
        <f>VLOOKUP($C150,COS!$B$8:$H$991,5,FALSE)</f>
        <v>298.0838623046875</v>
      </c>
      <c r="O150" s="26">
        <f t="shared" si="233"/>
        <v>18.328462277246903</v>
      </c>
      <c r="P150" s="26">
        <f>VLOOKUP($C150,COS!$B$8:$H$991,6,FALSE)</f>
        <v>2283.91845703125</v>
      </c>
      <c r="Q150" s="26">
        <f t="shared" si="234"/>
        <v>140.43267206869837</v>
      </c>
      <c r="R150" s="26">
        <f>MIN(IF(MONTH($C150)=4,$S$3,IF(MONTH($C150)=5,$S$4,IF(MONTH($C150)=6,$S$5,IF(MONTH($C150)=7,$S$6,"ERROR")))),MAX(VLOOKUP($C150,COS!$B$8:$K$991,10,FALSE)-IF(MONTH($C150)=4,$Y$3,IF(MONTH($C150)=5,$Y$4,IF(MONTH($C150)=6,$Y$5,IF(MONTH($C150)=7,$Y$6,"ERROR")))),0),MAX(VLOOKUP($C150,COS!$B$8:$K$991,9,FALSE)-IF(MONTH($C150)=4,$V$3,IF(MONTH($C150)=5,$V$4,IF(MONTH($C150)=6,$V$5,IF(MONTH($C150)=7,$V$6,"ERROR"))))-VLOOKUP($C150,COS!$B$8:$K$991,6,FALSE)/2,0))</f>
        <v>1500</v>
      </c>
      <c r="S150" s="26">
        <f t="shared" si="235"/>
        <v>92.231404958677686</v>
      </c>
      <c r="T150" s="26">
        <f t="shared" si="236"/>
        <v>171.6119721316503</v>
      </c>
      <c r="U150" s="26" t="str">
        <f>IF(VLOOKUP($C150,COS!$B$8:$I$991,8,FALSE)=1,"UWFE","IBU")</f>
        <v>UWFE</v>
      </c>
      <c r="V150" s="26">
        <f t="shared" ref="V150" si="238">MIN(IF(IF($AA$3=2,AND(E150=1,G150=1,L150=1,L154=1,M150=1,U150="IBU"),AND(E150=1,G150=1,L150=1,L154=1,M150=1)),T150,0),I150)</f>
        <v>0</v>
      </c>
      <c r="W150" s="26"/>
      <c r="X150" s="26"/>
      <c r="Y150" s="26"/>
      <c r="Z150" s="26"/>
      <c r="AA150" s="26"/>
      <c r="AB150" s="33"/>
    </row>
    <row r="151" spans="1:28" x14ac:dyDescent="0.3">
      <c r="A151" s="32">
        <f>VLOOKUP(YEAR(C151),Flags!$A$13:$B$95,2,FALSE)</f>
        <v>4</v>
      </c>
      <c r="B151" s="24">
        <f t="shared" si="225"/>
        <v>1937</v>
      </c>
      <c r="C151" s="25">
        <v>13696</v>
      </c>
      <c r="D151" s="26">
        <f>VLOOKUP($C151,COS!$B$8:$H$991,3,FALSE)</f>
        <v>7479.65771484375</v>
      </c>
      <c r="E151" s="24">
        <f>IF(D151&gt;=IF(MONTH($C151)=4,$C$3,IF(MONTH($C151)=5,$C$4,IF(MONTH($C151)=6,$C$5,IF(MONTH($C151)=7,$C$6,"ERROR")))),1,0)</f>
        <v>0</v>
      </c>
      <c r="F151" s="26">
        <f>VLOOKUP($C151,COS!$B$8:$H$991,7,FALSE)</f>
        <v>52.658245086669922</v>
      </c>
      <c r="G151" s="24">
        <f>IF(F151&lt;=IF(MONTH($C151)=4,$F$3,IF(MONTH($C151)=5,$F$4,IF(MONTH($C151)=6,$F$5,IF(MONTH($C151)=7,$F$6,"ERROR")))),1,0)</f>
        <v>1</v>
      </c>
      <c r="H151" s="26">
        <f>IF(J151=1,D151-$C$5,0)</f>
        <v>0</v>
      </c>
      <c r="I151" s="26">
        <f t="shared" ref="I151:I214" si="239">H151*DAY($C151)*86400/43560/1000</f>
        <v>0</v>
      </c>
      <c r="J151" s="24">
        <f t="shared" si="230"/>
        <v>0</v>
      </c>
      <c r="K151" s="26">
        <f>VLOOKUP($C151,COS!$B$8:$H$991,2,FALSE)</f>
        <v>4074.04931640625</v>
      </c>
      <c r="L151" s="24">
        <f t="shared" si="231"/>
        <v>1</v>
      </c>
      <c r="M151" s="24">
        <f t="shared" si="232"/>
        <v>1</v>
      </c>
      <c r="N151" s="26">
        <f>VLOOKUP($C151,COS!$B$8:$H$991,5,FALSE)</f>
        <v>523.22735595703125</v>
      </c>
      <c r="O151" s="26">
        <f t="shared" si="233"/>
        <v>31.13418977595558</v>
      </c>
      <c r="P151" s="26">
        <f>VLOOKUP($C151,COS!$B$8:$H$991,6,FALSE)</f>
        <v>2560.548095703125</v>
      </c>
      <c r="Q151" s="26">
        <f t="shared" si="234"/>
        <v>152.36319247159091</v>
      </c>
      <c r="R151" s="26">
        <f>MIN(IF(MONTH($C151)=4,$S$3,IF(MONTH($C151)=5,$S$4,IF(MONTH($C151)=6,$S$5,IF(MONTH($C151)=7,$S$6,"ERROR")))),MAX(VLOOKUP($C151,COS!$B$8:$K$991,10,FALSE)-IF(MONTH($C151)=4,$Y$3,IF(MONTH($C151)=5,$Y$4,IF(MONTH($C151)=6,$Y$5,IF(MONTH($C151)=7,$Y$6,"ERROR")))),0),MAX(VLOOKUP($C151,COS!$B$8:$K$991,9,FALSE)-IF(MONTH($C151)=4,$V$3,IF(MONTH($C151)=5,$V$4,IF(MONTH($C151)=6,$V$5,IF(MONTH($C151)=7,$V$6,"ERROR"))))-VLOOKUP($C151,COS!$B$8:$K$991,6,FALSE)/2,0))</f>
        <v>1500</v>
      </c>
      <c r="S151" s="26">
        <f t="shared" si="235"/>
        <v>89.256198347107429</v>
      </c>
      <c r="T151" s="26">
        <f t="shared" si="236"/>
        <v>181.00488947088067</v>
      </c>
      <c r="U151" s="26" t="str">
        <f>IF(VLOOKUP($C151,COS!$B$8:$I$991,8,FALSE)=1,"UWFE","IBU")</f>
        <v>IBU</v>
      </c>
      <c r="V151" s="26">
        <f t="shared" ref="V151" si="240">MIN(IF(IF($AA$3=2,AND(E151=1,G151=1,L151=1,L154=1,M151=1,U151="IBU"),AND(E151=1,G151=1,L151=1,L154=1,M151=1)),T151,0),I151)</f>
        <v>0</v>
      </c>
      <c r="W151" s="26"/>
      <c r="X151" s="26"/>
      <c r="Y151" s="26"/>
      <c r="Z151" s="26"/>
      <c r="AA151" s="26"/>
      <c r="AB151" s="33"/>
    </row>
    <row r="152" spans="1:28" x14ac:dyDescent="0.3">
      <c r="A152" s="32">
        <f>VLOOKUP(YEAR(C152),Flags!$A$13:$B$95,2,FALSE)</f>
        <v>4</v>
      </c>
      <c r="B152" s="24">
        <f t="shared" si="225"/>
        <v>1937</v>
      </c>
      <c r="C152" s="25">
        <v>13727</v>
      </c>
      <c r="D152" s="26">
        <f>VLOOKUP($C152,COS!$B$8:$H$991,3,FALSE)</f>
        <v>10615.4677734375</v>
      </c>
      <c r="E152" s="24">
        <f>IF(D152&gt;=IF(MONTH($C152)=4,$C$3,IF(MONTH($C152)=5,$C$4,IF(MONTH($C152)=6,$C$5,IF(MONTH($C152)=7,$C$6,"ERROR")))),1,0)</f>
        <v>0</v>
      </c>
      <c r="F152" s="26">
        <f>VLOOKUP($C152,COS!$B$8:$H$991,7,FALSE)</f>
        <v>52.404350280761719</v>
      </c>
      <c r="G152" s="24">
        <f>IF(F152&lt;=IF(MONTH($C152)=4,$F$3,IF(MONTH($C152)=5,$F$4,IF(MONTH($C152)=6,$F$5,IF(MONTH($C152)=7,$F$6,"ERROR")))),1,0)</f>
        <v>1</v>
      </c>
      <c r="H152" s="26">
        <f>IF(J152=1,D152-$C$6,0)</f>
        <v>0</v>
      </c>
      <c r="I152" s="26">
        <f t="shared" si="239"/>
        <v>0</v>
      </c>
      <c r="J152" s="24">
        <f t="shared" si="230"/>
        <v>0</v>
      </c>
      <c r="K152" s="26">
        <f>VLOOKUP($C152,COS!$B$8:$H$991,2,FALSE)</f>
        <v>3583.887451171875</v>
      </c>
      <c r="L152" s="24">
        <f t="shared" si="231"/>
        <v>1</v>
      </c>
      <c r="M152" s="24">
        <f t="shared" si="232"/>
        <v>1</v>
      </c>
      <c r="N152" s="26">
        <f>VLOOKUP($C152,COS!$B$8:$H$991,5,FALSE)</f>
        <v>624.25457763671875</v>
      </c>
      <c r="O152" s="26">
        <f t="shared" si="233"/>
        <v>38.383917831547002</v>
      </c>
      <c r="P152" s="26">
        <f>VLOOKUP($C152,COS!$B$8:$H$991,6,FALSE)</f>
        <v>2537.385498046875</v>
      </c>
      <c r="Q152" s="26">
        <f t="shared" si="234"/>
        <v>156.01775293775825</v>
      </c>
      <c r="R152" s="26">
        <f>MIN(IF(MONTH($C152)=4,$S$3,IF(MONTH($C152)=5,$S$4,IF(MONTH($C152)=6,$S$5,IF(MONTH($C152)=7,$S$6,"ERROR")))),MAX(VLOOKUP($C152,COS!$B$8:$K$991,10,FALSE)-IF(MONTH($C152)=4,$Y$3,IF(MONTH($C152)=5,$Y$4,IF(MONTH($C152)=6,$Y$5,IF(MONTH($C152)=7,$Y$6,"ERROR")))),0),MAX(VLOOKUP($C152,COS!$B$8:$K$991,9,FALSE)-IF(MONTH($C152)=4,$V$3,IF(MONTH($C152)=5,$V$4,IF(MONTH($C152)=6,$V$5,IF(MONTH($C152)=7,$V$6,"ERROR"))))-VLOOKUP($C152,COS!$B$8:$K$991,6,FALSE)/2,0))</f>
        <v>1500</v>
      </c>
      <c r="S152" s="26">
        <f t="shared" si="235"/>
        <v>92.231404958677686</v>
      </c>
      <c r="T152" s="26">
        <f t="shared" si="236"/>
        <v>189.43224034333031</v>
      </c>
      <c r="U152" s="26" t="str">
        <f>IF(VLOOKUP($C152,COS!$B$8:$I$991,8,FALSE)=1,"UWFE","IBU")</f>
        <v>IBU</v>
      </c>
      <c r="V152" s="26">
        <f t="shared" ref="V152" si="241">MIN(IF(IF($AA$3=2,AND(E152=1,G152=1,L152=1,L154=1,M152=1,U152="IBU"),AND(E152=1,G152=1,L152=1,L154=1,M152=1)),T152,0),I152)</f>
        <v>0</v>
      </c>
      <c r="W152" s="26"/>
      <c r="X152" s="26"/>
      <c r="Y152" s="26"/>
      <c r="Z152" s="26"/>
      <c r="AA152" s="26"/>
      <c r="AB152" s="33"/>
    </row>
    <row r="153" spans="1:28" x14ac:dyDescent="0.3">
      <c r="A153" s="32">
        <f>VLOOKUP(YEAR(C153),Flags!$A$13:$B$95,2,FALSE)</f>
        <v>4</v>
      </c>
      <c r="B153" s="24">
        <f t="shared" si="225"/>
        <v>1937</v>
      </c>
      <c r="C153" s="25">
        <v>13758</v>
      </c>
      <c r="D153" s="26"/>
      <c r="E153" s="24"/>
      <c r="F153" s="26"/>
      <c r="G153" s="24"/>
      <c r="H153" s="24"/>
      <c r="I153" s="26"/>
      <c r="J153" s="24"/>
      <c r="K153" s="26"/>
      <c r="L153" s="24"/>
      <c r="M153" s="24"/>
      <c r="N153" s="26"/>
      <c r="O153" s="26"/>
      <c r="P153" s="26"/>
      <c r="Q153" s="26"/>
      <c r="R153" s="26"/>
      <c r="S153" s="26"/>
      <c r="T153" s="26"/>
      <c r="U153" s="26"/>
      <c r="V153" s="26"/>
      <c r="W153" s="26">
        <f>MAX($C$7-VLOOKUP($C153,COS!$B$8:$H$991,3,FALSE),0)</f>
        <v>90408.666015625</v>
      </c>
      <c r="X153" s="26">
        <f t="shared" si="143"/>
        <v>5559.0121913739667</v>
      </c>
      <c r="Y153" s="26">
        <f>VLOOKUP($C153,COS!$B$8:$H$991,4,FALSE)</f>
        <v>565.9937744140625</v>
      </c>
      <c r="Z153" s="26">
        <f t="shared" si="144"/>
        <v>34.801600674715914</v>
      </c>
      <c r="AA153" s="26">
        <f t="shared" ref="AA153:AA157" si="242">MIN(W153,Y153)</f>
        <v>565.9937744140625</v>
      </c>
      <c r="AB153" s="33">
        <f t="shared" ref="AB153:AB211" si="243">AA153*DAY($C153)*86400/43560/1000*IF(MONTH($C153)=8,$P$3,IF(MONTH($C153)=9,$P$4,IF(MONTH($C153)=10,$P$5,IF(MONTH($C153)=11,$P$6,IF(MONTH($C153)=12,$P$7,NA())))))</f>
        <v>34.801600674715914</v>
      </c>
    </row>
    <row r="154" spans="1:28" x14ac:dyDescent="0.3">
      <c r="A154" s="32">
        <f>VLOOKUP(YEAR(C154),Flags!$A$13:$B$95,2,FALSE)</f>
        <v>4</v>
      </c>
      <c r="B154" s="24">
        <f t="shared" si="225"/>
        <v>1937</v>
      </c>
      <c r="C154" s="25">
        <v>13788</v>
      </c>
      <c r="D154" s="26"/>
      <c r="E154" s="24"/>
      <c r="F154" s="26"/>
      <c r="G154" s="24"/>
      <c r="H154" s="24"/>
      <c r="I154" s="26"/>
      <c r="J154" s="24"/>
      <c r="K154" s="26">
        <f>VLOOKUP($C154,COS!$B$8:$H$991,2,FALSE)</f>
        <v>3016.538330078125</v>
      </c>
      <c r="L154" s="24">
        <f t="shared" ref="L154" si="244">IF(AND(K154&gt;$I$7,K154&lt;$I$8),1,0)</f>
        <v>1</v>
      </c>
      <c r="M154" s="24"/>
      <c r="N154" s="26"/>
      <c r="O154" s="26"/>
      <c r="P154" s="26"/>
      <c r="Q154" s="26"/>
      <c r="R154" s="26"/>
      <c r="S154" s="26"/>
      <c r="T154" s="26"/>
      <c r="U154" s="26"/>
      <c r="V154" s="26"/>
      <c r="W154" s="26">
        <f>MAX($C$8-VLOOKUP($C154,COS!$B$8:$H$991,3,FALSE),0)</f>
        <v>94463.15234375</v>
      </c>
      <c r="X154" s="26">
        <f t="shared" si="143"/>
        <v>5620.9479080578512</v>
      </c>
      <c r="Y154" s="26">
        <f>VLOOKUP($C154,COS!$B$8:$H$991,4,FALSE)</f>
        <v>479.2886962890625</v>
      </c>
      <c r="Z154" s="26">
        <f t="shared" si="144"/>
        <v>28.519657961002068</v>
      </c>
      <c r="AA154" s="26">
        <f t="shared" si="242"/>
        <v>479.2886962890625</v>
      </c>
      <c r="AB154" s="33">
        <f t="shared" si="243"/>
        <v>28.519657961002068</v>
      </c>
    </row>
    <row r="155" spans="1:28" x14ac:dyDescent="0.3">
      <c r="A155" s="32">
        <f>VLOOKUP(YEAR(C155),Flags!$A$13:$B$95,2,FALSE)</f>
        <v>4</v>
      </c>
      <c r="B155" s="24">
        <f t="shared" si="225"/>
        <v>1937</v>
      </c>
      <c r="C155" s="25">
        <v>13819</v>
      </c>
      <c r="D155" s="26"/>
      <c r="E155" s="24"/>
      <c r="F155" s="26"/>
      <c r="G155" s="26"/>
      <c r="H155" s="26"/>
      <c r="I155" s="26"/>
      <c r="J155" s="26"/>
      <c r="K155" s="26"/>
      <c r="L155" s="24"/>
      <c r="M155" s="24"/>
      <c r="N155" s="26"/>
      <c r="O155" s="26"/>
      <c r="P155" s="26"/>
      <c r="Q155" s="26"/>
      <c r="R155" s="26"/>
      <c r="S155" s="26"/>
      <c r="T155" s="26"/>
      <c r="U155" s="26"/>
      <c r="V155" s="26"/>
      <c r="W155" s="26">
        <f>MAX($C$9-VLOOKUP($C155,COS!$B$8:$H$991,3,FALSE),0)</f>
        <v>95507.43994140625</v>
      </c>
      <c r="X155" s="26">
        <f t="shared" ref="X155:X218" si="245">W155*DAY($C155)*86400/43560/1000</f>
        <v>5872.5235798682852</v>
      </c>
      <c r="Y155" s="26">
        <f>VLOOKUP($C155,COS!$B$8:$H$991,4,FALSE)</f>
        <v>673.72100830078125</v>
      </c>
      <c r="Z155" s="26">
        <f t="shared" ref="Z155:Z218" si="246">Y155*DAY($C155)*86400/43560/1000</f>
        <v>41.425490097172002</v>
      </c>
      <c r="AA155" s="26">
        <f t="shared" si="242"/>
        <v>673.72100830078125</v>
      </c>
      <c r="AB155" s="33">
        <f t="shared" si="243"/>
        <v>41.425490097172002</v>
      </c>
    </row>
    <row r="156" spans="1:28" x14ac:dyDescent="0.3">
      <c r="A156" s="32">
        <f>VLOOKUP(YEAR(C156),Flags!$A$13:$B$95,2,FALSE)</f>
        <v>4</v>
      </c>
      <c r="B156" s="24">
        <f t="shared" si="225"/>
        <v>1937</v>
      </c>
      <c r="C156" s="25">
        <v>13849</v>
      </c>
      <c r="D156" s="26"/>
      <c r="E156" s="24"/>
      <c r="F156" s="26"/>
      <c r="G156" s="26"/>
      <c r="H156" s="26"/>
      <c r="I156" s="26"/>
      <c r="J156" s="26"/>
      <c r="K156" s="26"/>
      <c r="L156" s="24"/>
      <c r="M156" s="24"/>
      <c r="N156" s="26"/>
      <c r="O156" s="26"/>
      <c r="P156" s="26"/>
      <c r="Q156" s="26"/>
      <c r="R156" s="26"/>
      <c r="S156" s="26"/>
      <c r="T156" s="26"/>
      <c r="U156" s="26"/>
      <c r="V156" s="26"/>
      <c r="W156" s="26">
        <f>MAX($C$10-VLOOKUP($C156,COS!$B$8:$H$991,3,FALSE),0)</f>
        <v>91785.7744140625</v>
      </c>
      <c r="X156" s="26">
        <f t="shared" si="245"/>
        <v>5461.6328576962806</v>
      </c>
      <c r="Y156" s="26">
        <f>VLOOKUP($C156,COS!$B$8:$H$991,4,FALSE)</f>
        <v>0</v>
      </c>
      <c r="Z156" s="26">
        <f t="shared" si="246"/>
        <v>0</v>
      </c>
      <c r="AA156" s="26">
        <f t="shared" si="242"/>
        <v>0</v>
      </c>
      <c r="AB156" s="33">
        <f t="shared" si="243"/>
        <v>0</v>
      </c>
    </row>
    <row r="157" spans="1:28" x14ac:dyDescent="0.3">
      <c r="A157" s="34">
        <f>VLOOKUP(YEAR(C157),Flags!$A$13:$B$95,2,FALSE)</f>
        <v>4</v>
      </c>
      <c r="B157" s="35">
        <f t="shared" si="225"/>
        <v>1937</v>
      </c>
      <c r="C157" s="36">
        <v>13880</v>
      </c>
      <c r="D157" s="37"/>
      <c r="E157" s="35"/>
      <c r="F157" s="37"/>
      <c r="G157" s="37"/>
      <c r="H157" s="37"/>
      <c r="I157" s="37"/>
      <c r="J157" s="37"/>
      <c r="K157" s="37"/>
      <c r="L157" s="35"/>
      <c r="M157" s="35"/>
      <c r="N157" s="37"/>
      <c r="O157" s="37"/>
      <c r="P157" s="37"/>
      <c r="Q157" s="37"/>
      <c r="R157" s="37"/>
      <c r="S157" s="37"/>
      <c r="T157" s="37"/>
      <c r="U157" s="37"/>
      <c r="V157" s="37"/>
      <c r="W157" s="37">
        <f>MAX($C$11-VLOOKUP($C157,COS!$B$8:$H$991,3,FALSE),0)</f>
        <v>0</v>
      </c>
      <c r="X157" s="37">
        <f t="shared" si="245"/>
        <v>0</v>
      </c>
      <c r="Y157" s="37">
        <f>VLOOKUP($C157,COS!$B$8:$H$991,4,FALSE)</f>
        <v>0</v>
      </c>
      <c r="Z157" s="37">
        <f t="shared" si="246"/>
        <v>0</v>
      </c>
      <c r="AA157" s="37">
        <f t="shared" si="242"/>
        <v>0</v>
      </c>
      <c r="AB157" s="38">
        <f t="shared" si="243"/>
        <v>0</v>
      </c>
    </row>
    <row r="158" spans="1:28" x14ac:dyDescent="0.3">
      <c r="A158" s="27">
        <f>VLOOKUP(YEAR(C158),Flags!$A$13:$B$95,2,FALSE)</f>
        <v>1</v>
      </c>
      <c r="B158" s="28">
        <f t="shared" si="225"/>
        <v>1938</v>
      </c>
      <c r="C158" s="29">
        <v>14000</v>
      </c>
      <c r="D158" s="30">
        <f>VLOOKUP($C158,COS!$B$8:$H$991,3,FALSE)</f>
        <v>11215.0048828125</v>
      </c>
      <c r="E158" s="28">
        <f>IF(D158&gt;=IF(MONTH($C158)=4,$C$3,IF(MONTH($C158)=5,$C$4,IF(MONTH($C158)=6,$C$5,IF(MONTH($C158)=7,$C$6,"ERROR")))),1,0)</f>
        <v>1</v>
      </c>
      <c r="F158" s="30">
        <f>VLOOKUP($C158,COS!$B$8:$H$991,7,FALSE)</f>
        <v>47.354358673095703</v>
      </c>
      <c r="G158" s="28">
        <f>IF(F158&lt;=IF(MONTH($C158)=4,$F$3,IF(MONTH($C158)=5,$F$4,IF(MONTH($C158)=6,$F$5,IF(MONTH($C158)=7,$F$6,"ERROR")))),1,0)</f>
        <v>1</v>
      </c>
      <c r="H158" s="30">
        <f>IF(J158=1,D158-$C$3,0)</f>
        <v>5215.0048828125</v>
      </c>
      <c r="I158" s="30">
        <f t="shared" si="239"/>
        <v>310.31434013429748</v>
      </c>
      <c r="J158" s="28">
        <f t="shared" ref="J158:J161" si="247">IF(AND(E158=1,G158=1),1,0)</f>
        <v>1</v>
      </c>
      <c r="K158" s="30">
        <f>VLOOKUP($C158,COS!$B$8:$H$991,2,FALSE)</f>
        <v>4058</v>
      </c>
      <c r="L158" s="28">
        <f t="shared" ref="L158" si="248">IF(K158&lt;=IF(MONTH($C158)=4,$I$3,IF(MONTH($C158)=5,$I$4,IF(MONTH($C158)=6,$I$5,IF(MONTH($C158)=7,$I$6,"ERROR")))),1,0)</f>
        <v>1</v>
      </c>
      <c r="M158" s="28">
        <f t="shared" ref="M158" si="249">VLOOKUP($A158,$L$3:$M$7,2,FALSE)</f>
        <v>0</v>
      </c>
      <c r="N158" s="30">
        <f>VLOOKUP($C158,COS!$B$8:$H$991,5,FALSE)</f>
        <v>40.17889404296875</v>
      </c>
      <c r="O158" s="30">
        <f t="shared" ref="O158:O161" si="250">N158*DAY($C158)*86400/43560/1000</f>
        <v>2.3908102240444213</v>
      </c>
      <c r="P158" s="30">
        <f>VLOOKUP($C158,COS!$B$8:$H$991,6,FALSE)</f>
        <v>377.05276489257813</v>
      </c>
      <c r="Q158" s="30">
        <f t="shared" ref="Q158:Q161" si="251">P158*DAY($C158)*86400/43560/1000</f>
        <v>22.436197580384814</v>
      </c>
      <c r="R158" s="30">
        <f>MIN(IF(MONTH($C158)=4,$S$3,IF(MONTH($C158)=5,$S$4,IF(MONTH($C158)=6,$S$5,IF(MONTH($C158)=7,$S$6,"ERROR")))),MAX(VLOOKUP($C158,COS!$B$8:$K$991,10,FALSE)-IF(MONTH($C158)=4,$Y$3,IF(MONTH($C158)=5,$Y$4,IF(MONTH($C158)=6,$Y$5,IF(MONTH($C158)=7,$Y$6,"ERROR")))),0),MAX(VLOOKUP($C158,COS!$B$8:$K$991,9,FALSE)-IF(MONTH($C158)=4,$V$3,IF(MONTH($C158)=5,$V$4,IF(MONTH($C158)=6,$V$5,IF(MONTH($C158)=7,$V$6,"ERROR"))))-VLOOKUP($C158,COS!$B$8:$K$991,6,FALSE)/2,0))</f>
        <v>1500</v>
      </c>
      <c r="S158" s="30">
        <f t="shared" ref="S158:S161" si="252">R158*DAY($C158)*86400/43560/1000</f>
        <v>89.256198347107429</v>
      </c>
      <c r="T158" s="30">
        <f t="shared" ref="T158:T161" si="253">(O158+Q158)/2+S158</f>
        <v>101.66970224932204</v>
      </c>
      <c r="U158" s="30" t="str">
        <f>IF(VLOOKUP($C158,COS!$B$8:$I$991,8,FALSE)=1,"UWFE","IBU")</f>
        <v>UWFE</v>
      </c>
      <c r="V158" s="30">
        <f t="shared" ref="V158" si="254">MIN(IF(IF($AA$3=2,AND(E158=1,G158=1,L158=1,L163=1,M158=1,U158="IBU"),AND(E158=1,G158=1,L158=1,L163=1,M158=1)),T158,0),I158)</f>
        <v>0</v>
      </c>
      <c r="W158" s="30"/>
      <c r="X158" s="30"/>
      <c r="Y158" s="30"/>
      <c r="Z158" s="30"/>
      <c r="AA158" s="30"/>
      <c r="AB158" s="31"/>
    </row>
    <row r="159" spans="1:28" x14ac:dyDescent="0.3">
      <c r="A159" s="32">
        <f>VLOOKUP(YEAR(C159),Flags!$A$13:$B$95,2,FALSE)</f>
        <v>1</v>
      </c>
      <c r="B159" s="24">
        <f t="shared" si="225"/>
        <v>1938</v>
      </c>
      <c r="C159" s="25">
        <v>14031</v>
      </c>
      <c r="D159" s="26">
        <f>VLOOKUP($C159,COS!$B$8:$H$991,3,FALSE)</f>
        <v>8562.095703125</v>
      </c>
      <c r="E159" s="24">
        <f>IF(D159&gt;=IF(MONTH($C159)=4,$C$3,IF(MONTH($C159)=5,$C$4,IF(MONTH($C159)=6,$C$5,IF(MONTH($C159)=7,$C$6,"ERROR")))),1,0)</f>
        <v>1</v>
      </c>
      <c r="F159" s="26">
        <f>VLOOKUP($C159,COS!$B$8:$H$991,7,FALSE)</f>
        <v>50.241443634033203</v>
      </c>
      <c r="G159" s="24">
        <f>IF(F159&lt;=IF(MONTH($C159)=4,$F$3,IF(MONTH($C159)=5,$F$4,IF(MONTH($C159)=6,$F$5,IF(MONTH($C159)=7,$F$6,"ERROR")))),1,0)</f>
        <v>1</v>
      </c>
      <c r="H159" s="26">
        <f>IF(J159=1,D159-$C$4,0)</f>
        <v>2562.095703125</v>
      </c>
      <c r="I159" s="26">
        <f t="shared" si="239"/>
        <v>157.53712422520661</v>
      </c>
      <c r="J159" s="24">
        <f t="shared" si="247"/>
        <v>1</v>
      </c>
      <c r="K159" s="26">
        <f>VLOOKUP($C159,COS!$B$8:$H$991,2,FALSE)</f>
        <v>4488.45849609375</v>
      </c>
      <c r="L159" s="24">
        <f t="shared" si="231"/>
        <v>1</v>
      </c>
      <c r="M159" s="24">
        <f t="shared" si="232"/>
        <v>0</v>
      </c>
      <c r="N159" s="26">
        <f>VLOOKUP($C159,COS!$B$8:$H$991,5,FALSE)</f>
        <v>664.77288818359375</v>
      </c>
      <c r="O159" s="26">
        <f t="shared" si="250"/>
        <v>40.875291637073857</v>
      </c>
      <c r="P159" s="26">
        <f>VLOOKUP($C159,COS!$B$8:$H$991,6,FALSE)</f>
        <v>2143.932373046875</v>
      </c>
      <c r="Q159" s="26">
        <f t="shared" si="251"/>
        <v>131.82526326833678</v>
      </c>
      <c r="R159" s="26">
        <f>MIN(IF(MONTH($C159)=4,$S$3,IF(MONTH($C159)=5,$S$4,IF(MONTH($C159)=6,$S$5,IF(MONTH($C159)=7,$S$6,"ERROR")))),MAX(VLOOKUP($C159,COS!$B$8:$K$991,10,FALSE)-IF(MONTH($C159)=4,$Y$3,IF(MONTH($C159)=5,$Y$4,IF(MONTH($C159)=6,$Y$5,IF(MONTH($C159)=7,$Y$6,"ERROR")))),0),MAX(VLOOKUP($C159,COS!$B$8:$K$991,9,FALSE)-IF(MONTH($C159)=4,$V$3,IF(MONTH($C159)=5,$V$4,IF(MONTH($C159)=6,$V$5,IF(MONTH($C159)=7,$V$6,"ERROR"))))-VLOOKUP($C159,COS!$B$8:$K$991,6,FALSE)/2,0))</f>
        <v>1500</v>
      </c>
      <c r="S159" s="26">
        <f t="shared" si="252"/>
        <v>92.231404958677686</v>
      </c>
      <c r="T159" s="26">
        <f t="shared" si="253"/>
        <v>178.58168241138299</v>
      </c>
      <c r="U159" s="26" t="str">
        <f>IF(VLOOKUP($C159,COS!$B$8:$I$991,8,FALSE)=1,"UWFE","IBU")</f>
        <v>UWFE</v>
      </c>
      <c r="V159" s="26">
        <f t="shared" ref="V159" si="255">MIN(IF(IF($AA$3=2,AND(E159=1,G159=1,L159=1,L163=1,M159=1,U159="IBU"),AND(E159=1,G159=1,L159=1,L163=1,M159=1)),T159,0),I159)</f>
        <v>0</v>
      </c>
      <c r="W159" s="26"/>
      <c r="X159" s="26"/>
      <c r="Y159" s="26"/>
      <c r="Z159" s="26"/>
      <c r="AA159" s="26"/>
      <c r="AB159" s="33"/>
    </row>
    <row r="160" spans="1:28" x14ac:dyDescent="0.3">
      <c r="A160" s="32">
        <f>VLOOKUP(YEAR(C160),Flags!$A$13:$B$95,2,FALSE)</f>
        <v>1</v>
      </c>
      <c r="B160" s="24">
        <f t="shared" si="225"/>
        <v>1938</v>
      </c>
      <c r="C160" s="25">
        <v>14061</v>
      </c>
      <c r="D160" s="26">
        <f>VLOOKUP($C160,COS!$B$8:$H$991,3,FALSE)</f>
        <v>7901.6748046875</v>
      </c>
      <c r="E160" s="24">
        <f>IF(D160&gt;=IF(MONTH($C160)=4,$C$3,IF(MONTH($C160)=5,$C$4,IF(MONTH($C160)=6,$C$5,IF(MONTH($C160)=7,$C$6,"ERROR")))),1,0)</f>
        <v>0</v>
      </c>
      <c r="F160" s="26">
        <f>VLOOKUP($C160,COS!$B$8:$H$991,7,FALSE)</f>
        <v>52.2984619140625</v>
      </c>
      <c r="G160" s="24">
        <f>IF(F160&lt;=IF(MONTH($C160)=4,$F$3,IF(MONTH($C160)=5,$F$4,IF(MONTH($C160)=6,$F$5,IF(MONTH($C160)=7,$F$6,"ERROR")))),1,0)</f>
        <v>1</v>
      </c>
      <c r="H160" s="26">
        <f>IF(J160=1,D160-$C$5,0)</f>
        <v>0</v>
      </c>
      <c r="I160" s="26">
        <f t="shared" si="239"/>
        <v>0</v>
      </c>
      <c r="J160" s="24">
        <f t="shared" si="247"/>
        <v>0</v>
      </c>
      <c r="K160" s="26">
        <f>VLOOKUP($C160,COS!$B$8:$H$991,2,FALSE)</f>
        <v>4435.94384765625</v>
      </c>
      <c r="L160" s="24">
        <f t="shared" si="231"/>
        <v>1</v>
      </c>
      <c r="M160" s="24">
        <f t="shared" si="232"/>
        <v>0</v>
      </c>
      <c r="N160" s="26">
        <f>VLOOKUP($C160,COS!$B$8:$H$991,5,FALSE)</f>
        <v>1236.6031494140625</v>
      </c>
      <c r="O160" s="26">
        <f t="shared" si="250"/>
        <v>73.582997320506195</v>
      </c>
      <c r="P160" s="26">
        <f>VLOOKUP($C160,COS!$B$8:$H$991,6,FALSE)</f>
        <v>2276.98291015625</v>
      </c>
      <c r="Q160" s="26">
        <f t="shared" si="251"/>
        <v>135.48989217458677</v>
      </c>
      <c r="R160" s="26">
        <f>MIN(IF(MONTH($C160)=4,$S$3,IF(MONTH($C160)=5,$S$4,IF(MONTH($C160)=6,$S$5,IF(MONTH($C160)=7,$S$6,"ERROR")))),MAX(VLOOKUP($C160,COS!$B$8:$K$991,10,FALSE)-IF(MONTH($C160)=4,$Y$3,IF(MONTH($C160)=5,$Y$4,IF(MONTH($C160)=6,$Y$5,IF(MONTH($C160)=7,$Y$6,"ERROR")))),0),MAX(VLOOKUP($C160,COS!$B$8:$K$991,9,FALSE)-IF(MONTH($C160)=4,$V$3,IF(MONTH($C160)=5,$V$4,IF(MONTH($C160)=6,$V$5,IF(MONTH($C160)=7,$V$6,"ERROR"))))-VLOOKUP($C160,COS!$B$8:$K$991,6,FALSE)/2,0))</f>
        <v>1500</v>
      </c>
      <c r="S160" s="26">
        <f t="shared" si="252"/>
        <v>89.256198347107429</v>
      </c>
      <c r="T160" s="26">
        <f t="shared" si="253"/>
        <v>193.7926430946539</v>
      </c>
      <c r="U160" s="26" t="str">
        <f>IF(VLOOKUP($C160,COS!$B$8:$I$991,8,FALSE)=1,"UWFE","IBU")</f>
        <v>UWFE</v>
      </c>
      <c r="V160" s="26">
        <f t="shared" ref="V160" si="256">MIN(IF(IF($AA$3=2,AND(E160=1,G160=1,L160=1,L163=1,M160=1,U160="IBU"),AND(E160=1,G160=1,L160=1,L163=1,M160=1)),T160,0),I160)</f>
        <v>0</v>
      </c>
      <c r="W160" s="26"/>
      <c r="X160" s="26"/>
      <c r="Y160" s="26"/>
      <c r="Z160" s="26"/>
      <c r="AA160" s="26"/>
      <c r="AB160" s="33"/>
    </row>
    <row r="161" spans="1:28" x14ac:dyDescent="0.3">
      <c r="A161" s="32">
        <f>VLOOKUP(YEAR(C161),Flags!$A$13:$B$95,2,FALSE)</f>
        <v>1</v>
      </c>
      <c r="B161" s="24">
        <f t="shared" si="225"/>
        <v>1938</v>
      </c>
      <c r="C161" s="25">
        <v>14092</v>
      </c>
      <c r="D161" s="26">
        <f>VLOOKUP($C161,COS!$B$8:$H$991,3,FALSE)</f>
        <v>10626.4931640625</v>
      </c>
      <c r="E161" s="24">
        <f>IF(D161&gt;=IF(MONTH($C161)=4,$C$3,IF(MONTH($C161)=5,$C$4,IF(MONTH($C161)=6,$C$5,IF(MONTH($C161)=7,$C$6,"ERROR")))),1,0)</f>
        <v>0</v>
      </c>
      <c r="F161" s="26">
        <f>VLOOKUP($C161,COS!$B$8:$H$991,7,FALSE)</f>
        <v>52.414962768554688</v>
      </c>
      <c r="G161" s="24">
        <f>IF(F161&lt;=IF(MONTH($C161)=4,$F$3,IF(MONTH($C161)=5,$F$4,IF(MONTH($C161)=6,$F$5,IF(MONTH($C161)=7,$F$6,"ERROR")))),1,0)</f>
        <v>1</v>
      </c>
      <c r="H161" s="26">
        <f>IF(J161=1,D161-$C$6,0)</f>
        <v>0</v>
      </c>
      <c r="I161" s="26">
        <f t="shared" si="239"/>
        <v>0</v>
      </c>
      <c r="J161" s="24">
        <f t="shared" si="247"/>
        <v>0</v>
      </c>
      <c r="K161" s="26">
        <f>VLOOKUP($C161,COS!$B$8:$H$991,2,FALSE)</f>
        <v>4015.395751953125</v>
      </c>
      <c r="L161" s="24">
        <f t="shared" si="231"/>
        <v>1</v>
      </c>
      <c r="M161" s="24">
        <f t="shared" si="232"/>
        <v>0</v>
      </c>
      <c r="N161" s="26">
        <f>VLOOKUP($C161,COS!$B$8:$H$991,5,FALSE)</f>
        <v>1349.977294921875</v>
      </c>
      <c r="O161" s="26">
        <f t="shared" si="250"/>
        <v>83.006868381973135</v>
      </c>
      <c r="P161" s="26">
        <f>VLOOKUP($C161,COS!$B$8:$H$991,6,FALSE)</f>
        <v>2521.474853515625</v>
      </c>
      <c r="Q161" s="26">
        <f t="shared" si="251"/>
        <v>155.0394455384814</v>
      </c>
      <c r="R161" s="26">
        <f>MIN(IF(MONTH($C161)=4,$S$3,IF(MONTH($C161)=5,$S$4,IF(MONTH($C161)=6,$S$5,IF(MONTH($C161)=7,$S$6,"ERROR")))),MAX(VLOOKUP($C161,COS!$B$8:$K$991,10,FALSE)-IF(MONTH($C161)=4,$Y$3,IF(MONTH($C161)=5,$Y$4,IF(MONTH($C161)=6,$Y$5,IF(MONTH($C161)=7,$Y$6,"ERROR")))),0),MAX(VLOOKUP($C161,COS!$B$8:$K$991,9,FALSE)-IF(MONTH($C161)=4,$V$3,IF(MONTH($C161)=5,$V$4,IF(MONTH($C161)=6,$V$5,IF(MONTH($C161)=7,$V$6,"ERROR"))))-VLOOKUP($C161,COS!$B$8:$K$991,6,FALSE)/2,0))</f>
        <v>1500</v>
      </c>
      <c r="S161" s="26">
        <f t="shared" si="252"/>
        <v>92.231404958677686</v>
      </c>
      <c r="T161" s="26">
        <f t="shared" si="253"/>
        <v>211.25456191890495</v>
      </c>
      <c r="U161" s="26" t="str">
        <f>IF(VLOOKUP($C161,COS!$B$8:$I$991,8,FALSE)=1,"UWFE","IBU")</f>
        <v>IBU</v>
      </c>
      <c r="V161" s="26">
        <f t="shared" ref="V161" si="257">MIN(IF(IF($AA$3=2,AND(E161=1,G161=1,L161=1,L163=1,M161=1,U161="IBU"),AND(E161=1,G161=1,L161=1,L163=1,M161=1)),T161,0),I161)</f>
        <v>0</v>
      </c>
      <c r="W161" s="26"/>
      <c r="X161" s="26"/>
      <c r="Y161" s="26"/>
      <c r="Z161" s="26"/>
      <c r="AA161" s="26"/>
      <c r="AB161" s="33"/>
    </row>
    <row r="162" spans="1:28" x14ac:dyDescent="0.3">
      <c r="A162" s="32">
        <f>VLOOKUP(YEAR(C162),Flags!$A$13:$B$95,2,FALSE)</f>
        <v>1</v>
      </c>
      <c r="B162" s="24">
        <f t="shared" si="225"/>
        <v>1938</v>
      </c>
      <c r="C162" s="25">
        <v>14123</v>
      </c>
      <c r="D162" s="26"/>
      <c r="E162" s="24"/>
      <c r="F162" s="26"/>
      <c r="G162" s="24"/>
      <c r="H162" s="24"/>
      <c r="I162" s="26"/>
      <c r="J162" s="24"/>
      <c r="K162" s="26"/>
      <c r="L162" s="24"/>
      <c r="M162" s="24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f>MAX($C$7-VLOOKUP($C162,COS!$B$8:$H$991,3,FALSE),0)</f>
        <v>89530.1455078125</v>
      </c>
      <c r="X162" s="26">
        <f t="shared" si="245"/>
        <v>5504.9940708935947</v>
      </c>
      <c r="Y162" s="26">
        <f>VLOOKUP($C162,COS!$B$8:$H$991,4,FALSE)</f>
        <v>0</v>
      </c>
      <c r="Z162" s="26">
        <f t="shared" si="246"/>
        <v>0</v>
      </c>
      <c r="AA162" s="26">
        <f t="shared" ref="AA162:AA166" si="258">MIN(W162,Y162)</f>
        <v>0</v>
      </c>
      <c r="AB162" s="33">
        <f t="shared" ref="AB162" si="259">AA162*DAY($C162)*86400/43560/1000*IF(MONTH($C162)=8,$P$3,IF(MONTH($C162)=9,$P$4,IF(MONTH($C162)=10,$P$5,IF(MONTH($C162)=11,$P$6,IF(MONTH($C162)=12,$P$7,NA())))))</f>
        <v>0</v>
      </c>
    </row>
    <row r="163" spans="1:28" x14ac:dyDescent="0.3">
      <c r="A163" s="32">
        <f>VLOOKUP(YEAR(C163),Flags!$A$13:$B$95,2,FALSE)</f>
        <v>1</v>
      </c>
      <c r="B163" s="24">
        <f t="shared" si="225"/>
        <v>1938</v>
      </c>
      <c r="C163" s="25">
        <v>14153</v>
      </c>
      <c r="D163" s="26"/>
      <c r="E163" s="24"/>
      <c r="F163" s="26"/>
      <c r="G163" s="24"/>
      <c r="H163" s="24"/>
      <c r="I163" s="26"/>
      <c r="J163" s="24"/>
      <c r="K163" s="26">
        <f>VLOOKUP($C163,COS!$B$8:$H$991,2,FALSE)</f>
        <v>3067.66845703125</v>
      </c>
      <c r="L163" s="24">
        <f t="shared" ref="L163" si="260">IF(AND(K163&gt;$I$7,K163&lt;$I$8),1,0)</f>
        <v>1</v>
      </c>
      <c r="M163" s="24"/>
      <c r="N163" s="26"/>
      <c r="O163" s="26"/>
      <c r="P163" s="26"/>
      <c r="Q163" s="26"/>
      <c r="R163" s="26"/>
      <c r="S163" s="26"/>
      <c r="T163" s="26"/>
      <c r="U163" s="26"/>
      <c r="V163" s="26"/>
      <c r="W163" s="26">
        <f>MAX($C$8-VLOOKUP($C163,COS!$B$8:$H$991,3,FALSE),0)</f>
        <v>84308.306640625</v>
      </c>
      <c r="X163" s="26">
        <f t="shared" si="245"/>
        <v>5016.6926265495867</v>
      </c>
      <c r="Y163" s="26">
        <f>VLOOKUP($C163,COS!$B$8:$H$991,4,FALSE)</f>
        <v>0</v>
      </c>
      <c r="Z163" s="26">
        <f t="shared" si="246"/>
        <v>0</v>
      </c>
      <c r="AA163" s="26">
        <f t="shared" si="258"/>
        <v>0</v>
      </c>
      <c r="AB163" s="33">
        <f t="shared" si="243"/>
        <v>0</v>
      </c>
    </row>
    <row r="164" spans="1:28" x14ac:dyDescent="0.3">
      <c r="A164" s="32">
        <f>VLOOKUP(YEAR(C164),Flags!$A$13:$B$95,2,FALSE)</f>
        <v>1</v>
      </c>
      <c r="B164" s="24">
        <f t="shared" si="225"/>
        <v>1938</v>
      </c>
      <c r="C164" s="25">
        <v>14184</v>
      </c>
      <c r="D164" s="26"/>
      <c r="E164" s="24"/>
      <c r="F164" s="26"/>
      <c r="G164" s="26"/>
      <c r="H164" s="26"/>
      <c r="I164" s="26"/>
      <c r="J164" s="26"/>
      <c r="K164" s="26"/>
      <c r="L164" s="24"/>
      <c r="M164" s="24"/>
      <c r="N164" s="26"/>
      <c r="O164" s="26"/>
      <c r="P164" s="26"/>
      <c r="Q164" s="26"/>
      <c r="R164" s="26"/>
      <c r="S164" s="26"/>
      <c r="T164" s="26"/>
      <c r="U164" s="26"/>
      <c r="V164" s="26"/>
      <c r="W164" s="26">
        <f>MAX($C$9-VLOOKUP($C164,COS!$B$8:$H$991,3,FALSE),0)</f>
        <v>94842.9638671875</v>
      </c>
      <c r="X164" s="26">
        <f t="shared" si="245"/>
        <v>5831.6665386105378</v>
      </c>
      <c r="Y164" s="26">
        <f>VLOOKUP($C164,COS!$B$8:$H$991,4,FALSE)</f>
        <v>48.355400085449219</v>
      </c>
      <c r="Z164" s="26">
        <f t="shared" si="246"/>
        <v>2.9732576581466295</v>
      </c>
      <c r="AA164" s="26">
        <f t="shared" si="258"/>
        <v>48.355400085449219</v>
      </c>
      <c r="AB164" s="33">
        <f t="shared" si="243"/>
        <v>2.9732576581466295</v>
      </c>
    </row>
    <row r="165" spans="1:28" x14ac:dyDescent="0.3">
      <c r="A165" s="32">
        <f>VLOOKUP(YEAR(C165),Flags!$A$13:$B$95,2,FALSE)</f>
        <v>1</v>
      </c>
      <c r="B165" s="24">
        <f t="shared" si="225"/>
        <v>1938</v>
      </c>
      <c r="C165" s="25">
        <v>14214</v>
      </c>
      <c r="D165" s="26"/>
      <c r="E165" s="24"/>
      <c r="F165" s="26"/>
      <c r="G165" s="26"/>
      <c r="H165" s="26"/>
      <c r="I165" s="26"/>
      <c r="J165" s="26"/>
      <c r="K165" s="26"/>
      <c r="L165" s="24"/>
      <c r="M165" s="24"/>
      <c r="N165" s="26"/>
      <c r="O165" s="26"/>
      <c r="P165" s="26"/>
      <c r="Q165" s="26"/>
      <c r="R165" s="26"/>
      <c r="S165" s="26"/>
      <c r="T165" s="26"/>
      <c r="U165" s="26"/>
      <c r="V165" s="26"/>
      <c r="W165" s="26">
        <f>MAX($C$10-VLOOKUP($C165,COS!$B$8:$H$991,3,FALSE),0)</f>
        <v>91290.8857421875</v>
      </c>
      <c r="X165" s="26">
        <f t="shared" si="245"/>
        <v>5432.1849367252071</v>
      </c>
      <c r="Y165" s="26">
        <f>VLOOKUP($C165,COS!$B$8:$H$991,4,FALSE)</f>
        <v>0</v>
      </c>
      <c r="Z165" s="26">
        <f t="shared" si="246"/>
        <v>0</v>
      </c>
      <c r="AA165" s="26">
        <f t="shared" si="258"/>
        <v>0</v>
      </c>
      <c r="AB165" s="33">
        <f t="shared" si="243"/>
        <v>0</v>
      </c>
    </row>
    <row r="166" spans="1:28" x14ac:dyDescent="0.3">
      <c r="A166" s="34">
        <f>VLOOKUP(YEAR(C166),Flags!$A$13:$B$95,2,FALSE)</f>
        <v>1</v>
      </c>
      <c r="B166" s="35">
        <f t="shared" si="225"/>
        <v>1938</v>
      </c>
      <c r="C166" s="36">
        <v>14245</v>
      </c>
      <c r="D166" s="37"/>
      <c r="E166" s="35"/>
      <c r="F166" s="37"/>
      <c r="G166" s="37"/>
      <c r="H166" s="37"/>
      <c r="I166" s="37"/>
      <c r="J166" s="37"/>
      <c r="K166" s="37"/>
      <c r="L166" s="35"/>
      <c r="M166" s="35"/>
      <c r="N166" s="37"/>
      <c r="O166" s="37"/>
      <c r="P166" s="37"/>
      <c r="Q166" s="37"/>
      <c r="R166" s="37"/>
      <c r="S166" s="37"/>
      <c r="T166" s="37"/>
      <c r="U166" s="37"/>
      <c r="V166" s="37"/>
      <c r="W166" s="37">
        <f>MAX($C$11-VLOOKUP($C166,COS!$B$8:$H$991,3,FALSE),0)</f>
        <v>0</v>
      </c>
      <c r="X166" s="37">
        <f t="shared" si="245"/>
        <v>0</v>
      </c>
      <c r="Y166" s="37">
        <f>VLOOKUP($C166,COS!$B$8:$H$991,4,FALSE)</f>
        <v>0</v>
      </c>
      <c r="Z166" s="37">
        <f t="shared" si="246"/>
        <v>0</v>
      </c>
      <c r="AA166" s="37">
        <f t="shared" si="258"/>
        <v>0</v>
      </c>
      <c r="AB166" s="38">
        <f t="shared" si="243"/>
        <v>0</v>
      </c>
    </row>
    <row r="167" spans="1:28" x14ac:dyDescent="0.3">
      <c r="A167" s="27">
        <f>VLOOKUP(YEAR(C167),Flags!$A$13:$B$95,2,FALSE)</f>
        <v>3</v>
      </c>
      <c r="B167" s="28">
        <f t="shared" si="225"/>
        <v>1939</v>
      </c>
      <c r="C167" s="29">
        <v>14365</v>
      </c>
      <c r="D167" s="30">
        <f>VLOOKUP($C167,COS!$B$8:$H$991,3,FALSE)</f>
        <v>5639.22900390625</v>
      </c>
      <c r="E167" s="28">
        <f>IF(D167&gt;=IF(MONTH($C167)=4,$C$3,IF(MONTH($C167)=5,$C$4,IF(MONTH($C167)=6,$C$5,IF(MONTH($C167)=7,$C$6,"ERROR")))),1,0)</f>
        <v>0</v>
      </c>
      <c r="F167" s="30">
        <f>VLOOKUP($C167,COS!$B$8:$H$991,7,FALSE)</f>
        <v>50.994121551513672</v>
      </c>
      <c r="G167" s="28">
        <f>IF(F167&lt;=IF(MONTH($C167)=4,$F$3,IF(MONTH($C167)=5,$F$4,IF(MONTH($C167)=6,$F$5,IF(MONTH($C167)=7,$F$6,"ERROR")))),1,0)</f>
        <v>1</v>
      </c>
      <c r="H167" s="30">
        <f>IF(J167=1,D167-$C$3,0)</f>
        <v>0</v>
      </c>
      <c r="I167" s="30">
        <f t="shared" si="239"/>
        <v>0</v>
      </c>
      <c r="J167" s="28">
        <f t="shared" ref="J167:J170" si="261">IF(AND(E167=1,G167=1),1,0)</f>
        <v>0</v>
      </c>
      <c r="K167" s="30">
        <f>VLOOKUP($C167,COS!$B$8:$H$991,2,FALSE)</f>
        <v>3617.388427734375</v>
      </c>
      <c r="L167" s="28">
        <f t="shared" ref="L167" si="262">IF(K167&lt;=IF(MONTH($C167)=4,$I$3,IF(MONTH($C167)=5,$I$4,IF(MONTH($C167)=6,$I$5,IF(MONTH($C167)=7,$I$6,"ERROR")))),1,0)</f>
        <v>1</v>
      </c>
      <c r="M167" s="28">
        <f t="shared" ref="M167" si="263">VLOOKUP($A167,$L$3:$M$7,2,FALSE)</f>
        <v>0</v>
      </c>
      <c r="N167" s="30">
        <f>VLOOKUP($C167,COS!$B$8:$H$991,5,FALSE)</f>
        <v>605.5399169921875</v>
      </c>
      <c r="O167" s="30">
        <f t="shared" ref="O167:O170" si="264">N167*DAY($C167)*86400/43560/1000</f>
        <v>36.032127292097108</v>
      </c>
      <c r="P167" s="30">
        <f>VLOOKUP($C167,COS!$B$8:$H$991,6,FALSE)</f>
        <v>578.7889404296875</v>
      </c>
      <c r="Q167" s="30">
        <f t="shared" ref="Q167:Q170" si="265">P167*DAY($C167)*86400/43560/1000</f>
        <v>34.440333645402887</v>
      </c>
      <c r="R167" s="30">
        <f>MIN(IF(MONTH($C167)=4,$S$3,IF(MONTH($C167)=5,$S$4,IF(MONTH($C167)=6,$S$5,IF(MONTH($C167)=7,$S$6,"ERROR")))),MAX(VLOOKUP($C167,COS!$B$8:$K$991,10,FALSE)-IF(MONTH($C167)=4,$Y$3,IF(MONTH($C167)=5,$Y$4,IF(MONTH($C167)=6,$Y$5,IF(MONTH($C167)=7,$Y$6,"ERROR")))),0),MAX(VLOOKUP($C167,COS!$B$8:$K$991,9,FALSE)-IF(MONTH($C167)=4,$V$3,IF(MONTH($C167)=5,$V$4,IF(MONTH($C167)=6,$V$5,IF(MONTH($C167)=7,$V$6,"ERROR"))))-VLOOKUP($C167,COS!$B$8:$K$991,6,FALSE)/2,0))</f>
        <v>1500</v>
      </c>
      <c r="S167" s="30">
        <f t="shared" ref="S167:S170" si="266">R167*DAY($C167)*86400/43560/1000</f>
        <v>89.256198347107429</v>
      </c>
      <c r="T167" s="30">
        <f t="shared" ref="T167:T170" si="267">(O167+Q167)/2+S167</f>
        <v>124.49242881585742</v>
      </c>
      <c r="U167" s="30" t="str">
        <f>IF(VLOOKUP($C167,COS!$B$8:$I$991,8,FALSE)=1,"UWFE","IBU")</f>
        <v>UWFE</v>
      </c>
      <c r="V167" s="30">
        <f t="shared" ref="V167" si="268">MIN(IF(IF($AA$3=2,AND(E167=1,G167=1,L167=1,L172=1,M167=1,U167="IBU"),AND(E167=1,G167=1,L167=1,L172=1,M167=1)),T167,0),I167)</f>
        <v>0</v>
      </c>
      <c r="W167" s="30"/>
      <c r="X167" s="30"/>
      <c r="Y167" s="30"/>
      <c r="Z167" s="30"/>
      <c r="AA167" s="30"/>
      <c r="AB167" s="31"/>
    </row>
    <row r="168" spans="1:28" x14ac:dyDescent="0.3">
      <c r="A168" s="32">
        <f>VLOOKUP(YEAR(C168),Flags!$A$13:$B$95,2,FALSE)</f>
        <v>3</v>
      </c>
      <c r="B168" s="24">
        <f t="shared" si="225"/>
        <v>1939</v>
      </c>
      <c r="C168" s="25">
        <v>14396</v>
      </c>
      <c r="D168" s="26">
        <f>VLOOKUP($C168,COS!$B$8:$H$991,3,FALSE)</f>
        <v>10183.0283203125</v>
      </c>
      <c r="E168" s="24">
        <f>IF(D168&gt;=IF(MONTH($C168)=4,$C$3,IF(MONTH($C168)=5,$C$4,IF(MONTH($C168)=6,$C$5,IF(MONTH($C168)=7,$C$6,"ERROR")))),1,0)</f>
        <v>1</v>
      </c>
      <c r="F168" s="26">
        <f>VLOOKUP($C168,COS!$B$8:$H$991,7,FALSE)</f>
        <v>50.974002838134766</v>
      </c>
      <c r="G168" s="24">
        <f>IF(F168&lt;=IF(MONTH($C168)=4,$F$3,IF(MONTH($C168)=5,$F$4,IF(MONTH($C168)=6,$F$5,IF(MONTH($C168)=7,$F$6,"ERROR")))),1,0)</f>
        <v>1</v>
      </c>
      <c r="H168" s="26">
        <f>IF(J168=1,D168-$C$4,0)</f>
        <v>4183.0283203125</v>
      </c>
      <c r="I168" s="26">
        <f t="shared" si="239"/>
        <v>257.20438597623968</v>
      </c>
      <c r="J168" s="24">
        <f t="shared" si="261"/>
        <v>1</v>
      </c>
      <c r="K168" s="26">
        <f>VLOOKUP($C168,COS!$B$8:$H$991,2,FALSE)</f>
        <v>3339.732177734375</v>
      </c>
      <c r="L168" s="24">
        <f t="shared" si="231"/>
        <v>1</v>
      </c>
      <c r="M168" s="24">
        <f t="shared" si="232"/>
        <v>0</v>
      </c>
      <c r="N168" s="26">
        <f>VLOOKUP($C168,COS!$B$8:$H$991,5,FALSE)</f>
        <v>507.59902954101563</v>
      </c>
      <c r="O168" s="26">
        <f t="shared" si="264"/>
        <v>31.211047766819473</v>
      </c>
      <c r="P168" s="26">
        <f>VLOOKUP($C168,COS!$B$8:$H$991,6,FALSE)</f>
        <v>2184.023681640625</v>
      </c>
      <c r="Q168" s="26">
        <f t="shared" si="265"/>
        <v>134.29038174715907</v>
      </c>
      <c r="R168" s="26">
        <f>MIN(IF(MONTH($C168)=4,$S$3,IF(MONTH($C168)=5,$S$4,IF(MONTH($C168)=6,$S$5,IF(MONTH($C168)=7,$S$6,"ERROR")))),MAX(VLOOKUP($C168,COS!$B$8:$K$991,10,FALSE)-IF(MONTH($C168)=4,$Y$3,IF(MONTH($C168)=5,$Y$4,IF(MONTH($C168)=6,$Y$5,IF(MONTH($C168)=7,$Y$6,"ERROR")))),0),MAX(VLOOKUP($C168,COS!$B$8:$K$991,9,FALSE)-IF(MONTH($C168)=4,$V$3,IF(MONTH($C168)=5,$V$4,IF(MONTH($C168)=6,$V$5,IF(MONTH($C168)=7,$V$6,"ERROR"))))-VLOOKUP($C168,COS!$B$8:$K$991,6,FALSE)/2,0))</f>
        <v>1500</v>
      </c>
      <c r="S168" s="26">
        <f t="shared" si="266"/>
        <v>92.231404958677686</v>
      </c>
      <c r="T168" s="26">
        <f t="shared" si="267"/>
        <v>174.98211971566695</v>
      </c>
      <c r="U168" s="26" t="str">
        <f>IF(VLOOKUP($C168,COS!$B$8:$I$991,8,FALSE)=1,"UWFE","IBU")</f>
        <v>IBU</v>
      </c>
      <c r="V168" s="26">
        <f t="shared" ref="V168" si="269">MIN(IF(IF($AA$3=2,AND(E168=1,G168=1,L168=1,L172=1,M168=1,U168="IBU"),AND(E168=1,G168=1,L168=1,L172=1,M168=1)),T168,0),I168)</f>
        <v>0</v>
      </c>
      <c r="W168" s="26"/>
      <c r="X168" s="26"/>
      <c r="Y168" s="26"/>
      <c r="Z168" s="26"/>
      <c r="AA168" s="26"/>
      <c r="AB168" s="33"/>
    </row>
    <row r="169" spans="1:28" x14ac:dyDescent="0.3">
      <c r="A169" s="32">
        <f>VLOOKUP(YEAR(C169),Flags!$A$13:$B$95,2,FALSE)</f>
        <v>3</v>
      </c>
      <c r="B169" s="24">
        <f t="shared" si="225"/>
        <v>1939</v>
      </c>
      <c r="C169" s="25">
        <v>14426</v>
      </c>
      <c r="D169" s="26">
        <f>VLOOKUP($C169,COS!$B$8:$H$991,3,FALSE)</f>
        <v>12354.21484375</v>
      </c>
      <c r="E169" s="24">
        <f>IF(D169&gt;=IF(MONTH($C169)=4,$C$3,IF(MONTH($C169)=5,$C$4,IF(MONTH($C169)=6,$C$5,IF(MONTH($C169)=7,$C$6,"ERROR")))),1,0)</f>
        <v>1</v>
      </c>
      <c r="F169" s="26">
        <f>VLOOKUP($C169,COS!$B$8:$H$991,7,FALSE)</f>
        <v>52.385540008544922</v>
      </c>
      <c r="G169" s="24">
        <f>IF(F169&lt;=IF(MONTH($C169)=4,$F$3,IF(MONTH($C169)=5,$F$4,IF(MONTH($C169)=6,$F$5,IF(MONTH($C169)=7,$F$6,"ERROR")))),1,0)</f>
        <v>1</v>
      </c>
      <c r="H169" s="26">
        <f>IF(J169=1,D169-$C$5,0)</f>
        <v>2354.21484375</v>
      </c>
      <c r="I169" s="26">
        <f t="shared" si="239"/>
        <v>140.08551136363636</v>
      </c>
      <c r="J169" s="24">
        <f t="shared" si="261"/>
        <v>1</v>
      </c>
      <c r="K169" s="26">
        <f>VLOOKUP($C169,COS!$B$8:$H$991,2,FALSE)</f>
        <v>2944.504150390625</v>
      </c>
      <c r="L169" s="24">
        <f t="shared" si="231"/>
        <v>1</v>
      </c>
      <c r="M169" s="24">
        <f t="shared" si="232"/>
        <v>0</v>
      </c>
      <c r="N169" s="26">
        <f>VLOOKUP($C169,COS!$B$8:$H$991,5,FALSE)</f>
        <v>658.92901611328125</v>
      </c>
      <c r="O169" s="26">
        <f t="shared" si="264"/>
        <v>39.208999305914261</v>
      </c>
      <c r="P169" s="26">
        <f>VLOOKUP($C169,COS!$B$8:$H$991,6,FALSE)</f>
        <v>2679.353271484375</v>
      </c>
      <c r="Q169" s="26">
        <f t="shared" si="265"/>
        <v>159.43259136105374</v>
      </c>
      <c r="R169" s="26">
        <f>MIN(IF(MONTH($C169)=4,$S$3,IF(MONTH($C169)=5,$S$4,IF(MONTH($C169)=6,$S$5,IF(MONTH($C169)=7,$S$6,"ERROR")))),MAX(VLOOKUP($C169,COS!$B$8:$K$991,10,FALSE)-IF(MONTH($C169)=4,$Y$3,IF(MONTH($C169)=5,$Y$4,IF(MONTH($C169)=6,$Y$5,IF(MONTH($C169)=7,$Y$6,"ERROR")))),0),MAX(VLOOKUP($C169,COS!$B$8:$K$991,9,FALSE)-IF(MONTH($C169)=4,$V$3,IF(MONTH($C169)=5,$V$4,IF(MONTH($C169)=6,$V$5,IF(MONTH($C169)=7,$V$6,"ERROR"))))-VLOOKUP($C169,COS!$B$8:$K$991,6,FALSE)/2,0))</f>
        <v>1500</v>
      </c>
      <c r="S169" s="26">
        <f t="shared" si="266"/>
        <v>89.256198347107429</v>
      </c>
      <c r="T169" s="26">
        <f t="shared" si="267"/>
        <v>188.57699368059144</v>
      </c>
      <c r="U169" s="26" t="str">
        <f>IF(VLOOKUP($C169,COS!$B$8:$I$991,8,FALSE)=1,"UWFE","IBU")</f>
        <v>IBU</v>
      </c>
      <c r="V169" s="26">
        <f t="shared" ref="V169" si="270">MIN(IF(IF($AA$3=2,AND(E169=1,G169=1,L169=1,L172=1,M169=1,U169="IBU"),AND(E169=1,G169=1,L169=1,L172=1,M169=1)),T169,0),I169)</f>
        <v>0</v>
      </c>
      <c r="W169" s="26"/>
      <c r="X169" s="26"/>
      <c r="Y169" s="26"/>
      <c r="Z169" s="26"/>
      <c r="AA169" s="26"/>
      <c r="AB169" s="33"/>
    </row>
    <row r="170" spans="1:28" x14ac:dyDescent="0.3">
      <c r="A170" s="32">
        <f>VLOOKUP(YEAR(C170),Flags!$A$13:$B$95,2,FALSE)</f>
        <v>3</v>
      </c>
      <c r="B170" s="24">
        <f t="shared" si="225"/>
        <v>1939</v>
      </c>
      <c r="C170" s="25">
        <v>14457</v>
      </c>
      <c r="D170" s="26">
        <f>VLOOKUP($C170,COS!$B$8:$H$991,3,FALSE)</f>
        <v>16000</v>
      </c>
      <c r="E170" s="24">
        <f>IF(D170&gt;=IF(MONTH($C170)=4,$C$3,IF(MONTH($C170)=5,$C$4,IF(MONTH($C170)=6,$C$5,IF(MONTH($C170)=7,$C$6,"ERROR")))),1,0)</f>
        <v>1</v>
      </c>
      <c r="F170" s="26">
        <f>VLOOKUP($C170,COS!$B$8:$H$991,7,FALSE)</f>
        <v>53.516410827636719</v>
      </c>
      <c r="G170" s="24">
        <f>IF(F170&lt;=IF(MONTH($C170)=4,$F$3,IF(MONTH($C170)=5,$F$4,IF(MONTH($C170)=6,$F$5,IF(MONTH($C170)=7,$F$6,"ERROR")))),1,0)</f>
        <v>0</v>
      </c>
      <c r="H170" s="26">
        <f>IF(J170=1,D170-$C$6,0)</f>
        <v>0</v>
      </c>
      <c r="I170" s="26">
        <f t="shared" si="239"/>
        <v>0</v>
      </c>
      <c r="J170" s="24">
        <f t="shared" si="261"/>
        <v>0</v>
      </c>
      <c r="K170" s="26">
        <f>VLOOKUP($C170,COS!$B$8:$H$991,2,FALSE)</f>
        <v>2319.410888671875</v>
      </c>
      <c r="L170" s="24">
        <f t="shared" si="231"/>
        <v>1</v>
      </c>
      <c r="M170" s="24">
        <f t="shared" si="232"/>
        <v>0</v>
      </c>
      <c r="N170" s="26">
        <f>VLOOKUP($C170,COS!$B$8:$H$991,5,FALSE)</f>
        <v>718.189208984375</v>
      </c>
      <c r="O170" s="26">
        <f t="shared" si="264"/>
        <v>44.159733180526864</v>
      </c>
      <c r="P170" s="26">
        <f>VLOOKUP($C170,COS!$B$8:$H$991,6,FALSE)</f>
        <v>2421.51171875</v>
      </c>
      <c r="Q170" s="26">
        <f t="shared" si="265"/>
        <v>148.89295196280992</v>
      </c>
      <c r="R170" s="26">
        <f>MIN(IF(MONTH($C170)=4,$S$3,IF(MONTH($C170)=5,$S$4,IF(MONTH($C170)=6,$S$5,IF(MONTH($C170)=7,$S$6,"ERROR")))),MAX(VLOOKUP($C170,COS!$B$8:$K$991,10,FALSE)-IF(MONTH($C170)=4,$Y$3,IF(MONTH($C170)=5,$Y$4,IF(MONTH($C170)=6,$Y$5,IF(MONTH($C170)=7,$Y$6,"ERROR")))),0),MAX(VLOOKUP($C170,COS!$B$8:$K$991,9,FALSE)-IF(MONTH($C170)=4,$V$3,IF(MONTH($C170)=5,$V$4,IF(MONTH($C170)=6,$V$5,IF(MONTH($C170)=7,$V$6,"ERROR"))))-VLOOKUP($C170,COS!$B$8:$K$991,6,FALSE)/2,0))</f>
        <v>1500</v>
      </c>
      <c r="S170" s="26">
        <f t="shared" si="266"/>
        <v>92.231404958677686</v>
      </c>
      <c r="T170" s="26">
        <f t="shared" si="267"/>
        <v>188.75774753034608</v>
      </c>
      <c r="U170" s="26" t="str">
        <f>IF(VLOOKUP($C170,COS!$B$8:$I$991,8,FALSE)=1,"UWFE","IBU")</f>
        <v>IBU</v>
      </c>
      <c r="V170" s="26">
        <f t="shared" ref="V170" si="271">MIN(IF(IF($AA$3=2,AND(E170=1,G170=1,L170=1,L172=1,M170=1,U170="IBU"),AND(E170=1,G170=1,L170=1,L172=1,M170=1)),T170,0),I170)</f>
        <v>0</v>
      </c>
      <c r="W170" s="26"/>
      <c r="X170" s="26"/>
      <c r="Y170" s="26"/>
      <c r="Z170" s="26"/>
      <c r="AA170" s="26"/>
      <c r="AB170" s="33"/>
    </row>
    <row r="171" spans="1:28" x14ac:dyDescent="0.3">
      <c r="A171" s="32">
        <f>VLOOKUP(YEAR(C171),Flags!$A$13:$B$95,2,FALSE)</f>
        <v>3</v>
      </c>
      <c r="B171" s="24">
        <f t="shared" si="225"/>
        <v>1939</v>
      </c>
      <c r="C171" s="25">
        <v>14488</v>
      </c>
      <c r="D171" s="26"/>
      <c r="E171" s="24"/>
      <c r="F171" s="26"/>
      <c r="G171" s="24"/>
      <c r="H171" s="24"/>
      <c r="I171" s="26"/>
      <c r="J171" s="24"/>
      <c r="K171" s="26"/>
      <c r="L171" s="24"/>
      <c r="M171" s="24"/>
      <c r="N171" s="26"/>
      <c r="O171" s="26"/>
      <c r="P171" s="26"/>
      <c r="Q171" s="26"/>
      <c r="R171" s="26"/>
      <c r="S171" s="26"/>
      <c r="T171" s="26"/>
      <c r="U171" s="26"/>
      <c r="V171" s="26"/>
      <c r="W171" s="26">
        <f>MAX($C$7-VLOOKUP($C171,COS!$B$8:$H$991,3,FALSE),0)</f>
        <v>85997.9140625</v>
      </c>
      <c r="X171" s="26">
        <f t="shared" si="245"/>
        <v>5287.805625</v>
      </c>
      <c r="Y171" s="26">
        <f>VLOOKUP($C171,COS!$B$8:$H$991,4,FALSE)</f>
        <v>3226.453125</v>
      </c>
      <c r="Z171" s="26">
        <f t="shared" si="246"/>
        <v>198.38686983471075</v>
      </c>
      <c r="AA171" s="26">
        <f t="shared" ref="AA171:AA175" si="272">MIN(W171,Y171)</f>
        <v>3226.453125</v>
      </c>
      <c r="AB171" s="33">
        <f t="shared" ref="AB171" si="273">AA171*DAY($C171)*86400/43560/1000*IF(MONTH($C171)=8,$P$3,IF(MONTH($C171)=9,$P$4,IF(MONTH($C171)=10,$P$5,IF(MONTH($C171)=11,$P$6,IF(MONTH($C171)=12,$P$7,NA())))))</f>
        <v>198.38686983471075</v>
      </c>
    </row>
    <row r="172" spans="1:28" x14ac:dyDescent="0.3">
      <c r="A172" s="32">
        <f>VLOOKUP(YEAR(C172),Flags!$A$13:$B$95,2,FALSE)</f>
        <v>3</v>
      </c>
      <c r="B172" s="24">
        <f t="shared" si="225"/>
        <v>1939</v>
      </c>
      <c r="C172" s="25">
        <v>14518</v>
      </c>
      <c r="D172" s="26"/>
      <c r="E172" s="24"/>
      <c r="F172" s="26"/>
      <c r="G172" s="24"/>
      <c r="H172" s="24"/>
      <c r="I172" s="26"/>
      <c r="J172" s="24"/>
      <c r="K172" s="26">
        <f>VLOOKUP($C172,COS!$B$8:$H$991,2,FALSE)</f>
        <v>1819.920654296875</v>
      </c>
      <c r="L172" s="24">
        <f t="shared" ref="L172" si="274">IF(AND(K172&gt;$I$7,K172&lt;$I$8),1,0)</f>
        <v>1</v>
      </c>
      <c r="M172" s="24"/>
      <c r="N172" s="26"/>
      <c r="O172" s="26"/>
      <c r="P172" s="26"/>
      <c r="Q172" s="26"/>
      <c r="R172" s="26"/>
      <c r="S172" s="26"/>
      <c r="T172" s="26"/>
      <c r="U172" s="26"/>
      <c r="V172" s="26"/>
      <c r="W172" s="26">
        <f>MAX($C$8-VLOOKUP($C172,COS!$B$8:$H$991,3,FALSE),0)</f>
        <v>94525.0498046875</v>
      </c>
      <c r="X172" s="26">
        <f t="shared" si="245"/>
        <v>5624.6310627582643</v>
      </c>
      <c r="Y172" s="26">
        <f>VLOOKUP($C172,COS!$B$8:$H$991,4,FALSE)</f>
        <v>1628.006103515625</v>
      </c>
      <c r="Z172" s="26">
        <f t="shared" si="246"/>
        <v>96.8730904571281</v>
      </c>
      <c r="AA172" s="26">
        <f t="shared" si="272"/>
        <v>1628.006103515625</v>
      </c>
      <c r="AB172" s="33">
        <f t="shared" si="243"/>
        <v>96.8730904571281</v>
      </c>
    </row>
    <row r="173" spans="1:28" x14ac:dyDescent="0.3">
      <c r="A173" s="32">
        <f>VLOOKUP(YEAR(C173),Flags!$A$13:$B$95,2,FALSE)</f>
        <v>3</v>
      </c>
      <c r="B173" s="24">
        <f t="shared" si="225"/>
        <v>1939</v>
      </c>
      <c r="C173" s="25">
        <v>14549</v>
      </c>
      <c r="D173" s="26"/>
      <c r="E173" s="24"/>
      <c r="F173" s="26"/>
      <c r="G173" s="26"/>
      <c r="H173" s="26"/>
      <c r="I173" s="26"/>
      <c r="J173" s="26"/>
      <c r="K173" s="26"/>
      <c r="L173" s="24"/>
      <c r="M173" s="24"/>
      <c r="N173" s="26"/>
      <c r="O173" s="26"/>
      <c r="P173" s="26"/>
      <c r="Q173" s="26"/>
      <c r="R173" s="26"/>
      <c r="S173" s="26"/>
      <c r="T173" s="26"/>
      <c r="U173" s="26"/>
      <c r="V173" s="26"/>
      <c r="W173" s="26">
        <f>MAX($C$9-VLOOKUP($C173,COS!$B$8:$H$991,3,FALSE),0)</f>
        <v>94233.89599609375</v>
      </c>
      <c r="X173" s="26">
        <f t="shared" si="245"/>
        <v>5794.2164149664259</v>
      </c>
      <c r="Y173" s="26">
        <f>VLOOKUP($C173,COS!$B$8:$H$991,4,FALSE)</f>
        <v>1678.0692138671875</v>
      </c>
      <c r="Z173" s="26">
        <f t="shared" si="246"/>
        <v>103.18045414191633</v>
      </c>
      <c r="AA173" s="26">
        <f t="shared" si="272"/>
        <v>1678.0692138671875</v>
      </c>
      <c r="AB173" s="33">
        <f t="shared" si="243"/>
        <v>103.18045414191633</v>
      </c>
    </row>
    <row r="174" spans="1:28" x14ac:dyDescent="0.3">
      <c r="A174" s="32">
        <f>VLOOKUP(YEAR(C174),Flags!$A$13:$B$95,2,FALSE)</f>
        <v>3</v>
      </c>
      <c r="B174" s="24">
        <f t="shared" si="225"/>
        <v>1939</v>
      </c>
      <c r="C174" s="25">
        <v>14579</v>
      </c>
      <c r="D174" s="26"/>
      <c r="E174" s="24"/>
      <c r="F174" s="26"/>
      <c r="G174" s="26"/>
      <c r="H174" s="26"/>
      <c r="I174" s="26"/>
      <c r="J174" s="26"/>
      <c r="K174" s="26"/>
      <c r="L174" s="24"/>
      <c r="M174" s="24"/>
      <c r="N174" s="26"/>
      <c r="O174" s="26"/>
      <c r="P174" s="26"/>
      <c r="Q174" s="26"/>
      <c r="R174" s="26"/>
      <c r="S174" s="26"/>
      <c r="T174" s="26"/>
      <c r="U174" s="26"/>
      <c r="V174" s="26"/>
      <c r="W174" s="26">
        <f>MAX($C$10-VLOOKUP($C174,COS!$B$8:$H$991,3,FALSE),0)</f>
        <v>93849.529296875</v>
      </c>
      <c r="X174" s="26">
        <f t="shared" si="245"/>
        <v>5584.4348011363636</v>
      </c>
      <c r="Y174" s="26">
        <f>VLOOKUP($C174,COS!$B$8:$H$991,4,FALSE)</f>
        <v>2018.930908203125</v>
      </c>
      <c r="Z174" s="26">
        <f t="shared" si="246"/>
        <v>120.13473172778926</v>
      </c>
      <c r="AA174" s="26">
        <f t="shared" si="272"/>
        <v>2018.930908203125</v>
      </c>
      <c r="AB174" s="33">
        <f t="shared" si="243"/>
        <v>60.067365863894629</v>
      </c>
    </row>
    <row r="175" spans="1:28" x14ac:dyDescent="0.3">
      <c r="A175" s="34">
        <f>VLOOKUP(YEAR(C175),Flags!$A$13:$B$95,2,FALSE)</f>
        <v>3</v>
      </c>
      <c r="B175" s="35">
        <f t="shared" si="225"/>
        <v>1939</v>
      </c>
      <c r="C175" s="36">
        <v>14610</v>
      </c>
      <c r="D175" s="37"/>
      <c r="E175" s="35"/>
      <c r="F175" s="37"/>
      <c r="G175" s="37"/>
      <c r="H175" s="37"/>
      <c r="I175" s="37"/>
      <c r="J175" s="37"/>
      <c r="K175" s="37"/>
      <c r="L175" s="35"/>
      <c r="M175" s="35"/>
      <c r="N175" s="37"/>
      <c r="O175" s="37"/>
      <c r="P175" s="37"/>
      <c r="Q175" s="37"/>
      <c r="R175" s="37"/>
      <c r="S175" s="37"/>
      <c r="T175" s="37"/>
      <c r="U175" s="37"/>
      <c r="V175" s="37"/>
      <c r="W175" s="37">
        <f>MAX($C$11-VLOOKUP($C175,COS!$B$8:$H$991,3,FALSE),0)</f>
        <v>0</v>
      </c>
      <c r="X175" s="37">
        <f t="shared" si="245"/>
        <v>0</v>
      </c>
      <c r="Y175" s="37">
        <f>VLOOKUP($C175,COS!$B$8:$H$991,4,FALSE)</f>
        <v>1704.9423828125</v>
      </c>
      <c r="Z175" s="37">
        <f t="shared" si="246"/>
        <v>104.83282089359504</v>
      </c>
      <c r="AA175" s="37">
        <f t="shared" si="272"/>
        <v>0</v>
      </c>
      <c r="AB175" s="38">
        <f t="shared" si="243"/>
        <v>0</v>
      </c>
    </row>
    <row r="176" spans="1:28" x14ac:dyDescent="0.3">
      <c r="A176" s="27">
        <f>VLOOKUP(YEAR(C176),Flags!$A$13:$B$95,2,FALSE)</f>
        <v>2</v>
      </c>
      <c r="B176" s="28">
        <f t="shared" si="225"/>
        <v>1940</v>
      </c>
      <c r="C176" s="29">
        <v>14731</v>
      </c>
      <c r="D176" s="30">
        <f>VLOOKUP($C176,COS!$B$8:$H$991,3,FALSE)</f>
        <v>3250</v>
      </c>
      <c r="E176" s="28">
        <f>IF(D176&gt;=IF(MONTH($C176)=4,$C$3,IF(MONTH($C176)=5,$C$4,IF(MONTH($C176)=6,$C$5,IF(MONTH($C176)=7,$C$6,"ERROR")))),1,0)</f>
        <v>0</v>
      </c>
      <c r="F176" s="30">
        <f>VLOOKUP($C176,COS!$B$8:$H$991,7,FALSE)</f>
        <v>50.942607879638672</v>
      </c>
      <c r="G176" s="28">
        <f>IF(F176&lt;=IF(MONTH($C176)=4,$F$3,IF(MONTH($C176)=5,$F$4,IF(MONTH($C176)=6,$F$5,IF(MONTH($C176)=7,$F$6,"ERROR")))),1,0)</f>
        <v>1</v>
      </c>
      <c r="H176" s="30">
        <f>IF(J176=1,D176-$C$3,0)</f>
        <v>0</v>
      </c>
      <c r="I176" s="30">
        <f t="shared" si="239"/>
        <v>0</v>
      </c>
      <c r="J176" s="28">
        <f t="shared" ref="J176:J179" si="275">IF(AND(E176=1,G176=1),1,0)</f>
        <v>0</v>
      </c>
      <c r="K176" s="30">
        <f>VLOOKUP($C176,COS!$B$8:$H$991,2,FALSE)</f>
        <v>4211.595703125</v>
      </c>
      <c r="L176" s="28">
        <f t="shared" ref="L176" si="276">IF(K176&lt;=IF(MONTH($C176)=4,$I$3,IF(MONTH($C176)=5,$I$4,IF(MONTH($C176)=6,$I$5,IF(MONTH($C176)=7,$I$6,"ERROR")))),1,0)</f>
        <v>1</v>
      </c>
      <c r="M176" s="28">
        <f t="shared" ref="M176" si="277">VLOOKUP($A176,$L$3:$M$7,2,FALSE)</f>
        <v>0</v>
      </c>
      <c r="N176" s="30">
        <f>VLOOKUP($C176,COS!$B$8:$H$991,5,FALSE)</f>
        <v>253.27787780761719</v>
      </c>
      <c r="O176" s="30">
        <f t="shared" ref="O176:O179" si="278">N176*DAY($C176)*86400/43560/1000</f>
        <v>15.071080332354081</v>
      </c>
      <c r="P176" s="30">
        <f>VLOOKUP($C176,COS!$B$8:$H$991,6,FALSE)</f>
        <v>410.20220947265625</v>
      </c>
      <c r="Q176" s="30">
        <f t="shared" ref="Q176:Q179" si="279">P176*DAY($C176)*86400/43560/1000</f>
        <v>24.408726514075415</v>
      </c>
      <c r="R176" s="30">
        <f>MIN(IF(MONTH($C176)=4,$S$3,IF(MONTH($C176)=5,$S$4,IF(MONTH($C176)=6,$S$5,IF(MONTH($C176)=7,$S$6,"ERROR")))),MAX(VLOOKUP($C176,COS!$B$8:$K$991,10,FALSE)-IF(MONTH($C176)=4,$Y$3,IF(MONTH($C176)=5,$Y$4,IF(MONTH($C176)=6,$Y$5,IF(MONTH($C176)=7,$Y$6,"ERROR")))),0),MAX(VLOOKUP($C176,COS!$B$8:$K$991,9,FALSE)-IF(MONTH($C176)=4,$V$3,IF(MONTH($C176)=5,$V$4,IF(MONTH($C176)=6,$V$5,IF(MONTH($C176)=7,$V$6,"ERROR"))))-VLOOKUP($C176,COS!$B$8:$K$991,6,FALSE)/2,0))</f>
        <v>1500</v>
      </c>
      <c r="S176" s="30">
        <f t="shared" ref="S176:S179" si="280">R176*DAY($C176)*86400/43560/1000</f>
        <v>89.256198347107429</v>
      </c>
      <c r="T176" s="30">
        <f t="shared" ref="T176:T179" si="281">(O176+Q176)/2+S176</f>
        <v>108.99610177032218</v>
      </c>
      <c r="U176" s="30" t="str">
        <f>IF(VLOOKUP($C176,COS!$B$8:$I$991,8,FALSE)=1,"UWFE","IBU")</f>
        <v>UWFE</v>
      </c>
      <c r="V176" s="30">
        <f t="shared" ref="V176" si="282">MIN(IF(IF($AA$3=2,AND(E176=1,G176=1,L176=1,L181=1,M176=1,U176="IBU"),AND(E176=1,G176=1,L176=1,L181=1,M176=1)),T176,0),I176)</f>
        <v>0</v>
      </c>
      <c r="W176" s="30"/>
      <c r="X176" s="30"/>
      <c r="Y176" s="30"/>
      <c r="Z176" s="30"/>
      <c r="AA176" s="30"/>
      <c r="AB176" s="31"/>
    </row>
    <row r="177" spans="1:28" x14ac:dyDescent="0.3">
      <c r="A177" s="32">
        <f>VLOOKUP(YEAR(C177),Flags!$A$13:$B$95,2,FALSE)</f>
        <v>2</v>
      </c>
      <c r="B177" s="24">
        <f t="shared" si="225"/>
        <v>1940</v>
      </c>
      <c r="C177" s="25">
        <v>14762</v>
      </c>
      <c r="D177" s="26">
        <f>VLOOKUP($C177,COS!$B$8:$H$991,3,FALSE)</f>
        <v>5750.91845703125</v>
      </c>
      <c r="E177" s="24">
        <f>IF(D177&gt;=IF(MONTH($C177)=4,$C$3,IF(MONTH($C177)=5,$C$4,IF(MONTH($C177)=6,$C$5,IF(MONTH($C177)=7,$C$6,"ERROR")))),1,0)</f>
        <v>0</v>
      </c>
      <c r="F177" s="26">
        <f>VLOOKUP($C177,COS!$B$8:$H$991,7,FALSE)</f>
        <v>51.514625549316406</v>
      </c>
      <c r="G177" s="24">
        <f>IF(F177&lt;=IF(MONTH($C177)=4,$F$3,IF(MONTH($C177)=5,$F$4,IF(MONTH($C177)=6,$F$5,IF(MONTH($C177)=7,$F$6,"ERROR")))),1,0)</f>
        <v>1</v>
      </c>
      <c r="H177" s="26">
        <f>IF(J177=1,D177-$C$4,0)</f>
        <v>0</v>
      </c>
      <c r="I177" s="26">
        <f t="shared" si="239"/>
        <v>0</v>
      </c>
      <c r="J177" s="24">
        <f t="shared" si="275"/>
        <v>0</v>
      </c>
      <c r="K177" s="26">
        <f>VLOOKUP($C177,COS!$B$8:$H$991,2,FALSE)</f>
        <v>4218.22314453125</v>
      </c>
      <c r="L177" s="24">
        <f t="shared" si="231"/>
        <v>1</v>
      </c>
      <c r="M177" s="24">
        <f t="shared" si="232"/>
        <v>0</v>
      </c>
      <c r="N177" s="26">
        <f>VLOOKUP($C177,COS!$B$8:$H$991,5,FALSE)</f>
        <v>465.70071411132813</v>
      </c>
      <c r="O177" s="26">
        <f t="shared" si="278"/>
        <v>28.634820768498194</v>
      </c>
      <c r="P177" s="26">
        <f>VLOOKUP($C177,COS!$B$8:$H$991,6,FALSE)</f>
        <v>1936.545654296875</v>
      </c>
      <c r="Q177" s="26">
        <f t="shared" si="279"/>
        <v>119.07355097494835</v>
      </c>
      <c r="R177" s="26">
        <f>MIN(IF(MONTH($C177)=4,$S$3,IF(MONTH($C177)=5,$S$4,IF(MONTH($C177)=6,$S$5,IF(MONTH($C177)=7,$S$6,"ERROR")))),MAX(VLOOKUP($C177,COS!$B$8:$K$991,10,FALSE)-IF(MONTH($C177)=4,$Y$3,IF(MONTH($C177)=5,$Y$4,IF(MONTH($C177)=6,$Y$5,IF(MONTH($C177)=7,$Y$6,"ERROR")))),0),MAX(VLOOKUP($C177,COS!$B$8:$K$991,9,FALSE)-IF(MONTH($C177)=4,$V$3,IF(MONTH($C177)=5,$V$4,IF(MONTH($C177)=6,$V$5,IF(MONTH($C177)=7,$V$6,"ERROR"))))-VLOOKUP($C177,COS!$B$8:$K$991,6,FALSE)/2,0))</f>
        <v>1500</v>
      </c>
      <c r="S177" s="26">
        <f t="shared" si="280"/>
        <v>92.231404958677686</v>
      </c>
      <c r="T177" s="26">
        <f t="shared" si="281"/>
        <v>166.08559083040097</v>
      </c>
      <c r="U177" s="26" t="str">
        <f>IF(VLOOKUP($C177,COS!$B$8:$I$991,8,FALSE)=1,"UWFE","IBU")</f>
        <v>UWFE</v>
      </c>
      <c r="V177" s="26">
        <f t="shared" ref="V177" si="283">MIN(IF(IF($AA$3=2,AND(E177=1,G177=1,L177=1,L181=1,M177=1,U177="IBU"),AND(E177=1,G177=1,L177=1,L181=1,M177=1)),T177,0),I177)</f>
        <v>0</v>
      </c>
      <c r="W177" s="26"/>
      <c r="X177" s="26"/>
      <c r="Y177" s="26"/>
      <c r="Z177" s="26"/>
      <c r="AA177" s="26"/>
      <c r="AB177" s="33"/>
    </row>
    <row r="178" spans="1:28" x14ac:dyDescent="0.3">
      <c r="A178" s="32">
        <f>VLOOKUP(YEAR(C178),Flags!$A$13:$B$95,2,FALSE)</f>
        <v>2</v>
      </c>
      <c r="B178" s="24">
        <f t="shared" si="225"/>
        <v>1940</v>
      </c>
      <c r="C178" s="25">
        <v>14792</v>
      </c>
      <c r="D178" s="26">
        <f>VLOOKUP($C178,COS!$B$8:$H$991,3,FALSE)</f>
        <v>9764.62109375</v>
      </c>
      <c r="E178" s="24">
        <f>IF(D178&gt;=IF(MONTH($C178)=4,$C$3,IF(MONTH($C178)=5,$C$4,IF(MONTH($C178)=6,$C$5,IF(MONTH($C178)=7,$C$6,"ERROR")))),1,0)</f>
        <v>0</v>
      </c>
      <c r="F178" s="26">
        <f>VLOOKUP($C178,COS!$B$8:$H$991,7,FALSE)</f>
        <v>51.442054748535156</v>
      </c>
      <c r="G178" s="24">
        <f>IF(F178&lt;=IF(MONTH($C178)=4,$F$3,IF(MONTH($C178)=5,$F$4,IF(MONTH($C178)=6,$F$5,IF(MONTH($C178)=7,$F$6,"ERROR")))),1,0)</f>
        <v>1</v>
      </c>
      <c r="H178" s="26">
        <f>IF(J178=1,D178-$C$5,0)</f>
        <v>0</v>
      </c>
      <c r="I178" s="26">
        <f t="shared" si="239"/>
        <v>0</v>
      </c>
      <c r="J178" s="24">
        <f t="shared" si="275"/>
        <v>0</v>
      </c>
      <c r="K178" s="26">
        <f>VLOOKUP($C178,COS!$B$8:$H$991,2,FALSE)</f>
        <v>3893.91650390625</v>
      </c>
      <c r="L178" s="24">
        <f t="shared" si="231"/>
        <v>1</v>
      </c>
      <c r="M178" s="24">
        <f t="shared" si="232"/>
        <v>0</v>
      </c>
      <c r="N178" s="26">
        <f>VLOOKUP($C178,COS!$B$8:$H$991,5,FALSE)</f>
        <v>885.69073486328125</v>
      </c>
      <c r="O178" s="26">
        <f t="shared" si="278"/>
        <v>52.702258603434913</v>
      </c>
      <c r="P178" s="26">
        <f>VLOOKUP($C178,COS!$B$8:$H$991,6,FALSE)</f>
        <v>2416.416259765625</v>
      </c>
      <c r="Q178" s="26">
        <f t="shared" si="279"/>
        <v>143.78675264721076</v>
      </c>
      <c r="R178" s="26">
        <f>MIN(IF(MONTH($C178)=4,$S$3,IF(MONTH($C178)=5,$S$4,IF(MONTH($C178)=6,$S$5,IF(MONTH($C178)=7,$S$6,"ERROR")))),MAX(VLOOKUP($C178,COS!$B$8:$K$991,10,FALSE)-IF(MONTH($C178)=4,$Y$3,IF(MONTH($C178)=5,$Y$4,IF(MONTH($C178)=6,$Y$5,IF(MONTH($C178)=7,$Y$6,"ERROR")))),0),MAX(VLOOKUP($C178,COS!$B$8:$K$991,9,FALSE)-IF(MONTH($C178)=4,$V$3,IF(MONTH($C178)=5,$V$4,IF(MONTH($C178)=6,$V$5,IF(MONTH($C178)=7,$V$6,"ERROR"))))-VLOOKUP($C178,COS!$B$8:$K$991,6,FALSE)/2,0))</f>
        <v>1500</v>
      </c>
      <c r="S178" s="26">
        <f t="shared" si="280"/>
        <v>89.256198347107429</v>
      </c>
      <c r="T178" s="26">
        <f t="shared" si="281"/>
        <v>187.50070397243024</v>
      </c>
      <c r="U178" s="26" t="str">
        <f>IF(VLOOKUP($C178,COS!$B$8:$I$991,8,FALSE)=1,"UWFE","IBU")</f>
        <v>IBU</v>
      </c>
      <c r="V178" s="26">
        <f t="shared" ref="V178" si="284">MIN(IF(IF($AA$3=2,AND(E178=1,G178=1,L178=1,L181=1,M178=1,U178="IBU"),AND(E178=1,G178=1,L178=1,L181=1,M178=1)),T178,0),I178)</f>
        <v>0</v>
      </c>
      <c r="W178" s="26"/>
      <c r="X178" s="26"/>
      <c r="Y178" s="26"/>
      <c r="Z178" s="26"/>
      <c r="AA178" s="26"/>
      <c r="AB178" s="33"/>
    </row>
    <row r="179" spans="1:28" x14ac:dyDescent="0.3">
      <c r="A179" s="32">
        <f>VLOOKUP(YEAR(C179),Flags!$A$13:$B$95,2,FALSE)</f>
        <v>2</v>
      </c>
      <c r="B179" s="24">
        <f t="shared" si="225"/>
        <v>1940</v>
      </c>
      <c r="C179" s="25">
        <v>14823</v>
      </c>
      <c r="D179" s="26">
        <f>VLOOKUP($C179,COS!$B$8:$H$991,3,FALSE)</f>
        <v>15730.8037109375</v>
      </c>
      <c r="E179" s="24">
        <f>IF(D179&gt;=IF(MONTH($C179)=4,$C$3,IF(MONTH($C179)=5,$C$4,IF(MONTH($C179)=6,$C$5,IF(MONTH($C179)=7,$C$6,"ERROR")))),1,0)</f>
        <v>1</v>
      </c>
      <c r="F179" s="26">
        <f>VLOOKUP($C179,COS!$B$8:$H$991,7,FALSE)</f>
        <v>51.379985809326172</v>
      </c>
      <c r="G179" s="24">
        <f>IF(F179&lt;=IF(MONTH($C179)=4,$F$3,IF(MONTH($C179)=5,$F$4,IF(MONTH($C179)=6,$F$5,IF(MONTH($C179)=7,$F$6,"ERROR")))),1,0)</f>
        <v>1</v>
      </c>
      <c r="H179" s="26">
        <f>IF(J179=1,D179-$C$6,0)</f>
        <v>3730.8037109375</v>
      </c>
      <c r="I179" s="26">
        <f t="shared" si="239"/>
        <v>229.39817858987604</v>
      </c>
      <c r="J179" s="24">
        <f t="shared" si="275"/>
        <v>1</v>
      </c>
      <c r="K179" s="26">
        <f>VLOOKUP($C179,COS!$B$8:$H$991,2,FALSE)</f>
        <v>3200</v>
      </c>
      <c r="L179" s="24">
        <f t="shared" si="231"/>
        <v>1</v>
      </c>
      <c r="M179" s="24">
        <f t="shared" si="232"/>
        <v>0</v>
      </c>
      <c r="N179" s="26">
        <f>VLOOKUP($C179,COS!$B$8:$H$991,5,FALSE)</f>
        <v>981.25543212890625</v>
      </c>
      <c r="O179" s="26">
        <f t="shared" si="278"/>
        <v>60.335044752388946</v>
      </c>
      <c r="P179" s="26">
        <f>VLOOKUP($C179,COS!$B$8:$H$991,6,FALSE)</f>
        <v>2562.892822265625</v>
      </c>
      <c r="Q179" s="26">
        <f t="shared" si="279"/>
        <v>157.58613717071282</v>
      </c>
      <c r="R179" s="26">
        <f>MIN(IF(MONTH($C179)=4,$S$3,IF(MONTH($C179)=5,$S$4,IF(MONTH($C179)=6,$S$5,IF(MONTH($C179)=7,$S$6,"ERROR")))),MAX(VLOOKUP($C179,COS!$B$8:$K$991,10,FALSE)-IF(MONTH($C179)=4,$Y$3,IF(MONTH($C179)=5,$Y$4,IF(MONTH($C179)=6,$Y$5,IF(MONTH($C179)=7,$Y$6,"ERROR")))),0),MAX(VLOOKUP($C179,COS!$B$8:$K$991,9,FALSE)-IF(MONTH($C179)=4,$V$3,IF(MONTH($C179)=5,$V$4,IF(MONTH($C179)=6,$V$5,IF(MONTH($C179)=7,$V$6,"ERROR"))))-VLOOKUP($C179,COS!$B$8:$K$991,6,FALSE)/2,0))</f>
        <v>1500</v>
      </c>
      <c r="S179" s="26">
        <f t="shared" si="280"/>
        <v>92.231404958677686</v>
      </c>
      <c r="T179" s="26">
        <f t="shared" si="281"/>
        <v>201.19199592022858</v>
      </c>
      <c r="U179" s="26" t="str">
        <f>IF(VLOOKUP($C179,COS!$B$8:$I$991,8,FALSE)=1,"UWFE","IBU")</f>
        <v>IBU</v>
      </c>
      <c r="V179" s="26">
        <f t="shared" ref="V179" si="285">MIN(IF(IF($AA$3=2,AND(E179=1,G179=1,L179=1,L181=1,M179=1,U179="IBU"),AND(E179=1,G179=1,L179=1,L181=1,M179=1)),T179,0),I179)</f>
        <v>0</v>
      </c>
      <c r="W179" s="26"/>
      <c r="X179" s="26"/>
      <c r="Y179" s="26"/>
      <c r="Z179" s="26"/>
      <c r="AA179" s="26"/>
      <c r="AB179" s="33"/>
    </row>
    <row r="180" spans="1:28" x14ac:dyDescent="0.3">
      <c r="A180" s="32">
        <f>VLOOKUP(YEAR(C180),Flags!$A$13:$B$95,2,FALSE)</f>
        <v>2</v>
      </c>
      <c r="B180" s="24">
        <f t="shared" si="225"/>
        <v>1940</v>
      </c>
      <c r="C180" s="25">
        <v>14854</v>
      </c>
      <c r="D180" s="26"/>
      <c r="E180" s="24"/>
      <c r="F180" s="26"/>
      <c r="G180" s="24"/>
      <c r="H180" s="24"/>
      <c r="I180" s="26"/>
      <c r="J180" s="24"/>
      <c r="K180" s="26"/>
      <c r="L180" s="24"/>
      <c r="M180" s="24"/>
      <c r="N180" s="26"/>
      <c r="O180" s="26"/>
      <c r="P180" s="26"/>
      <c r="Q180" s="26"/>
      <c r="R180" s="26"/>
      <c r="S180" s="26"/>
      <c r="T180" s="26"/>
      <c r="U180" s="26"/>
      <c r="V180" s="26"/>
      <c r="W180" s="26">
        <f>MAX($C$7-VLOOKUP($C180,COS!$B$8:$H$991,3,FALSE),0)</f>
        <v>88462.974609375</v>
      </c>
      <c r="X180" s="26">
        <f t="shared" si="245"/>
        <v>5439.3762900309921</v>
      </c>
      <c r="Y180" s="26">
        <f>VLOOKUP($C180,COS!$B$8:$H$991,4,FALSE)</f>
        <v>0</v>
      </c>
      <c r="Z180" s="26">
        <f t="shared" si="246"/>
        <v>0</v>
      </c>
      <c r="AA180" s="26">
        <f t="shared" ref="AA180:AA184" si="286">MIN(W180,Y180)</f>
        <v>0</v>
      </c>
      <c r="AB180" s="33">
        <f t="shared" ref="AB180" si="287">AA180*DAY($C180)*86400/43560/1000*IF(MONTH($C180)=8,$P$3,IF(MONTH($C180)=9,$P$4,IF(MONTH($C180)=10,$P$5,IF(MONTH($C180)=11,$P$6,IF(MONTH($C180)=12,$P$7,NA())))))</f>
        <v>0</v>
      </c>
    </row>
    <row r="181" spans="1:28" x14ac:dyDescent="0.3">
      <c r="A181" s="32">
        <f>VLOOKUP(YEAR(C181),Flags!$A$13:$B$95,2,FALSE)</f>
        <v>2</v>
      </c>
      <c r="B181" s="24">
        <f t="shared" si="225"/>
        <v>1940</v>
      </c>
      <c r="C181" s="25">
        <v>14884</v>
      </c>
      <c r="D181" s="26"/>
      <c r="E181" s="24"/>
      <c r="F181" s="26"/>
      <c r="G181" s="24"/>
      <c r="H181" s="24"/>
      <c r="I181" s="26"/>
      <c r="J181" s="24"/>
      <c r="K181" s="26">
        <f>VLOOKUP($C181,COS!$B$8:$H$991,2,FALSE)</f>
        <v>2472.069580078125</v>
      </c>
      <c r="L181" s="24">
        <f t="shared" ref="L181" si="288">IF(AND(K181&gt;$I$7,K181&lt;$I$8),1,0)</f>
        <v>1</v>
      </c>
      <c r="M181" s="24"/>
      <c r="N181" s="26"/>
      <c r="O181" s="26"/>
      <c r="P181" s="26"/>
      <c r="Q181" s="26"/>
      <c r="R181" s="26"/>
      <c r="S181" s="26"/>
      <c r="T181" s="26"/>
      <c r="U181" s="26"/>
      <c r="V181" s="26"/>
      <c r="W181" s="26">
        <f>MAX($C$8-VLOOKUP($C181,COS!$B$8:$H$991,3,FALSE),0)</f>
        <v>90576.14453125</v>
      </c>
      <c r="X181" s="26">
        <f t="shared" si="245"/>
        <v>5389.6548811983475</v>
      </c>
      <c r="Y181" s="26">
        <f>VLOOKUP($C181,COS!$B$8:$H$991,4,FALSE)</f>
        <v>254.33448791503906</v>
      </c>
      <c r="Z181" s="26">
        <f t="shared" si="246"/>
        <v>15.133952999903151</v>
      </c>
      <c r="AA181" s="26">
        <f t="shared" si="286"/>
        <v>254.33448791503906</v>
      </c>
      <c r="AB181" s="33">
        <f t="shared" si="243"/>
        <v>15.133952999903151</v>
      </c>
    </row>
    <row r="182" spans="1:28" x14ac:dyDescent="0.3">
      <c r="A182" s="32">
        <f>VLOOKUP(YEAR(C182),Flags!$A$13:$B$95,2,FALSE)</f>
        <v>2</v>
      </c>
      <c r="B182" s="24">
        <f t="shared" si="225"/>
        <v>1940</v>
      </c>
      <c r="C182" s="25">
        <v>14915</v>
      </c>
      <c r="D182" s="26"/>
      <c r="E182" s="24"/>
      <c r="F182" s="26"/>
      <c r="G182" s="26"/>
      <c r="H182" s="26"/>
      <c r="I182" s="26"/>
      <c r="J182" s="26"/>
      <c r="K182" s="26"/>
      <c r="L182" s="24"/>
      <c r="M182" s="24"/>
      <c r="N182" s="26"/>
      <c r="O182" s="26"/>
      <c r="P182" s="26"/>
      <c r="Q182" s="26"/>
      <c r="R182" s="26"/>
      <c r="S182" s="26"/>
      <c r="T182" s="26"/>
      <c r="U182" s="26"/>
      <c r="V182" s="26"/>
      <c r="W182" s="26">
        <f>MAX($C$9-VLOOKUP($C182,COS!$B$8:$H$991,3,FALSE),0)</f>
        <v>93346.93359375</v>
      </c>
      <c r="X182" s="26">
        <f t="shared" si="245"/>
        <v>5739.6792226239668</v>
      </c>
      <c r="Y182" s="26">
        <f>VLOOKUP($C182,COS!$B$8:$H$991,4,FALSE)</f>
        <v>785.3338623046875</v>
      </c>
      <c r="Z182" s="26">
        <f t="shared" si="246"/>
        <v>48.288296987990705</v>
      </c>
      <c r="AA182" s="26">
        <f t="shared" si="286"/>
        <v>785.3338623046875</v>
      </c>
      <c r="AB182" s="33">
        <f t="shared" si="243"/>
        <v>48.288296987990705</v>
      </c>
    </row>
    <row r="183" spans="1:28" x14ac:dyDescent="0.3">
      <c r="A183" s="32">
        <f>VLOOKUP(YEAR(C183),Flags!$A$13:$B$95,2,FALSE)</f>
        <v>2</v>
      </c>
      <c r="B183" s="24">
        <f t="shared" si="225"/>
        <v>1940</v>
      </c>
      <c r="C183" s="25">
        <v>14945</v>
      </c>
      <c r="D183" s="26"/>
      <c r="E183" s="24"/>
      <c r="F183" s="26"/>
      <c r="G183" s="26"/>
      <c r="H183" s="26"/>
      <c r="I183" s="26"/>
      <c r="J183" s="26"/>
      <c r="K183" s="26"/>
      <c r="L183" s="24"/>
      <c r="M183" s="24"/>
      <c r="N183" s="26"/>
      <c r="O183" s="26"/>
      <c r="P183" s="26"/>
      <c r="Q183" s="26"/>
      <c r="R183" s="26"/>
      <c r="S183" s="26"/>
      <c r="T183" s="26"/>
      <c r="U183" s="26"/>
      <c r="V183" s="26"/>
      <c r="W183" s="26">
        <f>MAX($C$10-VLOOKUP($C183,COS!$B$8:$H$991,3,FALSE),0)</f>
        <v>92458.0693359375</v>
      </c>
      <c r="X183" s="26">
        <f t="shared" si="245"/>
        <v>5501.6371836260332</v>
      </c>
      <c r="Y183" s="26">
        <f>VLOOKUP($C183,COS!$B$8:$H$991,4,FALSE)</f>
        <v>1105.5103759765625</v>
      </c>
      <c r="Z183" s="26">
        <f t="shared" si="246"/>
        <v>65.782435595299589</v>
      </c>
      <c r="AA183" s="26">
        <f t="shared" si="286"/>
        <v>1105.5103759765625</v>
      </c>
      <c r="AB183" s="33">
        <f t="shared" si="243"/>
        <v>32.891217797649794</v>
      </c>
    </row>
    <row r="184" spans="1:28" x14ac:dyDescent="0.3">
      <c r="A184" s="34">
        <f>VLOOKUP(YEAR(C184),Flags!$A$13:$B$95,2,FALSE)</f>
        <v>2</v>
      </c>
      <c r="B184" s="35">
        <f t="shared" si="225"/>
        <v>1940</v>
      </c>
      <c r="C184" s="36">
        <v>14976</v>
      </c>
      <c r="D184" s="37"/>
      <c r="E184" s="35"/>
      <c r="F184" s="37"/>
      <c r="G184" s="37"/>
      <c r="H184" s="37"/>
      <c r="I184" s="37"/>
      <c r="J184" s="37"/>
      <c r="K184" s="37"/>
      <c r="L184" s="35"/>
      <c r="M184" s="35"/>
      <c r="N184" s="37"/>
      <c r="O184" s="37"/>
      <c r="P184" s="37"/>
      <c r="Q184" s="37"/>
      <c r="R184" s="37"/>
      <c r="S184" s="37"/>
      <c r="T184" s="37"/>
      <c r="U184" s="37"/>
      <c r="V184" s="37"/>
      <c r="W184" s="37">
        <f>MAX($C$11-VLOOKUP($C184,COS!$B$8:$H$991,3,FALSE),0)</f>
        <v>0</v>
      </c>
      <c r="X184" s="37">
        <f t="shared" si="245"/>
        <v>0</v>
      </c>
      <c r="Y184" s="37">
        <f>VLOOKUP($C184,COS!$B$8:$H$991,4,FALSE)</f>
        <v>0</v>
      </c>
      <c r="Z184" s="37">
        <f t="shared" si="246"/>
        <v>0</v>
      </c>
      <c r="AA184" s="37">
        <f t="shared" si="286"/>
        <v>0</v>
      </c>
      <c r="AB184" s="38">
        <f t="shared" si="243"/>
        <v>0</v>
      </c>
    </row>
    <row r="185" spans="1:28" x14ac:dyDescent="0.3">
      <c r="A185" s="27">
        <f>VLOOKUP(YEAR(C185),Flags!$A$13:$B$95,2,FALSE)</f>
        <v>1</v>
      </c>
      <c r="B185" s="28">
        <f t="shared" si="225"/>
        <v>1941</v>
      </c>
      <c r="C185" s="29">
        <v>15096</v>
      </c>
      <c r="D185" s="30">
        <f>VLOOKUP($C185,COS!$B$8:$H$991,3,FALSE)</f>
        <v>13347.38671875</v>
      </c>
      <c r="E185" s="28">
        <f>IF(D185&gt;=IF(MONTH($C185)=4,$C$3,IF(MONTH($C185)=5,$C$4,IF(MONTH($C185)=6,$C$5,IF(MONTH($C185)=7,$C$6,"ERROR")))),1,0)</f>
        <v>1</v>
      </c>
      <c r="F185" s="30">
        <f>VLOOKUP($C185,COS!$B$8:$H$991,7,FALSE)</f>
        <v>47.10235595703125</v>
      </c>
      <c r="G185" s="28">
        <f>IF(F185&lt;=IF(MONTH($C185)=4,$F$3,IF(MONTH($C185)=5,$F$4,IF(MONTH($C185)=6,$F$5,IF(MONTH($C185)=7,$F$6,"ERROR")))),1,0)</f>
        <v>1</v>
      </c>
      <c r="H185" s="30">
        <f>IF(J185=1,D185-$C$3,0)</f>
        <v>7347.38671875</v>
      </c>
      <c r="I185" s="30">
        <f t="shared" si="239"/>
        <v>437.1998708677686</v>
      </c>
      <c r="J185" s="28">
        <f t="shared" ref="J185:J188" si="289">IF(AND(E185=1,G185=1),1,0)</f>
        <v>1</v>
      </c>
      <c r="K185" s="30">
        <f>VLOOKUP($C185,COS!$B$8:$H$991,2,FALSE)</f>
        <v>4456</v>
      </c>
      <c r="L185" s="28">
        <f t="shared" ref="L185" si="290">IF(K185&lt;=IF(MONTH($C185)=4,$I$3,IF(MONTH($C185)=5,$I$4,IF(MONTH($C185)=6,$I$5,IF(MONTH($C185)=7,$I$6,"ERROR")))),1,0)</f>
        <v>1</v>
      </c>
      <c r="M185" s="28">
        <f t="shared" ref="M185" si="291">VLOOKUP($A185,$L$3:$M$7,2,FALSE)</f>
        <v>0</v>
      </c>
      <c r="N185" s="30">
        <f>VLOOKUP($C185,COS!$B$8:$H$991,5,FALSE)</f>
        <v>23.296117782592773</v>
      </c>
      <c r="O185" s="30">
        <f t="shared" ref="O185:O188" si="292">N185*DAY($C185)*86400/43560/1000</f>
        <v>1.3862152730137849</v>
      </c>
      <c r="P185" s="30">
        <f>VLOOKUP($C185,COS!$B$8:$H$991,6,FALSE)</f>
        <v>258.51828002929688</v>
      </c>
      <c r="Q185" s="30">
        <f t="shared" ref="Q185:Q188" si="293">P185*DAY($C185)*86400/43560/1000</f>
        <v>15.382905919098658</v>
      </c>
      <c r="R185" s="30">
        <f>MIN(IF(MONTH($C185)=4,$S$3,IF(MONTH($C185)=5,$S$4,IF(MONTH($C185)=6,$S$5,IF(MONTH($C185)=7,$S$6,"ERROR")))),MAX(VLOOKUP($C185,COS!$B$8:$K$991,10,FALSE)-IF(MONTH($C185)=4,$Y$3,IF(MONTH($C185)=5,$Y$4,IF(MONTH($C185)=6,$Y$5,IF(MONTH($C185)=7,$Y$6,"ERROR")))),0),MAX(VLOOKUP($C185,COS!$B$8:$K$991,9,FALSE)-IF(MONTH($C185)=4,$V$3,IF(MONTH($C185)=5,$V$4,IF(MONTH($C185)=6,$V$5,IF(MONTH($C185)=7,$V$6,"ERROR"))))-VLOOKUP($C185,COS!$B$8:$K$991,6,FALSE)/2,0))</f>
        <v>1500</v>
      </c>
      <c r="S185" s="30">
        <f t="shared" ref="S185:S188" si="294">R185*DAY($C185)*86400/43560/1000</f>
        <v>89.256198347107429</v>
      </c>
      <c r="T185" s="30">
        <f t="shared" ref="T185:T188" si="295">(O185+Q185)/2+S185</f>
        <v>97.640758943163647</v>
      </c>
      <c r="U185" s="30" t="str">
        <f>IF(VLOOKUP($C185,COS!$B$8:$I$991,8,FALSE)=1,"UWFE","IBU")</f>
        <v>UWFE</v>
      </c>
      <c r="V185" s="30">
        <f t="shared" ref="V185" si="296">MIN(IF(IF($AA$3=2,AND(E185=1,G185=1,L185=1,L190=1,M185=1,U185="IBU"),AND(E185=1,G185=1,L185=1,L190=1,M185=1)),T185,0),I185)</f>
        <v>0</v>
      </c>
      <c r="W185" s="30"/>
      <c r="X185" s="30"/>
      <c r="Y185" s="30"/>
      <c r="Z185" s="30"/>
      <c r="AA185" s="30"/>
      <c r="AB185" s="31"/>
    </row>
    <row r="186" spans="1:28" x14ac:dyDescent="0.3">
      <c r="A186" s="32">
        <f>VLOOKUP(YEAR(C186),Flags!$A$13:$B$95,2,FALSE)</f>
        <v>1</v>
      </c>
      <c r="B186" s="24">
        <f t="shared" si="225"/>
        <v>1941</v>
      </c>
      <c r="C186" s="25">
        <v>15127</v>
      </c>
      <c r="D186" s="26">
        <f>VLOOKUP($C186,COS!$B$8:$H$991,3,FALSE)</f>
        <v>11196.62890625</v>
      </c>
      <c r="E186" s="24">
        <f>IF(D186&gt;=IF(MONTH($C186)=4,$C$3,IF(MONTH($C186)=5,$C$4,IF(MONTH($C186)=6,$C$5,IF(MONTH($C186)=7,$C$6,"ERROR")))),1,0)</f>
        <v>1</v>
      </c>
      <c r="F186" s="26">
        <f>VLOOKUP($C186,COS!$B$8:$H$991,7,FALSE)</f>
        <v>49.271575927734375</v>
      </c>
      <c r="G186" s="24">
        <f>IF(F186&lt;=IF(MONTH($C186)=4,$F$3,IF(MONTH($C186)=5,$F$4,IF(MONTH($C186)=6,$F$5,IF(MONTH($C186)=7,$F$6,"ERROR")))),1,0)</f>
        <v>1</v>
      </c>
      <c r="H186" s="26">
        <f>IF(J186=1,D186-$C$4,0)</f>
        <v>5196.62890625</v>
      </c>
      <c r="I186" s="26">
        <f t="shared" si="239"/>
        <v>319.52825671487602</v>
      </c>
      <c r="J186" s="24">
        <f t="shared" si="289"/>
        <v>1</v>
      </c>
      <c r="K186" s="26">
        <f>VLOOKUP($C186,COS!$B$8:$H$991,2,FALSE)</f>
        <v>4552</v>
      </c>
      <c r="L186" s="24">
        <f t="shared" si="231"/>
        <v>1</v>
      </c>
      <c r="M186" s="24">
        <f t="shared" si="232"/>
        <v>0</v>
      </c>
      <c r="N186" s="26">
        <f>VLOOKUP($C186,COS!$B$8:$H$991,5,FALSE)</f>
        <v>416.04388427734375</v>
      </c>
      <c r="O186" s="26">
        <f t="shared" si="292"/>
        <v>25.581541314243285</v>
      </c>
      <c r="P186" s="26">
        <f>VLOOKUP($C186,COS!$B$8:$H$991,6,FALSE)</f>
        <v>1881.5819091796875</v>
      </c>
      <c r="Q186" s="26">
        <f t="shared" si="293"/>
        <v>115.69396201898243</v>
      </c>
      <c r="R186" s="26">
        <f>MIN(IF(MONTH($C186)=4,$S$3,IF(MONTH($C186)=5,$S$4,IF(MONTH($C186)=6,$S$5,IF(MONTH($C186)=7,$S$6,"ERROR")))),MAX(VLOOKUP($C186,COS!$B$8:$K$991,10,FALSE)-IF(MONTH($C186)=4,$Y$3,IF(MONTH($C186)=5,$Y$4,IF(MONTH($C186)=6,$Y$5,IF(MONTH($C186)=7,$Y$6,"ERROR")))),0),MAX(VLOOKUP($C186,COS!$B$8:$K$991,9,FALSE)-IF(MONTH($C186)=4,$V$3,IF(MONTH($C186)=5,$V$4,IF(MONTH($C186)=6,$V$5,IF(MONTH($C186)=7,$V$6,"ERROR"))))-VLOOKUP($C186,COS!$B$8:$K$991,6,FALSE)/2,0))</f>
        <v>1500</v>
      </c>
      <c r="S186" s="26">
        <f t="shared" si="294"/>
        <v>92.231404958677686</v>
      </c>
      <c r="T186" s="26">
        <f t="shared" si="295"/>
        <v>162.86915662529054</v>
      </c>
      <c r="U186" s="26" t="str">
        <f>IF(VLOOKUP($C186,COS!$B$8:$I$991,8,FALSE)=1,"UWFE","IBU")</f>
        <v>UWFE</v>
      </c>
      <c r="V186" s="26">
        <f t="shared" ref="V186" si="297">MIN(IF(IF($AA$3=2,AND(E186=1,G186=1,L186=1,L190=1,M186=1,U186="IBU"),AND(E186=1,G186=1,L186=1,L190=1,M186=1)),T186,0),I186)</f>
        <v>0</v>
      </c>
      <c r="W186" s="26"/>
      <c r="X186" s="26"/>
      <c r="Y186" s="26"/>
      <c r="Z186" s="26"/>
      <c r="AA186" s="26"/>
      <c r="AB186" s="33"/>
    </row>
    <row r="187" spans="1:28" x14ac:dyDescent="0.3">
      <c r="A187" s="32">
        <f>VLOOKUP(YEAR(C187),Flags!$A$13:$B$95,2,FALSE)</f>
        <v>1</v>
      </c>
      <c r="B187" s="24">
        <f t="shared" si="225"/>
        <v>1941</v>
      </c>
      <c r="C187" s="25">
        <v>15157</v>
      </c>
      <c r="D187" s="26">
        <f>VLOOKUP($C187,COS!$B$8:$H$991,3,FALSE)</f>
        <v>7959.45068359375</v>
      </c>
      <c r="E187" s="24">
        <f>IF(D187&gt;=IF(MONTH($C187)=4,$C$3,IF(MONTH($C187)=5,$C$4,IF(MONTH($C187)=6,$C$5,IF(MONTH($C187)=7,$C$6,"ERROR")))),1,0)</f>
        <v>0</v>
      </c>
      <c r="F187" s="26">
        <f>VLOOKUP($C187,COS!$B$8:$H$991,7,FALSE)</f>
        <v>51.485713958740234</v>
      </c>
      <c r="G187" s="24">
        <f>IF(F187&lt;=IF(MONTH($C187)=4,$F$3,IF(MONTH($C187)=5,$F$4,IF(MONTH($C187)=6,$F$5,IF(MONTH($C187)=7,$F$6,"ERROR")))),1,0)</f>
        <v>1</v>
      </c>
      <c r="H187" s="26">
        <f>IF(J187=1,D187-$C$5,0)</f>
        <v>0</v>
      </c>
      <c r="I187" s="26">
        <f t="shared" si="239"/>
        <v>0</v>
      </c>
      <c r="J187" s="24">
        <f t="shared" si="289"/>
        <v>0</v>
      </c>
      <c r="K187" s="26">
        <f>VLOOKUP($C187,COS!$B$8:$H$991,2,FALSE)</f>
        <v>4473.59912109375</v>
      </c>
      <c r="L187" s="24">
        <f t="shared" si="231"/>
        <v>1</v>
      </c>
      <c r="M187" s="24">
        <f t="shared" si="232"/>
        <v>0</v>
      </c>
      <c r="N187" s="26">
        <f>VLOOKUP($C187,COS!$B$8:$H$991,5,FALSE)</f>
        <v>1200.7138671875</v>
      </c>
      <c r="O187" s="26">
        <f t="shared" si="292"/>
        <v>71.447436725206614</v>
      </c>
      <c r="P187" s="26">
        <f>VLOOKUP($C187,COS!$B$8:$H$991,6,FALSE)</f>
        <v>2235.81640625</v>
      </c>
      <c r="Q187" s="26">
        <f t="shared" si="293"/>
        <v>133.04031508264464</v>
      </c>
      <c r="R187" s="26">
        <f>MIN(IF(MONTH($C187)=4,$S$3,IF(MONTH($C187)=5,$S$4,IF(MONTH($C187)=6,$S$5,IF(MONTH($C187)=7,$S$6,"ERROR")))),MAX(VLOOKUP($C187,COS!$B$8:$K$991,10,FALSE)-IF(MONTH($C187)=4,$Y$3,IF(MONTH($C187)=5,$Y$4,IF(MONTH($C187)=6,$Y$5,IF(MONTH($C187)=7,$Y$6,"ERROR")))),0),MAX(VLOOKUP($C187,COS!$B$8:$K$991,9,FALSE)-IF(MONTH($C187)=4,$V$3,IF(MONTH($C187)=5,$V$4,IF(MONTH($C187)=6,$V$5,IF(MONTH($C187)=7,$V$6,"ERROR"))))-VLOOKUP($C187,COS!$B$8:$K$991,6,FALSE)/2,0))</f>
        <v>1500</v>
      </c>
      <c r="S187" s="26">
        <f t="shared" si="294"/>
        <v>89.256198347107429</v>
      </c>
      <c r="T187" s="26">
        <f t="shared" si="295"/>
        <v>191.50007425103306</v>
      </c>
      <c r="U187" s="26" t="str">
        <f>IF(VLOOKUP($C187,COS!$B$8:$I$991,8,FALSE)=1,"UWFE","IBU")</f>
        <v>UWFE</v>
      </c>
      <c r="V187" s="26">
        <f t="shared" ref="V187" si="298">MIN(IF(IF($AA$3=2,AND(E187=1,G187=1,L187=1,L190=1,M187=1,U187="IBU"),AND(E187=1,G187=1,L187=1,L190=1,M187=1)),T187,0),I187)</f>
        <v>0</v>
      </c>
      <c r="W187" s="26"/>
      <c r="X187" s="26"/>
      <c r="Y187" s="26"/>
      <c r="Z187" s="26"/>
      <c r="AA187" s="26"/>
      <c r="AB187" s="33"/>
    </row>
    <row r="188" spans="1:28" x14ac:dyDescent="0.3">
      <c r="A188" s="32">
        <f>VLOOKUP(YEAR(C188),Flags!$A$13:$B$95,2,FALSE)</f>
        <v>1</v>
      </c>
      <c r="B188" s="24">
        <f t="shared" si="225"/>
        <v>1941</v>
      </c>
      <c r="C188" s="25">
        <v>15188</v>
      </c>
      <c r="D188" s="26">
        <f>VLOOKUP($C188,COS!$B$8:$H$991,3,FALSE)</f>
        <v>13357.740234375</v>
      </c>
      <c r="E188" s="24">
        <f>IF(D188&gt;=IF(MONTH($C188)=4,$C$3,IF(MONTH($C188)=5,$C$4,IF(MONTH($C188)=6,$C$5,IF(MONTH($C188)=7,$C$6,"ERROR")))),1,0)</f>
        <v>1</v>
      </c>
      <c r="F188" s="26">
        <f>VLOOKUP($C188,COS!$B$8:$H$991,7,FALSE)</f>
        <v>52.457145690917969</v>
      </c>
      <c r="G188" s="24">
        <f>IF(F188&lt;=IF(MONTH($C188)=4,$F$3,IF(MONTH($C188)=5,$F$4,IF(MONTH($C188)=6,$F$5,IF(MONTH($C188)=7,$F$6,"ERROR")))),1,0)</f>
        <v>1</v>
      </c>
      <c r="H188" s="26">
        <f>IF(J188=1,D188-$C$6,0)</f>
        <v>1357.740234375</v>
      </c>
      <c r="I188" s="26">
        <f t="shared" si="239"/>
        <v>83.484192923553721</v>
      </c>
      <c r="J188" s="24">
        <f t="shared" si="289"/>
        <v>1</v>
      </c>
      <c r="K188" s="26">
        <f>VLOOKUP($C188,COS!$B$8:$H$991,2,FALSE)</f>
        <v>4107.0615234375</v>
      </c>
      <c r="L188" s="24">
        <f t="shared" si="231"/>
        <v>1</v>
      </c>
      <c r="M188" s="24">
        <f t="shared" si="232"/>
        <v>0</v>
      </c>
      <c r="N188" s="26">
        <f>VLOOKUP($C188,COS!$B$8:$H$991,5,FALSE)</f>
        <v>1380.17529296875</v>
      </c>
      <c r="O188" s="26">
        <f t="shared" si="292"/>
        <v>84.863670906508275</v>
      </c>
      <c r="P188" s="26">
        <f>VLOOKUP($C188,COS!$B$8:$H$991,6,FALSE)</f>
        <v>2616.67822265625</v>
      </c>
      <c r="Q188" s="26">
        <f t="shared" si="293"/>
        <v>160.89327253357436</v>
      </c>
      <c r="R188" s="26">
        <f>MIN(IF(MONTH($C188)=4,$S$3,IF(MONTH($C188)=5,$S$4,IF(MONTH($C188)=6,$S$5,IF(MONTH($C188)=7,$S$6,"ERROR")))),MAX(VLOOKUP($C188,COS!$B$8:$K$991,10,FALSE)-IF(MONTH($C188)=4,$Y$3,IF(MONTH($C188)=5,$Y$4,IF(MONTH($C188)=6,$Y$5,IF(MONTH($C188)=7,$Y$6,"ERROR")))),0),MAX(VLOOKUP($C188,COS!$B$8:$K$991,9,FALSE)-IF(MONTH($C188)=4,$V$3,IF(MONTH($C188)=5,$V$4,IF(MONTH($C188)=6,$V$5,IF(MONTH($C188)=7,$V$6,"ERROR"))))-VLOOKUP($C188,COS!$B$8:$K$991,6,FALSE)/2,0))</f>
        <v>1500</v>
      </c>
      <c r="S188" s="26">
        <f t="shared" si="294"/>
        <v>92.231404958677686</v>
      </c>
      <c r="T188" s="26">
        <f t="shared" si="295"/>
        <v>215.10987667871899</v>
      </c>
      <c r="U188" s="26" t="str">
        <f>IF(VLOOKUP($C188,COS!$B$8:$I$991,8,FALSE)=1,"UWFE","IBU")</f>
        <v>IBU</v>
      </c>
      <c r="V188" s="26">
        <f t="shared" ref="V188" si="299">MIN(IF(IF($AA$3=2,AND(E188=1,G188=1,L188=1,L190=1,M188=1,U188="IBU"),AND(E188=1,G188=1,L188=1,L190=1,M188=1)),T188,0),I188)</f>
        <v>0</v>
      </c>
      <c r="W188" s="26"/>
      <c r="X188" s="26"/>
      <c r="Y188" s="26"/>
      <c r="Z188" s="26"/>
      <c r="AA188" s="26"/>
      <c r="AB188" s="33"/>
    </row>
    <row r="189" spans="1:28" x14ac:dyDescent="0.3">
      <c r="A189" s="32">
        <f>VLOOKUP(YEAR(C189),Flags!$A$13:$B$95,2,FALSE)</f>
        <v>1</v>
      </c>
      <c r="B189" s="24">
        <f t="shared" si="225"/>
        <v>1941</v>
      </c>
      <c r="C189" s="25">
        <v>15219</v>
      </c>
      <c r="D189" s="26"/>
      <c r="E189" s="24"/>
      <c r="F189" s="26"/>
      <c r="G189" s="24"/>
      <c r="H189" s="24"/>
      <c r="I189" s="26"/>
      <c r="J189" s="24"/>
      <c r="K189" s="26"/>
      <c r="L189" s="24"/>
      <c r="M189" s="24"/>
      <c r="N189" s="26"/>
      <c r="O189" s="26"/>
      <c r="P189" s="26"/>
      <c r="Q189" s="26"/>
      <c r="R189" s="26"/>
      <c r="S189" s="26"/>
      <c r="T189" s="26"/>
      <c r="U189" s="26"/>
      <c r="V189" s="26"/>
      <c r="W189" s="26">
        <f>MAX($C$7-VLOOKUP($C189,COS!$B$8:$H$991,3,FALSE),0)</f>
        <v>88126.173828125</v>
      </c>
      <c r="X189" s="26">
        <f t="shared" si="245"/>
        <v>5418.6672172004137</v>
      </c>
      <c r="Y189" s="26">
        <f>VLOOKUP($C189,COS!$B$8:$H$991,4,FALSE)</f>
        <v>41.871162414550781</v>
      </c>
      <c r="Z189" s="26">
        <f t="shared" si="246"/>
        <v>2.5745574244979985</v>
      </c>
      <c r="AA189" s="26">
        <f t="shared" ref="AA189:AA193" si="300">MIN(W189,Y189)</f>
        <v>41.871162414550781</v>
      </c>
      <c r="AB189" s="33">
        <f t="shared" ref="AB189" si="301">AA189*DAY($C189)*86400/43560/1000*IF(MONTH($C189)=8,$P$3,IF(MONTH($C189)=9,$P$4,IF(MONTH($C189)=10,$P$5,IF(MONTH($C189)=11,$P$6,IF(MONTH($C189)=12,$P$7,NA())))))</f>
        <v>2.5745574244979985</v>
      </c>
    </row>
    <row r="190" spans="1:28" x14ac:dyDescent="0.3">
      <c r="A190" s="32">
        <f>VLOOKUP(YEAR(C190),Flags!$A$13:$B$95,2,FALSE)</f>
        <v>1</v>
      </c>
      <c r="B190" s="24">
        <f t="shared" si="225"/>
        <v>1941</v>
      </c>
      <c r="C190" s="25">
        <v>15249</v>
      </c>
      <c r="D190" s="26"/>
      <c r="E190" s="24"/>
      <c r="F190" s="26"/>
      <c r="G190" s="24"/>
      <c r="H190" s="24"/>
      <c r="I190" s="26"/>
      <c r="J190" s="24"/>
      <c r="K190" s="26">
        <f>VLOOKUP($C190,COS!$B$8:$H$991,2,FALSE)</f>
        <v>3115.0087890625</v>
      </c>
      <c r="L190" s="24">
        <f t="shared" ref="L190" si="302">IF(AND(K190&gt;$I$7,K190&lt;$I$8),1,0)</f>
        <v>1</v>
      </c>
      <c r="M190" s="24"/>
      <c r="N190" s="26"/>
      <c r="O190" s="26"/>
      <c r="P190" s="26"/>
      <c r="Q190" s="26"/>
      <c r="R190" s="26"/>
      <c r="S190" s="26"/>
      <c r="T190" s="26"/>
      <c r="U190" s="26"/>
      <c r="V190" s="26"/>
      <c r="W190" s="26">
        <f>MAX($C$8-VLOOKUP($C190,COS!$B$8:$H$991,3,FALSE),0)</f>
        <v>83265.279296875</v>
      </c>
      <c r="X190" s="26">
        <f t="shared" si="245"/>
        <v>4954.6281895661159</v>
      </c>
      <c r="Y190" s="26">
        <f>VLOOKUP($C190,COS!$B$8:$H$991,4,FALSE)</f>
        <v>125.05797576904297</v>
      </c>
      <c r="Z190" s="26">
        <f t="shared" si="246"/>
        <v>7.4414663267529706</v>
      </c>
      <c r="AA190" s="26">
        <f t="shared" si="300"/>
        <v>125.05797576904297</v>
      </c>
      <c r="AB190" s="33">
        <f t="shared" si="243"/>
        <v>7.4414663267529706</v>
      </c>
    </row>
    <row r="191" spans="1:28" x14ac:dyDescent="0.3">
      <c r="A191" s="32">
        <f>VLOOKUP(YEAR(C191),Flags!$A$13:$B$95,2,FALSE)</f>
        <v>1</v>
      </c>
      <c r="B191" s="24">
        <f t="shared" si="225"/>
        <v>1941</v>
      </c>
      <c r="C191" s="25">
        <v>15280</v>
      </c>
      <c r="D191" s="26"/>
      <c r="E191" s="24"/>
      <c r="F191" s="26"/>
      <c r="G191" s="26"/>
      <c r="H191" s="26"/>
      <c r="I191" s="26"/>
      <c r="J191" s="26"/>
      <c r="K191" s="26"/>
      <c r="L191" s="24"/>
      <c r="M191" s="24"/>
      <c r="N191" s="26"/>
      <c r="O191" s="26"/>
      <c r="P191" s="26"/>
      <c r="Q191" s="26"/>
      <c r="R191" s="26"/>
      <c r="S191" s="26"/>
      <c r="T191" s="26"/>
      <c r="U191" s="26"/>
      <c r="V191" s="26"/>
      <c r="W191" s="26">
        <f>MAX($C$9-VLOOKUP($C191,COS!$B$8:$H$991,3,FALSE),0)</f>
        <v>93057.919921875</v>
      </c>
      <c r="X191" s="26">
        <f t="shared" si="245"/>
        <v>5721.908464617768</v>
      </c>
      <c r="Y191" s="26">
        <f>VLOOKUP($C191,COS!$B$8:$H$991,4,FALSE)</f>
        <v>404.5906982421875</v>
      </c>
      <c r="Z191" s="26">
        <f t="shared" si="246"/>
        <v>24.877312354726239</v>
      </c>
      <c r="AA191" s="26">
        <f t="shared" si="300"/>
        <v>404.5906982421875</v>
      </c>
      <c r="AB191" s="33">
        <f t="shared" si="243"/>
        <v>24.877312354726239</v>
      </c>
    </row>
    <row r="192" spans="1:28" x14ac:dyDescent="0.3">
      <c r="A192" s="32">
        <f>VLOOKUP(YEAR(C192),Flags!$A$13:$B$95,2,FALSE)</f>
        <v>1</v>
      </c>
      <c r="B192" s="24">
        <f t="shared" si="225"/>
        <v>1941</v>
      </c>
      <c r="C192" s="25">
        <v>15310</v>
      </c>
      <c r="D192" s="26"/>
      <c r="E192" s="24"/>
      <c r="F192" s="26"/>
      <c r="G192" s="26"/>
      <c r="H192" s="26"/>
      <c r="I192" s="26"/>
      <c r="J192" s="26"/>
      <c r="K192" s="26"/>
      <c r="L192" s="24"/>
      <c r="M192" s="24"/>
      <c r="N192" s="26"/>
      <c r="O192" s="26"/>
      <c r="P192" s="26"/>
      <c r="Q192" s="26"/>
      <c r="R192" s="26"/>
      <c r="S192" s="26"/>
      <c r="T192" s="26"/>
      <c r="U192" s="26"/>
      <c r="V192" s="26"/>
      <c r="W192" s="26">
        <f>MAX($C$10-VLOOKUP($C192,COS!$B$8:$H$991,3,FALSE),0)</f>
        <v>90006.765625</v>
      </c>
      <c r="X192" s="26">
        <f t="shared" si="245"/>
        <v>5355.7744834710738</v>
      </c>
      <c r="Y192" s="26">
        <f>VLOOKUP($C192,COS!$B$8:$H$991,4,FALSE)</f>
        <v>455.62896728515625</v>
      </c>
      <c r="Z192" s="26">
        <f t="shared" si="246"/>
        <v>27.111806317794422</v>
      </c>
      <c r="AA192" s="26">
        <f t="shared" si="300"/>
        <v>455.62896728515625</v>
      </c>
      <c r="AB192" s="33">
        <f t="shared" si="243"/>
        <v>13.555903158897211</v>
      </c>
    </row>
    <row r="193" spans="1:28" x14ac:dyDescent="0.3">
      <c r="A193" s="34">
        <f>VLOOKUP(YEAR(C193),Flags!$A$13:$B$95,2,FALSE)</f>
        <v>1</v>
      </c>
      <c r="B193" s="35">
        <f t="shared" si="225"/>
        <v>1941</v>
      </c>
      <c r="C193" s="36">
        <v>15341</v>
      </c>
      <c r="D193" s="37"/>
      <c r="E193" s="35"/>
      <c r="F193" s="37"/>
      <c r="G193" s="37"/>
      <c r="H193" s="37"/>
      <c r="I193" s="37"/>
      <c r="J193" s="37"/>
      <c r="K193" s="37"/>
      <c r="L193" s="35"/>
      <c r="M193" s="35"/>
      <c r="N193" s="37"/>
      <c r="O193" s="37"/>
      <c r="P193" s="37"/>
      <c r="Q193" s="37"/>
      <c r="R193" s="37"/>
      <c r="S193" s="37"/>
      <c r="T193" s="37"/>
      <c r="U193" s="37"/>
      <c r="V193" s="37"/>
      <c r="W193" s="37">
        <f>MAX($C$11-VLOOKUP($C193,COS!$B$8:$H$991,3,FALSE),0)</f>
        <v>0</v>
      </c>
      <c r="X193" s="37">
        <f t="shared" si="245"/>
        <v>0</v>
      </c>
      <c r="Y193" s="37">
        <f>VLOOKUP($C193,COS!$B$8:$H$991,4,FALSE)</f>
        <v>0</v>
      </c>
      <c r="Z193" s="37">
        <f t="shared" si="246"/>
        <v>0</v>
      </c>
      <c r="AA193" s="37">
        <f t="shared" si="300"/>
        <v>0</v>
      </c>
      <c r="AB193" s="38">
        <f t="shared" si="243"/>
        <v>0</v>
      </c>
    </row>
    <row r="194" spans="1:28" x14ac:dyDescent="0.3">
      <c r="A194" s="27">
        <f>VLOOKUP(YEAR(C194),Flags!$A$13:$B$95,2,FALSE)</f>
        <v>1</v>
      </c>
      <c r="B194" s="28">
        <f t="shared" si="225"/>
        <v>1942</v>
      </c>
      <c r="C194" s="29">
        <v>15461</v>
      </c>
      <c r="D194" s="30">
        <f>VLOOKUP($C194,COS!$B$8:$H$991,3,FALSE)</f>
        <v>3250</v>
      </c>
      <c r="E194" s="28">
        <f>IF(D194&gt;=IF(MONTH($C194)=4,$C$3,IF(MONTH($C194)=5,$C$4,IF(MONTH($C194)=6,$C$5,IF(MONTH($C194)=7,$C$6,"ERROR")))),1,0)</f>
        <v>0</v>
      </c>
      <c r="F194" s="30">
        <f>VLOOKUP($C194,COS!$B$8:$H$991,7,FALSE)</f>
        <v>49.696609497070313</v>
      </c>
      <c r="G194" s="28">
        <f>IF(F194&lt;=IF(MONTH($C194)=4,$F$3,IF(MONTH($C194)=5,$F$4,IF(MONTH($C194)=6,$F$5,IF(MONTH($C194)=7,$F$6,"ERROR")))),1,0)</f>
        <v>1</v>
      </c>
      <c r="H194" s="30">
        <f>IF(J194=1,D194-$C$3,0)</f>
        <v>0</v>
      </c>
      <c r="I194" s="30">
        <f t="shared" si="239"/>
        <v>0</v>
      </c>
      <c r="J194" s="28">
        <f t="shared" ref="J194:J197" si="303">IF(AND(E194=1,G194=1),1,0)</f>
        <v>0</v>
      </c>
      <c r="K194" s="30">
        <f>VLOOKUP($C194,COS!$B$8:$H$991,2,FALSE)</f>
        <v>4509.97900390625</v>
      </c>
      <c r="L194" s="28">
        <f t="shared" ref="L194" si="304">IF(K194&lt;=IF(MONTH($C194)=4,$I$3,IF(MONTH($C194)=5,$I$4,IF(MONTH($C194)=6,$I$5,IF(MONTH($C194)=7,$I$6,"ERROR")))),1,0)</f>
        <v>1</v>
      </c>
      <c r="M194" s="28">
        <f t="shared" ref="M194" si="305">VLOOKUP($A194,$L$3:$M$7,2,FALSE)</f>
        <v>0</v>
      </c>
      <c r="N194" s="30">
        <f>VLOOKUP($C194,COS!$B$8:$H$991,5,FALSE)</f>
        <v>20.96923828125</v>
      </c>
      <c r="O194" s="30">
        <f t="shared" ref="O194:O197" si="306">N194*DAY($C194)*86400/43560/1000</f>
        <v>1.2477563274793388</v>
      </c>
      <c r="P194" s="30">
        <f>VLOOKUP($C194,COS!$B$8:$H$991,6,FALSE)</f>
        <v>278.10659790039063</v>
      </c>
      <c r="Q194" s="30">
        <f t="shared" ref="Q194:Q197" si="307">P194*DAY($C194)*86400/43560/1000</f>
        <v>16.548491775891012</v>
      </c>
      <c r="R194" s="30">
        <f>MIN(IF(MONTH($C194)=4,$S$3,IF(MONTH($C194)=5,$S$4,IF(MONTH($C194)=6,$S$5,IF(MONTH($C194)=7,$S$6,"ERROR")))),MAX(VLOOKUP($C194,COS!$B$8:$K$991,10,FALSE)-IF(MONTH($C194)=4,$Y$3,IF(MONTH($C194)=5,$Y$4,IF(MONTH($C194)=6,$Y$5,IF(MONTH($C194)=7,$Y$6,"ERROR")))),0),MAX(VLOOKUP($C194,COS!$B$8:$K$991,9,FALSE)-IF(MONTH($C194)=4,$V$3,IF(MONTH($C194)=5,$V$4,IF(MONTH($C194)=6,$V$5,IF(MONTH($C194)=7,$V$6,"ERROR"))))-VLOOKUP($C194,COS!$B$8:$K$991,6,FALSE)/2,0))</f>
        <v>1500</v>
      </c>
      <c r="S194" s="30">
        <f t="shared" ref="S194:S197" si="308">R194*DAY($C194)*86400/43560/1000</f>
        <v>89.256198347107429</v>
      </c>
      <c r="T194" s="30">
        <f t="shared" ref="T194:T197" si="309">(O194+Q194)/2+S194</f>
        <v>98.154322398792601</v>
      </c>
      <c r="U194" s="30" t="str">
        <f>IF(VLOOKUP($C194,COS!$B$8:$I$991,8,FALSE)=1,"UWFE","IBU")</f>
        <v>UWFE</v>
      </c>
      <c r="V194" s="30">
        <f t="shared" ref="V194" si="310">MIN(IF(IF($AA$3=2,AND(E194=1,G194=1,L194=1,L199=1,M194=1,U194="IBU"),AND(E194=1,G194=1,L194=1,L199=1,M194=1)),T194,0),I194)</f>
        <v>0</v>
      </c>
      <c r="W194" s="30"/>
      <c r="X194" s="30"/>
      <c r="Y194" s="30"/>
      <c r="Z194" s="30"/>
      <c r="AA194" s="30"/>
      <c r="AB194" s="31"/>
    </row>
    <row r="195" spans="1:28" x14ac:dyDescent="0.3">
      <c r="A195" s="32">
        <f>VLOOKUP(YEAR(C195),Flags!$A$13:$B$95,2,FALSE)</f>
        <v>1</v>
      </c>
      <c r="B195" s="24">
        <f t="shared" si="225"/>
        <v>1942</v>
      </c>
      <c r="C195" s="25">
        <v>15492</v>
      </c>
      <c r="D195" s="26">
        <f>VLOOKUP($C195,COS!$B$8:$H$991,3,FALSE)</f>
        <v>10224.1552734375</v>
      </c>
      <c r="E195" s="24">
        <f>IF(D195&gt;=IF(MONTH($C195)=4,$C$3,IF(MONTH($C195)=5,$C$4,IF(MONTH($C195)=6,$C$5,IF(MONTH($C195)=7,$C$6,"ERROR")))),1,0)</f>
        <v>1</v>
      </c>
      <c r="F195" s="26">
        <f>VLOOKUP($C195,COS!$B$8:$H$991,7,FALSE)</f>
        <v>48.257987976074219</v>
      </c>
      <c r="G195" s="24">
        <f>IF(F195&lt;=IF(MONTH($C195)=4,$F$3,IF(MONTH($C195)=5,$F$4,IF(MONTH($C195)=6,$F$5,IF(MONTH($C195)=7,$F$6,"ERROR")))),1,0)</f>
        <v>1</v>
      </c>
      <c r="H195" s="26">
        <f>IF(J195=1,D195-$C$4,0)</f>
        <v>4224.1552734375</v>
      </c>
      <c r="I195" s="26">
        <f t="shared" si="239"/>
        <v>259.73318375516527</v>
      </c>
      <c r="J195" s="24">
        <f t="shared" si="303"/>
        <v>1</v>
      </c>
      <c r="K195" s="26">
        <f>VLOOKUP($C195,COS!$B$8:$H$991,2,FALSE)</f>
        <v>4552</v>
      </c>
      <c r="L195" s="24">
        <f t="shared" si="231"/>
        <v>1</v>
      </c>
      <c r="M195" s="24">
        <f t="shared" si="232"/>
        <v>0</v>
      </c>
      <c r="N195" s="26">
        <f>VLOOKUP($C195,COS!$B$8:$H$991,5,FALSE)</f>
        <v>528.735595703125</v>
      </c>
      <c r="O195" s="26">
        <f t="shared" si="306"/>
        <v>32.510684562241735</v>
      </c>
      <c r="P195" s="26">
        <f>VLOOKUP($C195,COS!$B$8:$H$991,6,FALSE)</f>
        <v>2076.0068359375</v>
      </c>
      <c r="Q195" s="26">
        <f t="shared" si="307"/>
        <v>127.64868478822314</v>
      </c>
      <c r="R195" s="26">
        <f>MIN(IF(MONTH($C195)=4,$S$3,IF(MONTH($C195)=5,$S$4,IF(MONTH($C195)=6,$S$5,IF(MONTH($C195)=7,$S$6,"ERROR")))),MAX(VLOOKUP($C195,COS!$B$8:$K$991,10,FALSE)-IF(MONTH($C195)=4,$Y$3,IF(MONTH($C195)=5,$Y$4,IF(MONTH($C195)=6,$Y$5,IF(MONTH($C195)=7,$Y$6,"ERROR")))),0),MAX(VLOOKUP($C195,COS!$B$8:$K$991,9,FALSE)-IF(MONTH($C195)=4,$V$3,IF(MONTH($C195)=5,$V$4,IF(MONTH($C195)=6,$V$5,IF(MONTH($C195)=7,$V$6,"ERROR"))))-VLOOKUP($C195,COS!$B$8:$K$991,6,FALSE)/2,0))</f>
        <v>1500</v>
      </c>
      <c r="S195" s="26">
        <f t="shared" si="308"/>
        <v>92.231404958677686</v>
      </c>
      <c r="T195" s="26">
        <f t="shared" si="309"/>
        <v>172.31108963391011</v>
      </c>
      <c r="U195" s="26" t="str">
        <f>IF(VLOOKUP($C195,COS!$B$8:$I$991,8,FALSE)=1,"UWFE","IBU")</f>
        <v>UWFE</v>
      </c>
      <c r="V195" s="26">
        <f t="shared" ref="V195" si="311">MIN(IF(IF($AA$3=2,AND(E195=1,G195=1,L195=1,L199=1,M195=1,U195="IBU"),AND(E195=1,G195=1,L195=1,L199=1,M195=1)),T195,0),I195)</f>
        <v>0</v>
      </c>
      <c r="W195" s="26"/>
      <c r="X195" s="26"/>
      <c r="Y195" s="26"/>
      <c r="Z195" s="26"/>
      <c r="AA195" s="26"/>
      <c r="AB195" s="33"/>
    </row>
    <row r="196" spans="1:28" x14ac:dyDescent="0.3">
      <c r="A196" s="32">
        <f>VLOOKUP(YEAR(C196),Flags!$A$13:$B$95,2,FALSE)</f>
        <v>1</v>
      </c>
      <c r="B196" s="24">
        <f t="shared" si="225"/>
        <v>1942</v>
      </c>
      <c r="C196" s="25">
        <v>15522</v>
      </c>
      <c r="D196" s="26">
        <f>VLOOKUP($C196,COS!$B$8:$H$991,3,FALSE)</f>
        <v>7711.70703125</v>
      </c>
      <c r="E196" s="24">
        <f>IF(D196&gt;=IF(MONTH($C196)=4,$C$3,IF(MONTH($C196)=5,$C$4,IF(MONTH($C196)=6,$C$5,IF(MONTH($C196)=7,$C$6,"ERROR")))),1,0)</f>
        <v>0</v>
      </c>
      <c r="F196" s="26">
        <f>VLOOKUP($C196,COS!$B$8:$H$991,7,FALSE)</f>
        <v>50.720790863037109</v>
      </c>
      <c r="G196" s="24">
        <f>IF(F196&lt;=IF(MONTH($C196)=4,$F$3,IF(MONTH($C196)=5,$F$4,IF(MONTH($C196)=6,$F$5,IF(MONTH($C196)=7,$F$6,"ERROR")))),1,0)</f>
        <v>1</v>
      </c>
      <c r="H196" s="26">
        <f>IF(J196=1,D196-$C$5,0)</f>
        <v>0</v>
      </c>
      <c r="I196" s="26">
        <f t="shared" si="239"/>
        <v>0</v>
      </c>
      <c r="J196" s="24">
        <f t="shared" si="303"/>
        <v>0</v>
      </c>
      <c r="K196" s="26">
        <f>VLOOKUP($C196,COS!$B$8:$H$991,2,FALSE)</f>
        <v>4500</v>
      </c>
      <c r="L196" s="24">
        <f t="shared" si="231"/>
        <v>1</v>
      </c>
      <c r="M196" s="24">
        <f t="shared" si="232"/>
        <v>0</v>
      </c>
      <c r="N196" s="26">
        <f>VLOOKUP($C196,COS!$B$8:$H$991,5,FALSE)</f>
        <v>1239.5582275390625</v>
      </c>
      <c r="O196" s="26">
        <f t="shared" si="306"/>
        <v>73.758836680010319</v>
      </c>
      <c r="P196" s="26">
        <f>VLOOKUP($C196,COS!$B$8:$H$991,6,FALSE)</f>
        <v>2346.177734375</v>
      </c>
      <c r="Q196" s="26">
        <f t="shared" si="307"/>
        <v>139.6072701446281</v>
      </c>
      <c r="R196" s="26">
        <f>MIN(IF(MONTH($C196)=4,$S$3,IF(MONTH($C196)=5,$S$4,IF(MONTH($C196)=6,$S$5,IF(MONTH($C196)=7,$S$6,"ERROR")))),MAX(VLOOKUP($C196,COS!$B$8:$K$991,10,FALSE)-IF(MONTH($C196)=4,$Y$3,IF(MONTH($C196)=5,$Y$4,IF(MONTH($C196)=6,$Y$5,IF(MONTH($C196)=7,$Y$6,"ERROR")))),0),MAX(VLOOKUP($C196,COS!$B$8:$K$991,9,FALSE)-IF(MONTH($C196)=4,$V$3,IF(MONTH($C196)=5,$V$4,IF(MONTH($C196)=6,$V$5,IF(MONTH($C196)=7,$V$6,"ERROR"))))-VLOOKUP($C196,COS!$B$8:$K$991,6,FALSE)/2,0))</f>
        <v>1500</v>
      </c>
      <c r="S196" s="26">
        <f t="shared" si="308"/>
        <v>89.256198347107429</v>
      </c>
      <c r="T196" s="26">
        <f t="shared" si="309"/>
        <v>195.93925175942664</v>
      </c>
      <c r="U196" s="26" t="str">
        <f>IF(VLOOKUP($C196,COS!$B$8:$I$991,8,FALSE)=1,"UWFE","IBU")</f>
        <v>UWFE</v>
      </c>
      <c r="V196" s="26">
        <f t="shared" ref="V196" si="312">MIN(IF(IF($AA$3=2,AND(E196=1,G196=1,L196=1,L199=1,M196=1,U196="IBU"),AND(E196=1,G196=1,L196=1,L199=1,M196=1)),T196,0),I196)</f>
        <v>0</v>
      </c>
      <c r="W196" s="26"/>
      <c r="X196" s="26"/>
      <c r="Y196" s="26"/>
      <c r="Z196" s="26"/>
      <c r="AA196" s="26"/>
      <c r="AB196" s="33"/>
    </row>
    <row r="197" spans="1:28" x14ac:dyDescent="0.3">
      <c r="A197" s="32">
        <f>VLOOKUP(YEAR(C197),Flags!$A$13:$B$95,2,FALSE)</f>
        <v>1</v>
      </c>
      <c r="B197" s="24">
        <f t="shared" si="225"/>
        <v>1942</v>
      </c>
      <c r="C197" s="25">
        <v>15553</v>
      </c>
      <c r="D197" s="26">
        <f>VLOOKUP($C197,COS!$B$8:$H$991,3,FALSE)</f>
        <v>12291.904296875</v>
      </c>
      <c r="E197" s="24">
        <f>IF(D197&gt;=IF(MONTH($C197)=4,$C$3,IF(MONTH($C197)=5,$C$4,IF(MONTH($C197)=6,$C$5,IF(MONTH($C197)=7,$C$6,"ERROR")))),1,0)</f>
        <v>1</v>
      </c>
      <c r="F197" s="26">
        <f>VLOOKUP($C197,COS!$B$8:$H$991,7,FALSE)</f>
        <v>51.129238128662109</v>
      </c>
      <c r="G197" s="24">
        <f>IF(F197&lt;=IF(MONTH($C197)=4,$F$3,IF(MONTH($C197)=5,$F$4,IF(MONTH($C197)=6,$F$5,IF(MONTH($C197)=7,$F$6,"ERROR")))),1,0)</f>
        <v>1</v>
      </c>
      <c r="H197" s="26">
        <f>IF(J197=1,D197-$C$6,0)</f>
        <v>291.904296875</v>
      </c>
      <c r="I197" s="26">
        <f t="shared" si="239"/>
        <v>17.948495609504132</v>
      </c>
      <c r="J197" s="24">
        <f t="shared" si="303"/>
        <v>1</v>
      </c>
      <c r="K197" s="26">
        <f>VLOOKUP($C197,COS!$B$8:$H$991,2,FALSE)</f>
        <v>3968.421142578125</v>
      </c>
      <c r="L197" s="24">
        <f t="shared" si="231"/>
        <v>1</v>
      </c>
      <c r="M197" s="24">
        <f t="shared" si="232"/>
        <v>0</v>
      </c>
      <c r="N197" s="26">
        <f>VLOOKUP($C197,COS!$B$8:$H$991,5,FALSE)</f>
        <v>1378.510009765625</v>
      </c>
      <c r="O197" s="26">
        <f t="shared" si="306"/>
        <v>84.761276633522726</v>
      </c>
      <c r="P197" s="26">
        <f>VLOOKUP($C197,COS!$B$8:$H$991,6,FALSE)</f>
        <v>2616.67822265625</v>
      </c>
      <c r="Q197" s="26">
        <f t="shared" si="307"/>
        <v>160.89327253357436</v>
      </c>
      <c r="R197" s="26">
        <f>MIN(IF(MONTH($C197)=4,$S$3,IF(MONTH($C197)=5,$S$4,IF(MONTH($C197)=6,$S$5,IF(MONTH($C197)=7,$S$6,"ERROR")))),MAX(VLOOKUP($C197,COS!$B$8:$K$991,10,FALSE)-IF(MONTH($C197)=4,$Y$3,IF(MONTH($C197)=5,$Y$4,IF(MONTH($C197)=6,$Y$5,IF(MONTH($C197)=7,$Y$6,"ERROR")))),0),MAX(VLOOKUP($C197,COS!$B$8:$K$991,9,FALSE)-IF(MONTH($C197)=4,$V$3,IF(MONTH($C197)=5,$V$4,IF(MONTH($C197)=6,$V$5,IF(MONTH($C197)=7,$V$6,"ERROR"))))-VLOOKUP($C197,COS!$B$8:$K$991,6,FALSE)/2,0))</f>
        <v>1500</v>
      </c>
      <c r="S197" s="26">
        <f t="shared" si="308"/>
        <v>92.231404958677686</v>
      </c>
      <c r="T197" s="26">
        <f t="shared" si="309"/>
        <v>215.05867954222623</v>
      </c>
      <c r="U197" s="26" t="str">
        <f>IF(VLOOKUP($C197,COS!$B$8:$I$991,8,FALSE)=1,"UWFE","IBU")</f>
        <v>IBU</v>
      </c>
      <c r="V197" s="26">
        <f t="shared" ref="V197" si="313">MIN(IF(IF($AA$3=2,AND(E197=1,G197=1,L197=1,L199=1,M197=1,U197="IBU"),AND(E197=1,G197=1,L197=1,L199=1,M197=1)),T197,0),I197)</f>
        <v>0</v>
      </c>
      <c r="W197" s="26"/>
      <c r="X197" s="26"/>
      <c r="Y197" s="26"/>
      <c r="Z197" s="26"/>
      <c r="AA197" s="26"/>
      <c r="AB197" s="33"/>
    </row>
    <row r="198" spans="1:28" x14ac:dyDescent="0.3">
      <c r="A198" s="32">
        <f>VLOOKUP(YEAR(C198),Flags!$A$13:$B$95,2,FALSE)</f>
        <v>1</v>
      </c>
      <c r="B198" s="24">
        <f t="shared" si="225"/>
        <v>1942</v>
      </c>
      <c r="C198" s="25">
        <v>15584</v>
      </c>
      <c r="D198" s="26"/>
      <c r="E198" s="24"/>
      <c r="F198" s="26"/>
      <c r="G198" s="24"/>
      <c r="H198" s="24"/>
      <c r="I198" s="26"/>
      <c r="J198" s="24"/>
      <c r="K198" s="26"/>
      <c r="L198" s="24"/>
      <c r="M198" s="24"/>
      <c r="N198" s="26"/>
      <c r="O198" s="26"/>
      <c r="P198" s="26"/>
      <c r="Q198" s="26"/>
      <c r="R198" s="26"/>
      <c r="S198" s="26"/>
      <c r="T198" s="26"/>
      <c r="U198" s="26"/>
      <c r="V198" s="26"/>
      <c r="W198" s="26">
        <f>MAX($C$7-VLOOKUP($C198,COS!$B$8:$H$991,3,FALSE),0)</f>
        <v>89122.767578125</v>
      </c>
      <c r="X198" s="26">
        <f t="shared" si="245"/>
        <v>5479.9453783574381</v>
      </c>
      <c r="Y198" s="26">
        <f>VLOOKUP($C198,COS!$B$8:$H$991,4,FALSE)</f>
        <v>0</v>
      </c>
      <c r="Z198" s="26">
        <f t="shared" si="246"/>
        <v>0</v>
      </c>
      <c r="AA198" s="26">
        <f t="shared" ref="AA198:AA202" si="314">MIN(W198,Y198)</f>
        <v>0</v>
      </c>
      <c r="AB198" s="33">
        <f t="shared" ref="AB198" si="315">AA198*DAY($C198)*86400/43560/1000*IF(MONTH($C198)=8,$P$3,IF(MONTH($C198)=9,$P$4,IF(MONTH($C198)=10,$P$5,IF(MONTH($C198)=11,$P$6,IF(MONTH($C198)=12,$P$7,NA())))))</f>
        <v>0</v>
      </c>
    </row>
    <row r="199" spans="1:28" x14ac:dyDescent="0.3">
      <c r="A199" s="32">
        <f>VLOOKUP(YEAR(C199),Flags!$A$13:$B$95,2,FALSE)</f>
        <v>1</v>
      </c>
      <c r="B199" s="24">
        <f t="shared" si="225"/>
        <v>1942</v>
      </c>
      <c r="C199" s="25">
        <v>15614</v>
      </c>
      <c r="D199" s="26"/>
      <c r="E199" s="24"/>
      <c r="F199" s="26"/>
      <c r="G199" s="24"/>
      <c r="H199" s="24"/>
      <c r="I199" s="26"/>
      <c r="J199" s="24"/>
      <c r="K199" s="26">
        <f>VLOOKUP($C199,COS!$B$8:$H$991,2,FALSE)</f>
        <v>2988.85791015625</v>
      </c>
      <c r="L199" s="24">
        <f t="shared" ref="L199" si="316">IF(AND(K199&gt;$I$7,K199&lt;$I$8),1,0)</f>
        <v>1</v>
      </c>
      <c r="M199" s="24"/>
      <c r="N199" s="26"/>
      <c r="O199" s="26"/>
      <c r="P199" s="26"/>
      <c r="Q199" s="26"/>
      <c r="R199" s="26"/>
      <c r="S199" s="26"/>
      <c r="T199" s="26"/>
      <c r="U199" s="26"/>
      <c r="V199" s="26"/>
      <c r="W199" s="26">
        <f>MAX($C$8-VLOOKUP($C199,COS!$B$8:$H$991,3,FALSE),0)</f>
        <v>83557.9609375</v>
      </c>
      <c r="X199" s="26">
        <f t="shared" si="245"/>
        <v>4972.0439566115701</v>
      </c>
      <c r="Y199" s="26">
        <f>VLOOKUP($C199,COS!$B$8:$H$991,4,FALSE)</f>
        <v>0</v>
      </c>
      <c r="Z199" s="26">
        <f t="shared" si="246"/>
        <v>0</v>
      </c>
      <c r="AA199" s="26">
        <f t="shared" si="314"/>
        <v>0</v>
      </c>
      <c r="AB199" s="33">
        <f t="shared" si="243"/>
        <v>0</v>
      </c>
    </row>
    <row r="200" spans="1:28" x14ac:dyDescent="0.3">
      <c r="A200" s="32">
        <f>VLOOKUP(YEAR(C200),Flags!$A$13:$B$95,2,FALSE)</f>
        <v>1</v>
      </c>
      <c r="B200" s="24">
        <f t="shared" si="225"/>
        <v>1942</v>
      </c>
      <c r="C200" s="25">
        <v>15645</v>
      </c>
      <c r="D200" s="26"/>
      <c r="E200" s="24"/>
      <c r="F200" s="26"/>
      <c r="G200" s="26"/>
      <c r="H200" s="26"/>
      <c r="I200" s="26"/>
      <c r="J200" s="26"/>
      <c r="K200" s="26"/>
      <c r="L200" s="24"/>
      <c r="M200" s="24"/>
      <c r="N200" s="26"/>
      <c r="O200" s="26"/>
      <c r="P200" s="26"/>
      <c r="Q200" s="26"/>
      <c r="R200" s="26"/>
      <c r="S200" s="26"/>
      <c r="T200" s="26"/>
      <c r="U200" s="26"/>
      <c r="V200" s="26"/>
      <c r="W200" s="26">
        <f>MAX($C$9-VLOOKUP($C200,COS!$B$8:$H$991,3,FALSE),0)</f>
        <v>91981.8251953125</v>
      </c>
      <c r="X200" s="26">
        <f t="shared" si="245"/>
        <v>5655.741978951447</v>
      </c>
      <c r="Y200" s="26">
        <f>VLOOKUP($C200,COS!$B$8:$H$991,4,FALSE)</f>
        <v>1127.253662109375</v>
      </c>
      <c r="Z200" s="26">
        <f t="shared" si="246"/>
        <v>69.312126000774796</v>
      </c>
      <c r="AA200" s="26">
        <f t="shared" si="314"/>
        <v>1127.253662109375</v>
      </c>
      <c r="AB200" s="33">
        <f t="shared" si="243"/>
        <v>69.312126000774796</v>
      </c>
    </row>
    <row r="201" spans="1:28" x14ac:dyDescent="0.3">
      <c r="A201" s="32">
        <f>VLOOKUP(YEAR(C201),Flags!$A$13:$B$95,2,FALSE)</f>
        <v>1</v>
      </c>
      <c r="B201" s="24">
        <f t="shared" si="225"/>
        <v>1942</v>
      </c>
      <c r="C201" s="25">
        <v>15675</v>
      </c>
      <c r="D201" s="26"/>
      <c r="E201" s="24"/>
      <c r="F201" s="26"/>
      <c r="G201" s="26"/>
      <c r="H201" s="26"/>
      <c r="I201" s="26"/>
      <c r="J201" s="26"/>
      <c r="K201" s="26"/>
      <c r="L201" s="24"/>
      <c r="M201" s="24"/>
      <c r="N201" s="26"/>
      <c r="O201" s="26"/>
      <c r="P201" s="26"/>
      <c r="Q201" s="26"/>
      <c r="R201" s="26"/>
      <c r="S201" s="26"/>
      <c r="T201" s="26"/>
      <c r="U201" s="26"/>
      <c r="V201" s="26"/>
      <c r="W201" s="26">
        <f>MAX($C$10-VLOOKUP($C201,COS!$B$8:$H$991,3,FALSE),0)</f>
        <v>90870.3603515625</v>
      </c>
      <c r="X201" s="26">
        <f t="shared" si="245"/>
        <v>5407.1619382747931</v>
      </c>
      <c r="Y201" s="26">
        <f>VLOOKUP($C201,COS!$B$8:$H$991,4,FALSE)</f>
        <v>1237.8724365234375</v>
      </c>
      <c r="Z201" s="26">
        <f t="shared" si="246"/>
        <v>73.658525148502065</v>
      </c>
      <c r="AA201" s="26">
        <f t="shared" si="314"/>
        <v>1237.8724365234375</v>
      </c>
      <c r="AB201" s="33">
        <f t="shared" si="243"/>
        <v>36.829262574251032</v>
      </c>
    </row>
    <row r="202" spans="1:28" x14ac:dyDescent="0.3">
      <c r="A202" s="34">
        <f>VLOOKUP(YEAR(C202),Flags!$A$13:$B$95,2,FALSE)</f>
        <v>1</v>
      </c>
      <c r="B202" s="35">
        <f t="shared" si="225"/>
        <v>1942</v>
      </c>
      <c r="C202" s="36">
        <v>15706</v>
      </c>
      <c r="D202" s="37"/>
      <c r="E202" s="35"/>
      <c r="F202" s="37"/>
      <c r="G202" s="37"/>
      <c r="H202" s="37"/>
      <c r="I202" s="37"/>
      <c r="J202" s="37"/>
      <c r="K202" s="37"/>
      <c r="L202" s="35"/>
      <c r="M202" s="35"/>
      <c r="N202" s="37"/>
      <c r="O202" s="37"/>
      <c r="P202" s="37"/>
      <c r="Q202" s="37"/>
      <c r="R202" s="37"/>
      <c r="S202" s="37"/>
      <c r="T202" s="37"/>
      <c r="U202" s="37"/>
      <c r="V202" s="37"/>
      <c r="W202" s="37">
        <f>MAX($C$11-VLOOKUP($C202,COS!$B$8:$H$991,3,FALSE),0)</f>
        <v>0</v>
      </c>
      <c r="X202" s="37">
        <f t="shared" si="245"/>
        <v>0</v>
      </c>
      <c r="Y202" s="37">
        <f>VLOOKUP($C202,COS!$B$8:$H$991,4,FALSE)</f>
        <v>0</v>
      </c>
      <c r="Z202" s="37">
        <f t="shared" si="246"/>
        <v>0</v>
      </c>
      <c r="AA202" s="37">
        <f t="shared" si="314"/>
        <v>0</v>
      </c>
      <c r="AB202" s="38">
        <f t="shared" si="243"/>
        <v>0</v>
      </c>
    </row>
    <row r="203" spans="1:28" x14ac:dyDescent="0.3">
      <c r="A203" s="27">
        <f>VLOOKUP(YEAR(C203),Flags!$A$13:$B$95,2,FALSE)</f>
        <v>1</v>
      </c>
      <c r="B203" s="28">
        <f t="shared" si="225"/>
        <v>1943</v>
      </c>
      <c r="C203" s="29">
        <v>15826</v>
      </c>
      <c r="D203" s="30">
        <f>VLOOKUP($C203,COS!$B$8:$H$991,3,FALSE)</f>
        <v>3750.597900390625</v>
      </c>
      <c r="E203" s="28">
        <f>IF(D203&gt;=IF(MONTH($C203)=4,$C$3,IF(MONTH($C203)=5,$C$4,IF(MONTH($C203)=6,$C$5,IF(MONTH($C203)=7,$C$6,"ERROR")))),1,0)</f>
        <v>0</v>
      </c>
      <c r="F203" s="30">
        <f>VLOOKUP($C203,COS!$B$8:$H$991,7,FALSE)</f>
        <v>50.021923065185547</v>
      </c>
      <c r="G203" s="28">
        <f>IF(F203&lt;=IF(MONTH($C203)=4,$F$3,IF(MONTH($C203)=5,$F$4,IF(MONTH($C203)=6,$F$5,IF(MONTH($C203)=7,$F$6,"ERROR")))),1,0)</f>
        <v>1</v>
      </c>
      <c r="H203" s="30">
        <f>IF(J203=1,D203-$C$3,0)</f>
        <v>0</v>
      </c>
      <c r="I203" s="30">
        <f t="shared" si="239"/>
        <v>0</v>
      </c>
      <c r="J203" s="28">
        <f t="shared" ref="J203:J206" si="317">IF(AND(E203=1,G203=1),1,0)</f>
        <v>0</v>
      </c>
      <c r="K203" s="30">
        <f>VLOOKUP($C203,COS!$B$8:$H$991,2,FALSE)</f>
        <v>4552</v>
      </c>
      <c r="L203" s="28">
        <f t="shared" ref="L203" si="318">IF(K203&lt;=IF(MONTH($C203)=4,$I$3,IF(MONTH($C203)=5,$I$4,IF(MONTH($C203)=6,$I$5,IF(MONTH($C203)=7,$I$6,"ERROR")))),1,0)</f>
        <v>1</v>
      </c>
      <c r="M203" s="28">
        <f t="shared" ref="M203" si="319">VLOOKUP($A203,$L$3:$M$7,2,FALSE)</f>
        <v>0</v>
      </c>
      <c r="N203" s="30">
        <f>VLOOKUP($C203,COS!$B$8:$H$991,5,FALSE)</f>
        <v>242.15982055664063</v>
      </c>
      <c r="O203" s="30">
        <f t="shared" ref="O203:O206" si="320">N203*DAY($C203)*86400/43560/1000</f>
        <v>14.409509983535642</v>
      </c>
      <c r="P203" s="30">
        <f>VLOOKUP($C203,COS!$B$8:$H$991,6,FALSE)</f>
        <v>409.699951171875</v>
      </c>
      <c r="Q203" s="30">
        <f t="shared" ref="Q203:Q206" si="321">P203*DAY($C203)*86400/43560/1000</f>
        <v>24.378840069731407</v>
      </c>
      <c r="R203" s="30">
        <f>MIN(IF(MONTH($C203)=4,$S$3,IF(MONTH($C203)=5,$S$4,IF(MONTH($C203)=6,$S$5,IF(MONTH($C203)=7,$S$6,"ERROR")))),MAX(VLOOKUP($C203,COS!$B$8:$K$991,10,FALSE)-IF(MONTH($C203)=4,$Y$3,IF(MONTH($C203)=5,$Y$4,IF(MONTH($C203)=6,$Y$5,IF(MONTH($C203)=7,$Y$6,"ERROR")))),0),MAX(VLOOKUP($C203,COS!$B$8:$K$991,9,FALSE)-IF(MONTH($C203)=4,$V$3,IF(MONTH($C203)=5,$V$4,IF(MONTH($C203)=6,$V$5,IF(MONTH($C203)=7,$V$6,"ERROR"))))-VLOOKUP($C203,COS!$B$8:$K$991,6,FALSE)/2,0))</f>
        <v>1500</v>
      </c>
      <c r="S203" s="30">
        <f t="shared" ref="S203:S206" si="322">R203*DAY($C203)*86400/43560/1000</f>
        <v>89.256198347107429</v>
      </c>
      <c r="T203" s="30">
        <f t="shared" ref="T203:T206" si="323">(O203+Q203)/2+S203</f>
        <v>108.65037337374096</v>
      </c>
      <c r="U203" s="30" t="str">
        <f>IF(VLOOKUP($C203,COS!$B$8:$I$991,8,FALSE)=1,"UWFE","IBU")</f>
        <v>UWFE</v>
      </c>
      <c r="V203" s="30">
        <f t="shared" ref="V203" si="324">MIN(IF(IF($AA$3=2,AND(E203=1,G203=1,L203=1,L208=1,M203=1,U203="IBU"),AND(E203=1,G203=1,L203=1,L208=1,M203=1)),T203,0),I203)</f>
        <v>0</v>
      </c>
      <c r="W203" s="30"/>
      <c r="X203" s="30"/>
      <c r="Y203" s="30"/>
      <c r="Z203" s="30"/>
      <c r="AA203" s="30"/>
      <c r="AB203" s="31"/>
    </row>
    <row r="204" spans="1:28" x14ac:dyDescent="0.3">
      <c r="A204" s="32">
        <f>VLOOKUP(YEAR(C204),Flags!$A$13:$B$95,2,FALSE)</f>
        <v>1</v>
      </c>
      <c r="B204" s="24">
        <f t="shared" si="225"/>
        <v>1943</v>
      </c>
      <c r="C204" s="25">
        <v>15857</v>
      </c>
      <c r="D204" s="26">
        <f>VLOOKUP($C204,COS!$B$8:$H$991,3,FALSE)</f>
        <v>7166.14208984375</v>
      </c>
      <c r="E204" s="24">
        <f>IF(D204&gt;=IF(MONTH($C204)=4,$C$3,IF(MONTH($C204)=5,$C$4,IF(MONTH($C204)=6,$C$5,IF(MONTH($C204)=7,$C$6,"ERROR")))),1,0)</f>
        <v>1</v>
      </c>
      <c r="F204" s="26">
        <f>VLOOKUP($C204,COS!$B$8:$H$991,7,FALSE)</f>
        <v>50.632198333740234</v>
      </c>
      <c r="G204" s="24">
        <f>IF(F204&lt;=IF(MONTH($C204)=4,$F$3,IF(MONTH($C204)=5,$F$4,IF(MONTH($C204)=6,$F$5,IF(MONTH($C204)=7,$F$6,"ERROR")))),1,0)</f>
        <v>1</v>
      </c>
      <c r="H204" s="26">
        <f>IF(J204=1,D204-$C$4,0)</f>
        <v>1166.14208984375</v>
      </c>
      <c r="I204" s="26">
        <f t="shared" si="239"/>
        <v>71.703282218491736</v>
      </c>
      <c r="J204" s="24">
        <f t="shared" si="317"/>
        <v>1</v>
      </c>
      <c r="K204" s="26">
        <f>VLOOKUP($C204,COS!$B$8:$H$991,2,FALSE)</f>
        <v>4552</v>
      </c>
      <c r="L204" s="24">
        <f t="shared" si="231"/>
        <v>1</v>
      </c>
      <c r="M204" s="24">
        <f t="shared" si="232"/>
        <v>0</v>
      </c>
      <c r="N204" s="26">
        <f>VLOOKUP($C204,COS!$B$8:$H$991,5,FALSE)</f>
        <v>758.106201171875</v>
      </c>
      <c r="O204" s="26">
        <f t="shared" si="320"/>
        <v>46.614133361311985</v>
      </c>
      <c r="P204" s="26">
        <f>VLOOKUP($C204,COS!$B$8:$H$991,6,FALSE)</f>
        <v>2288.578369140625</v>
      </c>
      <c r="Q204" s="26">
        <f t="shared" si="321"/>
        <v>140.71919889591942</v>
      </c>
      <c r="R204" s="26">
        <f>MIN(IF(MONTH($C204)=4,$S$3,IF(MONTH($C204)=5,$S$4,IF(MONTH($C204)=6,$S$5,IF(MONTH($C204)=7,$S$6,"ERROR")))),MAX(VLOOKUP($C204,COS!$B$8:$K$991,10,FALSE)-IF(MONTH($C204)=4,$Y$3,IF(MONTH($C204)=5,$Y$4,IF(MONTH($C204)=6,$Y$5,IF(MONTH($C204)=7,$Y$6,"ERROR")))),0),MAX(VLOOKUP($C204,COS!$B$8:$K$991,9,FALSE)-IF(MONTH($C204)=4,$V$3,IF(MONTH($C204)=5,$V$4,IF(MONTH($C204)=6,$V$5,IF(MONTH($C204)=7,$V$6,"ERROR"))))-VLOOKUP($C204,COS!$B$8:$K$991,6,FALSE)/2,0))</f>
        <v>1500</v>
      </c>
      <c r="S204" s="26">
        <f t="shared" si="322"/>
        <v>92.231404958677686</v>
      </c>
      <c r="T204" s="26">
        <f t="shared" si="323"/>
        <v>185.89807108729337</v>
      </c>
      <c r="U204" s="26" t="str">
        <f>IF(VLOOKUP($C204,COS!$B$8:$I$991,8,FALSE)=1,"UWFE","IBU")</f>
        <v>UWFE</v>
      </c>
      <c r="V204" s="26">
        <f t="shared" ref="V204" si="325">MIN(IF(IF($AA$3=2,AND(E204=1,G204=1,L204=1,L208=1,M204=1,U204="IBU"),AND(E204=1,G204=1,L204=1,L208=1,M204=1)),T204,0),I204)</f>
        <v>0</v>
      </c>
      <c r="W204" s="26"/>
      <c r="X204" s="26"/>
      <c r="Y204" s="26"/>
      <c r="Z204" s="26"/>
      <c r="AA204" s="26"/>
      <c r="AB204" s="33"/>
    </row>
    <row r="205" spans="1:28" x14ac:dyDescent="0.3">
      <c r="A205" s="32">
        <f>VLOOKUP(YEAR(C205),Flags!$A$13:$B$95,2,FALSE)</f>
        <v>1</v>
      </c>
      <c r="B205" s="24">
        <f t="shared" si="225"/>
        <v>1943</v>
      </c>
      <c r="C205" s="25">
        <v>15887</v>
      </c>
      <c r="D205" s="26">
        <f>VLOOKUP($C205,COS!$B$8:$H$991,3,FALSE)</f>
        <v>8327.544921875</v>
      </c>
      <c r="E205" s="24">
        <f>IF(D205&gt;=IF(MONTH($C205)=4,$C$3,IF(MONTH($C205)=5,$C$4,IF(MONTH($C205)=6,$C$5,IF(MONTH($C205)=7,$C$6,"ERROR")))),1,0)</f>
        <v>0</v>
      </c>
      <c r="F205" s="26">
        <f>VLOOKUP($C205,COS!$B$8:$H$991,7,FALSE)</f>
        <v>50.935405731201172</v>
      </c>
      <c r="G205" s="24">
        <f>IF(F205&lt;=IF(MONTH($C205)=4,$F$3,IF(MONTH($C205)=5,$F$4,IF(MONTH($C205)=6,$F$5,IF(MONTH($C205)=7,$F$6,"ERROR")))),1,0)</f>
        <v>1</v>
      </c>
      <c r="H205" s="26">
        <f>IF(J205=1,D205-$C$5,0)</f>
        <v>0</v>
      </c>
      <c r="I205" s="26">
        <f t="shared" si="239"/>
        <v>0</v>
      </c>
      <c r="J205" s="24">
        <f t="shared" si="317"/>
        <v>0</v>
      </c>
      <c r="K205" s="26">
        <f>VLOOKUP($C205,COS!$B$8:$H$991,2,FALSE)</f>
        <v>4340.33056640625</v>
      </c>
      <c r="L205" s="24">
        <f t="shared" si="231"/>
        <v>1</v>
      </c>
      <c r="M205" s="24">
        <f t="shared" si="232"/>
        <v>0</v>
      </c>
      <c r="N205" s="26">
        <f>VLOOKUP($C205,COS!$B$8:$H$991,5,FALSE)</f>
        <v>855.91656494140625</v>
      </c>
      <c r="O205" s="26">
        <f t="shared" si="320"/>
        <v>50.930572459323344</v>
      </c>
      <c r="P205" s="26">
        <f>VLOOKUP($C205,COS!$B$8:$H$991,6,FALSE)</f>
        <v>2263.260986328125</v>
      </c>
      <c r="Q205" s="26">
        <f t="shared" si="321"/>
        <v>134.67338100464875</v>
      </c>
      <c r="R205" s="26">
        <f>MIN(IF(MONTH($C205)=4,$S$3,IF(MONTH($C205)=5,$S$4,IF(MONTH($C205)=6,$S$5,IF(MONTH($C205)=7,$S$6,"ERROR")))),MAX(VLOOKUP($C205,COS!$B$8:$K$991,10,FALSE)-IF(MONTH($C205)=4,$Y$3,IF(MONTH($C205)=5,$Y$4,IF(MONTH($C205)=6,$Y$5,IF(MONTH($C205)=7,$Y$6,"ERROR")))),0),MAX(VLOOKUP($C205,COS!$B$8:$K$991,9,FALSE)-IF(MONTH($C205)=4,$V$3,IF(MONTH($C205)=5,$V$4,IF(MONTH($C205)=6,$V$5,IF(MONTH($C205)=7,$V$6,"ERROR"))))-VLOOKUP($C205,COS!$B$8:$K$991,6,FALSE)/2,0))</f>
        <v>1500</v>
      </c>
      <c r="S205" s="26">
        <f t="shared" si="322"/>
        <v>89.256198347107429</v>
      </c>
      <c r="T205" s="26">
        <f t="shared" si="323"/>
        <v>182.05817507909347</v>
      </c>
      <c r="U205" s="26" t="str">
        <f>IF(VLOOKUP($C205,COS!$B$8:$I$991,8,FALSE)=1,"UWFE","IBU")</f>
        <v>UWFE</v>
      </c>
      <c r="V205" s="26">
        <f t="shared" ref="V205" si="326">MIN(IF(IF($AA$3=2,AND(E205=1,G205=1,L205=1,L208=1,M205=1,U205="IBU"),AND(E205=1,G205=1,L205=1,L208=1,M205=1)),T205,0),I205)</f>
        <v>0</v>
      </c>
      <c r="W205" s="26"/>
      <c r="X205" s="26"/>
      <c r="Y205" s="26"/>
      <c r="Z205" s="26"/>
      <c r="AA205" s="26"/>
      <c r="AB205" s="33"/>
    </row>
    <row r="206" spans="1:28" x14ac:dyDescent="0.3">
      <c r="A206" s="32">
        <f>VLOOKUP(YEAR(C206),Flags!$A$13:$B$95,2,FALSE)</f>
        <v>1</v>
      </c>
      <c r="B206" s="24">
        <f t="shared" si="225"/>
        <v>1943</v>
      </c>
      <c r="C206" s="25">
        <v>15918</v>
      </c>
      <c r="D206" s="26">
        <f>VLOOKUP($C206,COS!$B$8:$H$991,3,FALSE)</f>
        <v>16000</v>
      </c>
      <c r="E206" s="24">
        <f>IF(D206&gt;=IF(MONTH($C206)=4,$C$3,IF(MONTH($C206)=5,$C$4,IF(MONTH($C206)=6,$C$5,IF(MONTH($C206)=7,$C$6,"ERROR")))),1,0)</f>
        <v>1</v>
      </c>
      <c r="F206" s="26">
        <f>VLOOKUP($C206,COS!$B$8:$H$991,7,FALSE)</f>
        <v>50.874599456787109</v>
      </c>
      <c r="G206" s="24">
        <f>IF(F206&lt;=IF(MONTH($C206)=4,$F$3,IF(MONTH($C206)=5,$F$4,IF(MONTH($C206)=6,$F$5,IF(MONTH($C206)=7,$F$6,"ERROR")))),1,0)</f>
        <v>1</v>
      </c>
      <c r="H206" s="26">
        <f>IF(J206=1,D206-$C$6,0)</f>
        <v>4000</v>
      </c>
      <c r="I206" s="26">
        <f t="shared" si="239"/>
        <v>245.95041322314049</v>
      </c>
      <c r="J206" s="24">
        <f t="shared" si="317"/>
        <v>1</v>
      </c>
      <c r="K206" s="26">
        <f>VLOOKUP($C206,COS!$B$8:$H$991,2,FALSE)</f>
        <v>3628.526611328125</v>
      </c>
      <c r="L206" s="24">
        <f t="shared" si="231"/>
        <v>1</v>
      </c>
      <c r="M206" s="24">
        <f t="shared" si="232"/>
        <v>0</v>
      </c>
      <c r="N206" s="26">
        <f>VLOOKUP($C206,COS!$B$8:$H$991,5,FALSE)</f>
        <v>941.12457275390625</v>
      </c>
      <c r="O206" s="26">
        <f t="shared" si="320"/>
        <v>57.867494390818699</v>
      </c>
      <c r="P206" s="26">
        <f>VLOOKUP($C206,COS!$B$8:$H$991,6,FALSE)</f>
        <v>2607.468505859375</v>
      </c>
      <c r="Q206" s="26">
        <f t="shared" si="321"/>
        <v>160.32698912060951</v>
      </c>
      <c r="R206" s="26">
        <f>MIN(IF(MONTH($C206)=4,$S$3,IF(MONTH($C206)=5,$S$4,IF(MONTH($C206)=6,$S$5,IF(MONTH($C206)=7,$S$6,"ERROR")))),MAX(VLOOKUP($C206,COS!$B$8:$K$991,10,FALSE)-IF(MONTH($C206)=4,$Y$3,IF(MONTH($C206)=5,$Y$4,IF(MONTH($C206)=6,$Y$5,IF(MONTH($C206)=7,$Y$6,"ERROR")))),0),MAX(VLOOKUP($C206,COS!$B$8:$K$991,9,FALSE)-IF(MONTH($C206)=4,$V$3,IF(MONTH($C206)=5,$V$4,IF(MONTH($C206)=6,$V$5,IF(MONTH($C206)=7,$V$6,"ERROR"))))-VLOOKUP($C206,COS!$B$8:$K$991,6,FALSE)/2,0))</f>
        <v>1500</v>
      </c>
      <c r="S206" s="26">
        <f t="shared" si="322"/>
        <v>92.231404958677686</v>
      </c>
      <c r="T206" s="26">
        <f t="shared" si="323"/>
        <v>201.32864671439179</v>
      </c>
      <c r="U206" s="26" t="str">
        <f>IF(VLOOKUP($C206,COS!$B$8:$I$991,8,FALSE)=1,"UWFE","IBU")</f>
        <v>IBU</v>
      </c>
      <c r="V206" s="26">
        <f t="shared" ref="V206" si="327">MIN(IF(IF($AA$3=2,AND(E206=1,G206=1,L206=1,L208=1,M206=1,U206="IBU"),AND(E206=1,G206=1,L206=1,L208=1,M206=1)),T206,0),I206)</f>
        <v>0</v>
      </c>
      <c r="W206" s="26"/>
      <c r="X206" s="26"/>
      <c r="Y206" s="26"/>
      <c r="Z206" s="26"/>
      <c r="AA206" s="26"/>
      <c r="AB206" s="33"/>
    </row>
    <row r="207" spans="1:28" x14ac:dyDescent="0.3">
      <c r="A207" s="32">
        <f>VLOOKUP(YEAR(C207),Flags!$A$13:$B$95,2,FALSE)</f>
        <v>1</v>
      </c>
      <c r="B207" s="24">
        <f t="shared" ref="B207:B270" si="328">YEAR(C207)</f>
        <v>1943</v>
      </c>
      <c r="C207" s="25">
        <v>15949</v>
      </c>
      <c r="D207" s="26"/>
      <c r="E207" s="24"/>
      <c r="F207" s="26"/>
      <c r="G207" s="24"/>
      <c r="H207" s="24"/>
      <c r="I207" s="26"/>
      <c r="J207" s="24"/>
      <c r="K207" s="26"/>
      <c r="L207" s="24"/>
      <c r="M207" s="24"/>
      <c r="N207" s="26"/>
      <c r="O207" s="26"/>
      <c r="P207" s="26"/>
      <c r="Q207" s="26"/>
      <c r="R207" s="26"/>
      <c r="S207" s="26"/>
      <c r="T207" s="26"/>
      <c r="U207" s="26"/>
      <c r="V207" s="26"/>
      <c r="W207" s="26">
        <f>MAX($C$7-VLOOKUP($C207,COS!$B$8:$H$991,3,FALSE),0)</f>
        <v>88574.7412109375</v>
      </c>
      <c r="X207" s="26">
        <f t="shared" si="245"/>
        <v>5446.2485504907027</v>
      </c>
      <c r="Y207" s="26">
        <f>VLOOKUP($C207,COS!$B$8:$H$991,4,FALSE)</f>
        <v>301.35446166992188</v>
      </c>
      <c r="Z207" s="26">
        <f t="shared" si="246"/>
        <v>18.529563593588584</v>
      </c>
      <c r="AA207" s="26">
        <f t="shared" ref="AA207:AA211" si="329">MIN(W207,Y207)</f>
        <v>301.35446166992188</v>
      </c>
      <c r="AB207" s="33">
        <f t="shared" ref="AB207" si="330">AA207*DAY($C207)*86400/43560/1000*IF(MONTH($C207)=8,$P$3,IF(MONTH($C207)=9,$P$4,IF(MONTH($C207)=10,$P$5,IF(MONTH($C207)=11,$P$6,IF(MONTH($C207)=12,$P$7,NA())))))</f>
        <v>18.529563593588584</v>
      </c>
    </row>
    <row r="208" spans="1:28" x14ac:dyDescent="0.3">
      <c r="A208" s="32">
        <f>VLOOKUP(YEAR(C208),Flags!$A$13:$B$95,2,FALSE)</f>
        <v>1</v>
      </c>
      <c r="B208" s="24">
        <f t="shared" si="328"/>
        <v>1943</v>
      </c>
      <c r="C208" s="25">
        <v>15979</v>
      </c>
      <c r="D208" s="26"/>
      <c r="E208" s="24"/>
      <c r="F208" s="26"/>
      <c r="G208" s="24"/>
      <c r="H208" s="24"/>
      <c r="I208" s="26"/>
      <c r="J208" s="24"/>
      <c r="K208" s="26">
        <f>VLOOKUP($C208,COS!$B$8:$H$991,2,FALSE)</f>
        <v>2551.45654296875</v>
      </c>
      <c r="L208" s="24">
        <f t="shared" ref="L208" si="331">IF(AND(K208&gt;$I$7,K208&lt;$I$8),1,0)</f>
        <v>1</v>
      </c>
      <c r="M208" s="24"/>
      <c r="N208" s="26"/>
      <c r="O208" s="26"/>
      <c r="P208" s="26"/>
      <c r="Q208" s="26"/>
      <c r="R208" s="26"/>
      <c r="S208" s="26"/>
      <c r="T208" s="26"/>
      <c r="U208" s="26"/>
      <c r="V208" s="26"/>
      <c r="W208" s="26">
        <f>MAX($C$8-VLOOKUP($C208,COS!$B$8:$H$991,3,FALSE),0)</f>
        <v>83754.365234375</v>
      </c>
      <c r="X208" s="26">
        <f t="shared" si="245"/>
        <v>4983.7308238636369</v>
      </c>
      <c r="Y208" s="26">
        <f>VLOOKUP($C208,COS!$B$8:$H$991,4,FALSE)</f>
        <v>0</v>
      </c>
      <c r="Z208" s="26">
        <f t="shared" si="246"/>
        <v>0</v>
      </c>
      <c r="AA208" s="26">
        <f t="shared" si="329"/>
        <v>0</v>
      </c>
      <c r="AB208" s="33">
        <f t="shared" si="243"/>
        <v>0</v>
      </c>
    </row>
    <row r="209" spans="1:28" x14ac:dyDescent="0.3">
      <c r="A209" s="32">
        <f>VLOOKUP(YEAR(C209),Flags!$A$13:$B$95,2,FALSE)</f>
        <v>1</v>
      </c>
      <c r="B209" s="24">
        <f t="shared" si="328"/>
        <v>1943</v>
      </c>
      <c r="C209" s="25">
        <v>16010</v>
      </c>
      <c r="D209" s="26"/>
      <c r="E209" s="24"/>
      <c r="F209" s="26"/>
      <c r="G209" s="26"/>
      <c r="H209" s="26"/>
      <c r="I209" s="26"/>
      <c r="J209" s="26"/>
      <c r="K209" s="26"/>
      <c r="L209" s="24"/>
      <c r="M209" s="24"/>
      <c r="N209" s="26"/>
      <c r="O209" s="26"/>
      <c r="P209" s="26"/>
      <c r="Q209" s="26"/>
      <c r="R209" s="26"/>
      <c r="S209" s="26"/>
      <c r="T209" s="26"/>
      <c r="U209" s="26"/>
      <c r="V209" s="26"/>
      <c r="W209" s="26">
        <f>MAX($C$9-VLOOKUP($C209,COS!$B$8:$H$991,3,FALSE),0)</f>
        <v>91470.8173828125</v>
      </c>
      <c r="X209" s="26">
        <f t="shared" si="245"/>
        <v>5624.3213332902887</v>
      </c>
      <c r="Y209" s="26">
        <f>VLOOKUP($C209,COS!$B$8:$H$991,4,FALSE)</f>
        <v>1550.2403564453125</v>
      </c>
      <c r="Z209" s="26">
        <f t="shared" si="246"/>
        <v>95.320564065728306</v>
      </c>
      <c r="AA209" s="26">
        <f t="shared" si="329"/>
        <v>1550.2403564453125</v>
      </c>
      <c r="AB209" s="33">
        <f t="shared" si="243"/>
        <v>95.320564065728306</v>
      </c>
    </row>
    <row r="210" spans="1:28" x14ac:dyDescent="0.3">
      <c r="A210" s="32">
        <f>VLOOKUP(YEAR(C210),Flags!$A$13:$B$95,2,FALSE)</f>
        <v>1</v>
      </c>
      <c r="B210" s="24">
        <f t="shared" si="328"/>
        <v>1943</v>
      </c>
      <c r="C210" s="25">
        <v>16040</v>
      </c>
      <c r="D210" s="26"/>
      <c r="E210" s="24"/>
      <c r="F210" s="26"/>
      <c r="G210" s="26"/>
      <c r="H210" s="26"/>
      <c r="I210" s="26"/>
      <c r="J210" s="26"/>
      <c r="K210" s="26"/>
      <c r="L210" s="24"/>
      <c r="M210" s="24"/>
      <c r="N210" s="26"/>
      <c r="O210" s="26"/>
      <c r="P210" s="26"/>
      <c r="Q210" s="26"/>
      <c r="R210" s="26"/>
      <c r="S210" s="26"/>
      <c r="T210" s="26"/>
      <c r="U210" s="26"/>
      <c r="V210" s="26"/>
      <c r="W210" s="26">
        <f>MAX($C$10-VLOOKUP($C210,COS!$B$8:$H$991,3,FALSE),0)</f>
        <v>89086.3046875</v>
      </c>
      <c r="X210" s="26">
        <f t="shared" si="245"/>
        <v>5301.0032541322316</v>
      </c>
      <c r="Y210" s="26">
        <f>VLOOKUP($C210,COS!$B$8:$H$991,4,FALSE)</f>
        <v>2815.150390625</v>
      </c>
      <c r="Z210" s="26">
        <f t="shared" si="246"/>
        <v>167.51308109504131</v>
      </c>
      <c r="AA210" s="26">
        <f t="shared" si="329"/>
        <v>2815.150390625</v>
      </c>
      <c r="AB210" s="33">
        <f t="shared" si="243"/>
        <v>83.756540547520657</v>
      </c>
    </row>
    <row r="211" spans="1:28" x14ac:dyDescent="0.3">
      <c r="A211" s="34">
        <f>VLOOKUP(YEAR(C211),Flags!$A$13:$B$95,2,FALSE)</f>
        <v>1</v>
      </c>
      <c r="B211" s="35">
        <f t="shared" si="328"/>
        <v>1943</v>
      </c>
      <c r="C211" s="36">
        <v>16071</v>
      </c>
      <c r="D211" s="37"/>
      <c r="E211" s="35"/>
      <c r="F211" s="37"/>
      <c r="G211" s="37"/>
      <c r="H211" s="37"/>
      <c r="I211" s="37"/>
      <c r="J211" s="37"/>
      <c r="K211" s="37"/>
      <c r="L211" s="35"/>
      <c r="M211" s="35"/>
      <c r="N211" s="37"/>
      <c r="O211" s="37"/>
      <c r="P211" s="37"/>
      <c r="Q211" s="37"/>
      <c r="R211" s="37"/>
      <c r="S211" s="37"/>
      <c r="T211" s="37"/>
      <c r="U211" s="37"/>
      <c r="V211" s="37"/>
      <c r="W211" s="37">
        <f>MAX($C$11-VLOOKUP($C211,COS!$B$8:$H$991,3,FALSE),0)</f>
        <v>0</v>
      </c>
      <c r="X211" s="37">
        <f t="shared" si="245"/>
        <v>0</v>
      </c>
      <c r="Y211" s="37">
        <f>VLOOKUP($C211,COS!$B$8:$H$991,4,FALSE)</f>
        <v>40.252571105957031</v>
      </c>
      <c r="Z211" s="37">
        <f t="shared" si="246"/>
        <v>2.4750341242009943</v>
      </c>
      <c r="AA211" s="37">
        <f t="shared" si="329"/>
        <v>0</v>
      </c>
      <c r="AB211" s="38">
        <f t="shared" si="243"/>
        <v>0</v>
      </c>
    </row>
    <row r="212" spans="1:28" x14ac:dyDescent="0.3">
      <c r="A212" s="27">
        <f>VLOOKUP(YEAR(C212),Flags!$A$13:$B$95,2,FALSE)</f>
        <v>4</v>
      </c>
      <c r="B212" s="28">
        <f t="shared" si="328"/>
        <v>1944</v>
      </c>
      <c r="C212" s="29">
        <v>16192</v>
      </c>
      <c r="D212" s="30">
        <f>VLOOKUP($C212,COS!$B$8:$H$991,3,FALSE)</f>
        <v>3250</v>
      </c>
      <c r="E212" s="28">
        <f>IF(D212&gt;=IF(MONTH($C212)=4,$C$3,IF(MONTH($C212)=5,$C$4,IF(MONTH($C212)=6,$C$5,IF(MONTH($C212)=7,$C$6,"ERROR")))),1,0)</f>
        <v>0</v>
      </c>
      <c r="F212" s="30">
        <f>VLOOKUP($C212,COS!$B$8:$H$991,7,FALSE)</f>
        <v>50.606151580810547</v>
      </c>
      <c r="G212" s="28">
        <f>IF(F212&lt;=IF(MONTH($C212)=4,$F$3,IF(MONTH($C212)=5,$F$4,IF(MONTH($C212)=6,$F$5,IF(MONTH($C212)=7,$F$6,"ERROR")))),1,0)</f>
        <v>1</v>
      </c>
      <c r="H212" s="30">
        <f>IF(J212=1,D212-$C$3,0)</f>
        <v>0</v>
      </c>
      <c r="I212" s="30">
        <f t="shared" si="239"/>
        <v>0</v>
      </c>
      <c r="J212" s="28">
        <f t="shared" ref="J212:J215" si="332">IF(AND(E212=1,G212=1),1,0)</f>
        <v>0</v>
      </c>
      <c r="K212" s="30">
        <f>VLOOKUP($C212,COS!$B$8:$H$991,2,FALSE)</f>
        <v>3187.75537109375</v>
      </c>
      <c r="L212" s="28">
        <f t="shared" ref="L212:L269" si="333">IF(K212&lt;=IF(MONTH($C212)=4,$I$3,IF(MONTH($C212)=5,$I$4,IF(MONTH($C212)=6,$I$5,IF(MONTH($C212)=7,$I$6,"ERROR")))),1,0)</f>
        <v>1</v>
      </c>
      <c r="M212" s="28">
        <f t="shared" ref="M212:M269" si="334">VLOOKUP($A212,$L$3:$M$7,2,FALSE)</f>
        <v>1</v>
      </c>
      <c r="N212" s="30">
        <f>VLOOKUP($C212,COS!$B$8:$H$991,5,FALSE)</f>
        <v>104.06297302246094</v>
      </c>
      <c r="O212" s="30">
        <f t="shared" ref="O212:O215" si="335">N212*DAY($C212)*86400/43560/1000</f>
        <v>6.1921769071216426</v>
      </c>
      <c r="P212" s="30">
        <f>VLOOKUP($C212,COS!$B$8:$H$991,6,FALSE)</f>
        <v>468.96719360351563</v>
      </c>
      <c r="Q212" s="30">
        <f t="shared" ref="Q212:Q215" si="336">P212*DAY($C212)*86400/43560/1000</f>
        <v>27.905485900374483</v>
      </c>
      <c r="R212" s="30">
        <f>MIN(IF(MONTH($C212)=4,$S$3,IF(MONTH($C212)=5,$S$4,IF(MONTH($C212)=6,$S$5,IF(MONTH($C212)=7,$S$6,"ERROR")))),MAX(VLOOKUP($C212,COS!$B$8:$K$991,10,FALSE)-IF(MONTH($C212)=4,$Y$3,IF(MONTH($C212)=5,$Y$4,IF(MONTH($C212)=6,$Y$5,IF(MONTH($C212)=7,$Y$6,"ERROR")))),0),MAX(VLOOKUP($C212,COS!$B$8:$K$991,9,FALSE)-IF(MONTH($C212)=4,$V$3,IF(MONTH($C212)=5,$V$4,IF(MONTH($C212)=6,$V$5,IF(MONTH($C212)=7,$V$6,"ERROR"))))-VLOOKUP($C212,COS!$B$8:$K$991,6,FALSE)/2,0))</f>
        <v>653.14990234375</v>
      </c>
      <c r="S212" s="30">
        <f t="shared" ref="S212:S215" si="337">R212*DAY($C212)*86400/43560/1000</f>
        <v>38.865118155991738</v>
      </c>
      <c r="T212" s="30">
        <f t="shared" ref="T212:T215" si="338">(O212+Q212)/2+S212</f>
        <v>55.913949559739805</v>
      </c>
      <c r="U212" s="30" t="str">
        <f>IF(VLOOKUP($C212,COS!$B$8:$I$991,8,FALSE)=1,"UWFE","IBU")</f>
        <v>UWFE</v>
      </c>
      <c r="V212" s="30">
        <f t="shared" ref="V212" si="339">MIN(IF(IF($AA$3=2,AND(E212=1,G212=1,L212=1,L217=1,M212=1,U212="IBU"),AND(E212=1,G212=1,L212=1,L217=1,M212=1)),T212,0),I212)</f>
        <v>0</v>
      </c>
      <c r="W212" s="30"/>
      <c r="X212" s="30"/>
      <c r="Y212" s="30"/>
      <c r="Z212" s="30"/>
      <c r="AA212" s="30"/>
      <c r="AB212" s="31"/>
    </row>
    <row r="213" spans="1:28" x14ac:dyDescent="0.3">
      <c r="A213" s="32">
        <f>VLOOKUP(YEAR(C213),Flags!$A$13:$B$95,2,FALSE)</f>
        <v>4</v>
      </c>
      <c r="B213" s="24">
        <f t="shared" si="328"/>
        <v>1944</v>
      </c>
      <c r="C213" s="25">
        <v>16223</v>
      </c>
      <c r="D213" s="26">
        <f>VLOOKUP($C213,COS!$B$8:$H$991,3,FALSE)</f>
        <v>5285.6044921875</v>
      </c>
      <c r="E213" s="24">
        <f>IF(D213&gt;=IF(MONTH($C213)=4,$C$3,IF(MONTH($C213)=5,$C$4,IF(MONTH($C213)=6,$C$5,IF(MONTH($C213)=7,$C$6,"ERROR")))),1,0)</f>
        <v>0</v>
      </c>
      <c r="F213" s="26">
        <f>VLOOKUP($C213,COS!$B$8:$H$991,7,FALSE)</f>
        <v>51.930629730224609</v>
      </c>
      <c r="G213" s="24">
        <f>IF(F213&lt;=IF(MONTH($C213)=4,$F$3,IF(MONTH($C213)=5,$F$4,IF(MONTH($C213)=6,$F$5,IF(MONTH($C213)=7,$F$6,"ERROR")))),1,0)</f>
        <v>1</v>
      </c>
      <c r="H213" s="26">
        <f>IF(J213=1,D213-$C$4,0)</f>
        <v>0</v>
      </c>
      <c r="I213" s="26">
        <f t="shared" si="239"/>
        <v>0</v>
      </c>
      <c r="J213" s="24">
        <f t="shared" si="332"/>
        <v>0</v>
      </c>
      <c r="K213" s="26">
        <f>VLOOKUP($C213,COS!$B$8:$H$991,2,FALSE)</f>
        <v>3183.985107421875</v>
      </c>
      <c r="L213" s="24">
        <f t="shared" si="333"/>
        <v>1</v>
      </c>
      <c r="M213" s="24">
        <f t="shared" si="334"/>
        <v>1</v>
      </c>
      <c r="N213" s="26">
        <f>VLOOKUP($C213,COS!$B$8:$H$991,5,FALSE)</f>
        <v>20.680736541748047</v>
      </c>
      <c r="O213" s="26">
        <f t="shared" si="335"/>
        <v>1.2716089245504583</v>
      </c>
      <c r="P213" s="26">
        <f>VLOOKUP($C213,COS!$B$8:$H$991,6,FALSE)</f>
        <v>2024.68505859375</v>
      </c>
      <c r="Q213" s="26">
        <f t="shared" si="336"/>
        <v>124.49303170196281</v>
      </c>
      <c r="R213" s="26">
        <f>MIN(IF(MONTH($C213)=4,$S$3,IF(MONTH($C213)=5,$S$4,IF(MONTH($C213)=6,$S$5,IF(MONTH($C213)=7,$S$6,"ERROR")))),MAX(VLOOKUP($C213,COS!$B$8:$K$991,10,FALSE)-IF(MONTH($C213)=4,$Y$3,IF(MONTH($C213)=5,$Y$4,IF(MONTH($C213)=6,$Y$5,IF(MONTH($C213)=7,$Y$6,"ERROR")))),0),MAX(VLOOKUP($C213,COS!$B$8:$K$991,9,FALSE)-IF(MONTH($C213)=4,$V$3,IF(MONTH($C213)=5,$V$4,IF(MONTH($C213)=6,$V$5,IF(MONTH($C213)=7,$V$6,"ERROR"))))-VLOOKUP($C213,COS!$B$8:$K$991,6,FALSE)/2,0))</f>
        <v>1042.197265625</v>
      </c>
      <c r="S213" s="26">
        <f t="shared" si="337"/>
        <v>64.082212035123959</v>
      </c>
      <c r="T213" s="26">
        <f t="shared" si="338"/>
        <v>126.9645323483806</v>
      </c>
      <c r="U213" s="26" t="str">
        <f>IF(VLOOKUP($C213,COS!$B$8:$I$991,8,FALSE)=1,"UWFE","IBU")</f>
        <v>UWFE</v>
      </c>
      <c r="V213" s="26">
        <f t="shared" ref="V213" si="340">MIN(IF(IF($AA$3=2,AND(E213=1,G213=1,L213=1,L217=1,M213=1,U213="IBU"),AND(E213=1,G213=1,L213=1,L217=1,M213=1)),T213,0),I213)</f>
        <v>0</v>
      </c>
      <c r="W213" s="26"/>
      <c r="X213" s="26"/>
      <c r="Y213" s="26"/>
      <c r="Z213" s="26"/>
      <c r="AA213" s="26"/>
      <c r="AB213" s="33"/>
    </row>
    <row r="214" spans="1:28" x14ac:dyDescent="0.3">
      <c r="A214" s="32">
        <f>VLOOKUP(YEAR(C214),Flags!$A$13:$B$95,2,FALSE)</f>
        <v>4</v>
      </c>
      <c r="B214" s="24">
        <f t="shared" si="328"/>
        <v>1944</v>
      </c>
      <c r="C214" s="25">
        <v>16253</v>
      </c>
      <c r="D214" s="26">
        <f>VLOOKUP($C214,COS!$B$8:$H$991,3,FALSE)</f>
        <v>9979.68359375</v>
      </c>
      <c r="E214" s="24">
        <f>IF(D214&gt;=IF(MONTH($C214)=4,$C$3,IF(MONTH($C214)=5,$C$4,IF(MONTH($C214)=6,$C$5,IF(MONTH($C214)=7,$C$6,"ERROR")))),1,0)</f>
        <v>0</v>
      </c>
      <c r="F214" s="26">
        <f>VLOOKUP($C214,COS!$B$8:$H$991,7,FALSE)</f>
        <v>51.431163787841797</v>
      </c>
      <c r="G214" s="24">
        <f>IF(F214&lt;=IF(MONTH($C214)=4,$F$3,IF(MONTH($C214)=5,$F$4,IF(MONTH($C214)=6,$F$5,IF(MONTH($C214)=7,$F$6,"ERROR")))),1,0)</f>
        <v>1</v>
      </c>
      <c r="H214" s="26">
        <f>IF(J214=1,D214-$C$5,0)</f>
        <v>0</v>
      </c>
      <c r="I214" s="26">
        <f t="shared" si="239"/>
        <v>0</v>
      </c>
      <c r="J214" s="24">
        <f t="shared" si="332"/>
        <v>0</v>
      </c>
      <c r="K214" s="26">
        <f>VLOOKUP($C214,COS!$B$8:$H$991,2,FALSE)</f>
        <v>2883.628662109375</v>
      </c>
      <c r="L214" s="24">
        <f t="shared" si="333"/>
        <v>1</v>
      </c>
      <c r="M214" s="24">
        <f t="shared" si="334"/>
        <v>1</v>
      </c>
      <c r="N214" s="26">
        <f>VLOOKUP($C214,COS!$B$8:$H$991,5,FALSE)</f>
        <v>231.61277770996094</v>
      </c>
      <c r="O214" s="26">
        <f t="shared" si="335"/>
        <v>13.781917351336519</v>
      </c>
      <c r="P214" s="26">
        <f>VLOOKUP($C214,COS!$B$8:$H$991,6,FALSE)</f>
        <v>2655.6513671875</v>
      </c>
      <c r="Q214" s="26">
        <f t="shared" si="336"/>
        <v>158.02223011363634</v>
      </c>
      <c r="R214" s="26">
        <f>MIN(IF(MONTH($C214)=4,$S$3,IF(MONTH($C214)=5,$S$4,IF(MONTH($C214)=6,$S$5,IF(MONTH($C214)=7,$S$6,"ERROR")))),MAX(VLOOKUP($C214,COS!$B$8:$K$991,10,FALSE)-IF(MONTH($C214)=4,$Y$3,IF(MONTH($C214)=5,$Y$4,IF(MONTH($C214)=6,$Y$5,IF(MONTH($C214)=7,$Y$6,"ERROR")))),0),MAX(VLOOKUP($C214,COS!$B$8:$K$991,9,FALSE)-IF(MONTH($C214)=4,$V$3,IF(MONTH($C214)=5,$V$4,IF(MONTH($C214)=6,$V$5,IF(MONTH($C214)=7,$V$6,"ERROR"))))-VLOOKUP($C214,COS!$B$8:$K$991,6,FALSE)/2,0))</f>
        <v>1500</v>
      </c>
      <c r="S214" s="26">
        <f t="shared" si="337"/>
        <v>89.256198347107429</v>
      </c>
      <c r="T214" s="26">
        <f t="shared" si="338"/>
        <v>175.15827207959387</v>
      </c>
      <c r="U214" s="26" t="str">
        <f>IF(VLOOKUP($C214,COS!$B$8:$I$991,8,FALSE)=1,"UWFE","IBU")</f>
        <v>IBU</v>
      </c>
      <c r="V214" s="26">
        <f t="shared" ref="V214" si="341">MIN(IF(IF($AA$3=2,AND(E214=1,G214=1,L214=1,L217=1,M214=1,U214="IBU"),AND(E214=1,G214=1,L214=1,L217=1,M214=1)),T214,0),I214)</f>
        <v>0</v>
      </c>
      <c r="W214" s="26"/>
      <c r="X214" s="26"/>
      <c r="Y214" s="26"/>
      <c r="Z214" s="26"/>
      <c r="AA214" s="26"/>
      <c r="AB214" s="33"/>
    </row>
    <row r="215" spans="1:28" x14ac:dyDescent="0.3">
      <c r="A215" s="32">
        <f>VLOOKUP(YEAR(C215),Flags!$A$13:$B$95,2,FALSE)</f>
        <v>4</v>
      </c>
      <c r="B215" s="24">
        <f t="shared" si="328"/>
        <v>1944</v>
      </c>
      <c r="C215" s="25">
        <v>16284</v>
      </c>
      <c r="D215" s="26">
        <f>VLOOKUP($C215,COS!$B$8:$H$991,3,FALSE)</f>
        <v>11936.8037109375</v>
      </c>
      <c r="E215" s="24">
        <f>IF(D215&gt;=IF(MONTH($C215)=4,$C$3,IF(MONTH($C215)=5,$C$4,IF(MONTH($C215)=6,$C$5,IF(MONTH($C215)=7,$C$6,"ERROR")))),1,0)</f>
        <v>0</v>
      </c>
      <c r="F215" s="26">
        <f>VLOOKUP($C215,COS!$B$8:$H$991,7,FALSE)</f>
        <v>53.474411010742188</v>
      </c>
      <c r="G215" s="24">
        <f>IF(F215&lt;=IF(MONTH($C215)=4,$F$3,IF(MONTH($C215)=5,$F$4,IF(MONTH($C215)=6,$F$5,IF(MONTH($C215)=7,$F$6,"ERROR")))),1,0)</f>
        <v>1</v>
      </c>
      <c r="H215" s="26">
        <f>IF(J215=1,D215-$C$6,0)</f>
        <v>0</v>
      </c>
      <c r="I215" s="26">
        <f t="shared" ref="I215:I278" si="342">H215*DAY($C215)*86400/43560/1000</f>
        <v>0</v>
      </c>
      <c r="J215" s="24">
        <f t="shared" si="332"/>
        <v>0</v>
      </c>
      <c r="K215" s="26">
        <f>VLOOKUP($C215,COS!$B$8:$H$991,2,FALSE)</f>
        <v>2455.531494140625</v>
      </c>
      <c r="L215" s="24">
        <f t="shared" si="333"/>
        <v>1</v>
      </c>
      <c r="M215" s="24">
        <f t="shared" si="334"/>
        <v>1</v>
      </c>
      <c r="N215" s="26">
        <f>VLOOKUP($C215,COS!$B$8:$H$991,5,FALSE)</f>
        <v>264.6837158203125</v>
      </c>
      <c r="O215" s="26">
        <f t="shared" si="335"/>
        <v>16.274767319860537</v>
      </c>
      <c r="P215" s="26">
        <f>VLOOKUP($C215,COS!$B$8:$H$991,6,FALSE)</f>
        <v>2538.07568359375</v>
      </c>
      <c r="Q215" s="26">
        <f t="shared" si="336"/>
        <v>156.06019079287191</v>
      </c>
      <c r="R215" s="26">
        <f>MIN(IF(MONTH($C215)=4,$S$3,IF(MONTH($C215)=5,$S$4,IF(MONTH($C215)=6,$S$5,IF(MONTH($C215)=7,$S$6,"ERROR")))),MAX(VLOOKUP($C215,COS!$B$8:$K$991,10,FALSE)-IF(MONTH($C215)=4,$Y$3,IF(MONTH($C215)=5,$Y$4,IF(MONTH($C215)=6,$Y$5,IF(MONTH($C215)=7,$Y$6,"ERROR")))),0),MAX(VLOOKUP($C215,COS!$B$8:$K$991,9,FALSE)-IF(MONTH($C215)=4,$V$3,IF(MONTH($C215)=5,$V$4,IF(MONTH($C215)=6,$V$5,IF(MONTH($C215)=7,$V$6,"ERROR"))))-VLOOKUP($C215,COS!$B$8:$K$991,6,FALSE)/2,0))</f>
        <v>1500</v>
      </c>
      <c r="S215" s="26">
        <f t="shared" si="337"/>
        <v>92.231404958677686</v>
      </c>
      <c r="T215" s="26">
        <f t="shared" si="338"/>
        <v>178.3988840150439</v>
      </c>
      <c r="U215" s="26" t="str">
        <f>IF(VLOOKUP($C215,COS!$B$8:$I$991,8,FALSE)=1,"UWFE","IBU")</f>
        <v>IBU</v>
      </c>
      <c r="V215" s="26">
        <f t="shared" ref="V215" si="343">MIN(IF(IF($AA$3=2,AND(E215=1,G215=1,L215=1,L217=1,M215=1,U215="IBU"),AND(E215=1,G215=1,L215=1,L217=1,M215=1)),T215,0),I215)</f>
        <v>0</v>
      </c>
      <c r="W215" s="26"/>
      <c r="X215" s="26"/>
      <c r="Y215" s="26"/>
      <c r="Z215" s="26"/>
      <c r="AA215" s="26"/>
      <c r="AB215" s="33"/>
    </row>
    <row r="216" spans="1:28" x14ac:dyDescent="0.3">
      <c r="A216" s="32">
        <f>VLOOKUP(YEAR(C216),Flags!$A$13:$B$95,2,FALSE)</f>
        <v>4</v>
      </c>
      <c r="B216" s="24">
        <f t="shared" si="328"/>
        <v>1944</v>
      </c>
      <c r="C216" s="25">
        <v>16315</v>
      </c>
      <c r="D216" s="26"/>
      <c r="E216" s="24"/>
      <c r="F216" s="26"/>
      <c r="G216" s="24"/>
      <c r="H216" s="24"/>
      <c r="I216" s="26"/>
      <c r="J216" s="24"/>
      <c r="K216" s="26"/>
      <c r="L216" s="24"/>
      <c r="M216" s="24"/>
      <c r="N216" s="26"/>
      <c r="O216" s="26"/>
      <c r="P216" s="26"/>
      <c r="Q216" s="26"/>
      <c r="R216" s="26"/>
      <c r="S216" s="26"/>
      <c r="T216" s="26"/>
      <c r="U216" s="26"/>
      <c r="V216" s="26"/>
      <c r="W216" s="26">
        <f>MAX($C$7-VLOOKUP($C216,COS!$B$8:$H$991,3,FALSE),0)</f>
        <v>91194.1171875</v>
      </c>
      <c r="X216" s="26">
        <f t="shared" si="245"/>
        <v>5607.3077014462806</v>
      </c>
      <c r="Y216" s="26">
        <f>VLOOKUP($C216,COS!$B$8:$H$991,4,FALSE)</f>
        <v>1479.651123046875</v>
      </c>
      <c r="Z216" s="26">
        <f t="shared" si="246"/>
        <v>90.9802012848657</v>
      </c>
      <c r="AA216" s="26">
        <f t="shared" ref="AA216:AA220" si="344">MIN(W216,Y216)</f>
        <v>1479.651123046875</v>
      </c>
      <c r="AB216" s="33">
        <f t="shared" ref="AB216:AB274" si="345">AA216*DAY($C216)*86400/43560/1000*IF(MONTH($C216)=8,$P$3,IF(MONTH($C216)=9,$P$4,IF(MONTH($C216)=10,$P$5,IF(MONTH($C216)=11,$P$6,IF(MONTH($C216)=12,$P$7,NA())))))</f>
        <v>90.9802012848657</v>
      </c>
    </row>
    <row r="217" spans="1:28" x14ac:dyDescent="0.3">
      <c r="A217" s="32">
        <f>VLOOKUP(YEAR(C217),Flags!$A$13:$B$95,2,FALSE)</f>
        <v>4</v>
      </c>
      <c r="B217" s="24">
        <f t="shared" si="328"/>
        <v>1944</v>
      </c>
      <c r="C217" s="25">
        <v>16345</v>
      </c>
      <c r="D217" s="26"/>
      <c r="E217" s="24"/>
      <c r="F217" s="26"/>
      <c r="G217" s="24"/>
      <c r="H217" s="24"/>
      <c r="I217" s="26"/>
      <c r="J217" s="24"/>
      <c r="K217" s="26">
        <f>VLOOKUP($C217,COS!$B$8:$H$991,2,FALSE)</f>
        <v>2136.83203125</v>
      </c>
      <c r="L217" s="24">
        <f t="shared" ref="L217" si="346">IF(AND(K217&gt;$I$7,K217&lt;$I$8),1,0)</f>
        <v>1</v>
      </c>
      <c r="M217" s="24"/>
      <c r="N217" s="26"/>
      <c r="O217" s="26"/>
      <c r="P217" s="26"/>
      <c r="Q217" s="26"/>
      <c r="R217" s="26"/>
      <c r="S217" s="26"/>
      <c r="T217" s="26"/>
      <c r="U217" s="26"/>
      <c r="V217" s="26"/>
      <c r="W217" s="26">
        <f>MAX($C$8-VLOOKUP($C217,COS!$B$8:$H$991,3,FALSE),0)</f>
        <v>95026.63427734375</v>
      </c>
      <c r="X217" s="26">
        <f t="shared" si="245"/>
        <v>5654.4774115444216</v>
      </c>
      <c r="Y217" s="26">
        <f>VLOOKUP($C217,COS!$B$8:$H$991,4,FALSE)</f>
        <v>1451.7376708984375</v>
      </c>
      <c r="Z217" s="26">
        <f t="shared" si="246"/>
        <v>86.384390334452476</v>
      </c>
      <c r="AA217" s="26">
        <f t="shared" si="344"/>
        <v>1451.7376708984375</v>
      </c>
      <c r="AB217" s="33">
        <f t="shared" si="345"/>
        <v>86.384390334452476</v>
      </c>
    </row>
    <row r="218" spans="1:28" x14ac:dyDescent="0.3">
      <c r="A218" s="32">
        <f>VLOOKUP(YEAR(C218),Flags!$A$13:$B$95,2,FALSE)</f>
        <v>4</v>
      </c>
      <c r="B218" s="24">
        <f t="shared" si="328"/>
        <v>1944</v>
      </c>
      <c r="C218" s="25">
        <v>16376</v>
      </c>
      <c r="D218" s="26"/>
      <c r="E218" s="24"/>
      <c r="F218" s="26"/>
      <c r="G218" s="26"/>
      <c r="H218" s="26"/>
      <c r="I218" s="26"/>
      <c r="J218" s="26"/>
      <c r="K218" s="26"/>
      <c r="L218" s="24"/>
      <c r="M218" s="24"/>
      <c r="N218" s="26"/>
      <c r="O218" s="26"/>
      <c r="P218" s="26"/>
      <c r="Q218" s="26"/>
      <c r="R218" s="26"/>
      <c r="S218" s="26"/>
      <c r="T218" s="26"/>
      <c r="U218" s="26"/>
      <c r="V218" s="26"/>
      <c r="W218" s="26">
        <f>MAX($C$9-VLOOKUP($C218,COS!$B$8:$H$991,3,FALSE),0)</f>
        <v>94521.05810546875</v>
      </c>
      <c r="X218" s="26">
        <f t="shared" si="245"/>
        <v>5811.8733248321287</v>
      </c>
      <c r="Y218" s="26">
        <f>VLOOKUP($C218,COS!$B$8:$H$991,4,FALSE)</f>
        <v>1521.927001953125</v>
      </c>
      <c r="Z218" s="26">
        <f t="shared" si="246"/>
        <v>93.579643756456619</v>
      </c>
      <c r="AA218" s="26">
        <f t="shared" si="344"/>
        <v>1521.927001953125</v>
      </c>
      <c r="AB218" s="33">
        <f t="shared" si="345"/>
        <v>93.579643756456619</v>
      </c>
    </row>
    <row r="219" spans="1:28" x14ac:dyDescent="0.3">
      <c r="A219" s="32">
        <f>VLOOKUP(YEAR(C219),Flags!$A$13:$B$95,2,FALSE)</f>
        <v>4</v>
      </c>
      <c r="B219" s="24">
        <f t="shared" si="328"/>
        <v>1944</v>
      </c>
      <c r="C219" s="25">
        <v>16406</v>
      </c>
      <c r="D219" s="26"/>
      <c r="E219" s="24"/>
      <c r="F219" s="26"/>
      <c r="G219" s="26"/>
      <c r="H219" s="26"/>
      <c r="I219" s="26"/>
      <c r="J219" s="26"/>
      <c r="K219" s="26"/>
      <c r="L219" s="24"/>
      <c r="M219" s="24"/>
      <c r="N219" s="26"/>
      <c r="O219" s="26"/>
      <c r="P219" s="26"/>
      <c r="Q219" s="26"/>
      <c r="R219" s="26"/>
      <c r="S219" s="26"/>
      <c r="T219" s="26"/>
      <c r="U219" s="26"/>
      <c r="V219" s="26"/>
      <c r="W219" s="26">
        <f>MAX($C$10-VLOOKUP($C219,COS!$B$8:$H$991,3,FALSE),0)</f>
        <v>96749</v>
      </c>
      <c r="X219" s="26">
        <f t="shared" ref="X219:X282" si="347">W219*DAY($C219)*86400/43560/1000</f>
        <v>5756.965289256198</v>
      </c>
      <c r="Y219" s="26">
        <f>VLOOKUP($C219,COS!$B$8:$H$991,4,FALSE)</f>
        <v>0</v>
      </c>
      <c r="Z219" s="26">
        <f t="shared" ref="Z219:Z282" si="348">Y219*DAY($C219)*86400/43560/1000</f>
        <v>0</v>
      </c>
      <c r="AA219" s="26">
        <f t="shared" si="344"/>
        <v>0</v>
      </c>
      <c r="AB219" s="33">
        <f t="shared" si="345"/>
        <v>0</v>
      </c>
    </row>
    <row r="220" spans="1:28" x14ac:dyDescent="0.3">
      <c r="A220" s="34">
        <f>VLOOKUP(YEAR(C220),Flags!$A$13:$B$95,2,FALSE)</f>
        <v>4</v>
      </c>
      <c r="B220" s="35">
        <f t="shared" si="328"/>
        <v>1944</v>
      </c>
      <c r="C220" s="36">
        <v>16437</v>
      </c>
      <c r="D220" s="37"/>
      <c r="E220" s="35"/>
      <c r="F220" s="37"/>
      <c r="G220" s="37"/>
      <c r="H220" s="37"/>
      <c r="I220" s="37"/>
      <c r="J220" s="37"/>
      <c r="K220" s="37"/>
      <c r="L220" s="35"/>
      <c r="M220" s="35"/>
      <c r="N220" s="37"/>
      <c r="O220" s="37"/>
      <c r="P220" s="37"/>
      <c r="Q220" s="37"/>
      <c r="R220" s="37"/>
      <c r="S220" s="37"/>
      <c r="T220" s="37"/>
      <c r="U220" s="37"/>
      <c r="V220" s="37"/>
      <c r="W220" s="37">
        <f>MAX($C$11-VLOOKUP($C220,COS!$B$8:$H$991,3,FALSE),0)</f>
        <v>0</v>
      </c>
      <c r="X220" s="37">
        <f t="shared" si="347"/>
        <v>0</v>
      </c>
      <c r="Y220" s="37">
        <f>VLOOKUP($C220,COS!$B$8:$H$991,4,FALSE)</f>
        <v>2511.267822265625</v>
      </c>
      <c r="Z220" s="37">
        <f t="shared" si="348"/>
        <v>154.41183965005163</v>
      </c>
      <c r="AA220" s="37">
        <f t="shared" si="344"/>
        <v>0</v>
      </c>
      <c r="AB220" s="38">
        <f t="shared" si="345"/>
        <v>0</v>
      </c>
    </row>
    <row r="221" spans="1:28" x14ac:dyDescent="0.3">
      <c r="A221" s="27">
        <f>VLOOKUP(YEAR(C221),Flags!$A$13:$B$95,2,FALSE)</f>
        <v>3</v>
      </c>
      <c r="B221" s="28">
        <f t="shared" si="328"/>
        <v>1945</v>
      </c>
      <c r="C221" s="29">
        <v>16557</v>
      </c>
      <c r="D221" s="30">
        <f>VLOOKUP($C221,COS!$B$8:$H$991,3,FALSE)</f>
        <v>3250</v>
      </c>
      <c r="E221" s="28">
        <f>IF(D221&gt;=IF(MONTH($C221)=4,$C$3,IF(MONTH($C221)=5,$C$4,IF(MONTH($C221)=6,$C$5,IF(MONTH($C221)=7,$C$6,"ERROR")))),1,0)</f>
        <v>0</v>
      </c>
      <c r="F221" s="30">
        <f>VLOOKUP($C221,COS!$B$8:$H$991,7,FALSE)</f>
        <v>50.669651031494141</v>
      </c>
      <c r="G221" s="28">
        <f>IF(F221&lt;=IF(MONTH($C221)=4,$F$3,IF(MONTH($C221)=5,$F$4,IF(MONTH($C221)=6,$F$5,IF(MONTH($C221)=7,$F$6,"ERROR")))),1,0)</f>
        <v>1</v>
      </c>
      <c r="H221" s="30">
        <f>IF(J221=1,D221-$C$3,0)</f>
        <v>0</v>
      </c>
      <c r="I221" s="30">
        <f t="shared" si="342"/>
        <v>0</v>
      </c>
      <c r="J221" s="28">
        <f t="shared" ref="J221:J224" si="349">IF(AND(E221=1,G221=1),1,0)</f>
        <v>0</v>
      </c>
      <c r="K221" s="30">
        <f>VLOOKUP($C221,COS!$B$8:$H$991,2,FALSE)</f>
        <v>4155.40673828125</v>
      </c>
      <c r="L221" s="28">
        <f t="shared" ref="L221" si="350">IF(K221&lt;=IF(MONTH($C221)=4,$I$3,IF(MONTH($C221)=5,$I$4,IF(MONTH($C221)=6,$I$5,IF(MONTH($C221)=7,$I$6,"ERROR")))),1,0)</f>
        <v>1</v>
      </c>
      <c r="M221" s="28">
        <f t="shared" ref="M221" si="351">VLOOKUP($A221,$L$3:$M$7,2,FALSE)</f>
        <v>0</v>
      </c>
      <c r="N221" s="30">
        <f>VLOOKUP($C221,COS!$B$8:$H$991,5,FALSE)</f>
        <v>245.70526123046875</v>
      </c>
      <c r="O221" s="30">
        <f t="shared" ref="O221:O224" si="352">N221*DAY($C221)*86400/43560/1000</f>
        <v>14.620478354209711</v>
      </c>
      <c r="P221" s="30">
        <f>VLOOKUP($C221,COS!$B$8:$H$991,6,FALSE)</f>
        <v>453.39697265625</v>
      </c>
      <c r="Q221" s="30">
        <f t="shared" ref="Q221:Q224" si="353">P221*DAY($C221)*86400/43560/1000</f>
        <v>26.978993414256198</v>
      </c>
      <c r="R221" s="30">
        <f>MIN(IF(MONTH($C221)=4,$S$3,IF(MONTH($C221)=5,$S$4,IF(MONTH($C221)=6,$S$5,IF(MONTH($C221)=7,$S$6,"ERROR")))),MAX(VLOOKUP($C221,COS!$B$8:$K$991,10,FALSE)-IF(MONTH($C221)=4,$Y$3,IF(MONTH($C221)=5,$Y$4,IF(MONTH($C221)=6,$Y$5,IF(MONTH($C221)=7,$Y$6,"ERROR")))),0),MAX(VLOOKUP($C221,COS!$B$8:$K$991,9,FALSE)-IF(MONTH($C221)=4,$V$3,IF(MONTH($C221)=5,$V$4,IF(MONTH($C221)=6,$V$5,IF(MONTH($C221)=7,$V$6,"ERROR"))))-VLOOKUP($C221,COS!$B$8:$K$991,6,FALSE)/2,0))</f>
        <v>1303.249267578125</v>
      </c>
      <c r="S221" s="30">
        <f t="shared" ref="S221:S224" si="354">R221*DAY($C221)*86400/43560/1000</f>
        <v>77.548716748450417</v>
      </c>
      <c r="T221" s="30">
        <f t="shared" ref="T221:T224" si="355">(O221+Q221)/2+S221</f>
        <v>98.348452632683376</v>
      </c>
      <c r="U221" s="30" t="str">
        <f>IF(VLOOKUP($C221,COS!$B$8:$I$991,8,FALSE)=1,"UWFE","IBU")</f>
        <v>UWFE</v>
      </c>
      <c r="V221" s="30">
        <f t="shared" ref="V221" si="356">MIN(IF(IF($AA$3=2,AND(E221=1,G221=1,L221=1,L226=1,M221=1,U221="IBU"),AND(E221=1,G221=1,L221=1,L226=1,M221=1)),T221,0),I221)</f>
        <v>0</v>
      </c>
      <c r="W221" s="30"/>
      <c r="X221" s="30"/>
      <c r="Y221" s="30"/>
      <c r="Z221" s="30"/>
      <c r="AA221" s="30"/>
      <c r="AB221" s="31"/>
    </row>
    <row r="222" spans="1:28" x14ac:dyDescent="0.3">
      <c r="A222" s="32">
        <f>VLOOKUP(YEAR(C222),Flags!$A$13:$B$95,2,FALSE)</f>
        <v>3</v>
      </c>
      <c r="B222" s="24">
        <f t="shared" si="328"/>
        <v>1945</v>
      </c>
      <c r="C222" s="25">
        <v>16588</v>
      </c>
      <c r="D222" s="26">
        <f>VLOOKUP($C222,COS!$B$8:$H$991,3,FALSE)</f>
        <v>4815.7119140625</v>
      </c>
      <c r="E222" s="24">
        <f>IF(D222&gt;=IF(MONTH($C222)=4,$C$3,IF(MONTH($C222)=5,$C$4,IF(MONTH($C222)=6,$C$5,IF(MONTH($C222)=7,$C$6,"ERROR")))),1,0)</f>
        <v>0</v>
      </c>
      <c r="F222" s="26">
        <f>VLOOKUP($C222,COS!$B$8:$H$991,7,FALSE)</f>
        <v>50.982772827148438</v>
      </c>
      <c r="G222" s="24">
        <f>IF(F222&lt;=IF(MONTH($C222)=4,$F$3,IF(MONTH($C222)=5,$F$4,IF(MONTH($C222)=6,$F$5,IF(MONTH($C222)=7,$F$6,"ERROR")))),1,0)</f>
        <v>1</v>
      </c>
      <c r="H222" s="26">
        <f>IF(J222=1,D222-$C$4,0)</f>
        <v>0</v>
      </c>
      <c r="I222" s="26">
        <f t="shared" si="342"/>
        <v>0</v>
      </c>
      <c r="J222" s="24">
        <f t="shared" si="349"/>
        <v>0</v>
      </c>
      <c r="K222" s="26">
        <f>VLOOKUP($C222,COS!$B$8:$H$991,2,FALSE)</f>
        <v>4312.3994140625</v>
      </c>
      <c r="L222" s="24">
        <f t="shared" si="333"/>
        <v>1</v>
      </c>
      <c r="M222" s="24">
        <f t="shared" si="334"/>
        <v>0</v>
      </c>
      <c r="N222" s="26">
        <f>VLOOKUP($C222,COS!$B$8:$H$991,5,FALSE)</f>
        <v>419.08834838867188</v>
      </c>
      <c r="O222" s="26">
        <f t="shared" si="352"/>
        <v>25.76873811579933</v>
      </c>
      <c r="P222" s="26">
        <f>VLOOKUP($C222,COS!$B$8:$H$991,6,FALSE)</f>
        <v>2006.53857421875</v>
      </c>
      <c r="Q222" s="26">
        <f t="shared" si="353"/>
        <v>123.37724786931818</v>
      </c>
      <c r="R222" s="26">
        <f>MIN(IF(MONTH($C222)=4,$S$3,IF(MONTH($C222)=5,$S$4,IF(MONTH($C222)=6,$S$5,IF(MONTH($C222)=7,$S$6,"ERROR")))),MAX(VLOOKUP($C222,COS!$B$8:$K$991,10,FALSE)-IF(MONTH($C222)=4,$Y$3,IF(MONTH($C222)=5,$Y$4,IF(MONTH($C222)=6,$Y$5,IF(MONTH($C222)=7,$Y$6,"ERROR")))),0),MAX(VLOOKUP($C222,COS!$B$8:$K$991,9,FALSE)-IF(MONTH($C222)=4,$V$3,IF(MONTH($C222)=5,$V$4,IF(MONTH($C222)=6,$V$5,IF(MONTH($C222)=7,$V$6,"ERROR"))))-VLOOKUP($C222,COS!$B$8:$K$991,6,FALSE)/2,0))</f>
        <v>1448.30419921875</v>
      </c>
      <c r="S222" s="26">
        <f t="shared" si="354"/>
        <v>89.05275406766529</v>
      </c>
      <c r="T222" s="26">
        <f t="shared" si="355"/>
        <v>163.62574706022406</v>
      </c>
      <c r="U222" s="26" t="str">
        <f>IF(VLOOKUP($C222,COS!$B$8:$I$991,8,FALSE)=1,"UWFE","IBU")</f>
        <v>UWFE</v>
      </c>
      <c r="V222" s="26">
        <f t="shared" ref="V222" si="357">MIN(IF(IF($AA$3=2,AND(E222=1,G222=1,L222=1,L226=1,M222=1,U222="IBU"),AND(E222=1,G222=1,L222=1,L226=1,M222=1)),T222,0),I222)</f>
        <v>0</v>
      </c>
      <c r="W222" s="26"/>
      <c r="X222" s="26"/>
      <c r="Y222" s="26"/>
      <c r="Z222" s="26"/>
      <c r="AA222" s="26"/>
      <c r="AB222" s="33"/>
    </row>
    <row r="223" spans="1:28" x14ac:dyDescent="0.3">
      <c r="A223" s="32">
        <f>VLOOKUP(YEAR(C223),Flags!$A$13:$B$95,2,FALSE)</f>
        <v>3</v>
      </c>
      <c r="B223" s="24">
        <f t="shared" si="328"/>
        <v>1945</v>
      </c>
      <c r="C223" s="25">
        <v>16618</v>
      </c>
      <c r="D223" s="26">
        <f>VLOOKUP($C223,COS!$B$8:$H$991,3,FALSE)</f>
        <v>8762.8173828125</v>
      </c>
      <c r="E223" s="24">
        <f>IF(D223&gt;=IF(MONTH($C223)=4,$C$3,IF(MONTH($C223)=5,$C$4,IF(MONTH($C223)=6,$C$5,IF(MONTH($C223)=7,$C$6,"ERROR")))),1,0)</f>
        <v>0</v>
      </c>
      <c r="F223" s="26">
        <f>VLOOKUP($C223,COS!$B$8:$H$991,7,FALSE)</f>
        <v>50.982040405273438</v>
      </c>
      <c r="G223" s="24">
        <f>IF(F223&lt;=IF(MONTH($C223)=4,$F$3,IF(MONTH($C223)=5,$F$4,IF(MONTH($C223)=6,$F$5,IF(MONTH($C223)=7,$F$6,"ERROR")))),1,0)</f>
        <v>1</v>
      </c>
      <c r="H223" s="26">
        <f>IF(J223=1,D223-$C$5,0)</f>
        <v>0</v>
      </c>
      <c r="I223" s="26">
        <f t="shared" si="342"/>
        <v>0</v>
      </c>
      <c r="J223" s="24">
        <f t="shared" si="349"/>
        <v>0</v>
      </c>
      <c r="K223" s="26">
        <f>VLOOKUP($C223,COS!$B$8:$H$991,2,FALSE)</f>
        <v>4079.3798828125</v>
      </c>
      <c r="L223" s="24">
        <f t="shared" si="333"/>
        <v>1</v>
      </c>
      <c r="M223" s="24">
        <f t="shared" si="334"/>
        <v>0</v>
      </c>
      <c r="N223" s="26">
        <f>VLOOKUP($C223,COS!$B$8:$H$991,5,FALSE)</f>
        <v>584.35906982421875</v>
      </c>
      <c r="O223" s="26">
        <f t="shared" si="352"/>
        <v>34.771779361441112</v>
      </c>
      <c r="P223" s="26">
        <f>VLOOKUP($C223,COS!$B$8:$H$991,6,FALSE)</f>
        <v>2486.4326171875</v>
      </c>
      <c r="Q223" s="26">
        <f t="shared" si="353"/>
        <v>147.9530152376033</v>
      </c>
      <c r="R223" s="26">
        <f>MIN(IF(MONTH($C223)=4,$S$3,IF(MONTH($C223)=5,$S$4,IF(MONTH($C223)=6,$S$5,IF(MONTH($C223)=7,$S$6,"ERROR")))),MAX(VLOOKUP($C223,COS!$B$8:$K$991,10,FALSE)-IF(MONTH($C223)=4,$Y$3,IF(MONTH($C223)=5,$Y$4,IF(MONTH($C223)=6,$Y$5,IF(MONTH($C223)=7,$Y$6,"ERROR")))),0),MAX(VLOOKUP($C223,COS!$B$8:$K$991,9,FALSE)-IF(MONTH($C223)=4,$V$3,IF(MONTH($C223)=5,$V$4,IF(MONTH($C223)=6,$V$5,IF(MONTH($C223)=7,$V$6,"ERROR"))))-VLOOKUP($C223,COS!$B$8:$K$991,6,FALSE)/2,0))</f>
        <v>1500</v>
      </c>
      <c r="S223" s="26">
        <f t="shared" si="354"/>
        <v>89.256198347107429</v>
      </c>
      <c r="T223" s="26">
        <f t="shared" si="355"/>
        <v>180.61859564662961</v>
      </c>
      <c r="U223" s="26" t="str">
        <f>IF(VLOOKUP($C223,COS!$B$8:$I$991,8,FALSE)=1,"UWFE","IBU")</f>
        <v>IBU</v>
      </c>
      <c r="V223" s="26">
        <f t="shared" ref="V223" si="358">MIN(IF(IF($AA$3=2,AND(E223=1,G223=1,L223=1,L226=1,M223=1,U223="IBU"),AND(E223=1,G223=1,L223=1,L226=1,M223=1)),T223,0),I223)</f>
        <v>0</v>
      </c>
      <c r="W223" s="26"/>
      <c r="X223" s="26"/>
      <c r="Y223" s="26"/>
      <c r="Z223" s="26"/>
      <c r="AA223" s="26"/>
      <c r="AB223" s="33"/>
    </row>
    <row r="224" spans="1:28" x14ac:dyDescent="0.3">
      <c r="A224" s="32">
        <f>VLOOKUP(YEAR(C224),Flags!$A$13:$B$95,2,FALSE)</f>
        <v>3</v>
      </c>
      <c r="B224" s="24">
        <f t="shared" si="328"/>
        <v>1945</v>
      </c>
      <c r="C224" s="25">
        <v>16649</v>
      </c>
      <c r="D224" s="26">
        <f>VLOOKUP($C224,COS!$B$8:$H$991,3,FALSE)</f>
        <v>13865.92578125</v>
      </c>
      <c r="E224" s="24">
        <f>IF(D224&gt;=IF(MONTH($C224)=4,$C$3,IF(MONTH($C224)=5,$C$4,IF(MONTH($C224)=6,$C$5,IF(MONTH($C224)=7,$C$6,"ERROR")))),1,0)</f>
        <v>1</v>
      </c>
      <c r="F224" s="26">
        <f>VLOOKUP($C224,COS!$B$8:$H$991,7,FALSE)</f>
        <v>50.834716796875</v>
      </c>
      <c r="G224" s="24">
        <f>IF(F224&lt;=IF(MONTH($C224)=4,$F$3,IF(MONTH($C224)=5,$F$4,IF(MONTH($C224)=6,$F$5,IF(MONTH($C224)=7,$F$6,"ERROR")))),1,0)</f>
        <v>1</v>
      </c>
      <c r="H224" s="26">
        <f>IF(J224=1,D224-$C$6,0)</f>
        <v>1865.92578125</v>
      </c>
      <c r="I224" s="26">
        <f t="shared" si="342"/>
        <v>114.73130423553718</v>
      </c>
      <c r="J224" s="24">
        <f t="shared" si="349"/>
        <v>1</v>
      </c>
      <c r="K224" s="26">
        <f>VLOOKUP($C224,COS!$B$8:$H$991,2,FALSE)</f>
        <v>3470.729248046875</v>
      </c>
      <c r="L224" s="24">
        <f t="shared" si="333"/>
        <v>1</v>
      </c>
      <c r="M224" s="24">
        <f t="shared" si="334"/>
        <v>0</v>
      </c>
      <c r="N224" s="26">
        <f>VLOOKUP($C224,COS!$B$8:$H$991,5,FALSE)</f>
        <v>726.76727294921875</v>
      </c>
      <c r="O224" s="26">
        <f t="shared" si="352"/>
        <v>44.687177774728823</v>
      </c>
      <c r="P224" s="26">
        <f>VLOOKUP($C224,COS!$B$8:$H$991,6,FALSE)</f>
        <v>2632.5888671875</v>
      </c>
      <c r="Q224" s="26">
        <f t="shared" si="353"/>
        <v>161.87157993285126</v>
      </c>
      <c r="R224" s="26">
        <f>MIN(IF(MONTH($C224)=4,$S$3,IF(MONTH($C224)=5,$S$4,IF(MONTH($C224)=6,$S$5,IF(MONTH($C224)=7,$S$6,"ERROR")))),MAX(VLOOKUP($C224,COS!$B$8:$K$991,10,FALSE)-IF(MONTH($C224)=4,$Y$3,IF(MONTH($C224)=5,$Y$4,IF(MONTH($C224)=6,$Y$5,IF(MONTH($C224)=7,$Y$6,"ERROR")))),0),MAX(VLOOKUP($C224,COS!$B$8:$K$991,9,FALSE)-IF(MONTH($C224)=4,$V$3,IF(MONTH($C224)=5,$V$4,IF(MONTH($C224)=6,$V$5,IF(MONTH($C224)=7,$V$6,"ERROR"))))-VLOOKUP($C224,COS!$B$8:$K$991,6,FALSE)/2,0))</f>
        <v>1500</v>
      </c>
      <c r="S224" s="26">
        <f t="shared" si="354"/>
        <v>92.231404958677686</v>
      </c>
      <c r="T224" s="26">
        <f t="shared" si="355"/>
        <v>195.51078381246771</v>
      </c>
      <c r="U224" s="26" t="str">
        <f>IF(VLOOKUP($C224,COS!$B$8:$I$991,8,FALSE)=1,"UWFE","IBU")</f>
        <v>IBU</v>
      </c>
      <c r="V224" s="26">
        <f t="shared" ref="V224" si="359">MIN(IF(IF($AA$3=2,AND(E224=1,G224=1,L224=1,L226=1,M224=1,U224="IBU"),AND(E224=1,G224=1,L224=1,L226=1,M224=1)),T224,0),I224)</f>
        <v>0</v>
      </c>
      <c r="W224" s="26"/>
      <c r="X224" s="26"/>
      <c r="Y224" s="26"/>
      <c r="Z224" s="26"/>
      <c r="AA224" s="26"/>
      <c r="AB224" s="33"/>
    </row>
    <row r="225" spans="1:28" x14ac:dyDescent="0.3">
      <c r="A225" s="32">
        <f>VLOOKUP(YEAR(C225),Flags!$A$13:$B$95,2,FALSE)</f>
        <v>3</v>
      </c>
      <c r="B225" s="24">
        <f t="shared" si="328"/>
        <v>1945</v>
      </c>
      <c r="C225" s="25">
        <v>16680</v>
      </c>
      <c r="D225" s="26"/>
      <c r="E225" s="24"/>
      <c r="F225" s="26"/>
      <c r="G225" s="24"/>
      <c r="H225" s="24"/>
      <c r="I225" s="26"/>
      <c r="J225" s="24"/>
      <c r="K225" s="26"/>
      <c r="L225" s="24"/>
      <c r="M225" s="24"/>
      <c r="N225" s="26"/>
      <c r="O225" s="26"/>
      <c r="P225" s="26"/>
      <c r="Q225" s="26"/>
      <c r="R225" s="26"/>
      <c r="S225" s="26"/>
      <c r="T225" s="26"/>
      <c r="U225" s="26"/>
      <c r="V225" s="26"/>
      <c r="W225" s="26">
        <f>MAX($C$7-VLOOKUP($C225,COS!$B$8:$H$991,3,FALSE),0)</f>
        <v>90106.1162109375</v>
      </c>
      <c r="X225" s="26">
        <f t="shared" si="347"/>
        <v>5540.4091290030992</v>
      </c>
      <c r="Y225" s="26">
        <f>VLOOKUP($C225,COS!$B$8:$H$991,4,FALSE)</f>
        <v>465.335205078125</v>
      </c>
      <c r="Z225" s="26">
        <f t="shared" si="348"/>
        <v>28.612346494059917</v>
      </c>
      <c r="AA225" s="26">
        <f t="shared" ref="AA225:AA229" si="360">MIN(W225,Y225)</f>
        <v>465.335205078125</v>
      </c>
      <c r="AB225" s="33">
        <f t="shared" ref="AB225" si="361">AA225*DAY($C225)*86400/43560/1000*IF(MONTH($C225)=8,$P$3,IF(MONTH($C225)=9,$P$4,IF(MONTH($C225)=10,$P$5,IF(MONTH($C225)=11,$P$6,IF(MONTH($C225)=12,$P$7,NA())))))</f>
        <v>28.612346494059917</v>
      </c>
    </row>
    <row r="226" spans="1:28" x14ac:dyDescent="0.3">
      <c r="A226" s="32">
        <f>VLOOKUP(YEAR(C226),Flags!$A$13:$B$95,2,FALSE)</f>
        <v>3</v>
      </c>
      <c r="B226" s="24">
        <f t="shared" si="328"/>
        <v>1945</v>
      </c>
      <c r="C226" s="25">
        <v>16710</v>
      </c>
      <c r="D226" s="26"/>
      <c r="E226" s="24"/>
      <c r="F226" s="26"/>
      <c r="G226" s="24"/>
      <c r="H226" s="24"/>
      <c r="I226" s="26"/>
      <c r="J226" s="24"/>
      <c r="K226" s="26">
        <f>VLOOKUP($C226,COS!$B$8:$H$991,2,FALSE)</f>
        <v>2950.834716796875</v>
      </c>
      <c r="L226" s="24">
        <f t="shared" ref="L226" si="362">IF(AND(K226&gt;$I$7,K226&lt;$I$8),1,0)</f>
        <v>1</v>
      </c>
      <c r="M226" s="24"/>
      <c r="N226" s="26"/>
      <c r="O226" s="26"/>
      <c r="P226" s="26"/>
      <c r="Q226" s="26"/>
      <c r="R226" s="26"/>
      <c r="S226" s="26"/>
      <c r="T226" s="26"/>
      <c r="U226" s="26"/>
      <c r="V226" s="26"/>
      <c r="W226" s="26">
        <f>MAX($C$8-VLOOKUP($C226,COS!$B$8:$H$991,3,FALSE),0)</f>
        <v>94362.61474609375</v>
      </c>
      <c r="X226" s="26">
        <f t="shared" si="347"/>
        <v>5614.9655055526855</v>
      </c>
      <c r="Y226" s="26">
        <f>VLOOKUP($C226,COS!$B$8:$H$991,4,FALSE)</f>
        <v>334.24276733398438</v>
      </c>
      <c r="Z226" s="26">
        <f t="shared" si="348"/>
        <v>19.888825824832129</v>
      </c>
      <c r="AA226" s="26">
        <f t="shared" si="360"/>
        <v>334.24276733398438</v>
      </c>
      <c r="AB226" s="33">
        <f t="shared" si="345"/>
        <v>19.888825824832129</v>
      </c>
    </row>
    <row r="227" spans="1:28" x14ac:dyDescent="0.3">
      <c r="A227" s="32">
        <f>VLOOKUP(YEAR(C227),Flags!$A$13:$B$95,2,FALSE)</f>
        <v>3</v>
      </c>
      <c r="B227" s="24">
        <f t="shared" si="328"/>
        <v>1945</v>
      </c>
      <c r="C227" s="25">
        <v>16741</v>
      </c>
      <c r="D227" s="26"/>
      <c r="E227" s="24"/>
      <c r="F227" s="26"/>
      <c r="G227" s="26"/>
      <c r="H227" s="26"/>
      <c r="I227" s="26"/>
      <c r="J227" s="26"/>
      <c r="K227" s="26"/>
      <c r="L227" s="24"/>
      <c r="M227" s="24"/>
      <c r="N227" s="26"/>
      <c r="O227" s="26"/>
      <c r="P227" s="26"/>
      <c r="Q227" s="26"/>
      <c r="R227" s="26"/>
      <c r="S227" s="26"/>
      <c r="T227" s="26"/>
      <c r="U227" s="26"/>
      <c r="V227" s="26"/>
      <c r="W227" s="26">
        <f>MAX($C$9-VLOOKUP($C227,COS!$B$8:$H$991,3,FALSE),0)</f>
        <v>94737.2158203125</v>
      </c>
      <c r="X227" s="26">
        <f t="shared" si="347"/>
        <v>5825.1643446539256</v>
      </c>
      <c r="Y227" s="26">
        <f>VLOOKUP($C227,COS!$B$8:$H$991,4,FALSE)</f>
        <v>526.39361572265625</v>
      </c>
      <c r="Z227" s="26">
        <f t="shared" si="348"/>
        <v>32.366681826252581</v>
      </c>
      <c r="AA227" s="26">
        <f t="shared" si="360"/>
        <v>526.39361572265625</v>
      </c>
      <c r="AB227" s="33">
        <f t="shared" si="345"/>
        <v>32.366681826252581</v>
      </c>
    </row>
    <row r="228" spans="1:28" x14ac:dyDescent="0.3">
      <c r="A228" s="32">
        <f>VLOOKUP(YEAR(C228),Flags!$A$13:$B$95,2,FALSE)</f>
        <v>3</v>
      </c>
      <c r="B228" s="24">
        <f t="shared" si="328"/>
        <v>1945</v>
      </c>
      <c r="C228" s="25">
        <v>16771</v>
      </c>
      <c r="D228" s="26"/>
      <c r="E228" s="24"/>
      <c r="F228" s="26"/>
      <c r="G228" s="26"/>
      <c r="H228" s="26"/>
      <c r="I228" s="26"/>
      <c r="J228" s="26"/>
      <c r="K228" s="26"/>
      <c r="L228" s="24"/>
      <c r="M228" s="24"/>
      <c r="N228" s="26"/>
      <c r="O228" s="26"/>
      <c r="P228" s="26"/>
      <c r="Q228" s="26"/>
      <c r="R228" s="26"/>
      <c r="S228" s="26"/>
      <c r="T228" s="26"/>
      <c r="U228" s="26"/>
      <c r="V228" s="26"/>
      <c r="W228" s="26">
        <f>MAX($C$10-VLOOKUP($C228,COS!$B$8:$H$991,3,FALSE),0)</f>
        <v>93731.17041015625</v>
      </c>
      <c r="X228" s="26">
        <f t="shared" si="347"/>
        <v>5577.391958290289</v>
      </c>
      <c r="Y228" s="26">
        <f>VLOOKUP($C228,COS!$B$8:$H$991,4,FALSE)</f>
        <v>697.87353515625</v>
      </c>
      <c r="Z228" s="26">
        <f t="shared" si="348"/>
        <v>41.526359116735541</v>
      </c>
      <c r="AA228" s="26">
        <f t="shared" si="360"/>
        <v>697.87353515625</v>
      </c>
      <c r="AB228" s="33">
        <f t="shared" si="345"/>
        <v>20.763179558367771</v>
      </c>
    </row>
    <row r="229" spans="1:28" x14ac:dyDescent="0.3">
      <c r="A229" s="34">
        <f>VLOOKUP(YEAR(C229),Flags!$A$13:$B$95,2,FALSE)</f>
        <v>3</v>
      </c>
      <c r="B229" s="35">
        <f t="shared" si="328"/>
        <v>1945</v>
      </c>
      <c r="C229" s="36">
        <v>16802</v>
      </c>
      <c r="D229" s="37"/>
      <c r="E229" s="35"/>
      <c r="F229" s="37"/>
      <c r="G229" s="37"/>
      <c r="H229" s="37"/>
      <c r="I229" s="37"/>
      <c r="J229" s="37"/>
      <c r="K229" s="37"/>
      <c r="L229" s="35"/>
      <c r="M229" s="35"/>
      <c r="N229" s="37"/>
      <c r="O229" s="37"/>
      <c r="P229" s="37"/>
      <c r="Q229" s="37"/>
      <c r="R229" s="37"/>
      <c r="S229" s="37"/>
      <c r="T229" s="37"/>
      <c r="U229" s="37"/>
      <c r="V229" s="37"/>
      <c r="W229" s="37">
        <f>MAX($C$11-VLOOKUP($C229,COS!$B$8:$H$991,3,FALSE),0)</f>
        <v>0</v>
      </c>
      <c r="X229" s="37">
        <f t="shared" si="347"/>
        <v>0</v>
      </c>
      <c r="Y229" s="37">
        <f>VLOOKUP($C229,COS!$B$8:$H$991,4,FALSE)</f>
        <v>0</v>
      </c>
      <c r="Z229" s="37">
        <f t="shared" si="348"/>
        <v>0</v>
      </c>
      <c r="AA229" s="37">
        <f t="shared" si="360"/>
        <v>0</v>
      </c>
      <c r="AB229" s="38">
        <f t="shared" si="345"/>
        <v>0</v>
      </c>
    </row>
    <row r="230" spans="1:28" x14ac:dyDescent="0.3">
      <c r="A230" s="27">
        <f>VLOOKUP(YEAR(C230),Flags!$A$13:$B$95,2,FALSE)</f>
        <v>2</v>
      </c>
      <c r="B230" s="28">
        <f t="shared" si="328"/>
        <v>1946</v>
      </c>
      <c r="C230" s="29">
        <v>16922</v>
      </c>
      <c r="D230" s="30">
        <f>VLOOKUP($C230,COS!$B$8:$H$991,3,FALSE)</f>
        <v>4076.084716796875</v>
      </c>
      <c r="E230" s="28">
        <f>IF(D230&gt;=IF(MONTH($C230)=4,$C$3,IF(MONTH($C230)=5,$C$4,IF(MONTH($C230)=6,$C$5,IF(MONTH($C230)=7,$C$6,"ERROR")))),1,0)</f>
        <v>0</v>
      </c>
      <c r="F230" s="30">
        <f>VLOOKUP($C230,COS!$B$8:$H$991,7,FALSE)</f>
        <v>48.838871002197266</v>
      </c>
      <c r="G230" s="28">
        <f>IF(F230&lt;=IF(MONTH($C230)=4,$F$3,IF(MONTH($C230)=5,$F$4,IF(MONTH($C230)=6,$F$5,IF(MONTH($C230)=7,$F$6,"ERROR")))),1,0)</f>
        <v>1</v>
      </c>
      <c r="H230" s="30">
        <f>IF(J230=1,D230-$C$3,0)</f>
        <v>0</v>
      </c>
      <c r="I230" s="30">
        <f t="shared" si="342"/>
        <v>0</v>
      </c>
      <c r="J230" s="28">
        <f t="shared" ref="J230:J233" si="363">IF(AND(E230=1,G230=1),1,0)</f>
        <v>0</v>
      </c>
      <c r="K230" s="30">
        <f>VLOOKUP($C230,COS!$B$8:$H$991,2,FALSE)</f>
        <v>4552</v>
      </c>
      <c r="L230" s="28">
        <f t="shared" ref="L230" si="364">IF(K230&lt;=IF(MONTH($C230)=4,$I$3,IF(MONTH($C230)=5,$I$4,IF(MONTH($C230)=6,$I$5,IF(MONTH($C230)=7,$I$6,"ERROR")))),1,0)</f>
        <v>1</v>
      </c>
      <c r="M230" s="28">
        <f t="shared" ref="M230" si="365">VLOOKUP($A230,$L$3:$M$7,2,FALSE)</f>
        <v>0</v>
      </c>
      <c r="N230" s="30">
        <f>VLOOKUP($C230,COS!$B$8:$H$991,5,FALSE)</f>
        <v>571.77276611328125</v>
      </c>
      <c r="O230" s="30">
        <f t="shared" ref="O230:O233" si="366">N230*DAY($C230)*86400/43560/1000</f>
        <v>34.022842281120866</v>
      </c>
      <c r="P230" s="30">
        <f>VLOOKUP($C230,COS!$B$8:$H$991,6,FALSE)</f>
        <v>546.8182373046875</v>
      </c>
      <c r="Q230" s="30">
        <f t="shared" ref="Q230:Q233" si="367">P230*DAY($C230)*86400/43560/1000</f>
        <v>32.537944699121901</v>
      </c>
      <c r="R230" s="30">
        <f>MIN(IF(MONTH($C230)=4,$S$3,IF(MONTH($C230)=5,$S$4,IF(MONTH($C230)=6,$S$5,IF(MONTH($C230)=7,$S$6,"ERROR")))),MAX(VLOOKUP($C230,COS!$B$8:$K$991,10,FALSE)-IF(MONTH($C230)=4,$Y$3,IF(MONTH($C230)=5,$Y$4,IF(MONTH($C230)=6,$Y$5,IF(MONTH($C230)=7,$Y$6,"ERROR")))),0),MAX(VLOOKUP($C230,COS!$B$8:$K$991,9,FALSE)-IF(MONTH($C230)=4,$V$3,IF(MONTH($C230)=5,$V$4,IF(MONTH($C230)=6,$V$5,IF(MONTH($C230)=7,$V$6,"ERROR"))))-VLOOKUP($C230,COS!$B$8:$K$991,6,FALSE)/2,0))</f>
        <v>1500</v>
      </c>
      <c r="S230" s="30">
        <f t="shared" ref="S230:S233" si="368">R230*DAY($C230)*86400/43560/1000</f>
        <v>89.256198347107429</v>
      </c>
      <c r="T230" s="30">
        <f t="shared" ref="T230:T233" si="369">(O230+Q230)/2+S230</f>
        <v>122.53659183722881</v>
      </c>
      <c r="U230" s="30" t="str">
        <f>IF(VLOOKUP($C230,COS!$B$8:$I$991,8,FALSE)=1,"UWFE","IBU")</f>
        <v>UWFE</v>
      </c>
      <c r="V230" s="30">
        <f t="shared" ref="V230" si="370">MIN(IF(IF($AA$3=2,AND(E230=1,G230=1,L230=1,L235=1,M230=1,U230="IBU"),AND(E230=1,G230=1,L230=1,L235=1,M230=1)),T230,0),I230)</f>
        <v>0</v>
      </c>
      <c r="W230" s="30"/>
      <c r="X230" s="30"/>
      <c r="Y230" s="30"/>
      <c r="Z230" s="30"/>
      <c r="AA230" s="30"/>
      <c r="AB230" s="31"/>
    </row>
    <row r="231" spans="1:28" x14ac:dyDescent="0.3">
      <c r="A231" s="32">
        <f>VLOOKUP(YEAR(C231),Flags!$A$13:$B$95,2,FALSE)</f>
        <v>2</v>
      </c>
      <c r="B231" s="24">
        <f t="shared" si="328"/>
        <v>1946</v>
      </c>
      <c r="C231" s="25">
        <v>16953</v>
      </c>
      <c r="D231" s="26">
        <f>VLOOKUP($C231,COS!$B$8:$H$991,3,FALSE)</f>
        <v>7674.50244140625</v>
      </c>
      <c r="E231" s="24">
        <f>IF(D231&gt;=IF(MONTH($C231)=4,$C$3,IF(MONTH($C231)=5,$C$4,IF(MONTH($C231)=6,$C$5,IF(MONTH($C231)=7,$C$6,"ERROR")))),1,0)</f>
        <v>1</v>
      </c>
      <c r="F231" s="26">
        <f>VLOOKUP($C231,COS!$B$8:$H$991,7,FALSE)</f>
        <v>48.690444946289063</v>
      </c>
      <c r="G231" s="24">
        <f>IF(F231&lt;=IF(MONTH($C231)=4,$F$3,IF(MONTH($C231)=5,$F$4,IF(MONTH($C231)=6,$F$5,IF(MONTH($C231)=7,$F$6,"ERROR")))),1,0)</f>
        <v>1</v>
      </c>
      <c r="H231" s="26">
        <f>IF(J231=1,D231-$C$4,0)</f>
        <v>1674.50244140625</v>
      </c>
      <c r="I231" s="26">
        <f t="shared" si="342"/>
        <v>102.9611418517562</v>
      </c>
      <c r="J231" s="24">
        <f t="shared" si="363"/>
        <v>1</v>
      </c>
      <c r="K231" s="26">
        <f>VLOOKUP($C231,COS!$B$8:$H$991,2,FALSE)</f>
        <v>4470.89013671875</v>
      </c>
      <c r="L231" s="24">
        <f t="shared" si="333"/>
        <v>1</v>
      </c>
      <c r="M231" s="24">
        <f t="shared" si="334"/>
        <v>0</v>
      </c>
      <c r="N231" s="26">
        <f>VLOOKUP($C231,COS!$B$8:$H$991,5,FALSE)</f>
        <v>870.65301513671875</v>
      </c>
      <c r="O231" s="26">
        <f t="shared" si="366"/>
        <v>53.534367211712294</v>
      </c>
      <c r="P231" s="26">
        <f>VLOOKUP($C231,COS!$B$8:$H$991,6,FALSE)</f>
        <v>2245.033447265625</v>
      </c>
      <c r="Q231" s="26">
        <f t="shared" si="367"/>
        <v>138.04172601368802</v>
      </c>
      <c r="R231" s="26">
        <f>MIN(IF(MONTH($C231)=4,$S$3,IF(MONTH($C231)=5,$S$4,IF(MONTH($C231)=6,$S$5,IF(MONTH($C231)=7,$S$6,"ERROR")))),MAX(VLOOKUP($C231,COS!$B$8:$K$991,10,FALSE)-IF(MONTH($C231)=4,$Y$3,IF(MONTH($C231)=5,$Y$4,IF(MONTH($C231)=6,$Y$5,IF(MONTH($C231)=7,$Y$6,"ERROR")))),0),MAX(VLOOKUP($C231,COS!$B$8:$K$991,9,FALSE)-IF(MONTH($C231)=4,$V$3,IF(MONTH($C231)=5,$V$4,IF(MONTH($C231)=6,$V$5,IF(MONTH($C231)=7,$V$6,"ERROR"))))-VLOOKUP($C231,COS!$B$8:$K$991,6,FALSE)/2,0))</f>
        <v>1500</v>
      </c>
      <c r="S231" s="26">
        <f t="shared" si="368"/>
        <v>92.231404958677686</v>
      </c>
      <c r="T231" s="26">
        <f t="shared" si="369"/>
        <v>188.01945157137783</v>
      </c>
      <c r="U231" s="26" t="str">
        <f>IF(VLOOKUP($C231,COS!$B$8:$I$991,8,FALSE)=1,"UWFE","IBU")</f>
        <v>UWFE</v>
      </c>
      <c r="V231" s="26">
        <f t="shared" ref="V231" si="371">MIN(IF(IF($AA$3=2,AND(E231=1,G231=1,L231=1,L235=1,M231=1,U231="IBU"),AND(E231=1,G231=1,L231=1,L235=1,M231=1)),T231,0),I231)</f>
        <v>0</v>
      </c>
      <c r="W231" s="26"/>
      <c r="X231" s="26"/>
      <c r="Y231" s="26"/>
      <c r="Z231" s="26"/>
      <c r="AA231" s="26"/>
      <c r="AB231" s="33"/>
    </row>
    <row r="232" spans="1:28" x14ac:dyDescent="0.3">
      <c r="A232" s="32">
        <f>VLOOKUP(YEAR(C232),Flags!$A$13:$B$95,2,FALSE)</f>
        <v>2</v>
      </c>
      <c r="B232" s="24">
        <f t="shared" si="328"/>
        <v>1946</v>
      </c>
      <c r="C232" s="25">
        <v>16983</v>
      </c>
      <c r="D232" s="26">
        <f>VLOOKUP($C232,COS!$B$8:$H$991,3,FALSE)</f>
        <v>10991.0703125</v>
      </c>
      <c r="E232" s="24">
        <f>IF(D232&gt;=IF(MONTH($C232)=4,$C$3,IF(MONTH($C232)=5,$C$4,IF(MONTH($C232)=6,$C$5,IF(MONTH($C232)=7,$C$6,"ERROR")))),1,0)</f>
        <v>1</v>
      </c>
      <c r="F232" s="26">
        <f>VLOOKUP($C232,COS!$B$8:$H$991,7,FALSE)</f>
        <v>49.001594543457031</v>
      </c>
      <c r="G232" s="24">
        <f>IF(F232&lt;=IF(MONTH($C232)=4,$F$3,IF(MONTH($C232)=5,$F$4,IF(MONTH($C232)=6,$F$5,IF(MONTH($C232)=7,$F$6,"ERROR")))),1,0)</f>
        <v>1</v>
      </c>
      <c r="H232" s="26">
        <f>IF(J232=1,D232-$C$5,0)</f>
        <v>991.0703125</v>
      </c>
      <c r="I232" s="26">
        <f t="shared" si="342"/>
        <v>58.972778925619835</v>
      </c>
      <c r="J232" s="24">
        <f t="shared" si="363"/>
        <v>1</v>
      </c>
      <c r="K232" s="26">
        <f>VLOOKUP($C232,COS!$B$8:$H$991,2,FALSE)</f>
        <v>4054.78515625</v>
      </c>
      <c r="L232" s="24">
        <f t="shared" si="333"/>
        <v>1</v>
      </c>
      <c r="M232" s="24">
        <f t="shared" si="334"/>
        <v>0</v>
      </c>
      <c r="N232" s="26">
        <f>VLOOKUP($C232,COS!$B$8:$H$991,5,FALSE)</f>
        <v>864.298095703125</v>
      </c>
      <c r="O232" s="26">
        <f t="shared" si="366"/>
        <v>51.42930817407025</v>
      </c>
      <c r="P232" s="26">
        <f>VLOOKUP($C232,COS!$B$8:$H$991,6,FALSE)</f>
        <v>2675.089599609375</v>
      </c>
      <c r="Q232" s="26">
        <f t="shared" si="367"/>
        <v>159.1788852660124</v>
      </c>
      <c r="R232" s="26">
        <f>MIN(IF(MONTH($C232)=4,$S$3,IF(MONTH($C232)=5,$S$4,IF(MONTH($C232)=6,$S$5,IF(MONTH($C232)=7,$S$6,"ERROR")))),MAX(VLOOKUP($C232,COS!$B$8:$K$991,10,FALSE)-IF(MONTH($C232)=4,$Y$3,IF(MONTH($C232)=5,$Y$4,IF(MONTH($C232)=6,$Y$5,IF(MONTH($C232)=7,$Y$6,"ERROR")))),0),MAX(VLOOKUP($C232,COS!$B$8:$K$991,9,FALSE)-IF(MONTH($C232)=4,$V$3,IF(MONTH($C232)=5,$V$4,IF(MONTH($C232)=6,$V$5,IF(MONTH($C232)=7,$V$6,"ERROR"))))-VLOOKUP($C232,COS!$B$8:$K$991,6,FALSE)/2,0))</f>
        <v>1500</v>
      </c>
      <c r="S232" s="26">
        <f t="shared" si="368"/>
        <v>89.256198347107429</v>
      </c>
      <c r="T232" s="26">
        <f t="shared" si="369"/>
        <v>194.56029506714876</v>
      </c>
      <c r="U232" s="26" t="str">
        <f>IF(VLOOKUP($C232,COS!$B$8:$I$991,8,FALSE)=1,"UWFE","IBU")</f>
        <v>IBU</v>
      </c>
      <c r="V232" s="26">
        <f t="shared" ref="V232" si="372">MIN(IF(IF($AA$3=2,AND(E232=1,G232=1,L232=1,L235=1,M232=1,U232="IBU"),AND(E232=1,G232=1,L232=1,L235=1,M232=1)),T232,0),I232)</f>
        <v>0</v>
      </c>
      <c r="W232" s="26"/>
      <c r="X232" s="26"/>
      <c r="Y232" s="26"/>
      <c r="Z232" s="26"/>
      <c r="AA232" s="26"/>
      <c r="AB232" s="33"/>
    </row>
    <row r="233" spans="1:28" x14ac:dyDescent="0.3">
      <c r="A233" s="32">
        <f>VLOOKUP(YEAR(C233),Flags!$A$13:$B$95,2,FALSE)</f>
        <v>2</v>
      </c>
      <c r="B233" s="24">
        <f t="shared" si="328"/>
        <v>1946</v>
      </c>
      <c r="C233" s="25">
        <v>17014</v>
      </c>
      <c r="D233" s="26">
        <f>VLOOKUP($C233,COS!$B$8:$H$991,3,FALSE)</f>
        <v>16000</v>
      </c>
      <c r="E233" s="24">
        <f>IF(D233&gt;=IF(MONTH($C233)=4,$C$3,IF(MONTH($C233)=5,$C$4,IF(MONTH($C233)=6,$C$5,IF(MONTH($C233)=7,$C$6,"ERROR")))),1,0)</f>
        <v>1</v>
      </c>
      <c r="F233" s="26">
        <f>VLOOKUP($C233,COS!$B$8:$H$991,7,FALSE)</f>
        <v>49.493640899658203</v>
      </c>
      <c r="G233" s="24">
        <f>IF(F233&lt;=IF(MONTH($C233)=4,$F$3,IF(MONTH($C233)=5,$F$4,IF(MONTH($C233)=6,$F$5,IF(MONTH($C233)=7,$F$6,"ERROR")))),1,0)</f>
        <v>1</v>
      </c>
      <c r="H233" s="26">
        <f>IF(J233=1,D233-$C$6,0)</f>
        <v>4000</v>
      </c>
      <c r="I233" s="26">
        <f t="shared" si="342"/>
        <v>245.95041322314049</v>
      </c>
      <c r="J233" s="24">
        <f t="shared" si="363"/>
        <v>1</v>
      </c>
      <c r="K233" s="26">
        <f>VLOOKUP($C233,COS!$B$8:$H$991,2,FALSE)</f>
        <v>3315.635498046875</v>
      </c>
      <c r="L233" s="24">
        <f t="shared" si="333"/>
        <v>1</v>
      </c>
      <c r="M233" s="24">
        <f t="shared" si="334"/>
        <v>0</v>
      </c>
      <c r="N233" s="26">
        <f>VLOOKUP($C233,COS!$B$8:$H$991,5,FALSE)</f>
        <v>929.87835693359375</v>
      </c>
      <c r="O233" s="26">
        <f t="shared" si="366"/>
        <v>57.175991533768077</v>
      </c>
      <c r="P233" s="26">
        <f>VLOOKUP($C233,COS!$B$8:$H$991,6,FALSE)</f>
        <v>2527.75390625</v>
      </c>
      <c r="Q233" s="26">
        <f t="shared" si="367"/>
        <v>155.42552944214876</v>
      </c>
      <c r="R233" s="26">
        <f>MIN(IF(MONTH($C233)=4,$S$3,IF(MONTH($C233)=5,$S$4,IF(MONTH($C233)=6,$S$5,IF(MONTH($C233)=7,$S$6,"ERROR")))),MAX(VLOOKUP($C233,COS!$B$8:$K$991,10,FALSE)-IF(MONTH($C233)=4,$Y$3,IF(MONTH($C233)=5,$Y$4,IF(MONTH($C233)=6,$Y$5,IF(MONTH($C233)=7,$Y$6,"ERROR")))),0),MAX(VLOOKUP($C233,COS!$B$8:$K$991,9,FALSE)-IF(MONTH($C233)=4,$V$3,IF(MONTH($C233)=5,$V$4,IF(MONTH($C233)=6,$V$5,IF(MONTH($C233)=7,$V$6,"ERROR"))))-VLOOKUP($C233,COS!$B$8:$K$991,6,FALSE)/2,0))</f>
        <v>1500</v>
      </c>
      <c r="S233" s="26">
        <f t="shared" si="368"/>
        <v>92.231404958677686</v>
      </c>
      <c r="T233" s="26">
        <f t="shared" si="369"/>
        <v>198.5321654466361</v>
      </c>
      <c r="U233" s="26" t="str">
        <f>IF(VLOOKUP($C233,COS!$B$8:$I$991,8,FALSE)=1,"UWFE","IBU")</f>
        <v>IBU</v>
      </c>
      <c r="V233" s="26">
        <f t="shared" ref="V233" si="373">MIN(IF(IF($AA$3=2,AND(E233=1,G233=1,L233=1,L235=1,M233=1,U233="IBU"),AND(E233=1,G233=1,L233=1,L235=1,M233=1)),T233,0),I233)</f>
        <v>0</v>
      </c>
      <c r="W233" s="26"/>
      <c r="X233" s="26"/>
      <c r="Y233" s="26"/>
      <c r="Z233" s="26"/>
      <c r="AA233" s="26"/>
      <c r="AB233" s="33"/>
    </row>
    <row r="234" spans="1:28" x14ac:dyDescent="0.3">
      <c r="A234" s="32">
        <f>VLOOKUP(YEAR(C234),Flags!$A$13:$B$95,2,FALSE)</f>
        <v>2</v>
      </c>
      <c r="B234" s="24">
        <f t="shared" si="328"/>
        <v>1946</v>
      </c>
      <c r="C234" s="25">
        <v>17045</v>
      </c>
      <c r="D234" s="26"/>
      <c r="E234" s="24"/>
      <c r="F234" s="26"/>
      <c r="G234" s="24"/>
      <c r="H234" s="24"/>
      <c r="I234" s="26"/>
      <c r="J234" s="24"/>
      <c r="K234" s="26"/>
      <c r="L234" s="24"/>
      <c r="M234" s="24"/>
      <c r="N234" s="26"/>
      <c r="O234" s="26"/>
      <c r="P234" s="26"/>
      <c r="Q234" s="26"/>
      <c r="R234" s="26"/>
      <c r="S234" s="26"/>
      <c r="T234" s="26"/>
      <c r="U234" s="26"/>
      <c r="V234" s="26"/>
      <c r="W234" s="26">
        <f>MAX($C$7-VLOOKUP($C234,COS!$B$8:$H$991,3,FALSE),0)</f>
        <v>88284.59765625</v>
      </c>
      <c r="X234" s="26">
        <f t="shared" si="347"/>
        <v>5428.4083186983471</v>
      </c>
      <c r="Y234" s="26">
        <f>VLOOKUP($C234,COS!$B$8:$H$991,4,FALSE)</f>
        <v>0</v>
      </c>
      <c r="Z234" s="26">
        <f t="shared" si="348"/>
        <v>0</v>
      </c>
      <c r="AA234" s="26">
        <f t="shared" ref="AA234:AA238" si="374">MIN(W234,Y234)</f>
        <v>0</v>
      </c>
      <c r="AB234" s="33">
        <f t="shared" ref="AB234" si="375">AA234*DAY($C234)*86400/43560/1000*IF(MONTH($C234)=8,$P$3,IF(MONTH($C234)=9,$P$4,IF(MONTH($C234)=10,$P$5,IF(MONTH($C234)=11,$P$6,IF(MONTH($C234)=12,$P$7,NA())))))</f>
        <v>0</v>
      </c>
    </row>
    <row r="235" spans="1:28" x14ac:dyDescent="0.3">
      <c r="A235" s="32">
        <f>VLOOKUP(YEAR(C235),Flags!$A$13:$B$95,2,FALSE)</f>
        <v>2</v>
      </c>
      <c r="B235" s="24">
        <f t="shared" si="328"/>
        <v>1946</v>
      </c>
      <c r="C235" s="25">
        <v>17075</v>
      </c>
      <c r="D235" s="26"/>
      <c r="E235" s="24"/>
      <c r="F235" s="26"/>
      <c r="G235" s="24"/>
      <c r="H235" s="24"/>
      <c r="I235" s="26"/>
      <c r="J235" s="24"/>
      <c r="K235" s="26">
        <f>VLOOKUP($C235,COS!$B$8:$H$991,2,FALSE)</f>
        <v>2524.6171875</v>
      </c>
      <c r="L235" s="24">
        <f t="shared" ref="L235" si="376">IF(AND(K235&gt;$I$7,K235&lt;$I$8),1,0)</f>
        <v>1</v>
      </c>
      <c r="M235" s="24"/>
      <c r="N235" s="26"/>
      <c r="O235" s="26"/>
      <c r="P235" s="26"/>
      <c r="Q235" s="26"/>
      <c r="R235" s="26"/>
      <c r="S235" s="26"/>
      <c r="T235" s="26"/>
      <c r="U235" s="26"/>
      <c r="V235" s="26"/>
      <c r="W235" s="26">
        <f>MAX($C$8-VLOOKUP($C235,COS!$B$8:$H$991,3,FALSE),0)</f>
        <v>88618.8271484375</v>
      </c>
      <c r="X235" s="26">
        <f t="shared" si="347"/>
        <v>5273.1864088326447</v>
      </c>
      <c r="Y235" s="26">
        <f>VLOOKUP($C235,COS!$B$8:$H$991,4,FALSE)</f>
        <v>0</v>
      </c>
      <c r="Z235" s="26">
        <f t="shared" si="348"/>
        <v>0</v>
      </c>
      <c r="AA235" s="26">
        <f t="shared" si="374"/>
        <v>0</v>
      </c>
      <c r="AB235" s="33">
        <f t="shared" si="345"/>
        <v>0</v>
      </c>
    </row>
    <row r="236" spans="1:28" x14ac:dyDescent="0.3">
      <c r="A236" s="32">
        <f>VLOOKUP(YEAR(C236),Flags!$A$13:$B$95,2,FALSE)</f>
        <v>2</v>
      </c>
      <c r="B236" s="24">
        <f t="shared" si="328"/>
        <v>1946</v>
      </c>
      <c r="C236" s="25">
        <v>17106</v>
      </c>
      <c r="D236" s="26"/>
      <c r="E236" s="24"/>
      <c r="F236" s="26"/>
      <c r="G236" s="26"/>
      <c r="H236" s="26"/>
      <c r="I236" s="26"/>
      <c r="J236" s="26"/>
      <c r="K236" s="26"/>
      <c r="L236" s="24"/>
      <c r="M236" s="24"/>
      <c r="N236" s="26"/>
      <c r="O236" s="26"/>
      <c r="P236" s="26"/>
      <c r="Q236" s="26"/>
      <c r="R236" s="26"/>
      <c r="S236" s="26"/>
      <c r="T236" s="26"/>
      <c r="U236" s="26"/>
      <c r="V236" s="26"/>
      <c r="W236" s="26">
        <f>MAX($C$9-VLOOKUP($C236,COS!$B$8:$H$991,3,FALSE),0)</f>
        <v>91926.40234375</v>
      </c>
      <c r="X236" s="26">
        <f t="shared" si="347"/>
        <v>5652.3341606404956</v>
      </c>
      <c r="Y236" s="26">
        <f>VLOOKUP($C236,COS!$B$8:$H$991,4,FALSE)</f>
        <v>1148.6480712890625</v>
      </c>
      <c r="Z236" s="26">
        <f t="shared" si="348"/>
        <v>70.627616945377071</v>
      </c>
      <c r="AA236" s="26">
        <f t="shared" si="374"/>
        <v>1148.6480712890625</v>
      </c>
      <c r="AB236" s="33">
        <f t="shared" si="345"/>
        <v>70.627616945377071</v>
      </c>
    </row>
    <row r="237" spans="1:28" x14ac:dyDescent="0.3">
      <c r="A237" s="32">
        <f>VLOOKUP(YEAR(C237),Flags!$A$13:$B$95,2,FALSE)</f>
        <v>2</v>
      </c>
      <c r="B237" s="24">
        <f t="shared" si="328"/>
        <v>1946</v>
      </c>
      <c r="C237" s="25">
        <v>17136</v>
      </c>
      <c r="D237" s="26"/>
      <c r="E237" s="24"/>
      <c r="F237" s="26"/>
      <c r="G237" s="26"/>
      <c r="H237" s="26"/>
      <c r="I237" s="26"/>
      <c r="J237" s="26"/>
      <c r="K237" s="26"/>
      <c r="L237" s="24"/>
      <c r="M237" s="24"/>
      <c r="N237" s="26"/>
      <c r="O237" s="26"/>
      <c r="P237" s="26"/>
      <c r="Q237" s="26"/>
      <c r="R237" s="26"/>
      <c r="S237" s="26"/>
      <c r="T237" s="26"/>
      <c r="U237" s="26"/>
      <c r="V237" s="26"/>
      <c r="W237" s="26">
        <f>MAX($C$10-VLOOKUP($C237,COS!$B$8:$H$991,3,FALSE),0)</f>
        <v>91705.3271484375</v>
      </c>
      <c r="X237" s="26">
        <f t="shared" si="347"/>
        <v>5456.8459129648754</v>
      </c>
      <c r="Y237" s="26">
        <f>VLOOKUP($C237,COS!$B$8:$H$991,4,FALSE)</f>
        <v>1644.781982421875</v>
      </c>
      <c r="Z237" s="26">
        <f t="shared" si="348"/>
        <v>97.871324573863632</v>
      </c>
      <c r="AA237" s="26">
        <f t="shared" si="374"/>
        <v>1644.781982421875</v>
      </c>
      <c r="AB237" s="33">
        <f t="shared" si="345"/>
        <v>48.935662286931816</v>
      </c>
    </row>
    <row r="238" spans="1:28" x14ac:dyDescent="0.3">
      <c r="A238" s="34">
        <f>VLOOKUP(YEAR(C238),Flags!$A$13:$B$95,2,FALSE)</f>
        <v>2</v>
      </c>
      <c r="B238" s="35">
        <f t="shared" si="328"/>
        <v>1946</v>
      </c>
      <c r="C238" s="36">
        <v>17167</v>
      </c>
      <c r="D238" s="37"/>
      <c r="E238" s="35"/>
      <c r="F238" s="37"/>
      <c r="G238" s="37"/>
      <c r="H238" s="37"/>
      <c r="I238" s="37"/>
      <c r="J238" s="37"/>
      <c r="K238" s="37"/>
      <c r="L238" s="35"/>
      <c r="M238" s="35"/>
      <c r="N238" s="37"/>
      <c r="O238" s="37"/>
      <c r="P238" s="37"/>
      <c r="Q238" s="37"/>
      <c r="R238" s="37"/>
      <c r="S238" s="37"/>
      <c r="T238" s="37"/>
      <c r="U238" s="37"/>
      <c r="V238" s="37"/>
      <c r="W238" s="37">
        <f>MAX($C$11-VLOOKUP($C238,COS!$B$8:$H$991,3,FALSE),0)</f>
        <v>0</v>
      </c>
      <c r="X238" s="37">
        <f t="shared" si="347"/>
        <v>0</v>
      </c>
      <c r="Y238" s="37">
        <f>VLOOKUP($C238,COS!$B$8:$H$991,4,FALSE)</f>
        <v>0</v>
      </c>
      <c r="Z238" s="37">
        <f t="shared" si="348"/>
        <v>0</v>
      </c>
      <c r="AA238" s="37">
        <f t="shared" si="374"/>
        <v>0</v>
      </c>
      <c r="AB238" s="38">
        <f t="shared" si="345"/>
        <v>0</v>
      </c>
    </row>
    <row r="239" spans="1:28" x14ac:dyDescent="0.3">
      <c r="A239" s="27">
        <f>VLOOKUP(YEAR(C239),Flags!$A$13:$B$95,2,FALSE)</f>
        <v>4</v>
      </c>
      <c r="B239" s="28">
        <f t="shared" si="328"/>
        <v>1947</v>
      </c>
      <c r="C239" s="29">
        <v>17287</v>
      </c>
      <c r="D239" s="30">
        <f>VLOOKUP($C239,COS!$B$8:$H$991,3,FALSE)</f>
        <v>3250</v>
      </c>
      <c r="E239" s="28">
        <f>IF(D239&gt;=IF(MONTH($C239)=4,$C$3,IF(MONTH($C239)=5,$C$4,IF(MONTH($C239)=6,$C$5,IF(MONTH($C239)=7,$C$6,"ERROR")))),1,0)</f>
        <v>0</v>
      </c>
      <c r="F239" s="30">
        <f>VLOOKUP($C239,COS!$B$8:$H$991,7,FALSE)</f>
        <v>51.992382049560547</v>
      </c>
      <c r="G239" s="28">
        <f>IF(F239&lt;=IF(MONTH($C239)=4,$F$3,IF(MONTH($C239)=5,$F$4,IF(MONTH($C239)=6,$F$5,IF(MONTH($C239)=7,$F$6,"ERROR")))),1,0)</f>
        <v>1</v>
      </c>
      <c r="H239" s="30">
        <f>IF(J239=1,D239-$C$3,0)</f>
        <v>0</v>
      </c>
      <c r="I239" s="30">
        <f t="shared" si="342"/>
        <v>0</v>
      </c>
      <c r="J239" s="28">
        <f t="shared" ref="J239:J242" si="377">IF(AND(E239=1,G239=1),1,0)</f>
        <v>0</v>
      </c>
      <c r="K239" s="30">
        <f>VLOOKUP($C239,COS!$B$8:$H$991,2,FALSE)</f>
        <v>3389.9931640625</v>
      </c>
      <c r="L239" s="28">
        <f t="shared" ref="L239" si="378">IF(K239&lt;=IF(MONTH($C239)=4,$I$3,IF(MONTH($C239)=5,$I$4,IF(MONTH($C239)=6,$I$5,IF(MONTH($C239)=7,$I$6,"ERROR")))),1,0)</f>
        <v>1</v>
      </c>
      <c r="M239" s="28">
        <f t="shared" ref="M239" si="379">VLOOKUP($A239,$L$3:$M$7,2,FALSE)</f>
        <v>1</v>
      </c>
      <c r="N239" s="30">
        <f>VLOOKUP($C239,COS!$B$8:$H$991,5,FALSE)</f>
        <v>210.8018798828125</v>
      </c>
      <c r="O239" s="30">
        <f t="shared" ref="O239:O242" si="380">N239*DAY($C239)*86400/43560/1000</f>
        <v>12.543582935175619</v>
      </c>
      <c r="P239" s="30">
        <f>VLOOKUP($C239,COS!$B$8:$H$991,6,FALSE)</f>
        <v>467.46041870117188</v>
      </c>
      <c r="Q239" s="30">
        <f t="shared" ref="Q239:Q242" si="381">P239*DAY($C239)*86400/43560/1000</f>
        <v>27.815826567342459</v>
      </c>
      <c r="R239" s="30">
        <f>MIN(IF(MONTH($C239)=4,$S$3,IF(MONTH($C239)=5,$S$4,IF(MONTH($C239)=6,$S$5,IF(MONTH($C239)=7,$S$6,"ERROR")))),MAX(VLOOKUP($C239,COS!$B$8:$K$991,10,FALSE)-IF(MONTH($C239)=4,$Y$3,IF(MONTH($C239)=5,$Y$4,IF(MONTH($C239)=6,$Y$5,IF(MONTH($C239)=7,$Y$6,"ERROR")))),0),MAX(VLOOKUP($C239,COS!$B$8:$K$991,9,FALSE)-IF(MONTH($C239)=4,$V$3,IF(MONTH($C239)=5,$V$4,IF(MONTH($C239)=6,$V$5,IF(MONTH($C239)=7,$V$6,"ERROR"))))-VLOOKUP($C239,COS!$B$8:$K$991,6,FALSE)/2,0))</f>
        <v>1500</v>
      </c>
      <c r="S239" s="30">
        <f t="shared" ref="S239:S242" si="382">R239*DAY($C239)*86400/43560/1000</f>
        <v>89.256198347107429</v>
      </c>
      <c r="T239" s="30">
        <f t="shared" ref="T239:T242" si="383">(O239+Q239)/2+S239</f>
        <v>109.43590309836647</v>
      </c>
      <c r="U239" s="30" t="str">
        <f>IF(VLOOKUP($C239,COS!$B$8:$I$991,8,FALSE)=1,"UWFE","IBU")</f>
        <v>UWFE</v>
      </c>
      <c r="V239" s="30">
        <f t="shared" ref="V239" si="384">MIN(IF(IF($AA$3=2,AND(E239=1,G239=1,L239=1,L244=1,M239=1,U239="IBU"),AND(E239=1,G239=1,L239=1,L244=1,M239=1)),T239,0),I239)</f>
        <v>0</v>
      </c>
      <c r="W239" s="30"/>
      <c r="X239" s="30"/>
      <c r="Y239" s="30"/>
      <c r="Z239" s="30"/>
      <c r="AA239" s="30"/>
      <c r="AB239" s="31"/>
    </row>
    <row r="240" spans="1:28" x14ac:dyDescent="0.3">
      <c r="A240" s="32">
        <f>VLOOKUP(YEAR(C240),Flags!$A$13:$B$95,2,FALSE)</f>
        <v>4</v>
      </c>
      <c r="B240" s="24">
        <f t="shared" si="328"/>
        <v>1947</v>
      </c>
      <c r="C240" s="25">
        <v>17318</v>
      </c>
      <c r="D240" s="26">
        <f>VLOOKUP($C240,COS!$B$8:$H$991,3,FALSE)</f>
        <v>8656.3466796875</v>
      </c>
      <c r="E240" s="24">
        <f>IF(D240&gt;=IF(MONTH($C240)=4,$C$3,IF(MONTH($C240)=5,$C$4,IF(MONTH($C240)=6,$C$5,IF(MONTH($C240)=7,$C$6,"ERROR")))),1,0)</f>
        <v>1</v>
      </c>
      <c r="F240" s="26">
        <f>VLOOKUP($C240,COS!$B$8:$H$991,7,FALSE)</f>
        <v>50.687347412109375</v>
      </c>
      <c r="G240" s="24">
        <f>IF(F240&lt;=IF(MONTH($C240)=4,$F$3,IF(MONTH($C240)=5,$F$4,IF(MONTH($C240)=6,$F$5,IF(MONTH($C240)=7,$F$6,"ERROR")))),1,0)</f>
        <v>1</v>
      </c>
      <c r="H240" s="26">
        <f>IF(J240=1,D240-$C$4,0)</f>
        <v>2656.3466796875</v>
      </c>
      <c r="I240" s="26">
        <f t="shared" si="342"/>
        <v>163.33239088326445</v>
      </c>
      <c r="J240" s="24">
        <f t="shared" si="377"/>
        <v>1</v>
      </c>
      <c r="K240" s="26">
        <f>VLOOKUP($C240,COS!$B$8:$H$991,2,FALSE)</f>
        <v>3099.48974609375</v>
      </c>
      <c r="L240" s="24">
        <f t="shared" si="333"/>
        <v>1</v>
      </c>
      <c r="M240" s="24">
        <f t="shared" si="334"/>
        <v>1</v>
      </c>
      <c r="N240" s="26">
        <f>VLOOKUP($C240,COS!$B$8:$H$991,5,FALSE)</f>
        <v>304.60684204101563</v>
      </c>
      <c r="O240" s="26">
        <f t="shared" si="380"/>
        <v>18.729544667645918</v>
      </c>
      <c r="P240" s="26">
        <f>VLOOKUP($C240,COS!$B$8:$H$991,6,FALSE)</f>
        <v>2205.62353515625</v>
      </c>
      <c r="Q240" s="26">
        <f t="shared" si="381"/>
        <v>135.61850497159091</v>
      </c>
      <c r="R240" s="26">
        <f>MIN(IF(MONTH($C240)=4,$S$3,IF(MONTH($C240)=5,$S$4,IF(MONTH($C240)=6,$S$5,IF(MONTH($C240)=7,$S$6,"ERROR")))),MAX(VLOOKUP($C240,COS!$B$8:$K$991,10,FALSE)-IF(MONTH($C240)=4,$Y$3,IF(MONTH($C240)=5,$Y$4,IF(MONTH($C240)=6,$Y$5,IF(MONTH($C240)=7,$Y$6,"ERROR")))),0),MAX(VLOOKUP($C240,COS!$B$8:$K$991,9,FALSE)-IF(MONTH($C240)=4,$V$3,IF(MONTH($C240)=5,$V$4,IF(MONTH($C240)=6,$V$5,IF(MONTH($C240)=7,$V$6,"ERROR"))))-VLOOKUP($C240,COS!$B$8:$K$991,6,FALSE)/2,0))</f>
        <v>1500</v>
      </c>
      <c r="S240" s="26">
        <f t="shared" si="382"/>
        <v>92.231404958677686</v>
      </c>
      <c r="T240" s="26">
        <f t="shared" si="383"/>
        <v>169.40542977829608</v>
      </c>
      <c r="U240" s="26" t="str">
        <f>IF(VLOOKUP($C240,COS!$B$8:$I$991,8,FALSE)=1,"UWFE","IBU")</f>
        <v>IBU</v>
      </c>
      <c r="V240" s="26">
        <f t="shared" ref="V240" si="385">MIN(IF(IF($AA$3=2,AND(E240=1,G240=1,L240=1,L244=1,M240=1,U240="IBU"),AND(E240=1,G240=1,L240=1,L244=1,M240=1)),T240,0),I240)</f>
        <v>163.33239088326445</v>
      </c>
      <c r="W240" s="26"/>
      <c r="X240" s="26"/>
      <c r="Y240" s="26"/>
      <c r="Z240" s="26"/>
      <c r="AA240" s="26"/>
      <c r="AB240" s="33"/>
    </row>
    <row r="241" spans="1:28" x14ac:dyDescent="0.3">
      <c r="A241" s="32">
        <f>VLOOKUP(YEAR(C241),Flags!$A$13:$B$95,2,FALSE)</f>
        <v>4</v>
      </c>
      <c r="B241" s="24">
        <f t="shared" si="328"/>
        <v>1947</v>
      </c>
      <c r="C241" s="25">
        <v>17348</v>
      </c>
      <c r="D241" s="26">
        <f>VLOOKUP($C241,COS!$B$8:$H$991,3,FALSE)</f>
        <v>10092.3349609375</v>
      </c>
      <c r="E241" s="24">
        <f>IF(D241&gt;=IF(MONTH($C241)=4,$C$3,IF(MONTH($C241)=5,$C$4,IF(MONTH($C241)=6,$C$5,IF(MONTH($C241)=7,$C$6,"ERROR")))),1,0)</f>
        <v>1</v>
      </c>
      <c r="F241" s="26">
        <f>VLOOKUP($C241,COS!$B$8:$H$991,7,FALSE)</f>
        <v>51.895301818847656</v>
      </c>
      <c r="G241" s="24">
        <f>IF(F241&lt;=IF(MONTH($C241)=4,$F$3,IF(MONTH($C241)=5,$F$4,IF(MONTH($C241)=6,$F$5,IF(MONTH($C241)=7,$F$6,"ERROR")))),1,0)</f>
        <v>1</v>
      </c>
      <c r="H241" s="26">
        <f>IF(J241=1,D241-$C$5,0)</f>
        <v>92.3349609375</v>
      </c>
      <c r="I241" s="26">
        <f t="shared" si="342"/>
        <v>5.4943117252066109</v>
      </c>
      <c r="J241" s="24">
        <f t="shared" si="377"/>
        <v>1</v>
      </c>
      <c r="K241" s="26">
        <f>VLOOKUP($C241,COS!$B$8:$H$991,2,FALSE)</f>
        <v>2880.829833984375</v>
      </c>
      <c r="L241" s="24">
        <f t="shared" si="333"/>
        <v>1</v>
      </c>
      <c r="M241" s="24">
        <f t="shared" si="334"/>
        <v>1</v>
      </c>
      <c r="N241" s="26">
        <f>VLOOKUP($C241,COS!$B$8:$H$991,5,FALSE)</f>
        <v>355.63311767578125</v>
      </c>
      <c r="O241" s="26">
        <f t="shared" si="380"/>
        <v>21.161640060046487</v>
      </c>
      <c r="P241" s="26">
        <f>VLOOKUP($C241,COS!$B$8:$H$991,6,FALSE)</f>
        <v>2534.749267578125</v>
      </c>
      <c r="Q241" s="26">
        <f t="shared" si="381"/>
        <v>150.82805559142562</v>
      </c>
      <c r="R241" s="26">
        <f>MIN(IF(MONTH($C241)=4,$S$3,IF(MONTH($C241)=5,$S$4,IF(MONTH($C241)=6,$S$5,IF(MONTH($C241)=7,$S$6,"ERROR")))),MAX(VLOOKUP($C241,COS!$B$8:$K$991,10,FALSE)-IF(MONTH($C241)=4,$Y$3,IF(MONTH($C241)=5,$Y$4,IF(MONTH($C241)=6,$Y$5,IF(MONTH($C241)=7,$Y$6,"ERROR")))),0),MAX(VLOOKUP($C241,COS!$B$8:$K$991,9,FALSE)-IF(MONTH($C241)=4,$V$3,IF(MONTH($C241)=5,$V$4,IF(MONTH($C241)=6,$V$5,IF(MONTH($C241)=7,$V$6,"ERROR"))))-VLOOKUP($C241,COS!$B$8:$K$991,6,FALSE)/2,0))</f>
        <v>1500</v>
      </c>
      <c r="S241" s="26">
        <f t="shared" si="382"/>
        <v>89.256198347107429</v>
      </c>
      <c r="T241" s="26">
        <f t="shared" si="383"/>
        <v>175.25104617284347</v>
      </c>
      <c r="U241" s="26" t="str">
        <f>IF(VLOOKUP($C241,COS!$B$8:$I$991,8,FALSE)=1,"UWFE","IBU")</f>
        <v>IBU</v>
      </c>
      <c r="V241" s="26">
        <f t="shared" ref="V241" si="386">MIN(IF(IF($AA$3=2,AND(E241=1,G241=1,L241=1,L244=1,M241=1,U241="IBU"),AND(E241=1,G241=1,L241=1,L244=1,M241=1)),T241,0),I241)</f>
        <v>5.4943117252066109</v>
      </c>
      <c r="W241" s="26"/>
      <c r="X241" s="26"/>
      <c r="Y241" s="26"/>
      <c r="Z241" s="26"/>
      <c r="AA241" s="26"/>
      <c r="AB241" s="33"/>
    </row>
    <row r="242" spans="1:28" x14ac:dyDescent="0.3">
      <c r="A242" s="32">
        <f>VLOOKUP(YEAR(C242),Flags!$A$13:$B$95,2,FALSE)</f>
        <v>4</v>
      </c>
      <c r="B242" s="24">
        <f t="shared" si="328"/>
        <v>1947</v>
      </c>
      <c r="C242" s="25">
        <v>17379</v>
      </c>
      <c r="D242" s="26">
        <f>VLOOKUP($C242,COS!$B$8:$H$991,3,FALSE)</f>
        <v>13768.3623046875</v>
      </c>
      <c r="E242" s="24">
        <f>IF(D242&gt;=IF(MONTH($C242)=4,$C$3,IF(MONTH($C242)=5,$C$4,IF(MONTH($C242)=6,$C$5,IF(MONTH($C242)=7,$C$6,"ERROR")))),1,0)</f>
        <v>1</v>
      </c>
      <c r="F242" s="26">
        <f>VLOOKUP($C242,COS!$B$8:$H$991,7,FALSE)</f>
        <v>53.452518463134766</v>
      </c>
      <c r="G242" s="24">
        <f>IF(F242&lt;=IF(MONTH($C242)=4,$F$3,IF(MONTH($C242)=5,$F$4,IF(MONTH($C242)=6,$F$5,IF(MONTH($C242)=7,$F$6,"ERROR")))),1,0)</f>
        <v>1</v>
      </c>
      <c r="H242" s="26">
        <f>IF(J242=1,D242-$C$6,0)</f>
        <v>1768.3623046875</v>
      </c>
      <c r="I242" s="26">
        <f t="shared" si="342"/>
        <v>108.73235989152892</v>
      </c>
      <c r="J242" s="24">
        <f t="shared" si="377"/>
        <v>1</v>
      </c>
      <c r="K242" s="26">
        <f>VLOOKUP($C242,COS!$B$8:$H$991,2,FALSE)</f>
        <v>2415.119140625</v>
      </c>
      <c r="L242" s="24">
        <f t="shared" si="333"/>
        <v>1</v>
      </c>
      <c r="M242" s="24">
        <f t="shared" si="334"/>
        <v>1</v>
      </c>
      <c r="N242" s="26">
        <f>VLOOKUP($C242,COS!$B$8:$H$991,5,FALSE)</f>
        <v>438.732666015625</v>
      </c>
      <c r="O242" s="26">
        <f t="shared" si="380"/>
        <v>26.976620125258265</v>
      </c>
      <c r="P242" s="26">
        <f>VLOOKUP($C242,COS!$B$8:$H$991,6,FALSE)</f>
        <v>2538.07568359375</v>
      </c>
      <c r="Q242" s="26">
        <f t="shared" si="381"/>
        <v>156.06019079287191</v>
      </c>
      <c r="R242" s="26">
        <f>MIN(IF(MONTH($C242)=4,$S$3,IF(MONTH($C242)=5,$S$4,IF(MONTH($C242)=6,$S$5,IF(MONTH($C242)=7,$S$6,"ERROR")))),MAX(VLOOKUP($C242,COS!$B$8:$K$991,10,FALSE)-IF(MONTH($C242)=4,$Y$3,IF(MONTH($C242)=5,$Y$4,IF(MONTH($C242)=6,$Y$5,IF(MONTH($C242)=7,$Y$6,"ERROR")))),0),MAX(VLOOKUP($C242,COS!$B$8:$K$991,9,FALSE)-IF(MONTH($C242)=4,$V$3,IF(MONTH($C242)=5,$V$4,IF(MONTH($C242)=6,$V$5,IF(MONTH($C242)=7,$V$6,"ERROR"))))-VLOOKUP($C242,COS!$B$8:$K$991,6,FALSE)/2,0))</f>
        <v>1500</v>
      </c>
      <c r="S242" s="26">
        <f t="shared" si="382"/>
        <v>92.231404958677686</v>
      </c>
      <c r="T242" s="26">
        <f t="shared" si="383"/>
        <v>183.74981041774276</v>
      </c>
      <c r="U242" s="26" t="str">
        <f>IF(VLOOKUP($C242,COS!$B$8:$I$991,8,FALSE)=1,"UWFE","IBU")</f>
        <v>IBU</v>
      </c>
      <c r="V242" s="26">
        <f t="shared" ref="V242" si="387">MIN(IF(IF($AA$3=2,AND(E242=1,G242=1,L242=1,L244=1,M242=1,U242="IBU"),AND(E242=1,G242=1,L242=1,L244=1,M242=1)),T242,0),I242)</f>
        <v>108.73235989152892</v>
      </c>
      <c r="W242" s="26"/>
      <c r="X242" s="26"/>
      <c r="Y242" s="26"/>
      <c r="Z242" s="26"/>
      <c r="AA242" s="26"/>
      <c r="AB242" s="33"/>
    </row>
    <row r="243" spans="1:28" x14ac:dyDescent="0.3">
      <c r="A243" s="32">
        <f>VLOOKUP(YEAR(C243),Flags!$A$13:$B$95,2,FALSE)</f>
        <v>4</v>
      </c>
      <c r="B243" s="24">
        <f t="shared" si="328"/>
        <v>1947</v>
      </c>
      <c r="C243" s="25">
        <v>17410</v>
      </c>
      <c r="D243" s="26"/>
      <c r="E243" s="24"/>
      <c r="F243" s="26"/>
      <c r="G243" s="24"/>
      <c r="H243" s="24"/>
      <c r="I243" s="26"/>
      <c r="J243" s="24"/>
      <c r="K243" s="26"/>
      <c r="L243" s="24"/>
      <c r="M243" s="24"/>
      <c r="N243" s="26"/>
      <c r="O243" s="26"/>
      <c r="P243" s="26"/>
      <c r="Q243" s="26"/>
      <c r="R243" s="26"/>
      <c r="S243" s="26"/>
      <c r="T243" s="26"/>
      <c r="U243" s="26"/>
      <c r="V243" s="26"/>
      <c r="W243" s="26">
        <f>MAX($C$7-VLOOKUP($C243,COS!$B$8:$H$991,3,FALSE),0)</f>
        <v>90847.5517578125</v>
      </c>
      <c r="X243" s="26">
        <f t="shared" si="347"/>
        <v>5585.9982237861568</v>
      </c>
      <c r="Y243" s="26">
        <f>VLOOKUP($C243,COS!$B$8:$H$991,4,FALSE)</f>
        <v>1509.713623046875</v>
      </c>
      <c r="Z243" s="26">
        <f t="shared" si="348"/>
        <v>92.828672359245871</v>
      </c>
      <c r="AA243" s="26">
        <f t="shared" ref="AA243:AA247" si="388">MIN(W243,Y243)</f>
        <v>1509.713623046875</v>
      </c>
      <c r="AB243" s="33">
        <f t="shared" ref="AB243" si="389">AA243*DAY($C243)*86400/43560/1000*IF(MONTH($C243)=8,$P$3,IF(MONTH($C243)=9,$P$4,IF(MONTH($C243)=10,$P$5,IF(MONTH($C243)=11,$P$6,IF(MONTH($C243)=12,$P$7,NA())))))</f>
        <v>92.828672359245871</v>
      </c>
    </row>
    <row r="244" spans="1:28" x14ac:dyDescent="0.3">
      <c r="A244" s="32">
        <f>VLOOKUP(YEAR(C244),Flags!$A$13:$B$95,2,FALSE)</f>
        <v>4</v>
      </c>
      <c r="B244" s="24">
        <f t="shared" si="328"/>
        <v>1947</v>
      </c>
      <c r="C244" s="25">
        <v>17440</v>
      </c>
      <c r="D244" s="26"/>
      <c r="E244" s="24"/>
      <c r="F244" s="26"/>
      <c r="G244" s="24"/>
      <c r="H244" s="24"/>
      <c r="I244" s="26"/>
      <c r="J244" s="24"/>
      <c r="K244" s="26">
        <f>VLOOKUP($C244,COS!$B$8:$H$991,2,FALSE)</f>
        <v>1968.9127197265625</v>
      </c>
      <c r="L244" s="24">
        <f t="shared" ref="L244" si="390">IF(AND(K244&gt;$I$7,K244&lt;$I$8),1,0)</f>
        <v>1</v>
      </c>
      <c r="M244" s="24"/>
      <c r="N244" s="26"/>
      <c r="O244" s="26"/>
      <c r="P244" s="26"/>
      <c r="Q244" s="26"/>
      <c r="R244" s="26"/>
      <c r="S244" s="26"/>
      <c r="T244" s="26"/>
      <c r="U244" s="26"/>
      <c r="V244" s="26"/>
      <c r="W244" s="26">
        <f>MAX($C$8-VLOOKUP($C244,COS!$B$8:$H$991,3,FALSE),0)</f>
        <v>94272.12744140625</v>
      </c>
      <c r="X244" s="26">
        <f t="shared" si="347"/>
        <v>5609.5811370092979</v>
      </c>
      <c r="Y244" s="26">
        <f>VLOOKUP($C244,COS!$B$8:$H$991,4,FALSE)</f>
        <v>1350.30224609375</v>
      </c>
      <c r="Z244" s="26">
        <f t="shared" si="348"/>
        <v>80.348563403925624</v>
      </c>
      <c r="AA244" s="26">
        <f t="shared" si="388"/>
        <v>1350.30224609375</v>
      </c>
      <c r="AB244" s="33">
        <f t="shared" si="345"/>
        <v>80.348563403925624</v>
      </c>
    </row>
    <row r="245" spans="1:28" x14ac:dyDescent="0.3">
      <c r="A245" s="32">
        <f>VLOOKUP(YEAR(C245),Flags!$A$13:$B$95,2,FALSE)</f>
        <v>4</v>
      </c>
      <c r="B245" s="24">
        <f t="shared" si="328"/>
        <v>1947</v>
      </c>
      <c r="C245" s="25">
        <v>17471</v>
      </c>
      <c r="D245" s="26"/>
      <c r="E245" s="24"/>
      <c r="F245" s="26"/>
      <c r="G245" s="26"/>
      <c r="H245" s="26"/>
      <c r="I245" s="26"/>
      <c r="J245" s="26"/>
      <c r="K245" s="26"/>
      <c r="L245" s="24"/>
      <c r="M245" s="24"/>
      <c r="N245" s="26"/>
      <c r="O245" s="26"/>
      <c r="P245" s="26"/>
      <c r="Q245" s="26"/>
      <c r="R245" s="26"/>
      <c r="S245" s="26"/>
      <c r="T245" s="26"/>
      <c r="U245" s="26"/>
      <c r="V245" s="26"/>
      <c r="W245" s="26">
        <f>MAX($C$9-VLOOKUP($C245,COS!$B$8:$H$991,3,FALSE),0)</f>
        <v>96632.93359375</v>
      </c>
      <c r="X245" s="26">
        <f t="shared" si="347"/>
        <v>5941.7274870867768</v>
      </c>
      <c r="Y245" s="26">
        <f>VLOOKUP($C245,COS!$B$8:$H$991,4,FALSE)</f>
        <v>1046.6112060546875</v>
      </c>
      <c r="Z245" s="26">
        <f t="shared" si="348"/>
        <v>64.353614653279962</v>
      </c>
      <c r="AA245" s="26">
        <f t="shared" si="388"/>
        <v>1046.6112060546875</v>
      </c>
      <c r="AB245" s="33">
        <f t="shared" si="345"/>
        <v>64.353614653279962</v>
      </c>
    </row>
    <row r="246" spans="1:28" x14ac:dyDescent="0.3">
      <c r="A246" s="32">
        <f>VLOOKUP(YEAR(C246),Flags!$A$13:$B$95,2,FALSE)</f>
        <v>4</v>
      </c>
      <c r="B246" s="24">
        <f t="shared" si="328"/>
        <v>1947</v>
      </c>
      <c r="C246" s="25">
        <v>17501</v>
      </c>
      <c r="D246" s="26"/>
      <c r="E246" s="24"/>
      <c r="F246" s="26"/>
      <c r="G246" s="26"/>
      <c r="H246" s="26"/>
      <c r="I246" s="26"/>
      <c r="J246" s="26"/>
      <c r="K246" s="26"/>
      <c r="L246" s="24"/>
      <c r="M246" s="24"/>
      <c r="N246" s="26"/>
      <c r="O246" s="26"/>
      <c r="P246" s="26"/>
      <c r="Q246" s="26"/>
      <c r="R246" s="26"/>
      <c r="S246" s="26"/>
      <c r="T246" s="26"/>
      <c r="U246" s="26"/>
      <c r="V246" s="26"/>
      <c r="W246" s="26">
        <f>MAX($C$10-VLOOKUP($C246,COS!$B$8:$H$991,3,FALSE),0)</f>
        <v>96749</v>
      </c>
      <c r="X246" s="26">
        <f t="shared" si="347"/>
        <v>5756.965289256198</v>
      </c>
      <c r="Y246" s="26">
        <f>VLOOKUP($C246,COS!$B$8:$H$991,4,FALSE)</f>
        <v>1013.9700927734375</v>
      </c>
      <c r="Z246" s="26">
        <f t="shared" si="348"/>
        <v>60.335410479080579</v>
      </c>
      <c r="AA246" s="26">
        <f t="shared" si="388"/>
        <v>1013.9700927734375</v>
      </c>
      <c r="AB246" s="33">
        <f t="shared" si="345"/>
        <v>30.16770523954029</v>
      </c>
    </row>
    <row r="247" spans="1:28" x14ac:dyDescent="0.3">
      <c r="A247" s="34">
        <f>VLOOKUP(YEAR(C247),Flags!$A$13:$B$95,2,FALSE)</f>
        <v>4</v>
      </c>
      <c r="B247" s="35">
        <f t="shared" si="328"/>
        <v>1947</v>
      </c>
      <c r="C247" s="36">
        <v>17532</v>
      </c>
      <c r="D247" s="37"/>
      <c r="E247" s="35"/>
      <c r="F247" s="37"/>
      <c r="G247" s="37"/>
      <c r="H247" s="37"/>
      <c r="I247" s="37"/>
      <c r="J247" s="37"/>
      <c r="K247" s="37"/>
      <c r="L247" s="35"/>
      <c r="M247" s="35"/>
      <c r="N247" s="37"/>
      <c r="O247" s="37"/>
      <c r="P247" s="37"/>
      <c r="Q247" s="37"/>
      <c r="R247" s="37"/>
      <c r="S247" s="37"/>
      <c r="T247" s="37"/>
      <c r="U247" s="37"/>
      <c r="V247" s="37"/>
      <c r="W247" s="37">
        <f>MAX($C$11-VLOOKUP($C247,COS!$B$8:$H$991,3,FALSE),0)</f>
        <v>0</v>
      </c>
      <c r="X247" s="37">
        <f t="shared" si="347"/>
        <v>0</v>
      </c>
      <c r="Y247" s="37">
        <f>VLOOKUP($C247,COS!$B$8:$H$991,4,FALSE)</f>
        <v>1615.037353515625</v>
      </c>
      <c r="Z247" s="37">
        <f t="shared" si="348"/>
        <v>99.304776116993807</v>
      </c>
      <c r="AA247" s="37">
        <f t="shared" si="388"/>
        <v>0</v>
      </c>
      <c r="AB247" s="38">
        <f t="shared" si="345"/>
        <v>0</v>
      </c>
    </row>
    <row r="248" spans="1:28" x14ac:dyDescent="0.3">
      <c r="A248" s="27">
        <f>VLOOKUP(YEAR(C248),Flags!$A$13:$B$95,2,FALSE)</f>
        <v>3</v>
      </c>
      <c r="B248" s="28">
        <f t="shared" si="328"/>
        <v>1948</v>
      </c>
      <c r="C248" s="29">
        <v>17653</v>
      </c>
      <c r="D248" s="30">
        <f>VLOOKUP($C248,COS!$B$8:$H$991,3,FALSE)</f>
        <v>3250</v>
      </c>
      <c r="E248" s="28">
        <f>IF(D248&gt;=IF(MONTH($C248)=4,$C$3,IF(MONTH($C248)=5,$C$4,IF(MONTH($C248)=6,$C$5,IF(MONTH($C248)=7,$C$6,"ERROR")))),1,0)</f>
        <v>0</v>
      </c>
      <c r="F248" s="30">
        <f>VLOOKUP($C248,COS!$B$8:$H$991,7,FALSE)</f>
        <v>49.87957763671875</v>
      </c>
      <c r="G248" s="28">
        <f>IF(F248&lt;=IF(MONTH($C248)=4,$F$3,IF(MONTH($C248)=5,$F$4,IF(MONTH($C248)=6,$F$5,IF(MONTH($C248)=7,$F$6,"ERROR")))),1,0)</f>
        <v>1</v>
      </c>
      <c r="H248" s="30">
        <f>IF(J248=1,D248-$C$3,0)</f>
        <v>0</v>
      </c>
      <c r="I248" s="30">
        <f t="shared" si="342"/>
        <v>0</v>
      </c>
      <c r="J248" s="28">
        <f t="shared" ref="J248:J251" si="391">IF(AND(E248=1,G248=1),1,0)</f>
        <v>0</v>
      </c>
      <c r="K248" s="30">
        <f>VLOOKUP($C248,COS!$B$8:$H$991,2,FALSE)</f>
        <v>4304.84423828125</v>
      </c>
      <c r="L248" s="28">
        <f t="shared" ref="L248" si="392">IF(K248&lt;=IF(MONTH($C248)=4,$I$3,IF(MONTH($C248)=5,$I$4,IF(MONTH($C248)=6,$I$5,IF(MONTH($C248)=7,$I$6,"ERROR")))),1,0)</f>
        <v>1</v>
      </c>
      <c r="M248" s="28">
        <f t="shared" ref="M248" si="393">VLOOKUP($A248,$L$3:$M$7,2,FALSE)</f>
        <v>0</v>
      </c>
      <c r="N248" s="30">
        <f>VLOOKUP($C248,COS!$B$8:$H$991,5,FALSE)</f>
        <v>46.918926239013672</v>
      </c>
      <c r="O248" s="30">
        <f t="shared" ref="O248:O251" si="394">N248*DAY($C248)*86400/43560/1000</f>
        <v>2.7918699910818052</v>
      </c>
      <c r="P248" s="30">
        <f>VLOOKUP($C248,COS!$B$8:$H$991,6,FALSE)</f>
        <v>211.80764770507813</v>
      </c>
      <c r="Q248" s="30">
        <f t="shared" ref="Q248:Q251" si="395">P248*DAY($C248)*86400/43560/1000</f>
        <v>12.603430276665806</v>
      </c>
      <c r="R248" s="30">
        <f>MIN(IF(MONTH($C248)=4,$S$3,IF(MONTH($C248)=5,$S$4,IF(MONTH($C248)=6,$S$5,IF(MONTH($C248)=7,$S$6,"ERROR")))),MAX(VLOOKUP($C248,COS!$B$8:$K$991,10,FALSE)-IF(MONTH($C248)=4,$Y$3,IF(MONTH($C248)=5,$Y$4,IF(MONTH($C248)=6,$Y$5,IF(MONTH($C248)=7,$Y$6,"ERROR")))),0),MAX(VLOOKUP($C248,COS!$B$8:$K$991,9,FALSE)-IF(MONTH($C248)=4,$V$3,IF(MONTH($C248)=5,$V$4,IF(MONTH($C248)=6,$V$5,IF(MONTH($C248)=7,$V$6,"ERROR"))))-VLOOKUP($C248,COS!$B$8:$K$991,6,FALSE)/2,0))</f>
        <v>1500</v>
      </c>
      <c r="S248" s="30">
        <f t="shared" ref="S248:S251" si="396">R248*DAY($C248)*86400/43560/1000</f>
        <v>89.256198347107429</v>
      </c>
      <c r="T248" s="30">
        <f t="shared" ref="T248:T251" si="397">(O248+Q248)/2+S248</f>
        <v>96.953848480981236</v>
      </c>
      <c r="U248" s="30" t="str">
        <f>IF(VLOOKUP($C248,COS!$B$8:$I$991,8,FALSE)=1,"UWFE","IBU")</f>
        <v>UWFE</v>
      </c>
      <c r="V248" s="30">
        <f t="shared" ref="V248" si="398">MIN(IF(IF($AA$3=2,AND(E248=1,G248=1,L248=1,L253=1,M248=1,U248="IBU"),AND(E248=1,G248=1,L248=1,L253=1,M248=1)),T248,0),I248)</f>
        <v>0</v>
      </c>
      <c r="W248" s="30"/>
      <c r="X248" s="30"/>
      <c r="Y248" s="30"/>
      <c r="Z248" s="30"/>
      <c r="AA248" s="30"/>
      <c r="AB248" s="31"/>
    </row>
    <row r="249" spans="1:28" x14ac:dyDescent="0.3">
      <c r="A249" s="32">
        <f>VLOOKUP(YEAR(C249),Flags!$A$13:$B$95,2,FALSE)</f>
        <v>3</v>
      </c>
      <c r="B249" s="24">
        <f t="shared" si="328"/>
        <v>1948</v>
      </c>
      <c r="C249" s="25">
        <v>17684</v>
      </c>
      <c r="D249" s="26">
        <f>VLOOKUP($C249,COS!$B$8:$H$991,3,FALSE)</f>
        <v>9188.48046875</v>
      </c>
      <c r="E249" s="24">
        <f>IF(D249&gt;=IF(MONTH($C249)=4,$C$3,IF(MONTH($C249)=5,$C$4,IF(MONTH($C249)=6,$C$5,IF(MONTH($C249)=7,$C$6,"ERROR")))),1,0)</f>
        <v>1</v>
      </c>
      <c r="F249" s="26">
        <f>VLOOKUP($C249,COS!$B$8:$H$991,7,FALSE)</f>
        <v>49.27020263671875</v>
      </c>
      <c r="G249" s="24">
        <f>IF(F249&lt;=IF(MONTH($C249)=4,$F$3,IF(MONTH($C249)=5,$F$4,IF(MONTH($C249)=6,$F$5,IF(MONTH($C249)=7,$F$6,"ERROR")))),1,0)</f>
        <v>1</v>
      </c>
      <c r="H249" s="26">
        <f>IF(J249=1,D249-$C$4,0)</f>
        <v>3188.48046875</v>
      </c>
      <c r="I249" s="26">
        <f t="shared" si="342"/>
        <v>196.05202221074381</v>
      </c>
      <c r="J249" s="24">
        <f t="shared" si="391"/>
        <v>1</v>
      </c>
      <c r="K249" s="26">
        <f>VLOOKUP($C249,COS!$B$8:$H$991,2,FALSE)</f>
        <v>4552</v>
      </c>
      <c r="L249" s="24">
        <f t="shared" si="333"/>
        <v>1</v>
      </c>
      <c r="M249" s="24">
        <f t="shared" si="334"/>
        <v>0</v>
      </c>
      <c r="N249" s="26">
        <f>VLOOKUP($C249,COS!$B$8:$H$991,5,FALSE)</f>
        <v>414.791748046875</v>
      </c>
      <c r="O249" s="26">
        <f t="shared" si="394"/>
        <v>25.50455045841942</v>
      </c>
      <c r="P249" s="26">
        <f>VLOOKUP($C249,COS!$B$8:$H$991,6,FALSE)</f>
        <v>1547.1707763671875</v>
      </c>
      <c r="Q249" s="26">
        <f t="shared" si="395"/>
        <v>95.131822943569219</v>
      </c>
      <c r="R249" s="26">
        <f>MIN(IF(MONTH($C249)=4,$S$3,IF(MONTH($C249)=5,$S$4,IF(MONTH($C249)=6,$S$5,IF(MONTH($C249)=7,$S$6,"ERROR")))),MAX(VLOOKUP($C249,COS!$B$8:$K$991,10,FALSE)-IF(MONTH($C249)=4,$Y$3,IF(MONTH($C249)=5,$Y$4,IF(MONTH($C249)=6,$Y$5,IF(MONTH($C249)=7,$Y$6,"ERROR")))),0),MAX(VLOOKUP($C249,COS!$B$8:$K$991,9,FALSE)-IF(MONTH($C249)=4,$V$3,IF(MONTH($C249)=5,$V$4,IF(MONTH($C249)=6,$V$5,IF(MONTH($C249)=7,$V$6,"ERROR"))))-VLOOKUP($C249,COS!$B$8:$K$991,6,FALSE)/2,0))</f>
        <v>1500</v>
      </c>
      <c r="S249" s="26">
        <f t="shared" si="396"/>
        <v>92.231404958677686</v>
      </c>
      <c r="T249" s="26">
        <f t="shared" si="397"/>
        <v>152.54959165967199</v>
      </c>
      <c r="U249" s="26" t="str">
        <f>IF(VLOOKUP($C249,COS!$B$8:$I$991,8,FALSE)=1,"UWFE","IBU")</f>
        <v>UWFE</v>
      </c>
      <c r="V249" s="26">
        <f t="shared" ref="V249" si="399">MIN(IF(IF($AA$3=2,AND(E249=1,G249=1,L249=1,L253=1,M249=1,U249="IBU"),AND(E249=1,G249=1,L249=1,L253=1,M249=1)),T249,0),I249)</f>
        <v>0</v>
      </c>
      <c r="W249" s="26"/>
      <c r="X249" s="26"/>
      <c r="Y249" s="26"/>
      <c r="Z249" s="26"/>
      <c r="AA249" s="26"/>
      <c r="AB249" s="33"/>
    </row>
    <row r="250" spans="1:28" x14ac:dyDescent="0.3">
      <c r="A250" s="32">
        <f>VLOOKUP(YEAR(C250),Flags!$A$13:$B$95,2,FALSE)</f>
        <v>3</v>
      </c>
      <c r="B250" s="24">
        <f t="shared" si="328"/>
        <v>1948</v>
      </c>
      <c r="C250" s="25">
        <v>17714</v>
      </c>
      <c r="D250" s="26">
        <f>VLOOKUP($C250,COS!$B$8:$H$991,3,FALSE)</f>
        <v>8322.865234375</v>
      </c>
      <c r="E250" s="24">
        <f>IF(D250&gt;=IF(MONTH($C250)=4,$C$3,IF(MONTH($C250)=5,$C$4,IF(MONTH($C250)=6,$C$5,IF(MONTH($C250)=7,$C$6,"ERROR")))),1,0)</f>
        <v>0</v>
      </c>
      <c r="F250" s="26">
        <f>VLOOKUP($C250,COS!$B$8:$H$991,7,FALSE)</f>
        <v>51.372959136962891</v>
      </c>
      <c r="G250" s="24">
        <f>IF(F250&lt;=IF(MONTH($C250)=4,$F$3,IF(MONTH($C250)=5,$F$4,IF(MONTH($C250)=6,$F$5,IF(MONTH($C250)=7,$F$6,"ERROR")))),1,0)</f>
        <v>1</v>
      </c>
      <c r="H250" s="26">
        <f>IF(J250=1,D250-$C$5,0)</f>
        <v>0</v>
      </c>
      <c r="I250" s="26">
        <f t="shared" si="342"/>
        <v>0</v>
      </c>
      <c r="J250" s="24">
        <f t="shared" si="391"/>
        <v>0</v>
      </c>
      <c r="K250" s="26">
        <f>VLOOKUP($C250,COS!$B$8:$H$991,2,FALSE)</f>
        <v>4500</v>
      </c>
      <c r="L250" s="24">
        <f t="shared" si="333"/>
        <v>1</v>
      </c>
      <c r="M250" s="24">
        <f t="shared" si="334"/>
        <v>0</v>
      </c>
      <c r="N250" s="26">
        <f>VLOOKUP($C250,COS!$B$8:$H$991,5,FALSE)</f>
        <v>739.47967529296875</v>
      </c>
      <c r="O250" s="26">
        <f t="shared" si="394"/>
        <v>44.002096381069215</v>
      </c>
      <c r="P250" s="26">
        <f>VLOOKUP($C250,COS!$B$8:$H$991,6,FALSE)</f>
        <v>2358.41552734375</v>
      </c>
      <c r="Q250" s="26">
        <f t="shared" si="395"/>
        <v>140.33546939566114</v>
      </c>
      <c r="R250" s="26">
        <f>MIN(IF(MONTH($C250)=4,$S$3,IF(MONTH($C250)=5,$S$4,IF(MONTH($C250)=6,$S$5,IF(MONTH($C250)=7,$S$6,"ERROR")))),MAX(VLOOKUP($C250,COS!$B$8:$K$991,10,FALSE)-IF(MONTH($C250)=4,$Y$3,IF(MONTH($C250)=5,$Y$4,IF(MONTH($C250)=6,$Y$5,IF(MONTH($C250)=7,$Y$6,"ERROR")))),0),MAX(VLOOKUP($C250,COS!$B$8:$K$991,9,FALSE)-IF(MONTH($C250)=4,$V$3,IF(MONTH($C250)=5,$V$4,IF(MONTH($C250)=6,$V$5,IF(MONTH($C250)=7,$V$6,"ERROR"))))-VLOOKUP($C250,COS!$B$8:$K$991,6,FALSE)/2,0))</f>
        <v>1500</v>
      </c>
      <c r="S250" s="26">
        <f t="shared" si="396"/>
        <v>89.256198347107429</v>
      </c>
      <c r="T250" s="26">
        <f t="shared" si="397"/>
        <v>181.42498123547261</v>
      </c>
      <c r="U250" s="26" t="str">
        <f>IF(VLOOKUP($C250,COS!$B$8:$I$991,8,FALSE)=1,"UWFE","IBU")</f>
        <v>UWFE</v>
      </c>
      <c r="V250" s="26">
        <f t="shared" ref="V250" si="400">MIN(IF(IF($AA$3=2,AND(E250=1,G250=1,L250=1,L253=1,M250=1,U250="IBU"),AND(E250=1,G250=1,L250=1,L253=1,M250=1)),T250,0),I250)</f>
        <v>0</v>
      </c>
      <c r="W250" s="26"/>
      <c r="X250" s="26"/>
      <c r="Y250" s="26"/>
      <c r="Z250" s="26"/>
      <c r="AA250" s="26"/>
      <c r="AB250" s="33"/>
    </row>
    <row r="251" spans="1:28" x14ac:dyDescent="0.3">
      <c r="A251" s="32">
        <f>VLOOKUP(YEAR(C251),Flags!$A$13:$B$95,2,FALSE)</f>
        <v>3</v>
      </c>
      <c r="B251" s="24">
        <f t="shared" si="328"/>
        <v>1948</v>
      </c>
      <c r="C251" s="25">
        <v>17745</v>
      </c>
      <c r="D251" s="26">
        <f>VLOOKUP($C251,COS!$B$8:$H$991,3,FALSE)</f>
        <v>12203.6953125</v>
      </c>
      <c r="E251" s="24">
        <f>IF(D251&gt;=IF(MONTH($C251)=4,$C$3,IF(MONTH($C251)=5,$C$4,IF(MONTH($C251)=6,$C$5,IF(MONTH($C251)=7,$C$6,"ERROR")))),1,0)</f>
        <v>1</v>
      </c>
      <c r="F251" s="26">
        <f>VLOOKUP($C251,COS!$B$8:$H$991,7,FALSE)</f>
        <v>51.679328918457031</v>
      </c>
      <c r="G251" s="24">
        <f>IF(F251&lt;=IF(MONTH($C251)=4,$F$3,IF(MONTH($C251)=5,$F$4,IF(MONTH($C251)=6,$F$5,IF(MONTH($C251)=7,$F$6,"ERROR")))),1,0)</f>
        <v>1</v>
      </c>
      <c r="H251" s="26">
        <f>IF(J251=1,D251-$C$6,0)</f>
        <v>203.6953125</v>
      </c>
      <c r="I251" s="26">
        <f t="shared" si="342"/>
        <v>12.524736570247935</v>
      </c>
      <c r="J251" s="24">
        <f t="shared" si="391"/>
        <v>1</v>
      </c>
      <c r="K251" s="26">
        <f>VLOOKUP($C251,COS!$B$8:$H$991,2,FALSE)</f>
        <v>3932.43017578125</v>
      </c>
      <c r="L251" s="24">
        <f t="shared" si="333"/>
        <v>1</v>
      </c>
      <c r="M251" s="24">
        <f t="shared" si="334"/>
        <v>0</v>
      </c>
      <c r="N251" s="26">
        <f>VLOOKUP($C251,COS!$B$8:$H$991,5,FALSE)</f>
        <v>1057.1549072265625</v>
      </c>
      <c r="O251" s="26">
        <f t="shared" si="394"/>
        <v>65.001921568310948</v>
      </c>
      <c r="P251" s="26">
        <f>VLOOKUP($C251,COS!$B$8:$H$991,6,FALSE)</f>
        <v>2632.5888671875</v>
      </c>
      <c r="Q251" s="26">
        <f t="shared" si="395"/>
        <v>161.87157993285126</v>
      </c>
      <c r="R251" s="26">
        <f>MIN(IF(MONTH($C251)=4,$S$3,IF(MONTH($C251)=5,$S$4,IF(MONTH($C251)=6,$S$5,IF(MONTH($C251)=7,$S$6,"ERROR")))),MAX(VLOOKUP($C251,COS!$B$8:$K$991,10,FALSE)-IF(MONTH($C251)=4,$Y$3,IF(MONTH($C251)=5,$Y$4,IF(MONTH($C251)=6,$Y$5,IF(MONTH($C251)=7,$Y$6,"ERROR")))),0),MAX(VLOOKUP($C251,COS!$B$8:$K$991,9,FALSE)-IF(MONTH($C251)=4,$V$3,IF(MONTH($C251)=5,$V$4,IF(MONTH($C251)=6,$V$5,IF(MONTH($C251)=7,$V$6,"ERROR"))))-VLOOKUP($C251,COS!$B$8:$K$991,6,FALSE)/2,0))</f>
        <v>1500</v>
      </c>
      <c r="S251" s="26">
        <f t="shared" si="396"/>
        <v>92.231404958677686</v>
      </c>
      <c r="T251" s="26">
        <f t="shared" si="397"/>
        <v>205.66815570925877</v>
      </c>
      <c r="U251" s="26" t="str">
        <f>IF(VLOOKUP($C251,COS!$B$8:$I$991,8,FALSE)=1,"UWFE","IBU")</f>
        <v>IBU</v>
      </c>
      <c r="V251" s="26">
        <f t="shared" ref="V251" si="401">MIN(IF(IF($AA$3=2,AND(E251=1,G251=1,L251=1,L253=1,M251=1,U251="IBU"),AND(E251=1,G251=1,L251=1,L253=1,M251=1)),T251,0),I251)</f>
        <v>0</v>
      </c>
      <c r="W251" s="26"/>
      <c r="X251" s="26"/>
      <c r="Y251" s="26"/>
      <c r="Z251" s="26"/>
      <c r="AA251" s="26"/>
      <c r="AB251" s="33"/>
    </row>
    <row r="252" spans="1:28" x14ac:dyDescent="0.3">
      <c r="A252" s="32">
        <f>VLOOKUP(YEAR(C252),Flags!$A$13:$B$95,2,FALSE)</f>
        <v>3</v>
      </c>
      <c r="B252" s="24">
        <f t="shared" si="328"/>
        <v>1948</v>
      </c>
      <c r="C252" s="25">
        <v>17776</v>
      </c>
      <c r="D252" s="26"/>
      <c r="E252" s="24"/>
      <c r="F252" s="26"/>
      <c r="G252" s="24"/>
      <c r="H252" s="24"/>
      <c r="I252" s="26"/>
      <c r="J252" s="24"/>
      <c r="K252" s="26"/>
      <c r="L252" s="24"/>
      <c r="M252" s="24"/>
      <c r="N252" s="26"/>
      <c r="O252" s="26"/>
      <c r="P252" s="26"/>
      <c r="Q252" s="26"/>
      <c r="R252" s="26"/>
      <c r="S252" s="26"/>
      <c r="T252" s="26"/>
      <c r="U252" s="26"/>
      <c r="V252" s="26"/>
      <c r="W252" s="26">
        <f>MAX($C$7-VLOOKUP($C252,COS!$B$8:$H$991,3,FALSE),0)</f>
        <v>90274.7529296875</v>
      </c>
      <c r="X252" s="26">
        <f t="shared" si="347"/>
        <v>5550.7781966683888</v>
      </c>
      <c r="Y252" s="26">
        <f>VLOOKUP($C252,COS!$B$8:$H$991,4,FALSE)</f>
        <v>181.02853393554688</v>
      </c>
      <c r="Z252" s="26">
        <f t="shared" si="348"/>
        <v>11.131010681656766</v>
      </c>
      <c r="AA252" s="26">
        <f t="shared" ref="AA252:AA256" si="402">MIN(W252,Y252)</f>
        <v>181.02853393554688</v>
      </c>
      <c r="AB252" s="33">
        <f t="shared" ref="AB252" si="403">AA252*DAY($C252)*86400/43560/1000*IF(MONTH($C252)=8,$P$3,IF(MONTH($C252)=9,$P$4,IF(MONTH($C252)=10,$P$5,IF(MONTH($C252)=11,$P$6,IF(MONTH($C252)=12,$P$7,NA())))))</f>
        <v>11.131010681656766</v>
      </c>
    </row>
    <row r="253" spans="1:28" x14ac:dyDescent="0.3">
      <c r="A253" s="32">
        <f>VLOOKUP(YEAR(C253),Flags!$A$13:$B$95,2,FALSE)</f>
        <v>3</v>
      </c>
      <c r="B253" s="24">
        <f t="shared" si="328"/>
        <v>1948</v>
      </c>
      <c r="C253" s="25">
        <v>17806</v>
      </c>
      <c r="D253" s="26"/>
      <c r="E253" s="24"/>
      <c r="F253" s="26"/>
      <c r="G253" s="24"/>
      <c r="H253" s="24"/>
      <c r="I253" s="26"/>
      <c r="J253" s="24"/>
      <c r="K253" s="26">
        <f>VLOOKUP($C253,COS!$B$8:$H$991,2,FALSE)</f>
        <v>3400</v>
      </c>
      <c r="L253" s="24">
        <f t="shared" ref="L253" si="404">IF(AND(K253&gt;$I$7,K253&lt;$I$8),1,0)</f>
        <v>1</v>
      </c>
      <c r="M253" s="24"/>
      <c r="N253" s="26"/>
      <c r="O253" s="26"/>
      <c r="P253" s="26"/>
      <c r="Q253" s="26"/>
      <c r="R253" s="26"/>
      <c r="S253" s="26"/>
      <c r="T253" s="26"/>
      <c r="U253" s="26"/>
      <c r="V253" s="26"/>
      <c r="W253" s="26">
        <f>MAX($C$8-VLOOKUP($C253,COS!$B$8:$H$991,3,FALSE),0)</f>
        <v>94375.82568359375</v>
      </c>
      <c r="X253" s="26">
        <f t="shared" si="347"/>
        <v>5615.7516109245862</v>
      </c>
      <c r="Y253" s="26">
        <f>VLOOKUP($C253,COS!$B$8:$H$991,4,FALSE)</f>
        <v>0</v>
      </c>
      <c r="Z253" s="26">
        <f t="shared" si="348"/>
        <v>0</v>
      </c>
      <c r="AA253" s="26">
        <f t="shared" si="402"/>
        <v>0</v>
      </c>
      <c r="AB253" s="33">
        <f t="shared" si="345"/>
        <v>0</v>
      </c>
    </row>
    <row r="254" spans="1:28" x14ac:dyDescent="0.3">
      <c r="A254" s="32">
        <f>VLOOKUP(YEAR(C254),Flags!$A$13:$B$95,2,FALSE)</f>
        <v>3</v>
      </c>
      <c r="B254" s="24">
        <f t="shared" si="328"/>
        <v>1948</v>
      </c>
      <c r="C254" s="25">
        <v>17837</v>
      </c>
      <c r="D254" s="26"/>
      <c r="E254" s="24"/>
      <c r="F254" s="26"/>
      <c r="G254" s="26"/>
      <c r="H254" s="26"/>
      <c r="I254" s="26"/>
      <c r="J254" s="26"/>
      <c r="K254" s="26"/>
      <c r="L254" s="24"/>
      <c r="M254" s="24"/>
      <c r="N254" s="26"/>
      <c r="O254" s="26"/>
      <c r="P254" s="26"/>
      <c r="Q254" s="26"/>
      <c r="R254" s="26"/>
      <c r="S254" s="26"/>
      <c r="T254" s="26"/>
      <c r="U254" s="26"/>
      <c r="V254" s="26"/>
      <c r="W254" s="26">
        <f>MAX($C$9-VLOOKUP($C254,COS!$B$8:$H$991,3,FALSE),0)</f>
        <v>93532.60888671875</v>
      </c>
      <c r="X254" s="26">
        <f t="shared" si="347"/>
        <v>5751.0959513817152</v>
      </c>
      <c r="Y254" s="26">
        <f>VLOOKUP($C254,COS!$B$8:$H$991,4,FALSE)</f>
        <v>756.62615966796875</v>
      </c>
      <c r="Z254" s="26">
        <f t="shared" si="348"/>
        <v>46.523129156443694</v>
      </c>
      <c r="AA254" s="26">
        <f t="shared" si="402"/>
        <v>756.62615966796875</v>
      </c>
      <c r="AB254" s="33">
        <f t="shared" si="345"/>
        <v>46.523129156443694</v>
      </c>
    </row>
    <row r="255" spans="1:28" x14ac:dyDescent="0.3">
      <c r="A255" s="32">
        <f>VLOOKUP(YEAR(C255),Flags!$A$13:$B$95,2,FALSE)</f>
        <v>3</v>
      </c>
      <c r="B255" s="24">
        <f t="shared" si="328"/>
        <v>1948</v>
      </c>
      <c r="C255" s="25">
        <v>17867</v>
      </c>
      <c r="D255" s="26"/>
      <c r="E255" s="24"/>
      <c r="F255" s="26"/>
      <c r="G255" s="26"/>
      <c r="H255" s="26"/>
      <c r="I255" s="26"/>
      <c r="J255" s="26"/>
      <c r="K255" s="26"/>
      <c r="L255" s="24"/>
      <c r="M255" s="24"/>
      <c r="N255" s="26"/>
      <c r="O255" s="26"/>
      <c r="P255" s="26"/>
      <c r="Q255" s="26"/>
      <c r="R255" s="26"/>
      <c r="S255" s="26"/>
      <c r="T255" s="26"/>
      <c r="U255" s="26"/>
      <c r="V255" s="26"/>
      <c r="W255" s="26">
        <f>MAX($C$10-VLOOKUP($C255,COS!$B$8:$H$991,3,FALSE),0)</f>
        <v>95683.03125</v>
      </c>
      <c r="X255" s="26">
        <f t="shared" si="347"/>
        <v>5693.5357438016526</v>
      </c>
      <c r="Y255" s="26">
        <f>VLOOKUP($C255,COS!$B$8:$H$991,4,FALSE)</f>
        <v>1042.5562744140625</v>
      </c>
      <c r="Z255" s="26">
        <f t="shared" si="348"/>
        <v>62.036406411415285</v>
      </c>
      <c r="AA255" s="26">
        <f t="shared" si="402"/>
        <v>1042.5562744140625</v>
      </c>
      <c r="AB255" s="33">
        <f t="shared" si="345"/>
        <v>31.018203205707643</v>
      </c>
    </row>
    <row r="256" spans="1:28" x14ac:dyDescent="0.3">
      <c r="A256" s="34">
        <f>VLOOKUP(YEAR(C256),Flags!$A$13:$B$95,2,FALSE)</f>
        <v>3</v>
      </c>
      <c r="B256" s="35">
        <f t="shared" si="328"/>
        <v>1948</v>
      </c>
      <c r="C256" s="36">
        <v>17898</v>
      </c>
      <c r="D256" s="37"/>
      <c r="E256" s="35"/>
      <c r="F256" s="37"/>
      <c r="G256" s="37"/>
      <c r="H256" s="37"/>
      <c r="I256" s="37"/>
      <c r="J256" s="37"/>
      <c r="K256" s="37"/>
      <c r="L256" s="35"/>
      <c r="M256" s="35"/>
      <c r="N256" s="37"/>
      <c r="O256" s="37"/>
      <c r="P256" s="37"/>
      <c r="Q256" s="37"/>
      <c r="R256" s="37"/>
      <c r="S256" s="37"/>
      <c r="T256" s="37"/>
      <c r="U256" s="37"/>
      <c r="V256" s="37"/>
      <c r="W256" s="37">
        <f>MAX($C$11-VLOOKUP($C256,COS!$B$8:$H$991,3,FALSE),0)</f>
        <v>0</v>
      </c>
      <c r="X256" s="37">
        <f t="shared" si="347"/>
        <v>0</v>
      </c>
      <c r="Y256" s="37">
        <f>VLOOKUP($C256,COS!$B$8:$H$991,4,FALSE)</f>
        <v>1411.7911376953125</v>
      </c>
      <c r="Z256" s="37">
        <f t="shared" si="348"/>
        <v>86.807653425232431</v>
      </c>
      <c r="AA256" s="37">
        <f t="shared" si="402"/>
        <v>0</v>
      </c>
      <c r="AB256" s="38">
        <f t="shared" si="345"/>
        <v>0</v>
      </c>
    </row>
    <row r="257" spans="1:28" x14ac:dyDescent="0.3">
      <c r="A257" s="27">
        <f>VLOOKUP(YEAR(C257),Flags!$A$13:$B$95,2,FALSE)</f>
        <v>4</v>
      </c>
      <c r="B257" s="28">
        <f t="shared" si="328"/>
        <v>1949</v>
      </c>
      <c r="C257" s="29">
        <v>18018</v>
      </c>
      <c r="D257" s="30">
        <f>VLOOKUP($C257,COS!$B$8:$H$991,3,FALSE)</f>
        <v>3250</v>
      </c>
      <c r="E257" s="28">
        <f>IF(D257&gt;=IF(MONTH($C257)=4,$C$3,IF(MONTH($C257)=5,$C$4,IF(MONTH($C257)=6,$C$5,IF(MONTH($C257)=7,$C$6,"ERROR")))),1,0)</f>
        <v>0</v>
      </c>
      <c r="F257" s="30">
        <f>VLOOKUP($C257,COS!$B$8:$H$991,7,FALSE)</f>
        <v>51.698932647705078</v>
      </c>
      <c r="G257" s="28">
        <f>IF(F257&lt;=IF(MONTH($C257)=4,$F$3,IF(MONTH($C257)=5,$F$4,IF(MONTH($C257)=6,$F$5,IF(MONTH($C257)=7,$F$6,"ERROR")))),1,0)</f>
        <v>1</v>
      </c>
      <c r="H257" s="30">
        <f>IF(J257=1,D257-$C$3,0)</f>
        <v>0</v>
      </c>
      <c r="I257" s="30">
        <f t="shared" si="342"/>
        <v>0</v>
      </c>
      <c r="J257" s="28">
        <f t="shared" ref="J257:J260" si="405">IF(AND(E257=1,G257=1),1,0)</f>
        <v>0</v>
      </c>
      <c r="K257" s="30">
        <f>VLOOKUP($C257,COS!$B$8:$H$991,2,FALSE)</f>
        <v>4435.89990234375</v>
      </c>
      <c r="L257" s="28">
        <f t="shared" ref="L257" si="406">IF(K257&lt;=IF(MONTH($C257)=4,$I$3,IF(MONTH($C257)=5,$I$4,IF(MONTH($C257)=6,$I$5,IF(MONTH($C257)=7,$I$6,"ERROR")))),1,0)</f>
        <v>1</v>
      </c>
      <c r="M257" s="28">
        <f t="shared" ref="M257" si="407">VLOOKUP($A257,$L$3:$M$7,2,FALSE)</f>
        <v>1</v>
      </c>
      <c r="N257" s="30">
        <f>VLOOKUP($C257,COS!$B$8:$H$991,5,FALSE)</f>
        <v>261.805908203125</v>
      </c>
      <c r="O257" s="30">
        <f t="shared" ref="O257:O260" si="408">N257*DAY($C257)*86400/43560/1000</f>
        <v>15.578533380681819</v>
      </c>
      <c r="P257" s="30">
        <f>VLOOKUP($C257,COS!$B$8:$H$991,6,FALSE)</f>
        <v>454.90377807617188</v>
      </c>
      <c r="Q257" s="30">
        <f t="shared" ref="Q257:Q260" si="409">P257*DAY($C257)*86400/43560/1000</f>
        <v>27.068654563210227</v>
      </c>
      <c r="R257" s="30">
        <f>MIN(IF(MONTH($C257)=4,$S$3,IF(MONTH($C257)=5,$S$4,IF(MONTH($C257)=6,$S$5,IF(MONTH($C257)=7,$S$6,"ERROR")))),MAX(VLOOKUP($C257,COS!$B$8:$K$991,10,FALSE)-IF(MONTH($C257)=4,$Y$3,IF(MONTH($C257)=5,$Y$4,IF(MONTH($C257)=6,$Y$5,IF(MONTH($C257)=7,$Y$6,"ERROR")))),0),MAX(VLOOKUP($C257,COS!$B$8:$K$991,9,FALSE)-IF(MONTH($C257)=4,$V$3,IF(MONTH($C257)=5,$V$4,IF(MONTH($C257)=6,$V$5,IF(MONTH($C257)=7,$V$6,"ERROR"))))-VLOOKUP($C257,COS!$B$8:$K$991,6,FALSE)/2,0))</f>
        <v>1500</v>
      </c>
      <c r="S257" s="30">
        <f t="shared" ref="S257:S260" si="410">R257*DAY($C257)*86400/43560/1000</f>
        <v>89.256198347107429</v>
      </c>
      <c r="T257" s="30">
        <f t="shared" ref="T257:T260" si="411">(O257+Q257)/2+S257</f>
        <v>110.57979231905345</v>
      </c>
      <c r="U257" s="30" t="str">
        <f>IF(VLOOKUP($C257,COS!$B$8:$I$991,8,FALSE)=1,"UWFE","IBU")</f>
        <v>UWFE</v>
      </c>
      <c r="V257" s="30">
        <f t="shared" ref="V257" si="412">MIN(IF(IF($AA$3=2,AND(E257=1,G257=1,L257=1,L262=1,M257=1,U257="IBU"),AND(E257=1,G257=1,L257=1,L262=1,M257=1)),T257,0),I257)</f>
        <v>0</v>
      </c>
      <c r="W257" s="30"/>
      <c r="X257" s="30"/>
      <c r="Y257" s="30"/>
      <c r="Z257" s="30"/>
      <c r="AA257" s="30"/>
      <c r="AB257" s="31"/>
    </row>
    <row r="258" spans="1:28" x14ac:dyDescent="0.3">
      <c r="A258" s="32">
        <f>VLOOKUP(YEAR(C258),Flags!$A$13:$B$95,2,FALSE)</f>
        <v>4</v>
      </c>
      <c r="B258" s="24">
        <f t="shared" si="328"/>
        <v>1949</v>
      </c>
      <c r="C258" s="25">
        <v>18049</v>
      </c>
      <c r="D258" s="26">
        <f>VLOOKUP($C258,COS!$B$8:$H$991,3,FALSE)</f>
        <v>6600.49267578125</v>
      </c>
      <c r="E258" s="24">
        <f>IF(D258&gt;=IF(MONTH($C258)=4,$C$3,IF(MONTH($C258)=5,$C$4,IF(MONTH($C258)=6,$C$5,IF(MONTH($C258)=7,$C$6,"ERROR")))),1,0)</f>
        <v>1</v>
      </c>
      <c r="F258" s="26">
        <f>VLOOKUP($C258,COS!$B$8:$H$991,7,FALSE)</f>
        <v>50.530754089355469</v>
      </c>
      <c r="G258" s="24">
        <f>IF(F258&lt;=IF(MONTH($C258)=4,$F$3,IF(MONTH($C258)=5,$F$4,IF(MONTH($C258)=6,$F$5,IF(MONTH($C258)=7,$F$6,"ERROR")))),1,0)</f>
        <v>1</v>
      </c>
      <c r="H258" s="26">
        <f>IF(J258=1,D258-$C$4,0)</f>
        <v>600.49267578125</v>
      </c>
      <c r="I258" s="26">
        <f t="shared" si="342"/>
        <v>36.922855436466939</v>
      </c>
      <c r="J258" s="24">
        <f t="shared" si="405"/>
        <v>1</v>
      </c>
      <c r="K258" s="26">
        <f>VLOOKUP($C258,COS!$B$8:$H$991,2,FALSE)</f>
        <v>4429.88037109375</v>
      </c>
      <c r="L258" s="24">
        <f t="shared" si="333"/>
        <v>1</v>
      </c>
      <c r="M258" s="24">
        <f t="shared" si="334"/>
        <v>1</v>
      </c>
      <c r="N258" s="26">
        <f>VLOOKUP($C258,COS!$B$8:$H$991,5,FALSE)</f>
        <v>565.04315185546875</v>
      </c>
      <c r="O258" s="26">
        <f t="shared" si="408"/>
        <v>34.743149171939564</v>
      </c>
      <c r="P258" s="26">
        <f>VLOOKUP($C258,COS!$B$8:$H$991,6,FALSE)</f>
        <v>2066.162353515625</v>
      </c>
      <c r="Q258" s="26">
        <f t="shared" si="409"/>
        <v>127.04337115831612</v>
      </c>
      <c r="R258" s="26">
        <f>MIN(IF(MONTH($C258)=4,$S$3,IF(MONTH($C258)=5,$S$4,IF(MONTH($C258)=6,$S$5,IF(MONTH($C258)=7,$S$6,"ERROR")))),MAX(VLOOKUP($C258,COS!$B$8:$K$991,10,FALSE)-IF(MONTH($C258)=4,$Y$3,IF(MONTH($C258)=5,$Y$4,IF(MONTH($C258)=6,$Y$5,IF(MONTH($C258)=7,$Y$6,"ERROR")))),0),MAX(VLOOKUP($C258,COS!$B$8:$K$991,9,FALSE)-IF(MONTH($C258)=4,$V$3,IF(MONTH($C258)=5,$V$4,IF(MONTH($C258)=6,$V$5,IF(MONTH($C258)=7,$V$6,"ERROR"))))-VLOOKUP($C258,COS!$B$8:$K$991,6,FALSE)/2,0))</f>
        <v>1500</v>
      </c>
      <c r="S258" s="26">
        <f t="shared" si="410"/>
        <v>92.231404958677686</v>
      </c>
      <c r="T258" s="26">
        <f t="shared" si="411"/>
        <v>173.12466512380553</v>
      </c>
      <c r="U258" s="26" t="str">
        <f>IF(VLOOKUP($C258,COS!$B$8:$I$991,8,FALSE)=1,"UWFE","IBU")</f>
        <v>UWFE</v>
      </c>
      <c r="V258" s="26">
        <f t="shared" ref="V258" si="413">MIN(IF(IF($AA$3=2,AND(E258=1,G258=1,L258=1,L262=1,M258=1,U258="IBU"),AND(E258=1,G258=1,L258=1,L262=1,M258=1)),T258,0),I258)</f>
        <v>36.922855436466939</v>
      </c>
      <c r="W258" s="26"/>
      <c r="X258" s="26"/>
      <c r="Y258" s="26"/>
      <c r="Z258" s="26"/>
      <c r="AA258" s="26"/>
      <c r="AB258" s="33"/>
    </row>
    <row r="259" spans="1:28" x14ac:dyDescent="0.3">
      <c r="A259" s="32">
        <f>VLOOKUP(YEAR(C259),Flags!$A$13:$B$95,2,FALSE)</f>
        <v>4</v>
      </c>
      <c r="B259" s="24">
        <f t="shared" si="328"/>
        <v>1949</v>
      </c>
      <c r="C259" s="25">
        <v>18079</v>
      </c>
      <c r="D259" s="26">
        <f>VLOOKUP($C259,COS!$B$8:$H$991,3,FALSE)</f>
        <v>9891.2216796875</v>
      </c>
      <c r="E259" s="24">
        <f>IF(D259&gt;=IF(MONTH($C259)=4,$C$3,IF(MONTH($C259)=5,$C$4,IF(MONTH($C259)=6,$C$5,IF(MONTH($C259)=7,$C$6,"ERROR")))),1,0)</f>
        <v>0</v>
      </c>
      <c r="F259" s="26">
        <f>VLOOKUP($C259,COS!$B$8:$H$991,7,FALSE)</f>
        <v>51.359127044677734</v>
      </c>
      <c r="G259" s="24">
        <f>IF(F259&lt;=IF(MONTH($C259)=4,$F$3,IF(MONTH($C259)=5,$F$4,IF(MONTH($C259)=6,$F$5,IF(MONTH($C259)=7,$F$6,"ERROR")))),1,0)</f>
        <v>1</v>
      </c>
      <c r="H259" s="26">
        <f>IF(J259=1,D259-$C$5,0)</f>
        <v>0</v>
      </c>
      <c r="I259" s="26">
        <f t="shared" si="342"/>
        <v>0</v>
      </c>
      <c r="J259" s="24">
        <f t="shared" si="405"/>
        <v>0</v>
      </c>
      <c r="K259" s="26">
        <f>VLOOKUP($C259,COS!$B$8:$H$991,2,FALSE)</f>
        <v>4039.34130859375</v>
      </c>
      <c r="L259" s="24">
        <f t="shared" si="333"/>
        <v>1</v>
      </c>
      <c r="M259" s="24">
        <f t="shared" si="334"/>
        <v>1</v>
      </c>
      <c r="N259" s="26">
        <f>VLOOKUP($C259,COS!$B$8:$H$991,5,FALSE)</f>
        <v>696.944580078125</v>
      </c>
      <c r="O259" s="26">
        <f t="shared" si="408"/>
        <v>41.47108245092975</v>
      </c>
      <c r="P259" s="26">
        <f>VLOOKUP($C259,COS!$B$8:$H$991,6,FALSE)</f>
        <v>2712.6806640625</v>
      </c>
      <c r="Q259" s="26">
        <f t="shared" si="409"/>
        <v>161.41570893595042</v>
      </c>
      <c r="R259" s="26">
        <f>MIN(IF(MONTH($C259)=4,$S$3,IF(MONTH($C259)=5,$S$4,IF(MONTH($C259)=6,$S$5,IF(MONTH($C259)=7,$S$6,"ERROR")))),MAX(VLOOKUP($C259,COS!$B$8:$K$991,10,FALSE)-IF(MONTH($C259)=4,$Y$3,IF(MONTH($C259)=5,$Y$4,IF(MONTH($C259)=6,$Y$5,IF(MONTH($C259)=7,$Y$6,"ERROR")))),0),MAX(VLOOKUP($C259,COS!$B$8:$K$991,9,FALSE)-IF(MONTH($C259)=4,$V$3,IF(MONTH($C259)=5,$V$4,IF(MONTH($C259)=6,$V$5,IF(MONTH($C259)=7,$V$6,"ERROR"))))-VLOOKUP($C259,COS!$B$8:$K$991,6,FALSE)/2,0))</f>
        <v>1500</v>
      </c>
      <c r="S259" s="26">
        <f t="shared" si="410"/>
        <v>89.256198347107429</v>
      </c>
      <c r="T259" s="26">
        <f t="shared" si="411"/>
        <v>190.69959404054751</v>
      </c>
      <c r="U259" s="26" t="str">
        <f>IF(VLOOKUP($C259,COS!$B$8:$I$991,8,FALSE)=1,"UWFE","IBU")</f>
        <v>IBU</v>
      </c>
      <c r="V259" s="26">
        <f t="shared" ref="V259" si="414">MIN(IF(IF($AA$3=2,AND(E259=1,G259=1,L259=1,L262=1,M259=1,U259="IBU"),AND(E259=1,G259=1,L259=1,L262=1,M259=1)),T259,0),I259)</f>
        <v>0</v>
      </c>
      <c r="W259" s="26"/>
      <c r="X259" s="26"/>
      <c r="Y259" s="26"/>
      <c r="Z259" s="26"/>
      <c r="AA259" s="26"/>
      <c r="AB259" s="33"/>
    </row>
    <row r="260" spans="1:28" x14ac:dyDescent="0.3">
      <c r="A260" s="32">
        <f>VLOOKUP(YEAR(C260),Flags!$A$13:$B$95,2,FALSE)</f>
        <v>4</v>
      </c>
      <c r="B260" s="24">
        <f t="shared" si="328"/>
        <v>1949</v>
      </c>
      <c r="C260" s="25">
        <v>18110</v>
      </c>
      <c r="D260" s="26">
        <f>VLOOKUP($C260,COS!$B$8:$H$991,3,FALSE)</f>
        <v>14543.4052734375</v>
      </c>
      <c r="E260" s="24">
        <f>IF(D260&gt;=IF(MONTH($C260)=4,$C$3,IF(MONTH($C260)=5,$C$4,IF(MONTH($C260)=6,$C$5,IF(MONTH($C260)=7,$C$6,"ERROR")))),1,0)</f>
        <v>1</v>
      </c>
      <c r="F260" s="26">
        <f>VLOOKUP($C260,COS!$B$8:$H$991,7,FALSE)</f>
        <v>50.889629364013672</v>
      </c>
      <c r="G260" s="24">
        <f>IF(F260&lt;=IF(MONTH($C260)=4,$F$3,IF(MONTH($C260)=5,$F$4,IF(MONTH($C260)=6,$F$5,IF(MONTH($C260)=7,$F$6,"ERROR")))),1,0)</f>
        <v>1</v>
      </c>
      <c r="H260" s="26">
        <f>IF(J260=1,D260-$C$6,0)</f>
        <v>2543.4052734375</v>
      </c>
      <c r="I260" s="26">
        <f t="shared" si="342"/>
        <v>156.38789449896694</v>
      </c>
      <c r="J260" s="24">
        <f t="shared" si="405"/>
        <v>1</v>
      </c>
      <c r="K260" s="26">
        <f>VLOOKUP($C260,COS!$B$8:$H$991,2,FALSE)</f>
        <v>3385.65673828125</v>
      </c>
      <c r="L260" s="24">
        <f t="shared" si="333"/>
        <v>1</v>
      </c>
      <c r="M260" s="24">
        <f t="shared" si="334"/>
        <v>1</v>
      </c>
      <c r="N260" s="26">
        <f>VLOOKUP($C260,COS!$B$8:$H$991,5,FALSE)</f>
        <v>761.88348388671875</v>
      </c>
      <c r="O260" s="26">
        <f t="shared" si="408"/>
        <v>46.846389422456092</v>
      </c>
      <c r="P260" s="26">
        <f>VLOOKUP($C260,COS!$B$8:$H$991,6,FALSE)</f>
        <v>2538.07568359375</v>
      </c>
      <c r="Q260" s="26">
        <f t="shared" si="409"/>
        <v>156.06019079287191</v>
      </c>
      <c r="R260" s="26">
        <f>MIN(IF(MONTH($C260)=4,$S$3,IF(MONTH($C260)=5,$S$4,IF(MONTH($C260)=6,$S$5,IF(MONTH($C260)=7,$S$6,"ERROR")))),MAX(VLOOKUP($C260,COS!$B$8:$K$991,10,FALSE)-IF(MONTH($C260)=4,$Y$3,IF(MONTH($C260)=5,$Y$4,IF(MONTH($C260)=6,$Y$5,IF(MONTH($C260)=7,$Y$6,"ERROR")))),0),MAX(VLOOKUP($C260,COS!$B$8:$K$991,9,FALSE)-IF(MONTH($C260)=4,$V$3,IF(MONTH($C260)=5,$V$4,IF(MONTH($C260)=6,$V$5,IF(MONTH($C260)=7,$V$6,"ERROR"))))-VLOOKUP($C260,COS!$B$8:$K$991,6,FALSE)/2,0))</f>
        <v>1500</v>
      </c>
      <c r="S260" s="26">
        <f t="shared" si="410"/>
        <v>92.231404958677686</v>
      </c>
      <c r="T260" s="26">
        <f t="shared" si="411"/>
        <v>193.6846950663417</v>
      </c>
      <c r="U260" s="26" t="str">
        <f>IF(VLOOKUP($C260,COS!$B$8:$I$991,8,FALSE)=1,"UWFE","IBU")</f>
        <v>IBU</v>
      </c>
      <c r="V260" s="26">
        <f t="shared" ref="V260" si="415">MIN(IF(IF($AA$3=2,AND(E260=1,G260=1,L260=1,L262=1,M260=1,U260="IBU"),AND(E260=1,G260=1,L260=1,L262=1,M260=1)),T260,0),I260)</f>
        <v>156.38789449896694</v>
      </c>
      <c r="W260" s="26"/>
      <c r="X260" s="26"/>
      <c r="Y260" s="26"/>
      <c r="Z260" s="26"/>
      <c r="AA260" s="26"/>
      <c r="AB260" s="33"/>
    </row>
    <row r="261" spans="1:28" x14ac:dyDescent="0.3">
      <c r="A261" s="32">
        <f>VLOOKUP(YEAR(C261),Flags!$A$13:$B$95,2,FALSE)</f>
        <v>4</v>
      </c>
      <c r="B261" s="24">
        <f t="shared" si="328"/>
        <v>1949</v>
      </c>
      <c r="C261" s="25">
        <v>18141</v>
      </c>
      <c r="D261" s="26"/>
      <c r="E261" s="24"/>
      <c r="F261" s="26"/>
      <c r="G261" s="24"/>
      <c r="H261" s="24"/>
      <c r="I261" s="26"/>
      <c r="J261" s="24"/>
      <c r="K261" s="26"/>
      <c r="L261" s="24"/>
      <c r="M261" s="24"/>
      <c r="N261" s="26"/>
      <c r="O261" s="26"/>
      <c r="P261" s="26"/>
      <c r="Q261" s="26"/>
      <c r="R261" s="26"/>
      <c r="S261" s="26"/>
      <c r="T261" s="26"/>
      <c r="U261" s="26"/>
      <c r="V261" s="26"/>
      <c r="W261" s="26">
        <f>MAX($C$7-VLOOKUP($C261,COS!$B$8:$H$991,3,FALSE),0)</f>
        <v>90977.3701171875</v>
      </c>
      <c r="X261" s="26">
        <f t="shared" si="347"/>
        <v>5593.9804435692149</v>
      </c>
      <c r="Y261" s="26">
        <f>VLOOKUP($C261,COS!$B$8:$H$991,4,FALSE)</f>
        <v>2030.735107421875</v>
      </c>
      <c r="Z261" s="26">
        <f t="shared" si="348"/>
        <v>124.86503470428718</v>
      </c>
      <c r="AA261" s="26">
        <f t="shared" ref="AA261:AA265" si="416">MIN(W261,Y261)</f>
        <v>2030.735107421875</v>
      </c>
      <c r="AB261" s="33">
        <f t="shared" ref="AB261" si="417">AA261*DAY($C261)*86400/43560/1000*IF(MONTH($C261)=8,$P$3,IF(MONTH($C261)=9,$P$4,IF(MONTH($C261)=10,$P$5,IF(MONTH($C261)=11,$P$6,IF(MONTH($C261)=12,$P$7,NA())))))</f>
        <v>124.86503470428718</v>
      </c>
    </row>
    <row r="262" spans="1:28" x14ac:dyDescent="0.3">
      <c r="A262" s="32">
        <f>VLOOKUP(YEAR(C262),Flags!$A$13:$B$95,2,FALSE)</f>
        <v>4</v>
      </c>
      <c r="B262" s="24">
        <f t="shared" si="328"/>
        <v>1949</v>
      </c>
      <c r="C262" s="25">
        <v>18171</v>
      </c>
      <c r="D262" s="26"/>
      <c r="E262" s="24"/>
      <c r="F262" s="26"/>
      <c r="G262" s="24"/>
      <c r="H262" s="24"/>
      <c r="I262" s="26"/>
      <c r="J262" s="24"/>
      <c r="K262" s="26">
        <f>VLOOKUP($C262,COS!$B$8:$H$991,2,FALSE)</f>
        <v>3001.73291015625</v>
      </c>
      <c r="L262" s="24">
        <f t="shared" ref="L262" si="418">IF(AND(K262&gt;$I$7,K262&lt;$I$8),1,0)</f>
        <v>1</v>
      </c>
      <c r="M262" s="24"/>
      <c r="N262" s="26"/>
      <c r="O262" s="26"/>
      <c r="P262" s="26"/>
      <c r="Q262" s="26"/>
      <c r="R262" s="26"/>
      <c r="S262" s="26"/>
      <c r="T262" s="26"/>
      <c r="U262" s="26"/>
      <c r="V262" s="26"/>
      <c r="W262" s="26">
        <f>MAX($C$8-VLOOKUP($C262,COS!$B$8:$H$991,3,FALSE),0)</f>
        <v>94939.001953125</v>
      </c>
      <c r="X262" s="26">
        <f t="shared" si="347"/>
        <v>5649.2629261363636</v>
      </c>
      <c r="Y262" s="26">
        <f>VLOOKUP($C262,COS!$B$8:$H$991,4,FALSE)</f>
        <v>1015.7754516601563</v>
      </c>
      <c r="Z262" s="26">
        <f t="shared" si="348"/>
        <v>60.442836793001035</v>
      </c>
      <c r="AA262" s="26">
        <f t="shared" si="416"/>
        <v>1015.7754516601563</v>
      </c>
      <c r="AB262" s="33">
        <f t="shared" si="345"/>
        <v>60.442836793001035</v>
      </c>
    </row>
    <row r="263" spans="1:28" x14ac:dyDescent="0.3">
      <c r="A263" s="32">
        <f>VLOOKUP(YEAR(C263),Flags!$A$13:$B$95,2,FALSE)</f>
        <v>4</v>
      </c>
      <c r="B263" s="24">
        <f t="shared" si="328"/>
        <v>1949</v>
      </c>
      <c r="C263" s="25">
        <v>18202</v>
      </c>
      <c r="D263" s="26"/>
      <c r="E263" s="24"/>
      <c r="F263" s="26"/>
      <c r="G263" s="26"/>
      <c r="H263" s="26"/>
      <c r="I263" s="26"/>
      <c r="J263" s="26"/>
      <c r="K263" s="26"/>
      <c r="L263" s="24"/>
      <c r="M263" s="24"/>
      <c r="N263" s="26"/>
      <c r="O263" s="26"/>
      <c r="P263" s="26"/>
      <c r="Q263" s="26"/>
      <c r="R263" s="26"/>
      <c r="S263" s="26"/>
      <c r="T263" s="26"/>
      <c r="U263" s="26"/>
      <c r="V263" s="26"/>
      <c r="W263" s="26">
        <f>MAX($C$9-VLOOKUP($C263,COS!$B$8:$H$991,3,FALSE),0)</f>
        <v>93926.57080078125</v>
      </c>
      <c r="X263" s="26">
        <f t="shared" si="347"/>
        <v>5775.319725271177</v>
      </c>
      <c r="Y263" s="26">
        <f>VLOOKUP($C263,COS!$B$8:$H$991,4,FALSE)</f>
        <v>1726.75830078125</v>
      </c>
      <c r="Z263" s="26">
        <f t="shared" si="348"/>
        <v>106.17422940340909</v>
      </c>
      <c r="AA263" s="26">
        <f t="shared" si="416"/>
        <v>1726.75830078125</v>
      </c>
      <c r="AB263" s="33">
        <f t="shared" si="345"/>
        <v>106.17422940340909</v>
      </c>
    </row>
    <row r="264" spans="1:28" x14ac:dyDescent="0.3">
      <c r="A264" s="32">
        <f>VLOOKUP(YEAR(C264),Flags!$A$13:$B$95,2,FALSE)</f>
        <v>4</v>
      </c>
      <c r="B264" s="24">
        <f t="shared" si="328"/>
        <v>1949</v>
      </c>
      <c r="C264" s="25">
        <v>18232</v>
      </c>
      <c r="D264" s="26"/>
      <c r="E264" s="24"/>
      <c r="F264" s="26"/>
      <c r="G264" s="26"/>
      <c r="H264" s="26"/>
      <c r="I264" s="26"/>
      <c r="J264" s="26"/>
      <c r="K264" s="26"/>
      <c r="L264" s="24"/>
      <c r="M264" s="24"/>
      <c r="N264" s="26"/>
      <c r="O264" s="26"/>
      <c r="P264" s="26"/>
      <c r="Q264" s="26"/>
      <c r="R264" s="26"/>
      <c r="S264" s="26"/>
      <c r="T264" s="26"/>
      <c r="U264" s="26"/>
      <c r="V264" s="26"/>
      <c r="W264" s="26">
        <f>MAX($C$10-VLOOKUP($C264,COS!$B$8:$H$991,3,FALSE),0)</f>
        <v>93878.3037109375</v>
      </c>
      <c r="X264" s="26">
        <f t="shared" si="347"/>
        <v>5586.1469976756198</v>
      </c>
      <c r="Y264" s="26">
        <f>VLOOKUP($C264,COS!$B$8:$H$991,4,FALSE)</f>
        <v>814.205810546875</v>
      </c>
      <c r="Z264" s="26">
        <f t="shared" si="348"/>
        <v>48.448610214359505</v>
      </c>
      <c r="AA264" s="26">
        <f t="shared" si="416"/>
        <v>814.205810546875</v>
      </c>
      <c r="AB264" s="33">
        <f t="shared" si="345"/>
        <v>24.224305107179752</v>
      </c>
    </row>
    <row r="265" spans="1:28" x14ac:dyDescent="0.3">
      <c r="A265" s="34">
        <f>VLOOKUP(YEAR(C265),Flags!$A$13:$B$95,2,FALSE)</f>
        <v>4</v>
      </c>
      <c r="B265" s="35">
        <f t="shared" si="328"/>
        <v>1949</v>
      </c>
      <c r="C265" s="36">
        <v>18263</v>
      </c>
      <c r="D265" s="37"/>
      <c r="E265" s="35"/>
      <c r="F265" s="37"/>
      <c r="G265" s="37"/>
      <c r="H265" s="37"/>
      <c r="I265" s="37"/>
      <c r="J265" s="37"/>
      <c r="K265" s="37"/>
      <c r="L265" s="35"/>
      <c r="M265" s="35"/>
      <c r="N265" s="37"/>
      <c r="O265" s="37"/>
      <c r="P265" s="37"/>
      <c r="Q265" s="37"/>
      <c r="R265" s="37"/>
      <c r="S265" s="37"/>
      <c r="T265" s="37"/>
      <c r="U265" s="37"/>
      <c r="V265" s="37"/>
      <c r="W265" s="37">
        <f>MAX($C$11-VLOOKUP($C265,COS!$B$8:$H$991,3,FALSE),0)</f>
        <v>0</v>
      </c>
      <c r="X265" s="37">
        <f t="shared" si="347"/>
        <v>0</v>
      </c>
      <c r="Y265" s="37">
        <f>VLOOKUP($C265,COS!$B$8:$H$991,4,FALSE)</f>
        <v>1528.547607421875</v>
      </c>
      <c r="Z265" s="37">
        <f t="shared" si="348"/>
        <v>93.986728919163227</v>
      </c>
      <c r="AA265" s="37">
        <f t="shared" si="416"/>
        <v>0</v>
      </c>
      <c r="AB265" s="38">
        <f t="shared" si="345"/>
        <v>0</v>
      </c>
    </row>
    <row r="266" spans="1:28" x14ac:dyDescent="0.3">
      <c r="A266" s="27">
        <f>VLOOKUP(YEAR(C266),Flags!$A$13:$B$95,2,FALSE)</f>
        <v>4</v>
      </c>
      <c r="B266" s="28">
        <f t="shared" si="328"/>
        <v>1950</v>
      </c>
      <c r="C266" s="29">
        <v>18383</v>
      </c>
      <c r="D266" s="30">
        <f>VLOOKUP($C266,COS!$B$8:$H$991,3,FALSE)</f>
        <v>3250</v>
      </c>
      <c r="E266" s="28">
        <f>IF(D266&gt;=IF(MONTH($C266)=4,$C$3,IF(MONTH($C266)=5,$C$4,IF(MONTH($C266)=6,$C$5,IF(MONTH($C266)=7,$C$6,"ERROR")))),1,0)</f>
        <v>0</v>
      </c>
      <c r="F266" s="30">
        <f>VLOOKUP($C266,COS!$B$8:$H$991,7,FALSE)</f>
        <v>51.198993682861328</v>
      </c>
      <c r="G266" s="28">
        <f>IF(F266&lt;=IF(MONTH($C266)=4,$F$3,IF(MONTH($C266)=5,$F$4,IF(MONTH($C266)=6,$F$5,IF(MONTH($C266)=7,$F$6,"ERROR")))),1,0)</f>
        <v>1</v>
      </c>
      <c r="H266" s="30">
        <f>IF(J266=1,D266-$C$3,0)</f>
        <v>0</v>
      </c>
      <c r="I266" s="30">
        <f t="shared" si="342"/>
        <v>0</v>
      </c>
      <c r="J266" s="28">
        <f t="shared" ref="J266:J269" si="419">IF(AND(E266=1,G266=1),1,0)</f>
        <v>0</v>
      </c>
      <c r="K266" s="30">
        <f>VLOOKUP($C266,COS!$B$8:$H$991,2,FALSE)</f>
        <v>4233.70751953125</v>
      </c>
      <c r="L266" s="28">
        <f t="shared" ref="L266" si="420">IF(K266&lt;=IF(MONTH($C266)=4,$I$3,IF(MONTH($C266)=5,$I$4,IF(MONTH($C266)=6,$I$5,IF(MONTH($C266)=7,$I$6,"ERROR")))),1,0)</f>
        <v>1</v>
      </c>
      <c r="M266" s="28">
        <f t="shared" ref="M266" si="421">VLOOKUP($A266,$L$3:$M$7,2,FALSE)</f>
        <v>1</v>
      </c>
      <c r="N266" s="30">
        <f>VLOOKUP($C266,COS!$B$8:$H$991,5,FALSE)</f>
        <v>269.705322265625</v>
      </c>
      <c r="O266" s="30">
        <f t="shared" ref="O266:O269" si="422">N266*DAY($C266)*86400/43560/1000</f>
        <v>16.048581159607437</v>
      </c>
      <c r="P266" s="30">
        <f>VLOOKUP($C266,COS!$B$8:$H$991,6,FALSE)</f>
        <v>500.60986328125</v>
      </c>
      <c r="Q266" s="30">
        <f t="shared" ref="Q266:Q269" si="423">P266*DAY($C266)*86400/43560/1000</f>
        <v>29.788355501033056</v>
      </c>
      <c r="R266" s="30">
        <f>MIN(IF(MONTH($C266)=4,$S$3,IF(MONTH($C266)=5,$S$4,IF(MONTH($C266)=6,$S$5,IF(MONTH($C266)=7,$S$6,"ERROR")))),MAX(VLOOKUP($C266,COS!$B$8:$K$991,10,FALSE)-IF(MONTH($C266)=4,$Y$3,IF(MONTH($C266)=5,$Y$4,IF(MONTH($C266)=6,$Y$5,IF(MONTH($C266)=7,$Y$6,"ERROR")))),0),MAX(VLOOKUP($C266,COS!$B$8:$K$991,9,FALSE)-IF(MONTH($C266)=4,$V$3,IF(MONTH($C266)=5,$V$4,IF(MONTH($C266)=6,$V$5,IF(MONTH($C266)=7,$V$6,"ERROR"))))-VLOOKUP($C266,COS!$B$8:$K$991,6,FALSE)/2,0))</f>
        <v>1500</v>
      </c>
      <c r="S266" s="30">
        <f t="shared" ref="S266:S269" si="424">R266*DAY($C266)*86400/43560/1000</f>
        <v>89.256198347107429</v>
      </c>
      <c r="T266" s="30">
        <f t="shared" ref="T266:T269" si="425">(O266+Q266)/2+S266</f>
        <v>112.17466667742767</v>
      </c>
      <c r="U266" s="30" t="str">
        <f>IF(VLOOKUP($C266,COS!$B$8:$I$991,8,FALSE)=1,"UWFE","IBU")</f>
        <v>UWFE</v>
      </c>
      <c r="V266" s="30">
        <f t="shared" ref="V266" si="426">MIN(IF(IF($AA$3=2,AND(E266=1,G266=1,L266=1,L271=1,M266=1,U266="IBU"),AND(E266=1,G266=1,L266=1,L271=1,M266=1)),T266,0),I266)</f>
        <v>0</v>
      </c>
      <c r="W266" s="30"/>
      <c r="X266" s="30"/>
      <c r="Y266" s="30"/>
      <c r="Z266" s="30"/>
      <c r="AA266" s="30"/>
      <c r="AB266" s="31"/>
    </row>
    <row r="267" spans="1:28" x14ac:dyDescent="0.3">
      <c r="A267" s="32">
        <f>VLOOKUP(YEAR(C267),Flags!$A$13:$B$95,2,FALSE)</f>
        <v>4</v>
      </c>
      <c r="B267" s="24">
        <f t="shared" si="328"/>
        <v>1950</v>
      </c>
      <c r="C267" s="25">
        <v>18414</v>
      </c>
      <c r="D267" s="26">
        <f>VLOOKUP($C267,COS!$B$8:$H$991,3,FALSE)</f>
        <v>6396.69482421875</v>
      </c>
      <c r="E267" s="24">
        <f>IF(D267&gt;=IF(MONTH($C267)=4,$C$3,IF(MONTH($C267)=5,$C$4,IF(MONTH($C267)=6,$C$5,IF(MONTH($C267)=7,$C$6,"ERROR")))),1,0)</f>
        <v>1</v>
      </c>
      <c r="F267" s="26">
        <f>VLOOKUP($C267,COS!$B$8:$H$991,7,FALSE)</f>
        <v>50.986736297607422</v>
      </c>
      <c r="G267" s="24">
        <f>IF(F267&lt;=IF(MONTH($C267)=4,$F$3,IF(MONTH($C267)=5,$F$4,IF(MONTH($C267)=6,$F$5,IF(MONTH($C267)=7,$F$6,"ERROR")))),1,0)</f>
        <v>1</v>
      </c>
      <c r="H267" s="26">
        <f>IF(J267=1,D267-$C$4,0)</f>
        <v>396.69482421875</v>
      </c>
      <c r="I267" s="26">
        <f t="shared" si="342"/>
        <v>24.391813985020661</v>
      </c>
      <c r="J267" s="24">
        <f t="shared" si="419"/>
        <v>1</v>
      </c>
      <c r="K267" s="26">
        <f>VLOOKUP($C267,COS!$B$8:$H$991,2,FALSE)</f>
        <v>4172.81884765625</v>
      </c>
      <c r="L267" s="24">
        <f t="shared" si="333"/>
        <v>1</v>
      </c>
      <c r="M267" s="24">
        <f t="shared" si="334"/>
        <v>1</v>
      </c>
      <c r="N267" s="26">
        <f>VLOOKUP($C267,COS!$B$8:$H$991,5,FALSE)</f>
        <v>221.03926086425781</v>
      </c>
      <c r="O267" s="26">
        <f t="shared" si="422"/>
        <v>13.59117438702544</v>
      </c>
      <c r="P267" s="26">
        <f>VLOOKUP($C267,COS!$B$8:$H$991,6,FALSE)</f>
        <v>2273.549072265625</v>
      </c>
      <c r="Q267" s="26">
        <f t="shared" si="423"/>
        <v>139.79508345170456</v>
      </c>
      <c r="R267" s="26">
        <f>MIN(IF(MONTH($C267)=4,$S$3,IF(MONTH($C267)=5,$S$4,IF(MONTH($C267)=6,$S$5,IF(MONTH($C267)=7,$S$6,"ERROR")))),MAX(VLOOKUP($C267,COS!$B$8:$K$991,10,FALSE)-IF(MONTH($C267)=4,$Y$3,IF(MONTH($C267)=5,$Y$4,IF(MONTH($C267)=6,$Y$5,IF(MONTH($C267)=7,$Y$6,"ERROR")))),0),MAX(VLOOKUP($C267,COS!$B$8:$K$991,9,FALSE)-IF(MONTH($C267)=4,$V$3,IF(MONTH($C267)=5,$V$4,IF(MONTH($C267)=6,$V$5,IF(MONTH($C267)=7,$V$6,"ERROR"))))-VLOOKUP($C267,COS!$B$8:$K$991,6,FALSE)/2,0))</f>
        <v>1500</v>
      </c>
      <c r="S267" s="26">
        <f t="shared" si="424"/>
        <v>92.231404958677686</v>
      </c>
      <c r="T267" s="26">
        <f t="shared" si="425"/>
        <v>168.92453387804267</v>
      </c>
      <c r="U267" s="26" t="str">
        <f>IF(VLOOKUP($C267,COS!$B$8:$I$991,8,FALSE)=1,"UWFE","IBU")</f>
        <v>UWFE</v>
      </c>
      <c r="V267" s="26">
        <f t="shared" ref="V267" si="427">MIN(IF(IF($AA$3=2,AND(E267=1,G267=1,L267=1,L271=1,M267=1,U267="IBU"),AND(E267=1,G267=1,L267=1,L271=1,M267=1)),T267,0),I267)</f>
        <v>24.391813985020661</v>
      </c>
      <c r="W267" s="26"/>
      <c r="X267" s="26"/>
      <c r="Y267" s="26"/>
      <c r="Z267" s="26"/>
      <c r="AA267" s="26"/>
      <c r="AB267" s="33"/>
    </row>
    <row r="268" spans="1:28" x14ac:dyDescent="0.3">
      <c r="A268" s="32">
        <f>VLOOKUP(YEAR(C268),Flags!$A$13:$B$95,2,FALSE)</f>
        <v>4</v>
      </c>
      <c r="B268" s="24">
        <f t="shared" si="328"/>
        <v>1950</v>
      </c>
      <c r="C268" s="25">
        <v>18444</v>
      </c>
      <c r="D268" s="26">
        <f>VLOOKUP($C268,COS!$B$8:$H$991,3,FALSE)</f>
        <v>8106.11865234375</v>
      </c>
      <c r="E268" s="24">
        <f>IF(D268&gt;=IF(MONTH($C268)=4,$C$3,IF(MONTH($C268)=5,$C$4,IF(MONTH($C268)=6,$C$5,IF(MONTH($C268)=7,$C$6,"ERROR")))),1,0)</f>
        <v>0</v>
      </c>
      <c r="F268" s="26">
        <f>VLOOKUP($C268,COS!$B$8:$H$991,7,FALSE)</f>
        <v>51.396080017089844</v>
      </c>
      <c r="G268" s="24">
        <f>IF(F268&lt;=IF(MONTH($C268)=4,$F$3,IF(MONTH($C268)=5,$F$4,IF(MONTH($C268)=6,$F$5,IF(MONTH($C268)=7,$F$6,"ERROR")))),1,0)</f>
        <v>1</v>
      </c>
      <c r="H268" s="26">
        <f>IF(J268=1,D268-$C$5,0)</f>
        <v>0</v>
      </c>
      <c r="I268" s="26">
        <f t="shared" si="342"/>
        <v>0</v>
      </c>
      <c r="J268" s="24">
        <f t="shared" si="419"/>
        <v>0</v>
      </c>
      <c r="K268" s="26">
        <f>VLOOKUP($C268,COS!$B$8:$H$991,2,FALSE)</f>
        <v>3898.8837890625</v>
      </c>
      <c r="L268" s="24">
        <f t="shared" si="333"/>
        <v>1</v>
      </c>
      <c r="M268" s="24">
        <f t="shared" si="334"/>
        <v>1</v>
      </c>
      <c r="N268" s="26">
        <f>VLOOKUP($C268,COS!$B$8:$H$991,5,FALSE)</f>
        <v>433.48184204101563</v>
      </c>
      <c r="O268" s="26">
        <f t="shared" si="422"/>
        <v>25.793960848721593</v>
      </c>
      <c r="P268" s="26">
        <f>VLOOKUP($C268,COS!$B$8:$H$991,6,FALSE)</f>
        <v>2603.512451171875</v>
      </c>
      <c r="Q268" s="26">
        <f t="shared" si="423"/>
        <v>154.91974916064049</v>
      </c>
      <c r="R268" s="26">
        <f>MIN(IF(MONTH($C268)=4,$S$3,IF(MONTH($C268)=5,$S$4,IF(MONTH($C268)=6,$S$5,IF(MONTH($C268)=7,$S$6,"ERROR")))),MAX(VLOOKUP($C268,COS!$B$8:$K$991,10,FALSE)-IF(MONTH($C268)=4,$Y$3,IF(MONTH($C268)=5,$Y$4,IF(MONTH($C268)=6,$Y$5,IF(MONTH($C268)=7,$Y$6,"ERROR")))),0),MAX(VLOOKUP($C268,COS!$B$8:$K$991,9,FALSE)-IF(MONTH($C268)=4,$V$3,IF(MONTH($C268)=5,$V$4,IF(MONTH($C268)=6,$V$5,IF(MONTH($C268)=7,$V$6,"ERROR"))))-VLOOKUP($C268,COS!$B$8:$K$991,6,FALSE)/2,0))</f>
        <v>1500</v>
      </c>
      <c r="S268" s="26">
        <f t="shared" si="424"/>
        <v>89.256198347107429</v>
      </c>
      <c r="T268" s="26">
        <f t="shared" si="425"/>
        <v>179.61305335178847</v>
      </c>
      <c r="U268" s="26" t="str">
        <f>IF(VLOOKUP($C268,COS!$B$8:$I$991,8,FALSE)=1,"UWFE","IBU")</f>
        <v>IBU</v>
      </c>
      <c r="V268" s="26">
        <f t="shared" ref="V268" si="428">MIN(IF(IF($AA$3=2,AND(E268=1,G268=1,L268=1,L271=1,M268=1,U268="IBU"),AND(E268=1,G268=1,L268=1,L271=1,M268=1)),T268,0),I268)</f>
        <v>0</v>
      </c>
      <c r="W268" s="26"/>
      <c r="X268" s="26"/>
      <c r="Y268" s="26"/>
      <c r="Z268" s="26"/>
      <c r="AA268" s="26"/>
      <c r="AB268" s="33"/>
    </row>
    <row r="269" spans="1:28" x14ac:dyDescent="0.3">
      <c r="A269" s="32">
        <f>VLOOKUP(YEAR(C269),Flags!$A$13:$B$95,2,FALSE)</f>
        <v>4</v>
      </c>
      <c r="B269" s="24">
        <f t="shared" si="328"/>
        <v>1950</v>
      </c>
      <c r="C269" s="25">
        <v>18475</v>
      </c>
      <c r="D269" s="26">
        <f>VLOOKUP($C269,COS!$B$8:$H$991,3,FALSE)</f>
        <v>9670.4365234375</v>
      </c>
      <c r="E269" s="24">
        <f>IF(D269&gt;=IF(MONTH($C269)=4,$C$3,IF(MONTH($C269)=5,$C$4,IF(MONTH($C269)=6,$C$5,IF(MONTH($C269)=7,$C$6,"ERROR")))),1,0)</f>
        <v>0</v>
      </c>
      <c r="F269" s="26">
        <f>VLOOKUP($C269,COS!$B$8:$H$991,7,FALSE)</f>
        <v>52.254299163818359</v>
      </c>
      <c r="G269" s="24">
        <f>IF(F269&lt;=IF(MONTH($C269)=4,$F$3,IF(MONTH($C269)=5,$F$4,IF(MONTH($C269)=6,$F$5,IF(MONTH($C269)=7,$F$6,"ERROR")))),1,0)</f>
        <v>1</v>
      </c>
      <c r="H269" s="26">
        <f>IF(J269=1,D269-$C$6,0)</f>
        <v>0</v>
      </c>
      <c r="I269" s="26">
        <f t="shared" si="342"/>
        <v>0</v>
      </c>
      <c r="J269" s="24">
        <f t="shared" si="419"/>
        <v>0</v>
      </c>
      <c r="K269" s="26">
        <f>VLOOKUP($C269,COS!$B$8:$H$991,2,FALSE)</f>
        <v>3515.872314453125</v>
      </c>
      <c r="L269" s="24">
        <f t="shared" si="333"/>
        <v>1</v>
      </c>
      <c r="M269" s="24">
        <f t="shared" si="334"/>
        <v>1</v>
      </c>
      <c r="N269" s="26">
        <f>VLOOKUP($C269,COS!$B$8:$H$991,5,FALSE)</f>
        <v>482.3499755859375</v>
      </c>
      <c r="O269" s="26">
        <f t="shared" si="422"/>
        <v>29.658543953383266</v>
      </c>
      <c r="P269" s="26">
        <f>VLOOKUP($C269,COS!$B$8:$H$991,6,FALSE)</f>
        <v>2632.5888671875</v>
      </c>
      <c r="Q269" s="26">
        <f t="shared" si="423"/>
        <v>161.87157993285126</v>
      </c>
      <c r="R269" s="26">
        <f>MIN(IF(MONTH($C269)=4,$S$3,IF(MONTH($C269)=5,$S$4,IF(MONTH($C269)=6,$S$5,IF(MONTH($C269)=7,$S$6,"ERROR")))),MAX(VLOOKUP($C269,COS!$B$8:$K$991,10,FALSE)-IF(MONTH($C269)=4,$Y$3,IF(MONTH($C269)=5,$Y$4,IF(MONTH($C269)=6,$Y$5,IF(MONTH($C269)=7,$Y$6,"ERROR")))),0),MAX(VLOOKUP($C269,COS!$B$8:$K$991,9,FALSE)-IF(MONTH($C269)=4,$V$3,IF(MONTH($C269)=5,$V$4,IF(MONTH($C269)=6,$V$5,IF(MONTH($C269)=7,$V$6,"ERROR"))))-VLOOKUP($C269,COS!$B$8:$K$991,6,FALSE)/2,0))</f>
        <v>1500</v>
      </c>
      <c r="S269" s="26">
        <f t="shared" si="424"/>
        <v>92.231404958677686</v>
      </c>
      <c r="T269" s="26">
        <f t="shared" si="425"/>
        <v>187.99646690179495</v>
      </c>
      <c r="U269" s="26" t="str">
        <f>IF(VLOOKUP($C269,COS!$B$8:$I$991,8,FALSE)=1,"UWFE","IBU")</f>
        <v>IBU</v>
      </c>
      <c r="V269" s="26">
        <f t="shared" ref="V269" si="429">MIN(IF(IF($AA$3=2,AND(E269=1,G269=1,L269=1,L271=1,M269=1,U269="IBU"),AND(E269=1,G269=1,L269=1,L271=1,M269=1)),T269,0),I269)</f>
        <v>0</v>
      </c>
      <c r="W269" s="26"/>
      <c r="X269" s="26"/>
      <c r="Y269" s="26"/>
      <c r="Z269" s="26"/>
      <c r="AA269" s="26"/>
      <c r="AB269" s="33"/>
    </row>
    <row r="270" spans="1:28" x14ac:dyDescent="0.3">
      <c r="A270" s="32">
        <f>VLOOKUP(YEAR(C270),Flags!$A$13:$B$95,2,FALSE)</f>
        <v>4</v>
      </c>
      <c r="B270" s="24">
        <f t="shared" si="328"/>
        <v>1950</v>
      </c>
      <c r="C270" s="25">
        <v>18506</v>
      </c>
      <c r="D270" s="26"/>
      <c r="E270" s="24"/>
      <c r="F270" s="26"/>
      <c r="G270" s="24"/>
      <c r="H270" s="24"/>
      <c r="I270" s="26"/>
      <c r="J270" s="24"/>
      <c r="K270" s="26"/>
      <c r="L270" s="24"/>
      <c r="M270" s="24"/>
      <c r="N270" s="26"/>
      <c r="O270" s="26"/>
      <c r="P270" s="26"/>
      <c r="Q270" s="26"/>
      <c r="R270" s="26"/>
      <c r="S270" s="26"/>
      <c r="T270" s="26"/>
      <c r="U270" s="26"/>
      <c r="V270" s="26"/>
      <c r="W270" s="26">
        <f>MAX($C$7-VLOOKUP($C270,COS!$B$8:$H$991,3,FALSE),0)</f>
        <v>90741.2333984375</v>
      </c>
      <c r="X270" s="26">
        <f t="shared" si="347"/>
        <v>5579.4609626807851</v>
      </c>
      <c r="Y270" s="26">
        <f>VLOOKUP($C270,COS!$B$8:$H$991,4,FALSE)</f>
        <v>437.07077026367188</v>
      </c>
      <c r="Z270" s="26">
        <f t="shared" si="348"/>
        <v>26.874434138526603</v>
      </c>
      <c r="AA270" s="26">
        <f t="shared" ref="AA270:AA274" si="430">MIN(W270,Y270)</f>
        <v>437.07077026367188</v>
      </c>
      <c r="AB270" s="33">
        <f t="shared" ref="AB270" si="431">AA270*DAY($C270)*86400/43560/1000*IF(MONTH($C270)=8,$P$3,IF(MONTH($C270)=9,$P$4,IF(MONTH($C270)=10,$P$5,IF(MONTH($C270)=11,$P$6,IF(MONTH($C270)=12,$P$7,NA())))))</f>
        <v>26.874434138526603</v>
      </c>
    </row>
    <row r="271" spans="1:28" x14ac:dyDescent="0.3">
      <c r="A271" s="32">
        <f>VLOOKUP(YEAR(C271),Flags!$A$13:$B$95,2,FALSE)</f>
        <v>4</v>
      </c>
      <c r="B271" s="24">
        <f t="shared" ref="B271:B334" si="432">YEAR(C271)</f>
        <v>1950</v>
      </c>
      <c r="C271" s="25">
        <v>18536</v>
      </c>
      <c r="D271" s="26"/>
      <c r="E271" s="24"/>
      <c r="F271" s="26"/>
      <c r="G271" s="24"/>
      <c r="H271" s="24"/>
      <c r="I271" s="26"/>
      <c r="J271" s="24"/>
      <c r="K271" s="26">
        <f>VLOOKUP($C271,COS!$B$8:$H$991,2,FALSE)</f>
        <v>3133.93603515625</v>
      </c>
      <c r="L271" s="24">
        <f t="shared" ref="L271" si="433">IF(AND(K271&gt;$I$7,K271&lt;$I$8),1,0)</f>
        <v>1</v>
      </c>
      <c r="M271" s="24"/>
      <c r="N271" s="26"/>
      <c r="O271" s="26"/>
      <c r="P271" s="26"/>
      <c r="Q271" s="26"/>
      <c r="R271" s="26"/>
      <c r="S271" s="26"/>
      <c r="T271" s="26"/>
      <c r="U271" s="26"/>
      <c r="V271" s="26"/>
      <c r="W271" s="26">
        <f>MAX($C$8-VLOOKUP($C271,COS!$B$8:$H$991,3,FALSE),0)</f>
        <v>95235.51904296875</v>
      </c>
      <c r="X271" s="26">
        <f t="shared" si="347"/>
        <v>5666.9069182592975</v>
      </c>
      <c r="Y271" s="26">
        <f>VLOOKUP($C271,COS!$B$8:$H$991,4,FALSE)</f>
        <v>0</v>
      </c>
      <c r="Z271" s="26">
        <f t="shared" si="348"/>
        <v>0</v>
      </c>
      <c r="AA271" s="26">
        <f t="shared" si="430"/>
        <v>0</v>
      </c>
      <c r="AB271" s="33">
        <f t="shared" si="345"/>
        <v>0</v>
      </c>
    </row>
    <row r="272" spans="1:28" x14ac:dyDescent="0.3">
      <c r="A272" s="32">
        <f>VLOOKUP(YEAR(C272),Flags!$A$13:$B$95,2,FALSE)</f>
        <v>4</v>
      </c>
      <c r="B272" s="24">
        <f t="shared" si="432"/>
        <v>1950</v>
      </c>
      <c r="C272" s="25">
        <v>18567</v>
      </c>
      <c r="D272" s="26"/>
      <c r="E272" s="24"/>
      <c r="F272" s="26"/>
      <c r="G272" s="26"/>
      <c r="H272" s="26"/>
      <c r="I272" s="26"/>
      <c r="J272" s="26"/>
      <c r="K272" s="26"/>
      <c r="L272" s="24"/>
      <c r="M272" s="24"/>
      <c r="N272" s="26"/>
      <c r="O272" s="26"/>
      <c r="P272" s="26"/>
      <c r="Q272" s="26"/>
      <c r="R272" s="26"/>
      <c r="S272" s="26"/>
      <c r="T272" s="26"/>
      <c r="U272" s="26"/>
      <c r="V272" s="26"/>
      <c r="W272" s="26">
        <f>MAX($C$9-VLOOKUP($C272,COS!$B$8:$H$991,3,FALSE),0)</f>
        <v>91664.693359375</v>
      </c>
      <c r="X272" s="26">
        <f t="shared" si="347"/>
        <v>5636.2423024276859</v>
      </c>
      <c r="Y272" s="26">
        <f>VLOOKUP($C272,COS!$B$8:$H$991,4,FALSE)</f>
        <v>1385.623291015625</v>
      </c>
      <c r="Z272" s="26">
        <f t="shared" si="348"/>
        <v>85.198655249225212</v>
      </c>
      <c r="AA272" s="26">
        <f t="shared" si="430"/>
        <v>1385.623291015625</v>
      </c>
      <c r="AB272" s="33">
        <f t="shared" si="345"/>
        <v>85.198655249225212</v>
      </c>
    </row>
    <row r="273" spans="1:28" x14ac:dyDescent="0.3">
      <c r="A273" s="32">
        <f>VLOOKUP(YEAR(C273),Flags!$A$13:$B$95,2,FALSE)</f>
        <v>4</v>
      </c>
      <c r="B273" s="24">
        <f t="shared" si="432"/>
        <v>1950</v>
      </c>
      <c r="C273" s="25">
        <v>18597</v>
      </c>
      <c r="D273" s="26"/>
      <c r="E273" s="24"/>
      <c r="F273" s="26"/>
      <c r="G273" s="26"/>
      <c r="H273" s="26"/>
      <c r="I273" s="26"/>
      <c r="J273" s="26"/>
      <c r="K273" s="26"/>
      <c r="L273" s="24"/>
      <c r="M273" s="24"/>
      <c r="N273" s="26"/>
      <c r="O273" s="26"/>
      <c r="P273" s="26"/>
      <c r="Q273" s="26"/>
      <c r="R273" s="26"/>
      <c r="S273" s="26"/>
      <c r="T273" s="26"/>
      <c r="U273" s="26"/>
      <c r="V273" s="26"/>
      <c r="W273" s="26">
        <f>MAX($C$10-VLOOKUP($C273,COS!$B$8:$H$991,3,FALSE),0)</f>
        <v>88639.322265625</v>
      </c>
      <c r="X273" s="26">
        <f t="shared" si="347"/>
        <v>5274.4059529958677</v>
      </c>
      <c r="Y273" s="26">
        <f>VLOOKUP($C273,COS!$B$8:$H$991,4,FALSE)</f>
        <v>0</v>
      </c>
      <c r="Z273" s="26">
        <f t="shared" si="348"/>
        <v>0</v>
      </c>
      <c r="AA273" s="26">
        <f t="shared" si="430"/>
        <v>0</v>
      </c>
      <c r="AB273" s="33">
        <f t="shared" si="345"/>
        <v>0</v>
      </c>
    </row>
    <row r="274" spans="1:28" x14ac:dyDescent="0.3">
      <c r="A274" s="34">
        <f>VLOOKUP(YEAR(C274),Flags!$A$13:$B$95,2,FALSE)</f>
        <v>4</v>
      </c>
      <c r="B274" s="35">
        <f t="shared" si="432"/>
        <v>1950</v>
      </c>
      <c r="C274" s="36">
        <v>18628</v>
      </c>
      <c r="D274" s="37"/>
      <c r="E274" s="35"/>
      <c r="F274" s="37"/>
      <c r="G274" s="37"/>
      <c r="H274" s="37"/>
      <c r="I274" s="37"/>
      <c r="J274" s="37"/>
      <c r="K274" s="37"/>
      <c r="L274" s="35"/>
      <c r="M274" s="35"/>
      <c r="N274" s="37"/>
      <c r="O274" s="37"/>
      <c r="P274" s="37"/>
      <c r="Q274" s="37"/>
      <c r="R274" s="37"/>
      <c r="S274" s="37"/>
      <c r="T274" s="37"/>
      <c r="U274" s="37"/>
      <c r="V274" s="37"/>
      <c r="W274" s="37">
        <f>MAX($C$11-VLOOKUP($C274,COS!$B$8:$H$991,3,FALSE),0)</f>
        <v>0</v>
      </c>
      <c r="X274" s="37">
        <f t="shared" si="347"/>
        <v>0</v>
      </c>
      <c r="Y274" s="37">
        <f>VLOOKUP($C274,COS!$B$8:$H$991,4,FALSE)</f>
        <v>0</v>
      </c>
      <c r="Z274" s="37">
        <f t="shared" si="348"/>
        <v>0</v>
      </c>
      <c r="AA274" s="37">
        <f t="shared" si="430"/>
        <v>0</v>
      </c>
      <c r="AB274" s="38">
        <f t="shared" si="345"/>
        <v>0</v>
      </c>
    </row>
    <row r="275" spans="1:28" x14ac:dyDescent="0.3">
      <c r="A275" s="27">
        <f>VLOOKUP(YEAR(C275),Flags!$A$13:$B$95,2,FALSE)</f>
        <v>2</v>
      </c>
      <c r="B275" s="28">
        <f t="shared" si="432"/>
        <v>1951</v>
      </c>
      <c r="C275" s="29">
        <v>18748</v>
      </c>
      <c r="D275" s="30">
        <f>VLOOKUP($C275,COS!$B$8:$H$991,3,FALSE)</f>
        <v>3250</v>
      </c>
      <c r="E275" s="28">
        <f>IF(D275&gt;=IF(MONTH($C275)=4,$C$3,IF(MONTH($C275)=5,$C$4,IF(MONTH($C275)=6,$C$5,IF(MONTH($C275)=7,$C$6,"ERROR")))),1,0)</f>
        <v>0</v>
      </c>
      <c r="F275" s="30">
        <f>VLOOKUP($C275,COS!$B$8:$H$991,7,FALSE)</f>
        <v>50.026283264160156</v>
      </c>
      <c r="G275" s="28">
        <f>IF(F275&lt;=IF(MONTH($C275)=4,$F$3,IF(MONTH($C275)=5,$F$4,IF(MONTH($C275)=6,$F$5,IF(MONTH($C275)=7,$F$6,"ERROR")))),1,0)</f>
        <v>1</v>
      </c>
      <c r="H275" s="30">
        <f>IF(J275=1,D275-$C$3,0)</f>
        <v>0</v>
      </c>
      <c r="I275" s="30">
        <f t="shared" si="342"/>
        <v>0</v>
      </c>
      <c r="J275" s="28">
        <f t="shared" ref="J275:J278" si="434">IF(AND(E275=1,G275=1),1,0)</f>
        <v>0</v>
      </c>
      <c r="K275" s="30">
        <f>VLOOKUP($C275,COS!$B$8:$H$991,2,FALSE)</f>
        <v>4516.4619140625</v>
      </c>
      <c r="L275" s="28">
        <f t="shared" ref="L275:L332" si="435">IF(K275&lt;=IF(MONTH($C275)=4,$I$3,IF(MONTH($C275)=5,$I$4,IF(MONTH($C275)=6,$I$5,IF(MONTH($C275)=7,$I$6,"ERROR")))),1,0)</f>
        <v>1</v>
      </c>
      <c r="M275" s="28">
        <f t="shared" ref="M275:M332" si="436">VLOOKUP($A275,$L$3:$M$7,2,FALSE)</f>
        <v>0</v>
      </c>
      <c r="N275" s="30">
        <f>VLOOKUP($C275,COS!$B$8:$H$991,5,FALSE)</f>
        <v>285.89596557617188</v>
      </c>
      <c r="O275" s="30">
        <f t="shared" ref="O275:O278" si="437">N275*DAY($C275)*86400/43560/1000</f>
        <v>17.011991340069731</v>
      </c>
      <c r="P275" s="30">
        <f>VLOOKUP($C275,COS!$B$8:$H$991,6,FALSE)</f>
        <v>523.71405029296875</v>
      </c>
      <c r="Q275" s="30">
        <f t="shared" ref="Q275:Q278" si="438">P275*DAY($C275)*86400/43560/1000</f>
        <v>31.16315010007748</v>
      </c>
      <c r="R275" s="30">
        <f>MIN(IF(MONTH($C275)=4,$S$3,IF(MONTH($C275)=5,$S$4,IF(MONTH($C275)=6,$S$5,IF(MONTH($C275)=7,$S$6,"ERROR")))),MAX(VLOOKUP($C275,COS!$B$8:$K$991,10,FALSE)-IF(MONTH($C275)=4,$Y$3,IF(MONTH($C275)=5,$Y$4,IF(MONTH($C275)=6,$Y$5,IF(MONTH($C275)=7,$Y$6,"ERROR")))),0),MAX(VLOOKUP($C275,COS!$B$8:$K$991,9,FALSE)-IF(MONTH($C275)=4,$V$3,IF(MONTH($C275)=5,$V$4,IF(MONTH($C275)=6,$V$5,IF(MONTH($C275)=7,$V$6,"ERROR"))))-VLOOKUP($C275,COS!$B$8:$K$991,6,FALSE)/2,0))</f>
        <v>870.47891235351563</v>
      </c>
      <c r="S275" s="30">
        <f t="shared" ref="S275:S278" si="439">R275*DAY($C275)*86400/43560/1000</f>
        <v>51.797092305333166</v>
      </c>
      <c r="T275" s="30">
        <f t="shared" ref="T275:T278" si="440">(O275+Q275)/2+S275</f>
        <v>75.88466302540678</v>
      </c>
      <c r="U275" s="30" t="str">
        <f>IF(VLOOKUP($C275,COS!$B$8:$I$991,8,FALSE)=1,"UWFE","IBU")</f>
        <v>UWFE</v>
      </c>
      <c r="V275" s="30">
        <f t="shared" ref="V275" si="441">MIN(IF(IF($AA$3=2,AND(E275=1,G275=1,L275=1,L280=1,M275=1,U275="IBU"),AND(E275=1,G275=1,L275=1,L280=1,M275=1)),T275,0),I275)</f>
        <v>0</v>
      </c>
      <c r="W275" s="30"/>
      <c r="X275" s="30"/>
      <c r="Y275" s="30"/>
      <c r="Z275" s="30"/>
      <c r="AA275" s="30"/>
      <c r="AB275" s="31"/>
    </row>
    <row r="276" spans="1:28" x14ac:dyDescent="0.3">
      <c r="A276" s="32">
        <f>VLOOKUP(YEAR(C276),Flags!$A$13:$B$95,2,FALSE)</f>
        <v>2</v>
      </c>
      <c r="B276" s="24">
        <f t="shared" si="432"/>
        <v>1951</v>
      </c>
      <c r="C276" s="25">
        <v>18779</v>
      </c>
      <c r="D276" s="26">
        <f>VLOOKUP($C276,COS!$B$8:$H$991,3,FALSE)</f>
        <v>6537.244140625</v>
      </c>
      <c r="E276" s="24">
        <f>IF(D276&gt;=IF(MONTH($C276)=4,$C$3,IF(MONTH($C276)=5,$C$4,IF(MONTH($C276)=6,$C$5,IF(MONTH($C276)=7,$C$6,"ERROR")))),1,0)</f>
        <v>1</v>
      </c>
      <c r="F276" s="26">
        <f>VLOOKUP($C276,COS!$B$8:$H$991,7,FALSE)</f>
        <v>50.078166961669922</v>
      </c>
      <c r="G276" s="24">
        <f>IF(F276&lt;=IF(MONTH($C276)=4,$F$3,IF(MONTH($C276)=5,$F$4,IF(MONTH($C276)=6,$F$5,IF(MONTH($C276)=7,$F$6,"ERROR")))),1,0)</f>
        <v>1</v>
      </c>
      <c r="H276" s="26">
        <f>IF(J276=1,D276-$C$4,0)</f>
        <v>537.244140625</v>
      </c>
      <c r="I276" s="26">
        <f t="shared" si="342"/>
        <v>33.033854597107435</v>
      </c>
      <c r="J276" s="24">
        <f t="shared" si="434"/>
        <v>1</v>
      </c>
      <c r="K276" s="26">
        <f>VLOOKUP($C276,COS!$B$8:$H$991,2,FALSE)</f>
        <v>4552</v>
      </c>
      <c r="L276" s="24">
        <f t="shared" si="435"/>
        <v>1</v>
      </c>
      <c r="M276" s="24">
        <f t="shared" si="436"/>
        <v>0</v>
      </c>
      <c r="N276" s="26">
        <f>VLOOKUP($C276,COS!$B$8:$H$991,5,FALSE)</f>
        <v>725.94110107421875</v>
      </c>
      <c r="O276" s="26">
        <f t="shared" si="437"/>
        <v>44.636378446216426</v>
      </c>
      <c r="P276" s="26">
        <f>VLOOKUP($C276,COS!$B$8:$H$991,6,FALSE)</f>
        <v>1961.9442138671875</v>
      </c>
      <c r="Q276" s="26">
        <f t="shared" si="438"/>
        <v>120.63524753034608</v>
      </c>
      <c r="R276" s="26">
        <f>MIN(IF(MONTH($C276)=4,$S$3,IF(MONTH($C276)=5,$S$4,IF(MONTH($C276)=6,$S$5,IF(MONTH($C276)=7,$S$6,"ERROR")))),MAX(VLOOKUP($C276,COS!$B$8:$K$991,10,FALSE)-IF(MONTH($C276)=4,$Y$3,IF(MONTH($C276)=5,$Y$4,IF(MONTH($C276)=6,$Y$5,IF(MONTH($C276)=7,$Y$6,"ERROR")))),0),MAX(VLOOKUP($C276,COS!$B$8:$K$991,9,FALSE)-IF(MONTH($C276)=4,$V$3,IF(MONTH($C276)=5,$V$4,IF(MONTH($C276)=6,$V$5,IF(MONTH($C276)=7,$V$6,"ERROR"))))-VLOOKUP($C276,COS!$B$8:$K$991,6,FALSE)/2,0))</f>
        <v>1500</v>
      </c>
      <c r="S276" s="26">
        <f t="shared" si="439"/>
        <v>92.231404958677686</v>
      </c>
      <c r="T276" s="26">
        <f t="shared" si="440"/>
        <v>174.86721794695893</v>
      </c>
      <c r="U276" s="26" t="str">
        <f>IF(VLOOKUP($C276,COS!$B$8:$I$991,8,FALSE)=1,"UWFE","IBU")</f>
        <v>UWFE</v>
      </c>
      <c r="V276" s="26">
        <f t="shared" ref="V276" si="442">MIN(IF(IF($AA$3=2,AND(E276=1,G276=1,L276=1,L280=1,M276=1,U276="IBU"),AND(E276=1,G276=1,L276=1,L280=1,M276=1)),T276,0),I276)</f>
        <v>0</v>
      </c>
      <c r="W276" s="26"/>
      <c r="X276" s="26"/>
      <c r="Y276" s="26"/>
      <c r="Z276" s="26"/>
      <c r="AA276" s="26"/>
      <c r="AB276" s="33"/>
    </row>
    <row r="277" spans="1:28" x14ac:dyDescent="0.3">
      <c r="A277" s="32">
        <f>VLOOKUP(YEAR(C277),Flags!$A$13:$B$95,2,FALSE)</f>
        <v>2</v>
      </c>
      <c r="B277" s="24">
        <f t="shared" si="432"/>
        <v>1951</v>
      </c>
      <c r="C277" s="25">
        <v>18809</v>
      </c>
      <c r="D277" s="26">
        <f>VLOOKUP($C277,COS!$B$8:$H$991,3,FALSE)</f>
        <v>10659.24609375</v>
      </c>
      <c r="E277" s="24">
        <f>IF(D277&gt;=IF(MONTH($C277)=4,$C$3,IF(MONTH($C277)=5,$C$4,IF(MONTH($C277)=6,$C$5,IF(MONTH($C277)=7,$C$6,"ERROR")))),1,0)</f>
        <v>1</v>
      </c>
      <c r="F277" s="26">
        <f>VLOOKUP($C277,COS!$B$8:$H$991,7,FALSE)</f>
        <v>49.92681884765625</v>
      </c>
      <c r="G277" s="24">
        <f>IF(F277&lt;=IF(MONTH($C277)=4,$F$3,IF(MONTH($C277)=5,$F$4,IF(MONTH($C277)=6,$F$5,IF(MONTH($C277)=7,$F$6,"ERROR")))),1,0)</f>
        <v>1</v>
      </c>
      <c r="H277" s="26">
        <f>IF(J277=1,D277-$C$5,0)</f>
        <v>659.24609375</v>
      </c>
      <c r="I277" s="26">
        <f t="shared" si="342"/>
        <v>39.227866735537184</v>
      </c>
      <c r="J277" s="24">
        <f t="shared" si="434"/>
        <v>1</v>
      </c>
      <c r="K277" s="26">
        <f>VLOOKUP($C277,COS!$B$8:$H$991,2,FALSE)</f>
        <v>4123.96142578125</v>
      </c>
      <c r="L277" s="24">
        <f t="shared" si="435"/>
        <v>1</v>
      </c>
      <c r="M277" s="24">
        <f t="shared" si="436"/>
        <v>0</v>
      </c>
      <c r="N277" s="26">
        <f>VLOOKUP($C277,COS!$B$8:$H$991,5,FALSE)</f>
        <v>977.7628173828125</v>
      </c>
      <c r="O277" s="26">
        <f t="shared" si="437"/>
        <v>58.180927976497934</v>
      </c>
      <c r="P277" s="26">
        <f>VLOOKUP($C277,COS!$B$8:$H$991,6,FALSE)</f>
        <v>2422.49462890625</v>
      </c>
      <c r="Q277" s="26">
        <f t="shared" si="438"/>
        <v>144.14844072830579</v>
      </c>
      <c r="R277" s="26">
        <f>MIN(IF(MONTH($C277)=4,$S$3,IF(MONTH($C277)=5,$S$4,IF(MONTH($C277)=6,$S$5,IF(MONTH($C277)=7,$S$6,"ERROR")))),MAX(VLOOKUP($C277,COS!$B$8:$K$991,10,FALSE)-IF(MONTH($C277)=4,$Y$3,IF(MONTH($C277)=5,$Y$4,IF(MONTH($C277)=6,$Y$5,IF(MONTH($C277)=7,$Y$6,"ERROR")))),0),MAX(VLOOKUP($C277,COS!$B$8:$K$991,9,FALSE)-IF(MONTH($C277)=4,$V$3,IF(MONTH($C277)=5,$V$4,IF(MONTH($C277)=6,$V$5,IF(MONTH($C277)=7,$V$6,"ERROR"))))-VLOOKUP($C277,COS!$B$8:$K$991,6,FALSE)/2,0))</f>
        <v>1500</v>
      </c>
      <c r="S277" s="26">
        <f t="shared" si="439"/>
        <v>89.256198347107429</v>
      </c>
      <c r="T277" s="26">
        <f t="shared" si="440"/>
        <v>190.42088269950929</v>
      </c>
      <c r="U277" s="26" t="str">
        <f>IF(VLOOKUP($C277,COS!$B$8:$I$991,8,FALSE)=1,"UWFE","IBU")</f>
        <v>IBU</v>
      </c>
      <c r="V277" s="26">
        <f t="shared" ref="V277" si="443">MIN(IF(IF($AA$3=2,AND(E277=1,G277=1,L277=1,L280=1,M277=1,U277="IBU"),AND(E277=1,G277=1,L277=1,L280=1,M277=1)),T277,0),I277)</f>
        <v>0</v>
      </c>
      <c r="W277" s="26"/>
      <c r="X277" s="26"/>
      <c r="Y277" s="26"/>
      <c r="Z277" s="26"/>
      <c r="AA277" s="26"/>
      <c r="AB277" s="33"/>
    </row>
    <row r="278" spans="1:28" x14ac:dyDescent="0.3">
      <c r="A278" s="32">
        <f>VLOOKUP(YEAR(C278),Flags!$A$13:$B$95,2,FALSE)</f>
        <v>2</v>
      </c>
      <c r="B278" s="24">
        <f t="shared" si="432"/>
        <v>1951</v>
      </c>
      <c r="C278" s="25">
        <v>18840</v>
      </c>
      <c r="D278" s="26">
        <f>VLOOKUP($C278,COS!$B$8:$H$991,3,FALSE)</f>
        <v>16000</v>
      </c>
      <c r="E278" s="24">
        <f>IF(D278&gt;=IF(MONTH($C278)=4,$C$3,IF(MONTH($C278)=5,$C$4,IF(MONTH($C278)=6,$C$5,IF(MONTH($C278)=7,$C$6,"ERROR")))),1,0)</f>
        <v>1</v>
      </c>
      <c r="F278" s="26">
        <f>VLOOKUP($C278,COS!$B$8:$H$991,7,FALSE)</f>
        <v>50.000553131103516</v>
      </c>
      <c r="G278" s="24">
        <f>IF(F278&lt;=IF(MONTH($C278)=4,$F$3,IF(MONTH($C278)=5,$F$4,IF(MONTH($C278)=6,$F$5,IF(MONTH($C278)=7,$F$6,"ERROR")))),1,0)</f>
        <v>1</v>
      </c>
      <c r="H278" s="26">
        <f>IF(J278=1,D278-$C$6,0)</f>
        <v>4000</v>
      </c>
      <c r="I278" s="26">
        <f t="shared" si="342"/>
        <v>245.95041322314049</v>
      </c>
      <c r="J278" s="24">
        <f t="shared" si="434"/>
        <v>1</v>
      </c>
      <c r="K278" s="26">
        <f>VLOOKUP($C278,COS!$B$8:$H$991,2,FALSE)</f>
        <v>3378.982666015625</v>
      </c>
      <c r="L278" s="24">
        <f t="shared" si="435"/>
        <v>1</v>
      </c>
      <c r="M278" s="24">
        <f t="shared" si="436"/>
        <v>0</v>
      </c>
      <c r="N278" s="26">
        <f>VLOOKUP($C278,COS!$B$8:$H$991,5,FALSE)</f>
        <v>1073.9122314453125</v>
      </c>
      <c r="O278" s="26">
        <f t="shared" si="437"/>
        <v>66.032289272339867</v>
      </c>
      <c r="P278" s="26">
        <f>VLOOKUP($C278,COS!$B$8:$H$991,6,FALSE)</f>
        <v>2562.892822265625</v>
      </c>
      <c r="Q278" s="26">
        <f t="shared" si="438"/>
        <v>157.58613717071282</v>
      </c>
      <c r="R278" s="26">
        <f>MIN(IF(MONTH($C278)=4,$S$3,IF(MONTH($C278)=5,$S$4,IF(MONTH($C278)=6,$S$5,IF(MONTH($C278)=7,$S$6,"ERROR")))),MAX(VLOOKUP($C278,COS!$B$8:$K$991,10,FALSE)-IF(MONTH($C278)=4,$Y$3,IF(MONTH($C278)=5,$Y$4,IF(MONTH($C278)=6,$Y$5,IF(MONTH($C278)=7,$Y$6,"ERROR")))),0),MAX(VLOOKUP($C278,COS!$B$8:$K$991,9,FALSE)-IF(MONTH($C278)=4,$V$3,IF(MONTH($C278)=5,$V$4,IF(MONTH($C278)=6,$V$5,IF(MONTH($C278)=7,$V$6,"ERROR"))))-VLOOKUP($C278,COS!$B$8:$K$991,6,FALSE)/2,0))</f>
        <v>1500</v>
      </c>
      <c r="S278" s="26">
        <f t="shared" si="439"/>
        <v>92.231404958677686</v>
      </c>
      <c r="T278" s="26">
        <f t="shared" si="440"/>
        <v>204.04061818020404</v>
      </c>
      <c r="U278" s="26" t="str">
        <f>IF(VLOOKUP($C278,COS!$B$8:$I$991,8,FALSE)=1,"UWFE","IBU")</f>
        <v>IBU</v>
      </c>
      <c r="V278" s="26">
        <f t="shared" ref="V278" si="444">MIN(IF(IF($AA$3=2,AND(E278=1,G278=1,L278=1,L280=1,M278=1,U278="IBU"),AND(E278=1,G278=1,L278=1,L280=1,M278=1)),T278,0),I278)</f>
        <v>0</v>
      </c>
      <c r="W278" s="26"/>
      <c r="X278" s="26"/>
      <c r="Y278" s="26"/>
      <c r="Z278" s="26"/>
      <c r="AA278" s="26"/>
      <c r="AB278" s="33"/>
    </row>
    <row r="279" spans="1:28" x14ac:dyDescent="0.3">
      <c r="A279" s="32">
        <f>VLOOKUP(YEAR(C279),Flags!$A$13:$B$95,2,FALSE)</f>
        <v>2</v>
      </c>
      <c r="B279" s="24">
        <f t="shared" si="432"/>
        <v>1951</v>
      </c>
      <c r="C279" s="25">
        <v>18871</v>
      </c>
      <c r="D279" s="26"/>
      <c r="E279" s="24"/>
      <c r="F279" s="26"/>
      <c r="G279" s="24"/>
      <c r="H279" s="24"/>
      <c r="I279" s="26"/>
      <c r="J279" s="24"/>
      <c r="K279" s="26"/>
      <c r="L279" s="24"/>
      <c r="M279" s="24"/>
      <c r="N279" s="26"/>
      <c r="O279" s="26"/>
      <c r="P279" s="26"/>
      <c r="Q279" s="26"/>
      <c r="R279" s="26"/>
      <c r="S279" s="26"/>
      <c r="T279" s="26"/>
      <c r="U279" s="26"/>
      <c r="V279" s="26"/>
      <c r="W279" s="26">
        <f>MAX($C$7-VLOOKUP($C279,COS!$B$8:$H$991,3,FALSE),0)</f>
        <v>88694.990234375</v>
      </c>
      <c r="X279" s="26">
        <f t="shared" si="347"/>
        <v>5453.6423747417357</v>
      </c>
      <c r="Y279" s="26">
        <f>VLOOKUP($C279,COS!$B$8:$H$991,4,FALSE)</f>
        <v>0</v>
      </c>
      <c r="Z279" s="26">
        <f t="shared" si="348"/>
        <v>0</v>
      </c>
      <c r="AA279" s="26">
        <f t="shared" ref="AA279:AA283" si="445">MIN(W279,Y279)</f>
        <v>0</v>
      </c>
      <c r="AB279" s="33">
        <f t="shared" ref="AB279:AB337" si="446">AA279*DAY($C279)*86400/43560/1000*IF(MONTH($C279)=8,$P$3,IF(MONTH($C279)=9,$P$4,IF(MONTH($C279)=10,$P$5,IF(MONTH($C279)=11,$P$6,IF(MONTH($C279)=12,$P$7,NA())))))</f>
        <v>0</v>
      </c>
    </row>
    <row r="280" spans="1:28" x14ac:dyDescent="0.3">
      <c r="A280" s="32">
        <f>VLOOKUP(YEAR(C280),Flags!$A$13:$B$95,2,FALSE)</f>
        <v>2</v>
      </c>
      <c r="B280" s="24">
        <f t="shared" si="432"/>
        <v>1951</v>
      </c>
      <c r="C280" s="25">
        <v>18901</v>
      </c>
      <c r="D280" s="26"/>
      <c r="E280" s="24"/>
      <c r="F280" s="26"/>
      <c r="G280" s="24"/>
      <c r="H280" s="24"/>
      <c r="I280" s="26"/>
      <c r="J280" s="24"/>
      <c r="K280" s="26">
        <f>VLOOKUP($C280,COS!$B$8:$H$991,2,FALSE)</f>
        <v>2661.90625</v>
      </c>
      <c r="L280" s="24">
        <f t="shared" ref="L280" si="447">IF(AND(K280&gt;$I$7,K280&lt;$I$8),1,0)</f>
        <v>1</v>
      </c>
      <c r="M280" s="24"/>
      <c r="N280" s="26"/>
      <c r="O280" s="26"/>
      <c r="P280" s="26"/>
      <c r="Q280" s="26"/>
      <c r="R280" s="26"/>
      <c r="S280" s="26"/>
      <c r="T280" s="26"/>
      <c r="U280" s="26"/>
      <c r="V280" s="26"/>
      <c r="W280" s="26">
        <f>MAX($C$8-VLOOKUP($C280,COS!$B$8:$H$991,3,FALSE),0)</f>
        <v>90025.66796875</v>
      </c>
      <c r="X280" s="26">
        <f t="shared" si="347"/>
        <v>5356.8992510330572</v>
      </c>
      <c r="Y280" s="26">
        <f>VLOOKUP($C280,COS!$B$8:$H$991,4,FALSE)</f>
        <v>0</v>
      </c>
      <c r="Z280" s="26">
        <f t="shared" si="348"/>
        <v>0</v>
      </c>
      <c r="AA280" s="26">
        <f t="shared" si="445"/>
        <v>0</v>
      </c>
      <c r="AB280" s="33">
        <f t="shared" si="446"/>
        <v>0</v>
      </c>
    </row>
    <row r="281" spans="1:28" x14ac:dyDescent="0.3">
      <c r="A281" s="32">
        <f>VLOOKUP(YEAR(C281),Flags!$A$13:$B$95,2,FALSE)</f>
        <v>2</v>
      </c>
      <c r="B281" s="24">
        <f t="shared" si="432"/>
        <v>1951</v>
      </c>
      <c r="C281" s="25">
        <v>18932</v>
      </c>
      <c r="D281" s="26"/>
      <c r="E281" s="24"/>
      <c r="F281" s="26"/>
      <c r="G281" s="26"/>
      <c r="H281" s="26"/>
      <c r="I281" s="26"/>
      <c r="J281" s="26"/>
      <c r="K281" s="26"/>
      <c r="L281" s="24"/>
      <c r="M281" s="24"/>
      <c r="N281" s="26"/>
      <c r="O281" s="26"/>
      <c r="P281" s="26"/>
      <c r="Q281" s="26"/>
      <c r="R281" s="26"/>
      <c r="S281" s="26"/>
      <c r="T281" s="26"/>
      <c r="U281" s="26"/>
      <c r="V281" s="26"/>
      <c r="W281" s="26">
        <f>MAX($C$9-VLOOKUP($C281,COS!$B$8:$H$991,3,FALSE),0)</f>
        <v>92899.10302734375</v>
      </c>
      <c r="X281" s="26">
        <f t="shared" si="347"/>
        <v>5712.1431944085743</v>
      </c>
      <c r="Y281" s="26">
        <f>VLOOKUP($C281,COS!$B$8:$H$991,4,FALSE)</f>
        <v>951.9967041015625</v>
      </c>
      <c r="Z281" s="26">
        <f t="shared" si="348"/>
        <v>58.535995690211777</v>
      </c>
      <c r="AA281" s="26">
        <f t="shared" si="445"/>
        <v>951.9967041015625</v>
      </c>
      <c r="AB281" s="33">
        <f t="shared" si="446"/>
        <v>58.535995690211777</v>
      </c>
    </row>
    <row r="282" spans="1:28" x14ac:dyDescent="0.3">
      <c r="A282" s="32">
        <f>VLOOKUP(YEAR(C282),Flags!$A$13:$B$95,2,FALSE)</f>
        <v>2</v>
      </c>
      <c r="B282" s="24">
        <f t="shared" si="432"/>
        <v>1951</v>
      </c>
      <c r="C282" s="25">
        <v>18962</v>
      </c>
      <c r="D282" s="26"/>
      <c r="E282" s="24"/>
      <c r="F282" s="26"/>
      <c r="G282" s="26"/>
      <c r="H282" s="26"/>
      <c r="I282" s="26"/>
      <c r="J282" s="26"/>
      <c r="K282" s="26"/>
      <c r="L282" s="24"/>
      <c r="M282" s="24"/>
      <c r="N282" s="26"/>
      <c r="O282" s="26"/>
      <c r="P282" s="26"/>
      <c r="Q282" s="26"/>
      <c r="R282" s="26"/>
      <c r="S282" s="26"/>
      <c r="T282" s="26"/>
      <c r="U282" s="26"/>
      <c r="V282" s="26"/>
      <c r="W282" s="26">
        <f>MAX($C$10-VLOOKUP($C282,COS!$B$8:$H$991,3,FALSE),0)</f>
        <v>91653.669921875</v>
      </c>
      <c r="X282" s="26">
        <f t="shared" si="347"/>
        <v>5453.7720945247929</v>
      </c>
      <c r="Y282" s="26">
        <f>VLOOKUP($C282,COS!$B$8:$H$991,4,FALSE)</f>
        <v>1099.94921875</v>
      </c>
      <c r="Z282" s="26">
        <f t="shared" si="348"/>
        <v>65.451523760330574</v>
      </c>
      <c r="AA282" s="26">
        <f t="shared" si="445"/>
        <v>1099.94921875</v>
      </c>
      <c r="AB282" s="33">
        <f t="shared" si="446"/>
        <v>32.725761880165287</v>
      </c>
    </row>
    <row r="283" spans="1:28" x14ac:dyDescent="0.3">
      <c r="A283" s="34">
        <f>VLOOKUP(YEAR(C283),Flags!$A$13:$B$95,2,FALSE)</f>
        <v>2</v>
      </c>
      <c r="B283" s="35">
        <f t="shared" si="432"/>
        <v>1951</v>
      </c>
      <c r="C283" s="36">
        <v>18993</v>
      </c>
      <c r="D283" s="37"/>
      <c r="E283" s="35"/>
      <c r="F283" s="37"/>
      <c r="G283" s="37"/>
      <c r="H283" s="37"/>
      <c r="I283" s="37"/>
      <c r="J283" s="37"/>
      <c r="K283" s="37"/>
      <c r="L283" s="35"/>
      <c r="M283" s="35"/>
      <c r="N283" s="37"/>
      <c r="O283" s="37"/>
      <c r="P283" s="37"/>
      <c r="Q283" s="37"/>
      <c r="R283" s="37"/>
      <c r="S283" s="37"/>
      <c r="T283" s="37"/>
      <c r="U283" s="37"/>
      <c r="V283" s="37"/>
      <c r="W283" s="37">
        <f>MAX($C$11-VLOOKUP($C283,COS!$B$8:$H$991,3,FALSE),0)</f>
        <v>0</v>
      </c>
      <c r="X283" s="37">
        <f t="shared" ref="X283:X346" si="448">W283*DAY($C283)*86400/43560/1000</f>
        <v>0</v>
      </c>
      <c r="Y283" s="37">
        <f>VLOOKUP($C283,COS!$B$8:$H$991,4,FALSE)</f>
        <v>0</v>
      </c>
      <c r="Z283" s="37">
        <f t="shared" ref="Z283:Z346" si="449">Y283*DAY($C283)*86400/43560/1000</f>
        <v>0</v>
      </c>
      <c r="AA283" s="37">
        <f t="shared" si="445"/>
        <v>0</v>
      </c>
      <c r="AB283" s="38">
        <f t="shared" si="446"/>
        <v>0</v>
      </c>
    </row>
    <row r="284" spans="1:28" x14ac:dyDescent="0.3">
      <c r="A284" s="27">
        <f>VLOOKUP(YEAR(C284),Flags!$A$13:$B$95,2,FALSE)</f>
        <v>1</v>
      </c>
      <c r="B284" s="28">
        <f t="shared" si="432"/>
        <v>1952</v>
      </c>
      <c r="C284" s="29">
        <v>19114</v>
      </c>
      <c r="D284" s="30">
        <f>VLOOKUP($C284,COS!$B$8:$H$991,3,FALSE)</f>
        <v>16481.419921875</v>
      </c>
      <c r="E284" s="28">
        <f>IF(D284&gt;=IF(MONTH($C284)=4,$C$3,IF(MONTH($C284)=5,$C$4,IF(MONTH($C284)=6,$C$5,IF(MONTH($C284)=7,$C$6,"ERROR")))),1,0)</f>
        <v>1</v>
      </c>
      <c r="F284" s="30">
        <f>VLOOKUP($C284,COS!$B$8:$H$991,7,FALSE)</f>
        <v>46.811973571777344</v>
      </c>
      <c r="G284" s="28">
        <f>IF(F284&lt;=IF(MONTH($C284)=4,$F$3,IF(MONTH($C284)=5,$F$4,IF(MONTH($C284)=6,$F$5,IF(MONTH($C284)=7,$F$6,"ERROR")))),1,0)</f>
        <v>1</v>
      </c>
      <c r="H284" s="30">
        <f>IF(J284=1,D284-$C$3,0)</f>
        <v>10481.419921875</v>
      </c>
      <c r="I284" s="30">
        <f t="shared" ref="I284:I347" si="450">H284*DAY($C284)*86400/43560/1000</f>
        <v>623.68779700413222</v>
      </c>
      <c r="J284" s="28">
        <f t="shared" ref="J284:J287" si="451">IF(AND(E284=1,G284=1),1,0)</f>
        <v>1</v>
      </c>
      <c r="K284" s="30">
        <f>VLOOKUP($C284,COS!$B$8:$H$991,2,FALSE)</f>
        <v>4290</v>
      </c>
      <c r="L284" s="28">
        <f t="shared" ref="L284" si="452">IF(K284&lt;=IF(MONTH($C284)=4,$I$3,IF(MONTH($C284)=5,$I$4,IF(MONTH($C284)=6,$I$5,IF(MONTH($C284)=7,$I$6,"ERROR")))),1,0)</f>
        <v>1</v>
      </c>
      <c r="M284" s="28">
        <f t="shared" ref="M284" si="453">VLOOKUP($A284,$L$3:$M$7,2,FALSE)</f>
        <v>0</v>
      </c>
      <c r="N284" s="30">
        <f>VLOOKUP($C284,COS!$B$8:$H$991,5,FALSE)</f>
        <v>93.1021728515625</v>
      </c>
      <c r="O284" s="30">
        <f t="shared" ref="O284:O287" si="454">N284*DAY($C284)*86400/43560/1000</f>
        <v>5.5399640043904954</v>
      </c>
      <c r="P284" s="30">
        <f>VLOOKUP($C284,COS!$B$8:$H$991,6,FALSE)</f>
        <v>430.79507446289063</v>
      </c>
      <c r="Q284" s="30">
        <f t="shared" ref="Q284:Q287" si="455">P284*DAY($C284)*86400/43560/1000</f>
        <v>25.63408707547779</v>
      </c>
      <c r="R284" s="30">
        <f>MIN(IF(MONTH($C284)=4,$S$3,IF(MONTH($C284)=5,$S$4,IF(MONTH($C284)=6,$S$5,IF(MONTH($C284)=7,$S$6,"ERROR")))),MAX(VLOOKUP($C284,COS!$B$8:$K$991,10,FALSE)-IF(MONTH($C284)=4,$Y$3,IF(MONTH($C284)=5,$Y$4,IF(MONTH($C284)=6,$Y$5,IF(MONTH($C284)=7,$Y$6,"ERROR")))),0),MAX(VLOOKUP($C284,COS!$B$8:$K$991,9,FALSE)-IF(MONTH($C284)=4,$V$3,IF(MONTH($C284)=5,$V$4,IF(MONTH($C284)=6,$V$5,IF(MONTH($C284)=7,$V$6,"ERROR"))))-VLOOKUP($C284,COS!$B$8:$K$991,6,FALSE)/2,0))</f>
        <v>1500</v>
      </c>
      <c r="S284" s="30">
        <f t="shared" ref="S284:S287" si="456">R284*DAY($C284)*86400/43560/1000</f>
        <v>89.256198347107429</v>
      </c>
      <c r="T284" s="30">
        <f t="shared" ref="T284:T287" si="457">(O284+Q284)/2+S284</f>
        <v>104.84322388704157</v>
      </c>
      <c r="U284" s="30" t="str">
        <f>IF(VLOOKUP($C284,COS!$B$8:$I$991,8,FALSE)=1,"UWFE","IBU")</f>
        <v>UWFE</v>
      </c>
      <c r="V284" s="30">
        <f t="shared" ref="V284" si="458">MIN(IF(IF($AA$3=2,AND(E284=1,G284=1,L284=1,L289=1,M284=1,U284="IBU"),AND(E284=1,G284=1,L284=1,L289=1,M284=1)),T284,0),I284)</f>
        <v>0</v>
      </c>
      <c r="W284" s="30"/>
      <c r="X284" s="30"/>
      <c r="Y284" s="30"/>
      <c r="Z284" s="30"/>
      <c r="AA284" s="30"/>
      <c r="AB284" s="31"/>
    </row>
    <row r="285" spans="1:28" x14ac:dyDescent="0.3">
      <c r="A285" s="32">
        <f>VLOOKUP(YEAR(C285),Flags!$A$13:$B$95,2,FALSE)</f>
        <v>1</v>
      </c>
      <c r="B285" s="24">
        <f t="shared" si="432"/>
        <v>1952</v>
      </c>
      <c r="C285" s="25">
        <v>19145</v>
      </c>
      <c r="D285" s="26">
        <f>VLOOKUP($C285,COS!$B$8:$H$991,3,FALSE)</f>
        <v>7205.154296875</v>
      </c>
      <c r="E285" s="24">
        <f>IF(D285&gt;=IF(MONTH($C285)=4,$C$3,IF(MONTH($C285)=5,$C$4,IF(MONTH($C285)=6,$C$5,IF(MONTH($C285)=7,$C$6,"ERROR")))),1,0)</f>
        <v>1</v>
      </c>
      <c r="F285" s="26">
        <f>VLOOKUP($C285,COS!$B$8:$H$991,7,FALSE)</f>
        <v>49.908802032470703</v>
      </c>
      <c r="G285" s="24">
        <f>IF(F285&lt;=IF(MONTH($C285)=4,$F$3,IF(MONTH($C285)=5,$F$4,IF(MONTH($C285)=6,$F$5,IF(MONTH($C285)=7,$F$6,"ERROR")))),1,0)</f>
        <v>1</v>
      </c>
      <c r="H285" s="26">
        <f>IF(J285=1,D285-$C$4,0)</f>
        <v>1205.154296875</v>
      </c>
      <c r="I285" s="26">
        <f t="shared" si="450"/>
        <v>74.102049328512393</v>
      </c>
      <c r="J285" s="24">
        <f t="shared" si="451"/>
        <v>1</v>
      </c>
      <c r="K285" s="26">
        <f>VLOOKUP($C285,COS!$B$8:$H$991,2,FALSE)</f>
        <v>4552</v>
      </c>
      <c r="L285" s="24">
        <f t="shared" si="435"/>
        <v>1</v>
      </c>
      <c r="M285" s="24">
        <f t="shared" si="436"/>
        <v>0</v>
      </c>
      <c r="N285" s="26">
        <f>VLOOKUP($C285,COS!$B$8:$H$991,5,FALSE)</f>
        <v>740.753662109375</v>
      </c>
      <c r="O285" s="26">
        <f t="shared" si="454"/>
        <v>45.547167323088843</v>
      </c>
      <c r="P285" s="26">
        <f>VLOOKUP($C285,COS!$B$8:$H$991,6,FALSE)</f>
        <v>2298.94775390625</v>
      </c>
      <c r="Q285" s="26">
        <f t="shared" si="455"/>
        <v>141.35678751291323</v>
      </c>
      <c r="R285" s="26">
        <f>MIN(IF(MONTH($C285)=4,$S$3,IF(MONTH($C285)=5,$S$4,IF(MONTH($C285)=6,$S$5,IF(MONTH($C285)=7,$S$6,"ERROR")))),MAX(VLOOKUP($C285,COS!$B$8:$K$991,10,FALSE)-IF(MONTH($C285)=4,$Y$3,IF(MONTH($C285)=5,$Y$4,IF(MONTH($C285)=6,$Y$5,IF(MONTH($C285)=7,$Y$6,"ERROR")))),0),MAX(VLOOKUP($C285,COS!$B$8:$K$991,9,FALSE)-IF(MONTH($C285)=4,$V$3,IF(MONTH($C285)=5,$V$4,IF(MONTH($C285)=6,$V$5,IF(MONTH($C285)=7,$V$6,"ERROR"))))-VLOOKUP($C285,COS!$B$8:$K$991,6,FALSE)/2,0))</f>
        <v>1500</v>
      </c>
      <c r="S285" s="26">
        <f t="shared" si="456"/>
        <v>92.231404958677686</v>
      </c>
      <c r="T285" s="26">
        <f t="shared" si="457"/>
        <v>185.68338237667871</v>
      </c>
      <c r="U285" s="26" t="str">
        <f>IF(VLOOKUP($C285,COS!$B$8:$I$991,8,FALSE)=1,"UWFE","IBU")</f>
        <v>UWFE</v>
      </c>
      <c r="V285" s="26">
        <f t="shared" ref="V285" si="459">MIN(IF(IF($AA$3=2,AND(E285=1,G285=1,L285=1,L289=1,M285=1,U285="IBU"),AND(E285=1,G285=1,L285=1,L289=1,M285=1)),T285,0),I285)</f>
        <v>0</v>
      </c>
      <c r="W285" s="26"/>
      <c r="X285" s="26"/>
      <c r="Y285" s="26"/>
      <c r="Z285" s="26"/>
      <c r="AA285" s="26"/>
      <c r="AB285" s="33"/>
    </row>
    <row r="286" spans="1:28" x14ac:dyDescent="0.3">
      <c r="A286" s="32">
        <f>VLOOKUP(YEAR(C286),Flags!$A$13:$B$95,2,FALSE)</f>
        <v>1</v>
      </c>
      <c r="B286" s="24">
        <f t="shared" si="432"/>
        <v>1952</v>
      </c>
      <c r="C286" s="25">
        <v>19175</v>
      </c>
      <c r="D286" s="26">
        <f>VLOOKUP($C286,COS!$B$8:$H$991,3,FALSE)</f>
        <v>6688.24560546875</v>
      </c>
      <c r="E286" s="24">
        <f>IF(D286&gt;=IF(MONTH($C286)=4,$C$3,IF(MONTH($C286)=5,$C$4,IF(MONTH($C286)=6,$C$5,IF(MONTH($C286)=7,$C$6,"ERROR")))),1,0)</f>
        <v>0</v>
      </c>
      <c r="F286" s="26">
        <f>VLOOKUP($C286,COS!$B$8:$H$991,7,FALSE)</f>
        <v>51.496559143066406</v>
      </c>
      <c r="G286" s="24">
        <f>IF(F286&lt;=IF(MONTH($C286)=4,$F$3,IF(MONTH($C286)=5,$F$4,IF(MONTH($C286)=6,$F$5,IF(MONTH($C286)=7,$F$6,"ERROR")))),1,0)</f>
        <v>1</v>
      </c>
      <c r="H286" s="26">
        <f>IF(J286=1,D286-$C$5,0)</f>
        <v>0</v>
      </c>
      <c r="I286" s="26">
        <f t="shared" si="450"/>
        <v>0</v>
      </c>
      <c r="J286" s="24">
        <f t="shared" si="451"/>
        <v>0</v>
      </c>
      <c r="K286" s="26">
        <f>VLOOKUP($C286,COS!$B$8:$H$991,2,FALSE)</f>
        <v>4500</v>
      </c>
      <c r="L286" s="24">
        <f t="shared" si="435"/>
        <v>1</v>
      </c>
      <c r="M286" s="24">
        <f t="shared" si="436"/>
        <v>0</v>
      </c>
      <c r="N286" s="26">
        <f>VLOOKUP($C286,COS!$B$8:$H$991,5,FALSE)</f>
        <v>1056.9393310546875</v>
      </c>
      <c r="O286" s="26">
        <f t="shared" si="454"/>
        <v>62.892257715650828</v>
      </c>
      <c r="P286" s="26">
        <f>VLOOKUP($C286,COS!$B$8:$H$991,6,FALSE)</f>
        <v>2224.63916015625</v>
      </c>
      <c r="Q286" s="26">
        <f t="shared" si="455"/>
        <v>132.37522275309917</v>
      </c>
      <c r="R286" s="26">
        <f>MIN(IF(MONTH($C286)=4,$S$3,IF(MONTH($C286)=5,$S$4,IF(MONTH($C286)=6,$S$5,IF(MONTH($C286)=7,$S$6,"ERROR")))),MAX(VLOOKUP($C286,COS!$B$8:$K$991,10,FALSE)-IF(MONTH($C286)=4,$Y$3,IF(MONTH($C286)=5,$Y$4,IF(MONTH($C286)=6,$Y$5,IF(MONTH($C286)=7,$Y$6,"ERROR")))),0),MAX(VLOOKUP($C286,COS!$B$8:$K$991,9,FALSE)-IF(MONTH($C286)=4,$V$3,IF(MONTH($C286)=5,$V$4,IF(MONTH($C286)=6,$V$5,IF(MONTH($C286)=7,$V$6,"ERROR"))))-VLOOKUP($C286,COS!$B$8:$K$991,6,FALSE)/2,0))</f>
        <v>1500</v>
      </c>
      <c r="S286" s="26">
        <f t="shared" si="456"/>
        <v>89.256198347107429</v>
      </c>
      <c r="T286" s="26">
        <f t="shared" si="457"/>
        <v>186.88993858148243</v>
      </c>
      <c r="U286" s="26" t="str">
        <f>IF(VLOOKUP($C286,COS!$B$8:$I$991,8,FALSE)=1,"UWFE","IBU")</f>
        <v>UWFE</v>
      </c>
      <c r="V286" s="26">
        <f t="shared" ref="V286" si="460">MIN(IF(IF($AA$3=2,AND(E286=1,G286=1,L286=1,L289=1,M286=1,U286="IBU"),AND(E286=1,G286=1,L286=1,L289=1,M286=1)),T286,0),I286)</f>
        <v>0</v>
      </c>
      <c r="W286" s="26"/>
      <c r="X286" s="26"/>
      <c r="Y286" s="26"/>
      <c r="Z286" s="26"/>
      <c r="AA286" s="26"/>
      <c r="AB286" s="33"/>
    </row>
    <row r="287" spans="1:28" x14ac:dyDescent="0.3">
      <c r="A287" s="32">
        <f>VLOOKUP(YEAR(C287),Flags!$A$13:$B$95,2,FALSE)</f>
        <v>1</v>
      </c>
      <c r="B287" s="24">
        <f t="shared" si="432"/>
        <v>1952</v>
      </c>
      <c r="C287" s="25">
        <v>19206</v>
      </c>
      <c r="D287" s="26">
        <f>VLOOKUP($C287,COS!$B$8:$H$991,3,FALSE)</f>
        <v>9808.591796875</v>
      </c>
      <c r="E287" s="24">
        <f>IF(D287&gt;=IF(MONTH($C287)=4,$C$3,IF(MONTH($C287)=5,$C$4,IF(MONTH($C287)=6,$C$5,IF(MONTH($C287)=7,$C$6,"ERROR")))),1,0)</f>
        <v>0</v>
      </c>
      <c r="F287" s="26">
        <f>VLOOKUP($C287,COS!$B$8:$H$991,7,FALSE)</f>
        <v>52.452281951904297</v>
      </c>
      <c r="G287" s="24">
        <f>IF(F287&lt;=IF(MONTH($C287)=4,$F$3,IF(MONTH($C287)=5,$F$4,IF(MONTH($C287)=6,$F$5,IF(MONTH($C287)=7,$F$6,"ERROR")))),1,0)</f>
        <v>1</v>
      </c>
      <c r="H287" s="26">
        <f>IF(J287=1,D287-$C$6,0)</f>
        <v>0</v>
      </c>
      <c r="I287" s="26">
        <f t="shared" si="450"/>
        <v>0</v>
      </c>
      <c r="J287" s="24">
        <f t="shared" si="451"/>
        <v>0</v>
      </c>
      <c r="K287" s="26">
        <f>VLOOKUP($C287,COS!$B$8:$H$991,2,FALSE)</f>
        <v>4145.533203125</v>
      </c>
      <c r="L287" s="24">
        <f t="shared" si="435"/>
        <v>1</v>
      </c>
      <c r="M287" s="24">
        <f t="shared" si="436"/>
        <v>0</v>
      </c>
      <c r="N287" s="26">
        <f>VLOOKUP($C287,COS!$B$8:$H$991,5,FALSE)</f>
        <v>1272.6998291015625</v>
      </c>
      <c r="O287" s="26">
        <f t="shared" si="454"/>
        <v>78.255262219137393</v>
      </c>
      <c r="P287" s="26">
        <f>VLOOKUP($C287,COS!$B$8:$H$991,6,FALSE)</f>
        <v>2503.0556640625</v>
      </c>
      <c r="Q287" s="26">
        <f t="shared" si="455"/>
        <v>153.90689372417353</v>
      </c>
      <c r="R287" s="26">
        <f>MIN(IF(MONTH($C287)=4,$S$3,IF(MONTH($C287)=5,$S$4,IF(MONTH($C287)=6,$S$5,IF(MONTH($C287)=7,$S$6,"ERROR")))),MAX(VLOOKUP($C287,COS!$B$8:$K$991,10,FALSE)-IF(MONTH($C287)=4,$Y$3,IF(MONTH($C287)=5,$Y$4,IF(MONTH($C287)=6,$Y$5,IF(MONTH($C287)=7,$Y$6,"ERROR")))),0),MAX(VLOOKUP($C287,COS!$B$8:$K$991,9,FALSE)-IF(MONTH($C287)=4,$V$3,IF(MONTH($C287)=5,$V$4,IF(MONTH($C287)=6,$V$5,IF(MONTH($C287)=7,$V$6,"ERROR"))))-VLOOKUP($C287,COS!$B$8:$K$991,6,FALSE)/2,0))</f>
        <v>1500</v>
      </c>
      <c r="S287" s="26">
        <f t="shared" si="456"/>
        <v>92.231404958677686</v>
      </c>
      <c r="T287" s="26">
        <f t="shared" si="457"/>
        <v>208.31248293033315</v>
      </c>
      <c r="U287" s="26" t="str">
        <f>IF(VLOOKUP($C287,COS!$B$8:$I$991,8,FALSE)=1,"UWFE","IBU")</f>
        <v>UWFE</v>
      </c>
      <c r="V287" s="26">
        <f t="shared" ref="V287" si="461">MIN(IF(IF($AA$3=2,AND(E287=1,G287=1,L287=1,L289=1,M287=1,U287="IBU"),AND(E287=1,G287=1,L287=1,L289=1,M287=1)),T287,0),I287)</f>
        <v>0</v>
      </c>
      <c r="W287" s="26"/>
      <c r="X287" s="26"/>
      <c r="Y287" s="26"/>
      <c r="Z287" s="26"/>
      <c r="AA287" s="26"/>
      <c r="AB287" s="33"/>
    </row>
    <row r="288" spans="1:28" x14ac:dyDescent="0.3">
      <c r="A288" s="32">
        <f>VLOOKUP(YEAR(C288),Flags!$A$13:$B$95,2,FALSE)</f>
        <v>1</v>
      </c>
      <c r="B288" s="24">
        <f t="shared" si="432"/>
        <v>1952</v>
      </c>
      <c r="C288" s="25">
        <v>19237</v>
      </c>
      <c r="D288" s="26"/>
      <c r="E288" s="24"/>
      <c r="F288" s="26"/>
      <c r="G288" s="24"/>
      <c r="H288" s="24"/>
      <c r="I288" s="26"/>
      <c r="J288" s="24"/>
      <c r="K288" s="26"/>
      <c r="L288" s="24"/>
      <c r="M288" s="24"/>
      <c r="N288" s="26"/>
      <c r="O288" s="26"/>
      <c r="P288" s="26"/>
      <c r="Q288" s="26"/>
      <c r="R288" s="26"/>
      <c r="S288" s="26"/>
      <c r="T288" s="26"/>
      <c r="U288" s="26"/>
      <c r="V288" s="26"/>
      <c r="W288" s="26">
        <f>MAX($C$7-VLOOKUP($C288,COS!$B$8:$H$991,3,FALSE),0)</f>
        <v>88187.6650390625</v>
      </c>
      <c r="X288" s="26">
        <f t="shared" si="448"/>
        <v>5422.4481643853305</v>
      </c>
      <c r="Y288" s="26">
        <f>VLOOKUP($C288,COS!$B$8:$H$991,4,FALSE)</f>
        <v>0</v>
      </c>
      <c r="Z288" s="26">
        <f t="shared" si="449"/>
        <v>0</v>
      </c>
      <c r="AA288" s="26">
        <f t="shared" ref="AA288:AA292" si="462">MIN(W288,Y288)</f>
        <v>0</v>
      </c>
      <c r="AB288" s="33">
        <f t="shared" ref="AB288" si="463">AA288*DAY($C288)*86400/43560/1000*IF(MONTH($C288)=8,$P$3,IF(MONTH($C288)=9,$P$4,IF(MONTH($C288)=10,$P$5,IF(MONTH($C288)=11,$P$6,IF(MONTH($C288)=12,$P$7,NA())))))</f>
        <v>0</v>
      </c>
    </row>
    <row r="289" spans="1:28" x14ac:dyDescent="0.3">
      <c r="A289" s="32">
        <f>VLOOKUP(YEAR(C289),Flags!$A$13:$B$95,2,FALSE)</f>
        <v>1</v>
      </c>
      <c r="B289" s="24">
        <f t="shared" si="432"/>
        <v>1952</v>
      </c>
      <c r="C289" s="25">
        <v>19267</v>
      </c>
      <c r="D289" s="26"/>
      <c r="E289" s="24"/>
      <c r="F289" s="26"/>
      <c r="G289" s="24"/>
      <c r="H289" s="24"/>
      <c r="I289" s="26"/>
      <c r="J289" s="24"/>
      <c r="K289" s="26">
        <f>VLOOKUP($C289,COS!$B$8:$H$991,2,FALSE)</f>
        <v>3316.7529296875</v>
      </c>
      <c r="L289" s="24">
        <f t="shared" ref="L289" si="464">IF(AND(K289&gt;$I$7,K289&lt;$I$8),1,0)</f>
        <v>1</v>
      </c>
      <c r="M289" s="24"/>
      <c r="N289" s="26"/>
      <c r="O289" s="26"/>
      <c r="P289" s="26"/>
      <c r="Q289" s="26"/>
      <c r="R289" s="26"/>
      <c r="S289" s="26"/>
      <c r="T289" s="26"/>
      <c r="U289" s="26"/>
      <c r="V289" s="26"/>
      <c r="W289" s="26">
        <f>MAX($C$8-VLOOKUP($C289,COS!$B$8:$H$991,3,FALSE),0)</f>
        <v>87814.3583984375</v>
      </c>
      <c r="X289" s="26">
        <f t="shared" si="448"/>
        <v>5225.3171939566118</v>
      </c>
      <c r="Y289" s="26">
        <f>VLOOKUP($C289,COS!$B$8:$H$991,4,FALSE)</f>
        <v>38.310874938964844</v>
      </c>
      <c r="Z289" s="26">
        <f t="shared" si="449"/>
        <v>2.2796553682689824</v>
      </c>
      <c r="AA289" s="26">
        <f t="shared" si="462"/>
        <v>38.310874938964844</v>
      </c>
      <c r="AB289" s="33">
        <f t="shared" si="446"/>
        <v>2.2796553682689824</v>
      </c>
    </row>
    <row r="290" spans="1:28" x14ac:dyDescent="0.3">
      <c r="A290" s="32">
        <f>VLOOKUP(YEAR(C290),Flags!$A$13:$B$95,2,FALSE)</f>
        <v>1</v>
      </c>
      <c r="B290" s="24">
        <f t="shared" si="432"/>
        <v>1952</v>
      </c>
      <c r="C290" s="25">
        <v>19298</v>
      </c>
      <c r="D290" s="26"/>
      <c r="E290" s="24"/>
      <c r="F290" s="26"/>
      <c r="G290" s="26"/>
      <c r="H290" s="26"/>
      <c r="I290" s="26"/>
      <c r="J290" s="26"/>
      <c r="K290" s="26"/>
      <c r="L290" s="24"/>
      <c r="M290" s="24"/>
      <c r="N290" s="26"/>
      <c r="O290" s="26"/>
      <c r="P290" s="26"/>
      <c r="Q290" s="26"/>
      <c r="R290" s="26"/>
      <c r="S290" s="26"/>
      <c r="T290" s="26"/>
      <c r="U290" s="26"/>
      <c r="V290" s="26"/>
      <c r="W290" s="26">
        <f>MAX($C$9-VLOOKUP($C290,COS!$B$8:$H$991,3,FALSE),0)</f>
        <v>92103.11669921875</v>
      </c>
      <c r="X290" s="26">
        <f t="shared" si="448"/>
        <v>5663.1999028279961</v>
      </c>
      <c r="Y290" s="26">
        <f>VLOOKUP($C290,COS!$B$8:$H$991,4,FALSE)</f>
        <v>203.00856018066406</v>
      </c>
      <c r="Z290" s="26">
        <f t="shared" si="449"/>
        <v>12.482509816067278</v>
      </c>
      <c r="AA290" s="26">
        <f t="shared" si="462"/>
        <v>203.00856018066406</v>
      </c>
      <c r="AB290" s="33">
        <f t="shared" si="446"/>
        <v>12.482509816067278</v>
      </c>
    </row>
    <row r="291" spans="1:28" x14ac:dyDescent="0.3">
      <c r="A291" s="32">
        <f>VLOOKUP(YEAR(C291),Flags!$A$13:$B$95,2,FALSE)</f>
        <v>1</v>
      </c>
      <c r="B291" s="24">
        <f t="shared" si="432"/>
        <v>1952</v>
      </c>
      <c r="C291" s="25">
        <v>19328</v>
      </c>
      <c r="D291" s="26"/>
      <c r="E291" s="24"/>
      <c r="F291" s="26"/>
      <c r="G291" s="26"/>
      <c r="H291" s="26"/>
      <c r="I291" s="26"/>
      <c r="J291" s="26"/>
      <c r="K291" s="26"/>
      <c r="L291" s="24"/>
      <c r="M291" s="24"/>
      <c r="N291" s="26"/>
      <c r="O291" s="26"/>
      <c r="P291" s="26"/>
      <c r="Q291" s="26"/>
      <c r="R291" s="26"/>
      <c r="S291" s="26"/>
      <c r="T291" s="26"/>
      <c r="U291" s="26"/>
      <c r="V291" s="26"/>
      <c r="W291" s="26">
        <f>MAX($C$10-VLOOKUP($C291,COS!$B$8:$H$991,3,FALSE),0)</f>
        <v>89899.2255859375</v>
      </c>
      <c r="X291" s="26">
        <f t="shared" si="448"/>
        <v>5349.3754067665295</v>
      </c>
      <c r="Y291" s="26">
        <f>VLOOKUP($C291,COS!$B$8:$H$991,4,FALSE)</f>
        <v>736.8885498046875</v>
      </c>
      <c r="Z291" s="26">
        <f t="shared" si="449"/>
        <v>43.847913707386361</v>
      </c>
      <c r="AA291" s="26">
        <f t="shared" si="462"/>
        <v>736.8885498046875</v>
      </c>
      <c r="AB291" s="33">
        <f t="shared" si="446"/>
        <v>21.923956853693181</v>
      </c>
    </row>
    <row r="292" spans="1:28" x14ac:dyDescent="0.3">
      <c r="A292" s="34">
        <f>VLOOKUP(YEAR(C292),Flags!$A$13:$B$95,2,FALSE)</f>
        <v>1</v>
      </c>
      <c r="B292" s="35">
        <f t="shared" si="432"/>
        <v>1952</v>
      </c>
      <c r="C292" s="36">
        <v>19359</v>
      </c>
      <c r="D292" s="37"/>
      <c r="E292" s="35"/>
      <c r="F292" s="37"/>
      <c r="G292" s="37"/>
      <c r="H292" s="37"/>
      <c r="I292" s="37"/>
      <c r="J292" s="37"/>
      <c r="K292" s="37"/>
      <c r="L292" s="35"/>
      <c r="M292" s="35"/>
      <c r="N292" s="37"/>
      <c r="O292" s="37"/>
      <c r="P292" s="37"/>
      <c r="Q292" s="37"/>
      <c r="R292" s="37"/>
      <c r="S292" s="37"/>
      <c r="T292" s="37"/>
      <c r="U292" s="37"/>
      <c r="V292" s="37"/>
      <c r="W292" s="37">
        <f>MAX($C$11-VLOOKUP($C292,COS!$B$8:$H$991,3,FALSE),0)</f>
        <v>0</v>
      </c>
      <c r="X292" s="37">
        <f t="shared" si="448"/>
        <v>0</v>
      </c>
      <c r="Y292" s="37">
        <f>VLOOKUP($C292,COS!$B$8:$H$991,4,FALSE)</f>
        <v>0</v>
      </c>
      <c r="Z292" s="37">
        <f t="shared" si="449"/>
        <v>0</v>
      </c>
      <c r="AA292" s="37">
        <f t="shared" si="462"/>
        <v>0</v>
      </c>
      <c r="AB292" s="38">
        <f t="shared" si="446"/>
        <v>0</v>
      </c>
    </row>
    <row r="293" spans="1:28" x14ac:dyDescent="0.3">
      <c r="A293" s="27">
        <f>VLOOKUP(YEAR(C293),Flags!$A$13:$B$95,2,FALSE)</f>
        <v>1</v>
      </c>
      <c r="B293" s="28">
        <f t="shared" si="432"/>
        <v>1953</v>
      </c>
      <c r="C293" s="29">
        <v>19479</v>
      </c>
      <c r="D293" s="30">
        <f>VLOOKUP($C293,COS!$B$8:$H$991,3,FALSE)</f>
        <v>5435.791015625</v>
      </c>
      <c r="E293" s="28">
        <f>IF(D293&gt;=IF(MONTH($C293)=4,$C$3,IF(MONTH($C293)=5,$C$4,IF(MONTH($C293)=6,$C$5,IF(MONTH($C293)=7,$C$6,"ERROR")))),1,0)</f>
        <v>0</v>
      </c>
      <c r="F293" s="30">
        <f>VLOOKUP($C293,COS!$B$8:$H$991,7,FALSE)</f>
        <v>48.983604431152344</v>
      </c>
      <c r="G293" s="28">
        <f>IF(F293&lt;=IF(MONTH($C293)=4,$F$3,IF(MONTH($C293)=5,$F$4,IF(MONTH($C293)=6,$F$5,IF(MONTH($C293)=7,$F$6,"ERROR")))),1,0)</f>
        <v>1</v>
      </c>
      <c r="H293" s="30">
        <f>IF(J293=1,D293-$C$3,0)</f>
        <v>0</v>
      </c>
      <c r="I293" s="30">
        <f t="shared" si="450"/>
        <v>0</v>
      </c>
      <c r="J293" s="28">
        <f t="shared" ref="J293:J296" si="465">IF(AND(E293=1,G293=1),1,0)</f>
        <v>0</v>
      </c>
      <c r="K293" s="30">
        <f>VLOOKUP($C293,COS!$B$8:$H$991,2,FALSE)</f>
        <v>4552</v>
      </c>
      <c r="L293" s="28">
        <f t="shared" ref="L293" si="466">IF(K293&lt;=IF(MONTH($C293)=4,$I$3,IF(MONTH($C293)=5,$I$4,IF(MONTH($C293)=6,$I$5,IF(MONTH($C293)=7,$I$6,"ERROR")))),1,0)</f>
        <v>1</v>
      </c>
      <c r="M293" s="28">
        <f t="shared" ref="M293" si="467">VLOOKUP($A293,$L$3:$M$7,2,FALSE)</f>
        <v>0</v>
      </c>
      <c r="N293" s="30">
        <f>VLOOKUP($C293,COS!$B$8:$H$991,5,FALSE)</f>
        <v>445.47723388671875</v>
      </c>
      <c r="O293" s="30">
        <f t="shared" ref="O293:O296" si="468">N293*DAY($C293)*86400/43560/1000</f>
        <v>26.507736231275828</v>
      </c>
      <c r="P293" s="30">
        <f>VLOOKUP($C293,COS!$B$8:$H$991,6,FALSE)</f>
        <v>432.80410766601563</v>
      </c>
      <c r="Q293" s="30">
        <f t="shared" ref="Q293:Q296" si="469">P293*DAY($C293)*86400/43560/1000</f>
        <v>25.753632852853823</v>
      </c>
      <c r="R293" s="30">
        <f>MIN(IF(MONTH($C293)=4,$S$3,IF(MONTH($C293)=5,$S$4,IF(MONTH($C293)=6,$S$5,IF(MONTH($C293)=7,$S$6,"ERROR")))),MAX(VLOOKUP($C293,COS!$B$8:$K$991,10,FALSE)-IF(MONTH($C293)=4,$Y$3,IF(MONTH($C293)=5,$Y$4,IF(MONTH($C293)=6,$Y$5,IF(MONTH($C293)=7,$Y$6,"ERROR")))),0),MAX(VLOOKUP($C293,COS!$B$8:$K$991,9,FALSE)-IF(MONTH($C293)=4,$V$3,IF(MONTH($C293)=5,$V$4,IF(MONTH($C293)=6,$V$5,IF(MONTH($C293)=7,$V$6,"ERROR"))))-VLOOKUP($C293,COS!$B$8:$K$991,6,FALSE)/2,0))</f>
        <v>1500</v>
      </c>
      <c r="S293" s="30">
        <f t="shared" ref="S293:S296" si="470">R293*DAY($C293)*86400/43560/1000</f>
        <v>89.256198347107429</v>
      </c>
      <c r="T293" s="30">
        <f t="shared" ref="T293:T296" si="471">(O293+Q293)/2+S293</f>
        <v>115.38688288917226</v>
      </c>
      <c r="U293" s="30" t="str">
        <f>IF(VLOOKUP($C293,COS!$B$8:$I$991,8,FALSE)=1,"UWFE","IBU")</f>
        <v>UWFE</v>
      </c>
      <c r="V293" s="30">
        <f t="shared" ref="V293" si="472">MIN(IF(IF($AA$3=2,AND(E293=1,G293=1,L293=1,L298=1,M293=1,U293="IBU"),AND(E293=1,G293=1,L293=1,L298=1,M293=1)),T293,0),I293)</f>
        <v>0</v>
      </c>
      <c r="W293" s="30"/>
      <c r="X293" s="30"/>
      <c r="Y293" s="30"/>
      <c r="Z293" s="30"/>
      <c r="AA293" s="30"/>
      <c r="AB293" s="31"/>
    </row>
    <row r="294" spans="1:28" x14ac:dyDescent="0.3">
      <c r="A294" s="32">
        <f>VLOOKUP(YEAR(C294),Flags!$A$13:$B$95,2,FALSE)</f>
        <v>1</v>
      </c>
      <c r="B294" s="24">
        <f t="shared" si="432"/>
        <v>1953</v>
      </c>
      <c r="C294" s="25">
        <v>19510</v>
      </c>
      <c r="D294" s="26">
        <f>VLOOKUP($C294,COS!$B$8:$H$991,3,FALSE)</f>
        <v>9500.9638671875</v>
      </c>
      <c r="E294" s="24">
        <f>IF(D294&gt;=IF(MONTH($C294)=4,$C$3,IF(MONTH($C294)=5,$C$4,IF(MONTH($C294)=6,$C$5,IF(MONTH($C294)=7,$C$6,"ERROR")))),1,0)</f>
        <v>1</v>
      </c>
      <c r="F294" s="26">
        <f>VLOOKUP($C294,COS!$B$8:$H$991,7,FALSE)</f>
        <v>48.526103973388672</v>
      </c>
      <c r="G294" s="24">
        <f>IF(F294&lt;=IF(MONTH($C294)=4,$F$3,IF(MONTH($C294)=5,$F$4,IF(MONTH($C294)=6,$F$5,IF(MONTH($C294)=7,$F$6,"ERROR")))),1,0)</f>
        <v>1</v>
      </c>
      <c r="H294" s="26">
        <f>IF(J294=1,D294-$C$4,0)</f>
        <v>3500.9638671875</v>
      </c>
      <c r="I294" s="26">
        <f t="shared" si="450"/>
        <v>215.26587745351239</v>
      </c>
      <c r="J294" s="24">
        <f t="shared" si="465"/>
        <v>1</v>
      </c>
      <c r="K294" s="26">
        <f>VLOOKUP($C294,COS!$B$8:$H$991,2,FALSE)</f>
        <v>4552</v>
      </c>
      <c r="L294" s="24">
        <f t="shared" si="435"/>
        <v>1</v>
      </c>
      <c r="M294" s="24">
        <f t="shared" si="436"/>
        <v>0</v>
      </c>
      <c r="N294" s="26">
        <f>VLOOKUP($C294,COS!$B$8:$H$991,5,FALSE)</f>
        <v>730.5885009765625</v>
      </c>
      <c r="O294" s="26">
        <f t="shared" si="468"/>
        <v>44.922135927815084</v>
      </c>
      <c r="P294" s="26">
        <f>VLOOKUP($C294,COS!$B$8:$H$991,6,FALSE)</f>
        <v>2213.400634765625</v>
      </c>
      <c r="Q294" s="26">
        <f t="shared" si="469"/>
        <v>136.09670018724174</v>
      </c>
      <c r="R294" s="26">
        <f>MIN(IF(MONTH($C294)=4,$S$3,IF(MONTH($C294)=5,$S$4,IF(MONTH($C294)=6,$S$5,IF(MONTH($C294)=7,$S$6,"ERROR")))),MAX(VLOOKUP($C294,COS!$B$8:$K$991,10,FALSE)-IF(MONTH($C294)=4,$Y$3,IF(MONTH($C294)=5,$Y$4,IF(MONTH($C294)=6,$Y$5,IF(MONTH($C294)=7,$Y$6,"ERROR")))),0),MAX(VLOOKUP($C294,COS!$B$8:$K$991,9,FALSE)-IF(MONTH($C294)=4,$V$3,IF(MONTH($C294)=5,$V$4,IF(MONTH($C294)=6,$V$5,IF(MONTH($C294)=7,$V$6,"ERROR"))))-VLOOKUP($C294,COS!$B$8:$K$991,6,FALSE)/2,0))</f>
        <v>1500</v>
      </c>
      <c r="S294" s="26">
        <f t="shared" si="470"/>
        <v>92.231404958677686</v>
      </c>
      <c r="T294" s="26">
        <f t="shared" si="471"/>
        <v>182.74082301620609</v>
      </c>
      <c r="U294" s="26" t="str">
        <f>IF(VLOOKUP($C294,COS!$B$8:$I$991,8,FALSE)=1,"UWFE","IBU")</f>
        <v>UWFE</v>
      </c>
      <c r="V294" s="26">
        <f t="shared" ref="V294" si="473">MIN(IF(IF($AA$3=2,AND(E294=1,G294=1,L294=1,L298=1,M294=1,U294="IBU"),AND(E294=1,G294=1,L294=1,L298=1,M294=1)),T294,0),I294)</f>
        <v>0</v>
      </c>
      <c r="W294" s="26"/>
      <c r="X294" s="26"/>
      <c r="Y294" s="26"/>
      <c r="Z294" s="26"/>
      <c r="AA294" s="26"/>
      <c r="AB294" s="33"/>
    </row>
    <row r="295" spans="1:28" x14ac:dyDescent="0.3">
      <c r="A295" s="32">
        <f>VLOOKUP(YEAR(C295),Flags!$A$13:$B$95,2,FALSE)</f>
        <v>1</v>
      </c>
      <c r="B295" s="24">
        <f t="shared" si="432"/>
        <v>1953</v>
      </c>
      <c r="C295" s="25">
        <v>19540</v>
      </c>
      <c r="D295" s="26">
        <f>VLOOKUP($C295,COS!$B$8:$H$991,3,FALSE)</f>
        <v>8763.9052734375</v>
      </c>
      <c r="E295" s="24">
        <f>IF(D295&gt;=IF(MONTH($C295)=4,$C$3,IF(MONTH($C295)=5,$C$4,IF(MONTH($C295)=6,$C$5,IF(MONTH($C295)=7,$C$6,"ERROR")))),1,0)</f>
        <v>0</v>
      </c>
      <c r="F295" s="26">
        <f>VLOOKUP($C295,COS!$B$8:$H$991,7,FALSE)</f>
        <v>50.420295715332031</v>
      </c>
      <c r="G295" s="24">
        <f>IF(F295&lt;=IF(MONTH($C295)=4,$F$3,IF(MONTH($C295)=5,$F$4,IF(MONTH($C295)=6,$F$5,IF(MONTH($C295)=7,$F$6,"ERROR")))),1,0)</f>
        <v>1</v>
      </c>
      <c r="H295" s="26">
        <f>IF(J295=1,D295-$C$5,0)</f>
        <v>0</v>
      </c>
      <c r="I295" s="26">
        <f t="shared" si="450"/>
        <v>0</v>
      </c>
      <c r="J295" s="24">
        <f t="shared" si="465"/>
        <v>0</v>
      </c>
      <c r="K295" s="26">
        <f>VLOOKUP($C295,COS!$B$8:$H$991,2,FALSE)</f>
        <v>4500</v>
      </c>
      <c r="L295" s="24">
        <f t="shared" si="435"/>
        <v>1</v>
      </c>
      <c r="M295" s="24">
        <f t="shared" si="436"/>
        <v>0</v>
      </c>
      <c r="N295" s="26">
        <f>VLOOKUP($C295,COS!$B$8:$H$991,5,FALSE)</f>
        <v>1097.9736328125</v>
      </c>
      <c r="O295" s="26">
        <f t="shared" si="468"/>
        <v>65.333968233471069</v>
      </c>
      <c r="P295" s="26">
        <f>VLOOKUP($C295,COS!$B$8:$H$991,6,FALSE)</f>
        <v>2273.646484375</v>
      </c>
      <c r="Q295" s="26">
        <f t="shared" si="469"/>
        <v>135.29136105371902</v>
      </c>
      <c r="R295" s="26">
        <f>MIN(IF(MONTH($C295)=4,$S$3,IF(MONTH($C295)=5,$S$4,IF(MONTH($C295)=6,$S$5,IF(MONTH($C295)=7,$S$6,"ERROR")))),MAX(VLOOKUP($C295,COS!$B$8:$K$991,10,FALSE)-IF(MONTH($C295)=4,$Y$3,IF(MONTH($C295)=5,$Y$4,IF(MONTH($C295)=6,$Y$5,IF(MONTH($C295)=7,$Y$6,"ERROR")))),0),MAX(VLOOKUP($C295,COS!$B$8:$K$991,9,FALSE)-IF(MONTH($C295)=4,$V$3,IF(MONTH($C295)=5,$V$4,IF(MONTH($C295)=6,$V$5,IF(MONTH($C295)=7,$V$6,"ERROR"))))-VLOOKUP($C295,COS!$B$8:$K$991,6,FALSE)/2,0))</f>
        <v>1500</v>
      </c>
      <c r="S295" s="26">
        <f t="shared" si="470"/>
        <v>89.256198347107429</v>
      </c>
      <c r="T295" s="26">
        <f t="shared" si="471"/>
        <v>189.56886299070248</v>
      </c>
      <c r="U295" s="26" t="str">
        <f>IF(VLOOKUP($C295,COS!$B$8:$I$991,8,FALSE)=1,"UWFE","IBU")</f>
        <v>UWFE</v>
      </c>
      <c r="V295" s="26">
        <f t="shared" ref="V295" si="474">MIN(IF(IF($AA$3=2,AND(E295=1,G295=1,L295=1,L298=1,M295=1,U295="IBU"),AND(E295=1,G295=1,L295=1,L298=1,M295=1)),T295,0),I295)</f>
        <v>0</v>
      </c>
      <c r="W295" s="26"/>
      <c r="X295" s="26"/>
      <c r="Y295" s="26"/>
      <c r="Z295" s="26"/>
      <c r="AA295" s="26"/>
      <c r="AB295" s="33"/>
    </row>
    <row r="296" spans="1:28" x14ac:dyDescent="0.3">
      <c r="A296" s="32">
        <f>VLOOKUP(YEAR(C296),Flags!$A$13:$B$95,2,FALSE)</f>
        <v>1</v>
      </c>
      <c r="B296" s="24">
        <f t="shared" si="432"/>
        <v>1953</v>
      </c>
      <c r="C296" s="25">
        <v>19571</v>
      </c>
      <c r="D296" s="26">
        <f>VLOOKUP($C296,COS!$B$8:$H$991,3,FALSE)</f>
        <v>14905.9033203125</v>
      </c>
      <c r="E296" s="24">
        <f>IF(D296&gt;=IF(MONTH($C296)=4,$C$3,IF(MONTH($C296)=5,$C$4,IF(MONTH($C296)=6,$C$5,IF(MONTH($C296)=7,$C$6,"ERROR")))),1,0)</f>
        <v>1</v>
      </c>
      <c r="F296" s="26">
        <f>VLOOKUP($C296,COS!$B$8:$H$991,7,FALSE)</f>
        <v>51.294979095458984</v>
      </c>
      <c r="G296" s="24">
        <f>IF(F296&lt;=IF(MONTH($C296)=4,$F$3,IF(MONTH($C296)=5,$F$4,IF(MONTH($C296)=6,$F$5,IF(MONTH($C296)=7,$F$6,"ERROR")))),1,0)</f>
        <v>1</v>
      </c>
      <c r="H296" s="26">
        <f>IF(J296=1,D296-$C$6,0)</f>
        <v>2905.9033203125</v>
      </c>
      <c r="I296" s="26">
        <f t="shared" si="450"/>
        <v>178.67703060433885</v>
      </c>
      <c r="J296" s="24">
        <f t="shared" si="465"/>
        <v>1</v>
      </c>
      <c r="K296" s="26">
        <f>VLOOKUP($C296,COS!$B$8:$H$991,2,FALSE)</f>
        <v>3867.513427734375</v>
      </c>
      <c r="L296" s="24">
        <f t="shared" si="435"/>
        <v>1</v>
      </c>
      <c r="M296" s="24">
        <f t="shared" si="436"/>
        <v>0</v>
      </c>
      <c r="N296" s="26">
        <f>VLOOKUP($C296,COS!$B$8:$H$991,5,FALSE)</f>
        <v>1282.49609375</v>
      </c>
      <c r="O296" s="26">
        <f t="shared" si="468"/>
        <v>78.857611053719012</v>
      </c>
      <c r="P296" s="26">
        <f>VLOOKUP($C296,COS!$B$8:$H$991,6,FALSE)</f>
        <v>2616.67822265625</v>
      </c>
      <c r="Q296" s="26">
        <f t="shared" si="469"/>
        <v>160.89327253357436</v>
      </c>
      <c r="R296" s="26">
        <f>MIN(IF(MONTH($C296)=4,$S$3,IF(MONTH($C296)=5,$S$4,IF(MONTH($C296)=6,$S$5,IF(MONTH($C296)=7,$S$6,"ERROR")))),MAX(VLOOKUP($C296,COS!$B$8:$K$991,10,FALSE)-IF(MONTH($C296)=4,$Y$3,IF(MONTH($C296)=5,$Y$4,IF(MONTH($C296)=6,$Y$5,IF(MONTH($C296)=7,$Y$6,"ERROR")))),0),MAX(VLOOKUP($C296,COS!$B$8:$K$991,9,FALSE)-IF(MONTH($C296)=4,$V$3,IF(MONTH($C296)=5,$V$4,IF(MONTH($C296)=6,$V$5,IF(MONTH($C296)=7,$V$6,"ERROR"))))-VLOOKUP($C296,COS!$B$8:$K$991,6,FALSE)/2,0))</f>
        <v>1500</v>
      </c>
      <c r="S296" s="26">
        <f t="shared" si="470"/>
        <v>92.231404958677686</v>
      </c>
      <c r="T296" s="26">
        <f t="shared" si="471"/>
        <v>212.10684675232437</v>
      </c>
      <c r="U296" s="26" t="str">
        <f>IF(VLOOKUP($C296,COS!$B$8:$I$991,8,FALSE)=1,"UWFE","IBU")</f>
        <v>IBU</v>
      </c>
      <c r="V296" s="26">
        <f t="shared" ref="V296" si="475">MIN(IF(IF($AA$3=2,AND(E296=1,G296=1,L296=1,L298=1,M296=1,U296="IBU"),AND(E296=1,G296=1,L296=1,L298=1,M296=1)),T296,0),I296)</f>
        <v>0</v>
      </c>
      <c r="W296" s="26"/>
      <c r="X296" s="26"/>
      <c r="Y296" s="26"/>
      <c r="Z296" s="26"/>
      <c r="AA296" s="26"/>
      <c r="AB296" s="33"/>
    </row>
    <row r="297" spans="1:28" x14ac:dyDescent="0.3">
      <c r="A297" s="32">
        <f>VLOOKUP(YEAR(C297),Flags!$A$13:$B$95,2,FALSE)</f>
        <v>1</v>
      </c>
      <c r="B297" s="24">
        <f t="shared" si="432"/>
        <v>1953</v>
      </c>
      <c r="C297" s="25">
        <v>19602</v>
      </c>
      <c r="D297" s="26"/>
      <c r="E297" s="24"/>
      <c r="F297" s="26"/>
      <c r="G297" s="24"/>
      <c r="H297" s="24"/>
      <c r="I297" s="26"/>
      <c r="J297" s="24"/>
      <c r="K297" s="26"/>
      <c r="L297" s="24"/>
      <c r="M297" s="24"/>
      <c r="N297" s="26"/>
      <c r="O297" s="26"/>
      <c r="P297" s="26"/>
      <c r="Q297" s="26"/>
      <c r="R297" s="26"/>
      <c r="S297" s="26"/>
      <c r="T297" s="26"/>
      <c r="U297" s="26"/>
      <c r="V297" s="26"/>
      <c r="W297" s="26">
        <f>MAX($C$7-VLOOKUP($C297,COS!$B$8:$H$991,3,FALSE),0)</f>
        <v>89655.0712890625</v>
      </c>
      <c r="X297" s="26">
        <f t="shared" si="448"/>
        <v>5512.6754577737602</v>
      </c>
      <c r="Y297" s="26">
        <f>VLOOKUP($C297,COS!$B$8:$H$991,4,FALSE)</f>
        <v>19.638147354125977</v>
      </c>
      <c r="Z297" s="26">
        <f t="shared" si="449"/>
        <v>1.2075026141710519</v>
      </c>
      <c r="AA297" s="26">
        <f t="shared" ref="AA297:AA301" si="476">MIN(W297,Y297)</f>
        <v>19.638147354125977</v>
      </c>
      <c r="AB297" s="33">
        <f t="shared" ref="AB297" si="477">AA297*DAY($C297)*86400/43560/1000*IF(MONTH($C297)=8,$P$3,IF(MONTH($C297)=9,$P$4,IF(MONTH($C297)=10,$P$5,IF(MONTH($C297)=11,$P$6,IF(MONTH($C297)=12,$P$7,NA())))))</f>
        <v>1.2075026141710519</v>
      </c>
    </row>
    <row r="298" spans="1:28" x14ac:dyDescent="0.3">
      <c r="A298" s="32">
        <f>VLOOKUP(YEAR(C298),Flags!$A$13:$B$95,2,FALSE)</f>
        <v>1</v>
      </c>
      <c r="B298" s="24">
        <f t="shared" si="432"/>
        <v>1953</v>
      </c>
      <c r="C298" s="25">
        <v>19632</v>
      </c>
      <c r="D298" s="26"/>
      <c r="E298" s="24"/>
      <c r="F298" s="26"/>
      <c r="G298" s="24"/>
      <c r="H298" s="24"/>
      <c r="I298" s="26"/>
      <c r="J298" s="24"/>
      <c r="K298" s="26">
        <f>VLOOKUP($C298,COS!$B$8:$H$991,2,FALSE)</f>
        <v>3007.05029296875</v>
      </c>
      <c r="L298" s="24">
        <f t="shared" ref="L298" si="478">IF(AND(K298&gt;$I$7,K298&lt;$I$8),1,0)</f>
        <v>1</v>
      </c>
      <c r="M298" s="24"/>
      <c r="N298" s="26"/>
      <c r="O298" s="26"/>
      <c r="P298" s="26"/>
      <c r="Q298" s="26"/>
      <c r="R298" s="26"/>
      <c r="S298" s="26"/>
      <c r="T298" s="26"/>
      <c r="U298" s="26"/>
      <c r="V298" s="26"/>
      <c r="W298" s="26">
        <f>MAX($C$8-VLOOKUP($C298,COS!$B$8:$H$991,3,FALSE),0)</f>
        <v>85167.98828125</v>
      </c>
      <c r="X298" s="26">
        <f t="shared" si="448"/>
        <v>5067.8472365702482</v>
      </c>
      <c r="Y298" s="26">
        <f>VLOOKUP($C298,COS!$B$8:$H$991,4,FALSE)</f>
        <v>0</v>
      </c>
      <c r="Z298" s="26">
        <f t="shared" si="449"/>
        <v>0</v>
      </c>
      <c r="AA298" s="26">
        <f t="shared" si="476"/>
        <v>0</v>
      </c>
      <c r="AB298" s="33">
        <f t="shared" si="446"/>
        <v>0</v>
      </c>
    </row>
    <row r="299" spans="1:28" x14ac:dyDescent="0.3">
      <c r="A299" s="32">
        <f>VLOOKUP(YEAR(C299),Flags!$A$13:$B$95,2,FALSE)</f>
        <v>1</v>
      </c>
      <c r="B299" s="24">
        <f t="shared" si="432"/>
        <v>1953</v>
      </c>
      <c r="C299" s="25">
        <v>19663</v>
      </c>
      <c r="D299" s="26"/>
      <c r="E299" s="24"/>
      <c r="F299" s="26"/>
      <c r="G299" s="26"/>
      <c r="H299" s="26"/>
      <c r="I299" s="26"/>
      <c r="J299" s="26"/>
      <c r="K299" s="26"/>
      <c r="L299" s="24"/>
      <c r="M299" s="24"/>
      <c r="N299" s="26"/>
      <c r="O299" s="26"/>
      <c r="P299" s="26"/>
      <c r="Q299" s="26"/>
      <c r="R299" s="26"/>
      <c r="S299" s="26"/>
      <c r="T299" s="26"/>
      <c r="U299" s="26"/>
      <c r="V299" s="26"/>
      <c r="W299" s="26">
        <f>MAX($C$9-VLOOKUP($C299,COS!$B$8:$H$991,3,FALSE),0)</f>
        <v>90385.5849609375</v>
      </c>
      <c r="X299" s="26">
        <f t="shared" si="448"/>
        <v>5557.5929926394629</v>
      </c>
      <c r="Y299" s="26">
        <f>VLOOKUP($C299,COS!$B$8:$H$991,4,FALSE)</f>
        <v>1224.5797119140625</v>
      </c>
      <c r="Z299" s="26">
        <f t="shared" si="449"/>
        <v>75.296471542484511</v>
      </c>
      <c r="AA299" s="26">
        <f t="shared" si="476"/>
        <v>1224.5797119140625</v>
      </c>
      <c r="AB299" s="33">
        <f t="shared" si="446"/>
        <v>75.296471542484511</v>
      </c>
    </row>
    <row r="300" spans="1:28" x14ac:dyDescent="0.3">
      <c r="A300" s="32">
        <f>VLOOKUP(YEAR(C300),Flags!$A$13:$B$95,2,FALSE)</f>
        <v>1</v>
      </c>
      <c r="B300" s="24">
        <f t="shared" si="432"/>
        <v>1953</v>
      </c>
      <c r="C300" s="25">
        <v>19693</v>
      </c>
      <c r="D300" s="26"/>
      <c r="E300" s="24"/>
      <c r="F300" s="26"/>
      <c r="G300" s="26"/>
      <c r="H300" s="26"/>
      <c r="I300" s="26"/>
      <c r="J300" s="26"/>
      <c r="K300" s="26"/>
      <c r="L300" s="24"/>
      <c r="M300" s="24"/>
      <c r="N300" s="26"/>
      <c r="O300" s="26"/>
      <c r="P300" s="26"/>
      <c r="Q300" s="26"/>
      <c r="R300" s="26"/>
      <c r="S300" s="26"/>
      <c r="T300" s="26"/>
      <c r="U300" s="26"/>
      <c r="V300" s="26"/>
      <c r="W300" s="26">
        <f>MAX($C$10-VLOOKUP($C300,COS!$B$8:$H$991,3,FALSE),0)</f>
        <v>88062.6611328125</v>
      </c>
      <c r="X300" s="26">
        <f t="shared" si="448"/>
        <v>5240.0922326962809</v>
      </c>
      <c r="Y300" s="26">
        <f>VLOOKUP($C300,COS!$B$8:$H$991,4,FALSE)</f>
        <v>1707.279296875</v>
      </c>
      <c r="Z300" s="26">
        <f t="shared" si="449"/>
        <v>101.59017303719008</v>
      </c>
      <c r="AA300" s="26">
        <f t="shared" si="476"/>
        <v>1707.279296875</v>
      </c>
      <c r="AB300" s="33">
        <f t="shared" si="446"/>
        <v>50.795086518595042</v>
      </c>
    </row>
    <row r="301" spans="1:28" x14ac:dyDescent="0.3">
      <c r="A301" s="34">
        <f>VLOOKUP(YEAR(C301),Flags!$A$13:$B$95,2,FALSE)</f>
        <v>1</v>
      </c>
      <c r="B301" s="35">
        <f t="shared" si="432"/>
        <v>1953</v>
      </c>
      <c r="C301" s="36">
        <v>19724</v>
      </c>
      <c r="D301" s="37"/>
      <c r="E301" s="35"/>
      <c r="F301" s="37"/>
      <c r="G301" s="37"/>
      <c r="H301" s="37"/>
      <c r="I301" s="37"/>
      <c r="J301" s="37"/>
      <c r="K301" s="37"/>
      <c r="L301" s="35"/>
      <c r="M301" s="35"/>
      <c r="N301" s="37"/>
      <c r="O301" s="37"/>
      <c r="P301" s="37"/>
      <c r="Q301" s="37"/>
      <c r="R301" s="37"/>
      <c r="S301" s="37"/>
      <c r="T301" s="37"/>
      <c r="U301" s="37"/>
      <c r="V301" s="37"/>
      <c r="W301" s="37">
        <f>MAX($C$11-VLOOKUP($C301,COS!$B$8:$H$991,3,FALSE),0)</f>
        <v>0</v>
      </c>
      <c r="X301" s="37">
        <f t="shared" si="448"/>
        <v>0</v>
      </c>
      <c r="Y301" s="37">
        <f>VLOOKUP($C301,COS!$B$8:$H$991,4,FALSE)</f>
        <v>98.75079345703125</v>
      </c>
      <c r="Z301" s="37">
        <f t="shared" si="449"/>
        <v>6.0719496142174583</v>
      </c>
      <c r="AA301" s="37">
        <f t="shared" si="476"/>
        <v>0</v>
      </c>
      <c r="AB301" s="38">
        <f t="shared" si="446"/>
        <v>0</v>
      </c>
    </row>
    <row r="302" spans="1:28" x14ac:dyDescent="0.3">
      <c r="A302" s="27">
        <f>VLOOKUP(YEAR(C302),Flags!$A$13:$B$95,2,FALSE)</f>
        <v>2</v>
      </c>
      <c r="B302" s="28">
        <f t="shared" si="432"/>
        <v>1954</v>
      </c>
      <c r="C302" s="29">
        <v>19844</v>
      </c>
      <c r="D302" s="30">
        <f>VLOOKUP($C302,COS!$B$8:$H$991,3,FALSE)</f>
        <v>10966.724609375</v>
      </c>
      <c r="E302" s="28">
        <f>IF(D302&gt;=IF(MONTH($C302)=4,$C$3,IF(MONTH($C302)=5,$C$4,IF(MONTH($C302)=6,$C$5,IF(MONTH($C302)=7,$C$6,"ERROR")))),1,0)</f>
        <v>1</v>
      </c>
      <c r="F302" s="30">
        <f>VLOOKUP($C302,COS!$B$8:$H$991,7,FALSE)</f>
        <v>48.739151000976563</v>
      </c>
      <c r="G302" s="28">
        <f>IF(F302&lt;=IF(MONTH($C302)=4,$F$3,IF(MONTH($C302)=5,$F$4,IF(MONTH($C302)=6,$F$5,IF(MONTH($C302)=7,$F$6,"ERROR")))),1,0)</f>
        <v>1</v>
      </c>
      <c r="H302" s="30">
        <f>IF(J302=1,D302-$C$3,0)</f>
        <v>4966.724609375</v>
      </c>
      <c r="I302" s="30">
        <f t="shared" si="450"/>
        <v>295.54063791322312</v>
      </c>
      <c r="J302" s="28">
        <f t="shared" ref="J302:J305" si="479">IF(AND(E302=1,G302=1),1,0)</f>
        <v>1</v>
      </c>
      <c r="K302" s="30">
        <f>VLOOKUP($C302,COS!$B$8:$H$991,2,FALSE)</f>
        <v>4546</v>
      </c>
      <c r="L302" s="28">
        <f t="shared" ref="L302" si="480">IF(K302&lt;=IF(MONTH($C302)=4,$I$3,IF(MONTH($C302)=5,$I$4,IF(MONTH($C302)=6,$I$5,IF(MONTH($C302)=7,$I$6,"ERROR")))),1,0)</f>
        <v>1</v>
      </c>
      <c r="M302" s="28">
        <f t="shared" ref="M302" si="481">VLOOKUP($A302,$L$3:$M$7,2,FALSE)</f>
        <v>0</v>
      </c>
      <c r="N302" s="30">
        <f>VLOOKUP($C302,COS!$B$8:$H$991,5,FALSE)</f>
        <v>33.86962890625</v>
      </c>
      <c r="O302" s="30">
        <f t="shared" ref="O302:O305" si="482">N302*DAY($C302)*86400/43560/1000</f>
        <v>2.0153828770661155</v>
      </c>
      <c r="P302" s="30">
        <f>VLOOKUP($C302,COS!$B$8:$H$991,6,FALSE)</f>
        <v>347.92138671875</v>
      </c>
      <c r="Q302" s="30">
        <f t="shared" ref="Q302:Q305" si="483">P302*DAY($C302)*86400/43560/1000</f>
        <v>20.702760201446281</v>
      </c>
      <c r="R302" s="30">
        <f>MIN(IF(MONTH($C302)=4,$S$3,IF(MONTH($C302)=5,$S$4,IF(MONTH($C302)=6,$S$5,IF(MONTH($C302)=7,$S$6,"ERROR")))),MAX(VLOOKUP($C302,COS!$B$8:$K$991,10,FALSE)-IF(MONTH($C302)=4,$Y$3,IF(MONTH($C302)=5,$Y$4,IF(MONTH($C302)=6,$Y$5,IF(MONTH($C302)=7,$Y$6,"ERROR")))),0),MAX(VLOOKUP($C302,COS!$B$8:$K$991,9,FALSE)-IF(MONTH($C302)=4,$V$3,IF(MONTH($C302)=5,$V$4,IF(MONTH($C302)=6,$V$5,IF(MONTH($C302)=7,$V$6,"ERROR"))))-VLOOKUP($C302,COS!$B$8:$K$991,6,FALSE)/2,0))</f>
        <v>1500</v>
      </c>
      <c r="S302" s="30">
        <f t="shared" ref="S302:S305" si="484">R302*DAY($C302)*86400/43560/1000</f>
        <v>89.256198347107429</v>
      </c>
      <c r="T302" s="30">
        <f t="shared" ref="T302:T305" si="485">(O302+Q302)/2+S302</f>
        <v>100.61526988636362</v>
      </c>
      <c r="U302" s="30" t="str">
        <f>IF(VLOOKUP($C302,COS!$B$8:$I$991,8,FALSE)=1,"UWFE","IBU")</f>
        <v>UWFE</v>
      </c>
      <c r="V302" s="30">
        <f t="shared" ref="V302" si="486">MIN(IF(IF($AA$3=2,AND(E302=1,G302=1,L302=1,L307=1,M302=1,U302="IBU"),AND(E302=1,G302=1,L302=1,L307=1,M302=1)),T302,0),I302)</f>
        <v>0</v>
      </c>
      <c r="W302" s="30"/>
      <c r="X302" s="30"/>
      <c r="Y302" s="30"/>
      <c r="Z302" s="30"/>
      <c r="AA302" s="30"/>
      <c r="AB302" s="31"/>
    </row>
    <row r="303" spans="1:28" x14ac:dyDescent="0.3">
      <c r="A303" s="32">
        <f>VLOOKUP(YEAR(C303),Flags!$A$13:$B$95,2,FALSE)</f>
        <v>2</v>
      </c>
      <c r="B303" s="24">
        <f t="shared" si="432"/>
        <v>1954</v>
      </c>
      <c r="C303" s="25">
        <v>19875</v>
      </c>
      <c r="D303" s="26">
        <f>VLOOKUP($C303,COS!$B$8:$H$991,3,FALSE)</f>
        <v>7140.4267578125</v>
      </c>
      <c r="E303" s="24">
        <f>IF(D303&gt;=IF(MONTH($C303)=4,$C$3,IF(MONTH($C303)=5,$C$4,IF(MONTH($C303)=6,$C$5,IF(MONTH($C303)=7,$C$6,"ERROR")))),1,0)</f>
        <v>1</v>
      </c>
      <c r="F303" s="26">
        <f>VLOOKUP($C303,COS!$B$8:$H$991,7,FALSE)</f>
        <v>50.82733154296875</v>
      </c>
      <c r="G303" s="24">
        <f>IF(F303&lt;=IF(MONTH($C303)=4,$F$3,IF(MONTH($C303)=5,$F$4,IF(MONTH($C303)=6,$F$5,IF(MONTH($C303)=7,$F$6,"ERROR")))),1,0)</f>
        <v>1</v>
      </c>
      <c r="H303" s="26">
        <f>IF(J303=1,D303-$C$4,0)</f>
        <v>1140.4267578125</v>
      </c>
      <c r="I303" s="26">
        <f t="shared" si="450"/>
        <v>70.122108083677688</v>
      </c>
      <c r="J303" s="24">
        <f t="shared" si="479"/>
        <v>1</v>
      </c>
      <c r="K303" s="26">
        <f>VLOOKUP($C303,COS!$B$8:$H$991,2,FALSE)</f>
        <v>4520.74951171875</v>
      </c>
      <c r="L303" s="24">
        <f t="shared" si="435"/>
        <v>1</v>
      </c>
      <c r="M303" s="24">
        <f t="shared" si="436"/>
        <v>0</v>
      </c>
      <c r="N303" s="26">
        <f>VLOOKUP($C303,COS!$B$8:$H$991,5,FALSE)</f>
        <v>705.2218017578125</v>
      </c>
      <c r="O303" s="26">
        <f t="shared" si="482"/>
        <v>43.362398389075409</v>
      </c>
      <c r="P303" s="26">
        <f>VLOOKUP($C303,COS!$B$8:$H$991,6,FALSE)</f>
        <v>2247.10107421875</v>
      </c>
      <c r="Q303" s="26">
        <f t="shared" si="483"/>
        <v>138.16885943956612</v>
      </c>
      <c r="R303" s="26">
        <f>MIN(IF(MONTH($C303)=4,$S$3,IF(MONTH($C303)=5,$S$4,IF(MONTH($C303)=6,$S$5,IF(MONTH($C303)=7,$S$6,"ERROR")))),MAX(VLOOKUP($C303,COS!$B$8:$K$991,10,FALSE)-IF(MONTH($C303)=4,$Y$3,IF(MONTH($C303)=5,$Y$4,IF(MONTH($C303)=6,$Y$5,IF(MONTH($C303)=7,$Y$6,"ERROR")))),0),MAX(VLOOKUP($C303,COS!$B$8:$K$991,9,FALSE)-IF(MONTH($C303)=4,$V$3,IF(MONTH($C303)=5,$V$4,IF(MONTH($C303)=6,$V$5,IF(MONTH($C303)=7,$V$6,"ERROR"))))-VLOOKUP($C303,COS!$B$8:$K$991,6,FALSE)/2,0))</f>
        <v>1500</v>
      </c>
      <c r="S303" s="26">
        <f t="shared" si="484"/>
        <v>92.231404958677686</v>
      </c>
      <c r="T303" s="26">
        <f t="shared" si="485"/>
        <v>182.99703387299843</v>
      </c>
      <c r="U303" s="26" t="str">
        <f>IF(VLOOKUP($C303,COS!$B$8:$I$991,8,FALSE)=1,"UWFE","IBU")</f>
        <v>UWFE</v>
      </c>
      <c r="V303" s="26">
        <f t="shared" ref="V303" si="487">MIN(IF(IF($AA$3=2,AND(E303=1,G303=1,L303=1,L307=1,M303=1,U303="IBU"),AND(E303=1,G303=1,L303=1,L307=1,M303=1)),T303,0),I303)</f>
        <v>0</v>
      </c>
      <c r="W303" s="26"/>
      <c r="X303" s="26"/>
      <c r="Y303" s="26"/>
      <c r="Z303" s="26"/>
      <c r="AA303" s="26"/>
      <c r="AB303" s="33"/>
    </row>
    <row r="304" spans="1:28" x14ac:dyDescent="0.3">
      <c r="A304" s="32">
        <f>VLOOKUP(YEAR(C304),Flags!$A$13:$B$95,2,FALSE)</f>
        <v>2</v>
      </c>
      <c r="B304" s="24">
        <f t="shared" si="432"/>
        <v>1954</v>
      </c>
      <c r="C304" s="25">
        <v>19905</v>
      </c>
      <c r="D304" s="26">
        <f>VLOOKUP($C304,COS!$B$8:$H$991,3,FALSE)</f>
        <v>10288.154296875</v>
      </c>
      <c r="E304" s="24">
        <f>IF(D304&gt;=IF(MONTH($C304)=4,$C$3,IF(MONTH($C304)=5,$C$4,IF(MONTH($C304)=6,$C$5,IF(MONTH($C304)=7,$C$6,"ERROR")))),1,0)</f>
        <v>1</v>
      </c>
      <c r="F304" s="26">
        <f>VLOOKUP($C304,COS!$B$8:$H$991,7,FALSE)</f>
        <v>50.714031219482422</v>
      </c>
      <c r="G304" s="24">
        <f>IF(F304&lt;=IF(MONTH($C304)=4,$F$3,IF(MONTH($C304)=5,$F$4,IF(MONTH($C304)=6,$F$5,IF(MONTH($C304)=7,$F$6,"ERROR")))),1,0)</f>
        <v>1</v>
      </c>
      <c r="H304" s="26">
        <f>IF(J304=1,D304-$C$5,0)</f>
        <v>288.154296875</v>
      </c>
      <c r="I304" s="26">
        <f t="shared" si="450"/>
        <v>17.14637138429752</v>
      </c>
      <c r="J304" s="24">
        <f t="shared" si="479"/>
        <v>1</v>
      </c>
      <c r="K304" s="26">
        <f>VLOOKUP($C304,COS!$B$8:$H$991,2,FALSE)</f>
        <v>4172.916015625</v>
      </c>
      <c r="L304" s="24">
        <f t="shared" si="435"/>
        <v>1</v>
      </c>
      <c r="M304" s="24">
        <f t="shared" si="436"/>
        <v>0</v>
      </c>
      <c r="N304" s="26">
        <f>VLOOKUP($C304,COS!$B$8:$H$991,5,FALSE)</f>
        <v>1051.88525390625</v>
      </c>
      <c r="O304" s="26">
        <f t="shared" si="482"/>
        <v>62.591519240702482</v>
      </c>
      <c r="P304" s="26">
        <f>VLOOKUP($C304,COS!$B$8:$H$991,6,FALSE)</f>
        <v>2396.154541015625</v>
      </c>
      <c r="Q304" s="26">
        <f t="shared" si="483"/>
        <v>142.58109665547522</v>
      </c>
      <c r="R304" s="26">
        <f>MIN(IF(MONTH($C304)=4,$S$3,IF(MONTH($C304)=5,$S$4,IF(MONTH($C304)=6,$S$5,IF(MONTH($C304)=7,$S$6,"ERROR")))),MAX(VLOOKUP($C304,COS!$B$8:$K$991,10,FALSE)-IF(MONTH($C304)=4,$Y$3,IF(MONTH($C304)=5,$Y$4,IF(MONTH($C304)=6,$Y$5,IF(MONTH($C304)=7,$Y$6,"ERROR")))),0),MAX(VLOOKUP($C304,COS!$B$8:$K$991,9,FALSE)-IF(MONTH($C304)=4,$V$3,IF(MONTH($C304)=5,$V$4,IF(MONTH($C304)=6,$V$5,IF(MONTH($C304)=7,$V$6,"ERROR"))))-VLOOKUP($C304,COS!$B$8:$K$991,6,FALSE)/2,0))</f>
        <v>1500</v>
      </c>
      <c r="S304" s="26">
        <f t="shared" si="484"/>
        <v>89.256198347107429</v>
      </c>
      <c r="T304" s="26">
        <f t="shared" si="485"/>
        <v>191.8425062951963</v>
      </c>
      <c r="U304" s="26" t="str">
        <f>IF(VLOOKUP($C304,COS!$B$8:$I$991,8,FALSE)=1,"UWFE","IBU")</f>
        <v>IBU</v>
      </c>
      <c r="V304" s="26">
        <f t="shared" ref="V304" si="488">MIN(IF(IF($AA$3=2,AND(E304=1,G304=1,L304=1,L307=1,M304=1,U304="IBU"),AND(E304=1,G304=1,L304=1,L307=1,M304=1)),T304,0),I304)</f>
        <v>0</v>
      </c>
      <c r="W304" s="26"/>
      <c r="X304" s="26"/>
      <c r="Y304" s="26"/>
      <c r="Z304" s="26"/>
      <c r="AA304" s="26"/>
      <c r="AB304" s="33"/>
    </row>
    <row r="305" spans="1:28" x14ac:dyDescent="0.3">
      <c r="A305" s="32">
        <f>VLOOKUP(YEAR(C305),Flags!$A$13:$B$95,2,FALSE)</f>
        <v>2</v>
      </c>
      <c r="B305" s="24">
        <f t="shared" si="432"/>
        <v>1954</v>
      </c>
      <c r="C305" s="25">
        <v>19936</v>
      </c>
      <c r="D305" s="26">
        <f>VLOOKUP($C305,COS!$B$8:$H$991,3,FALSE)</f>
        <v>16000</v>
      </c>
      <c r="E305" s="24">
        <f>IF(D305&gt;=IF(MONTH($C305)=4,$C$3,IF(MONTH($C305)=5,$C$4,IF(MONTH($C305)=6,$C$5,IF(MONTH($C305)=7,$C$6,"ERROR")))),1,0)</f>
        <v>1</v>
      </c>
      <c r="F305" s="26">
        <f>VLOOKUP($C305,COS!$B$8:$H$991,7,FALSE)</f>
        <v>51.326705932617188</v>
      </c>
      <c r="G305" s="24">
        <f>IF(F305&lt;=IF(MONTH($C305)=4,$F$3,IF(MONTH($C305)=5,$F$4,IF(MONTH($C305)=6,$F$5,IF(MONTH($C305)=7,$F$6,"ERROR")))),1,0)</f>
        <v>1</v>
      </c>
      <c r="H305" s="26">
        <f>IF(J305=1,D305-$C$6,0)</f>
        <v>4000</v>
      </c>
      <c r="I305" s="26">
        <f t="shared" si="450"/>
        <v>245.95041322314049</v>
      </c>
      <c r="J305" s="24">
        <f t="shared" si="479"/>
        <v>1</v>
      </c>
      <c r="K305" s="26">
        <f>VLOOKUP($C305,COS!$B$8:$H$991,2,FALSE)</f>
        <v>3484.43505859375</v>
      </c>
      <c r="L305" s="24">
        <f t="shared" si="435"/>
        <v>1</v>
      </c>
      <c r="M305" s="24">
        <f t="shared" si="436"/>
        <v>0</v>
      </c>
      <c r="N305" s="26">
        <f>VLOOKUP($C305,COS!$B$8:$H$991,5,FALSE)</f>
        <v>1187.869384765625</v>
      </c>
      <c r="O305" s="26">
        <f t="shared" si="482"/>
        <v>73.039241509555779</v>
      </c>
      <c r="P305" s="26">
        <f>VLOOKUP($C305,COS!$B$8:$H$991,6,FALSE)</f>
        <v>2562.892822265625</v>
      </c>
      <c r="Q305" s="26">
        <f t="shared" si="483"/>
        <v>157.58613717071282</v>
      </c>
      <c r="R305" s="26">
        <f>MIN(IF(MONTH($C305)=4,$S$3,IF(MONTH($C305)=5,$S$4,IF(MONTH($C305)=6,$S$5,IF(MONTH($C305)=7,$S$6,"ERROR")))),MAX(VLOOKUP($C305,COS!$B$8:$K$991,10,FALSE)-IF(MONTH($C305)=4,$Y$3,IF(MONTH($C305)=5,$Y$4,IF(MONTH($C305)=6,$Y$5,IF(MONTH($C305)=7,$Y$6,"ERROR")))),0),MAX(VLOOKUP($C305,COS!$B$8:$K$991,9,FALSE)-IF(MONTH($C305)=4,$V$3,IF(MONTH($C305)=5,$V$4,IF(MONTH($C305)=6,$V$5,IF(MONTH($C305)=7,$V$6,"ERROR"))))-VLOOKUP($C305,COS!$B$8:$K$991,6,FALSE)/2,0))</f>
        <v>1500</v>
      </c>
      <c r="S305" s="26">
        <f t="shared" si="484"/>
        <v>92.231404958677686</v>
      </c>
      <c r="T305" s="26">
        <f t="shared" si="485"/>
        <v>207.54409429881198</v>
      </c>
      <c r="U305" s="26" t="str">
        <f>IF(VLOOKUP($C305,COS!$B$8:$I$991,8,FALSE)=1,"UWFE","IBU")</f>
        <v>IBU</v>
      </c>
      <c r="V305" s="26">
        <f t="shared" ref="V305" si="489">MIN(IF(IF($AA$3=2,AND(E305=1,G305=1,L305=1,L307=1,M305=1,U305="IBU"),AND(E305=1,G305=1,L305=1,L307=1,M305=1)),T305,0),I305)</f>
        <v>0</v>
      </c>
      <c r="W305" s="26"/>
      <c r="X305" s="26"/>
      <c r="Y305" s="26"/>
      <c r="Z305" s="26"/>
      <c r="AA305" s="26"/>
      <c r="AB305" s="33"/>
    </row>
    <row r="306" spans="1:28" x14ac:dyDescent="0.3">
      <c r="A306" s="32">
        <f>VLOOKUP(YEAR(C306),Flags!$A$13:$B$95,2,FALSE)</f>
        <v>2</v>
      </c>
      <c r="B306" s="24">
        <f t="shared" si="432"/>
        <v>1954</v>
      </c>
      <c r="C306" s="25">
        <v>19967</v>
      </c>
      <c r="D306" s="26"/>
      <c r="E306" s="24"/>
      <c r="F306" s="26"/>
      <c r="G306" s="24"/>
      <c r="H306" s="24"/>
      <c r="I306" s="26"/>
      <c r="J306" s="24"/>
      <c r="K306" s="26"/>
      <c r="L306" s="24"/>
      <c r="M306" s="24"/>
      <c r="N306" s="26"/>
      <c r="O306" s="26"/>
      <c r="P306" s="26"/>
      <c r="Q306" s="26"/>
      <c r="R306" s="26"/>
      <c r="S306" s="26"/>
      <c r="T306" s="26"/>
      <c r="U306" s="26"/>
      <c r="V306" s="26"/>
      <c r="W306" s="26">
        <f>MAX($C$7-VLOOKUP($C306,COS!$B$8:$H$991,3,FALSE),0)</f>
        <v>89107.3271484375</v>
      </c>
      <c r="X306" s="26">
        <f t="shared" si="448"/>
        <v>5478.9959833419425</v>
      </c>
      <c r="Y306" s="26">
        <f>VLOOKUP($C306,COS!$B$8:$H$991,4,FALSE)</f>
        <v>0</v>
      </c>
      <c r="Z306" s="26">
        <f t="shared" si="449"/>
        <v>0</v>
      </c>
      <c r="AA306" s="26">
        <f t="shared" ref="AA306:AA310" si="490">MIN(W306,Y306)</f>
        <v>0</v>
      </c>
      <c r="AB306" s="33">
        <f t="shared" ref="AB306" si="491">AA306*DAY($C306)*86400/43560/1000*IF(MONTH($C306)=8,$P$3,IF(MONTH($C306)=9,$P$4,IF(MONTH($C306)=10,$P$5,IF(MONTH($C306)=11,$P$6,IF(MONTH($C306)=12,$P$7,NA())))))</f>
        <v>0</v>
      </c>
    </row>
    <row r="307" spans="1:28" x14ac:dyDescent="0.3">
      <c r="A307" s="32">
        <f>VLOOKUP(YEAR(C307),Flags!$A$13:$B$95,2,FALSE)</f>
        <v>2</v>
      </c>
      <c r="B307" s="24">
        <f t="shared" si="432"/>
        <v>1954</v>
      </c>
      <c r="C307" s="25">
        <v>19997</v>
      </c>
      <c r="D307" s="26"/>
      <c r="E307" s="24"/>
      <c r="F307" s="26"/>
      <c r="G307" s="24"/>
      <c r="H307" s="24"/>
      <c r="I307" s="26"/>
      <c r="J307" s="24"/>
      <c r="K307" s="26">
        <f>VLOOKUP($C307,COS!$B$8:$H$991,2,FALSE)</f>
        <v>2910.68115234375</v>
      </c>
      <c r="L307" s="24">
        <f t="shared" ref="L307" si="492">IF(AND(K307&gt;$I$7,K307&lt;$I$8),1,0)</f>
        <v>1</v>
      </c>
      <c r="M307" s="24"/>
      <c r="N307" s="26"/>
      <c r="O307" s="26"/>
      <c r="P307" s="26"/>
      <c r="Q307" s="26"/>
      <c r="R307" s="26"/>
      <c r="S307" s="26"/>
      <c r="T307" s="26"/>
      <c r="U307" s="26"/>
      <c r="V307" s="26"/>
      <c r="W307" s="26">
        <f>MAX($C$8-VLOOKUP($C307,COS!$B$8:$H$991,3,FALSE),0)</f>
        <v>89705.0009765625</v>
      </c>
      <c r="X307" s="26">
        <f t="shared" si="448"/>
        <v>5337.8182399276857</v>
      </c>
      <c r="Y307" s="26">
        <f>VLOOKUP($C307,COS!$B$8:$H$991,4,FALSE)</f>
        <v>0</v>
      </c>
      <c r="Z307" s="26">
        <f t="shared" si="449"/>
        <v>0</v>
      </c>
      <c r="AA307" s="26">
        <f t="shared" si="490"/>
        <v>0</v>
      </c>
      <c r="AB307" s="33">
        <f t="shared" si="446"/>
        <v>0</v>
      </c>
    </row>
    <row r="308" spans="1:28" x14ac:dyDescent="0.3">
      <c r="A308" s="32">
        <f>VLOOKUP(YEAR(C308),Flags!$A$13:$B$95,2,FALSE)</f>
        <v>2</v>
      </c>
      <c r="B308" s="24">
        <f t="shared" si="432"/>
        <v>1954</v>
      </c>
      <c r="C308" s="25">
        <v>20028</v>
      </c>
      <c r="D308" s="26"/>
      <c r="E308" s="24"/>
      <c r="F308" s="26"/>
      <c r="G308" s="26"/>
      <c r="H308" s="26"/>
      <c r="I308" s="26"/>
      <c r="J308" s="26"/>
      <c r="K308" s="26"/>
      <c r="L308" s="24"/>
      <c r="M308" s="24"/>
      <c r="N308" s="26"/>
      <c r="O308" s="26"/>
      <c r="P308" s="26"/>
      <c r="Q308" s="26"/>
      <c r="R308" s="26"/>
      <c r="S308" s="26"/>
      <c r="T308" s="26"/>
      <c r="U308" s="26"/>
      <c r="V308" s="26"/>
      <c r="W308" s="26">
        <f>MAX($C$9-VLOOKUP($C308,COS!$B$8:$H$991,3,FALSE),0)</f>
        <v>92851.60400390625</v>
      </c>
      <c r="X308" s="26">
        <f t="shared" si="448"/>
        <v>5709.2225932980373</v>
      </c>
      <c r="Y308" s="26">
        <f>VLOOKUP($C308,COS!$B$8:$H$991,4,FALSE)</f>
        <v>798.4456787109375</v>
      </c>
      <c r="Z308" s="26">
        <f t="shared" si="449"/>
        <v>49.094511153796482</v>
      </c>
      <c r="AA308" s="26">
        <f t="shared" si="490"/>
        <v>798.4456787109375</v>
      </c>
      <c r="AB308" s="33">
        <f t="shared" si="446"/>
        <v>49.094511153796482</v>
      </c>
    </row>
    <row r="309" spans="1:28" x14ac:dyDescent="0.3">
      <c r="A309" s="32">
        <f>VLOOKUP(YEAR(C309),Flags!$A$13:$B$95,2,FALSE)</f>
        <v>2</v>
      </c>
      <c r="B309" s="24">
        <f t="shared" si="432"/>
        <v>1954</v>
      </c>
      <c r="C309" s="25">
        <v>20058</v>
      </c>
      <c r="D309" s="26"/>
      <c r="E309" s="24"/>
      <c r="F309" s="26"/>
      <c r="G309" s="26"/>
      <c r="H309" s="26"/>
      <c r="I309" s="26"/>
      <c r="J309" s="26"/>
      <c r="K309" s="26"/>
      <c r="L309" s="24"/>
      <c r="M309" s="24"/>
      <c r="N309" s="26"/>
      <c r="O309" s="26"/>
      <c r="P309" s="26"/>
      <c r="Q309" s="26"/>
      <c r="R309" s="26"/>
      <c r="S309" s="26"/>
      <c r="T309" s="26"/>
      <c r="U309" s="26"/>
      <c r="V309" s="26"/>
      <c r="W309" s="26">
        <f>MAX($C$10-VLOOKUP($C309,COS!$B$8:$H$991,3,FALSE),0)</f>
        <v>92153.25146484375</v>
      </c>
      <c r="X309" s="26">
        <f t="shared" si="448"/>
        <v>5483.4992607179747</v>
      </c>
      <c r="Y309" s="26">
        <f>VLOOKUP($C309,COS!$B$8:$H$991,4,FALSE)</f>
        <v>832.2525634765625</v>
      </c>
      <c r="Z309" s="26">
        <f t="shared" si="449"/>
        <v>49.522466587035126</v>
      </c>
      <c r="AA309" s="26">
        <f t="shared" si="490"/>
        <v>832.2525634765625</v>
      </c>
      <c r="AB309" s="33">
        <f t="shared" si="446"/>
        <v>24.761233293517563</v>
      </c>
    </row>
    <row r="310" spans="1:28" x14ac:dyDescent="0.3">
      <c r="A310" s="34">
        <f>VLOOKUP(YEAR(C310),Flags!$A$13:$B$95,2,FALSE)</f>
        <v>2</v>
      </c>
      <c r="B310" s="35">
        <f t="shared" si="432"/>
        <v>1954</v>
      </c>
      <c r="C310" s="36">
        <v>20089</v>
      </c>
      <c r="D310" s="37"/>
      <c r="E310" s="35"/>
      <c r="F310" s="37"/>
      <c r="G310" s="37"/>
      <c r="H310" s="37"/>
      <c r="I310" s="37"/>
      <c r="J310" s="37"/>
      <c r="K310" s="37"/>
      <c r="L310" s="35"/>
      <c r="M310" s="35"/>
      <c r="N310" s="37"/>
      <c r="O310" s="37"/>
      <c r="P310" s="37"/>
      <c r="Q310" s="37"/>
      <c r="R310" s="37"/>
      <c r="S310" s="37"/>
      <c r="T310" s="37"/>
      <c r="U310" s="37"/>
      <c r="V310" s="37"/>
      <c r="W310" s="37">
        <f>MAX($C$11-VLOOKUP($C310,COS!$B$8:$H$991,3,FALSE),0)</f>
        <v>0</v>
      </c>
      <c r="X310" s="37">
        <f t="shared" si="448"/>
        <v>0</v>
      </c>
      <c r="Y310" s="37">
        <f>VLOOKUP($C310,COS!$B$8:$H$991,4,FALSE)</f>
        <v>0</v>
      </c>
      <c r="Z310" s="37">
        <f t="shared" si="449"/>
        <v>0</v>
      </c>
      <c r="AA310" s="37">
        <f t="shared" si="490"/>
        <v>0</v>
      </c>
      <c r="AB310" s="38">
        <f t="shared" si="446"/>
        <v>0</v>
      </c>
    </row>
    <row r="311" spans="1:28" x14ac:dyDescent="0.3">
      <c r="A311" s="27">
        <f>VLOOKUP(YEAR(C311),Flags!$A$13:$B$95,2,FALSE)</f>
        <v>4</v>
      </c>
      <c r="B311" s="28">
        <f t="shared" si="432"/>
        <v>1955</v>
      </c>
      <c r="C311" s="29">
        <v>20209</v>
      </c>
      <c r="D311" s="30">
        <f>VLOOKUP($C311,COS!$B$8:$H$991,3,FALSE)</f>
        <v>3250</v>
      </c>
      <c r="E311" s="28">
        <f>IF(D311&gt;=IF(MONTH($C311)=4,$C$3,IF(MONTH($C311)=5,$C$4,IF(MONTH($C311)=6,$C$5,IF(MONTH($C311)=7,$C$6,"ERROR")))),1,0)</f>
        <v>0</v>
      </c>
      <c r="F311" s="30">
        <f>VLOOKUP($C311,COS!$B$8:$H$991,7,FALSE)</f>
        <v>50.451328277587891</v>
      </c>
      <c r="G311" s="28">
        <f>IF(F311&lt;=IF(MONTH($C311)=4,$F$3,IF(MONTH($C311)=5,$F$4,IF(MONTH($C311)=6,$F$5,IF(MONTH($C311)=7,$F$6,"ERROR")))),1,0)</f>
        <v>1</v>
      </c>
      <c r="H311" s="30">
        <f>IF(J311=1,D311-$C$3,0)</f>
        <v>0</v>
      </c>
      <c r="I311" s="30">
        <f t="shared" si="450"/>
        <v>0</v>
      </c>
      <c r="J311" s="28">
        <f t="shared" ref="J311:J314" si="493">IF(AND(E311=1,G311=1),1,0)</f>
        <v>0</v>
      </c>
      <c r="K311" s="30">
        <f>VLOOKUP($C311,COS!$B$8:$H$991,2,FALSE)</f>
        <v>3900.966552734375</v>
      </c>
      <c r="L311" s="28">
        <f t="shared" ref="L311" si="494">IF(K311&lt;=IF(MONTH($C311)=4,$I$3,IF(MONTH($C311)=5,$I$4,IF(MONTH($C311)=6,$I$5,IF(MONTH($C311)=7,$I$6,"ERROR")))),1,0)</f>
        <v>1</v>
      </c>
      <c r="M311" s="28">
        <f t="shared" ref="M311" si="495">VLOOKUP($A311,$L$3:$M$7,2,FALSE)</f>
        <v>1</v>
      </c>
      <c r="N311" s="30">
        <f>VLOOKUP($C311,COS!$B$8:$H$991,5,FALSE)</f>
        <v>222.8968505859375</v>
      </c>
      <c r="O311" s="30">
        <f t="shared" ref="O311:O314" si="496">N311*DAY($C311)*86400/43560/1000</f>
        <v>13.26328367122934</v>
      </c>
      <c r="P311" s="30">
        <f>VLOOKUP($C311,COS!$B$8:$H$991,6,FALSE)</f>
        <v>466.9581298828125</v>
      </c>
      <c r="Q311" s="30">
        <f t="shared" ref="Q311:Q314" si="497">P311*DAY($C311)*86400/43560/1000</f>
        <v>27.785938307076446</v>
      </c>
      <c r="R311" s="30">
        <f>MIN(IF(MONTH($C311)=4,$S$3,IF(MONTH($C311)=5,$S$4,IF(MONTH($C311)=6,$S$5,IF(MONTH($C311)=7,$S$6,"ERROR")))),MAX(VLOOKUP($C311,COS!$B$8:$K$991,10,FALSE)-IF(MONTH($C311)=4,$Y$3,IF(MONTH($C311)=5,$Y$4,IF(MONTH($C311)=6,$Y$5,IF(MONTH($C311)=7,$Y$6,"ERROR")))),0),MAX(VLOOKUP($C311,COS!$B$8:$K$991,9,FALSE)-IF(MONTH($C311)=4,$V$3,IF(MONTH($C311)=5,$V$4,IF(MONTH($C311)=6,$V$5,IF(MONTH($C311)=7,$V$6,"ERROR"))))-VLOOKUP($C311,COS!$B$8:$K$991,6,FALSE)/2,0))</f>
        <v>1500</v>
      </c>
      <c r="S311" s="30">
        <f t="shared" ref="S311:S314" si="498">R311*DAY($C311)*86400/43560/1000</f>
        <v>89.256198347107429</v>
      </c>
      <c r="T311" s="30">
        <f t="shared" ref="T311:T314" si="499">(O311+Q311)/2+S311</f>
        <v>109.78080933626032</v>
      </c>
      <c r="U311" s="30" t="str">
        <f>IF(VLOOKUP($C311,COS!$B$8:$I$991,8,FALSE)=1,"UWFE","IBU")</f>
        <v>UWFE</v>
      </c>
      <c r="V311" s="30">
        <f t="shared" ref="V311" si="500">MIN(IF(IF($AA$3=2,AND(E311=1,G311=1,L311=1,L316=1,M311=1,U311="IBU"),AND(E311=1,G311=1,L311=1,L316=1,M311=1)),T311,0),I311)</f>
        <v>0</v>
      </c>
      <c r="W311" s="30"/>
      <c r="X311" s="30"/>
      <c r="Y311" s="30"/>
      <c r="Z311" s="30"/>
      <c r="AA311" s="30"/>
      <c r="AB311" s="31"/>
    </row>
    <row r="312" spans="1:28" x14ac:dyDescent="0.3">
      <c r="A312" s="32">
        <f>VLOOKUP(YEAR(C312),Flags!$A$13:$B$95,2,FALSE)</f>
        <v>4</v>
      </c>
      <c r="B312" s="24">
        <f t="shared" si="432"/>
        <v>1955</v>
      </c>
      <c r="C312" s="25">
        <v>20240</v>
      </c>
      <c r="D312" s="26">
        <f>VLOOKUP($C312,COS!$B$8:$H$991,3,FALSE)</f>
        <v>5268.8193359375</v>
      </c>
      <c r="E312" s="24">
        <f>IF(D312&gt;=IF(MONTH($C312)=4,$C$3,IF(MONTH($C312)=5,$C$4,IF(MONTH($C312)=6,$C$5,IF(MONTH($C312)=7,$C$6,"ERROR")))),1,0)</f>
        <v>0</v>
      </c>
      <c r="F312" s="26">
        <f>VLOOKUP($C312,COS!$B$8:$H$991,7,FALSE)</f>
        <v>51.616672515869141</v>
      </c>
      <c r="G312" s="24">
        <f>IF(F312&lt;=IF(MONTH($C312)=4,$F$3,IF(MONTH($C312)=5,$F$4,IF(MONTH($C312)=6,$F$5,IF(MONTH($C312)=7,$F$6,"ERROR")))),1,0)</f>
        <v>1</v>
      </c>
      <c r="H312" s="26">
        <f>IF(J312=1,D312-$C$4,0)</f>
        <v>0</v>
      </c>
      <c r="I312" s="26">
        <f t="shared" si="450"/>
        <v>0</v>
      </c>
      <c r="J312" s="24">
        <f t="shared" si="493"/>
        <v>0</v>
      </c>
      <c r="K312" s="26">
        <f>VLOOKUP($C312,COS!$B$8:$H$991,2,FALSE)</f>
        <v>4019.9189453125</v>
      </c>
      <c r="L312" s="24">
        <f t="shared" si="435"/>
        <v>1</v>
      </c>
      <c r="M312" s="24">
        <f t="shared" si="436"/>
        <v>1</v>
      </c>
      <c r="N312" s="26">
        <f>VLOOKUP($C312,COS!$B$8:$H$991,5,FALSE)</f>
        <v>365.389892578125</v>
      </c>
      <c r="O312" s="26">
        <f t="shared" si="496"/>
        <v>22.466948766787191</v>
      </c>
      <c r="P312" s="26">
        <f>VLOOKUP($C312,COS!$B$8:$H$991,6,FALSE)</f>
        <v>2265.77197265625</v>
      </c>
      <c r="Q312" s="26">
        <f t="shared" si="497"/>
        <v>139.31688823605373</v>
      </c>
      <c r="R312" s="26">
        <f>MIN(IF(MONTH($C312)=4,$S$3,IF(MONTH($C312)=5,$S$4,IF(MONTH($C312)=6,$S$5,IF(MONTH($C312)=7,$S$6,"ERROR")))),MAX(VLOOKUP($C312,COS!$B$8:$K$991,10,FALSE)-IF(MONTH($C312)=4,$Y$3,IF(MONTH($C312)=5,$Y$4,IF(MONTH($C312)=6,$Y$5,IF(MONTH($C312)=7,$Y$6,"ERROR")))),0),MAX(VLOOKUP($C312,COS!$B$8:$K$991,9,FALSE)-IF(MONTH($C312)=4,$V$3,IF(MONTH($C312)=5,$V$4,IF(MONTH($C312)=6,$V$5,IF(MONTH($C312)=7,$V$6,"ERROR"))))-VLOOKUP($C312,COS!$B$8:$K$991,6,FALSE)/2,0))</f>
        <v>1486.18310546875</v>
      </c>
      <c r="S312" s="26">
        <f t="shared" si="498"/>
        <v>91.38183722882232</v>
      </c>
      <c r="T312" s="26">
        <f t="shared" si="499"/>
        <v>172.27375573024278</v>
      </c>
      <c r="U312" s="26" t="str">
        <f>IF(VLOOKUP($C312,COS!$B$8:$I$991,8,FALSE)=1,"UWFE","IBU")</f>
        <v>UWFE</v>
      </c>
      <c r="V312" s="26">
        <f t="shared" ref="V312" si="501">MIN(IF(IF($AA$3=2,AND(E312=1,G312=1,L312=1,L316=1,M312=1,U312="IBU"),AND(E312=1,G312=1,L312=1,L316=1,M312=1)),T312,0),I312)</f>
        <v>0</v>
      </c>
      <c r="W312" s="26"/>
      <c r="X312" s="26"/>
      <c r="Y312" s="26"/>
      <c r="Z312" s="26"/>
      <c r="AA312" s="26"/>
      <c r="AB312" s="33"/>
    </row>
    <row r="313" spans="1:28" x14ac:dyDescent="0.3">
      <c r="A313" s="32">
        <f>VLOOKUP(YEAR(C313),Flags!$A$13:$B$95,2,FALSE)</f>
        <v>4</v>
      </c>
      <c r="B313" s="24">
        <f t="shared" si="432"/>
        <v>1955</v>
      </c>
      <c r="C313" s="25">
        <v>20270</v>
      </c>
      <c r="D313" s="26">
        <f>VLOOKUP($C313,COS!$B$8:$H$991,3,FALSE)</f>
        <v>9586.744140625</v>
      </c>
      <c r="E313" s="24">
        <f>IF(D313&gt;=IF(MONTH($C313)=4,$C$3,IF(MONTH($C313)=5,$C$4,IF(MONTH($C313)=6,$C$5,IF(MONTH($C313)=7,$C$6,"ERROR")))),1,0)</f>
        <v>0</v>
      </c>
      <c r="F313" s="26">
        <f>VLOOKUP($C313,COS!$B$8:$H$991,7,FALSE)</f>
        <v>51.253532409667969</v>
      </c>
      <c r="G313" s="24">
        <f>IF(F313&lt;=IF(MONTH($C313)=4,$F$3,IF(MONTH($C313)=5,$F$4,IF(MONTH($C313)=6,$F$5,IF(MONTH($C313)=7,$F$6,"ERROR")))),1,0)</f>
        <v>1</v>
      </c>
      <c r="H313" s="26">
        <f>IF(J313=1,D313-$C$5,0)</f>
        <v>0</v>
      </c>
      <c r="I313" s="26">
        <f t="shared" si="450"/>
        <v>0</v>
      </c>
      <c r="J313" s="24">
        <f t="shared" si="493"/>
        <v>0</v>
      </c>
      <c r="K313" s="26">
        <f>VLOOKUP($C313,COS!$B$8:$H$991,2,FALSE)</f>
        <v>3710.103271484375</v>
      </c>
      <c r="L313" s="24">
        <f t="shared" si="435"/>
        <v>1</v>
      </c>
      <c r="M313" s="24">
        <f t="shared" si="436"/>
        <v>1</v>
      </c>
      <c r="N313" s="26">
        <f>VLOOKUP($C313,COS!$B$8:$H$991,5,FALSE)</f>
        <v>444.3331298828125</v>
      </c>
      <c r="O313" s="26">
        <f t="shared" si="496"/>
        <v>26.439657315340909</v>
      </c>
      <c r="P313" s="26">
        <f>VLOOKUP($C313,COS!$B$8:$H$991,6,FALSE)</f>
        <v>2712.6806640625</v>
      </c>
      <c r="Q313" s="26">
        <f t="shared" si="497"/>
        <v>161.41570893595042</v>
      </c>
      <c r="R313" s="26">
        <f>MIN(IF(MONTH($C313)=4,$S$3,IF(MONTH($C313)=5,$S$4,IF(MONTH($C313)=6,$S$5,IF(MONTH($C313)=7,$S$6,"ERROR")))),MAX(VLOOKUP($C313,COS!$B$8:$K$991,10,FALSE)-IF(MONTH($C313)=4,$Y$3,IF(MONTH($C313)=5,$Y$4,IF(MONTH($C313)=6,$Y$5,IF(MONTH($C313)=7,$Y$6,"ERROR")))),0),MAX(VLOOKUP($C313,COS!$B$8:$K$991,9,FALSE)-IF(MONTH($C313)=4,$V$3,IF(MONTH($C313)=5,$V$4,IF(MONTH($C313)=6,$V$5,IF(MONTH($C313)=7,$V$6,"ERROR"))))-VLOOKUP($C313,COS!$B$8:$K$991,6,FALSE)/2,0))</f>
        <v>1500</v>
      </c>
      <c r="S313" s="26">
        <f t="shared" si="498"/>
        <v>89.256198347107429</v>
      </c>
      <c r="T313" s="26">
        <f t="shared" si="499"/>
        <v>183.18388147275311</v>
      </c>
      <c r="U313" s="26" t="str">
        <f>IF(VLOOKUP($C313,COS!$B$8:$I$991,8,FALSE)=1,"UWFE","IBU")</f>
        <v>IBU</v>
      </c>
      <c r="V313" s="26">
        <f t="shared" ref="V313" si="502">MIN(IF(IF($AA$3=2,AND(E313=1,G313=1,L313=1,L316=1,M313=1,U313="IBU"),AND(E313=1,G313=1,L313=1,L316=1,M313=1)),T313,0),I313)</f>
        <v>0</v>
      </c>
      <c r="W313" s="26"/>
      <c r="X313" s="26"/>
      <c r="Y313" s="26"/>
      <c r="Z313" s="26"/>
      <c r="AA313" s="26"/>
      <c r="AB313" s="33"/>
    </row>
    <row r="314" spans="1:28" x14ac:dyDescent="0.3">
      <c r="A314" s="32">
        <f>VLOOKUP(YEAR(C314),Flags!$A$13:$B$95,2,FALSE)</f>
        <v>4</v>
      </c>
      <c r="B314" s="24">
        <f t="shared" si="432"/>
        <v>1955</v>
      </c>
      <c r="C314" s="25">
        <v>20301</v>
      </c>
      <c r="D314" s="26">
        <f>VLOOKUP($C314,COS!$B$8:$H$991,3,FALSE)</f>
        <v>14380.9560546875</v>
      </c>
      <c r="E314" s="24">
        <f>IF(D314&gt;=IF(MONTH($C314)=4,$C$3,IF(MONTH($C314)=5,$C$4,IF(MONTH($C314)=6,$C$5,IF(MONTH($C314)=7,$C$6,"ERROR")))),1,0)</f>
        <v>1</v>
      </c>
      <c r="F314" s="26">
        <f>VLOOKUP($C314,COS!$B$8:$H$991,7,FALSE)</f>
        <v>51.871387481689453</v>
      </c>
      <c r="G314" s="24">
        <f>IF(F314&lt;=IF(MONTH($C314)=4,$F$3,IF(MONTH($C314)=5,$F$4,IF(MONTH($C314)=6,$F$5,IF(MONTH($C314)=7,$F$6,"ERROR")))),1,0)</f>
        <v>1</v>
      </c>
      <c r="H314" s="26">
        <f>IF(J314=1,D314-$C$6,0)</f>
        <v>2380.9560546875</v>
      </c>
      <c r="I314" s="26">
        <f t="shared" si="450"/>
        <v>146.39928137913225</v>
      </c>
      <c r="J314" s="24">
        <f t="shared" si="493"/>
        <v>1</v>
      </c>
      <c r="K314" s="26">
        <f>VLOOKUP($C314,COS!$B$8:$H$991,2,FALSE)</f>
        <v>3124.154052734375</v>
      </c>
      <c r="L314" s="24">
        <f t="shared" si="435"/>
        <v>1</v>
      </c>
      <c r="M314" s="24">
        <f t="shared" si="436"/>
        <v>1</v>
      </c>
      <c r="N314" s="26">
        <f>VLOOKUP($C314,COS!$B$8:$H$991,5,FALSE)</f>
        <v>487.44525146484375</v>
      </c>
      <c r="O314" s="26">
        <f t="shared" si="496"/>
        <v>29.971840255358988</v>
      </c>
      <c r="P314" s="26">
        <f>VLOOKUP($C314,COS!$B$8:$H$991,6,FALSE)</f>
        <v>2538.07568359375</v>
      </c>
      <c r="Q314" s="26">
        <f t="shared" si="497"/>
        <v>156.06019079287191</v>
      </c>
      <c r="R314" s="26">
        <f>MIN(IF(MONTH($C314)=4,$S$3,IF(MONTH($C314)=5,$S$4,IF(MONTH($C314)=6,$S$5,IF(MONTH($C314)=7,$S$6,"ERROR")))),MAX(VLOOKUP($C314,COS!$B$8:$K$991,10,FALSE)-IF(MONTH($C314)=4,$Y$3,IF(MONTH($C314)=5,$Y$4,IF(MONTH($C314)=6,$Y$5,IF(MONTH($C314)=7,$Y$6,"ERROR")))),0),MAX(VLOOKUP($C314,COS!$B$8:$K$991,9,FALSE)-IF(MONTH($C314)=4,$V$3,IF(MONTH($C314)=5,$V$4,IF(MONTH($C314)=6,$V$5,IF(MONTH($C314)=7,$V$6,"ERROR"))))-VLOOKUP($C314,COS!$B$8:$K$991,6,FALSE)/2,0))</f>
        <v>1500</v>
      </c>
      <c r="S314" s="26">
        <f t="shared" si="498"/>
        <v>92.231404958677686</v>
      </c>
      <c r="T314" s="26">
        <f t="shared" si="499"/>
        <v>185.24742048279313</v>
      </c>
      <c r="U314" s="26" t="str">
        <f>IF(VLOOKUP($C314,COS!$B$8:$I$991,8,FALSE)=1,"UWFE","IBU")</f>
        <v>IBU</v>
      </c>
      <c r="V314" s="26">
        <f t="shared" ref="V314" si="503">MIN(IF(IF($AA$3=2,AND(E314=1,G314=1,L314=1,L316=1,M314=1,U314="IBU"),AND(E314=1,G314=1,L314=1,L316=1,M314=1)),T314,0),I314)</f>
        <v>146.39928137913225</v>
      </c>
      <c r="W314" s="26"/>
      <c r="X314" s="26"/>
      <c r="Y314" s="26"/>
      <c r="Z314" s="26"/>
      <c r="AA314" s="26"/>
      <c r="AB314" s="33"/>
    </row>
    <row r="315" spans="1:28" x14ac:dyDescent="0.3">
      <c r="A315" s="32">
        <f>VLOOKUP(YEAR(C315),Flags!$A$13:$B$95,2,FALSE)</f>
        <v>4</v>
      </c>
      <c r="B315" s="24">
        <f t="shared" si="432"/>
        <v>1955</v>
      </c>
      <c r="C315" s="25">
        <v>20332</v>
      </c>
      <c r="D315" s="26"/>
      <c r="E315" s="24"/>
      <c r="F315" s="26"/>
      <c r="G315" s="24"/>
      <c r="H315" s="24"/>
      <c r="I315" s="26"/>
      <c r="J315" s="24"/>
      <c r="K315" s="26"/>
      <c r="L315" s="24"/>
      <c r="M315" s="24"/>
      <c r="N315" s="26"/>
      <c r="O315" s="26"/>
      <c r="P315" s="26"/>
      <c r="Q315" s="26"/>
      <c r="R315" s="26"/>
      <c r="S315" s="26"/>
      <c r="T315" s="26"/>
      <c r="U315" s="26"/>
      <c r="V315" s="26"/>
      <c r="W315" s="26">
        <f>MAX($C$7-VLOOKUP($C315,COS!$B$8:$H$991,3,FALSE),0)</f>
        <v>91467.5400390625</v>
      </c>
      <c r="X315" s="26">
        <f t="shared" si="448"/>
        <v>5624.1198172778923</v>
      </c>
      <c r="Y315" s="26">
        <f>VLOOKUP($C315,COS!$B$8:$H$991,4,FALSE)</f>
        <v>1565.8887939453125</v>
      </c>
      <c r="Z315" s="26">
        <f t="shared" si="449"/>
        <v>96.282748983083678</v>
      </c>
      <c r="AA315" s="26">
        <f t="shared" ref="AA315:AA319" si="504">MIN(W315,Y315)</f>
        <v>1565.8887939453125</v>
      </c>
      <c r="AB315" s="33">
        <f t="shared" ref="AB315" si="505">AA315*DAY($C315)*86400/43560/1000*IF(MONTH($C315)=8,$P$3,IF(MONTH($C315)=9,$P$4,IF(MONTH($C315)=10,$P$5,IF(MONTH($C315)=11,$P$6,IF(MONTH($C315)=12,$P$7,NA())))))</f>
        <v>96.282748983083678</v>
      </c>
    </row>
    <row r="316" spans="1:28" x14ac:dyDescent="0.3">
      <c r="A316" s="32">
        <f>VLOOKUP(YEAR(C316),Flags!$A$13:$B$95,2,FALSE)</f>
        <v>4</v>
      </c>
      <c r="B316" s="24">
        <f t="shared" si="432"/>
        <v>1955</v>
      </c>
      <c r="C316" s="25">
        <v>20362</v>
      </c>
      <c r="D316" s="26"/>
      <c r="E316" s="24"/>
      <c r="F316" s="26"/>
      <c r="G316" s="24"/>
      <c r="H316" s="24"/>
      <c r="I316" s="26"/>
      <c r="J316" s="24"/>
      <c r="K316" s="26">
        <f>VLOOKUP($C316,COS!$B$8:$H$991,2,FALSE)</f>
        <v>2864.943603515625</v>
      </c>
      <c r="L316" s="24">
        <f t="shared" ref="L316" si="506">IF(AND(K316&gt;$I$7,K316&lt;$I$8),1,0)</f>
        <v>1</v>
      </c>
      <c r="M316" s="24"/>
      <c r="N316" s="26"/>
      <c r="O316" s="26"/>
      <c r="P316" s="26"/>
      <c r="Q316" s="26"/>
      <c r="R316" s="26"/>
      <c r="S316" s="26"/>
      <c r="T316" s="26"/>
      <c r="U316" s="26"/>
      <c r="V316" s="26"/>
      <c r="W316" s="26">
        <f>MAX($C$8-VLOOKUP($C316,COS!$B$8:$H$991,3,FALSE),0)</f>
        <v>95723.19287109375</v>
      </c>
      <c r="X316" s="26">
        <f t="shared" si="448"/>
        <v>5695.9255262138431</v>
      </c>
      <c r="Y316" s="26">
        <f>VLOOKUP($C316,COS!$B$8:$H$991,4,FALSE)</f>
        <v>813.69903564453125</v>
      </c>
      <c r="Z316" s="26">
        <f t="shared" si="449"/>
        <v>48.418455013558884</v>
      </c>
      <c r="AA316" s="26">
        <f t="shared" si="504"/>
        <v>813.69903564453125</v>
      </c>
      <c r="AB316" s="33">
        <f t="shared" si="446"/>
        <v>48.418455013558884</v>
      </c>
    </row>
    <row r="317" spans="1:28" x14ac:dyDescent="0.3">
      <c r="A317" s="32">
        <f>VLOOKUP(YEAR(C317),Flags!$A$13:$B$95,2,FALSE)</f>
        <v>4</v>
      </c>
      <c r="B317" s="24">
        <f t="shared" si="432"/>
        <v>1955</v>
      </c>
      <c r="C317" s="25">
        <v>20393</v>
      </c>
      <c r="D317" s="26"/>
      <c r="E317" s="24"/>
      <c r="F317" s="26"/>
      <c r="G317" s="26"/>
      <c r="H317" s="26"/>
      <c r="I317" s="26"/>
      <c r="J317" s="26"/>
      <c r="K317" s="26"/>
      <c r="L317" s="24"/>
      <c r="M317" s="24"/>
      <c r="N317" s="26"/>
      <c r="O317" s="26"/>
      <c r="P317" s="26"/>
      <c r="Q317" s="26"/>
      <c r="R317" s="26"/>
      <c r="S317" s="26"/>
      <c r="T317" s="26"/>
      <c r="U317" s="26"/>
      <c r="V317" s="26"/>
      <c r="W317" s="26">
        <f>MAX($C$9-VLOOKUP($C317,COS!$B$8:$H$991,3,FALSE),0)</f>
        <v>94019.69970703125</v>
      </c>
      <c r="X317" s="26">
        <f t="shared" si="448"/>
        <v>5781.0459985149791</v>
      </c>
      <c r="Y317" s="26">
        <f>VLOOKUP($C317,COS!$B$8:$H$991,4,FALSE)</f>
        <v>1413.0872802734375</v>
      </c>
      <c r="Z317" s="26">
        <f t="shared" si="449"/>
        <v>86.887350125903922</v>
      </c>
      <c r="AA317" s="26">
        <f t="shared" si="504"/>
        <v>1413.0872802734375</v>
      </c>
      <c r="AB317" s="33">
        <f t="shared" si="446"/>
        <v>86.887350125903922</v>
      </c>
    </row>
    <row r="318" spans="1:28" x14ac:dyDescent="0.3">
      <c r="A318" s="32">
        <f>VLOOKUP(YEAR(C318),Flags!$A$13:$B$95,2,FALSE)</f>
        <v>4</v>
      </c>
      <c r="B318" s="24">
        <f t="shared" si="432"/>
        <v>1955</v>
      </c>
      <c r="C318" s="25">
        <v>20423</v>
      </c>
      <c r="D318" s="26"/>
      <c r="E318" s="24"/>
      <c r="F318" s="26"/>
      <c r="G318" s="26"/>
      <c r="H318" s="26"/>
      <c r="I318" s="26"/>
      <c r="J318" s="26"/>
      <c r="K318" s="26"/>
      <c r="L318" s="24"/>
      <c r="M318" s="24"/>
      <c r="N318" s="26"/>
      <c r="O318" s="26"/>
      <c r="P318" s="26"/>
      <c r="Q318" s="26"/>
      <c r="R318" s="26"/>
      <c r="S318" s="26"/>
      <c r="T318" s="26"/>
      <c r="U318" s="26"/>
      <c r="V318" s="26"/>
      <c r="W318" s="26">
        <f>MAX($C$10-VLOOKUP($C318,COS!$B$8:$H$991,3,FALSE),0)</f>
        <v>96749</v>
      </c>
      <c r="X318" s="26">
        <f t="shared" si="448"/>
        <v>5756.965289256198</v>
      </c>
      <c r="Y318" s="26">
        <f>VLOOKUP($C318,COS!$B$8:$H$991,4,FALSE)</f>
        <v>1431.478759765625</v>
      </c>
      <c r="Z318" s="26">
        <f t="shared" si="449"/>
        <v>85.178901407541332</v>
      </c>
      <c r="AA318" s="26">
        <f t="shared" si="504"/>
        <v>1431.478759765625</v>
      </c>
      <c r="AB318" s="33">
        <f t="shared" si="446"/>
        <v>42.589450703770666</v>
      </c>
    </row>
    <row r="319" spans="1:28" x14ac:dyDescent="0.3">
      <c r="A319" s="34">
        <f>VLOOKUP(YEAR(C319),Flags!$A$13:$B$95,2,FALSE)</f>
        <v>4</v>
      </c>
      <c r="B319" s="35">
        <f t="shared" si="432"/>
        <v>1955</v>
      </c>
      <c r="C319" s="36">
        <v>20454</v>
      </c>
      <c r="D319" s="37"/>
      <c r="E319" s="35"/>
      <c r="F319" s="37"/>
      <c r="G319" s="37"/>
      <c r="H319" s="37"/>
      <c r="I319" s="37"/>
      <c r="J319" s="37"/>
      <c r="K319" s="37"/>
      <c r="L319" s="35"/>
      <c r="M319" s="35"/>
      <c r="N319" s="37"/>
      <c r="O319" s="37"/>
      <c r="P319" s="37"/>
      <c r="Q319" s="37"/>
      <c r="R319" s="37"/>
      <c r="S319" s="37"/>
      <c r="T319" s="37"/>
      <c r="U319" s="37"/>
      <c r="V319" s="37"/>
      <c r="W319" s="37">
        <f>MAX($C$11-VLOOKUP($C319,COS!$B$8:$H$991,3,FALSE),0)</f>
        <v>0</v>
      </c>
      <c r="X319" s="37">
        <f t="shared" si="448"/>
        <v>0</v>
      </c>
      <c r="Y319" s="37">
        <f>VLOOKUP($C319,COS!$B$8:$H$991,4,FALSE)</f>
        <v>0</v>
      </c>
      <c r="Z319" s="37">
        <f t="shared" si="449"/>
        <v>0</v>
      </c>
      <c r="AA319" s="37">
        <f t="shared" si="504"/>
        <v>0</v>
      </c>
      <c r="AB319" s="38">
        <f t="shared" si="446"/>
        <v>0</v>
      </c>
    </row>
    <row r="320" spans="1:28" x14ac:dyDescent="0.3">
      <c r="A320" s="27">
        <f>VLOOKUP(YEAR(C320),Flags!$A$13:$B$95,2,FALSE)</f>
        <v>1</v>
      </c>
      <c r="B320" s="28">
        <f t="shared" si="432"/>
        <v>1956</v>
      </c>
      <c r="C320" s="29">
        <v>20575</v>
      </c>
      <c r="D320" s="30">
        <f>VLOOKUP($C320,COS!$B$8:$H$991,3,FALSE)</f>
        <v>3250</v>
      </c>
      <c r="E320" s="28">
        <f>IF(D320&gt;=IF(MONTH($C320)=4,$C$3,IF(MONTH($C320)=5,$C$4,IF(MONTH($C320)=6,$C$5,IF(MONTH($C320)=7,$C$6,"ERROR")))),1,0)</f>
        <v>0</v>
      </c>
      <c r="F320" s="30">
        <f>VLOOKUP($C320,COS!$B$8:$H$991,7,FALSE)</f>
        <v>49.895095825195313</v>
      </c>
      <c r="G320" s="28">
        <f>IF(F320&lt;=IF(MONTH($C320)=4,$F$3,IF(MONTH($C320)=5,$F$4,IF(MONTH($C320)=6,$F$5,IF(MONTH($C320)=7,$F$6,"ERROR")))),1,0)</f>
        <v>1</v>
      </c>
      <c r="H320" s="30">
        <f>IF(J320=1,D320-$C$3,0)</f>
        <v>0</v>
      </c>
      <c r="I320" s="30">
        <f t="shared" si="450"/>
        <v>0</v>
      </c>
      <c r="J320" s="28">
        <f t="shared" ref="J320:J323" si="507">IF(AND(E320=1,G320=1),1,0)</f>
        <v>0</v>
      </c>
      <c r="K320" s="30">
        <f>VLOOKUP($C320,COS!$B$8:$H$991,2,FALSE)</f>
        <v>4525.97607421875</v>
      </c>
      <c r="L320" s="28">
        <f t="shared" ref="L320" si="508">IF(K320&lt;=IF(MONTH($C320)=4,$I$3,IF(MONTH($C320)=5,$I$4,IF(MONTH($C320)=6,$I$5,IF(MONTH($C320)=7,$I$6,"ERROR")))),1,0)</f>
        <v>1</v>
      </c>
      <c r="M320" s="28">
        <f t="shared" ref="M320" si="509">VLOOKUP($A320,$L$3:$M$7,2,FALSE)</f>
        <v>0</v>
      </c>
      <c r="N320" s="30">
        <f>VLOOKUP($C320,COS!$B$8:$H$991,5,FALSE)</f>
        <v>274.44708251953125</v>
      </c>
      <c r="O320" s="30">
        <f t="shared" ref="O320:O323" si="510">N320*DAY($C320)*86400/43560/1000</f>
        <v>16.330735488765498</v>
      </c>
      <c r="P320" s="30">
        <f>VLOOKUP($C320,COS!$B$8:$H$991,6,FALSE)</f>
        <v>472.98532104492188</v>
      </c>
      <c r="Q320" s="30">
        <f t="shared" ref="Q320:Q323" si="511">P320*DAY($C320)*86400/43560/1000</f>
        <v>28.144581086970557</v>
      </c>
      <c r="R320" s="30">
        <f>MIN(IF(MONTH($C320)=4,$S$3,IF(MONTH($C320)=5,$S$4,IF(MONTH($C320)=6,$S$5,IF(MONTH($C320)=7,$S$6,"ERROR")))),MAX(VLOOKUP($C320,COS!$B$8:$K$991,10,FALSE)-IF(MONTH($C320)=4,$Y$3,IF(MONTH($C320)=5,$Y$4,IF(MONTH($C320)=6,$Y$5,IF(MONTH($C320)=7,$Y$6,"ERROR")))),0),MAX(VLOOKUP($C320,COS!$B$8:$K$991,9,FALSE)-IF(MONTH($C320)=4,$V$3,IF(MONTH($C320)=5,$V$4,IF(MONTH($C320)=6,$V$5,IF(MONTH($C320)=7,$V$6,"ERROR"))))-VLOOKUP($C320,COS!$B$8:$K$991,6,FALSE)/2,0))</f>
        <v>1500</v>
      </c>
      <c r="S320" s="30">
        <f t="shared" ref="S320:S323" si="512">R320*DAY($C320)*86400/43560/1000</f>
        <v>89.256198347107429</v>
      </c>
      <c r="T320" s="30">
        <f t="shared" ref="T320:T323" si="513">(O320+Q320)/2+S320</f>
        <v>111.49385663497546</v>
      </c>
      <c r="U320" s="30" t="str">
        <f>IF(VLOOKUP($C320,COS!$B$8:$I$991,8,FALSE)=1,"UWFE","IBU")</f>
        <v>UWFE</v>
      </c>
      <c r="V320" s="30">
        <f t="shared" ref="V320" si="514">MIN(IF(IF($AA$3=2,AND(E320=1,G320=1,L320=1,L325=1,M320=1,U320="IBU"),AND(E320=1,G320=1,L320=1,L325=1,M320=1)),T320,0),I320)</f>
        <v>0</v>
      </c>
      <c r="W320" s="30"/>
      <c r="X320" s="30"/>
      <c r="Y320" s="30"/>
      <c r="Z320" s="30"/>
      <c r="AA320" s="30"/>
      <c r="AB320" s="31"/>
    </row>
    <row r="321" spans="1:28" x14ac:dyDescent="0.3">
      <c r="A321" s="32">
        <f>VLOOKUP(YEAR(C321),Flags!$A$13:$B$95,2,FALSE)</f>
        <v>1</v>
      </c>
      <c r="B321" s="24">
        <f t="shared" si="432"/>
        <v>1956</v>
      </c>
      <c r="C321" s="25">
        <v>20606</v>
      </c>
      <c r="D321" s="26">
        <f>VLOOKUP($C321,COS!$B$8:$H$991,3,FALSE)</f>
        <v>9877.4130859375</v>
      </c>
      <c r="E321" s="24">
        <f>IF(D321&gt;=IF(MONTH($C321)=4,$C$3,IF(MONTH($C321)=5,$C$4,IF(MONTH($C321)=6,$C$5,IF(MONTH($C321)=7,$C$6,"ERROR")))),1,0)</f>
        <v>1</v>
      </c>
      <c r="F321" s="26">
        <f>VLOOKUP($C321,COS!$B$8:$H$991,7,FALSE)</f>
        <v>47.875160217285156</v>
      </c>
      <c r="G321" s="24">
        <f>IF(F321&lt;=IF(MONTH($C321)=4,$F$3,IF(MONTH($C321)=5,$F$4,IF(MONTH($C321)=6,$F$5,IF(MONTH($C321)=7,$F$6,"ERROR")))),1,0)</f>
        <v>1</v>
      </c>
      <c r="H321" s="26">
        <f>IF(J321=1,D321-$C$4,0)</f>
        <v>3877.4130859375</v>
      </c>
      <c r="I321" s="26">
        <f t="shared" si="450"/>
        <v>238.41283768078512</v>
      </c>
      <c r="J321" s="24">
        <f t="shared" si="507"/>
        <v>1</v>
      </c>
      <c r="K321" s="26">
        <f>VLOOKUP($C321,COS!$B$8:$H$991,2,FALSE)</f>
        <v>4552</v>
      </c>
      <c r="L321" s="24">
        <f t="shared" si="435"/>
        <v>1</v>
      </c>
      <c r="M321" s="24">
        <f t="shared" si="436"/>
        <v>0</v>
      </c>
      <c r="N321" s="26">
        <f>VLOOKUP($C321,COS!$B$8:$H$991,5,FALSE)</f>
        <v>735.657470703125</v>
      </c>
      <c r="O321" s="26">
        <f t="shared" si="510"/>
        <v>45.233814727530991</v>
      </c>
      <c r="P321" s="26">
        <f>VLOOKUP($C321,COS!$B$8:$H$991,6,FALSE)</f>
        <v>2024.16015625</v>
      </c>
      <c r="Q321" s="26">
        <f t="shared" si="511"/>
        <v>124.46075671487603</v>
      </c>
      <c r="R321" s="26">
        <f>MIN(IF(MONTH($C321)=4,$S$3,IF(MONTH($C321)=5,$S$4,IF(MONTH($C321)=6,$S$5,IF(MONTH($C321)=7,$S$6,"ERROR")))),MAX(VLOOKUP($C321,COS!$B$8:$K$991,10,FALSE)-IF(MONTH($C321)=4,$Y$3,IF(MONTH($C321)=5,$Y$4,IF(MONTH($C321)=6,$Y$5,IF(MONTH($C321)=7,$Y$6,"ERROR")))),0),MAX(VLOOKUP($C321,COS!$B$8:$K$991,9,FALSE)-IF(MONTH($C321)=4,$V$3,IF(MONTH($C321)=5,$V$4,IF(MONTH($C321)=6,$V$5,IF(MONTH($C321)=7,$V$6,"ERROR"))))-VLOOKUP($C321,COS!$B$8:$K$991,6,FALSE)/2,0))</f>
        <v>1500</v>
      </c>
      <c r="S321" s="26">
        <f t="shared" si="512"/>
        <v>92.231404958677686</v>
      </c>
      <c r="T321" s="26">
        <f t="shared" si="513"/>
        <v>177.07869067988119</v>
      </c>
      <c r="U321" s="26" t="str">
        <f>IF(VLOOKUP($C321,COS!$B$8:$I$991,8,FALSE)=1,"UWFE","IBU")</f>
        <v>UWFE</v>
      </c>
      <c r="V321" s="26">
        <f t="shared" ref="V321" si="515">MIN(IF(IF($AA$3=2,AND(E321=1,G321=1,L321=1,L325=1,M321=1,U321="IBU"),AND(E321=1,G321=1,L321=1,L325=1,M321=1)),T321,0),I321)</f>
        <v>0</v>
      </c>
      <c r="W321" s="26"/>
      <c r="X321" s="26"/>
      <c r="Y321" s="26"/>
      <c r="Z321" s="26"/>
      <c r="AA321" s="26"/>
      <c r="AB321" s="33"/>
    </row>
    <row r="322" spans="1:28" x14ac:dyDescent="0.3">
      <c r="A322" s="32">
        <f>VLOOKUP(YEAR(C322),Flags!$A$13:$B$95,2,FALSE)</f>
        <v>1</v>
      </c>
      <c r="B322" s="24">
        <f t="shared" si="432"/>
        <v>1956</v>
      </c>
      <c r="C322" s="25">
        <v>20636</v>
      </c>
      <c r="D322" s="26">
        <f>VLOOKUP($C322,COS!$B$8:$H$991,3,FALSE)</f>
        <v>7543.416015625</v>
      </c>
      <c r="E322" s="24">
        <f>IF(D322&gt;=IF(MONTH($C322)=4,$C$3,IF(MONTH($C322)=5,$C$4,IF(MONTH($C322)=6,$C$5,IF(MONTH($C322)=7,$C$6,"ERROR")))),1,0)</f>
        <v>0</v>
      </c>
      <c r="F322" s="26">
        <f>VLOOKUP($C322,COS!$B$8:$H$991,7,FALSE)</f>
        <v>50.089691162109375</v>
      </c>
      <c r="G322" s="24">
        <f>IF(F322&lt;=IF(MONTH($C322)=4,$F$3,IF(MONTH($C322)=5,$F$4,IF(MONTH($C322)=6,$F$5,IF(MONTH($C322)=7,$F$6,"ERROR")))),1,0)</f>
        <v>1</v>
      </c>
      <c r="H322" s="26">
        <f>IF(J322=1,D322-$C$5,0)</f>
        <v>0</v>
      </c>
      <c r="I322" s="26">
        <f t="shared" si="450"/>
        <v>0</v>
      </c>
      <c r="J322" s="24">
        <f t="shared" si="507"/>
        <v>0</v>
      </c>
      <c r="K322" s="26">
        <f>VLOOKUP($C322,COS!$B$8:$H$991,2,FALSE)</f>
        <v>4426.123046875</v>
      </c>
      <c r="L322" s="24">
        <f t="shared" si="435"/>
        <v>1</v>
      </c>
      <c r="M322" s="24">
        <f t="shared" si="436"/>
        <v>0</v>
      </c>
      <c r="N322" s="26">
        <f>VLOOKUP($C322,COS!$B$8:$H$991,5,FALSE)</f>
        <v>1099.9310302734375</v>
      </c>
      <c r="O322" s="26">
        <f t="shared" si="510"/>
        <v>65.450441470816116</v>
      </c>
      <c r="P322" s="26">
        <f>VLOOKUP($C322,COS!$B$8:$H$991,6,FALSE)</f>
        <v>2200.53125</v>
      </c>
      <c r="Q322" s="26">
        <f t="shared" si="511"/>
        <v>130.94070247933885</v>
      </c>
      <c r="R322" s="26">
        <f>MIN(IF(MONTH($C322)=4,$S$3,IF(MONTH($C322)=5,$S$4,IF(MONTH($C322)=6,$S$5,IF(MONTH($C322)=7,$S$6,"ERROR")))),MAX(VLOOKUP($C322,COS!$B$8:$K$991,10,FALSE)-IF(MONTH($C322)=4,$Y$3,IF(MONTH($C322)=5,$Y$4,IF(MONTH($C322)=6,$Y$5,IF(MONTH($C322)=7,$Y$6,"ERROR")))),0),MAX(VLOOKUP($C322,COS!$B$8:$K$991,9,FALSE)-IF(MONTH($C322)=4,$V$3,IF(MONTH($C322)=5,$V$4,IF(MONTH($C322)=6,$V$5,IF(MONTH($C322)=7,$V$6,"ERROR"))))-VLOOKUP($C322,COS!$B$8:$K$991,6,FALSE)/2,0))</f>
        <v>1500</v>
      </c>
      <c r="S322" s="26">
        <f t="shared" si="512"/>
        <v>89.256198347107429</v>
      </c>
      <c r="T322" s="26">
        <f t="shared" si="513"/>
        <v>187.45177032218493</v>
      </c>
      <c r="U322" s="26" t="str">
        <f>IF(VLOOKUP($C322,COS!$B$8:$I$991,8,FALSE)=1,"UWFE","IBU")</f>
        <v>UWFE</v>
      </c>
      <c r="V322" s="26">
        <f t="shared" ref="V322" si="516">MIN(IF(IF($AA$3=2,AND(E322=1,G322=1,L322=1,L325=1,M322=1,U322="IBU"),AND(E322=1,G322=1,L322=1,L325=1,M322=1)),T322,0),I322)</f>
        <v>0</v>
      </c>
      <c r="W322" s="26"/>
      <c r="X322" s="26"/>
      <c r="Y322" s="26"/>
      <c r="Z322" s="26"/>
      <c r="AA322" s="26"/>
      <c r="AB322" s="33"/>
    </row>
    <row r="323" spans="1:28" x14ac:dyDescent="0.3">
      <c r="A323" s="32">
        <f>VLOOKUP(YEAR(C323),Flags!$A$13:$B$95,2,FALSE)</f>
        <v>1</v>
      </c>
      <c r="B323" s="24">
        <f t="shared" si="432"/>
        <v>1956</v>
      </c>
      <c r="C323" s="25">
        <v>20667</v>
      </c>
      <c r="D323" s="26">
        <f>VLOOKUP($C323,COS!$B$8:$H$991,3,FALSE)</f>
        <v>11823.966796875</v>
      </c>
      <c r="E323" s="24">
        <f>IF(D323&gt;=IF(MONTH($C323)=4,$C$3,IF(MONTH($C323)=5,$C$4,IF(MONTH($C323)=6,$C$5,IF(MONTH($C323)=7,$C$6,"ERROR")))),1,0)</f>
        <v>0</v>
      </c>
      <c r="F323" s="26">
        <f>VLOOKUP($C323,COS!$B$8:$H$991,7,FALSE)</f>
        <v>50.282562255859375</v>
      </c>
      <c r="G323" s="24">
        <f>IF(F323&lt;=IF(MONTH($C323)=4,$F$3,IF(MONTH($C323)=5,$F$4,IF(MONTH($C323)=6,$F$5,IF(MONTH($C323)=7,$F$6,"ERROR")))),1,0)</f>
        <v>1</v>
      </c>
      <c r="H323" s="26">
        <f>IF(J323=1,D323-$C$6,0)</f>
        <v>0</v>
      </c>
      <c r="I323" s="26">
        <f t="shared" si="450"/>
        <v>0</v>
      </c>
      <c r="J323" s="24">
        <f t="shared" si="507"/>
        <v>0</v>
      </c>
      <c r="K323" s="26">
        <f>VLOOKUP($C323,COS!$B$8:$H$991,2,FALSE)</f>
        <v>3905.54736328125</v>
      </c>
      <c r="L323" s="24">
        <f t="shared" si="435"/>
        <v>1</v>
      </c>
      <c r="M323" s="24">
        <f t="shared" si="436"/>
        <v>0</v>
      </c>
      <c r="N323" s="26">
        <f>VLOOKUP($C323,COS!$B$8:$H$991,5,FALSE)</f>
        <v>1282.6153564453125</v>
      </c>
      <c r="O323" s="26">
        <f t="shared" si="510"/>
        <v>78.86494423101756</v>
      </c>
      <c r="P323" s="26">
        <f>VLOOKUP($C323,COS!$B$8:$H$991,6,FALSE)</f>
        <v>2616.67822265625</v>
      </c>
      <c r="Q323" s="26">
        <f t="shared" si="511"/>
        <v>160.89327253357436</v>
      </c>
      <c r="R323" s="26">
        <f>MIN(IF(MONTH($C323)=4,$S$3,IF(MONTH($C323)=5,$S$4,IF(MONTH($C323)=6,$S$5,IF(MONTH($C323)=7,$S$6,"ERROR")))),MAX(VLOOKUP($C323,COS!$B$8:$K$991,10,FALSE)-IF(MONTH($C323)=4,$Y$3,IF(MONTH($C323)=5,$Y$4,IF(MONTH($C323)=6,$Y$5,IF(MONTH($C323)=7,$Y$6,"ERROR")))),0),MAX(VLOOKUP($C323,COS!$B$8:$K$991,9,FALSE)-IF(MONTH($C323)=4,$V$3,IF(MONTH($C323)=5,$V$4,IF(MONTH($C323)=6,$V$5,IF(MONTH($C323)=7,$V$6,"ERROR"))))-VLOOKUP($C323,COS!$B$8:$K$991,6,FALSE)/2,0))</f>
        <v>1500</v>
      </c>
      <c r="S323" s="26">
        <f t="shared" si="512"/>
        <v>92.231404958677686</v>
      </c>
      <c r="T323" s="26">
        <f t="shared" si="513"/>
        <v>212.11051334097363</v>
      </c>
      <c r="U323" s="26" t="str">
        <f>IF(VLOOKUP($C323,COS!$B$8:$I$991,8,FALSE)=1,"UWFE","IBU")</f>
        <v>IBU</v>
      </c>
      <c r="V323" s="26">
        <f t="shared" ref="V323" si="517">MIN(IF(IF($AA$3=2,AND(E323=1,G323=1,L323=1,L325=1,M323=1,U323="IBU"),AND(E323=1,G323=1,L323=1,L325=1,M323=1)),T323,0),I323)</f>
        <v>0</v>
      </c>
      <c r="W323" s="26"/>
      <c r="X323" s="26"/>
      <c r="Y323" s="26"/>
      <c r="Z323" s="26"/>
      <c r="AA323" s="26"/>
      <c r="AB323" s="33"/>
    </row>
    <row r="324" spans="1:28" x14ac:dyDescent="0.3">
      <c r="A324" s="32">
        <f>VLOOKUP(YEAR(C324),Flags!$A$13:$B$95,2,FALSE)</f>
        <v>1</v>
      </c>
      <c r="B324" s="24">
        <f t="shared" si="432"/>
        <v>1956</v>
      </c>
      <c r="C324" s="25">
        <v>20698</v>
      </c>
      <c r="D324" s="26"/>
      <c r="E324" s="24"/>
      <c r="F324" s="26"/>
      <c r="G324" s="24"/>
      <c r="H324" s="24"/>
      <c r="I324" s="26"/>
      <c r="J324" s="24"/>
      <c r="K324" s="26"/>
      <c r="L324" s="24"/>
      <c r="M324" s="24"/>
      <c r="N324" s="26"/>
      <c r="O324" s="26"/>
      <c r="P324" s="26"/>
      <c r="Q324" s="26"/>
      <c r="R324" s="26"/>
      <c r="S324" s="26"/>
      <c r="T324" s="26"/>
      <c r="U324" s="26"/>
      <c r="V324" s="26"/>
      <c r="W324" s="26">
        <f>MAX($C$7-VLOOKUP($C324,COS!$B$8:$H$991,3,FALSE),0)</f>
        <v>90474.158203125</v>
      </c>
      <c r="X324" s="26">
        <f t="shared" si="448"/>
        <v>5563.0391490185948</v>
      </c>
      <c r="Y324" s="26">
        <f>VLOOKUP($C324,COS!$B$8:$H$991,4,FALSE)</f>
        <v>0</v>
      </c>
      <c r="Z324" s="26">
        <f t="shared" si="449"/>
        <v>0</v>
      </c>
      <c r="AA324" s="26">
        <f t="shared" ref="AA324:AA328" si="518">MIN(W324,Y324)</f>
        <v>0</v>
      </c>
      <c r="AB324" s="33">
        <f t="shared" ref="AB324" si="519">AA324*DAY($C324)*86400/43560/1000*IF(MONTH($C324)=8,$P$3,IF(MONTH($C324)=9,$P$4,IF(MONTH($C324)=10,$P$5,IF(MONTH($C324)=11,$P$6,IF(MONTH($C324)=12,$P$7,NA())))))</f>
        <v>0</v>
      </c>
    </row>
    <row r="325" spans="1:28" x14ac:dyDescent="0.3">
      <c r="A325" s="32">
        <f>VLOOKUP(YEAR(C325),Flags!$A$13:$B$95,2,FALSE)</f>
        <v>1</v>
      </c>
      <c r="B325" s="24">
        <f t="shared" si="432"/>
        <v>1956</v>
      </c>
      <c r="C325" s="25">
        <v>20728</v>
      </c>
      <c r="D325" s="26"/>
      <c r="E325" s="24"/>
      <c r="F325" s="26"/>
      <c r="G325" s="24"/>
      <c r="H325" s="24"/>
      <c r="I325" s="26"/>
      <c r="J325" s="24"/>
      <c r="K325" s="26">
        <f>VLOOKUP($C325,COS!$B$8:$H$991,2,FALSE)</f>
        <v>3055.82763671875</v>
      </c>
      <c r="L325" s="24">
        <f t="shared" ref="L325" si="520">IF(AND(K325&gt;$I$7,K325&lt;$I$8),1,0)</f>
        <v>1</v>
      </c>
      <c r="M325" s="24"/>
      <c r="N325" s="26"/>
      <c r="O325" s="26"/>
      <c r="P325" s="26"/>
      <c r="Q325" s="26"/>
      <c r="R325" s="26"/>
      <c r="S325" s="26"/>
      <c r="T325" s="26"/>
      <c r="U325" s="26"/>
      <c r="V325" s="26"/>
      <c r="W325" s="26">
        <f>MAX($C$8-VLOOKUP($C325,COS!$B$8:$H$991,3,FALSE),0)</f>
        <v>84431.8017578125</v>
      </c>
      <c r="X325" s="26">
        <f t="shared" si="448"/>
        <v>5024.0410963326449</v>
      </c>
      <c r="Y325" s="26">
        <f>VLOOKUP($C325,COS!$B$8:$H$991,4,FALSE)</f>
        <v>0</v>
      </c>
      <c r="Z325" s="26">
        <f t="shared" si="449"/>
        <v>0</v>
      </c>
      <c r="AA325" s="26">
        <f t="shared" si="518"/>
        <v>0</v>
      </c>
      <c r="AB325" s="33">
        <f t="shared" si="446"/>
        <v>0</v>
      </c>
    </row>
    <row r="326" spans="1:28" x14ac:dyDescent="0.3">
      <c r="A326" s="32">
        <f>VLOOKUP(YEAR(C326),Flags!$A$13:$B$95,2,FALSE)</f>
        <v>1</v>
      </c>
      <c r="B326" s="24">
        <f t="shared" si="432"/>
        <v>1956</v>
      </c>
      <c r="C326" s="25">
        <v>20759</v>
      </c>
      <c r="D326" s="26"/>
      <c r="E326" s="24"/>
      <c r="F326" s="26"/>
      <c r="G326" s="26"/>
      <c r="H326" s="26"/>
      <c r="I326" s="26"/>
      <c r="J326" s="26"/>
      <c r="K326" s="26"/>
      <c r="L326" s="24"/>
      <c r="M326" s="24"/>
      <c r="N326" s="26"/>
      <c r="O326" s="26"/>
      <c r="P326" s="26"/>
      <c r="Q326" s="26"/>
      <c r="R326" s="26"/>
      <c r="S326" s="26"/>
      <c r="T326" s="26"/>
      <c r="U326" s="26"/>
      <c r="V326" s="26"/>
      <c r="W326" s="26">
        <f>MAX($C$9-VLOOKUP($C326,COS!$B$8:$H$991,3,FALSE),0)</f>
        <v>92823.07568359375</v>
      </c>
      <c r="X326" s="26">
        <f t="shared" si="448"/>
        <v>5707.4684552556819</v>
      </c>
      <c r="Y326" s="26">
        <f>VLOOKUP($C326,COS!$B$8:$H$991,4,FALSE)</f>
        <v>524.9937744140625</v>
      </c>
      <c r="Z326" s="26">
        <f t="shared" si="449"/>
        <v>32.28060893917872</v>
      </c>
      <c r="AA326" s="26">
        <f t="shared" si="518"/>
        <v>524.9937744140625</v>
      </c>
      <c r="AB326" s="33">
        <f t="shared" si="446"/>
        <v>32.28060893917872</v>
      </c>
    </row>
    <row r="327" spans="1:28" x14ac:dyDescent="0.3">
      <c r="A327" s="32">
        <f>VLOOKUP(YEAR(C327),Flags!$A$13:$B$95,2,FALSE)</f>
        <v>1</v>
      </c>
      <c r="B327" s="24">
        <f t="shared" si="432"/>
        <v>1956</v>
      </c>
      <c r="C327" s="25">
        <v>20789</v>
      </c>
      <c r="D327" s="26"/>
      <c r="E327" s="24"/>
      <c r="F327" s="26"/>
      <c r="G327" s="26"/>
      <c r="H327" s="26"/>
      <c r="I327" s="26"/>
      <c r="J327" s="26"/>
      <c r="K327" s="26"/>
      <c r="L327" s="24"/>
      <c r="M327" s="24"/>
      <c r="N327" s="26"/>
      <c r="O327" s="26"/>
      <c r="P327" s="26"/>
      <c r="Q327" s="26"/>
      <c r="R327" s="26"/>
      <c r="S327" s="26"/>
      <c r="T327" s="26"/>
      <c r="U327" s="26"/>
      <c r="V327" s="26"/>
      <c r="W327" s="26">
        <f>MAX($C$10-VLOOKUP($C327,COS!$B$8:$H$991,3,FALSE),0)</f>
        <v>87816.908203125</v>
      </c>
      <c r="X327" s="26">
        <f t="shared" si="448"/>
        <v>5225.4689178719009</v>
      </c>
      <c r="Y327" s="26">
        <f>VLOOKUP($C327,COS!$B$8:$H$991,4,FALSE)</f>
        <v>630.58831787109375</v>
      </c>
      <c r="Z327" s="26">
        <f t="shared" si="449"/>
        <v>37.522610650180788</v>
      </c>
      <c r="AA327" s="26">
        <f t="shared" si="518"/>
        <v>630.58831787109375</v>
      </c>
      <c r="AB327" s="33">
        <f t="shared" si="446"/>
        <v>18.761305325090394</v>
      </c>
    </row>
    <row r="328" spans="1:28" x14ac:dyDescent="0.3">
      <c r="A328" s="34">
        <f>VLOOKUP(YEAR(C328),Flags!$A$13:$B$95,2,FALSE)</f>
        <v>1</v>
      </c>
      <c r="B328" s="35">
        <f t="shared" si="432"/>
        <v>1956</v>
      </c>
      <c r="C328" s="36">
        <v>20820</v>
      </c>
      <c r="D328" s="37"/>
      <c r="E328" s="35"/>
      <c r="F328" s="37"/>
      <c r="G328" s="37"/>
      <c r="H328" s="37"/>
      <c r="I328" s="37"/>
      <c r="J328" s="37"/>
      <c r="K328" s="37"/>
      <c r="L328" s="35"/>
      <c r="M328" s="35"/>
      <c r="N328" s="37"/>
      <c r="O328" s="37"/>
      <c r="P328" s="37"/>
      <c r="Q328" s="37"/>
      <c r="R328" s="37"/>
      <c r="S328" s="37"/>
      <c r="T328" s="37"/>
      <c r="U328" s="37"/>
      <c r="V328" s="37"/>
      <c r="W328" s="37">
        <f>MAX($C$11-VLOOKUP($C328,COS!$B$8:$H$991,3,FALSE),0)</f>
        <v>0</v>
      </c>
      <c r="X328" s="37">
        <f t="shared" si="448"/>
        <v>0</v>
      </c>
      <c r="Y328" s="37">
        <f>VLOOKUP($C328,COS!$B$8:$H$991,4,FALSE)</f>
        <v>0</v>
      </c>
      <c r="Z328" s="37">
        <f t="shared" si="449"/>
        <v>0</v>
      </c>
      <c r="AA328" s="37">
        <f t="shared" si="518"/>
        <v>0</v>
      </c>
      <c r="AB328" s="38">
        <f t="shared" si="446"/>
        <v>0</v>
      </c>
    </row>
    <row r="329" spans="1:28" x14ac:dyDescent="0.3">
      <c r="A329" s="27">
        <f>VLOOKUP(YEAR(C329),Flags!$A$13:$B$95,2,FALSE)</f>
        <v>2</v>
      </c>
      <c r="B329" s="28">
        <f t="shared" si="432"/>
        <v>1957</v>
      </c>
      <c r="C329" s="29">
        <v>20940</v>
      </c>
      <c r="D329" s="30">
        <f>VLOOKUP($C329,COS!$B$8:$H$991,3,FALSE)</f>
        <v>3250</v>
      </c>
      <c r="E329" s="28">
        <f>IF(D329&gt;=IF(MONTH($C329)=4,$C$3,IF(MONTH($C329)=5,$C$4,IF(MONTH($C329)=6,$C$5,IF(MONTH($C329)=7,$C$6,"ERROR")))),1,0)</f>
        <v>0</v>
      </c>
      <c r="F329" s="30">
        <f>VLOOKUP($C329,COS!$B$8:$H$991,7,FALSE)</f>
        <v>51.217433929443359</v>
      </c>
      <c r="G329" s="28">
        <f>IF(F329&lt;=IF(MONTH($C329)=4,$F$3,IF(MONTH($C329)=5,$F$4,IF(MONTH($C329)=6,$F$5,IF(MONTH($C329)=7,$F$6,"ERROR")))),1,0)</f>
        <v>1</v>
      </c>
      <c r="H329" s="30">
        <f>IF(J329=1,D329-$C$3,0)</f>
        <v>0</v>
      </c>
      <c r="I329" s="30">
        <f t="shared" si="450"/>
        <v>0</v>
      </c>
      <c r="J329" s="28">
        <f t="shared" ref="J329:J332" si="521">IF(AND(E329=1,G329=1),1,0)</f>
        <v>0</v>
      </c>
      <c r="K329" s="30">
        <f>VLOOKUP($C329,COS!$B$8:$H$991,2,FALSE)</f>
        <v>4535.75439453125</v>
      </c>
      <c r="L329" s="28">
        <f t="shared" ref="L329" si="522">IF(K329&lt;=IF(MONTH($C329)=4,$I$3,IF(MONTH($C329)=5,$I$4,IF(MONTH($C329)=6,$I$5,IF(MONTH($C329)=7,$I$6,"ERROR")))),1,0)</f>
        <v>1</v>
      </c>
      <c r="M329" s="28">
        <f t="shared" ref="M329" si="523">VLOOKUP($A329,$L$3:$M$7,2,FALSE)</f>
        <v>0</v>
      </c>
      <c r="N329" s="30">
        <f>VLOOKUP($C329,COS!$B$8:$H$991,5,FALSE)</f>
        <v>473.61004638671875</v>
      </c>
      <c r="O329" s="30">
        <f t="shared" ref="O329:O332" si="524">N329*DAY($C329)*86400/43560/1000</f>
        <v>28.18175482631715</v>
      </c>
      <c r="P329" s="30">
        <f>VLOOKUP($C329,COS!$B$8:$H$991,6,FALSE)</f>
        <v>459.42416381835938</v>
      </c>
      <c r="Q329" s="30">
        <f t="shared" ref="Q329:Q332" si="525">P329*DAY($C329)*86400/43560/1000</f>
        <v>27.33763619415031</v>
      </c>
      <c r="R329" s="30">
        <f>MIN(IF(MONTH($C329)=4,$S$3,IF(MONTH($C329)=5,$S$4,IF(MONTH($C329)=6,$S$5,IF(MONTH($C329)=7,$S$6,"ERROR")))),MAX(VLOOKUP($C329,COS!$B$8:$K$991,10,FALSE)-IF(MONTH($C329)=4,$Y$3,IF(MONTH($C329)=5,$Y$4,IF(MONTH($C329)=6,$Y$5,IF(MONTH($C329)=7,$Y$6,"ERROR")))),0),MAX(VLOOKUP($C329,COS!$B$8:$K$991,9,FALSE)-IF(MONTH($C329)=4,$V$3,IF(MONTH($C329)=5,$V$4,IF(MONTH($C329)=6,$V$5,IF(MONTH($C329)=7,$V$6,"ERROR"))))-VLOOKUP($C329,COS!$B$8:$K$991,6,FALSE)/2,0))</f>
        <v>1500</v>
      </c>
      <c r="S329" s="30">
        <f t="shared" ref="S329:S332" si="526">R329*DAY($C329)*86400/43560/1000</f>
        <v>89.256198347107429</v>
      </c>
      <c r="T329" s="30">
        <f t="shared" ref="T329:T332" si="527">(O329+Q329)/2+S329</f>
        <v>117.01589385734115</v>
      </c>
      <c r="U329" s="30" t="str">
        <f>IF(VLOOKUP($C329,COS!$B$8:$I$991,8,FALSE)=1,"UWFE","IBU")</f>
        <v>UWFE</v>
      </c>
      <c r="V329" s="30">
        <f t="shared" ref="V329" si="528">MIN(IF(IF($AA$3=2,AND(E329=1,G329=1,L329=1,L334=1,M329=1,U329="IBU"),AND(E329=1,G329=1,L329=1,L334=1,M329=1)),T329,0),I329)</f>
        <v>0</v>
      </c>
      <c r="W329" s="30"/>
      <c r="X329" s="30"/>
      <c r="Y329" s="30"/>
      <c r="Z329" s="30"/>
      <c r="AA329" s="30"/>
      <c r="AB329" s="31"/>
    </row>
    <row r="330" spans="1:28" x14ac:dyDescent="0.3">
      <c r="A330" s="32">
        <f>VLOOKUP(YEAR(C330),Flags!$A$13:$B$95,2,FALSE)</f>
        <v>2</v>
      </c>
      <c r="B330" s="24">
        <f t="shared" si="432"/>
        <v>1957</v>
      </c>
      <c r="C330" s="25">
        <v>20971</v>
      </c>
      <c r="D330" s="26">
        <f>VLOOKUP($C330,COS!$B$8:$H$991,3,FALSE)</f>
        <v>10383.798828125</v>
      </c>
      <c r="E330" s="24">
        <f>IF(D330&gt;=IF(MONTH($C330)=4,$C$3,IF(MONTH($C330)=5,$C$4,IF(MONTH($C330)=6,$C$5,IF(MONTH($C330)=7,$C$6,"ERROR")))),1,0)</f>
        <v>1</v>
      </c>
      <c r="F330" s="26">
        <f>VLOOKUP($C330,COS!$B$8:$H$991,7,FALSE)</f>
        <v>50.116058349609375</v>
      </c>
      <c r="G330" s="24">
        <f>IF(F330&lt;=IF(MONTH($C330)=4,$F$3,IF(MONTH($C330)=5,$F$4,IF(MONTH($C330)=6,$F$5,IF(MONTH($C330)=7,$F$6,"ERROR")))),1,0)</f>
        <v>1</v>
      </c>
      <c r="H330" s="26">
        <f>IF(J330=1,D330-$C$4,0)</f>
        <v>4383.798828125</v>
      </c>
      <c r="I330" s="26">
        <f t="shared" si="450"/>
        <v>269.54928331611569</v>
      </c>
      <c r="J330" s="24">
        <f t="shared" si="521"/>
        <v>1</v>
      </c>
      <c r="K330" s="26">
        <f>VLOOKUP($C330,COS!$B$8:$H$991,2,FALSE)</f>
        <v>4552</v>
      </c>
      <c r="L330" s="24">
        <f t="shared" si="435"/>
        <v>1</v>
      </c>
      <c r="M330" s="24">
        <f t="shared" si="436"/>
        <v>0</v>
      </c>
      <c r="N330" s="26">
        <f>VLOOKUP($C330,COS!$B$8:$H$991,5,FALSE)</f>
        <v>717.7584228515625</v>
      </c>
      <c r="O330" s="26">
        <f t="shared" si="524"/>
        <v>44.133245173682852</v>
      </c>
      <c r="P330" s="26">
        <f>VLOOKUP($C330,COS!$B$8:$H$991,6,FALSE)</f>
        <v>2044.89892578125</v>
      </c>
      <c r="Q330" s="26">
        <f t="shared" si="525"/>
        <v>125.73593394886363</v>
      </c>
      <c r="R330" s="26">
        <f>MIN(IF(MONTH($C330)=4,$S$3,IF(MONTH($C330)=5,$S$4,IF(MONTH($C330)=6,$S$5,IF(MONTH($C330)=7,$S$6,"ERROR")))),MAX(VLOOKUP($C330,COS!$B$8:$K$991,10,FALSE)-IF(MONTH($C330)=4,$Y$3,IF(MONTH($C330)=5,$Y$4,IF(MONTH($C330)=6,$Y$5,IF(MONTH($C330)=7,$Y$6,"ERROR")))),0),MAX(VLOOKUP($C330,COS!$B$8:$K$991,9,FALSE)-IF(MONTH($C330)=4,$V$3,IF(MONTH($C330)=5,$V$4,IF(MONTH($C330)=6,$V$5,IF(MONTH($C330)=7,$V$6,"ERROR"))))-VLOOKUP($C330,COS!$B$8:$K$991,6,FALSE)/2,0))</f>
        <v>1500</v>
      </c>
      <c r="S330" s="26">
        <f t="shared" si="526"/>
        <v>92.231404958677686</v>
      </c>
      <c r="T330" s="26">
        <f t="shared" si="527"/>
        <v>177.16599451995091</v>
      </c>
      <c r="U330" s="26" t="str">
        <f>IF(VLOOKUP($C330,COS!$B$8:$I$991,8,FALSE)=1,"UWFE","IBU")</f>
        <v>UWFE</v>
      </c>
      <c r="V330" s="26">
        <f t="shared" ref="V330" si="529">MIN(IF(IF($AA$3=2,AND(E330=1,G330=1,L330=1,L334=1,M330=1,U330="IBU"),AND(E330=1,G330=1,L330=1,L334=1,M330=1)),T330,0),I330)</f>
        <v>0</v>
      </c>
      <c r="W330" s="26"/>
      <c r="X330" s="26"/>
      <c r="Y330" s="26"/>
      <c r="Z330" s="26"/>
      <c r="AA330" s="26"/>
      <c r="AB330" s="33"/>
    </row>
    <row r="331" spans="1:28" x14ac:dyDescent="0.3">
      <c r="A331" s="32">
        <f>VLOOKUP(YEAR(C331),Flags!$A$13:$B$95,2,FALSE)</f>
        <v>2</v>
      </c>
      <c r="B331" s="24">
        <f t="shared" si="432"/>
        <v>1957</v>
      </c>
      <c r="C331" s="25">
        <v>21001</v>
      </c>
      <c r="D331" s="26">
        <f>VLOOKUP($C331,COS!$B$8:$H$991,3,FALSE)</f>
        <v>9041.25390625</v>
      </c>
      <c r="E331" s="24">
        <f>IF(D331&gt;=IF(MONTH($C331)=4,$C$3,IF(MONTH($C331)=5,$C$4,IF(MONTH($C331)=6,$C$5,IF(MONTH($C331)=7,$C$6,"ERROR")))),1,0)</f>
        <v>0</v>
      </c>
      <c r="F331" s="26">
        <f>VLOOKUP($C331,COS!$B$8:$H$991,7,FALSE)</f>
        <v>52.248523712158203</v>
      </c>
      <c r="G331" s="24">
        <f>IF(F331&lt;=IF(MONTH($C331)=4,$F$3,IF(MONTH($C331)=5,$F$4,IF(MONTH($C331)=6,$F$5,IF(MONTH($C331)=7,$F$6,"ERROR")))),1,0)</f>
        <v>1</v>
      </c>
      <c r="H331" s="26">
        <f>IF(J331=1,D331-$C$5,0)</f>
        <v>0</v>
      </c>
      <c r="I331" s="26">
        <f t="shared" si="450"/>
        <v>0</v>
      </c>
      <c r="J331" s="24">
        <f t="shared" si="521"/>
        <v>0</v>
      </c>
      <c r="K331" s="26">
        <f>VLOOKUP($C331,COS!$B$8:$H$991,2,FALSE)</f>
        <v>4290.39404296875</v>
      </c>
      <c r="L331" s="24">
        <f t="shared" si="435"/>
        <v>1</v>
      </c>
      <c r="M331" s="24">
        <f t="shared" si="436"/>
        <v>0</v>
      </c>
      <c r="N331" s="26">
        <f>VLOOKUP($C331,COS!$B$8:$H$991,5,FALSE)</f>
        <v>866.60247802734375</v>
      </c>
      <c r="O331" s="26">
        <f t="shared" si="524"/>
        <v>51.566428444602273</v>
      </c>
      <c r="P331" s="26">
        <f>VLOOKUP($C331,COS!$B$8:$H$991,6,FALSE)</f>
        <v>2422.49462890625</v>
      </c>
      <c r="Q331" s="26">
        <f t="shared" si="525"/>
        <v>144.14844072830579</v>
      </c>
      <c r="R331" s="26">
        <f>MIN(IF(MONTH($C331)=4,$S$3,IF(MONTH($C331)=5,$S$4,IF(MONTH($C331)=6,$S$5,IF(MONTH($C331)=7,$S$6,"ERROR")))),MAX(VLOOKUP($C331,COS!$B$8:$K$991,10,FALSE)-IF(MONTH($C331)=4,$Y$3,IF(MONTH($C331)=5,$Y$4,IF(MONTH($C331)=6,$Y$5,IF(MONTH($C331)=7,$Y$6,"ERROR")))),0),MAX(VLOOKUP($C331,COS!$B$8:$K$991,9,FALSE)-IF(MONTH($C331)=4,$V$3,IF(MONTH($C331)=5,$V$4,IF(MONTH($C331)=6,$V$5,IF(MONTH($C331)=7,$V$6,"ERROR"))))-VLOOKUP($C331,COS!$B$8:$K$991,6,FALSE)/2,0))</f>
        <v>1500</v>
      </c>
      <c r="S331" s="26">
        <f t="shared" si="526"/>
        <v>89.256198347107429</v>
      </c>
      <c r="T331" s="26">
        <f t="shared" si="527"/>
        <v>187.11363293356146</v>
      </c>
      <c r="U331" s="26" t="str">
        <f>IF(VLOOKUP($C331,COS!$B$8:$I$991,8,FALSE)=1,"UWFE","IBU")</f>
        <v>IBU</v>
      </c>
      <c r="V331" s="26">
        <f t="shared" ref="V331" si="530">MIN(IF(IF($AA$3=2,AND(E331=1,G331=1,L331=1,L334=1,M331=1,U331="IBU"),AND(E331=1,G331=1,L331=1,L334=1,M331=1)),T331,0),I331)</f>
        <v>0</v>
      </c>
      <c r="W331" s="26"/>
      <c r="X331" s="26"/>
      <c r="Y331" s="26"/>
      <c r="Z331" s="26"/>
      <c r="AA331" s="26"/>
      <c r="AB331" s="33"/>
    </row>
    <row r="332" spans="1:28" x14ac:dyDescent="0.3">
      <c r="A332" s="32">
        <f>VLOOKUP(YEAR(C332),Flags!$A$13:$B$95,2,FALSE)</f>
        <v>2</v>
      </c>
      <c r="B332" s="24">
        <f t="shared" si="432"/>
        <v>1957</v>
      </c>
      <c r="C332" s="25">
        <v>21032</v>
      </c>
      <c r="D332" s="26">
        <f>VLOOKUP($C332,COS!$B$8:$H$991,3,FALSE)</f>
        <v>16000</v>
      </c>
      <c r="E332" s="24">
        <f>IF(D332&gt;=IF(MONTH($C332)=4,$C$3,IF(MONTH($C332)=5,$C$4,IF(MONTH($C332)=6,$C$5,IF(MONTH($C332)=7,$C$6,"ERROR")))),1,0)</f>
        <v>1</v>
      </c>
      <c r="F332" s="26">
        <f>VLOOKUP($C332,COS!$B$8:$H$991,7,FALSE)</f>
        <v>51.816173553466797</v>
      </c>
      <c r="G332" s="24">
        <f>IF(F332&lt;=IF(MONTH($C332)=4,$F$3,IF(MONTH($C332)=5,$F$4,IF(MONTH($C332)=6,$F$5,IF(MONTH($C332)=7,$F$6,"ERROR")))),1,0)</f>
        <v>1</v>
      </c>
      <c r="H332" s="26">
        <f>IF(J332=1,D332-$C$6,0)</f>
        <v>4000</v>
      </c>
      <c r="I332" s="26">
        <f t="shared" si="450"/>
        <v>245.95041322314049</v>
      </c>
      <c r="J332" s="24">
        <f t="shared" si="521"/>
        <v>1</v>
      </c>
      <c r="K332" s="26">
        <f>VLOOKUP($C332,COS!$B$8:$H$991,2,FALSE)</f>
        <v>3601.666259765625</v>
      </c>
      <c r="L332" s="24">
        <f t="shared" si="435"/>
        <v>1</v>
      </c>
      <c r="M332" s="24">
        <f t="shared" si="436"/>
        <v>0</v>
      </c>
      <c r="N332" s="26">
        <f>VLOOKUP($C332,COS!$B$8:$H$991,5,FALSE)</f>
        <v>947.87957763671875</v>
      </c>
      <c r="O332" s="26">
        <f t="shared" si="524"/>
        <v>58.282843451381709</v>
      </c>
      <c r="P332" s="26">
        <f>VLOOKUP($C332,COS!$B$8:$H$991,6,FALSE)</f>
        <v>2467.689453125</v>
      </c>
      <c r="Q332" s="26">
        <f t="shared" si="525"/>
        <v>151.73231017561986</v>
      </c>
      <c r="R332" s="26">
        <f>MIN(IF(MONTH($C332)=4,$S$3,IF(MONTH($C332)=5,$S$4,IF(MONTH($C332)=6,$S$5,IF(MONTH($C332)=7,$S$6,"ERROR")))),MAX(VLOOKUP($C332,COS!$B$8:$K$991,10,FALSE)-IF(MONTH($C332)=4,$Y$3,IF(MONTH($C332)=5,$Y$4,IF(MONTH($C332)=6,$Y$5,IF(MONTH($C332)=7,$Y$6,"ERROR")))),0),MAX(VLOOKUP($C332,COS!$B$8:$K$991,9,FALSE)-IF(MONTH($C332)=4,$V$3,IF(MONTH($C332)=5,$V$4,IF(MONTH($C332)=6,$V$5,IF(MONTH($C332)=7,$V$6,"ERROR"))))-VLOOKUP($C332,COS!$B$8:$K$991,6,FALSE)/2,0))</f>
        <v>1500</v>
      </c>
      <c r="S332" s="26">
        <f t="shared" si="526"/>
        <v>92.231404958677686</v>
      </c>
      <c r="T332" s="26">
        <f t="shared" si="527"/>
        <v>197.23898177217848</v>
      </c>
      <c r="U332" s="26" t="str">
        <f>IF(VLOOKUP($C332,COS!$B$8:$I$991,8,FALSE)=1,"UWFE","IBU")</f>
        <v>IBU</v>
      </c>
      <c r="V332" s="26">
        <f t="shared" ref="V332" si="531">MIN(IF(IF($AA$3=2,AND(E332=1,G332=1,L332=1,L334=1,M332=1,U332="IBU"),AND(E332=1,G332=1,L332=1,L334=1,M332=1)),T332,0),I332)</f>
        <v>0</v>
      </c>
      <c r="W332" s="26"/>
      <c r="X332" s="26"/>
      <c r="Y332" s="26"/>
      <c r="Z332" s="26"/>
      <c r="AA332" s="26"/>
      <c r="AB332" s="33"/>
    </row>
    <row r="333" spans="1:28" x14ac:dyDescent="0.3">
      <c r="A333" s="32">
        <f>VLOOKUP(YEAR(C333),Flags!$A$13:$B$95,2,FALSE)</f>
        <v>2</v>
      </c>
      <c r="B333" s="24">
        <f t="shared" si="432"/>
        <v>1957</v>
      </c>
      <c r="C333" s="25">
        <v>21063</v>
      </c>
      <c r="D333" s="26"/>
      <c r="E333" s="24"/>
      <c r="F333" s="26"/>
      <c r="G333" s="24"/>
      <c r="H333" s="24"/>
      <c r="I333" s="26"/>
      <c r="J333" s="24"/>
      <c r="K333" s="26"/>
      <c r="L333" s="24"/>
      <c r="M333" s="24"/>
      <c r="N333" s="26"/>
      <c r="O333" s="26"/>
      <c r="P333" s="26"/>
      <c r="Q333" s="26"/>
      <c r="R333" s="26"/>
      <c r="S333" s="26"/>
      <c r="T333" s="26"/>
      <c r="U333" s="26"/>
      <c r="V333" s="26"/>
      <c r="W333" s="26">
        <f>MAX($C$7-VLOOKUP($C333,COS!$B$8:$H$991,3,FALSE),0)</f>
        <v>89621.1240234375</v>
      </c>
      <c r="X333" s="26">
        <f t="shared" si="448"/>
        <v>5510.5881217716942</v>
      </c>
      <c r="Y333" s="26">
        <f>VLOOKUP($C333,COS!$B$8:$H$991,4,FALSE)</f>
        <v>972.99468994140625</v>
      </c>
      <c r="Z333" s="26">
        <f t="shared" si="449"/>
        <v>59.827111513752584</v>
      </c>
      <c r="AA333" s="26">
        <f t="shared" ref="AA333:AA337" si="532">MIN(W333,Y333)</f>
        <v>972.99468994140625</v>
      </c>
      <c r="AB333" s="33">
        <f t="shared" ref="AB333" si="533">AA333*DAY($C333)*86400/43560/1000*IF(MONTH($C333)=8,$P$3,IF(MONTH($C333)=9,$P$4,IF(MONTH($C333)=10,$P$5,IF(MONTH($C333)=11,$P$6,IF(MONTH($C333)=12,$P$7,NA())))))</f>
        <v>59.827111513752584</v>
      </c>
    </row>
    <row r="334" spans="1:28" x14ac:dyDescent="0.3">
      <c r="A334" s="32">
        <f>VLOOKUP(YEAR(C334),Flags!$A$13:$B$95,2,FALSE)</f>
        <v>2</v>
      </c>
      <c r="B334" s="24">
        <f t="shared" si="432"/>
        <v>1957</v>
      </c>
      <c r="C334" s="25">
        <v>21093</v>
      </c>
      <c r="D334" s="26"/>
      <c r="E334" s="24"/>
      <c r="F334" s="26"/>
      <c r="G334" s="24"/>
      <c r="H334" s="24"/>
      <c r="I334" s="26"/>
      <c r="J334" s="24"/>
      <c r="K334" s="26">
        <f>VLOOKUP($C334,COS!$B$8:$H$991,2,FALSE)</f>
        <v>3041.052978515625</v>
      </c>
      <c r="L334" s="24">
        <f t="shared" ref="L334" si="534">IF(AND(K334&gt;$I$7,K334&lt;$I$8),1,0)</f>
        <v>1</v>
      </c>
      <c r="M334" s="24"/>
      <c r="N334" s="26"/>
      <c r="O334" s="26"/>
      <c r="P334" s="26"/>
      <c r="Q334" s="26"/>
      <c r="R334" s="26"/>
      <c r="S334" s="26"/>
      <c r="T334" s="26"/>
      <c r="U334" s="26"/>
      <c r="V334" s="26"/>
      <c r="W334" s="26">
        <f>MAX($C$8-VLOOKUP($C334,COS!$B$8:$H$991,3,FALSE),0)</f>
        <v>90649.27734375</v>
      </c>
      <c r="X334" s="26">
        <f t="shared" si="448"/>
        <v>5394.0065857438012</v>
      </c>
      <c r="Y334" s="26">
        <f>VLOOKUP($C334,COS!$B$8:$H$991,4,FALSE)</f>
        <v>579.7745361328125</v>
      </c>
      <c r="Z334" s="26">
        <f t="shared" si="449"/>
        <v>34.498980662448346</v>
      </c>
      <c r="AA334" s="26">
        <f t="shared" si="532"/>
        <v>579.7745361328125</v>
      </c>
      <c r="AB334" s="33">
        <f t="shared" si="446"/>
        <v>34.498980662448346</v>
      </c>
    </row>
    <row r="335" spans="1:28" x14ac:dyDescent="0.3">
      <c r="A335" s="32">
        <f>VLOOKUP(YEAR(C335),Flags!$A$13:$B$95,2,FALSE)</f>
        <v>2</v>
      </c>
      <c r="B335" s="24">
        <f t="shared" ref="B335:B398" si="535">YEAR(C335)</f>
        <v>1957</v>
      </c>
      <c r="C335" s="25">
        <v>21124</v>
      </c>
      <c r="D335" s="26"/>
      <c r="E335" s="24"/>
      <c r="F335" s="26"/>
      <c r="G335" s="26"/>
      <c r="H335" s="26"/>
      <c r="I335" s="26"/>
      <c r="J335" s="26"/>
      <c r="K335" s="26"/>
      <c r="L335" s="24"/>
      <c r="M335" s="24"/>
      <c r="N335" s="26"/>
      <c r="O335" s="26"/>
      <c r="P335" s="26"/>
      <c r="Q335" s="26"/>
      <c r="R335" s="26"/>
      <c r="S335" s="26"/>
      <c r="T335" s="26"/>
      <c r="U335" s="26"/>
      <c r="V335" s="26"/>
      <c r="W335" s="26">
        <f>MAX($C$9-VLOOKUP($C335,COS!$B$8:$H$991,3,FALSE),0)</f>
        <v>94373.61279296875</v>
      </c>
      <c r="X335" s="26">
        <f t="shared" si="448"/>
        <v>5802.8072659478312</v>
      </c>
      <c r="Y335" s="26">
        <f>VLOOKUP($C335,COS!$B$8:$H$991,4,FALSE)</f>
        <v>1307.7252197265625</v>
      </c>
      <c r="Z335" s="26">
        <f t="shared" si="449"/>
        <v>80.40888954351756</v>
      </c>
      <c r="AA335" s="26">
        <f t="shared" si="532"/>
        <v>1307.7252197265625</v>
      </c>
      <c r="AB335" s="33">
        <f t="shared" si="446"/>
        <v>80.40888954351756</v>
      </c>
    </row>
    <row r="336" spans="1:28" x14ac:dyDescent="0.3">
      <c r="A336" s="32">
        <f>VLOOKUP(YEAR(C336),Flags!$A$13:$B$95,2,FALSE)</f>
        <v>2</v>
      </c>
      <c r="B336" s="24">
        <f t="shared" si="535"/>
        <v>1957</v>
      </c>
      <c r="C336" s="25">
        <v>21154</v>
      </c>
      <c r="D336" s="26"/>
      <c r="E336" s="24"/>
      <c r="F336" s="26"/>
      <c r="G336" s="26"/>
      <c r="H336" s="26"/>
      <c r="I336" s="26"/>
      <c r="J336" s="26"/>
      <c r="K336" s="26"/>
      <c r="L336" s="24"/>
      <c r="M336" s="24"/>
      <c r="N336" s="26"/>
      <c r="O336" s="26"/>
      <c r="P336" s="26"/>
      <c r="Q336" s="26"/>
      <c r="R336" s="26"/>
      <c r="S336" s="26"/>
      <c r="T336" s="26"/>
      <c r="U336" s="26"/>
      <c r="V336" s="26"/>
      <c r="W336" s="26">
        <f>MAX($C$10-VLOOKUP($C336,COS!$B$8:$H$991,3,FALSE),0)</f>
        <v>91059.4033203125</v>
      </c>
      <c r="X336" s="26">
        <f t="shared" si="448"/>
        <v>5418.410776084711</v>
      </c>
      <c r="Y336" s="26">
        <f>VLOOKUP($C336,COS!$B$8:$H$991,4,FALSE)</f>
        <v>2291.82421875</v>
      </c>
      <c r="Z336" s="26">
        <f t="shared" si="449"/>
        <v>136.37301136363635</v>
      </c>
      <c r="AA336" s="26">
        <f t="shared" si="532"/>
        <v>2291.82421875</v>
      </c>
      <c r="AB336" s="33">
        <f t="shared" si="446"/>
        <v>68.186505681818176</v>
      </c>
    </row>
    <row r="337" spans="1:28" x14ac:dyDescent="0.3">
      <c r="A337" s="34">
        <f>VLOOKUP(YEAR(C337),Flags!$A$13:$B$95,2,FALSE)</f>
        <v>2</v>
      </c>
      <c r="B337" s="35">
        <f t="shared" si="535"/>
        <v>1957</v>
      </c>
      <c r="C337" s="36">
        <v>21185</v>
      </c>
      <c r="D337" s="37"/>
      <c r="E337" s="35"/>
      <c r="F337" s="37"/>
      <c r="G337" s="37"/>
      <c r="H337" s="37"/>
      <c r="I337" s="37"/>
      <c r="J337" s="37"/>
      <c r="K337" s="37"/>
      <c r="L337" s="35"/>
      <c r="M337" s="35"/>
      <c r="N337" s="37"/>
      <c r="O337" s="37"/>
      <c r="P337" s="37"/>
      <c r="Q337" s="37"/>
      <c r="R337" s="37"/>
      <c r="S337" s="37"/>
      <c r="T337" s="37"/>
      <c r="U337" s="37"/>
      <c r="V337" s="37"/>
      <c r="W337" s="37">
        <f>MAX($C$11-VLOOKUP($C337,COS!$B$8:$H$991,3,FALSE),0)</f>
        <v>0</v>
      </c>
      <c r="X337" s="37">
        <f t="shared" si="448"/>
        <v>0</v>
      </c>
      <c r="Y337" s="37">
        <f>VLOOKUP($C337,COS!$B$8:$H$991,4,FALSE)</f>
        <v>0</v>
      </c>
      <c r="Z337" s="37">
        <f t="shared" si="449"/>
        <v>0</v>
      </c>
      <c r="AA337" s="37">
        <f t="shared" si="532"/>
        <v>0</v>
      </c>
      <c r="AB337" s="38">
        <f t="shared" si="446"/>
        <v>0</v>
      </c>
    </row>
    <row r="338" spans="1:28" x14ac:dyDescent="0.3">
      <c r="A338" s="27">
        <f>VLOOKUP(YEAR(C338),Flags!$A$13:$B$95,2,FALSE)</f>
        <v>1</v>
      </c>
      <c r="B338" s="28">
        <f t="shared" si="535"/>
        <v>1958</v>
      </c>
      <c r="C338" s="29">
        <v>21305</v>
      </c>
      <c r="D338" s="30">
        <f>VLOOKUP($C338,COS!$B$8:$H$991,3,FALSE)</f>
        <v>11542.2392578125</v>
      </c>
      <c r="E338" s="28">
        <f>IF(D338&gt;=IF(MONTH($C338)=4,$C$3,IF(MONTH($C338)=5,$C$4,IF(MONTH($C338)=6,$C$5,IF(MONTH($C338)=7,$C$6,"ERROR")))),1,0)</f>
        <v>1</v>
      </c>
      <c r="F338" s="30">
        <f>VLOOKUP($C338,COS!$B$8:$H$991,7,FALSE)</f>
        <v>47.772865295410156</v>
      </c>
      <c r="G338" s="28">
        <f>IF(F338&lt;=IF(MONTH($C338)=4,$F$3,IF(MONTH($C338)=5,$F$4,IF(MONTH($C338)=6,$F$5,IF(MONTH($C338)=7,$F$6,"ERROR")))),1,0)</f>
        <v>1</v>
      </c>
      <c r="H338" s="30">
        <f>IF(J338=1,D338-$C$3,0)</f>
        <v>5542.2392578125</v>
      </c>
      <c r="I338" s="30">
        <f t="shared" si="450"/>
        <v>329.78613765495868</v>
      </c>
      <c r="J338" s="28">
        <f t="shared" ref="J338:J341" si="536">IF(AND(E338=1,G338=1),1,0)</f>
        <v>1</v>
      </c>
      <c r="K338" s="30">
        <f>VLOOKUP($C338,COS!$B$8:$H$991,2,FALSE)</f>
        <v>4173</v>
      </c>
      <c r="L338" s="28">
        <f t="shared" ref="L338:L395" si="537">IF(K338&lt;=IF(MONTH($C338)=4,$I$3,IF(MONTH($C338)=5,$I$4,IF(MONTH($C338)=6,$I$5,IF(MONTH($C338)=7,$I$6,"ERROR")))),1,0)</f>
        <v>1</v>
      </c>
      <c r="M338" s="28">
        <f t="shared" ref="M338:M395" si="538">VLOOKUP($A338,$L$3:$M$7,2,FALSE)</f>
        <v>0</v>
      </c>
      <c r="N338" s="30">
        <f>VLOOKUP($C338,COS!$B$8:$H$991,5,FALSE)</f>
        <v>28.527523040771484</v>
      </c>
      <c r="O338" s="30">
        <f t="shared" ref="O338:O341" si="539">N338*DAY($C338)*86400/43560/1000</f>
        <v>1.6975055032525181</v>
      </c>
      <c r="P338" s="30">
        <f>VLOOKUP($C338,COS!$B$8:$H$991,6,FALSE)</f>
        <v>286.142822265625</v>
      </c>
      <c r="Q338" s="30">
        <f t="shared" ref="Q338:Q341" si="540">P338*DAY($C338)*86400/43560/1000</f>
        <v>17.026680333161156</v>
      </c>
      <c r="R338" s="30">
        <f>MIN(IF(MONTH($C338)=4,$S$3,IF(MONTH($C338)=5,$S$4,IF(MONTH($C338)=6,$S$5,IF(MONTH($C338)=7,$S$6,"ERROR")))),MAX(VLOOKUP($C338,COS!$B$8:$K$991,10,FALSE)-IF(MONTH($C338)=4,$Y$3,IF(MONTH($C338)=5,$Y$4,IF(MONTH($C338)=6,$Y$5,IF(MONTH($C338)=7,$Y$6,"ERROR")))),0),MAX(VLOOKUP($C338,COS!$B$8:$K$991,9,FALSE)-IF(MONTH($C338)=4,$V$3,IF(MONTH($C338)=5,$V$4,IF(MONTH($C338)=6,$V$5,IF(MONTH($C338)=7,$V$6,"ERROR"))))-VLOOKUP($C338,COS!$B$8:$K$991,6,FALSE)/2,0))</f>
        <v>1500</v>
      </c>
      <c r="S338" s="30">
        <f t="shared" ref="S338:S341" si="541">R338*DAY($C338)*86400/43560/1000</f>
        <v>89.256198347107429</v>
      </c>
      <c r="T338" s="30">
        <f t="shared" ref="T338:T341" si="542">(O338+Q338)/2+S338</f>
        <v>98.618291265314269</v>
      </c>
      <c r="U338" s="30" t="str">
        <f>IF(VLOOKUP($C338,COS!$B$8:$I$991,8,FALSE)=1,"UWFE","IBU")</f>
        <v>UWFE</v>
      </c>
      <c r="V338" s="30">
        <f t="shared" ref="V338" si="543">MIN(IF(IF($AA$3=2,AND(E338=1,G338=1,L338=1,L343=1,M338=1,U338="IBU"),AND(E338=1,G338=1,L338=1,L343=1,M338=1)),T338,0),I338)</f>
        <v>0</v>
      </c>
      <c r="W338" s="30"/>
      <c r="X338" s="30"/>
      <c r="Y338" s="30"/>
      <c r="Z338" s="30"/>
      <c r="AA338" s="30"/>
      <c r="AB338" s="31"/>
    </row>
    <row r="339" spans="1:28" x14ac:dyDescent="0.3">
      <c r="A339" s="32">
        <f>VLOOKUP(YEAR(C339),Flags!$A$13:$B$95,2,FALSE)</f>
        <v>1</v>
      </c>
      <c r="B339" s="24">
        <f t="shared" si="535"/>
        <v>1958</v>
      </c>
      <c r="C339" s="25">
        <v>21336</v>
      </c>
      <c r="D339" s="26">
        <f>VLOOKUP($C339,COS!$B$8:$H$991,3,FALSE)</f>
        <v>6985.326171875</v>
      </c>
      <c r="E339" s="24">
        <f>IF(D339&gt;=IF(MONTH($C339)=4,$C$3,IF(MONTH($C339)=5,$C$4,IF(MONTH($C339)=6,$C$5,IF(MONTH($C339)=7,$C$6,"ERROR")))),1,0)</f>
        <v>1</v>
      </c>
      <c r="F339" s="26">
        <f>VLOOKUP($C339,COS!$B$8:$H$991,7,FALSE)</f>
        <v>51.385059356689453</v>
      </c>
      <c r="G339" s="24">
        <f>IF(F339&lt;=IF(MONTH($C339)=4,$F$3,IF(MONTH($C339)=5,$F$4,IF(MONTH($C339)=6,$F$5,IF(MONTH($C339)=7,$F$6,"ERROR")))),1,0)</f>
        <v>1</v>
      </c>
      <c r="H339" s="26">
        <f>IF(J339=1,D339-$C$4,0)</f>
        <v>985.326171875</v>
      </c>
      <c r="I339" s="26">
        <f t="shared" si="450"/>
        <v>60.585344783057849</v>
      </c>
      <c r="J339" s="24">
        <f t="shared" si="536"/>
        <v>1</v>
      </c>
      <c r="K339" s="26">
        <f>VLOOKUP($C339,COS!$B$8:$H$991,2,FALSE)</f>
        <v>4552</v>
      </c>
      <c r="L339" s="24">
        <f t="shared" si="537"/>
        <v>1</v>
      </c>
      <c r="M339" s="24">
        <f t="shared" si="538"/>
        <v>0</v>
      </c>
      <c r="N339" s="26">
        <f>VLOOKUP($C339,COS!$B$8:$H$991,5,FALSE)</f>
        <v>454.28439331054688</v>
      </c>
      <c r="O339" s="26">
        <f t="shared" si="539"/>
        <v>27.932858563888171</v>
      </c>
      <c r="P339" s="26">
        <f>VLOOKUP($C339,COS!$B$8:$H$991,6,FALSE)</f>
        <v>1943.7978515625</v>
      </c>
      <c r="Q339" s="26">
        <f t="shared" si="540"/>
        <v>119.5194712035124</v>
      </c>
      <c r="R339" s="26">
        <f>MIN(IF(MONTH($C339)=4,$S$3,IF(MONTH($C339)=5,$S$4,IF(MONTH($C339)=6,$S$5,IF(MONTH($C339)=7,$S$6,"ERROR")))),MAX(VLOOKUP($C339,COS!$B$8:$K$991,10,FALSE)-IF(MONTH($C339)=4,$Y$3,IF(MONTH($C339)=5,$Y$4,IF(MONTH($C339)=6,$Y$5,IF(MONTH($C339)=7,$Y$6,"ERROR")))),0),MAX(VLOOKUP($C339,COS!$B$8:$K$991,9,FALSE)-IF(MONTH($C339)=4,$V$3,IF(MONTH($C339)=5,$V$4,IF(MONTH($C339)=6,$V$5,IF(MONTH($C339)=7,$V$6,"ERROR"))))-VLOOKUP($C339,COS!$B$8:$K$991,6,FALSE)/2,0))</f>
        <v>1500</v>
      </c>
      <c r="S339" s="26">
        <f t="shared" si="541"/>
        <v>92.231404958677686</v>
      </c>
      <c r="T339" s="26">
        <f t="shared" si="542"/>
        <v>165.95756984237795</v>
      </c>
      <c r="U339" s="26" t="str">
        <f>IF(VLOOKUP($C339,COS!$B$8:$I$991,8,FALSE)=1,"UWFE","IBU")</f>
        <v>UWFE</v>
      </c>
      <c r="V339" s="26">
        <f t="shared" ref="V339" si="544">MIN(IF(IF($AA$3=2,AND(E339=1,G339=1,L339=1,L343=1,M339=1,U339="IBU"),AND(E339=1,G339=1,L339=1,L343=1,M339=1)),T339,0),I339)</f>
        <v>0</v>
      </c>
      <c r="W339" s="26"/>
      <c r="X339" s="26"/>
      <c r="Y339" s="26"/>
      <c r="Z339" s="26"/>
      <c r="AA339" s="26"/>
      <c r="AB339" s="33"/>
    </row>
    <row r="340" spans="1:28" x14ac:dyDescent="0.3">
      <c r="A340" s="32">
        <f>VLOOKUP(YEAR(C340),Flags!$A$13:$B$95,2,FALSE)</f>
        <v>1</v>
      </c>
      <c r="B340" s="24">
        <f t="shared" si="535"/>
        <v>1958</v>
      </c>
      <c r="C340" s="25">
        <v>21366</v>
      </c>
      <c r="D340" s="26">
        <f>VLOOKUP($C340,COS!$B$8:$H$991,3,FALSE)</f>
        <v>8232.15234375</v>
      </c>
      <c r="E340" s="24">
        <f>IF(D340&gt;=IF(MONTH($C340)=4,$C$3,IF(MONTH($C340)=5,$C$4,IF(MONTH($C340)=6,$C$5,IF(MONTH($C340)=7,$C$6,"ERROR")))),1,0)</f>
        <v>0</v>
      </c>
      <c r="F340" s="26">
        <f>VLOOKUP($C340,COS!$B$8:$H$991,7,FALSE)</f>
        <v>51.681552886962891</v>
      </c>
      <c r="G340" s="24">
        <f>IF(F340&lt;=IF(MONTH($C340)=4,$F$3,IF(MONTH($C340)=5,$F$4,IF(MONTH($C340)=6,$F$5,IF(MONTH($C340)=7,$F$6,"ERROR")))),1,0)</f>
        <v>1</v>
      </c>
      <c r="H340" s="26">
        <f>IF(J340=1,D340-$C$5,0)</f>
        <v>0</v>
      </c>
      <c r="I340" s="26">
        <f t="shared" si="450"/>
        <v>0</v>
      </c>
      <c r="J340" s="24">
        <f t="shared" si="536"/>
        <v>0</v>
      </c>
      <c r="K340" s="26">
        <f>VLOOKUP($C340,COS!$B$8:$H$991,2,FALSE)</f>
        <v>4500</v>
      </c>
      <c r="L340" s="24">
        <f t="shared" si="537"/>
        <v>1</v>
      </c>
      <c r="M340" s="24">
        <f t="shared" si="538"/>
        <v>0</v>
      </c>
      <c r="N340" s="26">
        <f>VLOOKUP($C340,COS!$B$8:$H$991,5,FALSE)</f>
        <v>1154.1927490234375</v>
      </c>
      <c r="O340" s="26">
        <f t="shared" si="539"/>
        <v>68.679237958419421</v>
      </c>
      <c r="P340" s="26">
        <f>VLOOKUP($C340,COS!$B$8:$H$991,6,FALSE)</f>
        <v>2269.72607421875</v>
      </c>
      <c r="Q340" s="26">
        <f t="shared" si="540"/>
        <v>135.05808044938016</v>
      </c>
      <c r="R340" s="26">
        <f>MIN(IF(MONTH($C340)=4,$S$3,IF(MONTH($C340)=5,$S$4,IF(MONTH($C340)=6,$S$5,IF(MONTH($C340)=7,$S$6,"ERROR")))),MAX(VLOOKUP($C340,COS!$B$8:$K$991,10,FALSE)-IF(MONTH($C340)=4,$Y$3,IF(MONTH($C340)=5,$Y$4,IF(MONTH($C340)=6,$Y$5,IF(MONTH($C340)=7,$Y$6,"ERROR")))),0),MAX(VLOOKUP($C340,COS!$B$8:$K$991,9,FALSE)-IF(MONTH($C340)=4,$V$3,IF(MONTH($C340)=5,$V$4,IF(MONTH($C340)=6,$V$5,IF(MONTH($C340)=7,$V$6,"ERROR"))))-VLOOKUP($C340,COS!$B$8:$K$991,6,FALSE)/2,0))</f>
        <v>1500</v>
      </c>
      <c r="S340" s="26">
        <f t="shared" si="541"/>
        <v>89.256198347107429</v>
      </c>
      <c r="T340" s="26">
        <f t="shared" si="542"/>
        <v>191.12485755100721</v>
      </c>
      <c r="U340" s="26" t="str">
        <f>IF(VLOOKUP($C340,COS!$B$8:$I$991,8,FALSE)=1,"UWFE","IBU")</f>
        <v>UWFE</v>
      </c>
      <c r="V340" s="26">
        <f t="shared" ref="V340" si="545">MIN(IF(IF($AA$3=2,AND(E340=1,G340=1,L340=1,L343=1,M340=1,U340="IBU"),AND(E340=1,G340=1,L340=1,L343=1,M340=1)),T340,0),I340)</f>
        <v>0</v>
      </c>
      <c r="W340" s="26"/>
      <c r="X340" s="26"/>
      <c r="Y340" s="26"/>
      <c r="Z340" s="26"/>
      <c r="AA340" s="26"/>
      <c r="AB340" s="33"/>
    </row>
    <row r="341" spans="1:28" x14ac:dyDescent="0.3">
      <c r="A341" s="32">
        <f>VLOOKUP(YEAR(C341),Flags!$A$13:$B$95,2,FALSE)</f>
        <v>1</v>
      </c>
      <c r="B341" s="24">
        <f t="shared" si="535"/>
        <v>1958</v>
      </c>
      <c r="C341" s="25">
        <v>21397</v>
      </c>
      <c r="D341" s="26">
        <f>VLOOKUP($C341,COS!$B$8:$H$991,3,FALSE)</f>
        <v>12357.0048828125</v>
      </c>
      <c r="E341" s="24">
        <f>IF(D341&gt;=IF(MONTH($C341)=4,$C$3,IF(MONTH($C341)=5,$C$4,IF(MONTH($C341)=6,$C$5,IF(MONTH($C341)=7,$C$6,"ERROR")))),1,0)</f>
        <v>1</v>
      </c>
      <c r="F341" s="26">
        <f>VLOOKUP($C341,COS!$B$8:$H$991,7,FALSE)</f>
        <v>52.224693298339844</v>
      </c>
      <c r="G341" s="24">
        <f>IF(F341&lt;=IF(MONTH($C341)=4,$F$3,IF(MONTH($C341)=5,$F$4,IF(MONTH($C341)=6,$F$5,IF(MONTH($C341)=7,$F$6,"ERROR")))),1,0)</f>
        <v>1</v>
      </c>
      <c r="H341" s="26">
        <f>IF(J341=1,D341-$C$6,0)</f>
        <v>357.0048828125</v>
      </c>
      <c r="I341" s="26">
        <f t="shared" si="450"/>
        <v>21.951374612603306</v>
      </c>
      <c r="J341" s="24">
        <f t="shared" si="536"/>
        <v>1</v>
      </c>
      <c r="K341" s="26">
        <f>VLOOKUP($C341,COS!$B$8:$H$991,2,FALSE)</f>
        <v>4105.73681640625</v>
      </c>
      <c r="L341" s="24">
        <f t="shared" si="537"/>
        <v>1</v>
      </c>
      <c r="M341" s="24">
        <f t="shared" si="538"/>
        <v>0</v>
      </c>
      <c r="N341" s="26">
        <f>VLOOKUP($C341,COS!$B$8:$H$991,5,FALSE)</f>
        <v>1329.9095458984375</v>
      </c>
      <c r="O341" s="26">
        <f t="shared" si="539"/>
        <v>81.772950590779956</v>
      </c>
      <c r="P341" s="26">
        <f>VLOOKUP($C341,COS!$B$8:$H$991,6,FALSE)</f>
        <v>2552.21142578125</v>
      </c>
      <c r="Q341" s="26">
        <f t="shared" si="540"/>
        <v>156.92936370092974</v>
      </c>
      <c r="R341" s="26">
        <f>MIN(IF(MONTH($C341)=4,$S$3,IF(MONTH($C341)=5,$S$4,IF(MONTH($C341)=6,$S$5,IF(MONTH($C341)=7,$S$6,"ERROR")))),MAX(VLOOKUP($C341,COS!$B$8:$K$991,10,FALSE)-IF(MONTH($C341)=4,$Y$3,IF(MONTH($C341)=5,$Y$4,IF(MONTH($C341)=6,$Y$5,IF(MONTH($C341)=7,$Y$6,"ERROR")))),0),MAX(VLOOKUP($C341,COS!$B$8:$K$991,9,FALSE)-IF(MONTH($C341)=4,$V$3,IF(MONTH($C341)=5,$V$4,IF(MONTH($C341)=6,$V$5,IF(MONTH($C341)=7,$V$6,"ERROR"))))-VLOOKUP($C341,COS!$B$8:$K$991,6,FALSE)/2,0))</f>
        <v>1500</v>
      </c>
      <c r="S341" s="26">
        <f t="shared" si="541"/>
        <v>92.231404958677686</v>
      </c>
      <c r="T341" s="26">
        <f t="shared" si="542"/>
        <v>211.58256210453254</v>
      </c>
      <c r="U341" s="26" t="str">
        <f>IF(VLOOKUP($C341,COS!$B$8:$I$991,8,FALSE)=1,"UWFE","IBU")</f>
        <v>IBU</v>
      </c>
      <c r="V341" s="26">
        <f t="shared" ref="V341" si="546">MIN(IF(IF($AA$3=2,AND(E341=1,G341=1,L341=1,L343=1,M341=1,U341="IBU"),AND(E341=1,G341=1,L341=1,L343=1,M341=1)),T341,0),I341)</f>
        <v>0</v>
      </c>
      <c r="W341" s="26"/>
      <c r="X341" s="26"/>
      <c r="Y341" s="26"/>
      <c r="Z341" s="26"/>
      <c r="AA341" s="26"/>
      <c r="AB341" s="33"/>
    </row>
    <row r="342" spans="1:28" x14ac:dyDescent="0.3">
      <c r="A342" s="32">
        <f>VLOOKUP(YEAR(C342),Flags!$A$13:$B$95,2,FALSE)</f>
        <v>1</v>
      </c>
      <c r="B342" s="24">
        <f t="shared" si="535"/>
        <v>1958</v>
      </c>
      <c r="C342" s="25">
        <v>21428</v>
      </c>
      <c r="D342" s="26"/>
      <c r="E342" s="24"/>
      <c r="F342" s="26"/>
      <c r="G342" s="24"/>
      <c r="H342" s="24"/>
      <c r="I342" s="26"/>
      <c r="J342" s="24"/>
      <c r="K342" s="26"/>
      <c r="L342" s="24"/>
      <c r="M342" s="24"/>
      <c r="N342" s="26"/>
      <c r="O342" s="26"/>
      <c r="P342" s="26"/>
      <c r="Q342" s="26"/>
      <c r="R342" s="26"/>
      <c r="S342" s="26"/>
      <c r="T342" s="26"/>
      <c r="U342" s="26"/>
      <c r="V342" s="26"/>
      <c r="W342" s="26">
        <f>MAX($C$7-VLOOKUP($C342,COS!$B$8:$H$991,3,FALSE),0)</f>
        <v>87940.8720703125</v>
      </c>
      <c r="X342" s="26">
        <f t="shared" si="448"/>
        <v>5407.2734562241731</v>
      </c>
      <c r="Y342" s="26">
        <f>VLOOKUP($C342,COS!$B$8:$H$991,4,FALSE)</f>
        <v>0</v>
      </c>
      <c r="Z342" s="26">
        <f t="shared" si="449"/>
        <v>0</v>
      </c>
      <c r="AA342" s="26">
        <f t="shared" ref="AA342:AA346" si="547">MIN(W342,Y342)</f>
        <v>0</v>
      </c>
      <c r="AB342" s="33">
        <f t="shared" ref="AB342:AB400" si="548">AA342*DAY($C342)*86400/43560/1000*IF(MONTH($C342)=8,$P$3,IF(MONTH($C342)=9,$P$4,IF(MONTH($C342)=10,$P$5,IF(MONTH($C342)=11,$P$6,IF(MONTH($C342)=12,$P$7,NA())))))</f>
        <v>0</v>
      </c>
    </row>
    <row r="343" spans="1:28" x14ac:dyDescent="0.3">
      <c r="A343" s="32">
        <f>VLOOKUP(YEAR(C343),Flags!$A$13:$B$95,2,FALSE)</f>
        <v>1</v>
      </c>
      <c r="B343" s="24">
        <f t="shared" si="535"/>
        <v>1958</v>
      </c>
      <c r="C343" s="25">
        <v>21458</v>
      </c>
      <c r="D343" s="26"/>
      <c r="E343" s="24"/>
      <c r="F343" s="26"/>
      <c r="G343" s="24"/>
      <c r="H343" s="24"/>
      <c r="I343" s="26"/>
      <c r="J343" s="24"/>
      <c r="K343" s="26">
        <f>VLOOKUP($C343,COS!$B$8:$H$991,2,FALSE)</f>
        <v>3174.58203125</v>
      </c>
      <c r="L343" s="24">
        <f t="shared" ref="L343" si="549">IF(AND(K343&gt;$I$7,K343&lt;$I$8),1,0)</f>
        <v>1</v>
      </c>
      <c r="M343" s="24"/>
      <c r="N343" s="26"/>
      <c r="O343" s="26"/>
      <c r="P343" s="26"/>
      <c r="Q343" s="26"/>
      <c r="R343" s="26"/>
      <c r="S343" s="26"/>
      <c r="T343" s="26"/>
      <c r="U343" s="26"/>
      <c r="V343" s="26"/>
      <c r="W343" s="26">
        <f>MAX($C$8-VLOOKUP($C343,COS!$B$8:$H$991,3,FALSE),0)</f>
        <v>84527.9521484375</v>
      </c>
      <c r="X343" s="26">
        <f t="shared" si="448"/>
        <v>5029.7624418904961</v>
      </c>
      <c r="Y343" s="26">
        <f>VLOOKUP($C343,COS!$B$8:$H$991,4,FALSE)</f>
        <v>0</v>
      </c>
      <c r="Z343" s="26">
        <f t="shared" si="449"/>
        <v>0</v>
      </c>
      <c r="AA343" s="26">
        <f t="shared" si="547"/>
        <v>0</v>
      </c>
      <c r="AB343" s="33">
        <f t="shared" si="548"/>
        <v>0</v>
      </c>
    </row>
    <row r="344" spans="1:28" x14ac:dyDescent="0.3">
      <c r="A344" s="32">
        <f>VLOOKUP(YEAR(C344),Flags!$A$13:$B$95,2,FALSE)</f>
        <v>1</v>
      </c>
      <c r="B344" s="24">
        <f t="shared" si="535"/>
        <v>1958</v>
      </c>
      <c r="C344" s="25">
        <v>21489</v>
      </c>
      <c r="D344" s="26"/>
      <c r="E344" s="24"/>
      <c r="F344" s="26"/>
      <c r="G344" s="26"/>
      <c r="H344" s="26"/>
      <c r="I344" s="26"/>
      <c r="J344" s="26"/>
      <c r="K344" s="26"/>
      <c r="L344" s="24"/>
      <c r="M344" s="24"/>
      <c r="N344" s="26"/>
      <c r="O344" s="26"/>
      <c r="P344" s="26"/>
      <c r="Q344" s="26"/>
      <c r="R344" s="26"/>
      <c r="S344" s="26"/>
      <c r="T344" s="26"/>
      <c r="U344" s="26"/>
      <c r="V344" s="26"/>
      <c r="W344" s="26">
        <f>MAX($C$9-VLOOKUP($C344,COS!$B$8:$H$991,3,FALSE),0)</f>
        <v>92967.86865234375</v>
      </c>
      <c r="X344" s="26">
        <f t="shared" si="448"/>
        <v>5716.3714278796488</v>
      </c>
      <c r="Y344" s="26">
        <f>VLOOKUP($C344,COS!$B$8:$H$991,4,FALSE)</f>
        <v>50.698928833007813</v>
      </c>
      <c r="Z344" s="26">
        <f t="shared" si="449"/>
        <v>3.117355624112216</v>
      </c>
      <c r="AA344" s="26">
        <f t="shared" si="547"/>
        <v>50.698928833007813</v>
      </c>
      <c r="AB344" s="33">
        <f t="shared" si="548"/>
        <v>3.117355624112216</v>
      </c>
    </row>
    <row r="345" spans="1:28" x14ac:dyDescent="0.3">
      <c r="A345" s="32">
        <f>VLOOKUP(YEAR(C345),Flags!$A$13:$B$95,2,FALSE)</f>
        <v>1</v>
      </c>
      <c r="B345" s="24">
        <f t="shared" si="535"/>
        <v>1958</v>
      </c>
      <c r="C345" s="25">
        <v>21519</v>
      </c>
      <c r="D345" s="26"/>
      <c r="E345" s="24"/>
      <c r="F345" s="26"/>
      <c r="G345" s="26"/>
      <c r="H345" s="26"/>
      <c r="I345" s="26"/>
      <c r="J345" s="26"/>
      <c r="K345" s="26"/>
      <c r="L345" s="24"/>
      <c r="M345" s="24"/>
      <c r="N345" s="26"/>
      <c r="O345" s="26"/>
      <c r="P345" s="26"/>
      <c r="Q345" s="26"/>
      <c r="R345" s="26"/>
      <c r="S345" s="26"/>
      <c r="T345" s="26"/>
      <c r="U345" s="26"/>
      <c r="V345" s="26"/>
      <c r="W345" s="26">
        <f>MAX($C$10-VLOOKUP($C345,COS!$B$8:$H$991,3,FALSE),0)</f>
        <v>88886.1259765625</v>
      </c>
      <c r="X345" s="26">
        <f t="shared" si="448"/>
        <v>5289.091793646694</v>
      </c>
      <c r="Y345" s="26">
        <f>VLOOKUP($C345,COS!$B$8:$H$991,4,FALSE)</f>
        <v>1516.7578125</v>
      </c>
      <c r="Z345" s="26">
        <f t="shared" si="449"/>
        <v>90.253357438016522</v>
      </c>
      <c r="AA345" s="26">
        <f t="shared" si="547"/>
        <v>1516.7578125</v>
      </c>
      <c r="AB345" s="33">
        <f t="shared" si="548"/>
        <v>45.126678719008261</v>
      </c>
    </row>
    <row r="346" spans="1:28" x14ac:dyDescent="0.3">
      <c r="A346" s="34">
        <f>VLOOKUP(YEAR(C346),Flags!$A$13:$B$95,2,FALSE)</f>
        <v>1</v>
      </c>
      <c r="B346" s="35">
        <f t="shared" si="535"/>
        <v>1958</v>
      </c>
      <c r="C346" s="36">
        <v>21550</v>
      </c>
      <c r="D346" s="37"/>
      <c r="E346" s="35"/>
      <c r="F346" s="37"/>
      <c r="G346" s="37"/>
      <c r="H346" s="37"/>
      <c r="I346" s="37"/>
      <c r="J346" s="37"/>
      <c r="K346" s="37"/>
      <c r="L346" s="35"/>
      <c r="M346" s="35"/>
      <c r="N346" s="37"/>
      <c r="O346" s="37"/>
      <c r="P346" s="37"/>
      <c r="Q346" s="37"/>
      <c r="R346" s="37"/>
      <c r="S346" s="37"/>
      <c r="T346" s="37"/>
      <c r="U346" s="37"/>
      <c r="V346" s="37"/>
      <c r="W346" s="37">
        <f>MAX($C$11-VLOOKUP($C346,COS!$B$8:$H$991,3,FALSE),0)</f>
        <v>0</v>
      </c>
      <c r="X346" s="37">
        <f t="shared" si="448"/>
        <v>0</v>
      </c>
      <c r="Y346" s="37">
        <f>VLOOKUP($C346,COS!$B$8:$H$991,4,FALSE)</f>
        <v>0</v>
      </c>
      <c r="Z346" s="37">
        <f t="shared" si="449"/>
        <v>0</v>
      </c>
      <c r="AA346" s="37">
        <f t="shared" si="547"/>
        <v>0</v>
      </c>
      <c r="AB346" s="38">
        <f t="shared" si="548"/>
        <v>0</v>
      </c>
    </row>
    <row r="347" spans="1:28" x14ac:dyDescent="0.3">
      <c r="A347" s="27">
        <f>VLOOKUP(YEAR(C347),Flags!$A$13:$B$95,2,FALSE)</f>
        <v>3</v>
      </c>
      <c r="B347" s="28">
        <f t="shared" si="535"/>
        <v>1959</v>
      </c>
      <c r="C347" s="29">
        <v>21670</v>
      </c>
      <c r="D347" s="30">
        <f>VLOOKUP($C347,COS!$B$8:$H$991,3,FALSE)</f>
        <v>4176.9140625</v>
      </c>
      <c r="E347" s="28">
        <f>IF(D347&gt;=IF(MONTH($C347)=4,$C$3,IF(MONTH($C347)=5,$C$4,IF(MONTH($C347)=6,$C$5,IF(MONTH($C347)=7,$C$6,"ERROR")))),1,0)</f>
        <v>0</v>
      </c>
      <c r="F347" s="30">
        <f>VLOOKUP($C347,COS!$B$8:$H$991,7,FALSE)</f>
        <v>52.521034240722656</v>
      </c>
      <c r="G347" s="28">
        <f>IF(F347&lt;=IF(MONTH($C347)=4,$F$3,IF(MONTH($C347)=5,$F$4,IF(MONTH($C347)=6,$F$5,IF(MONTH($C347)=7,$F$6,"ERROR")))),1,0)</f>
        <v>1</v>
      </c>
      <c r="H347" s="30">
        <f>IF(J347=1,D347-$C$3,0)</f>
        <v>0</v>
      </c>
      <c r="I347" s="30">
        <f t="shared" si="450"/>
        <v>0</v>
      </c>
      <c r="J347" s="28">
        <f t="shared" ref="J347:J350" si="550">IF(AND(E347=1,G347=1),1,0)</f>
        <v>0</v>
      </c>
      <c r="K347" s="30">
        <f>VLOOKUP($C347,COS!$B$8:$H$991,2,FALSE)</f>
        <v>4402.98779296875</v>
      </c>
      <c r="L347" s="28">
        <f t="shared" ref="L347" si="551">IF(K347&lt;=IF(MONTH($C347)=4,$I$3,IF(MONTH($C347)=5,$I$4,IF(MONTH($C347)=6,$I$5,IF(MONTH($C347)=7,$I$6,"ERROR")))),1,0)</f>
        <v>1</v>
      </c>
      <c r="M347" s="28">
        <f t="shared" ref="M347" si="552">VLOOKUP($A347,$L$3:$M$7,2,FALSE)</f>
        <v>0</v>
      </c>
      <c r="N347" s="30">
        <f>VLOOKUP($C347,COS!$B$8:$H$991,5,FALSE)</f>
        <v>220.10430908203125</v>
      </c>
      <c r="O347" s="30">
        <f t="shared" ref="O347:O350" si="553">N347*DAY($C347)*86400/43560/1000</f>
        <v>13.097115912319216</v>
      </c>
      <c r="P347" s="30">
        <f>VLOOKUP($C347,COS!$B$8:$H$991,6,FALSE)</f>
        <v>554.8544921875</v>
      </c>
      <c r="Q347" s="30">
        <f t="shared" ref="Q347:Q350" si="554">P347*DAY($C347)*86400/43560/1000</f>
        <v>33.01613507231405</v>
      </c>
      <c r="R347" s="30">
        <f>MIN(IF(MONTH($C347)=4,$S$3,IF(MONTH($C347)=5,$S$4,IF(MONTH($C347)=6,$S$5,IF(MONTH($C347)=7,$S$6,"ERROR")))),MAX(VLOOKUP($C347,COS!$B$8:$K$991,10,FALSE)-IF(MONTH($C347)=4,$Y$3,IF(MONTH($C347)=5,$Y$4,IF(MONTH($C347)=6,$Y$5,IF(MONTH($C347)=7,$Y$6,"ERROR")))),0),MAX(VLOOKUP($C347,COS!$B$8:$K$991,9,FALSE)-IF(MONTH($C347)=4,$V$3,IF(MONTH($C347)=5,$V$4,IF(MONTH($C347)=6,$V$5,IF(MONTH($C347)=7,$V$6,"ERROR"))))-VLOOKUP($C347,COS!$B$8:$K$991,6,FALSE)/2,0))</f>
        <v>1474.0966796875</v>
      </c>
      <c r="S347" s="30">
        <f t="shared" ref="S347:S350" si="555">R347*DAY($C347)*86400/43560/1000</f>
        <v>87.71484375</v>
      </c>
      <c r="T347" s="30">
        <f t="shared" ref="T347:T350" si="556">(O347+Q347)/2+S347</f>
        <v>110.77146924231664</v>
      </c>
      <c r="U347" s="30" t="str">
        <f>IF(VLOOKUP($C347,COS!$B$8:$I$991,8,FALSE)=1,"UWFE","IBU")</f>
        <v>UWFE</v>
      </c>
      <c r="V347" s="30">
        <f t="shared" ref="V347" si="557">MIN(IF(IF($AA$3=2,AND(E347=1,G347=1,L347=1,L352=1,M347=1,U347="IBU"),AND(E347=1,G347=1,L347=1,L352=1,M347=1)),T347,0),I347)</f>
        <v>0</v>
      </c>
      <c r="W347" s="30"/>
      <c r="X347" s="30"/>
      <c r="Y347" s="30"/>
      <c r="Z347" s="30"/>
      <c r="AA347" s="30"/>
      <c r="AB347" s="31"/>
    </row>
    <row r="348" spans="1:28" x14ac:dyDescent="0.3">
      <c r="A348" s="32">
        <f>VLOOKUP(YEAR(C348),Flags!$A$13:$B$95,2,FALSE)</f>
        <v>3</v>
      </c>
      <c r="B348" s="24">
        <f t="shared" si="535"/>
        <v>1959</v>
      </c>
      <c r="C348" s="25">
        <v>21701</v>
      </c>
      <c r="D348" s="26">
        <f>VLOOKUP($C348,COS!$B$8:$H$991,3,FALSE)</f>
        <v>8032.080078125</v>
      </c>
      <c r="E348" s="24">
        <f>IF(D348&gt;=IF(MONTH($C348)=4,$C$3,IF(MONTH($C348)=5,$C$4,IF(MONTH($C348)=6,$C$5,IF(MONTH($C348)=7,$C$6,"ERROR")))),1,0)</f>
        <v>1</v>
      </c>
      <c r="F348" s="26">
        <f>VLOOKUP($C348,COS!$B$8:$H$991,7,FALSE)</f>
        <v>51.603923797607422</v>
      </c>
      <c r="G348" s="24">
        <f>IF(F348&lt;=IF(MONTH($C348)=4,$F$3,IF(MONTH($C348)=5,$F$4,IF(MONTH($C348)=6,$F$5,IF(MONTH($C348)=7,$F$6,"ERROR")))),1,0)</f>
        <v>1</v>
      </c>
      <c r="H348" s="26">
        <f>IF(J348=1,D348-$C$4,0)</f>
        <v>2032.080078125</v>
      </c>
      <c r="I348" s="26">
        <f t="shared" ref="I348:I411" si="558">H348*DAY($C348)*86400/43560/1000</f>
        <v>124.94773372933884</v>
      </c>
      <c r="J348" s="24">
        <f t="shared" si="550"/>
        <v>1</v>
      </c>
      <c r="K348" s="26">
        <f>VLOOKUP($C348,COS!$B$8:$H$991,2,FALSE)</f>
        <v>4231.4052734375</v>
      </c>
      <c r="L348" s="24">
        <f t="shared" si="537"/>
        <v>1</v>
      </c>
      <c r="M348" s="24">
        <f t="shared" si="538"/>
        <v>0</v>
      </c>
      <c r="N348" s="26">
        <f>VLOOKUP($C348,COS!$B$8:$H$991,5,FALSE)</f>
        <v>634.8975830078125</v>
      </c>
      <c r="O348" s="26">
        <f t="shared" si="553"/>
        <v>39.03833072378616</v>
      </c>
      <c r="P348" s="26">
        <f>VLOOKUP($C348,COS!$B$8:$H$991,6,FALSE)</f>
        <v>2338.357666015625</v>
      </c>
      <c r="Q348" s="26">
        <f t="shared" si="554"/>
        <v>143.78000855501034</v>
      </c>
      <c r="R348" s="26">
        <f>MIN(IF(MONTH($C348)=4,$S$3,IF(MONTH($C348)=5,$S$4,IF(MONTH($C348)=6,$S$5,IF(MONTH($C348)=7,$S$6,"ERROR")))),MAX(VLOOKUP($C348,COS!$B$8:$K$991,10,FALSE)-IF(MONTH($C348)=4,$Y$3,IF(MONTH($C348)=5,$Y$4,IF(MONTH($C348)=6,$Y$5,IF(MONTH($C348)=7,$Y$6,"ERROR")))),0),MAX(VLOOKUP($C348,COS!$B$8:$K$991,9,FALSE)-IF(MONTH($C348)=4,$V$3,IF(MONTH($C348)=5,$V$4,IF(MONTH($C348)=6,$V$5,IF(MONTH($C348)=7,$V$6,"ERROR"))))-VLOOKUP($C348,COS!$B$8:$K$991,6,FALSE)/2,0))</f>
        <v>1500</v>
      </c>
      <c r="S348" s="26">
        <f t="shared" si="555"/>
        <v>92.231404958677686</v>
      </c>
      <c r="T348" s="26">
        <f t="shared" si="556"/>
        <v>183.64057459807594</v>
      </c>
      <c r="U348" s="26" t="str">
        <f>IF(VLOOKUP($C348,COS!$B$8:$I$991,8,FALSE)=1,"UWFE","IBU")</f>
        <v>UWFE</v>
      </c>
      <c r="V348" s="26">
        <f t="shared" ref="V348" si="559">MIN(IF(IF($AA$3=2,AND(E348=1,G348=1,L348=1,L352=1,M348=1,U348="IBU"),AND(E348=1,G348=1,L348=1,L352=1,M348=1)),T348,0),I348)</f>
        <v>0</v>
      </c>
      <c r="W348" s="26"/>
      <c r="X348" s="26"/>
      <c r="Y348" s="26"/>
      <c r="Z348" s="26"/>
      <c r="AA348" s="26"/>
      <c r="AB348" s="33"/>
    </row>
    <row r="349" spans="1:28" x14ac:dyDescent="0.3">
      <c r="A349" s="32">
        <f>VLOOKUP(YEAR(C349),Flags!$A$13:$B$95,2,FALSE)</f>
        <v>3</v>
      </c>
      <c r="B349" s="24">
        <f t="shared" si="535"/>
        <v>1959</v>
      </c>
      <c r="C349" s="25">
        <v>21731</v>
      </c>
      <c r="D349" s="26">
        <f>VLOOKUP($C349,COS!$B$8:$H$991,3,FALSE)</f>
        <v>12238.9375</v>
      </c>
      <c r="E349" s="24">
        <f>IF(D349&gt;=IF(MONTH($C349)=4,$C$3,IF(MONTH($C349)=5,$C$4,IF(MONTH($C349)=6,$C$5,IF(MONTH($C349)=7,$C$6,"ERROR")))),1,0)</f>
        <v>1</v>
      </c>
      <c r="F349" s="26">
        <f>VLOOKUP($C349,COS!$B$8:$H$991,7,FALSE)</f>
        <v>51.942916870117188</v>
      </c>
      <c r="G349" s="24">
        <f>IF(F349&lt;=IF(MONTH($C349)=4,$F$3,IF(MONTH($C349)=5,$F$4,IF(MONTH($C349)=6,$F$5,IF(MONTH($C349)=7,$F$6,"ERROR")))),1,0)</f>
        <v>1</v>
      </c>
      <c r="H349" s="26">
        <f>IF(J349=1,D349-$C$5,0)</f>
        <v>2238.9375</v>
      </c>
      <c r="I349" s="26">
        <f t="shared" si="558"/>
        <v>133.22603305785125</v>
      </c>
      <c r="J349" s="24">
        <f t="shared" si="550"/>
        <v>1</v>
      </c>
      <c r="K349" s="26">
        <f>VLOOKUP($C349,COS!$B$8:$H$991,2,FALSE)</f>
        <v>3758.05615234375</v>
      </c>
      <c r="L349" s="24">
        <f t="shared" si="537"/>
        <v>1</v>
      </c>
      <c r="M349" s="24">
        <f t="shared" si="538"/>
        <v>0</v>
      </c>
      <c r="N349" s="26">
        <f>VLOOKUP($C349,COS!$B$8:$H$991,5,FALSE)</f>
        <v>756.1251220703125</v>
      </c>
      <c r="O349" s="26">
        <f t="shared" si="553"/>
        <v>44.992569247159089</v>
      </c>
      <c r="P349" s="26">
        <f>VLOOKUP($C349,COS!$B$8:$H$991,6,FALSE)</f>
        <v>2677.335693359375</v>
      </c>
      <c r="Q349" s="26">
        <f t="shared" si="554"/>
        <v>159.31253712551654</v>
      </c>
      <c r="R349" s="26">
        <f>MIN(IF(MONTH($C349)=4,$S$3,IF(MONTH($C349)=5,$S$4,IF(MONTH($C349)=6,$S$5,IF(MONTH($C349)=7,$S$6,"ERROR")))),MAX(VLOOKUP($C349,COS!$B$8:$K$991,10,FALSE)-IF(MONTH($C349)=4,$Y$3,IF(MONTH($C349)=5,$Y$4,IF(MONTH($C349)=6,$Y$5,IF(MONTH($C349)=7,$Y$6,"ERROR")))),0),MAX(VLOOKUP($C349,COS!$B$8:$K$991,9,FALSE)-IF(MONTH($C349)=4,$V$3,IF(MONTH($C349)=5,$V$4,IF(MONTH($C349)=6,$V$5,IF(MONTH($C349)=7,$V$6,"ERROR"))))-VLOOKUP($C349,COS!$B$8:$K$991,6,FALSE)/2,0))</f>
        <v>1500</v>
      </c>
      <c r="S349" s="26">
        <f t="shared" si="555"/>
        <v>89.256198347107429</v>
      </c>
      <c r="T349" s="26">
        <f t="shared" si="556"/>
        <v>191.40875153344524</v>
      </c>
      <c r="U349" s="26" t="str">
        <f>IF(VLOOKUP($C349,COS!$B$8:$I$991,8,FALSE)=1,"UWFE","IBU")</f>
        <v>IBU</v>
      </c>
      <c r="V349" s="26">
        <f t="shared" ref="V349" si="560">MIN(IF(IF($AA$3=2,AND(E349=1,G349=1,L349=1,L352=1,M349=1,U349="IBU"),AND(E349=1,G349=1,L349=1,L352=1,M349=1)),T349,0),I349)</f>
        <v>0</v>
      </c>
      <c r="W349" s="26"/>
      <c r="X349" s="26"/>
      <c r="Y349" s="26"/>
      <c r="Z349" s="26"/>
      <c r="AA349" s="26"/>
      <c r="AB349" s="33"/>
    </row>
    <row r="350" spans="1:28" x14ac:dyDescent="0.3">
      <c r="A350" s="32">
        <f>VLOOKUP(YEAR(C350),Flags!$A$13:$B$95,2,FALSE)</f>
        <v>3</v>
      </c>
      <c r="B350" s="24">
        <f t="shared" si="535"/>
        <v>1959</v>
      </c>
      <c r="C350" s="25">
        <v>21762</v>
      </c>
      <c r="D350" s="26">
        <f>VLOOKUP($C350,COS!$B$8:$H$991,3,FALSE)</f>
        <v>16000</v>
      </c>
      <c r="E350" s="24">
        <f>IF(D350&gt;=IF(MONTH($C350)=4,$C$3,IF(MONTH($C350)=5,$C$4,IF(MONTH($C350)=6,$C$5,IF(MONTH($C350)=7,$C$6,"ERROR")))),1,0)</f>
        <v>1</v>
      </c>
      <c r="F350" s="26">
        <f>VLOOKUP($C350,COS!$B$8:$H$991,7,FALSE)</f>
        <v>52.936290740966797</v>
      </c>
      <c r="G350" s="24">
        <f>IF(F350&lt;=IF(MONTH($C350)=4,$F$3,IF(MONTH($C350)=5,$F$4,IF(MONTH($C350)=6,$F$5,IF(MONTH($C350)=7,$F$6,"ERROR")))),1,0)</f>
        <v>1</v>
      </c>
      <c r="H350" s="26">
        <f>IF(J350=1,D350-$C$6,0)</f>
        <v>4000</v>
      </c>
      <c r="I350" s="26">
        <f t="shared" si="558"/>
        <v>245.95041322314049</v>
      </c>
      <c r="J350" s="24">
        <f t="shared" si="550"/>
        <v>1</v>
      </c>
      <c r="K350" s="26">
        <f>VLOOKUP($C350,COS!$B$8:$H$991,2,FALSE)</f>
        <v>3122.560546875</v>
      </c>
      <c r="L350" s="24">
        <f t="shared" si="537"/>
        <v>1</v>
      </c>
      <c r="M350" s="24">
        <f t="shared" si="538"/>
        <v>0</v>
      </c>
      <c r="N350" s="26">
        <f>VLOOKUP($C350,COS!$B$8:$H$991,5,FALSE)</f>
        <v>824.85052490234375</v>
      </c>
      <c r="O350" s="26">
        <f t="shared" si="553"/>
        <v>50.718081861763942</v>
      </c>
      <c r="P350" s="26">
        <f>VLOOKUP($C350,COS!$B$8:$H$991,6,FALSE)</f>
        <v>2537.385498046875</v>
      </c>
      <c r="Q350" s="26">
        <f t="shared" si="554"/>
        <v>156.01775293775825</v>
      </c>
      <c r="R350" s="26">
        <f>MIN(IF(MONTH($C350)=4,$S$3,IF(MONTH($C350)=5,$S$4,IF(MONTH($C350)=6,$S$5,IF(MONTH($C350)=7,$S$6,"ERROR")))),MAX(VLOOKUP($C350,COS!$B$8:$K$991,10,FALSE)-IF(MONTH($C350)=4,$Y$3,IF(MONTH($C350)=5,$Y$4,IF(MONTH($C350)=6,$Y$5,IF(MONTH($C350)=7,$Y$6,"ERROR")))),0),MAX(VLOOKUP($C350,COS!$B$8:$K$991,9,FALSE)-IF(MONTH($C350)=4,$V$3,IF(MONTH($C350)=5,$V$4,IF(MONTH($C350)=6,$V$5,IF(MONTH($C350)=7,$V$6,"ERROR"))))-VLOOKUP($C350,COS!$B$8:$K$991,6,FALSE)/2,0))</f>
        <v>1500</v>
      </c>
      <c r="S350" s="26">
        <f t="shared" si="555"/>
        <v>92.231404958677686</v>
      </c>
      <c r="T350" s="26">
        <f t="shared" si="556"/>
        <v>195.59932235843877</v>
      </c>
      <c r="U350" s="26" t="str">
        <f>IF(VLOOKUP($C350,COS!$B$8:$I$991,8,FALSE)=1,"UWFE","IBU")</f>
        <v>IBU</v>
      </c>
      <c r="V350" s="26">
        <f t="shared" ref="V350" si="561">MIN(IF(IF($AA$3=2,AND(E350=1,G350=1,L350=1,L352=1,M350=1,U350="IBU"),AND(E350=1,G350=1,L350=1,L352=1,M350=1)),T350,0),I350)</f>
        <v>0</v>
      </c>
      <c r="W350" s="26"/>
      <c r="X350" s="26"/>
      <c r="Y350" s="26"/>
      <c r="Z350" s="26"/>
      <c r="AA350" s="26"/>
      <c r="AB350" s="33"/>
    </row>
    <row r="351" spans="1:28" x14ac:dyDescent="0.3">
      <c r="A351" s="32">
        <f>VLOOKUP(YEAR(C351),Flags!$A$13:$B$95,2,FALSE)</f>
        <v>3</v>
      </c>
      <c r="B351" s="24">
        <f t="shared" si="535"/>
        <v>1959</v>
      </c>
      <c r="C351" s="25">
        <v>21793</v>
      </c>
      <c r="D351" s="26"/>
      <c r="E351" s="24"/>
      <c r="F351" s="26"/>
      <c r="G351" s="24"/>
      <c r="H351" s="24"/>
      <c r="I351" s="26"/>
      <c r="J351" s="24"/>
      <c r="K351" s="26"/>
      <c r="L351" s="24"/>
      <c r="M351" s="24"/>
      <c r="N351" s="26"/>
      <c r="O351" s="26"/>
      <c r="P351" s="26"/>
      <c r="Q351" s="26"/>
      <c r="R351" s="26"/>
      <c r="S351" s="26"/>
      <c r="T351" s="26"/>
      <c r="U351" s="26"/>
      <c r="V351" s="26"/>
      <c r="W351" s="26">
        <f>MAX($C$7-VLOOKUP($C351,COS!$B$8:$H$991,3,FALSE),0)</f>
        <v>87769.9443359375</v>
      </c>
      <c r="X351" s="26">
        <f t="shared" ref="X351:X414" si="562">W351*DAY($C351)*86400/43560/1000</f>
        <v>5396.7635194989671</v>
      </c>
      <c r="Y351" s="26">
        <f>VLOOKUP($C351,COS!$B$8:$H$991,4,FALSE)</f>
        <v>580.99884033203125</v>
      </c>
      <c r="Z351" s="26">
        <f t="shared" ref="Z351:Z414" si="563">Y351*DAY($C351)*86400/43560/1000</f>
        <v>35.724226215457129</v>
      </c>
      <c r="AA351" s="26">
        <f t="shared" ref="AA351:AA355" si="564">MIN(W351,Y351)</f>
        <v>580.99884033203125</v>
      </c>
      <c r="AB351" s="33">
        <f t="shared" ref="AB351" si="565">AA351*DAY($C351)*86400/43560/1000*IF(MONTH($C351)=8,$P$3,IF(MONTH($C351)=9,$P$4,IF(MONTH($C351)=10,$P$5,IF(MONTH($C351)=11,$P$6,IF(MONTH($C351)=12,$P$7,NA())))))</f>
        <v>35.724226215457129</v>
      </c>
    </row>
    <row r="352" spans="1:28" x14ac:dyDescent="0.3">
      <c r="A352" s="32">
        <f>VLOOKUP(YEAR(C352),Flags!$A$13:$B$95,2,FALSE)</f>
        <v>3</v>
      </c>
      <c r="B352" s="24">
        <f t="shared" si="535"/>
        <v>1959</v>
      </c>
      <c r="C352" s="25">
        <v>21823</v>
      </c>
      <c r="D352" s="26"/>
      <c r="E352" s="24"/>
      <c r="F352" s="26"/>
      <c r="G352" s="24"/>
      <c r="H352" s="24"/>
      <c r="I352" s="26"/>
      <c r="J352" s="24"/>
      <c r="K352" s="26">
        <f>VLOOKUP($C352,COS!$B$8:$H$991,2,FALSE)</f>
        <v>2777.299560546875</v>
      </c>
      <c r="L352" s="24">
        <f t="shared" ref="L352" si="566">IF(AND(K352&gt;$I$7,K352&lt;$I$8),1,0)</f>
        <v>1</v>
      </c>
      <c r="M352" s="24"/>
      <c r="N352" s="26"/>
      <c r="O352" s="26"/>
      <c r="P352" s="26"/>
      <c r="Q352" s="26"/>
      <c r="R352" s="26"/>
      <c r="S352" s="26"/>
      <c r="T352" s="26"/>
      <c r="U352" s="26"/>
      <c r="V352" s="26"/>
      <c r="W352" s="26">
        <f>MAX($C$8-VLOOKUP($C352,COS!$B$8:$H$991,3,FALSE),0)</f>
        <v>94751.353515625</v>
      </c>
      <c r="X352" s="26">
        <f t="shared" si="562"/>
        <v>5638.0970686983474</v>
      </c>
      <c r="Y352" s="26">
        <f>VLOOKUP($C352,COS!$B$8:$H$991,4,FALSE)</f>
        <v>162.466064453125</v>
      </c>
      <c r="Z352" s="26">
        <f t="shared" si="563"/>
        <v>9.66740218233471</v>
      </c>
      <c r="AA352" s="26">
        <f t="shared" si="564"/>
        <v>162.466064453125</v>
      </c>
      <c r="AB352" s="33">
        <f t="shared" si="548"/>
        <v>9.66740218233471</v>
      </c>
    </row>
    <row r="353" spans="1:28" x14ac:dyDescent="0.3">
      <c r="A353" s="32">
        <f>VLOOKUP(YEAR(C353),Flags!$A$13:$B$95,2,FALSE)</f>
        <v>3</v>
      </c>
      <c r="B353" s="24">
        <f t="shared" si="535"/>
        <v>1959</v>
      </c>
      <c r="C353" s="25">
        <v>21854</v>
      </c>
      <c r="D353" s="26"/>
      <c r="E353" s="24"/>
      <c r="F353" s="26"/>
      <c r="G353" s="26"/>
      <c r="H353" s="26"/>
      <c r="I353" s="26"/>
      <c r="J353" s="26"/>
      <c r="K353" s="26"/>
      <c r="L353" s="24"/>
      <c r="M353" s="24"/>
      <c r="N353" s="26"/>
      <c r="O353" s="26"/>
      <c r="P353" s="26"/>
      <c r="Q353" s="26"/>
      <c r="R353" s="26"/>
      <c r="S353" s="26"/>
      <c r="T353" s="26"/>
      <c r="U353" s="26"/>
      <c r="V353" s="26"/>
      <c r="W353" s="26">
        <f>MAX($C$9-VLOOKUP($C353,COS!$B$8:$H$991,3,FALSE),0)</f>
        <v>93413.3603515625</v>
      </c>
      <c r="X353" s="26">
        <f t="shared" si="562"/>
        <v>5743.7636447572313</v>
      </c>
      <c r="Y353" s="26">
        <f>VLOOKUP($C353,COS!$B$8:$H$991,4,FALSE)</f>
        <v>1540.0111083984375</v>
      </c>
      <c r="Z353" s="26">
        <f t="shared" si="563"/>
        <v>94.691592119705575</v>
      </c>
      <c r="AA353" s="26">
        <f t="shared" si="564"/>
        <v>1540.0111083984375</v>
      </c>
      <c r="AB353" s="33">
        <f t="shared" si="548"/>
        <v>94.691592119705575</v>
      </c>
    </row>
    <row r="354" spans="1:28" x14ac:dyDescent="0.3">
      <c r="A354" s="32">
        <f>VLOOKUP(YEAR(C354),Flags!$A$13:$B$95,2,FALSE)</f>
        <v>3</v>
      </c>
      <c r="B354" s="24">
        <f t="shared" si="535"/>
        <v>1959</v>
      </c>
      <c r="C354" s="25">
        <v>21884</v>
      </c>
      <c r="D354" s="26"/>
      <c r="E354" s="24"/>
      <c r="F354" s="26"/>
      <c r="G354" s="26"/>
      <c r="H354" s="26"/>
      <c r="I354" s="26"/>
      <c r="J354" s="26"/>
      <c r="K354" s="26"/>
      <c r="L354" s="24"/>
      <c r="M354" s="24"/>
      <c r="N354" s="26"/>
      <c r="O354" s="26"/>
      <c r="P354" s="26"/>
      <c r="Q354" s="26"/>
      <c r="R354" s="26"/>
      <c r="S354" s="26"/>
      <c r="T354" s="26"/>
      <c r="U354" s="26"/>
      <c r="V354" s="26"/>
      <c r="W354" s="26">
        <f>MAX($C$10-VLOOKUP($C354,COS!$B$8:$H$991,3,FALSE),0)</f>
        <v>92727.755859375</v>
      </c>
      <c r="X354" s="26">
        <f t="shared" si="562"/>
        <v>5517.6846461776859</v>
      </c>
      <c r="Y354" s="26">
        <f>VLOOKUP($C354,COS!$B$8:$H$991,4,FALSE)</f>
        <v>1347.0540771484375</v>
      </c>
      <c r="Z354" s="26">
        <f t="shared" si="563"/>
        <v>80.155283929493805</v>
      </c>
      <c r="AA354" s="26">
        <f t="shared" si="564"/>
        <v>1347.0540771484375</v>
      </c>
      <c r="AB354" s="33">
        <f t="shared" si="548"/>
        <v>40.077641964746903</v>
      </c>
    </row>
    <row r="355" spans="1:28" x14ac:dyDescent="0.3">
      <c r="A355" s="34">
        <f>VLOOKUP(YEAR(C355),Flags!$A$13:$B$95,2,FALSE)</f>
        <v>3</v>
      </c>
      <c r="B355" s="35">
        <f t="shared" si="535"/>
        <v>1959</v>
      </c>
      <c r="C355" s="36">
        <v>21915</v>
      </c>
      <c r="D355" s="37"/>
      <c r="E355" s="35"/>
      <c r="F355" s="37"/>
      <c r="G355" s="37"/>
      <c r="H355" s="37"/>
      <c r="I355" s="37"/>
      <c r="J355" s="37"/>
      <c r="K355" s="37"/>
      <c r="L355" s="35"/>
      <c r="M355" s="35"/>
      <c r="N355" s="37"/>
      <c r="O355" s="37"/>
      <c r="P355" s="37"/>
      <c r="Q355" s="37"/>
      <c r="R355" s="37"/>
      <c r="S355" s="37"/>
      <c r="T355" s="37"/>
      <c r="U355" s="37"/>
      <c r="V355" s="37"/>
      <c r="W355" s="37">
        <f>MAX($C$11-VLOOKUP($C355,COS!$B$8:$H$991,3,FALSE),0)</f>
        <v>0</v>
      </c>
      <c r="X355" s="37">
        <f t="shared" si="562"/>
        <v>0</v>
      </c>
      <c r="Y355" s="37">
        <f>VLOOKUP($C355,COS!$B$8:$H$991,4,FALSE)</f>
        <v>2025.1993408203125</v>
      </c>
      <c r="Z355" s="37">
        <f t="shared" si="563"/>
        <v>124.52465368349691</v>
      </c>
      <c r="AA355" s="37">
        <f t="shared" si="564"/>
        <v>0</v>
      </c>
      <c r="AB355" s="38">
        <f t="shared" si="548"/>
        <v>0</v>
      </c>
    </row>
    <row r="356" spans="1:28" x14ac:dyDescent="0.3">
      <c r="A356" s="27">
        <f>VLOOKUP(YEAR(C356),Flags!$A$13:$B$95,2,FALSE)</f>
        <v>4</v>
      </c>
      <c r="B356" s="28">
        <f t="shared" si="535"/>
        <v>1960</v>
      </c>
      <c r="C356" s="29">
        <v>22036</v>
      </c>
      <c r="D356" s="30">
        <f>VLOOKUP($C356,COS!$B$8:$H$991,3,FALSE)</f>
        <v>7127.0625</v>
      </c>
      <c r="E356" s="28">
        <f>IF(D356&gt;=IF(MONTH($C356)=4,$C$3,IF(MONTH($C356)=5,$C$4,IF(MONTH($C356)=6,$C$5,IF(MONTH($C356)=7,$C$6,"ERROR")))),1,0)</f>
        <v>1</v>
      </c>
      <c r="F356" s="30">
        <f>VLOOKUP($C356,COS!$B$8:$H$991,7,FALSE)</f>
        <v>49.91119384765625</v>
      </c>
      <c r="G356" s="28">
        <f>IF(F356&lt;=IF(MONTH($C356)=4,$F$3,IF(MONTH($C356)=5,$F$4,IF(MONTH($C356)=6,$F$5,IF(MONTH($C356)=7,$F$6,"ERROR")))),1,0)</f>
        <v>1</v>
      </c>
      <c r="H356" s="30">
        <f>IF(J356=1,D356-$C$3,0)</f>
        <v>1127.0625</v>
      </c>
      <c r="I356" s="30">
        <f t="shared" si="558"/>
        <v>67.064876033057857</v>
      </c>
      <c r="J356" s="28">
        <f t="shared" ref="J356:J359" si="567">IF(AND(E356=1,G356=1),1,0)</f>
        <v>1</v>
      </c>
      <c r="K356" s="30">
        <f>VLOOKUP($C356,COS!$B$8:$H$991,2,FALSE)</f>
        <v>4172.98876953125</v>
      </c>
      <c r="L356" s="28">
        <f t="shared" ref="L356" si="568">IF(K356&lt;=IF(MONTH($C356)=4,$I$3,IF(MONTH($C356)=5,$I$4,IF(MONTH($C356)=6,$I$5,IF(MONTH($C356)=7,$I$6,"ERROR")))),1,0)</f>
        <v>1</v>
      </c>
      <c r="M356" s="28">
        <f t="shared" ref="M356" si="569">VLOOKUP($A356,$L$3:$M$7,2,FALSE)</f>
        <v>1</v>
      </c>
      <c r="N356" s="30">
        <f>VLOOKUP($C356,COS!$B$8:$H$991,5,FALSE)</f>
        <v>16.487361907958984</v>
      </c>
      <c r="O356" s="30">
        <f t="shared" ref="O356:O359" si="570">N356*DAY($C356)*86400/43560/1000</f>
        <v>0.98106616311822048</v>
      </c>
      <c r="P356" s="30">
        <f>VLOOKUP($C356,COS!$B$8:$H$991,6,FALSE)</f>
        <v>466.45590209960938</v>
      </c>
      <c r="Q356" s="30">
        <f t="shared" ref="Q356:Q359" si="571">P356*DAY($C356)*86400/43560/1000</f>
        <v>27.756053678654443</v>
      </c>
      <c r="R356" s="30">
        <f>MIN(IF(MONTH($C356)=4,$S$3,IF(MONTH($C356)=5,$S$4,IF(MONTH($C356)=6,$S$5,IF(MONTH($C356)=7,$S$6,"ERROR")))),MAX(VLOOKUP($C356,COS!$B$8:$K$991,10,FALSE)-IF(MONTH($C356)=4,$Y$3,IF(MONTH($C356)=5,$Y$4,IF(MONTH($C356)=6,$Y$5,IF(MONTH($C356)=7,$Y$6,"ERROR")))),0),MAX(VLOOKUP($C356,COS!$B$8:$K$991,9,FALSE)-IF(MONTH($C356)=4,$V$3,IF(MONTH($C356)=5,$V$4,IF(MONTH($C356)=6,$V$5,IF(MONTH($C356)=7,$V$6,"ERROR"))))-VLOOKUP($C356,COS!$B$8:$K$991,6,FALSE)/2,0))</f>
        <v>1500</v>
      </c>
      <c r="S356" s="30">
        <f t="shared" ref="S356:S359" si="572">R356*DAY($C356)*86400/43560/1000</f>
        <v>89.256198347107429</v>
      </c>
      <c r="T356" s="30">
        <f t="shared" ref="T356:T359" si="573">(O356+Q356)/2+S356</f>
        <v>103.62475826799376</v>
      </c>
      <c r="U356" s="30" t="str">
        <f>IF(VLOOKUP($C356,COS!$B$8:$I$991,8,FALSE)=1,"UWFE","IBU")</f>
        <v>UWFE</v>
      </c>
      <c r="V356" s="30">
        <f t="shared" ref="V356" si="574">MIN(IF(IF($AA$3=2,AND(E356=1,G356=1,L356=1,L361=1,M356=1,U356="IBU"),AND(E356=1,G356=1,L356=1,L361=1,M356=1)),T356,0),I356)</f>
        <v>67.064876033057857</v>
      </c>
      <c r="W356" s="30"/>
      <c r="X356" s="30"/>
      <c r="Y356" s="30"/>
      <c r="Z356" s="30"/>
      <c r="AA356" s="30"/>
      <c r="AB356" s="31"/>
    </row>
    <row r="357" spans="1:28" x14ac:dyDescent="0.3">
      <c r="A357" s="32">
        <f>VLOOKUP(YEAR(C357),Flags!$A$13:$B$95,2,FALSE)</f>
        <v>4</v>
      </c>
      <c r="B357" s="24">
        <f t="shared" si="535"/>
        <v>1960</v>
      </c>
      <c r="C357" s="25">
        <v>22067</v>
      </c>
      <c r="D357" s="26">
        <f>VLOOKUP($C357,COS!$B$8:$H$991,3,FALSE)</f>
        <v>4957.14453125</v>
      </c>
      <c r="E357" s="24">
        <f>IF(D357&gt;=IF(MONTH($C357)=4,$C$3,IF(MONTH($C357)=5,$C$4,IF(MONTH($C357)=6,$C$5,IF(MONTH($C357)=7,$C$6,"ERROR")))),1,0)</f>
        <v>0</v>
      </c>
      <c r="F357" s="26">
        <f>VLOOKUP($C357,COS!$B$8:$H$991,7,FALSE)</f>
        <v>52.527271270751953</v>
      </c>
      <c r="G357" s="24">
        <f>IF(F357&lt;=IF(MONTH($C357)=4,$F$3,IF(MONTH($C357)=5,$F$4,IF(MONTH($C357)=6,$F$5,IF(MONTH($C357)=7,$F$6,"ERROR")))),1,0)</f>
        <v>1</v>
      </c>
      <c r="H357" s="26">
        <f>IF(J357=1,D357-$C$4,0)</f>
        <v>0</v>
      </c>
      <c r="I357" s="26">
        <f t="shared" si="558"/>
        <v>0</v>
      </c>
      <c r="J357" s="24">
        <f t="shared" si="567"/>
        <v>0</v>
      </c>
      <c r="K357" s="26">
        <f>VLOOKUP($C357,COS!$B$8:$H$991,2,FALSE)</f>
        <v>4264.8515625</v>
      </c>
      <c r="L357" s="24">
        <f t="shared" si="537"/>
        <v>1</v>
      </c>
      <c r="M357" s="24">
        <f t="shared" si="538"/>
        <v>1</v>
      </c>
      <c r="N357" s="26">
        <f>VLOOKUP($C357,COS!$B$8:$H$991,5,FALSE)</f>
        <v>320.07254028320313</v>
      </c>
      <c r="O357" s="26">
        <f t="shared" si="570"/>
        <v>19.680493386008521</v>
      </c>
      <c r="P357" s="26">
        <f>VLOOKUP($C357,COS!$B$8:$H$991,6,FALSE)</f>
        <v>2099.86279296875</v>
      </c>
      <c r="Q357" s="26">
        <f t="shared" si="571"/>
        <v>129.1155304106405</v>
      </c>
      <c r="R357" s="26">
        <f>MIN(IF(MONTH($C357)=4,$S$3,IF(MONTH($C357)=5,$S$4,IF(MONTH($C357)=6,$S$5,IF(MONTH($C357)=7,$S$6,"ERROR")))),MAX(VLOOKUP($C357,COS!$B$8:$K$991,10,FALSE)-IF(MONTH($C357)=4,$Y$3,IF(MONTH($C357)=5,$Y$4,IF(MONTH($C357)=6,$Y$5,IF(MONTH($C357)=7,$Y$6,"ERROR")))),0),MAX(VLOOKUP($C357,COS!$B$8:$K$991,9,FALSE)-IF(MONTH($C357)=4,$V$3,IF(MONTH($C357)=5,$V$4,IF(MONTH($C357)=6,$V$5,IF(MONTH($C357)=7,$V$6,"ERROR"))))-VLOOKUP($C357,COS!$B$8:$K$991,6,FALSE)/2,0))</f>
        <v>998.0751953125</v>
      </c>
      <c r="S357" s="26">
        <f t="shared" si="572"/>
        <v>61.36925167871901</v>
      </c>
      <c r="T357" s="26">
        <f t="shared" si="573"/>
        <v>135.76726357704354</v>
      </c>
      <c r="U357" s="26" t="str">
        <f>IF(VLOOKUP($C357,COS!$B$8:$I$991,8,FALSE)=1,"UWFE","IBU")</f>
        <v>UWFE</v>
      </c>
      <c r="V357" s="26">
        <f t="shared" ref="V357" si="575">MIN(IF(IF($AA$3=2,AND(E357=1,G357=1,L357=1,L361=1,M357=1,U357="IBU"),AND(E357=1,G357=1,L357=1,L361=1,M357=1)),T357,0),I357)</f>
        <v>0</v>
      </c>
      <c r="W357" s="26"/>
      <c r="X357" s="26"/>
      <c r="Y357" s="26"/>
      <c r="Z357" s="26"/>
      <c r="AA357" s="26"/>
      <c r="AB357" s="33"/>
    </row>
    <row r="358" spans="1:28" x14ac:dyDescent="0.3">
      <c r="A358" s="32">
        <f>VLOOKUP(YEAR(C358),Flags!$A$13:$B$95,2,FALSE)</f>
        <v>4</v>
      </c>
      <c r="B358" s="24">
        <f t="shared" si="535"/>
        <v>1960</v>
      </c>
      <c r="C358" s="25">
        <v>22097</v>
      </c>
      <c r="D358" s="26">
        <f>VLOOKUP($C358,COS!$B$8:$H$991,3,FALSE)</f>
        <v>13233.97265625</v>
      </c>
      <c r="E358" s="24">
        <f>IF(D358&gt;=IF(MONTH($C358)=4,$C$3,IF(MONTH($C358)=5,$C$4,IF(MONTH($C358)=6,$C$5,IF(MONTH($C358)=7,$C$6,"ERROR")))),1,0)</f>
        <v>1</v>
      </c>
      <c r="F358" s="26">
        <f>VLOOKUP($C358,COS!$B$8:$H$991,7,FALSE)</f>
        <v>51.440536499023438</v>
      </c>
      <c r="G358" s="24">
        <f>IF(F358&lt;=IF(MONTH($C358)=4,$F$3,IF(MONTH($C358)=5,$F$4,IF(MONTH($C358)=6,$F$5,IF(MONTH($C358)=7,$F$6,"ERROR")))),1,0)</f>
        <v>1</v>
      </c>
      <c r="H358" s="26">
        <f>IF(J358=1,D358-$C$5,0)</f>
        <v>3233.97265625</v>
      </c>
      <c r="I358" s="26">
        <f t="shared" si="558"/>
        <v>192.43473657024794</v>
      </c>
      <c r="J358" s="24">
        <f t="shared" si="567"/>
        <v>1</v>
      </c>
      <c r="K358" s="26">
        <f>VLOOKUP($C358,COS!$B$8:$H$991,2,FALSE)</f>
        <v>3735.558837890625</v>
      </c>
      <c r="L358" s="24">
        <f t="shared" si="537"/>
        <v>1</v>
      </c>
      <c r="M358" s="24">
        <f t="shared" si="538"/>
        <v>1</v>
      </c>
      <c r="N358" s="26">
        <f>VLOOKUP($C358,COS!$B$8:$H$991,5,FALSE)</f>
        <v>457.70184326171875</v>
      </c>
      <c r="O358" s="26">
        <f t="shared" si="570"/>
        <v>27.2351510040031</v>
      </c>
      <c r="P358" s="26">
        <f>VLOOKUP($C358,COS!$B$8:$H$991,6,FALSE)</f>
        <v>2712.6806640625</v>
      </c>
      <c r="Q358" s="26">
        <f t="shared" si="571"/>
        <v>161.41570893595042</v>
      </c>
      <c r="R358" s="26">
        <f>MIN(IF(MONTH($C358)=4,$S$3,IF(MONTH($C358)=5,$S$4,IF(MONTH($C358)=6,$S$5,IF(MONTH($C358)=7,$S$6,"ERROR")))),MAX(VLOOKUP($C358,COS!$B$8:$K$991,10,FALSE)-IF(MONTH($C358)=4,$Y$3,IF(MONTH($C358)=5,$Y$4,IF(MONTH($C358)=6,$Y$5,IF(MONTH($C358)=7,$Y$6,"ERROR")))),0),MAX(VLOOKUP($C358,COS!$B$8:$K$991,9,FALSE)-IF(MONTH($C358)=4,$V$3,IF(MONTH($C358)=5,$V$4,IF(MONTH($C358)=6,$V$5,IF(MONTH($C358)=7,$V$6,"ERROR"))))-VLOOKUP($C358,COS!$B$8:$K$991,6,FALSE)/2,0))</f>
        <v>1500</v>
      </c>
      <c r="S358" s="26">
        <f t="shared" si="572"/>
        <v>89.256198347107429</v>
      </c>
      <c r="T358" s="26">
        <f t="shared" si="573"/>
        <v>183.58162831708421</v>
      </c>
      <c r="U358" s="26" t="str">
        <f>IF(VLOOKUP($C358,COS!$B$8:$I$991,8,FALSE)=1,"UWFE","IBU")</f>
        <v>IBU</v>
      </c>
      <c r="V358" s="26">
        <f t="shared" ref="V358" si="576">MIN(IF(IF($AA$3=2,AND(E358=1,G358=1,L358=1,L361=1,M358=1,U358="IBU"),AND(E358=1,G358=1,L358=1,L361=1,M358=1)),T358,0),I358)</f>
        <v>183.58162831708421</v>
      </c>
      <c r="W358" s="26"/>
      <c r="X358" s="26"/>
      <c r="Y358" s="26"/>
      <c r="Z358" s="26"/>
      <c r="AA358" s="26"/>
      <c r="AB358" s="33"/>
    </row>
    <row r="359" spans="1:28" x14ac:dyDescent="0.3">
      <c r="A359" s="32">
        <f>VLOOKUP(YEAR(C359),Flags!$A$13:$B$95,2,FALSE)</f>
        <v>4</v>
      </c>
      <c r="B359" s="24">
        <f t="shared" si="535"/>
        <v>1960</v>
      </c>
      <c r="C359" s="25">
        <v>22128</v>
      </c>
      <c r="D359" s="26">
        <f>VLOOKUP($C359,COS!$B$8:$H$991,3,FALSE)</f>
        <v>13995.5498046875</v>
      </c>
      <c r="E359" s="24">
        <f>IF(D359&gt;=IF(MONTH($C359)=4,$C$3,IF(MONTH($C359)=5,$C$4,IF(MONTH($C359)=6,$C$5,IF(MONTH($C359)=7,$C$6,"ERROR")))),1,0)</f>
        <v>1</v>
      </c>
      <c r="F359" s="26">
        <f>VLOOKUP($C359,COS!$B$8:$H$991,7,FALSE)</f>
        <v>52.7860107421875</v>
      </c>
      <c r="G359" s="24">
        <f>IF(F359&lt;=IF(MONTH($C359)=4,$F$3,IF(MONTH($C359)=5,$F$4,IF(MONTH($C359)=6,$F$5,IF(MONTH($C359)=7,$F$6,"ERROR")))),1,0)</f>
        <v>1</v>
      </c>
      <c r="H359" s="26">
        <f>IF(J359=1,D359-$C$6,0)</f>
        <v>1995.5498046875</v>
      </c>
      <c r="I359" s="26">
        <f t="shared" si="558"/>
        <v>122.70157476756198</v>
      </c>
      <c r="J359" s="24">
        <f t="shared" si="567"/>
        <v>1</v>
      </c>
      <c r="K359" s="26">
        <f>VLOOKUP($C359,COS!$B$8:$H$991,2,FALSE)</f>
        <v>3174.995361328125</v>
      </c>
      <c r="L359" s="24">
        <f t="shared" si="537"/>
        <v>1</v>
      </c>
      <c r="M359" s="24">
        <f t="shared" si="538"/>
        <v>1</v>
      </c>
      <c r="N359" s="26">
        <f>VLOOKUP($C359,COS!$B$8:$H$991,5,FALSE)</f>
        <v>499.1810302734375</v>
      </c>
      <c r="O359" s="26">
        <f t="shared" si="570"/>
        <v>30.69344516722624</v>
      </c>
      <c r="P359" s="26">
        <f>VLOOKUP($C359,COS!$B$8:$H$991,6,FALSE)</f>
        <v>2441.261474609375</v>
      </c>
      <c r="Q359" s="26">
        <f t="shared" si="571"/>
        <v>150.10731711647728</v>
      </c>
      <c r="R359" s="26">
        <f>MIN(IF(MONTH($C359)=4,$S$3,IF(MONTH($C359)=5,$S$4,IF(MONTH($C359)=6,$S$5,IF(MONTH($C359)=7,$S$6,"ERROR")))),MAX(VLOOKUP($C359,COS!$B$8:$K$991,10,FALSE)-IF(MONTH($C359)=4,$Y$3,IF(MONTH($C359)=5,$Y$4,IF(MONTH($C359)=6,$Y$5,IF(MONTH($C359)=7,$Y$6,"ERROR")))),0),MAX(VLOOKUP($C359,COS!$B$8:$K$991,9,FALSE)-IF(MONTH($C359)=4,$V$3,IF(MONTH($C359)=5,$V$4,IF(MONTH($C359)=6,$V$5,IF(MONTH($C359)=7,$V$6,"ERROR"))))-VLOOKUP($C359,COS!$B$8:$K$991,6,FALSE)/2,0))</f>
        <v>1500</v>
      </c>
      <c r="S359" s="26">
        <f t="shared" si="572"/>
        <v>92.231404958677686</v>
      </c>
      <c r="T359" s="26">
        <f t="shared" si="573"/>
        <v>182.63178610052944</v>
      </c>
      <c r="U359" s="26" t="str">
        <f>IF(VLOOKUP($C359,COS!$B$8:$I$991,8,FALSE)=1,"UWFE","IBU")</f>
        <v>IBU</v>
      </c>
      <c r="V359" s="26">
        <f t="shared" ref="V359" si="577">MIN(IF(IF($AA$3=2,AND(E359=1,G359=1,L359=1,L361=1,M359=1,U359="IBU"),AND(E359=1,G359=1,L359=1,L361=1,M359=1)),T359,0),I359)</f>
        <v>122.70157476756198</v>
      </c>
      <c r="W359" s="26"/>
      <c r="X359" s="26"/>
      <c r="Y359" s="26"/>
      <c r="Z359" s="26"/>
      <c r="AA359" s="26"/>
      <c r="AB359" s="33"/>
    </row>
    <row r="360" spans="1:28" x14ac:dyDescent="0.3">
      <c r="A360" s="32">
        <f>VLOOKUP(YEAR(C360),Flags!$A$13:$B$95,2,FALSE)</f>
        <v>4</v>
      </c>
      <c r="B360" s="24">
        <f t="shared" si="535"/>
        <v>1960</v>
      </c>
      <c r="C360" s="25">
        <v>22159</v>
      </c>
      <c r="D360" s="26"/>
      <c r="E360" s="24"/>
      <c r="F360" s="26"/>
      <c r="G360" s="24"/>
      <c r="H360" s="24"/>
      <c r="I360" s="26"/>
      <c r="J360" s="24"/>
      <c r="K360" s="26"/>
      <c r="L360" s="24"/>
      <c r="M360" s="24"/>
      <c r="N360" s="26"/>
      <c r="O360" s="26"/>
      <c r="P360" s="26"/>
      <c r="Q360" s="26"/>
      <c r="R360" s="26"/>
      <c r="S360" s="26"/>
      <c r="T360" s="26"/>
      <c r="U360" s="26"/>
      <c r="V360" s="26"/>
      <c r="W360" s="26">
        <f>MAX($C$7-VLOOKUP($C360,COS!$B$8:$H$991,3,FALSE),0)</f>
        <v>90376.2197265625</v>
      </c>
      <c r="X360" s="26">
        <f t="shared" si="562"/>
        <v>5557.0171468233475</v>
      </c>
      <c r="Y360" s="26">
        <f>VLOOKUP($C360,COS!$B$8:$H$991,4,FALSE)</f>
        <v>1283.5350341796875</v>
      </c>
      <c r="Z360" s="26">
        <f t="shared" si="563"/>
        <v>78.921493010717967</v>
      </c>
      <c r="AA360" s="26">
        <f t="shared" ref="AA360:AA364" si="578">MIN(W360,Y360)</f>
        <v>1283.5350341796875</v>
      </c>
      <c r="AB360" s="33">
        <f t="shared" ref="AB360" si="579">AA360*DAY($C360)*86400/43560/1000*IF(MONTH($C360)=8,$P$3,IF(MONTH($C360)=9,$P$4,IF(MONTH($C360)=10,$P$5,IF(MONTH($C360)=11,$P$6,IF(MONTH($C360)=12,$P$7,NA())))))</f>
        <v>78.921493010717967</v>
      </c>
    </row>
    <row r="361" spans="1:28" x14ac:dyDescent="0.3">
      <c r="A361" s="32">
        <f>VLOOKUP(YEAR(C361),Flags!$A$13:$B$95,2,FALSE)</f>
        <v>4</v>
      </c>
      <c r="B361" s="24">
        <f t="shared" si="535"/>
        <v>1960</v>
      </c>
      <c r="C361" s="25">
        <v>22189</v>
      </c>
      <c r="D361" s="26"/>
      <c r="E361" s="24"/>
      <c r="F361" s="26"/>
      <c r="G361" s="24"/>
      <c r="H361" s="24"/>
      <c r="I361" s="26"/>
      <c r="J361" s="24"/>
      <c r="K361" s="26">
        <f>VLOOKUP($C361,COS!$B$8:$H$991,2,FALSE)</f>
        <v>2747.35986328125</v>
      </c>
      <c r="L361" s="24">
        <f t="shared" ref="L361" si="580">IF(AND(K361&gt;$I$7,K361&lt;$I$8),1,0)</f>
        <v>1</v>
      </c>
      <c r="M361" s="24"/>
      <c r="N361" s="26"/>
      <c r="O361" s="26"/>
      <c r="P361" s="26"/>
      <c r="Q361" s="26"/>
      <c r="R361" s="26"/>
      <c r="S361" s="26"/>
      <c r="T361" s="26"/>
      <c r="U361" s="26"/>
      <c r="V361" s="26"/>
      <c r="W361" s="26">
        <f>MAX($C$8-VLOOKUP($C361,COS!$B$8:$H$991,3,FALSE),0)</f>
        <v>93859.93212890625</v>
      </c>
      <c r="X361" s="26">
        <f t="shared" si="562"/>
        <v>5585.0538126291322</v>
      </c>
      <c r="Y361" s="26">
        <f>VLOOKUP($C361,COS!$B$8:$H$991,4,FALSE)</f>
        <v>1185.9482421875</v>
      </c>
      <c r="Z361" s="26">
        <f t="shared" si="563"/>
        <v>70.568821022727278</v>
      </c>
      <c r="AA361" s="26">
        <f t="shared" si="578"/>
        <v>1185.9482421875</v>
      </c>
      <c r="AB361" s="33">
        <f t="shared" si="548"/>
        <v>70.568821022727278</v>
      </c>
    </row>
    <row r="362" spans="1:28" x14ac:dyDescent="0.3">
      <c r="A362" s="32">
        <f>VLOOKUP(YEAR(C362),Flags!$A$13:$B$95,2,FALSE)</f>
        <v>4</v>
      </c>
      <c r="B362" s="24">
        <f t="shared" si="535"/>
        <v>1960</v>
      </c>
      <c r="C362" s="25">
        <v>22220</v>
      </c>
      <c r="D362" s="26"/>
      <c r="E362" s="24"/>
      <c r="F362" s="26"/>
      <c r="G362" s="26"/>
      <c r="H362" s="26"/>
      <c r="I362" s="26"/>
      <c r="J362" s="26"/>
      <c r="K362" s="26"/>
      <c r="L362" s="24"/>
      <c r="M362" s="24"/>
      <c r="N362" s="26"/>
      <c r="O362" s="26"/>
      <c r="P362" s="26"/>
      <c r="Q362" s="26"/>
      <c r="R362" s="26"/>
      <c r="S362" s="26"/>
      <c r="T362" s="26"/>
      <c r="U362" s="26"/>
      <c r="V362" s="26"/>
      <c r="W362" s="26">
        <f>MAX($C$9-VLOOKUP($C362,COS!$B$8:$H$991,3,FALSE),0)</f>
        <v>93911.3974609375</v>
      </c>
      <c r="X362" s="26">
        <f t="shared" si="562"/>
        <v>5774.3867529700419</v>
      </c>
      <c r="Y362" s="26">
        <f>VLOOKUP($C362,COS!$B$8:$H$991,4,FALSE)</f>
        <v>1660.7847900390625</v>
      </c>
      <c r="Z362" s="26">
        <f t="shared" si="563"/>
        <v>102.11767634620351</v>
      </c>
      <c r="AA362" s="26">
        <f t="shared" si="578"/>
        <v>1660.7847900390625</v>
      </c>
      <c r="AB362" s="33">
        <f t="shared" si="548"/>
        <v>102.11767634620351</v>
      </c>
    </row>
    <row r="363" spans="1:28" x14ac:dyDescent="0.3">
      <c r="A363" s="32">
        <f>VLOOKUP(YEAR(C363),Flags!$A$13:$B$95,2,FALSE)</f>
        <v>4</v>
      </c>
      <c r="B363" s="24">
        <f t="shared" si="535"/>
        <v>1960</v>
      </c>
      <c r="C363" s="25">
        <v>22250</v>
      </c>
      <c r="D363" s="26"/>
      <c r="E363" s="24"/>
      <c r="F363" s="26"/>
      <c r="G363" s="26"/>
      <c r="H363" s="26"/>
      <c r="I363" s="26"/>
      <c r="J363" s="26"/>
      <c r="K363" s="26"/>
      <c r="L363" s="24"/>
      <c r="M363" s="24"/>
      <c r="N363" s="26"/>
      <c r="O363" s="26"/>
      <c r="P363" s="26"/>
      <c r="Q363" s="26"/>
      <c r="R363" s="26"/>
      <c r="S363" s="26"/>
      <c r="T363" s="26"/>
      <c r="U363" s="26"/>
      <c r="V363" s="26"/>
      <c r="W363" s="26">
        <f>MAX($C$10-VLOOKUP($C363,COS!$B$8:$H$991,3,FALSE),0)</f>
        <v>96749</v>
      </c>
      <c r="X363" s="26">
        <f t="shared" si="562"/>
        <v>5756.965289256198</v>
      </c>
      <c r="Y363" s="26">
        <f>VLOOKUP($C363,COS!$B$8:$H$991,4,FALSE)</f>
        <v>409.7125244140625</v>
      </c>
      <c r="Z363" s="26">
        <f t="shared" si="563"/>
        <v>24.379588229597108</v>
      </c>
      <c r="AA363" s="26">
        <f t="shared" si="578"/>
        <v>409.7125244140625</v>
      </c>
      <c r="AB363" s="33">
        <f t="shared" si="548"/>
        <v>12.189794114798554</v>
      </c>
    </row>
    <row r="364" spans="1:28" x14ac:dyDescent="0.3">
      <c r="A364" s="34">
        <f>VLOOKUP(YEAR(C364),Flags!$A$13:$B$95,2,FALSE)</f>
        <v>4</v>
      </c>
      <c r="B364" s="35">
        <f t="shared" si="535"/>
        <v>1960</v>
      </c>
      <c r="C364" s="36">
        <v>22281</v>
      </c>
      <c r="D364" s="37"/>
      <c r="E364" s="35"/>
      <c r="F364" s="37"/>
      <c r="G364" s="37"/>
      <c r="H364" s="37"/>
      <c r="I364" s="37"/>
      <c r="J364" s="37"/>
      <c r="K364" s="37"/>
      <c r="L364" s="35"/>
      <c r="M364" s="35"/>
      <c r="N364" s="37"/>
      <c r="O364" s="37"/>
      <c r="P364" s="37"/>
      <c r="Q364" s="37"/>
      <c r="R364" s="37"/>
      <c r="S364" s="37"/>
      <c r="T364" s="37"/>
      <c r="U364" s="37"/>
      <c r="V364" s="37"/>
      <c r="W364" s="37">
        <f>MAX($C$11-VLOOKUP($C364,COS!$B$8:$H$991,3,FALSE),0)</f>
        <v>0</v>
      </c>
      <c r="X364" s="37">
        <f t="shared" si="562"/>
        <v>0</v>
      </c>
      <c r="Y364" s="37">
        <f>VLOOKUP($C364,COS!$B$8:$H$991,4,FALSE)</f>
        <v>2387.1279296875</v>
      </c>
      <c r="Z364" s="37">
        <f t="shared" si="563"/>
        <v>146.77877518078512</v>
      </c>
      <c r="AA364" s="37">
        <f t="shared" si="578"/>
        <v>0</v>
      </c>
      <c r="AB364" s="38">
        <f t="shared" si="548"/>
        <v>0</v>
      </c>
    </row>
    <row r="365" spans="1:28" x14ac:dyDescent="0.3">
      <c r="A365" s="27">
        <f>VLOOKUP(YEAR(C365),Flags!$A$13:$B$95,2,FALSE)</f>
        <v>4</v>
      </c>
      <c r="B365" s="28">
        <f t="shared" si="535"/>
        <v>1961</v>
      </c>
      <c r="C365" s="29">
        <v>22401</v>
      </c>
      <c r="D365" s="30">
        <f>VLOOKUP($C365,COS!$B$8:$H$991,3,FALSE)</f>
        <v>3330.927978515625</v>
      </c>
      <c r="E365" s="28">
        <f>IF(D365&gt;=IF(MONTH($C365)=4,$C$3,IF(MONTH($C365)=5,$C$4,IF(MONTH($C365)=6,$C$5,IF(MONTH($C365)=7,$C$6,"ERROR")))),1,0)</f>
        <v>0</v>
      </c>
      <c r="F365" s="30">
        <f>VLOOKUP($C365,COS!$B$8:$H$991,7,FALSE)</f>
        <v>51.26251220703125</v>
      </c>
      <c r="G365" s="28">
        <f>IF(F365&lt;=IF(MONTH($C365)=4,$F$3,IF(MONTH($C365)=5,$F$4,IF(MONTH($C365)=6,$F$5,IF(MONTH($C365)=7,$F$6,"ERROR")))),1,0)</f>
        <v>1</v>
      </c>
      <c r="H365" s="30">
        <f>IF(J365=1,D365-$C$3,0)</f>
        <v>0</v>
      </c>
      <c r="I365" s="30">
        <f t="shared" si="558"/>
        <v>0</v>
      </c>
      <c r="J365" s="28">
        <f t="shared" ref="J365:J368" si="581">IF(AND(E365=1,G365=1),1,0)</f>
        <v>0</v>
      </c>
      <c r="K365" s="30">
        <f>VLOOKUP($C365,COS!$B$8:$H$991,2,FALSE)</f>
        <v>4552</v>
      </c>
      <c r="L365" s="28">
        <f t="shared" ref="L365" si="582">IF(K365&lt;=IF(MONTH($C365)=4,$I$3,IF(MONTH($C365)=5,$I$4,IF(MONTH($C365)=6,$I$5,IF(MONTH($C365)=7,$I$6,"ERROR")))),1,0)</f>
        <v>1</v>
      </c>
      <c r="M365" s="28">
        <f t="shared" ref="M365" si="583">VLOOKUP($A365,$L$3:$M$7,2,FALSE)</f>
        <v>1</v>
      </c>
      <c r="N365" s="30">
        <f>VLOOKUP($C365,COS!$B$8:$H$991,5,FALSE)</f>
        <v>224.14614868164063</v>
      </c>
      <c r="O365" s="30">
        <f t="shared" ref="O365:O368" si="584">N365*DAY($C365)*86400/43560/1000</f>
        <v>13.3376220703125</v>
      </c>
      <c r="P365" s="30">
        <f>VLOOKUP($C365,COS!$B$8:$H$991,6,FALSE)</f>
        <v>461.4332275390625</v>
      </c>
      <c r="Q365" s="30">
        <f t="shared" ref="Q365:Q368" si="585">P365*DAY($C365)*86400/43560/1000</f>
        <v>27.457183787448347</v>
      </c>
      <c r="R365" s="30">
        <f>MIN(IF(MONTH($C365)=4,$S$3,IF(MONTH($C365)=5,$S$4,IF(MONTH($C365)=6,$S$5,IF(MONTH($C365)=7,$S$6,"ERROR")))),MAX(VLOOKUP($C365,COS!$B$8:$K$991,10,FALSE)-IF(MONTH($C365)=4,$Y$3,IF(MONTH($C365)=5,$Y$4,IF(MONTH($C365)=6,$Y$5,IF(MONTH($C365)=7,$Y$6,"ERROR")))),0),MAX(VLOOKUP($C365,COS!$B$8:$K$991,9,FALSE)-IF(MONTH($C365)=4,$V$3,IF(MONTH($C365)=5,$V$4,IF(MONTH($C365)=6,$V$5,IF(MONTH($C365)=7,$V$6,"ERROR"))))-VLOOKUP($C365,COS!$B$8:$K$991,6,FALSE)/2,0))</f>
        <v>1500</v>
      </c>
      <c r="S365" s="30">
        <f t="shared" ref="S365:S368" si="586">R365*DAY($C365)*86400/43560/1000</f>
        <v>89.256198347107429</v>
      </c>
      <c r="T365" s="30">
        <f t="shared" ref="T365:T368" si="587">(O365+Q365)/2+S365</f>
        <v>109.65360127598785</v>
      </c>
      <c r="U365" s="30" t="str">
        <f>IF(VLOOKUP($C365,COS!$B$8:$I$991,8,FALSE)=1,"UWFE","IBU")</f>
        <v>UWFE</v>
      </c>
      <c r="V365" s="30">
        <f t="shared" ref="V365" si="588">MIN(IF(IF($AA$3=2,AND(E365=1,G365=1,L365=1,L370=1,M365=1,U365="IBU"),AND(E365=1,G365=1,L365=1,L370=1,M365=1)),T365,0),I365)</f>
        <v>0</v>
      </c>
      <c r="W365" s="30"/>
      <c r="X365" s="30"/>
      <c r="Y365" s="30"/>
      <c r="Z365" s="30"/>
      <c r="AA365" s="30"/>
      <c r="AB365" s="31"/>
    </row>
    <row r="366" spans="1:28" x14ac:dyDescent="0.3">
      <c r="A366" s="32">
        <f>VLOOKUP(YEAR(C366),Flags!$A$13:$B$95,2,FALSE)</f>
        <v>4</v>
      </c>
      <c r="B366" s="24">
        <f t="shared" si="535"/>
        <v>1961</v>
      </c>
      <c r="C366" s="25">
        <v>22432</v>
      </c>
      <c r="D366" s="26">
        <f>VLOOKUP($C366,COS!$B$8:$H$991,3,FALSE)</f>
        <v>7787.1884765625</v>
      </c>
      <c r="E366" s="24">
        <f>IF(D366&gt;=IF(MONTH($C366)=4,$C$3,IF(MONTH($C366)=5,$C$4,IF(MONTH($C366)=6,$C$5,IF(MONTH($C366)=7,$C$6,"ERROR")))),1,0)</f>
        <v>1</v>
      </c>
      <c r="F366" s="26">
        <f>VLOOKUP($C366,COS!$B$8:$H$991,7,FALSE)</f>
        <v>50.240604400634766</v>
      </c>
      <c r="G366" s="24">
        <f>IF(F366&lt;=IF(MONTH($C366)=4,$F$3,IF(MONTH($C366)=5,$F$4,IF(MONTH($C366)=6,$F$5,IF(MONTH($C366)=7,$F$6,"ERROR")))),1,0)</f>
        <v>1</v>
      </c>
      <c r="H366" s="26">
        <f>IF(J366=1,D366-$C$4,0)</f>
        <v>1787.1884765625</v>
      </c>
      <c r="I366" s="26">
        <f t="shared" si="558"/>
        <v>109.88993607954545</v>
      </c>
      <c r="J366" s="24">
        <f t="shared" si="581"/>
        <v>1</v>
      </c>
      <c r="K366" s="26">
        <f>VLOOKUP($C366,COS!$B$8:$H$991,2,FALSE)</f>
        <v>4502.27978515625</v>
      </c>
      <c r="L366" s="24">
        <f t="shared" si="537"/>
        <v>1</v>
      </c>
      <c r="M366" s="24">
        <f t="shared" si="538"/>
        <v>1</v>
      </c>
      <c r="N366" s="26">
        <f>VLOOKUP($C366,COS!$B$8:$H$991,5,FALSE)</f>
        <v>270.762451171875</v>
      </c>
      <c r="O366" s="26">
        <f t="shared" si="584"/>
        <v>16.648534187758266</v>
      </c>
      <c r="P366" s="26">
        <f>VLOOKUP($C366,COS!$B$8:$H$991,6,FALSE)</f>
        <v>2241.916259765625</v>
      </c>
      <c r="Q366" s="26">
        <f t="shared" si="585"/>
        <v>137.85005762525824</v>
      </c>
      <c r="R366" s="26">
        <f>MIN(IF(MONTH($C366)=4,$S$3,IF(MONTH($C366)=5,$S$4,IF(MONTH($C366)=6,$S$5,IF(MONTH($C366)=7,$S$6,"ERROR")))),MAX(VLOOKUP($C366,COS!$B$8:$K$991,10,FALSE)-IF(MONTH($C366)=4,$Y$3,IF(MONTH($C366)=5,$Y$4,IF(MONTH($C366)=6,$Y$5,IF(MONTH($C366)=7,$Y$6,"ERROR")))),0),MAX(VLOOKUP($C366,COS!$B$8:$K$991,9,FALSE)-IF(MONTH($C366)=4,$V$3,IF(MONTH($C366)=5,$V$4,IF(MONTH($C366)=6,$V$5,IF(MONTH($C366)=7,$V$6,"ERROR"))))-VLOOKUP($C366,COS!$B$8:$K$991,6,FALSE)/2,0))</f>
        <v>1500</v>
      </c>
      <c r="S366" s="26">
        <f t="shared" si="586"/>
        <v>92.231404958677686</v>
      </c>
      <c r="T366" s="26">
        <f t="shared" si="587"/>
        <v>169.48070086518595</v>
      </c>
      <c r="U366" s="26" t="str">
        <f>IF(VLOOKUP($C366,COS!$B$8:$I$991,8,FALSE)=1,"UWFE","IBU")</f>
        <v>UWFE</v>
      </c>
      <c r="V366" s="26">
        <f t="shared" ref="V366" si="589">MIN(IF(IF($AA$3=2,AND(E366=1,G366=1,L366=1,L370=1,M366=1,U366="IBU"),AND(E366=1,G366=1,L366=1,L370=1,M366=1)),T366,0),I366)</f>
        <v>109.88993607954545</v>
      </c>
      <c r="W366" s="26"/>
      <c r="X366" s="26"/>
      <c r="Y366" s="26"/>
      <c r="Z366" s="26"/>
      <c r="AA366" s="26"/>
      <c r="AB366" s="33"/>
    </row>
    <row r="367" spans="1:28" x14ac:dyDescent="0.3">
      <c r="A367" s="32">
        <f>VLOOKUP(YEAR(C367),Flags!$A$13:$B$95,2,FALSE)</f>
        <v>4</v>
      </c>
      <c r="B367" s="24">
        <f t="shared" si="535"/>
        <v>1961</v>
      </c>
      <c r="C367" s="25">
        <v>22462</v>
      </c>
      <c r="D367" s="26">
        <f>VLOOKUP($C367,COS!$B$8:$H$991,3,FALSE)</f>
        <v>10063.0751953125</v>
      </c>
      <c r="E367" s="24">
        <f>IF(D367&gt;=IF(MONTH($C367)=4,$C$3,IF(MONTH($C367)=5,$C$4,IF(MONTH($C367)=6,$C$5,IF(MONTH($C367)=7,$C$6,"ERROR")))),1,0)</f>
        <v>1</v>
      </c>
      <c r="F367" s="26">
        <f>VLOOKUP($C367,COS!$B$8:$H$991,7,FALSE)</f>
        <v>51.530010223388672</v>
      </c>
      <c r="G367" s="24">
        <f>IF(F367&lt;=IF(MONTH($C367)=4,$F$3,IF(MONTH($C367)=5,$F$4,IF(MONTH($C367)=6,$F$5,IF(MONTH($C367)=7,$F$6,"ERROR")))),1,0)</f>
        <v>1</v>
      </c>
      <c r="H367" s="26">
        <f>IF(J367=1,D367-$C$5,0)</f>
        <v>63.0751953125</v>
      </c>
      <c r="I367" s="26">
        <f t="shared" si="558"/>
        <v>3.7532347623966942</v>
      </c>
      <c r="J367" s="24">
        <f t="shared" si="581"/>
        <v>1</v>
      </c>
      <c r="K367" s="26">
        <f>VLOOKUP($C367,COS!$B$8:$H$991,2,FALSE)</f>
        <v>4143.28564453125</v>
      </c>
      <c r="L367" s="24">
        <f t="shared" si="537"/>
        <v>1</v>
      </c>
      <c r="M367" s="24">
        <f t="shared" si="538"/>
        <v>1</v>
      </c>
      <c r="N367" s="26">
        <f>VLOOKUP($C367,COS!$B$8:$H$991,5,FALSE)</f>
        <v>520.3306884765625</v>
      </c>
      <c r="O367" s="26">
        <f t="shared" si="584"/>
        <v>30.961826091167357</v>
      </c>
      <c r="P367" s="26">
        <f>VLOOKUP($C367,COS!$B$8:$H$991,6,FALSE)</f>
        <v>2605.465576171875</v>
      </c>
      <c r="Q367" s="26">
        <f t="shared" si="585"/>
        <v>155.03596816890496</v>
      </c>
      <c r="R367" s="26">
        <f>MIN(IF(MONTH($C367)=4,$S$3,IF(MONTH($C367)=5,$S$4,IF(MONTH($C367)=6,$S$5,IF(MONTH($C367)=7,$S$6,"ERROR")))),MAX(VLOOKUP($C367,COS!$B$8:$K$991,10,FALSE)-IF(MONTH($C367)=4,$Y$3,IF(MONTH($C367)=5,$Y$4,IF(MONTH($C367)=6,$Y$5,IF(MONTH($C367)=7,$Y$6,"ERROR")))),0),MAX(VLOOKUP($C367,COS!$B$8:$K$991,9,FALSE)-IF(MONTH($C367)=4,$V$3,IF(MONTH($C367)=5,$V$4,IF(MONTH($C367)=6,$V$5,IF(MONTH($C367)=7,$V$6,"ERROR"))))-VLOOKUP($C367,COS!$B$8:$K$991,6,FALSE)/2,0))</f>
        <v>1500</v>
      </c>
      <c r="S367" s="26">
        <f t="shared" si="586"/>
        <v>89.256198347107429</v>
      </c>
      <c r="T367" s="26">
        <f t="shared" si="587"/>
        <v>182.25509547714358</v>
      </c>
      <c r="U367" s="26" t="str">
        <f>IF(VLOOKUP($C367,COS!$B$8:$I$991,8,FALSE)=1,"UWFE","IBU")</f>
        <v>IBU</v>
      </c>
      <c r="V367" s="26">
        <f t="shared" ref="V367" si="590">MIN(IF(IF($AA$3=2,AND(E367=1,G367=1,L367=1,L370=1,M367=1,U367="IBU"),AND(E367=1,G367=1,L367=1,L370=1,M367=1)),T367,0),I367)</f>
        <v>3.7532347623966942</v>
      </c>
      <c r="W367" s="26"/>
      <c r="X367" s="26"/>
      <c r="Y367" s="26"/>
      <c r="Z367" s="26"/>
      <c r="AA367" s="26"/>
      <c r="AB367" s="33"/>
    </row>
    <row r="368" spans="1:28" x14ac:dyDescent="0.3">
      <c r="A368" s="32">
        <f>VLOOKUP(YEAR(C368),Flags!$A$13:$B$95,2,FALSE)</f>
        <v>4</v>
      </c>
      <c r="B368" s="24">
        <f t="shared" si="535"/>
        <v>1961</v>
      </c>
      <c r="C368" s="25">
        <v>22493</v>
      </c>
      <c r="D368" s="26">
        <f>VLOOKUP($C368,COS!$B$8:$H$991,3,FALSE)</f>
        <v>16000</v>
      </c>
      <c r="E368" s="24">
        <f>IF(D368&gt;=IF(MONTH($C368)=4,$C$3,IF(MONTH($C368)=5,$C$4,IF(MONTH($C368)=6,$C$5,IF(MONTH($C368)=7,$C$6,"ERROR")))),1,0)</f>
        <v>1</v>
      </c>
      <c r="F368" s="26">
        <f>VLOOKUP($C368,COS!$B$8:$H$991,7,FALSE)</f>
        <v>51.374370574951172</v>
      </c>
      <c r="G368" s="24">
        <f>IF(F368&lt;=IF(MONTH($C368)=4,$F$3,IF(MONTH($C368)=5,$F$4,IF(MONTH($C368)=6,$F$5,IF(MONTH($C368)=7,$F$6,"ERROR")))),1,0)</f>
        <v>1</v>
      </c>
      <c r="H368" s="26">
        <f>IF(J368=1,D368-$C$6,0)</f>
        <v>4000</v>
      </c>
      <c r="I368" s="26">
        <f t="shared" si="558"/>
        <v>245.95041322314049</v>
      </c>
      <c r="J368" s="24">
        <f t="shared" si="581"/>
        <v>1</v>
      </c>
      <c r="K368" s="26">
        <f>VLOOKUP($C368,COS!$B$8:$H$991,2,FALSE)</f>
        <v>3417.93798828125</v>
      </c>
      <c r="L368" s="24">
        <f t="shared" si="537"/>
        <v>1</v>
      </c>
      <c r="M368" s="24">
        <f t="shared" si="538"/>
        <v>1</v>
      </c>
      <c r="N368" s="26">
        <f>VLOOKUP($C368,COS!$B$8:$H$991,5,FALSE)</f>
        <v>610.17608642578125</v>
      </c>
      <c r="O368" s="26">
        <f t="shared" si="584"/>
        <v>37.518265148824895</v>
      </c>
      <c r="P368" s="26">
        <f>VLOOKUP($C368,COS!$B$8:$H$991,6,FALSE)</f>
        <v>2538.07568359375</v>
      </c>
      <c r="Q368" s="26">
        <f t="shared" si="585"/>
        <v>156.06019079287191</v>
      </c>
      <c r="R368" s="26">
        <f>MIN(IF(MONTH($C368)=4,$S$3,IF(MONTH($C368)=5,$S$4,IF(MONTH($C368)=6,$S$5,IF(MONTH($C368)=7,$S$6,"ERROR")))),MAX(VLOOKUP($C368,COS!$B$8:$K$991,10,FALSE)-IF(MONTH($C368)=4,$Y$3,IF(MONTH($C368)=5,$Y$4,IF(MONTH($C368)=6,$Y$5,IF(MONTH($C368)=7,$Y$6,"ERROR")))),0),MAX(VLOOKUP($C368,COS!$B$8:$K$991,9,FALSE)-IF(MONTH($C368)=4,$V$3,IF(MONTH($C368)=5,$V$4,IF(MONTH($C368)=6,$V$5,IF(MONTH($C368)=7,$V$6,"ERROR"))))-VLOOKUP($C368,COS!$B$8:$K$991,6,FALSE)/2,0))</f>
        <v>1500</v>
      </c>
      <c r="S368" s="26">
        <f t="shared" si="586"/>
        <v>92.231404958677686</v>
      </c>
      <c r="T368" s="26">
        <f t="shared" si="587"/>
        <v>189.02063292952607</v>
      </c>
      <c r="U368" s="26" t="str">
        <f>IF(VLOOKUP($C368,COS!$B$8:$I$991,8,FALSE)=1,"UWFE","IBU")</f>
        <v>IBU</v>
      </c>
      <c r="V368" s="26">
        <f t="shared" ref="V368" si="591">MIN(IF(IF($AA$3=2,AND(E368=1,G368=1,L368=1,L370=1,M368=1,U368="IBU"),AND(E368=1,G368=1,L368=1,L370=1,M368=1)),T368,0),I368)</f>
        <v>189.02063292952607</v>
      </c>
      <c r="W368" s="26"/>
      <c r="X368" s="26"/>
      <c r="Y368" s="26"/>
      <c r="Z368" s="26"/>
      <c r="AA368" s="26"/>
      <c r="AB368" s="33"/>
    </row>
    <row r="369" spans="1:28" x14ac:dyDescent="0.3">
      <c r="A369" s="32">
        <f>VLOOKUP(YEAR(C369),Flags!$A$13:$B$95,2,FALSE)</f>
        <v>4</v>
      </c>
      <c r="B369" s="24">
        <f t="shared" si="535"/>
        <v>1961</v>
      </c>
      <c r="C369" s="25">
        <v>22524</v>
      </c>
      <c r="D369" s="26"/>
      <c r="E369" s="24"/>
      <c r="F369" s="26"/>
      <c r="G369" s="24"/>
      <c r="H369" s="24"/>
      <c r="I369" s="26"/>
      <c r="J369" s="24"/>
      <c r="K369" s="26"/>
      <c r="L369" s="24"/>
      <c r="M369" s="24"/>
      <c r="N369" s="26"/>
      <c r="O369" s="26"/>
      <c r="P369" s="26"/>
      <c r="Q369" s="26"/>
      <c r="R369" s="26"/>
      <c r="S369" s="26"/>
      <c r="T369" s="26"/>
      <c r="U369" s="26"/>
      <c r="V369" s="26"/>
      <c r="W369" s="26">
        <f>MAX($C$7-VLOOKUP($C369,COS!$B$8:$H$991,3,FALSE),0)</f>
        <v>90140.421875</v>
      </c>
      <c r="X369" s="26">
        <f t="shared" si="562"/>
        <v>5542.5185020661156</v>
      </c>
      <c r="Y369" s="26">
        <f>VLOOKUP($C369,COS!$B$8:$H$991,4,FALSE)</f>
        <v>3366.373779296875</v>
      </c>
      <c r="Z369" s="26">
        <f t="shared" si="563"/>
        <v>206.99025552040288</v>
      </c>
      <c r="AA369" s="26">
        <f t="shared" ref="AA369:AA373" si="592">MIN(W369,Y369)</f>
        <v>3366.373779296875</v>
      </c>
      <c r="AB369" s="33">
        <f t="shared" ref="AB369" si="593">AA369*DAY($C369)*86400/43560/1000*IF(MONTH($C369)=8,$P$3,IF(MONTH($C369)=9,$P$4,IF(MONTH($C369)=10,$P$5,IF(MONTH($C369)=11,$P$6,IF(MONTH($C369)=12,$P$7,NA())))))</f>
        <v>206.99025552040288</v>
      </c>
    </row>
    <row r="370" spans="1:28" x14ac:dyDescent="0.3">
      <c r="A370" s="32">
        <f>VLOOKUP(YEAR(C370),Flags!$A$13:$B$95,2,FALSE)</f>
        <v>4</v>
      </c>
      <c r="B370" s="24">
        <f t="shared" si="535"/>
        <v>1961</v>
      </c>
      <c r="C370" s="25">
        <v>22554</v>
      </c>
      <c r="D370" s="26"/>
      <c r="E370" s="24"/>
      <c r="F370" s="26"/>
      <c r="G370" s="24"/>
      <c r="H370" s="24"/>
      <c r="I370" s="26"/>
      <c r="J370" s="24"/>
      <c r="K370" s="26">
        <f>VLOOKUP($C370,COS!$B$8:$H$991,2,FALSE)</f>
        <v>3030.294189453125</v>
      </c>
      <c r="L370" s="24">
        <f t="shared" ref="L370" si="594">IF(AND(K370&gt;$I$7,K370&lt;$I$8),1,0)</f>
        <v>1</v>
      </c>
      <c r="M370" s="24"/>
      <c r="N370" s="26"/>
      <c r="O370" s="26"/>
      <c r="P370" s="26"/>
      <c r="Q370" s="26"/>
      <c r="R370" s="26"/>
      <c r="S370" s="26"/>
      <c r="T370" s="26"/>
      <c r="U370" s="26"/>
      <c r="V370" s="26"/>
      <c r="W370" s="26">
        <f>MAX($C$8-VLOOKUP($C370,COS!$B$8:$H$991,3,FALSE),0)</f>
        <v>94542.38232421875</v>
      </c>
      <c r="X370" s="26">
        <f t="shared" si="562"/>
        <v>5625.6624192923546</v>
      </c>
      <c r="Y370" s="26">
        <f>VLOOKUP($C370,COS!$B$8:$H$991,4,FALSE)</f>
        <v>1068.3673095703125</v>
      </c>
      <c r="Z370" s="26">
        <f t="shared" si="563"/>
        <v>63.572269660382233</v>
      </c>
      <c r="AA370" s="26">
        <f t="shared" si="592"/>
        <v>1068.3673095703125</v>
      </c>
      <c r="AB370" s="33">
        <f t="shared" si="548"/>
        <v>63.572269660382233</v>
      </c>
    </row>
    <row r="371" spans="1:28" x14ac:dyDescent="0.3">
      <c r="A371" s="32">
        <f>VLOOKUP(YEAR(C371),Flags!$A$13:$B$95,2,FALSE)</f>
        <v>4</v>
      </c>
      <c r="B371" s="24">
        <f t="shared" si="535"/>
        <v>1961</v>
      </c>
      <c r="C371" s="25">
        <v>22585</v>
      </c>
      <c r="D371" s="26"/>
      <c r="E371" s="24"/>
      <c r="F371" s="26"/>
      <c r="G371" s="26"/>
      <c r="H371" s="26"/>
      <c r="I371" s="26"/>
      <c r="J371" s="26"/>
      <c r="K371" s="26"/>
      <c r="L371" s="24"/>
      <c r="M371" s="24"/>
      <c r="N371" s="26"/>
      <c r="O371" s="26"/>
      <c r="P371" s="26"/>
      <c r="Q371" s="26"/>
      <c r="R371" s="26"/>
      <c r="S371" s="26"/>
      <c r="T371" s="26"/>
      <c r="U371" s="26"/>
      <c r="V371" s="26"/>
      <c r="W371" s="26">
        <f>MAX($C$9-VLOOKUP($C371,COS!$B$8:$H$991,3,FALSE),0)</f>
        <v>92871.4130859375</v>
      </c>
      <c r="X371" s="26">
        <f t="shared" si="562"/>
        <v>5710.4406062758271</v>
      </c>
      <c r="Y371" s="26">
        <f>VLOOKUP($C371,COS!$B$8:$H$991,4,FALSE)</f>
        <v>2354.580322265625</v>
      </c>
      <c r="Z371" s="26">
        <f t="shared" si="563"/>
        <v>144.77750080707645</v>
      </c>
      <c r="AA371" s="26">
        <f t="shared" si="592"/>
        <v>2354.580322265625</v>
      </c>
      <c r="AB371" s="33">
        <f t="shared" si="548"/>
        <v>144.77750080707645</v>
      </c>
    </row>
    <row r="372" spans="1:28" x14ac:dyDescent="0.3">
      <c r="A372" s="32">
        <f>VLOOKUP(YEAR(C372),Flags!$A$13:$B$95,2,FALSE)</f>
        <v>4</v>
      </c>
      <c r="B372" s="24">
        <f t="shared" si="535"/>
        <v>1961</v>
      </c>
      <c r="C372" s="25">
        <v>22615</v>
      </c>
      <c r="D372" s="26"/>
      <c r="E372" s="24"/>
      <c r="F372" s="26"/>
      <c r="G372" s="26"/>
      <c r="H372" s="26"/>
      <c r="I372" s="26"/>
      <c r="J372" s="26"/>
      <c r="K372" s="26"/>
      <c r="L372" s="24"/>
      <c r="M372" s="24"/>
      <c r="N372" s="26"/>
      <c r="O372" s="26"/>
      <c r="P372" s="26"/>
      <c r="Q372" s="26"/>
      <c r="R372" s="26"/>
      <c r="S372" s="26"/>
      <c r="T372" s="26"/>
      <c r="U372" s="26"/>
      <c r="V372" s="26"/>
      <c r="W372" s="26">
        <f>MAX($C$10-VLOOKUP($C372,COS!$B$8:$H$991,3,FALSE),0)</f>
        <v>95558.98876953125</v>
      </c>
      <c r="X372" s="26">
        <f t="shared" si="562"/>
        <v>5686.1547036415295</v>
      </c>
      <c r="Y372" s="26">
        <f>VLOOKUP($C372,COS!$B$8:$H$991,4,FALSE)</f>
        <v>1388.96728515625</v>
      </c>
      <c r="Z372" s="26">
        <f t="shared" si="563"/>
        <v>82.649293001033058</v>
      </c>
      <c r="AA372" s="26">
        <f t="shared" si="592"/>
        <v>1388.96728515625</v>
      </c>
      <c r="AB372" s="33">
        <f t="shared" si="548"/>
        <v>41.324646500516529</v>
      </c>
    </row>
    <row r="373" spans="1:28" x14ac:dyDescent="0.3">
      <c r="A373" s="34">
        <f>VLOOKUP(YEAR(C373),Flags!$A$13:$B$95,2,FALSE)</f>
        <v>4</v>
      </c>
      <c r="B373" s="35">
        <f t="shared" si="535"/>
        <v>1961</v>
      </c>
      <c r="C373" s="36">
        <v>22646</v>
      </c>
      <c r="D373" s="37"/>
      <c r="E373" s="35"/>
      <c r="F373" s="37"/>
      <c r="G373" s="37"/>
      <c r="H373" s="37"/>
      <c r="I373" s="37"/>
      <c r="J373" s="37"/>
      <c r="K373" s="37"/>
      <c r="L373" s="35"/>
      <c r="M373" s="35"/>
      <c r="N373" s="37"/>
      <c r="O373" s="37"/>
      <c r="P373" s="37"/>
      <c r="Q373" s="37"/>
      <c r="R373" s="37"/>
      <c r="S373" s="37"/>
      <c r="T373" s="37"/>
      <c r="U373" s="37"/>
      <c r="V373" s="37"/>
      <c r="W373" s="37">
        <f>MAX($C$11-VLOOKUP($C373,COS!$B$8:$H$991,3,FALSE),0)</f>
        <v>0</v>
      </c>
      <c r="X373" s="37">
        <f t="shared" si="562"/>
        <v>0</v>
      </c>
      <c r="Y373" s="37">
        <f>VLOOKUP($C373,COS!$B$8:$H$991,4,FALSE)</f>
        <v>1553.054443359375</v>
      </c>
      <c r="Z373" s="37">
        <f t="shared" si="563"/>
        <v>95.493595525568182</v>
      </c>
      <c r="AA373" s="37">
        <f t="shared" si="592"/>
        <v>0</v>
      </c>
      <c r="AB373" s="38">
        <f t="shared" si="548"/>
        <v>0</v>
      </c>
    </row>
    <row r="374" spans="1:28" x14ac:dyDescent="0.3">
      <c r="A374" s="27">
        <f>VLOOKUP(YEAR(C374),Flags!$A$13:$B$95,2,FALSE)</f>
        <v>3</v>
      </c>
      <c r="B374" s="28">
        <f t="shared" si="535"/>
        <v>1962</v>
      </c>
      <c r="C374" s="29">
        <v>22766</v>
      </c>
      <c r="D374" s="30">
        <f>VLOOKUP($C374,COS!$B$8:$H$991,3,FALSE)</f>
        <v>3754.135009765625</v>
      </c>
      <c r="E374" s="28">
        <f>IF(D374&gt;=IF(MONTH($C374)=4,$C$3,IF(MONTH($C374)=5,$C$4,IF(MONTH($C374)=6,$C$5,IF(MONTH($C374)=7,$C$6,"ERROR")))),1,0)</f>
        <v>0</v>
      </c>
      <c r="F374" s="30">
        <f>VLOOKUP($C374,COS!$B$8:$H$991,7,FALSE)</f>
        <v>51.116634368896484</v>
      </c>
      <c r="G374" s="28">
        <f>IF(F374&lt;=IF(MONTH($C374)=4,$F$3,IF(MONTH($C374)=5,$F$4,IF(MONTH($C374)=6,$F$5,IF(MONTH($C374)=7,$F$6,"ERROR")))),1,0)</f>
        <v>1</v>
      </c>
      <c r="H374" s="30">
        <f>IF(J374=1,D374-$C$3,0)</f>
        <v>0</v>
      </c>
      <c r="I374" s="30">
        <f t="shared" si="558"/>
        <v>0</v>
      </c>
      <c r="J374" s="28">
        <f t="shared" ref="J374:J377" si="595">IF(AND(E374=1,G374=1),1,0)</f>
        <v>0</v>
      </c>
      <c r="K374" s="30">
        <f>VLOOKUP($C374,COS!$B$8:$H$991,2,FALSE)</f>
        <v>4552</v>
      </c>
      <c r="L374" s="28">
        <f t="shared" ref="L374" si="596">IF(K374&lt;=IF(MONTH($C374)=4,$I$3,IF(MONTH($C374)=5,$I$4,IF(MONTH($C374)=6,$I$5,IF(MONTH($C374)=7,$I$6,"ERROR")))),1,0)</f>
        <v>1</v>
      </c>
      <c r="M374" s="28">
        <f t="shared" ref="M374" si="597">VLOOKUP($A374,$L$3:$M$7,2,FALSE)</f>
        <v>0</v>
      </c>
      <c r="N374" s="30">
        <f>VLOOKUP($C374,COS!$B$8:$H$991,5,FALSE)</f>
        <v>412.55120849609375</v>
      </c>
      <c r="O374" s="30">
        <f t="shared" ref="O374:O377" si="598">N374*DAY($C374)*86400/43560/1000</f>
        <v>24.548501662577479</v>
      </c>
      <c r="P374" s="30">
        <f>VLOOKUP($C374,COS!$B$8:$H$991,6,FALSE)</f>
        <v>496.0894775390625</v>
      </c>
      <c r="Q374" s="30">
        <f t="shared" ref="Q374:Q377" si="599">P374*DAY($C374)*86400/43560/1000</f>
        <v>29.519373870092974</v>
      </c>
      <c r="R374" s="30">
        <f>MIN(IF(MONTH($C374)=4,$S$3,IF(MONTH($C374)=5,$S$4,IF(MONTH($C374)=6,$S$5,IF(MONTH($C374)=7,$S$6,"ERROR")))),MAX(VLOOKUP($C374,COS!$B$8:$K$991,10,FALSE)-IF(MONTH($C374)=4,$Y$3,IF(MONTH($C374)=5,$Y$4,IF(MONTH($C374)=6,$Y$5,IF(MONTH($C374)=7,$Y$6,"ERROR")))),0),MAX(VLOOKUP($C374,COS!$B$8:$K$991,9,FALSE)-IF(MONTH($C374)=4,$V$3,IF(MONTH($C374)=5,$V$4,IF(MONTH($C374)=6,$V$5,IF(MONTH($C374)=7,$V$6,"ERROR"))))-VLOOKUP($C374,COS!$B$8:$K$991,6,FALSE)/2,0))</f>
        <v>1500</v>
      </c>
      <c r="S374" s="30">
        <f t="shared" ref="S374:S377" si="600">R374*DAY($C374)*86400/43560/1000</f>
        <v>89.256198347107429</v>
      </c>
      <c r="T374" s="30">
        <f t="shared" ref="T374:T377" si="601">(O374+Q374)/2+S374</f>
        <v>116.29013611344266</v>
      </c>
      <c r="U374" s="30" t="str">
        <f>IF(VLOOKUP($C374,COS!$B$8:$I$991,8,FALSE)=1,"UWFE","IBU")</f>
        <v>UWFE</v>
      </c>
      <c r="V374" s="30">
        <f t="shared" ref="V374" si="602">MIN(IF(IF($AA$3=2,AND(E374=1,G374=1,L374=1,L379=1,M374=1,U374="IBU"),AND(E374=1,G374=1,L374=1,L379=1,M374=1)),T374,0),I374)</f>
        <v>0</v>
      </c>
      <c r="W374" s="30"/>
      <c r="X374" s="30"/>
      <c r="Y374" s="30"/>
      <c r="Z374" s="30"/>
      <c r="AA374" s="30"/>
      <c r="AB374" s="31"/>
    </row>
    <row r="375" spans="1:28" x14ac:dyDescent="0.3">
      <c r="A375" s="32">
        <f>VLOOKUP(YEAR(C375),Flags!$A$13:$B$95,2,FALSE)</f>
        <v>3</v>
      </c>
      <c r="B375" s="24">
        <f t="shared" si="535"/>
        <v>1962</v>
      </c>
      <c r="C375" s="25">
        <v>22797</v>
      </c>
      <c r="D375" s="26">
        <f>VLOOKUP($C375,COS!$B$8:$H$991,3,FALSE)</f>
        <v>8163.22021484375</v>
      </c>
      <c r="E375" s="24">
        <f>IF(D375&gt;=IF(MONTH($C375)=4,$C$3,IF(MONTH($C375)=5,$C$4,IF(MONTH($C375)=6,$C$5,IF(MONTH($C375)=7,$C$6,"ERROR")))),1,0)</f>
        <v>1</v>
      </c>
      <c r="F375" s="26">
        <f>VLOOKUP($C375,COS!$B$8:$H$991,7,FALSE)</f>
        <v>49.783451080322266</v>
      </c>
      <c r="G375" s="24">
        <f>IF(F375&lt;=IF(MONTH($C375)=4,$F$3,IF(MONTH($C375)=5,$F$4,IF(MONTH($C375)=6,$F$5,IF(MONTH($C375)=7,$F$6,"ERROR")))),1,0)</f>
        <v>1</v>
      </c>
      <c r="H375" s="26">
        <f>IF(J375=1,D375-$C$4,0)</f>
        <v>2163.22021484375</v>
      </c>
      <c r="I375" s="26">
        <f t="shared" si="558"/>
        <v>133.01122643336777</v>
      </c>
      <c r="J375" s="24">
        <f t="shared" si="595"/>
        <v>1</v>
      </c>
      <c r="K375" s="26">
        <f>VLOOKUP($C375,COS!$B$8:$H$991,2,FALSE)</f>
        <v>4418.89453125</v>
      </c>
      <c r="L375" s="24">
        <f t="shared" si="537"/>
        <v>1</v>
      </c>
      <c r="M375" s="24">
        <f t="shared" si="538"/>
        <v>0</v>
      </c>
      <c r="N375" s="26">
        <f>VLOOKUP($C375,COS!$B$8:$H$991,5,FALSE)</f>
        <v>657.1561279296875</v>
      </c>
      <c r="O375" s="26">
        <f t="shared" si="598"/>
        <v>40.406955304106404</v>
      </c>
      <c r="P375" s="26">
        <f>VLOOKUP($C375,COS!$B$8:$H$991,6,FALSE)</f>
        <v>2288.578369140625</v>
      </c>
      <c r="Q375" s="26">
        <f t="shared" si="599"/>
        <v>140.71919889591942</v>
      </c>
      <c r="R375" s="26">
        <f>MIN(IF(MONTH($C375)=4,$S$3,IF(MONTH($C375)=5,$S$4,IF(MONTH($C375)=6,$S$5,IF(MONTH($C375)=7,$S$6,"ERROR")))),MAX(VLOOKUP($C375,COS!$B$8:$K$991,10,FALSE)-IF(MONTH($C375)=4,$Y$3,IF(MONTH($C375)=5,$Y$4,IF(MONTH($C375)=6,$Y$5,IF(MONTH($C375)=7,$Y$6,"ERROR")))),0),MAX(VLOOKUP($C375,COS!$B$8:$K$991,9,FALSE)-IF(MONTH($C375)=4,$V$3,IF(MONTH($C375)=5,$V$4,IF(MONTH($C375)=6,$V$5,IF(MONTH($C375)=7,$V$6,"ERROR"))))-VLOOKUP($C375,COS!$B$8:$K$991,6,FALSE)/2,0))</f>
        <v>1500</v>
      </c>
      <c r="S375" s="26">
        <f t="shared" si="600"/>
        <v>92.231404958677686</v>
      </c>
      <c r="T375" s="26">
        <f t="shared" si="601"/>
        <v>182.79448205869062</v>
      </c>
      <c r="U375" s="26" t="str">
        <f>IF(VLOOKUP($C375,COS!$B$8:$I$991,8,FALSE)=1,"UWFE","IBU")</f>
        <v>UWFE</v>
      </c>
      <c r="V375" s="26">
        <f t="shared" ref="V375" si="603">MIN(IF(IF($AA$3=2,AND(E375=1,G375=1,L375=1,L379=1,M375=1,U375="IBU"),AND(E375=1,G375=1,L375=1,L379=1,M375=1)),T375,0),I375)</f>
        <v>0</v>
      </c>
      <c r="W375" s="26"/>
      <c r="X375" s="26"/>
      <c r="Y375" s="26"/>
      <c r="Z375" s="26"/>
      <c r="AA375" s="26"/>
      <c r="AB375" s="33"/>
    </row>
    <row r="376" spans="1:28" x14ac:dyDescent="0.3">
      <c r="A376" s="32">
        <f>VLOOKUP(YEAR(C376),Flags!$A$13:$B$95,2,FALSE)</f>
        <v>3</v>
      </c>
      <c r="B376" s="24">
        <f t="shared" si="535"/>
        <v>1962</v>
      </c>
      <c r="C376" s="25">
        <v>22827</v>
      </c>
      <c r="D376" s="26">
        <f>VLOOKUP($C376,COS!$B$8:$H$991,3,FALSE)</f>
        <v>9541.0107421875</v>
      </c>
      <c r="E376" s="24">
        <f>IF(D376&gt;=IF(MONTH($C376)=4,$C$3,IF(MONTH($C376)=5,$C$4,IF(MONTH($C376)=6,$C$5,IF(MONTH($C376)=7,$C$6,"ERROR")))),1,0)</f>
        <v>0</v>
      </c>
      <c r="F376" s="26">
        <f>VLOOKUP($C376,COS!$B$8:$H$991,7,FALSE)</f>
        <v>50.677501678466797</v>
      </c>
      <c r="G376" s="24">
        <f>IF(F376&lt;=IF(MONTH($C376)=4,$F$3,IF(MONTH($C376)=5,$F$4,IF(MONTH($C376)=6,$F$5,IF(MONTH($C376)=7,$F$6,"ERROR")))),1,0)</f>
        <v>1</v>
      </c>
      <c r="H376" s="26">
        <f>IF(J376=1,D376-$C$5,0)</f>
        <v>0</v>
      </c>
      <c r="I376" s="26">
        <f t="shared" si="558"/>
        <v>0</v>
      </c>
      <c r="J376" s="24">
        <f t="shared" si="595"/>
        <v>0</v>
      </c>
      <c r="K376" s="26">
        <f>VLOOKUP($C376,COS!$B$8:$H$991,2,FALSE)</f>
        <v>4081.933837890625</v>
      </c>
      <c r="L376" s="24">
        <f t="shared" si="537"/>
        <v>1</v>
      </c>
      <c r="M376" s="24">
        <f t="shared" si="538"/>
        <v>0</v>
      </c>
      <c r="N376" s="26">
        <f>VLOOKUP($C376,COS!$B$8:$H$991,5,FALSE)</f>
        <v>805.975830078125</v>
      </c>
      <c r="O376" s="26">
        <f t="shared" si="598"/>
        <v>47.95889236828512</v>
      </c>
      <c r="P376" s="26">
        <f>VLOOKUP($C376,COS!$B$8:$H$991,6,FALSE)</f>
        <v>2523.65283203125</v>
      </c>
      <c r="Q376" s="26">
        <f t="shared" si="599"/>
        <v>150.1677718233471</v>
      </c>
      <c r="R376" s="26">
        <f>MIN(IF(MONTH($C376)=4,$S$3,IF(MONTH($C376)=5,$S$4,IF(MONTH($C376)=6,$S$5,IF(MONTH($C376)=7,$S$6,"ERROR")))),MAX(VLOOKUP($C376,COS!$B$8:$K$991,10,FALSE)-IF(MONTH($C376)=4,$Y$3,IF(MONTH($C376)=5,$Y$4,IF(MONTH($C376)=6,$Y$5,IF(MONTH($C376)=7,$Y$6,"ERROR")))),0),MAX(VLOOKUP($C376,COS!$B$8:$K$991,9,FALSE)-IF(MONTH($C376)=4,$V$3,IF(MONTH($C376)=5,$V$4,IF(MONTH($C376)=6,$V$5,IF(MONTH($C376)=7,$V$6,"ERROR"))))-VLOOKUP($C376,COS!$B$8:$K$991,6,FALSE)/2,0))</f>
        <v>1500</v>
      </c>
      <c r="S376" s="26">
        <f t="shared" si="600"/>
        <v>89.256198347107429</v>
      </c>
      <c r="T376" s="26">
        <f t="shared" si="601"/>
        <v>188.31953044292354</v>
      </c>
      <c r="U376" s="26" t="str">
        <f>IF(VLOOKUP($C376,COS!$B$8:$I$991,8,FALSE)=1,"UWFE","IBU")</f>
        <v>IBU</v>
      </c>
      <c r="V376" s="26">
        <f t="shared" ref="V376" si="604">MIN(IF(IF($AA$3=2,AND(E376=1,G376=1,L376=1,L379=1,M376=1,U376="IBU"),AND(E376=1,G376=1,L376=1,L379=1,M376=1)),T376,0),I376)</f>
        <v>0</v>
      </c>
      <c r="W376" s="26"/>
      <c r="X376" s="26"/>
      <c r="Y376" s="26"/>
      <c r="Z376" s="26"/>
      <c r="AA376" s="26"/>
      <c r="AB376" s="33"/>
    </row>
    <row r="377" spans="1:28" x14ac:dyDescent="0.3">
      <c r="A377" s="32">
        <f>VLOOKUP(YEAR(C377),Flags!$A$13:$B$95,2,FALSE)</f>
        <v>3</v>
      </c>
      <c r="B377" s="24">
        <f t="shared" si="535"/>
        <v>1962</v>
      </c>
      <c r="C377" s="25">
        <v>22858</v>
      </c>
      <c r="D377" s="26">
        <f>VLOOKUP($C377,COS!$B$8:$H$991,3,FALSE)</f>
        <v>15542.783203125</v>
      </c>
      <c r="E377" s="24">
        <f>IF(D377&gt;=IF(MONTH($C377)=4,$C$3,IF(MONTH($C377)=5,$C$4,IF(MONTH($C377)=6,$C$5,IF(MONTH($C377)=7,$C$6,"ERROR")))),1,0)</f>
        <v>1</v>
      </c>
      <c r="F377" s="26">
        <f>VLOOKUP($C377,COS!$B$8:$H$991,7,FALSE)</f>
        <v>50.507843017578125</v>
      </c>
      <c r="G377" s="24">
        <f>IF(F377&lt;=IF(MONTH($C377)=4,$F$3,IF(MONTH($C377)=5,$F$4,IF(MONTH($C377)=6,$F$5,IF(MONTH($C377)=7,$F$6,"ERROR")))),1,0)</f>
        <v>1</v>
      </c>
      <c r="H377" s="26">
        <f>IF(J377=1,D377-$C$6,0)</f>
        <v>3542.783203125</v>
      </c>
      <c r="I377" s="26">
        <f t="shared" si="558"/>
        <v>217.83724819214873</v>
      </c>
      <c r="J377" s="24">
        <f t="shared" si="595"/>
        <v>1</v>
      </c>
      <c r="K377" s="26">
        <f>VLOOKUP($C377,COS!$B$8:$H$991,2,FALSE)</f>
        <v>3381.171142578125</v>
      </c>
      <c r="L377" s="24">
        <f t="shared" si="537"/>
        <v>1</v>
      </c>
      <c r="M377" s="24">
        <f t="shared" si="538"/>
        <v>0</v>
      </c>
      <c r="N377" s="26">
        <f>VLOOKUP($C377,COS!$B$8:$H$991,5,FALSE)</f>
        <v>930.34075927734375</v>
      </c>
      <c r="O377" s="26">
        <f t="shared" si="598"/>
        <v>57.20442354564824</v>
      </c>
      <c r="P377" s="26">
        <f>VLOOKUP($C377,COS!$B$8:$H$991,6,FALSE)</f>
        <v>2537.385498046875</v>
      </c>
      <c r="Q377" s="26">
        <f t="shared" si="599"/>
        <v>156.01775293775825</v>
      </c>
      <c r="R377" s="26">
        <f>MIN(IF(MONTH($C377)=4,$S$3,IF(MONTH($C377)=5,$S$4,IF(MONTH($C377)=6,$S$5,IF(MONTH($C377)=7,$S$6,"ERROR")))),MAX(VLOOKUP($C377,COS!$B$8:$K$991,10,FALSE)-IF(MONTH($C377)=4,$Y$3,IF(MONTH($C377)=5,$Y$4,IF(MONTH($C377)=6,$Y$5,IF(MONTH($C377)=7,$Y$6,"ERROR")))),0),MAX(VLOOKUP($C377,COS!$B$8:$K$991,9,FALSE)-IF(MONTH($C377)=4,$V$3,IF(MONTH($C377)=5,$V$4,IF(MONTH($C377)=6,$V$5,IF(MONTH($C377)=7,$V$6,"ERROR"))))-VLOOKUP($C377,COS!$B$8:$K$991,6,FALSE)/2,0))</f>
        <v>1500</v>
      </c>
      <c r="S377" s="26">
        <f t="shared" si="600"/>
        <v>92.231404958677686</v>
      </c>
      <c r="T377" s="26">
        <f t="shared" si="601"/>
        <v>198.84249320038094</v>
      </c>
      <c r="U377" s="26" t="str">
        <f>IF(VLOOKUP($C377,COS!$B$8:$I$991,8,FALSE)=1,"UWFE","IBU")</f>
        <v>IBU</v>
      </c>
      <c r="V377" s="26">
        <f t="shared" ref="V377" si="605">MIN(IF(IF($AA$3=2,AND(E377=1,G377=1,L377=1,L379=1,M377=1,U377="IBU"),AND(E377=1,G377=1,L377=1,L379=1,M377=1)),T377,0),I377)</f>
        <v>0</v>
      </c>
      <c r="W377" s="26"/>
      <c r="X377" s="26"/>
      <c r="Y377" s="26"/>
      <c r="Z377" s="26"/>
      <c r="AA377" s="26"/>
      <c r="AB377" s="33"/>
    </row>
    <row r="378" spans="1:28" x14ac:dyDescent="0.3">
      <c r="A378" s="32">
        <f>VLOOKUP(YEAR(C378),Flags!$A$13:$B$95,2,FALSE)</f>
        <v>3</v>
      </c>
      <c r="B378" s="24">
        <f t="shared" si="535"/>
        <v>1962</v>
      </c>
      <c r="C378" s="25">
        <v>22889</v>
      </c>
      <c r="D378" s="26"/>
      <c r="E378" s="24"/>
      <c r="F378" s="26"/>
      <c r="G378" s="24"/>
      <c r="H378" s="24"/>
      <c r="I378" s="26"/>
      <c r="J378" s="24"/>
      <c r="K378" s="26"/>
      <c r="L378" s="24"/>
      <c r="M378" s="24"/>
      <c r="N378" s="26"/>
      <c r="O378" s="26"/>
      <c r="P378" s="26"/>
      <c r="Q378" s="26"/>
      <c r="R378" s="26"/>
      <c r="S378" s="26"/>
      <c r="T378" s="26"/>
      <c r="U378" s="26"/>
      <c r="V378" s="26"/>
      <c r="W378" s="26">
        <f>MAX($C$7-VLOOKUP($C378,COS!$B$8:$H$991,3,FALSE),0)</f>
        <v>90501.505859375</v>
      </c>
      <c r="X378" s="26">
        <f t="shared" si="562"/>
        <v>5564.7206908574381</v>
      </c>
      <c r="Y378" s="26">
        <f>VLOOKUP($C378,COS!$B$8:$H$991,4,FALSE)</f>
        <v>326.0140380859375</v>
      </c>
      <c r="Z378" s="26">
        <f t="shared" si="563"/>
        <v>20.045821845945248</v>
      </c>
      <c r="AA378" s="26">
        <f t="shared" ref="AA378:AA382" si="606">MIN(W378,Y378)</f>
        <v>326.0140380859375</v>
      </c>
      <c r="AB378" s="33">
        <f t="shared" ref="AB378" si="607">AA378*DAY($C378)*86400/43560/1000*IF(MONTH($C378)=8,$P$3,IF(MONTH($C378)=9,$P$4,IF(MONTH($C378)=10,$P$5,IF(MONTH($C378)=11,$P$6,IF(MONTH($C378)=12,$P$7,NA())))))</f>
        <v>20.045821845945248</v>
      </c>
    </row>
    <row r="379" spans="1:28" x14ac:dyDescent="0.3">
      <c r="A379" s="32">
        <f>VLOOKUP(YEAR(C379),Flags!$A$13:$B$95,2,FALSE)</f>
        <v>3</v>
      </c>
      <c r="B379" s="24">
        <f t="shared" si="535"/>
        <v>1962</v>
      </c>
      <c r="C379" s="25">
        <v>22919</v>
      </c>
      <c r="D379" s="26"/>
      <c r="E379" s="24"/>
      <c r="F379" s="26"/>
      <c r="G379" s="24"/>
      <c r="H379" s="24"/>
      <c r="I379" s="26"/>
      <c r="J379" s="24"/>
      <c r="K379" s="26">
        <f>VLOOKUP($C379,COS!$B$8:$H$991,2,FALSE)</f>
        <v>3012.717529296875</v>
      </c>
      <c r="L379" s="24">
        <f t="shared" ref="L379" si="608">IF(AND(K379&gt;$I$7,K379&lt;$I$8),1,0)</f>
        <v>1</v>
      </c>
      <c r="M379" s="24"/>
      <c r="N379" s="26"/>
      <c r="O379" s="26"/>
      <c r="P379" s="26"/>
      <c r="Q379" s="26"/>
      <c r="R379" s="26"/>
      <c r="S379" s="26"/>
      <c r="T379" s="26"/>
      <c r="U379" s="26"/>
      <c r="V379" s="26"/>
      <c r="W379" s="26">
        <f>MAX($C$8-VLOOKUP($C379,COS!$B$8:$H$991,3,FALSE),0)</f>
        <v>94563.63525390625</v>
      </c>
      <c r="X379" s="26">
        <f t="shared" si="562"/>
        <v>5626.9270564307853</v>
      </c>
      <c r="Y379" s="26">
        <f>VLOOKUP($C379,COS!$B$8:$H$991,4,FALSE)</f>
        <v>0</v>
      </c>
      <c r="Z379" s="26">
        <f t="shared" si="563"/>
        <v>0</v>
      </c>
      <c r="AA379" s="26">
        <f t="shared" si="606"/>
        <v>0</v>
      </c>
      <c r="AB379" s="33">
        <f t="shared" si="548"/>
        <v>0</v>
      </c>
    </row>
    <row r="380" spans="1:28" x14ac:dyDescent="0.3">
      <c r="A380" s="32">
        <f>VLOOKUP(YEAR(C380),Flags!$A$13:$B$95,2,FALSE)</f>
        <v>3</v>
      </c>
      <c r="B380" s="24">
        <f t="shared" si="535"/>
        <v>1962</v>
      </c>
      <c r="C380" s="25">
        <v>22950</v>
      </c>
      <c r="D380" s="26"/>
      <c r="E380" s="24"/>
      <c r="F380" s="26"/>
      <c r="G380" s="26"/>
      <c r="H380" s="26"/>
      <c r="I380" s="26"/>
      <c r="J380" s="26"/>
      <c r="K380" s="26"/>
      <c r="L380" s="24"/>
      <c r="M380" s="24"/>
      <c r="N380" s="26"/>
      <c r="O380" s="26"/>
      <c r="P380" s="26"/>
      <c r="Q380" s="26"/>
      <c r="R380" s="26"/>
      <c r="S380" s="26"/>
      <c r="T380" s="26"/>
      <c r="U380" s="26"/>
      <c r="V380" s="26"/>
      <c r="W380" s="26">
        <f>MAX($C$9-VLOOKUP($C380,COS!$B$8:$H$991,3,FALSE),0)</f>
        <v>91099.30859375</v>
      </c>
      <c r="X380" s="26">
        <f t="shared" si="562"/>
        <v>5601.478148243802</v>
      </c>
      <c r="Y380" s="26">
        <f>VLOOKUP($C380,COS!$B$8:$H$991,4,FALSE)</f>
        <v>0</v>
      </c>
      <c r="Z380" s="26">
        <f t="shared" si="563"/>
        <v>0</v>
      </c>
      <c r="AA380" s="26">
        <f t="shared" si="606"/>
        <v>0</v>
      </c>
      <c r="AB380" s="33">
        <f t="shared" si="548"/>
        <v>0</v>
      </c>
    </row>
    <row r="381" spans="1:28" x14ac:dyDescent="0.3">
      <c r="A381" s="32">
        <f>VLOOKUP(YEAR(C381),Flags!$A$13:$B$95,2,FALSE)</f>
        <v>3</v>
      </c>
      <c r="B381" s="24">
        <f t="shared" si="535"/>
        <v>1962</v>
      </c>
      <c r="C381" s="25">
        <v>22980</v>
      </c>
      <c r="D381" s="26"/>
      <c r="E381" s="24"/>
      <c r="F381" s="26"/>
      <c r="G381" s="26"/>
      <c r="H381" s="26"/>
      <c r="I381" s="26"/>
      <c r="J381" s="26"/>
      <c r="K381" s="26"/>
      <c r="L381" s="24"/>
      <c r="M381" s="24"/>
      <c r="N381" s="26"/>
      <c r="O381" s="26"/>
      <c r="P381" s="26"/>
      <c r="Q381" s="26"/>
      <c r="R381" s="26"/>
      <c r="S381" s="26"/>
      <c r="T381" s="26"/>
      <c r="U381" s="26"/>
      <c r="V381" s="26"/>
      <c r="W381" s="26">
        <f>MAX($C$10-VLOOKUP($C381,COS!$B$8:$H$991,3,FALSE),0)</f>
        <v>94435.6953125</v>
      </c>
      <c r="X381" s="26">
        <f t="shared" si="562"/>
        <v>5619.3141012396691</v>
      </c>
      <c r="Y381" s="26">
        <f>VLOOKUP($C381,COS!$B$8:$H$991,4,FALSE)</f>
        <v>0</v>
      </c>
      <c r="Z381" s="26">
        <f t="shared" si="563"/>
        <v>0</v>
      </c>
      <c r="AA381" s="26">
        <f t="shared" si="606"/>
        <v>0</v>
      </c>
      <c r="AB381" s="33">
        <f t="shared" si="548"/>
        <v>0</v>
      </c>
    </row>
    <row r="382" spans="1:28" x14ac:dyDescent="0.3">
      <c r="A382" s="34">
        <f>VLOOKUP(YEAR(C382),Flags!$A$13:$B$95,2,FALSE)</f>
        <v>3</v>
      </c>
      <c r="B382" s="35">
        <f t="shared" si="535"/>
        <v>1962</v>
      </c>
      <c r="C382" s="36">
        <v>23011</v>
      </c>
      <c r="D382" s="37"/>
      <c r="E382" s="35"/>
      <c r="F382" s="37"/>
      <c r="G382" s="37"/>
      <c r="H382" s="37"/>
      <c r="I382" s="37"/>
      <c r="J382" s="37"/>
      <c r="K382" s="37"/>
      <c r="L382" s="35"/>
      <c r="M382" s="35"/>
      <c r="N382" s="37"/>
      <c r="O382" s="37"/>
      <c r="P382" s="37"/>
      <c r="Q382" s="37"/>
      <c r="R382" s="37"/>
      <c r="S382" s="37"/>
      <c r="T382" s="37"/>
      <c r="U382" s="37"/>
      <c r="V382" s="37"/>
      <c r="W382" s="37">
        <f>MAX($C$11-VLOOKUP($C382,COS!$B$8:$H$991,3,FALSE),0)</f>
        <v>0</v>
      </c>
      <c r="X382" s="37">
        <f t="shared" si="562"/>
        <v>0</v>
      </c>
      <c r="Y382" s="37">
        <f>VLOOKUP($C382,COS!$B$8:$H$991,4,FALSE)</f>
        <v>0</v>
      </c>
      <c r="Z382" s="37">
        <f t="shared" si="563"/>
        <v>0</v>
      </c>
      <c r="AA382" s="37">
        <f t="shared" si="606"/>
        <v>0</v>
      </c>
      <c r="AB382" s="38">
        <f t="shared" si="548"/>
        <v>0</v>
      </c>
    </row>
    <row r="383" spans="1:28" x14ac:dyDescent="0.3">
      <c r="A383" s="27">
        <f>VLOOKUP(YEAR(C383),Flags!$A$13:$B$95,2,FALSE)</f>
        <v>1</v>
      </c>
      <c r="B383" s="28">
        <f t="shared" si="535"/>
        <v>1963</v>
      </c>
      <c r="C383" s="29">
        <v>23131</v>
      </c>
      <c r="D383" s="30">
        <f>VLOOKUP($C383,COS!$B$8:$H$991,3,FALSE)</f>
        <v>30893.44921875</v>
      </c>
      <c r="E383" s="28">
        <f>IF(D383&gt;=IF(MONTH($C383)=4,$C$3,IF(MONTH($C383)=5,$C$4,IF(MONTH($C383)=6,$C$5,IF(MONTH($C383)=7,$C$6,"ERROR")))),1,0)</f>
        <v>1</v>
      </c>
      <c r="F383" s="30">
        <f>VLOOKUP($C383,COS!$B$8:$H$991,7,FALSE)</f>
        <v>48.021064758300781</v>
      </c>
      <c r="G383" s="28">
        <f>IF(F383&lt;=IF(MONTH($C383)=4,$F$3,IF(MONTH($C383)=5,$F$4,IF(MONTH($C383)=6,$F$5,IF(MONTH($C383)=7,$F$6,"ERROR")))),1,0)</f>
        <v>1</v>
      </c>
      <c r="H383" s="30">
        <f>IF(J383=1,D383-$C$3,0)</f>
        <v>24893.44921875</v>
      </c>
      <c r="I383" s="30">
        <f t="shared" si="558"/>
        <v>1481.2630940082643</v>
      </c>
      <c r="J383" s="28">
        <f t="shared" ref="J383:J386" si="609">IF(AND(E383=1,G383=1),1,0)</f>
        <v>1</v>
      </c>
      <c r="K383" s="30">
        <f>VLOOKUP($C383,COS!$B$8:$H$991,2,FALSE)</f>
        <v>4137</v>
      </c>
      <c r="L383" s="28">
        <f t="shared" ref="L383" si="610">IF(K383&lt;=IF(MONTH($C383)=4,$I$3,IF(MONTH($C383)=5,$I$4,IF(MONTH($C383)=6,$I$5,IF(MONTH($C383)=7,$I$6,"ERROR")))),1,0)</f>
        <v>1</v>
      </c>
      <c r="M383" s="28">
        <f t="shared" ref="M383" si="611">VLOOKUP($A383,$L$3:$M$7,2,FALSE)</f>
        <v>0</v>
      </c>
      <c r="N383" s="30">
        <f>VLOOKUP($C383,COS!$B$8:$H$991,5,FALSE)</f>
        <v>15.700532913208008</v>
      </c>
      <c r="O383" s="30">
        <f t="shared" ref="O383:O386" si="612">N383*DAY($C383)*86400/43560/1000</f>
        <v>0.93424658657105497</v>
      </c>
      <c r="P383" s="30">
        <f>VLOOKUP($C383,COS!$B$8:$H$991,6,FALSE)</f>
        <v>254.50013732910156</v>
      </c>
      <c r="Q383" s="30">
        <f t="shared" ref="Q383:Q386" si="613">P383*DAY($C383)*86400/43560/1000</f>
        <v>15.143809824541581</v>
      </c>
      <c r="R383" s="30">
        <f>MIN(IF(MONTH($C383)=4,$S$3,IF(MONTH($C383)=5,$S$4,IF(MONTH($C383)=6,$S$5,IF(MONTH($C383)=7,$S$6,"ERROR")))),MAX(VLOOKUP($C383,COS!$B$8:$K$991,10,FALSE)-IF(MONTH($C383)=4,$Y$3,IF(MONTH($C383)=5,$Y$4,IF(MONTH($C383)=6,$Y$5,IF(MONTH($C383)=7,$Y$6,"ERROR")))),0),MAX(VLOOKUP($C383,COS!$B$8:$K$991,9,FALSE)-IF(MONTH($C383)=4,$V$3,IF(MONTH($C383)=5,$V$4,IF(MONTH($C383)=6,$V$5,IF(MONTH($C383)=7,$V$6,"ERROR"))))-VLOOKUP($C383,COS!$B$8:$K$991,6,FALSE)/2,0))</f>
        <v>1500</v>
      </c>
      <c r="S383" s="30">
        <f t="shared" ref="S383:S386" si="614">R383*DAY($C383)*86400/43560/1000</f>
        <v>89.256198347107429</v>
      </c>
      <c r="T383" s="30">
        <f t="shared" ref="T383:T386" si="615">(O383+Q383)/2+S383</f>
        <v>97.295226552663749</v>
      </c>
      <c r="U383" s="30" t="str">
        <f>IF(VLOOKUP($C383,COS!$B$8:$I$991,8,FALSE)=1,"UWFE","IBU")</f>
        <v>UWFE</v>
      </c>
      <c r="V383" s="30">
        <f t="shared" ref="V383" si="616">MIN(IF(IF($AA$3=2,AND(E383=1,G383=1,L383=1,L388=1,M383=1,U383="IBU"),AND(E383=1,G383=1,L383=1,L388=1,M383=1)),T383,0),I383)</f>
        <v>0</v>
      </c>
      <c r="W383" s="30"/>
      <c r="X383" s="30"/>
      <c r="Y383" s="30"/>
      <c r="Z383" s="30"/>
      <c r="AA383" s="30"/>
      <c r="AB383" s="31"/>
    </row>
    <row r="384" spans="1:28" x14ac:dyDescent="0.3">
      <c r="A384" s="32">
        <f>VLOOKUP(YEAR(C384),Flags!$A$13:$B$95,2,FALSE)</f>
        <v>1</v>
      </c>
      <c r="B384" s="24">
        <f t="shared" si="535"/>
        <v>1963</v>
      </c>
      <c r="C384" s="25">
        <v>23162</v>
      </c>
      <c r="D384" s="26">
        <f>VLOOKUP($C384,COS!$B$8:$H$991,3,FALSE)</f>
        <v>4724.07177734375</v>
      </c>
      <c r="E384" s="24">
        <f>IF(D384&gt;=IF(MONTH($C384)=4,$C$3,IF(MONTH($C384)=5,$C$4,IF(MONTH($C384)=6,$C$5,IF(MONTH($C384)=7,$C$6,"ERROR")))),1,0)</f>
        <v>0</v>
      </c>
      <c r="F384" s="26">
        <f>VLOOKUP($C384,COS!$B$8:$H$991,7,FALSE)</f>
        <v>52.657608032226563</v>
      </c>
      <c r="G384" s="24">
        <f>IF(F384&lt;=IF(MONTH($C384)=4,$F$3,IF(MONTH($C384)=5,$F$4,IF(MONTH($C384)=6,$F$5,IF(MONTH($C384)=7,$F$6,"ERROR")))),1,0)</f>
        <v>1</v>
      </c>
      <c r="H384" s="26">
        <f>IF(J384=1,D384-$C$4,0)</f>
        <v>0</v>
      </c>
      <c r="I384" s="26">
        <f t="shared" si="558"/>
        <v>0</v>
      </c>
      <c r="J384" s="24">
        <f t="shared" si="609"/>
        <v>0</v>
      </c>
      <c r="K384" s="26">
        <f>VLOOKUP($C384,COS!$B$8:$H$991,2,FALSE)</f>
        <v>4552</v>
      </c>
      <c r="L384" s="24">
        <f t="shared" si="537"/>
        <v>1</v>
      </c>
      <c r="M384" s="24">
        <f t="shared" si="538"/>
        <v>0</v>
      </c>
      <c r="N384" s="26">
        <f>VLOOKUP($C384,COS!$B$8:$H$991,5,FALSE)</f>
        <v>528.83221435546875</v>
      </c>
      <c r="O384" s="26">
        <f t="shared" si="612"/>
        <v>32.516625411608985</v>
      </c>
      <c r="P384" s="26">
        <f>VLOOKUP($C384,COS!$B$8:$H$991,6,FALSE)</f>
        <v>2086.376220703125</v>
      </c>
      <c r="Q384" s="26">
        <f t="shared" si="613"/>
        <v>128.28627340521695</v>
      </c>
      <c r="R384" s="26">
        <f>MIN(IF(MONTH($C384)=4,$S$3,IF(MONTH($C384)=5,$S$4,IF(MONTH($C384)=6,$S$5,IF(MONTH($C384)=7,$S$6,"ERROR")))),MAX(VLOOKUP($C384,COS!$B$8:$K$991,10,FALSE)-IF(MONTH($C384)=4,$Y$3,IF(MONTH($C384)=5,$Y$4,IF(MONTH($C384)=6,$Y$5,IF(MONTH($C384)=7,$Y$6,"ERROR")))),0),MAX(VLOOKUP($C384,COS!$B$8:$K$991,9,FALSE)-IF(MONTH($C384)=4,$V$3,IF(MONTH($C384)=5,$V$4,IF(MONTH($C384)=6,$V$5,IF(MONTH($C384)=7,$V$6,"ERROR"))))-VLOOKUP($C384,COS!$B$8:$K$991,6,FALSE)/2,0))</f>
        <v>1500</v>
      </c>
      <c r="S384" s="26">
        <f t="shared" si="614"/>
        <v>92.231404958677686</v>
      </c>
      <c r="T384" s="26">
        <f t="shared" si="615"/>
        <v>172.63285436709066</v>
      </c>
      <c r="U384" s="26" t="str">
        <f>IF(VLOOKUP($C384,COS!$B$8:$I$991,8,FALSE)=1,"UWFE","IBU")</f>
        <v>UWFE</v>
      </c>
      <c r="V384" s="26">
        <f t="shared" ref="V384" si="617">MIN(IF(IF($AA$3=2,AND(E384=1,G384=1,L384=1,L388=1,M384=1,U384="IBU"),AND(E384=1,G384=1,L384=1,L388=1,M384=1)),T384,0),I384)</f>
        <v>0</v>
      </c>
      <c r="W384" s="26"/>
      <c r="X384" s="26"/>
      <c r="Y384" s="26"/>
      <c r="Z384" s="26"/>
      <c r="AA384" s="26"/>
      <c r="AB384" s="33"/>
    </row>
    <row r="385" spans="1:28" x14ac:dyDescent="0.3">
      <c r="A385" s="32">
        <f>VLOOKUP(YEAR(C385),Flags!$A$13:$B$95,2,FALSE)</f>
        <v>1</v>
      </c>
      <c r="B385" s="24">
        <f t="shared" si="535"/>
        <v>1963</v>
      </c>
      <c r="C385" s="25">
        <v>23192</v>
      </c>
      <c r="D385" s="26">
        <f>VLOOKUP($C385,COS!$B$8:$H$991,3,FALSE)</f>
        <v>8594.71875</v>
      </c>
      <c r="E385" s="24">
        <f>IF(D385&gt;=IF(MONTH($C385)=4,$C$3,IF(MONTH($C385)=5,$C$4,IF(MONTH($C385)=6,$C$5,IF(MONTH($C385)=7,$C$6,"ERROR")))),1,0)</f>
        <v>0</v>
      </c>
      <c r="F385" s="26">
        <f>VLOOKUP($C385,COS!$B$8:$H$991,7,FALSE)</f>
        <v>52.543663024902344</v>
      </c>
      <c r="G385" s="24">
        <f>IF(F385&lt;=IF(MONTH($C385)=4,$F$3,IF(MONTH($C385)=5,$F$4,IF(MONTH($C385)=6,$F$5,IF(MONTH($C385)=7,$F$6,"ERROR")))),1,0)</f>
        <v>1</v>
      </c>
      <c r="H385" s="26">
        <f>IF(J385=1,D385-$C$5,0)</f>
        <v>0</v>
      </c>
      <c r="I385" s="26">
        <f t="shared" si="558"/>
        <v>0</v>
      </c>
      <c r="J385" s="24">
        <f t="shared" si="609"/>
        <v>0</v>
      </c>
      <c r="K385" s="26">
        <f>VLOOKUP($C385,COS!$B$8:$H$991,2,FALSE)</f>
        <v>4318.48828125</v>
      </c>
      <c r="L385" s="24">
        <f t="shared" si="537"/>
        <v>1</v>
      </c>
      <c r="M385" s="24">
        <f t="shared" si="538"/>
        <v>0</v>
      </c>
      <c r="N385" s="26">
        <f>VLOOKUP($C385,COS!$B$8:$H$991,5,FALSE)</f>
        <v>1228.4559326171875</v>
      </c>
      <c r="O385" s="26">
        <f t="shared" si="612"/>
        <v>73.098204254907031</v>
      </c>
      <c r="P385" s="26">
        <f>VLOOKUP($C385,COS!$B$8:$H$991,6,FALSE)</f>
        <v>2324.6142578125</v>
      </c>
      <c r="Q385" s="26">
        <f t="shared" si="613"/>
        <v>138.3241541838843</v>
      </c>
      <c r="R385" s="26">
        <f>MIN(IF(MONTH($C385)=4,$S$3,IF(MONTH($C385)=5,$S$4,IF(MONTH($C385)=6,$S$5,IF(MONTH($C385)=7,$S$6,"ERROR")))),MAX(VLOOKUP($C385,COS!$B$8:$K$991,10,FALSE)-IF(MONTH($C385)=4,$Y$3,IF(MONTH($C385)=5,$Y$4,IF(MONTH($C385)=6,$Y$5,IF(MONTH($C385)=7,$Y$6,"ERROR")))),0),MAX(VLOOKUP($C385,COS!$B$8:$K$991,9,FALSE)-IF(MONTH($C385)=4,$V$3,IF(MONTH($C385)=5,$V$4,IF(MONTH($C385)=6,$V$5,IF(MONTH($C385)=7,$V$6,"ERROR"))))-VLOOKUP($C385,COS!$B$8:$K$991,6,FALSE)/2,0))</f>
        <v>1500</v>
      </c>
      <c r="S385" s="26">
        <f t="shared" si="614"/>
        <v>89.256198347107429</v>
      </c>
      <c r="T385" s="26">
        <f t="shared" si="615"/>
        <v>194.9673775665031</v>
      </c>
      <c r="U385" s="26" t="str">
        <f>IF(VLOOKUP($C385,COS!$B$8:$I$991,8,FALSE)=1,"UWFE","IBU")</f>
        <v>IBU</v>
      </c>
      <c r="V385" s="26">
        <f t="shared" ref="V385" si="618">MIN(IF(IF($AA$3=2,AND(E385=1,G385=1,L385=1,L388=1,M385=1,U385="IBU"),AND(E385=1,G385=1,L385=1,L388=1,M385=1)),T385,0),I385)</f>
        <v>0</v>
      </c>
      <c r="W385" s="26"/>
      <c r="X385" s="26"/>
      <c r="Y385" s="26"/>
      <c r="Z385" s="26"/>
      <c r="AA385" s="26"/>
      <c r="AB385" s="33"/>
    </row>
    <row r="386" spans="1:28" x14ac:dyDescent="0.3">
      <c r="A386" s="32">
        <f>VLOOKUP(YEAR(C386),Flags!$A$13:$B$95,2,FALSE)</f>
        <v>1</v>
      </c>
      <c r="B386" s="24">
        <f t="shared" si="535"/>
        <v>1963</v>
      </c>
      <c r="C386" s="25">
        <v>23223</v>
      </c>
      <c r="D386" s="26">
        <f>VLOOKUP($C386,COS!$B$8:$H$991,3,FALSE)</f>
        <v>16000</v>
      </c>
      <c r="E386" s="24">
        <f>IF(D386&gt;=IF(MONTH($C386)=4,$C$3,IF(MONTH($C386)=5,$C$4,IF(MONTH($C386)=6,$C$5,IF(MONTH($C386)=7,$C$6,"ERROR")))),1,0)</f>
        <v>1</v>
      </c>
      <c r="F386" s="26">
        <f>VLOOKUP($C386,COS!$B$8:$H$991,7,FALSE)</f>
        <v>52.109561920166016</v>
      </c>
      <c r="G386" s="24">
        <f>IF(F386&lt;=IF(MONTH($C386)=4,$F$3,IF(MONTH($C386)=5,$F$4,IF(MONTH($C386)=6,$F$5,IF(MONTH($C386)=7,$F$6,"ERROR")))),1,0)</f>
        <v>1</v>
      </c>
      <c r="H386" s="26">
        <f>IF(J386=1,D386-$C$6,0)</f>
        <v>4000</v>
      </c>
      <c r="I386" s="26">
        <f t="shared" si="558"/>
        <v>245.95041322314049</v>
      </c>
      <c r="J386" s="24">
        <f t="shared" si="609"/>
        <v>1</v>
      </c>
      <c r="K386" s="26">
        <f>VLOOKUP($C386,COS!$B$8:$H$991,2,FALSE)</f>
        <v>3649.526611328125</v>
      </c>
      <c r="L386" s="24">
        <f t="shared" si="537"/>
        <v>1</v>
      </c>
      <c r="M386" s="24">
        <f t="shared" si="538"/>
        <v>0</v>
      </c>
      <c r="N386" s="26">
        <f>VLOOKUP($C386,COS!$B$8:$H$991,5,FALSE)</f>
        <v>1381.7017822265625</v>
      </c>
      <c r="O386" s="26">
        <f t="shared" si="612"/>
        <v>84.957531072443174</v>
      </c>
      <c r="P386" s="26">
        <f>VLOOKUP($C386,COS!$B$8:$H$991,6,FALSE)</f>
        <v>2521.474853515625</v>
      </c>
      <c r="Q386" s="26">
        <f t="shared" si="613"/>
        <v>155.0394455384814</v>
      </c>
      <c r="R386" s="26">
        <f>MIN(IF(MONTH($C386)=4,$S$3,IF(MONTH($C386)=5,$S$4,IF(MONTH($C386)=6,$S$5,IF(MONTH($C386)=7,$S$6,"ERROR")))),MAX(VLOOKUP($C386,COS!$B$8:$K$991,10,FALSE)-IF(MONTH($C386)=4,$Y$3,IF(MONTH($C386)=5,$Y$4,IF(MONTH($C386)=6,$Y$5,IF(MONTH($C386)=7,$Y$6,"ERROR")))),0),MAX(VLOOKUP($C386,COS!$B$8:$K$991,9,FALSE)-IF(MONTH($C386)=4,$V$3,IF(MONTH($C386)=5,$V$4,IF(MONTH($C386)=6,$V$5,IF(MONTH($C386)=7,$V$6,"ERROR"))))-VLOOKUP($C386,COS!$B$8:$K$991,6,FALSE)/2,0))</f>
        <v>1500</v>
      </c>
      <c r="S386" s="26">
        <f t="shared" si="614"/>
        <v>92.231404958677686</v>
      </c>
      <c r="T386" s="26">
        <f t="shared" si="615"/>
        <v>212.22989326413997</v>
      </c>
      <c r="U386" s="26" t="str">
        <f>IF(VLOOKUP($C386,COS!$B$8:$I$991,8,FALSE)=1,"UWFE","IBU")</f>
        <v>IBU</v>
      </c>
      <c r="V386" s="26">
        <f t="shared" ref="V386" si="619">MIN(IF(IF($AA$3=2,AND(E386=1,G386=1,L386=1,L388=1,M386=1,U386="IBU"),AND(E386=1,G386=1,L386=1,L388=1,M386=1)),T386,0),I386)</f>
        <v>0</v>
      </c>
      <c r="W386" s="26"/>
      <c r="X386" s="26"/>
      <c r="Y386" s="26"/>
      <c r="Z386" s="26"/>
      <c r="AA386" s="26"/>
      <c r="AB386" s="33"/>
    </row>
    <row r="387" spans="1:28" x14ac:dyDescent="0.3">
      <c r="A387" s="32">
        <f>VLOOKUP(YEAR(C387),Flags!$A$13:$B$95,2,FALSE)</f>
        <v>1</v>
      </c>
      <c r="B387" s="24">
        <f t="shared" si="535"/>
        <v>1963</v>
      </c>
      <c r="C387" s="25">
        <v>23254</v>
      </c>
      <c r="D387" s="26"/>
      <c r="E387" s="24"/>
      <c r="F387" s="26"/>
      <c r="G387" s="24"/>
      <c r="H387" s="24"/>
      <c r="I387" s="26"/>
      <c r="J387" s="24"/>
      <c r="K387" s="26"/>
      <c r="L387" s="24"/>
      <c r="M387" s="24"/>
      <c r="N387" s="26"/>
      <c r="O387" s="26"/>
      <c r="P387" s="26"/>
      <c r="Q387" s="26"/>
      <c r="R387" s="26"/>
      <c r="S387" s="26"/>
      <c r="T387" s="26"/>
      <c r="U387" s="26"/>
      <c r="V387" s="26"/>
      <c r="W387" s="26">
        <f>MAX($C$7-VLOOKUP($C387,COS!$B$8:$H$991,3,FALSE),0)</f>
        <v>89286.853515625</v>
      </c>
      <c r="X387" s="26">
        <f t="shared" si="562"/>
        <v>5490.0346293904959</v>
      </c>
      <c r="Y387" s="26">
        <f>VLOOKUP($C387,COS!$B$8:$H$991,4,FALSE)</f>
        <v>0</v>
      </c>
      <c r="Z387" s="26">
        <f t="shared" si="563"/>
        <v>0</v>
      </c>
      <c r="AA387" s="26">
        <f t="shared" ref="AA387:AA391" si="620">MIN(W387,Y387)</f>
        <v>0</v>
      </c>
      <c r="AB387" s="33">
        <f t="shared" ref="AB387" si="621">AA387*DAY($C387)*86400/43560/1000*IF(MONTH($C387)=8,$P$3,IF(MONTH($C387)=9,$P$4,IF(MONTH($C387)=10,$P$5,IF(MONTH($C387)=11,$P$6,IF(MONTH($C387)=12,$P$7,NA())))))</f>
        <v>0</v>
      </c>
    </row>
    <row r="388" spans="1:28" x14ac:dyDescent="0.3">
      <c r="A388" s="32">
        <f>VLOOKUP(YEAR(C388),Flags!$A$13:$B$95,2,FALSE)</f>
        <v>1</v>
      </c>
      <c r="B388" s="24">
        <f t="shared" si="535"/>
        <v>1963</v>
      </c>
      <c r="C388" s="25">
        <v>23284</v>
      </c>
      <c r="D388" s="26"/>
      <c r="E388" s="24"/>
      <c r="F388" s="26"/>
      <c r="G388" s="24"/>
      <c r="H388" s="24"/>
      <c r="I388" s="26"/>
      <c r="J388" s="24"/>
      <c r="K388" s="26">
        <f>VLOOKUP($C388,COS!$B$8:$H$991,2,FALSE)</f>
        <v>2718.105712890625</v>
      </c>
      <c r="L388" s="24">
        <f t="shared" ref="L388" si="622">IF(AND(K388&gt;$I$7,K388&lt;$I$8),1,0)</f>
        <v>1</v>
      </c>
      <c r="M388" s="24"/>
      <c r="N388" s="26"/>
      <c r="O388" s="26"/>
      <c r="P388" s="26"/>
      <c r="Q388" s="26"/>
      <c r="R388" s="26"/>
      <c r="S388" s="26"/>
      <c r="T388" s="26"/>
      <c r="U388" s="26"/>
      <c r="V388" s="26"/>
      <c r="W388" s="26">
        <f>MAX($C$8-VLOOKUP($C388,COS!$B$8:$H$991,3,FALSE),0)</f>
        <v>84976.9580078125</v>
      </c>
      <c r="X388" s="26">
        <f t="shared" si="562"/>
        <v>5056.4801459194214</v>
      </c>
      <c r="Y388" s="26">
        <f>VLOOKUP($C388,COS!$B$8:$H$991,4,FALSE)</f>
        <v>0</v>
      </c>
      <c r="Z388" s="26">
        <f t="shared" si="563"/>
        <v>0</v>
      </c>
      <c r="AA388" s="26">
        <f t="shared" si="620"/>
        <v>0</v>
      </c>
      <c r="AB388" s="33">
        <f t="shared" si="548"/>
        <v>0</v>
      </c>
    </row>
    <row r="389" spans="1:28" x14ac:dyDescent="0.3">
      <c r="A389" s="32">
        <f>VLOOKUP(YEAR(C389),Flags!$A$13:$B$95,2,FALSE)</f>
        <v>1</v>
      </c>
      <c r="B389" s="24">
        <f t="shared" si="535"/>
        <v>1963</v>
      </c>
      <c r="C389" s="25">
        <v>23315</v>
      </c>
      <c r="D389" s="26"/>
      <c r="E389" s="24"/>
      <c r="F389" s="26"/>
      <c r="G389" s="26"/>
      <c r="H389" s="26"/>
      <c r="I389" s="26"/>
      <c r="J389" s="26"/>
      <c r="K389" s="26"/>
      <c r="L389" s="24"/>
      <c r="M389" s="24"/>
      <c r="N389" s="26"/>
      <c r="O389" s="26"/>
      <c r="P389" s="26"/>
      <c r="Q389" s="26"/>
      <c r="R389" s="26"/>
      <c r="S389" s="26"/>
      <c r="T389" s="26"/>
      <c r="U389" s="26"/>
      <c r="V389" s="26"/>
      <c r="W389" s="26">
        <f>MAX($C$9-VLOOKUP($C389,COS!$B$8:$H$991,3,FALSE),0)</f>
        <v>92588.90966796875</v>
      </c>
      <c r="X389" s="26">
        <f t="shared" si="562"/>
        <v>5693.0701481792357</v>
      </c>
      <c r="Y389" s="26">
        <f>VLOOKUP($C389,COS!$B$8:$H$991,4,FALSE)</f>
        <v>1189.5572509765625</v>
      </c>
      <c r="Z389" s="26">
        <f t="shared" si="563"/>
        <v>73.143024357567143</v>
      </c>
      <c r="AA389" s="26">
        <f t="shared" si="620"/>
        <v>1189.5572509765625</v>
      </c>
      <c r="AB389" s="33">
        <f t="shared" si="548"/>
        <v>73.143024357567143</v>
      </c>
    </row>
    <row r="390" spans="1:28" x14ac:dyDescent="0.3">
      <c r="A390" s="32">
        <f>VLOOKUP(YEAR(C390),Flags!$A$13:$B$95,2,FALSE)</f>
        <v>1</v>
      </c>
      <c r="B390" s="24">
        <f t="shared" si="535"/>
        <v>1963</v>
      </c>
      <c r="C390" s="25">
        <v>23345</v>
      </c>
      <c r="D390" s="26"/>
      <c r="E390" s="24"/>
      <c r="F390" s="26"/>
      <c r="G390" s="26"/>
      <c r="H390" s="26"/>
      <c r="I390" s="26"/>
      <c r="J390" s="26"/>
      <c r="K390" s="26"/>
      <c r="L390" s="24"/>
      <c r="M390" s="24"/>
      <c r="N390" s="26"/>
      <c r="O390" s="26"/>
      <c r="P390" s="26"/>
      <c r="Q390" s="26"/>
      <c r="R390" s="26"/>
      <c r="S390" s="26"/>
      <c r="T390" s="26"/>
      <c r="U390" s="26"/>
      <c r="V390" s="26"/>
      <c r="W390" s="26">
        <f>MAX($C$10-VLOOKUP($C390,COS!$B$8:$H$991,3,FALSE),0)</f>
        <v>93790.83056640625</v>
      </c>
      <c r="X390" s="26">
        <f t="shared" si="562"/>
        <v>5580.9419841167355</v>
      </c>
      <c r="Y390" s="26">
        <f>VLOOKUP($C390,COS!$B$8:$H$991,4,FALSE)</f>
        <v>1109.0794677734375</v>
      </c>
      <c r="Z390" s="26">
        <f t="shared" si="563"/>
        <v>65.994811305526866</v>
      </c>
      <c r="AA390" s="26">
        <f t="shared" si="620"/>
        <v>1109.0794677734375</v>
      </c>
      <c r="AB390" s="33">
        <f t="shared" si="548"/>
        <v>32.997405652763433</v>
      </c>
    </row>
    <row r="391" spans="1:28" x14ac:dyDescent="0.3">
      <c r="A391" s="34">
        <f>VLOOKUP(YEAR(C391),Flags!$A$13:$B$95,2,FALSE)</f>
        <v>1</v>
      </c>
      <c r="B391" s="35">
        <f t="shared" si="535"/>
        <v>1963</v>
      </c>
      <c r="C391" s="36">
        <v>23376</v>
      </c>
      <c r="D391" s="37"/>
      <c r="E391" s="35"/>
      <c r="F391" s="37"/>
      <c r="G391" s="37"/>
      <c r="H391" s="37"/>
      <c r="I391" s="37"/>
      <c r="J391" s="37"/>
      <c r="K391" s="37"/>
      <c r="L391" s="35"/>
      <c r="M391" s="35"/>
      <c r="N391" s="37"/>
      <c r="O391" s="37"/>
      <c r="P391" s="37"/>
      <c r="Q391" s="37"/>
      <c r="R391" s="37"/>
      <c r="S391" s="37"/>
      <c r="T391" s="37"/>
      <c r="U391" s="37"/>
      <c r="V391" s="37"/>
      <c r="W391" s="37">
        <f>MAX($C$11-VLOOKUP($C391,COS!$B$8:$H$991,3,FALSE),0)</f>
        <v>0</v>
      </c>
      <c r="X391" s="37">
        <f t="shared" si="562"/>
        <v>0</v>
      </c>
      <c r="Y391" s="37">
        <f>VLOOKUP($C391,COS!$B$8:$H$991,4,FALSE)</f>
        <v>347.96035766601563</v>
      </c>
      <c r="Z391" s="37">
        <f t="shared" si="563"/>
        <v>21.395248438307078</v>
      </c>
      <c r="AA391" s="37">
        <f t="shared" si="620"/>
        <v>0</v>
      </c>
      <c r="AB391" s="38">
        <f t="shared" si="548"/>
        <v>0</v>
      </c>
    </row>
    <row r="392" spans="1:28" x14ac:dyDescent="0.3">
      <c r="A392" s="27">
        <f>VLOOKUP(YEAR(C392),Flags!$A$13:$B$95,2,FALSE)</f>
        <v>4</v>
      </c>
      <c r="B392" s="28">
        <f t="shared" si="535"/>
        <v>1964</v>
      </c>
      <c r="C392" s="29">
        <v>23497</v>
      </c>
      <c r="D392" s="30">
        <f>VLOOKUP($C392,COS!$B$8:$H$991,3,FALSE)</f>
        <v>6091.94580078125</v>
      </c>
      <c r="E392" s="28">
        <f>IF(D392&gt;=IF(MONTH($C392)=4,$C$3,IF(MONTH($C392)=5,$C$4,IF(MONTH($C392)=6,$C$5,IF(MONTH($C392)=7,$C$6,"ERROR")))),1,0)</f>
        <v>1</v>
      </c>
      <c r="F392" s="30">
        <f>VLOOKUP($C392,COS!$B$8:$H$991,7,FALSE)</f>
        <v>49.550472259521484</v>
      </c>
      <c r="G392" s="28">
        <f>IF(F392&lt;=IF(MONTH($C392)=4,$F$3,IF(MONTH($C392)=5,$F$4,IF(MONTH($C392)=6,$F$5,IF(MONTH($C392)=7,$F$6,"ERROR")))),1,0)</f>
        <v>1</v>
      </c>
      <c r="H392" s="30">
        <f>IF(J392=1,D392-$C$3,0)</f>
        <v>91.94580078125</v>
      </c>
      <c r="I392" s="30">
        <f t="shared" si="558"/>
        <v>5.4711550878099171</v>
      </c>
      <c r="J392" s="28">
        <f t="shared" ref="J392:J395" si="623">IF(AND(E392=1,G392=1),1,0)</f>
        <v>1</v>
      </c>
      <c r="K392" s="30">
        <f>VLOOKUP($C392,COS!$B$8:$H$991,2,FALSE)</f>
        <v>3746.64306640625</v>
      </c>
      <c r="L392" s="28">
        <f t="shared" ref="L392" si="624">IF(K392&lt;=IF(MONTH($C392)=4,$I$3,IF(MONTH($C392)=5,$I$4,IF(MONTH($C392)=6,$I$5,IF(MONTH($C392)=7,$I$6,"ERROR")))),1,0)</f>
        <v>1</v>
      </c>
      <c r="M392" s="28">
        <f t="shared" ref="M392" si="625">VLOOKUP($A392,$L$3:$M$7,2,FALSE)</f>
        <v>1</v>
      </c>
      <c r="N392" s="30">
        <f>VLOOKUP($C392,COS!$B$8:$H$991,5,FALSE)</f>
        <v>316.77880859375</v>
      </c>
      <c r="O392" s="30">
        <f t="shared" ref="O392:O395" si="626">N392*DAY($C392)*86400/43560/1000</f>
        <v>18.849648114669421</v>
      </c>
      <c r="P392" s="30">
        <f>VLOOKUP($C392,COS!$B$8:$H$991,6,FALSE)</f>
        <v>564.8997802734375</v>
      </c>
      <c r="Q392" s="30">
        <f t="shared" ref="Q392:Q395" si="627">P392*DAY($C392)*86400/43560/1000</f>
        <v>33.613871222882231</v>
      </c>
      <c r="R392" s="30">
        <f>MIN(IF(MONTH($C392)=4,$S$3,IF(MONTH($C392)=5,$S$4,IF(MONTH($C392)=6,$S$5,IF(MONTH($C392)=7,$S$6,"ERROR")))),MAX(VLOOKUP($C392,COS!$B$8:$K$991,10,FALSE)-IF(MONTH($C392)=4,$Y$3,IF(MONTH($C392)=5,$Y$4,IF(MONTH($C392)=6,$Y$5,IF(MONTH($C392)=7,$Y$6,"ERROR")))),0),MAX(VLOOKUP($C392,COS!$B$8:$K$991,9,FALSE)-IF(MONTH($C392)=4,$V$3,IF(MONTH($C392)=5,$V$4,IF(MONTH($C392)=6,$V$5,IF(MONTH($C392)=7,$V$6,"ERROR"))))-VLOOKUP($C392,COS!$B$8:$K$991,6,FALSE)/2,0))</f>
        <v>1500</v>
      </c>
      <c r="S392" s="30">
        <f t="shared" ref="S392:S395" si="628">R392*DAY($C392)*86400/43560/1000</f>
        <v>89.256198347107429</v>
      </c>
      <c r="T392" s="30">
        <f t="shared" ref="T392:T395" si="629">(O392+Q392)/2+S392</f>
        <v>115.48795801588325</v>
      </c>
      <c r="U392" s="30" t="str">
        <f>IF(VLOOKUP($C392,COS!$B$8:$I$991,8,FALSE)=1,"UWFE","IBU")</f>
        <v>UWFE</v>
      </c>
      <c r="V392" s="30">
        <f t="shared" ref="V392" si="630">MIN(IF(IF($AA$3=2,AND(E392=1,G392=1,L392=1,L397=1,M392=1,U392="IBU"),AND(E392=1,G392=1,L392=1,L397=1,M392=1)),T392,0),I392)</f>
        <v>5.4711550878099171</v>
      </c>
      <c r="W392" s="30"/>
      <c r="X392" s="30"/>
      <c r="Y392" s="30"/>
      <c r="Z392" s="30"/>
      <c r="AA392" s="30"/>
      <c r="AB392" s="31"/>
    </row>
    <row r="393" spans="1:28" x14ac:dyDescent="0.3">
      <c r="A393" s="32">
        <f>VLOOKUP(YEAR(C393),Flags!$A$13:$B$95,2,FALSE)</f>
        <v>4</v>
      </c>
      <c r="B393" s="24">
        <f t="shared" si="535"/>
        <v>1964</v>
      </c>
      <c r="C393" s="25">
        <v>23528</v>
      </c>
      <c r="D393" s="26">
        <f>VLOOKUP($C393,COS!$B$8:$H$991,3,FALSE)</f>
        <v>6700.63427734375</v>
      </c>
      <c r="E393" s="24">
        <f>IF(D393&gt;=IF(MONTH($C393)=4,$C$3,IF(MONTH($C393)=5,$C$4,IF(MONTH($C393)=6,$C$5,IF(MONTH($C393)=7,$C$6,"ERROR")))),1,0)</f>
        <v>1</v>
      </c>
      <c r="F393" s="26">
        <f>VLOOKUP($C393,COS!$B$8:$H$991,7,FALSE)</f>
        <v>50.719039916992188</v>
      </c>
      <c r="G393" s="24">
        <f>IF(F393&lt;=IF(MONTH($C393)=4,$F$3,IF(MONTH($C393)=5,$F$4,IF(MONTH($C393)=6,$F$5,IF(MONTH($C393)=7,$F$6,"ERROR")))),1,0)</f>
        <v>1</v>
      </c>
      <c r="H393" s="26">
        <f>IF(J393=1,D393-$C$4,0)</f>
        <v>700.63427734375</v>
      </c>
      <c r="I393" s="26">
        <f t="shared" si="558"/>
        <v>43.080322507747937</v>
      </c>
      <c r="J393" s="24">
        <f t="shared" si="623"/>
        <v>1</v>
      </c>
      <c r="K393" s="26">
        <f>VLOOKUP($C393,COS!$B$8:$H$991,2,FALSE)</f>
        <v>3609.5830078125</v>
      </c>
      <c r="L393" s="24">
        <f t="shared" si="537"/>
        <v>1</v>
      </c>
      <c r="M393" s="24">
        <f t="shared" si="538"/>
        <v>1</v>
      </c>
      <c r="N393" s="26">
        <f>VLOOKUP($C393,COS!$B$8:$H$991,5,FALSE)</f>
        <v>332.74734497070313</v>
      </c>
      <c r="O393" s="26">
        <f t="shared" si="626"/>
        <v>20.459836748611828</v>
      </c>
      <c r="P393" s="26">
        <f>VLOOKUP($C393,COS!$B$8:$H$991,6,FALSE)</f>
        <v>2309.841796875</v>
      </c>
      <c r="Q393" s="26">
        <f t="shared" si="627"/>
        <v>142.02663610537189</v>
      </c>
      <c r="R393" s="26">
        <f>MIN(IF(MONTH($C393)=4,$S$3,IF(MONTH($C393)=5,$S$4,IF(MONTH($C393)=6,$S$5,IF(MONTH($C393)=7,$S$6,"ERROR")))),MAX(VLOOKUP($C393,COS!$B$8:$K$991,10,FALSE)-IF(MONTH($C393)=4,$Y$3,IF(MONTH($C393)=5,$Y$4,IF(MONTH($C393)=6,$Y$5,IF(MONTH($C393)=7,$Y$6,"ERROR")))),0),MAX(VLOOKUP($C393,COS!$B$8:$K$991,9,FALSE)-IF(MONTH($C393)=4,$V$3,IF(MONTH($C393)=5,$V$4,IF(MONTH($C393)=6,$V$5,IF(MONTH($C393)=7,$V$6,"ERROR"))))-VLOOKUP($C393,COS!$B$8:$K$991,6,FALSE)/2,0))</f>
        <v>1500</v>
      </c>
      <c r="S393" s="26">
        <f t="shared" si="628"/>
        <v>92.231404958677686</v>
      </c>
      <c r="T393" s="26">
        <f t="shared" si="629"/>
        <v>173.47464138566954</v>
      </c>
      <c r="U393" s="26" t="str">
        <f>IF(VLOOKUP($C393,COS!$B$8:$I$991,8,FALSE)=1,"UWFE","IBU")</f>
        <v>UWFE</v>
      </c>
      <c r="V393" s="26">
        <f t="shared" ref="V393" si="631">MIN(IF(IF($AA$3=2,AND(E393=1,G393=1,L393=1,L397=1,M393=1,U393="IBU"),AND(E393=1,G393=1,L393=1,L397=1,M393=1)),T393,0),I393)</f>
        <v>43.080322507747937</v>
      </c>
      <c r="W393" s="26"/>
      <c r="X393" s="26"/>
      <c r="Y393" s="26"/>
      <c r="Z393" s="26"/>
      <c r="AA393" s="26"/>
      <c r="AB393" s="33"/>
    </row>
    <row r="394" spans="1:28" x14ac:dyDescent="0.3">
      <c r="A394" s="32">
        <f>VLOOKUP(YEAR(C394),Flags!$A$13:$B$95,2,FALSE)</f>
        <v>4</v>
      </c>
      <c r="B394" s="24">
        <f t="shared" si="535"/>
        <v>1964</v>
      </c>
      <c r="C394" s="25">
        <v>23558</v>
      </c>
      <c r="D394" s="26">
        <f>VLOOKUP($C394,COS!$B$8:$H$991,3,FALSE)</f>
        <v>8947.9150390625</v>
      </c>
      <c r="E394" s="24">
        <f>IF(D394&gt;=IF(MONTH($C394)=4,$C$3,IF(MONTH($C394)=5,$C$4,IF(MONTH($C394)=6,$C$5,IF(MONTH($C394)=7,$C$6,"ERROR")))),1,0)</f>
        <v>0</v>
      </c>
      <c r="F394" s="26">
        <f>VLOOKUP($C394,COS!$B$8:$H$991,7,FALSE)</f>
        <v>51.899105072021484</v>
      </c>
      <c r="G394" s="24">
        <f>IF(F394&lt;=IF(MONTH($C394)=4,$F$3,IF(MONTH($C394)=5,$F$4,IF(MONTH($C394)=6,$F$5,IF(MONTH($C394)=7,$F$6,"ERROR")))),1,0)</f>
        <v>1</v>
      </c>
      <c r="H394" s="26">
        <f>IF(J394=1,D394-$C$5,0)</f>
        <v>0</v>
      </c>
      <c r="I394" s="26">
        <f t="shared" si="558"/>
        <v>0</v>
      </c>
      <c r="J394" s="24">
        <f t="shared" si="623"/>
        <v>0</v>
      </c>
      <c r="K394" s="26">
        <f>VLOOKUP($C394,COS!$B$8:$H$991,2,FALSE)</f>
        <v>3402.844970703125</v>
      </c>
      <c r="L394" s="24">
        <f t="shared" si="537"/>
        <v>1</v>
      </c>
      <c r="M394" s="24">
        <f t="shared" si="538"/>
        <v>1</v>
      </c>
      <c r="N394" s="26">
        <f>VLOOKUP($C394,COS!$B$8:$H$991,5,FALSE)</f>
        <v>359.117431640625</v>
      </c>
      <c r="O394" s="26">
        <f t="shared" si="626"/>
        <v>21.368971138946282</v>
      </c>
      <c r="P394" s="26">
        <f>VLOOKUP($C394,COS!$B$8:$H$991,6,FALSE)</f>
        <v>2607.746826171875</v>
      </c>
      <c r="Q394" s="26">
        <f t="shared" si="627"/>
        <v>155.17171197055785</v>
      </c>
      <c r="R394" s="26">
        <f>MIN(IF(MONTH($C394)=4,$S$3,IF(MONTH($C394)=5,$S$4,IF(MONTH($C394)=6,$S$5,IF(MONTH($C394)=7,$S$6,"ERROR")))),MAX(VLOOKUP($C394,COS!$B$8:$K$991,10,FALSE)-IF(MONTH($C394)=4,$Y$3,IF(MONTH($C394)=5,$Y$4,IF(MONTH($C394)=6,$Y$5,IF(MONTH($C394)=7,$Y$6,"ERROR")))),0),MAX(VLOOKUP($C394,COS!$B$8:$K$991,9,FALSE)-IF(MONTH($C394)=4,$V$3,IF(MONTH($C394)=5,$V$4,IF(MONTH($C394)=6,$V$5,IF(MONTH($C394)=7,$V$6,"ERROR"))))-VLOOKUP($C394,COS!$B$8:$K$991,6,FALSE)/2,0))</f>
        <v>1500</v>
      </c>
      <c r="S394" s="26">
        <f t="shared" si="628"/>
        <v>89.256198347107429</v>
      </c>
      <c r="T394" s="26">
        <f t="shared" si="629"/>
        <v>177.52653990185951</v>
      </c>
      <c r="U394" s="26" t="str">
        <f>IF(VLOOKUP($C394,COS!$B$8:$I$991,8,FALSE)=1,"UWFE","IBU")</f>
        <v>IBU</v>
      </c>
      <c r="V394" s="26">
        <f t="shared" ref="V394" si="632">MIN(IF(IF($AA$3=2,AND(E394=1,G394=1,L394=1,L397=1,M394=1,U394="IBU"),AND(E394=1,G394=1,L394=1,L397=1,M394=1)),T394,0),I394)</f>
        <v>0</v>
      </c>
      <c r="W394" s="26"/>
      <c r="X394" s="26"/>
      <c r="Y394" s="26"/>
      <c r="Z394" s="26"/>
      <c r="AA394" s="26"/>
      <c r="AB394" s="33"/>
    </row>
    <row r="395" spans="1:28" x14ac:dyDescent="0.3">
      <c r="A395" s="32">
        <f>VLOOKUP(YEAR(C395),Flags!$A$13:$B$95,2,FALSE)</f>
        <v>4</v>
      </c>
      <c r="B395" s="24">
        <f t="shared" si="535"/>
        <v>1964</v>
      </c>
      <c r="C395" s="25">
        <v>23589</v>
      </c>
      <c r="D395" s="26">
        <f>VLOOKUP($C395,COS!$B$8:$H$991,3,FALSE)</f>
        <v>14511.1044921875</v>
      </c>
      <c r="E395" s="24">
        <f>IF(D395&gt;=IF(MONTH($C395)=4,$C$3,IF(MONTH($C395)=5,$C$4,IF(MONTH($C395)=6,$C$5,IF(MONTH($C395)=7,$C$6,"ERROR")))),1,0)</f>
        <v>1</v>
      </c>
      <c r="F395" s="26">
        <f>VLOOKUP($C395,COS!$B$8:$H$991,7,FALSE)</f>
        <v>52.263500213623047</v>
      </c>
      <c r="G395" s="24">
        <f>IF(F395&lt;=IF(MONTH($C395)=4,$F$3,IF(MONTH($C395)=5,$F$4,IF(MONTH($C395)=6,$F$5,IF(MONTH($C395)=7,$F$6,"ERROR")))),1,0)</f>
        <v>1</v>
      </c>
      <c r="H395" s="26">
        <f>IF(J395=1,D395-$C$6,0)</f>
        <v>2511.1044921875</v>
      </c>
      <c r="I395" s="26">
        <f t="shared" si="558"/>
        <v>154.401796875</v>
      </c>
      <c r="J395" s="24">
        <f t="shared" si="623"/>
        <v>1</v>
      </c>
      <c r="K395" s="26">
        <f>VLOOKUP($C395,COS!$B$8:$H$991,2,FALSE)</f>
        <v>2786.120361328125</v>
      </c>
      <c r="L395" s="24">
        <f t="shared" si="537"/>
        <v>1</v>
      </c>
      <c r="M395" s="24">
        <f t="shared" si="538"/>
        <v>1</v>
      </c>
      <c r="N395" s="26">
        <f>VLOOKUP($C395,COS!$B$8:$H$991,5,FALSE)</f>
        <v>422.46829223632813</v>
      </c>
      <c r="O395" s="26">
        <f t="shared" si="626"/>
        <v>25.976562762299842</v>
      </c>
      <c r="P395" s="26">
        <f>VLOOKUP($C395,COS!$B$8:$H$991,6,FALSE)</f>
        <v>2533.61962890625</v>
      </c>
      <c r="Q395" s="26">
        <f t="shared" si="627"/>
        <v>155.78619866993802</v>
      </c>
      <c r="R395" s="26">
        <f>MIN(IF(MONTH($C395)=4,$S$3,IF(MONTH($C395)=5,$S$4,IF(MONTH($C395)=6,$S$5,IF(MONTH($C395)=7,$S$6,"ERROR")))),MAX(VLOOKUP($C395,COS!$B$8:$K$991,10,FALSE)-IF(MONTH($C395)=4,$Y$3,IF(MONTH($C395)=5,$Y$4,IF(MONTH($C395)=6,$Y$5,IF(MONTH($C395)=7,$Y$6,"ERROR")))),0),MAX(VLOOKUP($C395,COS!$B$8:$K$991,9,FALSE)-IF(MONTH($C395)=4,$V$3,IF(MONTH($C395)=5,$V$4,IF(MONTH($C395)=6,$V$5,IF(MONTH($C395)=7,$V$6,"ERROR"))))-VLOOKUP($C395,COS!$B$8:$K$991,6,FALSE)/2,0))</f>
        <v>1500</v>
      </c>
      <c r="S395" s="26">
        <f t="shared" si="628"/>
        <v>92.231404958677686</v>
      </c>
      <c r="T395" s="26">
        <f t="shared" si="629"/>
        <v>183.11278567479661</v>
      </c>
      <c r="U395" s="26" t="str">
        <f>IF(VLOOKUP($C395,COS!$B$8:$I$991,8,FALSE)=1,"UWFE","IBU")</f>
        <v>IBU</v>
      </c>
      <c r="V395" s="26">
        <f t="shared" ref="V395" si="633">MIN(IF(IF($AA$3=2,AND(E395=1,G395=1,L395=1,L397=1,M395=1,U395="IBU"),AND(E395=1,G395=1,L395=1,L397=1,M395=1)),T395,0),I395)</f>
        <v>154.401796875</v>
      </c>
      <c r="W395" s="26"/>
      <c r="X395" s="26"/>
      <c r="Y395" s="26"/>
      <c r="Z395" s="26"/>
      <c r="AA395" s="26"/>
      <c r="AB395" s="33"/>
    </row>
    <row r="396" spans="1:28" x14ac:dyDescent="0.3">
      <c r="A396" s="32">
        <f>VLOOKUP(YEAR(C396),Flags!$A$13:$B$95,2,FALSE)</f>
        <v>4</v>
      </c>
      <c r="B396" s="24">
        <f t="shared" si="535"/>
        <v>1964</v>
      </c>
      <c r="C396" s="25">
        <v>23620</v>
      </c>
      <c r="D396" s="26"/>
      <c r="E396" s="24"/>
      <c r="F396" s="26"/>
      <c r="G396" s="24"/>
      <c r="H396" s="24"/>
      <c r="I396" s="26"/>
      <c r="J396" s="24"/>
      <c r="K396" s="26"/>
      <c r="L396" s="24"/>
      <c r="M396" s="24"/>
      <c r="N396" s="26"/>
      <c r="O396" s="26"/>
      <c r="P396" s="26"/>
      <c r="Q396" s="26"/>
      <c r="R396" s="26"/>
      <c r="S396" s="26"/>
      <c r="T396" s="26"/>
      <c r="U396" s="26"/>
      <c r="V396" s="26"/>
      <c r="W396" s="26">
        <f>MAX($C$7-VLOOKUP($C396,COS!$B$8:$H$991,3,FALSE),0)</f>
        <v>91194.7255859375</v>
      </c>
      <c r="X396" s="26">
        <f t="shared" si="562"/>
        <v>5607.3451104080577</v>
      </c>
      <c r="Y396" s="26">
        <f>VLOOKUP($C396,COS!$B$8:$H$991,4,FALSE)</f>
        <v>771.8970947265625</v>
      </c>
      <c r="Z396" s="26">
        <f t="shared" si="563"/>
        <v>47.462102353434915</v>
      </c>
      <c r="AA396" s="26">
        <f t="shared" ref="AA396:AA400" si="634">MIN(W396,Y396)</f>
        <v>771.8970947265625</v>
      </c>
      <c r="AB396" s="33">
        <f t="shared" ref="AB396" si="635">AA396*DAY($C396)*86400/43560/1000*IF(MONTH($C396)=8,$P$3,IF(MONTH($C396)=9,$P$4,IF(MONTH($C396)=10,$P$5,IF(MONTH($C396)=11,$P$6,IF(MONTH($C396)=12,$P$7,NA())))))</f>
        <v>47.462102353434915</v>
      </c>
    </row>
    <row r="397" spans="1:28" x14ac:dyDescent="0.3">
      <c r="A397" s="32">
        <f>VLOOKUP(YEAR(C397),Flags!$A$13:$B$95,2,FALSE)</f>
        <v>4</v>
      </c>
      <c r="B397" s="24">
        <f t="shared" si="535"/>
        <v>1964</v>
      </c>
      <c r="C397" s="25">
        <v>23650</v>
      </c>
      <c r="D397" s="26"/>
      <c r="E397" s="24"/>
      <c r="F397" s="26"/>
      <c r="G397" s="24"/>
      <c r="H397" s="24"/>
      <c r="I397" s="26"/>
      <c r="J397" s="24"/>
      <c r="K397" s="26">
        <f>VLOOKUP($C397,COS!$B$8:$H$991,2,FALSE)</f>
        <v>2475.959716796875</v>
      </c>
      <c r="L397" s="24">
        <f t="shared" ref="L397" si="636">IF(AND(K397&gt;$I$7,K397&lt;$I$8),1,0)</f>
        <v>1</v>
      </c>
      <c r="M397" s="24"/>
      <c r="N397" s="26"/>
      <c r="O397" s="26"/>
      <c r="P397" s="26"/>
      <c r="Q397" s="26"/>
      <c r="R397" s="26"/>
      <c r="S397" s="26"/>
      <c r="T397" s="26"/>
      <c r="U397" s="26"/>
      <c r="V397" s="26"/>
      <c r="W397" s="26">
        <f>MAX($C$8-VLOOKUP($C397,COS!$B$8:$H$991,3,FALSE),0)</f>
        <v>95000.587890625</v>
      </c>
      <c r="X397" s="26">
        <f t="shared" si="562"/>
        <v>5652.9275439049579</v>
      </c>
      <c r="Y397" s="26">
        <f>VLOOKUP($C397,COS!$B$8:$H$991,4,FALSE)</f>
        <v>1010.355224609375</v>
      </c>
      <c r="Z397" s="26">
        <f t="shared" si="563"/>
        <v>60.120310885847111</v>
      </c>
      <c r="AA397" s="26">
        <f t="shared" si="634"/>
        <v>1010.355224609375</v>
      </c>
      <c r="AB397" s="33">
        <f t="shared" si="548"/>
        <v>60.120310885847111</v>
      </c>
    </row>
    <row r="398" spans="1:28" x14ac:dyDescent="0.3">
      <c r="A398" s="32">
        <f>VLOOKUP(YEAR(C398),Flags!$A$13:$B$95,2,FALSE)</f>
        <v>4</v>
      </c>
      <c r="B398" s="24">
        <f t="shared" si="535"/>
        <v>1964</v>
      </c>
      <c r="C398" s="25">
        <v>23681</v>
      </c>
      <c r="D398" s="26"/>
      <c r="E398" s="24"/>
      <c r="F398" s="26"/>
      <c r="G398" s="26"/>
      <c r="H398" s="26"/>
      <c r="I398" s="26"/>
      <c r="J398" s="26"/>
      <c r="K398" s="26"/>
      <c r="L398" s="24"/>
      <c r="M398" s="24"/>
      <c r="N398" s="26"/>
      <c r="O398" s="26"/>
      <c r="P398" s="26"/>
      <c r="Q398" s="26"/>
      <c r="R398" s="26"/>
      <c r="S398" s="26"/>
      <c r="T398" s="26"/>
      <c r="U398" s="26"/>
      <c r="V398" s="26"/>
      <c r="W398" s="26">
        <f>MAX($C$9-VLOOKUP($C398,COS!$B$8:$H$991,3,FALSE),0)</f>
        <v>94941.07861328125</v>
      </c>
      <c r="X398" s="26">
        <f t="shared" si="562"/>
        <v>5837.6993791967971</v>
      </c>
      <c r="Y398" s="26">
        <f>VLOOKUP($C398,COS!$B$8:$H$991,4,FALSE)</f>
        <v>1503.157470703125</v>
      </c>
      <c r="Z398" s="26">
        <f t="shared" si="563"/>
        <v>92.425550264721082</v>
      </c>
      <c r="AA398" s="26">
        <f t="shared" si="634"/>
        <v>1503.157470703125</v>
      </c>
      <c r="AB398" s="33">
        <f t="shared" si="548"/>
        <v>92.425550264721082</v>
      </c>
    </row>
    <row r="399" spans="1:28" x14ac:dyDescent="0.3">
      <c r="A399" s="32">
        <f>VLOOKUP(YEAR(C399),Flags!$A$13:$B$95,2,FALSE)</f>
        <v>4</v>
      </c>
      <c r="B399" s="24">
        <f t="shared" ref="B399:B462" si="637">YEAR(C399)</f>
        <v>1964</v>
      </c>
      <c r="C399" s="25">
        <v>23711</v>
      </c>
      <c r="D399" s="26"/>
      <c r="E399" s="24"/>
      <c r="F399" s="26"/>
      <c r="G399" s="26"/>
      <c r="H399" s="26"/>
      <c r="I399" s="26"/>
      <c r="J399" s="26"/>
      <c r="K399" s="26"/>
      <c r="L399" s="24"/>
      <c r="M399" s="24"/>
      <c r="N399" s="26"/>
      <c r="O399" s="26"/>
      <c r="P399" s="26"/>
      <c r="Q399" s="26"/>
      <c r="R399" s="26"/>
      <c r="S399" s="26"/>
      <c r="T399" s="26"/>
      <c r="U399" s="26"/>
      <c r="V399" s="26"/>
      <c r="W399" s="26">
        <f>MAX($C$10-VLOOKUP($C399,COS!$B$8:$H$991,3,FALSE),0)</f>
        <v>96749</v>
      </c>
      <c r="X399" s="26">
        <f t="shared" si="562"/>
        <v>5756.965289256198</v>
      </c>
      <c r="Y399" s="26">
        <f>VLOOKUP($C399,COS!$B$8:$H$991,4,FALSE)</f>
        <v>1991.6624755859375</v>
      </c>
      <c r="Z399" s="26">
        <f t="shared" si="563"/>
        <v>118.51214730759297</v>
      </c>
      <c r="AA399" s="26">
        <f t="shared" si="634"/>
        <v>1991.6624755859375</v>
      </c>
      <c r="AB399" s="33">
        <f t="shared" si="548"/>
        <v>59.256073653796484</v>
      </c>
    </row>
    <row r="400" spans="1:28" x14ac:dyDescent="0.3">
      <c r="A400" s="34">
        <f>VLOOKUP(YEAR(C400),Flags!$A$13:$B$95,2,FALSE)</f>
        <v>4</v>
      </c>
      <c r="B400" s="35">
        <f t="shared" si="637"/>
        <v>1964</v>
      </c>
      <c r="C400" s="36">
        <v>23742</v>
      </c>
      <c r="D400" s="37"/>
      <c r="E400" s="35"/>
      <c r="F400" s="37"/>
      <c r="G400" s="37"/>
      <c r="H400" s="37"/>
      <c r="I400" s="37"/>
      <c r="J400" s="37"/>
      <c r="K400" s="37"/>
      <c r="L400" s="35"/>
      <c r="M400" s="35"/>
      <c r="N400" s="37"/>
      <c r="O400" s="37"/>
      <c r="P400" s="37"/>
      <c r="Q400" s="37"/>
      <c r="R400" s="37"/>
      <c r="S400" s="37"/>
      <c r="T400" s="37"/>
      <c r="U400" s="37"/>
      <c r="V400" s="37"/>
      <c r="W400" s="37">
        <f>MAX($C$11-VLOOKUP($C400,COS!$B$8:$H$991,3,FALSE),0)</f>
        <v>0</v>
      </c>
      <c r="X400" s="37">
        <f t="shared" si="562"/>
        <v>0</v>
      </c>
      <c r="Y400" s="37">
        <f>VLOOKUP($C400,COS!$B$8:$H$991,4,FALSE)</f>
        <v>0</v>
      </c>
      <c r="Z400" s="37">
        <f t="shared" si="563"/>
        <v>0</v>
      </c>
      <c r="AA400" s="37">
        <f t="shared" si="634"/>
        <v>0</v>
      </c>
      <c r="AB400" s="38">
        <f t="shared" si="548"/>
        <v>0</v>
      </c>
    </row>
    <row r="401" spans="1:28" x14ac:dyDescent="0.3">
      <c r="A401" s="27">
        <f>VLOOKUP(YEAR(C401),Flags!$A$13:$B$95,2,FALSE)</f>
        <v>1</v>
      </c>
      <c r="B401" s="28">
        <f t="shared" si="637"/>
        <v>1965</v>
      </c>
      <c r="C401" s="29">
        <v>23862</v>
      </c>
      <c r="D401" s="30">
        <f>VLOOKUP($C401,COS!$B$8:$H$991,3,FALSE)</f>
        <v>6748.35888671875</v>
      </c>
      <c r="E401" s="28">
        <f>IF(D401&gt;=IF(MONTH($C401)=4,$C$3,IF(MONTH($C401)=5,$C$4,IF(MONTH($C401)=6,$C$5,IF(MONTH($C401)=7,$C$6,"ERROR")))),1,0)</f>
        <v>1</v>
      </c>
      <c r="F401" s="30">
        <f>VLOOKUP($C401,COS!$B$8:$H$991,7,FALSE)</f>
        <v>46.947509765625</v>
      </c>
      <c r="G401" s="28">
        <f>IF(F401&lt;=IF(MONTH($C401)=4,$F$3,IF(MONTH($C401)=5,$F$4,IF(MONTH($C401)=6,$F$5,IF(MONTH($C401)=7,$F$6,"ERROR")))),1,0)</f>
        <v>1</v>
      </c>
      <c r="H401" s="30">
        <f>IF(J401=1,D401-$C$3,0)</f>
        <v>748.35888671875</v>
      </c>
      <c r="I401" s="30">
        <f t="shared" si="558"/>
        <v>44.530446151859508</v>
      </c>
      <c r="J401" s="28">
        <f t="shared" ref="J401:J404" si="638">IF(AND(E401=1,G401=1),1,0)</f>
        <v>1</v>
      </c>
      <c r="K401" s="30">
        <f>VLOOKUP($C401,COS!$B$8:$H$991,2,FALSE)</f>
        <v>4500</v>
      </c>
      <c r="L401" s="28">
        <f t="shared" ref="L401:L458" si="639">IF(K401&lt;=IF(MONTH($C401)=4,$I$3,IF(MONTH($C401)=5,$I$4,IF(MONTH($C401)=6,$I$5,IF(MONTH($C401)=7,$I$6,"ERROR")))),1,0)</f>
        <v>1</v>
      </c>
      <c r="M401" s="28">
        <f t="shared" ref="M401:M458" si="640">VLOOKUP($A401,$L$3:$M$7,2,FALSE)</f>
        <v>0</v>
      </c>
      <c r="N401" s="30">
        <f>VLOOKUP($C401,COS!$B$8:$H$991,5,FALSE)</f>
        <v>15.99506664276123</v>
      </c>
      <c r="O401" s="30">
        <f t="shared" ref="O401:O404" si="641">N401*DAY($C401)*86400/43560/1000</f>
        <v>0.95177256056099879</v>
      </c>
      <c r="P401" s="30">
        <f>VLOOKUP($C401,COS!$B$8:$H$991,6,FALSE)</f>
        <v>409.699951171875</v>
      </c>
      <c r="Q401" s="30">
        <f t="shared" ref="Q401:Q404" si="642">P401*DAY($C401)*86400/43560/1000</f>
        <v>24.378840069731407</v>
      </c>
      <c r="R401" s="30">
        <f>MIN(IF(MONTH($C401)=4,$S$3,IF(MONTH($C401)=5,$S$4,IF(MONTH($C401)=6,$S$5,IF(MONTH($C401)=7,$S$6,"ERROR")))),MAX(VLOOKUP($C401,COS!$B$8:$K$991,10,FALSE)-IF(MONTH($C401)=4,$Y$3,IF(MONTH($C401)=5,$Y$4,IF(MONTH($C401)=6,$Y$5,IF(MONTH($C401)=7,$Y$6,"ERROR")))),0),MAX(VLOOKUP($C401,COS!$B$8:$K$991,9,FALSE)-IF(MONTH($C401)=4,$V$3,IF(MONTH($C401)=5,$V$4,IF(MONTH($C401)=6,$V$5,IF(MONTH($C401)=7,$V$6,"ERROR"))))-VLOOKUP($C401,COS!$B$8:$K$991,6,FALSE)/2,0))</f>
        <v>1500</v>
      </c>
      <c r="S401" s="30">
        <f t="shared" ref="S401:S404" si="643">R401*DAY($C401)*86400/43560/1000</f>
        <v>89.256198347107429</v>
      </c>
      <c r="T401" s="30">
        <f t="shared" ref="T401:T404" si="644">(O401+Q401)/2+S401</f>
        <v>101.92150466225362</v>
      </c>
      <c r="U401" s="30" t="str">
        <f>IF(VLOOKUP($C401,COS!$B$8:$I$991,8,FALSE)=1,"UWFE","IBU")</f>
        <v>UWFE</v>
      </c>
      <c r="V401" s="30">
        <f t="shared" ref="V401" si="645">MIN(IF(IF($AA$3=2,AND(E401=1,G401=1,L401=1,L406=1,M401=1,U401="IBU"),AND(E401=1,G401=1,L401=1,L406=1,M401=1)),T401,0),I401)</f>
        <v>0</v>
      </c>
      <c r="W401" s="30"/>
      <c r="X401" s="30"/>
      <c r="Y401" s="30"/>
      <c r="Z401" s="30"/>
      <c r="AA401" s="30"/>
      <c r="AB401" s="31"/>
    </row>
    <row r="402" spans="1:28" x14ac:dyDescent="0.3">
      <c r="A402" s="32">
        <f>VLOOKUP(YEAR(C402),Flags!$A$13:$B$95,2,FALSE)</f>
        <v>1</v>
      </c>
      <c r="B402" s="24">
        <f t="shared" si="637"/>
        <v>1965</v>
      </c>
      <c r="C402" s="25">
        <v>23893</v>
      </c>
      <c r="D402" s="26">
        <f>VLOOKUP($C402,COS!$B$8:$H$991,3,FALSE)</f>
        <v>6685.54638671875</v>
      </c>
      <c r="E402" s="24">
        <f>IF(D402&gt;=IF(MONTH($C402)=4,$C$3,IF(MONTH($C402)=5,$C$4,IF(MONTH($C402)=6,$C$5,IF(MONTH($C402)=7,$C$6,"ERROR")))),1,0)</f>
        <v>1</v>
      </c>
      <c r="F402" s="26">
        <f>VLOOKUP($C402,COS!$B$8:$H$991,7,FALSE)</f>
        <v>49.095413208007813</v>
      </c>
      <c r="G402" s="24">
        <f>IF(F402&lt;=IF(MONTH($C402)=4,$F$3,IF(MONTH($C402)=5,$F$4,IF(MONTH($C402)=6,$F$5,IF(MONTH($C402)=7,$F$6,"ERROR")))),1,0)</f>
        <v>1</v>
      </c>
      <c r="H402" s="26">
        <f>IF(J402=1,D402-$C$4,0)</f>
        <v>685.54638671875</v>
      </c>
      <c r="I402" s="26">
        <f t="shared" si="558"/>
        <v>42.152604274276861</v>
      </c>
      <c r="J402" s="24">
        <f t="shared" si="638"/>
        <v>1</v>
      </c>
      <c r="K402" s="26">
        <f>VLOOKUP($C402,COS!$B$8:$H$991,2,FALSE)</f>
        <v>4530.5419921875</v>
      </c>
      <c r="L402" s="24">
        <f t="shared" si="639"/>
        <v>1</v>
      </c>
      <c r="M402" s="24">
        <f t="shared" si="640"/>
        <v>0</v>
      </c>
      <c r="N402" s="26">
        <f>VLOOKUP($C402,COS!$B$8:$H$991,5,FALSE)</f>
        <v>633.97503662109375</v>
      </c>
      <c r="O402" s="26">
        <f t="shared" si="641"/>
        <v>38.981605557528411</v>
      </c>
      <c r="P402" s="26">
        <f>VLOOKUP($C402,COS!$B$8:$H$991,6,FALSE)</f>
        <v>2257.9951171875</v>
      </c>
      <c r="Q402" s="26">
        <f t="shared" si="642"/>
        <v>138.83870803202478</v>
      </c>
      <c r="R402" s="26">
        <f>MIN(IF(MONTH($C402)=4,$S$3,IF(MONTH($C402)=5,$S$4,IF(MONTH($C402)=6,$S$5,IF(MONTH($C402)=7,$S$6,"ERROR")))),MAX(VLOOKUP($C402,COS!$B$8:$K$991,10,FALSE)-IF(MONTH($C402)=4,$Y$3,IF(MONTH($C402)=5,$Y$4,IF(MONTH($C402)=6,$Y$5,IF(MONTH($C402)=7,$Y$6,"ERROR")))),0),MAX(VLOOKUP($C402,COS!$B$8:$K$991,9,FALSE)-IF(MONTH($C402)=4,$V$3,IF(MONTH($C402)=5,$V$4,IF(MONTH($C402)=6,$V$5,IF(MONTH($C402)=7,$V$6,"ERROR"))))-VLOOKUP($C402,COS!$B$8:$K$991,6,FALSE)/2,0))</f>
        <v>1500</v>
      </c>
      <c r="S402" s="26">
        <f t="shared" si="643"/>
        <v>92.231404958677686</v>
      </c>
      <c r="T402" s="26">
        <f t="shared" si="644"/>
        <v>181.14156175345428</v>
      </c>
      <c r="U402" s="26" t="str">
        <f>IF(VLOOKUP($C402,COS!$B$8:$I$991,8,FALSE)=1,"UWFE","IBU")</f>
        <v>UWFE</v>
      </c>
      <c r="V402" s="26">
        <f t="shared" ref="V402" si="646">MIN(IF(IF($AA$3=2,AND(E402=1,G402=1,L402=1,L406=1,M402=1,U402="IBU"),AND(E402=1,G402=1,L402=1,L406=1,M402=1)),T402,0),I402)</f>
        <v>0</v>
      </c>
      <c r="W402" s="26"/>
      <c r="X402" s="26"/>
      <c r="Y402" s="26"/>
      <c r="Z402" s="26"/>
      <c r="AA402" s="26"/>
      <c r="AB402" s="33"/>
    </row>
    <row r="403" spans="1:28" x14ac:dyDescent="0.3">
      <c r="A403" s="32">
        <f>VLOOKUP(YEAR(C403),Flags!$A$13:$B$95,2,FALSE)</f>
        <v>1</v>
      </c>
      <c r="B403" s="24">
        <f t="shared" si="637"/>
        <v>1965</v>
      </c>
      <c r="C403" s="25">
        <v>23923</v>
      </c>
      <c r="D403" s="26">
        <f>VLOOKUP($C403,COS!$B$8:$H$991,3,FALSE)</f>
        <v>8087.30908203125</v>
      </c>
      <c r="E403" s="24">
        <f>IF(D403&gt;=IF(MONTH($C403)=4,$C$3,IF(MONTH($C403)=5,$C$4,IF(MONTH($C403)=6,$C$5,IF(MONTH($C403)=7,$C$6,"ERROR")))),1,0)</f>
        <v>0</v>
      </c>
      <c r="F403" s="26">
        <f>VLOOKUP($C403,COS!$B$8:$H$991,7,FALSE)</f>
        <v>49.536151885986328</v>
      </c>
      <c r="G403" s="24">
        <f>IF(F403&lt;=IF(MONTH($C403)=4,$F$3,IF(MONTH($C403)=5,$F$4,IF(MONTH($C403)=6,$F$5,IF(MONTH($C403)=7,$F$6,"ERROR")))),1,0)</f>
        <v>1</v>
      </c>
      <c r="H403" s="26">
        <f>IF(J403=1,D403-$C$5,0)</f>
        <v>0</v>
      </c>
      <c r="I403" s="26">
        <f t="shared" si="558"/>
        <v>0</v>
      </c>
      <c r="J403" s="24">
        <f t="shared" si="638"/>
        <v>0</v>
      </c>
      <c r="K403" s="26">
        <f>VLOOKUP($C403,COS!$B$8:$H$991,2,FALSE)</f>
        <v>4283.341796875</v>
      </c>
      <c r="L403" s="24">
        <f t="shared" si="639"/>
        <v>1</v>
      </c>
      <c r="M403" s="24">
        <f t="shared" si="640"/>
        <v>0</v>
      </c>
      <c r="N403" s="26">
        <f>VLOOKUP($C403,COS!$B$8:$H$991,5,FALSE)</f>
        <v>838.3341064453125</v>
      </c>
      <c r="O403" s="26">
        <f t="shared" si="641"/>
        <v>49.884343524018597</v>
      </c>
      <c r="P403" s="26">
        <f>VLOOKUP($C403,COS!$B$8:$H$991,6,FALSE)</f>
        <v>2334.416015625</v>
      </c>
      <c r="Q403" s="26">
        <f t="shared" si="642"/>
        <v>138.90739927685951</v>
      </c>
      <c r="R403" s="26">
        <f>MIN(IF(MONTH($C403)=4,$S$3,IF(MONTH($C403)=5,$S$4,IF(MONTH($C403)=6,$S$5,IF(MONTH($C403)=7,$S$6,"ERROR")))),MAX(VLOOKUP($C403,COS!$B$8:$K$991,10,FALSE)-IF(MONTH($C403)=4,$Y$3,IF(MONTH($C403)=5,$Y$4,IF(MONTH($C403)=6,$Y$5,IF(MONTH($C403)=7,$Y$6,"ERROR")))),0),MAX(VLOOKUP($C403,COS!$B$8:$K$991,9,FALSE)-IF(MONTH($C403)=4,$V$3,IF(MONTH($C403)=5,$V$4,IF(MONTH($C403)=6,$V$5,IF(MONTH($C403)=7,$V$6,"ERROR"))))-VLOOKUP($C403,COS!$B$8:$K$991,6,FALSE)/2,0))</f>
        <v>1500</v>
      </c>
      <c r="S403" s="26">
        <f t="shared" si="643"/>
        <v>89.256198347107429</v>
      </c>
      <c r="T403" s="26">
        <f t="shared" si="644"/>
        <v>183.65206974754648</v>
      </c>
      <c r="U403" s="26" t="str">
        <f>IF(VLOOKUP($C403,COS!$B$8:$I$991,8,FALSE)=1,"UWFE","IBU")</f>
        <v>UWFE</v>
      </c>
      <c r="V403" s="26">
        <f t="shared" ref="V403" si="647">MIN(IF(IF($AA$3=2,AND(E403=1,G403=1,L403=1,L406=1,M403=1,U403="IBU"),AND(E403=1,G403=1,L403=1,L406=1,M403=1)),T403,0),I403)</f>
        <v>0</v>
      </c>
      <c r="W403" s="26"/>
      <c r="X403" s="26"/>
      <c r="Y403" s="26"/>
      <c r="Z403" s="26"/>
      <c r="AA403" s="26"/>
      <c r="AB403" s="33"/>
    </row>
    <row r="404" spans="1:28" x14ac:dyDescent="0.3">
      <c r="A404" s="32">
        <f>VLOOKUP(YEAR(C404),Flags!$A$13:$B$95,2,FALSE)</f>
        <v>1</v>
      </c>
      <c r="B404" s="24">
        <f t="shared" si="637"/>
        <v>1965</v>
      </c>
      <c r="C404" s="25">
        <v>23954</v>
      </c>
      <c r="D404" s="26">
        <f>VLOOKUP($C404,COS!$B$8:$H$991,3,FALSE)</f>
        <v>16000</v>
      </c>
      <c r="E404" s="24">
        <f>IF(D404&gt;=IF(MONTH($C404)=4,$C$3,IF(MONTH($C404)=5,$C$4,IF(MONTH($C404)=6,$C$5,IF(MONTH($C404)=7,$C$6,"ERROR")))),1,0)</f>
        <v>1</v>
      </c>
      <c r="F404" s="26">
        <f>VLOOKUP($C404,COS!$B$8:$H$991,7,FALSE)</f>
        <v>49.443107604980469</v>
      </c>
      <c r="G404" s="24">
        <f>IF(F404&lt;=IF(MONTH($C404)=4,$F$3,IF(MONTH($C404)=5,$F$4,IF(MONTH($C404)=6,$F$5,IF(MONTH($C404)=7,$F$6,"ERROR")))),1,0)</f>
        <v>1</v>
      </c>
      <c r="H404" s="26">
        <f>IF(J404=1,D404-$C$6,0)</f>
        <v>4000</v>
      </c>
      <c r="I404" s="26">
        <f t="shared" si="558"/>
        <v>245.95041322314049</v>
      </c>
      <c r="J404" s="24">
        <f t="shared" si="638"/>
        <v>1</v>
      </c>
      <c r="K404" s="26">
        <f>VLOOKUP($C404,COS!$B$8:$H$991,2,FALSE)</f>
        <v>3588.650146484375</v>
      </c>
      <c r="L404" s="24">
        <f t="shared" si="639"/>
        <v>1</v>
      </c>
      <c r="M404" s="24">
        <f t="shared" si="640"/>
        <v>0</v>
      </c>
      <c r="N404" s="26">
        <f>VLOOKUP($C404,COS!$B$8:$H$991,5,FALSE)</f>
        <v>922.08319091796875</v>
      </c>
      <c r="O404" s="26">
        <f t="shared" si="641"/>
        <v>56.696685458096589</v>
      </c>
      <c r="P404" s="26">
        <f>VLOOKUP($C404,COS!$B$8:$H$991,6,FALSE)</f>
        <v>2612.073486328125</v>
      </c>
      <c r="Q404" s="26">
        <f t="shared" si="642"/>
        <v>160.61013833290289</v>
      </c>
      <c r="R404" s="26">
        <f>MIN(IF(MONTH($C404)=4,$S$3,IF(MONTH($C404)=5,$S$4,IF(MONTH($C404)=6,$S$5,IF(MONTH($C404)=7,$S$6,"ERROR")))),MAX(VLOOKUP($C404,COS!$B$8:$K$991,10,FALSE)-IF(MONTH($C404)=4,$Y$3,IF(MONTH($C404)=5,$Y$4,IF(MONTH($C404)=6,$Y$5,IF(MONTH($C404)=7,$Y$6,"ERROR")))),0),MAX(VLOOKUP($C404,COS!$B$8:$K$991,9,FALSE)-IF(MONTH($C404)=4,$V$3,IF(MONTH($C404)=5,$V$4,IF(MONTH($C404)=6,$V$5,IF(MONTH($C404)=7,$V$6,"ERROR"))))-VLOOKUP($C404,COS!$B$8:$K$991,6,FALSE)/2,0))</f>
        <v>1500</v>
      </c>
      <c r="S404" s="26">
        <f t="shared" si="643"/>
        <v>92.231404958677686</v>
      </c>
      <c r="T404" s="26">
        <f t="shared" si="644"/>
        <v>200.88481685417742</v>
      </c>
      <c r="U404" s="26" t="str">
        <f>IF(VLOOKUP($C404,COS!$B$8:$I$991,8,FALSE)=1,"UWFE","IBU")</f>
        <v>IBU</v>
      </c>
      <c r="V404" s="26">
        <f t="shared" ref="V404" si="648">MIN(IF(IF($AA$3=2,AND(E404=1,G404=1,L404=1,L406=1,M404=1,U404="IBU"),AND(E404=1,G404=1,L404=1,L406=1,M404=1)),T404,0),I404)</f>
        <v>0</v>
      </c>
      <c r="W404" s="26"/>
      <c r="X404" s="26"/>
      <c r="Y404" s="26"/>
      <c r="Z404" s="26"/>
      <c r="AA404" s="26"/>
      <c r="AB404" s="33"/>
    </row>
    <row r="405" spans="1:28" x14ac:dyDescent="0.3">
      <c r="A405" s="32">
        <f>VLOOKUP(YEAR(C405),Flags!$A$13:$B$95,2,FALSE)</f>
        <v>1</v>
      </c>
      <c r="B405" s="24">
        <f t="shared" si="637"/>
        <v>1965</v>
      </c>
      <c r="C405" s="25">
        <v>23985</v>
      </c>
      <c r="D405" s="26"/>
      <c r="E405" s="24"/>
      <c r="F405" s="26"/>
      <c r="G405" s="24"/>
      <c r="H405" s="24"/>
      <c r="I405" s="26"/>
      <c r="J405" s="24"/>
      <c r="K405" s="26"/>
      <c r="L405" s="24"/>
      <c r="M405" s="24"/>
      <c r="N405" s="26"/>
      <c r="O405" s="26"/>
      <c r="P405" s="26"/>
      <c r="Q405" s="26"/>
      <c r="R405" s="26"/>
      <c r="S405" s="26"/>
      <c r="T405" s="26"/>
      <c r="U405" s="26"/>
      <c r="V405" s="26"/>
      <c r="W405" s="26">
        <f>MAX($C$7-VLOOKUP($C405,COS!$B$8:$H$991,3,FALSE),0)</f>
        <v>91045.6005859375</v>
      </c>
      <c r="X405" s="26">
        <f t="shared" si="562"/>
        <v>5598.1757715650829</v>
      </c>
      <c r="Y405" s="26">
        <f>VLOOKUP($C405,COS!$B$8:$H$991,4,FALSE)</f>
        <v>0</v>
      </c>
      <c r="Z405" s="26">
        <f t="shared" si="563"/>
        <v>0</v>
      </c>
      <c r="AA405" s="26">
        <f t="shared" ref="AA405:AA409" si="649">MIN(W405,Y405)</f>
        <v>0</v>
      </c>
      <c r="AB405" s="33">
        <f t="shared" ref="AB405:AB463" si="650">AA405*DAY($C405)*86400/43560/1000*IF(MONTH($C405)=8,$P$3,IF(MONTH($C405)=9,$P$4,IF(MONTH($C405)=10,$P$5,IF(MONTH($C405)=11,$P$6,IF(MONTH($C405)=12,$P$7,NA())))))</f>
        <v>0</v>
      </c>
    </row>
    <row r="406" spans="1:28" x14ac:dyDescent="0.3">
      <c r="A406" s="32">
        <f>VLOOKUP(YEAR(C406),Flags!$A$13:$B$95,2,FALSE)</f>
        <v>1</v>
      </c>
      <c r="B406" s="24">
        <f t="shared" si="637"/>
        <v>1965</v>
      </c>
      <c r="C406" s="25">
        <v>24015</v>
      </c>
      <c r="D406" s="26"/>
      <c r="E406" s="24"/>
      <c r="F406" s="26"/>
      <c r="G406" s="24"/>
      <c r="H406" s="24"/>
      <c r="I406" s="26"/>
      <c r="J406" s="24"/>
      <c r="K406" s="26">
        <f>VLOOKUP($C406,COS!$B$8:$H$991,2,FALSE)</f>
        <v>2849.32861328125</v>
      </c>
      <c r="L406" s="24">
        <f t="shared" ref="L406" si="651">IF(AND(K406&gt;$I$7,K406&lt;$I$8),1,0)</f>
        <v>1</v>
      </c>
      <c r="M406" s="24"/>
      <c r="N406" s="26"/>
      <c r="O406" s="26"/>
      <c r="P406" s="26"/>
      <c r="Q406" s="26"/>
      <c r="R406" s="26"/>
      <c r="S406" s="26"/>
      <c r="T406" s="26"/>
      <c r="U406" s="26"/>
      <c r="V406" s="26"/>
      <c r="W406" s="26">
        <f>MAX($C$8-VLOOKUP($C406,COS!$B$8:$H$991,3,FALSE),0)</f>
        <v>86410.6357421875</v>
      </c>
      <c r="X406" s="26">
        <f t="shared" si="562"/>
        <v>5141.7898954028924</v>
      </c>
      <c r="Y406" s="26">
        <f>VLOOKUP($C406,COS!$B$8:$H$991,4,FALSE)</f>
        <v>0</v>
      </c>
      <c r="Z406" s="26">
        <f t="shared" si="563"/>
        <v>0</v>
      </c>
      <c r="AA406" s="26">
        <f t="shared" si="649"/>
        <v>0</v>
      </c>
      <c r="AB406" s="33">
        <f t="shared" si="650"/>
        <v>0</v>
      </c>
    </row>
    <row r="407" spans="1:28" x14ac:dyDescent="0.3">
      <c r="A407" s="32">
        <f>VLOOKUP(YEAR(C407),Flags!$A$13:$B$95,2,FALSE)</f>
        <v>1</v>
      </c>
      <c r="B407" s="24">
        <f t="shared" si="637"/>
        <v>1965</v>
      </c>
      <c r="C407" s="25">
        <v>24046</v>
      </c>
      <c r="D407" s="26"/>
      <c r="E407" s="24"/>
      <c r="F407" s="26"/>
      <c r="G407" s="26"/>
      <c r="H407" s="26"/>
      <c r="I407" s="26"/>
      <c r="J407" s="26"/>
      <c r="K407" s="26"/>
      <c r="L407" s="24"/>
      <c r="M407" s="24"/>
      <c r="N407" s="26"/>
      <c r="O407" s="26"/>
      <c r="P407" s="26"/>
      <c r="Q407" s="26"/>
      <c r="R407" s="26"/>
      <c r="S407" s="26"/>
      <c r="T407" s="26"/>
      <c r="U407" s="26"/>
      <c r="V407" s="26"/>
      <c r="W407" s="26">
        <f>MAX($C$9-VLOOKUP($C407,COS!$B$8:$H$991,3,FALSE),0)</f>
        <v>91501.974609375</v>
      </c>
      <c r="X407" s="26">
        <f t="shared" si="562"/>
        <v>5626.2371164772721</v>
      </c>
      <c r="Y407" s="26">
        <f>VLOOKUP($C407,COS!$B$8:$H$991,4,FALSE)</f>
        <v>958.20550537109375</v>
      </c>
      <c r="Z407" s="26">
        <f t="shared" si="563"/>
        <v>58.917759999677166</v>
      </c>
      <c r="AA407" s="26">
        <f t="shared" si="649"/>
        <v>958.20550537109375</v>
      </c>
      <c r="AB407" s="33">
        <f t="shared" si="650"/>
        <v>58.917759999677166</v>
      </c>
    </row>
    <row r="408" spans="1:28" x14ac:dyDescent="0.3">
      <c r="A408" s="32">
        <f>VLOOKUP(YEAR(C408),Flags!$A$13:$B$95,2,FALSE)</f>
        <v>1</v>
      </c>
      <c r="B408" s="24">
        <f t="shared" si="637"/>
        <v>1965</v>
      </c>
      <c r="C408" s="25">
        <v>24076</v>
      </c>
      <c r="D408" s="26"/>
      <c r="E408" s="24"/>
      <c r="F408" s="26"/>
      <c r="G408" s="26"/>
      <c r="H408" s="26"/>
      <c r="I408" s="26"/>
      <c r="J408" s="26"/>
      <c r="K408" s="26"/>
      <c r="L408" s="24"/>
      <c r="M408" s="24"/>
      <c r="N408" s="26"/>
      <c r="O408" s="26"/>
      <c r="P408" s="26"/>
      <c r="Q408" s="26"/>
      <c r="R408" s="26"/>
      <c r="S408" s="26"/>
      <c r="T408" s="26"/>
      <c r="U408" s="26"/>
      <c r="V408" s="26"/>
      <c r="W408" s="26">
        <f>MAX($C$10-VLOOKUP($C408,COS!$B$8:$H$991,3,FALSE),0)</f>
        <v>92705.76025390625</v>
      </c>
      <c r="X408" s="26">
        <f t="shared" si="562"/>
        <v>5516.3758167613632</v>
      </c>
      <c r="Y408" s="26">
        <f>VLOOKUP($C408,COS!$B$8:$H$991,4,FALSE)</f>
        <v>425.12249755859375</v>
      </c>
      <c r="Z408" s="26">
        <f t="shared" si="563"/>
        <v>25.296545309271693</v>
      </c>
      <c r="AA408" s="26">
        <f t="shared" si="649"/>
        <v>425.12249755859375</v>
      </c>
      <c r="AB408" s="33">
        <f t="shared" si="650"/>
        <v>12.648272654635846</v>
      </c>
    </row>
    <row r="409" spans="1:28" x14ac:dyDescent="0.3">
      <c r="A409" s="34">
        <f>VLOOKUP(YEAR(C409),Flags!$A$13:$B$95,2,FALSE)</f>
        <v>1</v>
      </c>
      <c r="B409" s="35">
        <f t="shared" si="637"/>
        <v>1965</v>
      </c>
      <c r="C409" s="36">
        <v>24107</v>
      </c>
      <c r="D409" s="37"/>
      <c r="E409" s="35"/>
      <c r="F409" s="37"/>
      <c r="G409" s="37"/>
      <c r="H409" s="37"/>
      <c r="I409" s="37"/>
      <c r="J409" s="37"/>
      <c r="K409" s="37"/>
      <c r="L409" s="35"/>
      <c r="M409" s="35"/>
      <c r="N409" s="37"/>
      <c r="O409" s="37"/>
      <c r="P409" s="37"/>
      <c r="Q409" s="37"/>
      <c r="R409" s="37"/>
      <c r="S409" s="37"/>
      <c r="T409" s="37"/>
      <c r="U409" s="37"/>
      <c r="V409" s="37"/>
      <c r="W409" s="37">
        <f>MAX($C$11-VLOOKUP($C409,COS!$B$8:$H$991,3,FALSE),0)</f>
        <v>0</v>
      </c>
      <c r="X409" s="37">
        <f t="shared" si="562"/>
        <v>0</v>
      </c>
      <c r="Y409" s="37">
        <f>VLOOKUP($C409,COS!$B$8:$H$991,4,FALSE)</f>
        <v>0</v>
      </c>
      <c r="Z409" s="37">
        <f t="shared" si="563"/>
        <v>0</v>
      </c>
      <c r="AA409" s="37">
        <f t="shared" si="649"/>
        <v>0</v>
      </c>
      <c r="AB409" s="38">
        <f t="shared" si="650"/>
        <v>0</v>
      </c>
    </row>
    <row r="410" spans="1:28" x14ac:dyDescent="0.3">
      <c r="A410" s="27">
        <f>VLOOKUP(YEAR(C410),Flags!$A$13:$B$95,2,FALSE)</f>
        <v>3</v>
      </c>
      <c r="B410" s="28">
        <f t="shared" si="637"/>
        <v>1966</v>
      </c>
      <c r="C410" s="29">
        <v>24227</v>
      </c>
      <c r="D410" s="30">
        <f>VLOOKUP($C410,COS!$B$8:$H$991,3,FALSE)</f>
        <v>4292.888671875</v>
      </c>
      <c r="E410" s="28">
        <f>IF(D410&gt;=IF(MONTH($C410)=4,$C$3,IF(MONTH($C410)=5,$C$4,IF(MONTH($C410)=6,$C$5,IF(MONTH($C410)=7,$C$6,"ERROR")))),1,0)</f>
        <v>0</v>
      </c>
      <c r="F410" s="30">
        <f>VLOOKUP($C410,COS!$B$8:$H$991,7,FALSE)</f>
        <v>49.869205474853516</v>
      </c>
      <c r="G410" s="28">
        <f>IF(F410&lt;=IF(MONTH($C410)=4,$F$3,IF(MONTH($C410)=5,$F$4,IF(MONTH($C410)=6,$F$5,IF(MONTH($C410)=7,$F$6,"ERROR")))),1,0)</f>
        <v>1</v>
      </c>
      <c r="H410" s="30">
        <f>IF(J410=1,D410-$C$3,0)</f>
        <v>0</v>
      </c>
      <c r="I410" s="30">
        <f t="shared" si="558"/>
        <v>0</v>
      </c>
      <c r="J410" s="28">
        <f t="shared" ref="J410:J413" si="652">IF(AND(E410=1,G410=1),1,0)</f>
        <v>0</v>
      </c>
      <c r="K410" s="30">
        <f>VLOOKUP($C410,COS!$B$8:$H$991,2,FALSE)</f>
        <v>4552</v>
      </c>
      <c r="L410" s="28">
        <f t="shared" ref="L410" si="653">IF(K410&lt;=IF(MONTH($C410)=4,$I$3,IF(MONTH($C410)=5,$I$4,IF(MONTH($C410)=6,$I$5,IF(MONTH($C410)=7,$I$6,"ERROR")))),1,0)</f>
        <v>1</v>
      </c>
      <c r="M410" s="28">
        <f t="shared" ref="M410" si="654">VLOOKUP($A410,$L$3:$M$7,2,FALSE)</f>
        <v>0</v>
      </c>
      <c r="N410" s="30">
        <f>VLOOKUP($C410,COS!$B$8:$H$991,5,FALSE)</f>
        <v>529.82769775390625</v>
      </c>
      <c r="O410" s="30">
        <f t="shared" ref="O410:O413" si="655">N410*DAY($C410)*86400/43560/1000</f>
        <v>31.526937387009298</v>
      </c>
      <c r="P410" s="30">
        <f>VLOOKUP($C410,COS!$B$8:$H$991,6,FALSE)</f>
        <v>552.3431396484375</v>
      </c>
      <c r="Q410" s="30">
        <f t="shared" ref="Q410:Q413" si="656">P410*DAY($C410)*86400/43560/1000</f>
        <v>32.86669921875</v>
      </c>
      <c r="R410" s="30">
        <f>MIN(IF(MONTH($C410)=4,$S$3,IF(MONTH($C410)=5,$S$4,IF(MONTH($C410)=6,$S$5,IF(MONTH($C410)=7,$S$6,"ERROR")))),MAX(VLOOKUP($C410,COS!$B$8:$K$991,10,FALSE)-IF(MONTH($C410)=4,$Y$3,IF(MONTH($C410)=5,$Y$4,IF(MONTH($C410)=6,$Y$5,IF(MONTH($C410)=7,$Y$6,"ERROR")))),0),MAX(VLOOKUP($C410,COS!$B$8:$K$991,9,FALSE)-IF(MONTH($C410)=4,$V$3,IF(MONTH($C410)=5,$V$4,IF(MONTH($C410)=6,$V$5,IF(MONTH($C410)=7,$V$6,"ERROR"))))-VLOOKUP($C410,COS!$B$8:$K$991,6,FALSE)/2,0))</f>
        <v>1500</v>
      </c>
      <c r="S410" s="30">
        <f t="shared" ref="S410:S413" si="657">R410*DAY($C410)*86400/43560/1000</f>
        <v>89.256198347107429</v>
      </c>
      <c r="T410" s="30">
        <f t="shared" ref="T410:T413" si="658">(O410+Q410)/2+S410</f>
        <v>121.45301664998708</v>
      </c>
      <c r="U410" s="30" t="str">
        <f>IF(VLOOKUP($C410,COS!$B$8:$I$991,8,FALSE)=1,"UWFE","IBU")</f>
        <v>UWFE</v>
      </c>
      <c r="V410" s="30">
        <f t="shared" ref="V410" si="659">MIN(IF(IF($AA$3=2,AND(E410=1,G410=1,L410=1,L415=1,M410=1,U410="IBU"),AND(E410=1,G410=1,L410=1,L415=1,M410=1)),T410,0),I410)</f>
        <v>0</v>
      </c>
      <c r="W410" s="30"/>
      <c r="X410" s="30"/>
      <c r="Y410" s="30"/>
      <c r="Z410" s="30"/>
      <c r="AA410" s="30"/>
      <c r="AB410" s="31"/>
    </row>
    <row r="411" spans="1:28" x14ac:dyDescent="0.3">
      <c r="A411" s="32">
        <f>VLOOKUP(YEAR(C411),Flags!$A$13:$B$95,2,FALSE)</f>
        <v>3</v>
      </c>
      <c r="B411" s="24">
        <f t="shared" si="637"/>
        <v>1966</v>
      </c>
      <c r="C411" s="25">
        <v>24258</v>
      </c>
      <c r="D411" s="26">
        <f>VLOOKUP($C411,COS!$B$8:$H$991,3,FALSE)</f>
        <v>8730.6591796875</v>
      </c>
      <c r="E411" s="24">
        <f>IF(D411&gt;=IF(MONTH($C411)=4,$C$3,IF(MONTH($C411)=5,$C$4,IF(MONTH($C411)=6,$C$5,IF(MONTH($C411)=7,$C$6,"ERROR")))),1,0)</f>
        <v>1</v>
      </c>
      <c r="F411" s="26">
        <f>VLOOKUP($C411,COS!$B$8:$H$991,7,FALSE)</f>
        <v>49.472553253173828</v>
      </c>
      <c r="G411" s="24">
        <f>IF(F411&lt;=IF(MONTH($C411)=4,$F$3,IF(MONTH($C411)=5,$F$4,IF(MONTH($C411)=6,$F$5,IF(MONTH($C411)=7,$F$6,"ERROR")))),1,0)</f>
        <v>1</v>
      </c>
      <c r="H411" s="26">
        <f>IF(J411=1,D411-$C$4,0)</f>
        <v>2730.6591796875</v>
      </c>
      <c r="I411" s="26">
        <f t="shared" si="558"/>
        <v>167.90168840392562</v>
      </c>
      <c r="J411" s="24">
        <f t="shared" si="652"/>
        <v>1</v>
      </c>
      <c r="K411" s="26">
        <f>VLOOKUP($C411,COS!$B$8:$H$991,2,FALSE)</f>
        <v>4347.7724609375</v>
      </c>
      <c r="L411" s="24">
        <f t="shared" si="639"/>
        <v>1</v>
      </c>
      <c r="M411" s="24">
        <f t="shared" si="640"/>
        <v>0</v>
      </c>
      <c r="N411" s="26">
        <f>VLOOKUP($C411,COS!$B$8:$H$991,5,FALSE)</f>
        <v>640.74652099609375</v>
      </c>
      <c r="O411" s="26">
        <f t="shared" si="655"/>
        <v>39.397967902569732</v>
      </c>
      <c r="P411" s="26">
        <f>VLOOKUP($C411,COS!$B$8:$H$991,6,FALSE)</f>
        <v>2340.425048828125</v>
      </c>
      <c r="Q411" s="26">
        <f t="shared" si="656"/>
        <v>143.90712696926653</v>
      </c>
      <c r="R411" s="26">
        <f>MIN(IF(MONTH($C411)=4,$S$3,IF(MONTH($C411)=5,$S$4,IF(MONTH($C411)=6,$S$5,IF(MONTH($C411)=7,$S$6,"ERROR")))),MAX(VLOOKUP($C411,COS!$B$8:$K$991,10,FALSE)-IF(MONTH($C411)=4,$Y$3,IF(MONTH($C411)=5,$Y$4,IF(MONTH($C411)=6,$Y$5,IF(MONTH($C411)=7,$Y$6,"ERROR")))),0),MAX(VLOOKUP($C411,COS!$B$8:$K$991,9,FALSE)-IF(MONTH($C411)=4,$V$3,IF(MONTH($C411)=5,$V$4,IF(MONTH($C411)=6,$V$5,IF(MONTH($C411)=7,$V$6,"ERROR"))))-VLOOKUP($C411,COS!$B$8:$K$991,6,FALSE)/2,0))</f>
        <v>1500</v>
      </c>
      <c r="S411" s="26">
        <f t="shared" si="657"/>
        <v>92.231404958677686</v>
      </c>
      <c r="T411" s="26">
        <f t="shared" si="658"/>
        <v>183.88395239459584</v>
      </c>
      <c r="U411" s="26" t="str">
        <f>IF(VLOOKUP($C411,COS!$B$8:$I$991,8,FALSE)=1,"UWFE","IBU")</f>
        <v>IBU</v>
      </c>
      <c r="V411" s="26">
        <f t="shared" ref="V411" si="660">MIN(IF(IF($AA$3=2,AND(E411=1,G411=1,L411=1,L415=1,M411=1,U411="IBU"),AND(E411=1,G411=1,L411=1,L415=1,M411=1)),T411,0),I411)</f>
        <v>0</v>
      </c>
      <c r="W411" s="26"/>
      <c r="X411" s="26"/>
      <c r="Y411" s="26"/>
      <c r="Z411" s="26"/>
      <c r="AA411" s="26"/>
      <c r="AB411" s="33"/>
    </row>
    <row r="412" spans="1:28" x14ac:dyDescent="0.3">
      <c r="A412" s="32">
        <f>VLOOKUP(YEAR(C412),Flags!$A$13:$B$95,2,FALSE)</f>
        <v>3</v>
      </c>
      <c r="B412" s="24">
        <f t="shared" si="637"/>
        <v>1966</v>
      </c>
      <c r="C412" s="25">
        <v>24288</v>
      </c>
      <c r="D412" s="26">
        <f>VLOOKUP($C412,COS!$B$8:$H$991,3,FALSE)</f>
        <v>13508.86328125</v>
      </c>
      <c r="E412" s="24">
        <f>IF(D412&gt;=IF(MONTH($C412)=4,$C$3,IF(MONTH($C412)=5,$C$4,IF(MONTH($C412)=6,$C$5,IF(MONTH($C412)=7,$C$6,"ERROR")))),1,0)</f>
        <v>1</v>
      </c>
      <c r="F412" s="26">
        <f>VLOOKUP($C412,COS!$B$8:$H$991,7,FALSE)</f>
        <v>49.86444091796875</v>
      </c>
      <c r="G412" s="24">
        <f>IF(F412&lt;=IF(MONTH($C412)=4,$F$3,IF(MONTH($C412)=5,$F$4,IF(MONTH($C412)=6,$F$5,IF(MONTH($C412)=7,$F$6,"ERROR")))),1,0)</f>
        <v>1</v>
      </c>
      <c r="H412" s="26">
        <f>IF(J412=1,D412-$C$5,0)</f>
        <v>3508.86328125</v>
      </c>
      <c r="I412" s="26">
        <f t="shared" ref="I412:I475" si="661">H412*DAY($C412)*86400/43560/1000</f>
        <v>208.79186466942147</v>
      </c>
      <c r="J412" s="24">
        <f t="shared" si="652"/>
        <v>1</v>
      </c>
      <c r="K412" s="26">
        <f>VLOOKUP($C412,COS!$B$8:$H$991,2,FALSE)</f>
        <v>3800.234375</v>
      </c>
      <c r="L412" s="24">
        <f t="shared" si="639"/>
        <v>1</v>
      </c>
      <c r="M412" s="24">
        <f t="shared" si="640"/>
        <v>0</v>
      </c>
      <c r="N412" s="26">
        <f>VLOOKUP($C412,COS!$B$8:$H$991,5,FALSE)</f>
        <v>770.628173828125</v>
      </c>
      <c r="O412" s="26">
        <f t="shared" si="655"/>
        <v>45.85556075671488</v>
      </c>
      <c r="P412" s="26">
        <f>VLOOKUP($C412,COS!$B$8:$H$991,6,FALSE)</f>
        <v>2661.6142578125</v>
      </c>
      <c r="Q412" s="26">
        <f t="shared" si="656"/>
        <v>158.37704674586777</v>
      </c>
      <c r="R412" s="26">
        <f>MIN(IF(MONTH($C412)=4,$S$3,IF(MONTH($C412)=5,$S$4,IF(MONTH($C412)=6,$S$5,IF(MONTH($C412)=7,$S$6,"ERROR")))),MAX(VLOOKUP($C412,COS!$B$8:$K$991,10,FALSE)-IF(MONTH($C412)=4,$Y$3,IF(MONTH($C412)=5,$Y$4,IF(MONTH($C412)=6,$Y$5,IF(MONTH($C412)=7,$Y$6,"ERROR")))),0),MAX(VLOOKUP($C412,COS!$B$8:$K$991,9,FALSE)-IF(MONTH($C412)=4,$V$3,IF(MONTH($C412)=5,$V$4,IF(MONTH($C412)=6,$V$5,IF(MONTH($C412)=7,$V$6,"ERROR"))))-VLOOKUP($C412,COS!$B$8:$K$991,6,FALSE)/2,0))</f>
        <v>1500</v>
      </c>
      <c r="S412" s="26">
        <f t="shared" si="657"/>
        <v>89.256198347107429</v>
      </c>
      <c r="T412" s="26">
        <f t="shared" si="658"/>
        <v>191.37250209839874</v>
      </c>
      <c r="U412" s="26" t="str">
        <f>IF(VLOOKUP($C412,COS!$B$8:$I$991,8,FALSE)=1,"UWFE","IBU")</f>
        <v>IBU</v>
      </c>
      <c r="V412" s="26">
        <f t="shared" ref="V412" si="662">MIN(IF(IF($AA$3=2,AND(E412=1,G412=1,L412=1,L415=1,M412=1,U412="IBU"),AND(E412=1,G412=1,L412=1,L415=1,M412=1)),T412,0),I412)</f>
        <v>0</v>
      </c>
      <c r="W412" s="26"/>
      <c r="X412" s="26"/>
      <c r="Y412" s="26"/>
      <c r="Z412" s="26"/>
      <c r="AA412" s="26"/>
      <c r="AB412" s="33"/>
    </row>
    <row r="413" spans="1:28" x14ac:dyDescent="0.3">
      <c r="A413" s="32">
        <f>VLOOKUP(YEAR(C413),Flags!$A$13:$B$95,2,FALSE)</f>
        <v>3</v>
      </c>
      <c r="B413" s="24">
        <f t="shared" si="637"/>
        <v>1966</v>
      </c>
      <c r="C413" s="25">
        <v>24319</v>
      </c>
      <c r="D413" s="26">
        <f>VLOOKUP($C413,COS!$B$8:$H$991,3,FALSE)</f>
        <v>16000</v>
      </c>
      <c r="E413" s="24">
        <f>IF(D413&gt;=IF(MONTH($C413)=4,$C$3,IF(MONTH($C413)=5,$C$4,IF(MONTH($C413)=6,$C$5,IF(MONTH($C413)=7,$C$6,"ERROR")))),1,0)</f>
        <v>1</v>
      </c>
      <c r="F413" s="26">
        <f>VLOOKUP($C413,COS!$B$8:$H$991,7,FALSE)</f>
        <v>50.834873199462891</v>
      </c>
      <c r="G413" s="24">
        <f>IF(F413&lt;=IF(MONTH($C413)=4,$F$3,IF(MONTH($C413)=5,$F$4,IF(MONTH($C413)=6,$F$5,IF(MONTH($C413)=7,$F$6,"ERROR")))),1,0)</f>
        <v>1</v>
      </c>
      <c r="H413" s="26">
        <f>IF(J413=1,D413-$C$6,0)</f>
        <v>4000</v>
      </c>
      <c r="I413" s="26">
        <f t="shared" si="661"/>
        <v>245.95041322314049</v>
      </c>
      <c r="J413" s="24">
        <f t="shared" si="652"/>
        <v>1</v>
      </c>
      <c r="K413" s="26">
        <f>VLOOKUP($C413,COS!$B$8:$H$991,2,FALSE)</f>
        <v>3119.609375</v>
      </c>
      <c r="L413" s="24">
        <f t="shared" si="639"/>
        <v>1</v>
      </c>
      <c r="M413" s="24">
        <f t="shared" si="640"/>
        <v>0</v>
      </c>
      <c r="N413" s="26">
        <f>VLOOKUP($C413,COS!$B$8:$H$991,5,FALSE)</f>
        <v>838.9403076171875</v>
      </c>
      <c r="O413" s="26">
        <f t="shared" si="655"/>
        <v>51.584428831998963</v>
      </c>
      <c r="P413" s="26">
        <f>VLOOKUP($C413,COS!$B$8:$H$991,6,FALSE)</f>
        <v>2521.163330078125</v>
      </c>
      <c r="Q413" s="26">
        <f t="shared" si="656"/>
        <v>155.02029070893593</v>
      </c>
      <c r="R413" s="26">
        <f>MIN(IF(MONTH($C413)=4,$S$3,IF(MONTH($C413)=5,$S$4,IF(MONTH($C413)=6,$S$5,IF(MONTH($C413)=7,$S$6,"ERROR")))),MAX(VLOOKUP($C413,COS!$B$8:$K$991,10,FALSE)-IF(MONTH($C413)=4,$Y$3,IF(MONTH($C413)=5,$Y$4,IF(MONTH($C413)=6,$Y$5,IF(MONTH($C413)=7,$Y$6,"ERROR")))),0),MAX(VLOOKUP($C413,COS!$B$8:$K$991,9,FALSE)-IF(MONTH($C413)=4,$V$3,IF(MONTH($C413)=5,$V$4,IF(MONTH($C413)=6,$V$5,IF(MONTH($C413)=7,$V$6,"ERROR"))))-VLOOKUP($C413,COS!$B$8:$K$991,6,FALSE)/2,0))</f>
        <v>1500</v>
      </c>
      <c r="S413" s="26">
        <f t="shared" si="657"/>
        <v>92.231404958677686</v>
      </c>
      <c r="T413" s="26">
        <f t="shared" si="658"/>
        <v>195.53376472914513</v>
      </c>
      <c r="U413" s="26" t="str">
        <f>IF(VLOOKUP($C413,COS!$B$8:$I$991,8,FALSE)=1,"UWFE","IBU")</f>
        <v>IBU</v>
      </c>
      <c r="V413" s="26">
        <f t="shared" ref="V413" si="663">MIN(IF(IF($AA$3=2,AND(E413=1,G413=1,L413=1,L415=1,M413=1,U413="IBU"),AND(E413=1,G413=1,L413=1,L415=1,M413=1)),T413,0),I413)</f>
        <v>0</v>
      </c>
      <c r="W413" s="26"/>
      <c r="X413" s="26"/>
      <c r="Y413" s="26"/>
      <c r="Z413" s="26"/>
      <c r="AA413" s="26"/>
      <c r="AB413" s="33"/>
    </row>
    <row r="414" spans="1:28" x14ac:dyDescent="0.3">
      <c r="A414" s="32">
        <f>VLOOKUP(YEAR(C414),Flags!$A$13:$B$95,2,FALSE)</f>
        <v>3</v>
      </c>
      <c r="B414" s="24">
        <f t="shared" si="637"/>
        <v>1966</v>
      </c>
      <c r="C414" s="25">
        <v>24350</v>
      </c>
      <c r="D414" s="26"/>
      <c r="E414" s="24"/>
      <c r="F414" s="26"/>
      <c r="G414" s="24"/>
      <c r="H414" s="24"/>
      <c r="I414" s="26"/>
      <c r="J414" s="24"/>
      <c r="K414" s="26"/>
      <c r="L414" s="24"/>
      <c r="M414" s="24"/>
      <c r="N414" s="26"/>
      <c r="O414" s="26"/>
      <c r="P414" s="26"/>
      <c r="Q414" s="26"/>
      <c r="R414" s="26"/>
      <c r="S414" s="26"/>
      <c r="T414" s="26"/>
      <c r="U414" s="26"/>
      <c r="V414" s="26"/>
      <c r="W414" s="26">
        <f>MAX($C$7-VLOOKUP($C414,COS!$B$8:$H$991,3,FALSE),0)</f>
        <v>87234.4794921875</v>
      </c>
      <c r="X414" s="26">
        <f t="shared" si="562"/>
        <v>5363.8390696022725</v>
      </c>
      <c r="Y414" s="26">
        <f>VLOOKUP($C414,COS!$B$8:$H$991,4,FALSE)</f>
        <v>442.35452270507813</v>
      </c>
      <c r="Z414" s="26">
        <f t="shared" si="563"/>
        <v>27.199319412609761</v>
      </c>
      <c r="AA414" s="26">
        <f t="shared" ref="AA414:AA418" si="664">MIN(W414,Y414)</f>
        <v>442.35452270507813</v>
      </c>
      <c r="AB414" s="33">
        <f t="shared" ref="AB414" si="665">AA414*DAY($C414)*86400/43560/1000*IF(MONTH($C414)=8,$P$3,IF(MONTH($C414)=9,$P$4,IF(MONTH($C414)=10,$P$5,IF(MONTH($C414)=11,$P$6,IF(MONTH($C414)=12,$P$7,NA())))))</f>
        <v>27.199319412609761</v>
      </c>
    </row>
    <row r="415" spans="1:28" x14ac:dyDescent="0.3">
      <c r="A415" s="32">
        <f>VLOOKUP(YEAR(C415),Flags!$A$13:$B$95,2,FALSE)</f>
        <v>3</v>
      </c>
      <c r="B415" s="24">
        <f t="shared" si="637"/>
        <v>1966</v>
      </c>
      <c r="C415" s="25">
        <v>24380</v>
      </c>
      <c r="D415" s="26"/>
      <c r="E415" s="24"/>
      <c r="F415" s="26"/>
      <c r="G415" s="24"/>
      <c r="H415" s="24"/>
      <c r="I415" s="26"/>
      <c r="J415" s="24"/>
      <c r="K415" s="26">
        <f>VLOOKUP($C415,COS!$B$8:$H$991,2,FALSE)</f>
        <v>2583.3671875</v>
      </c>
      <c r="L415" s="24">
        <f t="shared" ref="L415" si="666">IF(AND(K415&gt;$I$7,K415&lt;$I$8),1,0)</f>
        <v>1</v>
      </c>
      <c r="M415" s="24"/>
      <c r="N415" s="26"/>
      <c r="O415" s="26"/>
      <c r="P415" s="26"/>
      <c r="Q415" s="26"/>
      <c r="R415" s="26"/>
      <c r="S415" s="26"/>
      <c r="T415" s="26"/>
      <c r="U415" s="26"/>
      <c r="V415" s="26"/>
      <c r="W415" s="26">
        <f>MAX($C$8-VLOOKUP($C415,COS!$B$8:$H$991,3,FALSE),0)</f>
        <v>92546.88525390625</v>
      </c>
      <c r="X415" s="26">
        <f t="shared" ref="X415:X478" si="667">W415*DAY($C415)*86400/43560/1000</f>
        <v>5506.9220977530995</v>
      </c>
      <c r="Y415" s="26">
        <f>VLOOKUP($C415,COS!$B$8:$H$991,4,FALSE)</f>
        <v>418.4725341796875</v>
      </c>
      <c r="Z415" s="26">
        <f t="shared" ref="Z415:Z478" si="668">Y415*DAY($C415)*86400/43560/1000</f>
        <v>24.900845009039259</v>
      </c>
      <c r="AA415" s="26">
        <f t="shared" si="664"/>
        <v>418.4725341796875</v>
      </c>
      <c r="AB415" s="33">
        <f t="shared" si="650"/>
        <v>24.900845009039259</v>
      </c>
    </row>
    <row r="416" spans="1:28" x14ac:dyDescent="0.3">
      <c r="A416" s="32">
        <f>VLOOKUP(YEAR(C416),Flags!$A$13:$B$95,2,FALSE)</f>
        <v>3</v>
      </c>
      <c r="B416" s="24">
        <f t="shared" si="637"/>
        <v>1966</v>
      </c>
      <c r="C416" s="25">
        <v>24411</v>
      </c>
      <c r="D416" s="26"/>
      <c r="E416" s="24"/>
      <c r="F416" s="26"/>
      <c r="G416" s="26"/>
      <c r="H416" s="26"/>
      <c r="I416" s="26"/>
      <c r="J416" s="26"/>
      <c r="K416" s="26"/>
      <c r="L416" s="24"/>
      <c r="M416" s="24"/>
      <c r="N416" s="26"/>
      <c r="O416" s="26"/>
      <c r="P416" s="26"/>
      <c r="Q416" s="26"/>
      <c r="R416" s="26"/>
      <c r="S416" s="26"/>
      <c r="T416" s="26"/>
      <c r="U416" s="26"/>
      <c r="V416" s="26"/>
      <c r="W416" s="26">
        <f>MAX($C$9-VLOOKUP($C416,COS!$B$8:$H$991,3,FALSE),0)</f>
        <v>93829.6923828125</v>
      </c>
      <c r="X416" s="26">
        <f t="shared" si="667"/>
        <v>5769.3629035382237</v>
      </c>
      <c r="Y416" s="26">
        <f>VLOOKUP($C416,COS!$B$8:$H$991,4,FALSE)</f>
        <v>1319.8214111328125</v>
      </c>
      <c r="Z416" s="26">
        <f t="shared" si="668"/>
        <v>81.15265536221591</v>
      </c>
      <c r="AA416" s="26">
        <f t="shared" si="664"/>
        <v>1319.8214111328125</v>
      </c>
      <c r="AB416" s="33">
        <f t="shared" si="650"/>
        <v>81.15265536221591</v>
      </c>
    </row>
    <row r="417" spans="1:28" x14ac:dyDescent="0.3">
      <c r="A417" s="32">
        <f>VLOOKUP(YEAR(C417),Flags!$A$13:$B$95,2,FALSE)</f>
        <v>3</v>
      </c>
      <c r="B417" s="24">
        <f t="shared" si="637"/>
        <v>1966</v>
      </c>
      <c r="C417" s="25">
        <v>24441</v>
      </c>
      <c r="D417" s="26"/>
      <c r="E417" s="24"/>
      <c r="F417" s="26"/>
      <c r="G417" s="26"/>
      <c r="H417" s="26"/>
      <c r="I417" s="26"/>
      <c r="J417" s="26"/>
      <c r="K417" s="26"/>
      <c r="L417" s="24"/>
      <c r="M417" s="24"/>
      <c r="N417" s="26"/>
      <c r="O417" s="26"/>
      <c r="P417" s="26"/>
      <c r="Q417" s="26"/>
      <c r="R417" s="26"/>
      <c r="S417" s="26"/>
      <c r="T417" s="26"/>
      <c r="U417" s="26"/>
      <c r="V417" s="26"/>
      <c r="W417" s="26">
        <f>MAX($C$10-VLOOKUP($C417,COS!$B$8:$H$991,3,FALSE),0)</f>
        <v>96749</v>
      </c>
      <c r="X417" s="26">
        <f t="shared" si="667"/>
        <v>5756.965289256198</v>
      </c>
      <c r="Y417" s="26">
        <f>VLOOKUP($C417,COS!$B$8:$H$991,4,FALSE)</f>
        <v>1161.37109375</v>
      </c>
      <c r="Z417" s="26">
        <f t="shared" si="668"/>
        <v>69.10637913223141</v>
      </c>
      <c r="AA417" s="26">
        <f t="shared" si="664"/>
        <v>1161.37109375</v>
      </c>
      <c r="AB417" s="33">
        <f t="shared" si="650"/>
        <v>34.553189566115705</v>
      </c>
    </row>
    <row r="418" spans="1:28" x14ac:dyDescent="0.3">
      <c r="A418" s="34">
        <f>VLOOKUP(YEAR(C418),Flags!$A$13:$B$95,2,FALSE)</f>
        <v>3</v>
      </c>
      <c r="B418" s="35">
        <f t="shared" si="637"/>
        <v>1966</v>
      </c>
      <c r="C418" s="36">
        <v>24472</v>
      </c>
      <c r="D418" s="37"/>
      <c r="E418" s="35"/>
      <c r="F418" s="37"/>
      <c r="G418" s="37"/>
      <c r="H418" s="37"/>
      <c r="I418" s="37"/>
      <c r="J418" s="37"/>
      <c r="K418" s="37"/>
      <c r="L418" s="35"/>
      <c r="M418" s="35"/>
      <c r="N418" s="37"/>
      <c r="O418" s="37"/>
      <c r="P418" s="37"/>
      <c r="Q418" s="37"/>
      <c r="R418" s="37"/>
      <c r="S418" s="37"/>
      <c r="T418" s="37"/>
      <c r="U418" s="37"/>
      <c r="V418" s="37"/>
      <c r="W418" s="37">
        <f>MAX($C$11-VLOOKUP($C418,COS!$B$8:$H$991,3,FALSE),0)</f>
        <v>0</v>
      </c>
      <c r="X418" s="37">
        <f t="shared" si="667"/>
        <v>0</v>
      </c>
      <c r="Y418" s="37">
        <f>VLOOKUP($C418,COS!$B$8:$H$991,4,FALSE)</f>
        <v>0</v>
      </c>
      <c r="Z418" s="37">
        <f t="shared" si="668"/>
        <v>0</v>
      </c>
      <c r="AA418" s="37">
        <f t="shared" si="664"/>
        <v>0</v>
      </c>
      <c r="AB418" s="38">
        <f t="shared" si="650"/>
        <v>0</v>
      </c>
    </row>
    <row r="419" spans="1:28" x14ac:dyDescent="0.3">
      <c r="A419" s="27">
        <f>VLOOKUP(YEAR(C419),Flags!$A$13:$B$95,2,FALSE)</f>
        <v>1</v>
      </c>
      <c r="B419" s="28">
        <f t="shared" si="637"/>
        <v>1967</v>
      </c>
      <c r="C419" s="29">
        <v>24592</v>
      </c>
      <c r="D419" s="30">
        <f>VLOOKUP($C419,COS!$B$8:$H$991,3,FALSE)</f>
        <v>10209.6708984375</v>
      </c>
      <c r="E419" s="28">
        <f>IF(D419&gt;=IF(MONTH($C419)=4,$C$3,IF(MONTH($C419)=5,$C$4,IF(MONTH($C419)=6,$C$5,IF(MONTH($C419)=7,$C$6,"ERROR")))),1,0)</f>
        <v>1</v>
      </c>
      <c r="F419" s="30">
        <f>VLOOKUP($C419,COS!$B$8:$H$991,7,FALSE)</f>
        <v>47.143501281738281</v>
      </c>
      <c r="G419" s="28">
        <f>IF(F419&lt;=IF(MONTH($C419)=4,$F$3,IF(MONTH($C419)=5,$F$4,IF(MONTH($C419)=6,$F$5,IF(MONTH($C419)=7,$F$6,"ERROR")))),1,0)</f>
        <v>1</v>
      </c>
      <c r="H419" s="30">
        <f>IF(J419=1,D419-$C$3,0)</f>
        <v>4209.6708984375</v>
      </c>
      <c r="I419" s="30">
        <f t="shared" si="661"/>
        <v>250.49281379132231</v>
      </c>
      <c r="J419" s="28">
        <f t="shared" ref="J419:J422" si="669">IF(AND(E419=1,G419=1),1,0)</f>
        <v>1</v>
      </c>
      <c r="K419" s="30">
        <f>VLOOKUP($C419,COS!$B$8:$H$991,2,FALSE)</f>
        <v>4479</v>
      </c>
      <c r="L419" s="28">
        <f t="shared" ref="L419" si="670">IF(K419&lt;=IF(MONTH($C419)=4,$I$3,IF(MONTH($C419)=5,$I$4,IF(MONTH($C419)=6,$I$5,IF(MONTH($C419)=7,$I$6,"ERROR")))),1,0)</f>
        <v>1</v>
      </c>
      <c r="M419" s="28">
        <f t="shared" ref="M419" si="671">VLOOKUP($A419,$L$3:$M$7,2,FALSE)</f>
        <v>0</v>
      </c>
      <c r="N419" s="30">
        <f>VLOOKUP($C419,COS!$B$8:$H$991,5,FALSE)</f>
        <v>39.870414733886719</v>
      </c>
      <c r="O419" s="30">
        <f t="shared" ref="O419:O422" si="672">N419*DAY($C419)*86400/43560/1000</f>
        <v>2.3724544304461519</v>
      </c>
      <c r="P419" s="30">
        <f>VLOOKUP($C419,COS!$B$8:$H$991,6,FALSE)</f>
        <v>237.42314147949219</v>
      </c>
      <c r="Q419" s="30">
        <f t="shared" ref="Q419:Q422" si="673">P419*DAY($C419)*86400/43560/1000</f>
        <v>14.127658005391272</v>
      </c>
      <c r="R419" s="30">
        <f>MIN(IF(MONTH($C419)=4,$S$3,IF(MONTH($C419)=5,$S$4,IF(MONTH($C419)=6,$S$5,IF(MONTH($C419)=7,$S$6,"ERROR")))),MAX(VLOOKUP($C419,COS!$B$8:$K$991,10,FALSE)-IF(MONTH($C419)=4,$Y$3,IF(MONTH($C419)=5,$Y$4,IF(MONTH($C419)=6,$Y$5,IF(MONTH($C419)=7,$Y$6,"ERROR")))),0),MAX(VLOOKUP($C419,COS!$B$8:$K$991,9,FALSE)-IF(MONTH($C419)=4,$V$3,IF(MONTH($C419)=5,$V$4,IF(MONTH($C419)=6,$V$5,IF(MONTH($C419)=7,$V$6,"ERROR"))))-VLOOKUP($C419,COS!$B$8:$K$991,6,FALSE)/2,0))</f>
        <v>1500</v>
      </c>
      <c r="S419" s="30">
        <f t="shared" ref="S419:S422" si="674">R419*DAY($C419)*86400/43560/1000</f>
        <v>89.256198347107429</v>
      </c>
      <c r="T419" s="30">
        <f t="shared" ref="T419:T422" si="675">(O419+Q419)/2+S419</f>
        <v>97.50625456502614</v>
      </c>
      <c r="U419" s="30" t="str">
        <f>IF(VLOOKUP($C419,COS!$B$8:$I$991,8,FALSE)=1,"UWFE","IBU")</f>
        <v>UWFE</v>
      </c>
      <c r="V419" s="30">
        <f t="shared" ref="V419" si="676">MIN(IF(IF($AA$3=2,AND(E419=1,G419=1,L419=1,L424=1,M419=1,U419="IBU"),AND(E419=1,G419=1,L419=1,L424=1,M419=1)),T419,0),I419)</f>
        <v>0</v>
      </c>
      <c r="W419" s="30"/>
      <c r="X419" s="30"/>
      <c r="Y419" s="30"/>
      <c r="Z419" s="30"/>
      <c r="AA419" s="30"/>
      <c r="AB419" s="31"/>
    </row>
    <row r="420" spans="1:28" x14ac:dyDescent="0.3">
      <c r="A420" s="32">
        <f>VLOOKUP(YEAR(C420),Flags!$A$13:$B$95,2,FALSE)</f>
        <v>1</v>
      </c>
      <c r="B420" s="24">
        <f t="shared" si="637"/>
        <v>1967</v>
      </c>
      <c r="C420" s="25">
        <v>24623</v>
      </c>
      <c r="D420" s="26">
        <f>VLOOKUP($C420,COS!$B$8:$H$991,3,FALSE)</f>
        <v>12507.45703125</v>
      </c>
      <c r="E420" s="24">
        <f>IF(D420&gt;=IF(MONTH($C420)=4,$C$3,IF(MONTH($C420)=5,$C$4,IF(MONTH($C420)=6,$C$5,IF(MONTH($C420)=7,$C$6,"ERROR")))),1,0)</f>
        <v>1</v>
      </c>
      <c r="F420" s="26">
        <f>VLOOKUP($C420,COS!$B$8:$H$991,7,FALSE)</f>
        <v>48.993885040283203</v>
      </c>
      <c r="G420" s="24">
        <f>IF(F420&lt;=IF(MONTH($C420)=4,$F$3,IF(MONTH($C420)=5,$F$4,IF(MONTH($C420)=6,$F$5,IF(MONTH($C420)=7,$F$6,"ERROR")))),1,0)</f>
        <v>1</v>
      </c>
      <c r="H420" s="26">
        <f>IF(J420=1,D420-$C$4,0)</f>
        <v>6507.45703125</v>
      </c>
      <c r="I420" s="26">
        <f t="shared" si="661"/>
        <v>400.12793646694212</v>
      </c>
      <c r="J420" s="24">
        <f t="shared" si="669"/>
        <v>1</v>
      </c>
      <c r="K420" s="26">
        <f>VLOOKUP($C420,COS!$B$8:$H$991,2,FALSE)</f>
        <v>4552</v>
      </c>
      <c r="L420" s="24">
        <f t="shared" si="639"/>
        <v>1</v>
      </c>
      <c r="M420" s="24">
        <f t="shared" si="640"/>
        <v>0</v>
      </c>
      <c r="N420" s="26">
        <f>VLOOKUP($C420,COS!$B$8:$H$991,5,FALSE)</f>
        <v>634.8349609375</v>
      </c>
      <c r="O420" s="26">
        <f t="shared" si="672"/>
        <v>39.034480242768595</v>
      </c>
      <c r="P420" s="26">
        <f>VLOOKUP($C420,COS!$B$8:$H$991,6,FALSE)</f>
        <v>2252.28564453125</v>
      </c>
      <c r="Q420" s="26">
        <f t="shared" si="673"/>
        <v>138.48764624225205</v>
      </c>
      <c r="R420" s="26">
        <f>MIN(IF(MONTH($C420)=4,$S$3,IF(MONTH($C420)=5,$S$4,IF(MONTH($C420)=6,$S$5,IF(MONTH($C420)=7,$S$6,"ERROR")))),MAX(VLOOKUP($C420,COS!$B$8:$K$991,10,FALSE)-IF(MONTH($C420)=4,$Y$3,IF(MONTH($C420)=5,$Y$4,IF(MONTH($C420)=6,$Y$5,IF(MONTH($C420)=7,$Y$6,"ERROR")))),0),MAX(VLOOKUP($C420,COS!$B$8:$K$991,9,FALSE)-IF(MONTH($C420)=4,$V$3,IF(MONTH($C420)=5,$V$4,IF(MONTH($C420)=6,$V$5,IF(MONTH($C420)=7,$V$6,"ERROR"))))-VLOOKUP($C420,COS!$B$8:$K$991,6,FALSE)/2,0))</f>
        <v>1500</v>
      </c>
      <c r="S420" s="26">
        <f t="shared" si="674"/>
        <v>92.231404958677686</v>
      </c>
      <c r="T420" s="26">
        <f t="shared" si="675"/>
        <v>180.99246820118799</v>
      </c>
      <c r="U420" s="26" t="str">
        <f>IF(VLOOKUP($C420,COS!$B$8:$I$991,8,FALSE)=1,"UWFE","IBU")</f>
        <v>UWFE</v>
      </c>
      <c r="V420" s="26">
        <f t="shared" ref="V420" si="677">MIN(IF(IF($AA$3=2,AND(E420=1,G420=1,L420=1,L424=1,M420=1,U420="IBU"),AND(E420=1,G420=1,L420=1,L424=1,M420=1)),T420,0),I420)</f>
        <v>0</v>
      </c>
      <c r="W420" s="26"/>
      <c r="X420" s="26"/>
      <c r="Y420" s="26"/>
      <c r="Z420" s="26"/>
      <c r="AA420" s="26"/>
      <c r="AB420" s="33"/>
    </row>
    <row r="421" spans="1:28" x14ac:dyDescent="0.3">
      <c r="A421" s="32">
        <f>VLOOKUP(YEAR(C421),Flags!$A$13:$B$95,2,FALSE)</f>
        <v>1</v>
      </c>
      <c r="B421" s="24">
        <f t="shared" si="637"/>
        <v>1967</v>
      </c>
      <c r="C421" s="25">
        <v>24653</v>
      </c>
      <c r="D421" s="26">
        <f>VLOOKUP($C421,COS!$B$8:$H$991,3,FALSE)</f>
        <v>8491.80078125</v>
      </c>
      <c r="E421" s="24">
        <f>IF(D421&gt;=IF(MONTH($C421)=4,$C$3,IF(MONTH($C421)=5,$C$4,IF(MONTH($C421)=6,$C$5,IF(MONTH($C421)=7,$C$6,"ERROR")))),1,0)</f>
        <v>0</v>
      </c>
      <c r="F421" s="26">
        <f>VLOOKUP($C421,COS!$B$8:$H$991,7,FALSE)</f>
        <v>51.173347473144531</v>
      </c>
      <c r="G421" s="24">
        <f>IF(F421&lt;=IF(MONTH($C421)=4,$F$3,IF(MONTH($C421)=5,$F$4,IF(MONTH($C421)=6,$F$5,IF(MONTH($C421)=7,$F$6,"ERROR")))),1,0)</f>
        <v>1</v>
      </c>
      <c r="H421" s="26">
        <f>IF(J421=1,D421-$C$5,0)</f>
        <v>0</v>
      </c>
      <c r="I421" s="26">
        <f t="shared" si="661"/>
        <v>0</v>
      </c>
      <c r="J421" s="24">
        <f t="shared" si="669"/>
        <v>0</v>
      </c>
      <c r="K421" s="26">
        <f>VLOOKUP($C421,COS!$B$8:$H$991,2,FALSE)</f>
        <v>4500</v>
      </c>
      <c r="L421" s="24">
        <f t="shared" si="639"/>
        <v>1</v>
      </c>
      <c r="M421" s="24">
        <f t="shared" si="640"/>
        <v>0</v>
      </c>
      <c r="N421" s="26">
        <f>VLOOKUP($C421,COS!$B$8:$H$991,5,FALSE)</f>
        <v>937.7822265625</v>
      </c>
      <c r="O421" s="26">
        <f t="shared" si="672"/>
        <v>55.801917613636363</v>
      </c>
      <c r="P421" s="26">
        <f>VLOOKUP($C421,COS!$B$8:$H$991,6,FALSE)</f>
        <v>2001.16455078125</v>
      </c>
      <c r="Q421" s="26">
        <f t="shared" si="673"/>
        <v>119.0775600464876</v>
      </c>
      <c r="R421" s="26">
        <f>MIN(IF(MONTH($C421)=4,$S$3,IF(MONTH($C421)=5,$S$4,IF(MONTH($C421)=6,$S$5,IF(MONTH($C421)=7,$S$6,"ERROR")))),MAX(VLOOKUP($C421,COS!$B$8:$K$991,10,FALSE)-IF(MONTH($C421)=4,$Y$3,IF(MONTH($C421)=5,$Y$4,IF(MONTH($C421)=6,$Y$5,IF(MONTH($C421)=7,$Y$6,"ERROR")))),0),MAX(VLOOKUP($C421,COS!$B$8:$K$991,9,FALSE)-IF(MONTH($C421)=4,$V$3,IF(MONTH($C421)=5,$V$4,IF(MONTH($C421)=6,$V$5,IF(MONTH($C421)=7,$V$6,"ERROR"))))-VLOOKUP($C421,COS!$B$8:$K$991,6,FALSE)/2,0))</f>
        <v>1500</v>
      </c>
      <c r="S421" s="26">
        <f t="shared" si="674"/>
        <v>89.256198347107429</v>
      </c>
      <c r="T421" s="26">
        <f t="shared" si="675"/>
        <v>176.69593717716941</v>
      </c>
      <c r="U421" s="26" t="str">
        <f>IF(VLOOKUP($C421,COS!$B$8:$I$991,8,FALSE)=1,"UWFE","IBU")</f>
        <v>UWFE</v>
      </c>
      <c r="V421" s="26">
        <f t="shared" ref="V421" si="678">MIN(IF(IF($AA$3=2,AND(E421=1,G421=1,L421=1,L424=1,M421=1,U421="IBU"),AND(E421=1,G421=1,L421=1,L424=1,M421=1)),T421,0),I421)</f>
        <v>0</v>
      </c>
      <c r="W421" s="26"/>
      <c r="X421" s="26"/>
      <c r="Y421" s="26"/>
      <c r="Z421" s="26"/>
      <c r="AA421" s="26"/>
      <c r="AB421" s="33"/>
    </row>
    <row r="422" spans="1:28" x14ac:dyDescent="0.3">
      <c r="A422" s="32">
        <f>VLOOKUP(YEAR(C422),Flags!$A$13:$B$95,2,FALSE)</f>
        <v>1</v>
      </c>
      <c r="B422" s="24">
        <f t="shared" si="637"/>
        <v>1967</v>
      </c>
      <c r="C422" s="25">
        <v>24684</v>
      </c>
      <c r="D422" s="26">
        <f>VLOOKUP($C422,COS!$B$8:$H$991,3,FALSE)</f>
        <v>11558.0478515625</v>
      </c>
      <c r="E422" s="24">
        <f>IF(D422&gt;=IF(MONTH($C422)=4,$C$3,IF(MONTH($C422)=5,$C$4,IF(MONTH($C422)=6,$C$5,IF(MONTH($C422)=7,$C$6,"ERROR")))),1,0)</f>
        <v>0</v>
      </c>
      <c r="F422" s="26">
        <f>VLOOKUP($C422,COS!$B$8:$H$991,7,FALSE)</f>
        <v>52.531658172607422</v>
      </c>
      <c r="G422" s="24">
        <f>IF(F422&lt;=IF(MONTH($C422)=4,$F$3,IF(MONTH($C422)=5,$F$4,IF(MONTH($C422)=6,$F$5,IF(MONTH($C422)=7,$F$6,"ERROR")))),1,0)</f>
        <v>1</v>
      </c>
      <c r="H422" s="26">
        <f>IF(J422=1,D422-$C$6,0)</f>
        <v>0</v>
      </c>
      <c r="I422" s="26">
        <f t="shared" si="661"/>
        <v>0</v>
      </c>
      <c r="J422" s="24">
        <f t="shared" si="669"/>
        <v>0</v>
      </c>
      <c r="K422" s="26">
        <f>VLOOKUP($C422,COS!$B$8:$H$991,2,FALSE)</f>
        <v>4019.93115234375</v>
      </c>
      <c r="L422" s="24">
        <f t="shared" si="639"/>
        <v>1</v>
      </c>
      <c r="M422" s="24">
        <f t="shared" si="640"/>
        <v>0</v>
      </c>
      <c r="N422" s="26">
        <f>VLOOKUP($C422,COS!$B$8:$H$991,5,FALSE)</f>
        <v>1366.88818359375</v>
      </c>
      <c r="O422" s="26">
        <f t="shared" si="672"/>
        <v>84.046678396177683</v>
      </c>
      <c r="P422" s="26">
        <f>VLOOKUP($C422,COS!$B$8:$H$991,6,FALSE)</f>
        <v>2516.8701171875</v>
      </c>
      <c r="Q422" s="26">
        <f t="shared" si="673"/>
        <v>154.75631133780993</v>
      </c>
      <c r="R422" s="26">
        <f>MIN(IF(MONTH($C422)=4,$S$3,IF(MONTH($C422)=5,$S$4,IF(MONTH($C422)=6,$S$5,IF(MONTH($C422)=7,$S$6,"ERROR")))),MAX(VLOOKUP($C422,COS!$B$8:$K$991,10,FALSE)-IF(MONTH($C422)=4,$Y$3,IF(MONTH($C422)=5,$Y$4,IF(MONTH($C422)=6,$Y$5,IF(MONTH($C422)=7,$Y$6,"ERROR")))),0),MAX(VLOOKUP($C422,COS!$B$8:$K$991,9,FALSE)-IF(MONTH($C422)=4,$V$3,IF(MONTH($C422)=5,$V$4,IF(MONTH($C422)=6,$V$5,IF(MONTH($C422)=7,$V$6,"ERROR"))))-VLOOKUP($C422,COS!$B$8:$K$991,6,FALSE)/2,0))</f>
        <v>1500</v>
      </c>
      <c r="S422" s="26">
        <f t="shared" si="674"/>
        <v>92.231404958677686</v>
      </c>
      <c r="T422" s="26">
        <f t="shared" si="675"/>
        <v>211.63289982567147</v>
      </c>
      <c r="U422" s="26" t="str">
        <f>IF(VLOOKUP($C422,COS!$B$8:$I$991,8,FALSE)=1,"UWFE","IBU")</f>
        <v>UWFE</v>
      </c>
      <c r="V422" s="26">
        <f t="shared" ref="V422" si="679">MIN(IF(IF($AA$3=2,AND(E422=1,G422=1,L422=1,L424=1,M422=1,U422="IBU"),AND(E422=1,G422=1,L422=1,L424=1,M422=1)),T422,0),I422)</f>
        <v>0</v>
      </c>
      <c r="W422" s="26"/>
      <c r="X422" s="26"/>
      <c r="Y422" s="26"/>
      <c r="Z422" s="26"/>
      <c r="AA422" s="26"/>
      <c r="AB422" s="33"/>
    </row>
    <row r="423" spans="1:28" x14ac:dyDescent="0.3">
      <c r="A423" s="32">
        <f>VLOOKUP(YEAR(C423),Flags!$A$13:$B$95,2,FALSE)</f>
        <v>1</v>
      </c>
      <c r="B423" s="24">
        <f t="shared" si="637"/>
        <v>1967</v>
      </c>
      <c r="C423" s="25">
        <v>24715</v>
      </c>
      <c r="D423" s="26"/>
      <c r="E423" s="24"/>
      <c r="F423" s="26"/>
      <c r="G423" s="24"/>
      <c r="H423" s="24"/>
      <c r="I423" s="26"/>
      <c r="J423" s="24"/>
      <c r="K423" s="26"/>
      <c r="L423" s="24"/>
      <c r="M423" s="24"/>
      <c r="N423" s="26"/>
      <c r="O423" s="26"/>
      <c r="P423" s="26"/>
      <c r="Q423" s="26"/>
      <c r="R423" s="26"/>
      <c r="S423" s="26"/>
      <c r="T423" s="26"/>
      <c r="U423" s="26"/>
      <c r="V423" s="26"/>
      <c r="W423" s="26">
        <f>MAX($C$7-VLOOKUP($C423,COS!$B$8:$H$991,3,FALSE),0)</f>
        <v>89940.6201171875</v>
      </c>
      <c r="X423" s="26">
        <f t="shared" si="667"/>
        <v>5530.2331708419424</v>
      </c>
      <c r="Y423" s="26">
        <f>VLOOKUP($C423,COS!$B$8:$H$991,4,FALSE)</f>
        <v>0</v>
      </c>
      <c r="Z423" s="26">
        <f t="shared" si="668"/>
        <v>0</v>
      </c>
      <c r="AA423" s="26">
        <f t="shared" ref="AA423:AA427" si="680">MIN(W423,Y423)</f>
        <v>0</v>
      </c>
      <c r="AB423" s="33">
        <f t="shared" ref="AB423" si="681">AA423*DAY($C423)*86400/43560/1000*IF(MONTH($C423)=8,$P$3,IF(MONTH($C423)=9,$P$4,IF(MONTH($C423)=10,$P$5,IF(MONTH($C423)=11,$P$6,IF(MONTH($C423)=12,$P$7,NA())))))</f>
        <v>0</v>
      </c>
    </row>
    <row r="424" spans="1:28" x14ac:dyDescent="0.3">
      <c r="A424" s="32">
        <f>VLOOKUP(YEAR(C424),Flags!$A$13:$B$95,2,FALSE)</f>
        <v>1</v>
      </c>
      <c r="B424" s="24">
        <f t="shared" si="637"/>
        <v>1967</v>
      </c>
      <c r="C424" s="25">
        <v>24745</v>
      </c>
      <c r="D424" s="26"/>
      <c r="E424" s="24"/>
      <c r="F424" s="26"/>
      <c r="G424" s="24"/>
      <c r="H424" s="24"/>
      <c r="I424" s="26"/>
      <c r="J424" s="24"/>
      <c r="K424" s="26">
        <f>VLOOKUP($C424,COS!$B$8:$H$991,2,FALSE)</f>
        <v>3126.86767578125</v>
      </c>
      <c r="L424" s="24">
        <f t="shared" ref="L424" si="682">IF(AND(K424&gt;$I$7,K424&lt;$I$8),1,0)</f>
        <v>1</v>
      </c>
      <c r="M424" s="24"/>
      <c r="N424" s="26"/>
      <c r="O424" s="26"/>
      <c r="P424" s="26"/>
      <c r="Q424" s="26"/>
      <c r="R424" s="26"/>
      <c r="S424" s="26"/>
      <c r="T424" s="26"/>
      <c r="U424" s="26"/>
      <c r="V424" s="26"/>
      <c r="W424" s="26">
        <f>MAX($C$8-VLOOKUP($C424,COS!$B$8:$H$991,3,FALSE),0)</f>
        <v>84275.95703125</v>
      </c>
      <c r="X424" s="26">
        <f t="shared" si="667"/>
        <v>5014.7676911157023</v>
      </c>
      <c r="Y424" s="26">
        <f>VLOOKUP($C424,COS!$B$8:$H$991,4,FALSE)</f>
        <v>0</v>
      </c>
      <c r="Z424" s="26">
        <f t="shared" si="668"/>
        <v>0</v>
      </c>
      <c r="AA424" s="26">
        <f t="shared" si="680"/>
        <v>0</v>
      </c>
      <c r="AB424" s="33">
        <f t="shared" si="650"/>
        <v>0</v>
      </c>
    </row>
    <row r="425" spans="1:28" x14ac:dyDescent="0.3">
      <c r="A425" s="32">
        <f>VLOOKUP(YEAR(C425),Flags!$A$13:$B$95,2,FALSE)</f>
        <v>1</v>
      </c>
      <c r="B425" s="24">
        <f t="shared" si="637"/>
        <v>1967</v>
      </c>
      <c r="C425" s="25">
        <v>24776</v>
      </c>
      <c r="D425" s="26"/>
      <c r="E425" s="24"/>
      <c r="F425" s="26"/>
      <c r="G425" s="26"/>
      <c r="H425" s="26"/>
      <c r="I425" s="26"/>
      <c r="J425" s="26"/>
      <c r="K425" s="26"/>
      <c r="L425" s="24"/>
      <c r="M425" s="24"/>
      <c r="N425" s="26"/>
      <c r="O425" s="26"/>
      <c r="P425" s="26"/>
      <c r="Q425" s="26"/>
      <c r="R425" s="26"/>
      <c r="S425" s="26"/>
      <c r="T425" s="26"/>
      <c r="U425" s="26"/>
      <c r="V425" s="26"/>
      <c r="W425" s="26">
        <f>MAX($C$9-VLOOKUP($C425,COS!$B$8:$H$991,3,FALSE),0)</f>
        <v>94715.58154296875</v>
      </c>
      <c r="X425" s="26">
        <f t="shared" si="667"/>
        <v>5823.8341047908061</v>
      </c>
      <c r="Y425" s="26">
        <f>VLOOKUP($C425,COS!$B$8:$H$991,4,FALSE)</f>
        <v>302.17996215820313</v>
      </c>
      <c r="Z425" s="26">
        <f t="shared" si="668"/>
        <v>18.580321640140756</v>
      </c>
      <c r="AA425" s="26">
        <f t="shared" si="680"/>
        <v>302.17996215820313</v>
      </c>
      <c r="AB425" s="33">
        <f t="shared" si="650"/>
        <v>18.580321640140756</v>
      </c>
    </row>
    <row r="426" spans="1:28" x14ac:dyDescent="0.3">
      <c r="A426" s="32">
        <f>VLOOKUP(YEAR(C426),Flags!$A$13:$B$95,2,FALSE)</f>
        <v>1</v>
      </c>
      <c r="B426" s="24">
        <f t="shared" si="637"/>
        <v>1967</v>
      </c>
      <c r="C426" s="25">
        <v>24806</v>
      </c>
      <c r="D426" s="26"/>
      <c r="E426" s="24"/>
      <c r="F426" s="26"/>
      <c r="G426" s="26"/>
      <c r="H426" s="26"/>
      <c r="I426" s="26"/>
      <c r="J426" s="26"/>
      <c r="K426" s="26"/>
      <c r="L426" s="24"/>
      <c r="M426" s="24"/>
      <c r="N426" s="26"/>
      <c r="O426" s="26"/>
      <c r="P426" s="26"/>
      <c r="Q426" s="26"/>
      <c r="R426" s="26"/>
      <c r="S426" s="26"/>
      <c r="T426" s="26"/>
      <c r="U426" s="26"/>
      <c r="V426" s="26"/>
      <c r="W426" s="26">
        <f>MAX($C$10-VLOOKUP($C426,COS!$B$8:$H$991,3,FALSE),0)</f>
        <v>91235.603515625</v>
      </c>
      <c r="X426" s="26">
        <f t="shared" si="667"/>
        <v>5428.895415805785</v>
      </c>
      <c r="Y426" s="26">
        <f>VLOOKUP($C426,COS!$B$8:$H$991,4,FALSE)</f>
        <v>1725.1964111328125</v>
      </c>
      <c r="Z426" s="26">
        <f t="shared" si="668"/>
        <v>102.65631537319214</v>
      </c>
      <c r="AA426" s="26">
        <f t="shared" si="680"/>
        <v>1725.1964111328125</v>
      </c>
      <c r="AB426" s="33">
        <f t="shared" si="650"/>
        <v>51.328157686596072</v>
      </c>
    </row>
    <row r="427" spans="1:28" x14ac:dyDescent="0.3">
      <c r="A427" s="34">
        <f>VLOOKUP(YEAR(C427),Flags!$A$13:$B$95,2,FALSE)</f>
        <v>1</v>
      </c>
      <c r="B427" s="35">
        <f t="shared" si="637"/>
        <v>1967</v>
      </c>
      <c r="C427" s="36">
        <v>24837</v>
      </c>
      <c r="D427" s="37"/>
      <c r="E427" s="35"/>
      <c r="F427" s="37"/>
      <c r="G427" s="37"/>
      <c r="H427" s="37"/>
      <c r="I427" s="37"/>
      <c r="J427" s="37"/>
      <c r="K427" s="37"/>
      <c r="L427" s="35"/>
      <c r="M427" s="35"/>
      <c r="N427" s="37"/>
      <c r="O427" s="37"/>
      <c r="P427" s="37"/>
      <c r="Q427" s="37"/>
      <c r="R427" s="37"/>
      <c r="S427" s="37"/>
      <c r="T427" s="37"/>
      <c r="U427" s="37"/>
      <c r="V427" s="37"/>
      <c r="W427" s="37">
        <f>MAX($C$11-VLOOKUP($C427,COS!$B$8:$H$991,3,FALSE),0)</f>
        <v>0</v>
      </c>
      <c r="X427" s="37">
        <f t="shared" si="667"/>
        <v>0</v>
      </c>
      <c r="Y427" s="37">
        <f>VLOOKUP($C427,COS!$B$8:$H$991,4,FALSE)</f>
        <v>0</v>
      </c>
      <c r="Z427" s="37">
        <f t="shared" si="668"/>
        <v>0</v>
      </c>
      <c r="AA427" s="37">
        <f t="shared" si="680"/>
        <v>0</v>
      </c>
      <c r="AB427" s="38">
        <f t="shared" si="650"/>
        <v>0</v>
      </c>
    </row>
    <row r="428" spans="1:28" x14ac:dyDescent="0.3">
      <c r="A428" s="27">
        <f>VLOOKUP(YEAR(C428),Flags!$A$13:$B$95,2,FALSE)</f>
        <v>3</v>
      </c>
      <c r="B428" s="28">
        <f t="shared" si="637"/>
        <v>1968</v>
      </c>
      <c r="C428" s="29">
        <v>24958</v>
      </c>
      <c r="D428" s="30">
        <f>VLOOKUP($C428,COS!$B$8:$H$991,3,FALSE)</f>
        <v>3250</v>
      </c>
      <c r="E428" s="28">
        <f>IF(D428&gt;=IF(MONTH($C428)=4,$C$3,IF(MONTH($C428)=5,$C$4,IF(MONTH($C428)=6,$C$5,IF(MONTH($C428)=7,$C$6,"ERROR")))),1,0)</f>
        <v>0</v>
      </c>
      <c r="F428" s="30">
        <f>VLOOKUP($C428,COS!$B$8:$H$991,7,FALSE)</f>
        <v>51.910366058349609</v>
      </c>
      <c r="G428" s="28">
        <f>IF(F428&lt;=IF(MONTH($C428)=4,$F$3,IF(MONTH($C428)=5,$F$4,IF(MONTH($C428)=6,$F$5,IF(MONTH($C428)=7,$F$6,"ERROR")))),1,0)</f>
        <v>1</v>
      </c>
      <c r="H428" s="30">
        <f>IF(J428=1,D428-$C$3,0)</f>
        <v>0</v>
      </c>
      <c r="I428" s="30">
        <f t="shared" si="661"/>
        <v>0</v>
      </c>
      <c r="J428" s="28">
        <f t="shared" ref="J428:J431" si="683">IF(AND(E428=1,G428=1),1,0)</f>
        <v>0</v>
      </c>
      <c r="K428" s="30">
        <f>VLOOKUP($C428,COS!$B$8:$H$991,2,FALSE)</f>
        <v>4387.3369140625</v>
      </c>
      <c r="L428" s="28">
        <f t="shared" ref="L428" si="684">IF(K428&lt;=IF(MONTH($C428)=4,$I$3,IF(MONTH($C428)=5,$I$4,IF(MONTH($C428)=6,$I$5,IF(MONTH($C428)=7,$I$6,"ERROR")))),1,0)</f>
        <v>1</v>
      </c>
      <c r="M428" s="28">
        <f t="shared" ref="M428" si="685">VLOOKUP($A428,$L$3:$M$7,2,FALSE)</f>
        <v>0</v>
      </c>
      <c r="N428" s="30">
        <f>VLOOKUP($C428,COS!$B$8:$H$991,5,FALSE)</f>
        <v>372.8587646484375</v>
      </c>
      <c r="O428" s="30">
        <f t="shared" ref="O428:O431" si="686">N428*DAY($C428)*86400/43560/1000</f>
        <v>22.186637235278926</v>
      </c>
      <c r="P428" s="30">
        <f>VLOOKUP($C428,COS!$B$8:$H$991,6,FALSE)</f>
        <v>480.01702880859375</v>
      </c>
      <c r="Q428" s="30">
        <f t="shared" ref="Q428:Q431" si="687">P428*DAY($C428)*86400/43560/1000</f>
        <v>28.562996755552685</v>
      </c>
      <c r="R428" s="30">
        <f>MIN(IF(MONTH($C428)=4,$S$3,IF(MONTH($C428)=5,$S$4,IF(MONTH($C428)=6,$S$5,IF(MONTH($C428)=7,$S$6,"ERROR")))),MAX(VLOOKUP($C428,COS!$B$8:$K$991,10,FALSE)-IF(MONTH($C428)=4,$Y$3,IF(MONTH($C428)=5,$Y$4,IF(MONTH($C428)=6,$Y$5,IF(MONTH($C428)=7,$Y$6,"ERROR")))),0),MAX(VLOOKUP($C428,COS!$B$8:$K$991,9,FALSE)-IF(MONTH($C428)=4,$V$3,IF(MONTH($C428)=5,$V$4,IF(MONTH($C428)=6,$V$5,IF(MONTH($C428)=7,$V$6,"ERROR"))))-VLOOKUP($C428,COS!$B$8:$K$991,6,FALSE)/2,0))</f>
        <v>1012.0751953125</v>
      </c>
      <c r="S428" s="30">
        <f t="shared" ref="S428:S431" si="688">R428*DAY($C428)*86400/43560/1000</f>
        <v>60.22265625</v>
      </c>
      <c r="T428" s="30">
        <f t="shared" ref="T428:T431" si="689">(O428+Q428)/2+S428</f>
        <v>85.597473245415813</v>
      </c>
      <c r="U428" s="30" t="str">
        <f>IF(VLOOKUP($C428,COS!$B$8:$I$991,8,FALSE)=1,"UWFE","IBU")</f>
        <v>UWFE</v>
      </c>
      <c r="V428" s="30">
        <f t="shared" ref="V428" si="690">MIN(IF(IF($AA$3=2,AND(E428=1,G428=1,L428=1,L433=1,M428=1,U428="IBU"),AND(E428=1,G428=1,L428=1,L433=1,M428=1)),T428,0),I428)</f>
        <v>0</v>
      </c>
      <c r="W428" s="30"/>
      <c r="X428" s="30"/>
      <c r="Y428" s="30"/>
      <c r="Z428" s="30"/>
      <c r="AA428" s="30"/>
      <c r="AB428" s="31"/>
    </row>
    <row r="429" spans="1:28" x14ac:dyDescent="0.3">
      <c r="A429" s="32">
        <f>VLOOKUP(YEAR(C429),Flags!$A$13:$B$95,2,FALSE)</f>
        <v>3</v>
      </c>
      <c r="B429" s="24">
        <f t="shared" si="637"/>
        <v>1968</v>
      </c>
      <c r="C429" s="25">
        <v>24989</v>
      </c>
      <c r="D429" s="26">
        <f>VLOOKUP($C429,COS!$B$8:$H$991,3,FALSE)</f>
        <v>7092.59228515625</v>
      </c>
      <c r="E429" s="24">
        <f>IF(D429&gt;=IF(MONTH($C429)=4,$C$3,IF(MONTH($C429)=5,$C$4,IF(MONTH($C429)=6,$C$5,IF(MONTH($C429)=7,$C$6,"ERROR")))),1,0)</f>
        <v>1</v>
      </c>
      <c r="F429" s="26">
        <f>VLOOKUP($C429,COS!$B$8:$H$991,7,FALSE)</f>
        <v>51.028709411621094</v>
      </c>
      <c r="G429" s="24">
        <f>IF(F429&lt;=IF(MONTH($C429)=4,$F$3,IF(MONTH($C429)=5,$F$4,IF(MONTH($C429)=6,$F$5,IF(MONTH($C429)=7,$F$6,"ERROR")))),1,0)</f>
        <v>1</v>
      </c>
      <c r="H429" s="26">
        <f>IF(J429=1,D429-$C$4,0)</f>
        <v>1092.59228515625</v>
      </c>
      <c r="I429" s="26">
        <f t="shared" si="661"/>
        <v>67.180881004648768</v>
      </c>
      <c r="J429" s="24">
        <f t="shared" si="683"/>
        <v>1</v>
      </c>
      <c r="K429" s="26">
        <f>VLOOKUP($C429,COS!$B$8:$H$991,2,FALSE)</f>
        <v>4254.63671875</v>
      </c>
      <c r="L429" s="24">
        <f t="shared" si="639"/>
        <v>1</v>
      </c>
      <c r="M429" s="24">
        <f t="shared" si="640"/>
        <v>0</v>
      </c>
      <c r="N429" s="26">
        <f>VLOOKUP($C429,COS!$B$8:$H$991,5,FALSE)</f>
        <v>578.8367919921875</v>
      </c>
      <c r="O429" s="26">
        <f t="shared" si="686"/>
        <v>35.591287044808887</v>
      </c>
      <c r="P429" s="26">
        <f>VLOOKUP($C429,COS!$B$8:$H$991,6,FALSE)</f>
        <v>2198.37158203125</v>
      </c>
      <c r="Q429" s="26">
        <f t="shared" si="687"/>
        <v>135.17259975464876</v>
      </c>
      <c r="R429" s="26">
        <f>MIN(IF(MONTH($C429)=4,$S$3,IF(MONTH($C429)=5,$S$4,IF(MONTH($C429)=6,$S$5,IF(MONTH($C429)=7,$S$6,"ERROR")))),MAX(VLOOKUP($C429,COS!$B$8:$K$991,10,FALSE)-IF(MONTH($C429)=4,$Y$3,IF(MONTH($C429)=5,$Y$4,IF(MONTH($C429)=6,$Y$5,IF(MONTH($C429)=7,$Y$6,"ERROR")))),0),MAX(VLOOKUP($C429,COS!$B$8:$K$991,9,FALSE)-IF(MONTH($C429)=4,$V$3,IF(MONTH($C429)=5,$V$4,IF(MONTH($C429)=6,$V$5,IF(MONTH($C429)=7,$V$6,"ERROR"))))-VLOOKUP($C429,COS!$B$8:$K$991,6,FALSE)/2,0))</f>
        <v>1500</v>
      </c>
      <c r="S429" s="26">
        <f t="shared" si="688"/>
        <v>92.231404958677686</v>
      </c>
      <c r="T429" s="26">
        <f t="shared" si="689"/>
        <v>177.61334835840651</v>
      </c>
      <c r="U429" s="26" t="str">
        <f>IF(VLOOKUP($C429,COS!$B$8:$I$991,8,FALSE)=1,"UWFE","IBU")</f>
        <v>UWFE</v>
      </c>
      <c r="V429" s="26">
        <f t="shared" ref="V429" si="691">MIN(IF(IF($AA$3=2,AND(E429=1,G429=1,L429=1,L433=1,M429=1,U429="IBU"),AND(E429=1,G429=1,L429=1,L433=1,M429=1)),T429,0),I429)</f>
        <v>0</v>
      </c>
      <c r="W429" s="26"/>
      <c r="X429" s="26"/>
      <c r="Y429" s="26"/>
      <c r="Z429" s="26"/>
      <c r="AA429" s="26"/>
      <c r="AB429" s="33"/>
    </row>
    <row r="430" spans="1:28" x14ac:dyDescent="0.3">
      <c r="A430" s="32">
        <f>VLOOKUP(YEAR(C430),Flags!$A$13:$B$95,2,FALSE)</f>
        <v>3</v>
      </c>
      <c r="B430" s="24">
        <f t="shared" si="637"/>
        <v>1968</v>
      </c>
      <c r="C430" s="25">
        <v>25019</v>
      </c>
      <c r="D430" s="26">
        <f>VLOOKUP($C430,COS!$B$8:$H$991,3,FALSE)</f>
        <v>13090.2783203125</v>
      </c>
      <c r="E430" s="24">
        <f>IF(D430&gt;=IF(MONTH($C430)=4,$C$3,IF(MONTH($C430)=5,$C$4,IF(MONTH($C430)=6,$C$5,IF(MONTH($C430)=7,$C$6,"ERROR")))),1,0)</f>
        <v>1</v>
      </c>
      <c r="F430" s="26">
        <f>VLOOKUP($C430,COS!$B$8:$H$991,7,FALSE)</f>
        <v>50.739017486572266</v>
      </c>
      <c r="G430" s="24">
        <f>IF(F430&lt;=IF(MONTH($C430)=4,$F$3,IF(MONTH($C430)=5,$F$4,IF(MONTH($C430)=6,$F$5,IF(MONTH($C430)=7,$F$6,"ERROR")))),1,0)</f>
        <v>1</v>
      </c>
      <c r="H430" s="26">
        <f>IF(J430=1,D430-$C$5,0)</f>
        <v>3090.2783203125</v>
      </c>
      <c r="I430" s="26">
        <f t="shared" si="661"/>
        <v>183.884329803719</v>
      </c>
      <c r="J430" s="24">
        <f t="shared" si="683"/>
        <v>1</v>
      </c>
      <c r="K430" s="26">
        <f>VLOOKUP($C430,COS!$B$8:$H$991,2,FALSE)</f>
        <v>3698.470458984375</v>
      </c>
      <c r="L430" s="24">
        <f t="shared" si="639"/>
        <v>1</v>
      </c>
      <c r="M430" s="24">
        <f t="shared" si="640"/>
        <v>0</v>
      </c>
      <c r="N430" s="26">
        <f>VLOOKUP($C430,COS!$B$8:$H$991,5,FALSE)</f>
        <v>708.03900146484375</v>
      </c>
      <c r="O430" s="26">
        <f t="shared" si="686"/>
        <v>42.131246368155992</v>
      </c>
      <c r="P430" s="26">
        <f>VLOOKUP($C430,COS!$B$8:$H$991,6,FALSE)</f>
        <v>2497.662353515625</v>
      </c>
      <c r="Q430" s="26">
        <f t="shared" si="687"/>
        <v>148.62123095299586</v>
      </c>
      <c r="R430" s="26">
        <f>MIN(IF(MONTH($C430)=4,$S$3,IF(MONTH($C430)=5,$S$4,IF(MONTH($C430)=6,$S$5,IF(MONTH($C430)=7,$S$6,"ERROR")))),MAX(VLOOKUP($C430,COS!$B$8:$K$991,10,FALSE)-IF(MONTH($C430)=4,$Y$3,IF(MONTH($C430)=5,$Y$4,IF(MONTH($C430)=6,$Y$5,IF(MONTH($C430)=7,$Y$6,"ERROR")))),0),MAX(VLOOKUP($C430,COS!$B$8:$K$991,9,FALSE)-IF(MONTH($C430)=4,$V$3,IF(MONTH($C430)=5,$V$4,IF(MONTH($C430)=6,$V$5,IF(MONTH($C430)=7,$V$6,"ERROR"))))-VLOOKUP($C430,COS!$B$8:$K$991,6,FALSE)/2,0))</f>
        <v>1500</v>
      </c>
      <c r="S430" s="26">
        <f t="shared" si="688"/>
        <v>89.256198347107429</v>
      </c>
      <c r="T430" s="26">
        <f t="shared" si="689"/>
        <v>184.63243700768334</v>
      </c>
      <c r="U430" s="26" t="str">
        <f>IF(VLOOKUP($C430,COS!$B$8:$I$991,8,FALSE)=1,"UWFE","IBU")</f>
        <v>IBU</v>
      </c>
      <c r="V430" s="26">
        <f t="shared" ref="V430" si="692">MIN(IF(IF($AA$3=2,AND(E430=1,G430=1,L430=1,L433=1,M430=1,U430="IBU"),AND(E430=1,G430=1,L430=1,L433=1,M430=1)),T430,0),I430)</f>
        <v>0</v>
      </c>
      <c r="W430" s="26"/>
      <c r="X430" s="26"/>
      <c r="Y430" s="26"/>
      <c r="Z430" s="26"/>
      <c r="AA430" s="26"/>
      <c r="AB430" s="33"/>
    </row>
    <row r="431" spans="1:28" x14ac:dyDescent="0.3">
      <c r="A431" s="32">
        <f>VLOOKUP(YEAR(C431),Flags!$A$13:$B$95,2,FALSE)</f>
        <v>3</v>
      </c>
      <c r="B431" s="24">
        <f t="shared" si="637"/>
        <v>1968</v>
      </c>
      <c r="C431" s="25">
        <v>25050</v>
      </c>
      <c r="D431" s="26">
        <f>VLOOKUP($C431,COS!$B$8:$H$991,3,FALSE)</f>
        <v>16000</v>
      </c>
      <c r="E431" s="24">
        <f>IF(D431&gt;=IF(MONTH($C431)=4,$C$3,IF(MONTH($C431)=5,$C$4,IF(MONTH($C431)=6,$C$5,IF(MONTH($C431)=7,$C$6,"ERROR")))),1,0)</f>
        <v>1</v>
      </c>
      <c r="F431" s="26">
        <f>VLOOKUP($C431,COS!$B$8:$H$991,7,FALSE)</f>
        <v>51.892650604248047</v>
      </c>
      <c r="G431" s="24">
        <f>IF(F431&lt;=IF(MONTH($C431)=4,$F$3,IF(MONTH($C431)=5,$F$4,IF(MONTH($C431)=6,$F$5,IF(MONTH($C431)=7,$F$6,"ERROR")))),1,0)</f>
        <v>1</v>
      </c>
      <c r="H431" s="26">
        <f>IF(J431=1,D431-$C$6,0)</f>
        <v>4000</v>
      </c>
      <c r="I431" s="26">
        <f t="shared" si="661"/>
        <v>245.95041322314049</v>
      </c>
      <c r="J431" s="24">
        <f t="shared" si="683"/>
        <v>1</v>
      </c>
      <c r="K431" s="26">
        <f>VLOOKUP($C431,COS!$B$8:$H$991,2,FALSE)</f>
        <v>3020.87158203125</v>
      </c>
      <c r="L431" s="24">
        <f t="shared" si="639"/>
        <v>1</v>
      </c>
      <c r="M431" s="24">
        <f t="shared" si="640"/>
        <v>0</v>
      </c>
      <c r="N431" s="26">
        <f>VLOOKUP($C431,COS!$B$8:$H$991,5,FALSE)</f>
        <v>869.43463134765625</v>
      </c>
      <c r="O431" s="26">
        <f t="shared" si="686"/>
        <v>53.459451712616215</v>
      </c>
      <c r="P431" s="26">
        <f>VLOOKUP($C431,COS!$B$8:$H$991,6,FALSE)</f>
        <v>2537.385498046875</v>
      </c>
      <c r="Q431" s="26">
        <f t="shared" si="687"/>
        <v>156.01775293775825</v>
      </c>
      <c r="R431" s="26">
        <f>MIN(IF(MONTH($C431)=4,$S$3,IF(MONTH($C431)=5,$S$4,IF(MONTH($C431)=6,$S$5,IF(MONTH($C431)=7,$S$6,"ERROR")))),MAX(VLOOKUP($C431,COS!$B$8:$K$991,10,FALSE)-IF(MONTH($C431)=4,$Y$3,IF(MONTH($C431)=5,$Y$4,IF(MONTH($C431)=6,$Y$5,IF(MONTH($C431)=7,$Y$6,"ERROR")))),0),MAX(VLOOKUP($C431,COS!$B$8:$K$991,9,FALSE)-IF(MONTH($C431)=4,$V$3,IF(MONTH($C431)=5,$V$4,IF(MONTH($C431)=6,$V$5,IF(MONTH($C431)=7,$V$6,"ERROR"))))-VLOOKUP($C431,COS!$B$8:$K$991,6,FALSE)/2,0))</f>
        <v>1500</v>
      </c>
      <c r="S431" s="26">
        <f t="shared" si="688"/>
        <v>92.231404958677686</v>
      </c>
      <c r="T431" s="26">
        <f t="shared" si="689"/>
        <v>196.9700072838649</v>
      </c>
      <c r="U431" s="26" t="str">
        <f>IF(VLOOKUP($C431,COS!$B$8:$I$991,8,FALSE)=1,"UWFE","IBU")</f>
        <v>IBU</v>
      </c>
      <c r="V431" s="26">
        <f t="shared" ref="V431" si="693">MIN(IF(IF($AA$3=2,AND(E431=1,G431=1,L431=1,L433=1,M431=1,U431="IBU"),AND(E431=1,G431=1,L431=1,L433=1,M431=1)),T431,0),I431)</f>
        <v>0</v>
      </c>
      <c r="W431" s="26"/>
      <c r="X431" s="26"/>
      <c r="Y431" s="26"/>
      <c r="Z431" s="26"/>
      <c r="AA431" s="26"/>
      <c r="AB431" s="33"/>
    </row>
    <row r="432" spans="1:28" x14ac:dyDescent="0.3">
      <c r="A432" s="32">
        <f>VLOOKUP(YEAR(C432),Flags!$A$13:$B$95,2,FALSE)</f>
        <v>3</v>
      </c>
      <c r="B432" s="24">
        <f t="shared" si="637"/>
        <v>1968</v>
      </c>
      <c r="C432" s="25">
        <v>25081</v>
      </c>
      <c r="D432" s="26"/>
      <c r="E432" s="24"/>
      <c r="F432" s="26"/>
      <c r="G432" s="24"/>
      <c r="H432" s="24"/>
      <c r="I432" s="26"/>
      <c r="J432" s="24"/>
      <c r="K432" s="26"/>
      <c r="L432" s="24"/>
      <c r="M432" s="24"/>
      <c r="N432" s="26"/>
      <c r="O432" s="26"/>
      <c r="P432" s="26"/>
      <c r="Q432" s="26"/>
      <c r="R432" s="26"/>
      <c r="S432" s="26"/>
      <c r="T432" s="26"/>
      <c r="U432" s="26"/>
      <c r="V432" s="26"/>
      <c r="W432" s="26">
        <f>MAX($C$7-VLOOKUP($C432,COS!$B$8:$H$991,3,FALSE),0)</f>
        <v>91885.423828125</v>
      </c>
      <c r="X432" s="26">
        <f t="shared" si="667"/>
        <v>5649.8144899276858</v>
      </c>
      <c r="Y432" s="26">
        <f>VLOOKUP($C432,COS!$B$8:$H$991,4,FALSE)</f>
        <v>520.4456787109375</v>
      </c>
      <c r="Z432" s="26">
        <f t="shared" si="668"/>
        <v>32.000957434788219</v>
      </c>
      <c r="AA432" s="26">
        <f t="shared" ref="AA432:AA436" si="694">MIN(W432,Y432)</f>
        <v>520.4456787109375</v>
      </c>
      <c r="AB432" s="33">
        <f t="shared" ref="AB432" si="695">AA432*DAY($C432)*86400/43560/1000*IF(MONTH($C432)=8,$P$3,IF(MONTH($C432)=9,$P$4,IF(MONTH($C432)=10,$P$5,IF(MONTH($C432)=11,$P$6,IF(MONTH($C432)=12,$P$7,NA())))))</f>
        <v>32.000957434788219</v>
      </c>
    </row>
    <row r="433" spans="1:28" x14ac:dyDescent="0.3">
      <c r="A433" s="32">
        <f>VLOOKUP(YEAR(C433),Flags!$A$13:$B$95,2,FALSE)</f>
        <v>3</v>
      </c>
      <c r="B433" s="24">
        <f t="shared" si="637"/>
        <v>1968</v>
      </c>
      <c r="C433" s="25">
        <v>25111</v>
      </c>
      <c r="D433" s="26"/>
      <c r="E433" s="24"/>
      <c r="F433" s="26"/>
      <c r="G433" s="24"/>
      <c r="H433" s="24"/>
      <c r="I433" s="26"/>
      <c r="J433" s="24"/>
      <c r="K433" s="26">
        <f>VLOOKUP($C433,COS!$B$8:$H$991,2,FALSE)</f>
        <v>2794.065185546875</v>
      </c>
      <c r="L433" s="24">
        <f t="shared" ref="L433" si="696">IF(AND(K433&gt;$I$7,K433&lt;$I$8),1,0)</f>
        <v>1</v>
      </c>
      <c r="M433" s="24"/>
      <c r="N433" s="26"/>
      <c r="O433" s="26"/>
      <c r="P433" s="26"/>
      <c r="Q433" s="26"/>
      <c r="R433" s="26"/>
      <c r="S433" s="26"/>
      <c r="T433" s="26"/>
      <c r="U433" s="26"/>
      <c r="V433" s="26"/>
      <c r="W433" s="26">
        <f>MAX($C$8-VLOOKUP($C433,COS!$B$8:$H$991,3,FALSE),0)</f>
        <v>93395.6298828125</v>
      </c>
      <c r="X433" s="26">
        <f t="shared" si="667"/>
        <v>5557.4259103822315</v>
      </c>
      <c r="Y433" s="26">
        <f>VLOOKUP($C433,COS!$B$8:$H$991,4,FALSE)</f>
        <v>164.13697814941406</v>
      </c>
      <c r="Z433" s="26">
        <f t="shared" si="668"/>
        <v>9.76682845186596</v>
      </c>
      <c r="AA433" s="26">
        <f t="shared" si="694"/>
        <v>164.13697814941406</v>
      </c>
      <c r="AB433" s="33">
        <f t="shared" si="650"/>
        <v>9.76682845186596</v>
      </c>
    </row>
    <row r="434" spans="1:28" x14ac:dyDescent="0.3">
      <c r="A434" s="32">
        <f>VLOOKUP(YEAR(C434),Flags!$A$13:$B$95,2,FALSE)</f>
        <v>3</v>
      </c>
      <c r="B434" s="24">
        <f t="shared" si="637"/>
        <v>1968</v>
      </c>
      <c r="C434" s="25">
        <v>25142</v>
      </c>
      <c r="D434" s="26"/>
      <c r="E434" s="24"/>
      <c r="F434" s="26"/>
      <c r="G434" s="26"/>
      <c r="H434" s="26"/>
      <c r="I434" s="26"/>
      <c r="J434" s="26"/>
      <c r="K434" s="26"/>
      <c r="L434" s="24"/>
      <c r="M434" s="24"/>
      <c r="N434" s="26"/>
      <c r="O434" s="26"/>
      <c r="P434" s="26"/>
      <c r="Q434" s="26"/>
      <c r="R434" s="26"/>
      <c r="S434" s="26"/>
      <c r="T434" s="26"/>
      <c r="U434" s="26"/>
      <c r="V434" s="26"/>
      <c r="W434" s="26">
        <f>MAX($C$9-VLOOKUP($C434,COS!$B$8:$H$991,3,FALSE),0)</f>
        <v>94950.54296875</v>
      </c>
      <c r="X434" s="26">
        <f t="shared" si="667"/>
        <v>5838.2813197314053</v>
      </c>
      <c r="Y434" s="26">
        <f>VLOOKUP($C434,COS!$B$8:$H$991,4,FALSE)</f>
        <v>1019.0936889648438</v>
      </c>
      <c r="Z434" s="26">
        <f t="shared" si="668"/>
        <v>62.661628478499487</v>
      </c>
      <c r="AA434" s="26">
        <f t="shared" si="694"/>
        <v>1019.0936889648438</v>
      </c>
      <c r="AB434" s="33">
        <f t="shared" si="650"/>
        <v>62.661628478499487</v>
      </c>
    </row>
    <row r="435" spans="1:28" x14ac:dyDescent="0.3">
      <c r="A435" s="32">
        <f>VLOOKUP(YEAR(C435),Flags!$A$13:$B$95,2,FALSE)</f>
        <v>3</v>
      </c>
      <c r="B435" s="24">
        <f t="shared" si="637"/>
        <v>1968</v>
      </c>
      <c r="C435" s="25">
        <v>25172</v>
      </c>
      <c r="D435" s="26"/>
      <c r="E435" s="24"/>
      <c r="F435" s="26"/>
      <c r="G435" s="26"/>
      <c r="H435" s="26"/>
      <c r="I435" s="26"/>
      <c r="J435" s="26"/>
      <c r="K435" s="26"/>
      <c r="L435" s="24"/>
      <c r="M435" s="24"/>
      <c r="N435" s="26"/>
      <c r="O435" s="26"/>
      <c r="P435" s="26"/>
      <c r="Q435" s="26"/>
      <c r="R435" s="26"/>
      <c r="S435" s="26"/>
      <c r="T435" s="26"/>
      <c r="U435" s="26"/>
      <c r="V435" s="26"/>
      <c r="W435" s="26">
        <f>MAX($C$10-VLOOKUP($C435,COS!$B$8:$H$991,3,FALSE),0)</f>
        <v>96749</v>
      </c>
      <c r="X435" s="26">
        <f t="shared" si="667"/>
        <v>5756.965289256198</v>
      </c>
      <c r="Y435" s="26">
        <f>VLOOKUP($C435,COS!$B$8:$H$991,4,FALSE)</f>
        <v>448.95883178710938</v>
      </c>
      <c r="Z435" s="26">
        <f t="shared" si="668"/>
        <v>26.714905693117252</v>
      </c>
      <c r="AA435" s="26">
        <f t="shared" si="694"/>
        <v>448.95883178710938</v>
      </c>
      <c r="AB435" s="33">
        <f t="shared" si="650"/>
        <v>13.357452846558626</v>
      </c>
    </row>
    <row r="436" spans="1:28" x14ac:dyDescent="0.3">
      <c r="A436" s="34">
        <f>VLOOKUP(YEAR(C436),Flags!$A$13:$B$95,2,FALSE)</f>
        <v>3</v>
      </c>
      <c r="B436" s="35">
        <f t="shared" si="637"/>
        <v>1968</v>
      </c>
      <c r="C436" s="36">
        <v>25203</v>
      </c>
      <c r="D436" s="37"/>
      <c r="E436" s="35"/>
      <c r="F436" s="37"/>
      <c r="G436" s="37"/>
      <c r="H436" s="37"/>
      <c r="I436" s="37"/>
      <c r="J436" s="37"/>
      <c r="K436" s="37"/>
      <c r="L436" s="35"/>
      <c r="M436" s="35"/>
      <c r="N436" s="37"/>
      <c r="O436" s="37"/>
      <c r="P436" s="37"/>
      <c r="Q436" s="37"/>
      <c r="R436" s="37"/>
      <c r="S436" s="37"/>
      <c r="T436" s="37"/>
      <c r="U436" s="37"/>
      <c r="V436" s="37"/>
      <c r="W436" s="37">
        <f>MAX($C$11-VLOOKUP($C436,COS!$B$8:$H$991,3,FALSE),0)</f>
        <v>0</v>
      </c>
      <c r="X436" s="37">
        <f t="shared" si="667"/>
        <v>0</v>
      </c>
      <c r="Y436" s="37">
        <f>VLOOKUP($C436,COS!$B$8:$H$991,4,FALSE)</f>
        <v>0</v>
      </c>
      <c r="Z436" s="37">
        <f t="shared" si="668"/>
        <v>0</v>
      </c>
      <c r="AA436" s="37">
        <f t="shared" si="694"/>
        <v>0</v>
      </c>
      <c r="AB436" s="38">
        <f t="shared" si="650"/>
        <v>0</v>
      </c>
    </row>
    <row r="437" spans="1:28" x14ac:dyDescent="0.3">
      <c r="A437" s="27">
        <f>VLOOKUP(YEAR(C437),Flags!$A$13:$B$95,2,FALSE)</f>
        <v>1</v>
      </c>
      <c r="B437" s="28">
        <f t="shared" si="637"/>
        <v>1969</v>
      </c>
      <c r="C437" s="29">
        <v>25323</v>
      </c>
      <c r="D437" s="30">
        <f>VLOOKUP($C437,COS!$B$8:$H$991,3,FALSE)</f>
        <v>9669.7626953125</v>
      </c>
      <c r="E437" s="28">
        <f>IF(D437&gt;=IF(MONTH($C437)=4,$C$3,IF(MONTH($C437)=5,$C$4,IF(MONTH($C437)=6,$C$5,IF(MONTH($C437)=7,$C$6,"ERROR")))),1,0)</f>
        <v>1</v>
      </c>
      <c r="F437" s="30">
        <f>VLOOKUP($C437,COS!$B$8:$H$991,7,FALSE)</f>
        <v>46.990718841552734</v>
      </c>
      <c r="G437" s="28">
        <f>IF(F437&lt;=IF(MONTH($C437)=4,$F$3,IF(MONTH($C437)=5,$F$4,IF(MONTH($C437)=6,$F$5,IF(MONTH($C437)=7,$F$6,"ERROR")))),1,0)</f>
        <v>1</v>
      </c>
      <c r="H437" s="30">
        <f>IF(J437=1,D437-$C$3,0)</f>
        <v>3669.7626953125</v>
      </c>
      <c r="I437" s="30">
        <f t="shared" si="661"/>
        <v>218.36604467975206</v>
      </c>
      <c r="J437" s="28">
        <f t="shared" ref="J437:J440" si="697">IF(AND(E437=1,G437=1),1,0)</f>
        <v>1</v>
      </c>
      <c r="K437" s="30">
        <f>VLOOKUP($C437,COS!$B$8:$H$991,2,FALSE)</f>
        <v>4434</v>
      </c>
      <c r="L437" s="28">
        <f t="shared" ref="L437" si="698">IF(K437&lt;=IF(MONTH($C437)=4,$I$3,IF(MONTH($C437)=5,$I$4,IF(MONTH($C437)=6,$I$5,IF(MONTH($C437)=7,$I$6,"ERROR")))),1,0)</f>
        <v>1</v>
      </c>
      <c r="M437" s="28">
        <f t="shared" ref="M437" si="699">VLOOKUP($A437,$L$3:$M$7,2,FALSE)</f>
        <v>0</v>
      </c>
      <c r="N437" s="30">
        <f>VLOOKUP($C437,COS!$B$8:$H$991,5,FALSE)</f>
        <v>171.73318481445313</v>
      </c>
      <c r="O437" s="30">
        <f t="shared" ref="O437:O440" si="700">N437*DAY($C437)*86400/43560/1000</f>
        <v>10.218834137719524</v>
      </c>
      <c r="P437" s="30">
        <f>VLOOKUP($C437,COS!$B$8:$H$991,6,FALSE)</f>
        <v>463.4422607421875</v>
      </c>
      <c r="Q437" s="30">
        <f t="shared" ref="Q437:Q440" si="701">P437*DAY($C437)*86400/43560/1000</f>
        <v>27.576729564824383</v>
      </c>
      <c r="R437" s="30">
        <f>MIN(IF(MONTH($C437)=4,$S$3,IF(MONTH($C437)=5,$S$4,IF(MONTH($C437)=6,$S$5,IF(MONTH($C437)=7,$S$6,"ERROR")))),MAX(VLOOKUP($C437,COS!$B$8:$K$991,10,FALSE)-IF(MONTH($C437)=4,$Y$3,IF(MONTH($C437)=5,$Y$4,IF(MONTH($C437)=6,$Y$5,IF(MONTH($C437)=7,$Y$6,"ERROR")))),0),MAX(VLOOKUP($C437,COS!$B$8:$K$991,9,FALSE)-IF(MONTH($C437)=4,$V$3,IF(MONTH($C437)=5,$V$4,IF(MONTH($C437)=6,$V$5,IF(MONTH($C437)=7,$V$6,"ERROR"))))-VLOOKUP($C437,COS!$B$8:$K$991,6,FALSE)/2,0))</f>
        <v>1500</v>
      </c>
      <c r="S437" s="30">
        <f t="shared" ref="S437:S440" si="702">R437*DAY($C437)*86400/43560/1000</f>
        <v>89.256198347107429</v>
      </c>
      <c r="T437" s="30">
        <f t="shared" ref="T437:T440" si="703">(O437+Q437)/2+S437</f>
        <v>108.15398019837939</v>
      </c>
      <c r="U437" s="30" t="str">
        <f>IF(VLOOKUP($C437,COS!$B$8:$I$991,8,FALSE)=1,"UWFE","IBU")</f>
        <v>UWFE</v>
      </c>
      <c r="V437" s="30">
        <f t="shared" ref="V437" si="704">MIN(IF(IF($AA$3=2,AND(E437=1,G437=1,L437=1,L442=1,M437=1,U437="IBU"),AND(E437=1,G437=1,L437=1,L442=1,M437=1)),T437,0),I437)</f>
        <v>0</v>
      </c>
      <c r="W437" s="30"/>
      <c r="X437" s="30"/>
      <c r="Y437" s="30"/>
      <c r="Z437" s="30"/>
      <c r="AA437" s="30"/>
      <c r="AB437" s="31"/>
    </row>
    <row r="438" spans="1:28" x14ac:dyDescent="0.3">
      <c r="A438" s="32">
        <f>VLOOKUP(YEAR(C438),Flags!$A$13:$B$95,2,FALSE)</f>
        <v>1</v>
      </c>
      <c r="B438" s="24">
        <f t="shared" si="637"/>
        <v>1969</v>
      </c>
      <c r="C438" s="25">
        <v>25354</v>
      </c>
      <c r="D438" s="26">
        <f>VLOOKUP($C438,COS!$B$8:$H$991,3,FALSE)</f>
        <v>9579.4580078125</v>
      </c>
      <c r="E438" s="24">
        <f>IF(D438&gt;=IF(MONTH($C438)=4,$C$3,IF(MONTH($C438)=5,$C$4,IF(MONTH($C438)=6,$C$5,IF(MONTH($C438)=7,$C$6,"ERROR")))),1,0)</f>
        <v>1</v>
      </c>
      <c r="F438" s="26">
        <f>VLOOKUP($C438,COS!$B$8:$H$991,7,FALSE)</f>
        <v>48.872310638427734</v>
      </c>
      <c r="G438" s="24">
        <f>IF(F438&lt;=IF(MONTH($C438)=4,$F$3,IF(MONTH($C438)=5,$F$4,IF(MONTH($C438)=6,$F$5,IF(MONTH($C438)=7,$F$6,"ERROR")))),1,0)</f>
        <v>1</v>
      </c>
      <c r="H438" s="26">
        <f>IF(J438=1,D438-$C$4,0)</f>
        <v>3579.4580078125</v>
      </c>
      <c r="I438" s="26">
        <f t="shared" si="661"/>
        <v>220.09229403409091</v>
      </c>
      <c r="J438" s="24">
        <f t="shared" si="697"/>
        <v>1</v>
      </c>
      <c r="K438" s="26">
        <f>VLOOKUP($C438,COS!$B$8:$H$991,2,FALSE)</f>
        <v>4552</v>
      </c>
      <c r="L438" s="24">
        <f t="shared" si="639"/>
        <v>1</v>
      </c>
      <c r="M438" s="24">
        <f t="shared" si="640"/>
        <v>0</v>
      </c>
      <c r="N438" s="26">
        <f>VLOOKUP($C438,COS!$B$8:$H$991,5,FALSE)</f>
        <v>779.53582763671875</v>
      </c>
      <c r="O438" s="26">
        <f t="shared" si="700"/>
        <v>47.931789732373453</v>
      </c>
      <c r="P438" s="26">
        <f>VLOOKUP($C438,COS!$B$8:$H$991,6,FALSE)</f>
        <v>2345.609619140625</v>
      </c>
      <c r="Q438" s="26">
        <f t="shared" si="701"/>
        <v>144.22591377195246</v>
      </c>
      <c r="R438" s="26">
        <f>MIN(IF(MONTH($C438)=4,$S$3,IF(MONTH($C438)=5,$S$4,IF(MONTH($C438)=6,$S$5,IF(MONTH($C438)=7,$S$6,"ERROR")))),MAX(VLOOKUP($C438,COS!$B$8:$K$991,10,FALSE)-IF(MONTH($C438)=4,$Y$3,IF(MONTH($C438)=5,$Y$4,IF(MONTH($C438)=6,$Y$5,IF(MONTH($C438)=7,$Y$6,"ERROR")))),0),MAX(VLOOKUP($C438,COS!$B$8:$K$991,9,FALSE)-IF(MONTH($C438)=4,$V$3,IF(MONTH($C438)=5,$V$4,IF(MONTH($C438)=6,$V$5,IF(MONTH($C438)=7,$V$6,"ERROR"))))-VLOOKUP($C438,COS!$B$8:$K$991,6,FALSE)/2,0))</f>
        <v>1500</v>
      </c>
      <c r="S438" s="26">
        <f t="shared" si="702"/>
        <v>92.231404958677686</v>
      </c>
      <c r="T438" s="26">
        <f t="shared" si="703"/>
        <v>188.31025671084063</v>
      </c>
      <c r="U438" s="26" t="str">
        <f>IF(VLOOKUP($C438,COS!$B$8:$I$991,8,FALSE)=1,"UWFE","IBU")</f>
        <v>UWFE</v>
      </c>
      <c r="V438" s="26">
        <f t="shared" ref="V438" si="705">MIN(IF(IF($AA$3=2,AND(E438=1,G438=1,L438=1,L442=1,M438=1,U438="IBU"),AND(E438=1,G438=1,L438=1,L442=1,M438=1)),T438,0),I438)</f>
        <v>0</v>
      </c>
      <c r="W438" s="26"/>
      <c r="X438" s="26"/>
      <c r="Y438" s="26"/>
      <c r="Z438" s="26"/>
      <c r="AA438" s="26"/>
      <c r="AB438" s="33"/>
    </row>
    <row r="439" spans="1:28" x14ac:dyDescent="0.3">
      <c r="A439" s="32">
        <f>VLOOKUP(YEAR(C439),Flags!$A$13:$B$95,2,FALSE)</f>
        <v>1</v>
      </c>
      <c r="B439" s="24">
        <f t="shared" si="637"/>
        <v>1969</v>
      </c>
      <c r="C439" s="25">
        <v>25384</v>
      </c>
      <c r="D439" s="26">
        <f>VLOOKUP($C439,COS!$B$8:$H$991,3,FALSE)</f>
        <v>8011.47998046875</v>
      </c>
      <c r="E439" s="24">
        <f>IF(D439&gt;=IF(MONTH($C439)=4,$C$3,IF(MONTH($C439)=5,$C$4,IF(MONTH($C439)=6,$C$5,IF(MONTH($C439)=7,$C$6,"ERROR")))),1,0)</f>
        <v>0</v>
      </c>
      <c r="F439" s="26">
        <f>VLOOKUP($C439,COS!$B$8:$H$991,7,FALSE)</f>
        <v>50.501800537109375</v>
      </c>
      <c r="G439" s="24">
        <f>IF(F439&lt;=IF(MONTH($C439)=4,$F$3,IF(MONTH($C439)=5,$F$4,IF(MONTH($C439)=6,$F$5,IF(MONTH($C439)=7,$F$6,"ERROR")))),1,0)</f>
        <v>1</v>
      </c>
      <c r="H439" s="26">
        <f>IF(J439=1,D439-$C$5,0)</f>
        <v>0</v>
      </c>
      <c r="I439" s="26">
        <f t="shared" si="661"/>
        <v>0</v>
      </c>
      <c r="J439" s="24">
        <f t="shared" si="697"/>
        <v>0</v>
      </c>
      <c r="K439" s="26">
        <f>VLOOKUP($C439,COS!$B$8:$H$991,2,FALSE)</f>
        <v>4403.0791015625</v>
      </c>
      <c r="L439" s="24">
        <f t="shared" si="639"/>
        <v>1</v>
      </c>
      <c r="M439" s="24">
        <f t="shared" si="640"/>
        <v>0</v>
      </c>
      <c r="N439" s="26">
        <f>VLOOKUP($C439,COS!$B$8:$H$991,5,FALSE)</f>
        <v>1103.256591796875</v>
      </c>
      <c r="O439" s="26">
        <f t="shared" si="700"/>
        <v>65.648326123450417</v>
      </c>
      <c r="P439" s="26">
        <f>VLOOKUP($C439,COS!$B$8:$H$991,6,FALSE)</f>
        <v>2226.01513671875</v>
      </c>
      <c r="Q439" s="26">
        <f t="shared" si="701"/>
        <v>132.45709904442148</v>
      </c>
      <c r="R439" s="26">
        <f>MIN(IF(MONTH($C439)=4,$S$3,IF(MONTH($C439)=5,$S$4,IF(MONTH($C439)=6,$S$5,IF(MONTH($C439)=7,$S$6,"ERROR")))),MAX(VLOOKUP($C439,COS!$B$8:$K$991,10,FALSE)-IF(MONTH($C439)=4,$Y$3,IF(MONTH($C439)=5,$Y$4,IF(MONTH($C439)=6,$Y$5,IF(MONTH($C439)=7,$Y$6,"ERROR")))),0),MAX(VLOOKUP($C439,COS!$B$8:$K$991,9,FALSE)-IF(MONTH($C439)=4,$V$3,IF(MONTH($C439)=5,$V$4,IF(MONTH($C439)=6,$V$5,IF(MONTH($C439)=7,$V$6,"ERROR"))))-VLOOKUP($C439,COS!$B$8:$K$991,6,FALSE)/2,0))</f>
        <v>1500</v>
      </c>
      <c r="S439" s="26">
        <f t="shared" si="702"/>
        <v>89.256198347107429</v>
      </c>
      <c r="T439" s="26">
        <f t="shared" si="703"/>
        <v>188.30891093104339</v>
      </c>
      <c r="U439" s="26" t="str">
        <f>IF(VLOOKUP($C439,COS!$B$8:$I$991,8,FALSE)=1,"UWFE","IBU")</f>
        <v>UWFE</v>
      </c>
      <c r="V439" s="26">
        <f t="shared" ref="V439" si="706">MIN(IF(IF($AA$3=2,AND(E439=1,G439=1,L439=1,L442=1,M439=1,U439="IBU"),AND(E439=1,G439=1,L439=1,L442=1,M439=1)),T439,0),I439)</f>
        <v>0</v>
      </c>
      <c r="W439" s="26"/>
      <c r="X439" s="26"/>
      <c r="Y439" s="26"/>
      <c r="Z439" s="26"/>
      <c r="AA439" s="26"/>
      <c r="AB439" s="33"/>
    </row>
    <row r="440" spans="1:28" x14ac:dyDescent="0.3">
      <c r="A440" s="32">
        <f>VLOOKUP(YEAR(C440),Flags!$A$13:$B$95,2,FALSE)</f>
        <v>1</v>
      </c>
      <c r="B440" s="24">
        <f t="shared" si="637"/>
        <v>1969</v>
      </c>
      <c r="C440" s="25">
        <v>25415</v>
      </c>
      <c r="D440" s="26">
        <f>VLOOKUP($C440,COS!$B$8:$H$991,3,FALSE)</f>
        <v>11045.078125</v>
      </c>
      <c r="E440" s="24">
        <f>IF(D440&gt;=IF(MONTH($C440)=4,$C$3,IF(MONTH($C440)=5,$C$4,IF(MONTH($C440)=6,$C$5,IF(MONTH($C440)=7,$C$6,"ERROR")))),1,0)</f>
        <v>0</v>
      </c>
      <c r="F440" s="26">
        <f>VLOOKUP($C440,COS!$B$8:$H$991,7,FALSE)</f>
        <v>51.50872802734375</v>
      </c>
      <c r="G440" s="24">
        <f>IF(F440&lt;=IF(MONTH($C440)=4,$F$3,IF(MONTH($C440)=5,$F$4,IF(MONTH($C440)=6,$F$5,IF(MONTH($C440)=7,$F$6,"ERROR")))),1,0)</f>
        <v>1</v>
      </c>
      <c r="H440" s="26">
        <f>IF(J440=1,D440-$C$6,0)</f>
        <v>0</v>
      </c>
      <c r="I440" s="26">
        <f t="shared" si="661"/>
        <v>0</v>
      </c>
      <c r="J440" s="24">
        <f t="shared" si="697"/>
        <v>0</v>
      </c>
      <c r="K440" s="26">
        <f>VLOOKUP($C440,COS!$B$8:$H$991,2,FALSE)</f>
        <v>3947.457763671875</v>
      </c>
      <c r="L440" s="24">
        <f t="shared" si="639"/>
        <v>1</v>
      </c>
      <c r="M440" s="24">
        <f t="shared" si="640"/>
        <v>0</v>
      </c>
      <c r="N440" s="26">
        <f>VLOOKUP($C440,COS!$B$8:$H$991,5,FALSE)</f>
        <v>1249.15625</v>
      </c>
      <c r="O440" s="26">
        <f t="shared" si="700"/>
        <v>76.807623966942145</v>
      </c>
      <c r="P440" s="26">
        <f>VLOOKUP($C440,COS!$B$8:$H$991,6,FALSE)</f>
        <v>2516.8701171875</v>
      </c>
      <c r="Q440" s="26">
        <f t="shared" si="701"/>
        <v>154.75631133780993</v>
      </c>
      <c r="R440" s="26">
        <f>MIN(IF(MONTH($C440)=4,$S$3,IF(MONTH($C440)=5,$S$4,IF(MONTH($C440)=6,$S$5,IF(MONTH($C440)=7,$S$6,"ERROR")))),MAX(VLOOKUP($C440,COS!$B$8:$K$991,10,FALSE)-IF(MONTH($C440)=4,$Y$3,IF(MONTH($C440)=5,$Y$4,IF(MONTH($C440)=6,$Y$5,IF(MONTH($C440)=7,$Y$6,"ERROR")))),0),MAX(VLOOKUP($C440,COS!$B$8:$K$991,9,FALSE)-IF(MONTH($C440)=4,$V$3,IF(MONTH($C440)=5,$V$4,IF(MONTH($C440)=6,$V$5,IF(MONTH($C440)=7,$V$6,"ERROR"))))-VLOOKUP($C440,COS!$B$8:$K$991,6,FALSE)/2,0))</f>
        <v>1500</v>
      </c>
      <c r="S440" s="26">
        <f t="shared" si="702"/>
        <v>92.231404958677686</v>
      </c>
      <c r="T440" s="26">
        <f t="shared" si="703"/>
        <v>208.01337261105374</v>
      </c>
      <c r="U440" s="26" t="str">
        <f>IF(VLOOKUP($C440,COS!$B$8:$I$991,8,FALSE)=1,"UWFE","IBU")</f>
        <v>IBU</v>
      </c>
      <c r="V440" s="26">
        <f t="shared" ref="V440" si="707">MIN(IF(IF($AA$3=2,AND(E440=1,G440=1,L440=1,L442=1,M440=1,U440="IBU"),AND(E440=1,G440=1,L440=1,L442=1,M440=1)),T440,0),I440)</f>
        <v>0</v>
      </c>
      <c r="W440" s="26"/>
      <c r="X440" s="26"/>
      <c r="Y440" s="26"/>
      <c r="Z440" s="26"/>
      <c r="AA440" s="26"/>
      <c r="AB440" s="33"/>
    </row>
    <row r="441" spans="1:28" x14ac:dyDescent="0.3">
      <c r="A441" s="32">
        <f>VLOOKUP(YEAR(C441),Flags!$A$13:$B$95,2,FALSE)</f>
        <v>1</v>
      </c>
      <c r="B441" s="24">
        <f t="shared" si="637"/>
        <v>1969</v>
      </c>
      <c r="C441" s="25">
        <v>25446</v>
      </c>
      <c r="D441" s="26"/>
      <c r="E441" s="24"/>
      <c r="F441" s="26"/>
      <c r="G441" s="24"/>
      <c r="H441" s="24"/>
      <c r="I441" s="26"/>
      <c r="J441" s="24"/>
      <c r="K441" s="26"/>
      <c r="L441" s="24"/>
      <c r="M441" s="24"/>
      <c r="N441" s="26"/>
      <c r="O441" s="26"/>
      <c r="P441" s="26"/>
      <c r="Q441" s="26"/>
      <c r="R441" s="26"/>
      <c r="S441" s="26"/>
      <c r="T441" s="26"/>
      <c r="U441" s="26"/>
      <c r="V441" s="26"/>
      <c r="W441" s="26">
        <f>MAX($C$7-VLOOKUP($C441,COS!$B$8:$H$991,3,FALSE),0)</f>
        <v>89532.791015625</v>
      </c>
      <c r="X441" s="26">
        <f t="shared" si="667"/>
        <v>5505.1567368285123</v>
      </c>
      <c r="Y441" s="26">
        <f>VLOOKUP($C441,COS!$B$8:$H$991,4,FALSE)</f>
        <v>0</v>
      </c>
      <c r="Z441" s="26">
        <f t="shared" si="668"/>
        <v>0</v>
      </c>
      <c r="AA441" s="26">
        <f t="shared" ref="AA441:AA445" si="708">MIN(W441,Y441)</f>
        <v>0</v>
      </c>
      <c r="AB441" s="33">
        <f t="shared" ref="AB441" si="709">AA441*DAY($C441)*86400/43560/1000*IF(MONTH($C441)=8,$P$3,IF(MONTH($C441)=9,$P$4,IF(MONTH($C441)=10,$P$5,IF(MONTH($C441)=11,$P$6,IF(MONTH($C441)=12,$P$7,NA())))))</f>
        <v>0</v>
      </c>
    </row>
    <row r="442" spans="1:28" x14ac:dyDescent="0.3">
      <c r="A442" s="32">
        <f>VLOOKUP(YEAR(C442),Flags!$A$13:$B$95,2,FALSE)</f>
        <v>1</v>
      </c>
      <c r="B442" s="24">
        <f t="shared" si="637"/>
        <v>1969</v>
      </c>
      <c r="C442" s="25">
        <v>25476</v>
      </c>
      <c r="D442" s="26"/>
      <c r="E442" s="24"/>
      <c r="F442" s="26"/>
      <c r="G442" s="24"/>
      <c r="H442" s="24"/>
      <c r="I442" s="26"/>
      <c r="J442" s="24"/>
      <c r="K442" s="26">
        <f>VLOOKUP($C442,COS!$B$8:$H$991,2,FALSE)</f>
        <v>3239.390869140625</v>
      </c>
      <c r="L442" s="24">
        <f t="shared" ref="L442" si="710">IF(AND(K442&gt;$I$7,K442&lt;$I$8),1,0)</f>
        <v>1</v>
      </c>
      <c r="M442" s="24"/>
      <c r="N442" s="26"/>
      <c r="O442" s="26"/>
      <c r="P442" s="26"/>
      <c r="Q442" s="26"/>
      <c r="R442" s="26"/>
      <c r="S442" s="26"/>
      <c r="T442" s="26"/>
      <c r="U442" s="26"/>
      <c r="V442" s="26"/>
      <c r="W442" s="26">
        <f>MAX($C$8-VLOOKUP($C442,COS!$B$8:$H$991,3,FALSE),0)</f>
        <v>88147.01953125</v>
      </c>
      <c r="X442" s="26">
        <f t="shared" si="667"/>
        <v>5245.1119059917355</v>
      </c>
      <c r="Y442" s="26">
        <f>VLOOKUP($C442,COS!$B$8:$H$991,4,FALSE)</f>
        <v>42.857669830322266</v>
      </c>
      <c r="Z442" s="26">
        <f t="shared" si="668"/>
        <v>2.5502084527133912</v>
      </c>
      <c r="AA442" s="26">
        <f t="shared" si="708"/>
        <v>42.857669830322266</v>
      </c>
      <c r="AB442" s="33">
        <f t="shared" si="650"/>
        <v>2.5502084527133912</v>
      </c>
    </row>
    <row r="443" spans="1:28" x14ac:dyDescent="0.3">
      <c r="A443" s="32">
        <f>VLOOKUP(YEAR(C443),Flags!$A$13:$B$95,2,FALSE)</f>
        <v>1</v>
      </c>
      <c r="B443" s="24">
        <f t="shared" si="637"/>
        <v>1969</v>
      </c>
      <c r="C443" s="25">
        <v>25507</v>
      </c>
      <c r="D443" s="26"/>
      <c r="E443" s="24"/>
      <c r="F443" s="26"/>
      <c r="G443" s="26"/>
      <c r="H443" s="26"/>
      <c r="I443" s="26"/>
      <c r="J443" s="26"/>
      <c r="K443" s="26"/>
      <c r="L443" s="24"/>
      <c r="M443" s="24"/>
      <c r="N443" s="26"/>
      <c r="O443" s="26"/>
      <c r="P443" s="26"/>
      <c r="Q443" s="26"/>
      <c r="R443" s="26"/>
      <c r="S443" s="26"/>
      <c r="T443" s="26"/>
      <c r="U443" s="26"/>
      <c r="V443" s="26"/>
      <c r="W443" s="26">
        <f>MAX($C$9-VLOOKUP($C443,COS!$B$8:$H$991,3,FALSE),0)</f>
        <v>93281.42724609375</v>
      </c>
      <c r="X443" s="26">
        <f t="shared" si="667"/>
        <v>5735.6513943052687</v>
      </c>
      <c r="Y443" s="26">
        <f>VLOOKUP($C443,COS!$B$8:$H$991,4,FALSE)</f>
        <v>245.98057556152344</v>
      </c>
      <c r="Z443" s="26">
        <f t="shared" si="668"/>
        <v>15.124756051055655</v>
      </c>
      <c r="AA443" s="26">
        <f t="shared" si="708"/>
        <v>245.98057556152344</v>
      </c>
      <c r="AB443" s="33">
        <f t="shared" si="650"/>
        <v>15.124756051055655</v>
      </c>
    </row>
    <row r="444" spans="1:28" x14ac:dyDescent="0.3">
      <c r="A444" s="32">
        <f>VLOOKUP(YEAR(C444),Flags!$A$13:$B$95,2,FALSE)</f>
        <v>1</v>
      </c>
      <c r="B444" s="24">
        <f t="shared" si="637"/>
        <v>1969</v>
      </c>
      <c r="C444" s="25">
        <v>25537</v>
      </c>
      <c r="D444" s="26"/>
      <c r="E444" s="24"/>
      <c r="F444" s="26"/>
      <c r="G444" s="26"/>
      <c r="H444" s="26"/>
      <c r="I444" s="26"/>
      <c r="J444" s="26"/>
      <c r="K444" s="26"/>
      <c r="L444" s="24"/>
      <c r="M444" s="24"/>
      <c r="N444" s="26"/>
      <c r="O444" s="26"/>
      <c r="P444" s="26"/>
      <c r="Q444" s="26"/>
      <c r="R444" s="26"/>
      <c r="S444" s="26"/>
      <c r="T444" s="26"/>
      <c r="U444" s="26"/>
      <c r="V444" s="26"/>
      <c r="W444" s="26">
        <f>MAX($C$10-VLOOKUP($C444,COS!$B$8:$H$991,3,FALSE),0)</f>
        <v>92833.80517578125</v>
      </c>
      <c r="X444" s="26">
        <f t="shared" si="667"/>
        <v>5523.995018724173</v>
      </c>
      <c r="Y444" s="26">
        <f>VLOOKUP($C444,COS!$B$8:$H$991,4,FALSE)</f>
        <v>0</v>
      </c>
      <c r="Z444" s="26">
        <f t="shared" si="668"/>
        <v>0</v>
      </c>
      <c r="AA444" s="26">
        <f t="shared" si="708"/>
        <v>0</v>
      </c>
      <c r="AB444" s="33">
        <f t="shared" si="650"/>
        <v>0</v>
      </c>
    </row>
    <row r="445" spans="1:28" x14ac:dyDescent="0.3">
      <c r="A445" s="34">
        <f>VLOOKUP(YEAR(C445),Flags!$A$13:$B$95,2,FALSE)</f>
        <v>1</v>
      </c>
      <c r="B445" s="35">
        <f t="shared" si="637"/>
        <v>1969</v>
      </c>
      <c r="C445" s="36">
        <v>25568</v>
      </c>
      <c r="D445" s="37"/>
      <c r="E445" s="35"/>
      <c r="F445" s="37"/>
      <c r="G445" s="37"/>
      <c r="H445" s="37"/>
      <c r="I445" s="37"/>
      <c r="J445" s="37"/>
      <c r="K445" s="37"/>
      <c r="L445" s="35"/>
      <c r="M445" s="35"/>
      <c r="N445" s="37"/>
      <c r="O445" s="37"/>
      <c r="P445" s="37"/>
      <c r="Q445" s="37"/>
      <c r="R445" s="37"/>
      <c r="S445" s="37"/>
      <c r="T445" s="37"/>
      <c r="U445" s="37"/>
      <c r="V445" s="37"/>
      <c r="W445" s="37">
        <f>MAX($C$11-VLOOKUP($C445,COS!$B$8:$H$991,3,FALSE),0)</f>
        <v>0</v>
      </c>
      <c r="X445" s="37">
        <f t="shared" si="667"/>
        <v>0</v>
      </c>
      <c r="Y445" s="37">
        <f>VLOOKUP($C445,COS!$B$8:$H$991,4,FALSE)</f>
        <v>0</v>
      </c>
      <c r="Z445" s="37">
        <f t="shared" si="668"/>
        <v>0</v>
      </c>
      <c r="AA445" s="37">
        <f t="shared" si="708"/>
        <v>0</v>
      </c>
      <c r="AB445" s="38">
        <f t="shared" si="650"/>
        <v>0</v>
      </c>
    </row>
    <row r="446" spans="1:28" x14ac:dyDescent="0.3">
      <c r="A446" s="27">
        <f>VLOOKUP(YEAR(C446),Flags!$A$13:$B$95,2,FALSE)</f>
        <v>1</v>
      </c>
      <c r="B446" s="28">
        <f t="shared" si="637"/>
        <v>1970</v>
      </c>
      <c r="C446" s="29">
        <v>25688</v>
      </c>
      <c r="D446" s="30">
        <f>VLOOKUP($C446,COS!$B$8:$H$991,3,FALSE)</f>
        <v>3250</v>
      </c>
      <c r="E446" s="28">
        <f>IF(D446&gt;=IF(MONTH($C446)=4,$C$3,IF(MONTH($C446)=5,$C$4,IF(MONTH($C446)=6,$C$5,IF(MONTH($C446)=7,$C$6,"ERROR")))),1,0)</f>
        <v>0</v>
      </c>
      <c r="F446" s="30">
        <f>VLOOKUP($C446,COS!$B$8:$H$991,7,FALSE)</f>
        <v>49.804428100585938</v>
      </c>
      <c r="G446" s="28">
        <f>IF(F446&lt;=IF(MONTH($C446)=4,$F$3,IF(MONTH($C446)=5,$F$4,IF(MONTH($C446)=6,$F$5,IF(MONTH($C446)=7,$F$6,"ERROR")))),1,0)</f>
        <v>1</v>
      </c>
      <c r="H446" s="30">
        <f>IF(J446=1,D446-$C$3,0)</f>
        <v>0</v>
      </c>
      <c r="I446" s="30">
        <f t="shared" si="661"/>
        <v>0</v>
      </c>
      <c r="J446" s="28">
        <f t="shared" ref="J446:J449" si="711">IF(AND(E446=1,G446=1),1,0)</f>
        <v>0</v>
      </c>
      <c r="K446" s="30">
        <f>VLOOKUP($C446,COS!$B$8:$H$991,2,FALSE)</f>
        <v>4291.064453125</v>
      </c>
      <c r="L446" s="28">
        <f t="shared" ref="L446" si="712">IF(K446&lt;=IF(MONTH($C446)=4,$I$3,IF(MONTH($C446)=5,$I$4,IF(MONTH($C446)=6,$I$5,IF(MONTH($C446)=7,$I$6,"ERROR")))),1,0)</f>
        <v>1</v>
      </c>
      <c r="M446" s="28">
        <f t="shared" ref="M446" si="713">VLOOKUP($A446,$L$3:$M$7,2,FALSE)</f>
        <v>0</v>
      </c>
      <c r="N446" s="30">
        <f>VLOOKUP($C446,COS!$B$8:$H$991,5,FALSE)</f>
        <v>73.196624755859375</v>
      </c>
      <c r="O446" s="30">
        <f t="shared" ref="O446:O449" si="714">N446*DAY($C446)*86400/43560/1000</f>
        <v>4.3555016383651859</v>
      </c>
      <c r="P446" s="30">
        <f>VLOOKUP($C446,COS!$B$8:$H$991,6,FALSE)</f>
        <v>508.6461181640625</v>
      </c>
      <c r="Q446" s="30">
        <f t="shared" ref="Q446:Q449" si="715">P446*DAY($C446)*86400/43560/1000</f>
        <v>30.266545874225205</v>
      </c>
      <c r="R446" s="30">
        <f>MIN(IF(MONTH($C446)=4,$S$3,IF(MONTH($C446)=5,$S$4,IF(MONTH($C446)=6,$S$5,IF(MONTH($C446)=7,$S$6,"ERROR")))),MAX(VLOOKUP($C446,COS!$B$8:$K$991,10,FALSE)-IF(MONTH($C446)=4,$Y$3,IF(MONTH($C446)=5,$Y$4,IF(MONTH($C446)=6,$Y$5,IF(MONTH($C446)=7,$Y$6,"ERROR")))),0),MAX(VLOOKUP($C446,COS!$B$8:$K$991,9,FALSE)-IF(MONTH($C446)=4,$V$3,IF(MONTH($C446)=5,$V$4,IF(MONTH($C446)=6,$V$5,IF(MONTH($C446)=7,$V$6,"ERROR"))))-VLOOKUP($C446,COS!$B$8:$K$991,6,FALSE)/2,0))</f>
        <v>713.98388671875</v>
      </c>
      <c r="S446" s="30">
        <f t="shared" ref="S446:S449" si="716">R446*DAY($C446)*86400/43560/1000</f>
        <v>42.484991606404961</v>
      </c>
      <c r="T446" s="30">
        <f t="shared" ref="T446:T449" si="717">(O446+Q446)/2+S446</f>
        <v>59.79601536270016</v>
      </c>
      <c r="U446" s="30" t="str">
        <f>IF(VLOOKUP($C446,COS!$B$8:$I$991,8,FALSE)=1,"UWFE","IBU")</f>
        <v>UWFE</v>
      </c>
      <c r="V446" s="30">
        <f t="shared" ref="V446" si="718">MIN(IF(IF($AA$3=2,AND(E446=1,G446=1,L446=1,L451=1,M446=1,U446="IBU"),AND(E446=1,G446=1,L446=1,L451=1,M446=1)),T446,0),I446)</f>
        <v>0</v>
      </c>
      <c r="W446" s="30"/>
      <c r="X446" s="30"/>
      <c r="Y446" s="30"/>
      <c r="Z446" s="30"/>
      <c r="AA446" s="30"/>
      <c r="AB446" s="31"/>
    </row>
    <row r="447" spans="1:28" x14ac:dyDescent="0.3">
      <c r="A447" s="32">
        <f>VLOOKUP(YEAR(C447),Flags!$A$13:$B$95,2,FALSE)</f>
        <v>1</v>
      </c>
      <c r="B447" s="24">
        <f t="shared" si="637"/>
        <v>1970</v>
      </c>
      <c r="C447" s="25">
        <v>25719</v>
      </c>
      <c r="D447" s="26">
        <f>VLOOKUP($C447,COS!$B$8:$H$991,3,FALSE)</f>
        <v>6423.0224609375</v>
      </c>
      <c r="E447" s="24">
        <f>IF(D447&gt;=IF(MONTH($C447)=4,$C$3,IF(MONTH($C447)=5,$C$4,IF(MONTH($C447)=6,$C$5,IF(MONTH($C447)=7,$C$6,"ERROR")))),1,0)</f>
        <v>1</v>
      </c>
      <c r="F447" s="26">
        <f>VLOOKUP($C447,COS!$B$8:$H$991,7,FALSE)</f>
        <v>49.899898529052734</v>
      </c>
      <c r="G447" s="24">
        <f>IF(F447&lt;=IF(MONTH($C447)=4,$F$3,IF(MONTH($C447)=5,$F$4,IF(MONTH($C447)=6,$F$5,IF(MONTH($C447)=7,$F$6,"ERROR")))),1,0)</f>
        <v>1</v>
      </c>
      <c r="H447" s="26">
        <f>IF(J447=1,D447-$C$4,0)</f>
        <v>423.0224609375</v>
      </c>
      <c r="I447" s="26">
        <f t="shared" si="661"/>
        <v>26.010637267561982</v>
      </c>
      <c r="J447" s="24">
        <f t="shared" si="711"/>
        <v>1</v>
      </c>
      <c r="K447" s="26">
        <f>VLOOKUP($C447,COS!$B$8:$H$991,2,FALSE)</f>
        <v>4231.88427734375</v>
      </c>
      <c r="L447" s="24">
        <f t="shared" si="639"/>
        <v>1</v>
      </c>
      <c r="M447" s="24">
        <f t="shared" si="640"/>
        <v>0</v>
      </c>
      <c r="N447" s="26">
        <f>VLOOKUP($C447,COS!$B$8:$H$991,5,FALSE)</f>
        <v>572.192626953125</v>
      </c>
      <c r="O447" s="26">
        <f t="shared" si="714"/>
        <v>35.182753260588839</v>
      </c>
      <c r="P447" s="26">
        <f>VLOOKUP($C447,COS!$B$8:$H$991,6,FALSE)</f>
        <v>2315.026611328125</v>
      </c>
      <c r="Q447" s="26">
        <f t="shared" si="715"/>
        <v>142.34543791967974</v>
      </c>
      <c r="R447" s="26">
        <f>MIN(IF(MONTH($C447)=4,$S$3,IF(MONTH($C447)=5,$S$4,IF(MONTH($C447)=6,$S$5,IF(MONTH($C447)=7,$S$6,"ERROR")))),MAX(VLOOKUP($C447,COS!$B$8:$K$991,10,FALSE)-IF(MONTH($C447)=4,$Y$3,IF(MONTH($C447)=5,$Y$4,IF(MONTH($C447)=6,$Y$5,IF(MONTH($C447)=7,$Y$6,"ERROR")))),0),MAX(VLOOKUP($C447,COS!$B$8:$K$991,9,FALSE)-IF(MONTH($C447)=4,$V$3,IF(MONTH($C447)=5,$V$4,IF(MONTH($C447)=6,$V$5,IF(MONTH($C447)=7,$V$6,"ERROR"))))-VLOOKUP($C447,COS!$B$8:$K$991,6,FALSE)/2,0))</f>
        <v>1500</v>
      </c>
      <c r="S447" s="26">
        <f t="shared" si="716"/>
        <v>92.231404958677686</v>
      </c>
      <c r="T447" s="26">
        <f t="shared" si="717"/>
        <v>180.99550054881198</v>
      </c>
      <c r="U447" s="26" t="str">
        <f>IF(VLOOKUP($C447,COS!$B$8:$I$991,8,FALSE)=1,"UWFE","IBU")</f>
        <v>UWFE</v>
      </c>
      <c r="V447" s="26">
        <f t="shared" ref="V447" si="719">MIN(IF(IF($AA$3=2,AND(E447=1,G447=1,L447=1,L451=1,M447=1,U447="IBU"),AND(E447=1,G447=1,L447=1,L451=1,M447=1)),T447,0),I447)</f>
        <v>0</v>
      </c>
      <c r="W447" s="26"/>
      <c r="X447" s="26"/>
      <c r="Y447" s="26"/>
      <c r="Z447" s="26"/>
      <c r="AA447" s="26"/>
      <c r="AB447" s="33"/>
    </row>
    <row r="448" spans="1:28" x14ac:dyDescent="0.3">
      <c r="A448" s="32">
        <f>VLOOKUP(YEAR(C448),Flags!$A$13:$B$95,2,FALSE)</f>
        <v>1</v>
      </c>
      <c r="B448" s="24">
        <f t="shared" si="637"/>
        <v>1970</v>
      </c>
      <c r="C448" s="25">
        <v>25749</v>
      </c>
      <c r="D448" s="26">
        <f>VLOOKUP($C448,COS!$B$8:$H$991,3,FALSE)</f>
        <v>11296.083984375</v>
      </c>
      <c r="E448" s="24">
        <f>IF(D448&gt;=IF(MONTH($C448)=4,$C$3,IF(MONTH($C448)=5,$C$4,IF(MONTH($C448)=6,$C$5,IF(MONTH($C448)=7,$C$6,"ERROR")))),1,0)</f>
        <v>1</v>
      </c>
      <c r="F448" s="26">
        <f>VLOOKUP($C448,COS!$B$8:$H$991,7,FALSE)</f>
        <v>49.374355316162109</v>
      </c>
      <c r="G448" s="24">
        <f>IF(F448&lt;=IF(MONTH($C448)=4,$F$3,IF(MONTH($C448)=5,$F$4,IF(MONTH($C448)=6,$F$5,IF(MONTH($C448)=7,$F$6,"ERROR")))),1,0)</f>
        <v>1</v>
      </c>
      <c r="H448" s="26">
        <f>IF(J448=1,D448-$C$5,0)</f>
        <v>1296.083984375</v>
      </c>
      <c r="I448" s="26">
        <f t="shared" si="661"/>
        <v>77.122352789256198</v>
      </c>
      <c r="J448" s="24">
        <f t="shared" si="711"/>
        <v>1</v>
      </c>
      <c r="K448" s="26">
        <f>VLOOKUP($C448,COS!$B$8:$H$991,2,FALSE)</f>
        <v>3804.720947265625</v>
      </c>
      <c r="L448" s="24">
        <f t="shared" si="639"/>
        <v>1</v>
      </c>
      <c r="M448" s="24">
        <f t="shared" si="640"/>
        <v>0</v>
      </c>
      <c r="N448" s="26">
        <f>VLOOKUP($C448,COS!$B$8:$H$991,5,FALSE)</f>
        <v>657.61016845703125</v>
      </c>
      <c r="O448" s="26">
        <f t="shared" si="714"/>
        <v>39.130522420583681</v>
      </c>
      <c r="P448" s="26">
        <f>VLOOKUP($C448,COS!$B$8:$H$991,6,FALSE)</f>
        <v>2256.00390625</v>
      </c>
      <c r="Q448" s="26">
        <f t="shared" si="715"/>
        <v>134.24155475206612</v>
      </c>
      <c r="R448" s="26">
        <f>MIN(IF(MONTH($C448)=4,$S$3,IF(MONTH($C448)=5,$S$4,IF(MONTH($C448)=6,$S$5,IF(MONTH($C448)=7,$S$6,"ERROR")))),MAX(VLOOKUP($C448,COS!$B$8:$K$991,10,FALSE)-IF(MONTH($C448)=4,$Y$3,IF(MONTH($C448)=5,$Y$4,IF(MONTH($C448)=6,$Y$5,IF(MONTH($C448)=7,$Y$6,"ERROR")))),0),MAX(VLOOKUP($C448,COS!$B$8:$K$991,9,FALSE)-IF(MONTH($C448)=4,$V$3,IF(MONTH($C448)=5,$V$4,IF(MONTH($C448)=6,$V$5,IF(MONTH($C448)=7,$V$6,"ERROR"))))-VLOOKUP($C448,COS!$B$8:$K$991,6,FALSE)/2,0))</f>
        <v>1500</v>
      </c>
      <c r="S448" s="26">
        <f t="shared" si="716"/>
        <v>89.256198347107429</v>
      </c>
      <c r="T448" s="26">
        <f t="shared" si="717"/>
        <v>175.94223693343233</v>
      </c>
      <c r="U448" s="26" t="str">
        <f>IF(VLOOKUP($C448,COS!$B$8:$I$991,8,FALSE)=1,"UWFE","IBU")</f>
        <v>IBU</v>
      </c>
      <c r="V448" s="26">
        <f t="shared" ref="V448" si="720">MIN(IF(IF($AA$3=2,AND(E448=1,G448=1,L448=1,L451=1,M448=1,U448="IBU"),AND(E448=1,G448=1,L448=1,L451=1,M448=1)),T448,0),I448)</f>
        <v>0</v>
      </c>
      <c r="W448" s="26"/>
      <c r="X448" s="26"/>
      <c r="Y448" s="26"/>
      <c r="Z448" s="26"/>
      <c r="AA448" s="26"/>
      <c r="AB448" s="33"/>
    </row>
    <row r="449" spans="1:28" x14ac:dyDescent="0.3">
      <c r="A449" s="32">
        <f>VLOOKUP(YEAR(C449),Flags!$A$13:$B$95,2,FALSE)</f>
        <v>1</v>
      </c>
      <c r="B449" s="24">
        <f t="shared" si="637"/>
        <v>1970</v>
      </c>
      <c r="C449" s="25">
        <v>25780</v>
      </c>
      <c r="D449" s="26">
        <f>VLOOKUP($C449,COS!$B$8:$H$991,3,FALSE)</f>
        <v>15933.296875</v>
      </c>
      <c r="E449" s="24">
        <f>IF(D449&gt;=IF(MONTH($C449)=4,$C$3,IF(MONTH($C449)=5,$C$4,IF(MONTH($C449)=6,$C$5,IF(MONTH($C449)=7,$C$6,"ERROR")))),1,0)</f>
        <v>1</v>
      </c>
      <c r="F449" s="26">
        <f>VLOOKUP($C449,COS!$B$8:$H$991,7,FALSE)</f>
        <v>50.264232635498047</v>
      </c>
      <c r="G449" s="24">
        <f>IF(F449&lt;=IF(MONTH($C449)=4,$F$3,IF(MONTH($C449)=5,$F$4,IF(MONTH($C449)=6,$F$5,IF(MONTH($C449)=7,$F$6,"ERROR")))),1,0)</f>
        <v>1</v>
      </c>
      <c r="H449" s="26">
        <f>IF(J449=1,D449-$C$6,0)</f>
        <v>3933.296875</v>
      </c>
      <c r="I449" s="26">
        <f t="shared" si="661"/>
        <v>241.84899793388431</v>
      </c>
      <c r="J449" s="24">
        <f t="shared" si="711"/>
        <v>1</v>
      </c>
      <c r="K449" s="26">
        <f>VLOOKUP($C449,COS!$B$8:$H$991,2,FALSE)</f>
        <v>3122.0966796875</v>
      </c>
      <c r="L449" s="24">
        <f t="shared" si="639"/>
        <v>1</v>
      </c>
      <c r="M449" s="24">
        <f t="shared" si="640"/>
        <v>0</v>
      </c>
      <c r="N449" s="26">
        <f>VLOOKUP($C449,COS!$B$8:$H$991,5,FALSE)</f>
        <v>784.4171142578125</v>
      </c>
      <c r="O449" s="26">
        <f t="shared" si="714"/>
        <v>48.231928347753097</v>
      </c>
      <c r="P449" s="26">
        <f>VLOOKUP($C449,COS!$B$8:$H$991,6,FALSE)</f>
        <v>2616.67822265625</v>
      </c>
      <c r="Q449" s="26">
        <f t="shared" si="715"/>
        <v>160.89327253357436</v>
      </c>
      <c r="R449" s="26">
        <f>MIN(IF(MONTH($C449)=4,$S$3,IF(MONTH($C449)=5,$S$4,IF(MONTH($C449)=6,$S$5,IF(MONTH($C449)=7,$S$6,"ERROR")))),MAX(VLOOKUP($C449,COS!$B$8:$K$991,10,FALSE)-IF(MONTH($C449)=4,$Y$3,IF(MONTH($C449)=5,$Y$4,IF(MONTH($C449)=6,$Y$5,IF(MONTH($C449)=7,$Y$6,"ERROR")))),0),MAX(VLOOKUP($C449,COS!$B$8:$K$991,9,FALSE)-IF(MONTH($C449)=4,$V$3,IF(MONTH($C449)=5,$V$4,IF(MONTH($C449)=6,$V$5,IF(MONTH($C449)=7,$V$6,"ERROR"))))-VLOOKUP($C449,COS!$B$8:$K$991,6,FALSE)/2,0))</f>
        <v>1500</v>
      </c>
      <c r="S449" s="26">
        <f t="shared" si="716"/>
        <v>92.231404958677686</v>
      </c>
      <c r="T449" s="26">
        <f t="shared" si="717"/>
        <v>196.79400539934142</v>
      </c>
      <c r="U449" s="26" t="str">
        <f>IF(VLOOKUP($C449,COS!$B$8:$I$991,8,FALSE)=1,"UWFE","IBU")</f>
        <v>IBU</v>
      </c>
      <c r="V449" s="26">
        <f t="shared" ref="V449" si="721">MIN(IF(IF($AA$3=2,AND(E449=1,G449=1,L449=1,L451=1,M449=1,U449="IBU"),AND(E449=1,G449=1,L449=1,L451=1,M449=1)),T449,0),I449)</f>
        <v>0</v>
      </c>
      <c r="W449" s="26"/>
      <c r="X449" s="26"/>
      <c r="Y449" s="26"/>
      <c r="Z449" s="26"/>
      <c r="AA449" s="26"/>
      <c r="AB449" s="33"/>
    </row>
    <row r="450" spans="1:28" x14ac:dyDescent="0.3">
      <c r="A450" s="32">
        <f>VLOOKUP(YEAR(C450),Flags!$A$13:$B$95,2,FALSE)</f>
        <v>1</v>
      </c>
      <c r="B450" s="24">
        <f t="shared" si="637"/>
        <v>1970</v>
      </c>
      <c r="C450" s="25">
        <v>25811</v>
      </c>
      <c r="D450" s="26"/>
      <c r="E450" s="24"/>
      <c r="F450" s="26"/>
      <c r="G450" s="24"/>
      <c r="H450" s="24"/>
      <c r="I450" s="26"/>
      <c r="J450" s="24"/>
      <c r="K450" s="26"/>
      <c r="L450" s="24"/>
      <c r="M450" s="24"/>
      <c r="N450" s="26"/>
      <c r="O450" s="26"/>
      <c r="P450" s="26"/>
      <c r="Q450" s="26"/>
      <c r="R450" s="26"/>
      <c r="S450" s="26"/>
      <c r="T450" s="26"/>
      <c r="U450" s="26"/>
      <c r="V450" s="26"/>
      <c r="W450" s="26">
        <f>MAX($C$7-VLOOKUP($C450,COS!$B$8:$H$991,3,FALSE),0)</f>
        <v>89359.1201171875</v>
      </c>
      <c r="X450" s="26">
        <f t="shared" si="667"/>
        <v>5494.4781295196281</v>
      </c>
      <c r="Y450" s="26">
        <f>VLOOKUP($C450,COS!$B$8:$H$991,4,FALSE)</f>
        <v>0</v>
      </c>
      <c r="Z450" s="26">
        <f t="shared" si="668"/>
        <v>0</v>
      </c>
      <c r="AA450" s="26">
        <f t="shared" ref="AA450:AA454" si="722">MIN(W450,Y450)</f>
        <v>0</v>
      </c>
      <c r="AB450" s="33">
        <f t="shared" ref="AB450" si="723">AA450*DAY($C450)*86400/43560/1000*IF(MONTH($C450)=8,$P$3,IF(MONTH($C450)=9,$P$4,IF(MONTH($C450)=10,$P$5,IF(MONTH($C450)=11,$P$6,IF(MONTH($C450)=12,$P$7,NA())))))</f>
        <v>0</v>
      </c>
    </row>
    <row r="451" spans="1:28" x14ac:dyDescent="0.3">
      <c r="A451" s="32">
        <f>VLOOKUP(YEAR(C451),Flags!$A$13:$B$95,2,FALSE)</f>
        <v>1</v>
      </c>
      <c r="B451" s="24">
        <f t="shared" si="637"/>
        <v>1970</v>
      </c>
      <c r="C451" s="25">
        <v>25841</v>
      </c>
      <c r="D451" s="26"/>
      <c r="E451" s="24"/>
      <c r="F451" s="26"/>
      <c r="G451" s="24"/>
      <c r="H451" s="24"/>
      <c r="I451" s="26"/>
      <c r="J451" s="24"/>
      <c r="K451" s="26">
        <f>VLOOKUP($C451,COS!$B$8:$H$991,2,FALSE)</f>
        <v>2249.6484375</v>
      </c>
      <c r="L451" s="24">
        <f t="shared" ref="L451" si="724">IF(AND(K451&gt;$I$7,K451&lt;$I$8),1,0)</f>
        <v>1</v>
      </c>
      <c r="M451" s="24"/>
      <c r="N451" s="26"/>
      <c r="O451" s="26"/>
      <c r="P451" s="26"/>
      <c r="Q451" s="26"/>
      <c r="R451" s="26"/>
      <c r="S451" s="26"/>
      <c r="T451" s="26"/>
      <c r="U451" s="26"/>
      <c r="V451" s="26"/>
      <c r="W451" s="26">
        <f>MAX($C$8-VLOOKUP($C451,COS!$B$8:$H$991,3,FALSE),0)</f>
        <v>84248.9375</v>
      </c>
      <c r="X451" s="26">
        <f t="shared" si="667"/>
        <v>5013.1599173553714</v>
      </c>
      <c r="Y451" s="26">
        <f>VLOOKUP($C451,COS!$B$8:$H$991,4,FALSE)</f>
        <v>762.34381103515625</v>
      </c>
      <c r="Z451" s="26">
        <f t="shared" si="668"/>
        <v>45.362606937629131</v>
      </c>
      <c r="AA451" s="26">
        <f t="shared" si="722"/>
        <v>762.34381103515625</v>
      </c>
      <c r="AB451" s="33">
        <f t="shared" si="650"/>
        <v>45.362606937629131</v>
      </c>
    </row>
    <row r="452" spans="1:28" x14ac:dyDescent="0.3">
      <c r="A452" s="32">
        <f>VLOOKUP(YEAR(C452),Flags!$A$13:$B$95,2,FALSE)</f>
        <v>1</v>
      </c>
      <c r="B452" s="24">
        <f t="shared" si="637"/>
        <v>1970</v>
      </c>
      <c r="C452" s="25">
        <v>25872</v>
      </c>
      <c r="D452" s="26"/>
      <c r="E452" s="24"/>
      <c r="F452" s="26"/>
      <c r="G452" s="26"/>
      <c r="H452" s="26"/>
      <c r="I452" s="26"/>
      <c r="J452" s="26"/>
      <c r="K452" s="26"/>
      <c r="L452" s="24"/>
      <c r="M452" s="24"/>
      <c r="N452" s="26"/>
      <c r="O452" s="26"/>
      <c r="P452" s="26"/>
      <c r="Q452" s="26"/>
      <c r="R452" s="26"/>
      <c r="S452" s="26"/>
      <c r="T452" s="26"/>
      <c r="U452" s="26"/>
      <c r="V452" s="26"/>
      <c r="W452" s="26">
        <f>MAX($C$9-VLOOKUP($C452,COS!$B$8:$H$991,3,FALSE),0)</f>
        <v>90155.1904296875</v>
      </c>
      <c r="X452" s="26">
        <f t="shared" si="667"/>
        <v>5543.426585098141</v>
      </c>
      <c r="Y452" s="26">
        <f>VLOOKUP($C452,COS!$B$8:$H$991,4,FALSE)</f>
        <v>958.85076904296875</v>
      </c>
      <c r="Z452" s="26">
        <f t="shared" si="668"/>
        <v>58.957435716361054</v>
      </c>
      <c r="AA452" s="26">
        <f t="shared" si="722"/>
        <v>958.85076904296875</v>
      </c>
      <c r="AB452" s="33">
        <f t="shared" si="650"/>
        <v>58.957435716361054</v>
      </c>
    </row>
    <row r="453" spans="1:28" x14ac:dyDescent="0.3">
      <c r="A453" s="32">
        <f>VLOOKUP(YEAR(C453),Flags!$A$13:$B$95,2,FALSE)</f>
        <v>1</v>
      </c>
      <c r="B453" s="24">
        <f t="shared" si="637"/>
        <v>1970</v>
      </c>
      <c r="C453" s="25">
        <v>25902</v>
      </c>
      <c r="D453" s="26"/>
      <c r="E453" s="24"/>
      <c r="F453" s="26"/>
      <c r="G453" s="26"/>
      <c r="H453" s="26"/>
      <c r="I453" s="26"/>
      <c r="J453" s="26"/>
      <c r="K453" s="26"/>
      <c r="L453" s="24"/>
      <c r="M453" s="24"/>
      <c r="N453" s="26"/>
      <c r="O453" s="26"/>
      <c r="P453" s="26"/>
      <c r="Q453" s="26"/>
      <c r="R453" s="26"/>
      <c r="S453" s="26"/>
      <c r="T453" s="26"/>
      <c r="U453" s="26"/>
      <c r="V453" s="26"/>
      <c r="W453" s="26">
        <f>MAX($C$10-VLOOKUP($C453,COS!$B$8:$H$991,3,FALSE),0)</f>
        <v>94202.6669921875</v>
      </c>
      <c r="X453" s="26">
        <f t="shared" si="667"/>
        <v>5605.4479532541327</v>
      </c>
      <c r="Y453" s="26">
        <f>VLOOKUP($C453,COS!$B$8:$H$991,4,FALSE)</f>
        <v>1112.5506591796875</v>
      </c>
      <c r="Z453" s="26">
        <f t="shared" si="668"/>
        <v>66.201361537964871</v>
      </c>
      <c r="AA453" s="26">
        <f t="shared" si="722"/>
        <v>1112.5506591796875</v>
      </c>
      <c r="AB453" s="33">
        <f t="shared" si="650"/>
        <v>33.100680768982436</v>
      </c>
    </row>
    <row r="454" spans="1:28" x14ac:dyDescent="0.3">
      <c r="A454" s="34">
        <f>VLOOKUP(YEAR(C454),Flags!$A$13:$B$95,2,FALSE)</f>
        <v>1</v>
      </c>
      <c r="B454" s="35">
        <f t="shared" si="637"/>
        <v>1970</v>
      </c>
      <c r="C454" s="36">
        <v>25933</v>
      </c>
      <c r="D454" s="37"/>
      <c r="E454" s="35"/>
      <c r="F454" s="37"/>
      <c r="G454" s="37"/>
      <c r="H454" s="37"/>
      <c r="I454" s="37"/>
      <c r="J454" s="37"/>
      <c r="K454" s="37"/>
      <c r="L454" s="35"/>
      <c r="M454" s="35"/>
      <c r="N454" s="37"/>
      <c r="O454" s="37"/>
      <c r="P454" s="37"/>
      <c r="Q454" s="37"/>
      <c r="R454" s="37"/>
      <c r="S454" s="37"/>
      <c r="T454" s="37"/>
      <c r="U454" s="37"/>
      <c r="V454" s="37"/>
      <c r="W454" s="37">
        <f>MAX($C$11-VLOOKUP($C454,COS!$B$8:$H$991,3,FALSE),0)</f>
        <v>0</v>
      </c>
      <c r="X454" s="37">
        <f t="shared" si="667"/>
        <v>0</v>
      </c>
      <c r="Y454" s="37">
        <f>VLOOKUP($C454,COS!$B$8:$H$991,4,FALSE)</f>
        <v>0</v>
      </c>
      <c r="Z454" s="37">
        <f t="shared" si="668"/>
        <v>0</v>
      </c>
      <c r="AA454" s="37">
        <f t="shared" si="722"/>
        <v>0</v>
      </c>
      <c r="AB454" s="38">
        <f t="shared" si="650"/>
        <v>0</v>
      </c>
    </row>
    <row r="455" spans="1:28" x14ac:dyDescent="0.3">
      <c r="A455" s="27">
        <f>VLOOKUP(YEAR(C455),Flags!$A$13:$B$95,2,FALSE)</f>
        <v>1</v>
      </c>
      <c r="B455" s="28">
        <f t="shared" si="637"/>
        <v>1971</v>
      </c>
      <c r="C455" s="29">
        <v>26053</v>
      </c>
      <c r="D455" s="30">
        <f>VLOOKUP($C455,COS!$B$8:$H$991,3,FALSE)</f>
        <v>3250</v>
      </c>
      <c r="E455" s="28">
        <f>IF(D455&gt;=IF(MONTH($C455)=4,$C$3,IF(MONTH($C455)=5,$C$4,IF(MONTH($C455)=6,$C$5,IF(MONTH($C455)=7,$C$6,"ERROR")))),1,0)</f>
        <v>0</v>
      </c>
      <c r="F455" s="30">
        <f>VLOOKUP($C455,COS!$B$8:$H$991,7,FALSE)</f>
        <v>50.101123809814453</v>
      </c>
      <c r="G455" s="28">
        <f>IF(F455&lt;=IF(MONTH($C455)=4,$F$3,IF(MONTH($C455)=5,$F$4,IF(MONTH($C455)=6,$F$5,IF(MONTH($C455)=7,$F$6,"ERROR")))),1,0)</f>
        <v>1</v>
      </c>
      <c r="H455" s="30">
        <f>IF(J455=1,D455-$C$3,0)</f>
        <v>0</v>
      </c>
      <c r="I455" s="30">
        <f t="shared" si="661"/>
        <v>0</v>
      </c>
      <c r="J455" s="28">
        <f t="shared" ref="J455:J458" si="725">IF(AND(E455=1,G455=1),1,0)</f>
        <v>0</v>
      </c>
      <c r="K455" s="30">
        <f>VLOOKUP($C455,COS!$B$8:$H$991,2,FALSE)</f>
        <v>4470.4140625</v>
      </c>
      <c r="L455" s="28">
        <f t="shared" ref="L455" si="726">IF(K455&lt;=IF(MONTH($C455)=4,$I$3,IF(MONTH($C455)=5,$I$4,IF(MONTH($C455)=6,$I$5,IF(MONTH($C455)=7,$I$6,"ERROR")))),1,0)</f>
        <v>1</v>
      </c>
      <c r="M455" s="28">
        <f t="shared" ref="M455" si="727">VLOOKUP($A455,$L$3:$M$7,2,FALSE)</f>
        <v>0</v>
      </c>
      <c r="N455" s="30">
        <f>VLOOKUP($C455,COS!$B$8:$H$991,5,FALSE)</f>
        <v>663.01629638671875</v>
      </c>
      <c r="O455" s="30">
        <f t="shared" ref="O455:O458" si="728">N455*DAY($C455)*86400/43560/1000</f>
        <v>39.452209371771694</v>
      </c>
      <c r="P455" s="30">
        <f>VLOOKUP($C455,COS!$B$8:$H$991,6,FALSE)</f>
        <v>563.3929443359375</v>
      </c>
      <c r="Q455" s="30">
        <f t="shared" ref="Q455:Q458" si="729">P455*DAY($C455)*86400/43560/1000</f>
        <v>33.524208258006198</v>
      </c>
      <c r="R455" s="30">
        <f>MIN(IF(MONTH($C455)=4,$S$3,IF(MONTH($C455)=5,$S$4,IF(MONTH($C455)=6,$S$5,IF(MONTH($C455)=7,$S$6,"ERROR")))),MAX(VLOOKUP($C455,COS!$B$8:$K$991,10,FALSE)-IF(MONTH($C455)=4,$Y$3,IF(MONTH($C455)=5,$Y$4,IF(MONTH($C455)=6,$Y$5,IF(MONTH($C455)=7,$Y$6,"ERROR")))),0),MAX(VLOOKUP($C455,COS!$B$8:$K$991,9,FALSE)-IF(MONTH($C455)=4,$V$3,IF(MONTH($C455)=5,$V$4,IF(MONTH($C455)=6,$V$5,IF(MONTH($C455)=7,$V$6,"ERROR"))))-VLOOKUP($C455,COS!$B$8:$K$991,6,FALSE)/2,0))</f>
        <v>1500</v>
      </c>
      <c r="S455" s="30">
        <f t="shared" ref="S455:S458" si="730">R455*DAY($C455)*86400/43560/1000</f>
        <v>89.256198347107429</v>
      </c>
      <c r="T455" s="30">
        <f t="shared" ref="T455:T458" si="731">(O455+Q455)/2+S455</f>
        <v>125.74440716199638</v>
      </c>
      <c r="U455" s="30" t="str">
        <f>IF(VLOOKUP($C455,COS!$B$8:$I$991,8,FALSE)=1,"UWFE","IBU")</f>
        <v>UWFE</v>
      </c>
      <c r="V455" s="30">
        <f t="shared" ref="V455" si="732">MIN(IF(IF($AA$3=2,AND(E455=1,G455=1,L455=1,L460=1,M455=1,U455="IBU"),AND(E455=1,G455=1,L455=1,L460=1,M455=1)),T455,0),I455)</f>
        <v>0</v>
      </c>
      <c r="W455" s="30"/>
      <c r="X455" s="30"/>
      <c r="Y455" s="30"/>
      <c r="Z455" s="30"/>
      <c r="AA455" s="30"/>
      <c r="AB455" s="31"/>
    </row>
    <row r="456" spans="1:28" x14ac:dyDescent="0.3">
      <c r="A456" s="32">
        <f>VLOOKUP(YEAR(C456),Flags!$A$13:$B$95,2,FALSE)</f>
        <v>1</v>
      </c>
      <c r="B456" s="24">
        <f t="shared" si="637"/>
        <v>1971</v>
      </c>
      <c r="C456" s="25">
        <v>26084</v>
      </c>
      <c r="D456" s="26">
        <f>VLOOKUP($C456,COS!$B$8:$H$991,3,FALSE)</f>
        <v>8956.8486328125</v>
      </c>
      <c r="E456" s="24">
        <f>IF(D456&gt;=IF(MONTH($C456)=4,$C$3,IF(MONTH($C456)=5,$C$4,IF(MONTH($C456)=6,$C$5,IF(MONTH($C456)=7,$C$6,"ERROR")))),1,0)</f>
        <v>1</v>
      </c>
      <c r="F456" s="26">
        <f>VLOOKUP($C456,COS!$B$8:$H$991,7,FALSE)</f>
        <v>49.074142456054688</v>
      </c>
      <c r="G456" s="24">
        <f>IF(F456&lt;=IF(MONTH($C456)=4,$F$3,IF(MONTH($C456)=5,$F$4,IF(MONTH($C456)=6,$F$5,IF(MONTH($C456)=7,$F$6,"ERROR")))),1,0)</f>
        <v>1</v>
      </c>
      <c r="H456" s="26">
        <f>IF(J456=1,D456-$C$4,0)</f>
        <v>2956.8486328125</v>
      </c>
      <c r="I456" s="26">
        <f t="shared" si="661"/>
        <v>181.8095357696281</v>
      </c>
      <c r="J456" s="24">
        <f t="shared" si="725"/>
        <v>1</v>
      </c>
      <c r="K456" s="26">
        <f>VLOOKUP($C456,COS!$B$8:$H$991,2,FALSE)</f>
        <v>4552</v>
      </c>
      <c r="L456" s="24">
        <f t="shared" si="639"/>
        <v>1</v>
      </c>
      <c r="M456" s="24">
        <f t="shared" si="640"/>
        <v>0</v>
      </c>
      <c r="N456" s="26">
        <f>VLOOKUP($C456,COS!$B$8:$H$991,5,FALSE)</f>
        <v>722.55084228515625</v>
      </c>
      <c r="O456" s="26">
        <f t="shared" si="728"/>
        <v>44.427919558690597</v>
      </c>
      <c r="P456" s="26">
        <f>VLOOKUP($C456,COS!$B$8:$H$991,6,FALSE)</f>
        <v>1990.4598388671875</v>
      </c>
      <c r="Q456" s="26">
        <f t="shared" si="729"/>
        <v>122.3886049683626</v>
      </c>
      <c r="R456" s="26">
        <f>MIN(IF(MONTH($C456)=4,$S$3,IF(MONTH($C456)=5,$S$4,IF(MONTH($C456)=6,$S$5,IF(MONTH($C456)=7,$S$6,"ERROR")))),MAX(VLOOKUP($C456,COS!$B$8:$K$991,10,FALSE)-IF(MONTH($C456)=4,$Y$3,IF(MONTH($C456)=5,$Y$4,IF(MONTH($C456)=6,$Y$5,IF(MONTH($C456)=7,$Y$6,"ERROR")))),0),MAX(VLOOKUP($C456,COS!$B$8:$K$991,9,FALSE)-IF(MONTH($C456)=4,$V$3,IF(MONTH($C456)=5,$V$4,IF(MONTH($C456)=6,$V$5,IF(MONTH($C456)=7,$V$6,"ERROR"))))-VLOOKUP($C456,COS!$B$8:$K$991,6,FALSE)/2,0))</f>
        <v>1500</v>
      </c>
      <c r="S456" s="26">
        <f t="shared" si="730"/>
        <v>92.231404958677686</v>
      </c>
      <c r="T456" s="26">
        <f t="shared" si="731"/>
        <v>175.63966722220428</v>
      </c>
      <c r="U456" s="26" t="str">
        <f>IF(VLOOKUP($C456,COS!$B$8:$I$991,8,FALSE)=1,"UWFE","IBU")</f>
        <v>UWFE</v>
      </c>
      <c r="V456" s="26">
        <f t="shared" ref="V456" si="733">MIN(IF(IF($AA$3=2,AND(E456=1,G456=1,L456=1,L460=1,M456=1,U456="IBU"),AND(E456=1,G456=1,L456=1,L460=1,M456=1)),T456,0),I456)</f>
        <v>0</v>
      </c>
      <c r="W456" s="26"/>
      <c r="X456" s="26"/>
      <c r="Y456" s="26"/>
      <c r="Z456" s="26"/>
      <c r="AA456" s="26"/>
      <c r="AB456" s="33"/>
    </row>
    <row r="457" spans="1:28" x14ac:dyDescent="0.3">
      <c r="A457" s="32">
        <f>VLOOKUP(YEAR(C457),Flags!$A$13:$B$95,2,FALSE)</f>
        <v>1</v>
      </c>
      <c r="B457" s="24">
        <f t="shared" si="637"/>
        <v>1971</v>
      </c>
      <c r="C457" s="25">
        <v>26114</v>
      </c>
      <c r="D457" s="26">
        <f>VLOOKUP($C457,COS!$B$8:$H$991,3,FALSE)</f>
        <v>7962.24658203125</v>
      </c>
      <c r="E457" s="24">
        <f>IF(D457&gt;=IF(MONTH($C457)=4,$C$3,IF(MONTH($C457)=5,$C$4,IF(MONTH($C457)=6,$C$5,IF(MONTH($C457)=7,$C$6,"ERROR")))),1,0)</f>
        <v>0</v>
      </c>
      <c r="F457" s="26">
        <f>VLOOKUP($C457,COS!$B$8:$H$991,7,FALSE)</f>
        <v>51.377964019775391</v>
      </c>
      <c r="G457" s="24">
        <f>IF(F457&lt;=IF(MONTH($C457)=4,$F$3,IF(MONTH($C457)=5,$F$4,IF(MONTH($C457)=6,$F$5,IF(MONTH($C457)=7,$F$6,"ERROR")))),1,0)</f>
        <v>1</v>
      </c>
      <c r="H457" s="26">
        <f>IF(J457=1,D457-$C$5,0)</f>
        <v>0</v>
      </c>
      <c r="I457" s="26">
        <f t="shared" si="661"/>
        <v>0</v>
      </c>
      <c r="J457" s="24">
        <f t="shared" si="725"/>
        <v>0</v>
      </c>
      <c r="K457" s="26">
        <f>VLOOKUP($C457,COS!$B$8:$H$991,2,FALSE)</f>
        <v>4500</v>
      </c>
      <c r="L457" s="24">
        <f t="shared" si="639"/>
        <v>1</v>
      </c>
      <c r="M457" s="24">
        <f t="shared" si="640"/>
        <v>0</v>
      </c>
      <c r="N457" s="26">
        <f>VLOOKUP($C457,COS!$B$8:$H$991,5,FALSE)</f>
        <v>865.0386962890625</v>
      </c>
      <c r="O457" s="26">
        <f t="shared" si="728"/>
        <v>51.473376969266532</v>
      </c>
      <c r="P457" s="26">
        <f>VLOOKUP($C457,COS!$B$8:$H$991,6,FALSE)</f>
        <v>2342.25732421875</v>
      </c>
      <c r="Q457" s="26">
        <f t="shared" si="729"/>
        <v>139.37398954028924</v>
      </c>
      <c r="R457" s="26">
        <f>MIN(IF(MONTH($C457)=4,$S$3,IF(MONTH($C457)=5,$S$4,IF(MONTH($C457)=6,$S$5,IF(MONTH($C457)=7,$S$6,"ERROR")))),MAX(VLOOKUP($C457,COS!$B$8:$K$991,10,FALSE)-IF(MONTH($C457)=4,$Y$3,IF(MONTH($C457)=5,$Y$4,IF(MONTH($C457)=6,$Y$5,IF(MONTH($C457)=7,$Y$6,"ERROR")))),0),MAX(VLOOKUP($C457,COS!$B$8:$K$991,9,FALSE)-IF(MONTH($C457)=4,$V$3,IF(MONTH($C457)=5,$V$4,IF(MONTH($C457)=6,$V$5,IF(MONTH($C457)=7,$V$6,"ERROR"))))-VLOOKUP($C457,COS!$B$8:$K$991,6,FALSE)/2,0))</f>
        <v>1500</v>
      </c>
      <c r="S457" s="26">
        <f t="shared" si="730"/>
        <v>89.256198347107429</v>
      </c>
      <c r="T457" s="26">
        <f t="shared" si="731"/>
        <v>184.67988160188531</v>
      </c>
      <c r="U457" s="26" t="str">
        <f>IF(VLOOKUP($C457,COS!$B$8:$I$991,8,FALSE)=1,"UWFE","IBU")</f>
        <v>UWFE</v>
      </c>
      <c r="V457" s="26">
        <f t="shared" ref="V457" si="734">MIN(IF(IF($AA$3=2,AND(E457=1,G457=1,L457=1,L460=1,M457=1,U457="IBU"),AND(E457=1,G457=1,L457=1,L460=1,M457=1)),T457,0),I457)</f>
        <v>0</v>
      </c>
      <c r="W457" s="26"/>
      <c r="X457" s="26"/>
      <c r="Y457" s="26"/>
      <c r="Z457" s="26"/>
      <c r="AA457" s="26"/>
      <c r="AB457" s="33"/>
    </row>
    <row r="458" spans="1:28" x14ac:dyDescent="0.3">
      <c r="A458" s="32">
        <f>VLOOKUP(YEAR(C458),Flags!$A$13:$B$95,2,FALSE)</f>
        <v>1</v>
      </c>
      <c r="B458" s="24">
        <f t="shared" si="637"/>
        <v>1971</v>
      </c>
      <c r="C458" s="25">
        <v>26145</v>
      </c>
      <c r="D458" s="26">
        <f>VLOOKUP($C458,COS!$B$8:$H$991,3,FALSE)</f>
        <v>15771.30859375</v>
      </c>
      <c r="E458" s="24">
        <f>IF(D458&gt;=IF(MONTH($C458)=4,$C$3,IF(MONTH($C458)=5,$C$4,IF(MONTH($C458)=6,$C$5,IF(MONTH($C458)=7,$C$6,"ERROR")))),1,0)</f>
        <v>1</v>
      </c>
      <c r="F458" s="26">
        <f>VLOOKUP($C458,COS!$B$8:$H$991,7,FALSE)</f>
        <v>51.168178558349609</v>
      </c>
      <c r="G458" s="24">
        <f>IF(F458&lt;=IF(MONTH($C458)=4,$F$3,IF(MONTH($C458)=5,$F$4,IF(MONTH($C458)=6,$F$5,IF(MONTH($C458)=7,$F$6,"ERROR")))),1,0)</f>
        <v>1</v>
      </c>
      <c r="H458" s="26">
        <f>IF(J458=1,D458-$C$6,0)</f>
        <v>3771.30859375</v>
      </c>
      <c r="I458" s="26">
        <f t="shared" si="661"/>
        <v>231.88872675619837</v>
      </c>
      <c r="J458" s="24">
        <f t="shared" si="725"/>
        <v>1</v>
      </c>
      <c r="K458" s="26">
        <f>VLOOKUP($C458,COS!$B$8:$H$991,2,FALSE)</f>
        <v>3763.6337890625</v>
      </c>
      <c r="L458" s="24">
        <f t="shared" si="639"/>
        <v>1</v>
      </c>
      <c r="M458" s="24">
        <f t="shared" si="640"/>
        <v>0</v>
      </c>
      <c r="N458" s="26">
        <f>VLOOKUP($C458,COS!$B$8:$H$991,5,FALSE)</f>
        <v>964.21917724609375</v>
      </c>
      <c r="O458" s="26">
        <f t="shared" si="728"/>
        <v>59.287526270338326</v>
      </c>
      <c r="P458" s="26">
        <f>VLOOKUP($C458,COS!$B$8:$H$991,6,FALSE)</f>
        <v>2521.474853515625</v>
      </c>
      <c r="Q458" s="26">
        <f t="shared" si="729"/>
        <v>155.0394455384814</v>
      </c>
      <c r="R458" s="26">
        <f>MIN(IF(MONTH($C458)=4,$S$3,IF(MONTH($C458)=5,$S$4,IF(MONTH($C458)=6,$S$5,IF(MONTH($C458)=7,$S$6,"ERROR")))),MAX(VLOOKUP($C458,COS!$B$8:$K$991,10,FALSE)-IF(MONTH($C458)=4,$Y$3,IF(MONTH($C458)=5,$Y$4,IF(MONTH($C458)=6,$Y$5,IF(MONTH($C458)=7,$Y$6,"ERROR")))),0),MAX(VLOOKUP($C458,COS!$B$8:$K$991,9,FALSE)-IF(MONTH($C458)=4,$V$3,IF(MONTH($C458)=5,$V$4,IF(MONTH($C458)=6,$V$5,IF(MONTH($C458)=7,$V$6,"ERROR"))))-VLOOKUP($C458,COS!$B$8:$K$991,6,FALSE)/2,0))</f>
        <v>1500</v>
      </c>
      <c r="S458" s="26">
        <f t="shared" si="730"/>
        <v>92.231404958677686</v>
      </c>
      <c r="T458" s="26">
        <f t="shared" si="731"/>
        <v>199.39489086308754</v>
      </c>
      <c r="U458" s="26" t="str">
        <f>IF(VLOOKUP($C458,COS!$B$8:$I$991,8,FALSE)=1,"UWFE","IBU")</f>
        <v>IBU</v>
      </c>
      <c r="V458" s="26">
        <f t="shared" ref="V458" si="735">MIN(IF(IF($AA$3=2,AND(E458=1,G458=1,L458=1,L460=1,M458=1,U458="IBU"),AND(E458=1,G458=1,L458=1,L460=1,M458=1)),T458,0),I458)</f>
        <v>0</v>
      </c>
      <c r="W458" s="26"/>
      <c r="X458" s="26"/>
      <c r="Y458" s="26"/>
      <c r="Z458" s="26"/>
      <c r="AA458" s="26"/>
      <c r="AB458" s="33"/>
    </row>
    <row r="459" spans="1:28" x14ac:dyDescent="0.3">
      <c r="A459" s="32">
        <f>VLOOKUP(YEAR(C459),Flags!$A$13:$B$95,2,FALSE)</f>
        <v>1</v>
      </c>
      <c r="B459" s="24">
        <f t="shared" si="637"/>
        <v>1971</v>
      </c>
      <c r="C459" s="25">
        <v>26176</v>
      </c>
      <c r="D459" s="26"/>
      <c r="E459" s="24"/>
      <c r="F459" s="26"/>
      <c r="G459" s="24"/>
      <c r="H459" s="24"/>
      <c r="I459" s="26"/>
      <c r="J459" s="24"/>
      <c r="K459" s="26"/>
      <c r="L459" s="24"/>
      <c r="M459" s="24"/>
      <c r="N459" s="26"/>
      <c r="O459" s="26"/>
      <c r="P459" s="26"/>
      <c r="Q459" s="26"/>
      <c r="R459" s="26"/>
      <c r="S459" s="26"/>
      <c r="T459" s="26"/>
      <c r="U459" s="26"/>
      <c r="V459" s="26"/>
      <c r="W459" s="26">
        <f>MAX($C$7-VLOOKUP($C459,COS!$B$8:$H$991,3,FALSE),0)</f>
        <v>90534.529296875</v>
      </c>
      <c r="X459" s="26">
        <f t="shared" si="667"/>
        <v>5566.7512228822316</v>
      </c>
      <c r="Y459" s="26">
        <f>VLOOKUP($C459,COS!$B$8:$H$991,4,FALSE)</f>
        <v>367.70223999023438</v>
      </c>
      <c r="Z459" s="26">
        <f t="shared" si="668"/>
        <v>22.609129467168131</v>
      </c>
      <c r="AA459" s="26">
        <f t="shared" ref="AA459:AA463" si="736">MIN(W459,Y459)</f>
        <v>367.70223999023438</v>
      </c>
      <c r="AB459" s="33">
        <f t="shared" ref="AB459" si="737">AA459*DAY($C459)*86400/43560/1000*IF(MONTH($C459)=8,$P$3,IF(MONTH($C459)=9,$P$4,IF(MONTH($C459)=10,$P$5,IF(MONTH($C459)=11,$P$6,IF(MONTH($C459)=12,$P$7,NA())))))</f>
        <v>22.609129467168131</v>
      </c>
    </row>
    <row r="460" spans="1:28" x14ac:dyDescent="0.3">
      <c r="A460" s="32">
        <f>VLOOKUP(YEAR(C460),Flags!$A$13:$B$95,2,FALSE)</f>
        <v>1</v>
      </c>
      <c r="B460" s="24">
        <f t="shared" si="637"/>
        <v>1971</v>
      </c>
      <c r="C460" s="25">
        <v>26206</v>
      </c>
      <c r="D460" s="26"/>
      <c r="E460" s="24"/>
      <c r="F460" s="26"/>
      <c r="G460" s="24"/>
      <c r="H460" s="24"/>
      <c r="I460" s="26"/>
      <c r="J460" s="24"/>
      <c r="K460" s="26">
        <f>VLOOKUP($C460,COS!$B$8:$H$991,2,FALSE)</f>
        <v>2942.9580078125</v>
      </c>
      <c r="L460" s="24">
        <f t="shared" ref="L460" si="738">IF(AND(K460&gt;$I$7,K460&lt;$I$8),1,0)</f>
        <v>1</v>
      </c>
      <c r="M460" s="24"/>
      <c r="N460" s="26"/>
      <c r="O460" s="26"/>
      <c r="P460" s="26"/>
      <c r="Q460" s="26"/>
      <c r="R460" s="26"/>
      <c r="S460" s="26"/>
      <c r="T460" s="26"/>
      <c r="U460" s="26"/>
      <c r="V460" s="26"/>
      <c r="W460" s="26">
        <f>MAX($C$8-VLOOKUP($C460,COS!$B$8:$H$991,3,FALSE),0)</f>
        <v>86539.259765625</v>
      </c>
      <c r="X460" s="26">
        <f t="shared" si="667"/>
        <v>5149.4435563016523</v>
      </c>
      <c r="Y460" s="26">
        <f>VLOOKUP($C460,COS!$B$8:$H$991,4,FALSE)</f>
        <v>0</v>
      </c>
      <c r="Z460" s="26">
        <f t="shared" si="668"/>
        <v>0</v>
      </c>
      <c r="AA460" s="26">
        <f t="shared" si="736"/>
        <v>0</v>
      </c>
      <c r="AB460" s="33">
        <f t="shared" si="650"/>
        <v>0</v>
      </c>
    </row>
    <row r="461" spans="1:28" x14ac:dyDescent="0.3">
      <c r="A461" s="32">
        <f>VLOOKUP(YEAR(C461),Flags!$A$13:$B$95,2,FALSE)</f>
        <v>1</v>
      </c>
      <c r="B461" s="24">
        <f t="shared" si="637"/>
        <v>1971</v>
      </c>
      <c r="C461" s="25">
        <v>26237</v>
      </c>
      <c r="D461" s="26"/>
      <c r="E461" s="24"/>
      <c r="F461" s="26"/>
      <c r="G461" s="26"/>
      <c r="H461" s="26"/>
      <c r="I461" s="26"/>
      <c r="J461" s="26"/>
      <c r="K461" s="26"/>
      <c r="L461" s="24"/>
      <c r="M461" s="24"/>
      <c r="N461" s="26"/>
      <c r="O461" s="26"/>
      <c r="P461" s="26"/>
      <c r="Q461" s="26"/>
      <c r="R461" s="26"/>
      <c r="S461" s="26"/>
      <c r="T461" s="26"/>
      <c r="U461" s="26"/>
      <c r="V461" s="26"/>
      <c r="W461" s="26">
        <f>MAX($C$9-VLOOKUP($C461,COS!$B$8:$H$991,3,FALSE),0)</f>
        <v>91401.7578125</v>
      </c>
      <c r="X461" s="26">
        <f t="shared" si="667"/>
        <v>5620.075025826447</v>
      </c>
      <c r="Y461" s="26">
        <f>VLOOKUP($C461,COS!$B$8:$H$991,4,FALSE)</f>
        <v>1216.479248046875</v>
      </c>
      <c r="Z461" s="26">
        <f t="shared" si="668"/>
        <v>74.798393433626032</v>
      </c>
      <c r="AA461" s="26">
        <f t="shared" si="736"/>
        <v>1216.479248046875</v>
      </c>
      <c r="AB461" s="33">
        <f t="shared" si="650"/>
        <v>74.798393433626032</v>
      </c>
    </row>
    <row r="462" spans="1:28" x14ac:dyDescent="0.3">
      <c r="A462" s="32">
        <f>VLOOKUP(YEAR(C462),Flags!$A$13:$B$95,2,FALSE)</f>
        <v>1</v>
      </c>
      <c r="B462" s="24">
        <f t="shared" si="637"/>
        <v>1971</v>
      </c>
      <c r="C462" s="25">
        <v>26267</v>
      </c>
      <c r="D462" s="26"/>
      <c r="E462" s="24"/>
      <c r="F462" s="26"/>
      <c r="G462" s="26"/>
      <c r="H462" s="26"/>
      <c r="I462" s="26"/>
      <c r="J462" s="26"/>
      <c r="K462" s="26"/>
      <c r="L462" s="24"/>
      <c r="M462" s="24"/>
      <c r="N462" s="26"/>
      <c r="O462" s="26"/>
      <c r="P462" s="26"/>
      <c r="Q462" s="26"/>
      <c r="R462" s="26"/>
      <c r="S462" s="26"/>
      <c r="T462" s="26"/>
      <c r="U462" s="26"/>
      <c r="V462" s="26"/>
      <c r="W462" s="26">
        <f>MAX($C$10-VLOOKUP($C462,COS!$B$8:$H$991,3,FALSE),0)</f>
        <v>87564.6484375</v>
      </c>
      <c r="X462" s="26">
        <f t="shared" si="667"/>
        <v>5210.4584194214876</v>
      </c>
      <c r="Y462" s="26">
        <f>VLOOKUP($C462,COS!$B$8:$H$991,4,FALSE)</f>
        <v>1703.5538330078125</v>
      </c>
      <c r="Z462" s="26">
        <f t="shared" si="668"/>
        <v>101.36849254261364</v>
      </c>
      <c r="AA462" s="26">
        <f t="shared" si="736"/>
        <v>1703.5538330078125</v>
      </c>
      <c r="AB462" s="33">
        <f t="shared" si="650"/>
        <v>50.684246271306819</v>
      </c>
    </row>
    <row r="463" spans="1:28" x14ac:dyDescent="0.3">
      <c r="A463" s="34">
        <f>VLOOKUP(YEAR(C463),Flags!$A$13:$B$95,2,FALSE)</f>
        <v>1</v>
      </c>
      <c r="B463" s="35">
        <f t="shared" ref="B463:B526" si="739">YEAR(C463)</f>
        <v>1971</v>
      </c>
      <c r="C463" s="36">
        <v>26298</v>
      </c>
      <c r="D463" s="37"/>
      <c r="E463" s="35"/>
      <c r="F463" s="37"/>
      <c r="G463" s="37"/>
      <c r="H463" s="37"/>
      <c r="I463" s="37"/>
      <c r="J463" s="37"/>
      <c r="K463" s="37"/>
      <c r="L463" s="35"/>
      <c r="M463" s="35"/>
      <c r="N463" s="37"/>
      <c r="O463" s="37"/>
      <c r="P463" s="37"/>
      <c r="Q463" s="37"/>
      <c r="R463" s="37"/>
      <c r="S463" s="37"/>
      <c r="T463" s="37"/>
      <c r="U463" s="37"/>
      <c r="V463" s="37"/>
      <c r="W463" s="37">
        <f>MAX($C$11-VLOOKUP($C463,COS!$B$8:$H$991,3,FALSE),0)</f>
        <v>0</v>
      </c>
      <c r="X463" s="37">
        <f t="shared" si="667"/>
        <v>0</v>
      </c>
      <c r="Y463" s="37">
        <f>VLOOKUP($C463,COS!$B$8:$H$991,4,FALSE)</f>
        <v>0</v>
      </c>
      <c r="Z463" s="37">
        <f t="shared" si="668"/>
        <v>0</v>
      </c>
      <c r="AA463" s="37">
        <f t="shared" si="736"/>
        <v>0</v>
      </c>
      <c r="AB463" s="38">
        <f t="shared" si="650"/>
        <v>0</v>
      </c>
    </row>
    <row r="464" spans="1:28" x14ac:dyDescent="0.3">
      <c r="A464" s="27">
        <f>VLOOKUP(YEAR(C464),Flags!$A$13:$B$95,2,FALSE)</f>
        <v>3</v>
      </c>
      <c r="B464" s="28">
        <f t="shared" si="739"/>
        <v>1972</v>
      </c>
      <c r="C464" s="29">
        <v>26419</v>
      </c>
      <c r="D464" s="30">
        <f>VLOOKUP($C464,COS!$B$8:$H$991,3,FALSE)</f>
        <v>4466.64501953125</v>
      </c>
      <c r="E464" s="28">
        <f>IF(D464&gt;=IF(MONTH($C464)=4,$C$3,IF(MONTH($C464)=5,$C$4,IF(MONTH($C464)=6,$C$5,IF(MONTH($C464)=7,$C$6,"ERROR")))),1,0)</f>
        <v>0</v>
      </c>
      <c r="F464" s="30">
        <f>VLOOKUP($C464,COS!$B$8:$H$991,7,FALSE)</f>
        <v>50.082248687744141</v>
      </c>
      <c r="G464" s="28">
        <f>IF(F464&lt;=IF(MONTH($C464)=4,$F$3,IF(MONTH($C464)=5,$F$4,IF(MONTH($C464)=6,$F$5,IF(MONTH($C464)=7,$F$6,"ERROR")))),1,0)</f>
        <v>1</v>
      </c>
      <c r="H464" s="30">
        <f>IF(J464=1,D464-$C$3,0)</f>
        <v>0</v>
      </c>
      <c r="I464" s="30">
        <f t="shared" si="661"/>
        <v>0</v>
      </c>
      <c r="J464" s="28">
        <f t="shared" ref="J464:J467" si="740">IF(AND(E464=1,G464=1),1,0)</f>
        <v>0</v>
      </c>
      <c r="K464" s="30">
        <f>VLOOKUP($C464,COS!$B$8:$H$991,2,FALSE)</f>
        <v>4552</v>
      </c>
      <c r="L464" s="28">
        <f t="shared" ref="L464:L521" si="741">IF(K464&lt;=IF(MONTH($C464)=4,$I$3,IF(MONTH($C464)=5,$I$4,IF(MONTH($C464)=6,$I$5,IF(MONTH($C464)=7,$I$6,"ERROR")))),1,0)</f>
        <v>1</v>
      </c>
      <c r="M464" s="28">
        <f t="shared" ref="M464:M521" si="742">VLOOKUP($A464,$L$3:$M$7,2,FALSE)</f>
        <v>0</v>
      </c>
      <c r="N464" s="30">
        <f>VLOOKUP($C464,COS!$B$8:$H$991,5,FALSE)</f>
        <v>323.25350952148438</v>
      </c>
      <c r="O464" s="30">
        <f t="shared" ref="O464:O467" si="743">N464*DAY($C464)*86400/43560/1000</f>
        <v>19.23491957483213</v>
      </c>
      <c r="P464" s="30">
        <f>VLOOKUP($C464,COS!$B$8:$H$991,6,FALSE)</f>
        <v>539.28424072265625</v>
      </c>
      <c r="Q464" s="30">
        <f t="shared" ref="Q464:Q467" si="744">P464*DAY($C464)*86400/43560/1000</f>
        <v>32.08964077027376</v>
      </c>
      <c r="R464" s="30">
        <f>MIN(IF(MONTH($C464)=4,$S$3,IF(MONTH($C464)=5,$S$4,IF(MONTH($C464)=6,$S$5,IF(MONTH($C464)=7,$S$6,"ERROR")))),MAX(VLOOKUP($C464,COS!$B$8:$K$991,10,FALSE)-IF(MONTH($C464)=4,$Y$3,IF(MONTH($C464)=5,$Y$4,IF(MONTH($C464)=6,$Y$5,IF(MONTH($C464)=7,$Y$6,"ERROR")))),0),MAX(VLOOKUP($C464,COS!$B$8:$K$991,9,FALSE)-IF(MONTH($C464)=4,$V$3,IF(MONTH($C464)=5,$V$4,IF(MONTH($C464)=6,$V$5,IF(MONTH($C464)=7,$V$6,"ERROR"))))-VLOOKUP($C464,COS!$B$8:$K$991,6,FALSE)/2,0))</f>
        <v>1500</v>
      </c>
      <c r="S464" s="30">
        <f t="shared" ref="S464:S467" si="745">R464*DAY($C464)*86400/43560/1000</f>
        <v>89.256198347107429</v>
      </c>
      <c r="T464" s="30">
        <f t="shared" ref="T464:T467" si="746">(O464+Q464)/2+S464</f>
        <v>114.91847851966037</v>
      </c>
      <c r="U464" s="30" t="str">
        <f>IF(VLOOKUP($C464,COS!$B$8:$I$991,8,FALSE)=1,"UWFE","IBU")</f>
        <v>UWFE</v>
      </c>
      <c r="V464" s="30">
        <f t="shared" ref="V464" si="747">MIN(IF(IF($AA$3=2,AND(E464=1,G464=1,L464=1,L469=1,M464=1,U464="IBU"),AND(E464=1,G464=1,L464=1,L469=1,M464=1)),T464,0),I464)</f>
        <v>0</v>
      </c>
      <c r="W464" s="30"/>
      <c r="X464" s="30"/>
      <c r="Y464" s="30"/>
      <c r="Z464" s="30"/>
      <c r="AA464" s="30"/>
      <c r="AB464" s="31"/>
    </row>
    <row r="465" spans="1:28" x14ac:dyDescent="0.3">
      <c r="A465" s="32">
        <f>VLOOKUP(YEAR(C465),Flags!$A$13:$B$95,2,FALSE)</f>
        <v>3</v>
      </c>
      <c r="B465" s="24">
        <f t="shared" si="739"/>
        <v>1972</v>
      </c>
      <c r="C465" s="25">
        <v>26450</v>
      </c>
      <c r="D465" s="26">
        <f>VLOOKUP($C465,COS!$B$8:$H$991,3,FALSE)</f>
        <v>7295.134765625</v>
      </c>
      <c r="E465" s="24">
        <f>IF(D465&gt;=IF(MONTH($C465)=4,$C$3,IF(MONTH($C465)=5,$C$4,IF(MONTH($C465)=6,$C$5,IF(MONTH($C465)=7,$C$6,"ERROR")))),1,0)</f>
        <v>1</v>
      </c>
      <c r="F465" s="26">
        <f>VLOOKUP($C465,COS!$B$8:$H$991,7,FALSE)</f>
        <v>50.610748291015625</v>
      </c>
      <c r="G465" s="24">
        <f>IF(F465&lt;=IF(MONTH($C465)=4,$F$3,IF(MONTH($C465)=5,$F$4,IF(MONTH($C465)=6,$F$5,IF(MONTH($C465)=7,$F$6,"ERROR")))),1,0)</f>
        <v>1</v>
      </c>
      <c r="H465" s="26">
        <f>IF(J465=1,D465-$C$4,0)</f>
        <v>1295.134765625</v>
      </c>
      <c r="I465" s="26">
        <f t="shared" si="661"/>
        <v>79.634732696280992</v>
      </c>
      <c r="J465" s="24">
        <f t="shared" si="740"/>
        <v>1</v>
      </c>
      <c r="K465" s="26">
        <f>VLOOKUP($C465,COS!$B$8:$H$991,2,FALSE)</f>
        <v>4444.4248046875</v>
      </c>
      <c r="L465" s="24">
        <f t="shared" si="741"/>
        <v>1</v>
      </c>
      <c r="M465" s="24">
        <f t="shared" si="742"/>
        <v>0</v>
      </c>
      <c r="N465" s="26">
        <f>VLOOKUP($C465,COS!$B$8:$H$991,5,FALSE)</f>
        <v>214.1783447265625</v>
      </c>
      <c r="O465" s="26">
        <f t="shared" si="743"/>
        <v>13.169313097236572</v>
      </c>
      <c r="P465" s="26">
        <f>VLOOKUP($C465,COS!$B$8:$H$991,6,FALSE)</f>
        <v>2237.25634765625</v>
      </c>
      <c r="Q465" s="26">
        <f t="shared" si="744"/>
        <v>137.56353079803719</v>
      </c>
      <c r="R465" s="26">
        <f>MIN(IF(MONTH($C465)=4,$S$3,IF(MONTH($C465)=5,$S$4,IF(MONTH($C465)=6,$S$5,IF(MONTH($C465)=7,$S$6,"ERROR")))),MAX(VLOOKUP($C465,COS!$B$8:$K$991,10,FALSE)-IF(MONTH($C465)=4,$Y$3,IF(MONTH($C465)=5,$Y$4,IF(MONTH($C465)=6,$Y$5,IF(MONTH($C465)=7,$Y$6,"ERROR")))),0),MAX(VLOOKUP($C465,COS!$B$8:$K$991,9,FALSE)-IF(MONTH($C465)=4,$V$3,IF(MONTH($C465)=5,$V$4,IF(MONTH($C465)=6,$V$5,IF(MONTH($C465)=7,$V$6,"ERROR"))))-VLOOKUP($C465,COS!$B$8:$K$991,6,FALSE)/2,0))</f>
        <v>1500</v>
      </c>
      <c r="S465" s="26">
        <f t="shared" si="745"/>
        <v>92.231404958677686</v>
      </c>
      <c r="T465" s="26">
        <f t="shared" si="746"/>
        <v>167.59782690631457</v>
      </c>
      <c r="U465" s="26" t="str">
        <f>IF(VLOOKUP($C465,COS!$B$8:$I$991,8,FALSE)=1,"UWFE","IBU")</f>
        <v>UWFE</v>
      </c>
      <c r="V465" s="26">
        <f t="shared" ref="V465" si="748">MIN(IF(IF($AA$3=2,AND(E465=1,G465=1,L465=1,L469=1,M465=1,U465="IBU"),AND(E465=1,G465=1,L465=1,L469=1,M465=1)),T465,0),I465)</f>
        <v>0</v>
      </c>
      <c r="W465" s="26"/>
      <c r="X465" s="26"/>
      <c r="Y465" s="26"/>
      <c r="Z465" s="26"/>
      <c r="AA465" s="26"/>
      <c r="AB465" s="33"/>
    </row>
    <row r="466" spans="1:28" x14ac:dyDescent="0.3">
      <c r="A466" s="32">
        <f>VLOOKUP(YEAR(C466),Flags!$A$13:$B$95,2,FALSE)</f>
        <v>3</v>
      </c>
      <c r="B466" s="24">
        <f t="shared" si="739"/>
        <v>1972</v>
      </c>
      <c r="C466" s="25">
        <v>26480</v>
      </c>
      <c r="D466" s="26">
        <f>VLOOKUP($C466,COS!$B$8:$H$991,3,FALSE)</f>
        <v>13446.5849609375</v>
      </c>
      <c r="E466" s="24">
        <f>IF(D466&gt;=IF(MONTH($C466)=4,$C$3,IF(MONTH($C466)=5,$C$4,IF(MONTH($C466)=6,$C$5,IF(MONTH($C466)=7,$C$6,"ERROR")))),1,0)</f>
        <v>1</v>
      </c>
      <c r="F466" s="26">
        <f>VLOOKUP($C466,COS!$B$8:$H$991,7,FALSE)</f>
        <v>50.5291748046875</v>
      </c>
      <c r="G466" s="24">
        <f>IF(F466&lt;=IF(MONTH($C466)=4,$F$3,IF(MONTH($C466)=5,$F$4,IF(MONTH($C466)=6,$F$5,IF(MONTH($C466)=7,$F$6,"ERROR")))),1,0)</f>
        <v>1</v>
      </c>
      <c r="H466" s="26">
        <f>IF(J466=1,D466-$C$5,0)</f>
        <v>3446.5849609375</v>
      </c>
      <c r="I466" s="26">
        <f t="shared" si="661"/>
        <v>205.0860472623967</v>
      </c>
      <c r="J466" s="24">
        <f t="shared" si="740"/>
        <v>1</v>
      </c>
      <c r="K466" s="26">
        <f>VLOOKUP($C466,COS!$B$8:$H$991,2,FALSE)</f>
        <v>3879.44091796875</v>
      </c>
      <c r="L466" s="24">
        <f t="shared" si="741"/>
        <v>1</v>
      </c>
      <c r="M466" s="24">
        <f t="shared" si="742"/>
        <v>0</v>
      </c>
      <c r="N466" s="26">
        <f>VLOOKUP($C466,COS!$B$8:$H$991,5,FALSE)</f>
        <v>428.46661376953125</v>
      </c>
      <c r="O466" s="26">
        <f t="shared" si="743"/>
        <v>25.495534042484504</v>
      </c>
      <c r="P466" s="26">
        <f>VLOOKUP($C466,COS!$B$8:$H$991,6,FALSE)</f>
        <v>2616.696044921875</v>
      </c>
      <c r="Q466" s="26">
        <f t="shared" si="744"/>
        <v>155.70422746642564</v>
      </c>
      <c r="R466" s="26">
        <f>MIN(IF(MONTH($C466)=4,$S$3,IF(MONTH($C466)=5,$S$4,IF(MONTH($C466)=6,$S$5,IF(MONTH($C466)=7,$S$6,"ERROR")))),MAX(VLOOKUP($C466,COS!$B$8:$K$991,10,FALSE)-IF(MONTH($C466)=4,$Y$3,IF(MONTH($C466)=5,$Y$4,IF(MONTH($C466)=6,$Y$5,IF(MONTH($C466)=7,$Y$6,"ERROR")))),0),MAX(VLOOKUP($C466,COS!$B$8:$K$991,9,FALSE)-IF(MONTH($C466)=4,$V$3,IF(MONTH($C466)=5,$V$4,IF(MONTH($C466)=6,$V$5,IF(MONTH($C466)=7,$V$6,"ERROR"))))-VLOOKUP($C466,COS!$B$8:$K$991,6,FALSE)/2,0))</f>
        <v>1500</v>
      </c>
      <c r="S466" s="26">
        <f t="shared" si="745"/>
        <v>89.256198347107429</v>
      </c>
      <c r="T466" s="26">
        <f t="shared" si="746"/>
        <v>179.8560791015625</v>
      </c>
      <c r="U466" s="26" t="str">
        <f>IF(VLOOKUP($C466,COS!$B$8:$I$991,8,FALSE)=1,"UWFE","IBU")</f>
        <v>IBU</v>
      </c>
      <c r="V466" s="26">
        <f t="shared" ref="V466" si="749">MIN(IF(IF($AA$3=2,AND(E466=1,G466=1,L466=1,L469=1,M466=1,U466="IBU"),AND(E466=1,G466=1,L466=1,L469=1,M466=1)),T466,0),I466)</f>
        <v>0</v>
      </c>
      <c r="W466" s="26"/>
      <c r="X466" s="26"/>
      <c r="Y466" s="26"/>
      <c r="Z466" s="26"/>
      <c r="AA466" s="26"/>
      <c r="AB466" s="33"/>
    </row>
    <row r="467" spans="1:28" x14ac:dyDescent="0.3">
      <c r="A467" s="32">
        <f>VLOOKUP(YEAR(C467),Flags!$A$13:$B$95,2,FALSE)</f>
        <v>3</v>
      </c>
      <c r="B467" s="24">
        <f t="shared" si="739"/>
        <v>1972</v>
      </c>
      <c r="C467" s="25">
        <v>26511</v>
      </c>
      <c r="D467" s="26">
        <f>VLOOKUP($C467,COS!$B$8:$H$991,3,FALSE)</f>
        <v>15975.8271484375</v>
      </c>
      <c r="E467" s="24">
        <f>IF(D467&gt;=IF(MONTH($C467)=4,$C$3,IF(MONTH($C467)=5,$C$4,IF(MONTH($C467)=6,$C$5,IF(MONTH($C467)=7,$C$6,"ERROR")))),1,0)</f>
        <v>1</v>
      </c>
      <c r="F467" s="26">
        <f>VLOOKUP($C467,COS!$B$8:$H$991,7,FALSE)</f>
        <v>51.616970062255859</v>
      </c>
      <c r="G467" s="24">
        <f>IF(F467&lt;=IF(MONTH($C467)=4,$F$3,IF(MONTH($C467)=5,$F$4,IF(MONTH($C467)=6,$F$5,IF(MONTH($C467)=7,$F$6,"ERROR")))),1,0)</f>
        <v>1</v>
      </c>
      <c r="H467" s="26">
        <f>IF(J467=1,D467-$C$6,0)</f>
        <v>3975.8271484375</v>
      </c>
      <c r="I467" s="26">
        <f t="shared" si="661"/>
        <v>244.46408251549585</v>
      </c>
      <c r="J467" s="24">
        <f t="shared" si="740"/>
        <v>1</v>
      </c>
      <c r="K467" s="26">
        <f>VLOOKUP($C467,COS!$B$8:$H$991,2,FALSE)</f>
        <v>3200</v>
      </c>
      <c r="L467" s="24">
        <f t="shared" si="741"/>
        <v>1</v>
      </c>
      <c r="M467" s="24">
        <f t="shared" si="742"/>
        <v>0</v>
      </c>
      <c r="N467" s="26">
        <f>VLOOKUP($C467,COS!$B$8:$H$991,5,FALSE)</f>
        <v>484.07479858398438</v>
      </c>
      <c r="O467" s="26">
        <f t="shared" si="743"/>
        <v>29.764599185659868</v>
      </c>
      <c r="P467" s="26">
        <f>VLOOKUP($C467,COS!$B$8:$H$991,6,FALSE)</f>
        <v>2537.385498046875</v>
      </c>
      <c r="Q467" s="26">
        <f t="shared" si="744"/>
        <v>156.01775293775825</v>
      </c>
      <c r="R467" s="26">
        <f>MIN(IF(MONTH($C467)=4,$S$3,IF(MONTH($C467)=5,$S$4,IF(MONTH($C467)=6,$S$5,IF(MONTH($C467)=7,$S$6,"ERROR")))),MAX(VLOOKUP($C467,COS!$B$8:$K$991,10,FALSE)-IF(MONTH($C467)=4,$Y$3,IF(MONTH($C467)=5,$Y$4,IF(MONTH($C467)=6,$Y$5,IF(MONTH($C467)=7,$Y$6,"ERROR")))),0),MAX(VLOOKUP($C467,COS!$B$8:$K$991,9,FALSE)-IF(MONTH($C467)=4,$V$3,IF(MONTH($C467)=5,$V$4,IF(MONTH($C467)=6,$V$5,IF(MONTH($C467)=7,$V$6,"ERROR"))))-VLOOKUP($C467,COS!$B$8:$K$991,6,FALSE)/2,0))</f>
        <v>1500</v>
      </c>
      <c r="S467" s="26">
        <f t="shared" si="745"/>
        <v>92.231404958677686</v>
      </c>
      <c r="T467" s="26">
        <f t="shared" si="746"/>
        <v>185.12258102038675</v>
      </c>
      <c r="U467" s="26" t="str">
        <f>IF(VLOOKUP($C467,COS!$B$8:$I$991,8,FALSE)=1,"UWFE","IBU")</f>
        <v>IBU</v>
      </c>
      <c r="V467" s="26">
        <f t="shared" ref="V467" si="750">MIN(IF(IF($AA$3=2,AND(E467=1,G467=1,L467=1,L469=1,M467=1,U467="IBU"),AND(E467=1,G467=1,L467=1,L469=1,M467=1)),T467,0),I467)</f>
        <v>0</v>
      </c>
      <c r="W467" s="26"/>
      <c r="X467" s="26"/>
      <c r="Y467" s="26"/>
      <c r="Z467" s="26"/>
      <c r="AA467" s="26"/>
      <c r="AB467" s="33"/>
    </row>
    <row r="468" spans="1:28" x14ac:dyDescent="0.3">
      <c r="A468" s="32">
        <f>VLOOKUP(YEAR(C468),Flags!$A$13:$B$95,2,FALSE)</f>
        <v>3</v>
      </c>
      <c r="B468" s="24">
        <f t="shared" si="739"/>
        <v>1972</v>
      </c>
      <c r="C468" s="25">
        <v>26542</v>
      </c>
      <c r="D468" s="26"/>
      <c r="E468" s="24"/>
      <c r="F468" s="26"/>
      <c r="G468" s="24"/>
      <c r="H468" s="24"/>
      <c r="I468" s="26"/>
      <c r="J468" s="24"/>
      <c r="K468" s="26"/>
      <c r="L468" s="24"/>
      <c r="M468" s="24"/>
      <c r="N468" s="26"/>
      <c r="O468" s="26"/>
      <c r="P468" s="26"/>
      <c r="Q468" s="26"/>
      <c r="R468" s="26"/>
      <c r="S468" s="26"/>
      <c r="T468" s="26"/>
      <c r="U468" s="26"/>
      <c r="V468" s="26"/>
      <c r="W468" s="26">
        <f>MAX($C$7-VLOOKUP($C468,COS!$B$8:$H$991,3,FALSE),0)</f>
        <v>89878.541015625</v>
      </c>
      <c r="X468" s="26">
        <f t="shared" si="667"/>
        <v>5526.4160756714873</v>
      </c>
      <c r="Y468" s="26">
        <f>VLOOKUP($C468,COS!$B$8:$H$991,4,FALSE)</f>
        <v>1250.875732421875</v>
      </c>
      <c r="Z468" s="26">
        <f t="shared" si="668"/>
        <v>76.913350819989674</v>
      </c>
      <c r="AA468" s="26">
        <f t="shared" ref="AA468:AA472" si="751">MIN(W468,Y468)</f>
        <v>1250.875732421875</v>
      </c>
      <c r="AB468" s="33">
        <f t="shared" ref="AB468:AB526" si="752">AA468*DAY($C468)*86400/43560/1000*IF(MONTH($C468)=8,$P$3,IF(MONTH($C468)=9,$P$4,IF(MONTH($C468)=10,$P$5,IF(MONTH($C468)=11,$P$6,IF(MONTH($C468)=12,$P$7,NA())))))</f>
        <v>76.913350819989674</v>
      </c>
    </row>
    <row r="469" spans="1:28" x14ac:dyDescent="0.3">
      <c r="A469" s="32">
        <f>VLOOKUP(YEAR(C469),Flags!$A$13:$B$95,2,FALSE)</f>
        <v>3</v>
      </c>
      <c r="B469" s="24">
        <f t="shared" si="739"/>
        <v>1972</v>
      </c>
      <c r="C469" s="25">
        <v>26572</v>
      </c>
      <c r="D469" s="26"/>
      <c r="E469" s="24"/>
      <c r="F469" s="26"/>
      <c r="G469" s="24"/>
      <c r="H469" s="24"/>
      <c r="I469" s="26"/>
      <c r="J469" s="24"/>
      <c r="K469" s="26">
        <f>VLOOKUP($C469,COS!$B$8:$H$991,2,FALSE)</f>
        <v>2958.29638671875</v>
      </c>
      <c r="L469" s="24">
        <f t="shared" ref="L469" si="753">IF(AND(K469&gt;$I$7,K469&lt;$I$8),1,0)</f>
        <v>1</v>
      </c>
      <c r="M469" s="24"/>
      <c r="N469" s="26"/>
      <c r="O469" s="26"/>
      <c r="P469" s="26"/>
      <c r="Q469" s="26"/>
      <c r="R469" s="26"/>
      <c r="S469" s="26"/>
      <c r="T469" s="26"/>
      <c r="U469" s="26"/>
      <c r="V469" s="26"/>
      <c r="W469" s="26">
        <f>MAX($C$8-VLOOKUP($C469,COS!$B$8:$H$991,3,FALSE),0)</f>
        <v>95242.72265625</v>
      </c>
      <c r="X469" s="26">
        <f t="shared" si="667"/>
        <v>5667.3355630165288</v>
      </c>
      <c r="Y469" s="26">
        <f>VLOOKUP($C469,COS!$B$8:$H$991,4,FALSE)</f>
        <v>954.7808837890625</v>
      </c>
      <c r="Z469" s="26">
        <f t="shared" si="668"/>
        <v>56.813407961002063</v>
      </c>
      <c r="AA469" s="26">
        <f t="shared" si="751"/>
        <v>954.7808837890625</v>
      </c>
      <c r="AB469" s="33">
        <f t="shared" si="752"/>
        <v>56.813407961002063</v>
      </c>
    </row>
    <row r="470" spans="1:28" x14ac:dyDescent="0.3">
      <c r="A470" s="32">
        <f>VLOOKUP(YEAR(C470),Flags!$A$13:$B$95,2,FALSE)</f>
        <v>3</v>
      </c>
      <c r="B470" s="24">
        <f t="shared" si="739"/>
        <v>1972</v>
      </c>
      <c r="C470" s="25">
        <v>26603</v>
      </c>
      <c r="D470" s="26"/>
      <c r="E470" s="24"/>
      <c r="F470" s="26"/>
      <c r="G470" s="26"/>
      <c r="H470" s="26"/>
      <c r="I470" s="26"/>
      <c r="J470" s="26"/>
      <c r="K470" s="26"/>
      <c r="L470" s="24"/>
      <c r="M470" s="24"/>
      <c r="N470" s="26"/>
      <c r="O470" s="26"/>
      <c r="P470" s="26"/>
      <c r="Q470" s="26"/>
      <c r="R470" s="26"/>
      <c r="S470" s="26"/>
      <c r="T470" s="26"/>
      <c r="U470" s="26"/>
      <c r="V470" s="26"/>
      <c r="W470" s="26">
        <f>MAX($C$9-VLOOKUP($C470,COS!$B$8:$H$991,3,FALSE),0)</f>
        <v>95128.9990234375</v>
      </c>
      <c r="X470" s="26">
        <f t="shared" si="667"/>
        <v>5849.2541548295458</v>
      </c>
      <c r="Y470" s="26">
        <f>VLOOKUP($C470,COS!$B$8:$H$991,4,FALSE)</f>
        <v>439.72247314453125</v>
      </c>
      <c r="Z470" s="26">
        <f t="shared" si="668"/>
        <v>27.037480993349689</v>
      </c>
      <c r="AA470" s="26">
        <f t="shared" si="751"/>
        <v>439.72247314453125</v>
      </c>
      <c r="AB470" s="33">
        <f t="shared" si="752"/>
        <v>27.037480993349689</v>
      </c>
    </row>
    <row r="471" spans="1:28" x14ac:dyDescent="0.3">
      <c r="A471" s="32">
        <f>VLOOKUP(YEAR(C471),Flags!$A$13:$B$95,2,FALSE)</f>
        <v>3</v>
      </c>
      <c r="B471" s="24">
        <f t="shared" si="739"/>
        <v>1972</v>
      </c>
      <c r="C471" s="25">
        <v>26633</v>
      </c>
      <c r="D471" s="26"/>
      <c r="E471" s="24"/>
      <c r="F471" s="26"/>
      <c r="G471" s="26"/>
      <c r="H471" s="26"/>
      <c r="I471" s="26"/>
      <c r="J471" s="26"/>
      <c r="K471" s="26"/>
      <c r="L471" s="24"/>
      <c r="M471" s="24"/>
      <c r="N471" s="26"/>
      <c r="O471" s="26"/>
      <c r="P471" s="26"/>
      <c r="Q471" s="26"/>
      <c r="R471" s="26"/>
      <c r="S471" s="26"/>
      <c r="T471" s="26"/>
      <c r="U471" s="26"/>
      <c r="V471" s="26"/>
      <c r="W471" s="26">
        <f>MAX($C$10-VLOOKUP($C471,COS!$B$8:$H$991,3,FALSE),0)</f>
        <v>96243.074462890625</v>
      </c>
      <c r="X471" s="26">
        <f t="shared" si="667"/>
        <v>5726.8606291967972</v>
      </c>
      <c r="Y471" s="26">
        <f>VLOOKUP($C471,COS!$B$8:$H$991,4,FALSE)</f>
        <v>2301.576171875</v>
      </c>
      <c r="Z471" s="26">
        <f t="shared" si="668"/>
        <v>136.95329287190083</v>
      </c>
      <c r="AA471" s="26">
        <f t="shared" si="751"/>
        <v>2301.576171875</v>
      </c>
      <c r="AB471" s="33">
        <f t="shared" si="752"/>
        <v>68.476646435950414</v>
      </c>
    </row>
    <row r="472" spans="1:28" x14ac:dyDescent="0.3">
      <c r="A472" s="34">
        <f>VLOOKUP(YEAR(C472),Flags!$A$13:$B$95,2,FALSE)</f>
        <v>3</v>
      </c>
      <c r="B472" s="35">
        <f t="shared" si="739"/>
        <v>1972</v>
      </c>
      <c r="C472" s="36">
        <v>26664</v>
      </c>
      <c r="D472" s="37"/>
      <c r="E472" s="35"/>
      <c r="F472" s="37"/>
      <c r="G472" s="37"/>
      <c r="H472" s="37"/>
      <c r="I472" s="37"/>
      <c r="J472" s="37"/>
      <c r="K472" s="37"/>
      <c r="L472" s="35"/>
      <c r="M472" s="35"/>
      <c r="N472" s="37"/>
      <c r="O472" s="37"/>
      <c r="P472" s="37"/>
      <c r="Q472" s="37"/>
      <c r="R472" s="37"/>
      <c r="S472" s="37"/>
      <c r="T472" s="37"/>
      <c r="U472" s="37"/>
      <c r="V472" s="37"/>
      <c r="W472" s="37">
        <f>MAX($C$11-VLOOKUP($C472,COS!$B$8:$H$991,3,FALSE),0)</f>
        <v>0</v>
      </c>
      <c r="X472" s="37">
        <f t="shared" si="667"/>
        <v>0</v>
      </c>
      <c r="Y472" s="37">
        <f>VLOOKUP($C472,COS!$B$8:$H$991,4,FALSE)</f>
        <v>0</v>
      </c>
      <c r="Z472" s="37">
        <f t="shared" si="668"/>
        <v>0</v>
      </c>
      <c r="AA472" s="37">
        <f t="shared" si="751"/>
        <v>0</v>
      </c>
      <c r="AB472" s="38">
        <f t="shared" si="752"/>
        <v>0</v>
      </c>
    </row>
    <row r="473" spans="1:28" x14ac:dyDescent="0.3">
      <c r="A473" s="27">
        <f>VLOOKUP(YEAR(C473),Flags!$A$13:$B$95,2,FALSE)</f>
        <v>2</v>
      </c>
      <c r="B473" s="28">
        <f t="shared" si="739"/>
        <v>1973</v>
      </c>
      <c r="C473" s="29">
        <v>26784</v>
      </c>
      <c r="D473" s="30">
        <f>VLOOKUP($C473,COS!$B$8:$H$991,3,FALSE)</f>
        <v>3250</v>
      </c>
      <c r="E473" s="28">
        <f>IF(D473&gt;=IF(MONTH($C473)=4,$C$3,IF(MONTH($C473)=5,$C$4,IF(MONTH($C473)=6,$C$5,IF(MONTH($C473)=7,$C$6,"ERROR")))),1,0)</f>
        <v>0</v>
      </c>
      <c r="F473" s="30">
        <f>VLOOKUP($C473,COS!$B$8:$H$991,7,FALSE)</f>
        <v>50.581394195556641</v>
      </c>
      <c r="G473" s="28">
        <f>IF(F473&lt;=IF(MONTH($C473)=4,$F$3,IF(MONTH($C473)=5,$F$4,IF(MONTH($C473)=6,$F$5,IF(MONTH($C473)=7,$F$6,"ERROR")))),1,0)</f>
        <v>1</v>
      </c>
      <c r="H473" s="30">
        <f>IF(J473=1,D473-$C$3,0)</f>
        <v>0</v>
      </c>
      <c r="I473" s="30">
        <f t="shared" si="661"/>
        <v>0</v>
      </c>
      <c r="J473" s="28">
        <f t="shared" ref="J473:J476" si="754">IF(AND(E473=1,G473=1),1,0)</f>
        <v>0</v>
      </c>
      <c r="K473" s="30">
        <f>VLOOKUP($C473,COS!$B$8:$H$991,2,FALSE)</f>
        <v>4464.4716796875</v>
      </c>
      <c r="L473" s="28">
        <f t="shared" ref="L473" si="755">IF(K473&lt;=IF(MONTH($C473)=4,$I$3,IF(MONTH($C473)=5,$I$4,IF(MONTH($C473)=6,$I$5,IF(MONTH($C473)=7,$I$6,"ERROR")))),1,0)</f>
        <v>1</v>
      </c>
      <c r="M473" s="28">
        <f t="shared" ref="M473" si="756">VLOOKUP($A473,$L$3:$M$7,2,FALSE)</f>
        <v>0</v>
      </c>
      <c r="N473" s="30">
        <f>VLOOKUP($C473,COS!$B$8:$H$991,5,FALSE)</f>
        <v>411.989013671875</v>
      </c>
      <c r="O473" s="30">
        <f t="shared" ref="O473:O476" si="757">N473*DAY($C473)*86400/43560/1000</f>
        <v>24.515048747417357</v>
      </c>
      <c r="P473" s="30">
        <f>VLOOKUP($C473,COS!$B$8:$H$991,6,FALSE)</f>
        <v>453.39697265625</v>
      </c>
      <c r="Q473" s="30">
        <f t="shared" ref="Q473:Q476" si="758">P473*DAY($C473)*86400/43560/1000</f>
        <v>26.978993414256198</v>
      </c>
      <c r="R473" s="30">
        <f>MIN(IF(MONTH($C473)=4,$S$3,IF(MONTH($C473)=5,$S$4,IF(MONTH($C473)=6,$S$5,IF(MONTH($C473)=7,$S$6,"ERROR")))),MAX(VLOOKUP($C473,COS!$B$8:$K$991,10,FALSE)-IF(MONTH($C473)=4,$Y$3,IF(MONTH($C473)=5,$Y$4,IF(MONTH($C473)=6,$Y$5,IF(MONTH($C473)=7,$Y$6,"ERROR")))),0),MAX(VLOOKUP($C473,COS!$B$8:$K$991,9,FALSE)-IF(MONTH($C473)=4,$V$3,IF(MONTH($C473)=5,$V$4,IF(MONTH($C473)=6,$V$5,IF(MONTH($C473)=7,$V$6,"ERROR"))))-VLOOKUP($C473,COS!$B$8:$K$991,6,FALSE)/2,0))</f>
        <v>1500</v>
      </c>
      <c r="S473" s="30">
        <f t="shared" ref="S473:S476" si="759">R473*DAY($C473)*86400/43560/1000</f>
        <v>89.256198347107429</v>
      </c>
      <c r="T473" s="30">
        <f t="shared" ref="T473:T476" si="760">(O473+Q473)/2+S473</f>
        <v>115.0032194279442</v>
      </c>
      <c r="U473" s="30" t="str">
        <f>IF(VLOOKUP($C473,COS!$B$8:$I$991,8,FALSE)=1,"UWFE","IBU")</f>
        <v>UWFE</v>
      </c>
      <c r="V473" s="30">
        <f t="shared" ref="V473" si="761">MIN(IF(IF($AA$3=2,AND(E473=1,G473=1,L473=1,L478=1,M473=1,U473="IBU"),AND(E473=1,G473=1,L473=1,L478=1,M473=1)),T473,0),I473)</f>
        <v>0</v>
      </c>
      <c r="W473" s="30"/>
      <c r="X473" s="30"/>
      <c r="Y473" s="30"/>
      <c r="Z473" s="30"/>
      <c r="AA473" s="30"/>
      <c r="AB473" s="31"/>
    </row>
    <row r="474" spans="1:28" x14ac:dyDescent="0.3">
      <c r="A474" s="32">
        <f>VLOOKUP(YEAR(C474),Flags!$A$13:$B$95,2,FALSE)</f>
        <v>2</v>
      </c>
      <c r="B474" s="24">
        <f t="shared" si="739"/>
        <v>1973</v>
      </c>
      <c r="C474" s="25">
        <v>26815</v>
      </c>
      <c r="D474" s="26">
        <f>VLOOKUP($C474,COS!$B$8:$H$991,3,FALSE)</f>
        <v>6365.75537109375</v>
      </c>
      <c r="E474" s="24">
        <f>IF(D474&gt;=IF(MONTH($C474)=4,$C$3,IF(MONTH($C474)=5,$C$4,IF(MONTH($C474)=6,$C$5,IF(MONTH($C474)=7,$C$6,"ERROR")))),1,0)</f>
        <v>1</v>
      </c>
      <c r="F474" s="26">
        <f>VLOOKUP($C474,COS!$B$8:$H$991,7,FALSE)</f>
        <v>51.265758514404297</v>
      </c>
      <c r="G474" s="24">
        <f>IF(F474&lt;=IF(MONTH($C474)=4,$F$3,IF(MONTH($C474)=5,$F$4,IF(MONTH($C474)=6,$F$5,IF(MONTH($C474)=7,$F$6,"ERROR")))),1,0)</f>
        <v>1</v>
      </c>
      <c r="H474" s="26">
        <f>IF(J474=1,D474-$C$4,0)</f>
        <v>365.75537109375</v>
      </c>
      <c r="I474" s="26">
        <f t="shared" si="661"/>
        <v>22.489421164772729</v>
      </c>
      <c r="J474" s="24">
        <f t="shared" si="754"/>
        <v>1</v>
      </c>
      <c r="K474" s="26">
        <f>VLOOKUP($C474,COS!$B$8:$H$991,2,FALSE)</f>
        <v>4489.771484375</v>
      </c>
      <c r="L474" s="24">
        <f t="shared" si="741"/>
        <v>1</v>
      </c>
      <c r="M474" s="24">
        <f t="shared" si="742"/>
        <v>0</v>
      </c>
      <c r="N474" s="26">
        <f>VLOOKUP($C474,COS!$B$8:$H$991,5,FALSE)</f>
        <v>753.90789794921875</v>
      </c>
      <c r="O474" s="26">
        <f t="shared" si="757"/>
        <v>46.355989758199897</v>
      </c>
      <c r="P474" s="26">
        <f>VLOOKUP($C474,COS!$B$8:$H$991,6,FALSE)</f>
        <v>2250.21826171875</v>
      </c>
      <c r="Q474" s="26">
        <f t="shared" si="758"/>
        <v>138.36052782799587</v>
      </c>
      <c r="R474" s="26">
        <f>MIN(IF(MONTH($C474)=4,$S$3,IF(MONTH($C474)=5,$S$4,IF(MONTH($C474)=6,$S$5,IF(MONTH($C474)=7,$S$6,"ERROR")))),MAX(VLOOKUP($C474,COS!$B$8:$K$991,10,FALSE)-IF(MONTH($C474)=4,$Y$3,IF(MONTH($C474)=5,$Y$4,IF(MONTH($C474)=6,$Y$5,IF(MONTH($C474)=7,$Y$6,"ERROR")))),0),MAX(VLOOKUP($C474,COS!$B$8:$K$991,9,FALSE)-IF(MONTH($C474)=4,$V$3,IF(MONTH($C474)=5,$V$4,IF(MONTH($C474)=6,$V$5,IF(MONTH($C474)=7,$V$6,"ERROR"))))-VLOOKUP($C474,COS!$B$8:$K$991,6,FALSE)/2,0))</f>
        <v>1500</v>
      </c>
      <c r="S474" s="26">
        <f t="shared" si="759"/>
        <v>92.231404958677686</v>
      </c>
      <c r="T474" s="26">
        <f t="shared" si="760"/>
        <v>184.58966375177556</v>
      </c>
      <c r="U474" s="26" t="str">
        <f>IF(VLOOKUP($C474,COS!$B$8:$I$991,8,FALSE)=1,"UWFE","IBU")</f>
        <v>UWFE</v>
      </c>
      <c r="V474" s="26">
        <f t="shared" ref="V474" si="762">MIN(IF(IF($AA$3=2,AND(E474=1,G474=1,L474=1,L478=1,M474=1,U474="IBU"),AND(E474=1,G474=1,L474=1,L478=1,M474=1)),T474,0),I474)</f>
        <v>0</v>
      </c>
      <c r="W474" s="26"/>
      <c r="X474" s="26"/>
      <c r="Y474" s="26"/>
      <c r="Z474" s="26"/>
      <c r="AA474" s="26"/>
      <c r="AB474" s="33"/>
    </row>
    <row r="475" spans="1:28" x14ac:dyDescent="0.3">
      <c r="A475" s="32">
        <f>VLOOKUP(YEAR(C475),Flags!$A$13:$B$95,2,FALSE)</f>
        <v>2</v>
      </c>
      <c r="B475" s="24">
        <f t="shared" si="739"/>
        <v>1973</v>
      </c>
      <c r="C475" s="25">
        <v>26845</v>
      </c>
      <c r="D475" s="26">
        <f>VLOOKUP($C475,COS!$B$8:$H$991,3,FALSE)</f>
        <v>13158.140625</v>
      </c>
      <c r="E475" s="24">
        <f>IF(D475&gt;=IF(MONTH($C475)=4,$C$3,IF(MONTH($C475)=5,$C$4,IF(MONTH($C475)=6,$C$5,IF(MONTH($C475)=7,$C$6,"ERROR")))),1,0)</f>
        <v>1</v>
      </c>
      <c r="F475" s="26">
        <f>VLOOKUP($C475,COS!$B$8:$H$991,7,FALSE)</f>
        <v>49.900630950927734</v>
      </c>
      <c r="G475" s="24">
        <f>IF(F475&lt;=IF(MONTH($C475)=4,$F$3,IF(MONTH($C475)=5,$F$4,IF(MONTH($C475)=6,$F$5,IF(MONTH($C475)=7,$F$6,"ERROR")))),1,0)</f>
        <v>1</v>
      </c>
      <c r="H475" s="26">
        <f>IF(J475=1,D475-$C$5,0)</f>
        <v>3158.140625</v>
      </c>
      <c r="I475" s="26">
        <f t="shared" si="661"/>
        <v>187.92241735537189</v>
      </c>
      <c r="J475" s="24">
        <f t="shared" si="754"/>
        <v>1</v>
      </c>
      <c r="K475" s="26">
        <f>VLOOKUP($C475,COS!$B$8:$H$991,2,FALSE)</f>
        <v>3919.55078125</v>
      </c>
      <c r="L475" s="24">
        <f t="shared" si="741"/>
        <v>1</v>
      </c>
      <c r="M475" s="24">
        <f t="shared" si="742"/>
        <v>0</v>
      </c>
      <c r="N475" s="26">
        <f>VLOOKUP($C475,COS!$B$8:$H$991,5,FALSE)</f>
        <v>1050.899658203125</v>
      </c>
      <c r="O475" s="26">
        <f t="shared" si="757"/>
        <v>62.532872223657023</v>
      </c>
      <c r="P475" s="26">
        <f>VLOOKUP($C475,COS!$B$8:$H$991,6,FALSE)</f>
        <v>2424.520751953125</v>
      </c>
      <c r="Q475" s="26">
        <f t="shared" si="758"/>
        <v>144.26900342200415</v>
      </c>
      <c r="R475" s="26">
        <f>MIN(IF(MONTH($C475)=4,$S$3,IF(MONTH($C475)=5,$S$4,IF(MONTH($C475)=6,$S$5,IF(MONTH($C475)=7,$S$6,"ERROR")))),MAX(VLOOKUP($C475,COS!$B$8:$K$991,10,FALSE)-IF(MONTH($C475)=4,$Y$3,IF(MONTH($C475)=5,$Y$4,IF(MONTH($C475)=6,$Y$5,IF(MONTH($C475)=7,$Y$6,"ERROR")))),0),MAX(VLOOKUP($C475,COS!$B$8:$K$991,9,FALSE)-IF(MONTH($C475)=4,$V$3,IF(MONTH($C475)=5,$V$4,IF(MONTH($C475)=6,$V$5,IF(MONTH($C475)=7,$V$6,"ERROR"))))-VLOOKUP($C475,COS!$B$8:$K$991,6,FALSE)/2,0))</f>
        <v>1500</v>
      </c>
      <c r="S475" s="26">
        <f t="shared" si="759"/>
        <v>89.256198347107429</v>
      </c>
      <c r="T475" s="26">
        <f t="shared" si="760"/>
        <v>192.65713616993801</v>
      </c>
      <c r="U475" s="26" t="str">
        <f>IF(VLOOKUP($C475,COS!$B$8:$I$991,8,FALSE)=1,"UWFE","IBU")</f>
        <v>IBU</v>
      </c>
      <c r="V475" s="26">
        <f t="shared" ref="V475" si="763">MIN(IF(IF($AA$3=2,AND(E475=1,G475=1,L475=1,L478=1,M475=1,U475="IBU"),AND(E475=1,G475=1,L475=1,L478=1,M475=1)),T475,0),I475)</f>
        <v>0</v>
      </c>
      <c r="W475" s="26"/>
      <c r="X475" s="26"/>
      <c r="Y475" s="26"/>
      <c r="Z475" s="26"/>
      <c r="AA475" s="26"/>
      <c r="AB475" s="33"/>
    </row>
    <row r="476" spans="1:28" x14ac:dyDescent="0.3">
      <c r="A476" s="32">
        <f>VLOOKUP(YEAR(C476),Flags!$A$13:$B$95,2,FALSE)</f>
        <v>2</v>
      </c>
      <c r="B476" s="24">
        <f t="shared" si="739"/>
        <v>1973</v>
      </c>
      <c r="C476" s="25">
        <v>26876</v>
      </c>
      <c r="D476" s="26">
        <f>VLOOKUP($C476,COS!$B$8:$H$991,3,FALSE)</f>
        <v>16000</v>
      </c>
      <c r="E476" s="24">
        <f>IF(D476&gt;=IF(MONTH($C476)=4,$C$3,IF(MONTH($C476)=5,$C$4,IF(MONTH($C476)=6,$C$5,IF(MONTH($C476)=7,$C$6,"ERROR")))),1,0)</f>
        <v>1</v>
      </c>
      <c r="F476" s="26">
        <f>VLOOKUP($C476,COS!$B$8:$H$991,7,FALSE)</f>
        <v>50.579265594482422</v>
      </c>
      <c r="G476" s="24">
        <f>IF(F476&lt;=IF(MONTH($C476)=4,$F$3,IF(MONTH($C476)=5,$F$4,IF(MONTH($C476)=6,$F$5,IF(MONTH($C476)=7,$F$6,"ERROR")))),1,0)</f>
        <v>1</v>
      </c>
      <c r="H476" s="26">
        <f>IF(J476=1,D476-$C$6,0)</f>
        <v>4000</v>
      </c>
      <c r="I476" s="26">
        <f t="shared" ref="I476:I539" si="764">H476*DAY($C476)*86400/43560/1000</f>
        <v>245.95041322314049</v>
      </c>
      <c r="J476" s="24">
        <f t="shared" si="754"/>
        <v>1</v>
      </c>
      <c r="K476" s="26">
        <f>VLOOKUP($C476,COS!$B$8:$H$991,2,FALSE)</f>
        <v>3219.93359375</v>
      </c>
      <c r="L476" s="24">
        <f t="shared" si="741"/>
        <v>1</v>
      </c>
      <c r="M476" s="24">
        <f t="shared" si="742"/>
        <v>0</v>
      </c>
      <c r="N476" s="26">
        <f>VLOOKUP($C476,COS!$B$8:$H$991,5,FALSE)</f>
        <v>1148.61376953125</v>
      </c>
      <c r="O476" s="26">
        <f t="shared" si="757"/>
        <v>70.625507812500004</v>
      </c>
      <c r="P476" s="26">
        <f>VLOOKUP($C476,COS!$B$8:$H$991,6,FALSE)</f>
        <v>2522.65771484375</v>
      </c>
      <c r="Q476" s="26">
        <f t="shared" si="758"/>
        <v>155.1121768465909</v>
      </c>
      <c r="R476" s="26">
        <f>MIN(IF(MONTH($C476)=4,$S$3,IF(MONTH($C476)=5,$S$4,IF(MONTH($C476)=6,$S$5,IF(MONTH($C476)=7,$S$6,"ERROR")))),MAX(VLOOKUP($C476,COS!$B$8:$K$991,10,FALSE)-IF(MONTH($C476)=4,$Y$3,IF(MONTH($C476)=5,$Y$4,IF(MONTH($C476)=6,$Y$5,IF(MONTH($C476)=7,$Y$6,"ERROR")))),0),MAX(VLOOKUP($C476,COS!$B$8:$K$991,9,FALSE)-IF(MONTH($C476)=4,$V$3,IF(MONTH($C476)=5,$V$4,IF(MONTH($C476)=6,$V$5,IF(MONTH($C476)=7,$V$6,"ERROR"))))-VLOOKUP($C476,COS!$B$8:$K$991,6,FALSE)/2,0))</f>
        <v>1500</v>
      </c>
      <c r="S476" s="26">
        <f t="shared" si="759"/>
        <v>92.231404958677686</v>
      </c>
      <c r="T476" s="26">
        <f t="shared" si="760"/>
        <v>205.10024728822316</v>
      </c>
      <c r="U476" s="26" t="str">
        <f>IF(VLOOKUP($C476,COS!$B$8:$I$991,8,FALSE)=1,"UWFE","IBU")</f>
        <v>IBU</v>
      </c>
      <c r="V476" s="26">
        <f t="shared" ref="V476" si="765">MIN(IF(IF($AA$3=2,AND(E476=1,G476=1,L476=1,L478=1,M476=1,U476="IBU"),AND(E476=1,G476=1,L476=1,L478=1,M476=1)),T476,0),I476)</f>
        <v>0</v>
      </c>
      <c r="W476" s="26"/>
      <c r="X476" s="26"/>
      <c r="Y476" s="26"/>
      <c r="Z476" s="26"/>
      <c r="AA476" s="26"/>
      <c r="AB476" s="33"/>
    </row>
    <row r="477" spans="1:28" x14ac:dyDescent="0.3">
      <c r="A477" s="32">
        <f>VLOOKUP(YEAR(C477),Flags!$A$13:$B$95,2,FALSE)</f>
        <v>2</v>
      </c>
      <c r="B477" s="24">
        <f t="shared" si="739"/>
        <v>1973</v>
      </c>
      <c r="C477" s="25">
        <v>26907</v>
      </c>
      <c r="D477" s="26"/>
      <c r="E477" s="24"/>
      <c r="F477" s="26"/>
      <c r="G477" s="24"/>
      <c r="H477" s="24"/>
      <c r="I477" s="26"/>
      <c r="J477" s="24"/>
      <c r="K477" s="26"/>
      <c r="L477" s="24"/>
      <c r="M477" s="24"/>
      <c r="N477" s="26"/>
      <c r="O477" s="26"/>
      <c r="P477" s="26"/>
      <c r="Q477" s="26"/>
      <c r="R477" s="26"/>
      <c r="S477" s="26"/>
      <c r="T477" s="26"/>
      <c r="U477" s="26"/>
      <c r="V477" s="26"/>
      <c r="W477" s="26">
        <f>MAX($C$7-VLOOKUP($C477,COS!$B$8:$H$991,3,FALSE),0)</f>
        <v>91231.0947265625</v>
      </c>
      <c r="X477" s="26">
        <f t="shared" si="667"/>
        <v>5609.5813616993801</v>
      </c>
      <c r="Y477" s="26">
        <f>VLOOKUP($C477,COS!$B$8:$H$991,4,FALSE)</f>
        <v>266.08578491210938</v>
      </c>
      <c r="Z477" s="26">
        <f t="shared" si="668"/>
        <v>16.360977187984247</v>
      </c>
      <c r="AA477" s="26">
        <f t="shared" ref="AA477:AA481" si="766">MIN(W477,Y477)</f>
        <v>266.08578491210938</v>
      </c>
      <c r="AB477" s="33">
        <f t="shared" ref="AB477" si="767">AA477*DAY($C477)*86400/43560/1000*IF(MONTH($C477)=8,$P$3,IF(MONTH($C477)=9,$P$4,IF(MONTH($C477)=10,$P$5,IF(MONTH($C477)=11,$P$6,IF(MONTH($C477)=12,$P$7,NA())))))</f>
        <v>16.360977187984247</v>
      </c>
    </row>
    <row r="478" spans="1:28" x14ac:dyDescent="0.3">
      <c r="A478" s="32">
        <f>VLOOKUP(YEAR(C478),Flags!$A$13:$B$95,2,FALSE)</f>
        <v>2</v>
      </c>
      <c r="B478" s="24">
        <f t="shared" si="739"/>
        <v>1973</v>
      </c>
      <c r="C478" s="25">
        <v>26937</v>
      </c>
      <c r="D478" s="26"/>
      <c r="E478" s="24"/>
      <c r="F478" s="26"/>
      <c r="G478" s="24"/>
      <c r="H478" s="24"/>
      <c r="I478" s="26"/>
      <c r="J478" s="24"/>
      <c r="K478" s="26">
        <f>VLOOKUP($C478,COS!$B$8:$H$991,2,FALSE)</f>
        <v>2805.609619140625</v>
      </c>
      <c r="L478" s="24">
        <f t="shared" ref="L478" si="768">IF(AND(K478&gt;$I$7,K478&lt;$I$8),1,0)</f>
        <v>1</v>
      </c>
      <c r="M478" s="24"/>
      <c r="N478" s="26"/>
      <c r="O478" s="26"/>
      <c r="P478" s="26"/>
      <c r="Q478" s="26"/>
      <c r="R478" s="26"/>
      <c r="S478" s="26"/>
      <c r="T478" s="26"/>
      <c r="U478" s="26"/>
      <c r="V478" s="26"/>
      <c r="W478" s="26">
        <f>MAX($C$8-VLOOKUP($C478,COS!$B$8:$H$991,3,FALSE),0)</f>
        <v>90741.9873046875</v>
      </c>
      <c r="X478" s="26">
        <f t="shared" si="667"/>
        <v>5399.5232115185954</v>
      </c>
      <c r="Y478" s="26">
        <f>VLOOKUP($C478,COS!$B$8:$H$991,4,FALSE)</f>
        <v>632.89453125</v>
      </c>
      <c r="Z478" s="26">
        <f t="shared" si="668"/>
        <v>37.659839876033061</v>
      </c>
      <c r="AA478" s="26">
        <f t="shared" si="766"/>
        <v>632.89453125</v>
      </c>
      <c r="AB478" s="33">
        <f t="shared" si="752"/>
        <v>37.659839876033061</v>
      </c>
    </row>
    <row r="479" spans="1:28" x14ac:dyDescent="0.3">
      <c r="A479" s="32">
        <f>VLOOKUP(YEAR(C479),Flags!$A$13:$B$95,2,FALSE)</f>
        <v>2</v>
      </c>
      <c r="B479" s="24">
        <f t="shared" si="739"/>
        <v>1973</v>
      </c>
      <c r="C479" s="25">
        <v>26968</v>
      </c>
      <c r="D479" s="26"/>
      <c r="E479" s="24"/>
      <c r="F479" s="26"/>
      <c r="G479" s="26"/>
      <c r="H479" s="26"/>
      <c r="I479" s="26"/>
      <c r="J479" s="26"/>
      <c r="K479" s="26"/>
      <c r="L479" s="24"/>
      <c r="M479" s="24"/>
      <c r="N479" s="26"/>
      <c r="O479" s="26"/>
      <c r="P479" s="26"/>
      <c r="Q479" s="26"/>
      <c r="R479" s="26"/>
      <c r="S479" s="26"/>
      <c r="T479" s="26"/>
      <c r="U479" s="26"/>
      <c r="V479" s="26"/>
      <c r="W479" s="26">
        <f>MAX($C$9-VLOOKUP($C479,COS!$B$8:$H$991,3,FALSE),0)</f>
        <v>94903.3291015625</v>
      </c>
      <c r="X479" s="26">
        <f t="shared" ref="X479:X542" si="769">W479*DAY($C479)*86400/43560/1000</f>
        <v>5835.378252195248</v>
      </c>
      <c r="Y479" s="26">
        <f>VLOOKUP($C479,COS!$B$8:$H$991,4,FALSE)</f>
        <v>827.64825439453125</v>
      </c>
      <c r="Z479" s="26">
        <f t="shared" ref="Z479:Z542" si="770">Y479*DAY($C479)*86400/43560/1000</f>
        <v>50.890107542936462</v>
      </c>
      <c r="AA479" s="26">
        <f t="shared" si="766"/>
        <v>827.64825439453125</v>
      </c>
      <c r="AB479" s="33">
        <f t="shared" si="752"/>
        <v>50.890107542936462</v>
      </c>
    </row>
    <row r="480" spans="1:28" x14ac:dyDescent="0.3">
      <c r="A480" s="32">
        <f>VLOOKUP(YEAR(C480),Flags!$A$13:$B$95,2,FALSE)</f>
        <v>2</v>
      </c>
      <c r="B480" s="24">
        <f t="shared" si="739"/>
        <v>1973</v>
      </c>
      <c r="C480" s="25">
        <v>26998</v>
      </c>
      <c r="D480" s="26"/>
      <c r="E480" s="24"/>
      <c r="F480" s="26"/>
      <c r="G480" s="26"/>
      <c r="H480" s="26"/>
      <c r="I480" s="26"/>
      <c r="J480" s="26"/>
      <c r="K480" s="26"/>
      <c r="L480" s="24"/>
      <c r="M480" s="24"/>
      <c r="N480" s="26"/>
      <c r="O480" s="26"/>
      <c r="P480" s="26"/>
      <c r="Q480" s="26"/>
      <c r="R480" s="26"/>
      <c r="S480" s="26"/>
      <c r="T480" s="26"/>
      <c r="U480" s="26"/>
      <c r="V480" s="26"/>
      <c r="W480" s="26">
        <f>MAX($C$10-VLOOKUP($C480,COS!$B$8:$H$991,3,FALSE),0)</f>
        <v>71353.306640625</v>
      </c>
      <c r="X480" s="26">
        <f t="shared" si="769"/>
        <v>4245.8165934917361</v>
      </c>
      <c r="Y480" s="26">
        <f>VLOOKUP($C480,COS!$B$8:$H$991,4,FALSE)</f>
        <v>0</v>
      </c>
      <c r="Z480" s="26">
        <f t="shared" si="770"/>
        <v>0</v>
      </c>
      <c r="AA480" s="26">
        <f t="shared" si="766"/>
        <v>0</v>
      </c>
      <c r="AB480" s="33">
        <f t="shared" si="752"/>
        <v>0</v>
      </c>
    </row>
    <row r="481" spans="1:28" x14ac:dyDescent="0.3">
      <c r="A481" s="34">
        <f>VLOOKUP(YEAR(C481),Flags!$A$13:$B$95,2,FALSE)</f>
        <v>2</v>
      </c>
      <c r="B481" s="35">
        <f t="shared" si="739"/>
        <v>1973</v>
      </c>
      <c r="C481" s="36">
        <v>27029</v>
      </c>
      <c r="D481" s="37"/>
      <c r="E481" s="35"/>
      <c r="F481" s="37"/>
      <c r="G481" s="37"/>
      <c r="H481" s="37"/>
      <c r="I481" s="37"/>
      <c r="J481" s="37"/>
      <c r="K481" s="37"/>
      <c r="L481" s="35"/>
      <c r="M481" s="35"/>
      <c r="N481" s="37"/>
      <c r="O481" s="37"/>
      <c r="P481" s="37"/>
      <c r="Q481" s="37"/>
      <c r="R481" s="37"/>
      <c r="S481" s="37"/>
      <c r="T481" s="37"/>
      <c r="U481" s="37"/>
      <c r="V481" s="37"/>
      <c r="W481" s="37">
        <f>MAX($C$11-VLOOKUP($C481,COS!$B$8:$H$991,3,FALSE),0)</f>
        <v>0</v>
      </c>
      <c r="X481" s="37">
        <f t="shared" si="769"/>
        <v>0</v>
      </c>
      <c r="Y481" s="37">
        <f>VLOOKUP($C481,COS!$B$8:$H$991,4,FALSE)</f>
        <v>0</v>
      </c>
      <c r="Z481" s="37">
        <f t="shared" si="770"/>
        <v>0</v>
      </c>
      <c r="AA481" s="37">
        <f t="shared" si="766"/>
        <v>0</v>
      </c>
      <c r="AB481" s="38">
        <f t="shared" si="752"/>
        <v>0</v>
      </c>
    </row>
    <row r="482" spans="1:28" x14ac:dyDescent="0.3">
      <c r="A482" s="27">
        <f>VLOOKUP(YEAR(C482),Flags!$A$13:$B$95,2,FALSE)</f>
        <v>1</v>
      </c>
      <c r="B482" s="28">
        <f t="shared" si="739"/>
        <v>1974</v>
      </c>
      <c r="C482" s="29">
        <v>27149</v>
      </c>
      <c r="D482" s="30">
        <f>VLOOKUP($C482,COS!$B$8:$H$991,3,FALSE)</f>
        <v>5857.21484375</v>
      </c>
      <c r="E482" s="28">
        <f>IF(D482&gt;=IF(MONTH($C482)=4,$C$3,IF(MONTH($C482)=5,$C$4,IF(MONTH($C482)=6,$C$5,IF(MONTH($C482)=7,$C$6,"ERROR")))),1,0)</f>
        <v>0</v>
      </c>
      <c r="F482" s="30">
        <f>VLOOKUP($C482,COS!$B$8:$H$991,7,FALSE)</f>
        <v>48.415458679199219</v>
      </c>
      <c r="G482" s="28">
        <f>IF(F482&lt;=IF(MONTH($C482)=4,$F$3,IF(MONTH($C482)=5,$F$4,IF(MONTH($C482)=6,$F$5,IF(MONTH($C482)=7,$F$6,"ERROR")))),1,0)</f>
        <v>1</v>
      </c>
      <c r="H482" s="30">
        <f>IF(J482=1,D482-$C$3,0)</f>
        <v>0</v>
      </c>
      <c r="I482" s="30">
        <f t="shared" si="764"/>
        <v>0</v>
      </c>
      <c r="J482" s="28">
        <f t="shared" ref="J482:J485" si="771">IF(AND(E482=1,G482=1),1,0)</f>
        <v>0</v>
      </c>
      <c r="K482" s="30">
        <f>VLOOKUP($C482,COS!$B$8:$H$991,2,FALSE)</f>
        <v>4289</v>
      </c>
      <c r="L482" s="28">
        <f t="shared" ref="L482" si="772">IF(K482&lt;=IF(MONTH($C482)=4,$I$3,IF(MONTH($C482)=5,$I$4,IF(MONTH($C482)=6,$I$5,IF(MONTH($C482)=7,$I$6,"ERROR")))),1,0)</f>
        <v>1</v>
      </c>
      <c r="M482" s="28">
        <f t="shared" ref="M482" si="773">VLOOKUP($A482,$L$3:$M$7,2,FALSE)</f>
        <v>0</v>
      </c>
      <c r="N482" s="30">
        <f>VLOOKUP($C482,COS!$B$8:$H$991,5,FALSE)</f>
        <v>44.716442108154297</v>
      </c>
      <c r="O482" s="30">
        <f t="shared" ref="O482:O485" si="774">N482*DAY($C482)*86400/43560/1000</f>
        <v>2.6608130841215778</v>
      </c>
      <c r="P482" s="30">
        <f>VLOOKUP($C482,COS!$B$8:$H$991,6,FALSE)</f>
        <v>403.17050170898438</v>
      </c>
      <c r="Q482" s="30">
        <f t="shared" ref="Q482:Q485" si="775">P482*DAY($C482)*86400/43560/1000</f>
        <v>23.990310845493283</v>
      </c>
      <c r="R482" s="30">
        <f>MIN(IF(MONTH($C482)=4,$S$3,IF(MONTH($C482)=5,$S$4,IF(MONTH($C482)=6,$S$5,IF(MONTH($C482)=7,$S$6,"ERROR")))),MAX(VLOOKUP($C482,COS!$B$8:$K$991,10,FALSE)-IF(MONTH($C482)=4,$Y$3,IF(MONTH($C482)=5,$Y$4,IF(MONTH($C482)=6,$Y$5,IF(MONTH($C482)=7,$Y$6,"ERROR")))),0),MAX(VLOOKUP($C482,COS!$B$8:$K$991,9,FALSE)-IF(MONTH($C482)=4,$V$3,IF(MONTH($C482)=5,$V$4,IF(MONTH($C482)=6,$V$5,IF(MONTH($C482)=7,$V$6,"ERROR"))))-VLOOKUP($C482,COS!$B$8:$K$991,6,FALSE)/2,0))</f>
        <v>1500</v>
      </c>
      <c r="S482" s="30">
        <f t="shared" ref="S482:S485" si="776">R482*DAY($C482)*86400/43560/1000</f>
        <v>89.256198347107429</v>
      </c>
      <c r="T482" s="30">
        <f t="shared" ref="T482:T485" si="777">(O482+Q482)/2+S482</f>
        <v>102.58176031191486</v>
      </c>
      <c r="U482" s="30" t="str">
        <f>IF(VLOOKUP($C482,COS!$B$8:$I$991,8,FALSE)=1,"UWFE","IBU")</f>
        <v>UWFE</v>
      </c>
      <c r="V482" s="30">
        <f t="shared" ref="V482" si="778">MIN(IF(IF($AA$3=2,AND(E482=1,G482=1,L482=1,L487=1,M482=1,U482="IBU"),AND(E482=1,G482=1,L482=1,L487=1,M482=1)),T482,0),I482)</f>
        <v>0</v>
      </c>
      <c r="W482" s="30"/>
      <c r="X482" s="30"/>
      <c r="Y482" s="30"/>
      <c r="Z482" s="30"/>
      <c r="AA482" s="30"/>
      <c r="AB482" s="31"/>
    </row>
    <row r="483" spans="1:28" x14ac:dyDescent="0.3">
      <c r="A483" s="32">
        <f>VLOOKUP(YEAR(C483),Flags!$A$13:$B$95,2,FALSE)</f>
        <v>1</v>
      </c>
      <c r="B483" s="24">
        <f t="shared" si="739"/>
        <v>1974</v>
      </c>
      <c r="C483" s="25">
        <v>27180</v>
      </c>
      <c r="D483" s="26">
        <f>VLOOKUP($C483,COS!$B$8:$H$991,3,FALSE)</f>
        <v>5594.63427734375</v>
      </c>
      <c r="E483" s="24">
        <f>IF(D483&gt;=IF(MONTH($C483)=4,$C$3,IF(MONTH($C483)=5,$C$4,IF(MONTH($C483)=6,$C$5,IF(MONTH($C483)=7,$C$6,"ERROR")))),1,0)</f>
        <v>0</v>
      </c>
      <c r="F483" s="26">
        <f>VLOOKUP($C483,COS!$B$8:$H$991,7,FALSE)</f>
        <v>50.93426513671875</v>
      </c>
      <c r="G483" s="24">
        <f>IF(F483&lt;=IF(MONTH($C483)=4,$F$3,IF(MONTH($C483)=5,$F$4,IF(MONTH($C483)=6,$F$5,IF(MONTH($C483)=7,$F$6,"ERROR")))),1,0)</f>
        <v>1</v>
      </c>
      <c r="H483" s="26">
        <f>IF(J483=1,D483-$C$4,0)</f>
        <v>0</v>
      </c>
      <c r="I483" s="26">
        <f t="shared" si="764"/>
        <v>0</v>
      </c>
      <c r="J483" s="24">
        <f t="shared" si="771"/>
        <v>0</v>
      </c>
      <c r="K483" s="26">
        <f>VLOOKUP($C483,COS!$B$8:$H$991,2,FALSE)</f>
        <v>4515.02880859375</v>
      </c>
      <c r="L483" s="24">
        <f t="shared" si="741"/>
        <v>1</v>
      </c>
      <c r="M483" s="24">
        <f t="shared" si="742"/>
        <v>0</v>
      </c>
      <c r="N483" s="26">
        <f>VLOOKUP($C483,COS!$B$8:$H$991,5,FALSE)</f>
        <v>762.792724609375</v>
      </c>
      <c r="O483" s="26">
        <f t="shared" si="774"/>
        <v>46.902296455320247</v>
      </c>
      <c r="P483" s="26">
        <f>VLOOKUP($C483,COS!$B$8:$H$991,6,FALSE)</f>
        <v>2255.40283203125</v>
      </c>
      <c r="Q483" s="26">
        <f t="shared" si="775"/>
        <v>138.67931463068183</v>
      </c>
      <c r="R483" s="26">
        <f>MIN(IF(MONTH($C483)=4,$S$3,IF(MONTH($C483)=5,$S$4,IF(MONTH($C483)=6,$S$5,IF(MONTH($C483)=7,$S$6,"ERROR")))),MAX(VLOOKUP($C483,COS!$B$8:$K$991,10,FALSE)-IF(MONTH($C483)=4,$Y$3,IF(MONTH($C483)=5,$Y$4,IF(MONTH($C483)=6,$Y$5,IF(MONTH($C483)=7,$Y$6,"ERROR")))),0),MAX(VLOOKUP($C483,COS!$B$8:$K$991,9,FALSE)-IF(MONTH($C483)=4,$V$3,IF(MONTH($C483)=5,$V$4,IF(MONTH($C483)=6,$V$5,IF(MONTH($C483)=7,$V$6,"ERROR"))))-VLOOKUP($C483,COS!$B$8:$K$991,6,FALSE)/2,0))</f>
        <v>1500</v>
      </c>
      <c r="S483" s="26">
        <f t="shared" si="776"/>
        <v>92.231404958677686</v>
      </c>
      <c r="T483" s="26">
        <f t="shared" si="777"/>
        <v>185.02221050167873</v>
      </c>
      <c r="U483" s="26" t="str">
        <f>IF(VLOOKUP($C483,COS!$B$8:$I$991,8,FALSE)=1,"UWFE","IBU")</f>
        <v>UWFE</v>
      </c>
      <c r="V483" s="26">
        <f t="shared" ref="V483" si="779">MIN(IF(IF($AA$3=2,AND(E483=1,G483=1,L483=1,L487=1,M483=1,U483="IBU"),AND(E483=1,G483=1,L483=1,L487=1,M483=1)),T483,0),I483)</f>
        <v>0</v>
      </c>
      <c r="W483" s="26"/>
      <c r="X483" s="26"/>
      <c r="Y483" s="26"/>
      <c r="Z483" s="26"/>
      <c r="AA483" s="26"/>
      <c r="AB483" s="33"/>
    </row>
    <row r="484" spans="1:28" x14ac:dyDescent="0.3">
      <c r="A484" s="32">
        <f>VLOOKUP(YEAR(C484),Flags!$A$13:$B$95,2,FALSE)</f>
        <v>1</v>
      </c>
      <c r="B484" s="24">
        <f t="shared" si="739"/>
        <v>1974</v>
      </c>
      <c r="C484" s="25">
        <v>27210</v>
      </c>
      <c r="D484" s="26">
        <f>VLOOKUP($C484,COS!$B$8:$H$991,3,FALSE)</f>
        <v>8124.50732421875</v>
      </c>
      <c r="E484" s="24">
        <f>IF(D484&gt;=IF(MONTH($C484)=4,$C$3,IF(MONTH($C484)=5,$C$4,IF(MONTH($C484)=6,$C$5,IF(MONTH($C484)=7,$C$6,"ERROR")))),1,0)</f>
        <v>0</v>
      </c>
      <c r="F484" s="26">
        <f>VLOOKUP($C484,COS!$B$8:$H$991,7,FALSE)</f>
        <v>51.255088806152344</v>
      </c>
      <c r="G484" s="24">
        <f>IF(F484&lt;=IF(MONTH($C484)=4,$F$3,IF(MONTH($C484)=5,$F$4,IF(MONTH($C484)=6,$F$5,IF(MONTH($C484)=7,$F$6,"ERROR")))),1,0)</f>
        <v>1</v>
      </c>
      <c r="H484" s="26">
        <f>IF(J484=1,D484-$C$5,0)</f>
        <v>0</v>
      </c>
      <c r="I484" s="26">
        <f t="shared" si="764"/>
        <v>0</v>
      </c>
      <c r="J484" s="24">
        <f t="shared" si="771"/>
        <v>0</v>
      </c>
      <c r="K484" s="26">
        <f>VLOOKUP($C484,COS!$B$8:$H$991,2,FALSE)</f>
        <v>4359.88232421875</v>
      </c>
      <c r="L484" s="24">
        <f t="shared" si="741"/>
        <v>1</v>
      </c>
      <c r="M484" s="24">
        <f t="shared" si="742"/>
        <v>0</v>
      </c>
      <c r="N484" s="26">
        <f>VLOOKUP($C484,COS!$B$8:$H$991,5,FALSE)</f>
        <v>1221.2120361328125</v>
      </c>
      <c r="O484" s="26">
        <f t="shared" si="774"/>
        <v>72.667162480630168</v>
      </c>
      <c r="P484" s="26">
        <f>VLOOKUP($C484,COS!$B$8:$H$991,6,FALSE)</f>
        <v>2328.534912109375</v>
      </c>
      <c r="Q484" s="26">
        <f t="shared" si="775"/>
        <v>138.55744931559917</v>
      </c>
      <c r="R484" s="26">
        <f>MIN(IF(MONTH($C484)=4,$S$3,IF(MONTH($C484)=5,$S$4,IF(MONTH($C484)=6,$S$5,IF(MONTH($C484)=7,$S$6,"ERROR")))),MAX(VLOOKUP($C484,COS!$B$8:$K$991,10,FALSE)-IF(MONTH($C484)=4,$Y$3,IF(MONTH($C484)=5,$Y$4,IF(MONTH($C484)=6,$Y$5,IF(MONTH($C484)=7,$Y$6,"ERROR")))),0),MAX(VLOOKUP($C484,COS!$B$8:$K$991,9,FALSE)-IF(MONTH($C484)=4,$V$3,IF(MONTH($C484)=5,$V$4,IF(MONTH($C484)=6,$V$5,IF(MONTH($C484)=7,$V$6,"ERROR"))))-VLOOKUP($C484,COS!$B$8:$K$991,6,FALSE)/2,0))</f>
        <v>1500</v>
      </c>
      <c r="S484" s="26">
        <f t="shared" si="776"/>
        <v>89.256198347107429</v>
      </c>
      <c r="T484" s="26">
        <f t="shared" si="777"/>
        <v>194.86850424522208</v>
      </c>
      <c r="U484" s="26" t="str">
        <f>IF(VLOOKUP($C484,COS!$B$8:$I$991,8,FALSE)=1,"UWFE","IBU")</f>
        <v>UWFE</v>
      </c>
      <c r="V484" s="26">
        <f t="shared" ref="V484" si="780">MIN(IF(IF($AA$3=2,AND(E484=1,G484=1,L484=1,L487=1,M484=1,U484="IBU"),AND(E484=1,G484=1,L484=1,L487=1,M484=1)),T484,0),I484)</f>
        <v>0</v>
      </c>
      <c r="W484" s="26"/>
      <c r="X484" s="26"/>
      <c r="Y484" s="26"/>
      <c r="Z484" s="26"/>
      <c r="AA484" s="26"/>
      <c r="AB484" s="33"/>
    </row>
    <row r="485" spans="1:28" x14ac:dyDescent="0.3">
      <c r="A485" s="32">
        <f>VLOOKUP(YEAR(C485),Flags!$A$13:$B$95,2,FALSE)</f>
        <v>1</v>
      </c>
      <c r="B485" s="24">
        <f t="shared" si="739"/>
        <v>1974</v>
      </c>
      <c r="C485" s="25">
        <v>27241</v>
      </c>
      <c r="D485" s="26">
        <f>VLOOKUP($C485,COS!$B$8:$H$991,3,FALSE)</f>
        <v>12602.3798828125</v>
      </c>
      <c r="E485" s="24">
        <f>IF(D485&gt;=IF(MONTH($C485)=4,$C$3,IF(MONTH($C485)=5,$C$4,IF(MONTH($C485)=6,$C$5,IF(MONTH($C485)=7,$C$6,"ERROR")))),1,0)</f>
        <v>1</v>
      </c>
      <c r="F485" s="26">
        <f>VLOOKUP($C485,COS!$B$8:$H$991,7,FALSE)</f>
        <v>51.680782318115234</v>
      </c>
      <c r="G485" s="24">
        <f>IF(F485&lt;=IF(MONTH($C485)=4,$F$3,IF(MONTH($C485)=5,$F$4,IF(MONTH($C485)=6,$F$5,IF(MONTH($C485)=7,$F$6,"ERROR")))),1,0)</f>
        <v>1</v>
      </c>
      <c r="H485" s="26">
        <f>IF(J485=1,D485-$C$6,0)</f>
        <v>602.3798828125</v>
      </c>
      <c r="I485" s="26">
        <f t="shared" si="764"/>
        <v>37.038895273760332</v>
      </c>
      <c r="J485" s="24">
        <f t="shared" si="771"/>
        <v>1</v>
      </c>
      <c r="K485" s="26">
        <f>VLOOKUP($C485,COS!$B$8:$H$991,2,FALSE)</f>
        <v>3927.6494140625</v>
      </c>
      <c r="L485" s="24">
        <f t="shared" si="741"/>
        <v>1</v>
      </c>
      <c r="M485" s="24">
        <f t="shared" si="742"/>
        <v>0</v>
      </c>
      <c r="N485" s="26">
        <f>VLOOKUP($C485,COS!$B$8:$H$991,5,FALSE)</f>
        <v>1157.809326171875</v>
      </c>
      <c r="O485" s="26">
        <f t="shared" si="774"/>
        <v>71.190920551394626</v>
      </c>
      <c r="P485" s="26">
        <f>VLOOKUP($C485,COS!$B$8:$H$991,6,FALSE)</f>
        <v>2265.91064453125</v>
      </c>
      <c r="Q485" s="26">
        <f t="shared" si="775"/>
        <v>139.32541483729338</v>
      </c>
      <c r="R485" s="26">
        <f>MIN(IF(MONTH($C485)=4,$S$3,IF(MONTH($C485)=5,$S$4,IF(MONTH($C485)=6,$S$5,IF(MONTH($C485)=7,$S$6,"ERROR")))),MAX(VLOOKUP($C485,COS!$B$8:$K$991,10,FALSE)-IF(MONTH($C485)=4,$Y$3,IF(MONTH($C485)=5,$Y$4,IF(MONTH($C485)=6,$Y$5,IF(MONTH($C485)=7,$Y$6,"ERROR")))),0),MAX(VLOOKUP($C485,COS!$B$8:$K$991,9,FALSE)-IF(MONTH($C485)=4,$V$3,IF(MONTH($C485)=5,$V$4,IF(MONTH($C485)=6,$V$5,IF(MONTH($C485)=7,$V$6,"ERROR"))))-VLOOKUP($C485,COS!$B$8:$K$991,6,FALSE)/2,0))</f>
        <v>1500</v>
      </c>
      <c r="S485" s="26">
        <f t="shared" si="776"/>
        <v>92.231404958677686</v>
      </c>
      <c r="T485" s="26">
        <f t="shared" si="777"/>
        <v>197.4895726530217</v>
      </c>
      <c r="U485" s="26" t="str">
        <f>IF(VLOOKUP($C485,COS!$B$8:$I$991,8,FALSE)=1,"UWFE","IBU")</f>
        <v>IBU</v>
      </c>
      <c r="V485" s="26">
        <f t="shared" ref="V485" si="781">MIN(IF(IF($AA$3=2,AND(E485=1,G485=1,L485=1,L487=1,M485=1,U485="IBU"),AND(E485=1,G485=1,L485=1,L487=1,M485=1)),T485,0),I485)</f>
        <v>0</v>
      </c>
      <c r="W485" s="26"/>
      <c r="X485" s="26"/>
      <c r="Y485" s="26"/>
      <c r="Z485" s="26"/>
      <c r="AA485" s="26"/>
      <c r="AB485" s="33"/>
    </row>
    <row r="486" spans="1:28" x14ac:dyDescent="0.3">
      <c r="A486" s="32">
        <f>VLOOKUP(YEAR(C486),Flags!$A$13:$B$95,2,FALSE)</f>
        <v>1</v>
      </c>
      <c r="B486" s="24">
        <f t="shared" si="739"/>
        <v>1974</v>
      </c>
      <c r="C486" s="25">
        <v>27272</v>
      </c>
      <c r="D486" s="26"/>
      <c r="E486" s="24"/>
      <c r="F486" s="26"/>
      <c r="G486" s="24"/>
      <c r="H486" s="24"/>
      <c r="I486" s="26"/>
      <c r="J486" s="24"/>
      <c r="K486" s="26"/>
      <c r="L486" s="24"/>
      <c r="M486" s="24"/>
      <c r="N486" s="26"/>
      <c r="O486" s="26"/>
      <c r="P486" s="26"/>
      <c r="Q486" s="26"/>
      <c r="R486" s="26"/>
      <c r="S486" s="26"/>
      <c r="T486" s="26"/>
      <c r="U486" s="26"/>
      <c r="V486" s="26"/>
      <c r="W486" s="26">
        <f>MAX($C$7-VLOOKUP($C486,COS!$B$8:$H$991,3,FALSE),0)</f>
        <v>90403.6591796875</v>
      </c>
      <c r="X486" s="26">
        <f t="shared" si="769"/>
        <v>5558.7043330320248</v>
      </c>
      <c r="Y486" s="26">
        <f>VLOOKUP($C486,COS!$B$8:$H$991,4,FALSE)</f>
        <v>0</v>
      </c>
      <c r="Z486" s="26">
        <f t="shared" si="770"/>
        <v>0</v>
      </c>
      <c r="AA486" s="26">
        <f t="shared" ref="AA486:AA490" si="782">MIN(W486,Y486)</f>
        <v>0</v>
      </c>
      <c r="AB486" s="33">
        <f t="shared" ref="AB486" si="783">AA486*DAY($C486)*86400/43560/1000*IF(MONTH($C486)=8,$P$3,IF(MONTH($C486)=9,$P$4,IF(MONTH($C486)=10,$P$5,IF(MONTH($C486)=11,$P$6,IF(MONTH($C486)=12,$P$7,NA())))))</f>
        <v>0</v>
      </c>
    </row>
    <row r="487" spans="1:28" x14ac:dyDescent="0.3">
      <c r="A487" s="32">
        <f>VLOOKUP(YEAR(C487),Flags!$A$13:$B$95,2,FALSE)</f>
        <v>1</v>
      </c>
      <c r="B487" s="24">
        <f t="shared" si="739"/>
        <v>1974</v>
      </c>
      <c r="C487" s="25">
        <v>27302</v>
      </c>
      <c r="D487" s="26"/>
      <c r="E487" s="24"/>
      <c r="F487" s="26"/>
      <c r="G487" s="24"/>
      <c r="H487" s="24"/>
      <c r="I487" s="26"/>
      <c r="J487" s="24"/>
      <c r="K487" s="26">
        <f>VLOOKUP($C487,COS!$B$8:$H$991,2,FALSE)</f>
        <v>3201.753173828125</v>
      </c>
      <c r="L487" s="24">
        <f t="shared" ref="L487" si="784">IF(AND(K487&gt;$I$7,K487&lt;$I$8),1,0)</f>
        <v>1</v>
      </c>
      <c r="M487" s="24"/>
      <c r="N487" s="26"/>
      <c r="O487" s="26"/>
      <c r="P487" s="26"/>
      <c r="Q487" s="26"/>
      <c r="R487" s="26"/>
      <c r="S487" s="26"/>
      <c r="T487" s="26"/>
      <c r="U487" s="26"/>
      <c r="V487" s="26"/>
      <c r="W487" s="26">
        <f>MAX($C$8-VLOOKUP($C487,COS!$B$8:$H$991,3,FALSE),0)</f>
        <v>86925.96875</v>
      </c>
      <c r="X487" s="26">
        <f t="shared" si="769"/>
        <v>5172.4543388429747</v>
      </c>
      <c r="Y487" s="26">
        <f>VLOOKUP($C487,COS!$B$8:$H$991,4,FALSE)</f>
        <v>0</v>
      </c>
      <c r="Z487" s="26">
        <f t="shared" si="770"/>
        <v>0</v>
      </c>
      <c r="AA487" s="26">
        <f t="shared" si="782"/>
        <v>0</v>
      </c>
      <c r="AB487" s="33">
        <f t="shared" si="752"/>
        <v>0</v>
      </c>
    </row>
    <row r="488" spans="1:28" x14ac:dyDescent="0.3">
      <c r="A488" s="32">
        <f>VLOOKUP(YEAR(C488),Flags!$A$13:$B$95,2,FALSE)</f>
        <v>1</v>
      </c>
      <c r="B488" s="24">
        <f t="shared" si="739"/>
        <v>1974</v>
      </c>
      <c r="C488" s="25">
        <v>27333</v>
      </c>
      <c r="D488" s="26"/>
      <c r="E488" s="24"/>
      <c r="F488" s="26"/>
      <c r="G488" s="26"/>
      <c r="H488" s="26"/>
      <c r="I488" s="26"/>
      <c r="J488" s="26"/>
      <c r="K488" s="26"/>
      <c r="L488" s="24"/>
      <c r="M488" s="24"/>
      <c r="N488" s="26"/>
      <c r="O488" s="26"/>
      <c r="P488" s="26"/>
      <c r="Q488" s="26"/>
      <c r="R488" s="26"/>
      <c r="S488" s="26"/>
      <c r="T488" s="26"/>
      <c r="U488" s="26"/>
      <c r="V488" s="26"/>
      <c r="W488" s="26">
        <f>MAX($C$9-VLOOKUP($C488,COS!$B$8:$H$991,3,FALSE),0)</f>
        <v>91203.32421875</v>
      </c>
      <c r="X488" s="26">
        <f t="shared" si="769"/>
        <v>5607.8738197314051</v>
      </c>
      <c r="Y488" s="26">
        <f>VLOOKUP($C488,COS!$B$8:$H$991,4,FALSE)</f>
        <v>1233.3179931640625</v>
      </c>
      <c r="Z488" s="26">
        <f t="shared" si="770"/>
        <v>75.833767513558882</v>
      </c>
      <c r="AA488" s="26">
        <f t="shared" si="782"/>
        <v>1233.3179931640625</v>
      </c>
      <c r="AB488" s="33">
        <f t="shared" si="752"/>
        <v>75.833767513558882</v>
      </c>
    </row>
    <row r="489" spans="1:28" x14ac:dyDescent="0.3">
      <c r="A489" s="32">
        <f>VLOOKUP(YEAR(C489),Flags!$A$13:$B$95,2,FALSE)</f>
        <v>1</v>
      </c>
      <c r="B489" s="24">
        <f t="shared" si="739"/>
        <v>1974</v>
      </c>
      <c r="C489" s="25">
        <v>27363</v>
      </c>
      <c r="D489" s="26"/>
      <c r="E489" s="24"/>
      <c r="F489" s="26"/>
      <c r="G489" s="26"/>
      <c r="H489" s="26"/>
      <c r="I489" s="26"/>
      <c r="J489" s="26"/>
      <c r="K489" s="26"/>
      <c r="L489" s="24"/>
      <c r="M489" s="24"/>
      <c r="N489" s="26"/>
      <c r="O489" s="26"/>
      <c r="P489" s="26"/>
      <c r="Q489" s="26"/>
      <c r="R489" s="26"/>
      <c r="S489" s="26"/>
      <c r="T489" s="26"/>
      <c r="U489" s="26"/>
      <c r="V489" s="26"/>
      <c r="W489" s="26">
        <f>MAX($C$10-VLOOKUP($C489,COS!$B$8:$H$991,3,FALSE),0)</f>
        <v>87555.9794921875</v>
      </c>
      <c r="X489" s="26">
        <f t="shared" si="769"/>
        <v>5209.9425813533062</v>
      </c>
      <c r="Y489" s="26">
        <f>VLOOKUP($C489,COS!$B$8:$H$991,4,FALSE)</f>
        <v>1391.8277587890625</v>
      </c>
      <c r="Z489" s="26">
        <f t="shared" si="770"/>
        <v>82.819503002324367</v>
      </c>
      <c r="AA489" s="26">
        <f t="shared" si="782"/>
        <v>1391.8277587890625</v>
      </c>
      <c r="AB489" s="33">
        <f t="shared" si="752"/>
        <v>41.409751501162184</v>
      </c>
    </row>
    <row r="490" spans="1:28" x14ac:dyDescent="0.3">
      <c r="A490" s="34">
        <f>VLOOKUP(YEAR(C490),Flags!$A$13:$B$95,2,FALSE)</f>
        <v>1</v>
      </c>
      <c r="B490" s="35">
        <f t="shared" si="739"/>
        <v>1974</v>
      </c>
      <c r="C490" s="36">
        <v>27394</v>
      </c>
      <c r="D490" s="37"/>
      <c r="E490" s="35"/>
      <c r="F490" s="37"/>
      <c r="G490" s="37"/>
      <c r="H490" s="37"/>
      <c r="I490" s="37"/>
      <c r="J490" s="37"/>
      <c r="K490" s="37"/>
      <c r="L490" s="35"/>
      <c r="M490" s="35"/>
      <c r="N490" s="37"/>
      <c r="O490" s="37"/>
      <c r="P490" s="37"/>
      <c r="Q490" s="37"/>
      <c r="R490" s="37"/>
      <c r="S490" s="37"/>
      <c r="T490" s="37"/>
      <c r="U490" s="37"/>
      <c r="V490" s="37"/>
      <c r="W490" s="37">
        <f>MAX($C$11-VLOOKUP($C490,COS!$B$8:$H$991,3,FALSE),0)</f>
        <v>0</v>
      </c>
      <c r="X490" s="37">
        <f t="shared" si="769"/>
        <v>0</v>
      </c>
      <c r="Y490" s="37">
        <f>VLOOKUP($C490,COS!$B$8:$H$991,4,FALSE)</f>
        <v>0</v>
      </c>
      <c r="Z490" s="37">
        <f t="shared" si="770"/>
        <v>0</v>
      </c>
      <c r="AA490" s="37">
        <f t="shared" si="782"/>
        <v>0</v>
      </c>
      <c r="AB490" s="38">
        <f t="shared" si="752"/>
        <v>0</v>
      </c>
    </row>
    <row r="491" spans="1:28" x14ac:dyDescent="0.3">
      <c r="A491" s="27">
        <f>VLOOKUP(YEAR(C491),Flags!$A$13:$B$95,2,FALSE)</f>
        <v>1</v>
      </c>
      <c r="B491" s="28">
        <f t="shared" si="739"/>
        <v>1975</v>
      </c>
      <c r="C491" s="29">
        <v>27514</v>
      </c>
      <c r="D491" s="30">
        <f>VLOOKUP($C491,COS!$B$8:$H$991,3,FALSE)</f>
        <v>3250</v>
      </c>
      <c r="E491" s="28">
        <f>IF(D491&gt;=IF(MONTH($C491)=4,$C$3,IF(MONTH($C491)=5,$C$4,IF(MONTH($C491)=6,$C$5,IF(MONTH($C491)=7,$C$6,"ERROR")))),1,0)</f>
        <v>0</v>
      </c>
      <c r="F491" s="30">
        <f>VLOOKUP($C491,COS!$B$8:$H$991,7,FALSE)</f>
        <v>50.470378875732422</v>
      </c>
      <c r="G491" s="28">
        <f>IF(F491&lt;=IF(MONTH($C491)=4,$F$3,IF(MONTH($C491)=5,$F$4,IF(MONTH($C491)=6,$F$5,IF(MONTH($C491)=7,$F$6,"ERROR")))),1,0)</f>
        <v>1</v>
      </c>
      <c r="H491" s="30">
        <f>IF(J491=1,D491-$C$3,0)</f>
        <v>0</v>
      </c>
      <c r="I491" s="30">
        <f t="shared" si="764"/>
        <v>0</v>
      </c>
      <c r="J491" s="28">
        <f t="shared" ref="J491:J494" si="785">IF(AND(E491=1,G491=1),1,0)</f>
        <v>0</v>
      </c>
      <c r="K491" s="30">
        <f>VLOOKUP($C491,COS!$B$8:$H$991,2,FALSE)</f>
        <v>4449.69873046875</v>
      </c>
      <c r="L491" s="28">
        <f t="shared" ref="L491" si="786">IF(K491&lt;=IF(MONTH($C491)=4,$I$3,IF(MONTH($C491)=5,$I$4,IF(MONTH($C491)=6,$I$5,IF(MONTH($C491)=7,$I$6,"ERROR")))),1,0)</f>
        <v>1</v>
      </c>
      <c r="M491" s="28">
        <f t="shared" ref="M491" si="787">VLOOKUP($A491,$L$3:$M$7,2,FALSE)</f>
        <v>0</v>
      </c>
      <c r="N491" s="30">
        <f>VLOOKUP($C491,COS!$B$8:$H$991,5,FALSE)</f>
        <v>348.71612548828125</v>
      </c>
      <c r="O491" s="30">
        <f t="shared" ref="O491:O494" si="788">N491*DAY($C491)*86400/43560/1000</f>
        <v>20.750050442277892</v>
      </c>
      <c r="P491" s="30">
        <f>VLOOKUP($C491,COS!$B$8:$H$991,6,FALSE)</f>
        <v>422.25656127929688</v>
      </c>
      <c r="Q491" s="30">
        <f t="shared" ref="Q491:Q494" si="789">P491*DAY($C491)*86400/43560/1000</f>
        <v>25.12601025794163</v>
      </c>
      <c r="R491" s="30">
        <f>MIN(IF(MONTH($C491)=4,$S$3,IF(MONTH($C491)=5,$S$4,IF(MONTH($C491)=6,$S$5,IF(MONTH($C491)=7,$S$6,"ERROR")))),MAX(VLOOKUP($C491,COS!$B$8:$K$991,10,FALSE)-IF(MONTH($C491)=4,$Y$3,IF(MONTH($C491)=5,$Y$4,IF(MONTH($C491)=6,$Y$5,IF(MONTH($C491)=7,$Y$6,"ERROR")))),0),MAX(VLOOKUP($C491,COS!$B$8:$K$991,9,FALSE)-IF(MONTH($C491)=4,$V$3,IF(MONTH($C491)=5,$V$4,IF(MONTH($C491)=6,$V$5,IF(MONTH($C491)=7,$V$6,"ERROR"))))-VLOOKUP($C491,COS!$B$8:$K$991,6,FALSE)/2,0))</f>
        <v>1500</v>
      </c>
      <c r="S491" s="30">
        <f t="shared" ref="S491:S494" si="790">R491*DAY($C491)*86400/43560/1000</f>
        <v>89.256198347107429</v>
      </c>
      <c r="T491" s="30">
        <f t="shared" ref="T491:T494" si="791">(O491+Q491)/2+S491</f>
        <v>112.1942286972172</v>
      </c>
      <c r="U491" s="30" t="str">
        <f>IF(VLOOKUP($C491,COS!$B$8:$I$991,8,FALSE)=1,"UWFE","IBU")</f>
        <v>UWFE</v>
      </c>
      <c r="V491" s="30">
        <f t="shared" ref="V491" si="792">MIN(IF(IF($AA$3=2,AND(E491=1,G491=1,L491=1,L496=1,M491=1,U491="IBU"),AND(E491=1,G491=1,L491=1,L496=1,M491=1)),T491,0),I491)</f>
        <v>0</v>
      </c>
      <c r="W491" s="30"/>
      <c r="X491" s="30"/>
      <c r="Y491" s="30"/>
      <c r="Z491" s="30"/>
      <c r="AA491" s="30"/>
      <c r="AB491" s="31"/>
    </row>
    <row r="492" spans="1:28" x14ac:dyDescent="0.3">
      <c r="A492" s="32">
        <f>VLOOKUP(YEAR(C492),Flags!$A$13:$B$95,2,FALSE)</f>
        <v>1</v>
      </c>
      <c r="B492" s="24">
        <f t="shared" si="739"/>
        <v>1975</v>
      </c>
      <c r="C492" s="25">
        <v>27545</v>
      </c>
      <c r="D492" s="26">
        <f>VLOOKUP($C492,COS!$B$8:$H$991,3,FALSE)</f>
        <v>9954.1455078125</v>
      </c>
      <c r="E492" s="24">
        <f>IF(D492&gt;=IF(MONTH($C492)=4,$C$3,IF(MONTH($C492)=5,$C$4,IF(MONTH($C492)=6,$C$5,IF(MONTH($C492)=7,$C$6,"ERROR")))),1,0)</f>
        <v>1</v>
      </c>
      <c r="F492" s="26">
        <f>VLOOKUP($C492,COS!$B$8:$H$991,7,FALSE)</f>
        <v>50.279342651367188</v>
      </c>
      <c r="G492" s="24">
        <f>IF(F492&lt;=IF(MONTH($C492)=4,$F$3,IF(MONTH($C492)=5,$F$4,IF(MONTH($C492)=6,$F$5,IF(MONTH($C492)=7,$F$6,"ERROR")))),1,0)</f>
        <v>1</v>
      </c>
      <c r="H492" s="26">
        <f>IF(J492=1,D492-$C$4,0)</f>
        <v>3954.1455078125</v>
      </c>
      <c r="I492" s="26">
        <f t="shared" si="764"/>
        <v>243.13093039772727</v>
      </c>
      <c r="J492" s="24">
        <f t="shared" si="785"/>
        <v>1</v>
      </c>
      <c r="K492" s="26">
        <f>VLOOKUP($C492,COS!$B$8:$H$991,2,FALSE)</f>
        <v>4552</v>
      </c>
      <c r="L492" s="24">
        <f t="shared" si="741"/>
        <v>1</v>
      </c>
      <c r="M492" s="24">
        <f t="shared" si="742"/>
        <v>0</v>
      </c>
      <c r="N492" s="26">
        <f>VLOOKUP($C492,COS!$B$8:$H$991,5,FALSE)</f>
        <v>880.44073486328125</v>
      </c>
      <c r="O492" s="26">
        <f t="shared" si="788"/>
        <v>54.136190639527378</v>
      </c>
      <c r="P492" s="26">
        <f>VLOOKUP($C492,COS!$B$8:$H$991,6,FALSE)</f>
        <v>2314.501708984375</v>
      </c>
      <c r="Q492" s="26">
        <f t="shared" si="789"/>
        <v>142.31316293259297</v>
      </c>
      <c r="R492" s="26">
        <f>MIN(IF(MONTH($C492)=4,$S$3,IF(MONTH($C492)=5,$S$4,IF(MONTH($C492)=6,$S$5,IF(MONTH($C492)=7,$S$6,"ERROR")))),MAX(VLOOKUP($C492,COS!$B$8:$K$991,10,FALSE)-IF(MONTH($C492)=4,$Y$3,IF(MONTH($C492)=5,$Y$4,IF(MONTH($C492)=6,$Y$5,IF(MONTH($C492)=7,$Y$6,"ERROR")))),0),MAX(VLOOKUP($C492,COS!$B$8:$K$991,9,FALSE)-IF(MONTH($C492)=4,$V$3,IF(MONTH($C492)=5,$V$4,IF(MONTH($C492)=6,$V$5,IF(MONTH($C492)=7,$V$6,"ERROR"))))-VLOOKUP($C492,COS!$B$8:$K$991,6,FALSE)/2,0))</f>
        <v>1500</v>
      </c>
      <c r="S492" s="26">
        <f t="shared" si="790"/>
        <v>92.231404958677686</v>
      </c>
      <c r="T492" s="26">
        <f t="shared" si="791"/>
        <v>190.45608174473784</v>
      </c>
      <c r="U492" s="26" t="str">
        <f>IF(VLOOKUP($C492,COS!$B$8:$I$991,8,FALSE)=1,"UWFE","IBU")</f>
        <v>UWFE</v>
      </c>
      <c r="V492" s="26">
        <f t="shared" ref="V492" si="793">MIN(IF(IF($AA$3=2,AND(E492=1,G492=1,L492=1,L496=1,M492=1,U492="IBU"),AND(E492=1,G492=1,L492=1,L496=1,M492=1)),T492,0),I492)</f>
        <v>0</v>
      </c>
      <c r="W492" s="26"/>
      <c r="X492" s="26"/>
      <c r="Y492" s="26"/>
      <c r="Z492" s="26"/>
      <c r="AA492" s="26"/>
      <c r="AB492" s="33"/>
    </row>
    <row r="493" spans="1:28" x14ac:dyDescent="0.3">
      <c r="A493" s="32">
        <f>VLOOKUP(YEAR(C493),Flags!$A$13:$B$95,2,FALSE)</f>
        <v>1</v>
      </c>
      <c r="B493" s="24">
        <f t="shared" si="739"/>
        <v>1975</v>
      </c>
      <c r="C493" s="25">
        <v>27575</v>
      </c>
      <c r="D493" s="26">
        <f>VLOOKUP($C493,COS!$B$8:$H$991,3,FALSE)</f>
        <v>8908.6064453125</v>
      </c>
      <c r="E493" s="24">
        <f>IF(D493&gt;=IF(MONTH($C493)=4,$C$3,IF(MONTH($C493)=5,$C$4,IF(MONTH($C493)=6,$C$5,IF(MONTH($C493)=7,$C$6,"ERROR")))),1,0)</f>
        <v>0</v>
      </c>
      <c r="F493" s="26">
        <f>VLOOKUP($C493,COS!$B$8:$H$991,7,FALSE)</f>
        <v>51.962612152099609</v>
      </c>
      <c r="G493" s="24">
        <f>IF(F493&lt;=IF(MONTH($C493)=4,$F$3,IF(MONTH($C493)=5,$F$4,IF(MONTH($C493)=6,$F$5,IF(MONTH($C493)=7,$F$6,"ERROR")))),1,0)</f>
        <v>1</v>
      </c>
      <c r="H493" s="26">
        <f>IF(J493=1,D493-$C$5,0)</f>
        <v>0</v>
      </c>
      <c r="I493" s="26">
        <f t="shared" si="764"/>
        <v>0</v>
      </c>
      <c r="J493" s="24">
        <f t="shared" si="785"/>
        <v>0</v>
      </c>
      <c r="K493" s="26">
        <f>VLOOKUP($C493,COS!$B$8:$H$991,2,FALSE)</f>
        <v>4422.015625</v>
      </c>
      <c r="L493" s="24">
        <f t="shared" si="741"/>
        <v>1</v>
      </c>
      <c r="M493" s="24">
        <f t="shared" si="742"/>
        <v>0</v>
      </c>
      <c r="N493" s="26">
        <f>VLOOKUP($C493,COS!$B$8:$H$991,5,FALSE)</f>
        <v>1191.22607421875</v>
      </c>
      <c r="O493" s="26">
        <f t="shared" si="788"/>
        <v>70.882873837809925</v>
      </c>
      <c r="P493" s="26">
        <f>VLOOKUP($C493,COS!$B$8:$H$991,6,FALSE)</f>
        <v>2278.943359375</v>
      </c>
      <c r="Q493" s="26">
        <f t="shared" si="789"/>
        <v>135.60654700413224</v>
      </c>
      <c r="R493" s="26">
        <f>MIN(IF(MONTH($C493)=4,$S$3,IF(MONTH($C493)=5,$S$4,IF(MONTH($C493)=6,$S$5,IF(MONTH($C493)=7,$S$6,"ERROR")))),MAX(VLOOKUP($C493,COS!$B$8:$K$991,10,FALSE)-IF(MONTH($C493)=4,$Y$3,IF(MONTH($C493)=5,$Y$4,IF(MONTH($C493)=6,$Y$5,IF(MONTH($C493)=7,$Y$6,"ERROR")))),0),MAX(VLOOKUP($C493,COS!$B$8:$K$991,9,FALSE)-IF(MONTH($C493)=4,$V$3,IF(MONTH($C493)=5,$V$4,IF(MONTH($C493)=6,$V$5,IF(MONTH($C493)=7,$V$6,"ERROR"))))-VLOOKUP($C493,COS!$B$8:$K$991,6,FALSE)/2,0))</f>
        <v>1500</v>
      </c>
      <c r="S493" s="26">
        <f t="shared" si="790"/>
        <v>89.256198347107429</v>
      </c>
      <c r="T493" s="26">
        <f t="shared" si="791"/>
        <v>192.50090876807849</v>
      </c>
      <c r="U493" s="26" t="str">
        <f>IF(VLOOKUP($C493,COS!$B$8:$I$991,8,FALSE)=1,"UWFE","IBU")</f>
        <v>UWFE</v>
      </c>
      <c r="V493" s="26">
        <f t="shared" ref="V493" si="794">MIN(IF(IF($AA$3=2,AND(E493=1,G493=1,L493=1,L496=1,M493=1,U493="IBU"),AND(E493=1,G493=1,L493=1,L496=1,M493=1)),T493,0),I493)</f>
        <v>0</v>
      </c>
      <c r="W493" s="26"/>
      <c r="X493" s="26"/>
      <c r="Y493" s="26"/>
      <c r="Z493" s="26"/>
      <c r="AA493" s="26"/>
      <c r="AB493" s="33"/>
    </row>
    <row r="494" spans="1:28" x14ac:dyDescent="0.3">
      <c r="A494" s="32">
        <f>VLOOKUP(YEAR(C494),Flags!$A$13:$B$95,2,FALSE)</f>
        <v>1</v>
      </c>
      <c r="B494" s="24">
        <f t="shared" si="739"/>
        <v>1975</v>
      </c>
      <c r="C494" s="25">
        <v>27606</v>
      </c>
      <c r="D494" s="26">
        <f>VLOOKUP($C494,COS!$B$8:$H$991,3,FALSE)</f>
        <v>13871.7421875</v>
      </c>
      <c r="E494" s="24">
        <f>IF(D494&gt;=IF(MONTH($C494)=4,$C$3,IF(MONTH($C494)=5,$C$4,IF(MONTH($C494)=6,$C$5,IF(MONTH($C494)=7,$C$6,"ERROR")))),1,0)</f>
        <v>1</v>
      </c>
      <c r="F494" s="26">
        <f>VLOOKUP($C494,COS!$B$8:$H$991,7,FALSE)</f>
        <v>52.175071716308594</v>
      </c>
      <c r="G494" s="24">
        <f>IF(F494&lt;=IF(MONTH($C494)=4,$F$3,IF(MONTH($C494)=5,$F$4,IF(MONTH($C494)=6,$F$5,IF(MONTH($C494)=7,$F$6,"ERROR")))),1,0)</f>
        <v>1</v>
      </c>
      <c r="H494" s="26">
        <f>IF(J494=1,D494-$C$6,0)</f>
        <v>1871.7421875</v>
      </c>
      <c r="I494" s="26">
        <f t="shared" si="764"/>
        <v>115.08894111570247</v>
      </c>
      <c r="J494" s="24">
        <f t="shared" si="785"/>
        <v>1</v>
      </c>
      <c r="K494" s="26">
        <f>VLOOKUP($C494,COS!$B$8:$H$991,2,FALSE)</f>
        <v>3940.190673828125</v>
      </c>
      <c r="L494" s="24">
        <f t="shared" si="741"/>
        <v>1</v>
      </c>
      <c r="M494" s="24">
        <f t="shared" si="742"/>
        <v>0</v>
      </c>
      <c r="N494" s="26">
        <f>VLOOKUP($C494,COS!$B$8:$H$991,5,FALSE)</f>
        <v>1259.2373046875</v>
      </c>
      <c r="O494" s="26">
        <f t="shared" si="788"/>
        <v>77.427483858471078</v>
      </c>
      <c r="P494" s="26">
        <f>VLOOKUP($C494,COS!$B$8:$H$991,6,FALSE)</f>
        <v>2566.025634765625</v>
      </c>
      <c r="Q494" s="26">
        <f t="shared" si="789"/>
        <v>157.77876630294421</v>
      </c>
      <c r="R494" s="26">
        <f>MIN(IF(MONTH($C494)=4,$S$3,IF(MONTH($C494)=5,$S$4,IF(MONTH($C494)=6,$S$5,IF(MONTH($C494)=7,$S$6,"ERROR")))),MAX(VLOOKUP($C494,COS!$B$8:$K$991,10,FALSE)-IF(MONTH($C494)=4,$Y$3,IF(MONTH($C494)=5,$Y$4,IF(MONTH($C494)=6,$Y$5,IF(MONTH($C494)=7,$Y$6,"ERROR")))),0),MAX(VLOOKUP($C494,COS!$B$8:$K$991,9,FALSE)-IF(MONTH($C494)=4,$V$3,IF(MONTH($C494)=5,$V$4,IF(MONTH($C494)=6,$V$5,IF(MONTH($C494)=7,$V$6,"ERROR"))))-VLOOKUP($C494,COS!$B$8:$K$991,6,FALSE)/2,0))</f>
        <v>1500</v>
      </c>
      <c r="S494" s="26">
        <f t="shared" si="790"/>
        <v>92.231404958677686</v>
      </c>
      <c r="T494" s="26">
        <f t="shared" si="791"/>
        <v>209.83453003938533</v>
      </c>
      <c r="U494" s="26" t="str">
        <f>IF(VLOOKUP($C494,COS!$B$8:$I$991,8,FALSE)=1,"UWFE","IBU")</f>
        <v>IBU</v>
      </c>
      <c r="V494" s="26">
        <f t="shared" ref="V494" si="795">MIN(IF(IF($AA$3=2,AND(E494=1,G494=1,L494=1,L496=1,M494=1,U494="IBU"),AND(E494=1,G494=1,L494=1,L496=1,M494=1)),T494,0),I494)</f>
        <v>0</v>
      </c>
      <c r="W494" s="26"/>
      <c r="X494" s="26"/>
      <c r="Y494" s="26"/>
      <c r="Z494" s="26"/>
      <c r="AA494" s="26"/>
      <c r="AB494" s="33"/>
    </row>
    <row r="495" spans="1:28" x14ac:dyDescent="0.3">
      <c r="A495" s="32">
        <f>VLOOKUP(YEAR(C495),Flags!$A$13:$B$95,2,FALSE)</f>
        <v>1</v>
      </c>
      <c r="B495" s="24">
        <f t="shared" si="739"/>
        <v>1975</v>
      </c>
      <c r="C495" s="25">
        <v>27637</v>
      </c>
      <c r="D495" s="26"/>
      <c r="E495" s="24"/>
      <c r="F495" s="26"/>
      <c r="G495" s="24"/>
      <c r="H495" s="24"/>
      <c r="I495" s="26"/>
      <c r="J495" s="24"/>
      <c r="K495" s="26"/>
      <c r="L495" s="24"/>
      <c r="M495" s="24"/>
      <c r="N495" s="26"/>
      <c r="O495" s="26"/>
      <c r="P495" s="26"/>
      <c r="Q495" s="26"/>
      <c r="R495" s="26"/>
      <c r="S495" s="26"/>
      <c r="T495" s="26"/>
      <c r="U495" s="26"/>
      <c r="V495" s="26"/>
      <c r="W495" s="26">
        <f>MAX($C$7-VLOOKUP($C495,COS!$B$8:$H$991,3,FALSE),0)</f>
        <v>90235.9765625</v>
      </c>
      <c r="X495" s="26">
        <f t="shared" si="769"/>
        <v>5548.3939307851242</v>
      </c>
      <c r="Y495" s="26">
        <f>VLOOKUP($C495,COS!$B$8:$H$991,4,FALSE)</f>
        <v>0</v>
      </c>
      <c r="Z495" s="26">
        <f t="shared" si="770"/>
        <v>0</v>
      </c>
      <c r="AA495" s="26">
        <f t="shared" ref="AA495:AA499" si="796">MIN(W495,Y495)</f>
        <v>0</v>
      </c>
      <c r="AB495" s="33">
        <f t="shared" ref="AB495" si="797">AA495*DAY($C495)*86400/43560/1000*IF(MONTH($C495)=8,$P$3,IF(MONTH($C495)=9,$P$4,IF(MONTH($C495)=10,$P$5,IF(MONTH($C495)=11,$P$6,IF(MONTH($C495)=12,$P$7,NA())))))</f>
        <v>0</v>
      </c>
    </row>
    <row r="496" spans="1:28" x14ac:dyDescent="0.3">
      <c r="A496" s="32">
        <f>VLOOKUP(YEAR(C496),Flags!$A$13:$B$95,2,FALSE)</f>
        <v>1</v>
      </c>
      <c r="B496" s="24">
        <f t="shared" si="739"/>
        <v>1975</v>
      </c>
      <c r="C496" s="25">
        <v>27667</v>
      </c>
      <c r="D496" s="26"/>
      <c r="E496" s="24"/>
      <c r="F496" s="26"/>
      <c r="G496" s="24"/>
      <c r="H496" s="24"/>
      <c r="I496" s="26"/>
      <c r="J496" s="24"/>
      <c r="K496" s="26">
        <f>VLOOKUP($C496,COS!$B$8:$H$991,2,FALSE)</f>
        <v>3139.902587890625</v>
      </c>
      <c r="L496" s="24">
        <f t="shared" ref="L496" si="798">IF(AND(K496&gt;$I$7,K496&lt;$I$8),1,0)</f>
        <v>1</v>
      </c>
      <c r="M496" s="24"/>
      <c r="N496" s="26"/>
      <c r="O496" s="26"/>
      <c r="P496" s="26"/>
      <c r="Q496" s="26"/>
      <c r="R496" s="26"/>
      <c r="S496" s="26"/>
      <c r="T496" s="26"/>
      <c r="U496" s="26"/>
      <c r="V496" s="26"/>
      <c r="W496" s="26">
        <f>MAX($C$8-VLOOKUP($C496,COS!$B$8:$H$991,3,FALSE),0)</f>
        <v>84908.5556640625</v>
      </c>
      <c r="X496" s="26">
        <f t="shared" si="769"/>
        <v>5052.4099238119834</v>
      </c>
      <c r="Y496" s="26">
        <f>VLOOKUP($C496,COS!$B$8:$H$991,4,FALSE)</f>
        <v>0</v>
      </c>
      <c r="Z496" s="26">
        <f t="shared" si="770"/>
        <v>0</v>
      </c>
      <c r="AA496" s="26">
        <f t="shared" si="796"/>
        <v>0</v>
      </c>
      <c r="AB496" s="33">
        <f t="shared" si="752"/>
        <v>0</v>
      </c>
    </row>
    <row r="497" spans="1:28" x14ac:dyDescent="0.3">
      <c r="A497" s="32">
        <f>VLOOKUP(YEAR(C497),Flags!$A$13:$B$95,2,FALSE)</f>
        <v>1</v>
      </c>
      <c r="B497" s="24">
        <f t="shared" si="739"/>
        <v>1975</v>
      </c>
      <c r="C497" s="25">
        <v>27698</v>
      </c>
      <c r="D497" s="26"/>
      <c r="E497" s="24"/>
      <c r="F497" s="26"/>
      <c r="G497" s="26"/>
      <c r="H497" s="26"/>
      <c r="I497" s="26"/>
      <c r="J497" s="26"/>
      <c r="K497" s="26"/>
      <c r="L497" s="24"/>
      <c r="M497" s="24"/>
      <c r="N497" s="26"/>
      <c r="O497" s="26"/>
      <c r="P497" s="26"/>
      <c r="Q497" s="26"/>
      <c r="R497" s="26"/>
      <c r="S497" s="26"/>
      <c r="T497" s="26"/>
      <c r="U497" s="26"/>
      <c r="V497" s="26"/>
      <c r="W497" s="26">
        <f>MAX($C$9-VLOOKUP($C497,COS!$B$8:$H$991,3,FALSE),0)</f>
        <v>93899.6826171875</v>
      </c>
      <c r="X497" s="26">
        <f t="shared" si="769"/>
        <v>5773.6664353047518</v>
      </c>
      <c r="Y497" s="26">
        <f>VLOOKUP($C497,COS!$B$8:$H$991,4,FALSE)</f>
        <v>935.7257080078125</v>
      </c>
      <c r="Z497" s="26">
        <f t="shared" si="770"/>
        <v>57.535531137009293</v>
      </c>
      <c r="AA497" s="26">
        <f t="shared" si="796"/>
        <v>935.7257080078125</v>
      </c>
      <c r="AB497" s="33">
        <f t="shared" si="752"/>
        <v>57.535531137009293</v>
      </c>
    </row>
    <row r="498" spans="1:28" x14ac:dyDescent="0.3">
      <c r="A498" s="32">
        <f>VLOOKUP(YEAR(C498),Flags!$A$13:$B$95,2,FALSE)</f>
        <v>1</v>
      </c>
      <c r="B498" s="24">
        <f t="shared" si="739"/>
        <v>1975</v>
      </c>
      <c r="C498" s="25">
        <v>27728</v>
      </c>
      <c r="D498" s="26"/>
      <c r="E498" s="24"/>
      <c r="F498" s="26"/>
      <c r="G498" s="26"/>
      <c r="H498" s="26"/>
      <c r="I498" s="26"/>
      <c r="J498" s="26"/>
      <c r="K498" s="26"/>
      <c r="L498" s="24"/>
      <c r="M498" s="24"/>
      <c r="N498" s="26"/>
      <c r="O498" s="26"/>
      <c r="P498" s="26"/>
      <c r="Q498" s="26"/>
      <c r="R498" s="26"/>
      <c r="S498" s="26"/>
      <c r="T498" s="26"/>
      <c r="U498" s="26"/>
      <c r="V498" s="26"/>
      <c r="W498" s="26">
        <f>MAX($C$10-VLOOKUP($C498,COS!$B$8:$H$991,3,FALSE),0)</f>
        <v>90029.630859375</v>
      </c>
      <c r="X498" s="26">
        <f t="shared" si="769"/>
        <v>5357.1350594008263</v>
      </c>
      <c r="Y498" s="26">
        <f>VLOOKUP($C498,COS!$B$8:$H$991,4,FALSE)</f>
        <v>1105.79541015625</v>
      </c>
      <c r="Z498" s="26">
        <f t="shared" si="770"/>
        <v>65.799396306818181</v>
      </c>
      <c r="AA498" s="26">
        <f t="shared" si="796"/>
        <v>1105.79541015625</v>
      </c>
      <c r="AB498" s="33">
        <f t="shared" si="752"/>
        <v>32.899698153409091</v>
      </c>
    </row>
    <row r="499" spans="1:28" x14ac:dyDescent="0.3">
      <c r="A499" s="34">
        <f>VLOOKUP(YEAR(C499),Flags!$A$13:$B$95,2,FALSE)</f>
        <v>1</v>
      </c>
      <c r="B499" s="35">
        <f t="shared" si="739"/>
        <v>1975</v>
      </c>
      <c r="C499" s="36">
        <v>27759</v>
      </c>
      <c r="D499" s="37"/>
      <c r="E499" s="35"/>
      <c r="F499" s="37"/>
      <c r="G499" s="37"/>
      <c r="H499" s="37"/>
      <c r="I499" s="37"/>
      <c r="J499" s="37"/>
      <c r="K499" s="37"/>
      <c r="L499" s="35"/>
      <c r="M499" s="35"/>
      <c r="N499" s="37"/>
      <c r="O499" s="37"/>
      <c r="P499" s="37"/>
      <c r="Q499" s="37"/>
      <c r="R499" s="37"/>
      <c r="S499" s="37"/>
      <c r="T499" s="37"/>
      <c r="U499" s="37"/>
      <c r="V499" s="37"/>
      <c r="W499" s="37">
        <f>MAX($C$11-VLOOKUP($C499,COS!$B$8:$H$991,3,FALSE),0)</f>
        <v>0</v>
      </c>
      <c r="X499" s="37">
        <f t="shared" si="769"/>
        <v>0</v>
      </c>
      <c r="Y499" s="37">
        <f>VLOOKUP($C499,COS!$B$8:$H$991,4,FALSE)</f>
        <v>0</v>
      </c>
      <c r="Z499" s="37">
        <f t="shared" si="770"/>
        <v>0</v>
      </c>
      <c r="AA499" s="37">
        <f t="shared" si="796"/>
        <v>0</v>
      </c>
      <c r="AB499" s="38">
        <f t="shared" si="752"/>
        <v>0</v>
      </c>
    </row>
    <row r="500" spans="1:28" x14ac:dyDescent="0.3">
      <c r="A500" s="27">
        <f>VLOOKUP(YEAR(C500),Flags!$A$13:$B$95,2,FALSE)</f>
        <v>4</v>
      </c>
      <c r="B500" s="28">
        <f t="shared" si="739"/>
        <v>1976</v>
      </c>
      <c r="C500" s="29">
        <v>27880</v>
      </c>
      <c r="D500" s="30">
        <f>VLOOKUP($C500,COS!$B$8:$H$991,3,FALSE)</f>
        <v>3250</v>
      </c>
      <c r="E500" s="28">
        <f>IF(D500&gt;=IF(MONTH($C500)=4,$C$3,IF(MONTH($C500)=5,$C$4,IF(MONTH($C500)=6,$C$5,IF(MONTH($C500)=7,$C$6,"ERROR")))),1,0)</f>
        <v>0</v>
      </c>
      <c r="F500" s="30">
        <f>VLOOKUP($C500,COS!$B$8:$H$991,7,FALSE)</f>
        <v>51.587924957275391</v>
      </c>
      <c r="G500" s="28">
        <f>IF(F500&lt;=IF(MONTH($C500)=4,$F$3,IF(MONTH($C500)=5,$F$4,IF(MONTH($C500)=6,$F$5,IF(MONTH($C500)=7,$F$6,"ERROR")))),1,0)</f>
        <v>1</v>
      </c>
      <c r="H500" s="30">
        <f>IF(J500=1,D500-$C$3,0)</f>
        <v>0</v>
      </c>
      <c r="I500" s="30">
        <f t="shared" si="764"/>
        <v>0</v>
      </c>
      <c r="J500" s="28">
        <f t="shared" ref="J500:J503" si="799">IF(AND(E500=1,G500=1),1,0)</f>
        <v>0</v>
      </c>
      <c r="K500" s="30">
        <f>VLOOKUP($C500,COS!$B$8:$H$991,2,FALSE)</f>
        <v>3878.489990234375</v>
      </c>
      <c r="L500" s="28">
        <f t="shared" ref="L500" si="800">IF(K500&lt;=IF(MONTH($C500)=4,$I$3,IF(MONTH($C500)=5,$I$4,IF(MONTH($C500)=6,$I$5,IF(MONTH($C500)=7,$I$6,"ERROR")))),1,0)</f>
        <v>1</v>
      </c>
      <c r="M500" s="28">
        <f t="shared" ref="M500" si="801">VLOOKUP($A500,$L$3:$M$7,2,FALSE)</f>
        <v>1</v>
      </c>
      <c r="N500" s="30">
        <f>VLOOKUP($C500,COS!$B$8:$H$991,5,FALSE)</f>
        <v>162.41636657714844</v>
      </c>
      <c r="O500" s="30">
        <f t="shared" ref="O500:O503" si="802">N500*DAY($C500)*86400/43560/1000</f>
        <v>9.6644449533509817</v>
      </c>
      <c r="P500" s="30">
        <f>VLOOKUP($C500,COS!$B$8:$H$991,6,FALSE)</f>
        <v>525.2208251953125</v>
      </c>
      <c r="Q500" s="30">
        <f t="shared" ref="Q500:Q503" si="803">P500*DAY($C500)*86400/43560/1000</f>
        <v>31.252809433109505</v>
      </c>
      <c r="R500" s="30">
        <f>MIN(IF(MONTH($C500)=4,$S$3,IF(MONTH($C500)=5,$S$4,IF(MONTH($C500)=6,$S$5,IF(MONTH($C500)=7,$S$6,"ERROR")))),MAX(VLOOKUP($C500,COS!$B$8:$K$991,10,FALSE)-IF(MONTH($C500)=4,$Y$3,IF(MONTH($C500)=5,$Y$4,IF(MONTH($C500)=6,$Y$5,IF(MONTH($C500)=7,$Y$6,"ERROR")))),0),MAX(VLOOKUP($C500,COS!$B$8:$K$991,9,FALSE)-IF(MONTH($C500)=4,$V$3,IF(MONTH($C500)=5,$V$4,IF(MONTH($C500)=6,$V$5,IF(MONTH($C500)=7,$V$6,"ERROR"))))-VLOOKUP($C500,COS!$B$8:$K$991,6,FALSE)/2,0))</f>
        <v>1238.28173828125</v>
      </c>
      <c r="S500" s="30">
        <f t="shared" ref="S500:S503" si="804">R500*DAY($C500)*86400/43560/1000</f>
        <v>73.68288029442148</v>
      </c>
      <c r="T500" s="30">
        <f t="shared" ref="T500:T503" si="805">(O500+Q500)/2+S500</f>
        <v>94.141507487651722</v>
      </c>
      <c r="U500" s="30" t="str">
        <f>IF(VLOOKUP($C500,COS!$B$8:$I$991,8,FALSE)=1,"UWFE","IBU")</f>
        <v>UWFE</v>
      </c>
      <c r="V500" s="30">
        <f t="shared" ref="V500" si="806">MIN(IF(IF($AA$3=2,AND(E500=1,G500=1,L500=1,L505=1,M500=1,U500="IBU"),AND(E500=1,G500=1,L500=1,L505=1,M500=1)),T500,0),I500)</f>
        <v>0</v>
      </c>
      <c r="W500" s="30"/>
      <c r="X500" s="30"/>
      <c r="Y500" s="30"/>
      <c r="Z500" s="30"/>
      <c r="AA500" s="30"/>
      <c r="AB500" s="31"/>
    </row>
    <row r="501" spans="1:28" x14ac:dyDescent="0.3">
      <c r="A501" s="32">
        <f>VLOOKUP(YEAR(C501),Flags!$A$13:$B$95,2,FALSE)</f>
        <v>4</v>
      </c>
      <c r="B501" s="24">
        <f t="shared" si="739"/>
        <v>1976</v>
      </c>
      <c r="C501" s="25">
        <v>27911</v>
      </c>
      <c r="D501" s="26">
        <f>VLOOKUP($C501,COS!$B$8:$H$991,3,FALSE)</f>
        <v>10081.5947265625</v>
      </c>
      <c r="E501" s="24">
        <f>IF(D501&gt;=IF(MONTH($C501)=4,$C$3,IF(MONTH($C501)=5,$C$4,IF(MONTH($C501)=6,$C$5,IF(MONTH($C501)=7,$C$6,"ERROR")))),1,0)</f>
        <v>1</v>
      </c>
      <c r="F501" s="26">
        <f>VLOOKUP($C501,COS!$B$8:$H$991,7,FALSE)</f>
        <v>51.443138122558594</v>
      </c>
      <c r="G501" s="24">
        <f>IF(F501&lt;=IF(MONTH($C501)=4,$F$3,IF(MONTH($C501)=5,$F$4,IF(MONTH($C501)=6,$F$5,IF(MONTH($C501)=7,$F$6,"ERROR")))),1,0)</f>
        <v>1</v>
      </c>
      <c r="H501" s="26">
        <f>IF(J501=1,D501-$C$4,0)</f>
        <v>4081.5947265625</v>
      </c>
      <c r="I501" s="26">
        <f t="shared" si="764"/>
        <v>250.9674774018595</v>
      </c>
      <c r="J501" s="24">
        <f t="shared" si="799"/>
        <v>1</v>
      </c>
      <c r="K501" s="26">
        <f>VLOOKUP($C501,COS!$B$8:$H$991,2,FALSE)</f>
        <v>3615.4599609375</v>
      </c>
      <c r="L501" s="24">
        <f t="shared" si="741"/>
        <v>1</v>
      </c>
      <c r="M501" s="24">
        <f t="shared" si="742"/>
        <v>1</v>
      </c>
      <c r="N501" s="26">
        <f>VLOOKUP($C501,COS!$B$8:$H$991,5,FALSE)</f>
        <v>197.63545227050781</v>
      </c>
      <c r="O501" s="26">
        <f t="shared" si="802"/>
        <v>12.152130288368415</v>
      </c>
      <c r="P501" s="26">
        <f>VLOOKUP($C501,COS!$B$8:$H$991,6,FALSE)</f>
        <v>2397.456298828125</v>
      </c>
      <c r="Q501" s="26">
        <f t="shared" si="803"/>
        <v>147.41384184529957</v>
      </c>
      <c r="R501" s="26">
        <f>MIN(IF(MONTH($C501)=4,$S$3,IF(MONTH($C501)=5,$S$4,IF(MONTH($C501)=6,$S$5,IF(MONTH($C501)=7,$S$6,"ERROR")))),MAX(VLOOKUP($C501,COS!$B$8:$K$991,10,FALSE)-IF(MONTH($C501)=4,$Y$3,IF(MONTH($C501)=5,$Y$4,IF(MONTH($C501)=6,$Y$5,IF(MONTH($C501)=7,$Y$6,"ERROR")))),0),MAX(VLOOKUP($C501,COS!$B$8:$K$991,9,FALSE)-IF(MONTH($C501)=4,$V$3,IF(MONTH($C501)=5,$V$4,IF(MONTH($C501)=6,$V$5,IF(MONTH($C501)=7,$V$6,"ERROR"))))-VLOOKUP($C501,COS!$B$8:$K$991,6,FALSE)/2,0))</f>
        <v>1500</v>
      </c>
      <c r="S501" s="26">
        <f t="shared" si="804"/>
        <v>92.231404958677686</v>
      </c>
      <c r="T501" s="26">
        <f t="shared" si="805"/>
        <v>172.01439102551169</v>
      </c>
      <c r="U501" s="26" t="str">
        <f>IF(VLOOKUP($C501,COS!$B$8:$I$991,8,FALSE)=1,"UWFE","IBU")</f>
        <v>IBU</v>
      </c>
      <c r="V501" s="26">
        <f t="shared" ref="V501" si="807">MIN(IF(IF($AA$3=2,AND(E501=1,G501=1,L501=1,L505=1,M501=1,U501="IBU"),AND(E501=1,G501=1,L501=1,L505=1,M501=1)),T501,0),I501)</f>
        <v>172.01439102551169</v>
      </c>
      <c r="W501" s="26"/>
      <c r="X501" s="26"/>
      <c r="Y501" s="26"/>
      <c r="Z501" s="26"/>
      <c r="AA501" s="26"/>
      <c r="AB501" s="33"/>
    </row>
    <row r="502" spans="1:28" x14ac:dyDescent="0.3">
      <c r="A502" s="32">
        <f>VLOOKUP(YEAR(C502),Flags!$A$13:$B$95,2,FALSE)</f>
        <v>4</v>
      </c>
      <c r="B502" s="24">
        <f t="shared" si="739"/>
        <v>1976</v>
      </c>
      <c r="C502" s="25">
        <v>27941</v>
      </c>
      <c r="D502" s="26">
        <f>VLOOKUP($C502,COS!$B$8:$H$991,3,FALSE)</f>
        <v>9693.1298828125</v>
      </c>
      <c r="E502" s="24">
        <f>IF(D502&gt;=IF(MONTH($C502)=4,$C$3,IF(MONTH($C502)=5,$C$4,IF(MONTH($C502)=6,$C$5,IF(MONTH($C502)=7,$C$6,"ERROR")))),1,0)</f>
        <v>0</v>
      </c>
      <c r="F502" s="26">
        <f>VLOOKUP($C502,COS!$B$8:$H$991,7,FALSE)</f>
        <v>52.964691162109375</v>
      </c>
      <c r="G502" s="24">
        <f>IF(F502&lt;=IF(MONTH($C502)=4,$F$3,IF(MONTH($C502)=5,$F$4,IF(MONTH($C502)=6,$F$5,IF(MONTH($C502)=7,$F$6,"ERROR")))),1,0)</f>
        <v>1</v>
      </c>
      <c r="H502" s="26">
        <f>IF(J502=1,D502-$C$5,0)</f>
        <v>0</v>
      </c>
      <c r="I502" s="26">
        <f t="shared" si="764"/>
        <v>0</v>
      </c>
      <c r="J502" s="24">
        <f t="shared" si="799"/>
        <v>0</v>
      </c>
      <c r="K502" s="26">
        <f>VLOOKUP($C502,COS!$B$8:$H$991,2,FALSE)</f>
        <v>3290.374755859375</v>
      </c>
      <c r="L502" s="24">
        <f t="shared" si="741"/>
        <v>1</v>
      </c>
      <c r="M502" s="24">
        <f t="shared" si="742"/>
        <v>1</v>
      </c>
      <c r="N502" s="26">
        <f>VLOOKUP($C502,COS!$B$8:$H$991,5,FALSE)</f>
        <v>220.81330871582031</v>
      </c>
      <c r="O502" s="26">
        <f t="shared" si="802"/>
        <v>13.139304320280216</v>
      </c>
      <c r="P502" s="26">
        <f>VLOOKUP($C502,COS!$B$8:$H$991,6,FALSE)</f>
        <v>2496.31787109375</v>
      </c>
      <c r="Q502" s="26">
        <f t="shared" si="803"/>
        <v>148.54122869318184</v>
      </c>
      <c r="R502" s="26">
        <f>MIN(IF(MONTH($C502)=4,$S$3,IF(MONTH($C502)=5,$S$4,IF(MONTH($C502)=6,$S$5,IF(MONTH($C502)=7,$S$6,"ERROR")))),MAX(VLOOKUP($C502,COS!$B$8:$K$991,10,FALSE)-IF(MONTH($C502)=4,$Y$3,IF(MONTH($C502)=5,$Y$4,IF(MONTH($C502)=6,$Y$5,IF(MONTH($C502)=7,$Y$6,"ERROR")))),0),MAX(VLOOKUP($C502,COS!$B$8:$K$991,9,FALSE)-IF(MONTH($C502)=4,$V$3,IF(MONTH($C502)=5,$V$4,IF(MONTH($C502)=6,$V$5,IF(MONTH($C502)=7,$V$6,"ERROR"))))-VLOOKUP($C502,COS!$B$8:$K$991,6,FALSE)/2,0))</f>
        <v>1500</v>
      </c>
      <c r="S502" s="26">
        <f t="shared" si="804"/>
        <v>89.256198347107429</v>
      </c>
      <c r="T502" s="26">
        <f t="shared" si="805"/>
        <v>170.09646485383846</v>
      </c>
      <c r="U502" s="26" t="str">
        <f>IF(VLOOKUP($C502,COS!$B$8:$I$991,8,FALSE)=1,"UWFE","IBU")</f>
        <v>IBU</v>
      </c>
      <c r="V502" s="26">
        <f t="shared" ref="V502" si="808">MIN(IF(IF($AA$3=2,AND(E502=1,G502=1,L502=1,L505=1,M502=1,U502="IBU"),AND(E502=1,G502=1,L502=1,L505=1,M502=1)),T502,0),I502)</f>
        <v>0</v>
      </c>
      <c r="W502" s="26"/>
      <c r="X502" s="26"/>
      <c r="Y502" s="26"/>
      <c r="Z502" s="26"/>
      <c r="AA502" s="26"/>
      <c r="AB502" s="33"/>
    </row>
    <row r="503" spans="1:28" x14ac:dyDescent="0.3">
      <c r="A503" s="32">
        <f>VLOOKUP(YEAR(C503),Flags!$A$13:$B$95,2,FALSE)</f>
        <v>4</v>
      </c>
      <c r="B503" s="24">
        <f t="shared" si="739"/>
        <v>1976</v>
      </c>
      <c r="C503" s="25">
        <v>27972</v>
      </c>
      <c r="D503" s="26">
        <f>VLOOKUP($C503,COS!$B$8:$H$991,3,FALSE)</f>
        <v>13307.634765625</v>
      </c>
      <c r="E503" s="24">
        <f>IF(D503&gt;=IF(MONTH($C503)=4,$C$3,IF(MONTH($C503)=5,$C$4,IF(MONTH($C503)=6,$C$5,IF(MONTH($C503)=7,$C$6,"ERROR")))),1,0)</f>
        <v>1</v>
      </c>
      <c r="F503" s="26">
        <f>VLOOKUP($C503,COS!$B$8:$H$991,7,FALSE)</f>
        <v>54.076438903808594</v>
      </c>
      <c r="G503" s="24">
        <f>IF(F503&lt;=IF(MONTH($C503)=4,$F$3,IF(MONTH($C503)=5,$F$4,IF(MONTH($C503)=6,$F$5,IF(MONTH($C503)=7,$F$6,"ERROR")))),1,0)</f>
        <v>0</v>
      </c>
      <c r="H503" s="26">
        <f>IF(J503=1,D503-$C$6,0)</f>
        <v>0</v>
      </c>
      <c r="I503" s="26">
        <f t="shared" si="764"/>
        <v>0</v>
      </c>
      <c r="J503" s="24">
        <f t="shared" si="799"/>
        <v>0</v>
      </c>
      <c r="K503" s="26">
        <f>VLOOKUP($C503,COS!$B$8:$H$991,2,FALSE)</f>
        <v>2839.34033203125</v>
      </c>
      <c r="L503" s="24">
        <f t="shared" si="741"/>
        <v>1</v>
      </c>
      <c r="M503" s="24">
        <f t="shared" si="742"/>
        <v>1</v>
      </c>
      <c r="N503" s="26">
        <f>VLOOKUP($C503,COS!$B$8:$H$991,5,FALSE)</f>
        <v>243.29853820800781</v>
      </c>
      <c r="O503" s="26">
        <f t="shared" si="802"/>
        <v>14.959844002211391</v>
      </c>
      <c r="P503" s="26">
        <f>VLOOKUP($C503,COS!$B$8:$H$991,6,FALSE)</f>
        <v>2326.644775390625</v>
      </c>
      <c r="Q503" s="26">
        <f t="shared" si="803"/>
        <v>143.05981098269626</v>
      </c>
      <c r="R503" s="26">
        <f>MIN(IF(MONTH($C503)=4,$S$3,IF(MONTH($C503)=5,$S$4,IF(MONTH($C503)=6,$S$5,IF(MONTH($C503)=7,$S$6,"ERROR")))),MAX(VLOOKUP($C503,COS!$B$8:$K$991,10,FALSE)-IF(MONTH($C503)=4,$Y$3,IF(MONTH($C503)=5,$Y$4,IF(MONTH($C503)=6,$Y$5,IF(MONTH($C503)=7,$Y$6,"ERROR")))),0),MAX(VLOOKUP($C503,COS!$B$8:$K$991,9,FALSE)-IF(MONTH($C503)=4,$V$3,IF(MONTH($C503)=5,$V$4,IF(MONTH($C503)=6,$V$5,IF(MONTH($C503)=7,$V$6,"ERROR"))))-VLOOKUP($C503,COS!$B$8:$K$991,6,FALSE)/2,0))</f>
        <v>1500</v>
      </c>
      <c r="S503" s="26">
        <f t="shared" si="804"/>
        <v>92.231404958677686</v>
      </c>
      <c r="T503" s="26">
        <f t="shared" si="805"/>
        <v>171.24123245113151</v>
      </c>
      <c r="U503" s="26" t="str">
        <f>IF(VLOOKUP($C503,COS!$B$8:$I$991,8,FALSE)=1,"UWFE","IBU")</f>
        <v>IBU</v>
      </c>
      <c r="V503" s="26">
        <f t="shared" ref="V503" si="809">MIN(IF(IF($AA$3=2,AND(E503=1,G503=1,L503=1,L505=1,M503=1,U503="IBU"),AND(E503=1,G503=1,L503=1,L505=1,M503=1)),T503,0),I503)</f>
        <v>0</v>
      </c>
      <c r="W503" s="26"/>
      <c r="X503" s="26"/>
      <c r="Y503" s="26"/>
      <c r="Z503" s="26"/>
      <c r="AA503" s="26"/>
      <c r="AB503" s="33"/>
    </row>
    <row r="504" spans="1:28" x14ac:dyDescent="0.3">
      <c r="A504" s="32">
        <f>VLOOKUP(YEAR(C504),Flags!$A$13:$B$95,2,FALSE)</f>
        <v>4</v>
      </c>
      <c r="B504" s="24">
        <f t="shared" si="739"/>
        <v>1976</v>
      </c>
      <c r="C504" s="25">
        <v>28003</v>
      </c>
      <c r="D504" s="26"/>
      <c r="E504" s="24"/>
      <c r="F504" s="26"/>
      <c r="G504" s="24"/>
      <c r="H504" s="24"/>
      <c r="I504" s="26"/>
      <c r="J504" s="24"/>
      <c r="K504" s="26"/>
      <c r="L504" s="24"/>
      <c r="M504" s="24"/>
      <c r="N504" s="26"/>
      <c r="O504" s="26"/>
      <c r="P504" s="26"/>
      <c r="Q504" s="26"/>
      <c r="R504" s="26"/>
      <c r="S504" s="26"/>
      <c r="T504" s="26"/>
      <c r="U504" s="26"/>
      <c r="V504" s="26"/>
      <c r="W504" s="26">
        <f>MAX($C$7-VLOOKUP($C504,COS!$B$8:$H$991,3,FALSE),0)</f>
        <v>93360.21484375</v>
      </c>
      <c r="X504" s="26">
        <f t="shared" si="769"/>
        <v>5740.4958548553714</v>
      </c>
      <c r="Y504" s="26">
        <f>VLOOKUP($C504,COS!$B$8:$H$991,4,FALSE)</f>
        <v>1948.8914794921875</v>
      </c>
      <c r="Z504" s="26">
        <f t="shared" si="770"/>
        <v>119.83266617704028</v>
      </c>
      <c r="AA504" s="26">
        <f t="shared" ref="AA504:AA508" si="810">MIN(W504,Y504)</f>
        <v>1948.8914794921875</v>
      </c>
      <c r="AB504" s="33">
        <f t="shared" ref="AB504" si="811">AA504*DAY($C504)*86400/43560/1000*IF(MONTH($C504)=8,$P$3,IF(MONTH($C504)=9,$P$4,IF(MONTH($C504)=10,$P$5,IF(MONTH($C504)=11,$P$6,IF(MONTH($C504)=12,$P$7,NA())))))</f>
        <v>119.83266617704028</v>
      </c>
    </row>
    <row r="505" spans="1:28" x14ac:dyDescent="0.3">
      <c r="A505" s="32">
        <f>VLOOKUP(YEAR(C505),Flags!$A$13:$B$95,2,FALSE)</f>
        <v>4</v>
      </c>
      <c r="B505" s="24">
        <f t="shared" si="739"/>
        <v>1976</v>
      </c>
      <c r="C505" s="25">
        <v>28033</v>
      </c>
      <c r="D505" s="26"/>
      <c r="E505" s="24"/>
      <c r="F505" s="26"/>
      <c r="G505" s="24"/>
      <c r="H505" s="24"/>
      <c r="I505" s="26"/>
      <c r="J505" s="24"/>
      <c r="K505" s="26">
        <f>VLOOKUP($C505,COS!$B$8:$H$991,2,FALSE)</f>
        <v>2776.3486328125</v>
      </c>
      <c r="L505" s="24">
        <f t="shared" ref="L505" si="812">IF(AND(K505&gt;$I$7,K505&lt;$I$8),1,0)</f>
        <v>1</v>
      </c>
      <c r="M505" s="24"/>
      <c r="N505" s="26"/>
      <c r="O505" s="26"/>
      <c r="P505" s="26"/>
      <c r="Q505" s="26"/>
      <c r="R505" s="26"/>
      <c r="S505" s="26"/>
      <c r="T505" s="26"/>
      <c r="U505" s="26"/>
      <c r="V505" s="26"/>
      <c r="W505" s="26">
        <f>MAX($C$8-VLOOKUP($C505,COS!$B$8:$H$991,3,FALSE),0)</f>
        <v>95118.068359375</v>
      </c>
      <c r="X505" s="26">
        <f t="shared" si="769"/>
        <v>5659.9181172520657</v>
      </c>
      <c r="Y505" s="26">
        <f>VLOOKUP($C505,COS!$B$8:$H$991,4,FALSE)</f>
        <v>1649.7568359375</v>
      </c>
      <c r="Z505" s="26">
        <f t="shared" si="770"/>
        <v>98.167348915289253</v>
      </c>
      <c r="AA505" s="26">
        <f t="shared" si="810"/>
        <v>1649.7568359375</v>
      </c>
      <c r="AB505" s="33">
        <f t="shared" si="752"/>
        <v>98.167348915289253</v>
      </c>
    </row>
    <row r="506" spans="1:28" x14ac:dyDescent="0.3">
      <c r="A506" s="32">
        <f>VLOOKUP(YEAR(C506),Flags!$A$13:$B$95,2,FALSE)</f>
        <v>4</v>
      </c>
      <c r="B506" s="24">
        <f t="shared" si="739"/>
        <v>1976</v>
      </c>
      <c r="C506" s="25">
        <v>28064</v>
      </c>
      <c r="D506" s="26"/>
      <c r="E506" s="24"/>
      <c r="F506" s="26"/>
      <c r="G506" s="26"/>
      <c r="H506" s="26"/>
      <c r="I506" s="26"/>
      <c r="J506" s="26"/>
      <c r="K506" s="26"/>
      <c r="L506" s="24"/>
      <c r="M506" s="24"/>
      <c r="N506" s="26"/>
      <c r="O506" s="26"/>
      <c r="P506" s="26"/>
      <c r="Q506" s="26"/>
      <c r="R506" s="26"/>
      <c r="S506" s="26"/>
      <c r="T506" s="26"/>
      <c r="U506" s="26"/>
      <c r="V506" s="26"/>
      <c r="W506" s="26">
        <f>MAX($C$9-VLOOKUP($C506,COS!$B$8:$H$991,3,FALSE),0)</f>
        <v>92269.14697265625</v>
      </c>
      <c r="X506" s="26">
        <f t="shared" si="769"/>
        <v>5673.4087064178721</v>
      </c>
      <c r="Y506" s="26">
        <f>VLOOKUP($C506,COS!$B$8:$H$991,4,FALSE)</f>
        <v>1735.9190673828125</v>
      </c>
      <c r="Z506" s="26">
        <f t="shared" si="770"/>
        <v>106.73750298618285</v>
      </c>
      <c r="AA506" s="26">
        <f t="shared" si="810"/>
        <v>1735.9190673828125</v>
      </c>
      <c r="AB506" s="33">
        <f t="shared" si="752"/>
        <v>106.73750298618285</v>
      </c>
    </row>
    <row r="507" spans="1:28" x14ac:dyDescent="0.3">
      <c r="A507" s="32">
        <f>VLOOKUP(YEAR(C507),Flags!$A$13:$B$95,2,FALSE)</f>
        <v>4</v>
      </c>
      <c r="B507" s="24">
        <f t="shared" si="739"/>
        <v>1976</v>
      </c>
      <c r="C507" s="25">
        <v>28094</v>
      </c>
      <c r="D507" s="26"/>
      <c r="E507" s="24"/>
      <c r="F507" s="26"/>
      <c r="G507" s="26"/>
      <c r="H507" s="26"/>
      <c r="I507" s="26"/>
      <c r="J507" s="26"/>
      <c r="K507" s="26"/>
      <c r="L507" s="24"/>
      <c r="M507" s="24"/>
      <c r="N507" s="26"/>
      <c r="O507" s="26"/>
      <c r="P507" s="26"/>
      <c r="Q507" s="26"/>
      <c r="R507" s="26"/>
      <c r="S507" s="26"/>
      <c r="T507" s="26"/>
      <c r="U507" s="26"/>
      <c r="V507" s="26"/>
      <c r="W507" s="26">
        <f>MAX($C$10-VLOOKUP($C507,COS!$B$8:$H$991,3,FALSE),0)</f>
        <v>92605.25439453125</v>
      </c>
      <c r="X507" s="26">
        <f t="shared" si="769"/>
        <v>5510.3953028150827</v>
      </c>
      <c r="Y507" s="26">
        <f>VLOOKUP($C507,COS!$B$8:$H$991,4,FALSE)</f>
        <v>1444.778564453125</v>
      </c>
      <c r="Z507" s="26">
        <f t="shared" si="770"/>
        <v>85.970294744318181</v>
      </c>
      <c r="AA507" s="26">
        <f t="shared" si="810"/>
        <v>1444.778564453125</v>
      </c>
      <c r="AB507" s="33">
        <f t="shared" si="752"/>
        <v>42.985147372159091</v>
      </c>
    </row>
    <row r="508" spans="1:28" x14ac:dyDescent="0.3">
      <c r="A508" s="34">
        <f>VLOOKUP(YEAR(C508),Flags!$A$13:$B$95,2,FALSE)</f>
        <v>4</v>
      </c>
      <c r="B508" s="35">
        <f t="shared" si="739"/>
        <v>1976</v>
      </c>
      <c r="C508" s="36">
        <v>28125</v>
      </c>
      <c r="D508" s="37"/>
      <c r="E508" s="35"/>
      <c r="F508" s="37"/>
      <c r="G508" s="37"/>
      <c r="H508" s="37"/>
      <c r="I508" s="37"/>
      <c r="J508" s="37"/>
      <c r="K508" s="37"/>
      <c r="L508" s="35"/>
      <c r="M508" s="35"/>
      <c r="N508" s="37"/>
      <c r="O508" s="37"/>
      <c r="P508" s="37"/>
      <c r="Q508" s="37"/>
      <c r="R508" s="37"/>
      <c r="S508" s="37"/>
      <c r="T508" s="37"/>
      <c r="U508" s="37"/>
      <c r="V508" s="37"/>
      <c r="W508" s="37">
        <f>MAX($C$11-VLOOKUP($C508,COS!$B$8:$H$991,3,FALSE),0)</f>
        <v>0</v>
      </c>
      <c r="X508" s="37">
        <f t="shared" si="769"/>
        <v>0</v>
      </c>
      <c r="Y508" s="37">
        <f>VLOOKUP($C508,COS!$B$8:$H$991,4,FALSE)</f>
        <v>2446.426025390625</v>
      </c>
      <c r="Z508" s="37">
        <f t="shared" si="770"/>
        <v>150.42487296616736</v>
      </c>
      <c r="AA508" s="37">
        <f t="shared" si="810"/>
        <v>0</v>
      </c>
      <c r="AB508" s="38">
        <f t="shared" si="752"/>
        <v>0</v>
      </c>
    </row>
    <row r="509" spans="1:28" x14ac:dyDescent="0.3">
      <c r="A509" s="27">
        <f>VLOOKUP(YEAR(C509),Flags!$A$13:$B$95,2,FALSE)</f>
        <v>5</v>
      </c>
      <c r="B509" s="28">
        <f t="shared" si="739"/>
        <v>1977</v>
      </c>
      <c r="C509" s="29">
        <v>28245</v>
      </c>
      <c r="D509" s="30">
        <f>VLOOKUP($C509,COS!$B$8:$H$991,3,FALSE)</f>
        <v>7071.7509765625</v>
      </c>
      <c r="E509" s="28">
        <f>IF(D509&gt;=IF(MONTH($C509)=4,$C$3,IF(MONTH($C509)=5,$C$4,IF(MONTH($C509)=6,$C$5,IF(MONTH($C509)=7,$C$6,"ERROR")))),1,0)</f>
        <v>1</v>
      </c>
      <c r="F509" s="30">
        <f>VLOOKUP($C509,COS!$B$8:$H$991,7,FALSE)</f>
        <v>50.791873931884766</v>
      </c>
      <c r="G509" s="28">
        <f>IF(F509&lt;=IF(MONTH($C509)=4,$F$3,IF(MONTH($C509)=5,$F$4,IF(MONTH($C509)=6,$F$5,IF(MONTH($C509)=7,$F$6,"ERROR")))),1,0)</f>
        <v>1</v>
      </c>
      <c r="H509" s="30">
        <f>IF(J509=1,D509-$C$3,0)</f>
        <v>1071.7509765625</v>
      </c>
      <c r="I509" s="30">
        <f t="shared" si="764"/>
        <v>63.773611828512394</v>
      </c>
      <c r="J509" s="28">
        <f t="shared" ref="J509:J512" si="813">IF(AND(E509=1,G509=1),1,0)</f>
        <v>1</v>
      </c>
      <c r="K509" s="30">
        <f>VLOOKUP($C509,COS!$B$8:$H$991,2,FALSE)</f>
        <v>1944.6558837890625</v>
      </c>
      <c r="L509" s="28">
        <f t="shared" ref="L509" si="814">IF(K509&lt;=IF(MONTH($C509)=4,$I$3,IF(MONTH($C509)=5,$I$4,IF(MONTH($C509)=6,$I$5,IF(MONTH($C509)=7,$I$6,"ERROR")))),1,0)</f>
        <v>1</v>
      </c>
      <c r="M509" s="28">
        <f t="shared" ref="M509" si="815">VLOOKUP($A509,$L$3:$M$7,2,FALSE)</f>
        <v>1</v>
      </c>
      <c r="N509" s="30">
        <f>VLOOKUP($C509,COS!$B$8:$H$991,5,FALSE)</f>
        <v>201.60958862304688</v>
      </c>
      <c r="O509" s="30">
        <f t="shared" ref="O509:O512" si="816">N509*DAY($C509)*86400/43560/1000</f>
        <v>11.996603620544938</v>
      </c>
      <c r="P509" s="30">
        <f>VLOOKUP($C509,COS!$B$8:$H$991,6,FALSE)</f>
        <v>581.802490234375</v>
      </c>
      <c r="Q509" s="30">
        <f t="shared" ref="Q509:Q512" si="817">P509*DAY($C509)*86400/43560/1000</f>
        <v>34.619652311466943</v>
      </c>
      <c r="R509" s="30">
        <f>MIN(IF(MONTH($C509)=4,$S$3,IF(MONTH($C509)=5,$S$4,IF(MONTH($C509)=6,$S$5,IF(MONTH($C509)=7,$S$6,"ERROR")))),MAX(VLOOKUP($C509,COS!$B$8:$K$991,10,FALSE)-IF(MONTH($C509)=4,$Y$3,IF(MONTH($C509)=5,$Y$4,IF(MONTH($C509)=6,$Y$5,IF(MONTH($C509)=7,$Y$6,"ERROR")))),0),MAX(VLOOKUP($C509,COS!$B$8:$K$991,9,FALSE)-IF(MONTH($C509)=4,$V$3,IF(MONTH($C509)=5,$V$4,IF(MONTH($C509)=6,$V$5,IF(MONTH($C509)=7,$V$6,"ERROR"))))-VLOOKUP($C509,COS!$B$8:$K$991,6,FALSE)/2,0))</f>
        <v>1500</v>
      </c>
      <c r="S509" s="30">
        <f t="shared" ref="S509:S512" si="818">R509*DAY($C509)*86400/43560/1000</f>
        <v>89.256198347107429</v>
      </c>
      <c r="T509" s="30">
        <f t="shared" ref="T509:T512" si="819">(O509+Q509)/2+S509</f>
        <v>112.56432631311337</v>
      </c>
      <c r="U509" s="30" t="str">
        <f>IF(VLOOKUP($C509,COS!$B$8:$I$991,8,FALSE)=1,"UWFE","IBU")</f>
        <v>IBU</v>
      </c>
      <c r="V509" s="30">
        <f t="shared" ref="V509" si="820">MIN(IF(IF($AA$3=2,AND(E509=1,G509=1,L509=1,L514=1,M509=1,U509="IBU"),AND(E509=1,G509=1,L509=1,L514=1,M509=1)),T509,0),I509)</f>
        <v>63.773611828512394</v>
      </c>
      <c r="W509" s="30"/>
      <c r="X509" s="30"/>
      <c r="Y509" s="30"/>
      <c r="Z509" s="30"/>
      <c r="AA509" s="30"/>
      <c r="AB509" s="31"/>
    </row>
    <row r="510" spans="1:28" x14ac:dyDescent="0.3">
      <c r="A510" s="32">
        <f>VLOOKUP(YEAR(C510),Flags!$A$13:$B$95,2,FALSE)</f>
        <v>5</v>
      </c>
      <c r="B510" s="24">
        <f t="shared" si="739"/>
        <v>1977</v>
      </c>
      <c r="C510" s="25">
        <v>28276</v>
      </c>
      <c r="D510" s="26">
        <f>VLOOKUP($C510,COS!$B$8:$H$991,3,FALSE)</f>
        <v>5902.6396484375</v>
      </c>
      <c r="E510" s="24">
        <f>IF(D510&gt;=IF(MONTH($C510)=4,$C$3,IF(MONTH($C510)=5,$C$4,IF(MONTH($C510)=6,$C$5,IF(MONTH($C510)=7,$C$6,"ERROR")))),1,0)</f>
        <v>0</v>
      </c>
      <c r="F510" s="26">
        <f>VLOOKUP($C510,COS!$B$8:$H$991,7,FALSE)</f>
        <v>52.327152252197266</v>
      </c>
      <c r="G510" s="24">
        <f>IF(F510&lt;=IF(MONTH($C510)=4,$F$3,IF(MONTH($C510)=5,$F$4,IF(MONTH($C510)=6,$F$5,IF(MONTH($C510)=7,$F$6,"ERROR")))),1,0)</f>
        <v>1</v>
      </c>
      <c r="H510" s="26">
        <f>IF(J510=1,D510-$C$4,0)</f>
        <v>0</v>
      </c>
      <c r="I510" s="26">
        <f t="shared" si="764"/>
        <v>0</v>
      </c>
      <c r="J510" s="24">
        <f t="shared" si="813"/>
        <v>0</v>
      </c>
      <c r="K510" s="26">
        <f>VLOOKUP($C510,COS!$B$8:$H$991,2,FALSE)</f>
        <v>1775.2607421875</v>
      </c>
      <c r="L510" s="24">
        <f t="shared" si="741"/>
        <v>1</v>
      </c>
      <c r="M510" s="24">
        <f t="shared" si="742"/>
        <v>1</v>
      </c>
      <c r="N510" s="26">
        <f>VLOOKUP($C510,COS!$B$8:$H$991,5,FALSE)</f>
        <v>129.15513610839844</v>
      </c>
      <c r="O510" s="26">
        <f t="shared" si="816"/>
        <v>7.941439773937887</v>
      </c>
      <c r="P510" s="26">
        <f>VLOOKUP($C510,COS!$B$8:$H$991,6,FALSE)</f>
        <v>1768.8984375</v>
      </c>
      <c r="Q510" s="26">
        <f t="shared" si="817"/>
        <v>108.76532541322314</v>
      </c>
      <c r="R510" s="26">
        <f>MIN(IF(MONTH($C510)=4,$S$3,IF(MONTH($C510)=5,$S$4,IF(MONTH($C510)=6,$S$5,IF(MONTH($C510)=7,$S$6,"ERROR")))),MAX(VLOOKUP($C510,COS!$B$8:$K$991,10,FALSE)-IF(MONTH($C510)=4,$Y$3,IF(MONTH($C510)=5,$Y$4,IF(MONTH($C510)=6,$Y$5,IF(MONTH($C510)=7,$Y$6,"ERROR")))),0),MAX(VLOOKUP($C510,COS!$B$8:$K$991,9,FALSE)-IF(MONTH($C510)=4,$V$3,IF(MONTH($C510)=5,$V$4,IF(MONTH($C510)=6,$V$5,IF(MONTH($C510)=7,$V$6,"ERROR"))))-VLOOKUP($C510,COS!$B$8:$K$991,6,FALSE)/2,0))</f>
        <v>1500</v>
      </c>
      <c r="S510" s="26">
        <f t="shared" si="818"/>
        <v>92.231404958677686</v>
      </c>
      <c r="T510" s="26">
        <f t="shared" si="819"/>
        <v>150.58478755225821</v>
      </c>
      <c r="U510" s="26" t="str">
        <f>IF(VLOOKUP($C510,COS!$B$8:$I$991,8,FALSE)=1,"UWFE","IBU")</f>
        <v>IBU</v>
      </c>
      <c r="V510" s="26">
        <f t="shared" ref="V510" si="821">MIN(IF(IF($AA$3=2,AND(E510=1,G510=1,L510=1,L514=1,M510=1,U510="IBU"),AND(E510=1,G510=1,L510=1,L514=1,M510=1)),T510,0),I510)</f>
        <v>0</v>
      </c>
      <c r="W510" s="26"/>
      <c r="X510" s="26"/>
      <c r="Y510" s="26"/>
      <c r="Z510" s="26"/>
      <c r="AA510" s="26"/>
      <c r="AB510" s="33"/>
    </row>
    <row r="511" spans="1:28" x14ac:dyDescent="0.3">
      <c r="A511" s="32">
        <f>VLOOKUP(YEAR(C511),Flags!$A$13:$B$95,2,FALSE)</f>
        <v>5</v>
      </c>
      <c r="B511" s="24">
        <f t="shared" si="739"/>
        <v>1977</v>
      </c>
      <c r="C511" s="25">
        <v>28306</v>
      </c>
      <c r="D511" s="26">
        <f>VLOOKUP($C511,COS!$B$8:$H$991,3,FALSE)</f>
        <v>12227.62890625</v>
      </c>
      <c r="E511" s="24">
        <f>IF(D511&gt;=IF(MONTH($C511)=4,$C$3,IF(MONTH($C511)=5,$C$4,IF(MONTH($C511)=6,$C$5,IF(MONTH($C511)=7,$C$6,"ERROR")))),1,0)</f>
        <v>1</v>
      </c>
      <c r="F511" s="26">
        <f>VLOOKUP($C511,COS!$B$8:$H$991,7,FALSE)</f>
        <v>54.287090301513672</v>
      </c>
      <c r="G511" s="24">
        <f>IF(F511&lt;=IF(MONTH($C511)=4,$F$3,IF(MONTH($C511)=5,$F$4,IF(MONTH($C511)=6,$F$5,IF(MONTH($C511)=7,$F$6,"ERROR")))),1,0)</f>
        <v>1</v>
      </c>
      <c r="H511" s="26">
        <f>IF(J511=1,D511-$C$5,0)</f>
        <v>2227.62890625</v>
      </c>
      <c r="I511" s="26">
        <f t="shared" si="764"/>
        <v>132.55312499999999</v>
      </c>
      <c r="J511" s="24">
        <f t="shared" si="813"/>
        <v>1</v>
      </c>
      <c r="K511" s="26">
        <f>VLOOKUP($C511,COS!$B$8:$H$991,2,FALSE)</f>
        <v>1227.3997802734375</v>
      </c>
      <c r="L511" s="24">
        <f t="shared" si="741"/>
        <v>1</v>
      </c>
      <c r="M511" s="24">
        <f t="shared" si="742"/>
        <v>1</v>
      </c>
      <c r="N511" s="26">
        <f>VLOOKUP($C511,COS!$B$8:$H$991,5,FALSE)</f>
        <v>215.26878356933594</v>
      </c>
      <c r="O511" s="26">
        <f t="shared" si="816"/>
        <v>12.809382162803461</v>
      </c>
      <c r="P511" s="26">
        <f>VLOOKUP($C511,COS!$B$8:$H$991,6,FALSE)</f>
        <v>2477.72265625</v>
      </c>
      <c r="Q511" s="26">
        <f t="shared" si="817"/>
        <v>147.43473657024794</v>
      </c>
      <c r="R511" s="26">
        <f>MIN(IF(MONTH($C511)=4,$S$3,IF(MONTH($C511)=5,$S$4,IF(MONTH($C511)=6,$S$5,IF(MONTH($C511)=7,$S$6,"ERROR")))),MAX(VLOOKUP($C511,COS!$B$8:$K$991,10,FALSE)-IF(MONTH($C511)=4,$Y$3,IF(MONTH($C511)=5,$Y$4,IF(MONTH($C511)=6,$Y$5,IF(MONTH($C511)=7,$Y$6,"ERROR")))),0),MAX(VLOOKUP($C511,COS!$B$8:$K$991,9,FALSE)-IF(MONTH($C511)=4,$V$3,IF(MONTH($C511)=5,$V$4,IF(MONTH($C511)=6,$V$5,IF(MONTH($C511)=7,$V$6,"ERROR"))))-VLOOKUP($C511,COS!$B$8:$K$991,6,FALSE)/2,0))</f>
        <v>1500</v>
      </c>
      <c r="S511" s="26">
        <f t="shared" si="818"/>
        <v>89.256198347107429</v>
      </c>
      <c r="T511" s="26">
        <f t="shared" si="819"/>
        <v>169.37825771363313</v>
      </c>
      <c r="U511" s="26" t="str">
        <f>IF(VLOOKUP($C511,COS!$B$8:$I$991,8,FALSE)=1,"UWFE","IBU")</f>
        <v>IBU</v>
      </c>
      <c r="V511" s="26">
        <f t="shared" ref="V511" si="822">MIN(IF(IF($AA$3=2,AND(E511=1,G511=1,L511=1,L514=1,M511=1,U511="IBU"),AND(E511=1,G511=1,L511=1,L514=1,M511=1)),T511,0),I511)</f>
        <v>132.55312499999999</v>
      </c>
      <c r="W511" s="26"/>
      <c r="X511" s="26"/>
      <c r="Y511" s="26"/>
      <c r="Z511" s="26"/>
      <c r="AA511" s="26"/>
      <c r="AB511" s="33"/>
    </row>
    <row r="512" spans="1:28" x14ac:dyDescent="0.3">
      <c r="A512" s="32">
        <f>VLOOKUP(YEAR(C512),Flags!$A$13:$B$95,2,FALSE)</f>
        <v>5</v>
      </c>
      <c r="B512" s="24">
        <f t="shared" si="739"/>
        <v>1977</v>
      </c>
      <c r="C512" s="25">
        <v>28337</v>
      </c>
      <c r="D512" s="26">
        <f>VLOOKUP($C512,COS!$B$8:$H$991,3,FALSE)</f>
        <v>12847.9814453125</v>
      </c>
      <c r="E512" s="24">
        <f>IF(D512&gt;=IF(MONTH($C512)=4,$C$3,IF(MONTH($C512)=5,$C$4,IF(MONTH($C512)=6,$C$5,IF(MONTH($C512)=7,$C$6,"ERROR")))),1,0)</f>
        <v>1</v>
      </c>
      <c r="F512" s="26">
        <f>VLOOKUP($C512,COS!$B$8:$H$991,7,FALSE)</f>
        <v>56.79901123046875</v>
      </c>
      <c r="G512" s="24">
        <f>IF(F512&lt;=IF(MONTH($C512)=4,$F$3,IF(MONTH($C512)=5,$F$4,IF(MONTH($C512)=6,$F$5,IF(MONTH($C512)=7,$F$6,"ERROR")))),1,0)</f>
        <v>0</v>
      </c>
      <c r="H512" s="26">
        <f>IF(J512=1,D512-$C$6,0)</f>
        <v>0</v>
      </c>
      <c r="I512" s="26">
        <f t="shared" si="764"/>
        <v>0</v>
      </c>
      <c r="J512" s="24">
        <f t="shared" si="813"/>
        <v>0</v>
      </c>
      <c r="K512" s="26">
        <f>VLOOKUP($C512,COS!$B$8:$H$991,2,FALSE)</f>
        <v>674.0113525390625</v>
      </c>
      <c r="L512" s="24">
        <f t="shared" si="741"/>
        <v>1</v>
      </c>
      <c r="M512" s="24">
        <f t="shared" si="742"/>
        <v>1</v>
      </c>
      <c r="N512" s="26">
        <f>VLOOKUP($C512,COS!$B$8:$H$991,5,FALSE)</f>
        <v>236.5211181640625</v>
      </c>
      <c r="O512" s="26">
        <f t="shared" si="816"/>
        <v>14.543116687112603</v>
      </c>
      <c r="P512" s="26">
        <f>VLOOKUP($C512,COS!$B$8:$H$991,6,FALSE)</f>
        <v>2273.37158203125</v>
      </c>
      <c r="Q512" s="26">
        <f t="shared" si="817"/>
        <v>139.78417000258267</v>
      </c>
      <c r="R512" s="26">
        <f>MIN(IF(MONTH($C512)=4,$S$3,IF(MONTH($C512)=5,$S$4,IF(MONTH($C512)=6,$S$5,IF(MONTH($C512)=7,$S$6,"ERROR")))),MAX(VLOOKUP($C512,COS!$B$8:$K$991,10,FALSE)-IF(MONTH($C512)=4,$Y$3,IF(MONTH($C512)=5,$Y$4,IF(MONTH($C512)=6,$Y$5,IF(MONTH($C512)=7,$Y$6,"ERROR")))),0),MAX(VLOOKUP($C512,COS!$B$8:$K$991,9,FALSE)-IF(MONTH($C512)=4,$V$3,IF(MONTH($C512)=5,$V$4,IF(MONTH($C512)=6,$V$5,IF(MONTH($C512)=7,$V$6,"ERROR"))))-VLOOKUP($C512,COS!$B$8:$K$991,6,FALSE)/2,0))</f>
        <v>1500</v>
      </c>
      <c r="S512" s="26">
        <f t="shared" si="818"/>
        <v>92.231404958677686</v>
      </c>
      <c r="T512" s="26">
        <f t="shared" si="819"/>
        <v>169.39504830352533</v>
      </c>
      <c r="U512" s="26" t="str">
        <f>IF(VLOOKUP($C512,COS!$B$8:$I$991,8,FALSE)=1,"UWFE","IBU")</f>
        <v>IBU</v>
      </c>
      <c r="V512" s="26">
        <f t="shared" ref="V512" si="823">MIN(IF(IF($AA$3=2,AND(E512=1,G512=1,L512=1,L514=1,M512=1,U512="IBU"),AND(E512=1,G512=1,L512=1,L514=1,M512=1)),T512,0),I512)</f>
        <v>0</v>
      </c>
      <c r="W512" s="26"/>
      <c r="X512" s="26"/>
      <c r="Y512" s="26"/>
      <c r="Z512" s="26"/>
      <c r="AA512" s="26"/>
      <c r="AB512" s="33"/>
    </row>
    <row r="513" spans="1:28" x14ac:dyDescent="0.3">
      <c r="A513" s="32">
        <f>VLOOKUP(YEAR(C513),Flags!$A$13:$B$95,2,FALSE)</f>
        <v>5</v>
      </c>
      <c r="B513" s="24">
        <f t="shared" si="739"/>
        <v>1977</v>
      </c>
      <c r="C513" s="25">
        <v>28368</v>
      </c>
      <c r="D513" s="26"/>
      <c r="E513" s="24"/>
      <c r="F513" s="26"/>
      <c r="G513" s="24"/>
      <c r="H513" s="24"/>
      <c r="I513" s="26"/>
      <c r="J513" s="24"/>
      <c r="K513" s="26"/>
      <c r="L513" s="24"/>
      <c r="M513" s="24"/>
      <c r="N513" s="26"/>
      <c r="O513" s="26"/>
      <c r="P513" s="26"/>
      <c r="Q513" s="26"/>
      <c r="R513" s="26"/>
      <c r="S513" s="26"/>
      <c r="T513" s="26"/>
      <c r="U513" s="26"/>
      <c r="V513" s="26"/>
      <c r="W513" s="26">
        <f>MAX($C$7-VLOOKUP($C513,COS!$B$8:$H$991,3,FALSE),0)</f>
        <v>90811.39453125</v>
      </c>
      <c r="X513" s="26">
        <f t="shared" si="769"/>
        <v>5583.7750025826454</v>
      </c>
      <c r="Y513" s="26">
        <f>VLOOKUP($C513,COS!$B$8:$H$991,4,FALSE)</f>
        <v>3103.3232421875</v>
      </c>
      <c r="Z513" s="26">
        <f t="shared" si="770"/>
        <v>190.81590844524794</v>
      </c>
      <c r="AA513" s="26">
        <f t="shared" ref="AA513:AA517" si="824">MIN(W513,Y513)</f>
        <v>3103.3232421875</v>
      </c>
      <c r="AB513" s="33">
        <f t="shared" ref="AB513" si="825">AA513*DAY($C513)*86400/43560/1000*IF(MONTH($C513)=8,$P$3,IF(MONTH($C513)=9,$P$4,IF(MONTH($C513)=10,$P$5,IF(MONTH($C513)=11,$P$6,IF(MONTH($C513)=12,$P$7,NA())))))</f>
        <v>190.81590844524794</v>
      </c>
    </row>
    <row r="514" spans="1:28" x14ac:dyDescent="0.3">
      <c r="A514" s="32">
        <f>VLOOKUP(YEAR(C514),Flags!$A$13:$B$95,2,FALSE)</f>
        <v>5</v>
      </c>
      <c r="B514" s="24">
        <f t="shared" si="739"/>
        <v>1977</v>
      </c>
      <c r="C514" s="25">
        <v>28398</v>
      </c>
      <c r="D514" s="26"/>
      <c r="E514" s="24"/>
      <c r="F514" s="26"/>
      <c r="G514" s="24"/>
      <c r="H514" s="24"/>
      <c r="I514" s="26"/>
      <c r="J514" s="24"/>
      <c r="K514" s="26">
        <f>VLOOKUP($C514,COS!$B$8:$H$991,2,FALSE)</f>
        <v>550</v>
      </c>
      <c r="L514" s="24">
        <f t="shared" ref="L514" si="826">IF(AND(K514&gt;$I$7,K514&lt;$I$8),1,0)</f>
        <v>1</v>
      </c>
      <c r="M514" s="24"/>
      <c r="N514" s="26"/>
      <c r="O514" s="26"/>
      <c r="P514" s="26"/>
      <c r="Q514" s="26"/>
      <c r="R514" s="26"/>
      <c r="S514" s="26"/>
      <c r="T514" s="26"/>
      <c r="U514" s="26"/>
      <c r="V514" s="26"/>
      <c r="W514" s="26">
        <f>MAX($C$8-VLOOKUP($C514,COS!$B$8:$H$991,3,FALSE),0)</f>
        <v>96010.7861328125</v>
      </c>
      <c r="X514" s="26">
        <f t="shared" si="769"/>
        <v>5713.0385136880168</v>
      </c>
      <c r="Y514" s="26">
        <f>VLOOKUP($C514,COS!$B$8:$H$991,4,FALSE)</f>
        <v>2002.165283203125</v>
      </c>
      <c r="Z514" s="26">
        <f t="shared" si="770"/>
        <v>119.13710776084712</v>
      </c>
      <c r="AA514" s="26">
        <f t="shared" si="824"/>
        <v>2002.165283203125</v>
      </c>
      <c r="AB514" s="33">
        <f t="shared" si="752"/>
        <v>119.13710776084712</v>
      </c>
    </row>
    <row r="515" spans="1:28" x14ac:dyDescent="0.3">
      <c r="A515" s="32">
        <f>VLOOKUP(YEAR(C515),Flags!$A$13:$B$95,2,FALSE)</f>
        <v>5</v>
      </c>
      <c r="B515" s="24">
        <f t="shared" si="739"/>
        <v>1977</v>
      </c>
      <c r="C515" s="25">
        <v>28429</v>
      </c>
      <c r="D515" s="26"/>
      <c r="E515" s="24"/>
      <c r="F515" s="26"/>
      <c r="G515" s="26"/>
      <c r="H515" s="26"/>
      <c r="I515" s="26"/>
      <c r="J515" s="26"/>
      <c r="K515" s="26"/>
      <c r="L515" s="24"/>
      <c r="M515" s="24"/>
      <c r="N515" s="26"/>
      <c r="O515" s="26"/>
      <c r="P515" s="26"/>
      <c r="Q515" s="26"/>
      <c r="R515" s="26"/>
      <c r="S515" s="26"/>
      <c r="T515" s="26"/>
      <c r="U515" s="26"/>
      <c r="V515" s="26"/>
      <c r="W515" s="26">
        <f>MAX($C$9-VLOOKUP($C515,COS!$B$8:$H$991,3,FALSE),0)</f>
        <v>93437.82080078125</v>
      </c>
      <c r="X515" s="26">
        <f t="shared" si="769"/>
        <v>5745.2676591554746</v>
      </c>
      <c r="Y515" s="26">
        <f>VLOOKUP($C515,COS!$B$8:$H$991,4,FALSE)</f>
        <v>1799.302734375</v>
      </c>
      <c r="Z515" s="26">
        <f t="shared" si="770"/>
        <v>110.63481275826447</v>
      </c>
      <c r="AA515" s="26">
        <f t="shared" si="824"/>
        <v>1799.302734375</v>
      </c>
      <c r="AB515" s="33">
        <f t="shared" si="752"/>
        <v>110.63481275826447</v>
      </c>
    </row>
    <row r="516" spans="1:28" x14ac:dyDescent="0.3">
      <c r="A516" s="32">
        <f>VLOOKUP(YEAR(C516),Flags!$A$13:$B$95,2,FALSE)</f>
        <v>5</v>
      </c>
      <c r="B516" s="24">
        <f t="shared" si="739"/>
        <v>1977</v>
      </c>
      <c r="C516" s="25">
        <v>28459</v>
      </c>
      <c r="D516" s="26"/>
      <c r="E516" s="24"/>
      <c r="F516" s="26"/>
      <c r="G516" s="26"/>
      <c r="H516" s="26"/>
      <c r="I516" s="26"/>
      <c r="J516" s="26"/>
      <c r="K516" s="26"/>
      <c r="L516" s="24"/>
      <c r="M516" s="24"/>
      <c r="N516" s="26"/>
      <c r="O516" s="26"/>
      <c r="P516" s="26"/>
      <c r="Q516" s="26"/>
      <c r="R516" s="26"/>
      <c r="S516" s="26"/>
      <c r="T516" s="26"/>
      <c r="U516" s="26"/>
      <c r="V516" s="26"/>
      <c r="W516" s="26">
        <f>MAX($C$10-VLOOKUP($C516,COS!$B$8:$H$991,3,FALSE),0)</f>
        <v>96634.680419921875</v>
      </c>
      <c r="X516" s="26">
        <f t="shared" si="769"/>
        <v>5750.1628018465908</v>
      </c>
      <c r="Y516" s="26">
        <f>VLOOKUP($C516,COS!$B$8:$H$991,4,FALSE)</f>
        <v>1647.787109375</v>
      </c>
      <c r="Z516" s="26">
        <f t="shared" si="770"/>
        <v>98.05014204545455</v>
      </c>
      <c r="AA516" s="26">
        <f t="shared" si="824"/>
        <v>1647.787109375</v>
      </c>
      <c r="AB516" s="33">
        <f t="shared" si="752"/>
        <v>49.025071022727275</v>
      </c>
    </row>
    <row r="517" spans="1:28" x14ac:dyDescent="0.3">
      <c r="A517" s="34">
        <f>VLOOKUP(YEAR(C517),Flags!$A$13:$B$95,2,FALSE)</f>
        <v>5</v>
      </c>
      <c r="B517" s="35">
        <f t="shared" si="739"/>
        <v>1977</v>
      </c>
      <c r="C517" s="36">
        <v>28490</v>
      </c>
      <c r="D517" s="37"/>
      <c r="E517" s="35"/>
      <c r="F517" s="37"/>
      <c r="G517" s="37"/>
      <c r="H517" s="37"/>
      <c r="I517" s="37"/>
      <c r="J517" s="37"/>
      <c r="K517" s="37"/>
      <c r="L517" s="35"/>
      <c r="M517" s="35"/>
      <c r="N517" s="37"/>
      <c r="O517" s="37"/>
      <c r="P517" s="37"/>
      <c r="Q517" s="37"/>
      <c r="R517" s="37"/>
      <c r="S517" s="37"/>
      <c r="T517" s="37"/>
      <c r="U517" s="37"/>
      <c r="V517" s="37"/>
      <c r="W517" s="37">
        <f>MAX($C$11-VLOOKUP($C517,COS!$B$8:$H$991,3,FALSE),0)</f>
        <v>0</v>
      </c>
      <c r="X517" s="37">
        <f t="shared" si="769"/>
        <v>0</v>
      </c>
      <c r="Y517" s="37">
        <f>VLOOKUP($C517,COS!$B$8:$H$991,4,FALSE)</f>
        <v>1898.17529296875</v>
      </c>
      <c r="Z517" s="37">
        <f t="shared" si="770"/>
        <v>116.71424941890496</v>
      </c>
      <c r="AA517" s="37">
        <f t="shared" si="824"/>
        <v>0</v>
      </c>
      <c r="AB517" s="38">
        <f t="shared" si="752"/>
        <v>0</v>
      </c>
    </row>
    <row r="518" spans="1:28" x14ac:dyDescent="0.3">
      <c r="A518" s="27">
        <f>VLOOKUP(YEAR(C518),Flags!$A$13:$B$95,2,FALSE)</f>
        <v>2</v>
      </c>
      <c r="B518" s="28">
        <f t="shared" si="739"/>
        <v>1978</v>
      </c>
      <c r="C518" s="29">
        <v>28610</v>
      </c>
      <c r="D518" s="30">
        <f>VLOOKUP($C518,COS!$B$8:$H$991,3,FALSE)</f>
        <v>5366.947265625</v>
      </c>
      <c r="E518" s="28">
        <f>IF(D518&gt;=IF(MONTH($C518)=4,$C$3,IF(MONTH($C518)=5,$C$4,IF(MONTH($C518)=6,$C$5,IF(MONTH($C518)=7,$C$6,"ERROR")))),1,0)</f>
        <v>0</v>
      </c>
      <c r="F518" s="30">
        <f>VLOOKUP($C518,COS!$B$8:$H$991,7,FALSE)</f>
        <v>47.174221038818359</v>
      </c>
      <c r="G518" s="28">
        <f>IF(F518&lt;=IF(MONTH($C518)=4,$F$3,IF(MONTH($C518)=5,$F$4,IF(MONTH($C518)=6,$F$5,IF(MONTH($C518)=7,$F$6,"ERROR")))),1,0)</f>
        <v>1</v>
      </c>
      <c r="H518" s="30">
        <f>IF(J518=1,D518-$C$3,0)</f>
        <v>0</v>
      </c>
      <c r="I518" s="30">
        <f t="shared" si="764"/>
        <v>0</v>
      </c>
      <c r="J518" s="28">
        <f t="shared" ref="J518:J521" si="827">IF(AND(E518=1,G518=1),1,0)</f>
        <v>0</v>
      </c>
      <c r="K518" s="30">
        <f>VLOOKUP($C518,COS!$B$8:$H$991,2,FALSE)</f>
        <v>4552</v>
      </c>
      <c r="L518" s="28">
        <f t="shared" ref="L518" si="828">IF(K518&lt;=IF(MONTH($C518)=4,$I$3,IF(MONTH($C518)=5,$I$4,IF(MONTH($C518)=6,$I$5,IF(MONTH($C518)=7,$I$6,"ERROR")))),1,0)</f>
        <v>1</v>
      </c>
      <c r="M518" s="28">
        <f t="shared" ref="M518" si="829">VLOOKUP($A518,$L$3:$M$7,2,FALSE)</f>
        <v>0</v>
      </c>
      <c r="N518" s="30">
        <f>VLOOKUP($C518,COS!$B$8:$H$991,5,FALSE)</f>
        <v>14.349928855895996</v>
      </c>
      <c r="O518" s="30">
        <f t="shared" ref="O518:O521" si="830">N518*DAY($C518)*86400/43560/1000</f>
        <v>0.85388006415248896</v>
      </c>
      <c r="P518" s="30">
        <f>VLOOKUP($C518,COS!$B$8:$H$991,6,FALSE)</f>
        <v>353.44631958007813</v>
      </c>
      <c r="Q518" s="30">
        <f t="shared" ref="Q518:Q521" si="831">P518*DAY($C518)*86400/43560/1000</f>
        <v>21.031516536996385</v>
      </c>
      <c r="R518" s="30">
        <f>MIN(IF(MONTH($C518)=4,$S$3,IF(MONTH($C518)=5,$S$4,IF(MONTH($C518)=6,$S$5,IF(MONTH($C518)=7,$S$6,"ERROR")))),MAX(VLOOKUP($C518,COS!$B$8:$K$991,10,FALSE)-IF(MONTH($C518)=4,$Y$3,IF(MONTH($C518)=5,$Y$4,IF(MONTH($C518)=6,$Y$5,IF(MONTH($C518)=7,$Y$6,"ERROR")))),0),MAX(VLOOKUP($C518,COS!$B$8:$K$991,9,FALSE)-IF(MONTH($C518)=4,$V$3,IF(MONTH($C518)=5,$V$4,IF(MONTH($C518)=6,$V$5,IF(MONTH($C518)=7,$V$6,"ERROR"))))-VLOOKUP($C518,COS!$B$8:$K$991,6,FALSE)/2,0))</f>
        <v>1500</v>
      </c>
      <c r="S518" s="30">
        <f t="shared" ref="S518:S521" si="832">R518*DAY($C518)*86400/43560/1000</f>
        <v>89.256198347107429</v>
      </c>
      <c r="T518" s="30">
        <f t="shared" ref="T518:T521" si="833">(O518+Q518)/2+S518</f>
        <v>100.19889664768186</v>
      </c>
      <c r="U518" s="30" t="str">
        <f>IF(VLOOKUP($C518,COS!$B$8:$I$991,8,FALSE)=1,"UWFE","IBU")</f>
        <v>UWFE</v>
      </c>
      <c r="V518" s="30">
        <f t="shared" ref="V518" si="834">MIN(IF(IF($AA$3=2,AND(E518=1,G518=1,L518=1,L523=1,M518=1,U518="IBU"),AND(E518=1,G518=1,L518=1,L523=1,M518=1)),T518,0),I518)</f>
        <v>0</v>
      </c>
      <c r="W518" s="30"/>
      <c r="X518" s="30"/>
      <c r="Y518" s="30"/>
      <c r="Z518" s="30"/>
      <c r="AA518" s="30"/>
      <c r="AB518" s="31"/>
    </row>
    <row r="519" spans="1:28" x14ac:dyDescent="0.3">
      <c r="A519" s="32">
        <f>VLOOKUP(YEAR(C519),Flags!$A$13:$B$95,2,FALSE)</f>
        <v>2</v>
      </c>
      <c r="B519" s="24">
        <f t="shared" si="739"/>
        <v>1978</v>
      </c>
      <c r="C519" s="25">
        <v>28641</v>
      </c>
      <c r="D519" s="26">
        <f>VLOOKUP($C519,COS!$B$8:$H$991,3,FALSE)</f>
        <v>8295.84765625</v>
      </c>
      <c r="E519" s="24">
        <f>IF(D519&gt;=IF(MONTH($C519)=4,$C$3,IF(MONTH($C519)=5,$C$4,IF(MONTH($C519)=6,$C$5,IF(MONTH($C519)=7,$C$6,"ERROR")))),1,0)</f>
        <v>1</v>
      </c>
      <c r="F519" s="26">
        <f>VLOOKUP($C519,COS!$B$8:$H$991,7,FALSE)</f>
        <v>48.754131317138672</v>
      </c>
      <c r="G519" s="24">
        <f>IF(F519&lt;=IF(MONTH($C519)=4,$F$3,IF(MONTH($C519)=5,$F$4,IF(MONTH($C519)=6,$F$5,IF(MONTH($C519)=7,$F$6,"ERROR")))),1,0)</f>
        <v>1</v>
      </c>
      <c r="H519" s="26">
        <f>IF(J519=1,D519-$C$4,0)</f>
        <v>2295.84765625</v>
      </c>
      <c r="I519" s="26">
        <f t="shared" si="764"/>
        <v>141.16616993801654</v>
      </c>
      <c r="J519" s="24">
        <f t="shared" si="827"/>
        <v>1</v>
      </c>
      <c r="K519" s="26">
        <f>VLOOKUP($C519,COS!$B$8:$H$991,2,FALSE)</f>
        <v>4552</v>
      </c>
      <c r="L519" s="24">
        <f t="shared" si="741"/>
        <v>1</v>
      </c>
      <c r="M519" s="24">
        <f t="shared" si="742"/>
        <v>0</v>
      </c>
      <c r="N519" s="26">
        <f>VLOOKUP($C519,COS!$B$8:$H$991,5,FALSE)</f>
        <v>802.34027099609375</v>
      </c>
      <c r="O519" s="26">
        <f t="shared" si="830"/>
        <v>49.333980299263942</v>
      </c>
      <c r="P519" s="26">
        <f>VLOOKUP($C519,COS!$B$8:$H$991,6,FALSE)</f>
        <v>2254.8779296875</v>
      </c>
      <c r="Q519" s="26">
        <f t="shared" si="831"/>
        <v>138.64703964359506</v>
      </c>
      <c r="R519" s="26">
        <f>MIN(IF(MONTH($C519)=4,$S$3,IF(MONTH($C519)=5,$S$4,IF(MONTH($C519)=6,$S$5,IF(MONTH($C519)=7,$S$6,"ERROR")))),MAX(VLOOKUP($C519,COS!$B$8:$K$991,10,FALSE)-IF(MONTH($C519)=4,$Y$3,IF(MONTH($C519)=5,$Y$4,IF(MONTH($C519)=6,$Y$5,IF(MONTH($C519)=7,$Y$6,"ERROR")))),0),MAX(VLOOKUP($C519,COS!$B$8:$K$991,9,FALSE)-IF(MONTH($C519)=4,$V$3,IF(MONTH($C519)=5,$V$4,IF(MONTH($C519)=6,$V$5,IF(MONTH($C519)=7,$V$6,"ERROR"))))-VLOOKUP($C519,COS!$B$8:$K$991,6,FALSE)/2,0))</f>
        <v>1500</v>
      </c>
      <c r="S519" s="26">
        <f t="shared" si="832"/>
        <v>92.231404958677686</v>
      </c>
      <c r="T519" s="26">
        <f t="shared" si="833"/>
        <v>186.22191493010718</v>
      </c>
      <c r="U519" s="26" t="str">
        <f>IF(VLOOKUP($C519,COS!$B$8:$I$991,8,FALSE)=1,"UWFE","IBU")</f>
        <v>UWFE</v>
      </c>
      <c r="V519" s="26">
        <f t="shared" ref="V519" si="835">MIN(IF(IF($AA$3=2,AND(E519=1,G519=1,L519=1,L523=1,M519=1,U519="IBU"),AND(E519=1,G519=1,L519=1,L523=1,M519=1)),T519,0),I519)</f>
        <v>0</v>
      </c>
      <c r="W519" s="26"/>
      <c r="X519" s="26"/>
      <c r="Y519" s="26"/>
      <c r="Z519" s="26"/>
      <c r="AA519" s="26"/>
      <c r="AB519" s="33"/>
    </row>
    <row r="520" spans="1:28" x14ac:dyDescent="0.3">
      <c r="A520" s="32">
        <f>VLOOKUP(YEAR(C520),Flags!$A$13:$B$95,2,FALSE)</f>
        <v>2</v>
      </c>
      <c r="B520" s="24">
        <f t="shared" si="739"/>
        <v>1978</v>
      </c>
      <c r="C520" s="25">
        <v>28671</v>
      </c>
      <c r="D520" s="26">
        <f>VLOOKUP($C520,COS!$B$8:$H$991,3,FALSE)</f>
        <v>9561.716796875</v>
      </c>
      <c r="E520" s="24">
        <f>IF(D520&gt;=IF(MONTH($C520)=4,$C$3,IF(MONTH($C520)=5,$C$4,IF(MONTH($C520)=6,$C$5,IF(MONTH($C520)=7,$C$6,"ERROR")))),1,0)</f>
        <v>0</v>
      </c>
      <c r="F520" s="26">
        <f>VLOOKUP($C520,COS!$B$8:$H$991,7,FALSE)</f>
        <v>49.9637451171875</v>
      </c>
      <c r="G520" s="24">
        <f>IF(F520&lt;=IF(MONTH($C520)=4,$F$3,IF(MONTH($C520)=5,$F$4,IF(MONTH($C520)=6,$F$5,IF(MONTH($C520)=7,$F$6,"ERROR")))),1,0)</f>
        <v>1</v>
      </c>
      <c r="H520" s="26">
        <f>IF(J520=1,D520-$C$5,0)</f>
        <v>0</v>
      </c>
      <c r="I520" s="26">
        <f t="shared" si="764"/>
        <v>0</v>
      </c>
      <c r="J520" s="24">
        <f t="shared" si="827"/>
        <v>0</v>
      </c>
      <c r="K520" s="26">
        <f>VLOOKUP($C520,COS!$B$8:$H$991,2,FALSE)</f>
        <v>4231.4814453125</v>
      </c>
      <c r="L520" s="24">
        <f t="shared" si="741"/>
        <v>1</v>
      </c>
      <c r="M520" s="24">
        <f t="shared" si="742"/>
        <v>0</v>
      </c>
      <c r="N520" s="26">
        <f>VLOOKUP($C520,COS!$B$8:$H$991,5,FALSE)</f>
        <v>1242.423828125</v>
      </c>
      <c r="O520" s="26">
        <f t="shared" si="830"/>
        <v>73.929351756198344</v>
      </c>
      <c r="P520" s="26">
        <f>VLOOKUP($C520,COS!$B$8:$H$991,6,FALSE)</f>
        <v>2349.44482421875</v>
      </c>
      <c r="Q520" s="26">
        <f t="shared" si="831"/>
        <v>139.80167549070248</v>
      </c>
      <c r="R520" s="26">
        <f>MIN(IF(MONTH($C520)=4,$S$3,IF(MONTH($C520)=5,$S$4,IF(MONTH($C520)=6,$S$5,IF(MONTH($C520)=7,$S$6,"ERROR")))),MAX(VLOOKUP($C520,COS!$B$8:$K$991,10,FALSE)-IF(MONTH($C520)=4,$Y$3,IF(MONTH($C520)=5,$Y$4,IF(MONTH($C520)=6,$Y$5,IF(MONTH($C520)=7,$Y$6,"ERROR")))),0),MAX(VLOOKUP($C520,COS!$B$8:$K$991,9,FALSE)-IF(MONTH($C520)=4,$V$3,IF(MONTH($C520)=5,$V$4,IF(MONTH($C520)=6,$V$5,IF(MONTH($C520)=7,$V$6,"ERROR"))))-VLOOKUP($C520,COS!$B$8:$K$991,6,FALSE)/2,0))</f>
        <v>1500</v>
      </c>
      <c r="S520" s="26">
        <f t="shared" si="832"/>
        <v>89.256198347107429</v>
      </c>
      <c r="T520" s="26">
        <f t="shared" si="833"/>
        <v>196.12171197055784</v>
      </c>
      <c r="U520" s="26" t="str">
        <f>IF(VLOOKUP($C520,COS!$B$8:$I$991,8,FALSE)=1,"UWFE","IBU")</f>
        <v>UWFE</v>
      </c>
      <c r="V520" s="26">
        <f t="shared" ref="V520" si="836">MIN(IF(IF($AA$3=2,AND(E520=1,G520=1,L520=1,L523=1,M520=1,U520="IBU"),AND(E520=1,G520=1,L520=1,L523=1,M520=1)),T520,0),I520)</f>
        <v>0</v>
      </c>
      <c r="W520" s="26"/>
      <c r="X520" s="26"/>
      <c r="Y520" s="26"/>
      <c r="Z520" s="26"/>
      <c r="AA520" s="26"/>
      <c r="AB520" s="33"/>
    </row>
    <row r="521" spans="1:28" x14ac:dyDescent="0.3">
      <c r="A521" s="32">
        <f>VLOOKUP(YEAR(C521),Flags!$A$13:$B$95,2,FALSE)</f>
        <v>2</v>
      </c>
      <c r="B521" s="24">
        <f t="shared" si="739"/>
        <v>1978</v>
      </c>
      <c r="C521" s="25">
        <v>28702</v>
      </c>
      <c r="D521" s="26">
        <f>VLOOKUP($C521,COS!$B$8:$H$991,3,FALSE)</f>
        <v>13248.9892578125</v>
      </c>
      <c r="E521" s="24">
        <f>IF(D521&gt;=IF(MONTH($C521)=4,$C$3,IF(MONTH($C521)=5,$C$4,IF(MONTH($C521)=6,$C$5,IF(MONTH($C521)=7,$C$6,"ERROR")))),1,0)</f>
        <v>1</v>
      </c>
      <c r="F521" s="26">
        <f>VLOOKUP($C521,COS!$B$8:$H$991,7,FALSE)</f>
        <v>50.877964019775391</v>
      </c>
      <c r="G521" s="24">
        <f>IF(F521&lt;=IF(MONTH($C521)=4,$F$3,IF(MONTH($C521)=5,$F$4,IF(MONTH($C521)=6,$F$5,IF(MONTH($C521)=7,$F$6,"ERROR")))),1,0)</f>
        <v>1</v>
      </c>
      <c r="H521" s="26">
        <f>IF(J521=1,D521-$C$6,0)</f>
        <v>1248.9892578125</v>
      </c>
      <c r="I521" s="26">
        <f t="shared" si="764"/>
        <v>76.797356017561981</v>
      </c>
      <c r="J521" s="24">
        <f t="shared" si="827"/>
        <v>1</v>
      </c>
      <c r="K521" s="26">
        <f>VLOOKUP($C521,COS!$B$8:$H$991,2,FALSE)</f>
        <v>3678.985107421875</v>
      </c>
      <c r="L521" s="24">
        <f t="shared" si="741"/>
        <v>1</v>
      </c>
      <c r="M521" s="24">
        <f t="shared" si="742"/>
        <v>0</v>
      </c>
      <c r="N521" s="26">
        <f>VLOOKUP($C521,COS!$B$8:$H$991,5,FALSE)</f>
        <v>1355.9876708984375</v>
      </c>
      <c r="O521" s="26">
        <f t="shared" si="830"/>
        <v>83.376431995738628</v>
      </c>
      <c r="P521" s="26">
        <f>VLOOKUP($C521,COS!$B$8:$H$991,6,FALSE)</f>
        <v>2562.892822265625</v>
      </c>
      <c r="Q521" s="26">
        <f t="shared" si="831"/>
        <v>157.58613717071282</v>
      </c>
      <c r="R521" s="26">
        <f>MIN(IF(MONTH($C521)=4,$S$3,IF(MONTH($C521)=5,$S$4,IF(MONTH($C521)=6,$S$5,IF(MONTH($C521)=7,$S$6,"ERROR")))),MAX(VLOOKUP($C521,COS!$B$8:$K$991,10,FALSE)-IF(MONTH($C521)=4,$Y$3,IF(MONTH($C521)=5,$Y$4,IF(MONTH($C521)=6,$Y$5,IF(MONTH($C521)=7,$Y$6,"ERROR")))),0),MAX(VLOOKUP($C521,COS!$B$8:$K$991,9,FALSE)-IF(MONTH($C521)=4,$V$3,IF(MONTH($C521)=5,$V$4,IF(MONTH($C521)=6,$V$5,IF(MONTH($C521)=7,$V$6,"ERROR"))))-VLOOKUP($C521,COS!$B$8:$K$991,6,FALSE)/2,0))</f>
        <v>1500</v>
      </c>
      <c r="S521" s="26">
        <f t="shared" si="832"/>
        <v>92.231404958677686</v>
      </c>
      <c r="T521" s="26">
        <f t="shared" si="833"/>
        <v>212.71268954190339</v>
      </c>
      <c r="U521" s="26" t="str">
        <f>IF(VLOOKUP($C521,COS!$B$8:$I$991,8,FALSE)=1,"UWFE","IBU")</f>
        <v>IBU</v>
      </c>
      <c r="V521" s="26">
        <f t="shared" ref="V521" si="837">MIN(IF(IF($AA$3=2,AND(E521=1,G521=1,L521=1,L523=1,M521=1,U521="IBU"),AND(E521=1,G521=1,L521=1,L523=1,M521=1)),T521,0),I521)</f>
        <v>0</v>
      </c>
      <c r="W521" s="26"/>
      <c r="X521" s="26"/>
      <c r="Y521" s="26"/>
      <c r="Z521" s="26"/>
      <c r="AA521" s="26"/>
      <c r="AB521" s="33"/>
    </row>
    <row r="522" spans="1:28" x14ac:dyDescent="0.3">
      <c r="A522" s="32">
        <f>VLOOKUP(YEAR(C522),Flags!$A$13:$B$95,2,FALSE)</f>
        <v>2</v>
      </c>
      <c r="B522" s="24">
        <f t="shared" si="739"/>
        <v>1978</v>
      </c>
      <c r="C522" s="25">
        <v>28733</v>
      </c>
      <c r="D522" s="26"/>
      <c r="E522" s="24"/>
      <c r="F522" s="26"/>
      <c r="G522" s="24"/>
      <c r="H522" s="24"/>
      <c r="I522" s="26"/>
      <c r="J522" s="24"/>
      <c r="K522" s="26"/>
      <c r="L522" s="24"/>
      <c r="M522" s="24"/>
      <c r="N522" s="26"/>
      <c r="O522" s="26"/>
      <c r="P522" s="26"/>
      <c r="Q522" s="26"/>
      <c r="R522" s="26"/>
      <c r="S522" s="26"/>
      <c r="T522" s="26"/>
      <c r="U522" s="26"/>
      <c r="V522" s="26"/>
      <c r="W522" s="26">
        <f>MAX($C$7-VLOOKUP($C522,COS!$B$8:$H$991,3,FALSE),0)</f>
        <v>90311.0869140625</v>
      </c>
      <c r="X522" s="26">
        <f t="shared" si="769"/>
        <v>5553.0122862861563</v>
      </c>
      <c r="Y522" s="26">
        <f>VLOOKUP($C522,COS!$B$8:$H$991,4,FALSE)</f>
        <v>138.08555603027344</v>
      </c>
      <c r="Z522" s="26">
        <f t="shared" si="770"/>
        <v>8.490549891448218</v>
      </c>
      <c r="AA522" s="26">
        <f t="shared" ref="AA522:AA526" si="838">MIN(W522,Y522)</f>
        <v>138.08555603027344</v>
      </c>
      <c r="AB522" s="33">
        <f t="shared" ref="AB522" si="839">AA522*DAY($C522)*86400/43560/1000*IF(MONTH($C522)=8,$P$3,IF(MONTH($C522)=9,$P$4,IF(MONTH($C522)=10,$P$5,IF(MONTH($C522)=11,$P$6,IF(MONTH($C522)=12,$P$7,NA())))))</f>
        <v>8.490549891448218</v>
      </c>
    </row>
    <row r="523" spans="1:28" x14ac:dyDescent="0.3">
      <c r="A523" s="32">
        <f>VLOOKUP(YEAR(C523),Flags!$A$13:$B$95,2,FALSE)</f>
        <v>2</v>
      </c>
      <c r="B523" s="24">
        <f t="shared" si="739"/>
        <v>1978</v>
      </c>
      <c r="C523" s="25">
        <v>28763</v>
      </c>
      <c r="D523" s="26"/>
      <c r="E523" s="24"/>
      <c r="F523" s="26"/>
      <c r="G523" s="24"/>
      <c r="H523" s="24"/>
      <c r="I523" s="26"/>
      <c r="J523" s="24"/>
      <c r="K523" s="26">
        <f>VLOOKUP($C523,COS!$B$8:$H$991,2,FALSE)</f>
        <v>3233.942626953125</v>
      </c>
      <c r="L523" s="24">
        <f t="shared" ref="L523" si="840">IF(AND(K523&gt;$I$7,K523&lt;$I$8),1,0)</f>
        <v>1</v>
      </c>
      <c r="M523" s="24"/>
      <c r="N523" s="26"/>
      <c r="O523" s="26"/>
      <c r="P523" s="26"/>
      <c r="Q523" s="26"/>
      <c r="R523" s="26"/>
      <c r="S523" s="26"/>
      <c r="T523" s="26"/>
      <c r="U523" s="26"/>
      <c r="V523" s="26"/>
      <c r="W523" s="26">
        <f>MAX($C$8-VLOOKUP($C523,COS!$B$8:$H$991,3,FALSE),0)</f>
        <v>93316.7197265625</v>
      </c>
      <c r="X523" s="26">
        <f t="shared" si="769"/>
        <v>5552.7304300103306</v>
      </c>
      <c r="Y523" s="26">
        <f>VLOOKUP($C523,COS!$B$8:$H$991,4,FALSE)</f>
        <v>124.30649566650391</v>
      </c>
      <c r="Z523" s="26">
        <f t="shared" si="770"/>
        <v>7.3967501553622164</v>
      </c>
      <c r="AA523" s="26">
        <f t="shared" si="838"/>
        <v>124.30649566650391</v>
      </c>
      <c r="AB523" s="33">
        <f t="shared" si="752"/>
        <v>7.3967501553622164</v>
      </c>
    </row>
    <row r="524" spans="1:28" x14ac:dyDescent="0.3">
      <c r="A524" s="32">
        <f>VLOOKUP(YEAR(C524),Flags!$A$13:$B$95,2,FALSE)</f>
        <v>2</v>
      </c>
      <c r="B524" s="24">
        <f t="shared" si="739"/>
        <v>1978</v>
      </c>
      <c r="C524" s="25">
        <v>28794</v>
      </c>
      <c r="D524" s="26"/>
      <c r="E524" s="24"/>
      <c r="F524" s="26"/>
      <c r="G524" s="26"/>
      <c r="H524" s="26"/>
      <c r="I524" s="26"/>
      <c r="J524" s="26"/>
      <c r="K524" s="26"/>
      <c r="L524" s="24"/>
      <c r="M524" s="24"/>
      <c r="N524" s="26"/>
      <c r="O524" s="26"/>
      <c r="P524" s="26"/>
      <c r="Q524" s="26"/>
      <c r="R524" s="26"/>
      <c r="S524" s="26"/>
      <c r="T524" s="26"/>
      <c r="U524" s="26"/>
      <c r="V524" s="26"/>
      <c r="W524" s="26">
        <f>MAX($C$9-VLOOKUP($C524,COS!$B$8:$H$991,3,FALSE),0)</f>
        <v>94237.51806640625</v>
      </c>
      <c r="X524" s="26">
        <f t="shared" si="769"/>
        <v>5794.4391273889469</v>
      </c>
      <c r="Y524" s="26">
        <f>VLOOKUP($C524,COS!$B$8:$H$991,4,FALSE)</f>
        <v>308.338623046875</v>
      </c>
      <c r="Z524" s="26">
        <f t="shared" si="770"/>
        <v>18.959002937758264</v>
      </c>
      <c r="AA524" s="26">
        <f t="shared" si="838"/>
        <v>308.338623046875</v>
      </c>
      <c r="AB524" s="33">
        <f t="shared" si="752"/>
        <v>18.959002937758264</v>
      </c>
    </row>
    <row r="525" spans="1:28" x14ac:dyDescent="0.3">
      <c r="A525" s="32">
        <f>VLOOKUP(YEAR(C525),Flags!$A$13:$B$95,2,FALSE)</f>
        <v>2</v>
      </c>
      <c r="B525" s="24">
        <f t="shared" si="739"/>
        <v>1978</v>
      </c>
      <c r="C525" s="25">
        <v>28824</v>
      </c>
      <c r="D525" s="26"/>
      <c r="E525" s="24"/>
      <c r="F525" s="26"/>
      <c r="G525" s="26"/>
      <c r="H525" s="26"/>
      <c r="I525" s="26"/>
      <c r="J525" s="26"/>
      <c r="K525" s="26"/>
      <c r="L525" s="24"/>
      <c r="M525" s="24"/>
      <c r="N525" s="26"/>
      <c r="O525" s="26"/>
      <c r="P525" s="26"/>
      <c r="Q525" s="26"/>
      <c r="R525" s="26"/>
      <c r="S525" s="26"/>
      <c r="T525" s="26"/>
      <c r="U525" s="26"/>
      <c r="V525" s="26"/>
      <c r="W525" s="26">
        <f>MAX($C$10-VLOOKUP($C525,COS!$B$8:$H$991,3,FALSE),0)</f>
        <v>90817.384765625</v>
      </c>
      <c r="X525" s="26">
        <f t="shared" si="769"/>
        <v>5404.0096720041329</v>
      </c>
      <c r="Y525" s="26">
        <f>VLOOKUP($C525,COS!$B$8:$H$991,4,FALSE)</f>
        <v>283.46884155273438</v>
      </c>
      <c r="Z525" s="26">
        <f t="shared" si="770"/>
        <v>16.867567431237088</v>
      </c>
      <c r="AA525" s="26">
        <f t="shared" si="838"/>
        <v>283.46884155273438</v>
      </c>
      <c r="AB525" s="33">
        <f t="shared" si="752"/>
        <v>8.433783715618544</v>
      </c>
    </row>
    <row r="526" spans="1:28" x14ac:dyDescent="0.3">
      <c r="A526" s="34">
        <f>VLOOKUP(YEAR(C526),Flags!$A$13:$B$95,2,FALSE)</f>
        <v>2</v>
      </c>
      <c r="B526" s="35">
        <f t="shared" si="739"/>
        <v>1978</v>
      </c>
      <c r="C526" s="36">
        <v>28855</v>
      </c>
      <c r="D526" s="37"/>
      <c r="E526" s="35"/>
      <c r="F526" s="37"/>
      <c r="G526" s="37"/>
      <c r="H526" s="37"/>
      <c r="I526" s="37"/>
      <c r="J526" s="37"/>
      <c r="K526" s="37"/>
      <c r="L526" s="35"/>
      <c r="M526" s="35"/>
      <c r="N526" s="37"/>
      <c r="O526" s="37"/>
      <c r="P526" s="37"/>
      <c r="Q526" s="37"/>
      <c r="R526" s="37"/>
      <c r="S526" s="37"/>
      <c r="T526" s="37"/>
      <c r="U526" s="37"/>
      <c r="V526" s="37"/>
      <c r="W526" s="37">
        <f>MAX($C$11-VLOOKUP($C526,COS!$B$8:$H$991,3,FALSE),0)</f>
        <v>0</v>
      </c>
      <c r="X526" s="37">
        <f t="shared" si="769"/>
        <v>0</v>
      </c>
      <c r="Y526" s="37">
        <f>VLOOKUP($C526,COS!$B$8:$H$991,4,FALSE)</f>
        <v>569.04254150390625</v>
      </c>
      <c r="Z526" s="37">
        <f t="shared" si="770"/>
        <v>34.989062056107954</v>
      </c>
      <c r="AA526" s="37">
        <f t="shared" si="838"/>
        <v>0</v>
      </c>
      <c r="AB526" s="38">
        <f t="shared" si="752"/>
        <v>0</v>
      </c>
    </row>
    <row r="527" spans="1:28" x14ac:dyDescent="0.3">
      <c r="A527" s="27">
        <f>VLOOKUP(YEAR(C527),Flags!$A$13:$B$95,2,FALSE)</f>
        <v>4</v>
      </c>
      <c r="B527" s="28">
        <f t="shared" ref="B527:B590" si="841">YEAR(C527)</f>
        <v>1979</v>
      </c>
      <c r="C527" s="29">
        <v>28975</v>
      </c>
      <c r="D527" s="30">
        <f>VLOOKUP($C527,COS!$B$8:$H$991,3,FALSE)</f>
        <v>3250</v>
      </c>
      <c r="E527" s="28">
        <f>IF(D527&gt;=IF(MONTH($C527)=4,$C$3,IF(MONTH($C527)=5,$C$4,IF(MONTH($C527)=6,$C$5,IF(MONTH($C527)=7,$C$6,"ERROR")))),1,0)</f>
        <v>0</v>
      </c>
      <c r="F527" s="30">
        <f>VLOOKUP($C527,COS!$B$8:$H$991,7,FALSE)</f>
        <v>51.270172119140625</v>
      </c>
      <c r="G527" s="28">
        <f>IF(F527&lt;=IF(MONTH($C527)=4,$F$3,IF(MONTH($C527)=5,$F$4,IF(MONTH($C527)=6,$F$5,IF(MONTH($C527)=7,$F$6,"ERROR")))),1,0)</f>
        <v>1</v>
      </c>
      <c r="H527" s="30">
        <f>IF(J527=1,D527-$C$3,0)</f>
        <v>0</v>
      </c>
      <c r="I527" s="30">
        <f t="shared" si="764"/>
        <v>0</v>
      </c>
      <c r="J527" s="28">
        <f t="shared" ref="J527:J530" si="842">IF(AND(E527=1,G527=1),1,0)</f>
        <v>0</v>
      </c>
      <c r="K527" s="30">
        <f>VLOOKUP($C527,COS!$B$8:$H$991,2,FALSE)</f>
        <v>4053.44189453125</v>
      </c>
      <c r="L527" s="28">
        <f t="shared" ref="L527:L584" si="843">IF(K527&lt;=IF(MONTH($C527)=4,$I$3,IF(MONTH($C527)=5,$I$4,IF(MONTH($C527)=6,$I$5,IF(MONTH($C527)=7,$I$6,"ERROR")))),1,0)</f>
        <v>1</v>
      </c>
      <c r="M527" s="28">
        <f t="shared" ref="M527:M584" si="844">VLOOKUP($A527,$L$3:$M$7,2,FALSE)</f>
        <v>1</v>
      </c>
      <c r="N527" s="30">
        <f>VLOOKUP($C527,COS!$B$8:$H$991,5,FALSE)</f>
        <v>214.24491882324219</v>
      </c>
      <c r="O527" s="30">
        <f t="shared" ref="O527:O530" si="845">N527*DAY($C527)*86400/43560/1000</f>
        <v>12.748457979564824</v>
      </c>
      <c r="P527" s="30">
        <f>VLOOKUP($C527,COS!$B$8:$H$991,6,FALSE)</f>
        <v>439.33358764648438</v>
      </c>
      <c r="Q527" s="30">
        <f t="shared" ref="Q527:Q530" si="846">P527*DAY($C527)*86400/43560/1000</f>
        <v>26.142163893013944</v>
      </c>
      <c r="R527" s="30">
        <f>MIN(IF(MONTH($C527)=4,$S$3,IF(MONTH($C527)=5,$S$4,IF(MONTH($C527)=6,$S$5,IF(MONTH($C527)=7,$S$6,"ERROR")))),MAX(VLOOKUP($C527,COS!$B$8:$K$991,10,FALSE)-IF(MONTH($C527)=4,$Y$3,IF(MONTH($C527)=5,$Y$4,IF(MONTH($C527)=6,$Y$5,IF(MONTH($C527)=7,$Y$6,"ERROR")))),0),MAX(VLOOKUP($C527,COS!$B$8:$K$991,9,FALSE)-IF(MONTH($C527)=4,$V$3,IF(MONTH($C527)=5,$V$4,IF(MONTH($C527)=6,$V$5,IF(MONTH($C527)=7,$V$6,"ERROR"))))-VLOOKUP($C527,COS!$B$8:$K$991,6,FALSE)/2,0))</f>
        <v>1500</v>
      </c>
      <c r="S527" s="30">
        <f t="shared" ref="S527:S530" si="847">R527*DAY($C527)*86400/43560/1000</f>
        <v>89.256198347107429</v>
      </c>
      <c r="T527" s="30">
        <f t="shared" ref="T527:T530" si="848">(O527+Q527)/2+S527</f>
        <v>108.70150928339682</v>
      </c>
      <c r="U527" s="30" t="str">
        <f>IF(VLOOKUP($C527,COS!$B$8:$I$991,8,FALSE)=1,"UWFE","IBU")</f>
        <v>UWFE</v>
      </c>
      <c r="V527" s="30">
        <f t="shared" ref="V527" si="849">MIN(IF(IF($AA$3=2,AND(E527=1,G527=1,L527=1,L532=1,M527=1,U527="IBU"),AND(E527=1,G527=1,L527=1,L532=1,M527=1)),T527,0),I527)</f>
        <v>0</v>
      </c>
      <c r="W527" s="30"/>
      <c r="X527" s="30"/>
      <c r="Y527" s="30"/>
      <c r="Z527" s="30"/>
      <c r="AA527" s="30"/>
      <c r="AB527" s="31"/>
    </row>
    <row r="528" spans="1:28" x14ac:dyDescent="0.3">
      <c r="A528" s="32">
        <f>VLOOKUP(YEAR(C528),Flags!$A$13:$B$95,2,FALSE)</f>
        <v>4</v>
      </c>
      <c r="B528" s="24">
        <f t="shared" si="841"/>
        <v>1979</v>
      </c>
      <c r="C528" s="25">
        <v>29006</v>
      </c>
      <c r="D528" s="26">
        <f>VLOOKUP($C528,COS!$B$8:$H$991,3,FALSE)</f>
        <v>4739.0380859375</v>
      </c>
      <c r="E528" s="24">
        <f>IF(D528&gt;=IF(MONTH($C528)=4,$C$3,IF(MONTH($C528)=5,$C$4,IF(MONTH($C528)=6,$C$5,IF(MONTH($C528)=7,$C$6,"ERROR")))),1,0)</f>
        <v>0</v>
      </c>
      <c r="F528" s="26">
        <f>VLOOKUP($C528,COS!$B$8:$H$991,7,FALSE)</f>
        <v>53.222888946533203</v>
      </c>
      <c r="G528" s="24">
        <f>IF(F528&lt;=IF(MONTH($C528)=4,$F$3,IF(MONTH($C528)=5,$F$4,IF(MONTH($C528)=6,$F$5,IF(MONTH($C528)=7,$F$6,"ERROR")))),1,0)</f>
        <v>1</v>
      </c>
      <c r="H528" s="26">
        <f>IF(J528=1,D528-$C$4,0)</f>
        <v>0</v>
      </c>
      <c r="I528" s="26">
        <f t="shared" si="764"/>
        <v>0</v>
      </c>
      <c r="J528" s="24">
        <f t="shared" si="842"/>
        <v>0</v>
      </c>
      <c r="K528" s="26">
        <f>VLOOKUP($C528,COS!$B$8:$H$991,2,FALSE)</f>
        <v>4220.81298828125</v>
      </c>
      <c r="L528" s="24">
        <f t="shared" si="843"/>
        <v>1</v>
      </c>
      <c r="M528" s="24">
        <f t="shared" si="844"/>
        <v>1</v>
      </c>
      <c r="N528" s="26">
        <f>VLOOKUP($C528,COS!$B$8:$H$991,5,FALSE)</f>
        <v>321.92453002929688</v>
      </c>
      <c r="O528" s="26">
        <f t="shared" si="845"/>
        <v>19.794367796842717</v>
      </c>
      <c r="P528" s="26">
        <f>VLOOKUP($C528,COS!$B$8:$H$991,6,FALSE)</f>
        <v>2260.58740234375</v>
      </c>
      <c r="Q528" s="26">
        <f t="shared" si="846"/>
        <v>138.99810143336776</v>
      </c>
      <c r="R528" s="26">
        <f>MIN(IF(MONTH($C528)=4,$S$3,IF(MONTH($C528)=5,$S$4,IF(MONTH($C528)=6,$S$5,IF(MONTH($C528)=7,$S$6,"ERROR")))),MAX(VLOOKUP($C528,COS!$B$8:$K$991,10,FALSE)-IF(MONTH($C528)=4,$Y$3,IF(MONTH($C528)=5,$Y$4,IF(MONTH($C528)=6,$Y$5,IF(MONTH($C528)=7,$Y$6,"ERROR")))),0),MAX(VLOOKUP($C528,COS!$B$8:$K$991,9,FALSE)-IF(MONTH($C528)=4,$V$3,IF(MONTH($C528)=5,$V$4,IF(MONTH($C528)=6,$V$5,IF(MONTH($C528)=7,$V$6,"ERROR"))))-VLOOKUP($C528,COS!$B$8:$K$991,6,FALSE)/2,0))</f>
        <v>1374.939453125</v>
      </c>
      <c r="S528" s="26">
        <f t="shared" si="847"/>
        <v>84.541731663223132</v>
      </c>
      <c r="T528" s="26">
        <f t="shared" si="848"/>
        <v>163.93796627832836</v>
      </c>
      <c r="U528" s="26" t="str">
        <f>IF(VLOOKUP($C528,COS!$B$8:$I$991,8,FALSE)=1,"UWFE","IBU")</f>
        <v>UWFE</v>
      </c>
      <c r="V528" s="26">
        <f t="shared" ref="V528" si="850">MIN(IF(IF($AA$3=2,AND(E528=1,G528=1,L528=1,L532=1,M528=1,U528="IBU"),AND(E528=1,G528=1,L528=1,L532=1,M528=1)),T528,0),I528)</f>
        <v>0</v>
      </c>
      <c r="W528" s="26"/>
      <c r="X528" s="26"/>
      <c r="Y528" s="26"/>
      <c r="Z528" s="26"/>
      <c r="AA528" s="26"/>
      <c r="AB528" s="33"/>
    </row>
    <row r="529" spans="1:28" x14ac:dyDescent="0.3">
      <c r="A529" s="32">
        <f>VLOOKUP(YEAR(C529),Flags!$A$13:$B$95,2,FALSE)</f>
        <v>4</v>
      </c>
      <c r="B529" s="24">
        <f t="shared" si="841"/>
        <v>1979</v>
      </c>
      <c r="C529" s="25">
        <v>29036</v>
      </c>
      <c r="D529" s="26">
        <f>VLOOKUP($C529,COS!$B$8:$H$991,3,FALSE)</f>
        <v>10586.1376953125</v>
      </c>
      <c r="E529" s="24">
        <f>IF(D529&gt;=IF(MONTH($C529)=4,$C$3,IF(MONTH($C529)=5,$C$4,IF(MONTH($C529)=6,$C$5,IF(MONTH($C529)=7,$C$6,"ERROR")))),1,0)</f>
        <v>1</v>
      </c>
      <c r="F529" s="26">
        <f>VLOOKUP($C529,COS!$B$8:$H$991,7,FALSE)</f>
        <v>51.544940948486328</v>
      </c>
      <c r="G529" s="24">
        <f>IF(F529&lt;=IF(MONTH($C529)=4,$F$3,IF(MONTH($C529)=5,$F$4,IF(MONTH($C529)=6,$F$5,IF(MONTH($C529)=7,$F$6,"ERROR")))),1,0)</f>
        <v>1</v>
      </c>
      <c r="H529" s="26">
        <f>IF(J529=1,D529-$C$5,0)</f>
        <v>586.1376953125</v>
      </c>
      <c r="I529" s="26">
        <f t="shared" si="764"/>
        <v>34.877614927685947</v>
      </c>
      <c r="J529" s="24">
        <f t="shared" si="842"/>
        <v>1</v>
      </c>
      <c r="K529" s="26">
        <f>VLOOKUP($C529,COS!$B$8:$H$991,2,FALSE)</f>
        <v>3800.5693359375</v>
      </c>
      <c r="L529" s="24">
        <f t="shared" si="843"/>
        <v>1</v>
      </c>
      <c r="M529" s="24">
        <f t="shared" si="844"/>
        <v>1</v>
      </c>
      <c r="N529" s="26">
        <f>VLOOKUP($C529,COS!$B$8:$H$991,5,FALSE)</f>
        <v>618.16412353515625</v>
      </c>
      <c r="O529" s="26">
        <f t="shared" si="845"/>
        <v>36.783319747546486</v>
      </c>
      <c r="P529" s="26">
        <f>VLOOKUP($C529,COS!$B$8:$H$991,6,FALSE)</f>
        <v>2677.335693359375</v>
      </c>
      <c r="Q529" s="26">
        <f t="shared" si="846"/>
        <v>159.31253712551654</v>
      </c>
      <c r="R529" s="26">
        <f>MIN(IF(MONTH($C529)=4,$S$3,IF(MONTH($C529)=5,$S$4,IF(MONTH($C529)=6,$S$5,IF(MONTH($C529)=7,$S$6,"ERROR")))),MAX(VLOOKUP($C529,COS!$B$8:$K$991,10,FALSE)-IF(MONTH($C529)=4,$Y$3,IF(MONTH($C529)=5,$Y$4,IF(MONTH($C529)=6,$Y$5,IF(MONTH($C529)=7,$Y$6,"ERROR")))),0),MAX(VLOOKUP($C529,COS!$B$8:$K$991,9,FALSE)-IF(MONTH($C529)=4,$V$3,IF(MONTH($C529)=5,$V$4,IF(MONTH($C529)=6,$V$5,IF(MONTH($C529)=7,$V$6,"ERROR"))))-VLOOKUP($C529,COS!$B$8:$K$991,6,FALSE)/2,0))</f>
        <v>1500</v>
      </c>
      <c r="S529" s="26">
        <f t="shared" si="847"/>
        <v>89.256198347107429</v>
      </c>
      <c r="T529" s="26">
        <f t="shared" si="848"/>
        <v>187.30412678363894</v>
      </c>
      <c r="U529" s="26" t="str">
        <f>IF(VLOOKUP($C529,COS!$B$8:$I$991,8,FALSE)=1,"UWFE","IBU")</f>
        <v>IBU</v>
      </c>
      <c r="V529" s="26">
        <f t="shared" ref="V529" si="851">MIN(IF(IF($AA$3=2,AND(E529=1,G529=1,L529=1,L532=1,M529=1,U529="IBU"),AND(E529=1,G529=1,L529=1,L532=1,M529=1)),T529,0),I529)</f>
        <v>34.877614927685947</v>
      </c>
      <c r="W529" s="26"/>
      <c r="X529" s="26"/>
      <c r="Y529" s="26"/>
      <c r="Z529" s="26"/>
      <c r="AA529" s="26"/>
      <c r="AB529" s="33"/>
    </row>
    <row r="530" spans="1:28" x14ac:dyDescent="0.3">
      <c r="A530" s="32">
        <f>VLOOKUP(YEAR(C530),Flags!$A$13:$B$95,2,FALSE)</f>
        <v>4</v>
      </c>
      <c r="B530" s="24">
        <f t="shared" si="841"/>
        <v>1979</v>
      </c>
      <c r="C530" s="25">
        <v>29067</v>
      </c>
      <c r="D530" s="26">
        <f>VLOOKUP($C530,COS!$B$8:$H$991,3,FALSE)</f>
        <v>10198.0205078125</v>
      </c>
      <c r="E530" s="24">
        <f>IF(D530&gt;=IF(MONTH($C530)=4,$C$3,IF(MONTH($C530)=5,$C$4,IF(MONTH($C530)=6,$C$5,IF(MONTH($C530)=7,$C$6,"ERROR")))),1,0)</f>
        <v>0</v>
      </c>
      <c r="F530" s="26">
        <f>VLOOKUP($C530,COS!$B$8:$H$991,7,FALSE)</f>
        <v>52.837936401367188</v>
      </c>
      <c r="G530" s="24">
        <f>IF(F530&lt;=IF(MONTH($C530)=4,$F$3,IF(MONTH($C530)=5,$F$4,IF(MONTH($C530)=6,$F$5,IF(MONTH($C530)=7,$F$6,"ERROR")))),1,0)</f>
        <v>1</v>
      </c>
      <c r="H530" s="26">
        <f>IF(J530=1,D530-$C$6,0)</f>
        <v>0</v>
      </c>
      <c r="I530" s="26">
        <f t="shared" si="764"/>
        <v>0</v>
      </c>
      <c r="J530" s="24">
        <f t="shared" si="842"/>
        <v>0</v>
      </c>
      <c r="K530" s="26">
        <f>VLOOKUP($C530,COS!$B$8:$H$991,2,FALSE)</f>
        <v>3407.86474609375</v>
      </c>
      <c r="L530" s="24">
        <f t="shared" si="843"/>
        <v>1</v>
      </c>
      <c r="M530" s="24">
        <f t="shared" si="844"/>
        <v>1</v>
      </c>
      <c r="N530" s="26">
        <f>VLOOKUP($C530,COS!$B$8:$H$991,5,FALSE)</f>
        <v>673.1793212890625</v>
      </c>
      <c r="O530" s="26">
        <f t="shared" si="845"/>
        <v>41.392183061079542</v>
      </c>
      <c r="P530" s="26">
        <f>VLOOKUP($C530,COS!$B$8:$H$991,6,FALSE)</f>
        <v>2632.5888671875</v>
      </c>
      <c r="Q530" s="26">
        <f t="shared" si="846"/>
        <v>161.87157993285126</v>
      </c>
      <c r="R530" s="26">
        <f>MIN(IF(MONTH($C530)=4,$S$3,IF(MONTH($C530)=5,$S$4,IF(MONTH($C530)=6,$S$5,IF(MONTH($C530)=7,$S$6,"ERROR")))),MAX(VLOOKUP($C530,COS!$B$8:$K$991,10,FALSE)-IF(MONTH($C530)=4,$Y$3,IF(MONTH($C530)=5,$Y$4,IF(MONTH($C530)=6,$Y$5,IF(MONTH($C530)=7,$Y$6,"ERROR")))),0),MAX(VLOOKUP($C530,COS!$B$8:$K$991,9,FALSE)-IF(MONTH($C530)=4,$V$3,IF(MONTH($C530)=5,$V$4,IF(MONTH($C530)=6,$V$5,IF(MONTH($C530)=7,$V$6,"ERROR"))))-VLOOKUP($C530,COS!$B$8:$K$991,6,FALSE)/2,0))</f>
        <v>1500</v>
      </c>
      <c r="S530" s="26">
        <f t="shared" si="847"/>
        <v>92.231404958677686</v>
      </c>
      <c r="T530" s="26">
        <f t="shared" si="848"/>
        <v>193.86328645564311</v>
      </c>
      <c r="U530" s="26" t="str">
        <f>IF(VLOOKUP($C530,COS!$B$8:$I$991,8,FALSE)=1,"UWFE","IBU")</f>
        <v>IBU</v>
      </c>
      <c r="V530" s="26">
        <f t="shared" ref="V530" si="852">MIN(IF(IF($AA$3=2,AND(E530=1,G530=1,L530=1,L532=1,M530=1,U530="IBU"),AND(E530=1,G530=1,L530=1,L532=1,M530=1)),T530,0),I530)</f>
        <v>0</v>
      </c>
      <c r="W530" s="26"/>
      <c r="X530" s="26"/>
      <c r="Y530" s="26"/>
      <c r="Z530" s="26"/>
      <c r="AA530" s="26"/>
      <c r="AB530" s="33"/>
    </row>
    <row r="531" spans="1:28" x14ac:dyDescent="0.3">
      <c r="A531" s="32">
        <f>VLOOKUP(YEAR(C531),Flags!$A$13:$B$95,2,FALSE)</f>
        <v>4</v>
      </c>
      <c r="B531" s="24">
        <f t="shared" si="841"/>
        <v>1979</v>
      </c>
      <c r="C531" s="25">
        <v>29098</v>
      </c>
      <c r="D531" s="26"/>
      <c r="E531" s="24"/>
      <c r="F531" s="26"/>
      <c r="G531" s="24"/>
      <c r="H531" s="24"/>
      <c r="I531" s="26"/>
      <c r="J531" s="24"/>
      <c r="K531" s="26"/>
      <c r="L531" s="24"/>
      <c r="M531" s="24"/>
      <c r="N531" s="26"/>
      <c r="O531" s="26"/>
      <c r="P531" s="26"/>
      <c r="Q531" s="26"/>
      <c r="R531" s="26"/>
      <c r="S531" s="26"/>
      <c r="T531" s="26"/>
      <c r="U531" s="26"/>
      <c r="V531" s="26"/>
      <c r="W531" s="26">
        <f>MAX($C$7-VLOOKUP($C531,COS!$B$8:$H$991,3,FALSE),0)</f>
        <v>91695.837890625</v>
      </c>
      <c r="X531" s="26">
        <f t="shared" si="769"/>
        <v>5638.1573050103307</v>
      </c>
      <c r="Y531" s="26">
        <f>VLOOKUP($C531,COS!$B$8:$H$991,4,FALSE)</f>
        <v>53.124755859375</v>
      </c>
      <c r="Z531" s="26">
        <f t="shared" si="770"/>
        <v>3.2665139139979336</v>
      </c>
      <c r="AA531" s="26">
        <f t="shared" ref="AA531:AA535" si="853">MIN(W531,Y531)</f>
        <v>53.124755859375</v>
      </c>
      <c r="AB531" s="33">
        <f t="shared" ref="AB531:AB589" si="854">AA531*DAY($C531)*86400/43560/1000*IF(MONTH($C531)=8,$P$3,IF(MONTH($C531)=9,$P$4,IF(MONTH($C531)=10,$P$5,IF(MONTH($C531)=11,$P$6,IF(MONTH($C531)=12,$P$7,NA())))))</f>
        <v>3.2665139139979336</v>
      </c>
    </row>
    <row r="532" spans="1:28" x14ac:dyDescent="0.3">
      <c r="A532" s="32">
        <f>VLOOKUP(YEAR(C532),Flags!$A$13:$B$95,2,FALSE)</f>
        <v>4</v>
      </c>
      <c r="B532" s="24">
        <f t="shared" si="841"/>
        <v>1979</v>
      </c>
      <c r="C532" s="25">
        <v>29128</v>
      </c>
      <c r="D532" s="26"/>
      <c r="E532" s="24"/>
      <c r="F532" s="26"/>
      <c r="G532" s="24"/>
      <c r="H532" s="24"/>
      <c r="I532" s="26"/>
      <c r="J532" s="24"/>
      <c r="K532" s="26">
        <f>VLOOKUP($C532,COS!$B$8:$H$991,2,FALSE)</f>
        <v>3119.8076171875</v>
      </c>
      <c r="L532" s="24">
        <f t="shared" ref="L532" si="855">IF(AND(K532&gt;$I$7,K532&lt;$I$8),1,0)</f>
        <v>1</v>
      </c>
      <c r="M532" s="24"/>
      <c r="N532" s="26"/>
      <c r="O532" s="26"/>
      <c r="P532" s="26"/>
      <c r="Q532" s="26"/>
      <c r="R532" s="26"/>
      <c r="S532" s="26"/>
      <c r="T532" s="26"/>
      <c r="U532" s="26"/>
      <c r="V532" s="26"/>
      <c r="W532" s="26">
        <f>MAX($C$8-VLOOKUP($C532,COS!$B$8:$H$991,3,FALSE),0)</f>
        <v>95203.8974609375</v>
      </c>
      <c r="X532" s="26">
        <f t="shared" si="769"/>
        <v>5665.025303460744</v>
      </c>
      <c r="Y532" s="26">
        <f>VLOOKUP($C532,COS!$B$8:$H$991,4,FALSE)</f>
        <v>0</v>
      </c>
      <c r="Z532" s="26">
        <f t="shared" si="770"/>
        <v>0</v>
      </c>
      <c r="AA532" s="26">
        <f t="shared" si="853"/>
        <v>0</v>
      </c>
      <c r="AB532" s="33">
        <f t="shared" si="854"/>
        <v>0</v>
      </c>
    </row>
    <row r="533" spans="1:28" x14ac:dyDescent="0.3">
      <c r="A533" s="32">
        <f>VLOOKUP(YEAR(C533),Flags!$A$13:$B$95,2,FALSE)</f>
        <v>4</v>
      </c>
      <c r="B533" s="24">
        <f t="shared" si="841"/>
        <v>1979</v>
      </c>
      <c r="C533" s="25">
        <v>29159</v>
      </c>
      <c r="D533" s="26"/>
      <c r="E533" s="24"/>
      <c r="F533" s="26"/>
      <c r="G533" s="26"/>
      <c r="H533" s="26"/>
      <c r="I533" s="26"/>
      <c r="J533" s="26"/>
      <c r="K533" s="26"/>
      <c r="L533" s="24"/>
      <c r="M533" s="24"/>
      <c r="N533" s="26"/>
      <c r="O533" s="26"/>
      <c r="P533" s="26"/>
      <c r="Q533" s="26"/>
      <c r="R533" s="26"/>
      <c r="S533" s="26"/>
      <c r="T533" s="26"/>
      <c r="U533" s="26"/>
      <c r="V533" s="26"/>
      <c r="W533" s="26">
        <f>MAX($C$9-VLOOKUP($C533,COS!$B$8:$H$991,3,FALSE),0)</f>
        <v>95850.04736328125</v>
      </c>
      <c r="X533" s="26">
        <f t="shared" si="769"/>
        <v>5893.5896891141529</v>
      </c>
      <c r="Y533" s="26">
        <f>VLOOKUP($C533,COS!$B$8:$H$991,4,FALSE)</f>
        <v>801.079833984375</v>
      </c>
      <c r="Z533" s="26">
        <f t="shared" si="770"/>
        <v>49.256479048295454</v>
      </c>
      <c r="AA533" s="26">
        <f t="shared" si="853"/>
        <v>801.079833984375</v>
      </c>
      <c r="AB533" s="33">
        <f t="shared" si="854"/>
        <v>49.256479048295454</v>
      </c>
    </row>
    <row r="534" spans="1:28" x14ac:dyDescent="0.3">
      <c r="A534" s="32">
        <f>VLOOKUP(YEAR(C534),Flags!$A$13:$B$95,2,FALSE)</f>
        <v>4</v>
      </c>
      <c r="B534" s="24">
        <f t="shared" si="841"/>
        <v>1979</v>
      </c>
      <c r="C534" s="25">
        <v>29189</v>
      </c>
      <c r="D534" s="26"/>
      <c r="E534" s="24"/>
      <c r="F534" s="26"/>
      <c r="G534" s="26"/>
      <c r="H534" s="26"/>
      <c r="I534" s="26"/>
      <c r="J534" s="26"/>
      <c r="K534" s="26"/>
      <c r="L534" s="24"/>
      <c r="M534" s="24"/>
      <c r="N534" s="26"/>
      <c r="O534" s="26"/>
      <c r="P534" s="26"/>
      <c r="Q534" s="26"/>
      <c r="R534" s="26"/>
      <c r="S534" s="26"/>
      <c r="T534" s="26"/>
      <c r="U534" s="26"/>
      <c r="V534" s="26"/>
      <c r="W534" s="26">
        <f>MAX($C$10-VLOOKUP($C534,COS!$B$8:$H$991,3,FALSE),0)</f>
        <v>94181.76708984375</v>
      </c>
      <c r="X534" s="26">
        <f t="shared" si="769"/>
        <v>5604.2043227014465</v>
      </c>
      <c r="Y534" s="26">
        <f>VLOOKUP($C534,COS!$B$8:$H$991,4,FALSE)</f>
        <v>1226.431884765625</v>
      </c>
      <c r="Z534" s="26">
        <f t="shared" si="770"/>
        <v>72.977765043904967</v>
      </c>
      <c r="AA534" s="26">
        <f t="shared" si="853"/>
        <v>1226.431884765625</v>
      </c>
      <c r="AB534" s="33">
        <f t="shared" si="854"/>
        <v>36.488882521952483</v>
      </c>
    </row>
    <row r="535" spans="1:28" x14ac:dyDescent="0.3">
      <c r="A535" s="34">
        <f>VLOOKUP(YEAR(C535),Flags!$A$13:$B$95,2,FALSE)</f>
        <v>4</v>
      </c>
      <c r="B535" s="35">
        <f t="shared" si="841"/>
        <v>1979</v>
      </c>
      <c r="C535" s="36">
        <v>29220</v>
      </c>
      <c r="D535" s="37"/>
      <c r="E535" s="35"/>
      <c r="F535" s="37"/>
      <c r="G535" s="37"/>
      <c r="H535" s="37"/>
      <c r="I535" s="37"/>
      <c r="J535" s="37"/>
      <c r="K535" s="37"/>
      <c r="L535" s="35"/>
      <c r="M535" s="35"/>
      <c r="N535" s="37"/>
      <c r="O535" s="37"/>
      <c r="P535" s="37"/>
      <c r="Q535" s="37"/>
      <c r="R535" s="37"/>
      <c r="S535" s="37"/>
      <c r="T535" s="37"/>
      <c r="U535" s="37"/>
      <c r="V535" s="37"/>
      <c r="W535" s="37">
        <f>MAX($C$11-VLOOKUP($C535,COS!$B$8:$H$991,3,FALSE),0)</f>
        <v>0</v>
      </c>
      <c r="X535" s="37">
        <f t="shared" si="769"/>
        <v>0</v>
      </c>
      <c r="Y535" s="37">
        <f>VLOOKUP($C535,COS!$B$8:$H$991,4,FALSE)</f>
        <v>0</v>
      </c>
      <c r="Z535" s="37">
        <f t="shared" si="770"/>
        <v>0</v>
      </c>
      <c r="AA535" s="37">
        <f t="shared" si="853"/>
        <v>0</v>
      </c>
      <c r="AB535" s="38">
        <f t="shared" si="854"/>
        <v>0</v>
      </c>
    </row>
    <row r="536" spans="1:28" x14ac:dyDescent="0.3">
      <c r="A536" s="27">
        <f>VLOOKUP(YEAR(C536),Flags!$A$13:$B$95,2,FALSE)</f>
        <v>2</v>
      </c>
      <c r="B536" s="28">
        <f t="shared" si="841"/>
        <v>1980</v>
      </c>
      <c r="C536" s="29">
        <v>29341</v>
      </c>
      <c r="D536" s="30">
        <f>VLOOKUP($C536,COS!$B$8:$H$991,3,FALSE)</f>
        <v>3250</v>
      </c>
      <c r="E536" s="28">
        <f>IF(D536&gt;=IF(MONTH($C536)=4,$C$3,IF(MONTH($C536)=5,$C$4,IF(MONTH($C536)=6,$C$5,IF(MONTH($C536)=7,$C$6,"ERROR")))),1,0)</f>
        <v>0</v>
      </c>
      <c r="F536" s="30">
        <f>VLOOKUP($C536,COS!$B$8:$H$991,7,FALSE)</f>
        <v>50.949337005615234</v>
      </c>
      <c r="G536" s="28">
        <f>IF(F536&lt;=IF(MONTH($C536)=4,$F$3,IF(MONTH($C536)=5,$F$4,IF(MONTH($C536)=6,$F$5,IF(MONTH($C536)=7,$F$6,"ERROR")))),1,0)</f>
        <v>1</v>
      </c>
      <c r="H536" s="30">
        <f>IF(J536=1,D536-$C$3,0)</f>
        <v>0</v>
      </c>
      <c r="I536" s="30">
        <f t="shared" si="764"/>
        <v>0</v>
      </c>
      <c r="J536" s="28">
        <f t="shared" ref="J536:J539" si="856">IF(AND(E536=1,G536=1),1,0)</f>
        <v>0</v>
      </c>
      <c r="K536" s="30">
        <f>VLOOKUP($C536,COS!$B$8:$H$991,2,FALSE)</f>
        <v>4390.5458984375</v>
      </c>
      <c r="L536" s="28">
        <f t="shared" ref="L536" si="857">IF(K536&lt;=IF(MONTH($C536)=4,$I$3,IF(MONTH($C536)=5,$I$4,IF(MONTH($C536)=6,$I$5,IF(MONTH($C536)=7,$I$6,"ERROR")))),1,0)</f>
        <v>1</v>
      </c>
      <c r="M536" s="28">
        <f t="shared" ref="M536" si="858">VLOOKUP($A536,$L$3:$M$7,2,FALSE)</f>
        <v>0</v>
      </c>
      <c r="N536" s="30">
        <f>VLOOKUP($C536,COS!$B$8:$H$991,5,FALSE)</f>
        <v>343.85354614257813</v>
      </c>
      <c r="O536" s="30">
        <f t="shared" ref="O536:O539" si="859">N536*DAY($C536)*86400/43560/1000</f>
        <v>20.460706877905476</v>
      </c>
      <c r="P536" s="30">
        <f>VLOOKUP($C536,COS!$B$8:$H$991,6,FALSE)</f>
        <v>435.81771850585938</v>
      </c>
      <c r="Q536" s="30">
        <f t="shared" ref="Q536:Q539" si="860">P536*DAY($C536)*86400/43560/1000</f>
        <v>25.932955150761881</v>
      </c>
      <c r="R536" s="30">
        <f>MIN(IF(MONTH($C536)=4,$S$3,IF(MONTH($C536)=5,$S$4,IF(MONTH($C536)=6,$S$5,IF(MONTH($C536)=7,$S$6,"ERROR")))),MAX(VLOOKUP($C536,COS!$B$8:$K$991,10,FALSE)-IF(MONTH($C536)=4,$Y$3,IF(MONTH($C536)=5,$Y$4,IF(MONTH($C536)=6,$Y$5,IF(MONTH($C536)=7,$Y$6,"ERROR")))),0),MAX(VLOOKUP($C536,COS!$B$8:$K$991,9,FALSE)-IF(MONTH($C536)=4,$V$3,IF(MONTH($C536)=5,$V$4,IF(MONTH($C536)=6,$V$5,IF(MONTH($C536)=7,$V$6,"ERROR"))))-VLOOKUP($C536,COS!$B$8:$K$991,6,FALSE)/2,0))</f>
        <v>1500</v>
      </c>
      <c r="S536" s="30">
        <f t="shared" ref="S536:S539" si="861">R536*DAY($C536)*86400/43560/1000</f>
        <v>89.256198347107429</v>
      </c>
      <c r="T536" s="30">
        <f t="shared" ref="T536:T539" si="862">(O536+Q536)/2+S536</f>
        <v>112.45302936144111</v>
      </c>
      <c r="U536" s="30" t="str">
        <f>IF(VLOOKUP($C536,COS!$B$8:$I$991,8,FALSE)=1,"UWFE","IBU")</f>
        <v>UWFE</v>
      </c>
      <c r="V536" s="30">
        <f t="shared" ref="V536" si="863">MIN(IF(IF($AA$3=2,AND(E536=1,G536=1,L536=1,L541=1,M536=1,U536="IBU"),AND(E536=1,G536=1,L536=1,L541=1,M536=1)),T536,0),I536)</f>
        <v>0</v>
      </c>
      <c r="W536" s="30"/>
      <c r="X536" s="30"/>
      <c r="Y536" s="30"/>
      <c r="Z536" s="30"/>
      <c r="AA536" s="30"/>
      <c r="AB536" s="31"/>
    </row>
    <row r="537" spans="1:28" x14ac:dyDescent="0.3">
      <c r="A537" s="32">
        <f>VLOOKUP(YEAR(C537),Flags!$A$13:$B$95,2,FALSE)</f>
        <v>2</v>
      </c>
      <c r="B537" s="24">
        <f t="shared" si="841"/>
        <v>1980</v>
      </c>
      <c r="C537" s="25">
        <v>29372</v>
      </c>
      <c r="D537" s="26">
        <f>VLOOKUP($C537,COS!$B$8:$H$991,3,FALSE)</f>
        <v>6651.8935546875</v>
      </c>
      <c r="E537" s="24">
        <f>IF(D537&gt;=IF(MONTH($C537)=4,$C$3,IF(MONTH($C537)=5,$C$4,IF(MONTH($C537)=6,$C$5,IF(MONTH($C537)=7,$C$6,"ERROR")))),1,0)</f>
        <v>1</v>
      </c>
      <c r="F537" s="26">
        <f>VLOOKUP($C537,COS!$B$8:$H$991,7,FALSE)</f>
        <v>50.088848114013672</v>
      </c>
      <c r="G537" s="24">
        <f>IF(F537&lt;=IF(MONTH($C537)=4,$F$3,IF(MONTH($C537)=5,$F$4,IF(MONTH($C537)=6,$F$5,IF(MONTH($C537)=7,$F$6,"ERROR")))),1,0)</f>
        <v>1</v>
      </c>
      <c r="H537" s="26">
        <f>IF(J537=1,D537-$C$4,0)</f>
        <v>651.8935546875</v>
      </c>
      <c r="I537" s="26">
        <f t="shared" si="764"/>
        <v>40.083372288223138</v>
      </c>
      <c r="J537" s="24">
        <f t="shared" si="856"/>
        <v>1</v>
      </c>
      <c r="K537" s="26">
        <f>VLOOKUP($C537,COS!$B$8:$H$991,2,FALSE)</f>
        <v>4360.00341796875</v>
      </c>
      <c r="L537" s="24">
        <f t="shared" si="843"/>
        <v>1</v>
      </c>
      <c r="M537" s="24">
        <f t="shared" si="844"/>
        <v>0</v>
      </c>
      <c r="N537" s="26">
        <f>VLOOKUP($C537,COS!$B$8:$H$991,5,FALSE)</f>
        <v>671.396728515625</v>
      </c>
      <c r="O537" s="26">
        <f t="shared" si="859"/>
        <v>41.282575703770661</v>
      </c>
      <c r="P537" s="26">
        <f>VLOOKUP($C537,COS!$B$8:$H$991,6,FALSE)</f>
        <v>2141.340087890625</v>
      </c>
      <c r="Q537" s="26">
        <f t="shared" si="860"/>
        <v>131.6658698669938</v>
      </c>
      <c r="R537" s="26">
        <f>MIN(IF(MONTH($C537)=4,$S$3,IF(MONTH($C537)=5,$S$4,IF(MONTH($C537)=6,$S$5,IF(MONTH($C537)=7,$S$6,"ERROR")))),MAX(VLOOKUP($C537,COS!$B$8:$K$991,10,FALSE)-IF(MONTH($C537)=4,$Y$3,IF(MONTH($C537)=5,$Y$4,IF(MONTH($C537)=6,$Y$5,IF(MONTH($C537)=7,$Y$6,"ERROR")))),0),MAX(VLOOKUP($C537,COS!$B$8:$K$991,9,FALSE)-IF(MONTH($C537)=4,$V$3,IF(MONTH($C537)=5,$V$4,IF(MONTH($C537)=6,$V$5,IF(MONTH($C537)=7,$V$6,"ERROR"))))-VLOOKUP($C537,COS!$B$8:$K$991,6,FALSE)/2,0))</f>
        <v>1500</v>
      </c>
      <c r="S537" s="26">
        <f t="shared" si="861"/>
        <v>92.231404958677686</v>
      </c>
      <c r="T537" s="26">
        <f t="shared" si="862"/>
        <v>178.70562774405994</v>
      </c>
      <c r="U537" s="26" t="str">
        <f>IF(VLOOKUP($C537,COS!$B$8:$I$991,8,FALSE)=1,"UWFE","IBU")</f>
        <v>UWFE</v>
      </c>
      <c r="V537" s="26">
        <f t="shared" ref="V537" si="864">MIN(IF(IF($AA$3=2,AND(E537=1,G537=1,L537=1,L541=1,M537=1,U537="IBU"),AND(E537=1,G537=1,L537=1,L541=1,M537=1)),T537,0),I537)</f>
        <v>0</v>
      </c>
      <c r="W537" s="26"/>
      <c r="X537" s="26"/>
      <c r="Y537" s="26"/>
      <c r="Z537" s="26"/>
      <c r="AA537" s="26"/>
      <c r="AB537" s="33"/>
    </row>
    <row r="538" spans="1:28" x14ac:dyDescent="0.3">
      <c r="A538" s="32">
        <f>VLOOKUP(YEAR(C538),Flags!$A$13:$B$95,2,FALSE)</f>
        <v>2</v>
      </c>
      <c r="B538" s="24">
        <f t="shared" si="841"/>
        <v>1980</v>
      </c>
      <c r="C538" s="25">
        <v>29402</v>
      </c>
      <c r="D538" s="26">
        <f>VLOOKUP($C538,COS!$B$8:$H$991,3,FALSE)</f>
        <v>9056.001953125</v>
      </c>
      <c r="E538" s="24">
        <f>IF(D538&gt;=IF(MONTH($C538)=4,$C$3,IF(MONTH($C538)=5,$C$4,IF(MONTH($C538)=6,$C$5,IF(MONTH($C538)=7,$C$6,"ERROR")))),1,0)</f>
        <v>0</v>
      </c>
      <c r="F538" s="26">
        <f>VLOOKUP($C538,COS!$B$8:$H$991,7,FALSE)</f>
        <v>51.123935699462891</v>
      </c>
      <c r="G538" s="24">
        <f>IF(F538&lt;=IF(MONTH($C538)=4,$F$3,IF(MONTH($C538)=5,$F$4,IF(MONTH($C538)=6,$F$5,IF(MONTH($C538)=7,$F$6,"ERROR")))),1,0)</f>
        <v>1</v>
      </c>
      <c r="H538" s="26">
        <f>IF(J538=1,D538-$C$5,0)</f>
        <v>0</v>
      </c>
      <c r="I538" s="26">
        <f t="shared" si="764"/>
        <v>0</v>
      </c>
      <c r="J538" s="24">
        <f t="shared" si="856"/>
        <v>0</v>
      </c>
      <c r="K538" s="26">
        <f>VLOOKUP($C538,COS!$B$8:$H$991,2,FALSE)</f>
        <v>4114.19091796875</v>
      </c>
      <c r="L538" s="24">
        <f t="shared" si="843"/>
        <v>1</v>
      </c>
      <c r="M538" s="24">
        <f t="shared" si="844"/>
        <v>0</v>
      </c>
      <c r="N538" s="26">
        <f>VLOOKUP($C538,COS!$B$8:$H$991,5,FALSE)</f>
        <v>914.7728271484375</v>
      </c>
      <c r="O538" s="26">
        <f t="shared" si="859"/>
        <v>54.432763268336778</v>
      </c>
      <c r="P538" s="26">
        <f>VLOOKUP($C538,COS!$B$8:$H$991,6,FALSE)</f>
        <v>2280.555419921875</v>
      </c>
      <c r="Q538" s="26">
        <f t="shared" si="860"/>
        <v>135.70247126807851</v>
      </c>
      <c r="R538" s="26">
        <f>MIN(IF(MONTH($C538)=4,$S$3,IF(MONTH($C538)=5,$S$4,IF(MONTH($C538)=6,$S$5,IF(MONTH($C538)=7,$S$6,"ERROR")))),MAX(VLOOKUP($C538,COS!$B$8:$K$991,10,FALSE)-IF(MONTH($C538)=4,$Y$3,IF(MONTH($C538)=5,$Y$4,IF(MONTH($C538)=6,$Y$5,IF(MONTH($C538)=7,$Y$6,"ERROR")))),0),MAX(VLOOKUP($C538,COS!$B$8:$K$991,9,FALSE)-IF(MONTH($C538)=4,$V$3,IF(MONTH($C538)=5,$V$4,IF(MONTH($C538)=6,$V$5,IF(MONTH($C538)=7,$V$6,"ERROR"))))-VLOOKUP($C538,COS!$B$8:$K$991,6,FALSE)/2,0))</f>
        <v>1500</v>
      </c>
      <c r="S538" s="26">
        <f t="shared" si="861"/>
        <v>89.256198347107429</v>
      </c>
      <c r="T538" s="26">
        <f t="shared" si="862"/>
        <v>184.32381561531508</v>
      </c>
      <c r="U538" s="26" t="str">
        <f>IF(VLOOKUP($C538,COS!$B$8:$I$991,8,FALSE)=1,"UWFE","IBU")</f>
        <v>UWFE</v>
      </c>
      <c r="V538" s="26">
        <f t="shared" ref="V538" si="865">MIN(IF(IF($AA$3=2,AND(E538=1,G538=1,L538=1,L541=1,M538=1,U538="IBU"),AND(E538=1,G538=1,L538=1,L541=1,M538=1)),T538,0),I538)</f>
        <v>0</v>
      </c>
      <c r="W538" s="26"/>
      <c r="X538" s="26"/>
      <c r="Y538" s="26"/>
      <c r="Z538" s="26"/>
      <c r="AA538" s="26"/>
      <c r="AB538" s="33"/>
    </row>
    <row r="539" spans="1:28" x14ac:dyDescent="0.3">
      <c r="A539" s="32">
        <f>VLOOKUP(YEAR(C539),Flags!$A$13:$B$95,2,FALSE)</f>
        <v>2</v>
      </c>
      <c r="B539" s="24">
        <f t="shared" si="841"/>
        <v>1980</v>
      </c>
      <c r="C539" s="25">
        <v>29433</v>
      </c>
      <c r="D539" s="26">
        <f>VLOOKUP($C539,COS!$B$8:$H$991,3,FALSE)</f>
        <v>11086.111328125</v>
      </c>
      <c r="E539" s="24">
        <f>IF(D539&gt;=IF(MONTH($C539)=4,$C$3,IF(MONTH($C539)=5,$C$4,IF(MONTH($C539)=6,$C$5,IF(MONTH($C539)=7,$C$6,"ERROR")))),1,0)</f>
        <v>0</v>
      </c>
      <c r="F539" s="26">
        <f>VLOOKUP($C539,COS!$B$8:$H$991,7,FALSE)</f>
        <v>51.426025390625</v>
      </c>
      <c r="G539" s="24">
        <f>IF(F539&lt;=IF(MONTH($C539)=4,$F$3,IF(MONTH($C539)=5,$F$4,IF(MONTH($C539)=6,$F$5,IF(MONTH($C539)=7,$F$6,"ERROR")))),1,0)</f>
        <v>1</v>
      </c>
      <c r="H539" s="26">
        <f>IF(J539=1,D539-$C$6,0)</f>
        <v>0</v>
      </c>
      <c r="I539" s="26">
        <f t="shared" si="764"/>
        <v>0</v>
      </c>
      <c r="J539" s="24">
        <f t="shared" si="856"/>
        <v>0</v>
      </c>
      <c r="K539" s="26">
        <f>VLOOKUP($C539,COS!$B$8:$H$991,2,FALSE)</f>
        <v>3708.154052734375</v>
      </c>
      <c r="L539" s="24">
        <f t="shared" si="843"/>
        <v>1</v>
      </c>
      <c r="M539" s="24">
        <f t="shared" si="844"/>
        <v>0</v>
      </c>
      <c r="N539" s="26">
        <f>VLOOKUP($C539,COS!$B$8:$H$991,5,FALSE)</f>
        <v>1062.265380859375</v>
      </c>
      <c r="O539" s="26">
        <f t="shared" si="859"/>
        <v>65.316152343750005</v>
      </c>
      <c r="P539" s="26">
        <f>VLOOKUP($C539,COS!$B$8:$H$991,6,FALSE)</f>
        <v>2538.12646484375</v>
      </c>
      <c r="Q539" s="26">
        <f t="shared" si="860"/>
        <v>156.06331321022728</v>
      </c>
      <c r="R539" s="26">
        <f>MIN(IF(MONTH($C539)=4,$S$3,IF(MONTH($C539)=5,$S$4,IF(MONTH($C539)=6,$S$5,IF(MONTH($C539)=7,$S$6,"ERROR")))),MAX(VLOOKUP($C539,COS!$B$8:$K$991,10,FALSE)-IF(MONTH($C539)=4,$Y$3,IF(MONTH($C539)=5,$Y$4,IF(MONTH($C539)=6,$Y$5,IF(MONTH($C539)=7,$Y$6,"ERROR")))),0),MAX(VLOOKUP($C539,COS!$B$8:$K$991,9,FALSE)-IF(MONTH($C539)=4,$V$3,IF(MONTH($C539)=5,$V$4,IF(MONTH($C539)=6,$V$5,IF(MONTH($C539)=7,$V$6,"ERROR"))))-VLOOKUP($C539,COS!$B$8:$K$991,6,FALSE)/2,0))</f>
        <v>1500</v>
      </c>
      <c r="S539" s="26">
        <f t="shared" si="861"/>
        <v>92.231404958677686</v>
      </c>
      <c r="T539" s="26">
        <f t="shared" si="862"/>
        <v>202.92113773566632</v>
      </c>
      <c r="U539" s="26" t="str">
        <f>IF(VLOOKUP($C539,COS!$B$8:$I$991,8,FALSE)=1,"UWFE","IBU")</f>
        <v>IBU</v>
      </c>
      <c r="V539" s="26">
        <f t="shared" ref="V539" si="866">MIN(IF(IF($AA$3=2,AND(E539=1,G539=1,L539=1,L541=1,M539=1,U539="IBU"),AND(E539=1,G539=1,L539=1,L541=1,M539=1)),T539,0),I539)</f>
        <v>0</v>
      </c>
      <c r="W539" s="26"/>
      <c r="X539" s="26"/>
      <c r="Y539" s="26"/>
      <c r="Z539" s="26"/>
      <c r="AA539" s="26"/>
      <c r="AB539" s="33"/>
    </row>
    <row r="540" spans="1:28" x14ac:dyDescent="0.3">
      <c r="A540" s="32">
        <f>VLOOKUP(YEAR(C540),Flags!$A$13:$B$95,2,FALSE)</f>
        <v>2</v>
      </c>
      <c r="B540" s="24">
        <f t="shared" si="841"/>
        <v>1980</v>
      </c>
      <c r="C540" s="25">
        <v>29464</v>
      </c>
      <c r="D540" s="26"/>
      <c r="E540" s="24"/>
      <c r="F540" s="26"/>
      <c r="G540" s="24"/>
      <c r="H540" s="24"/>
      <c r="I540" s="26"/>
      <c r="J540" s="24"/>
      <c r="K540" s="26"/>
      <c r="L540" s="24"/>
      <c r="M540" s="24"/>
      <c r="N540" s="26"/>
      <c r="O540" s="26"/>
      <c r="P540" s="26"/>
      <c r="Q540" s="26"/>
      <c r="R540" s="26"/>
      <c r="S540" s="26"/>
      <c r="T540" s="26"/>
      <c r="U540" s="26"/>
      <c r="V540" s="26"/>
      <c r="W540" s="26">
        <f>MAX($C$7-VLOOKUP($C540,COS!$B$8:$H$991,3,FALSE),0)</f>
        <v>90859.5693359375</v>
      </c>
      <c r="X540" s="26">
        <f t="shared" si="769"/>
        <v>5586.7371558626037</v>
      </c>
      <c r="Y540" s="26">
        <f>VLOOKUP($C540,COS!$B$8:$H$991,4,FALSE)</f>
        <v>0</v>
      </c>
      <c r="Z540" s="26">
        <f t="shared" si="770"/>
        <v>0</v>
      </c>
      <c r="AA540" s="26">
        <f t="shared" ref="AA540:AA544" si="867">MIN(W540,Y540)</f>
        <v>0</v>
      </c>
      <c r="AB540" s="33">
        <f t="shared" ref="AB540" si="868">AA540*DAY($C540)*86400/43560/1000*IF(MONTH($C540)=8,$P$3,IF(MONTH($C540)=9,$P$4,IF(MONTH($C540)=10,$P$5,IF(MONTH($C540)=11,$P$6,IF(MONTH($C540)=12,$P$7,NA())))))</f>
        <v>0</v>
      </c>
    </row>
    <row r="541" spans="1:28" x14ac:dyDescent="0.3">
      <c r="A541" s="32">
        <f>VLOOKUP(YEAR(C541),Flags!$A$13:$B$95,2,FALSE)</f>
        <v>2</v>
      </c>
      <c r="B541" s="24">
        <f t="shared" si="841"/>
        <v>1980</v>
      </c>
      <c r="C541" s="25">
        <v>29494</v>
      </c>
      <c r="D541" s="26"/>
      <c r="E541" s="24"/>
      <c r="F541" s="26"/>
      <c r="G541" s="24"/>
      <c r="H541" s="24"/>
      <c r="I541" s="26"/>
      <c r="J541" s="24"/>
      <c r="K541" s="26">
        <f>VLOOKUP($C541,COS!$B$8:$H$991,2,FALSE)</f>
        <v>3161.38623046875</v>
      </c>
      <c r="L541" s="24">
        <f t="shared" ref="L541" si="869">IF(AND(K541&gt;$I$7,K541&lt;$I$8),1,0)</f>
        <v>1</v>
      </c>
      <c r="M541" s="24"/>
      <c r="N541" s="26"/>
      <c r="O541" s="26"/>
      <c r="P541" s="26"/>
      <c r="Q541" s="26"/>
      <c r="R541" s="26"/>
      <c r="S541" s="26"/>
      <c r="T541" s="26"/>
      <c r="U541" s="26"/>
      <c r="V541" s="26"/>
      <c r="W541" s="26">
        <f>MAX($C$8-VLOOKUP($C541,COS!$B$8:$H$991,3,FALSE),0)</f>
        <v>91065.9287109375</v>
      </c>
      <c r="X541" s="26">
        <f t="shared" si="769"/>
        <v>5418.7990637913226</v>
      </c>
      <c r="Y541" s="26">
        <f>VLOOKUP($C541,COS!$B$8:$H$991,4,FALSE)</f>
        <v>103.58695983886719</v>
      </c>
      <c r="Z541" s="26">
        <f t="shared" si="770"/>
        <v>6.1638521557011883</v>
      </c>
      <c r="AA541" s="26">
        <f t="shared" si="867"/>
        <v>103.58695983886719</v>
      </c>
      <c r="AB541" s="33">
        <f t="shared" si="854"/>
        <v>6.1638521557011883</v>
      </c>
    </row>
    <row r="542" spans="1:28" x14ac:dyDescent="0.3">
      <c r="A542" s="32">
        <f>VLOOKUP(YEAR(C542),Flags!$A$13:$B$95,2,FALSE)</f>
        <v>2</v>
      </c>
      <c r="B542" s="24">
        <f t="shared" si="841"/>
        <v>1980</v>
      </c>
      <c r="C542" s="25">
        <v>29525</v>
      </c>
      <c r="D542" s="26"/>
      <c r="E542" s="24"/>
      <c r="F542" s="26"/>
      <c r="G542" s="26"/>
      <c r="H542" s="26"/>
      <c r="I542" s="26"/>
      <c r="J542" s="26"/>
      <c r="K542" s="26"/>
      <c r="L542" s="24"/>
      <c r="M542" s="24"/>
      <c r="N542" s="26"/>
      <c r="O542" s="26"/>
      <c r="P542" s="26"/>
      <c r="Q542" s="26"/>
      <c r="R542" s="26"/>
      <c r="S542" s="26"/>
      <c r="T542" s="26"/>
      <c r="U542" s="26"/>
      <c r="V542" s="26"/>
      <c r="W542" s="26">
        <f>MAX($C$9-VLOOKUP($C542,COS!$B$8:$H$991,3,FALSE),0)</f>
        <v>93740.7666015625</v>
      </c>
      <c r="X542" s="26">
        <f t="shared" si="769"/>
        <v>5763.8950703770661</v>
      </c>
      <c r="Y542" s="26">
        <f>VLOOKUP($C542,COS!$B$8:$H$991,4,FALSE)</f>
        <v>295.8243408203125</v>
      </c>
      <c r="Z542" s="26">
        <f t="shared" si="770"/>
        <v>18.189529716554752</v>
      </c>
      <c r="AA542" s="26">
        <f t="shared" si="867"/>
        <v>295.8243408203125</v>
      </c>
      <c r="AB542" s="33">
        <f t="shared" si="854"/>
        <v>18.189529716554752</v>
      </c>
    </row>
    <row r="543" spans="1:28" x14ac:dyDescent="0.3">
      <c r="A543" s="32">
        <f>VLOOKUP(YEAR(C543),Flags!$A$13:$B$95,2,FALSE)</f>
        <v>2</v>
      </c>
      <c r="B543" s="24">
        <f t="shared" si="841"/>
        <v>1980</v>
      </c>
      <c r="C543" s="25">
        <v>29555</v>
      </c>
      <c r="D543" s="26"/>
      <c r="E543" s="24"/>
      <c r="F543" s="26"/>
      <c r="G543" s="26"/>
      <c r="H543" s="26"/>
      <c r="I543" s="26"/>
      <c r="J543" s="26"/>
      <c r="K543" s="26"/>
      <c r="L543" s="24"/>
      <c r="M543" s="24"/>
      <c r="N543" s="26"/>
      <c r="O543" s="26"/>
      <c r="P543" s="26"/>
      <c r="Q543" s="26"/>
      <c r="R543" s="26"/>
      <c r="S543" s="26"/>
      <c r="T543" s="26"/>
      <c r="U543" s="26"/>
      <c r="V543" s="26"/>
      <c r="W543" s="26">
        <f>MAX($C$10-VLOOKUP($C543,COS!$B$8:$H$991,3,FALSE),0)</f>
        <v>89348.224609375</v>
      </c>
      <c r="X543" s="26">
        <f t="shared" ref="X543:X606" si="870">W543*DAY($C543)*86400/43560/1000</f>
        <v>5316.5885717975207</v>
      </c>
      <c r="Y543" s="26">
        <f>VLOOKUP($C543,COS!$B$8:$H$991,4,FALSE)</f>
        <v>250.89311218261719</v>
      </c>
      <c r="Z543" s="26">
        <f t="shared" ref="Z543:Z606" si="871">Y543*DAY($C543)*86400/43560/1000</f>
        <v>14.929176923263173</v>
      </c>
      <c r="AA543" s="26">
        <f t="shared" si="867"/>
        <v>250.89311218261719</v>
      </c>
      <c r="AB543" s="33">
        <f t="shared" si="854"/>
        <v>7.4645884616315863</v>
      </c>
    </row>
    <row r="544" spans="1:28" x14ac:dyDescent="0.3">
      <c r="A544" s="34">
        <f>VLOOKUP(YEAR(C544),Flags!$A$13:$B$95,2,FALSE)</f>
        <v>2</v>
      </c>
      <c r="B544" s="35">
        <f t="shared" si="841"/>
        <v>1980</v>
      </c>
      <c r="C544" s="36">
        <v>29586</v>
      </c>
      <c r="D544" s="37"/>
      <c r="E544" s="35"/>
      <c r="F544" s="37"/>
      <c r="G544" s="37"/>
      <c r="H544" s="37"/>
      <c r="I544" s="37"/>
      <c r="J544" s="37"/>
      <c r="K544" s="37"/>
      <c r="L544" s="35"/>
      <c r="M544" s="35"/>
      <c r="N544" s="37"/>
      <c r="O544" s="37"/>
      <c r="P544" s="37"/>
      <c r="Q544" s="37"/>
      <c r="R544" s="37"/>
      <c r="S544" s="37"/>
      <c r="T544" s="37"/>
      <c r="U544" s="37"/>
      <c r="V544" s="37"/>
      <c r="W544" s="37">
        <f>MAX($C$11-VLOOKUP($C544,COS!$B$8:$H$991,3,FALSE),0)</f>
        <v>0</v>
      </c>
      <c r="X544" s="37">
        <f t="shared" si="870"/>
        <v>0</v>
      </c>
      <c r="Y544" s="37">
        <f>VLOOKUP($C544,COS!$B$8:$H$991,4,FALSE)</f>
        <v>0</v>
      </c>
      <c r="Z544" s="37">
        <f t="shared" si="871"/>
        <v>0</v>
      </c>
      <c r="AA544" s="37">
        <f t="shared" si="867"/>
        <v>0</v>
      </c>
      <c r="AB544" s="38">
        <f t="shared" si="854"/>
        <v>0</v>
      </c>
    </row>
    <row r="545" spans="1:28" x14ac:dyDescent="0.3">
      <c r="A545" s="27">
        <f>VLOOKUP(YEAR(C545),Flags!$A$13:$B$95,2,FALSE)</f>
        <v>4</v>
      </c>
      <c r="B545" s="28">
        <f t="shared" si="841"/>
        <v>1981</v>
      </c>
      <c r="C545" s="29">
        <v>29706</v>
      </c>
      <c r="D545" s="30">
        <f>VLOOKUP($C545,COS!$B$8:$H$991,3,FALSE)</f>
        <v>3250</v>
      </c>
      <c r="E545" s="28">
        <f>IF(D545&gt;=IF(MONTH($C545)=4,$C$3,IF(MONTH($C545)=5,$C$4,IF(MONTH($C545)=6,$C$5,IF(MONTH($C545)=7,$C$6,"ERROR")))),1,0)</f>
        <v>0</v>
      </c>
      <c r="F545" s="30">
        <f>VLOOKUP($C545,COS!$B$8:$H$991,7,FALSE)</f>
        <v>51.835830688476563</v>
      </c>
      <c r="G545" s="28">
        <f>IF(F545&lt;=IF(MONTH($C545)=4,$F$3,IF(MONTH($C545)=5,$F$4,IF(MONTH($C545)=6,$F$5,IF(MONTH($C545)=7,$F$6,"ERROR")))),1,0)</f>
        <v>1</v>
      </c>
      <c r="H545" s="30">
        <f>IF(J545=1,D545-$C$3,0)</f>
        <v>0</v>
      </c>
      <c r="I545" s="30">
        <f t="shared" ref="I545:I608" si="872">H545*DAY($C545)*86400/43560/1000</f>
        <v>0</v>
      </c>
      <c r="J545" s="28">
        <f t="shared" ref="J545:J548" si="873">IF(AND(E545=1,G545=1),1,0)</f>
        <v>0</v>
      </c>
      <c r="K545" s="30">
        <f>VLOOKUP($C545,COS!$B$8:$H$991,2,FALSE)</f>
        <v>4273.45361328125</v>
      </c>
      <c r="L545" s="28">
        <f t="shared" ref="L545" si="874">IF(K545&lt;=IF(MONTH($C545)=4,$I$3,IF(MONTH($C545)=5,$I$4,IF(MONTH($C545)=6,$I$5,IF(MONTH($C545)=7,$I$6,"ERROR")))),1,0)</f>
        <v>1</v>
      </c>
      <c r="M545" s="28">
        <f t="shared" ref="M545" si="875">VLOOKUP($A545,$L$3:$M$7,2,FALSE)</f>
        <v>1</v>
      </c>
      <c r="N545" s="30">
        <f>VLOOKUP($C545,COS!$B$8:$H$991,5,FALSE)</f>
        <v>216.92788696289063</v>
      </c>
      <c r="O545" s="30">
        <f t="shared" ref="O545:O548" si="876">N545*DAY($C545)*86400/43560/1000</f>
        <v>12.908105670519111</v>
      </c>
      <c r="P545" s="30">
        <f>VLOOKUP($C545,COS!$B$8:$H$991,6,FALSE)</f>
        <v>405.1795654296875</v>
      </c>
      <c r="Q545" s="30">
        <f t="shared" ref="Q545:Q548" si="877">P545*DAY($C545)*86400/43560/1000</f>
        <v>24.109858438791321</v>
      </c>
      <c r="R545" s="30">
        <f>MIN(IF(MONTH($C545)=4,$S$3,IF(MONTH($C545)=5,$S$4,IF(MONTH($C545)=6,$S$5,IF(MONTH($C545)=7,$S$6,"ERROR")))),MAX(VLOOKUP($C545,COS!$B$8:$K$991,10,FALSE)-IF(MONTH($C545)=4,$Y$3,IF(MONTH($C545)=5,$Y$4,IF(MONTH($C545)=6,$Y$5,IF(MONTH($C545)=7,$Y$6,"ERROR")))),0),MAX(VLOOKUP($C545,COS!$B$8:$K$991,9,FALSE)-IF(MONTH($C545)=4,$V$3,IF(MONTH($C545)=5,$V$4,IF(MONTH($C545)=6,$V$5,IF(MONTH($C545)=7,$V$6,"ERROR"))))-VLOOKUP($C545,COS!$B$8:$K$991,6,FALSE)/2,0))</f>
        <v>1500</v>
      </c>
      <c r="S545" s="30">
        <f t="shared" ref="S545:S548" si="878">R545*DAY($C545)*86400/43560/1000</f>
        <v>89.256198347107429</v>
      </c>
      <c r="T545" s="30">
        <f t="shared" ref="T545:T548" si="879">(O545+Q545)/2+S545</f>
        <v>107.76518040176265</v>
      </c>
      <c r="U545" s="30" t="str">
        <f>IF(VLOOKUP($C545,COS!$B$8:$I$991,8,FALSE)=1,"UWFE","IBU")</f>
        <v>UWFE</v>
      </c>
      <c r="V545" s="30">
        <f t="shared" ref="V545" si="880">MIN(IF(IF($AA$3=2,AND(E545=1,G545=1,L545=1,L550=1,M545=1,U545="IBU"),AND(E545=1,G545=1,L545=1,L550=1,M545=1)),T545,0),I545)</f>
        <v>0</v>
      </c>
      <c r="W545" s="30"/>
      <c r="X545" s="30"/>
      <c r="Y545" s="30"/>
      <c r="Z545" s="30"/>
      <c r="AA545" s="30"/>
      <c r="AB545" s="31"/>
    </row>
    <row r="546" spans="1:28" x14ac:dyDescent="0.3">
      <c r="A546" s="32">
        <f>VLOOKUP(YEAR(C546),Flags!$A$13:$B$95,2,FALSE)</f>
        <v>4</v>
      </c>
      <c r="B546" s="24">
        <f t="shared" si="841"/>
        <v>1981</v>
      </c>
      <c r="C546" s="25">
        <v>29737</v>
      </c>
      <c r="D546" s="26">
        <f>VLOOKUP($C546,COS!$B$8:$H$991,3,FALSE)</f>
        <v>7636.04248046875</v>
      </c>
      <c r="E546" s="24">
        <f>IF(D546&gt;=IF(MONTH($C546)=4,$C$3,IF(MONTH($C546)=5,$C$4,IF(MONTH($C546)=6,$C$5,IF(MONTH($C546)=7,$C$6,"ERROR")))),1,0)</f>
        <v>1</v>
      </c>
      <c r="F546" s="26">
        <f>VLOOKUP($C546,COS!$B$8:$H$991,7,FALSE)</f>
        <v>50.98291015625</v>
      </c>
      <c r="G546" s="24">
        <f>IF(F546&lt;=IF(MONTH($C546)=4,$F$3,IF(MONTH($C546)=5,$F$4,IF(MONTH($C546)=6,$F$5,IF(MONTH($C546)=7,$F$6,"ERROR")))),1,0)</f>
        <v>1</v>
      </c>
      <c r="H546" s="26">
        <f>IF(J546=1,D546-$C$4,0)</f>
        <v>1636.04248046875</v>
      </c>
      <c r="I546" s="26">
        <f t="shared" si="872"/>
        <v>100.59633103047521</v>
      </c>
      <c r="J546" s="24">
        <f t="shared" si="873"/>
        <v>1</v>
      </c>
      <c r="K546" s="26">
        <f>VLOOKUP($C546,COS!$B$8:$H$991,2,FALSE)</f>
        <v>4072.649658203125</v>
      </c>
      <c r="L546" s="24">
        <f t="shared" si="843"/>
        <v>1</v>
      </c>
      <c r="M546" s="24">
        <f t="shared" si="844"/>
        <v>1</v>
      </c>
      <c r="N546" s="26">
        <f>VLOOKUP($C546,COS!$B$8:$H$991,5,FALSE)</f>
        <v>512.199951171875</v>
      </c>
      <c r="O546" s="26">
        <f t="shared" si="876"/>
        <v>31.493947410898759</v>
      </c>
      <c r="P546" s="26">
        <f>VLOOKUP($C546,COS!$B$8:$H$991,6,FALSE)</f>
        <v>2162.07861328125</v>
      </c>
      <c r="Q546" s="26">
        <f t="shared" si="877"/>
        <v>132.94103208935951</v>
      </c>
      <c r="R546" s="26">
        <f>MIN(IF(MONTH($C546)=4,$S$3,IF(MONTH($C546)=5,$S$4,IF(MONTH($C546)=6,$S$5,IF(MONTH($C546)=7,$S$6,"ERROR")))),MAX(VLOOKUP($C546,COS!$B$8:$K$991,10,FALSE)-IF(MONTH($C546)=4,$Y$3,IF(MONTH($C546)=5,$Y$4,IF(MONTH($C546)=6,$Y$5,IF(MONTH($C546)=7,$Y$6,"ERROR")))),0),MAX(VLOOKUP($C546,COS!$B$8:$K$991,9,FALSE)-IF(MONTH($C546)=4,$V$3,IF(MONTH($C546)=5,$V$4,IF(MONTH($C546)=6,$V$5,IF(MONTH($C546)=7,$V$6,"ERROR"))))-VLOOKUP($C546,COS!$B$8:$K$991,6,FALSE)/2,0))</f>
        <v>1500</v>
      </c>
      <c r="S546" s="26">
        <f t="shared" si="878"/>
        <v>92.231404958677686</v>
      </c>
      <c r="T546" s="26">
        <f t="shared" si="879"/>
        <v>174.44889470880682</v>
      </c>
      <c r="U546" s="26" t="str">
        <f>IF(VLOOKUP($C546,COS!$B$8:$I$991,8,FALSE)=1,"UWFE","IBU")</f>
        <v>IBU</v>
      </c>
      <c r="V546" s="26">
        <f t="shared" ref="V546" si="881">MIN(IF(IF($AA$3=2,AND(E546=1,G546=1,L546=1,L550=1,M546=1,U546="IBU"),AND(E546=1,G546=1,L546=1,L550=1,M546=1)),T546,0),I546)</f>
        <v>100.59633103047521</v>
      </c>
      <c r="W546" s="26"/>
      <c r="X546" s="26"/>
      <c r="Y546" s="26"/>
      <c r="Z546" s="26"/>
      <c r="AA546" s="26"/>
      <c r="AB546" s="33"/>
    </row>
    <row r="547" spans="1:28" x14ac:dyDescent="0.3">
      <c r="A547" s="32">
        <f>VLOOKUP(YEAR(C547),Flags!$A$13:$B$95,2,FALSE)</f>
        <v>4</v>
      </c>
      <c r="B547" s="24">
        <f t="shared" si="841"/>
        <v>1981</v>
      </c>
      <c r="C547" s="25">
        <v>29767</v>
      </c>
      <c r="D547" s="26">
        <f>VLOOKUP($C547,COS!$B$8:$H$991,3,FALSE)</f>
        <v>14118.259765625</v>
      </c>
      <c r="E547" s="24">
        <f>IF(D547&gt;=IF(MONTH($C547)=4,$C$3,IF(MONTH($C547)=5,$C$4,IF(MONTH($C547)=6,$C$5,IF(MONTH($C547)=7,$C$6,"ERROR")))),1,0)</f>
        <v>1</v>
      </c>
      <c r="F547" s="26">
        <f>VLOOKUP($C547,COS!$B$8:$H$991,7,FALSE)</f>
        <v>50.939315795898438</v>
      </c>
      <c r="G547" s="24">
        <f>IF(F547&lt;=IF(MONTH($C547)=4,$F$3,IF(MONTH($C547)=5,$F$4,IF(MONTH($C547)=6,$F$5,IF(MONTH($C547)=7,$F$6,"ERROR")))),1,0)</f>
        <v>1</v>
      </c>
      <c r="H547" s="26">
        <f>IF(J547=1,D547-$C$5,0)</f>
        <v>4118.259765625</v>
      </c>
      <c r="I547" s="26">
        <f t="shared" si="872"/>
        <v>245.0534736570248</v>
      </c>
      <c r="J547" s="24">
        <f t="shared" si="873"/>
        <v>1</v>
      </c>
      <c r="K547" s="26">
        <f>VLOOKUP($C547,COS!$B$8:$H$991,2,FALSE)</f>
        <v>3447.17138671875</v>
      </c>
      <c r="L547" s="24">
        <f t="shared" si="843"/>
        <v>1</v>
      </c>
      <c r="M547" s="24">
        <f t="shared" si="844"/>
        <v>1</v>
      </c>
      <c r="N547" s="26">
        <f>VLOOKUP($C547,COS!$B$8:$H$991,5,FALSE)</f>
        <v>824.02752685546875</v>
      </c>
      <c r="O547" s="26">
        <f t="shared" si="876"/>
        <v>49.033042920325407</v>
      </c>
      <c r="P547" s="26">
        <f>VLOOKUP($C547,COS!$B$8:$H$991,6,FALSE)</f>
        <v>2714.961669921875</v>
      </c>
      <c r="Q547" s="26">
        <f t="shared" si="877"/>
        <v>161.55143821022727</v>
      </c>
      <c r="R547" s="26">
        <f>MIN(IF(MONTH($C547)=4,$S$3,IF(MONTH($C547)=5,$S$4,IF(MONTH($C547)=6,$S$5,IF(MONTH($C547)=7,$S$6,"ERROR")))),MAX(VLOOKUP($C547,COS!$B$8:$K$991,10,FALSE)-IF(MONTH($C547)=4,$Y$3,IF(MONTH($C547)=5,$Y$4,IF(MONTH($C547)=6,$Y$5,IF(MONTH($C547)=7,$Y$6,"ERROR")))),0),MAX(VLOOKUP($C547,COS!$B$8:$K$991,9,FALSE)-IF(MONTH($C547)=4,$V$3,IF(MONTH($C547)=5,$V$4,IF(MONTH($C547)=6,$V$5,IF(MONTH($C547)=7,$V$6,"ERROR"))))-VLOOKUP($C547,COS!$B$8:$K$991,6,FALSE)/2,0))</f>
        <v>1500</v>
      </c>
      <c r="S547" s="26">
        <f t="shared" si="878"/>
        <v>89.256198347107429</v>
      </c>
      <c r="T547" s="26">
        <f t="shared" si="879"/>
        <v>194.54843891238377</v>
      </c>
      <c r="U547" s="26" t="str">
        <f>IF(VLOOKUP($C547,COS!$B$8:$I$991,8,FALSE)=1,"UWFE","IBU")</f>
        <v>IBU</v>
      </c>
      <c r="V547" s="26">
        <f t="shared" ref="V547" si="882">MIN(IF(IF($AA$3=2,AND(E547=1,G547=1,L547=1,L550=1,M547=1,U547="IBU"),AND(E547=1,G547=1,L547=1,L550=1,M547=1)),T547,0),I547)</f>
        <v>194.54843891238377</v>
      </c>
      <c r="W547" s="26"/>
      <c r="X547" s="26"/>
      <c r="Y547" s="26"/>
      <c r="Z547" s="26"/>
      <c r="AA547" s="26"/>
      <c r="AB547" s="33"/>
    </row>
    <row r="548" spans="1:28" x14ac:dyDescent="0.3">
      <c r="A548" s="32">
        <f>VLOOKUP(YEAR(C548),Flags!$A$13:$B$95,2,FALSE)</f>
        <v>4</v>
      </c>
      <c r="B548" s="24">
        <f t="shared" si="841"/>
        <v>1981</v>
      </c>
      <c r="C548" s="25">
        <v>29798</v>
      </c>
      <c r="D548" s="26">
        <f>VLOOKUP($C548,COS!$B$8:$H$991,3,FALSE)</f>
        <v>16000</v>
      </c>
      <c r="E548" s="24">
        <f>IF(D548&gt;=IF(MONTH($C548)=4,$C$3,IF(MONTH($C548)=5,$C$4,IF(MONTH($C548)=6,$C$5,IF(MONTH($C548)=7,$C$6,"ERROR")))),1,0)</f>
        <v>1</v>
      </c>
      <c r="F548" s="26">
        <f>VLOOKUP($C548,COS!$B$8:$H$991,7,FALSE)</f>
        <v>52.245452880859375</v>
      </c>
      <c r="G548" s="24">
        <f>IF(F548&lt;=IF(MONTH($C548)=4,$F$3,IF(MONTH($C548)=5,$F$4,IF(MONTH($C548)=6,$F$5,IF(MONTH($C548)=7,$F$6,"ERROR")))),1,0)</f>
        <v>1</v>
      </c>
      <c r="H548" s="26">
        <f>IF(J548=1,D548-$C$6,0)</f>
        <v>4000</v>
      </c>
      <c r="I548" s="26">
        <f t="shared" si="872"/>
        <v>245.95041322314049</v>
      </c>
      <c r="J548" s="24">
        <f t="shared" si="873"/>
        <v>1</v>
      </c>
      <c r="K548" s="26">
        <f>VLOOKUP($C548,COS!$B$8:$H$991,2,FALSE)</f>
        <v>2809.813720703125</v>
      </c>
      <c r="L548" s="24">
        <f t="shared" si="843"/>
        <v>1</v>
      </c>
      <c r="M548" s="24">
        <f t="shared" si="844"/>
        <v>1</v>
      </c>
      <c r="N548" s="26">
        <f>VLOOKUP($C548,COS!$B$8:$H$991,5,FALSE)</f>
        <v>902.334716796875</v>
      </c>
      <c r="O548" s="26">
        <f t="shared" si="876"/>
        <v>55.48239911544421</v>
      </c>
      <c r="P548" s="26">
        <f>VLOOKUP($C548,COS!$B$8:$H$991,6,FALSE)</f>
        <v>2538.07568359375</v>
      </c>
      <c r="Q548" s="26">
        <f t="shared" si="877"/>
        <v>156.06019079287191</v>
      </c>
      <c r="R548" s="26">
        <f>MIN(IF(MONTH($C548)=4,$S$3,IF(MONTH($C548)=5,$S$4,IF(MONTH($C548)=6,$S$5,IF(MONTH($C548)=7,$S$6,"ERROR")))),MAX(VLOOKUP($C548,COS!$B$8:$K$991,10,FALSE)-IF(MONTH($C548)=4,$Y$3,IF(MONTH($C548)=5,$Y$4,IF(MONTH($C548)=6,$Y$5,IF(MONTH($C548)=7,$Y$6,"ERROR")))),0),MAX(VLOOKUP($C548,COS!$B$8:$K$991,9,FALSE)-IF(MONTH($C548)=4,$V$3,IF(MONTH($C548)=5,$V$4,IF(MONTH($C548)=6,$V$5,IF(MONTH($C548)=7,$V$6,"ERROR"))))-VLOOKUP($C548,COS!$B$8:$K$991,6,FALSE)/2,0))</f>
        <v>1500</v>
      </c>
      <c r="S548" s="26">
        <f t="shared" si="878"/>
        <v>92.231404958677686</v>
      </c>
      <c r="T548" s="26">
        <f t="shared" si="879"/>
        <v>198.00269991283574</v>
      </c>
      <c r="U548" s="26" t="str">
        <f>IF(VLOOKUP($C548,COS!$B$8:$I$991,8,FALSE)=1,"UWFE","IBU")</f>
        <v>IBU</v>
      </c>
      <c r="V548" s="26">
        <f t="shared" ref="V548" si="883">MIN(IF(IF($AA$3=2,AND(E548=1,G548=1,L548=1,L550=1,M548=1,U548="IBU"),AND(E548=1,G548=1,L548=1,L550=1,M548=1)),T548,0),I548)</f>
        <v>198.00269991283574</v>
      </c>
      <c r="W548" s="26"/>
      <c r="X548" s="26"/>
      <c r="Y548" s="26"/>
      <c r="Z548" s="26"/>
      <c r="AA548" s="26"/>
      <c r="AB548" s="33"/>
    </row>
    <row r="549" spans="1:28" x14ac:dyDescent="0.3">
      <c r="A549" s="32">
        <f>VLOOKUP(YEAR(C549),Flags!$A$13:$B$95,2,FALSE)</f>
        <v>4</v>
      </c>
      <c r="B549" s="24">
        <f t="shared" si="841"/>
        <v>1981</v>
      </c>
      <c r="C549" s="25">
        <v>29829</v>
      </c>
      <c r="D549" s="26"/>
      <c r="E549" s="24"/>
      <c r="F549" s="26"/>
      <c r="G549" s="24"/>
      <c r="H549" s="24"/>
      <c r="I549" s="26"/>
      <c r="J549" s="24"/>
      <c r="K549" s="26"/>
      <c r="L549" s="24"/>
      <c r="M549" s="24"/>
      <c r="N549" s="26"/>
      <c r="O549" s="26"/>
      <c r="P549" s="26"/>
      <c r="Q549" s="26"/>
      <c r="R549" s="26"/>
      <c r="S549" s="26"/>
      <c r="T549" s="26"/>
      <c r="U549" s="26"/>
      <c r="V549" s="26"/>
      <c r="W549" s="26">
        <f>MAX($C$7-VLOOKUP($C549,COS!$B$8:$H$991,3,FALSE),0)</f>
        <v>91031.4130859375</v>
      </c>
      <c r="X549" s="26">
        <f t="shared" si="870"/>
        <v>5597.3034161931819</v>
      </c>
      <c r="Y549" s="26">
        <f>VLOOKUP($C549,COS!$B$8:$H$991,4,FALSE)</f>
        <v>3055.62109375</v>
      </c>
      <c r="Z549" s="26">
        <f t="shared" si="871"/>
        <v>187.88281766528925</v>
      </c>
      <c r="AA549" s="26">
        <f t="shared" ref="AA549:AA553" si="884">MIN(W549,Y549)</f>
        <v>3055.62109375</v>
      </c>
      <c r="AB549" s="33">
        <f t="shared" ref="AB549" si="885">AA549*DAY($C549)*86400/43560/1000*IF(MONTH($C549)=8,$P$3,IF(MONTH($C549)=9,$P$4,IF(MONTH($C549)=10,$P$5,IF(MONTH($C549)=11,$P$6,IF(MONTH($C549)=12,$P$7,NA())))))</f>
        <v>187.88281766528925</v>
      </c>
    </row>
    <row r="550" spans="1:28" x14ac:dyDescent="0.3">
      <c r="A550" s="32">
        <f>VLOOKUP(YEAR(C550),Flags!$A$13:$B$95,2,FALSE)</f>
        <v>4</v>
      </c>
      <c r="B550" s="24">
        <f t="shared" si="841"/>
        <v>1981</v>
      </c>
      <c r="C550" s="25">
        <v>29859</v>
      </c>
      <c r="D550" s="26"/>
      <c r="E550" s="24"/>
      <c r="F550" s="26"/>
      <c r="G550" s="24"/>
      <c r="H550" s="24"/>
      <c r="I550" s="26"/>
      <c r="J550" s="24"/>
      <c r="K550" s="26">
        <f>VLOOKUP($C550,COS!$B$8:$H$991,2,FALSE)</f>
        <v>2475.966796875</v>
      </c>
      <c r="L550" s="24">
        <f t="shared" ref="L550" si="886">IF(AND(K550&gt;$I$7,K550&lt;$I$8),1,0)</f>
        <v>1</v>
      </c>
      <c r="M550" s="24"/>
      <c r="N550" s="26"/>
      <c r="O550" s="26"/>
      <c r="P550" s="26"/>
      <c r="Q550" s="26"/>
      <c r="R550" s="26"/>
      <c r="S550" s="26"/>
      <c r="T550" s="26"/>
      <c r="U550" s="26"/>
      <c r="V550" s="26"/>
      <c r="W550" s="26">
        <f>MAX($C$8-VLOOKUP($C550,COS!$B$8:$H$991,3,FALSE),0)</f>
        <v>94645.4052734375</v>
      </c>
      <c r="X550" s="26">
        <f t="shared" si="870"/>
        <v>5631.7927104855371</v>
      </c>
      <c r="Y550" s="26">
        <f>VLOOKUP($C550,COS!$B$8:$H$991,4,FALSE)</f>
        <v>917.53326416015625</v>
      </c>
      <c r="Z550" s="26">
        <f t="shared" si="871"/>
        <v>54.597020677298552</v>
      </c>
      <c r="AA550" s="26">
        <f t="shared" si="884"/>
        <v>917.53326416015625</v>
      </c>
      <c r="AB550" s="33">
        <f t="shared" si="854"/>
        <v>54.597020677298552</v>
      </c>
    </row>
    <row r="551" spans="1:28" x14ac:dyDescent="0.3">
      <c r="A551" s="32">
        <f>VLOOKUP(YEAR(C551),Flags!$A$13:$B$95,2,FALSE)</f>
        <v>4</v>
      </c>
      <c r="B551" s="24">
        <f t="shared" si="841"/>
        <v>1981</v>
      </c>
      <c r="C551" s="25">
        <v>29890</v>
      </c>
      <c r="D551" s="26"/>
      <c r="E551" s="24"/>
      <c r="F551" s="26"/>
      <c r="G551" s="26"/>
      <c r="H551" s="26"/>
      <c r="I551" s="26"/>
      <c r="J551" s="26"/>
      <c r="K551" s="26"/>
      <c r="L551" s="24"/>
      <c r="M551" s="24"/>
      <c r="N551" s="26"/>
      <c r="O551" s="26"/>
      <c r="P551" s="26"/>
      <c r="Q551" s="26"/>
      <c r="R551" s="26"/>
      <c r="S551" s="26"/>
      <c r="T551" s="26"/>
      <c r="U551" s="26"/>
      <c r="V551" s="26"/>
      <c r="W551" s="26">
        <f>MAX($C$9-VLOOKUP($C551,COS!$B$8:$H$991,3,FALSE),0)</f>
        <v>96679.089599609375</v>
      </c>
      <c r="X551" s="26">
        <f t="shared" si="870"/>
        <v>5944.5655092652378</v>
      </c>
      <c r="Y551" s="26">
        <f>VLOOKUP($C551,COS!$B$8:$H$991,4,FALSE)</f>
        <v>1399.4996337890625</v>
      </c>
      <c r="Z551" s="26">
        <f t="shared" si="871"/>
        <v>86.051878309013418</v>
      </c>
      <c r="AA551" s="26">
        <f t="shared" si="884"/>
        <v>1399.4996337890625</v>
      </c>
      <c r="AB551" s="33">
        <f t="shared" si="854"/>
        <v>86.051878309013418</v>
      </c>
    </row>
    <row r="552" spans="1:28" x14ac:dyDescent="0.3">
      <c r="A552" s="32">
        <f>VLOOKUP(YEAR(C552),Flags!$A$13:$B$95,2,FALSE)</f>
        <v>4</v>
      </c>
      <c r="B552" s="24">
        <f t="shared" si="841"/>
        <v>1981</v>
      </c>
      <c r="C552" s="25">
        <v>29920</v>
      </c>
      <c r="D552" s="26"/>
      <c r="E552" s="24"/>
      <c r="F552" s="26"/>
      <c r="G552" s="26"/>
      <c r="H552" s="26"/>
      <c r="I552" s="26"/>
      <c r="J552" s="26"/>
      <c r="K552" s="26"/>
      <c r="L552" s="24"/>
      <c r="M552" s="24"/>
      <c r="N552" s="26"/>
      <c r="O552" s="26"/>
      <c r="P552" s="26"/>
      <c r="Q552" s="26"/>
      <c r="R552" s="26"/>
      <c r="S552" s="26"/>
      <c r="T552" s="26"/>
      <c r="U552" s="26"/>
      <c r="V552" s="26"/>
      <c r="W552" s="26">
        <f>MAX($C$10-VLOOKUP($C552,COS!$B$8:$H$991,3,FALSE),0)</f>
        <v>91684.076171875</v>
      </c>
      <c r="X552" s="26">
        <f t="shared" si="870"/>
        <v>5455.5813920454539</v>
      </c>
      <c r="Y552" s="26">
        <f>VLOOKUP($C552,COS!$B$8:$H$991,4,FALSE)</f>
        <v>0</v>
      </c>
      <c r="Z552" s="26">
        <f t="shared" si="871"/>
        <v>0</v>
      </c>
      <c r="AA552" s="26">
        <f t="shared" si="884"/>
        <v>0</v>
      </c>
      <c r="AB552" s="33">
        <f t="shared" si="854"/>
        <v>0</v>
      </c>
    </row>
    <row r="553" spans="1:28" x14ac:dyDescent="0.3">
      <c r="A553" s="34">
        <f>VLOOKUP(YEAR(C553),Flags!$A$13:$B$95,2,FALSE)</f>
        <v>4</v>
      </c>
      <c r="B553" s="35">
        <f t="shared" si="841"/>
        <v>1981</v>
      </c>
      <c r="C553" s="36">
        <v>29951</v>
      </c>
      <c r="D553" s="37"/>
      <c r="E553" s="35"/>
      <c r="F553" s="37"/>
      <c r="G553" s="37"/>
      <c r="H553" s="37"/>
      <c r="I553" s="37"/>
      <c r="J553" s="37"/>
      <c r="K553" s="37"/>
      <c r="L553" s="35"/>
      <c r="M553" s="35"/>
      <c r="N553" s="37"/>
      <c r="O553" s="37"/>
      <c r="P553" s="37"/>
      <c r="Q553" s="37"/>
      <c r="R553" s="37"/>
      <c r="S553" s="37"/>
      <c r="T553" s="37"/>
      <c r="U553" s="37"/>
      <c r="V553" s="37"/>
      <c r="W553" s="37">
        <f>MAX($C$11-VLOOKUP($C553,COS!$B$8:$H$991,3,FALSE),0)</f>
        <v>0</v>
      </c>
      <c r="X553" s="37">
        <f t="shared" si="870"/>
        <v>0</v>
      </c>
      <c r="Y553" s="37">
        <f>VLOOKUP($C553,COS!$B$8:$H$991,4,FALSE)</f>
        <v>0</v>
      </c>
      <c r="Z553" s="37">
        <f t="shared" si="871"/>
        <v>0</v>
      </c>
      <c r="AA553" s="37">
        <f t="shared" si="884"/>
        <v>0</v>
      </c>
      <c r="AB553" s="38">
        <f t="shared" si="854"/>
        <v>0</v>
      </c>
    </row>
    <row r="554" spans="1:28" x14ac:dyDescent="0.3">
      <c r="A554" s="27">
        <f>VLOOKUP(YEAR(C554),Flags!$A$13:$B$95,2,FALSE)</f>
        <v>1</v>
      </c>
      <c r="B554" s="28">
        <f t="shared" si="841"/>
        <v>1982</v>
      </c>
      <c r="C554" s="29">
        <v>30071</v>
      </c>
      <c r="D554" s="30">
        <f>VLOOKUP($C554,COS!$B$8:$H$991,3,FALSE)</f>
        <v>24913.6875</v>
      </c>
      <c r="E554" s="28">
        <f>IF(D554&gt;=IF(MONTH($C554)=4,$C$3,IF(MONTH($C554)=5,$C$4,IF(MONTH($C554)=6,$C$5,IF(MONTH($C554)=7,$C$6,"ERROR")))),1,0)</f>
        <v>1</v>
      </c>
      <c r="F554" s="30">
        <f>VLOOKUP($C554,COS!$B$8:$H$991,7,FALSE)</f>
        <v>46.657176971435547</v>
      </c>
      <c r="G554" s="28">
        <f>IF(F554&lt;=IF(MONTH($C554)=4,$F$3,IF(MONTH($C554)=5,$F$4,IF(MONTH($C554)=6,$F$5,IF(MONTH($C554)=7,$F$6,"ERROR")))),1,0)</f>
        <v>1</v>
      </c>
      <c r="H554" s="30">
        <f>IF(J554=1,D554-$C$3,0)</f>
        <v>18913.6875</v>
      </c>
      <c r="I554" s="30">
        <f t="shared" si="872"/>
        <v>1125.442561983471</v>
      </c>
      <c r="J554" s="28">
        <f t="shared" ref="J554:J557" si="887">IF(AND(E554=1,G554=1),1,0)</f>
        <v>1</v>
      </c>
      <c r="K554" s="30">
        <f>VLOOKUP($C554,COS!$B$8:$H$991,2,FALSE)</f>
        <v>4094</v>
      </c>
      <c r="L554" s="28">
        <f t="shared" ref="L554" si="888">IF(K554&lt;=IF(MONTH($C554)=4,$I$3,IF(MONTH($C554)=5,$I$4,IF(MONTH($C554)=6,$I$5,IF(MONTH($C554)=7,$I$6,"ERROR")))),1,0)</f>
        <v>1</v>
      </c>
      <c r="M554" s="28">
        <f t="shared" ref="M554" si="889">VLOOKUP($A554,$L$3:$M$7,2,FALSE)</f>
        <v>0</v>
      </c>
      <c r="N554" s="30">
        <f>VLOOKUP($C554,COS!$B$8:$H$991,5,FALSE)</f>
        <v>47.432540893554688</v>
      </c>
      <c r="O554" s="30">
        <f t="shared" ref="O554:O557" si="890">N554*DAY($C554)*86400/43560/1000</f>
        <v>2.8224321854016012</v>
      </c>
      <c r="P554" s="30">
        <f>VLOOKUP($C554,COS!$B$8:$H$991,6,FALSE)</f>
        <v>305.73114013671875</v>
      </c>
      <c r="Q554" s="30">
        <f t="shared" ref="Q554:Q557" si="891">P554*DAY($C554)*86400/43560/1000</f>
        <v>18.192266189953511</v>
      </c>
      <c r="R554" s="30">
        <f>MIN(IF(MONTH($C554)=4,$S$3,IF(MONTH($C554)=5,$S$4,IF(MONTH($C554)=6,$S$5,IF(MONTH($C554)=7,$S$6,"ERROR")))),MAX(VLOOKUP($C554,COS!$B$8:$K$991,10,FALSE)-IF(MONTH($C554)=4,$Y$3,IF(MONTH($C554)=5,$Y$4,IF(MONTH($C554)=6,$Y$5,IF(MONTH($C554)=7,$Y$6,"ERROR")))),0),MAX(VLOOKUP($C554,COS!$B$8:$K$991,9,FALSE)-IF(MONTH($C554)=4,$V$3,IF(MONTH($C554)=5,$V$4,IF(MONTH($C554)=6,$V$5,IF(MONTH($C554)=7,$V$6,"ERROR"))))-VLOOKUP($C554,COS!$B$8:$K$991,6,FALSE)/2,0))</f>
        <v>1500</v>
      </c>
      <c r="S554" s="30">
        <f t="shared" ref="S554:S557" si="892">R554*DAY($C554)*86400/43560/1000</f>
        <v>89.256198347107429</v>
      </c>
      <c r="T554" s="30">
        <f t="shared" ref="T554:T557" si="893">(O554+Q554)/2+S554</f>
        <v>99.76354753478499</v>
      </c>
      <c r="U554" s="30" t="str">
        <f>IF(VLOOKUP($C554,COS!$B$8:$I$991,8,FALSE)=1,"UWFE","IBU")</f>
        <v>UWFE</v>
      </c>
      <c r="V554" s="30">
        <f t="shared" ref="V554" si="894">MIN(IF(IF($AA$3=2,AND(E554=1,G554=1,L554=1,L559=1,M554=1,U554="IBU"),AND(E554=1,G554=1,L554=1,L559=1,M554=1)),T554,0),I554)</f>
        <v>0</v>
      </c>
      <c r="W554" s="30"/>
      <c r="X554" s="30"/>
      <c r="Y554" s="30"/>
      <c r="Z554" s="30"/>
      <c r="AA554" s="30"/>
      <c r="AB554" s="31"/>
    </row>
    <row r="555" spans="1:28" x14ac:dyDescent="0.3">
      <c r="A555" s="32">
        <f>VLOOKUP(YEAR(C555),Flags!$A$13:$B$95,2,FALSE)</f>
        <v>1</v>
      </c>
      <c r="B555" s="24">
        <f t="shared" si="841"/>
        <v>1982</v>
      </c>
      <c r="C555" s="25">
        <v>30102</v>
      </c>
      <c r="D555" s="26">
        <f>VLOOKUP($C555,COS!$B$8:$H$991,3,FALSE)</f>
        <v>3472.723876953125</v>
      </c>
      <c r="E555" s="24">
        <f>IF(D555&gt;=IF(MONTH($C555)=4,$C$3,IF(MONTH($C555)=5,$C$4,IF(MONTH($C555)=6,$C$5,IF(MONTH($C555)=7,$C$6,"ERROR")))),1,0)</f>
        <v>0</v>
      </c>
      <c r="F555" s="26">
        <f>VLOOKUP($C555,COS!$B$8:$H$991,7,FALSE)</f>
        <v>53.570789337158203</v>
      </c>
      <c r="G555" s="24">
        <f>IF(F555&lt;=IF(MONTH($C555)=4,$F$3,IF(MONTH($C555)=5,$F$4,IF(MONTH($C555)=6,$F$5,IF(MONTH($C555)=7,$F$6,"ERROR")))),1,0)</f>
        <v>1</v>
      </c>
      <c r="H555" s="26">
        <f>IF(J555=1,D555-$C$4,0)</f>
        <v>0</v>
      </c>
      <c r="I555" s="26">
        <f t="shared" si="872"/>
        <v>0</v>
      </c>
      <c r="J555" s="24">
        <f t="shared" si="887"/>
        <v>0</v>
      </c>
      <c r="K555" s="26">
        <f>VLOOKUP($C555,COS!$B$8:$H$991,2,FALSE)</f>
        <v>4481.19091796875</v>
      </c>
      <c r="L555" s="24">
        <f t="shared" si="843"/>
        <v>1</v>
      </c>
      <c r="M555" s="24">
        <f t="shared" si="844"/>
        <v>0</v>
      </c>
      <c r="N555" s="26">
        <f>VLOOKUP($C555,COS!$B$8:$H$991,5,FALSE)</f>
        <v>674.9888916015625</v>
      </c>
      <c r="O555" s="26">
        <f t="shared" si="890"/>
        <v>41.503449202608472</v>
      </c>
      <c r="P555" s="26">
        <f>VLOOKUP($C555,COS!$B$8:$H$991,6,FALSE)</f>
        <v>2221.702392578125</v>
      </c>
      <c r="Q555" s="26">
        <f t="shared" si="891"/>
        <v>136.60715537835745</v>
      </c>
      <c r="R555" s="26">
        <f>MIN(IF(MONTH($C555)=4,$S$3,IF(MONTH($C555)=5,$S$4,IF(MONTH($C555)=6,$S$5,IF(MONTH($C555)=7,$S$6,"ERROR")))),MAX(VLOOKUP($C555,COS!$B$8:$K$991,10,FALSE)-IF(MONTH($C555)=4,$Y$3,IF(MONTH($C555)=5,$Y$4,IF(MONTH($C555)=6,$Y$5,IF(MONTH($C555)=7,$Y$6,"ERROR")))),0),MAX(VLOOKUP($C555,COS!$B$8:$K$991,9,FALSE)-IF(MONTH($C555)=4,$V$3,IF(MONTH($C555)=5,$V$4,IF(MONTH($C555)=6,$V$5,IF(MONTH($C555)=7,$V$6,"ERROR"))))-VLOOKUP($C555,COS!$B$8:$K$991,6,FALSE)/2,0))</f>
        <v>858.08984375</v>
      </c>
      <c r="S555" s="26">
        <f t="shared" si="892"/>
        <v>52.761887913223134</v>
      </c>
      <c r="T555" s="26">
        <f t="shared" si="893"/>
        <v>141.8171902037061</v>
      </c>
      <c r="U555" s="26" t="str">
        <f>IF(VLOOKUP($C555,COS!$B$8:$I$991,8,FALSE)=1,"UWFE","IBU")</f>
        <v>UWFE</v>
      </c>
      <c r="V555" s="26">
        <f t="shared" ref="V555" si="895">MIN(IF(IF($AA$3=2,AND(E555=1,G555=1,L555=1,L559=1,M555=1,U555="IBU"),AND(E555=1,G555=1,L555=1,L559=1,M555=1)),T555,0),I555)</f>
        <v>0</v>
      </c>
      <c r="W555" s="26"/>
      <c r="X555" s="26"/>
      <c r="Y555" s="26"/>
      <c r="Z555" s="26"/>
      <c r="AA555" s="26"/>
      <c r="AB555" s="33"/>
    </row>
    <row r="556" spans="1:28" x14ac:dyDescent="0.3">
      <c r="A556" s="32">
        <f>VLOOKUP(YEAR(C556),Flags!$A$13:$B$95,2,FALSE)</f>
        <v>1</v>
      </c>
      <c r="B556" s="24">
        <f t="shared" si="841"/>
        <v>1982</v>
      </c>
      <c r="C556" s="25">
        <v>30132</v>
      </c>
      <c r="D556" s="26">
        <f>VLOOKUP($C556,COS!$B$8:$H$991,3,FALSE)</f>
        <v>6372.11962890625</v>
      </c>
      <c r="E556" s="24">
        <f>IF(D556&gt;=IF(MONTH($C556)=4,$C$3,IF(MONTH($C556)=5,$C$4,IF(MONTH($C556)=6,$C$5,IF(MONTH($C556)=7,$C$6,"ERROR")))),1,0)</f>
        <v>0</v>
      </c>
      <c r="F556" s="26">
        <f>VLOOKUP($C556,COS!$B$8:$H$991,7,FALSE)</f>
        <v>52.376934051513672</v>
      </c>
      <c r="G556" s="24">
        <f>IF(F556&lt;=IF(MONTH($C556)=4,$F$3,IF(MONTH($C556)=5,$F$4,IF(MONTH($C556)=6,$F$5,IF(MONTH($C556)=7,$F$6,"ERROR")))),1,0)</f>
        <v>1</v>
      </c>
      <c r="H556" s="26">
        <f>IF(J556=1,D556-$C$5,0)</f>
        <v>0</v>
      </c>
      <c r="I556" s="26">
        <f t="shared" si="872"/>
        <v>0</v>
      </c>
      <c r="J556" s="24">
        <f t="shared" si="887"/>
        <v>0</v>
      </c>
      <c r="K556" s="26">
        <f>VLOOKUP($C556,COS!$B$8:$H$991,2,FALSE)</f>
        <v>4397.3564453125</v>
      </c>
      <c r="L556" s="24">
        <f t="shared" si="843"/>
        <v>1</v>
      </c>
      <c r="M556" s="24">
        <f t="shared" si="844"/>
        <v>0</v>
      </c>
      <c r="N556" s="26">
        <f>VLOOKUP($C556,COS!$B$8:$H$991,5,FALSE)</f>
        <v>1084.0577392578125</v>
      </c>
      <c r="O556" s="26">
        <f t="shared" si="890"/>
        <v>64.505915063274784</v>
      </c>
      <c r="P556" s="26">
        <f>VLOOKUP($C556,COS!$B$8:$H$991,6,FALSE)</f>
        <v>2094.6748046875</v>
      </c>
      <c r="Q556" s="26">
        <f t="shared" si="891"/>
        <v>124.64180655991736</v>
      </c>
      <c r="R556" s="26">
        <f>MIN(IF(MONTH($C556)=4,$S$3,IF(MONTH($C556)=5,$S$4,IF(MONTH($C556)=6,$S$5,IF(MONTH($C556)=7,$S$6,"ERROR")))),MAX(VLOOKUP($C556,COS!$B$8:$K$991,10,FALSE)-IF(MONTH($C556)=4,$Y$3,IF(MONTH($C556)=5,$Y$4,IF(MONTH($C556)=6,$Y$5,IF(MONTH($C556)=7,$Y$6,"ERROR")))),0),MAX(VLOOKUP($C556,COS!$B$8:$K$991,9,FALSE)-IF(MONTH($C556)=4,$V$3,IF(MONTH($C556)=5,$V$4,IF(MONTH($C556)=6,$V$5,IF(MONTH($C556)=7,$V$6,"ERROR"))))-VLOOKUP($C556,COS!$B$8:$K$991,6,FALSE)/2,0))</f>
        <v>1500</v>
      </c>
      <c r="S556" s="26">
        <f t="shared" si="892"/>
        <v>89.256198347107429</v>
      </c>
      <c r="T556" s="26">
        <f t="shared" si="893"/>
        <v>183.83005915870348</v>
      </c>
      <c r="U556" s="26" t="str">
        <f>IF(VLOOKUP($C556,COS!$B$8:$I$991,8,FALSE)=1,"UWFE","IBU")</f>
        <v>UWFE</v>
      </c>
      <c r="V556" s="26">
        <f t="shared" ref="V556" si="896">MIN(IF(IF($AA$3=2,AND(E556=1,G556=1,L556=1,L559=1,M556=1,U556="IBU"),AND(E556=1,G556=1,L556=1,L559=1,M556=1)),T556,0),I556)</f>
        <v>0</v>
      </c>
      <c r="W556" s="26"/>
      <c r="X556" s="26"/>
      <c r="Y556" s="26"/>
      <c r="Z556" s="26"/>
      <c r="AA556" s="26"/>
      <c r="AB556" s="33"/>
    </row>
    <row r="557" spans="1:28" x14ac:dyDescent="0.3">
      <c r="A557" s="32">
        <f>VLOOKUP(YEAR(C557),Flags!$A$13:$B$95,2,FALSE)</f>
        <v>1</v>
      </c>
      <c r="B557" s="24">
        <f t="shared" si="841"/>
        <v>1982</v>
      </c>
      <c r="C557" s="25">
        <v>30163</v>
      </c>
      <c r="D557" s="26">
        <f>VLOOKUP($C557,COS!$B$8:$H$991,3,FALSE)</f>
        <v>10502.37890625</v>
      </c>
      <c r="E557" s="24">
        <f>IF(D557&gt;=IF(MONTH($C557)=4,$C$3,IF(MONTH($C557)=5,$C$4,IF(MONTH($C557)=6,$C$5,IF(MONTH($C557)=7,$C$6,"ERROR")))),1,0)</f>
        <v>0</v>
      </c>
      <c r="F557" s="26">
        <f>VLOOKUP($C557,COS!$B$8:$H$991,7,FALSE)</f>
        <v>52.655227661132813</v>
      </c>
      <c r="G557" s="24">
        <f>IF(F557&lt;=IF(MONTH($C557)=4,$F$3,IF(MONTH($C557)=5,$F$4,IF(MONTH($C557)=6,$F$5,IF(MONTH($C557)=7,$F$6,"ERROR")))),1,0)</f>
        <v>1</v>
      </c>
      <c r="H557" s="26">
        <f>IF(J557=1,D557-$C$6,0)</f>
        <v>0</v>
      </c>
      <c r="I557" s="26">
        <f t="shared" si="872"/>
        <v>0</v>
      </c>
      <c r="J557" s="24">
        <f t="shared" si="887"/>
        <v>0</v>
      </c>
      <c r="K557" s="26">
        <f>VLOOKUP($C557,COS!$B$8:$H$991,2,FALSE)</f>
        <v>4071.590576171875</v>
      </c>
      <c r="L557" s="24">
        <f t="shared" si="843"/>
        <v>1</v>
      </c>
      <c r="M557" s="24">
        <f t="shared" si="844"/>
        <v>0</v>
      </c>
      <c r="N557" s="26">
        <f>VLOOKUP($C557,COS!$B$8:$H$991,5,FALSE)</f>
        <v>1375.2449951171875</v>
      </c>
      <c r="O557" s="26">
        <f t="shared" si="890"/>
        <v>84.560518708032035</v>
      </c>
      <c r="P557" s="26">
        <f>VLOOKUP($C557,COS!$B$8:$H$991,6,FALSE)</f>
        <v>2616.67822265625</v>
      </c>
      <c r="Q557" s="26">
        <f t="shared" si="891"/>
        <v>160.89327253357436</v>
      </c>
      <c r="R557" s="26">
        <f>MIN(IF(MONTH($C557)=4,$S$3,IF(MONTH($C557)=5,$S$4,IF(MONTH($C557)=6,$S$5,IF(MONTH($C557)=7,$S$6,"ERROR")))),MAX(VLOOKUP($C557,COS!$B$8:$K$991,10,FALSE)-IF(MONTH($C557)=4,$Y$3,IF(MONTH($C557)=5,$Y$4,IF(MONTH($C557)=6,$Y$5,IF(MONTH($C557)=7,$Y$6,"ERROR")))),0),MAX(VLOOKUP($C557,COS!$B$8:$K$991,9,FALSE)-IF(MONTH($C557)=4,$V$3,IF(MONTH($C557)=5,$V$4,IF(MONTH($C557)=6,$V$5,IF(MONTH($C557)=7,$V$6,"ERROR"))))-VLOOKUP($C557,COS!$B$8:$K$991,6,FALSE)/2,0))</f>
        <v>1500</v>
      </c>
      <c r="S557" s="26">
        <f t="shared" si="892"/>
        <v>92.231404958677686</v>
      </c>
      <c r="T557" s="26">
        <f t="shared" si="893"/>
        <v>214.95830057948086</v>
      </c>
      <c r="U557" s="26" t="str">
        <f>IF(VLOOKUP($C557,COS!$B$8:$I$991,8,FALSE)=1,"UWFE","IBU")</f>
        <v>IBU</v>
      </c>
      <c r="V557" s="26">
        <f t="shared" ref="V557" si="897">MIN(IF(IF($AA$3=2,AND(E557=1,G557=1,L557=1,L559=1,M557=1,U557="IBU"),AND(E557=1,G557=1,L557=1,L559=1,M557=1)),T557,0),I557)</f>
        <v>0</v>
      </c>
      <c r="W557" s="26"/>
      <c r="X557" s="26"/>
      <c r="Y557" s="26"/>
      <c r="Z557" s="26"/>
      <c r="AA557" s="26"/>
      <c r="AB557" s="33"/>
    </row>
    <row r="558" spans="1:28" x14ac:dyDescent="0.3">
      <c r="A558" s="32">
        <f>VLOOKUP(YEAR(C558),Flags!$A$13:$B$95,2,FALSE)</f>
        <v>1</v>
      </c>
      <c r="B558" s="24">
        <f t="shared" si="841"/>
        <v>1982</v>
      </c>
      <c r="C558" s="25">
        <v>30194</v>
      </c>
      <c r="D558" s="26"/>
      <c r="E558" s="24"/>
      <c r="F558" s="26"/>
      <c r="G558" s="24"/>
      <c r="H558" s="24"/>
      <c r="I558" s="26"/>
      <c r="J558" s="24"/>
      <c r="K558" s="26"/>
      <c r="L558" s="24"/>
      <c r="M558" s="24"/>
      <c r="N558" s="26"/>
      <c r="O558" s="26"/>
      <c r="P558" s="26"/>
      <c r="Q558" s="26"/>
      <c r="R558" s="26"/>
      <c r="S558" s="26"/>
      <c r="T558" s="26"/>
      <c r="U558" s="26"/>
      <c r="V558" s="26"/>
      <c r="W558" s="26">
        <f>MAX($C$7-VLOOKUP($C558,COS!$B$8:$H$991,3,FALSE),0)</f>
        <v>90771.0556640625</v>
      </c>
      <c r="X558" s="26">
        <f t="shared" si="870"/>
        <v>5581.2946623192147</v>
      </c>
      <c r="Y558" s="26">
        <f>VLOOKUP($C558,COS!$B$8:$H$991,4,FALSE)</f>
        <v>0</v>
      </c>
      <c r="Z558" s="26">
        <f t="shared" si="871"/>
        <v>0</v>
      </c>
      <c r="AA558" s="26">
        <f t="shared" ref="AA558:AA562" si="898">MIN(W558,Y558)</f>
        <v>0</v>
      </c>
      <c r="AB558" s="33">
        <f t="shared" ref="AB558" si="899">AA558*DAY($C558)*86400/43560/1000*IF(MONTH($C558)=8,$P$3,IF(MONTH($C558)=9,$P$4,IF(MONTH($C558)=10,$P$5,IF(MONTH($C558)=11,$P$6,IF(MONTH($C558)=12,$P$7,NA())))))</f>
        <v>0</v>
      </c>
    </row>
    <row r="559" spans="1:28" x14ac:dyDescent="0.3">
      <c r="A559" s="32">
        <f>VLOOKUP(YEAR(C559),Flags!$A$13:$B$95,2,FALSE)</f>
        <v>1</v>
      </c>
      <c r="B559" s="24">
        <f t="shared" si="841"/>
        <v>1982</v>
      </c>
      <c r="C559" s="25">
        <v>30224</v>
      </c>
      <c r="D559" s="26"/>
      <c r="E559" s="24"/>
      <c r="F559" s="26"/>
      <c r="G559" s="24"/>
      <c r="H559" s="24"/>
      <c r="I559" s="26"/>
      <c r="J559" s="24"/>
      <c r="K559" s="26">
        <f>VLOOKUP($C559,COS!$B$8:$H$991,2,FALSE)</f>
        <v>3400</v>
      </c>
      <c r="L559" s="24">
        <f t="shared" ref="L559" si="900">IF(AND(K559&gt;$I$7,K559&lt;$I$8),1,0)</f>
        <v>1</v>
      </c>
      <c r="M559" s="24"/>
      <c r="N559" s="26"/>
      <c r="O559" s="26"/>
      <c r="P559" s="26"/>
      <c r="Q559" s="26"/>
      <c r="R559" s="26"/>
      <c r="S559" s="26"/>
      <c r="T559" s="26"/>
      <c r="U559" s="26"/>
      <c r="V559" s="26"/>
      <c r="W559" s="26">
        <f>MAX($C$8-VLOOKUP($C559,COS!$B$8:$H$991,3,FALSE),0)</f>
        <v>90620.83984375</v>
      </c>
      <c r="X559" s="26">
        <f t="shared" si="870"/>
        <v>5392.3144369834708</v>
      </c>
      <c r="Y559" s="26">
        <f>VLOOKUP($C559,COS!$B$8:$H$991,4,FALSE)</f>
        <v>0</v>
      </c>
      <c r="Z559" s="26">
        <f t="shared" si="871"/>
        <v>0</v>
      </c>
      <c r="AA559" s="26">
        <f t="shared" si="898"/>
        <v>0</v>
      </c>
      <c r="AB559" s="33">
        <f t="shared" si="854"/>
        <v>0</v>
      </c>
    </row>
    <row r="560" spans="1:28" x14ac:dyDescent="0.3">
      <c r="A560" s="32">
        <f>VLOOKUP(YEAR(C560),Flags!$A$13:$B$95,2,FALSE)</f>
        <v>1</v>
      </c>
      <c r="B560" s="24">
        <f t="shared" si="841"/>
        <v>1982</v>
      </c>
      <c r="C560" s="25">
        <v>30255</v>
      </c>
      <c r="D560" s="26"/>
      <c r="E560" s="24"/>
      <c r="F560" s="26"/>
      <c r="G560" s="26"/>
      <c r="H560" s="26"/>
      <c r="I560" s="26"/>
      <c r="J560" s="26"/>
      <c r="K560" s="26"/>
      <c r="L560" s="24"/>
      <c r="M560" s="24"/>
      <c r="N560" s="26"/>
      <c r="O560" s="26"/>
      <c r="P560" s="26"/>
      <c r="Q560" s="26"/>
      <c r="R560" s="26"/>
      <c r="S560" s="26"/>
      <c r="T560" s="26"/>
      <c r="U560" s="26"/>
      <c r="V560" s="26"/>
      <c r="W560" s="26">
        <f>MAX($C$9-VLOOKUP($C560,COS!$B$8:$H$991,3,FALSE),0)</f>
        <v>92108.1201171875</v>
      </c>
      <c r="X560" s="26">
        <f t="shared" si="870"/>
        <v>5663.507551007232</v>
      </c>
      <c r="Y560" s="26">
        <f>VLOOKUP($C560,COS!$B$8:$H$991,4,FALSE)</f>
        <v>0</v>
      </c>
      <c r="Z560" s="26">
        <f t="shared" si="871"/>
        <v>0</v>
      </c>
      <c r="AA560" s="26">
        <f t="shared" si="898"/>
        <v>0</v>
      </c>
      <c r="AB560" s="33">
        <f t="shared" si="854"/>
        <v>0</v>
      </c>
    </row>
    <row r="561" spans="1:28" x14ac:dyDescent="0.3">
      <c r="A561" s="32">
        <f>VLOOKUP(YEAR(C561),Flags!$A$13:$B$95,2,FALSE)</f>
        <v>1</v>
      </c>
      <c r="B561" s="24">
        <f t="shared" si="841"/>
        <v>1982</v>
      </c>
      <c r="C561" s="25">
        <v>30285</v>
      </c>
      <c r="D561" s="26"/>
      <c r="E561" s="24"/>
      <c r="F561" s="26"/>
      <c r="G561" s="26"/>
      <c r="H561" s="26"/>
      <c r="I561" s="26"/>
      <c r="J561" s="26"/>
      <c r="K561" s="26"/>
      <c r="L561" s="24"/>
      <c r="M561" s="24"/>
      <c r="N561" s="26"/>
      <c r="O561" s="26"/>
      <c r="P561" s="26"/>
      <c r="Q561" s="26"/>
      <c r="R561" s="26"/>
      <c r="S561" s="26"/>
      <c r="T561" s="26"/>
      <c r="U561" s="26"/>
      <c r="V561" s="26"/>
      <c r="W561" s="26">
        <f>MAX($C$10-VLOOKUP($C561,COS!$B$8:$H$991,3,FALSE),0)</f>
        <v>93024.1962890625</v>
      </c>
      <c r="X561" s="26">
        <f t="shared" si="870"/>
        <v>5535.3240767045463</v>
      </c>
      <c r="Y561" s="26">
        <f>VLOOKUP($C561,COS!$B$8:$H$991,4,FALSE)</f>
        <v>0</v>
      </c>
      <c r="Z561" s="26">
        <f t="shared" si="871"/>
        <v>0</v>
      </c>
      <c r="AA561" s="26">
        <f t="shared" si="898"/>
        <v>0</v>
      </c>
      <c r="AB561" s="33">
        <f t="shared" si="854"/>
        <v>0</v>
      </c>
    </row>
    <row r="562" spans="1:28" x14ac:dyDescent="0.3">
      <c r="A562" s="34">
        <f>VLOOKUP(YEAR(C562),Flags!$A$13:$B$95,2,FALSE)</f>
        <v>1</v>
      </c>
      <c r="B562" s="35">
        <f t="shared" si="841"/>
        <v>1982</v>
      </c>
      <c r="C562" s="36">
        <v>30316</v>
      </c>
      <c r="D562" s="37"/>
      <c r="E562" s="35"/>
      <c r="F562" s="37"/>
      <c r="G562" s="37"/>
      <c r="H562" s="37"/>
      <c r="I562" s="37"/>
      <c r="J562" s="37"/>
      <c r="K562" s="37"/>
      <c r="L562" s="35"/>
      <c r="M562" s="35"/>
      <c r="N562" s="37"/>
      <c r="O562" s="37"/>
      <c r="P562" s="37"/>
      <c r="Q562" s="37"/>
      <c r="R562" s="37"/>
      <c r="S562" s="37"/>
      <c r="T562" s="37"/>
      <c r="U562" s="37"/>
      <c r="V562" s="37"/>
      <c r="W562" s="37">
        <f>MAX($C$11-VLOOKUP($C562,COS!$B$8:$H$991,3,FALSE),0)</f>
        <v>0</v>
      </c>
      <c r="X562" s="37">
        <f t="shared" si="870"/>
        <v>0</v>
      </c>
      <c r="Y562" s="37">
        <f>VLOOKUP($C562,COS!$B$8:$H$991,4,FALSE)</f>
        <v>0</v>
      </c>
      <c r="Z562" s="37">
        <f t="shared" si="871"/>
        <v>0</v>
      </c>
      <c r="AA562" s="37">
        <f t="shared" si="898"/>
        <v>0</v>
      </c>
      <c r="AB562" s="38">
        <f t="shared" si="854"/>
        <v>0</v>
      </c>
    </row>
    <row r="563" spans="1:28" x14ac:dyDescent="0.3">
      <c r="A563" s="27">
        <f>VLOOKUP(YEAR(C563),Flags!$A$13:$B$95,2,FALSE)</f>
        <v>1</v>
      </c>
      <c r="B563" s="28">
        <f t="shared" si="841"/>
        <v>1983</v>
      </c>
      <c r="C563" s="29">
        <v>30436</v>
      </c>
      <c r="D563" s="30">
        <f>VLOOKUP($C563,COS!$B$8:$H$991,3,FALSE)</f>
        <v>21283.287109375</v>
      </c>
      <c r="E563" s="28">
        <f>IF(D563&gt;=IF(MONTH($C563)=4,$C$3,IF(MONTH($C563)=5,$C$4,IF(MONTH($C563)=6,$C$5,IF(MONTH($C563)=7,$C$6,"ERROR")))),1,0)</f>
        <v>1</v>
      </c>
      <c r="F563" s="30">
        <f>VLOOKUP($C563,COS!$B$8:$H$991,7,FALSE)</f>
        <v>47.246109008789063</v>
      </c>
      <c r="G563" s="28">
        <f>IF(F563&lt;=IF(MONTH($C563)=4,$F$3,IF(MONTH($C563)=5,$F$4,IF(MONTH($C563)=6,$F$5,IF(MONTH($C563)=7,$F$6,"ERROR")))),1,0)</f>
        <v>1</v>
      </c>
      <c r="H563" s="30">
        <f>IF(J563=1,D563-$C$3,0)</f>
        <v>15283.287109375</v>
      </c>
      <c r="I563" s="30">
        <f t="shared" si="872"/>
        <v>909.4187370867769</v>
      </c>
      <c r="J563" s="28">
        <f t="shared" ref="J563:J566" si="901">IF(AND(E563=1,G563=1),1,0)</f>
        <v>1</v>
      </c>
      <c r="K563" s="30">
        <f>VLOOKUP($C563,COS!$B$8:$H$991,2,FALSE)</f>
        <v>4074</v>
      </c>
      <c r="L563" s="28">
        <f t="shared" ref="L563" si="902">IF(K563&lt;=IF(MONTH($C563)=4,$I$3,IF(MONTH($C563)=5,$I$4,IF(MONTH($C563)=6,$I$5,IF(MONTH($C563)=7,$I$6,"ERROR")))),1,0)</f>
        <v>1</v>
      </c>
      <c r="M563" s="28">
        <f t="shared" ref="M563" si="903">VLOOKUP($A563,$L$3:$M$7,2,FALSE)</f>
        <v>0</v>
      </c>
      <c r="N563" s="30">
        <f>VLOOKUP($C563,COS!$B$8:$H$991,5,FALSE)</f>
        <v>21.902835845947266</v>
      </c>
      <c r="O563" s="30">
        <f t="shared" ref="O563:O566" si="904">N563*DAY($C563)*86400/43560/1000</f>
        <v>1.3033092404200026</v>
      </c>
      <c r="P563" s="30">
        <f>VLOOKUP($C563,COS!$B$8:$H$991,6,FALSE)</f>
        <v>283.12924194335938</v>
      </c>
      <c r="Q563" s="30">
        <f t="shared" ref="Q563:Q566" si="905">P563*DAY($C563)*86400/43560/1000</f>
        <v>16.847359851175103</v>
      </c>
      <c r="R563" s="30">
        <f>MIN(IF(MONTH($C563)=4,$S$3,IF(MONTH($C563)=5,$S$4,IF(MONTH($C563)=6,$S$5,IF(MONTH($C563)=7,$S$6,"ERROR")))),MAX(VLOOKUP($C563,COS!$B$8:$K$991,10,FALSE)-IF(MONTH($C563)=4,$Y$3,IF(MONTH($C563)=5,$Y$4,IF(MONTH($C563)=6,$Y$5,IF(MONTH($C563)=7,$Y$6,"ERROR")))),0),MAX(VLOOKUP($C563,COS!$B$8:$K$991,9,FALSE)-IF(MONTH($C563)=4,$V$3,IF(MONTH($C563)=5,$V$4,IF(MONTH($C563)=6,$V$5,IF(MONTH($C563)=7,$V$6,"ERROR"))))-VLOOKUP($C563,COS!$B$8:$K$991,6,FALSE)/2,0))</f>
        <v>1500</v>
      </c>
      <c r="S563" s="30">
        <f t="shared" ref="S563:S566" si="906">R563*DAY($C563)*86400/43560/1000</f>
        <v>89.256198347107429</v>
      </c>
      <c r="T563" s="30">
        <f t="shared" ref="T563:T566" si="907">(O563+Q563)/2+S563</f>
        <v>98.331532892904988</v>
      </c>
      <c r="U563" s="30" t="str">
        <f>IF(VLOOKUP($C563,COS!$B$8:$I$991,8,FALSE)=1,"UWFE","IBU")</f>
        <v>UWFE</v>
      </c>
      <c r="V563" s="30">
        <f t="shared" ref="V563" si="908">MIN(IF(IF($AA$3=2,AND(E563=1,G563=1,L563=1,L568=1,M563=1,U563="IBU"),AND(E563=1,G563=1,L563=1,L568=1,M563=1)),T563,0),I563)</f>
        <v>0</v>
      </c>
      <c r="W563" s="30"/>
      <c r="X563" s="30"/>
      <c r="Y563" s="30"/>
      <c r="Z563" s="30"/>
      <c r="AA563" s="30"/>
      <c r="AB563" s="31"/>
    </row>
    <row r="564" spans="1:28" x14ac:dyDescent="0.3">
      <c r="A564" s="32">
        <f>VLOOKUP(YEAR(C564),Flags!$A$13:$B$95,2,FALSE)</f>
        <v>1</v>
      </c>
      <c r="B564" s="24">
        <f t="shared" si="841"/>
        <v>1983</v>
      </c>
      <c r="C564" s="25">
        <v>30467</v>
      </c>
      <c r="D564" s="26">
        <f>VLOOKUP($C564,COS!$B$8:$H$991,3,FALSE)</f>
        <v>9426.208984375</v>
      </c>
      <c r="E564" s="24">
        <f>IF(D564&gt;=IF(MONTH($C564)=4,$C$3,IF(MONTH($C564)=5,$C$4,IF(MONTH($C564)=6,$C$5,IF(MONTH($C564)=7,$C$6,"ERROR")))),1,0)</f>
        <v>1</v>
      </c>
      <c r="F564" s="26">
        <f>VLOOKUP($C564,COS!$B$8:$H$991,7,FALSE)</f>
        <v>51.257026672363281</v>
      </c>
      <c r="G564" s="24">
        <f>IF(F564&lt;=IF(MONTH($C564)=4,$F$3,IF(MONTH($C564)=5,$F$4,IF(MONTH($C564)=6,$F$5,IF(MONTH($C564)=7,$F$6,"ERROR")))),1,0)</f>
        <v>1</v>
      </c>
      <c r="H564" s="26">
        <f>IF(J564=1,D564-$C$4,0)</f>
        <v>3426.208984375</v>
      </c>
      <c r="I564" s="26">
        <f t="shared" si="872"/>
        <v>210.66937887396696</v>
      </c>
      <c r="J564" s="24">
        <f t="shared" si="901"/>
        <v>1</v>
      </c>
      <c r="K564" s="26">
        <f>VLOOKUP($C564,COS!$B$8:$H$991,2,FALSE)</f>
        <v>4552</v>
      </c>
      <c r="L564" s="24">
        <f t="shared" si="843"/>
        <v>1</v>
      </c>
      <c r="M564" s="24">
        <f t="shared" si="844"/>
        <v>0</v>
      </c>
      <c r="N564" s="26">
        <f>VLOOKUP($C564,COS!$B$8:$H$991,5,FALSE)</f>
        <v>574.8585205078125</v>
      </c>
      <c r="O564" s="26">
        <f t="shared" si="904"/>
        <v>35.346672665934918</v>
      </c>
      <c r="P564" s="26">
        <f>VLOOKUP($C564,COS!$B$8:$H$991,6,FALSE)</f>
        <v>2133.038330078125</v>
      </c>
      <c r="Q564" s="26">
        <f t="shared" si="905"/>
        <v>131.15541467587809</v>
      </c>
      <c r="R564" s="26">
        <f>MIN(IF(MONTH($C564)=4,$S$3,IF(MONTH($C564)=5,$S$4,IF(MONTH($C564)=6,$S$5,IF(MONTH($C564)=7,$S$6,"ERROR")))),MAX(VLOOKUP($C564,COS!$B$8:$K$991,10,FALSE)-IF(MONTH($C564)=4,$Y$3,IF(MONTH($C564)=5,$Y$4,IF(MONTH($C564)=6,$Y$5,IF(MONTH($C564)=7,$Y$6,"ERROR")))),0),MAX(VLOOKUP($C564,COS!$B$8:$K$991,9,FALSE)-IF(MONTH($C564)=4,$V$3,IF(MONTH($C564)=5,$V$4,IF(MONTH($C564)=6,$V$5,IF(MONTH($C564)=7,$V$6,"ERROR"))))-VLOOKUP($C564,COS!$B$8:$K$991,6,FALSE)/2,0))</f>
        <v>1500</v>
      </c>
      <c r="S564" s="26">
        <f t="shared" si="906"/>
        <v>92.231404958677686</v>
      </c>
      <c r="T564" s="26">
        <f t="shared" si="907"/>
        <v>175.48244862958421</v>
      </c>
      <c r="U564" s="26" t="str">
        <f>IF(VLOOKUP($C564,COS!$B$8:$I$991,8,FALSE)=1,"UWFE","IBU")</f>
        <v>UWFE</v>
      </c>
      <c r="V564" s="26">
        <f t="shared" ref="V564" si="909">MIN(IF(IF($AA$3=2,AND(E564=1,G564=1,L564=1,L568=1,M564=1,U564="IBU"),AND(E564=1,G564=1,L564=1,L568=1,M564=1)),T564,0),I564)</f>
        <v>0</v>
      </c>
      <c r="W564" s="26"/>
      <c r="X564" s="26"/>
      <c r="Y564" s="26"/>
      <c r="Z564" s="26"/>
      <c r="AA564" s="26"/>
      <c r="AB564" s="33"/>
    </row>
    <row r="565" spans="1:28" x14ac:dyDescent="0.3">
      <c r="A565" s="32">
        <f>VLOOKUP(YEAR(C565),Flags!$A$13:$B$95,2,FALSE)</f>
        <v>1</v>
      </c>
      <c r="B565" s="24">
        <f t="shared" si="841"/>
        <v>1983</v>
      </c>
      <c r="C565" s="25">
        <v>30497</v>
      </c>
      <c r="D565" s="26">
        <f>VLOOKUP($C565,COS!$B$8:$H$991,3,FALSE)</f>
        <v>12851.6533203125</v>
      </c>
      <c r="E565" s="24">
        <f>IF(D565&gt;=IF(MONTH($C565)=4,$C$3,IF(MONTH($C565)=5,$C$4,IF(MONTH($C565)=6,$C$5,IF(MONTH($C565)=7,$C$6,"ERROR")))),1,0)</f>
        <v>1</v>
      </c>
      <c r="F565" s="26">
        <f>VLOOKUP($C565,COS!$B$8:$H$991,7,FALSE)</f>
        <v>52.077590942382813</v>
      </c>
      <c r="G565" s="24">
        <f>IF(F565&lt;=IF(MONTH($C565)=4,$F$3,IF(MONTH($C565)=5,$F$4,IF(MONTH($C565)=6,$F$5,IF(MONTH($C565)=7,$F$6,"ERROR")))),1,0)</f>
        <v>1</v>
      </c>
      <c r="H565" s="26">
        <f>IF(J565=1,D565-$C$5,0)</f>
        <v>2851.6533203125</v>
      </c>
      <c r="I565" s="26">
        <f t="shared" si="872"/>
        <v>169.68515625000001</v>
      </c>
      <c r="J565" s="24">
        <f t="shared" si="901"/>
        <v>1</v>
      </c>
      <c r="K565" s="26">
        <f>VLOOKUP($C565,COS!$B$8:$H$991,2,FALSE)</f>
        <v>4500</v>
      </c>
      <c r="L565" s="24">
        <f t="shared" si="843"/>
        <v>1</v>
      </c>
      <c r="M565" s="24">
        <f t="shared" si="844"/>
        <v>0</v>
      </c>
      <c r="N565" s="26">
        <f>VLOOKUP($C565,COS!$B$8:$H$991,5,FALSE)</f>
        <v>1170.465087890625</v>
      </c>
      <c r="O565" s="26">
        <f t="shared" si="904"/>
        <v>69.647509362086765</v>
      </c>
      <c r="P565" s="26">
        <f>VLOOKUP($C565,COS!$B$8:$H$991,6,FALSE)</f>
        <v>2257.964111328125</v>
      </c>
      <c r="Q565" s="26">
        <f t="shared" si="905"/>
        <v>134.35819505423555</v>
      </c>
      <c r="R565" s="26">
        <f>MIN(IF(MONTH($C565)=4,$S$3,IF(MONTH($C565)=5,$S$4,IF(MONTH($C565)=6,$S$5,IF(MONTH($C565)=7,$S$6,"ERROR")))),MAX(VLOOKUP($C565,COS!$B$8:$K$991,10,FALSE)-IF(MONTH($C565)=4,$Y$3,IF(MONTH($C565)=5,$Y$4,IF(MONTH($C565)=6,$Y$5,IF(MONTH($C565)=7,$Y$6,"ERROR")))),0),MAX(VLOOKUP($C565,COS!$B$8:$K$991,9,FALSE)-IF(MONTH($C565)=4,$V$3,IF(MONTH($C565)=5,$V$4,IF(MONTH($C565)=6,$V$5,IF(MONTH($C565)=7,$V$6,"ERROR"))))-VLOOKUP($C565,COS!$B$8:$K$991,6,FALSE)/2,0))</f>
        <v>1500</v>
      </c>
      <c r="S565" s="26">
        <f t="shared" si="906"/>
        <v>89.256198347107429</v>
      </c>
      <c r="T565" s="26">
        <f t="shared" si="907"/>
        <v>191.25905055526857</v>
      </c>
      <c r="U565" s="26" t="str">
        <f>IF(VLOOKUP($C565,COS!$B$8:$I$991,8,FALSE)=1,"UWFE","IBU")</f>
        <v>UWFE</v>
      </c>
      <c r="V565" s="26">
        <f t="shared" ref="V565" si="910">MIN(IF(IF($AA$3=2,AND(E565=1,G565=1,L565=1,L568=1,M565=1,U565="IBU"),AND(E565=1,G565=1,L565=1,L568=1,M565=1)),T565,0),I565)</f>
        <v>0</v>
      </c>
      <c r="W565" s="26"/>
      <c r="X565" s="26"/>
      <c r="Y565" s="26"/>
      <c r="Z565" s="26"/>
      <c r="AA565" s="26"/>
      <c r="AB565" s="33"/>
    </row>
    <row r="566" spans="1:28" x14ac:dyDescent="0.3">
      <c r="A566" s="32">
        <f>VLOOKUP(YEAR(C566),Flags!$A$13:$B$95,2,FALSE)</f>
        <v>1</v>
      </c>
      <c r="B566" s="24">
        <f t="shared" si="841"/>
        <v>1983</v>
      </c>
      <c r="C566" s="25">
        <v>30528</v>
      </c>
      <c r="D566" s="26">
        <f>VLOOKUP($C566,COS!$B$8:$H$991,3,FALSE)</f>
        <v>13464.8525390625</v>
      </c>
      <c r="E566" s="24">
        <f>IF(D566&gt;=IF(MONTH($C566)=4,$C$3,IF(MONTH($C566)=5,$C$4,IF(MONTH($C566)=6,$C$5,IF(MONTH($C566)=7,$C$6,"ERROR")))),1,0)</f>
        <v>1</v>
      </c>
      <c r="F566" s="26">
        <f>VLOOKUP($C566,COS!$B$8:$H$991,7,FALSE)</f>
        <v>52.801334381103516</v>
      </c>
      <c r="G566" s="24">
        <f>IF(F566&lt;=IF(MONTH($C566)=4,$F$3,IF(MONTH($C566)=5,$F$4,IF(MONTH($C566)=6,$F$5,IF(MONTH($C566)=7,$F$6,"ERROR")))),1,0)</f>
        <v>1</v>
      </c>
      <c r="H566" s="26">
        <f>IF(J566=1,D566-$C$6,0)</f>
        <v>1464.8525390625</v>
      </c>
      <c r="I566" s="26">
        <f t="shared" si="872"/>
        <v>90.070271823347113</v>
      </c>
      <c r="J566" s="24">
        <f t="shared" si="901"/>
        <v>1</v>
      </c>
      <c r="K566" s="26">
        <f>VLOOKUP($C566,COS!$B$8:$H$991,2,FALSE)</f>
        <v>4150</v>
      </c>
      <c r="L566" s="24">
        <f t="shared" si="843"/>
        <v>1</v>
      </c>
      <c r="M566" s="24">
        <f t="shared" si="844"/>
        <v>0</v>
      </c>
      <c r="N566" s="26">
        <f>VLOOKUP($C566,COS!$B$8:$H$991,5,FALSE)</f>
        <v>1382.7108154296875</v>
      </c>
      <c r="O566" s="26">
        <f t="shared" si="904"/>
        <v>85.01957410575929</v>
      </c>
      <c r="P566" s="26">
        <f>VLOOKUP($C566,COS!$B$8:$H$991,6,FALSE)</f>
        <v>2616.67822265625</v>
      </c>
      <c r="Q566" s="26">
        <f t="shared" si="905"/>
        <v>160.89327253357436</v>
      </c>
      <c r="R566" s="26">
        <f>MIN(IF(MONTH($C566)=4,$S$3,IF(MONTH($C566)=5,$S$4,IF(MONTH($C566)=6,$S$5,IF(MONTH($C566)=7,$S$6,"ERROR")))),MAX(VLOOKUP($C566,COS!$B$8:$K$991,10,FALSE)-IF(MONTH($C566)=4,$Y$3,IF(MONTH($C566)=5,$Y$4,IF(MONTH($C566)=6,$Y$5,IF(MONTH($C566)=7,$Y$6,"ERROR")))),0),MAX(VLOOKUP($C566,COS!$B$8:$K$991,9,FALSE)-IF(MONTH($C566)=4,$V$3,IF(MONTH($C566)=5,$V$4,IF(MONTH($C566)=6,$V$5,IF(MONTH($C566)=7,$V$6,"ERROR"))))-VLOOKUP($C566,COS!$B$8:$K$991,6,FALSE)/2,0))</f>
        <v>1500</v>
      </c>
      <c r="S566" s="26">
        <f t="shared" si="906"/>
        <v>92.231404958677686</v>
      </c>
      <c r="T566" s="26">
        <f t="shared" si="907"/>
        <v>215.18782827834451</v>
      </c>
      <c r="U566" s="26" t="str">
        <f>IF(VLOOKUP($C566,COS!$B$8:$I$991,8,FALSE)=1,"UWFE","IBU")</f>
        <v>UWFE</v>
      </c>
      <c r="V566" s="26">
        <f t="shared" ref="V566" si="911">MIN(IF(IF($AA$3=2,AND(E566=1,G566=1,L566=1,L568=1,M566=1,U566="IBU"),AND(E566=1,G566=1,L566=1,L568=1,M566=1)),T566,0),I566)</f>
        <v>0</v>
      </c>
      <c r="W566" s="26"/>
      <c r="X566" s="26"/>
      <c r="Y566" s="26"/>
      <c r="Z566" s="26"/>
      <c r="AA566" s="26"/>
      <c r="AB566" s="33"/>
    </row>
    <row r="567" spans="1:28" x14ac:dyDescent="0.3">
      <c r="A567" s="32">
        <f>VLOOKUP(YEAR(C567),Flags!$A$13:$B$95,2,FALSE)</f>
        <v>1</v>
      </c>
      <c r="B567" s="24">
        <f t="shared" si="841"/>
        <v>1983</v>
      </c>
      <c r="C567" s="25">
        <v>30559</v>
      </c>
      <c r="D567" s="26"/>
      <c r="E567" s="24"/>
      <c r="F567" s="26"/>
      <c r="G567" s="24"/>
      <c r="H567" s="24"/>
      <c r="I567" s="26"/>
      <c r="J567" s="24"/>
      <c r="K567" s="26"/>
      <c r="L567" s="24"/>
      <c r="M567" s="24"/>
      <c r="N567" s="26"/>
      <c r="O567" s="26"/>
      <c r="P567" s="26"/>
      <c r="Q567" s="26"/>
      <c r="R567" s="26"/>
      <c r="S567" s="26"/>
      <c r="T567" s="26"/>
      <c r="U567" s="26"/>
      <c r="V567" s="26"/>
      <c r="W567" s="26">
        <f>MAX($C$7-VLOOKUP($C567,COS!$B$8:$H$991,3,FALSE),0)</f>
        <v>86628.7666015625</v>
      </c>
      <c r="X567" s="26">
        <f t="shared" si="870"/>
        <v>5326.5952356663229</v>
      </c>
      <c r="Y567" s="26">
        <f>VLOOKUP($C567,COS!$B$8:$H$991,4,FALSE)</f>
        <v>0</v>
      </c>
      <c r="Z567" s="26">
        <f t="shared" si="871"/>
        <v>0</v>
      </c>
      <c r="AA567" s="26">
        <f t="shared" ref="AA567:AA571" si="912">MIN(W567,Y567)</f>
        <v>0</v>
      </c>
      <c r="AB567" s="33">
        <f t="shared" ref="AB567" si="913">AA567*DAY($C567)*86400/43560/1000*IF(MONTH($C567)=8,$P$3,IF(MONTH($C567)=9,$P$4,IF(MONTH($C567)=10,$P$5,IF(MONTH($C567)=11,$P$6,IF(MONTH($C567)=12,$P$7,NA())))))</f>
        <v>0</v>
      </c>
    </row>
    <row r="568" spans="1:28" x14ac:dyDescent="0.3">
      <c r="A568" s="32">
        <f>VLOOKUP(YEAR(C568),Flags!$A$13:$B$95,2,FALSE)</f>
        <v>1</v>
      </c>
      <c r="B568" s="24">
        <f t="shared" si="841"/>
        <v>1983</v>
      </c>
      <c r="C568" s="25">
        <v>30589</v>
      </c>
      <c r="D568" s="26"/>
      <c r="E568" s="24"/>
      <c r="F568" s="26"/>
      <c r="G568" s="24"/>
      <c r="H568" s="24"/>
      <c r="I568" s="26"/>
      <c r="J568" s="24"/>
      <c r="K568" s="26">
        <f>VLOOKUP($C568,COS!$B$8:$H$991,2,FALSE)</f>
        <v>3400</v>
      </c>
      <c r="L568" s="24">
        <f t="shared" ref="L568" si="914">IF(AND(K568&gt;$I$7,K568&lt;$I$8),1,0)</f>
        <v>1</v>
      </c>
      <c r="M568" s="24"/>
      <c r="N568" s="26"/>
      <c r="O568" s="26"/>
      <c r="P568" s="26"/>
      <c r="Q568" s="26"/>
      <c r="R568" s="26"/>
      <c r="S568" s="26"/>
      <c r="T568" s="26"/>
      <c r="U568" s="26"/>
      <c r="V568" s="26"/>
      <c r="W568" s="26">
        <f>MAX($C$8-VLOOKUP($C568,COS!$B$8:$H$991,3,FALSE),0)</f>
        <v>87804.103515625</v>
      </c>
      <c r="X568" s="26">
        <f t="shared" si="870"/>
        <v>5224.7069860537194</v>
      </c>
      <c r="Y568" s="26">
        <f>VLOOKUP($C568,COS!$B$8:$H$991,4,FALSE)</f>
        <v>0</v>
      </c>
      <c r="Z568" s="26">
        <f t="shared" si="871"/>
        <v>0</v>
      </c>
      <c r="AA568" s="26">
        <f t="shared" si="912"/>
        <v>0</v>
      </c>
      <c r="AB568" s="33">
        <f t="shared" si="854"/>
        <v>0</v>
      </c>
    </row>
    <row r="569" spans="1:28" x14ac:dyDescent="0.3">
      <c r="A569" s="32">
        <f>VLOOKUP(YEAR(C569),Flags!$A$13:$B$95,2,FALSE)</f>
        <v>1</v>
      </c>
      <c r="B569" s="24">
        <f t="shared" si="841"/>
        <v>1983</v>
      </c>
      <c r="C569" s="25">
        <v>30620</v>
      </c>
      <c r="D569" s="26"/>
      <c r="E569" s="24"/>
      <c r="F569" s="26"/>
      <c r="G569" s="26"/>
      <c r="H569" s="26"/>
      <c r="I569" s="26"/>
      <c r="J569" s="26"/>
      <c r="K569" s="26"/>
      <c r="L569" s="24"/>
      <c r="M569" s="24"/>
      <c r="N569" s="26"/>
      <c r="O569" s="26"/>
      <c r="P569" s="26"/>
      <c r="Q569" s="26"/>
      <c r="R569" s="26"/>
      <c r="S569" s="26"/>
      <c r="T569" s="26"/>
      <c r="U569" s="26"/>
      <c r="V569" s="26"/>
      <c r="W569" s="26">
        <f>MAX($C$9-VLOOKUP($C569,COS!$B$8:$H$991,3,FALSE),0)</f>
        <v>90957.4501953125</v>
      </c>
      <c r="X569" s="26">
        <f t="shared" si="870"/>
        <v>5592.7556153150827</v>
      </c>
      <c r="Y569" s="26">
        <f>VLOOKUP($C569,COS!$B$8:$H$991,4,FALSE)</f>
        <v>322.68313598632813</v>
      </c>
      <c r="Z569" s="26">
        <f t="shared" si="871"/>
        <v>19.84101265899406</v>
      </c>
      <c r="AA569" s="26">
        <f t="shared" si="912"/>
        <v>322.68313598632813</v>
      </c>
      <c r="AB569" s="33">
        <f t="shared" si="854"/>
        <v>19.84101265899406</v>
      </c>
    </row>
    <row r="570" spans="1:28" x14ac:dyDescent="0.3">
      <c r="A570" s="32">
        <f>VLOOKUP(YEAR(C570),Flags!$A$13:$B$95,2,FALSE)</f>
        <v>1</v>
      </c>
      <c r="B570" s="24">
        <f t="shared" si="841"/>
        <v>1983</v>
      </c>
      <c r="C570" s="25">
        <v>30650</v>
      </c>
      <c r="D570" s="26"/>
      <c r="E570" s="24"/>
      <c r="F570" s="26"/>
      <c r="G570" s="26"/>
      <c r="H570" s="26"/>
      <c r="I570" s="26"/>
      <c r="J570" s="26"/>
      <c r="K570" s="26"/>
      <c r="L570" s="24"/>
      <c r="M570" s="24"/>
      <c r="N570" s="26"/>
      <c r="O570" s="26"/>
      <c r="P570" s="26"/>
      <c r="Q570" s="26"/>
      <c r="R570" s="26"/>
      <c r="S570" s="26"/>
      <c r="T570" s="26"/>
      <c r="U570" s="26"/>
      <c r="V570" s="26"/>
      <c r="W570" s="26">
        <f>MAX($C$10-VLOOKUP($C570,COS!$B$8:$H$991,3,FALSE),0)</f>
        <v>86177.234375</v>
      </c>
      <c r="X570" s="26">
        <f t="shared" si="870"/>
        <v>5127.901549586777</v>
      </c>
      <c r="Y570" s="26">
        <f>VLOOKUP($C570,COS!$B$8:$H$991,4,FALSE)</f>
        <v>0</v>
      </c>
      <c r="Z570" s="26">
        <f t="shared" si="871"/>
        <v>0</v>
      </c>
      <c r="AA570" s="26">
        <f t="shared" si="912"/>
        <v>0</v>
      </c>
      <c r="AB570" s="33">
        <f t="shared" si="854"/>
        <v>0</v>
      </c>
    </row>
    <row r="571" spans="1:28" x14ac:dyDescent="0.3">
      <c r="A571" s="34">
        <f>VLOOKUP(YEAR(C571),Flags!$A$13:$B$95,2,FALSE)</f>
        <v>1</v>
      </c>
      <c r="B571" s="35">
        <f t="shared" si="841"/>
        <v>1983</v>
      </c>
      <c r="C571" s="36">
        <v>30681</v>
      </c>
      <c r="D571" s="37"/>
      <c r="E571" s="35"/>
      <c r="F571" s="37"/>
      <c r="G571" s="37"/>
      <c r="H571" s="37"/>
      <c r="I571" s="37"/>
      <c r="J571" s="37"/>
      <c r="K571" s="37"/>
      <c r="L571" s="35"/>
      <c r="M571" s="35"/>
      <c r="N571" s="37"/>
      <c r="O571" s="37"/>
      <c r="P571" s="37"/>
      <c r="Q571" s="37"/>
      <c r="R571" s="37"/>
      <c r="S571" s="37"/>
      <c r="T571" s="37"/>
      <c r="U571" s="37"/>
      <c r="V571" s="37"/>
      <c r="W571" s="37">
        <f>MAX($C$11-VLOOKUP($C571,COS!$B$8:$H$991,3,FALSE),0)</f>
        <v>0</v>
      </c>
      <c r="X571" s="37">
        <f t="shared" si="870"/>
        <v>0</v>
      </c>
      <c r="Y571" s="37">
        <f>VLOOKUP($C571,COS!$B$8:$H$991,4,FALSE)</f>
        <v>0</v>
      </c>
      <c r="Z571" s="37">
        <f t="shared" si="871"/>
        <v>0</v>
      </c>
      <c r="AA571" s="37">
        <f t="shared" si="912"/>
        <v>0</v>
      </c>
      <c r="AB571" s="38">
        <f t="shared" si="854"/>
        <v>0</v>
      </c>
    </row>
    <row r="572" spans="1:28" x14ac:dyDescent="0.3">
      <c r="A572" s="27">
        <f>VLOOKUP(YEAR(C572),Flags!$A$13:$B$95,2,FALSE)</f>
        <v>1</v>
      </c>
      <c r="B572" s="28">
        <f t="shared" si="841"/>
        <v>1984</v>
      </c>
      <c r="C572" s="29">
        <v>30802</v>
      </c>
      <c r="D572" s="30">
        <f>VLOOKUP($C572,COS!$B$8:$H$991,3,FALSE)</f>
        <v>3741.849609375</v>
      </c>
      <c r="E572" s="28">
        <f>IF(D572&gt;=IF(MONTH($C572)=4,$C$3,IF(MONTH($C572)=5,$C$4,IF(MONTH($C572)=6,$C$5,IF(MONTH($C572)=7,$C$6,"ERROR")))),1,0)</f>
        <v>0</v>
      </c>
      <c r="F572" s="30">
        <f>VLOOKUP($C572,COS!$B$8:$H$991,7,FALSE)</f>
        <v>49.945255279541016</v>
      </c>
      <c r="G572" s="28">
        <f>IF(F572&lt;=IF(MONTH($C572)=4,$F$3,IF(MONTH($C572)=5,$F$4,IF(MONTH($C572)=6,$F$5,IF(MONTH($C572)=7,$F$6,"ERROR")))),1,0)</f>
        <v>1</v>
      </c>
      <c r="H572" s="30">
        <f>IF(J572=1,D572-$C$3,0)</f>
        <v>0</v>
      </c>
      <c r="I572" s="30">
        <f t="shared" si="872"/>
        <v>0</v>
      </c>
      <c r="J572" s="28">
        <f t="shared" ref="J572:J575" si="915">IF(AND(E572=1,G572=1),1,0)</f>
        <v>0</v>
      </c>
      <c r="K572" s="30">
        <f>VLOOKUP($C572,COS!$B$8:$H$991,2,FALSE)</f>
        <v>4552</v>
      </c>
      <c r="L572" s="28">
        <f t="shared" ref="L572" si="916">IF(K572&lt;=IF(MONTH($C572)=4,$I$3,IF(MONTH($C572)=5,$I$4,IF(MONTH($C572)=6,$I$5,IF(MONTH($C572)=7,$I$6,"ERROR")))),1,0)</f>
        <v>1</v>
      </c>
      <c r="M572" s="28">
        <f t="shared" ref="M572" si="917">VLOOKUP($A572,$L$3:$M$7,2,FALSE)</f>
        <v>0</v>
      </c>
      <c r="N572" s="30">
        <f>VLOOKUP($C572,COS!$B$8:$H$991,5,FALSE)</f>
        <v>325.60305786132813</v>
      </c>
      <c r="O572" s="30">
        <f t="shared" ref="O572:O575" si="918">N572*DAY($C572)*86400/43560/1000</f>
        <v>19.374727409930269</v>
      </c>
      <c r="P572" s="30">
        <f>VLOOKUP($C572,COS!$B$8:$H$991,6,FALSE)</f>
        <v>551.338623046875</v>
      </c>
      <c r="Q572" s="30">
        <f t="shared" ref="Q572:Q575" si="919">P572*DAY($C572)*86400/43560/1000</f>
        <v>32.806926330061984</v>
      </c>
      <c r="R572" s="30">
        <f>MIN(IF(MONTH($C572)=4,$S$3,IF(MONTH($C572)=5,$S$4,IF(MONTH($C572)=6,$S$5,IF(MONTH($C572)=7,$S$6,"ERROR")))),MAX(VLOOKUP($C572,COS!$B$8:$K$991,10,FALSE)-IF(MONTH($C572)=4,$Y$3,IF(MONTH($C572)=5,$Y$4,IF(MONTH($C572)=6,$Y$5,IF(MONTH($C572)=7,$Y$6,"ERROR")))),0),MAX(VLOOKUP($C572,COS!$B$8:$K$991,9,FALSE)-IF(MONTH($C572)=4,$V$3,IF(MONTH($C572)=5,$V$4,IF(MONTH($C572)=6,$V$5,IF(MONTH($C572)=7,$V$6,"ERROR"))))-VLOOKUP($C572,COS!$B$8:$K$991,6,FALSE)/2,0))</f>
        <v>1500</v>
      </c>
      <c r="S572" s="30">
        <f t="shared" ref="S572:S575" si="920">R572*DAY($C572)*86400/43560/1000</f>
        <v>89.256198347107429</v>
      </c>
      <c r="T572" s="30">
        <f t="shared" ref="T572:T575" si="921">(O572+Q572)/2+S572</f>
        <v>115.34702521710355</v>
      </c>
      <c r="U572" s="30" t="str">
        <f>IF(VLOOKUP($C572,COS!$B$8:$I$991,8,FALSE)=1,"UWFE","IBU")</f>
        <v>UWFE</v>
      </c>
      <c r="V572" s="30">
        <f t="shared" ref="V572" si="922">MIN(IF(IF($AA$3=2,AND(E572=1,G572=1,L572=1,L577=1,M572=1,U572="IBU"),AND(E572=1,G572=1,L572=1,L577=1,M572=1)),T572,0),I572)</f>
        <v>0</v>
      </c>
      <c r="W572" s="30"/>
      <c r="X572" s="30"/>
      <c r="Y572" s="30"/>
      <c r="Z572" s="30"/>
      <c r="AA572" s="30"/>
      <c r="AB572" s="31"/>
    </row>
    <row r="573" spans="1:28" x14ac:dyDescent="0.3">
      <c r="A573" s="32">
        <f>VLOOKUP(YEAR(C573),Flags!$A$13:$B$95,2,FALSE)</f>
        <v>1</v>
      </c>
      <c r="B573" s="24">
        <f t="shared" si="841"/>
        <v>1984</v>
      </c>
      <c r="C573" s="25">
        <v>30833</v>
      </c>
      <c r="D573" s="26">
        <f>VLOOKUP($C573,COS!$B$8:$H$991,3,FALSE)</f>
        <v>7339.09130859375</v>
      </c>
      <c r="E573" s="24">
        <f>IF(D573&gt;=IF(MONTH($C573)=4,$C$3,IF(MONTH($C573)=5,$C$4,IF(MONTH($C573)=6,$C$5,IF(MONTH($C573)=7,$C$6,"ERROR")))),1,0)</f>
        <v>1</v>
      </c>
      <c r="F573" s="26">
        <f>VLOOKUP($C573,COS!$B$8:$H$991,7,FALSE)</f>
        <v>50.413700103759766</v>
      </c>
      <c r="G573" s="24">
        <f>IF(F573&lt;=IF(MONTH($C573)=4,$F$3,IF(MONTH($C573)=5,$F$4,IF(MONTH($C573)=6,$F$5,IF(MONTH($C573)=7,$F$6,"ERROR")))),1,0)</f>
        <v>1</v>
      </c>
      <c r="H573" s="26">
        <f>IF(J573=1,D573-$C$4,0)</f>
        <v>1339.09130859375</v>
      </c>
      <c r="I573" s="26">
        <f t="shared" si="872"/>
        <v>82.33751517303719</v>
      </c>
      <c r="J573" s="24">
        <f t="shared" si="915"/>
        <v>1</v>
      </c>
      <c r="K573" s="26">
        <f>VLOOKUP($C573,COS!$B$8:$H$991,2,FALSE)</f>
        <v>4539.20361328125</v>
      </c>
      <c r="L573" s="24">
        <f t="shared" si="843"/>
        <v>1</v>
      </c>
      <c r="M573" s="24">
        <f t="shared" si="844"/>
        <v>0</v>
      </c>
      <c r="N573" s="26">
        <f>VLOOKUP($C573,COS!$B$8:$H$991,5,FALSE)</f>
        <v>787.246337890625</v>
      </c>
      <c r="O573" s="26">
        <f t="shared" si="918"/>
        <v>48.405890528150827</v>
      </c>
      <c r="P573" s="26">
        <f>VLOOKUP($C573,COS!$B$8:$H$991,6,FALSE)</f>
        <v>2330.58056640625</v>
      </c>
      <c r="Q573" s="26">
        <f t="shared" si="919"/>
        <v>143.30181333935951</v>
      </c>
      <c r="R573" s="26">
        <f>MIN(IF(MONTH($C573)=4,$S$3,IF(MONTH($C573)=5,$S$4,IF(MONTH($C573)=6,$S$5,IF(MONTH($C573)=7,$S$6,"ERROR")))),MAX(VLOOKUP($C573,COS!$B$8:$K$991,10,FALSE)-IF(MONTH($C573)=4,$Y$3,IF(MONTH($C573)=5,$Y$4,IF(MONTH($C573)=6,$Y$5,IF(MONTH($C573)=7,$Y$6,"ERROR")))),0),MAX(VLOOKUP($C573,COS!$B$8:$K$991,9,FALSE)-IF(MONTH($C573)=4,$V$3,IF(MONTH($C573)=5,$V$4,IF(MONTH($C573)=6,$V$5,IF(MONTH($C573)=7,$V$6,"ERROR"))))-VLOOKUP($C573,COS!$B$8:$K$991,6,FALSE)/2,0))</f>
        <v>1500</v>
      </c>
      <c r="S573" s="26">
        <f t="shared" si="920"/>
        <v>92.231404958677686</v>
      </c>
      <c r="T573" s="26">
        <f t="shared" si="921"/>
        <v>188.08525689243285</v>
      </c>
      <c r="U573" s="26" t="str">
        <f>IF(VLOOKUP($C573,COS!$B$8:$I$991,8,FALSE)=1,"UWFE","IBU")</f>
        <v>UWFE</v>
      </c>
      <c r="V573" s="26">
        <f t="shared" ref="V573" si="923">MIN(IF(IF($AA$3=2,AND(E573=1,G573=1,L573=1,L577=1,M573=1,U573="IBU"),AND(E573=1,G573=1,L573=1,L577=1,M573=1)),T573,0),I573)</f>
        <v>0</v>
      </c>
      <c r="W573" s="26"/>
      <c r="X573" s="26"/>
      <c r="Y573" s="26"/>
      <c r="Z573" s="26"/>
      <c r="AA573" s="26"/>
      <c r="AB573" s="33"/>
    </row>
    <row r="574" spans="1:28" x14ac:dyDescent="0.3">
      <c r="A574" s="32">
        <f>VLOOKUP(YEAR(C574),Flags!$A$13:$B$95,2,FALSE)</f>
        <v>1</v>
      </c>
      <c r="B574" s="24">
        <f t="shared" si="841"/>
        <v>1984</v>
      </c>
      <c r="C574" s="25">
        <v>30863</v>
      </c>
      <c r="D574" s="26">
        <f>VLOOKUP($C574,COS!$B$8:$H$991,3,FALSE)</f>
        <v>11324.5849609375</v>
      </c>
      <c r="E574" s="24">
        <f>IF(D574&gt;=IF(MONTH($C574)=4,$C$3,IF(MONTH($C574)=5,$C$4,IF(MONTH($C574)=6,$C$5,IF(MONTH($C574)=7,$C$6,"ERROR")))),1,0)</f>
        <v>1</v>
      </c>
      <c r="F574" s="26">
        <f>VLOOKUP($C574,COS!$B$8:$H$991,7,FALSE)</f>
        <v>50.518535614013672</v>
      </c>
      <c r="G574" s="24">
        <f>IF(F574&lt;=IF(MONTH($C574)=4,$F$3,IF(MONTH($C574)=5,$F$4,IF(MONTH($C574)=6,$F$5,IF(MONTH($C574)=7,$F$6,"ERROR")))),1,0)</f>
        <v>1</v>
      </c>
      <c r="H574" s="26">
        <f>IF(J574=1,D574-$C$5,0)</f>
        <v>1324.5849609375</v>
      </c>
      <c r="I574" s="26">
        <f t="shared" si="872"/>
        <v>78.818278667355372</v>
      </c>
      <c r="J574" s="24">
        <f t="shared" si="915"/>
        <v>1</v>
      </c>
      <c r="K574" s="26">
        <f>VLOOKUP($C574,COS!$B$8:$H$991,2,FALSE)</f>
        <v>4156.24755859375</v>
      </c>
      <c r="L574" s="24">
        <f t="shared" si="843"/>
        <v>1</v>
      </c>
      <c r="M574" s="24">
        <f t="shared" si="844"/>
        <v>0</v>
      </c>
      <c r="N574" s="26">
        <f>VLOOKUP($C574,COS!$B$8:$H$991,5,FALSE)</f>
        <v>904.4803466796875</v>
      </c>
      <c r="O574" s="26">
        <f t="shared" si="918"/>
        <v>53.820318149535126</v>
      </c>
      <c r="P574" s="26">
        <f>VLOOKUP($C574,COS!$B$8:$H$991,6,FALSE)</f>
        <v>2326.57470703125</v>
      </c>
      <c r="Q574" s="26">
        <f t="shared" si="919"/>
        <v>138.44080901342974</v>
      </c>
      <c r="R574" s="26">
        <f>MIN(IF(MONTH($C574)=4,$S$3,IF(MONTH($C574)=5,$S$4,IF(MONTH($C574)=6,$S$5,IF(MONTH($C574)=7,$S$6,"ERROR")))),MAX(VLOOKUP($C574,COS!$B$8:$K$991,10,FALSE)-IF(MONTH($C574)=4,$Y$3,IF(MONTH($C574)=5,$Y$4,IF(MONTH($C574)=6,$Y$5,IF(MONTH($C574)=7,$Y$6,"ERROR")))),0),MAX(VLOOKUP($C574,COS!$B$8:$K$991,9,FALSE)-IF(MONTH($C574)=4,$V$3,IF(MONTH($C574)=5,$V$4,IF(MONTH($C574)=6,$V$5,IF(MONTH($C574)=7,$V$6,"ERROR"))))-VLOOKUP($C574,COS!$B$8:$K$991,6,FALSE)/2,0))</f>
        <v>1500</v>
      </c>
      <c r="S574" s="26">
        <f t="shared" si="920"/>
        <v>89.256198347107429</v>
      </c>
      <c r="T574" s="26">
        <f t="shared" si="921"/>
        <v>185.38676192858986</v>
      </c>
      <c r="U574" s="26" t="str">
        <f>IF(VLOOKUP($C574,COS!$B$8:$I$991,8,FALSE)=1,"UWFE","IBU")</f>
        <v>IBU</v>
      </c>
      <c r="V574" s="26">
        <f t="shared" ref="V574" si="924">MIN(IF(IF($AA$3=2,AND(E574=1,G574=1,L574=1,L577=1,M574=1,U574="IBU"),AND(E574=1,G574=1,L574=1,L577=1,M574=1)),T574,0),I574)</f>
        <v>0</v>
      </c>
      <c r="W574" s="26"/>
      <c r="X574" s="26"/>
      <c r="Y574" s="26"/>
      <c r="Z574" s="26"/>
      <c r="AA574" s="26"/>
      <c r="AB574" s="33"/>
    </row>
    <row r="575" spans="1:28" x14ac:dyDescent="0.3">
      <c r="A575" s="32">
        <f>VLOOKUP(YEAR(C575),Flags!$A$13:$B$95,2,FALSE)</f>
        <v>1</v>
      </c>
      <c r="B575" s="24">
        <f t="shared" si="841"/>
        <v>1984</v>
      </c>
      <c r="C575" s="25">
        <v>30894</v>
      </c>
      <c r="D575" s="26">
        <f>VLOOKUP($C575,COS!$B$8:$H$991,3,FALSE)</f>
        <v>16000</v>
      </c>
      <c r="E575" s="24">
        <f>IF(D575&gt;=IF(MONTH($C575)=4,$C$3,IF(MONTH($C575)=5,$C$4,IF(MONTH($C575)=6,$C$5,IF(MONTH($C575)=7,$C$6,"ERROR")))),1,0)</f>
        <v>1</v>
      </c>
      <c r="F575" s="26">
        <f>VLOOKUP($C575,COS!$B$8:$H$991,7,FALSE)</f>
        <v>51.311916351318359</v>
      </c>
      <c r="G575" s="24">
        <f>IF(F575&lt;=IF(MONTH($C575)=4,$F$3,IF(MONTH($C575)=5,$F$4,IF(MONTH($C575)=6,$F$5,IF(MONTH($C575)=7,$F$6,"ERROR")))),1,0)</f>
        <v>1</v>
      </c>
      <c r="H575" s="26">
        <f>IF(J575=1,D575-$C$6,0)</f>
        <v>4000</v>
      </c>
      <c r="I575" s="26">
        <f t="shared" si="872"/>
        <v>245.95041322314049</v>
      </c>
      <c r="J575" s="24">
        <f t="shared" si="915"/>
        <v>1</v>
      </c>
      <c r="K575" s="26">
        <f>VLOOKUP($C575,COS!$B$8:$H$991,2,FALSE)</f>
        <v>3457.78173828125</v>
      </c>
      <c r="L575" s="24">
        <f t="shared" si="843"/>
        <v>1</v>
      </c>
      <c r="M575" s="24">
        <f t="shared" si="844"/>
        <v>0</v>
      </c>
      <c r="N575" s="26">
        <f>VLOOKUP($C575,COS!$B$8:$H$991,5,FALSE)</f>
        <v>1002.6513061523438</v>
      </c>
      <c r="O575" s="26">
        <f t="shared" si="918"/>
        <v>61.650625766722627</v>
      </c>
      <c r="P575" s="26">
        <f>VLOOKUP($C575,COS!$B$8:$H$991,6,FALSE)</f>
        <v>2616.67822265625</v>
      </c>
      <c r="Q575" s="26">
        <f t="shared" si="919"/>
        <v>160.89327253357436</v>
      </c>
      <c r="R575" s="26">
        <f>MIN(IF(MONTH($C575)=4,$S$3,IF(MONTH($C575)=5,$S$4,IF(MONTH($C575)=6,$S$5,IF(MONTH($C575)=7,$S$6,"ERROR")))),MAX(VLOOKUP($C575,COS!$B$8:$K$991,10,FALSE)-IF(MONTH($C575)=4,$Y$3,IF(MONTH($C575)=5,$Y$4,IF(MONTH($C575)=6,$Y$5,IF(MONTH($C575)=7,$Y$6,"ERROR")))),0),MAX(VLOOKUP($C575,COS!$B$8:$K$991,9,FALSE)-IF(MONTH($C575)=4,$V$3,IF(MONTH($C575)=5,$V$4,IF(MONTH($C575)=6,$V$5,IF(MONTH($C575)=7,$V$6,"ERROR"))))-VLOOKUP($C575,COS!$B$8:$K$991,6,FALSE)/2,0))</f>
        <v>1500</v>
      </c>
      <c r="S575" s="26">
        <f t="shared" si="920"/>
        <v>92.231404958677686</v>
      </c>
      <c r="T575" s="26">
        <f t="shared" si="921"/>
        <v>203.50335410882616</v>
      </c>
      <c r="U575" s="26" t="str">
        <f>IF(VLOOKUP($C575,COS!$B$8:$I$991,8,FALSE)=1,"UWFE","IBU")</f>
        <v>IBU</v>
      </c>
      <c r="V575" s="26">
        <f t="shared" ref="V575" si="925">MIN(IF(IF($AA$3=2,AND(E575=1,G575=1,L575=1,L577=1,M575=1,U575="IBU"),AND(E575=1,G575=1,L575=1,L577=1,M575=1)),T575,0),I575)</f>
        <v>0</v>
      </c>
      <c r="W575" s="26"/>
      <c r="X575" s="26"/>
      <c r="Y575" s="26"/>
      <c r="Z575" s="26"/>
      <c r="AA575" s="26"/>
      <c r="AB575" s="33"/>
    </row>
    <row r="576" spans="1:28" x14ac:dyDescent="0.3">
      <c r="A576" s="32">
        <f>VLOOKUP(YEAR(C576),Flags!$A$13:$B$95,2,FALSE)</f>
        <v>1</v>
      </c>
      <c r="B576" s="24">
        <f t="shared" si="841"/>
        <v>1984</v>
      </c>
      <c r="C576" s="25">
        <v>30925</v>
      </c>
      <c r="D576" s="26"/>
      <c r="E576" s="24"/>
      <c r="F576" s="26"/>
      <c r="G576" s="24"/>
      <c r="H576" s="24"/>
      <c r="I576" s="26"/>
      <c r="J576" s="24"/>
      <c r="K576" s="26"/>
      <c r="L576" s="24"/>
      <c r="M576" s="24"/>
      <c r="N576" s="26"/>
      <c r="O576" s="26"/>
      <c r="P576" s="26"/>
      <c r="Q576" s="26"/>
      <c r="R576" s="26"/>
      <c r="S576" s="26"/>
      <c r="T576" s="26"/>
      <c r="U576" s="26"/>
      <c r="V576" s="26"/>
      <c r="W576" s="26">
        <f>MAX($C$7-VLOOKUP($C576,COS!$B$8:$H$991,3,FALSE),0)</f>
        <v>91391.3505859375</v>
      </c>
      <c r="X576" s="26">
        <f t="shared" si="870"/>
        <v>5619.4351104080579</v>
      </c>
      <c r="Y576" s="26">
        <f>VLOOKUP($C576,COS!$B$8:$H$991,4,FALSE)</f>
        <v>0</v>
      </c>
      <c r="Z576" s="26">
        <f t="shared" si="871"/>
        <v>0</v>
      </c>
      <c r="AA576" s="26">
        <f t="shared" ref="AA576:AA580" si="926">MIN(W576,Y576)</f>
        <v>0</v>
      </c>
      <c r="AB576" s="33">
        <f t="shared" ref="AB576" si="927">AA576*DAY($C576)*86400/43560/1000*IF(MONTH($C576)=8,$P$3,IF(MONTH($C576)=9,$P$4,IF(MONTH($C576)=10,$P$5,IF(MONTH($C576)=11,$P$6,IF(MONTH($C576)=12,$P$7,NA())))))</f>
        <v>0</v>
      </c>
    </row>
    <row r="577" spans="1:28" x14ac:dyDescent="0.3">
      <c r="A577" s="32">
        <f>VLOOKUP(YEAR(C577),Flags!$A$13:$B$95,2,FALSE)</f>
        <v>1</v>
      </c>
      <c r="B577" s="24">
        <f t="shared" si="841"/>
        <v>1984</v>
      </c>
      <c r="C577" s="25">
        <v>30955</v>
      </c>
      <c r="D577" s="26"/>
      <c r="E577" s="24"/>
      <c r="F577" s="26"/>
      <c r="G577" s="24"/>
      <c r="H577" s="24"/>
      <c r="I577" s="26"/>
      <c r="J577" s="24"/>
      <c r="K577" s="26">
        <f>VLOOKUP($C577,COS!$B$8:$H$991,2,FALSE)</f>
        <v>2599.457763671875</v>
      </c>
      <c r="L577" s="24">
        <f t="shared" ref="L577" si="928">IF(AND(K577&gt;$I$7,K577&lt;$I$8),1,0)</f>
        <v>1</v>
      </c>
      <c r="M577" s="24"/>
      <c r="N577" s="26"/>
      <c r="O577" s="26"/>
      <c r="P577" s="26"/>
      <c r="Q577" s="26"/>
      <c r="R577" s="26"/>
      <c r="S577" s="26"/>
      <c r="T577" s="26"/>
      <c r="U577" s="26"/>
      <c r="V577" s="26"/>
      <c r="W577" s="26">
        <f>MAX($C$8-VLOOKUP($C577,COS!$B$8:$H$991,3,FALSE),0)</f>
        <v>83999</v>
      </c>
      <c r="X577" s="26">
        <f t="shared" si="870"/>
        <v>4998.2876033057846</v>
      </c>
      <c r="Y577" s="26">
        <f>VLOOKUP($C577,COS!$B$8:$H$991,4,FALSE)</f>
        <v>489.46258544921875</v>
      </c>
      <c r="Z577" s="26">
        <f t="shared" si="871"/>
        <v>29.12504640689566</v>
      </c>
      <c r="AA577" s="26">
        <f t="shared" si="926"/>
        <v>489.46258544921875</v>
      </c>
      <c r="AB577" s="33">
        <f t="shared" si="854"/>
        <v>29.12504640689566</v>
      </c>
    </row>
    <row r="578" spans="1:28" x14ac:dyDescent="0.3">
      <c r="A578" s="32">
        <f>VLOOKUP(YEAR(C578),Flags!$A$13:$B$95,2,FALSE)</f>
        <v>1</v>
      </c>
      <c r="B578" s="24">
        <f t="shared" si="841"/>
        <v>1984</v>
      </c>
      <c r="C578" s="25">
        <v>30986</v>
      </c>
      <c r="D578" s="26"/>
      <c r="E578" s="24"/>
      <c r="F578" s="26"/>
      <c r="G578" s="26"/>
      <c r="H578" s="26"/>
      <c r="I578" s="26"/>
      <c r="J578" s="26"/>
      <c r="K578" s="26"/>
      <c r="L578" s="24"/>
      <c r="M578" s="24"/>
      <c r="N578" s="26"/>
      <c r="O578" s="26"/>
      <c r="P578" s="26"/>
      <c r="Q578" s="26"/>
      <c r="R578" s="26"/>
      <c r="S578" s="26"/>
      <c r="T578" s="26"/>
      <c r="U578" s="26"/>
      <c r="V578" s="26"/>
      <c r="W578" s="26">
        <f>MAX($C$9-VLOOKUP($C578,COS!$B$8:$H$991,3,FALSE),0)</f>
        <v>92538.021484375</v>
      </c>
      <c r="X578" s="26">
        <f t="shared" si="870"/>
        <v>5689.9411557334706</v>
      </c>
      <c r="Y578" s="26">
        <f>VLOOKUP($C578,COS!$B$8:$H$991,4,FALSE)</f>
        <v>692.67999267578125</v>
      </c>
      <c r="Z578" s="26">
        <f t="shared" si="871"/>
        <v>42.591232607502583</v>
      </c>
      <c r="AA578" s="26">
        <f t="shared" si="926"/>
        <v>692.67999267578125</v>
      </c>
      <c r="AB578" s="33">
        <f t="shared" si="854"/>
        <v>42.591232607502583</v>
      </c>
    </row>
    <row r="579" spans="1:28" x14ac:dyDescent="0.3">
      <c r="A579" s="32">
        <f>VLOOKUP(YEAR(C579),Flags!$A$13:$B$95,2,FALSE)</f>
        <v>1</v>
      </c>
      <c r="B579" s="24">
        <f t="shared" si="841"/>
        <v>1984</v>
      </c>
      <c r="C579" s="25">
        <v>31016</v>
      </c>
      <c r="D579" s="26"/>
      <c r="E579" s="24"/>
      <c r="F579" s="26"/>
      <c r="G579" s="26"/>
      <c r="H579" s="26"/>
      <c r="I579" s="26"/>
      <c r="J579" s="26"/>
      <c r="K579" s="26"/>
      <c r="L579" s="24"/>
      <c r="M579" s="24"/>
      <c r="N579" s="26"/>
      <c r="O579" s="26"/>
      <c r="P579" s="26"/>
      <c r="Q579" s="26"/>
      <c r="R579" s="26"/>
      <c r="S579" s="26"/>
      <c r="T579" s="26"/>
      <c r="U579" s="26"/>
      <c r="V579" s="26"/>
      <c r="W579" s="26">
        <f>MAX($C$10-VLOOKUP($C579,COS!$B$8:$H$991,3,FALSE),0)</f>
        <v>96749</v>
      </c>
      <c r="X579" s="26">
        <f t="shared" si="870"/>
        <v>5756.965289256198</v>
      </c>
      <c r="Y579" s="26">
        <f>VLOOKUP($C579,COS!$B$8:$H$991,4,FALSE)</f>
        <v>0</v>
      </c>
      <c r="Z579" s="26">
        <f t="shared" si="871"/>
        <v>0</v>
      </c>
      <c r="AA579" s="26">
        <f t="shared" si="926"/>
        <v>0</v>
      </c>
      <c r="AB579" s="33">
        <f t="shared" si="854"/>
        <v>0</v>
      </c>
    </row>
    <row r="580" spans="1:28" x14ac:dyDescent="0.3">
      <c r="A580" s="34">
        <f>VLOOKUP(YEAR(C580),Flags!$A$13:$B$95,2,FALSE)</f>
        <v>1</v>
      </c>
      <c r="B580" s="35">
        <f t="shared" si="841"/>
        <v>1984</v>
      </c>
      <c r="C580" s="36">
        <v>31047</v>
      </c>
      <c r="D580" s="37"/>
      <c r="E580" s="35"/>
      <c r="F580" s="37"/>
      <c r="G580" s="37"/>
      <c r="H580" s="37"/>
      <c r="I580" s="37"/>
      <c r="J580" s="37"/>
      <c r="K580" s="37"/>
      <c r="L580" s="35"/>
      <c r="M580" s="35"/>
      <c r="N580" s="37"/>
      <c r="O580" s="37"/>
      <c r="P580" s="37"/>
      <c r="Q580" s="37"/>
      <c r="R580" s="37"/>
      <c r="S580" s="37"/>
      <c r="T580" s="37"/>
      <c r="U580" s="37"/>
      <c r="V580" s="37"/>
      <c r="W580" s="37">
        <f>MAX($C$11-VLOOKUP($C580,COS!$B$8:$H$991,3,FALSE),0)</f>
        <v>0</v>
      </c>
      <c r="X580" s="37">
        <f t="shared" si="870"/>
        <v>0</v>
      </c>
      <c r="Y580" s="37">
        <f>VLOOKUP($C580,COS!$B$8:$H$991,4,FALSE)</f>
        <v>0</v>
      </c>
      <c r="Z580" s="37">
        <f t="shared" si="871"/>
        <v>0</v>
      </c>
      <c r="AA580" s="37">
        <f t="shared" si="926"/>
        <v>0</v>
      </c>
      <c r="AB580" s="38">
        <f t="shared" si="854"/>
        <v>0</v>
      </c>
    </row>
    <row r="581" spans="1:28" x14ac:dyDescent="0.3">
      <c r="A581" s="27">
        <f>VLOOKUP(YEAR(C581),Flags!$A$13:$B$95,2,FALSE)</f>
        <v>3</v>
      </c>
      <c r="B581" s="28">
        <f t="shared" si="841"/>
        <v>1985</v>
      </c>
      <c r="C581" s="29">
        <v>31167</v>
      </c>
      <c r="D581" s="30">
        <f>VLOOKUP($C581,COS!$B$8:$H$991,3,FALSE)</f>
        <v>3250</v>
      </c>
      <c r="E581" s="28">
        <f>IF(D581&gt;=IF(MONTH($C581)=4,$C$3,IF(MONTH($C581)=5,$C$4,IF(MONTH($C581)=6,$C$5,IF(MONTH($C581)=7,$C$6,"ERROR")))),1,0)</f>
        <v>0</v>
      </c>
      <c r="F581" s="30">
        <f>VLOOKUP($C581,COS!$B$8:$H$991,7,FALSE)</f>
        <v>52.461292266845703</v>
      </c>
      <c r="G581" s="28">
        <f>IF(F581&lt;=IF(MONTH($C581)=4,$F$3,IF(MONTH($C581)=5,$F$4,IF(MONTH($C581)=6,$F$5,IF(MONTH($C581)=7,$F$6,"ERROR")))),1,0)</f>
        <v>1</v>
      </c>
      <c r="H581" s="30">
        <f>IF(J581=1,D581-$C$3,0)</f>
        <v>0</v>
      </c>
      <c r="I581" s="30">
        <f t="shared" si="872"/>
        <v>0</v>
      </c>
      <c r="J581" s="28">
        <f t="shared" ref="J581:J584" si="929">IF(AND(E581=1,G581=1),1,0)</f>
        <v>0</v>
      </c>
      <c r="K581" s="30">
        <f>VLOOKUP($C581,COS!$B$8:$H$991,2,FALSE)</f>
        <v>3952.674072265625</v>
      </c>
      <c r="L581" s="28">
        <f t="shared" ref="L581" si="930">IF(K581&lt;=IF(MONTH($C581)=4,$I$3,IF(MONTH($C581)=5,$I$4,IF(MONTH($C581)=6,$I$5,IF(MONTH($C581)=7,$I$6,"ERROR")))),1,0)</f>
        <v>1</v>
      </c>
      <c r="M581" s="28">
        <f t="shared" ref="M581" si="931">VLOOKUP($A581,$L$3:$M$7,2,FALSE)</f>
        <v>0</v>
      </c>
      <c r="N581" s="30">
        <f>VLOOKUP($C581,COS!$B$8:$H$991,5,FALSE)</f>
        <v>325.05386352539063</v>
      </c>
      <c r="O581" s="30">
        <f t="shared" ref="O581:O584" si="932">N581*DAY($C581)*86400/43560/1000</f>
        <v>19.342048077543907</v>
      </c>
      <c r="P581" s="30">
        <f>VLOOKUP($C581,COS!$B$8:$H$991,6,FALSE)</f>
        <v>469.97174072265625</v>
      </c>
      <c r="Q581" s="30">
        <f t="shared" ref="Q581:Q584" si="933">P581*DAY($C581)*86400/43560/1000</f>
        <v>27.965260604984504</v>
      </c>
      <c r="R581" s="30">
        <f>MIN(IF(MONTH($C581)=4,$S$3,IF(MONTH($C581)=5,$S$4,IF(MONTH($C581)=6,$S$5,IF(MONTH($C581)=7,$S$6,"ERROR")))),MAX(VLOOKUP($C581,COS!$B$8:$K$991,10,FALSE)-IF(MONTH($C581)=4,$Y$3,IF(MONTH($C581)=5,$Y$4,IF(MONTH($C581)=6,$Y$5,IF(MONTH($C581)=7,$Y$6,"ERROR")))),0),MAX(VLOOKUP($C581,COS!$B$8:$K$991,9,FALSE)-IF(MONTH($C581)=4,$V$3,IF(MONTH($C581)=5,$V$4,IF(MONTH($C581)=6,$V$5,IF(MONTH($C581)=7,$V$6,"ERROR"))))-VLOOKUP($C581,COS!$B$8:$K$991,6,FALSE)/2,0))</f>
        <v>1164.9433288574219</v>
      </c>
      <c r="S581" s="30">
        <f t="shared" ref="S581:S584" si="934">R581*DAY($C581)*86400/43560/1000</f>
        <v>69.318941882425108</v>
      </c>
      <c r="T581" s="30">
        <f t="shared" ref="T581:T584" si="935">(O581+Q581)/2+S581</f>
        <v>92.972596223689322</v>
      </c>
      <c r="U581" s="30" t="str">
        <f>IF(VLOOKUP($C581,COS!$B$8:$I$991,8,FALSE)=1,"UWFE","IBU")</f>
        <v>UWFE</v>
      </c>
      <c r="V581" s="30">
        <f t="shared" ref="V581" si="936">MIN(IF(IF($AA$3=2,AND(E581=1,G581=1,L581=1,L586=1,M581=1,U581="IBU"),AND(E581=1,G581=1,L581=1,L586=1,M581=1)),T581,0),I581)</f>
        <v>0</v>
      </c>
      <c r="W581" s="30"/>
      <c r="X581" s="30"/>
      <c r="Y581" s="30"/>
      <c r="Z581" s="30"/>
      <c r="AA581" s="30"/>
      <c r="AB581" s="31"/>
    </row>
    <row r="582" spans="1:28" x14ac:dyDescent="0.3">
      <c r="A582" s="32">
        <f>VLOOKUP(YEAR(C582),Flags!$A$13:$B$95,2,FALSE)</f>
        <v>3</v>
      </c>
      <c r="B582" s="24">
        <f t="shared" si="841"/>
        <v>1985</v>
      </c>
      <c r="C582" s="25">
        <v>31198</v>
      </c>
      <c r="D582" s="26">
        <f>VLOOKUP($C582,COS!$B$8:$H$991,3,FALSE)</f>
        <v>8077.96923828125</v>
      </c>
      <c r="E582" s="24">
        <f>IF(D582&gt;=IF(MONTH($C582)=4,$C$3,IF(MONTH($C582)=5,$C$4,IF(MONTH($C582)=6,$C$5,IF(MONTH($C582)=7,$C$6,"ERROR")))),1,0)</f>
        <v>1</v>
      </c>
      <c r="F582" s="26">
        <f>VLOOKUP($C582,COS!$B$8:$H$991,7,FALSE)</f>
        <v>50.861595153808594</v>
      </c>
      <c r="G582" s="24">
        <f>IF(F582&lt;=IF(MONTH($C582)=4,$F$3,IF(MONTH($C582)=5,$F$4,IF(MONTH($C582)=6,$F$5,IF(MONTH($C582)=7,$F$6,"ERROR")))),1,0)</f>
        <v>1</v>
      </c>
      <c r="H582" s="26">
        <f>IF(J582=1,D582-$C$4,0)</f>
        <v>2077.96923828125</v>
      </c>
      <c r="I582" s="26">
        <f t="shared" si="872"/>
        <v>127.76934820506197</v>
      </c>
      <c r="J582" s="24">
        <f t="shared" si="929"/>
        <v>1</v>
      </c>
      <c r="K582" s="26">
        <f>VLOOKUP($C582,COS!$B$8:$H$991,2,FALSE)</f>
        <v>3694.770751953125</v>
      </c>
      <c r="L582" s="24">
        <f t="shared" si="843"/>
        <v>1</v>
      </c>
      <c r="M582" s="24">
        <f t="shared" si="844"/>
        <v>0</v>
      </c>
      <c r="N582" s="26">
        <f>VLOOKUP($C582,COS!$B$8:$H$991,5,FALSE)</f>
        <v>497.94390869140625</v>
      </c>
      <c r="O582" s="26">
        <f t="shared" si="932"/>
        <v>30.617377526149276</v>
      </c>
      <c r="P582" s="26">
        <f>VLOOKUP($C582,COS!$B$8:$H$991,6,FALSE)</f>
        <v>2340.425048828125</v>
      </c>
      <c r="Q582" s="26">
        <f t="shared" si="933"/>
        <v>143.90712696926653</v>
      </c>
      <c r="R582" s="26">
        <f>MIN(IF(MONTH($C582)=4,$S$3,IF(MONTH($C582)=5,$S$4,IF(MONTH($C582)=6,$S$5,IF(MONTH($C582)=7,$S$6,"ERROR")))),MAX(VLOOKUP($C582,COS!$B$8:$K$991,10,FALSE)-IF(MONTH($C582)=4,$Y$3,IF(MONTH($C582)=5,$Y$4,IF(MONTH($C582)=6,$Y$5,IF(MONTH($C582)=7,$Y$6,"ERROR")))),0),MAX(VLOOKUP($C582,COS!$B$8:$K$991,9,FALSE)-IF(MONTH($C582)=4,$V$3,IF(MONTH($C582)=5,$V$4,IF(MONTH($C582)=6,$V$5,IF(MONTH($C582)=7,$V$6,"ERROR"))))-VLOOKUP($C582,COS!$B$8:$K$991,6,FALSE)/2,0))</f>
        <v>1500</v>
      </c>
      <c r="S582" s="26">
        <f t="shared" si="934"/>
        <v>92.231404958677686</v>
      </c>
      <c r="T582" s="26">
        <f t="shared" si="935"/>
        <v>179.49365720638559</v>
      </c>
      <c r="U582" s="26" t="str">
        <f>IF(VLOOKUP($C582,COS!$B$8:$I$991,8,FALSE)=1,"UWFE","IBU")</f>
        <v>IBU</v>
      </c>
      <c r="V582" s="26">
        <f t="shared" ref="V582" si="937">MIN(IF(IF($AA$3=2,AND(E582=1,G582=1,L582=1,L586=1,M582=1,U582="IBU"),AND(E582=1,G582=1,L582=1,L586=1,M582=1)),T582,0),I582)</f>
        <v>0</v>
      </c>
      <c r="W582" s="26"/>
      <c r="X582" s="26"/>
      <c r="Y582" s="26"/>
      <c r="Z582" s="26"/>
      <c r="AA582" s="26"/>
      <c r="AB582" s="33"/>
    </row>
    <row r="583" spans="1:28" x14ac:dyDescent="0.3">
      <c r="A583" s="32">
        <f>VLOOKUP(YEAR(C583),Flags!$A$13:$B$95,2,FALSE)</f>
        <v>3</v>
      </c>
      <c r="B583" s="24">
        <f t="shared" si="841"/>
        <v>1985</v>
      </c>
      <c r="C583" s="25">
        <v>31228</v>
      </c>
      <c r="D583" s="26">
        <f>VLOOKUP($C583,COS!$B$8:$H$991,3,FALSE)</f>
        <v>12637.884765625</v>
      </c>
      <c r="E583" s="24">
        <f>IF(D583&gt;=IF(MONTH($C583)=4,$C$3,IF(MONTH($C583)=5,$C$4,IF(MONTH($C583)=6,$C$5,IF(MONTH($C583)=7,$C$6,"ERROR")))),1,0)</f>
        <v>1</v>
      </c>
      <c r="F583" s="26">
        <f>VLOOKUP($C583,COS!$B$8:$H$991,7,FALSE)</f>
        <v>51.714122772216797</v>
      </c>
      <c r="G583" s="24">
        <f>IF(F583&lt;=IF(MONTH($C583)=4,$F$3,IF(MONTH($C583)=5,$F$4,IF(MONTH($C583)=6,$F$5,IF(MONTH($C583)=7,$F$6,"ERROR")))),1,0)</f>
        <v>1</v>
      </c>
      <c r="H583" s="26">
        <f>IF(J583=1,D583-$C$5,0)</f>
        <v>2637.884765625</v>
      </c>
      <c r="I583" s="26">
        <f t="shared" si="872"/>
        <v>156.96504390495866</v>
      </c>
      <c r="J583" s="24">
        <f t="shared" si="929"/>
        <v>1</v>
      </c>
      <c r="K583" s="26">
        <f>VLOOKUP($C583,COS!$B$8:$H$991,2,FALSE)</f>
        <v>3196.5283203125</v>
      </c>
      <c r="L583" s="24">
        <f t="shared" si="843"/>
        <v>1</v>
      </c>
      <c r="M583" s="24">
        <f t="shared" si="844"/>
        <v>0</v>
      </c>
      <c r="N583" s="26">
        <f>VLOOKUP($C583,COS!$B$8:$H$991,5,FALSE)</f>
        <v>737.8311767578125</v>
      </c>
      <c r="O583" s="26">
        <f t="shared" si="932"/>
        <v>43.904003906249997</v>
      </c>
      <c r="P583" s="26">
        <f>VLOOKUP($C583,COS!$B$8:$H$991,6,FALSE)</f>
        <v>2708.118408203125</v>
      </c>
      <c r="Q583" s="26">
        <f t="shared" si="933"/>
        <v>161.14423586002064</v>
      </c>
      <c r="R583" s="26">
        <f>MIN(IF(MONTH($C583)=4,$S$3,IF(MONTH($C583)=5,$S$4,IF(MONTH($C583)=6,$S$5,IF(MONTH($C583)=7,$S$6,"ERROR")))),MAX(VLOOKUP($C583,COS!$B$8:$K$991,10,FALSE)-IF(MONTH($C583)=4,$Y$3,IF(MONTH($C583)=5,$Y$4,IF(MONTH($C583)=6,$Y$5,IF(MONTH($C583)=7,$Y$6,"ERROR")))),0),MAX(VLOOKUP($C583,COS!$B$8:$K$991,9,FALSE)-IF(MONTH($C583)=4,$V$3,IF(MONTH($C583)=5,$V$4,IF(MONTH($C583)=6,$V$5,IF(MONTH($C583)=7,$V$6,"ERROR"))))-VLOOKUP($C583,COS!$B$8:$K$991,6,FALSE)/2,0))</f>
        <v>1500</v>
      </c>
      <c r="S583" s="26">
        <f t="shared" si="934"/>
        <v>89.256198347107429</v>
      </c>
      <c r="T583" s="26">
        <f t="shared" si="935"/>
        <v>191.78031823024276</v>
      </c>
      <c r="U583" s="26" t="str">
        <f>IF(VLOOKUP($C583,COS!$B$8:$I$991,8,FALSE)=1,"UWFE","IBU")</f>
        <v>IBU</v>
      </c>
      <c r="V583" s="26">
        <f t="shared" ref="V583" si="938">MIN(IF(IF($AA$3=2,AND(E583=1,G583=1,L583=1,L586=1,M583=1,U583="IBU"),AND(E583=1,G583=1,L583=1,L586=1,M583=1)),T583,0),I583)</f>
        <v>0</v>
      </c>
      <c r="W583" s="26"/>
      <c r="X583" s="26"/>
      <c r="Y583" s="26"/>
      <c r="Z583" s="26"/>
      <c r="AA583" s="26"/>
      <c r="AB583" s="33"/>
    </row>
    <row r="584" spans="1:28" x14ac:dyDescent="0.3">
      <c r="A584" s="32">
        <f>VLOOKUP(YEAR(C584),Flags!$A$13:$B$95,2,FALSE)</f>
        <v>3</v>
      </c>
      <c r="B584" s="24">
        <f t="shared" si="841"/>
        <v>1985</v>
      </c>
      <c r="C584" s="25">
        <v>31259</v>
      </c>
      <c r="D584" s="26">
        <f>VLOOKUP($C584,COS!$B$8:$H$991,3,FALSE)</f>
        <v>15330.47265625</v>
      </c>
      <c r="E584" s="24">
        <f>IF(D584&gt;=IF(MONTH($C584)=4,$C$3,IF(MONTH($C584)=5,$C$4,IF(MONTH($C584)=6,$C$5,IF(MONTH($C584)=7,$C$6,"ERROR")))),1,0)</f>
        <v>1</v>
      </c>
      <c r="F584" s="26">
        <f>VLOOKUP($C584,COS!$B$8:$H$991,7,FALSE)</f>
        <v>53.327499389648438</v>
      </c>
      <c r="G584" s="24">
        <f>IF(F584&lt;=IF(MONTH($C584)=4,$F$3,IF(MONTH($C584)=5,$F$4,IF(MONTH($C584)=6,$F$5,IF(MONTH($C584)=7,$F$6,"ERROR")))),1,0)</f>
        <v>1</v>
      </c>
      <c r="H584" s="26">
        <f>IF(J584=1,D584-$C$6,0)</f>
        <v>3330.47265625</v>
      </c>
      <c r="I584" s="26">
        <f t="shared" si="872"/>
        <v>204.78278150826446</v>
      </c>
      <c r="J584" s="24">
        <f t="shared" si="929"/>
        <v>1</v>
      </c>
      <c r="K584" s="26">
        <f>VLOOKUP($C584,COS!$B$8:$H$991,2,FALSE)</f>
        <v>2582.746337890625</v>
      </c>
      <c r="L584" s="24">
        <f t="shared" si="843"/>
        <v>1</v>
      </c>
      <c r="M584" s="24">
        <f t="shared" si="844"/>
        <v>0</v>
      </c>
      <c r="N584" s="26">
        <f>VLOOKUP($C584,COS!$B$8:$H$991,5,FALSE)</f>
        <v>805.3907470703125</v>
      </c>
      <c r="O584" s="26">
        <f t="shared" si="932"/>
        <v>49.521546762009294</v>
      </c>
      <c r="P584" s="26">
        <f>VLOOKUP($C584,COS!$B$8:$H$991,6,FALSE)</f>
        <v>2442.872314453125</v>
      </c>
      <c r="Q584" s="26">
        <f t="shared" si="933"/>
        <v>150.20636379777892</v>
      </c>
      <c r="R584" s="26">
        <f>MIN(IF(MONTH($C584)=4,$S$3,IF(MONTH($C584)=5,$S$4,IF(MONTH($C584)=6,$S$5,IF(MONTH($C584)=7,$S$6,"ERROR")))),MAX(VLOOKUP($C584,COS!$B$8:$K$991,10,FALSE)-IF(MONTH($C584)=4,$Y$3,IF(MONTH($C584)=5,$Y$4,IF(MONTH($C584)=6,$Y$5,IF(MONTH($C584)=7,$Y$6,"ERROR")))),0),MAX(VLOOKUP($C584,COS!$B$8:$K$991,9,FALSE)-IF(MONTH($C584)=4,$V$3,IF(MONTH($C584)=5,$V$4,IF(MONTH($C584)=6,$V$5,IF(MONTH($C584)=7,$V$6,"ERROR"))))-VLOOKUP($C584,COS!$B$8:$K$991,6,FALSE)/2,0))</f>
        <v>1500</v>
      </c>
      <c r="S584" s="26">
        <f t="shared" si="934"/>
        <v>92.231404958677686</v>
      </c>
      <c r="T584" s="26">
        <f t="shared" si="935"/>
        <v>192.0953602385718</v>
      </c>
      <c r="U584" s="26" t="str">
        <f>IF(VLOOKUP($C584,COS!$B$8:$I$991,8,FALSE)=1,"UWFE","IBU")</f>
        <v>IBU</v>
      </c>
      <c r="V584" s="26">
        <f t="shared" ref="V584" si="939">MIN(IF(IF($AA$3=2,AND(E584=1,G584=1,L584=1,L586=1,M584=1,U584="IBU"),AND(E584=1,G584=1,L584=1,L586=1,M584=1)),T584,0),I584)</f>
        <v>0</v>
      </c>
      <c r="W584" s="26"/>
      <c r="X584" s="26"/>
      <c r="Y584" s="26"/>
      <c r="Z584" s="26"/>
      <c r="AA584" s="26"/>
      <c r="AB584" s="33"/>
    </row>
    <row r="585" spans="1:28" x14ac:dyDescent="0.3">
      <c r="A585" s="32">
        <f>VLOOKUP(YEAR(C585),Flags!$A$13:$B$95,2,FALSE)</f>
        <v>3</v>
      </c>
      <c r="B585" s="24">
        <f t="shared" si="841"/>
        <v>1985</v>
      </c>
      <c r="C585" s="25">
        <v>31290</v>
      </c>
      <c r="D585" s="26"/>
      <c r="E585" s="24"/>
      <c r="F585" s="26"/>
      <c r="G585" s="24"/>
      <c r="H585" s="24"/>
      <c r="I585" s="26"/>
      <c r="J585" s="24"/>
      <c r="K585" s="26"/>
      <c r="L585" s="24"/>
      <c r="M585" s="24"/>
      <c r="N585" s="26"/>
      <c r="O585" s="26"/>
      <c r="P585" s="26"/>
      <c r="Q585" s="26"/>
      <c r="R585" s="26"/>
      <c r="S585" s="26"/>
      <c r="T585" s="26"/>
      <c r="U585" s="26"/>
      <c r="V585" s="26"/>
      <c r="W585" s="26">
        <f>MAX($C$7-VLOOKUP($C585,COS!$B$8:$H$991,3,FALSE),0)</f>
        <v>88180.107421875</v>
      </c>
      <c r="X585" s="26">
        <f t="shared" si="870"/>
        <v>5421.9834646177687</v>
      </c>
      <c r="Y585" s="26">
        <f>VLOOKUP($C585,COS!$B$8:$H$991,4,FALSE)</f>
        <v>2388.483154296875</v>
      </c>
      <c r="Z585" s="26">
        <f t="shared" si="871"/>
        <v>146.86210469395661</v>
      </c>
      <c r="AA585" s="26">
        <f t="shared" ref="AA585:AA589" si="940">MIN(W585,Y585)</f>
        <v>2388.483154296875</v>
      </c>
      <c r="AB585" s="33">
        <f t="shared" ref="AB585" si="941">AA585*DAY($C585)*86400/43560/1000*IF(MONTH($C585)=8,$P$3,IF(MONTH($C585)=9,$P$4,IF(MONTH($C585)=10,$P$5,IF(MONTH($C585)=11,$P$6,IF(MONTH($C585)=12,$P$7,NA())))))</f>
        <v>146.86210469395661</v>
      </c>
    </row>
    <row r="586" spans="1:28" x14ac:dyDescent="0.3">
      <c r="A586" s="32">
        <f>VLOOKUP(YEAR(C586),Flags!$A$13:$B$95,2,FALSE)</f>
        <v>3</v>
      </c>
      <c r="B586" s="24">
        <f t="shared" si="841"/>
        <v>1985</v>
      </c>
      <c r="C586" s="25">
        <v>31320</v>
      </c>
      <c r="D586" s="26"/>
      <c r="E586" s="24"/>
      <c r="F586" s="26"/>
      <c r="G586" s="24"/>
      <c r="H586" s="24"/>
      <c r="I586" s="26"/>
      <c r="J586" s="24"/>
      <c r="K586" s="26">
        <f>VLOOKUP($C586,COS!$B$8:$H$991,2,FALSE)</f>
        <v>2217.799560546875</v>
      </c>
      <c r="L586" s="24">
        <f t="shared" ref="L586" si="942">IF(AND(K586&gt;$I$7,K586&lt;$I$8),1,0)</f>
        <v>1</v>
      </c>
      <c r="M586" s="24"/>
      <c r="N586" s="26"/>
      <c r="O586" s="26"/>
      <c r="P586" s="26"/>
      <c r="Q586" s="26"/>
      <c r="R586" s="26"/>
      <c r="S586" s="26"/>
      <c r="T586" s="26"/>
      <c r="U586" s="26"/>
      <c r="V586" s="26"/>
      <c r="W586" s="26">
        <f>MAX($C$8-VLOOKUP($C586,COS!$B$8:$H$991,3,FALSE),0)</f>
        <v>94424.607421875</v>
      </c>
      <c r="X586" s="26">
        <f t="shared" si="870"/>
        <v>5618.6543259297514</v>
      </c>
      <c r="Y586" s="26">
        <f>VLOOKUP($C586,COS!$B$8:$H$991,4,FALSE)</f>
        <v>202.43043518066406</v>
      </c>
      <c r="Z586" s="26">
        <f t="shared" si="871"/>
        <v>12.045447382651084</v>
      </c>
      <c r="AA586" s="26">
        <f t="shared" si="940"/>
        <v>202.43043518066406</v>
      </c>
      <c r="AB586" s="33">
        <f t="shared" si="854"/>
        <v>12.045447382651084</v>
      </c>
    </row>
    <row r="587" spans="1:28" x14ac:dyDescent="0.3">
      <c r="A587" s="32">
        <f>VLOOKUP(YEAR(C587),Flags!$A$13:$B$95,2,FALSE)</f>
        <v>3</v>
      </c>
      <c r="B587" s="24">
        <f t="shared" si="841"/>
        <v>1985</v>
      </c>
      <c r="C587" s="25">
        <v>31351</v>
      </c>
      <c r="D587" s="26"/>
      <c r="E587" s="24"/>
      <c r="F587" s="26"/>
      <c r="G587" s="26"/>
      <c r="H587" s="26"/>
      <c r="I587" s="26"/>
      <c r="J587" s="26"/>
      <c r="K587" s="26"/>
      <c r="L587" s="24"/>
      <c r="M587" s="24"/>
      <c r="N587" s="26"/>
      <c r="O587" s="26"/>
      <c r="P587" s="26"/>
      <c r="Q587" s="26"/>
      <c r="R587" s="26"/>
      <c r="S587" s="26"/>
      <c r="T587" s="26"/>
      <c r="U587" s="26"/>
      <c r="V587" s="26"/>
      <c r="W587" s="26">
        <f>MAX($C$9-VLOOKUP($C587,COS!$B$8:$H$991,3,FALSE),0)</f>
        <v>95205.248046875</v>
      </c>
      <c r="X587" s="26">
        <f t="shared" si="870"/>
        <v>5853.942524535124</v>
      </c>
      <c r="Y587" s="26">
        <f>VLOOKUP($C587,COS!$B$8:$H$991,4,FALSE)</f>
        <v>1064.7911376953125</v>
      </c>
      <c r="Z587" s="26">
        <f t="shared" si="871"/>
        <v>65.471455078125004</v>
      </c>
      <c r="AA587" s="26">
        <f t="shared" si="940"/>
        <v>1064.7911376953125</v>
      </c>
      <c r="AB587" s="33">
        <f t="shared" si="854"/>
        <v>65.471455078125004</v>
      </c>
    </row>
    <row r="588" spans="1:28" x14ac:dyDescent="0.3">
      <c r="A588" s="32">
        <f>VLOOKUP(YEAR(C588),Flags!$A$13:$B$95,2,FALSE)</f>
        <v>3</v>
      </c>
      <c r="B588" s="24">
        <f t="shared" si="841"/>
        <v>1985</v>
      </c>
      <c r="C588" s="25">
        <v>31381</v>
      </c>
      <c r="D588" s="26"/>
      <c r="E588" s="24"/>
      <c r="F588" s="26"/>
      <c r="G588" s="26"/>
      <c r="H588" s="26"/>
      <c r="I588" s="26"/>
      <c r="J588" s="26"/>
      <c r="K588" s="26"/>
      <c r="L588" s="24"/>
      <c r="M588" s="24"/>
      <c r="N588" s="26"/>
      <c r="O588" s="26"/>
      <c r="P588" s="26"/>
      <c r="Q588" s="26"/>
      <c r="R588" s="26"/>
      <c r="S588" s="26"/>
      <c r="T588" s="26"/>
      <c r="U588" s="26"/>
      <c r="V588" s="26"/>
      <c r="W588" s="26">
        <f>MAX($C$10-VLOOKUP($C588,COS!$B$8:$H$991,3,FALSE),0)</f>
        <v>96373.38037109375</v>
      </c>
      <c r="X588" s="26">
        <f t="shared" si="870"/>
        <v>5734.6143691890502</v>
      </c>
      <c r="Y588" s="26">
        <f>VLOOKUP($C588,COS!$B$8:$H$991,4,FALSE)</f>
        <v>110.72906494140625</v>
      </c>
      <c r="Z588" s="26">
        <f t="shared" si="871"/>
        <v>6.5888369221332646</v>
      </c>
      <c r="AA588" s="26">
        <f t="shared" si="940"/>
        <v>110.72906494140625</v>
      </c>
      <c r="AB588" s="33">
        <f t="shared" si="854"/>
        <v>3.2944184610666323</v>
      </c>
    </row>
    <row r="589" spans="1:28" x14ac:dyDescent="0.3">
      <c r="A589" s="34">
        <f>VLOOKUP(YEAR(C589),Flags!$A$13:$B$95,2,FALSE)</f>
        <v>3</v>
      </c>
      <c r="B589" s="35">
        <f t="shared" si="841"/>
        <v>1985</v>
      </c>
      <c r="C589" s="36">
        <v>31412</v>
      </c>
      <c r="D589" s="37"/>
      <c r="E589" s="35"/>
      <c r="F589" s="37"/>
      <c r="G589" s="37"/>
      <c r="H589" s="37"/>
      <c r="I589" s="37"/>
      <c r="J589" s="37"/>
      <c r="K589" s="37"/>
      <c r="L589" s="35"/>
      <c r="M589" s="35"/>
      <c r="N589" s="37"/>
      <c r="O589" s="37"/>
      <c r="P589" s="37"/>
      <c r="Q589" s="37"/>
      <c r="R589" s="37"/>
      <c r="S589" s="37"/>
      <c r="T589" s="37"/>
      <c r="U589" s="37"/>
      <c r="V589" s="37"/>
      <c r="W589" s="37">
        <f>MAX($C$11-VLOOKUP($C589,COS!$B$8:$H$991,3,FALSE),0)</f>
        <v>0</v>
      </c>
      <c r="X589" s="37">
        <f t="shared" si="870"/>
        <v>0</v>
      </c>
      <c r="Y589" s="37">
        <f>VLOOKUP($C589,COS!$B$8:$H$991,4,FALSE)</f>
        <v>364.45733642578125</v>
      </c>
      <c r="Z589" s="37">
        <f t="shared" si="871"/>
        <v>22.409608124031507</v>
      </c>
      <c r="AA589" s="37">
        <f t="shared" si="940"/>
        <v>0</v>
      </c>
      <c r="AB589" s="38">
        <f t="shared" si="854"/>
        <v>0</v>
      </c>
    </row>
    <row r="590" spans="1:28" x14ac:dyDescent="0.3">
      <c r="A590" s="27">
        <f>VLOOKUP(YEAR(C590),Flags!$A$13:$B$95,2,FALSE)</f>
        <v>1</v>
      </c>
      <c r="B590" s="28">
        <f t="shared" si="841"/>
        <v>1986</v>
      </c>
      <c r="C590" s="29">
        <v>31532</v>
      </c>
      <c r="D590" s="30">
        <f>VLOOKUP($C590,COS!$B$8:$H$991,3,FALSE)</f>
        <v>3250</v>
      </c>
      <c r="E590" s="28">
        <f>IF(D590&gt;=IF(MONTH($C590)=4,$C$3,IF(MONTH($C590)=5,$C$4,IF(MONTH($C590)=6,$C$5,IF(MONTH($C590)=7,$C$6,"ERROR")))),1,0)</f>
        <v>0</v>
      </c>
      <c r="F590" s="30">
        <f>VLOOKUP($C590,COS!$B$8:$H$991,7,FALSE)</f>
        <v>51.891460418701172</v>
      </c>
      <c r="G590" s="28">
        <f>IF(F590&lt;=IF(MONTH($C590)=4,$F$3,IF(MONTH($C590)=5,$F$4,IF(MONTH($C590)=6,$F$5,IF(MONTH($C590)=7,$F$6,"ERROR")))),1,0)</f>
        <v>1</v>
      </c>
      <c r="H590" s="30">
        <f>IF(J590=1,D590-$C$3,0)</f>
        <v>0</v>
      </c>
      <c r="I590" s="30">
        <f t="shared" si="872"/>
        <v>0</v>
      </c>
      <c r="J590" s="28">
        <f t="shared" ref="J590:J593" si="943">IF(AND(E590=1,G590=1),1,0)</f>
        <v>0</v>
      </c>
      <c r="K590" s="30">
        <f>VLOOKUP($C590,COS!$B$8:$H$991,2,FALSE)</f>
        <v>4012.635986328125</v>
      </c>
      <c r="L590" s="28">
        <f t="shared" ref="L590:L647" si="944">IF(K590&lt;=IF(MONTH($C590)=4,$I$3,IF(MONTH($C590)=5,$I$4,IF(MONTH($C590)=6,$I$5,IF(MONTH($C590)=7,$I$6,"ERROR")))),1,0)</f>
        <v>1</v>
      </c>
      <c r="M590" s="28">
        <f t="shared" ref="M590:M647" si="945">VLOOKUP($A590,$L$3:$M$7,2,FALSE)</f>
        <v>0</v>
      </c>
      <c r="N590" s="30">
        <f>VLOOKUP($C590,COS!$B$8:$H$991,5,FALSE)</f>
        <v>174.09121704101563</v>
      </c>
      <c r="O590" s="30">
        <f t="shared" ref="O590:O593" si="946">N590*DAY($C590)*86400/43560/1000</f>
        <v>10.359146799134814</v>
      </c>
      <c r="P590" s="30">
        <f>VLOOKUP($C590,COS!$B$8:$H$991,6,FALSE)</f>
        <v>419.7452392578125</v>
      </c>
      <c r="Q590" s="30">
        <f t="shared" ref="Q590:Q593" si="947">P590*DAY($C590)*86400/43560/1000</f>
        <v>24.976576220299588</v>
      </c>
      <c r="R590" s="30">
        <f>MIN(IF(MONTH($C590)=4,$S$3,IF(MONTH($C590)=5,$S$4,IF(MONTH($C590)=6,$S$5,IF(MONTH($C590)=7,$S$6,"ERROR")))),MAX(VLOOKUP($C590,COS!$B$8:$K$991,10,FALSE)-IF(MONTH($C590)=4,$Y$3,IF(MONTH($C590)=5,$Y$4,IF(MONTH($C590)=6,$Y$5,IF(MONTH($C590)=7,$Y$6,"ERROR")))),0),MAX(VLOOKUP($C590,COS!$B$8:$K$991,9,FALSE)-IF(MONTH($C590)=4,$V$3,IF(MONTH($C590)=5,$V$4,IF(MONTH($C590)=6,$V$5,IF(MONTH($C590)=7,$V$6,"ERROR"))))-VLOOKUP($C590,COS!$B$8:$K$991,6,FALSE)/2,0))</f>
        <v>1500</v>
      </c>
      <c r="S590" s="30">
        <f t="shared" ref="S590:S593" si="948">R590*DAY($C590)*86400/43560/1000</f>
        <v>89.256198347107429</v>
      </c>
      <c r="T590" s="30">
        <f t="shared" ref="T590:T593" si="949">(O590+Q590)/2+S590</f>
        <v>106.92405985682463</v>
      </c>
      <c r="U590" s="30" t="str">
        <f>IF(VLOOKUP($C590,COS!$B$8:$I$991,8,FALSE)=1,"UWFE","IBU")</f>
        <v>UWFE</v>
      </c>
      <c r="V590" s="30">
        <f t="shared" ref="V590" si="950">MIN(IF(IF($AA$3=2,AND(E590=1,G590=1,L590=1,L595=1,M590=1,U590="IBU"),AND(E590=1,G590=1,L590=1,L595=1,M590=1)),T590,0),I590)</f>
        <v>0</v>
      </c>
      <c r="W590" s="30"/>
      <c r="X590" s="30"/>
      <c r="Y590" s="30"/>
      <c r="Z590" s="30"/>
      <c r="AA590" s="30"/>
      <c r="AB590" s="31"/>
    </row>
    <row r="591" spans="1:28" x14ac:dyDescent="0.3">
      <c r="A591" s="32">
        <f>VLOOKUP(YEAR(C591),Flags!$A$13:$B$95,2,FALSE)</f>
        <v>1</v>
      </c>
      <c r="B591" s="24">
        <f t="shared" ref="B591:B654" si="951">YEAR(C591)</f>
        <v>1986</v>
      </c>
      <c r="C591" s="25">
        <v>31563</v>
      </c>
      <c r="D591" s="26">
        <f>VLOOKUP($C591,COS!$B$8:$H$991,3,FALSE)</f>
        <v>6404.04443359375</v>
      </c>
      <c r="E591" s="24">
        <f>IF(D591&gt;=IF(MONTH($C591)=4,$C$3,IF(MONTH($C591)=5,$C$4,IF(MONTH($C591)=6,$C$5,IF(MONTH($C591)=7,$C$6,"ERROR")))),1,0)</f>
        <v>1</v>
      </c>
      <c r="F591" s="26">
        <f>VLOOKUP($C591,COS!$B$8:$H$991,7,FALSE)</f>
        <v>50.922679901123047</v>
      </c>
      <c r="G591" s="24">
        <f>IF(F591&lt;=IF(MONTH($C591)=4,$F$3,IF(MONTH($C591)=5,$F$4,IF(MONTH($C591)=6,$F$5,IF(MONTH($C591)=7,$F$6,"ERROR")))),1,0)</f>
        <v>1</v>
      </c>
      <c r="H591" s="26">
        <f>IF(J591=1,D591-$C$4,0)</f>
        <v>404.04443359375</v>
      </c>
      <c r="I591" s="26">
        <f t="shared" si="872"/>
        <v>24.843723850723141</v>
      </c>
      <c r="J591" s="24">
        <f t="shared" si="943"/>
        <v>1</v>
      </c>
      <c r="K591" s="26">
        <f>VLOOKUP($C591,COS!$B$8:$H$991,2,FALSE)</f>
        <v>4026.975341796875</v>
      </c>
      <c r="L591" s="24">
        <f t="shared" si="944"/>
        <v>1</v>
      </c>
      <c r="M591" s="24">
        <f t="shared" si="945"/>
        <v>0</v>
      </c>
      <c r="N591" s="26">
        <f>VLOOKUP($C591,COS!$B$8:$H$991,5,FALSE)</f>
        <v>294.54061889648438</v>
      </c>
      <c r="O591" s="26">
        <f t="shared" si="946"/>
        <v>18.110596732147467</v>
      </c>
      <c r="P591" s="26">
        <f>VLOOKUP($C591,COS!$B$8:$H$991,6,FALSE)</f>
        <v>2245.033447265625</v>
      </c>
      <c r="Q591" s="26">
        <f t="shared" si="947"/>
        <v>138.04172601368802</v>
      </c>
      <c r="R591" s="26">
        <f>MIN(IF(MONTH($C591)=4,$S$3,IF(MONTH($C591)=5,$S$4,IF(MONTH($C591)=6,$S$5,IF(MONTH($C591)=7,$S$6,"ERROR")))),MAX(VLOOKUP($C591,COS!$B$8:$K$991,10,FALSE)-IF(MONTH($C591)=4,$Y$3,IF(MONTH($C591)=5,$Y$4,IF(MONTH($C591)=6,$Y$5,IF(MONTH($C591)=7,$Y$6,"ERROR")))),0),MAX(VLOOKUP($C591,COS!$B$8:$K$991,9,FALSE)-IF(MONTH($C591)=4,$V$3,IF(MONTH($C591)=5,$V$4,IF(MONTH($C591)=6,$V$5,IF(MONTH($C591)=7,$V$6,"ERROR"))))-VLOOKUP($C591,COS!$B$8:$K$991,6,FALSE)/2,0))</f>
        <v>1500</v>
      </c>
      <c r="S591" s="26">
        <f t="shared" si="948"/>
        <v>92.231404958677686</v>
      </c>
      <c r="T591" s="26">
        <f t="shared" si="949"/>
        <v>170.30756633159541</v>
      </c>
      <c r="U591" s="26" t="str">
        <f>IF(VLOOKUP($C591,COS!$B$8:$I$991,8,FALSE)=1,"UWFE","IBU")</f>
        <v>UWFE</v>
      </c>
      <c r="V591" s="26">
        <f t="shared" ref="V591" si="952">MIN(IF(IF($AA$3=2,AND(E591=1,G591=1,L591=1,L595=1,M591=1,U591="IBU"),AND(E591=1,G591=1,L591=1,L595=1,M591=1)),T591,0),I591)</f>
        <v>0</v>
      </c>
      <c r="W591" s="26"/>
      <c r="X591" s="26"/>
      <c r="Y591" s="26"/>
      <c r="Z591" s="26"/>
      <c r="AA591" s="26"/>
      <c r="AB591" s="33"/>
    </row>
    <row r="592" spans="1:28" x14ac:dyDescent="0.3">
      <c r="A592" s="32">
        <f>VLOOKUP(YEAR(C592),Flags!$A$13:$B$95,2,FALSE)</f>
        <v>1</v>
      </c>
      <c r="B592" s="24">
        <f t="shared" si="951"/>
        <v>1986</v>
      </c>
      <c r="C592" s="25">
        <v>31593</v>
      </c>
      <c r="D592" s="26">
        <f>VLOOKUP($C592,COS!$B$8:$H$991,3,FALSE)</f>
        <v>8645.5615234375</v>
      </c>
      <c r="E592" s="24">
        <f>IF(D592&gt;=IF(MONTH($C592)=4,$C$3,IF(MONTH($C592)=5,$C$4,IF(MONTH($C592)=6,$C$5,IF(MONTH($C592)=7,$C$6,"ERROR")))),1,0)</f>
        <v>0</v>
      </c>
      <c r="F592" s="26">
        <f>VLOOKUP($C592,COS!$B$8:$H$991,7,FALSE)</f>
        <v>51.637722015380859</v>
      </c>
      <c r="G592" s="24">
        <f>IF(F592&lt;=IF(MONTH($C592)=4,$F$3,IF(MONTH($C592)=5,$F$4,IF(MONTH($C592)=6,$F$5,IF(MONTH($C592)=7,$F$6,"ERROR")))),1,0)</f>
        <v>1</v>
      </c>
      <c r="H592" s="26">
        <f>IF(J592=1,D592-$C$5,0)</f>
        <v>0</v>
      </c>
      <c r="I592" s="26">
        <f t="shared" si="872"/>
        <v>0</v>
      </c>
      <c r="J592" s="24">
        <f t="shared" si="943"/>
        <v>0</v>
      </c>
      <c r="K592" s="26">
        <f>VLOOKUP($C592,COS!$B$8:$H$991,2,FALSE)</f>
        <v>3745.956298828125</v>
      </c>
      <c r="L592" s="24">
        <f t="shared" si="944"/>
        <v>1</v>
      </c>
      <c r="M592" s="24">
        <f t="shared" si="945"/>
        <v>0</v>
      </c>
      <c r="N592" s="26">
        <f>VLOOKUP($C592,COS!$B$8:$H$991,5,FALSE)</f>
        <v>616.0546875</v>
      </c>
      <c r="O592" s="26">
        <f t="shared" si="946"/>
        <v>36.657799586776861</v>
      </c>
      <c r="P592" s="26">
        <f>VLOOKUP($C592,COS!$B$8:$H$991,6,FALSE)</f>
        <v>2278.943359375</v>
      </c>
      <c r="Q592" s="26">
        <f t="shared" si="947"/>
        <v>135.60654700413224</v>
      </c>
      <c r="R592" s="26">
        <f>MIN(IF(MONTH($C592)=4,$S$3,IF(MONTH($C592)=5,$S$4,IF(MONTH($C592)=6,$S$5,IF(MONTH($C592)=7,$S$6,"ERROR")))),MAX(VLOOKUP($C592,COS!$B$8:$K$991,10,FALSE)-IF(MONTH($C592)=4,$Y$3,IF(MONTH($C592)=5,$Y$4,IF(MONTH($C592)=6,$Y$5,IF(MONTH($C592)=7,$Y$6,"ERROR")))),0),MAX(VLOOKUP($C592,COS!$B$8:$K$991,9,FALSE)-IF(MONTH($C592)=4,$V$3,IF(MONTH($C592)=5,$V$4,IF(MONTH($C592)=6,$V$5,IF(MONTH($C592)=7,$V$6,"ERROR"))))-VLOOKUP($C592,COS!$B$8:$K$991,6,FALSE)/2,0))</f>
        <v>1500</v>
      </c>
      <c r="S592" s="26">
        <f t="shared" si="948"/>
        <v>89.256198347107429</v>
      </c>
      <c r="T592" s="26">
        <f t="shared" si="949"/>
        <v>175.38837164256199</v>
      </c>
      <c r="U592" s="26" t="str">
        <f>IF(VLOOKUP($C592,COS!$B$8:$I$991,8,FALSE)=1,"UWFE","IBU")</f>
        <v>IBU</v>
      </c>
      <c r="V592" s="26">
        <f t="shared" ref="V592" si="953">MIN(IF(IF($AA$3=2,AND(E592=1,G592=1,L592=1,L595=1,M592=1,U592="IBU"),AND(E592=1,G592=1,L592=1,L595=1,M592=1)),T592,0),I592)</f>
        <v>0</v>
      </c>
      <c r="W592" s="26"/>
      <c r="X592" s="26"/>
      <c r="Y592" s="26"/>
      <c r="Z592" s="26"/>
      <c r="AA592" s="26"/>
      <c r="AB592" s="33"/>
    </row>
    <row r="593" spans="1:28" x14ac:dyDescent="0.3">
      <c r="A593" s="32">
        <f>VLOOKUP(YEAR(C593),Flags!$A$13:$B$95,2,FALSE)</f>
        <v>1</v>
      </c>
      <c r="B593" s="24">
        <f t="shared" si="951"/>
        <v>1986</v>
      </c>
      <c r="C593" s="25">
        <v>31624</v>
      </c>
      <c r="D593" s="26">
        <f>VLOOKUP($C593,COS!$B$8:$H$991,3,FALSE)</f>
        <v>12633.615234375</v>
      </c>
      <c r="E593" s="24">
        <f>IF(D593&gt;=IF(MONTH($C593)=4,$C$3,IF(MONTH($C593)=5,$C$4,IF(MONTH($C593)=6,$C$5,IF(MONTH($C593)=7,$C$6,"ERROR")))),1,0)</f>
        <v>1</v>
      </c>
      <c r="F593" s="26">
        <f>VLOOKUP($C593,COS!$B$8:$H$991,7,FALSE)</f>
        <v>51.914817810058594</v>
      </c>
      <c r="G593" s="24">
        <f>IF(F593&lt;=IF(MONTH($C593)=4,$F$3,IF(MONTH($C593)=5,$F$4,IF(MONTH($C593)=6,$F$5,IF(MONTH($C593)=7,$F$6,"ERROR")))),1,0)</f>
        <v>1</v>
      </c>
      <c r="H593" s="26">
        <f>IF(J593=1,D593-$C$6,0)</f>
        <v>633.615234375</v>
      </c>
      <c r="I593" s="26">
        <f t="shared" si="872"/>
        <v>38.959482179752065</v>
      </c>
      <c r="J593" s="24">
        <f t="shared" si="943"/>
        <v>1</v>
      </c>
      <c r="K593" s="26">
        <f>VLOOKUP($C593,COS!$B$8:$H$991,2,FALSE)</f>
        <v>3301.90478515625</v>
      </c>
      <c r="L593" s="24">
        <f t="shared" si="944"/>
        <v>1</v>
      </c>
      <c r="M593" s="24">
        <f t="shared" si="945"/>
        <v>0</v>
      </c>
      <c r="N593" s="26">
        <f>VLOOKUP($C593,COS!$B$8:$H$991,5,FALSE)</f>
        <v>673.447265625</v>
      </c>
      <c r="O593" s="26">
        <f t="shared" si="946"/>
        <v>41.408658316115705</v>
      </c>
      <c r="P593" s="26">
        <f>VLOOKUP($C593,COS!$B$8:$H$991,6,FALSE)</f>
        <v>2521.474853515625</v>
      </c>
      <c r="Q593" s="26">
        <f t="shared" si="947"/>
        <v>155.0394455384814</v>
      </c>
      <c r="R593" s="26">
        <f>MIN(IF(MONTH($C593)=4,$S$3,IF(MONTH($C593)=5,$S$4,IF(MONTH($C593)=6,$S$5,IF(MONTH($C593)=7,$S$6,"ERROR")))),MAX(VLOOKUP($C593,COS!$B$8:$K$991,10,FALSE)-IF(MONTH($C593)=4,$Y$3,IF(MONTH($C593)=5,$Y$4,IF(MONTH($C593)=6,$Y$5,IF(MONTH($C593)=7,$Y$6,"ERROR")))),0),MAX(VLOOKUP($C593,COS!$B$8:$K$991,9,FALSE)-IF(MONTH($C593)=4,$V$3,IF(MONTH($C593)=5,$V$4,IF(MONTH($C593)=6,$V$5,IF(MONTH($C593)=7,$V$6,"ERROR"))))-VLOOKUP($C593,COS!$B$8:$K$991,6,FALSE)/2,0))</f>
        <v>1500</v>
      </c>
      <c r="S593" s="26">
        <f t="shared" si="948"/>
        <v>92.231404958677686</v>
      </c>
      <c r="T593" s="26">
        <f t="shared" si="949"/>
        <v>190.45545688597622</v>
      </c>
      <c r="U593" s="26" t="str">
        <f>IF(VLOOKUP($C593,COS!$B$8:$I$991,8,FALSE)=1,"UWFE","IBU")</f>
        <v>IBU</v>
      </c>
      <c r="V593" s="26">
        <f t="shared" ref="V593" si="954">MIN(IF(IF($AA$3=2,AND(E593=1,G593=1,L593=1,L595=1,M593=1,U593="IBU"),AND(E593=1,G593=1,L593=1,L595=1,M593=1)),T593,0),I593)</f>
        <v>0</v>
      </c>
      <c r="W593" s="26"/>
      <c r="X593" s="26"/>
      <c r="Y593" s="26"/>
      <c r="Z593" s="26"/>
      <c r="AA593" s="26"/>
      <c r="AB593" s="33"/>
    </row>
    <row r="594" spans="1:28" x14ac:dyDescent="0.3">
      <c r="A594" s="32">
        <f>VLOOKUP(YEAR(C594),Flags!$A$13:$B$95,2,FALSE)</f>
        <v>1</v>
      </c>
      <c r="B594" s="24">
        <f t="shared" si="951"/>
        <v>1986</v>
      </c>
      <c r="C594" s="25">
        <v>31655</v>
      </c>
      <c r="D594" s="26"/>
      <c r="E594" s="24"/>
      <c r="F594" s="26"/>
      <c r="G594" s="24"/>
      <c r="H594" s="24"/>
      <c r="I594" s="26"/>
      <c r="J594" s="24"/>
      <c r="K594" s="26"/>
      <c r="L594" s="24"/>
      <c r="M594" s="24"/>
      <c r="N594" s="26"/>
      <c r="O594" s="26"/>
      <c r="P594" s="26"/>
      <c r="Q594" s="26"/>
      <c r="R594" s="26"/>
      <c r="S594" s="26"/>
      <c r="T594" s="26"/>
      <c r="U594" s="26"/>
      <c r="V594" s="26"/>
      <c r="W594" s="26">
        <f>MAX($C$7-VLOOKUP($C594,COS!$B$8:$H$991,3,FALSE),0)</f>
        <v>90769.2431640625</v>
      </c>
      <c r="X594" s="26">
        <f t="shared" si="870"/>
        <v>5581.1832160382237</v>
      </c>
      <c r="Y594" s="26">
        <f>VLOOKUP($C594,COS!$B$8:$H$991,4,FALSE)</f>
        <v>387.97982788085938</v>
      </c>
      <c r="Z594" s="26">
        <f t="shared" si="871"/>
        <v>23.855949747385072</v>
      </c>
      <c r="AA594" s="26">
        <f t="shared" ref="AA594:AA598" si="955">MIN(W594,Y594)</f>
        <v>387.97982788085938</v>
      </c>
      <c r="AB594" s="33">
        <f t="shared" ref="AB594:AB652" si="956">AA594*DAY($C594)*86400/43560/1000*IF(MONTH($C594)=8,$P$3,IF(MONTH($C594)=9,$P$4,IF(MONTH($C594)=10,$P$5,IF(MONTH($C594)=11,$P$6,IF(MONTH($C594)=12,$P$7,NA())))))</f>
        <v>23.855949747385072</v>
      </c>
    </row>
    <row r="595" spans="1:28" x14ac:dyDescent="0.3">
      <c r="A595" s="32">
        <f>VLOOKUP(YEAR(C595),Flags!$A$13:$B$95,2,FALSE)</f>
        <v>1</v>
      </c>
      <c r="B595" s="24">
        <f t="shared" si="951"/>
        <v>1986</v>
      </c>
      <c r="C595" s="25">
        <v>31685</v>
      </c>
      <c r="D595" s="26"/>
      <c r="E595" s="24"/>
      <c r="F595" s="26"/>
      <c r="G595" s="24"/>
      <c r="H595" s="24"/>
      <c r="I595" s="26"/>
      <c r="J595" s="24"/>
      <c r="K595" s="26">
        <f>VLOOKUP($C595,COS!$B$8:$H$991,2,FALSE)</f>
        <v>2914.57763671875</v>
      </c>
      <c r="L595" s="24">
        <f t="shared" ref="L595" si="957">IF(AND(K595&gt;$I$7,K595&lt;$I$8),1,0)</f>
        <v>1</v>
      </c>
      <c r="M595" s="24"/>
      <c r="N595" s="26"/>
      <c r="O595" s="26"/>
      <c r="P595" s="26"/>
      <c r="Q595" s="26"/>
      <c r="R595" s="26"/>
      <c r="S595" s="26"/>
      <c r="T595" s="26"/>
      <c r="U595" s="26"/>
      <c r="V595" s="26"/>
      <c r="W595" s="26">
        <f>MAX($C$8-VLOOKUP($C595,COS!$B$8:$H$991,3,FALSE),0)</f>
        <v>92355.841796875</v>
      </c>
      <c r="X595" s="26">
        <f t="shared" si="870"/>
        <v>5495.5542226239668</v>
      </c>
      <c r="Y595" s="26">
        <f>VLOOKUP($C595,COS!$B$8:$H$991,4,FALSE)</f>
        <v>343.38613891601563</v>
      </c>
      <c r="Z595" s="26">
        <f t="shared" si="871"/>
        <v>20.432894216490187</v>
      </c>
      <c r="AA595" s="26">
        <f t="shared" si="955"/>
        <v>343.38613891601563</v>
      </c>
      <c r="AB595" s="33">
        <f t="shared" si="956"/>
        <v>20.432894216490187</v>
      </c>
    </row>
    <row r="596" spans="1:28" x14ac:dyDescent="0.3">
      <c r="A596" s="32">
        <f>VLOOKUP(YEAR(C596),Flags!$A$13:$B$95,2,FALSE)</f>
        <v>1</v>
      </c>
      <c r="B596" s="24">
        <f t="shared" si="951"/>
        <v>1986</v>
      </c>
      <c r="C596" s="25">
        <v>31716</v>
      </c>
      <c r="D596" s="26"/>
      <c r="E596" s="24"/>
      <c r="F596" s="26"/>
      <c r="G596" s="26"/>
      <c r="H596" s="26"/>
      <c r="I596" s="26"/>
      <c r="J596" s="26"/>
      <c r="K596" s="26"/>
      <c r="L596" s="24"/>
      <c r="M596" s="24"/>
      <c r="N596" s="26"/>
      <c r="O596" s="26"/>
      <c r="P596" s="26"/>
      <c r="Q596" s="26"/>
      <c r="R596" s="26"/>
      <c r="S596" s="26"/>
      <c r="T596" s="26"/>
      <c r="U596" s="26"/>
      <c r="V596" s="26"/>
      <c r="W596" s="26">
        <f>MAX($C$9-VLOOKUP($C596,COS!$B$8:$H$991,3,FALSE),0)</f>
        <v>93664.2392578125</v>
      </c>
      <c r="X596" s="26">
        <f t="shared" si="870"/>
        <v>5759.1895874225211</v>
      </c>
      <c r="Y596" s="26">
        <f>VLOOKUP($C596,COS!$B$8:$H$991,4,FALSE)</f>
        <v>539.67193603515625</v>
      </c>
      <c r="Z596" s="26">
        <f t="shared" si="871"/>
        <v>33.183133918194734</v>
      </c>
      <c r="AA596" s="26">
        <f t="shared" si="955"/>
        <v>539.67193603515625</v>
      </c>
      <c r="AB596" s="33">
        <f t="shared" si="956"/>
        <v>33.183133918194734</v>
      </c>
    </row>
    <row r="597" spans="1:28" x14ac:dyDescent="0.3">
      <c r="A597" s="32">
        <f>VLOOKUP(YEAR(C597),Flags!$A$13:$B$95,2,FALSE)</f>
        <v>1</v>
      </c>
      <c r="B597" s="24">
        <f t="shared" si="951"/>
        <v>1986</v>
      </c>
      <c r="C597" s="25">
        <v>31746</v>
      </c>
      <c r="D597" s="26"/>
      <c r="E597" s="24"/>
      <c r="F597" s="26"/>
      <c r="G597" s="26"/>
      <c r="H597" s="26"/>
      <c r="I597" s="26"/>
      <c r="J597" s="26"/>
      <c r="K597" s="26"/>
      <c r="L597" s="24"/>
      <c r="M597" s="24"/>
      <c r="N597" s="26"/>
      <c r="O597" s="26"/>
      <c r="P597" s="26"/>
      <c r="Q597" s="26"/>
      <c r="R597" s="26"/>
      <c r="S597" s="26"/>
      <c r="T597" s="26"/>
      <c r="U597" s="26"/>
      <c r="V597" s="26"/>
      <c r="W597" s="26">
        <f>MAX($C$10-VLOOKUP($C597,COS!$B$8:$H$991,3,FALSE),0)</f>
        <v>89193.92578125</v>
      </c>
      <c r="X597" s="26">
        <f t="shared" si="870"/>
        <v>5307.4071539256202</v>
      </c>
      <c r="Y597" s="26">
        <f>VLOOKUP($C597,COS!$B$8:$H$991,4,FALSE)</f>
        <v>3081.6455078125</v>
      </c>
      <c r="Z597" s="26">
        <f t="shared" si="871"/>
        <v>183.37064178719007</v>
      </c>
      <c r="AA597" s="26">
        <f t="shared" si="955"/>
        <v>3081.6455078125</v>
      </c>
      <c r="AB597" s="33">
        <f t="shared" si="956"/>
        <v>91.685320893595033</v>
      </c>
    </row>
    <row r="598" spans="1:28" x14ac:dyDescent="0.3">
      <c r="A598" s="34">
        <f>VLOOKUP(YEAR(C598),Flags!$A$13:$B$95,2,FALSE)</f>
        <v>1</v>
      </c>
      <c r="B598" s="35">
        <f t="shared" si="951"/>
        <v>1986</v>
      </c>
      <c r="C598" s="36">
        <v>31777</v>
      </c>
      <c r="D598" s="37"/>
      <c r="E598" s="35"/>
      <c r="F598" s="37"/>
      <c r="G598" s="37"/>
      <c r="H598" s="37"/>
      <c r="I598" s="37"/>
      <c r="J598" s="37"/>
      <c r="K598" s="37"/>
      <c r="L598" s="35"/>
      <c r="M598" s="35"/>
      <c r="N598" s="37"/>
      <c r="O598" s="37"/>
      <c r="P598" s="37"/>
      <c r="Q598" s="37"/>
      <c r="R598" s="37"/>
      <c r="S598" s="37"/>
      <c r="T598" s="37"/>
      <c r="U598" s="37"/>
      <c r="V598" s="37"/>
      <c r="W598" s="37">
        <f>MAX($C$11-VLOOKUP($C598,COS!$B$8:$H$991,3,FALSE),0)</f>
        <v>0</v>
      </c>
      <c r="X598" s="37">
        <f t="shared" si="870"/>
        <v>0</v>
      </c>
      <c r="Y598" s="37">
        <f>VLOOKUP($C598,COS!$B$8:$H$991,4,FALSE)</f>
        <v>442.69561767578125</v>
      </c>
      <c r="Z598" s="37">
        <f t="shared" si="871"/>
        <v>27.220292524857957</v>
      </c>
      <c r="AA598" s="37">
        <f t="shared" si="955"/>
        <v>0</v>
      </c>
      <c r="AB598" s="38">
        <f t="shared" si="956"/>
        <v>0</v>
      </c>
    </row>
    <row r="599" spans="1:28" x14ac:dyDescent="0.3">
      <c r="A599" s="27">
        <f>VLOOKUP(YEAR(C599),Flags!$A$13:$B$95,2,FALSE)</f>
        <v>4</v>
      </c>
      <c r="B599" s="28">
        <f t="shared" si="951"/>
        <v>1987</v>
      </c>
      <c r="C599" s="29">
        <v>31897</v>
      </c>
      <c r="D599" s="30">
        <f>VLOOKUP($C599,COS!$B$8:$H$991,3,FALSE)</f>
        <v>5294.4443359375</v>
      </c>
      <c r="E599" s="28">
        <f>IF(D599&gt;=IF(MONTH($C599)=4,$C$3,IF(MONTH($C599)=5,$C$4,IF(MONTH($C599)=6,$C$5,IF(MONTH($C599)=7,$C$6,"ERROR")))),1,0)</f>
        <v>0</v>
      </c>
      <c r="F599" s="30">
        <f>VLOOKUP($C599,COS!$B$8:$H$991,7,FALSE)</f>
        <v>50.914810180664063</v>
      </c>
      <c r="G599" s="28">
        <f>IF(F599&lt;=IF(MONTH($C599)=4,$F$3,IF(MONTH($C599)=5,$F$4,IF(MONTH($C599)=6,$F$5,IF(MONTH($C599)=7,$F$6,"ERROR")))),1,0)</f>
        <v>1</v>
      </c>
      <c r="H599" s="30">
        <f>IF(J599=1,D599-$C$3,0)</f>
        <v>0</v>
      </c>
      <c r="I599" s="30">
        <f t="shared" si="872"/>
        <v>0</v>
      </c>
      <c r="J599" s="28">
        <f t="shared" ref="J599:J602" si="958">IF(AND(E599=1,G599=1),1,0)</f>
        <v>0</v>
      </c>
      <c r="K599" s="30">
        <f>VLOOKUP($C599,COS!$B$8:$H$991,2,FALSE)</f>
        <v>3623.035888671875</v>
      </c>
      <c r="L599" s="28">
        <f t="shared" ref="L599" si="959">IF(K599&lt;=IF(MONTH($C599)=4,$I$3,IF(MONTH($C599)=5,$I$4,IF(MONTH($C599)=6,$I$5,IF(MONTH($C599)=7,$I$6,"ERROR")))),1,0)</f>
        <v>1</v>
      </c>
      <c r="M599" s="28">
        <f t="shared" ref="M599" si="960">VLOOKUP($A599,$L$3:$M$7,2,FALSE)</f>
        <v>1</v>
      </c>
      <c r="N599" s="30">
        <f>VLOOKUP($C599,COS!$B$8:$H$991,5,FALSE)</f>
        <v>182.17179870605469</v>
      </c>
      <c r="O599" s="30">
        <f t="shared" ref="O599:O602" si="961">N599*DAY($C599)*86400/43560/1000</f>
        <v>10.839974799037966</v>
      </c>
      <c r="P599" s="30">
        <f>VLOOKUP($C599,COS!$B$8:$H$991,6,FALSE)</f>
        <v>465.95361328125</v>
      </c>
      <c r="Q599" s="30">
        <f t="shared" ref="Q599:Q602" si="962">P599*DAY($C599)*86400/43560/1000</f>
        <v>27.72616541838843</v>
      </c>
      <c r="R599" s="30">
        <f>MIN(IF(MONTH($C599)=4,$S$3,IF(MONTH($C599)=5,$S$4,IF(MONTH($C599)=6,$S$5,IF(MONTH($C599)=7,$S$6,"ERROR")))),MAX(VLOOKUP($C599,COS!$B$8:$K$991,10,FALSE)-IF(MONTH($C599)=4,$Y$3,IF(MONTH($C599)=5,$Y$4,IF(MONTH($C599)=6,$Y$5,IF(MONTH($C599)=7,$Y$6,"ERROR")))),0),MAX(VLOOKUP($C599,COS!$B$8:$K$991,9,FALSE)-IF(MONTH($C599)=4,$V$3,IF(MONTH($C599)=5,$V$4,IF(MONTH($C599)=6,$V$5,IF(MONTH($C599)=7,$V$6,"ERROR"))))-VLOOKUP($C599,COS!$B$8:$K$991,6,FALSE)/2,0))</f>
        <v>1500</v>
      </c>
      <c r="S599" s="30">
        <f t="shared" ref="S599:S602" si="963">R599*DAY($C599)*86400/43560/1000</f>
        <v>89.256198347107429</v>
      </c>
      <c r="T599" s="30">
        <f t="shared" ref="T599:T602" si="964">(O599+Q599)/2+S599</f>
        <v>108.53926845582063</v>
      </c>
      <c r="U599" s="30" t="str">
        <f>IF(VLOOKUP($C599,COS!$B$8:$I$991,8,FALSE)=1,"UWFE","IBU")</f>
        <v>UWFE</v>
      </c>
      <c r="V599" s="30">
        <f t="shared" ref="V599" si="965">MIN(IF(IF($AA$3=2,AND(E599=1,G599=1,L599=1,L604=1,M599=1,U599="IBU"),AND(E599=1,G599=1,L599=1,L604=1,M599=1)),T599,0),I599)</f>
        <v>0</v>
      </c>
      <c r="W599" s="30"/>
      <c r="X599" s="30"/>
      <c r="Y599" s="30"/>
      <c r="Z599" s="30"/>
      <c r="AA599" s="30"/>
      <c r="AB599" s="31"/>
    </row>
    <row r="600" spans="1:28" x14ac:dyDescent="0.3">
      <c r="A600" s="32">
        <f>VLOOKUP(YEAR(C600),Flags!$A$13:$B$95,2,FALSE)</f>
        <v>4</v>
      </c>
      <c r="B600" s="24">
        <f t="shared" si="951"/>
        <v>1987</v>
      </c>
      <c r="C600" s="25">
        <v>31928</v>
      </c>
      <c r="D600" s="26">
        <f>VLOOKUP($C600,COS!$B$8:$H$991,3,FALSE)</f>
        <v>9427.30078125</v>
      </c>
      <c r="E600" s="24">
        <f>IF(D600&gt;=IF(MONTH($C600)=4,$C$3,IF(MONTH($C600)=5,$C$4,IF(MONTH($C600)=6,$C$5,IF(MONTH($C600)=7,$C$6,"ERROR")))),1,0)</f>
        <v>1</v>
      </c>
      <c r="F600" s="26">
        <f>VLOOKUP($C600,COS!$B$8:$H$991,7,FALSE)</f>
        <v>50.738330841064453</v>
      </c>
      <c r="G600" s="24">
        <f>IF(F600&lt;=IF(MONTH($C600)=4,$F$3,IF(MONTH($C600)=5,$F$4,IF(MONTH($C600)=6,$F$5,IF(MONTH($C600)=7,$F$6,"ERROR")))),1,0)</f>
        <v>1</v>
      </c>
      <c r="H600" s="26">
        <f>IF(J600=1,D600-$C$4,0)</f>
        <v>3427.30078125</v>
      </c>
      <c r="I600" s="26">
        <f t="shared" si="872"/>
        <v>210.73651084710744</v>
      </c>
      <c r="J600" s="24">
        <f t="shared" si="958"/>
        <v>1</v>
      </c>
      <c r="K600" s="26">
        <f>VLOOKUP($C600,COS!$B$8:$H$991,2,FALSE)</f>
        <v>3278.966796875</v>
      </c>
      <c r="L600" s="24">
        <f t="shared" si="944"/>
        <v>1</v>
      </c>
      <c r="M600" s="24">
        <f t="shared" si="945"/>
        <v>1</v>
      </c>
      <c r="N600" s="26">
        <f>VLOOKUP($C600,COS!$B$8:$H$991,5,FALSE)</f>
        <v>250.50456237792969</v>
      </c>
      <c r="O600" s="26">
        <f t="shared" si="961"/>
        <v>15.402925157783447</v>
      </c>
      <c r="P600" s="26">
        <f>VLOOKUP($C600,COS!$B$8:$H$991,6,FALSE)</f>
        <v>2345.609619140625</v>
      </c>
      <c r="Q600" s="26">
        <f t="shared" si="962"/>
        <v>144.22591377195246</v>
      </c>
      <c r="R600" s="26">
        <f>MIN(IF(MONTH($C600)=4,$S$3,IF(MONTH($C600)=5,$S$4,IF(MONTH($C600)=6,$S$5,IF(MONTH($C600)=7,$S$6,"ERROR")))),MAX(VLOOKUP($C600,COS!$B$8:$K$991,10,FALSE)-IF(MONTH($C600)=4,$Y$3,IF(MONTH($C600)=5,$Y$4,IF(MONTH($C600)=6,$Y$5,IF(MONTH($C600)=7,$Y$6,"ERROR")))),0),MAX(VLOOKUP($C600,COS!$B$8:$K$991,9,FALSE)-IF(MONTH($C600)=4,$V$3,IF(MONTH($C600)=5,$V$4,IF(MONTH($C600)=6,$V$5,IF(MONTH($C600)=7,$V$6,"ERROR"))))-VLOOKUP($C600,COS!$B$8:$K$991,6,FALSE)/2,0))</f>
        <v>1500</v>
      </c>
      <c r="S600" s="26">
        <f t="shared" si="963"/>
        <v>92.231404958677686</v>
      </c>
      <c r="T600" s="26">
        <f t="shared" si="964"/>
        <v>172.04582442354564</v>
      </c>
      <c r="U600" s="26" t="str">
        <f>IF(VLOOKUP($C600,COS!$B$8:$I$991,8,FALSE)=1,"UWFE","IBU")</f>
        <v>IBU</v>
      </c>
      <c r="V600" s="26">
        <f t="shared" ref="V600" si="966">MIN(IF(IF($AA$3=2,AND(E600=1,G600=1,L600=1,L604=1,M600=1,U600="IBU"),AND(E600=1,G600=1,L600=1,L604=1,M600=1)),T600,0),I600)</f>
        <v>172.04582442354564</v>
      </c>
      <c r="W600" s="26"/>
      <c r="X600" s="26"/>
      <c r="Y600" s="26"/>
      <c r="Z600" s="26"/>
      <c r="AA600" s="26"/>
      <c r="AB600" s="33"/>
    </row>
    <row r="601" spans="1:28" x14ac:dyDescent="0.3">
      <c r="A601" s="32">
        <f>VLOOKUP(YEAR(C601),Flags!$A$13:$B$95,2,FALSE)</f>
        <v>4</v>
      </c>
      <c r="B601" s="24">
        <f t="shared" si="951"/>
        <v>1987</v>
      </c>
      <c r="C601" s="25">
        <v>31958</v>
      </c>
      <c r="D601" s="26">
        <f>VLOOKUP($C601,COS!$B$8:$H$991,3,FALSE)</f>
        <v>12915.80859375</v>
      </c>
      <c r="E601" s="24">
        <f>IF(D601&gt;=IF(MONTH($C601)=4,$C$3,IF(MONTH($C601)=5,$C$4,IF(MONTH($C601)=6,$C$5,IF(MONTH($C601)=7,$C$6,"ERROR")))),1,0)</f>
        <v>1</v>
      </c>
      <c r="F601" s="26">
        <f>VLOOKUP($C601,COS!$B$8:$H$991,7,FALSE)</f>
        <v>52.064525604248047</v>
      </c>
      <c r="G601" s="24">
        <f>IF(F601&lt;=IF(MONTH($C601)=4,$F$3,IF(MONTH($C601)=5,$F$4,IF(MONTH($C601)=6,$F$5,IF(MONTH($C601)=7,$F$6,"ERROR")))),1,0)</f>
        <v>1</v>
      </c>
      <c r="H601" s="26">
        <f>IF(J601=1,D601-$C$5,0)</f>
        <v>2915.80859375</v>
      </c>
      <c r="I601" s="26">
        <f t="shared" si="872"/>
        <v>173.50266012396696</v>
      </c>
      <c r="J601" s="24">
        <f t="shared" si="958"/>
        <v>1</v>
      </c>
      <c r="K601" s="26">
        <f>VLOOKUP($C601,COS!$B$8:$H$991,2,FALSE)</f>
        <v>2849.214111328125</v>
      </c>
      <c r="L601" s="24">
        <f t="shared" si="944"/>
        <v>1</v>
      </c>
      <c r="M601" s="24">
        <f t="shared" si="945"/>
        <v>1</v>
      </c>
      <c r="N601" s="26">
        <f>VLOOKUP($C601,COS!$B$8:$H$991,5,FALSE)</f>
        <v>294.71493530273438</v>
      </c>
      <c r="O601" s="26">
        <f t="shared" si="961"/>
        <v>17.536756480823865</v>
      </c>
      <c r="P601" s="26">
        <f>VLOOKUP($C601,COS!$B$8:$H$991,6,FALSE)</f>
        <v>2714.961669921875</v>
      </c>
      <c r="Q601" s="26">
        <f t="shared" si="962"/>
        <v>161.55143821022727</v>
      </c>
      <c r="R601" s="26">
        <f>MIN(IF(MONTH($C601)=4,$S$3,IF(MONTH($C601)=5,$S$4,IF(MONTH($C601)=6,$S$5,IF(MONTH($C601)=7,$S$6,"ERROR")))),MAX(VLOOKUP($C601,COS!$B$8:$K$991,10,FALSE)-IF(MONTH($C601)=4,$Y$3,IF(MONTH($C601)=5,$Y$4,IF(MONTH($C601)=6,$Y$5,IF(MONTH($C601)=7,$Y$6,"ERROR")))),0),MAX(VLOOKUP($C601,COS!$B$8:$K$991,9,FALSE)-IF(MONTH($C601)=4,$V$3,IF(MONTH($C601)=5,$V$4,IF(MONTH($C601)=6,$V$5,IF(MONTH($C601)=7,$V$6,"ERROR"))))-VLOOKUP($C601,COS!$B$8:$K$991,6,FALSE)/2,0))</f>
        <v>1500</v>
      </c>
      <c r="S601" s="26">
        <f t="shared" si="963"/>
        <v>89.256198347107429</v>
      </c>
      <c r="T601" s="26">
        <f t="shared" si="964"/>
        <v>178.800295692633</v>
      </c>
      <c r="U601" s="26" t="str">
        <f>IF(VLOOKUP($C601,COS!$B$8:$I$991,8,FALSE)=1,"UWFE","IBU")</f>
        <v>IBU</v>
      </c>
      <c r="V601" s="26">
        <f t="shared" ref="V601" si="967">MIN(IF(IF($AA$3=2,AND(E601=1,G601=1,L601=1,L604=1,M601=1,U601="IBU"),AND(E601=1,G601=1,L601=1,L604=1,M601=1)),T601,0),I601)</f>
        <v>173.50266012396696</v>
      </c>
      <c r="W601" s="26"/>
      <c r="X601" s="26"/>
      <c r="Y601" s="26"/>
      <c r="Z601" s="26"/>
      <c r="AA601" s="26"/>
      <c r="AB601" s="33"/>
    </row>
    <row r="602" spans="1:28" x14ac:dyDescent="0.3">
      <c r="A602" s="32">
        <f>VLOOKUP(YEAR(C602),Flags!$A$13:$B$95,2,FALSE)</f>
        <v>4</v>
      </c>
      <c r="B602" s="24">
        <f t="shared" si="951"/>
        <v>1987</v>
      </c>
      <c r="C602" s="25">
        <v>31989</v>
      </c>
      <c r="D602" s="26">
        <f>VLOOKUP($C602,COS!$B$8:$H$991,3,FALSE)</f>
        <v>12279.78515625</v>
      </c>
      <c r="E602" s="24">
        <f>IF(D602&gt;=IF(MONTH($C602)=4,$C$3,IF(MONTH($C602)=5,$C$4,IF(MONTH($C602)=6,$C$5,IF(MONTH($C602)=7,$C$6,"ERROR")))),1,0)</f>
        <v>1</v>
      </c>
      <c r="F602" s="26">
        <f>VLOOKUP($C602,COS!$B$8:$H$991,7,FALSE)</f>
        <v>53.705059051513672</v>
      </c>
      <c r="G602" s="24">
        <f>IF(F602&lt;=IF(MONTH($C602)=4,$F$3,IF(MONTH($C602)=5,$F$4,IF(MONTH($C602)=6,$F$5,IF(MONTH($C602)=7,$F$6,"ERROR")))),1,0)</f>
        <v>0</v>
      </c>
      <c r="H602" s="26">
        <f>IF(J602=1,D602-$C$6,0)</f>
        <v>0</v>
      </c>
      <c r="I602" s="26">
        <f t="shared" si="872"/>
        <v>0</v>
      </c>
      <c r="J602" s="24">
        <f t="shared" si="958"/>
        <v>0</v>
      </c>
      <c r="K602" s="26">
        <f>VLOOKUP($C602,COS!$B$8:$H$991,2,FALSE)</f>
        <v>2473.188232421875</v>
      </c>
      <c r="L602" s="24">
        <f t="shared" si="944"/>
        <v>1</v>
      </c>
      <c r="M602" s="24">
        <f t="shared" si="945"/>
        <v>1</v>
      </c>
      <c r="N602" s="26">
        <f>VLOOKUP($C602,COS!$B$8:$H$991,5,FALSE)</f>
        <v>320.8253173828125</v>
      </c>
      <c r="O602" s="26">
        <f t="shared" si="961"/>
        <v>19.726779845686984</v>
      </c>
      <c r="P602" s="26">
        <f>VLOOKUP($C602,COS!$B$8:$H$991,6,FALSE)</f>
        <v>2538.07568359375</v>
      </c>
      <c r="Q602" s="26">
        <f t="shared" si="962"/>
        <v>156.06019079287191</v>
      </c>
      <c r="R602" s="26">
        <f>MIN(IF(MONTH($C602)=4,$S$3,IF(MONTH($C602)=5,$S$4,IF(MONTH($C602)=6,$S$5,IF(MONTH($C602)=7,$S$6,"ERROR")))),MAX(VLOOKUP($C602,COS!$B$8:$K$991,10,FALSE)-IF(MONTH($C602)=4,$Y$3,IF(MONTH($C602)=5,$Y$4,IF(MONTH($C602)=6,$Y$5,IF(MONTH($C602)=7,$Y$6,"ERROR")))),0),MAX(VLOOKUP($C602,COS!$B$8:$K$991,9,FALSE)-IF(MONTH($C602)=4,$V$3,IF(MONTH($C602)=5,$V$4,IF(MONTH($C602)=6,$V$5,IF(MONTH($C602)=7,$V$6,"ERROR"))))-VLOOKUP($C602,COS!$B$8:$K$991,6,FALSE)/2,0))</f>
        <v>1500</v>
      </c>
      <c r="S602" s="26">
        <f t="shared" si="963"/>
        <v>92.231404958677686</v>
      </c>
      <c r="T602" s="26">
        <f t="shared" si="964"/>
        <v>180.12489027795715</v>
      </c>
      <c r="U602" s="26" t="str">
        <f>IF(VLOOKUP($C602,COS!$B$8:$I$991,8,FALSE)=1,"UWFE","IBU")</f>
        <v>IBU</v>
      </c>
      <c r="V602" s="26">
        <f t="shared" ref="V602" si="968">MIN(IF(IF($AA$3=2,AND(E602=1,G602=1,L602=1,L604=1,M602=1,U602="IBU"),AND(E602=1,G602=1,L602=1,L604=1,M602=1)),T602,0),I602)</f>
        <v>0</v>
      </c>
      <c r="W602" s="26"/>
      <c r="X602" s="26"/>
      <c r="Y602" s="26"/>
      <c r="Z602" s="26"/>
      <c r="AA602" s="26"/>
      <c r="AB602" s="33"/>
    </row>
    <row r="603" spans="1:28" x14ac:dyDescent="0.3">
      <c r="A603" s="32">
        <f>VLOOKUP(YEAR(C603),Flags!$A$13:$B$95,2,FALSE)</f>
        <v>4</v>
      </c>
      <c r="B603" s="24">
        <f t="shared" si="951"/>
        <v>1987</v>
      </c>
      <c r="C603" s="25">
        <v>32020</v>
      </c>
      <c r="D603" s="26"/>
      <c r="E603" s="24"/>
      <c r="F603" s="26"/>
      <c r="G603" s="24"/>
      <c r="H603" s="24"/>
      <c r="I603" s="26"/>
      <c r="J603" s="24"/>
      <c r="K603" s="26"/>
      <c r="L603" s="24"/>
      <c r="M603" s="24"/>
      <c r="N603" s="26"/>
      <c r="O603" s="26"/>
      <c r="P603" s="26"/>
      <c r="Q603" s="26"/>
      <c r="R603" s="26"/>
      <c r="S603" s="26"/>
      <c r="T603" s="26"/>
      <c r="U603" s="26"/>
      <c r="V603" s="26"/>
      <c r="W603" s="26">
        <f>MAX($C$7-VLOOKUP($C603,COS!$B$8:$H$991,3,FALSE),0)</f>
        <v>92401.0830078125</v>
      </c>
      <c r="X603" s="26">
        <f t="shared" si="870"/>
        <v>5681.5211370092975</v>
      </c>
      <c r="Y603" s="26">
        <f>VLOOKUP($C603,COS!$B$8:$H$991,4,FALSE)</f>
        <v>2881.91650390625</v>
      </c>
      <c r="Z603" s="26">
        <f t="shared" si="871"/>
        <v>177.20213875258267</v>
      </c>
      <c r="AA603" s="26">
        <f t="shared" ref="AA603:AA607" si="969">MIN(W603,Y603)</f>
        <v>2881.91650390625</v>
      </c>
      <c r="AB603" s="33">
        <f t="shared" ref="AB603" si="970">AA603*DAY($C603)*86400/43560/1000*IF(MONTH($C603)=8,$P$3,IF(MONTH($C603)=9,$P$4,IF(MONTH($C603)=10,$P$5,IF(MONTH($C603)=11,$P$6,IF(MONTH($C603)=12,$P$7,NA())))))</f>
        <v>177.20213875258267</v>
      </c>
    </row>
    <row r="604" spans="1:28" x14ac:dyDescent="0.3">
      <c r="A604" s="32">
        <f>VLOOKUP(YEAR(C604),Flags!$A$13:$B$95,2,FALSE)</f>
        <v>4</v>
      </c>
      <c r="B604" s="24">
        <f t="shared" si="951"/>
        <v>1987</v>
      </c>
      <c r="C604" s="25">
        <v>32050</v>
      </c>
      <c r="D604" s="26"/>
      <c r="E604" s="24"/>
      <c r="F604" s="26"/>
      <c r="G604" s="24"/>
      <c r="H604" s="24"/>
      <c r="I604" s="26"/>
      <c r="J604" s="24"/>
      <c r="K604" s="26">
        <f>VLOOKUP($C604,COS!$B$8:$H$991,2,FALSE)</f>
        <v>2192.67578125</v>
      </c>
      <c r="L604" s="24">
        <f t="shared" ref="L604" si="971">IF(AND(K604&gt;$I$7,K604&lt;$I$8),1,0)</f>
        <v>1</v>
      </c>
      <c r="M604" s="24"/>
      <c r="N604" s="26"/>
      <c r="O604" s="26"/>
      <c r="P604" s="26"/>
      <c r="Q604" s="26"/>
      <c r="R604" s="26"/>
      <c r="S604" s="26"/>
      <c r="T604" s="26"/>
      <c r="U604" s="26"/>
      <c r="V604" s="26"/>
      <c r="W604" s="26">
        <f>MAX($C$8-VLOOKUP($C604,COS!$B$8:$H$991,3,FALSE),0)</f>
        <v>94661.54638671875</v>
      </c>
      <c r="X604" s="26">
        <f t="shared" si="870"/>
        <v>5632.7531734245867</v>
      </c>
      <c r="Y604" s="26">
        <f>VLOOKUP($C604,COS!$B$8:$H$991,4,FALSE)</f>
        <v>1887.955078125</v>
      </c>
      <c r="Z604" s="26">
        <f t="shared" si="871"/>
        <v>112.34112861570247</v>
      </c>
      <c r="AA604" s="26">
        <f t="shared" si="969"/>
        <v>1887.955078125</v>
      </c>
      <c r="AB604" s="33">
        <f t="shared" si="956"/>
        <v>112.34112861570247</v>
      </c>
    </row>
    <row r="605" spans="1:28" x14ac:dyDescent="0.3">
      <c r="A605" s="32">
        <f>VLOOKUP(YEAR(C605),Flags!$A$13:$B$95,2,FALSE)</f>
        <v>4</v>
      </c>
      <c r="B605" s="24">
        <f t="shared" si="951"/>
        <v>1987</v>
      </c>
      <c r="C605" s="25">
        <v>32081</v>
      </c>
      <c r="D605" s="26"/>
      <c r="E605" s="24"/>
      <c r="F605" s="26"/>
      <c r="G605" s="26"/>
      <c r="H605" s="26"/>
      <c r="I605" s="26"/>
      <c r="J605" s="26"/>
      <c r="K605" s="26"/>
      <c r="L605" s="24"/>
      <c r="M605" s="24"/>
      <c r="N605" s="26"/>
      <c r="O605" s="26"/>
      <c r="P605" s="26"/>
      <c r="Q605" s="26"/>
      <c r="R605" s="26"/>
      <c r="S605" s="26"/>
      <c r="T605" s="26"/>
      <c r="U605" s="26"/>
      <c r="V605" s="26"/>
      <c r="W605" s="26">
        <f>MAX($C$9-VLOOKUP($C605,COS!$B$8:$H$991,3,FALSE),0)</f>
        <v>93485.296875</v>
      </c>
      <c r="X605" s="26">
        <f t="shared" si="870"/>
        <v>5748.1868491735531</v>
      </c>
      <c r="Y605" s="26">
        <f>VLOOKUP($C605,COS!$B$8:$H$991,4,FALSE)</f>
        <v>1710.297119140625</v>
      </c>
      <c r="Z605" s="26">
        <f t="shared" si="871"/>
        <v>105.16207079674588</v>
      </c>
      <c r="AA605" s="26">
        <f t="shared" si="969"/>
        <v>1710.297119140625</v>
      </c>
      <c r="AB605" s="33">
        <f t="shared" si="956"/>
        <v>105.16207079674588</v>
      </c>
    </row>
    <row r="606" spans="1:28" x14ac:dyDescent="0.3">
      <c r="A606" s="32">
        <f>VLOOKUP(YEAR(C606),Flags!$A$13:$B$95,2,FALSE)</f>
        <v>4</v>
      </c>
      <c r="B606" s="24">
        <f t="shared" si="951"/>
        <v>1987</v>
      </c>
      <c r="C606" s="25">
        <v>32111</v>
      </c>
      <c r="D606" s="26"/>
      <c r="E606" s="24"/>
      <c r="F606" s="26"/>
      <c r="G606" s="26"/>
      <c r="H606" s="26"/>
      <c r="I606" s="26"/>
      <c r="J606" s="26"/>
      <c r="K606" s="26"/>
      <c r="L606" s="24"/>
      <c r="M606" s="24"/>
      <c r="N606" s="26"/>
      <c r="O606" s="26"/>
      <c r="P606" s="26"/>
      <c r="Q606" s="26"/>
      <c r="R606" s="26"/>
      <c r="S606" s="26"/>
      <c r="T606" s="26"/>
      <c r="U606" s="26"/>
      <c r="V606" s="26"/>
      <c r="W606" s="26">
        <f>MAX($C$10-VLOOKUP($C606,COS!$B$8:$H$991,3,FALSE),0)</f>
        <v>95803.09228515625</v>
      </c>
      <c r="X606" s="26">
        <f t="shared" si="870"/>
        <v>5700.67987151343</v>
      </c>
      <c r="Y606" s="26">
        <f>VLOOKUP($C606,COS!$B$8:$H$991,4,FALSE)</f>
        <v>1824.783935546875</v>
      </c>
      <c r="Z606" s="26">
        <f t="shared" si="871"/>
        <v>108.58218459452479</v>
      </c>
      <c r="AA606" s="26">
        <f t="shared" si="969"/>
        <v>1824.783935546875</v>
      </c>
      <c r="AB606" s="33">
        <f t="shared" si="956"/>
        <v>54.291092297262395</v>
      </c>
    </row>
    <row r="607" spans="1:28" x14ac:dyDescent="0.3">
      <c r="A607" s="34">
        <f>VLOOKUP(YEAR(C607),Flags!$A$13:$B$95,2,FALSE)</f>
        <v>4</v>
      </c>
      <c r="B607" s="35">
        <f t="shared" si="951"/>
        <v>1987</v>
      </c>
      <c r="C607" s="36">
        <v>32142</v>
      </c>
      <c r="D607" s="37"/>
      <c r="E607" s="35"/>
      <c r="F607" s="37"/>
      <c r="G607" s="37"/>
      <c r="H607" s="37"/>
      <c r="I607" s="37"/>
      <c r="J607" s="37"/>
      <c r="K607" s="37"/>
      <c r="L607" s="35"/>
      <c r="M607" s="35"/>
      <c r="N607" s="37"/>
      <c r="O607" s="37"/>
      <c r="P607" s="37"/>
      <c r="Q607" s="37"/>
      <c r="R607" s="37"/>
      <c r="S607" s="37"/>
      <c r="T607" s="37"/>
      <c r="U607" s="37"/>
      <c r="V607" s="37"/>
      <c r="W607" s="37">
        <f>MAX($C$11-VLOOKUP($C607,COS!$B$8:$H$991,3,FALSE),0)</f>
        <v>0</v>
      </c>
      <c r="X607" s="37">
        <f t="shared" ref="X607:X670" si="972">W607*DAY($C607)*86400/43560/1000</f>
        <v>0</v>
      </c>
      <c r="Y607" s="37">
        <f>VLOOKUP($C607,COS!$B$8:$H$991,4,FALSE)</f>
        <v>906.1927490234375</v>
      </c>
      <c r="Z607" s="37">
        <f t="shared" ref="Z607:Z670" si="973">Y607*DAY($C607)*86400/43560/1000</f>
        <v>55.719620270532026</v>
      </c>
      <c r="AA607" s="37">
        <f t="shared" si="969"/>
        <v>0</v>
      </c>
      <c r="AB607" s="38">
        <f t="shared" si="956"/>
        <v>0</v>
      </c>
    </row>
    <row r="608" spans="1:28" x14ac:dyDescent="0.3">
      <c r="A608" s="27">
        <f>VLOOKUP(YEAR(C608),Flags!$A$13:$B$95,2,FALSE)</f>
        <v>5</v>
      </c>
      <c r="B608" s="28">
        <f t="shared" si="951"/>
        <v>1988</v>
      </c>
      <c r="C608" s="29">
        <v>32263</v>
      </c>
      <c r="D608" s="30">
        <f>VLOOKUP($C608,COS!$B$8:$H$991,3,FALSE)</f>
        <v>3250</v>
      </c>
      <c r="E608" s="28">
        <f>IF(D608&gt;=IF(MONTH($C608)=4,$C$3,IF(MONTH($C608)=5,$C$4,IF(MONTH($C608)=6,$C$5,IF(MONTH($C608)=7,$C$6,"ERROR")))),1,0)</f>
        <v>0</v>
      </c>
      <c r="F608" s="30">
        <f>VLOOKUP($C608,COS!$B$8:$H$991,7,FALSE)</f>
        <v>51.376628875732422</v>
      </c>
      <c r="G608" s="28">
        <f>IF(F608&lt;=IF(MONTH($C608)=4,$F$3,IF(MONTH($C608)=5,$F$4,IF(MONTH($C608)=6,$F$5,IF(MONTH($C608)=7,$F$6,"ERROR")))),1,0)</f>
        <v>1</v>
      </c>
      <c r="H608" s="30">
        <f>IF(J608=1,D608-$C$3,0)</f>
        <v>0</v>
      </c>
      <c r="I608" s="30">
        <f t="shared" si="872"/>
        <v>0</v>
      </c>
      <c r="J608" s="28">
        <f t="shared" ref="J608:J611" si="974">IF(AND(E608=1,G608=1),1,0)</f>
        <v>0</v>
      </c>
      <c r="K608" s="30">
        <f>VLOOKUP($C608,COS!$B$8:$H$991,2,FALSE)</f>
        <v>3432.6455078125</v>
      </c>
      <c r="L608" s="28">
        <f t="shared" ref="L608" si="975">IF(K608&lt;=IF(MONTH($C608)=4,$I$3,IF(MONTH($C608)=5,$I$4,IF(MONTH($C608)=6,$I$5,IF(MONTH($C608)=7,$I$6,"ERROR")))),1,0)</f>
        <v>1</v>
      </c>
      <c r="M608" s="28">
        <f t="shared" ref="M608" si="976">VLOOKUP($A608,$L$3:$M$7,2,FALSE)</f>
        <v>1</v>
      </c>
      <c r="N608" s="30">
        <f>VLOOKUP($C608,COS!$B$8:$H$991,5,FALSE)</f>
        <v>119.56303405761719</v>
      </c>
      <c r="O608" s="30">
        <f t="shared" ref="O608:O611" si="977">N608*DAY($C608)*86400/43560/1000</f>
        <v>7.1144945885524278</v>
      </c>
      <c r="P608" s="30">
        <f>VLOOKUP($C608,COS!$B$8:$H$991,6,FALSE)</f>
        <v>472.98532104492188</v>
      </c>
      <c r="Q608" s="30">
        <f t="shared" ref="Q608:Q611" si="978">P608*DAY($C608)*86400/43560/1000</f>
        <v>28.144581086970557</v>
      </c>
      <c r="R608" s="30">
        <f>MIN(IF(MONTH($C608)=4,$S$3,IF(MONTH($C608)=5,$S$4,IF(MONTH($C608)=6,$S$5,IF(MONTH($C608)=7,$S$6,"ERROR")))),MAX(VLOOKUP($C608,COS!$B$8:$K$991,10,FALSE)-IF(MONTH($C608)=4,$Y$3,IF(MONTH($C608)=5,$Y$4,IF(MONTH($C608)=6,$Y$5,IF(MONTH($C608)=7,$Y$6,"ERROR")))),0),MAX(VLOOKUP($C608,COS!$B$8:$K$991,9,FALSE)-IF(MONTH($C608)=4,$V$3,IF(MONTH($C608)=5,$V$4,IF(MONTH($C608)=6,$V$5,IF(MONTH($C608)=7,$V$6,"ERROR"))))-VLOOKUP($C608,COS!$B$8:$K$991,6,FALSE)/2,0))</f>
        <v>764.98193359375</v>
      </c>
      <c r="S608" s="30">
        <f t="shared" ref="S608:S611" si="979">R608*DAY($C608)*86400/43560/1000</f>
        <v>45.519586131198345</v>
      </c>
      <c r="T608" s="30">
        <f t="shared" ref="T608:T611" si="980">(O608+Q608)/2+S608</f>
        <v>63.149123968959842</v>
      </c>
      <c r="U608" s="30" t="str">
        <f>IF(VLOOKUP($C608,COS!$B$8:$I$991,8,FALSE)=1,"UWFE","IBU")</f>
        <v>UWFE</v>
      </c>
      <c r="V608" s="30">
        <f t="shared" ref="V608" si="981">MIN(IF(IF($AA$3=2,AND(E608=1,G608=1,L608=1,L613=1,M608=1,U608="IBU"),AND(E608=1,G608=1,L608=1,L613=1,M608=1)),T608,0),I608)</f>
        <v>0</v>
      </c>
      <c r="W608" s="30"/>
      <c r="X608" s="30"/>
      <c r="Y608" s="30"/>
      <c r="Z608" s="30"/>
      <c r="AA608" s="30"/>
      <c r="AB608" s="31"/>
    </row>
    <row r="609" spans="1:28" x14ac:dyDescent="0.3">
      <c r="A609" s="32">
        <f>VLOOKUP(YEAR(C609),Flags!$A$13:$B$95,2,FALSE)</f>
        <v>5</v>
      </c>
      <c r="B609" s="24">
        <f t="shared" si="951"/>
        <v>1988</v>
      </c>
      <c r="C609" s="25">
        <v>32294</v>
      </c>
      <c r="D609" s="26">
        <f>VLOOKUP($C609,COS!$B$8:$H$991,3,FALSE)</f>
        <v>6883.46142578125</v>
      </c>
      <c r="E609" s="24">
        <f>IF(D609&gt;=IF(MONTH($C609)=4,$C$3,IF(MONTH($C609)=5,$C$4,IF(MONTH($C609)=6,$C$5,IF(MONTH($C609)=7,$C$6,"ERROR")))),1,0)</f>
        <v>1</v>
      </c>
      <c r="F609" s="26">
        <f>VLOOKUP($C609,COS!$B$8:$H$991,7,FALSE)</f>
        <v>51.008148193359375</v>
      </c>
      <c r="G609" s="24">
        <f>IF(F609&lt;=IF(MONTH($C609)=4,$F$3,IF(MONTH($C609)=5,$F$4,IF(MONTH($C609)=6,$F$5,IF(MONTH($C609)=7,$F$6,"ERROR")))),1,0)</f>
        <v>1</v>
      </c>
      <c r="H609" s="26">
        <f>IF(J609=1,D609-$C$4,0)</f>
        <v>883.46142578125</v>
      </c>
      <c r="I609" s="26">
        <f t="shared" ref="I609:I672" si="982">H609*DAY($C609)*86400/43560/1000</f>
        <v>54.321925684400824</v>
      </c>
      <c r="J609" s="24">
        <f t="shared" si="974"/>
        <v>1</v>
      </c>
      <c r="K609" s="26">
        <f>VLOOKUP($C609,COS!$B$8:$H$991,2,FALSE)</f>
        <v>3330.71044921875</v>
      </c>
      <c r="L609" s="24">
        <f t="shared" si="944"/>
        <v>1</v>
      </c>
      <c r="M609" s="24">
        <f t="shared" si="945"/>
        <v>1</v>
      </c>
      <c r="N609" s="26">
        <f>VLOOKUP($C609,COS!$B$8:$H$991,5,FALSE)</f>
        <v>152.79158020019531</v>
      </c>
      <c r="O609" s="26">
        <f t="shared" si="977"/>
        <v>9.3947880718136627</v>
      </c>
      <c r="P609" s="26">
        <f>VLOOKUP($C609,COS!$B$8:$H$991,6,FALSE)</f>
        <v>2086.376220703125</v>
      </c>
      <c r="Q609" s="26">
        <f t="shared" si="978"/>
        <v>128.28627340521695</v>
      </c>
      <c r="R609" s="26">
        <f>MIN(IF(MONTH($C609)=4,$S$3,IF(MONTH($C609)=5,$S$4,IF(MONTH($C609)=6,$S$5,IF(MONTH($C609)=7,$S$6,"ERROR")))),MAX(VLOOKUP($C609,COS!$B$8:$K$991,10,FALSE)-IF(MONTH($C609)=4,$Y$3,IF(MONTH($C609)=5,$Y$4,IF(MONTH($C609)=6,$Y$5,IF(MONTH($C609)=7,$Y$6,"ERROR")))),0),MAX(VLOOKUP($C609,COS!$B$8:$K$991,9,FALSE)-IF(MONTH($C609)=4,$V$3,IF(MONTH($C609)=5,$V$4,IF(MONTH($C609)=6,$V$5,IF(MONTH($C609)=7,$V$6,"ERROR"))))-VLOOKUP($C609,COS!$B$8:$K$991,6,FALSE)/2,0))</f>
        <v>1500</v>
      </c>
      <c r="S609" s="26">
        <f t="shared" si="979"/>
        <v>92.231404958677686</v>
      </c>
      <c r="T609" s="26">
        <f t="shared" si="980"/>
        <v>161.071935697193</v>
      </c>
      <c r="U609" s="26" t="str">
        <f>IF(VLOOKUP($C609,COS!$B$8:$I$991,8,FALSE)=1,"UWFE","IBU")</f>
        <v>IBU</v>
      </c>
      <c r="V609" s="26">
        <f t="shared" ref="V609" si="983">MIN(IF(IF($AA$3=2,AND(E609=1,G609=1,L609=1,L613=1,M609=1,U609="IBU"),AND(E609=1,G609=1,L609=1,L613=1,M609=1)),T609,0),I609)</f>
        <v>54.321925684400824</v>
      </c>
      <c r="W609" s="26"/>
      <c r="X609" s="26"/>
      <c r="Y609" s="26"/>
      <c r="Z609" s="26"/>
      <c r="AA609" s="26"/>
      <c r="AB609" s="33"/>
    </row>
    <row r="610" spans="1:28" x14ac:dyDescent="0.3">
      <c r="A610" s="32">
        <f>VLOOKUP(YEAR(C610),Flags!$A$13:$B$95,2,FALSE)</f>
        <v>5</v>
      </c>
      <c r="B610" s="24">
        <f t="shared" si="951"/>
        <v>1988</v>
      </c>
      <c r="C610" s="25">
        <v>32324</v>
      </c>
      <c r="D610" s="26">
        <f>VLOOKUP($C610,COS!$B$8:$H$991,3,FALSE)</f>
        <v>10946.3818359375</v>
      </c>
      <c r="E610" s="24">
        <f>IF(D610&gt;=IF(MONTH($C610)=4,$C$3,IF(MONTH($C610)=5,$C$4,IF(MONTH($C610)=6,$C$5,IF(MONTH($C610)=7,$C$6,"ERROR")))),1,0)</f>
        <v>1</v>
      </c>
      <c r="F610" s="26">
        <f>VLOOKUP($C610,COS!$B$8:$H$991,7,FALSE)</f>
        <v>51.772979736328125</v>
      </c>
      <c r="G610" s="24">
        <f>IF(F610&lt;=IF(MONTH($C610)=4,$F$3,IF(MONTH($C610)=5,$F$4,IF(MONTH($C610)=6,$F$5,IF(MONTH($C610)=7,$F$6,"ERROR")))),1,0)</f>
        <v>1</v>
      </c>
      <c r="H610" s="26">
        <f>IF(J610=1,D610-$C$5,0)</f>
        <v>946.3818359375</v>
      </c>
      <c r="I610" s="26">
        <f t="shared" si="982"/>
        <v>56.31362990702479</v>
      </c>
      <c r="J610" s="24">
        <f t="shared" si="974"/>
        <v>1</v>
      </c>
      <c r="K610" s="26">
        <f>VLOOKUP($C610,COS!$B$8:$H$991,2,FALSE)</f>
        <v>2960.935791015625</v>
      </c>
      <c r="L610" s="24">
        <f t="shared" si="944"/>
        <v>1</v>
      </c>
      <c r="M610" s="24">
        <f t="shared" si="945"/>
        <v>1</v>
      </c>
      <c r="N610" s="26">
        <f>VLOOKUP($C610,COS!$B$8:$H$991,5,FALSE)</f>
        <v>203.79988098144531</v>
      </c>
      <c r="O610" s="26">
        <f t="shared" si="977"/>
        <v>12.126935066664515</v>
      </c>
      <c r="P610" s="26">
        <f>VLOOKUP($C610,COS!$B$8:$H$991,6,FALSE)</f>
        <v>2416.343017578125</v>
      </c>
      <c r="Q610" s="26">
        <f t="shared" si="978"/>
        <v>143.78239443440083</v>
      </c>
      <c r="R610" s="26">
        <f>MIN(IF(MONTH($C610)=4,$S$3,IF(MONTH($C610)=5,$S$4,IF(MONTH($C610)=6,$S$5,IF(MONTH($C610)=7,$S$6,"ERROR")))),MAX(VLOOKUP($C610,COS!$B$8:$K$991,10,FALSE)-IF(MONTH($C610)=4,$Y$3,IF(MONTH($C610)=5,$Y$4,IF(MONTH($C610)=6,$Y$5,IF(MONTH($C610)=7,$Y$6,"ERROR")))),0),MAX(VLOOKUP($C610,COS!$B$8:$K$991,9,FALSE)-IF(MONTH($C610)=4,$V$3,IF(MONTH($C610)=5,$V$4,IF(MONTH($C610)=6,$V$5,IF(MONTH($C610)=7,$V$6,"ERROR"))))-VLOOKUP($C610,COS!$B$8:$K$991,6,FALSE)/2,0))</f>
        <v>1500</v>
      </c>
      <c r="S610" s="26">
        <f t="shared" si="979"/>
        <v>89.256198347107429</v>
      </c>
      <c r="T610" s="26">
        <f t="shared" si="980"/>
        <v>167.2108630976401</v>
      </c>
      <c r="U610" s="26" t="str">
        <f>IF(VLOOKUP($C610,COS!$B$8:$I$991,8,FALSE)=1,"UWFE","IBU")</f>
        <v>IBU</v>
      </c>
      <c r="V610" s="26">
        <f t="shared" ref="V610" si="984">MIN(IF(IF($AA$3=2,AND(E610=1,G610=1,L610=1,L613=1,M610=1,U610="IBU"),AND(E610=1,G610=1,L610=1,L613=1,M610=1)),T610,0),I610)</f>
        <v>56.31362990702479</v>
      </c>
      <c r="W610" s="26"/>
      <c r="X610" s="26"/>
      <c r="Y610" s="26"/>
      <c r="Z610" s="26"/>
      <c r="AA610" s="26"/>
      <c r="AB610" s="33"/>
    </row>
    <row r="611" spans="1:28" x14ac:dyDescent="0.3">
      <c r="A611" s="32">
        <f>VLOOKUP(YEAR(C611),Flags!$A$13:$B$95,2,FALSE)</f>
        <v>5</v>
      </c>
      <c r="B611" s="24">
        <f t="shared" si="951"/>
        <v>1988</v>
      </c>
      <c r="C611" s="25">
        <v>32355</v>
      </c>
      <c r="D611" s="26">
        <f>VLOOKUP($C611,COS!$B$8:$H$991,3,FALSE)</f>
        <v>11770.708984375</v>
      </c>
      <c r="E611" s="24">
        <f>IF(D611&gt;=IF(MONTH($C611)=4,$C$3,IF(MONTH($C611)=5,$C$4,IF(MONTH($C611)=6,$C$5,IF(MONTH($C611)=7,$C$6,"ERROR")))),1,0)</f>
        <v>0</v>
      </c>
      <c r="F611" s="26">
        <f>VLOOKUP($C611,COS!$B$8:$H$991,7,FALSE)</f>
        <v>53.894107818603516</v>
      </c>
      <c r="G611" s="24">
        <f>IF(F611&lt;=IF(MONTH($C611)=4,$F$3,IF(MONTH($C611)=5,$F$4,IF(MONTH($C611)=6,$F$5,IF(MONTH($C611)=7,$F$6,"ERROR")))),1,0)</f>
        <v>0</v>
      </c>
      <c r="H611" s="26">
        <f>IF(J611=1,D611-$C$6,0)</f>
        <v>0</v>
      </c>
      <c r="I611" s="26">
        <f t="shared" si="982"/>
        <v>0</v>
      </c>
      <c r="J611" s="24">
        <f t="shared" si="974"/>
        <v>0</v>
      </c>
      <c r="K611" s="26">
        <f>VLOOKUP($C611,COS!$B$8:$H$991,2,FALSE)</f>
        <v>2490.652587890625</v>
      </c>
      <c r="L611" s="24">
        <f t="shared" si="944"/>
        <v>1</v>
      </c>
      <c r="M611" s="24">
        <f t="shared" si="945"/>
        <v>1</v>
      </c>
      <c r="N611" s="26">
        <f>VLOOKUP($C611,COS!$B$8:$H$991,5,FALSE)</f>
        <v>242.14094543457031</v>
      </c>
      <c r="O611" s="26">
        <f t="shared" si="977"/>
        <v>14.888666396968622</v>
      </c>
      <c r="P611" s="26">
        <f>VLOOKUP($C611,COS!$B$8:$H$991,6,FALSE)</f>
        <v>2326.644775390625</v>
      </c>
      <c r="Q611" s="26">
        <f t="shared" si="978"/>
        <v>143.05981098269626</v>
      </c>
      <c r="R611" s="26">
        <f>MIN(IF(MONTH($C611)=4,$S$3,IF(MONTH($C611)=5,$S$4,IF(MONTH($C611)=6,$S$5,IF(MONTH($C611)=7,$S$6,"ERROR")))),MAX(VLOOKUP($C611,COS!$B$8:$K$991,10,FALSE)-IF(MONTH($C611)=4,$Y$3,IF(MONTH($C611)=5,$Y$4,IF(MONTH($C611)=6,$Y$5,IF(MONTH($C611)=7,$Y$6,"ERROR")))),0),MAX(VLOOKUP($C611,COS!$B$8:$K$991,9,FALSE)-IF(MONTH($C611)=4,$V$3,IF(MONTH($C611)=5,$V$4,IF(MONTH($C611)=6,$V$5,IF(MONTH($C611)=7,$V$6,"ERROR"))))-VLOOKUP($C611,COS!$B$8:$K$991,6,FALSE)/2,0))</f>
        <v>1500</v>
      </c>
      <c r="S611" s="26">
        <f t="shared" si="979"/>
        <v>92.231404958677686</v>
      </c>
      <c r="T611" s="26">
        <f t="shared" si="980"/>
        <v>171.20564364851015</v>
      </c>
      <c r="U611" s="26" t="str">
        <f>IF(VLOOKUP($C611,COS!$B$8:$I$991,8,FALSE)=1,"UWFE","IBU")</f>
        <v>IBU</v>
      </c>
      <c r="V611" s="26">
        <f t="shared" ref="V611" si="985">MIN(IF(IF($AA$3=2,AND(E611=1,G611=1,L611=1,L613=1,M611=1,U611="IBU"),AND(E611=1,G611=1,L611=1,L613=1,M611=1)),T611,0),I611)</f>
        <v>0</v>
      </c>
      <c r="W611" s="26"/>
      <c r="X611" s="26"/>
      <c r="Y611" s="26"/>
      <c r="Z611" s="26"/>
      <c r="AA611" s="26"/>
      <c r="AB611" s="33"/>
    </row>
    <row r="612" spans="1:28" x14ac:dyDescent="0.3">
      <c r="A612" s="32">
        <f>VLOOKUP(YEAR(C612),Flags!$A$13:$B$95,2,FALSE)</f>
        <v>5</v>
      </c>
      <c r="B612" s="24">
        <f t="shared" si="951"/>
        <v>1988</v>
      </c>
      <c r="C612" s="25">
        <v>32386</v>
      </c>
      <c r="D612" s="26"/>
      <c r="E612" s="24"/>
      <c r="F612" s="26"/>
      <c r="G612" s="24"/>
      <c r="H612" s="24"/>
      <c r="I612" s="26"/>
      <c r="J612" s="24"/>
      <c r="K612" s="26"/>
      <c r="L612" s="24"/>
      <c r="M612" s="24"/>
      <c r="N612" s="26"/>
      <c r="O612" s="26"/>
      <c r="P612" s="26"/>
      <c r="Q612" s="26"/>
      <c r="R612" s="26"/>
      <c r="S612" s="26"/>
      <c r="T612" s="26"/>
      <c r="U612" s="26"/>
      <c r="V612" s="26"/>
      <c r="W612" s="26">
        <f>MAX($C$7-VLOOKUP($C612,COS!$B$8:$H$991,3,FALSE),0)</f>
        <v>92407.8330078125</v>
      </c>
      <c r="X612" s="26">
        <f t="shared" si="972"/>
        <v>5681.9361783316117</v>
      </c>
      <c r="Y612" s="26">
        <f>VLOOKUP($C612,COS!$B$8:$H$991,4,FALSE)</f>
        <v>2363.936279296875</v>
      </c>
      <c r="Z612" s="26">
        <f t="shared" si="973"/>
        <v>145.35277618155993</v>
      </c>
      <c r="AA612" s="26">
        <f t="shared" ref="AA612:AA616" si="986">MIN(W612,Y612)</f>
        <v>2363.936279296875</v>
      </c>
      <c r="AB612" s="33">
        <f t="shared" ref="AB612" si="987">AA612*DAY($C612)*86400/43560/1000*IF(MONTH($C612)=8,$P$3,IF(MONTH($C612)=9,$P$4,IF(MONTH($C612)=10,$P$5,IF(MONTH($C612)=11,$P$6,IF(MONTH($C612)=12,$P$7,NA())))))</f>
        <v>145.35277618155993</v>
      </c>
    </row>
    <row r="613" spans="1:28" x14ac:dyDescent="0.3">
      <c r="A613" s="32">
        <f>VLOOKUP(YEAR(C613),Flags!$A$13:$B$95,2,FALSE)</f>
        <v>5</v>
      </c>
      <c r="B613" s="24">
        <f t="shared" si="951"/>
        <v>1988</v>
      </c>
      <c r="C613" s="25">
        <v>32416</v>
      </c>
      <c r="D613" s="26"/>
      <c r="E613" s="24"/>
      <c r="F613" s="26"/>
      <c r="G613" s="24"/>
      <c r="H613" s="24"/>
      <c r="I613" s="26"/>
      <c r="J613" s="24"/>
      <c r="K613" s="26">
        <f>VLOOKUP($C613,COS!$B$8:$H$991,2,FALSE)</f>
        <v>2110.7509765625</v>
      </c>
      <c r="L613" s="24">
        <f t="shared" ref="L613" si="988">IF(AND(K613&gt;$I$7,K613&lt;$I$8),1,0)</f>
        <v>1</v>
      </c>
      <c r="M613" s="24"/>
      <c r="N613" s="26"/>
      <c r="O613" s="26"/>
      <c r="P613" s="26"/>
      <c r="Q613" s="26"/>
      <c r="R613" s="26"/>
      <c r="S613" s="26"/>
      <c r="T613" s="26"/>
      <c r="U613" s="26"/>
      <c r="V613" s="26"/>
      <c r="W613" s="26">
        <f>MAX($C$8-VLOOKUP($C613,COS!$B$8:$H$991,3,FALSE),0)</f>
        <v>94115.951171875</v>
      </c>
      <c r="X613" s="26">
        <f t="shared" si="972"/>
        <v>5600.2880036157021</v>
      </c>
      <c r="Y613" s="26">
        <f>VLOOKUP($C613,COS!$B$8:$H$991,4,FALSE)</f>
        <v>1955.6697998046875</v>
      </c>
      <c r="Z613" s="26">
        <f t="shared" si="973"/>
        <v>116.37043436854339</v>
      </c>
      <c r="AA613" s="26">
        <f t="shared" si="986"/>
        <v>1955.6697998046875</v>
      </c>
      <c r="AB613" s="33">
        <f t="shared" si="956"/>
        <v>116.37043436854339</v>
      </c>
    </row>
    <row r="614" spans="1:28" x14ac:dyDescent="0.3">
      <c r="A614" s="32">
        <f>VLOOKUP(YEAR(C614),Flags!$A$13:$B$95,2,FALSE)</f>
        <v>5</v>
      </c>
      <c r="B614" s="24">
        <f t="shared" si="951"/>
        <v>1988</v>
      </c>
      <c r="C614" s="25">
        <v>32447</v>
      </c>
      <c r="D614" s="26"/>
      <c r="E614" s="24"/>
      <c r="F614" s="26"/>
      <c r="G614" s="26"/>
      <c r="H614" s="26"/>
      <c r="I614" s="26"/>
      <c r="J614" s="26"/>
      <c r="K614" s="26"/>
      <c r="L614" s="24"/>
      <c r="M614" s="24"/>
      <c r="N614" s="26"/>
      <c r="O614" s="26"/>
      <c r="P614" s="26"/>
      <c r="Q614" s="26"/>
      <c r="R614" s="26"/>
      <c r="S614" s="26"/>
      <c r="T614" s="26"/>
      <c r="U614" s="26"/>
      <c r="V614" s="26"/>
      <c r="W614" s="26">
        <f>MAX($C$9-VLOOKUP($C614,COS!$B$8:$H$991,3,FALSE),0)</f>
        <v>94431.38720703125</v>
      </c>
      <c r="X614" s="26">
        <f t="shared" si="972"/>
        <v>5806.3596762009302</v>
      </c>
      <c r="Y614" s="26">
        <f>VLOOKUP($C614,COS!$B$8:$H$991,4,FALSE)</f>
        <v>1615.891357421875</v>
      </c>
      <c r="Z614" s="26">
        <f t="shared" si="973"/>
        <v>99.357286770402894</v>
      </c>
      <c r="AA614" s="26">
        <f t="shared" si="986"/>
        <v>1615.891357421875</v>
      </c>
      <c r="AB614" s="33">
        <f t="shared" si="956"/>
        <v>99.357286770402894</v>
      </c>
    </row>
    <row r="615" spans="1:28" x14ac:dyDescent="0.3">
      <c r="A615" s="32">
        <f>VLOOKUP(YEAR(C615),Flags!$A$13:$B$95,2,FALSE)</f>
        <v>5</v>
      </c>
      <c r="B615" s="24">
        <f t="shared" si="951"/>
        <v>1988</v>
      </c>
      <c r="C615" s="25">
        <v>32477</v>
      </c>
      <c r="D615" s="26"/>
      <c r="E615" s="24"/>
      <c r="F615" s="26"/>
      <c r="G615" s="26"/>
      <c r="H615" s="26"/>
      <c r="I615" s="26"/>
      <c r="J615" s="26"/>
      <c r="K615" s="26"/>
      <c r="L615" s="24"/>
      <c r="M615" s="24"/>
      <c r="N615" s="26"/>
      <c r="O615" s="26"/>
      <c r="P615" s="26"/>
      <c r="Q615" s="26"/>
      <c r="R615" s="26"/>
      <c r="S615" s="26"/>
      <c r="T615" s="26"/>
      <c r="U615" s="26"/>
      <c r="V615" s="26"/>
      <c r="W615" s="26">
        <f>MAX($C$10-VLOOKUP($C615,COS!$B$8:$H$991,3,FALSE),0)</f>
        <v>96749</v>
      </c>
      <c r="X615" s="26">
        <f t="shared" si="972"/>
        <v>5756.965289256198</v>
      </c>
      <c r="Y615" s="26">
        <f>VLOOKUP($C615,COS!$B$8:$H$991,4,FALSE)</f>
        <v>1854.902587890625</v>
      </c>
      <c r="Z615" s="26">
        <f t="shared" si="973"/>
        <v>110.37436886621902</v>
      </c>
      <c r="AA615" s="26">
        <f t="shared" si="986"/>
        <v>1854.902587890625</v>
      </c>
      <c r="AB615" s="33">
        <f t="shared" si="956"/>
        <v>55.187184433109508</v>
      </c>
    </row>
    <row r="616" spans="1:28" x14ac:dyDescent="0.3">
      <c r="A616" s="34">
        <f>VLOOKUP(YEAR(C616),Flags!$A$13:$B$95,2,FALSE)</f>
        <v>5</v>
      </c>
      <c r="B616" s="35">
        <f t="shared" si="951"/>
        <v>1988</v>
      </c>
      <c r="C616" s="36">
        <v>32508</v>
      </c>
      <c r="D616" s="37"/>
      <c r="E616" s="35"/>
      <c r="F616" s="37"/>
      <c r="G616" s="37"/>
      <c r="H616" s="37"/>
      <c r="I616" s="37"/>
      <c r="J616" s="37"/>
      <c r="K616" s="37"/>
      <c r="L616" s="35"/>
      <c r="M616" s="35"/>
      <c r="N616" s="37"/>
      <c r="O616" s="37"/>
      <c r="P616" s="37"/>
      <c r="Q616" s="37"/>
      <c r="R616" s="37"/>
      <c r="S616" s="37"/>
      <c r="T616" s="37"/>
      <c r="U616" s="37"/>
      <c r="V616" s="37"/>
      <c r="W616" s="37">
        <f>MAX($C$11-VLOOKUP($C616,COS!$B$8:$H$991,3,FALSE),0)</f>
        <v>0</v>
      </c>
      <c r="X616" s="37">
        <f t="shared" si="972"/>
        <v>0</v>
      </c>
      <c r="Y616" s="37">
        <f>VLOOKUP($C616,COS!$B$8:$H$991,4,FALSE)</f>
        <v>1030.474853515625</v>
      </c>
      <c r="Z616" s="37">
        <f t="shared" si="973"/>
        <v>63.361429009555785</v>
      </c>
      <c r="AA616" s="37">
        <f t="shared" si="986"/>
        <v>0</v>
      </c>
      <c r="AB616" s="38">
        <f t="shared" si="956"/>
        <v>0</v>
      </c>
    </row>
    <row r="617" spans="1:28" x14ac:dyDescent="0.3">
      <c r="A617" s="27">
        <f>VLOOKUP(YEAR(C617),Flags!$A$13:$B$95,2,FALSE)</f>
        <v>4</v>
      </c>
      <c r="B617" s="28">
        <f t="shared" si="951"/>
        <v>1989</v>
      </c>
      <c r="C617" s="29">
        <v>32628</v>
      </c>
      <c r="D617" s="30">
        <f>VLOOKUP($C617,COS!$B$8:$H$991,3,FALSE)</f>
        <v>3250</v>
      </c>
      <c r="E617" s="28">
        <f>IF(D617&gt;=IF(MONTH($C617)=4,$C$3,IF(MONTH($C617)=5,$C$4,IF(MONTH($C617)=6,$C$5,IF(MONTH($C617)=7,$C$6,"ERROR")))),1,0)</f>
        <v>0</v>
      </c>
      <c r="F617" s="30">
        <f>VLOOKUP($C617,COS!$B$8:$H$991,7,FALSE)</f>
        <v>52.776580810546875</v>
      </c>
      <c r="G617" s="28">
        <f>IF(F617&lt;=IF(MONTH($C617)=4,$F$3,IF(MONTH($C617)=5,$F$4,IF(MONTH($C617)=6,$F$5,IF(MONTH($C617)=7,$F$6,"ERROR")))),1,0)</f>
        <v>1</v>
      </c>
      <c r="H617" s="30">
        <f>IF(J617=1,D617-$C$3,0)</f>
        <v>0</v>
      </c>
      <c r="I617" s="30">
        <f t="shared" si="982"/>
        <v>0</v>
      </c>
      <c r="J617" s="28">
        <f t="shared" ref="J617:J620" si="989">IF(AND(E617=1,G617=1),1,0)</f>
        <v>0</v>
      </c>
      <c r="K617" s="30">
        <f>VLOOKUP($C617,COS!$B$8:$H$991,2,FALSE)</f>
        <v>4257.525390625</v>
      </c>
      <c r="L617" s="28">
        <f t="shared" ref="L617" si="990">IF(K617&lt;=IF(MONTH($C617)=4,$I$3,IF(MONTH($C617)=5,$I$4,IF(MONTH($C617)=6,$I$5,IF(MONTH($C617)=7,$I$6,"ERROR")))),1,0)</f>
        <v>1</v>
      </c>
      <c r="M617" s="28">
        <f t="shared" ref="M617" si="991">VLOOKUP($A617,$L$3:$M$7,2,FALSE)</f>
        <v>1</v>
      </c>
      <c r="N617" s="30">
        <f>VLOOKUP($C617,COS!$B$8:$H$991,5,FALSE)</f>
        <v>278.56231689453125</v>
      </c>
      <c r="O617" s="30">
        <f t="shared" ref="O617:O620" si="992">N617*DAY($C617)*86400/43560/1000</f>
        <v>16.575608939178718</v>
      </c>
      <c r="P617" s="30">
        <f>VLOOKUP($C617,COS!$B$8:$H$991,6,FALSE)</f>
        <v>448.37432861328125</v>
      </c>
      <c r="Q617" s="30">
        <f t="shared" ref="Q617:Q620" si="993">P617*DAY($C617)*86400/43560/1000</f>
        <v>26.680125338972108</v>
      </c>
      <c r="R617" s="30">
        <f>MIN(IF(MONTH($C617)=4,$S$3,IF(MONTH($C617)=5,$S$4,IF(MONTH($C617)=6,$S$5,IF(MONTH($C617)=7,$S$6,"ERROR")))),MAX(VLOOKUP($C617,COS!$B$8:$K$991,10,FALSE)-IF(MONTH($C617)=4,$Y$3,IF(MONTH($C617)=5,$Y$4,IF(MONTH($C617)=6,$Y$5,IF(MONTH($C617)=7,$Y$6,"ERROR")))),0),MAX(VLOOKUP($C617,COS!$B$8:$K$991,9,FALSE)-IF(MONTH($C617)=4,$V$3,IF(MONTH($C617)=5,$V$4,IF(MONTH($C617)=6,$V$5,IF(MONTH($C617)=7,$V$6,"ERROR"))))-VLOOKUP($C617,COS!$B$8:$K$991,6,FALSE)/2,0))</f>
        <v>1500</v>
      </c>
      <c r="S617" s="30">
        <f t="shared" ref="S617:S620" si="994">R617*DAY($C617)*86400/43560/1000</f>
        <v>89.256198347107429</v>
      </c>
      <c r="T617" s="30">
        <f t="shared" ref="T617:T620" si="995">(O617+Q617)/2+S617</f>
        <v>110.88406548618283</v>
      </c>
      <c r="U617" s="30" t="str">
        <f>IF(VLOOKUP($C617,COS!$B$8:$I$991,8,FALSE)=1,"UWFE","IBU")</f>
        <v>UWFE</v>
      </c>
      <c r="V617" s="30">
        <f t="shared" ref="V617" si="996">MIN(IF(IF($AA$3=2,AND(E617=1,G617=1,L617=1,L622=1,M617=1,U617="IBU"),AND(E617=1,G617=1,L617=1,L622=1,M617=1)),T617,0),I617)</f>
        <v>0</v>
      </c>
      <c r="W617" s="30"/>
      <c r="X617" s="30"/>
      <c r="Y617" s="30"/>
      <c r="Z617" s="30"/>
      <c r="AA617" s="30"/>
      <c r="AB617" s="31"/>
    </row>
    <row r="618" spans="1:28" x14ac:dyDescent="0.3">
      <c r="A618" s="32">
        <f>VLOOKUP(YEAR(C618),Flags!$A$13:$B$95,2,FALSE)</f>
        <v>4</v>
      </c>
      <c r="B618" s="24">
        <f t="shared" si="951"/>
        <v>1989</v>
      </c>
      <c r="C618" s="25">
        <v>32659</v>
      </c>
      <c r="D618" s="26">
        <f>VLOOKUP($C618,COS!$B$8:$H$991,3,FALSE)</f>
        <v>10011.177734375</v>
      </c>
      <c r="E618" s="24">
        <f>IF(D618&gt;=IF(MONTH($C618)=4,$C$3,IF(MONTH($C618)=5,$C$4,IF(MONTH($C618)=6,$C$5,IF(MONTH($C618)=7,$C$6,"ERROR")))),1,0)</f>
        <v>1</v>
      </c>
      <c r="F618" s="26">
        <f>VLOOKUP($C618,COS!$B$8:$H$991,7,FALSE)</f>
        <v>50.918426513671875</v>
      </c>
      <c r="G618" s="24">
        <f>IF(F618&lt;=IF(MONTH($C618)=4,$F$3,IF(MONTH($C618)=5,$F$4,IF(MONTH($C618)=6,$F$5,IF(MONTH($C618)=7,$F$6,"ERROR")))),1,0)</f>
        <v>1</v>
      </c>
      <c r="H618" s="26">
        <f>IF(J618=1,D618-$C$4,0)</f>
        <v>4011.177734375</v>
      </c>
      <c r="I618" s="26">
        <f t="shared" si="982"/>
        <v>246.63770532024793</v>
      </c>
      <c r="J618" s="24">
        <f t="shared" si="989"/>
        <v>1</v>
      </c>
      <c r="K618" s="26">
        <f>VLOOKUP($C618,COS!$B$8:$H$991,2,FALSE)</f>
        <v>3934.481689453125</v>
      </c>
      <c r="L618" s="24">
        <f t="shared" si="944"/>
        <v>1</v>
      </c>
      <c r="M618" s="24">
        <f t="shared" si="945"/>
        <v>1</v>
      </c>
      <c r="N618" s="26">
        <f>VLOOKUP($C618,COS!$B$8:$H$991,5,FALSE)</f>
        <v>317.6539306640625</v>
      </c>
      <c r="O618" s="26">
        <f t="shared" si="992"/>
        <v>19.531778877195247</v>
      </c>
      <c r="P618" s="26">
        <f>VLOOKUP($C618,COS!$B$8:$H$991,6,FALSE)</f>
        <v>2368.940673828125</v>
      </c>
      <c r="Q618" s="26">
        <f t="shared" si="993"/>
        <v>145.66048440728304</v>
      </c>
      <c r="R618" s="26">
        <f>MIN(IF(MONTH($C618)=4,$S$3,IF(MONTH($C618)=5,$S$4,IF(MONTH($C618)=6,$S$5,IF(MONTH($C618)=7,$S$6,"ERROR")))),MAX(VLOOKUP($C618,COS!$B$8:$K$991,10,FALSE)-IF(MONTH($C618)=4,$Y$3,IF(MONTH($C618)=5,$Y$4,IF(MONTH($C618)=6,$Y$5,IF(MONTH($C618)=7,$Y$6,"ERROR")))),0),MAX(VLOOKUP($C618,COS!$B$8:$K$991,9,FALSE)-IF(MONTH($C618)=4,$V$3,IF(MONTH($C618)=5,$V$4,IF(MONTH($C618)=6,$V$5,IF(MONTH($C618)=7,$V$6,"ERROR"))))-VLOOKUP($C618,COS!$B$8:$K$991,6,FALSE)/2,0))</f>
        <v>1500</v>
      </c>
      <c r="S618" s="26">
        <f t="shared" si="994"/>
        <v>92.231404958677686</v>
      </c>
      <c r="T618" s="26">
        <f t="shared" si="995"/>
        <v>174.82753660091683</v>
      </c>
      <c r="U618" s="26" t="str">
        <f>IF(VLOOKUP($C618,COS!$B$8:$I$991,8,FALSE)=1,"UWFE","IBU")</f>
        <v>IBU</v>
      </c>
      <c r="V618" s="26">
        <f t="shared" ref="V618" si="997">MIN(IF(IF($AA$3=2,AND(E618=1,G618=1,L618=1,L622=1,M618=1,U618="IBU"),AND(E618=1,G618=1,L618=1,L622=1,M618=1)),T618,0),I618)</f>
        <v>174.82753660091683</v>
      </c>
      <c r="W618" s="26"/>
      <c r="X618" s="26"/>
      <c r="Y618" s="26"/>
      <c r="Z618" s="26"/>
      <c r="AA618" s="26"/>
      <c r="AB618" s="33"/>
    </row>
    <row r="619" spans="1:28" x14ac:dyDescent="0.3">
      <c r="A619" s="32">
        <f>VLOOKUP(YEAR(C619),Flags!$A$13:$B$95,2,FALSE)</f>
        <v>4</v>
      </c>
      <c r="B619" s="24">
        <f t="shared" si="951"/>
        <v>1989</v>
      </c>
      <c r="C619" s="25">
        <v>32689</v>
      </c>
      <c r="D619" s="26">
        <f>VLOOKUP($C619,COS!$B$8:$H$991,3,FALSE)</f>
        <v>11206.92578125</v>
      </c>
      <c r="E619" s="24">
        <f>IF(D619&gt;=IF(MONTH($C619)=4,$C$3,IF(MONTH($C619)=5,$C$4,IF(MONTH($C619)=6,$C$5,IF(MONTH($C619)=7,$C$6,"ERROR")))),1,0)</f>
        <v>1</v>
      </c>
      <c r="F619" s="26">
        <f>VLOOKUP($C619,COS!$B$8:$H$991,7,FALSE)</f>
        <v>51.800579071044922</v>
      </c>
      <c r="G619" s="24">
        <f>IF(F619&lt;=IF(MONTH($C619)=4,$F$3,IF(MONTH($C619)=5,$F$4,IF(MONTH($C619)=6,$F$5,IF(MONTH($C619)=7,$F$6,"ERROR")))),1,0)</f>
        <v>1</v>
      </c>
      <c r="H619" s="26">
        <f>IF(J619=1,D619-$C$5,0)</f>
        <v>1206.92578125</v>
      </c>
      <c r="I619" s="26">
        <f t="shared" si="982"/>
        <v>71.817071280991726</v>
      </c>
      <c r="J619" s="24">
        <f t="shared" si="989"/>
        <v>1</v>
      </c>
      <c r="K619" s="26">
        <f>VLOOKUP($C619,COS!$B$8:$H$991,2,FALSE)</f>
        <v>3457.87646484375</v>
      </c>
      <c r="L619" s="24">
        <f t="shared" si="944"/>
        <v>1</v>
      </c>
      <c r="M619" s="24">
        <f t="shared" si="945"/>
        <v>1</v>
      </c>
      <c r="N619" s="26">
        <f>VLOOKUP($C619,COS!$B$8:$H$991,5,FALSE)</f>
        <v>517.07537841796875</v>
      </c>
      <c r="O619" s="26">
        <f t="shared" si="992"/>
        <v>30.768121690986568</v>
      </c>
      <c r="P619" s="26">
        <f>VLOOKUP($C619,COS!$B$8:$H$991,6,FALSE)</f>
        <v>2621.433837890625</v>
      </c>
      <c r="Q619" s="26">
        <f t="shared" si="993"/>
        <v>155.98614572572316</v>
      </c>
      <c r="R619" s="26">
        <f>MIN(IF(MONTH($C619)=4,$S$3,IF(MONTH($C619)=5,$S$4,IF(MONTH($C619)=6,$S$5,IF(MONTH($C619)=7,$S$6,"ERROR")))),MAX(VLOOKUP($C619,COS!$B$8:$K$991,10,FALSE)-IF(MONTH($C619)=4,$Y$3,IF(MONTH($C619)=5,$Y$4,IF(MONTH($C619)=6,$Y$5,IF(MONTH($C619)=7,$Y$6,"ERROR")))),0),MAX(VLOOKUP($C619,COS!$B$8:$K$991,9,FALSE)-IF(MONTH($C619)=4,$V$3,IF(MONTH($C619)=5,$V$4,IF(MONTH($C619)=6,$V$5,IF(MONTH($C619)=7,$V$6,"ERROR"))))-VLOOKUP($C619,COS!$B$8:$K$991,6,FALSE)/2,0))</f>
        <v>1500</v>
      </c>
      <c r="S619" s="26">
        <f t="shared" si="994"/>
        <v>89.256198347107429</v>
      </c>
      <c r="T619" s="26">
        <f t="shared" si="995"/>
        <v>182.63333205546229</v>
      </c>
      <c r="U619" s="26" t="str">
        <f>IF(VLOOKUP($C619,COS!$B$8:$I$991,8,FALSE)=1,"UWFE","IBU")</f>
        <v>IBU</v>
      </c>
      <c r="V619" s="26">
        <f t="shared" ref="V619" si="998">MIN(IF(IF($AA$3=2,AND(E619=1,G619=1,L619=1,L622=1,M619=1,U619="IBU"),AND(E619=1,G619=1,L619=1,L622=1,M619=1)),T619,0),I619)</f>
        <v>71.817071280991726</v>
      </c>
      <c r="W619" s="26"/>
      <c r="X619" s="26"/>
      <c r="Y619" s="26"/>
      <c r="Z619" s="26"/>
      <c r="AA619" s="26"/>
      <c r="AB619" s="33"/>
    </row>
    <row r="620" spans="1:28" x14ac:dyDescent="0.3">
      <c r="A620" s="32">
        <f>VLOOKUP(YEAR(C620),Flags!$A$13:$B$95,2,FALSE)</f>
        <v>4</v>
      </c>
      <c r="B620" s="24">
        <f t="shared" si="951"/>
        <v>1989</v>
      </c>
      <c r="C620" s="25">
        <v>32720</v>
      </c>
      <c r="D620" s="26">
        <f>VLOOKUP($C620,COS!$B$8:$H$991,3,FALSE)</f>
        <v>12592.146484375</v>
      </c>
      <c r="E620" s="24">
        <f>IF(D620&gt;=IF(MONTH($C620)=4,$C$3,IF(MONTH($C620)=5,$C$4,IF(MONTH($C620)=6,$C$5,IF(MONTH($C620)=7,$C$6,"ERROR")))),1,0)</f>
        <v>1</v>
      </c>
      <c r="F620" s="26">
        <f>VLOOKUP($C620,COS!$B$8:$H$991,7,FALSE)</f>
        <v>53.21966552734375</v>
      </c>
      <c r="G620" s="24">
        <f>IF(F620&lt;=IF(MONTH($C620)=4,$F$3,IF(MONTH($C620)=5,$F$4,IF(MONTH($C620)=6,$F$5,IF(MONTH($C620)=7,$F$6,"ERROR")))),1,0)</f>
        <v>1</v>
      </c>
      <c r="H620" s="26">
        <f>IF(J620=1,D620-$C$6,0)</f>
        <v>592.146484375</v>
      </c>
      <c r="I620" s="26">
        <f t="shared" si="982"/>
        <v>36.409668130165286</v>
      </c>
      <c r="J620" s="24">
        <f t="shared" si="989"/>
        <v>1</v>
      </c>
      <c r="K620" s="26">
        <f>VLOOKUP($C620,COS!$B$8:$H$991,2,FALSE)</f>
        <v>2918.839599609375</v>
      </c>
      <c r="L620" s="24">
        <f t="shared" si="944"/>
        <v>1</v>
      </c>
      <c r="M620" s="24">
        <f t="shared" si="945"/>
        <v>1</v>
      </c>
      <c r="N620" s="26">
        <f>VLOOKUP($C620,COS!$B$8:$H$991,5,FALSE)</f>
        <v>602.97808837890625</v>
      </c>
      <c r="O620" s="26">
        <f t="shared" si="992"/>
        <v>37.075677500322833</v>
      </c>
      <c r="P620" s="26">
        <f>VLOOKUP($C620,COS!$B$8:$H$991,6,FALSE)</f>
        <v>2442.872314453125</v>
      </c>
      <c r="Q620" s="26">
        <f t="shared" si="993"/>
        <v>150.20636379777892</v>
      </c>
      <c r="R620" s="26">
        <f>MIN(IF(MONTH($C620)=4,$S$3,IF(MONTH($C620)=5,$S$4,IF(MONTH($C620)=6,$S$5,IF(MONTH($C620)=7,$S$6,"ERROR")))),MAX(VLOOKUP($C620,COS!$B$8:$K$991,10,FALSE)-IF(MONTH($C620)=4,$Y$3,IF(MONTH($C620)=5,$Y$4,IF(MONTH($C620)=6,$Y$5,IF(MONTH($C620)=7,$Y$6,"ERROR")))),0),MAX(VLOOKUP($C620,COS!$B$8:$K$991,9,FALSE)-IF(MONTH($C620)=4,$V$3,IF(MONTH($C620)=5,$V$4,IF(MONTH($C620)=6,$V$5,IF(MONTH($C620)=7,$V$6,"ERROR"))))-VLOOKUP($C620,COS!$B$8:$K$991,6,FALSE)/2,0))</f>
        <v>1500</v>
      </c>
      <c r="S620" s="26">
        <f t="shared" si="994"/>
        <v>92.231404958677686</v>
      </c>
      <c r="T620" s="26">
        <f t="shared" si="995"/>
        <v>185.87242560772856</v>
      </c>
      <c r="U620" s="26" t="str">
        <f>IF(VLOOKUP($C620,COS!$B$8:$I$991,8,FALSE)=1,"UWFE","IBU")</f>
        <v>IBU</v>
      </c>
      <c r="V620" s="26">
        <f t="shared" ref="V620" si="999">MIN(IF(IF($AA$3=2,AND(E620=1,G620=1,L620=1,L622=1,M620=1,U620="IBU"),AND(E620=1,G620=1,L620=1,L622=1,M620=1)),T620,0),I620)</f>
        <v>36.409668130165286</v>
      </c>
      <c r="W620" s="26"/>
      <c r="X620" s="26"/>
      <c r="Y620" s="26"/>
      <c r="Z620" s="26"/>
      <c r="AA620" s="26"/>
      <c r="AB620" s="33"/>
    </row>
    <row r="621" spans="1:28" x14ac:dyDescent="0.3">
      <c r="A621" s="32">
        <f>VLOOKUP(YEAR(C621),Flags!$A$13:$B$95,2,FALSE)</f>
        <v>4</v>
      </c>
      <c r="B621" s="24">
        <f t="shared" si="951"/>
        <v>1989</v>
      </c>
      <c r="C621" s="25">
        <v>32751</v>
      </c>
      <c r="D621" s="26"/>
      <c r="E621" s="24"/>
      <c r="F621" s="26"/>
      <c r="G621" s="24"/>
      <c r="H621" s="24"/>
      <c r="I621" s="26"/>
      <c r="J621" s="24"/>
      <c r="K621" s="26"/>
      <c r="L621" s="24"/>
      <c r="M621" s="24"/>
      <c r="N621" s="26"/>
      <c r="O621" s="26"/>
      <c r="P621" s="26"/>
      <c r="Q621" s="26"/>
      <c r="R621" s="26"/>
      <c r="S621" s="26"/>
      <c r="T621" s="26"/>
      <c r="U621" s="26"/>
      <c r="V621" s="26"/>
      <c r="W621" s="26">
        <f>MAX($C$7-VLOOKUP($C621,COS!$B$8:$H$991,3,FALSE),0)</f>
        <v>91856.2431640625</v>
      </c>
      <c r="X621" s="26">
        <f t="shared" si="972"/>
        <v>5648.0202408316118</v>
      </c>
      <c r="Y621" s="26">
        <f>VLOOKUP($C621,COS!$B$8:$H$991,4,FALSE)</f>
        <v>2140.86328125</v>
      </c>
      <c r="Z621" s="26">
        <f t="shared" si="973"/>
        <v>131.63655216942149</v>
      </c>
      <c r="AA621" s="26">
        <f t="shared" ref="AA621:AA625" si="1000">MIN(W621,Y621)</f>
        <v>2140.86328125</v>
      </c>
      <c r="AB621" s="33">
        <f t="shared" ref="AB621" si="1001">AA621*DAY($C621)*86400/43560/1000*IF(MONTH($C621)=8,$P$3,IF(MONTH($C621)=9,$P$4,IF(MONTH($C621)=10,$P$5,IF(MONTH($C621)=11,$P$6,IF(MONTH($C621)=12,$P$7,NA())))))</f>
        <v>131.63655216942149</v>
      </c>
    </row>
    <row r="622" spans="1:28" x14ac:dyDescent="0.3">
      <c r="A622" s="32">
        <f>VLOOKUP(YEAR(C622),Flags!$A$13:$B$95,2,FALSE)</f>
        <v>4</v>
      </c>
      <c r="B622" s="24">
        <f t="shared" si="951"/>
        <v>1989</v>
      </c>
      <c r="C622" s="25">
        <v>32781</v>
      </c>
      <c r="D622" s="26"/>
      <c r="E622" s="24"/>
      <c r="F622" s="26"/>
      <c r="G622" s="24"/>
      <c r="H622" s="24"/>
      <c r="I622" s="26"/>
      <c r="J622" s="24"/>
      <c r="K622" s="26">
        <f>VLOOKUP($C622,COS!$B$8:$H$991,2,FALSE)</f>
        <v>2659.4970703125</v>
      </c>
      <c r="L622" s="24">
        <f t="shared" ref="L622" si="1002">IF(AND(K622&gt;$I$7,K622&lt;$I$8),1,0)</f>
        <v>1</v>
      </c>
      <c r="M622" s="24"/>
      <c r="N622" s="26"/>
      <c r="O622" s="26"/>
      <c r="P622" s="26"/>
      <c r="Q622" s="26"/>
      <c r="R622" s="26"/>
      <c r="S622" s="26"/>
      <c r="T622" s="26"/>
      <c r="U622" s="26"/>
      <c r="V622" s="26"/>
      <c r="W622" s="26">
        <f>MAX($C$8-VLOOKUP($C622,COS!$B$8:$H$991,3,FALSE),0)</f>
        <v>96571.319580078125</v>
      </c>
      <c r="X622" s="26">
        <f t="shared" si="972"/>
        <v>5746.3925700542359</v>
      </c>
      <c r="Y622" s="26">
        <f>VLOOKUP($C622,COS!$B$8:$H$991,4,FALSE)</f>
        <v>447.037109375</v>
      </c>
      <c r="Z622" s="26">
        <f t="shared" si="973"/>
        <v>26.600555268595041</v>
      </c>
      <c r="AA622" s="26">
        <f t="shared" si="1000"/>
        <v>447.037109375</v>
      </c>
      <c r="AB622" s="33">
        <f t="shared" si="956"/>
        <v>26.600555268595041</v>
      </c>
    </row>
    <row r="623" spans="1:28" x14ac:dyDescent="0.3">
      <c r="A623" s="32">
        <f>VLOOKUP(YEAR(C623),Flags!$A$13:$B$95,2,FALSE)</f>
        <v>4</v>
      </c>
      <c r="B623" s="24">
        <f t="shared" si="951"/>
        <v>1989</v>
      </c>
      <c r="C623" s="25">
        <v>32812</v>
      </c>
      <c r="D623" s="26"/>
      <c r="E623" s="24"/>
      <c r="F623" s="26"/>
      <c r="G623" s="26"/>
      <c r="H623" s="26"/>
      <c r="I623" s="26"/>
      <c r="J623" s="26"/>
      <c r="K623" s="26"/>
      <c r="L623" s="24"/>
      <c r="M623" s="24"/>
      <c r="N623" s="26"/>
      <c r="O623" s="26"/>
      <c r="P623" s="26"/>
      <c r="Q623" s="26"/>
      <c r="R623" s="26"/>
      <c r="S623" s="26"/>
      <c r="T623" s="26"/>
      <c r="U623" s="26"/>
      <c r="V623" s="26"/>
      <c r="W623" s="26">
        <f>MAX($C$9-VLOOKUP($C623,COS!$B$8:$H$991,3,FALSE),0)</f>
        <v>95860.29296875</v>
      </c>
      <c r="X623" s="26">
        <f t="shared" si="972"/>
        <v>5894.2196668388433</v>
      </c>
      <c r="Y623" s="26">
        <f>VLOOKUP($C623,COS!$B$8:$H$991,4,FALSE)</f>
        <v>977.87164306640625</v>
      </c>
      <c r="Z623" s="26">
        <f t="shared" si="973"/>
        <v>60.126983672843487</v>
      </c>
      <c r="AA623" s="26">
        <f t="shared" si="1000"/>
        <v>977.87164306640625</v>
      </c>
      <c r="AB623" s="33">
        <f t="shared" si="956"/>
        <v>60.126983672843487</v>
      </c>
    </row>
    <row r="624" spans="1:28" x14ac:dyDescent="0.3">
      <c r="A624" s="32">
        <f>VLOOKUP(YEAR(C624),Flags!$A$13:$B$95,2,FALSE)</f>
        <v>4</v>
      </c>
      <c r="B624" s="24">
        <f t="shared" si="951"/>
        <v>1989</v>
      </c>
      <c r="C624" s="25">
        <v>32842</v>
      </c>
      <c r="D624" s="26"/>
      <c r="E624" s="24"/>
      <c r="F624" s="26"/>
      <c r="G624" s="26"/>
      <c r="H624" s="26"/>
      <c r="I624" s="26"/>
      <c r="J624" s="26"/>
      <c r="K624" s="26"/>
      <c r="L624" s="24"/>
      <c r="M624" s="24"/>
      <c r="N624" s="26"/>
      <c r="O624" s="26"/>
      <c r="P624" s="26"/>
      <c r="Q624" s="26"/>
      <c r="R624" s="26"/>
      <c r="S624" s="26"/>
      <c r="T624" s="26"/>
      <c r="U624" s="26"/>
      <c r="V624" s="26"/>
      <c r="W624" s="26">
        <f>MAX($C$10-VLOOKUP($C624,COS!$B$8:$H$991,3,FALSE),0)</f>
        <v>94450.890625</v>
      </c>
      <c r="X624" s="26">
        <f t="shared" si="972"/>
        <v>5620.2182851239668</v>
      </c>
      <c r="Y624" s="26">
        <f>VLOOKUP($C624,COS!$B$8:$H$991,4,FALSE)</f>
        <v>1557.039306640625</v>
      </c>
      <c r="Z624" s="26">
        <f t="shared" si="973"/>
        <v>92.650272791838844</v>
      </c>
      <c r="AA624" s="26">
        <f t="shared" si="1000"/>
        <v>1557.039306640625</v>
      </c>
      <c r="AB624" s="33">
        <f t="shared" si="956"/>
        <v>46.325136395919422</v>
      </c>
    </row>
    <row r="625" spans="1:28" x14ac:dyDescent="0.3">
      <c r="A625" s="34">
        <f>VLOOKUP(YEAR(C625),Flags!$A$13:$B$95,2,FALSE)</f>
        <v>4</v>
      </c>
      <c r="B625" s="35">
        <f t="shared" si="951"/>
        <v>1989</v>
      </c>
      <c r="C625" s="36">
        <v>32873</v>
      </c>
      <c r="D625" s="37"/>
      <c r="E625" s="35"/>
      <c r="F625" s="37"/>
      <c r="G625" s="37"/>
      <c r="H625" s="37"/>
      <c r="I625" s="37"/>
      <c r="J625" s="37"/>
      <c r="K625" s="37"/>
      <c r="L625" s="35"/>
      <c r="M625" s="35"/>
      <c r="N625" s="37"/>
      <c r="O625" s="37"/>
      <c r="P625" s="37"/>
      <c r="Q625" s="37"/>
      <c r="R625" s="37"/>
      <c r="S625" s="37"/>
      <c r="T625" s="37"/>
      <c r="U625" s="37"/>
      <c r="V625" s="37"/>
      <c r="W625" s="37">
        <f>MAX($C$11-VLOOKUP($C625,COS!$B$8:$H$991,3,FALSE),0)</f>
        <v>0</v>
      </c>
      <c r="X625" s="37">
        <f t="shared" si="972"/>
        <v>0</v>
      </c>
      <c r="Y625" s="37">
        <f>VLOOKUP($C625,COS!$B$8:$H$991,4,FALSE)</f>
        <v>2009.1300048828125</v>
      </c>
      <c r="Z625" s="37">
        <f t="shared" si="973"/>
        <v>123.5365887299845</v>
      </c>
      <c r="AA625" s="37">
        <f t="shared" si="1000"/>
        <v>0</v>
      </c>
      <c r="AB625" s="38">
        <f t="shared" si="956"/>
        <v>0</v>
      </c>
    </row>
    <row r="626" spans="1:28" x14ac:dyDescent="0.3">
      <c r="A626" s="27">
        <f>VLOOKUP(YEAR(C626),Flags!$A$13:$B$95,2,FALSE)</f>
        <v>5</v>
      </c>
      <c r="B626" s="28">
        <f t="shared" si="951"/>
        <v>1990</v>
      </c>
      <c r="C626" s="29">
        <v>32993</v>
      </c>
      <c r="D626" s="30">
        <f>VLOOKUP($C626,COS!$B$8:$H$991,3,FALSE)</f>
        <v>3250</v>
      </c>
      <c r="E626" s="28">
        <f>IF(D626&gt;=IF(MONTH($C626)=4,$C$3,IF(MONTH($C626)=5,$C$4,IF(MONTH($C626)=6,$C$5,IF(MONTH($C626)=7,$C$6,"ERROR")))),1,0)</f>
        <v>0</v>
      </c>
      <c r="F626" s="30">
        <f>VLOOKUP($C626,COS!$B$8:$H$991,7,FALSE)</f>
        <v>52.837333679199219</v>
      </c>
      <c r="G626" s="28">
        <f>IF(F626&lt;=IF(MONTH($C626)=4,$F$3,IF(MONTH($C626)=5,$F$4,IF(MONTH($C626)=6,$F$5,IF(MONTH($C626)=7,$F$6,"ERROR")))),1,0)</f>
        <v>1</v>
      </c>
      <c r="H626" s="30">
        <f>IF(J626=1,D626-$C$3,0)</f>
        <v>0</v>
      </c>
      <c r="I626" s="30">
        <f t="shared" si="982"/>
        <v>0</v>
      </c>
      <c r="J626" s="28">
        <f t="shared" ref="J626:J629" si="1003">IF(AND(E626=1,G626=1),1,0)</f>
        <v>0</v>
      </c>
      <c r="K626" s="30">
        <f>VLOOKUP($C626,COS!$B$8:$H$991,2,FALSE)</f>
        <v>3255.982421875</v>
      </c>
      <c r="L626" s="28">
        <f t="shared" ref="L626" si="1004">IF(K626&lt;=IF(MONTH($C626)=4,$I$3,IF(MONTH($C626)=5,$I$4,IF(MONTH($C626)=6,$I$5,IF(MONTH($C626)=7,$I$6,"ERROR")))),1,0)</f>
        <v>1</v>
      </c>
      <c r="M626" s="28">
        <f t="shared" ref="M626" si="1005">VLOOKUP($A626,$L$3:$M$7,2,FALSE)</f>
        <v>1</v>
      </c>
      <c r="N626" s="30">
        <f>VLOOKUP($C626,COS!$B$8:$H$991,5,FALSE)</f>
        <v>164.3074951171875</v>
      </c>
      <c r="O626" s="30">
        <f t="shared" ref="O626:O629" si="1006">N626*DAY($C626)*86400/43560/1000</f>
        <v>9.7769749160640487</v>
      </c>
      <c r="P626" s="30">
        <f>VLOOKUP($C626,COS!$B$8:$H$991,6,FALSE)</f>
        <v>546.31597900390625</v>
      </c>
      <c r="Q626" s="30">
        <f t="shared" ref="Q626:Q629" si="1007">P626*DAY($C626)*86400/43560/1000</f>
        <v>32.508058254777893</v>
      </c>
      <c r="R626" s="30">
        <f>MIN(IF(MONTH($C626)=4,$S$3,IF(MONTH($C626)=5,$S$4,IF(MONTH($C626)=6,$S$5,IF(MONTH($C626)=7,$S$6,"ERROR")))),MAX(VLOOKUP($C626,COS!$B$8:$K$991,10,FALSE)-IF(MONTH($C626)=4,$Y$3,IF(MONTH($C626)=5,$Y$4,IF(MONTH($C626)=6,$Y$5,IF(MONTH($C626)=7,$Y$6,"ERROR")))),0),MAX(VLOOKUP($C626,COS!$B$8:$K$991,9,FALSE)-IF(MONTH($C626)=4,$V$3,IF(MONTH($C626)=5,$V$4,IF(MONTH($C626)=6,$V$5,IF(MONTH($C626)=7,$V$6,"ERROR"))))-VLOOKUP($C626,COS!$B$8:$K$991,6,FALSE)/2,0))</f>
        <v>0</v>
      </c>
      <c r="S626" s="30">
        <f t="shared" ref="S626:S629" si="1008">R626*DAY($C626)*86400/43560/1000</f>
        <v>0</v>
      </c>
      <c r="T626" s="30">
        <f t="shared" ref="T626:T629" si="1009">(O626+Q626)/2+S626</f>
        <v>21.142516585420971</v>
      </c>
      <c r="U626" s="30" t="str">
        <f>IF(VLOOKUP($C626,COS!$B$8:$I$991,8,FALSE)=1,"UWFE","IBU")</f>
        <v>UWFE</v>
      </c>
      <c r="V626" s="30">
        <f t="shared" ref="V626" si="1010">MIN(IF(IF($AA$3=2,AND(E626=1,G626=1,L626=1,L631=1,M626=1,U626="IBU"),AND(E626=1,G626=1,L626=1,L631=1,M626=1)),T626,0),I626)</f>
        <v>0</v>
      </c>
      <c r="W626" s="30"/>
      <c r="X626" s="30"/>
      <c r="Y626" s="30"/>
      <c r="Z626" s="30"/>
      <c r="AA626" s="30"/>
      <c r="AB626" s="31"/>
    </row>
    <row r="627" spans="1:28" x14ac:dyDescent="0.3">
      <c r="A627" s="32">
        <f>VLOOKUP(YEAR(C627),Flags!$A$13:$B$95,2,FALSE)</f>
        <v>5</v>
      </c>
      <c r="B627" s="24">
        <f t="shared" si="951"/>
        <v>1990</v>
      </c>
      <c r="C627" s="25">
        <v>33024</v>
      </c>
      <c r="D627" s="26">
        <f>VLOOKUP($C627,COS!$B$8:$H$991,3,FALSE)</f>
        <v>5630.49853515625</v>
      </c>
      <c r="E627" s="24">
        <f>IF(D627&gt;=IF(MONTH($C627)=4,$C$3,IF(MONTH($C627)=5,$C$4,IF(MONTH($C627)=6,$C$5,IF(MONTH($C627)=7,$C$6,"ERROR")))),1,0)</f>
        <v>0</v>
      </c>
      <c r="F627" s="26">
        <f>VLOOKUP($C627,COS!$B$8:$H$991,7,FALSE)</f>
        <v>52.459934234619141</v>
      </c>
      <c r="G627" s="24">
        <f>IF(F627&lt;=IF(MONTH($C627)=4,$F$3,IF(MONTH($C627)=5,$F$4,IF(MONTH($C627)=6,$F$5,IF(MONTH($C627)=7,$F$6,"ERROR")))),1,0)</f>
        <v>1</v>
      </c>
      <c r="H627" s="26">
        <f>IF(J627=1,D627-$C$4,0)</f>
        <v>0</v>
      </c>
      <c r="I627" s="26">
        <f t="shared" si="982"/>
        <v>0</v>
      </c>
      <c r="J627" s="24">
        <f t="shared" si="1003"/>
        <v>0</v>
      </c>
      <c r="K627" s="26">
        <f>VLOOKUP($C627,COS!$B$8:$H$991,2,FALSE)</f>
        <v>3362.06884765625</v>
      </c>
      <c r="L627" s="24">
        <f t="shared" si="944"/>
        <v>1</v>
      </c>
      <c r="M627" s="24">
        <f t="shared" si="945"/>
        <v>1</v>
      </c>
      <c r="N627" s="26">
        <f>VLOOKUP($C627,COS!$B$8:$H$991,5,FALSE)</f>
        <v>102.29715728759766</v>
      </c>
      <c r="O627" s="26">
        <f t="shared" si="1006"/>
        <v>6.2900070266093104</v>
      </c>
      <c r="P627" s="26">
        <f>VLOOKUP($C627,COS!$B$8:$H$991,6,FALSE)</f>
        <v>1666.94287109375</v>
      </c>
      <c r="Q627" s="26">
        <f t="shared" si="1007"/>
        <v>102.49632199121901</v>
      </c>
      <c r="R627" s="26">
        <f>MIN(IF(MONTH($C627)=4,$S$3,IF(MONTH($C627)=5,$S$4,IF(MONTH($C627)=6,$S$5,IF(MONTH($C627)=7,$S$6,"ERROR")))),MAX(VLOOKUP($C627,COS!$B$8:$K$991,10,FALSE)-IF(MONTH($C627)=4,$Y$3,IF(MONTH($C627)=5,$Y$4,IF(MONTH($C627)=6,$Y$5,IF(MONTH($C627)=7,$Y$6,"ERROR")))),0),MAX(VLOOKUP($C627,COS!$B$8:$K$991,9,FALSE)-IF(MONTH($C627)=4,$V$3,IF(MONTH($C627)=5,$V$4,IF(MONTH($C627)=6,$V$5,IF(MONTH($C627)=7,$V$6,"ERROR"))))-VLOOKUP($C627,COS!$B$8:$K$991,6,FALSE)/2,0))</f>
        <v>1500</v>
      </c>
      <c r="S627" s="26">
        <f t="shared" si="1008"/>
        <v>92.231404958677686</v>
      </c>
      <c r="T627" s="26">
        <f t="shared" si="1009"/>
        <v>146.62456946759184</v>
      </c>
      <c r="U627" s="26" t="str">
        <f>IF(VLOOKUP($C627,COS!$B$8:$I$991,8,FALSE)=1,"UWFE","IBU")</f>
        <v>UWFE</v>
      </c>
      <c r="V627" s="26">
        <f t="shared" ref="V627" si="1011">MIN(IF(IF($AA$3=2,AND(E627=1,G627=1,L627=1,L631=1,M627=1,U627="IBU"),AND(E627=1,G627=1,L627=1,L631=1,M627=1)),T627,0),I627)</f>
        <v>0</v>
      </c>
      <c r="W627" s="26"/>
      <c r="X627" s="26"/>
      <c r="Y627" s="26"/>
      <c r="Z627" s="26"/>
      <c r="AA627" s="26"/>
      <c r="AB627" s="33"/>
    </row>
    <row r="628" spans="1:28" x14ac:dyDescent="0.3">
      <c r="A628" s="32">
        <f>VLOOKUP(YEAR(C628),Flags!$A$13:$B$95,2,FALSE)</f>
        <v>5</v>
      </c>
      <c r="B628" s="24">
        <f t="shared" si="951"/>
        <v>1990</v>
      </c>
      <c r="C628" s="25">
        <v>33054</v>
      </c>
      <c r="D628" s="26">
        <f>VLOOKUP($C628,COS!$B$8:$H$991,3,FALSE)</f>
        <v>8063.263671875</v>
      </c>
      <c r="E628" s="24">
        <f>IF(D628&gt;=IF(MONTH($C628)=4,$C$3,IF(MONTH($C628)=5,$C$4,IF(MONTH($C628)=6,$C$5,IF(MONTH($C628)=7,$C$6,"ERROR")))),1,0)</f>
        <v>0</v>
      </c>
      <c r="F628" s="26">
        <f>VLOOKUP($C628,COS!$B$8:$H$991,7,FALSE)</f>
        <v>53.181201934814453</v>
      </c>
      <c r="G628" s="24">
        <f>IF(F628&lt;=IF(MONTH($C628)=4,$F$3,IF(MONTH($C628)=5,$F$4,IF(MONTH($C628)=6,$F$5,IF(MONTH($C628)=7,$F$6,"ERROR")))),1,0)</f>
        <v>1</v>
      </c>
      <c r="H628" s="26">
        <f>IF(J628=1,D628-$C$5,0)</f>
        <v>0</v>
      </c>
      <c r="I628" s="26">
        <f t="shared" si="982"/>
        <v>0</v>
      </c>
      <c r="J628" s="24">
        <f t="shared" si="1003"/>
        <v>0</v>
      </c>
      <c r="K628" s="26">
        <f>VLOOKUP($C628,COS!$B$8:$H$991,2,FALSE)</f>
        <v>3180.568359375</v>
      </c>
      <c r="L628" s="24">
        <f t="shared" si="944"/>
        <v>1</v>
      </c>
      <c r="M628" s="24">
        <f t="shared" si="945"/>
        <v>1</v>
      </c>
      <c r="N628" s="26">
        <f>VLOOKUP($C628,COS!$B$8:$H$991,5,FALSE)</f>
        <v>206.65235900878906</v>
      </c>
      <c r="O628" s="26">
        <f t="shared" si="1006"/>
        <v>12.296669296390753</v>
      </c>
      <c r="P628" s="26">
        <f>VLOOKUP($C628,COS!$B$8:$H$991,6,FALSE)</f>
        <v>2506.8408203125</v>
      </c>
      <c r="Q628" s="26">
        <f t="shared" si="1007"/>
        <v>149.16738765495867</v>
      </c>
      <c r="R628" s="26">
        <f>MIN(IF(MONTH($C628)=4,$S$3,IF(MONTH($C628)=5,$S$4,IF(MONTH($C628)=6,$S$5,IF(MONTH($C628)=7,$S$6,"ERROR")))),MAX(VLOOKUP($C628,COS!$B$8:$K$991,10,FALSE)-IF(MONTH($C628)=4,$Y$3,IF(MONTH($C628)=5,$Y$4,IF(MONTH($C628)=6,$Y$5,IF(MONTH($C628)=7,$Y$6,"ERROR")))),0),MAX(VLOOKUP($C628,COS!$B$8:$K$991,9,FALSE)-IF(MONTH($C628)=4,$V$3,IF(MONTH($C628)=5,$V$4,IF(MONTH($C628)=6,$V$5,IF(MONTH($C628)=7,$V$6,"ERROR"))))-VLOOKUP($C628,COS!$B$8:$K$991,6,FALSE)/2,0))</f>
        <v>1500</v>
      </c>
      <c r="S628" s="26">
        <f t="shared" si="1008"/>
        <v>89.256198347107429</v>
      </c>
      <c r="T628" s="26">
        <f t="shared" si="1009"/>
        <v>169.98822682278214</v>
      </c>
      <c r="U628" s="26" t="str">
        <f>IF(VLOOKUP($C628,COS!$B$8:$I$991,8,FALSE)=1,"UWFE","IBU")</f>
        <v>IBU</v>
      </c>
      <c r="V628" s="26">
        <f t="shared" ref="V628" si="1012">MIN(IF(IF($AA$3=2,AND(E628=1,G628=1,L628=1,L631=1,M628=1,U628="IBU"),AND(E628=1,G628=1,L628=1,L631=1,M628=1)),T628,0),I628)</f>
        <v>0</v>
      </c>
      <c r="W628" s="26"/>
      <c r="X628" s="26"/>
      <c r="Y628" s="26"/>
      <c r="Z628" s="26"/>
      <c r="AA628" s="26"/>
      <c r="AB628" s="33"/>
    </row>
    <row r="629" spans="1:28" x14ac:dyDescent="0.3">
      <c r="A629" s="32">
        <f>VLOOKUP(YEAR(C629),Flags!$A$13:$B$95,2,FALSE)</f>
        <v>5</v>
      </c>
      <c r="B629" s="24">
        <f t="shared" si="951"/>
        <v>1990</v>
      </c>
      <c r="C629" s="25">
        <v>33085</v>
      </c>
      <c r="D629" s="26">
        <f>VLOOKUP($C629,COS!$B$8:$H$991,3,FALSE)</f>
        <v>12447.279296875</v>
      </c>
      <c r="E629" s="24">
        <f>IF(D629&gt;=IF(MONTH($C629)=4,$C$3,IF(MONTH($C629)=5,$C$4,IF(MONTH($C629)=6,$C$5,IF(MONTH($C629)=7,$C$6,"ERROR")))),1,0)</f>
        <v>1</v>
      </c>
      <c r="F629" s="26">
        <f>VLOOKUP($C629,COS!$B$8:$H$991,7,FALSE)</f>
        <v>53.944061279296875</v>
      </c>
      <c r="G629" s="24">
        <f>IF(F629&lt;=IF(MONTH($C629)=4,$F$3,IF(MONTH($C629)=5,$F$4,IF(MONTH($C629)=6,$F$5,IF(MONTH($C629)=7,$F$6,"ERROR")))),1,0)</f>
        <v>0</v>
      </c>
      <c r="H629" s="26">
        <f>IF(J629=1,D629-$C$6,0)</f>
        <v>0</v>
      </c>
      <c r="I629" s="26">
        <f t="shared" si="982"/>
        <v>0</v>
      </c>
      <c r="J629" s="24">
        <f t="shared" si="1003"/>
        <v>0</v>
      </c>
      <c r="K629" s="26">
        <f>VLOOKUP($C629,COS!$B$8:$H$991,2,FALSE)</f>
        <v>2634.774169921875</v>
      </c>
      <c r="L629" s="24">
        <f t="shared" si="944"/>
        <v>1</v>
      </c>
      <c r="M629" s="24">
        <f t="shared" si="945"/>
        <v>1</v>
      </c>
      <c r="N629" s="26">
        <f>VLOOKUP($C629,COS!$B$8:$H$991,5,FALSE)</f>
        <v>227.43785095214844</v>
      </c>
      <c r="O629" s="26">
        <f t="shared" si="1006"/>
        <v>13.984608356065987</v>
      </c>
      <c r="P629" s="26">
        <f>VLOOKUP($C629,COS!$B$8:$H$991,6,FALSE)</f>
        <v>2326.644775390625</v>
      </c>
      <c r="Q629" s="26">
        <f t="shared" si="1007"/>
        <v>143.05981098269626</v>
      </c>
      <c r="R629" s="26">
        <f>MIN(IF(MONTH($C629)=4,$S$3,IF(MONTH($C629)=5,$S$4,IF(MONTH($C629)=6,$S$5,IF(MONTH($C629)=7,$S$6,"ERROR")))),MAX(VLOOKUP($C629,COS!$B$8:$K$991,10,FALSE)-IF(MONTH($C629)=4,$Y$3,IF(MONTH($C629)=5,$Y$4,IF(MONTH($C629)=6,$Y$5,IF(MONTH($C629)=7,$Y$6,"ERROR")))),0),MAX(VLOOKUP($C629,COS!$B$8:$K$991,9,FALSE)-IF(MONTH($C629)=4,$V$3,IF(MONTH($C629)=5,$V$4,IF(MONTH($C629)=6,$V$5,IF(MONTH($C629)=7,$V$6,"ERROR"))))-VLOOKUP($C629,COS!$B$8:$K$991,6,FALSE)/2,0))</f>
        <v>1500</v>
      </c>
      <c r="S629" s="26">
        <f t="shared" si="1008"/>
        <v>92.231404958677686</v>
      </c>
      <c r="T629" s="26">
        <f t="shared" si="1009"/>
        <v>170.75361462805881</v>
      </c>
      <c r="U629" s="26" t="str">
        <f>IF(VLOOKUP($C629,COS!$B$8:$I$991,8,FALSE)=1,"UWFE","IBU")</f>
        <v>IBU</v>
      </c>
      <c r="V629" s="26">
        <f t="shared" ref="V629" si="1013">MIN(IF(IF($AA$3=2,AND(E629=1,G629=1,L629=1,L631=1,M629=1,U629="IBU"),AND(E629=1,G629=1,L629=1,L631=1,M629=1)),T629,0),I629)</f>
        <v>0</v>
      </c>
      <c r="W629" s="26"/>
      <c r="X629" s="26"/>
      <c r="Y629" s="26"/>
      <c r="Z629" s="26"/>
      <c r="AA629" s="26"/>
      <c r="AB629" s="33"/>
    </row>
    <row r="630" spans="1:28" x14ac:dyDescent="0.3">
      <c r="A630" s="32">
        <f>VLOOKUP(YEAR(C630),Flags!$A$13:$B$95,2,FALSE)</f>
        <v>5</v>
      </c>
      <c r="B630" s="24">
        <f t="shared" si="951"/>
        <v>1990</v>
      </c>
      <c r="C630" s="25">
        <v>33116</v>
      </c>
      <c r="D630" s="26"/>
      <c r="E630" s="24"/>
      <c r="F630" s="26"/>
      <c r="G630" s="24"/>
      <c r="H630" s="24"/>
      <c r="I630" s="26"/>
      <c r="J630" s="24"/>
      <c r="K630" s="26"/>
      <c r="L630" s="24"/>
      <c r="M630" s="24"/>
      <c r="N630" s="26"/>
      <c r="O630" s="26"/>
      <c r="P630" s="26"/>
      <c r="Q630" s="26"/>
      <c r="R630" s="26"/>
      <c r="S630" s="26"/>
      <c r="T630" s="26"/>
      <c r="U630" s="26"/>
      <c r="V630" s="26"/>
      <c r="W630" s="26">
        <f>MAX($C$7-VLOOKUP($C630,COS!$B$8:$H$991,3,FALSE),0)</f>
        <v>91987.85546875</v>
      </c>
      <c r="X630" s="26">
        <f t="shared" si="972"/>
        <v>5656.1127660123966</v>
      </c>
      <c r="Y630" s="26">
        <f>VLOOKUP($C630,COS!$B$8:$H$991,4,FALSE)</f>
        <v>3233.810302734375</v>
      </c>
      <c r="Z630" s="26">
        <f t="shared" si="973"/>
        <v>198.83924506069215</v>
      </c>
      <c r="AA630" s="26">
        <f t="shared" ref="AA630:AA634" si="1014">MIN(W630,Y630)</f>
        <v>3233.810302734375</v>
      </c>
      <c r="AB630" s="33">
        <f t="shared" ref="AB630" si="1015">AA630*DAY($C630)*86400/43560/1000*IF(MONTH($C630)=8,$P$3,IF(MONTH($C630)=9,$P$4,IF(MONTH($C630)=10,$P$5,IF(MONTH($C630)=11,$P$6,IF(MONTH($C630)=12,$P$7,NA())))))</f>
        <v>198.83924506069215</v>
      </c>
    </row>
    <row r="631" spans="1:28" x14ac:dyDescent="0.3">
      <c r="A631" s="32">
        <f>VLOOKUP(YEAR(C631),Flags!$A$13:$B$95,2,FALSE)</f>
        <v>5</v>
      </c>
      <c r="B631" s="24">
        <f t="shared" si="951"/>
        <v>1990</v>
      </c>
      <c r="C631" s="25">
        <v>33146</v>
      </c>
      <c r="D631" s="26"/>
      <c r="E631" s="24"/>
      <c r="F631" s="26"/>
      <c r="G631" s="24"/>
      <c r="H631" s="24"/>
      <c r="I631" s="26"/>
      <c r="J631" s="24"/>
      <c r="K631" s="26">
        <f>VLOOKUP($C631,COS!$B$8:$H$991,2,FALSE)</f>
        <v>2239.517822265625</v>
      </c>
      <c r="L631" s="24">
        <f t="shared" ref="L631" si="1016">IF(AND(K631&gt;$I$7,K631&lt;$I$8),1,0)</f>
        <v>1</v>
      </c>
      <c r="M631" s="24"/>
      <c r="N631" s="26"/>
      <c r="O631" s="26"/>
      <c r="P631" s="26"/>
      <c r="Q631" s="26"/>
      <c r="R631" s="26"/>
      <c r="S631" s="26"/>
      <c r="T631" s="26"/>
      <c r="U631" s="26"/>
      <c r="V631" s="26"/>
      <c r="W631" s="26">
        <f>MAX($C$8-VLOOKUP($C631,COS!$B$8:$H$991,3,FALSE),0)</f>
        <v>94345.31689453125</v>
      </c>
      <c r="X631" s="26">
        <f t="shared" si="972"/>
        <v>5613.9362119059915</v>
      </c>
      <c r="Y631" s="26">
        <f>VLOOKUP($C631,COS!$B$8:$H$991,4,FALSE)</f>
        <v>1878.513671875</v>
      </c>
      <c r="Z631" s="26">
        <f t="shared" si="973"/>
        <v>111.77932592975208</v>
      </c>
      <c r="AA631" s="26">
        <f t="shared" si="1014"/>
        <v>1878.513671875</v>
      </c>
      <c r="AB631" s="33">
        <f t="shared" si="956"/>
        <v>111.77932592975208</v>
      </c>
    </row>
    <row r="632" spans="1:28" x14ac:dyDescent="0.3">
      <c r="A632" s="32">
        <f>VLOOKUP(YEAR(C632),Flags!$A$13:$B$95,2,FALSE)</f>
        <v>5</v>
      </c>
      <c r="B632" s="24">
        <f t="shared" si="951"/>
        <v>1990</v>
      </c>
      <c r="C632" s="25">
        <v>33177</v>
      </c>
      <c r="D632" s="26"/>
      <c r="E632" s="24"/>
      <c r="F632" s="26"/>
      <c r="G632" s="26"/>
      <c r="H632" s="26"/>
      <c r="I632" s="26"/>
      <c r="J632" s="26"/>
      <c r="K632" s="26"/>
      <c r="L632" s="24"/>
      <c r="M632" s="24"/>
      <c r="N632" s="26"/>
      <c r="O632" s="26"/>
      <c r="P632" s="26"/>
      <c r="Q632" s="26"/>
      <c r="R632" s="26"/>
      <c r="S632" s="26"/>
      <c r="T632" s="26"/>
      <c r="U632" s="26"/>
      <c r="V632" s="26"/>
      <c r="W632" s="26">
        <f>MAX($C$9-VLOOKUP($C632,COS!$B$8:$H$991,3,FALSE),0)</f>
        <v>94935.169921875</v>
      </c>
      <c r="X632" s="26">
        <f t="shared" si="972"/>
        <v>5837.3360679235529</v>
      </c>
      <c r="Y632" s="26">
        <f>VLOOKUP($C632,COS!$B$8:$H$991,4,FALSE)</f>
        <v>1555.8990478515625</v>
      </c>
      <c r="Z632" s="26">
        <f t="shared" si="973"/>
        <v>95.668503438145663</v>
      </c>
      <c r="AA632" s="26">
        <f t="shared" si="1014"/>
        <v>1555.8990478515625</v>
      </c>
      <c r="AB632" s="33">
        <f t="shared" si="956"/>
        <v>95.668503438145663</v>
      </c>
    </row>
    <row r="633" spans="1:28" x14ac:dyDescent="0.3">
      <c r="A633" s="32">
        <f>VLOOKUP(YEAR(C633),Flags!$A$13:$B$95,2,FALSE)</f>
        <v>5</v>
      </c>
      <c r="B633" s="24">
        <f t="shared" si="951"/>
        <v>1990</v>
      </c>
      <c r="C633" s="25">
        <v>33207</v>
      </c>
      <c r="D633" s="26"/>
      <c r="E633" s="24"/>
      <c r="F633" s="26"/>
      <c r="G633" s="26"/>
      <c r="H633" s="26"/>
      <c r="I633" s="26"/>
      <c r="J633" s="26"/>
      <c r="K633" s="26"/>
      <c r="L633" s="24"/>
      <c r="M633" s="24"/>
      <c r="N633" s="26"/>
      <c r="O633" s="26"/>
      <c r="P633" s="26"/>
      <c r="Q633" s="26"/>
      <c r="R633" s="26"/>
      <c r="S633" s="26"/>
      <c r="T633" s="26"/>
      <c r="U633" s="26"/>
      <c r="V633" s="26"/>
      <c r="W633" s="26">
        <f>MAX($C$10-VLOOKUP($C633,COS!$B$8:$H$991,3,FALSE),0)</f>
        <v>95913.387451171875</v>
      </c>
      <c r="X633" s="26">
        <f t="shared" si="972"/>
        <v>5707.2428896565079</v>
      </c>
      <c r="Y633" s="26">
        <f>VLOOKUP($C633,COS!$B$8:$H$991,4,FALSE)</f>
        <v>1488.062255859375</v>
      </c>
      <c r="Z633" s="26">
        <f t="shared" si="973"/>
        <v>88.545853241219007</v>
      </c>
      <c r="AA633" s="26">
        <f t="shared" si="1014"/>
        <v>1488.062255859375</v>
      </c>
      <c r="AB633" s="33">
        <f t="shared" si="956"/>
        <v>44.272926620609503</v>
      </c>
    </row>
    <row r="634" spans="1:28" x14ac:dyDescent="0.3">
      <c r="A634" s="34">
        <f>VLOOKUP(YEAR(C634),Flags!$A$13:$B$95,2,FALSE)</f>
        <v>5</v>
      </c>
      <c r="B634" s="35">
        <f t="shared" si="951"/>
        <v>1990</v>
      </c>
      <c r="C634" s="36">
        <v>33238</v>
      </c>
      <c r="D634" s="37"/>
      <c r="E634" s="35"/>
      <c r="F634" s="37"/>
      <c r="G634" s="37"/>
      <c r="H634" s="37"/>
      <c r="I634" s="37"/>
      <c r="J634" s="37"/>
      <c r="K634" s="37"/>
      <c r="L634" s="35"/>
      <c r="M634" s="35"/>
      <c r="N634" s="37"/>
      <c r="O634" s="37"/>
      <c r="P634" s="37"/>
      <c r="Q634" s="37"/>
      <c r="R634" s="37"/>
      <c r="S634" s="37"/>
      <c r="T634" s="37"/>
      <c r="U634" s="37"/>
      <c r="V634" s="37"/>
      <c r="W634" s="37">
        <f>MAX($C$11-VLOOKUP($C634,COS!$B$8:$H$991,3,FALSE),0)</f>
        <v>0</v>
      </c>
      <c r="X634" s="37">
        <f t="shared" si="972"/>
        <v>0</v>
      </c>
      <c r="Y634" s="37">
        <f>VLOOKUP($C634,COS!$B$8:$H$991,4,FALSE)</f>
        <v>3086.0771484375</v>
      </c>
      <c r="Z634" s="37">
        <f t="shared" si="973"/>
        <v>189.75548747417355</v>
      </c>
      <c r="AA634" s="37">
        <f t="shared" si="1014"/>
        <v>0</v>
      </c>
      <c r="AB634" s="38">
        <f t="shared" si="956"/>
        <v>0</v>
      </c>
    </row>
    <row r="635" spans="1:28" x14ac:dyDescent="0.3">
      <c r="A635" s="27">
        <f>VLOOKUP(YEAR(C635),Flags!$A$13:$B$95,2,FALSE)</f>
        <v>5</v>
      </c>
      <c r="B635" s="28">
        <f t="shared" si="951"/>
        <v>1991</v>
      </c>
      <c r="C635" s="29">
        <v>33358</v>
      </c>
      <c r="D635" s="30">
        <f>VLOOKUP($C635,COS!$B$8:$H$991,3,FALSE)</f>
        <v>3250</v>
      </c>
      <c r="E635" s="28">
        <f>IF(D635&gt;=IF(MONTH($C635)=4,$C$3,IF(MONTH($C635)=5,$C$4,IF(MONTH($C635)=6,$C$5,IF(MONTH($C635)=7,$C$6,"ERROR")))),1,0)</f>
        <v>0</v>
      </c>
      <c r="F635" s="30">
        <f>VLOOKUP($C635,COS!$B$8:$H$991,7,FALSE)</f>
        <v>52.174777984619141</v>
      </c>
      <c r="G635" s="28">
        <f>IF(F635&lt;=IF(MONTH($C635)=4,$F$3,IF(MONTH($C635)=5,$F$4,IF(MONTH($C635)=6,$F$5,IF(MONTH($C635)=7,$F$6,"ERROR")))),1,0)</f>
        <v>1</v>
      </c>
      <c r="H635" s="30">
        <f>IF(J635=1,D635-$C$3,0)</f>
        <v>0</v>
      </c>
      <c r="I635" s="30">
        <f t="shared" si="982"/>
        <v>0</v>
      </c>
      <c r="J635" s="28">
        <f t="shared" ref="J635:J638" si="1017">IF(AND(E635=1,G635=1),1,0)</f>
        <v>0</v>
      </c>
      <c r="K635" s="30">
        <f>VLOOKUP($C635,COS!$B$8:$H$991,2,FALSE)</f>
        <v>2608.74365234375</v>
      </c>
      <c r="L635" s="28">
        <f t="shared" ref="L635" si="1018">IF(K635&lt;=IF(MONTH($C635)=4,$I$3,IF(MONTH($C635)=5,$I$4,IF(MONTH($C635)=6,$I$5,IF(MONTH($C635)=7,$I$6,"ERROR")))),1,0)</f>
        <v>1</v>
      </c>
      <c r="M635" s="28">
        <f t="shared" ref="M635" si="1019">VLOOKUP($A635,$L$3:$M$7,2,FALSE)</f>
        <v>1</v>
      </c>
      <c r="N635" s="30">
        <f>VLOOKUP($C635,COS!$B$8:$H$991,5,FALSE)</f>
        <v>99.786216735839844</v>
      </c>
      <c r="O635" s="30">
        <f t="shared" ref="O635:O638" si="1020">N635*DAY($C635)*86400/43560/1000</f>
        <v>5.9376922355210482</v>
      </c>
      <c r="P635" s="30">
        <f>VLOOKUP($C635,COS!$B$8:$H$991,6,FALSE)</f>
        <v>390.43963623046875</v>
      </c>
      <c r="Q635" s="30">
        <f t="shared" ref="Q635:Q638" si="1021">P635*DAY($C635)*86400/43560/1000</f>
        <v>23.232771742639464</v>
      </c>
      <c r="R635" s="30">
        <f>MIN(IF(MONTH($C635)=4,$S$3,IF(MONTH($C635)=5,$S$4,IF(MONTH($C635)=6,$S$5,IF(MONTH($C635)=7,$S$6,"ERROR")))),MAX(VLOOKUP($C635,COS!$B$8:$K$991,10,FALSE)-IF(MONTH($C635)=4,$Y$3,IF(MONTH($C635)=5,$Y$4,IF(MONTH($C635)=6,$Y$5,IF(MONTH($C635)=7,$Y$6,"ERROR")))),0),MAX(VLOOKUP($C635,COS!$B$8:$K$991,9,FALSE)-IF(MONTH($C635)=4,$V$3,IF(MONTH($C635)=5,$V$4,IF(MONTH($C635)=6,$V$5,IF(MONTH($C635)=7,$V$6,"ERROR"))))-VLOOKUP($C635,COS!$B$8:$K$991,6,FALSE)/2,0))</f>
        <v>1454.1971740722656</v>
      </c>
      <c r="S635" s="30">
        <f t="shared" ref="S635:S638" si="1022">R635*DAY($C635)*86400/43560/1000</f>
        <v>86.530740936531515</v>
      </c>
      <c r="T635" s="30">
        <f t="shared" ref="T635:T638" si="1023">(O635+Q635)/2+S635</f>
        <v>101.11597292561177</v>
      </c>
      <c r="U635" s="30" t="str">
        <f>IF(VLOOKUP($C635,COS!$B$8:$I$991,8,FALSE)=1,"UWFE","IBU")</f>
        <v>UWFE</v>
      </c>
      <c r="V635" s="30">
        <f t="shared" ref="V635" si="1024">MIN(IF(IF($AA$3=2,AND(E635=1,G635=1,L635=1,L640=1,M635=1,U635="IBU"),AND(E635=1,G635=1,L635=1,L640=1,M635=1)),T635,0),I635)</f>
        <v>0</v>
      </c>
      <c r="W635" s="30"/>
      <c r="X635" s="30"/>
      <c r="Y635" s="30"/>
      <c r="Z635" s="30"/>
      <c r="AA635" s="30"/>
      <c r="AB635" s="31"/>
    </row>
    <row r="636" spans="1:28" x14ac:dyDescent="0.3">
      <c r="A636" s="32">
        <f>VLOOKUP(YEAR(C636),Flags!$A$13:$B$95,2,FALSE)</f>
        <v>5</v>
      </c>
      <c r="B636" s="24">
        <f t="shared" si="951"/>
        <v>1991</v>
      </c>
      <c r="C636" s="25">
        <v>33389</v>
      </c>
      <c r="D636" s="26">
        <f>VLOOKUP($C636,COS!$B$8:$H$991,3,FALSE)</f>
        <v>6746.265625</v>
      </c>
      <c r="E636" s="24">
        <f>IF(D636&gt;=IF(MONTH($C636)=4,$C$3,IF(MONTH($C636)=5,$C$4,IF(MONTH($C636)=6,$C$5,IF(MONTH($C636)=7,$C$6,"ERROR")))),1,0)</f>
        <v>1</v>
      </c>
      <c r="F636" s="26">
        <f>VLOOKUP($C636,COS!$B$8:$H$991,7,FALSE)</f>
        <v>52.1820068359375</v>
      </c>
      <c r="G636" s="24">
        <f>IF(F636&lt;=IF(MONTH($C636)=4,$F$3,IF(MONTH($C636)=5,$F$4,IF(MONTH($C636)=6,$F$5,IF(MONTH($C636)=7,$F$6,"ERROR")))),1,0)</f>
        <v>1</v>
      </c>
      <c r="H636" s="26">
        <f>IF(J636=1,D636-$C$4,0)</f>
        <v>746.265625</v>
      </c>
      <c r="I636" s="26">
        <f t="shared" si="982"/>
        <v>45.886084710743802</v>
      </c>
      <c r="J636" s="24">
        <f t="shared" si="1017"/>
        <v>1</v>
      </c>
      <c r="K636" s="26">
        <f>VLOOKUP($C636,COS!$B$8:$H$991,2,FALSE)</f>
        <v>2510.05419921875</v>
      </c>
      <c r="L636" s="24">
        <f t="shared" si="944"/>
        <v>1</v>
      </c>
      <c r="M636" s="24">
        <f t="shared" si="945"/>
        <v>1</v>
      </c>
      <c r="N636" s="26">
        <f>VLOOKUP($C636,COS!$B$8:$H$991,5,FALSE)</f>
        <v>265.20388793945313</v>
      </c>
      <c r="O636" s="26">
        <f t="shared" si="1020"/>
        <v>16.306751456772986</v>
      </c>
      <c r="P636" s="26">
        <f>VLOOKUP($C636,COS!$B$8:$H$991,6,FALSE)</f>
        <v>2166.270751953125</v>
      </c>
      <c r="Q636" s="26">
        <f t="shared" si="1021"/>
        <v>133.19879664901859</v>
      </c>
      <c r="R636" s="26">
        <f>MIN(IF(MONTH($C636)=4,$S$3,IF(MONTH($C636)=5,$S$4,IF(MONTH($C636)=6,$S$5,IF(MONTH($C636)=7,$S$6,"ERROR")))),MAX(VLOOKUP($C636,COS!$B$8:$K$991,10,FALSE)-IF(MONTH($C636)=4,$Y$3,IF(MONTH($C636)=5,$Y$4,IF(MONTH($C636)=6,$Y$5,IF(MONTH($C636)=7,$Y$6,"ERROR")))),0),MAX(VLOOKUP($C636,COS!$B$8:$K$991,9,FALSE)-IF(MONTH($C636)=4,$V$3,IF(MONTH($C636)=5,$V$4,IF(MONTH($C636)=6,$V$5,IF(MONTH($C636)=7,$V$6,"ERROR"))))-VLOOKUP($C636,COS!$B$8:$K$991,6,FALSE)/2,0))</f>
        <v>1500</v>
      </c>
      <c r="S636" s="26">
        <f t="shared" si="1022"/>
        <v>92.231404958677686</v>
      </c>
      <c r="T636" s="26">
        <f t="shared" si="1023"/>
        <v>166.98417901157347</v>
      </c>
      <c r="U636" s="26" t="str">
        <f>IF(VLOOKUP($C636,COS!$B$8:$I$991,8,FALSE)=1,"UWFE","IBU")</f>
        <v>UWFE</v>
      </c>
      <c r="V636" s="26">
        <f t="shared" ref="V636" si="1025">MIN(IF(IF($AA$3=2,AND(E636=1,G636=1,L636=1,L640=1,M636=1,U636="IBU"),AND(E636=1,G636=1,L636=1,L640=1,M636=1)),T636,0),I636)</f>
        <v>45.886084710743802</v>
      </c>
      <c r="W636" s="26"/>
      <c r="X636" s="26"/>
      <c r="Y636" s="26"/>
      <c r="Z636" s="26"/>
      <c r="AA636" s="26"/>
      <c r="AB636" s="33"/>
    </row>
    <row r="637" spans="1:28" x14ac:dyDescent="0.3">
      <c r="A637" s="32">
        <f>VLOOKUP(YEAR(C637),Flags!$A$13:$B$95,2,FALSE)</f>
        <v>5</v>
      </c>
      <c r="B637" s="24">
        <f t="shared" si="951"/>
        <v>1991</v>
      </c>
      <c r="C637" s="25">
        <v>33419</v>
      </c>
      <c r="D637" s="26">
        <f>VLOOKUP($C637,COS!$B$8:$H$991,3,FALSE)</f>
        <v>7646.2861328125</v>
      </c>
      <c r="E637" s="24">
        <f>IF(D637&gt;=IF(MONTH($C637)=4,$C$3,IF(MONTH($C637)=5,$C$4,IF(MONTH($C637)=6,$C$5,IF(MONTH($C637)=7,$C$6,"ERROR")))),1,0)</f>
        <v>0</v>
      </c>
      <c r="F637" s="26">
        <f>VLOOKUP($C637,COS!$B$8:$H$991,7,FALSE)</f>
        <v>53.892311096191406</v>
      </c>
      <c r="G637" s="24">
        <f>IF(F637&lt;=IF(MONTH($C637)=4,$F$3,IF(MONTH($C637)=5,$F$4,IF(MONTH($C637)=6,$F$5,IF(MONTH($C637)=7,$F$6,"ERROR")))),1,0)</f>
        <v>1</v>
      </c>
      <c r="H637" s="26">
        <f>IF(J637=1,D637-$C$5,0)</f>
        <v>0</v>
      </c>
      <c r="I637" s="26">
        <f t="shared" si="982"/>
        <v>0</v>
      </c>
      <c r="J637" s="24">
        <f t="shared" si="1017"/>
        <v>0</v>
      </c>
      <c r="K637" s="26">
        <f>VLOOKUP($C637,COS!$B$8:$H$991,2,FALSE)</f>
        <v>2234.704833984375</v>
      </c>
      <c r="L637" s="24">
        <f t="shared" si="944"/>
        <v>1</v>
      </c>
      <c r="M637" s="24">
        <f t="shared" si="945"/>
        <v>1</v>
      </c>
      <c r="N637" s="26">
        <f>VLOOKUP($C637,COS!$B$8:$H$991,5,FALSE)</f>
        <v>362.696044921875</v>
      </c>
      <c r="O637" s="26">
        <f t="shared" si="1020"/>
        <v>21.581913416838844</v>
      </c>
      <c r="P637" s="26">
        <f>VLOOKUP($C637,COS!$B$8:$H$991,6,FALSE)</f>
        <v>2380.910888671875</v>
      </c>
      <c r="Q637" s="26">
        <f t="shared" si="1021"/>
        <v>141.67403635072316</v>
      </c>
      <c r="R637" s="26">
        <f>MIN(IF(MONTH($C637)=4,$S$3,IF(MONTH($C637)=5,$S$4,IF(MONTH($C637)=6,$S$5,IF(MONTH($C637)=7,$S$6,"ERROR")))),MAX(VLOOKUP($C637,COS!$B$8:$K$991,10,FALSE)-IF(MONTH($C637)=4,$Y$3,IF(MONTH($C637)=5,$Y$4,IF(MONTH($C637)=6,$Y$5,IF(MONTH($C637)=7,$Y$6,"ERROR")))),0),MAX(VLOOKUP($C637,COS!$B$8:$K$991,9,FALSE)-IF(MONTH($C637)=4,$V$3,IF(MONTH($C637)=5,$V$4,IF(MONTH($C637)=6,$V$5,IF(MONTH($C637)=7,$V$6,"ERROR"))))-VLOOKUP($C637,COS!$B$8:$K$991,6,FALSE)/2,0))</f>
        <v>1289.97314453125</v>
      </c>
      <c r="S637" s="26">
        <f t="shared" si="1022"/>
        <v>76.758732567148769</v>
      </c>
      <c r="T637" s="26">
        <f t="shared" si="1023"/>
        <v>158.38670745092978</v>
      </c>
      <c r="U637" s="26" t="str">
        <f>IF(VLOOKUP($C637,COS!$B$8:$I$991,8,FALSE)=1,"UWFE","IBU")</f>
        <v>IBU</v>
      </c>
      <c r="V637" s="26">
        <f t="shared" ref="V637" si="1026">MIN(IF(IF($AA$3=2,AND(E637=1,G637=1,L637=1,L640=1,M637=1,U637="IBU"),AND(E637=1,G637=1,L637=1,L640=1,M637=1)),T637,0),I637)</f>
        <v>0</v>
      </c>
      <c r="W637" s="26"/>
      <c r="X637" s="26"/>
      <c r="Y637" s="26"/>
      <c r="Z637" s="26"/>
      <c r="AA637" s="26"/>
      <c r="AB637" s="33"/>
    </row>
    <row r="638" spans="1:28" x14ac:dyDescent="0.3">
      <c r="A638" s="32">
        <f>VLOOKUP(YEAR(C638),Flags!$A$13:$B$95,2,FALSE)</f>
        <v>5</v>
      </c>
      <c r="B638" s="24">
        <f t="shared" si="951"/>
        <v>1991</v>
      </c>
      <c r="C638" s="25">
        <v>33450</v>
      </c>
      <c r="D638" s="26">
        <f>VLOOKUP($C638,COS!$B$8:$H$991,3,FALSE)</f>
        <v>8667.65625</v>
      </c>
      <c r="E638" s="24">
        <f>IF(D638&gt;=IF(MONTH($C638)=4,$C$3,IF(MONTH($C638)=5,$C$4,IF(MONTH($C638)=6,$C$5,IF(MONTH($C638)=7,$C$6,"ERROR")))),1,0)</f>
        <v>0</v>
      </c>
      <c r="F638" s="26">
        <f>VLOOKUP($C638,COS!$B$8:$H$991,7,FALSE)</f>
        <v>56.067035675048828</v>
      </c>
      <c r="G638" s="24">
        <f>IF(F638&lt;=IF(MONTH($C638)=4,$F$3,IF(MONTH($C638)=5,$F$4,IF(MONTH($C638)=6,$F$5,IF(MONTH($C638)=7,$F$6,"ERROR")))),1,0)</f>
        <v>0</v>
      </c>
      <c r="H638" s="26">
        <f>IF(J638=1,D638-$C$6,0)</f>
        <v>0</v>
      </c>
      <c r="I638" s="26">
        <f t="shared" si="982"/>
        <v>0</v>
      </c>
      <c r="J638" s="24">
        <f t="shared" si="1017"/>
        <v>0</v>
      </c>
      <c r="K638" s="26">
        <f>VLOOKUP($C638,COS!$B$8:$H$991,2,FALSE)</f>
        <v>1917.2408447265625</v>
      </c>
      <c r="L638" s="24">
        <f t="shared" si="944"/>
        <v>1</v>
      </c>
      <c r="M638" s="24">
        <f t="shared" si="945"/>
        <v>1</v>
      </c>
      <c r="N638" s="26">
        <f>VLOOKUP($C638,COS!$B$8:$H$991,5,FALSE)</f>
        <v>424.0916748046875</v>
      </c>
      <c r="O638" s="26">
        <f t="shared" si="1020"/>
        <v>26.076380665676655</v>
      </c>
      <c r="P638" s="26">
        <f>VLOOKUP($C638,COS!$B$8:$H$991,6,FALSE)</f>
        <v>2281.4833984375</v>
      </c>
      <c r="Q638" s="26">
        <f t="shared" si="1021"/>
        <v>140.28294615185951</v>
      </c>
      <c r="R638" s="26">
        <f>MIN(IF(MONTH($C638)=4,$S$3,IF(MONTH($C638)=5,$S$4,IF(MONTH($C638)=6,$S$5,IF(MONTH($C638)=7,$S$6,"ERROR")))),MAX(VLOOKUP($C638,COS!$B$8:$K$991,10,FALSE)-IF(MONTH($C638)=4,$Y$3,IF(MONTH($C638)=5,$Y$4,IF(MONTH($C638)=6,$Y$5,IF(MONTH($C638)=7,$Y$6,"ERROR")))),0),MAX(VLOOKUP($C638,COS!$B$8:$K$991,9,FALSE)-IF(MONTH($C638)=4,$V$3,IF(MONTH($C638)=5,$V$4,IF(MONTH($C638)=6,$V$5,IF(MONTH($C638)=7,$V$6,"ERROR"))))-VLOOKUP($C638,COS!$B$8:$K$991,6,FALSE)/2,0))</f>
        <v>1500</v>
      </c>
      <c r="S638" s="26">
        <f t="shared" si="1022"/>
        <v>92.231404958677686</v>
      </c>
      <c r="T638" s="26">
        <f t="shared" si="1023"/>
        <v>175.41106836744575</v>
      </c>
      <c r="U638" s="26" t="str">
        <f>IF(VLOOKUP($C638,COS!$B$8:$I$991,8,FALSE)=1,"UWFE","IBU")</f>
        <v>IBU</v>
      </c>
      <c r="V638" s="26">
        <f t="shared" ref="V638" si="1027">MIN(IF(IF($AA$3=2,AND(E638=1,G638=1,L638=1,L640=1,M638=1,U638="IBU"),AND(E638=1,G638=1,L638=1,L640=1,M638=1)),T638,0),I638)</f>
        <v>0</v>
      </c>
      <c r="W638" s="26"/>
      <c r="X638" s="26"/>
      <c r="Y638" s="26"/>
      <c r="Z638" s="26"/>
      <c r="AA638" s="26"/>
      <c r="AB638" s="33"/>
    </row>
    <row r="639" spans="1:28" x14ac:dyDescent="0.3">
      <c r="A639" s="32">
        <f>VLOOKUP(YEAR(C639),Flags!$A$13:$B$95,2,FALSE)</f>
        <v>5</v>
      </c>
      <c r="B639" s="24">
        <f t="shared" si="951"/>
        <v>1991</v>
      </c>
      <c r="C639" s="25">
        <v>33481</v>
      </c>
      <c r="D639" s="26"/>
      <c r="E639" s="24"/>
      <c r="F639" s="26"/>
      <c r="G639" s="24"/>
      <c r="H639" s="24"/>
      <c r="I639" s="26"/>
      <c r="J639" s="24"/>
      <c r="K639" s="26"/>
      <c r="L639" s="24"/>
      <c r="M639" s="24"/>
      <c r="N639" s="26"/>
      <c r="O639" s="26"/>
      <c r="P639" s="26"/>
      <c r="Q639" s="26"/>
      <c r="R639" s="26"/>
      <c r="S639" s="26"/>
      <c r="T639" s="26"/>
      <c r="U639" s="26"/>
      <c r="V639" s="26"/>
      <c r="W639" s="26">
        <f>MAX($C$7-VLOOKUP($C639,COS!$B$8:$H$991,3,FALSE),0)</f>
        <v>93270.849609375</v>
      </c>
      <c r="X639" s="26">
        <f t="shared" si="972"/>
        <v>5735.0010007747933</v>
      </c>
      <c r="Y639" s="26">
        <f>VLOOKUP($C639,COS!$B$8:$H$991,4,FALSE)</f>
        <v>3158.24462890625</v>
      </c>
      <c r="Z639" s="26">
        <f t="shared" si="973"/>
        <v>194.19289288481406</v>
      </c>
      <c r="AA639" s="26">
        <f t="shared" ref="AA639:AA643" si="1028">MIN(W639,Y639)</f>
        <v>3158.24462890625</v>
      </c>
      <c r="AB639" s="33">
        <f t="shared" ref="AB639" si="1029">AA639*DAY($C639)*86400/43560/1000*IF(MONTH($C639)=8,$P$3,IF(MONTH($C639)=9,$P$4,IF(MONTH($C639)=10,$P$5,IF(MONTH($C639)=11,$P$6,IF(MONTH($C639)=12,$P$7,NA())))))</f>
        <v>194.19289288481406</v>
      </c>
    </row>
    <row r="640" spans="1:28" x14ac:dyDescent="0.3">
      <c r="A640" s="32">
        <f>VLOOKUP(YEAR(C640),Flags!$A$13:$B$95,2,FALSE)</f>
        <v>5</v>
      </c>
      <c r="B640" s="24">
        <f t="shared" si="951"/>
        <v>1991</v>
      </c>
      <c r="C640" s="25">
        <v>33511</v>
      </c>
      <c r="D640" s="26"/>
      <c r="E640" s="24"/>
      <c r="F640" s="26"/>
      <c r="G640" s="24"/>
      <c r="H640" s="24"/>
      <c r="I640" s="26"/>
      <c r="J640" s="24"/>
      <c r="K640" s="26">
        <f>VLOOKUP($C640,COS!$B$8:$H$991,2,FALSE)</f>
        <v>1656.5145263671875</v>
      </c>
      <c r="L640" s="24">
        <f t="shared" ref="L640" si="1030">IF(AND(K640&gt;$I$7,K640&lt;$I$8),1,0)</f>
        <v>1</v>
      </c>
      <c r="M640" s="24"/>
      <c r="N640" s="26"/>
      <c r="O640" s="26"/>
      <c r="P640" s="26"/>
      <c r="Q640" s="26"/>
      <c r="R640" s="26"/>
      <c r="S640" s="26"/>
      <c r="T640" s="26"/>
      <c r="U640" s="26"/>
      <c r="V640" s="26"/>
      <c r="W640" s="26">
        <f>MAX($C$8-VLOOKUP($C640,COS!$B$8:$H$991,3,FALSE),0)</f>
        <v>95645.72998046875</v>
      </c>
      <c r="X640" s="26">
        <f t="shared" si="972"/>
        <v>5691.3161641270653</v>
      </c>
      <c r="Y640" s="26">
        <f>VLOOKUP($C640,COS!$B$8:$H$991,4,FALSE)</f>
        <v>2165.95703125</v>
      </c>
      <c r="Z640" s="26">
        <f t="shared" si="973"/>
        <v>128.88339359504133</v>
      </c>
      <c r="AA640" s="26">
        <f t="shared" si="1028"/>
        <v>2165.95703125</v>
      </c>
      <c r="AB640" s="33">
        <f t="shared" si="956"/>
        <v>128.88339359504133</v>
      </c>
    </row>
    <row r="641" spans="1:28" x14ac:dyDescent="0.3">
      <c r="A641" s="32">
        <f>VLOOKUP(YEAR(C641),Flags!$A$13:$B$95,2,FALSE)</f>
        <v>5</v>
      </c>
      <c r="B641" s="24">
        <f t="shared" si="951"/>
        <v>1991</v>
      </c>
      <c r="C641" s="25">
        <v>33542</v>
      </c>
      <c r="D641" s="26"/>
      <c r="E641" s="24"/>
      <c r="F641" s="26"/>
      <c r="G641" s="26"/>
      <c r="H641" s="26"/>
      <c r="I641" s="26"/>
      <c r="J641" s="26"/>
      <c r="K641" s="26"/>
      <c r="L641" s="24"/>
      <c r="M641" s="24"/>
      <c r="N641" s="26"/>
      <c r="O641" s="26"/>
      <c r="P641" s="26"/>
      <c r="Q641" s="26"/>
      <c r="R641" s="26"/>
      <c r="S641" s="26"/>
      <c r="T641" s="26"/>
      <c r="U641" s="26"/>
      <c r="V641" s="26"/>
      <c r="W641" s="26">
        <f>MAX($C$9-VLOOKUP($C641,COS!$B$8:$H$991,3,FALSE),0)</f>
        <v>94862.1748046875</v>
      </c>
      <c r="X641" s="26">
        <f t="shared" si="972"/>
        <v>5832.8477731146695</v>
      </c>
      <c r="Y641" s="26">
        <f>VLOOKUP($C641,COS!$B$8:$H$991,4,FALSE)</f>
        <v>1365.7271728515625</v>
      </c>
      <c r="Z641" s="26">
        <f t="shared" si="973"/>
        <v>83.975290628228308</v>
      </c>
      <c r="AA641" s="26">
        <f t="shared" si="1028"/>
        <v>1365.7271728515625</v>
      </c>
      <c r="AB641" s="33">
        <f t="shared" si="956"/>
        <v>83.975290628228308</v>
      </c>
    </row>
    <row r="642" spans="1:28" x14ac:dyDescent="0.3">
      <c r="A642" s="32">
        <f>VLOOKUP(YEAR(C642),Flags!$A$13:$B$95,2,FALSE)</f>
        <v>5</v>
      </c>
      <c r="B642" s="24">
        <f t="shared" si="951"/>
        <v>1991</v>
      </c>
      <c r="C642" s="25">
        <v>33572</v>
      </c>
      <c r="D642" s="26"/>
      <c r="E642" s="24"/>
      <c r="F642" s="26"/>
      <c r="G642" s="26"/>
      <c r="H642" s="26"/>
      <c r="I642" s="26"/>
      <c r="J642" s="26"/>
      <c r="K642" s="26"/>
      <c r="L642" s="24"/>
      <c r="M642" s="24"/>
      <c r="N642" s="26"/>
      <c r="O642" s="26"/>
      <c r="P642" s="26"/>
      <c r="Q642" s="26"/>
      <c r="R642" s="26"/>
      <c r="S642" s="26"/>
      <c r="T642" s="26"/>
      <c r="U642" s="26"/>
      <c r="V642" s="26"/>
      <c r="W642" s="26">
        <f>MAX($C$10-VLOOKUP($C642,COS!$B$8:$H$991,3,FALSE),0)</f>
        <v>94541.99853515625</v>
      </c>
      <c r="X642" s="26">
        <f t="shared" si="972"/>
        <v>5625.6395822572313</v>
      </c>
      <c r="Y642" s="26">
        <f>VLOOKUP($C642,COS!$B$8:$H$991,4,FALSE)</f>
        <v>1633.0859375</v>
      </c>
      <c r="Z642" s="26">
        <f t="shared" si="973"/>
        <v>97.175361570247929</v>
      </c>
      <c r="AA642" s="26">
        <f t="shared" si="1028"/>
        <v>1633.0859375</v>
      </c>
      <c r="AB642" s="33">
        <f t="shared" si="956"/>
        <v>48.587680785123965</v>
      </c>
    </row>
    <row r="643" spans="1:28" x14ac:dyDescent="0.3">
      <c r="A643" s="34">
        <f>VLOOKUP(YEAR(C643),Flags!$A$13:$B$95,2,FALSE)</f>
        <v>5</v>
      </c>
      <c r="B643" s="35">
        <f t="shared" si="951"/>
        <v>1991</v>
      </c>
      <c r="C643" s="36">
        <v>33603</v>
      </c>
      <c r="D643" s="37"/>
      <c r="E643" s="35"/>
      <c r="F643" s="37"/>
      <c r="G643" s="37"/>
      <c r="H643" s="37"/>
      <c r="I643" s="37"/>
      <c r="J643" s="37"/>
      <c r="K643" s="37"/>
      <c r="L643" s="35"/>
      <c r="M643" s="35"/>
      <c r="N643" s="37"/>
      <c r="O643" s="37"/>
      <c r="P643" s="37"/>
      <c r="Q643" s="37"/>
      <c r="R643" s="37"/>
      <c r="S643" s="37"/>
      <c r="T643" s="37"/>
      <c r="U643" s="37"/>
      <c r="V643" s="37"/>
      <c r="W643" s="37">
        <f>MAX($C$11-VLOOKUP($C643,COS!$B$8:$H$991,3,FALSE),0)</f>
        <v>0</v>
      </c>
      <c r="X643" s="37">
        <f t="shared" si="972"/>
        <v>0</v>
      </c>
      <c r="Y643" s="37">
        <f>VLOOKUP($C643,COS!$B$8:$H$991,4,FALSE)</f>
        <v>3048.85693359375</v>
      </c>
      <c r="Z643" s="37">
        <f t="shared" si="973"/>
        <v>187.46690566890496</v>
      </c>
      <c r="AA643" s="37">
        <f t="shared" si="1028"/>
        <v>0</v>
      </c>
      <c r="AB643" s="38">
        <f t="shared" si="956"/>
        <v>0</v>
      </c>
    </row>
    <row r="644" spans="1:28" x14ac:dyDescent="0.3">
      <c r="A644" s="27">
        <f>VLOOKUP(YEAR(C644),Flags!$A$13:$B$95,2,FALSE)</f>
        <v>5</v>
      </c>
      <c r="B644" s="28">
        <f t="shared" si="951"/>
        <v>1992</v>
      </c>
      <c r="C644" s="29">
        <v>33724</v>
      </c>
      <c r="D644" s="30">
        <f>VLOOKUP($C644,COS!$B$8:$H$991,3,FALSE)</f>
        <v>3250</v>
      </c>
      <c r="E644" s="28">
        <f>IF(D644&gt;=IF(MONTH($C644)=4,$C$3,IF(MONTH($C644)=5,$C$4,IF(MONTH($C644)=6,$C$5,IF(MONTH($C644)=7,$C$6,"ERROR")))),1,0)</f>
        <v>0</v>
      </c>
      <c r="F644" s="30">
        <f>VLOOKUP($C644,COS!$B$8:$H$991,7,FALSE)</f>
        <v>52.492954254150391</v>
      </c>
      <c r="G644" s="28">
        <f>IF(F644&lt;=IF(MONTH($C644)=4,$F$3,IF(MONTH($C644)=5,$F$4,IF(MONTH($C644)=6,$F$5,IF(MONTH($C644)=7,$F$6,"ERROR")))),1,0)</f>
        <v>1</v>
      </c>
      <c r="H644" s="30">
        <f>IF(J644=1,D644-$C$3,0)</f>
        <v>0</v>
      </c>
      <c r="I644" s="30">
        <f t="shared" si="982"/>
        <v>0</v>
      </c>
      <c r="J644" s="28">
        <f t="shared" ref="J644:J647" si="1031">IF(AND(E644=1,G644=1),1,0)</f>
        <v>0</v>
      </c>
      <c r="K644" s="30">
        <f>VLOOKUP($C644,COS!$B$8:$H$991,2,FALSE)</f>
        <v>2746.148681640625</v>
      </c>
      <c r="L644" s="28">
        <f t="shared" ref="L644" si="1032">IF(K644&lt;=IF(MONTH($C644)=4,$I$3,IF(MONTH($C644)=5,$I$4,IF(MONTH($C644)=6,$I$5,IF(MONTH($C644)=7,$I$6,"ERROR")))),1,0)</f>
        <v>1</v>
      </c>
      <c r="M644" s="28">
        <f t="shared" ref="M644" si="1033">VLOOKUP($A644,$L$3:$M$7,2,FALSE)</f>
        <v>1</v>
      </c>
      <c r="N644" s="30">
        <f>VLOOKUP($C644,COS!$B$8:$H$991,5,FALSE)</f>
        <v>32.692440032958984</v>
      </c>
      <c r="O644" s="30">
        <f t="shared" ref="O644:O647" si="1034">N644*DAY($C644)*86400/43560/1000</f>
        <v>1.9453352746884685</v>
      </c>
      <c r="P644" s="30">
        <f>VLOOKUP($C644,COS!$B$8:$H$991,6,FALSE)</f>
        <v>421.25204467773438</v>
      </c>
      <c r="Q644" s="30">
        <f t="shared" ref="Q644:Q647" si="1035">P644*DAY($C644)*86400/43560/1000</f>
        <v>25.066237369253617</v>
      </c>
      <c r="R644" s="30">
        <f>MIN(IF(MONTH($C644)=4,$S$3,IF(MONTH($C644)=5,$S$4,IF(MONTH($C644)=6,$S$5,IF(MONTH($C644)=7,$S$6,"ERROR")))),MAX(VLOOKUP($C644,COS!$B$8:$K$991,10,FALSE)-IF(MONTH($C644)=4,$Y$3,IF(MONTH($C644)=5,$Y$4,IF(MONTH($C644)=6,$Y$5,IF(MONTH($C644)=7,$Y$6,"ERROR")))),0),MAX(VLOOKUP($C644,COS!$B$8:$K$991,9,FALSE)-IF(MONTH($C644)=4,$V$3,IF(MONTH($C644)=5,$V$4,IF(MONTH($C644)=6,$V$5,IF(MONTH($C644)=7,$V$6,"ERROR"))))-VLOOKUP($C644,COS!$B$8:$K$991,6,FALSE)/2,0))</f>
        <v>1500</v>
      </c>
      <c r="S644" s="30">
        <f t="shared" ref="S644:S647" si="1036">R644*DAY($C644)*86400/43560/1000</f>
        <v>89.256198347107429</v>
      </c>
      <c r="T644" s="30">
        <f t="shared" ref="T644:T647" si="1037">(O644+Q644)/2+S644</f>
        <v>102.76198466907847</v>
      </c>
      <c r="U644" s="30" t="str">
        <f>IF(VLOOKUP($C644,COS!$B$8:$I$991,8,FALSE)=1,"UWFE","IBU")</f>
        <v>UWFE</v>
      </c>
      <c r="V644" s="30">
        <f t="shared" ref="V644" si="1038">MIN(IF(IF($AA$3=2,AND(E644=1,G644=1,L644=1,L649=1,M644=1,U644="IBU"),AND(E644=1,G644=1,L644=1,L649=1,M644=1)),T644,0),I644)</f>
        <v>0</v>
      </c>
      <c r="W644" s="30"/>
      <c r="X644" s="30"/>
      <c r="Y644" s="30"/>
      <c r="Z644" s="30"/>
      <c r="AA644" s="30"/>
      <c r="AB644" s="31"/>
    </row>
    <row r="645" spans="1:28" x14ac:dyDescent="0.3">
      <c r="A645" s="32">
        <f>VLOOKUP(YEAR(C645),Flags!$A$13:$B$95,2,FALSE)</f>
        <v>5</v>
      </c>
      <c r="B645" s="24">
        <f t="shared" si="951"/>
        <v>1992</v>
      </c>
      <c r="C645" s="25">
        <v>33755</v>
      </c>
      <c r="D645" s="26">
        <f>VLOOKUP($C645,COS!$B$8:$H$991,3,FALSE)</f>
        <v>8644.7744140625</v>
      </c>
      <c r="E645" s="24">
        <f>IF(D645&gt;=IF(MONTH($C645)=4,$C$3,IF(MONTH($C645)=5,$C$4,IF(MONTH($C645)=6,$C$5,IF(MONTH($C645)=7,$C$6,"ERROR")))),1,0)</f>
        <v>1</v>
      </c>
      <c r="F645" s="26">
        <f>VLOOKUP($C645,COS!$B$8:$H$991,7,FALSE)</f>
        <v>52.123382568359375</v>
      </c>
      <c r="G645" s="24">
        <f>IF(F645&lt;=IF(MONTH($C645)=4,$F$3,IF(MONTH($C645)=5,$F$4,IF(MONTH($C645)=6,$F$5,IF(MONTH($C645)=7,$F$6,"ERROR")))),1,0)</f>
        <v>1</v>
      </c>
      <c r="H645" s="26">
        <f>IF(J645=1,D645-$C$4,0)</f>
        <v>2644.7744140625</v>
      </c>
      <c r="I645" s="26">
        <f t="shared" si="982"/>
        <v>162.62084000516529</v>
      </c>
      <c r="J645" s="24">
        <f t="shared" si="1031"/>
        <v>1</v>
      </c>
      <c r="K645" s="26">
        <f>VLOOKUP($C645,COS!$B$8:$H$991,2,FALSE)</f>
        <v>2460.489501953125</v>
      </c>
      <c r="L645" s="24">
        <f t="shared" si="944"/>
        <v>1</v>
      </c>
      <c r="M645" s="24">
        <f t="shared" si="945"/>
        <v>1</v>
      </c>
      <c r="N645" s="26">
        <f>VLOOKUP($C645,COS!$B$8:$H$991,5,FALSE)</f>
        <v>10.813337326049805</v>
      </c>
      <c r="O645" s="26">
        <f t="shared" si="1034"/>
        <v>0.66488619591578968</v>
      </c>
      <c r="P645" s="26">
        <f>VLOOKUP($C645,COS!$B$8:$H$991,6,FALSE)</f>
        <v>2317.093994140625</v>
      </c>
      <c r="Q645" s="26">
        <f t="shared" si="1035"/>
        <v>142.47255633393593</v>
      </c>
      <c r="R645" s="26">
        <f>MIN(IF(MONTH($C645)=4,$S$3,IF(MONTH($C645)=5,$S$4,IF(MONTH($C645)=6,$S$5,IF(MONTH($C645)=7,$S$6,"ERROR")))),MAX(VLOOKUP($C645,COS!$B$8:$K$991,10,FALSE)-IF(MONTH($C645)=4,$Y$3,IF(MONTH($C645)=5,$Y$4,IF(MONTH($C645)=6,$Y$5,IF(MONTH($C645)=7,$Y$6,"ERROR")))),0),MAX(VLOOKUP($C645,COS!$B$8:$K$991,9,FALSE)-IF(MONTH($C645)=4,$V$3,IF(MONTH($C645)=5,$V$4,IF(MONTH($C645)=6,$V$5,IF(MONTH($C645)=7,$V$6,"ERROR"))))-VLOOKUP($C645,COS!$B$8:$K$991,6,FALSE)/2,0))</f>
        <v>1500</v>
      </c>
      <c r="S645" s="26">
        <f t="shared" si="1036"/>
        <v>92.231404958677686</v>
      </c>
      <c r="T645" s="26">
        <f t="shared" si="1037"/>
        <v>163.80012622360354</v>
      </c>
      <c r="U645" s="26" t="str">
        <f>IF(VLOOKUP($C645,COS!$B$8:$I$991,8,FALSE)=1,"UWFE","IBU")</f>
        <v>IBU</v>
      </c>
      <c r="V645" s="26">
        <f t="shared" ref="V645" si="1039">MIN(IF(IF($AA$3=2,AND(E645=1,G645=1,L645=1,L649=1,M645=1,U645="IBU"),AND(E645=1,G645=1,L645=1,L649=1,M645=1)),T645,0),I645)</f>
        <v>162.62084000516529</v>
      </c>
      <c r="W645" s="26"/>
      <c r="X645" s="26"/>
      <c r="Y645" s="26"/>
      <c r="Z645" s="26"/>
      <c r="AA645" s="26"/>
      <c r="AB645" s="33"/>
    </row>
    <row r="646" spans="1:28" x14ac:dyDescent="0.3">
      <c r="A646" s="32">
        <f>VLOOKUP(YEAR(C646),Flags!$A$13:$B$95,2,FALSE)</f>
        <v>5</v>
      </c>
      <c r="B646" s="24">
        <f t="shared" si="951"/>
        <v>1992</v>
      </c>
      <c r="C646" s="25">
        <v>33785</v>
      </c>
      <c r="D646" s="26">
        <f>VLOOKUP($C646,COS!$B$8:$H$991,3,FALSE)</f>
        <v>10366.1689453125</v>
      </c>
      <c r="E646" s="24">
        <f>IF(D646&gt;=IF(MONTH($C646)=4,$C$3,IF(MONTH($C646)=5,$C$4,IF(MONTH($C646)=6,$C$5,IF(MONTH($C646)=7,$C$6,"ERROR")))),1,0)</f>
        <v>1</v>
      </c>
      <c r="F646" s="26">
        <f>VLOOKUP($C646,COS!$B$8:$H$991,7,FALSE)</f>
        <v>53.589008331298828</v>
      </c>
      <c r="G646" s="24">
        <f>IF(F646&lt;=IF(MONTH($C646)=4,$F$3,IF(MONTH($C646)=5,$F$4,IF(MONTH($C646)=6,$F$5,IF(MONTH($C646)=7,$F$6,"ERROR")))),1,0)</f>
        <v>1</v>
      </c>
      <c r="H646" s="26">
        <f>IF(J646=1,D646-$C$5,0)</f>
        <v>366.1689453125</v>
      </c>
      <c r="I646" s="26">
        <f t="shared" si="982"/>
        <v>21.788565340909091</v>
      </c>
      <c r="J646" s="24">
        <f t="shared" si="1031"/>
        <v>1</v>
      </c>
      <c r="K646" s="26">
        <f>VLOOKUP($C646,COS!$B$8:$H$991,2,FALSE)</f>
        <v>2027.753173828125</v>
      </c>
      <c r="L646" s="24">
        <f t="shared" si="944"/>
        <v>1</v>
      </c>
      <c r="M646" s="24">
        <f t="shared" si="945"/>
        <v>1</v>
      </c>
      <c r="N646" s="26">
        <f>VLOOKUP($C646,COS!$B$8:$H$991,5,FALSE)</f>
        <v>98.261642456054688</v>
      </c>
      <c r="O646" s="26">
        <f t="shared" si="1034"/>
        <v>5.8469737659801142</v>
      </c>
      <c r="P646" s="26">
        <f>VLOOKUP($C646,COS!$B$8:$H$991,6,FALSE)</f>
        <v>2327.949951171875</v>
      </c>
      <c r="Q646" s="26">
        <f t="shared" si="1035"/>
        <v>138.52264172262394</v>
      </c>
      <c r="R646" s="26">
        <f>MIN(IF(MONTH($C646)=4,$S$3,IF(MONTH($C646)=5,$S$4,IF(MONTH($C646)=6,$S$5,IF(MONTH($C646)=7,$S$6,"ERROR")))),MAX(VLOOKUP($C646,COS!$B$8:$K$991,10,FALSE)-IF(MONTH($C646)=4,$Y$3,IF(MONTH($C646)=5,$Y$4,IF(MONTH($C646)=6,$Y$5,IF(MONTH($C646)=7,$Y$6,"ERROR")))),0),MAX(VLOOKUP($C646,COS!$B$8:$K$991,9,FALSE)-IF(MONTH($C646)=4,$V$3,IF(MONTH($C646)=5,$V$4,IF(MONTH($C646)=6,$V$5,IF(MONTH($C646)=7,$V$6,"ERROR"))))-VLOOKUP($C646,COS!$B$8:$K$991,6,FALSE)/2,0))</f>
        <v>1500</v>
      </c>
      <c r="S646" s="26">
        <f t="shared" si="1036"/>
        <v>89.256198347107429</v>
      </c>
      <c r="T646" s="26">
        <f t="shared" si="1037"/>
        <v>161.44100609140946</v>
      </c>
      <c r="U646" s="26" t="str">
        <f>IF(VLOOKUP($C646,COS!$B$8:$I$991,8,FALSE)=1,"UWFE","IBU")</f>
        <v>IBU</v>
      </c>
      <c r="V646" s="26">
        <f t="shared" ref="V646" si="1040">MIN(IF(IF($AA$3=2,AND(E646=1,G646=1,L646=1,L649=1,M646=1,U646="IBU"),AND(E646=1,G646=1,L646=1,L649=1,M646=1)),T646,0),I646)</f>
        <v>21.788565340909091</v>
      </c>
      <c r="W646" s="26"/>
      <c r="X646" s="26"/>
      <c r="Y646" s="26"/>
      <c r="Z646" s="26"/>
      <c r="AA646" s="26"/>
      <c r="AB646" s="33"/>
    </row>
    <row r="647" spans="1:28" x14ac:dyDescent="0.3">
      <c r="A647" s="32">
        <f>VLOOKUP(YEAR(C647),Flags!$A$13:$B$95,2,FALSE)</f>
        <v>5</v>
      </c>
      <c r="B647" s="24">
        <f t="shared" si="951"/>
        <v>1992</v>
      </c>
      <c r="C647" s="25">
        <v>33816</v>
      </c>
      <c r="D647" s="26">
        <f>VLOOKUP($C647,COS!$B$8:$H$991,3,FALSE)</f>
        <v>9934.8115234375</v>
      </c>
      <c r="E647" s="24">
        <f>IF(D647&gt;=IF(MONTH($C647)=4,$C$3,IF(MONTH($C647)=5,$C$4,IF(MONTH($C647)=6,$C$5,IF(MONTH($C647)=7,$C$6,"ERROR")))),1,0)</f>
        <v>0</v>
      </c>
      <c r="F647" s="26">
        <f>VLOOKUP($C647,COS!$B$8:$H$991,7,FALSE)</f>
        <v>55.741245269775391</v>
      </c>
      <c r="G647" s="24">
        <f>IF(F647&lt;=IF(MONTH($C647)=4,$F$3,IF(MONTH($C647)=5,$F$4,IF(MONTH($C647)=6,$F$5,IF(MONTH($C647)=7,$F$6,"ERROR")))),1,0)</f>
        <v>0</v>
      </c>
      <c r="H647" s="26">
        <f>IF(J647=1,D647-$C$6,0)</f>
        <v>0</v>
      </c>
      <c r="I647" s="26">
        <f t="shared" si="982"/>
        <v>0</v>
      </c>
      <c r="J647" s="24">
        <f t="shared" si="1031"/>
        <v>0</v>
      </c>
      <c r="K647" s="26">
        <f>VLOOKUP($C647,COS!$B$8:$H$991,2,FALSE)</f>
        <v>1648.2286376953125</v>
      </c>
      <c r="L647" s="24">
        <f t="shared" si="944"/>
        <v>1</v>
      </c>
      <c r="M647" s="24">
        <f t="shared" si="945"/>
        <v>1</v>
      </c>
      <c r="N647" s="26">
        <f>VLOOKUP($C647,COS!$B$8:$H$991,5,FALSE)</f>
        <v>123.65061187744141</v>
      </c>
      <c r="O647" s="26">
        <f t="shared" si="1034"/>
        <v>7.6029797716377194</v>
      </c>
      <c r="P647" s="26">
        <f>VLOOKUP($C647,COS!$B$8:$H$991,6,FALSE)</f>
        <v>2316.5048828125</v>
      </c>
      <c r="Q647" s="26">
        <f t="shared" si="1035"/>
        <v>142.43633329028924</v>
      </c>
      <c r="R647" s="26">
        <f>MIN(IF(MONTH($C647)=4,$S$3,IF(MONTH($C647)=5,$S$4,IF(MONTH($C647)=6,$S$5,IF(MONTH($C647)=7,$S$6,"ERROR")))),MAX(VLOOKUP($C647,COS!$B$8:$K$991,10,FALSE)-IF(MONTH($C647)=4,$Y$3,IF(MONTH($C647)=5,$Y$4,IF(MONTH($C647)=6,$Y$5,IF(MONTH($C647)=7,$Y$6,"ERROR")))),0),MAX(VLOOKUP($C647,COS!$B$8:$K$991,9,FALSE)-IF(MONTH($C647)=4,$V$3,IF(MONTH($C647)=5,$V$4,IF(MONTH($C647)=6,$V$5,IF(MONTH($C647)=7,$V$6,"ERROR"))))-VLOOKUP($C647,COS!$B$8:$K$991,6,FALSE)/2,0))</f>
        <v>1500</v>
      </c>
      <c r="S647" s="26">
        <f t="shared" si="1036"/>
        <v>92.231404958677686</v>
      </c>
      <c r="T647" s="26">
        <f t="shared" si="1037"/>
        <v>167.25106148964116</v>
      </c>
      <c r="U647" s="26" t="str">
        <f>IF(VLOOKUP($C647,COS!$B$8:$I$991,8,FALSE)=1,"UWFE","IBU")</f>
        <v>IBU</v>
      </c>
      <c r="V647" s="26">
        <f t="shared" ref="V647" si="1041">MIN(IF(IF($AA$3=2,AND(E647=1,G647=1,L647=1,L649=1,M647=1,U647="IBU"),AND(E647=1,G647=1,L647=1,L649=1,M647=1)),T647,0),I647)</f>
        <v>0</v>
      </c>
      <c r="W647" s="26"/>
      <c r="X647" s="26"/>
      <c r="Y647" s="26"/>
      <c r="Z647" s="26"/>
      <c r="AA647" s="26"/>
      <c r="AB647" s="33"/>
    </row>
    <row r="648" spans="1:28" x14ac:dyDescent="0.3">
      <c r="A648" s="32">
        <f>VLOOKUP(YEAR(C648),Flags!$A$13:$B$95,2,FALSE)</f>
        <v>5</v>
      </c>
      <c r="B648" s="24">
        <f t="shared" si="951"/>
        <v>1992</v>
      </c>
      <c r="C648" s="25">
        <v>33847</v>
      </c>
      <c r="D648" s="26"/>
      <c r="E648" s="24"/>
      <c r="F648" s="26"/>
      <c r="G648" s="24"/>
      <c r="H648" s="24"/>
      <c r="I648" s="26"/>
      <c r="J648" s="24"/>
      <c r="K648" s="26"/>
      <c r="L648" s="24"/>
      <c r="M648" s="24"/>
      <c r="N648" s="26"/>
      <c r="O648" s="26"/>
      <c r="P648" s="26"/>
      <c r="Q648" s="26"/>
      <c r="R648" s="26"/>
      <c r="S648" s="26"/>
      <c r="T648" s="26"/>
      <c r="U648" s="26"/>
      <c r="V648" s="26"/>
      <c r="W648" s="26">
        <f>MAX($C$7-VLOOKUP($C648,COS!$B$8:$H$991,3,FALSE),0)</f>
        <v>92619.11181640625</v>
      </c>
      <c r="X648" s="26">
        <f t="shared" si="972"/>
        <v>5694.9272059013438</v>
      </c>
      <c r="Y648" s="26">
        <f>VLOOKUP($C648,COS!$B$8:$H$991,4,FALSE)</f>
        <v>2159.716552734375</v>
      </c>
      <c r="Z648" s="26">
        <f t="shared" si="973"/>
        <v>132.79579464746902</v>
      </c>
      <c r="AA648" s="26">
        <f t="shared" ref="AA648:AA652" si="1042">MIN(W648,Y648)</f>
        <v>2159.716552734375</v>
      </c>
      <c r="AB648" s="33">
        <f t="shared" ref="AB648" si="1043">AA648*DAY($C648)*86400/43560/1000*IF(MONTH($C648)=8,$P$3,IF(MONTH($C648)=9,$P$4,IF(MONTH($C648)=10,$P$5,IF(MONTH($C648)=11,$P$6,IF(MONTH($C648)=12,$P$7,NA())))))</f>
        <v>132.79579464746902</v>
      </c>
    </row>
    <row r="649" spans="1:28" x14ac:dyDescent="0.3">
      <c r="A649" s="32">
        <f>VLOOKUP(YEAR(C649),Flags!$A$13:$B$95,2,FALSE)</f>
        <v>5</v>
      </c>
      <c r="B649" s="24">
        <f t="shared" si="951"/>
        <v>1992</v>
      </c>
      <c r="C649" s="25">
        <v>33877</v>
      </c>
      <c r="D649" s="26"/>
      <c r="E649" s="24"/>
      <c r="F649" s="26"/>
      <c r="G649" s="24"/>
      <c r="H649" s="24"/>
      <c r="I649" s="26"/>
      <c r="J649" s="24"/>
      <c r="K649" s="26">
        <f>VLOOKUP($C649,COS!$B$8:$H$991,2,FALSE)</f>
        <v>1352.76123046875</v>
      </c>
      <c r="L649" s="24">
        <f t="shared" ref="L649" si="1044">IF(AND(K649&gt;$I$7,K649&lt;$I$8),1,0)</f>
        <v>1</v>
      </c>
      <c r="M649" s="24"/>
      <c r="N649" s="26"/>
      <c r="O649" s="26"/>
      <c r="P649" s="26"/>
      <c r="Q649" s="26"/>
      <c r="R649" s="26"/>
      <c r="S649" s="26"/>
      <c r="T649" s="26"/>
      <c r="U649" s="26"/>
      <c r="V649" s="26"/>
      <c r="W649" s="26">
        <f>MAX($C$8-VLOOKUP($C649,COS!$B$8:$H$991,3,FALSE),0)</f>
        <v>95768.34130859375</v>
      </c>
      <c r="X649" s="26">
        <f t="shared" si="972"/>
        <v>5698.6120448088841</v>
      </c>
      <c r="Y649" s="26">
        <f>VLOOKUP($C649,COS!$B$8:$H$991,4,FALSE)</f>
        <v>1930.2186279296875</v>
      </c>
      <c r="Z649" s="26">
        <f t="shared" si="973"/>
        <v>114.85598447184918</v>
      </c>
      <c r="AA649" s="26">
        <f t="shared" si="1042"/>
        <v>1930.2186279296875</v>
      </c>
      <c r="AB649" s="33">
        <f t="shared" si="956"/>
        <v>114.85598447184918</v>
      </c>
    </row>
    <row r="650" spans="1:28" x14ac:dyDescent="0.3">
      <c r="A650" s="32">
        <f>VLOOKUP(YEAR(C650),Flags!$A$13:$B$95,2,FALSE)</f>
        <v>5</v>
      </c>
      <c r="B650" s="24">
        <f t="shared" si="951"/>
        <v>1992</v>
      </c>
      <c r="C650" s="25">
        <v>33908</v>
      </c>
      <c r="D650" s="26"/>
      <c r="E650" s="24"/>
      <c r="F650" s="26"/>
      <c r="G650" s="26"/>
      <c r="H650" s="26"/>
      <c r="I650" s="26"/>
      <c r="J650" s="26"/>
      <c r="K650" s="26"/>
      <c r="L650" s="24"/>
      <c r="M650" s="24"/>
      <c r="N650" s="26"/>
      <c r="O650" s="26"/>
      <c r="P650" s="26"/>
      <c r="Q650" s="26"/>
      <c r="R650" s="26"/>
      <c r="S650" s="26"/>
      <c r="T650" s="26"/>
      <c r="U650" s="26"/>
      <c r="V650" s="26"/>
      <c r="W650" s="26">
        <f>MAX($C$9-VLOOKUP($C650,COS!$B$8:$H$991,3,FALSE),0)</f>
        <v>94532.16748046875</v>
      </c>
      <c r="X650" s="26">
        <f t="shared" si="972"/>
        <v>5812.5564136751036</v>
      </c>
      <c r="Y650" s="26">
        <f>VLOOKUP($C650,COS!$B$8:$H$991,4,FALSE)</f>
        <v>1311.4129638671875</v>
      </c>
      <c r="Z650" s="26">
        <f t="shared" si="973"/>
        <v>80.635640092329538</v>
      </c>
      <c r="AA650" s="26">
        <f t="shared" si="1042"/>
        <v>1311.4129638671875</v>
      </c>
      <c r="AB650" s="33">
        <f t="shared" si="956"/>
        <v>80.635640092329538</v>
      </c>
    </row>
    <row r="651" spans="1:28" x14ac:dyDescent="0.3">
      <c r="A651" s="32">
        <f>VLOOKUP(YEAR(C651),Flags!$A$13:$B$95,2,FALSE)</f>
        <v>5</v>
      </c>
      <c r="B651" s="24">
        <f t="shared" si="951"/>
        <v>1992</v>
      </c>
      <c r="C651" s="25">
        <v>33938</v>
      </c>
      <c r="D651" s="26"/>
      <c r="E651" s="24"/>
      <c r="F651" s="26"/>
      <c r="G651" s="26"/>
      <c r="H651" s="26"/>
      <c r="I651" s="26"/>
      <c r="J651" s="26"/>
      <c r="K651" s="26"/>
      <c r="L651" s="24"/>
      <c r="M651" s="24"/>
      <c r="N651" s="26"/>
      <c r="O651" s="26"/>
      <c r="P651" s="26"/>
      <c r="Q651" s="26"/>
      <c r="R651" s="26"/>
      <c r="S651" s="26"/>
      <c r="T651" s="26"/>
      <c r="U651" s="26"/>
      <c r="V651" s="26"/>
      <c r="W651" s="26">
        <f>MAX($C$10-VLOOKUP($C651,COS!$B$8:$H$991,3,FALSE),0)</f>
        <v>95167.818359375</v>
      </c>
      <c r="X651" s="26">
        <f t="shared" si="972"/>
        <v>5662.8784478305779</v>
      </c>
      <c r="Y651" s="26">
        <f>VLOOKUP($C651,COS!$B$8:$H$991,4,FALSE)</f>
        <v>1543.501953125</v>
      </c>
      <c r="Z651" s="26">
        <f t="shared" si="973"/>
        <v>91.844744318181824</v>
      </c>
      <c r="AA651" s="26">
        <f t="shared" si="1042"/>
        <v>1543.501953125</v>
      </c>
      <c r="AB651" s="33">
        <f t="shared" si="956"/>
        <v>45.922372159090912</v>
      </c>
    </row>
    <row r="652" spans="1:28" x14ac:dyDescent="0.3">
      <c r="A652" s="34">
        <f>VLOOKUP(YEAR(C652),Flags!$A$13:$B$95,2,FALSE)</f>
        <v>5</v>
      </c>
      <c r="B652" s="35">
        <f t="shared" si="951"/>
        <v>1992</v>
      </c>
      <c r="C652" s="36">
        <v>33969</v>
      </c>
      <c r="D652" s="37"/>
      <c r="E652" s="35"/>
      <c r="F652" s="37"/>
      <c r="G652" s="37"/>
      <c r="H652" s="37"/>
      <c r="I652" s="37"/>
      <c r="J652" s="37"/>
      <c r="K652" s="37"/>
      <c r="L652" s="35"/>
      <c r="M652" s="35"/>
      <c r="N652" s="37"/>
      <c r="O652" s="37"/>
      <c r="P652" s="37"/>
      <c r="Q652" s="37"/>
      <c r="R652" s="37"/>
      <c r="S652" s="37"/>
      <c r="T652" s="37"/>
      <c r="U652" s="37"/>
      <c r="V652" s="37"/>
      <c r="W652" s="37">
        <f>MAX($C$11-VLOOKUP($C652,COS!$B$8:$H$991,3,FALSE),0)</f>
        <v>0</v>
      </c>
      <c r="X652" s="37">
        <f t="shared" si="972"/>
        <v>0</v>
      </c>
      <c r="Y652" s="37">
        <f>VLOOKUP($C652,COS!$B$8:$H$991,4,FALSE)</f>
        <v>1778.0540771484375</v>
      </c>
      <c r="Z652" s="37">
        <f t="shared" si="973"/>
        <v>109.32828375193698</v>
      </c>
      <c r="AA652" s="37">
        <f t="shared" si="1042"/>
        <v>0</v>
      </c>
      <c r="AB652" s="38">
        <f t="shared" si="956"/>
        <v>0</v>
      </c>
    </row>
    <row r="653" spans="1:28" x14ac:dyDescent="0.3">
      <c r="A653" s="27">
        <f>VLOOKUP(YEAR(C653),Flags!$A$13:$B$95,2,FALSE)</f>
        <v>2</v>
      </c>
      <c r="B653" s="28">
        <f t="shared" si="951"/>
        <v>1993</v>
      </c>
      <c r="C653" s="29">
        <v>34089</v>
      </c>
      <c r="D653" s="30">
        <f>VLOOKUP($C653,COS!$B$8:$H$991,3,FALSE)</f>
        <v>4509.7060546875</v>
      </c>
      <c r="E653" s="28">
        <f>IF(D653&gt;=IF(MONTH($C653)=4,$C$3,IF(MONTH($C653)=5,$C$4,IF(MONTH($C653)=6,$C$5,IF(MONTH($C653)=7,$C$6,"ERROR")))),1,0)</f>
        <v>0</v>
      </c>
      <c r="F653" s="30">
        <f>VLOOKUP($C653,COS!$B$8:$H$991,7,FALSE)</f>
        <v>48.90673828125</v>
      </c>
      <c r="G653" s="28">
        <f>IF(F653&lt;=IF(MONTH($C653)=4,$F$3,IF(MONTH($C653)=5,$F$4,IF(MONTH($C653)=6,$F$5,IF(MONTH($C653)=7,$F$6,"ERROR")))),1,0)</f>
        <v>1</v>
      </c>
      <c r="H653" s="30">
        <f>IF(J653=1,D653-$C$3,0)</f>
        <v>0</v>
      </c>
      <c r="I653" s="30">
        <f t="shared" si="982"/>
        <v>0</v>
      </c>
      <c r="J653" s="28">
        <f t="shared" ref="J653:J656" si="1045">IF(AND(E653=1,G653=1),1,0)</f>
        <v>0</v>
      </c>
      <c r="K653" s="30">
        <f>VLOOKUP($C653,COS!$B$8:$H$991,2,FALSE)</f>
        <v>4552</v>
      </c>
      <c r="L653" s="28">
        <f t="shared" ref="L653:L710" si="1046">IF(K653&lt;=IF(MONTH($C653)=4,$I$3,IF(MONTH($C653)=5,$I$4,IF(MONTH($C653)=6,$I$5,IF(MONTH($C653)=7,$I$6,"ERROR")))),1,0)</f>
        <v>1</v>
      </c>
      <c r="M653" s="28">
        <f t="shared" ref="M653:M710" si="1047">VLOOKUP($A653,$L$3:$M$7,2,FALSE)</f>
        <v>0</v>
      </c>
      <c r="N653" s="30">
        <f>VLOOKUP($C653,COS!$B$8:$H$991,5,FALSE)</f>
        <v>455.07608032226563</v>
      </c>
      <c r="O653" s="30">
        <f t="shared" ref="O653:O656" si="1048">N653*DAY($C653)*86400/43560/1000</f>
        <v>27.078907258845557</v>
      </c>
      <c r="P653" s="30">
        <f>VLOOKUP($C653,COS!$B$8:$H$991,6,FALSE)</f>
        <v>445.36074829101563</v>
      </c>
      <c r="Q653" s="30">
        <f t="shared" ref="Q653:Q656" si="1049">P653*DAY($C653)*86400/43560/1000</f>
        <v>26.500804856986054</v>
      </c>
      <c r="R653" s="30">
        <f>MIN(IF(MONTH($C653)=4,$S$3,IF(MONTH($C653)=5,$S$4,IF(MONTH($C653)=6,$S$5,IF(MONTH($C653)=7,$S$6,"ERROR")))),MAX(VLOOKUP($C653,COS!$B$8:$K$991,10,FALSE)-IF(MONTH($C653)=4,$Y$3,IF(MONTH($C653)=5,$Y$4,IF(MONTH($C653)=6,$Y$5,IF(MONTH($C653)=7,$Y$6,"ERROR")))),0),MAX(VLOOKUP($C653,COS!$B$8:$K$991,9,FALSE)-IF(MONTH($C653)=4,$V$3,IF(MONTH($C653)=5,$V$4,IF(MONTH($C653)=6,$V$5,IF(MONTH($C653)=7,$V$6,"ERROR"))))-VLOOKUP($C653,COS!$B$8:$K$991,6,FALSE)/2,0))</f>
        <v>1500</v>
      </c>
      <c r="S653" s="30">
        <f t="shared" ref="S653:S656" si="1050">R653*DAY($C653)*86400/43560/1000</f>
        <v>89.256198347107429</v>
      </c>
      <c r="T653" s="30">
        <f t="shared" ref="T653:T656" si="1051">(O653+Q653)/2+S653</f>
        <v>116.04605440502323</v>
      </c>
      <c r="U653" s="30" t="str">
        <f>IF(VLOOKUP($C653,COS!$B$8:$I$991,8,FALSE)=1,"UWFE","IBU")</f>
        <v>UWFE</v>
      </c>
      <c r="V653" s="30">
        <f t="shared" ref="V653" si="1052">MIN(IF(IF($AA$3=2,AND(E653=1,G653=1,L653=1,L658=1,M653=1,U653="IBU"),AND(E653=1,G653=1,L653=1,L658=1,M653=1)),T653,0),I653)</f>
        <v>0</v>
      </c>
      <c r="W653" s="30"/>
      <c r="X653" s="30"/>
      <c r="Y653" s="30"/>
      <c r="Z653" s="30"/>
      <c r="AA653" s="30"/>
      <c r="AB653" s="31"/>
    </row>
    <row r="654" spans="1:28" x14ac:dyDescent="0.3">
      <c r="A654" s="32">
        <f>VLOOKUP(YEAR(C654),Flags!$A$13:$B$95,2,FALSE)</f>
        <v>2</v>
      </c>
      <c r="B654" s="24">
        <f t="shared" si="951"/>
        <v>1993</v>
      </c>
      <c r="C654" s="25">
        <v>34120</v>
      </c>
      <c r="D654" s="26">
        <f>VLOOKUP($C654,COS!$B$8:$H$991,3,FALSE)</f>
        <v>9188.9970703125</v>
      </c>
      <c r="E654" s="24">
        <f>IF(D654&gt;=IF(MONTH($C654)=4,$C$3,IF(MONTH($C654)=5,$C$4,IF(MONTH($C654)=6,$C$5,IF(MONTH($C654)=7,$C$6,"ERROR")))),1,0)</f>
        <v>1</v>
      </c>
      <c r="F654" s="26">
        <f>VLOOKUP($C654,COS!$B$8:$H$991,7,FALSE)</f>
        <v>49.416866302490234</v>
      </c>
      <c r="G654" s="24">
        <f>IF(F654&lt;=IF(MONTH($C654)=4,$F$3,IF(MONTH($C654)=5,$F$4,IF(MONTH($C654)=6,$F$5,IF(MONTH($C654)=7,$F$6,"ERROR")))),1,0)</f>
        <v>1</v>
      </c>
      <c r="H654" s="26">
        <f>IF(J654=1,D654-$C$4,0)</f>
        <v>3188.9970703125</v>
      </c>
      <c r="I654" s="26">
        <f t="shared" si="982"/>
        <v>196.08378680268595</v>
      </c>
      <c r="J654" s="24">
        <f t="shared" si="1045"/>
        <v>1</v>
      </c>
      <c r="K654" s="26">
        <f>VLOOKUP($C654,COS!$B$8:$H$991,2,FALSE)</f>
        <v>4552</v>
      </c>
      <c r="L654" s="24">
        <f t="shared" si="1046"/>
        <v>1</v>
      </c>
      <c r="M654" s="24">
        <f t="shared" si="1047"/>
        <v>0</v>
      </c>
      <c r="N654" s="26">
        <f>VLOOKUP($C654,COS!$B$8:$H$991,5,FALSE)</f>
        <v>533.46905517578125</v>
      </c>
      <c r="O654" s="26">
        <f t="shared" si="1048"/>
        <v>32.801733640560435</v>
      </c>
      <c r="P654" s="26">
        <f>VLOOKUP($C654,COS!$B$8:$H$991,6,FALSE)</f>
        <v>1840.1044921875</v>
      </c>
      <c r="Q654" s="26">
        <f t="shared" si="1049"/>
        <v>113.14361505681818</v>
      </c>
      <c r="R654" s="26">
        <f>MIN(IF(MONTH($C654)=4,$S$3,IF(MONTH($C654)=5,$S$4,IF(MONTH($C654)=6,$S$5,IF(MONTH($C654)=7,$S$6,"ERROR")))),MAX(VLOOKUP($C654,COS!$B$8:$K$991,10,FALSE)-IF(MONTH($C654)=4,$Y$3,IF(MONTH($C654)=5,$Y$4,IF(MONTH($C654)=6,$Y$5,IF(MONTH($C654)=7,$Y$6,"ERROR")))),0),MAX(VLOOKUP($C654,COS!$B$8:$K$991,9,FALSE)-IF(MONTH($C654)=4,$V$3,IF(MONTH($C654)=5,$V$4,IF(MONTH($C654)=6,$V$5,IF(MONTH($C654)=7,$V$6,"ERROR"))))-VLOOKUP($C654,COS!$B$8:$K$991,6,FALSE)/2,0))</f>
        <v>1500</v>
      </c>
      <c r="S654" s="26">
        <f t="shared" si="1050"/>
        <v>92.231404958677686</v>
      </c>
      <c r="T654" s="26">
        <f t="shared" si="1051"/>
        <v>165.20407930736701</v>
      </c>
      <c r="U654" s="26" t="str">
        <f>IF(VLOOKUP($C654,COS!$B$8:$I$991,8,FALSE)=1,"UWFE","IBU")</f>
        <v>UWFE</v>
      </c>
      <c r="V654" s="26">
        <f t="shared" ref="V654" si="1053">MIN(IF(IF($AA$3=2,AND(E654=1,G654=1,L654=1,L658=1,M654=1,U654="IBU"),AND(E654=1,G654=1,L654=1,L658=1,M654=1)),T654,0),I654)</f>
        <v>0</v>
      </c>
      <c r="W654" s="26"/>
      <c r="X654" s="26"/>
      <c r="Y654" s="26"/>
      <c r="Z654" s="26"/>
      <c r="AA654" s="26"/>
      <c r="AB654" s="33"/>
    </row>
    <row r="655" spans="1:28" x14ac:dyDescent="0.3">
      <c r="A655" s="32">
        <f>VLOOKUP(YEAR(C655),Flags!$A$13:$B$95,2,FALSE)</f>
        <v>2</v>
      </c>
      <c r="B655" s="24">
        <f t="shared" ref="B655:B718" si="1054">YEAR(C655)</f>
        <v>1993</v>
      </c>
      <c r="C655" s="25">
        <v>34150</v>
      </c>
      <c r="D655" s="26">
        <f>VLOOKUP($C655,COS!$B$8:$H$991,3,FALSE)</f>
        <v>8366.6103515625</v>
      </c>
      <c r="E655" s="24">
        <f>IF(D655&gt;=IF(MONTH($C655)=4,$C$3,IF(MONTH($C655)=5,$C$4,IF(MONTH($C655)=6,$C$5,IF(MONTH($C655)=7,$C$6,"ERROR")))),1,0)</f>
        <v>0</v>
      </c>
      <c r="F655" s="26">
        <f>VLOOKUP($C655,COS!$B$8:$H$991,7,FALSE)</f>
        <v>51.333587646484375</v>
      </c>
      <c r="G655" s="24">
        <f>IF(F655&lt;=IF(MONTH($C655)=4,$F$3,IF(MONTH($C655)=5,$F$4,IF(MONTH($C655)=6,$F$5,IF(MONTH($C655)=7,$F$6,"ERROR")))),1,0)</f>
        <v>1</v>
      </c>
      <c r="H655" s="26">
        <f>IF(J655=1,D655-$C$5,0)</f>
        <v>0</v>
      </c>
      <c r="I655" s="26">
        <f t="shared" si="982"/>
        <v>0</v>
      </c>
      <c r="J655" s="24">
        <f t="shared" si="1045"/>
        <v>0</v>
      </c>
      <c r="K655" s="26">
        <f>VLOOKUP($C655,COS!$B$8:$H$991,2,FALSE)</f>
        <v>4500</v>
      </c>
      <c r="L655" s="24">
        <f t="shared" si="1046"/>
        <v>1</v>
      </c>
      <c r="M655" s="24">
        <f t="shared" si="1047"/>
        <v>0</v>
      </c>
      <c r="N655" s="26">
        <f>VLOOKUP($C655,COS!$B$8:$H$991,5,FALSE)</f>
        <v>1014.9423828125</v>
      </c>
      <c r="O655" s="26">
        <f t="shared" si="1048"/>
        <v>60.39326575413223</v>
      </c>
      <c r="P655" s="26">
        <f>VLOOKUP($C655,COS!$B$8:$H$991,6,FALSE)</f>
        <v>2171.25048828125</v>
      </c>
      <c r="Q655" s="26">
        <f t="shared" si="1049"/>
        <v>129.19837616219007</v>
      </c>
      <c r="R655" s="26">
        <f>MIN(IF(MONTH($C655)=4,$S$3,IF(MONTH($C655)=5,$S$4,IF(MONTH($C655)=6,$S$5,IF(MONTH($C655)=7,$S$6,"ERROR")))),MAX(VLOOKUP($C655,COS!$B$8:$K$991,10,FALSE)-IF(MONTH($C655)=4,$Y$3,IF(MONTH($C655)=5,$Y$4,IF(MONTH($C655)=6,$Y$5,IF(MONTH($C655)=7,$Y$6,"ERROR")))),0),MAX(VLOOKUP($C655,COS!$B$8:$K$991,9,FALSE)-IF(MONTH($C655)=4,$V$3,IF(MONTH($C655)=5,$V$4,IF(MONTH($C655)=6,$V$5,IF(MONTH($C655)=7,$V$6,"ERROR"))))-VLOOKUP($C655,COS!$B$8:$K$991,6,FALSE)/2,0))</f>
        <v>1500</v>
      </c>
      <c r="S655" s="26">
        <f t="shared" si="1050"/>
        <v>89.256198347107429</v>
      </c>
      <c r="T655" s="26">
        <f t="shared" si="1051"/>
        <v>184.05201930526857</v>
      </c>
      <c r="U655" s="26" t="str">
        <f>IF(VLOOKUP($C655,COS!$B$8:$I$991,8,FALSE)=1,"UWFE","IBU")</f>
        <v>UWFE</v>
      </c>
      <c r="V655" s="26">
        <f t="shared" ref="V655" si="1055">MIN(IF(IF($AA$3=2,AND(E655=1,G655=1,L655=1,L658=1,M655=1,U655="IBU"),AND(E655=1,G655=1,L655=1,L658=1,M655=1)),T655,0),I655)</f>
        <v>0</v>
      </c>
      <c r="W655" s="26"/>
      <c r="X655" s="26"/>
      <c r="Y655" s="26"/>
      <c r="Z655" s="26"/>
      <c r="AA655" s="26"/>
      <c r="AB655" s="33"/>
    </row>
    <row r="656" spans="1:28" x14ac:dyDescent="0.3">
      <c r="A656" s="32">
        <f>VLOOKUP(YEAR(C656),Flags!$A$13:$B$95,2,FALSE)</f>
        <v>2</v>
      </c>
      <c r="B656" s="24">
        <f t="shared" si="1054"/>
        <v>1993</v>
      </c>
      <c r="C656" s="25">
        <v>34181</v>
      </c>
      <c r="D656" s="26">
        <f>VLOOKUP($C656,COS!$B$8:$H$991,3,FALSE)</f>
        <v>14804.357421875</v>
      </c>
      <c r="E656" s="24">
        <f>IF(D656&gt;=IF(MONTH($C656)=4,$C$3,IF(MONTH($C656)=5,$C$4,IF(MONTH($C656)=6,$C$5,IF(MONTH($C656)=7,$C$6,"ERROR")))),1,0)</f>
        <v>1</v>
      </c>
      <c r="F656" s="26">
        <f>VLOOKUP($C656,COS!$B$8:$H$991,7,FALSE)</f>
        <v>51.517642974853516</v>
      </c>
      <c r="G656" s="24">
        <f>IF(F656&lt;=IF(MONTH($C656)=4,$F$3,IF(MONTH($C656)=5,$F$4,IF(MONTH($C656)=6,$F$5,IF(MONTH($C656)=7,$F$6,"ERROR")))),1,0)</f>
        <v>1</v>
      </c>
      <c r="H656" s="26">
        <f>IF(J656=1,D656-$C$6,0)</f>
        <v>2804.357421875</v>
      </c>
      <c r="I656" s="26">
        <f t="shared" si="982"/>
        <v>172.4332166838843</v>
      </c>
      <c r="J656" s="24">
        <f t="shared" si="1045"/>
        <v>1</v>
      </c>
      <c r="K656" s="26">
        <f>VLOOKUP($C656,COS!$B$8:$H$991,2,FALSE)</f>
        <v>3787.8994140625</v>
      </c>
      <c r="L656" s="24">
        <f t="shared" si="1046"/>
        <v>1</v>
      </c>
      <c r="M656" s="24">
        <f t="shared" si="1047"/>
        <v>0</v>
      </c>
      <c r="N656" s="26">
        <f>VLOOKUP($C656,COS!$B$8:$H$991,5,FALSE)</f>
        <v>1376.93798828125</v>
      </c>
      <c r="O656" s="26">
        <f t="shared" si="1048"/>
        <v>84.664616800103303</v>
      </c>
      <c r="P656" s="26">
        <f>VLOOKUP($C656,COS!$B$8:$H$991,6,FALSE)</f>
        <v>2562.892822265625</v>
      </c>
      <c r="Q656" s="26">
        <f t="shared" si="1049"/>
        <v>157.58613717071282</v>
      </c>
      <c r="R656" s="26">
        <f>MIN(IF(MONTH($C656)=4,$S$3,IF(MONTH($C656)=5,$S$4,IF(MONTH($C656)=6,$S$5,IF(MONTH($C656)=7,$S$6,"ERROR")))),MAX(VLOOKUP($C656,COS!$B$8:$K$991,10,FALSE)-IF(MONTH($C656)=4,$Y$3,IF(MONTH($C656)=5,$Y$4,IF(MONTH($C656)=6,$Y$5,IF(MONTH($C656)=7,$Y$6,"ERROR")))),0),MAX(VLOOKUP($C656,COS!$B$8:$K$991,9,FALSE)-IF(MONTH($C656)=4,$V$3,IF(MONTH($C656)=5,$V$4,IF(MONTH($C656)=6,$V$5,IF(MONTH($C656)=7,$V$6,"ERROR"))))-VLOOKUP($C656,COS!$B$8:$K$991,6,FALSE)/2,0))</f>
        <v>1500</v>
      </c>
      <c r="S656" s="26">
        <f t="shared" si="1050"/>
        <v>92.231404958677686</v>
      </c>
      <c r="T656" s="26">
        <f t="shared" si="1051"/>
        <v>213.35678194408575</v>
      </c>
      <c r="U656" s="26" t="str">
        <f>IF(VLOOKUP($C656,COS!$B$8:$I$991,8,FALSE)=1,"UWFE","IBU")</f>
        <v>IBU</v>
      </c>
      <c r="V656" s="26">
        <f t="shared" ref="V656" si="1056">MIN(IF(IF($AA$3=2,AND(E656=1,G656=1,L656=1,L658=1,M656=1,U656="IBU"),AND(E656=1,G656=1,L656=1,L658=1,M656=1)),T656,0),I656)</f>
        <v>0</v>
      </c>
      <c r="W656" s="26"/>
      <c r="X656" s="26"/>
      <c r="Y656" s="26"/>
      <c r="Z656" s="26"/>
      <c r="AA656" s="26"/>
      <c r="AB656" s="33"/>
    </row>
    <row r="657" spans="1:28" x14ac:dyDescent="0.3">
      <c r="A657" s="32">
        <f>VLOOKUP(YEAR(C657),Flags!$A$13:$B$95,2,FALSE)</f>
        <v>2</v>
      </c>
      <c r="B657" s="24">
        <f t="shared" si="1054"/>
        <v>1993</v>
      </c>
      <c r="C657" s="25">
        <v>34212</v>
      </c>
      <c r="D657" s="26"/>
      <c r="E657" s="24"/>
      <c r="F657" s="26"/>
      <c r="G657" s="24"/>
      <c r="H657" s="24"/>
      <c r="I657" s="26"/>
      <c r="J657" s="24"/>
      <c r="K657" s="26"/>
      <c r="L657" s="24"/>
      <c r="M657" s="24"/>
      <c r="N657" s="26"/>
      <c r="O657" s="26"/>
      <c r="P657" s="26"/>
      <c r="Q657" s="26"/>
      <c r="R657" s="26"/>
      <c r="S657" s="26"/>
      <c r="T657" s="26"/>
      <c r="U657" s="26"/>
      <c r="V657" s="26"/>
      <c r="W657" s="26">
        <f>MAX($C$7-VLOOKUP($C657,COS!$B$8:$H$991,3,FALSE),0)</f>
        <v>90622.63671875</v>
      </c>
      <c r="X657" s="26">
        <f t="shared" si="972"/>
        <v>5572.1687370867767</v>
      </c>
      <c r="Y657" s="26">
        <f>VLOOKUP($C657,COS!$B$8:$H$991,4,FALSE)</f>
        <v>168.43087768554688</v>
      </c>
      <c r="Z657" s="26">
        <f t="shared" si="973"/>
        <v>10.356410991574121</v>
      </c>
      <c r="AA657" s="26">
        <f t="shared" ref="AA657:AA661" si="1057">MIN(W657,Y657)</f>
        <v>168.43087768554688</v>
      </c>
      <c r="AB657" s="33">
        <f t="shared" ref="AB657:AB715" si="1058">AA657*DAY($C657)*86400/43560/1000*IF(MONTH($C657)=8,$P$3,IF(MONTH($C657)=9,$P$4,IF(MONTH($C657)=10,$P$5,IF(MONTH($C657)=11,$P$6,IF(MONTH($C657)=12,$P$7,NA())))))</f>
        <v>10.356410991574121</v>
      </c>
    </row>
    <row r="658" spans="1:28" x14ac:dyDescent="0.3">
      <c r="A658" s="32">
        <f>VLOOKUP(YEAR(C658),Flags!$A$13:$B$95,2,FALSE)</f>
        <v>2</v>
      </c>
      <c r="B658" s="24">
        <f t="shared" si="1054"/>
        <v>1993</v>
      </c>
      <c r="C658" s="25">
        <v>34242</v>
      </c>
      <c r="D658" s="26"/>
      <c r="E658" s="24"/>
      <c r="F658" s="26"/>
      <c r="G658" s="24"/>
      <c r="H658" s="24"/>
      <c r="I658" s="26"/>
      <c r="J658" s="24"/>
      <c r="K658" s="26">
        <f>VLOOKUP($C658,COS!$B$8:$H$991,2,FALSE)</f>
        <v>3136.02685546875</v>
      </c>
      <c r="L658" s="24">
        <f t="shared" ref="L658" si="1059">IF(AND(K658&gt;$I$7,K658&lt;$I$8),1,0)</f>
        <v>1</v>
      </c>
      <c r="M658" s="24"/>
      <c r="N658" s="26"/>
      <c r="O658" s="26"/>
      <c r="P658" s="26"/>
      <c r="Q658" s="26"/>
      <c r="R658" s="26"/>
      <c r="S658" s="26"/>
      <c r="T658" s="26"/>
      <c r="U658" s="26"/>
      <c r="V658" s="26"/>
      <c r="W658" s="26">
        <f>MAX($C$8-VLOOKUP($C658,COS!$B$8:$H$991,3,FALSE),0)</f>
        <v>89617.8046875</v>
      </c>
      <c r="X658" s="26">
        <f t="shared" si="972"/>
        <v>5332.629700413223</v>
      </c>
      <c r="Y658" s="26">
        <f>VLOOKUP($C658,COS!$B$8:$H$991,4,FALSE)</f>
        <v>0</v>
      </c>
      <c r="Z658" s="26">
        <f t="shared" si="973"/>
        <v>0</v>
      </c>
      <c r="AA658" s="26">
        <f t="shared" si="1057"/>
        <v>0</v>
      </c>
      <c r="AB658" s="33">
        <f t="shared" si="1058"/>
        <v>0</v>
      </c>
    </row>
    <row r="659" spans="1:28" x14ac:dyDescent="0.3">
      <c r="A659" s="32">
        <f>VLOOKUP(YEAR(C659),Flags!$A$13:$B$95,2,FALSE)</f>
        <v>2</v>
      </c>
      <c r="B659" s="24">
        <f t="shared" si="1054"/>
        <v>1993</v>
      </c>
      <c r="C659" s="25">
        <v>34273</v>
      </c>
      <c r="D659" s="26"/>
      <c r="E659" s="24"/>
      <c r="F659" s="26"/>
      <c r="G659" s="26"/>
      <c r="H659" s="26"/>
      <c r="I659" s="26"/>
      <c r="J659" s="26"/>
      <c r="K659" s="26"/>
      <c r="L659" s="24"/>
      <c r="M659" s="24"/>
      <c r="N659" s="26"/>
      <c r="O659" s="26"/>
      <c r="P659" s="26"/>
      <c r="Q659" s="26"/>
      <c r="R659" s="26"/>
      <c r="S659" s="26"/>
      <c r="T659" s="26"/>
      <c r="U659" s="26"/>
      <c r="V659" s="26"/>
      <c r="W659" s="26">
        <f>MAX($C$9-VLOOKUP($C659,COS!$B$8:$H$991,3,FALSE),0)</f>
        <v>94269.517578125</v>
      </c>
      <c r="X659" s="26">
        <f t="shared" si="972"/>
        <v>5796.4067006714877</v>
      </c>
      <c r="Y659" s="26">
        <f>VLOOKUP($C659,COS!$B$8:$H$991,4,FALSE)</f>
        <v>766.87762451171875</v>
      </c>
      <c r="Z659" s="26">
        <f t="shared" si="973"/>
        <v>47.1534671600594</v>
      </c>
      <c r="AA659" s="26">
        <f t="shared" si="1057"/>
        <v>766.87762451171875</v>
      </c>
      <c r="AB659" s="33">
        <f t="shared" si="1058"/>
        <v>47.1534671600594</v>
      </c>
    </row>
    <row r="660" spans="1:28" x14ac:dyDescent="0.3">
      <c r="A660" s="32">
        <f>VLOOKUP(YEAR(C660),Flags!$A$13:$B$95,2,FALSE)</f>
        <v>2</v>
      </c>
      <c r="B660" s="24">
        <f t="shared" si="1054"/>
        <v>1993</v>
      </c>
      <c r="C660" s="25">
        <v>34303</v>
      </c>
      <c r="D660" s="26"/>
      <c r="E660" s="24"/>
      <c r="F660" s="26"/>
      <c r="G660" s="26"/>
      <c r="H660" s="26"/>
      <c r="I660" s="26"/>
      <c r="J660" s="26"/>
      <c r="K660" s="26"/>
      <c r="L660" s="24"/>
      <c r="M660" s="24"/>
      <c r="N660" s="26"/>
      <c r="O660" s="26"/>
      <c r="P660" s="26"/>
      <c r="Q660" s="26"/>
      <c r="R660" s="26"/>
      <c r="S660" s="26"/>
      <c r="T660" s="26"/>
      <c r="U660" s="26"/>
      <c r="V660" s="26"/>
      <c r="W660" s="26">
        <f>MAX($C$10-VLOOKUP($C660,COS!$B$8:$H$991,3,FALSE),0)</f>
        <v>89853.9892578125</v>
      </c>
      <c r="X660" s="26">
        <f t="shared" si="972"/>
        <v>5346.6836583161157</v>
      </c>
      <c r="Y660" s="26">
        <f>VLOOKUP($C660,COS!$B$8:$H$991,4,FALSE)</f>
        <v>1359.887451171875</v>
      </c>
      <c r="Z660" s="26">
        <f t="shared" si="973"/>
        <v>80.91892271435951</v>
      </c>
      <c r="AA660" s="26">
        <f t="shared" si="1057"/>
        <v>1359.887451171875</v>
      </c>
      <c r="AB660" s="33">
        <f t="shared" si="1058"/>
        <v>40.459461357179755</v>
      </c>
    </row>
    <row r="661" spans="1:28" x14ac:dyDescent="0.3">
      <c r="A661" s="34">
        <f>VLOOKUP(YEAR(C661),Flags!$A$13:$B$95,2,FALSE)</f>
        <v>2</v>
      </c>
      <c r="B661" s="35">
        <f t="shared" si="1054"/>
        <v>1993</v>
      </c>
      <c r="C661" s="36">
        <v>34334</v>
      </c>
      <c r="D661" s="37"/>
      <c r="E661" s="35"/>
      <c r="F661" s="37"/>
      <c r="G661" s="37"/>
      <c r="H661" s="37"/>
      <c r="I661" s="37"/>
      <c r="J661" s="37"/>
      <c r="K661" s="37"/>
      <c r="L661" s="35"/>
      <c r="M661" s="35"/>
      <c r="N661" s="37"/>
      <c r="O661" s="37"/>
      <c r="P661" s="37"/>
      <c r="Q661" s="37"/>
      <c r="R661" s="37"/>
      <c r="S661" s="37"/>
      <c r="T661" s="37"/>
      <c r="U661" s="37"/>
      <c r="V661" s="37"/>
      <c r="W661" s="37">
        <f>MAX($C$11-VLOOKUP($C661,COS!$B$8:$H$991,3,FALSE),0)</f>
        <v>0</v>
      </c>
      <c r="X661" s="37">
        <f t="shared" si="972"/>
        <v>0</v>
      </c>
      <c r="Y661" s="37">
        <f>VLOOKUP($C661,COS!$B$8:$H$991,4,FALSE)</f>
        <v>188.46723937988281</v>
      </c>
      <c r="Z661" s="37">
        <f t="shared" si="973"/>
        <v>11.588398851126678</v>
      </c>
      <c r="AA661" s="37">
        <f t="shared" si="1057"/>
        <v>0</v>
      </c>
      <c r="AB661" s="38">
        <f t="shared" si="1058"/>
        <v>0</v>
      </c>
    </row>
    <row r="662" spans="1:28" x14ac:dyDescent="0.3">
      <c r="A662" s="27">
        <f>VLOOKUP(YEAR(C662),Flags!$A$13:$B$95,2,FALSE)</f>
        <v>5</v>
      </c>
      <c r="B662" s="28">
        <f t="shared" si="1054"/>
        <v>1994</v>
      </c>
      <c r="C662" s="29">
        <v>34454</v>
      </c>
      <c r="D662" s="30">
        <f>VLOOKUP($C662,COS!$B$8:$H$991,3,FALSE)</f>
        <v>3250</v>
      </c>
      <c r="E662" s="28">
        <f>IF(D662&gt;=IF(MONTH($C662)=4,$C$3,IF(MONTH($C662)=5,$C$4,IF(MONTH($C662)=6,$C$5,IF(MONTH($C662)=7,$C$6,"ERROR")))),1,0)</f>
        <v>0</v>
      </c>
      <c r="F662" s="30">
        <f>VLOOKUP($C662,COS!$B$8:$H$991,7,FALSE)</f>
        <v>52.782566070556641</v>
      </c>
      <c r="G662" s="28">
        <f>IF(F662&lt;=IF(MONTH($C662)=4,$F$3,IF(MONTH($C662)=5,$F$4,IF(MONTH($C662)=6,$F$5,IF(MONTH($C662)=7,$F$6,"ERROR")))),1,0)</f>
        <v>1</v>
      </c>
      <c r="H662" s="30">
        <f>IF(J662=1,D662-$C$3,0)</f>
        <v>0</v>
      </c>
      <c r="I662" s="30">
        <f t="shared" si="982"/>
        <v>0</v>
      </c>
      <c r="J662" s="28">
        <f t="shared" ref="J662:J665" si="1060">IF(AND(E662=1,G662=1),1,0)</f>
        <v>0</v>
      </c>
      <c r="K662" s="30">
        <f>VLOOKUP($C662,COS!$B$8:$H$991,2,FALSE)</f>
        <v>3428.306884765625</v>
      </c>
      <c r="L662" s="28">
        <f t="shared" ref="L662" si="1061">IF(K662&lt;=IF(MONTH($C662)=4,$I$3,IF(MONTH($C662)=5,$I$4,IF(MONTH($C662)=6,$I$5,IF(MONTH($C662)=7,$I$6,"ERROR")))),1,0)</f>
        <v>1</v>
      </c>
      <c r="M662" s="28">
        <f t="shared" ref="M662" si="1062">VLOOKUP($A662,$L$3:$M$7,2,FALSE)</f>
        <v>1</v>
      </c>
      <c r="N662" s="30">
        <f>VLOOKUP($C662,COS!$B$8:$H$991,5,FALSE)</f>
        <v>498.4775390625</v>
      </c>
      <c r="O662" s="30">
        <f t="shared" ref="O662:O665" si="1063">N662*DAY($C662)*86400/43560/1000</f>
        <v>29.661473398760332</v>
      </c>
      <c r="P662" s="30">
        <f>VLOOKUP($C662,COS!$B$8:$H$991,6,FALSE)</f>
        <v>517.51263427734375</v>
      </c>
      <c r="Q662" s="30">
        <f t="shared" ref="Q662:Q665" si="1064">P662*DAY($C662)*86400/43560/1000</f>
        <v>30.794140221461777</v>
      </c>
      <c r="R662" s="30">
        <f>MIN(IF(MONTH($C662)=4,$S$3,IF(MONTH($C662)=5,$S$4,IF(MONTH($C662)=6,$S$5,IF(MONTH($C662)=7,$S$6,"ERROR")))),MAX(VLOOKUP($C662,COS!$B$8:$K$991,10,FALSE)-IF(MONTH($C662)=4,$Y$3,IF(MONTH($C662)=5,$Y$4,IF(MONTH($C662)=6,$Y$5,IF(MONTH($C662)=7,$Y$6,"ERROR")))),0),MAX(VLOOKUP($C662,COS!$B$8:$K$991,9,FALSE)-IF(MONTH($C662)=4,$V$3,IF(MONTH($C662)=5,$V$4,IF(MONTH($C662)=6,$V$5,IF(MONTH($C662)=7,$V$6,"ERROR"))))-VLOOKUP($C662,COS!$B$8:$K$991,6,FALSE)/2,0))</f>
        <v>84.6376953125</v>
      </c>
      <c r="S662" s="30">
        <f t="shared" ref="S662:S665" si="1065">R662*DAY($C662)*86400/43560/1000</f>
        <v>5.0362926136363644</v>
      </c>
      <c r="T662" s="30">
        <f t="shared" ref="T662:T665" si="1066">(O662+Q662)/2+S662</f>
        <v>35.264099423747417</v>
      </c>
      <c r="U662" s="30" t="str">
        <f>IF(VLOOKUP($C662,COS!$B$8:$I$991,8,FALSE)=1,"UWFE","IBU")</f>
        <v>UWFE</v>
      </c>
      <c r="V662" s="30">
        <f t="shared" ref="V662" si="1067">MIN(IF(IF($AA$3=2,AND(E662=1,G662=1,L662=1,L667=1,M662=1,U662="IBU"),AND(E662=1,G662=1,L662=1,L667=1,M662=1)),T662,0),I662)</f>
        <v>0</v>
      </c>
      <c r="W662" s="30"/>
      <c r="X662" s="30"/>
      <c r="Y662" s="30"/>
      <c r="Z662" s="30"/>
      <c r="AA662" s="30"/>
      <c r="AB662" s="31"/>
    </row>
    <row r="663" spans="1:28" x14ac:dyDescent="0.3">
      <c r="A663" s="32">
        <f>VLOOKUP(YEAR(C663),Flags!$A$13:$B$95,2,FALSE)</f>
        <v>5</v>
      </c>
      <c r="B663" s="24">
        <f t="shared" si="1054"/>
        <v>1994</v>
      </c>
      <c r="C663" s="25">
        <v>34485</v>
      </c>
      <c r="D663" s="26">
        <f>VLOOKUP($C663,COS!$B$8:$H$991,3,FALSE)</f>
        <v>5763.49560546875</v>
      </c>
      <c r="E663" s="24">
        <f>IF(D663&gt;=IF(MONTH($C663)=4,$C$3,IF(MONTH($C663)=5,$C$4,IF(MONTH($C663)=6,$C$5,IF(MONTH($C663)=7,$C$6,"ERROR")))),1,0)</f>
        <v>0</v>
      </c>
      <c r="F663" s="26">
        <f>VLOOKUP($C663,COS!$B$8:$H$991,7,FALSE)</f>
        <v>52.981971740722656</v>
      </c>
      <c r="G663" s="24">
        <f>IF(F663&lt;=IF(MONTH($C663)=4,$F$3,IF(MONTH($C663)=5,$F$4,IF(MONTH($C663)=6,$F$5,IF(MONTH($C663)=7,$F$6,"ERROR")))),1,0)</f>
        <v>1</v>
      </c>
      <c r="H663" s="26">
        <f>IF(J663=1,D663-$C$4,0)</f>
        <v>0</v>
      </c>
      <c r="I663" s="26">
        <f t="shared" si="982"/>
        <v>0</v>
      </c>
      <c r="J663" s="24">
        <f t="shared" si="1060"/>
        <v>0</v>
      </c>
      <c r="K663" s="26">
        <f>VLOOKUP($C663,COS!$B$8:$H$991,2,FALSE)</f>
        <v>3315.498291015625</v>
      </c>
      <c r="L663" s="24">
        <f t="shared" si="1046"/>
        <v>1</v>
      </c>
      <c r="M663" s="24">
        <f t="shared" si="1047"/>
        <v>1</v>
      </c>
      <c r="N663" s="26">
        <f>VLOOKUP($C663,COS!$B$8:$H$991,5,FALSE)</f>
        <v>494.24356079101563</v>
      </c>
      <c r="O663" s="26">
        <f t="shared" si="1063"/>
        <v>30.389852002356662</v>
      </c>
      <c r="P663" s="26">
        <f>VLOOKUP($C663,COS!$B$8:$H$991,6,FALSE)</f>
        <v>1839.63671875</v>
      </c>
      <c r="Q663" s="26">
        <f t="shared" si="1064"/>
        <v>113.1148527892562</v>
      </c>
      <c r="R663" s="26">
        <f>MIN(IF(MONTH($C663)=4,$S$3,IF(MONTH($C663)=5,$S$4,IF(MONTH($C663)=6,$S$5,IF(MONTH($C663)=7,$S$6,"ERROR")))),MAX(VLOOKUP($C663,COS!$B$8:$K$991,10,FALSE)-IF(MONTH($C663)=4,$Y$3,IF(MONTH($C663)=5,$Y$4,IF(MONTH($C663)=6,$Y$5,IF(MONTH($C663)=7,$Y$6,"ERROR")))),0),MAX(VLOOKUP($C663,COS!$B$8:$K$991,9,FALSE)-IF(MONTH($C663)=4,$V$3,IF(MONTH($C663)=5,$V$4,IF(MONTH($C663)=6,$V$5,IF(MONTH($C663)=7,$V$6,"ERROR"))))-VLOOKUP($C663,COS!$B$8:$K$991,6,FALSE)/2,0))</f>
        <v>1248.31787109375</v>
      </c>
      <c r="S663" s="26">
        <f t="shared" si="1065"/>
        <v>76.756074057334715</v>
      </c>
      <c r="T663" s="26">
        <f t="shared" si="1066"/>
        <v>148.50842645314117</v>
      </c>
      <c r="U663" s="26" t="str">
        <f>IF(VLOOKUP($C663,COS!$B$8:$I$991,8,FALSE)=1,"UWFE","IBU")</f>
        <v>UWFE</v>
      </c>
      <c r="V663" s="26">
        <f t="shared" ref="V663" si="1068">MIN(IF(IF($AA$3=2,AND(E663=1,G663=1,L663=1,L667=1,M663=1,U663="IBU"),AND(E663=1,G663=1,L663=1,L667=1,M663=1)),T663,0),I663)</f>
        <v>0</v>
      </c>
      <c r="W663" s="26"/>
      <c r="X663" s="26"/>
      <c r="Y663" s="26"/>
      <c r="Z663" s="26"/>
      <c r="AA663" s="26"/>
      <c r="AB663" s="33"/>
    </row>
    <row r="664" spans="1:28" x14ac:dyDescent="0.3">
      <c r="A664" s="32">
        <f>VLOOKUP(YEAR(C664),Flags!$A$13:$B$95,2,FALSE)</f>
        <v>5</v>
      </c>
      <c r="B664" s="24">
        <f t="shared" si="1054"/>
        <v>1994</v>
      </c>
      <c r="C664" s="25">
        <v>34515</v>
      </c>
      <c r="D664" s="26">
        <f>VLOOKUP($C664,COS!$B$8:$H$991,3,FALSE)</f>
        <v>10365.828125</v>
      </c>
      <c r="E664" s="24">
        <f>IF(D664&gt;=IF(MONTH($C664)=4,$C$3,IF(MONTH($C664)=5,$C$4,IF(MONTH($C664)=6,$C$5,IF(MONTH($C664)=7,$C$6,"ERROR")))),1,0)</f>
        <v>1</v>
      </c>
      <c r="F664" s="26">
        <f>VLOOKUP($C664,COS!$B$8:$H$991,7,FALSE)</f>
        <v>52.776744842529297</v>
      </c>
      <c r="G664" s="24">
        <f>IF(F664&lt;=IF(MONTH($C664)=4,$F$3,IF(MONTH($C664)=5,$F$4,IF(MONTH($C664)=6,$F$5,IF(MONTH($C664)=7,$F$6,"ERROR")))),1,0)</f>
        <v>1</v>
      </c>
      <c r="H664" s="26">
        <f>IF(J664=1,D664-$C$5,0)</f>
        <v>365.828125</v>
      </c>
      <c r="I664" s="26">
        <f t="shared" si="982"/>
        <v>21.768285123966944</v>
      </c>
      <c r="J664" s="24">
        <f t="shared" si="1060"/>
        <v>1</v>
      </c>
      <c r="K664" s="26">
        <f>VLOOKUP($C664,COS!$B$8:$H$991,2,FALSE)</f>
        <v>2912.7509765625</v>
      </c>
      <c r="L664" s="24">
        <f t="shared" si="1046"/>
        <v>1</v>
      </c>
      <c r="M664" s="24">
        <f t="shared" si="1047"/>
        <v>1</v>
      </c>
      <c r="N664" s="26">
        <f>VLOOKUP($C664,COS!$B$8:$H$991,5,FALSE)</f>
        <v>825.04803466796875</v>
      </c>
      <c r="O664" s="26">
        <f t="shared" si="1063"/>
        <v>49.093767352143594</v>
      </c>
      <c r="P664" s="26">
        <f>VLOOKUP($C664,COS!$B$8:$H$991,6,FALSE)</f>
        <v>2477.72265625</v>
      </c>
      <c r="Q664" s="26">
        <f t="shared" si="1064"/>
        <v>147.43473657024794</v>
      </c>
      <c r="R664" s="26">
        <f>MIN(IF(MONTH($C664)=4,$S$3,IF(MONTH($C664)=5,$S$4,IF(MONTH($C664)=6,$S$5,IF(MONTH($C664)=7,$S$6,"ERROR")))),MAX(VLOOKUP($C664,COS!$B$8:$K$991,10,FALSE)-IF(MONTH($C664)=4,$Y$3,IF(MONTH($C664)=5,$Y$4,IF(MONTH($C664)=6,$Y$5,IF(MONTH($C664)=7,$Y$6,"ERROR")))),0),MAX(VLOOKUP($C664,COS!$B$8:$K$991,9,FALSE)-IF(MONTH($C664)=4,$V$3,IF(MONTH($C664)=5,$V$4,IF(MONTH($C664)=6,$V$5,IF(MONTH($C664)=7,$V$6,"ERROR"))))-VLOOKUP($C664,COS!$B$8:$K$991,6,FALSE)/2,0))</f>
        <v>1500</v>
      </c>
      <c r="S664" s="26">
        <f t="shared" si="1065"/>
        <v>89.256198347107429</v>
      </c>
      <c r="T664" s="26">
        <f t="shared" si="1066"/>
        <v>187.5204503083032</v>
      </c>
      <c r="U664" s="26" t="str">
        <f>IF(VLOOKUP($C664,COS!$B$8:$I$991,8,FALSE)=1,"UWFE","IBU")</f>
        <v>IBU</v>
      </c>
      <c r="V664" s="26">
        <f t="shared" ref="V664" si="1069">MIN(IF(IF($AA$3=2,AND(E664=1,G664=1,L664=1,L667=1,M664=1,U664="IBU"),AND(E664=1,G664=1,L664=1,L667=1,M664=1)),T664,0),I664)</f>
        <v>21.768285123966944</v>
      </c>
      <c r="W664" s="26"/>
      <c r="X664" s="26"/>
      <c r="Y664" s="26"/>
      <c r="Z664" s="26"/>
      <c r="AA664" s="26"/>
      <c r="AB664" s="33"/>
    </row>
    <row r="665" spans="1:28" x14ac:dyDescent="0.3">
      <c r="A665" s="32">
        <f>VLOOKUP(YEAR(C665),Flags!$A$13:$B$95,2,FALSE)</f>
        <v>5</v>
      </c>
      <c r="B665" s="24">
        <f t="shared" si="1054"/>
        <v>1994</v>
      </c>
      <c r="C665" s="25">
        <v>34546</v>
      </c>
      <c r="D665" s="26">
        <f>VLOOKUP($C665,COS!$B$8:$H$991,3,FALSE)</f>
        <v>14755.16796875</v>
      </c>
      <c r="E665" s="24">
        <f>IF(D665&gt;=IF(MONTH($C665)=4,$C$3,IF(MONTH($C665)=5,$C$4,IF(MONTH($C665)=6,$C$5,IF(MONTH($C665)=7,$C$6,"ERROR")))),1,0)</f>
        <v>1</v>
      </c>
      <c r="F665" s="26">
        <f>VLOOKUP($C665,COS!$B$8:$H$991,7,FALSE)</f>
        <v>54.302021026611328</v>
      </c>
      <c r="G665" s="24">
        <f>IF(F665&lt;=IF(MONTH($C665)=4,$F$3,IF(MONTH($C665)=5,$F$4,IF(MONTH($C665)=6,$F$5,IF(MONTH($C665)=7,$F$6,"ERROR")))),1,0)</f>
        <v>0</v>
      </c>
      <c r="H665" s="26">
        <f>IF(J665=1,D665-$C$6,0)</f>
        <v>0</v>
      </c>
      <c r="I665" s="26">
        <f t="shared" si="982"/>
        <v>0</v>
      </c>
      <c r="J665" s="24">
        <f t="shared" si="1060"/>
        <v>0</v>
      </c>
      <c r="K665" s="26">
        <f>VLOOKUP($C665,COS!$B$8:$H$991,2,FALSE)</f>
        <v>2260.914306640625</v>
      </c>
      <c r="L665" s="24">
        <f t="shared" si="1046"/>
        <v>1</v>
      </c>
      <c r="M665" s="24">
        <f t="shared" si="1047"/>
        <v>1</v>
      </c>
      <c r="N665" s="26">
        <f>VLOOKUP($C665,COS!$B$8:$H$991,5,FALSE)</f>
        <v>905.84417724609375</v>
      </c>
      <c r="O665" s="26">
        <f t="shared" si="1063"/>
        <v>55.698187427363116</v>
      </c>
      <c r="P665" s="26">
        <f>VLOOKUP($C665,COS!$B$8:$H$991,6,FALSE)</f>
        <v>2281.4833984375</v>
      </c>
      <c r="Q665" s="26">
        <f t="shared" si="1064"/>
        <v>140.28294615185951</v>
      </c>
      <c r="R665" s="26">
        <f>MIN(IF(MONTH($C665)=4,$S$3,IF(MONTH($C665)=5,$S$4,IF(MONTH($C665)=6,$S$5,IF(MONTH($C665)=7,$S$6,"ERROR")))),MAX(VLOOKUP($C665,COS!$B$8:$K$991,10,FALSE)-IF(MONTH($C665)=4,$Y$3,IF(MONTH($C665)=5,$Y$4,IF(MONTH($C665)=6,$Y$5,IF(MONTH($C665)=7,$Y$6,"ERROR")))),0),MAX(VLOOKUP($C665,COS!$B$8:$K$991,9,FALSE)-IF(MONTH($C665)=4,$V$3,IF(MONTH($C665)=5,$V$4,IF(MONTH($C665)=6,$V$5,IF(MONTH($C665)=7,$V$6,"ERROR"))))-VLOOKUP($C665,COS!$B$8:$K$991,6,FALSE)/2,0))</f>
        <v>1500</v>
      </c>
      <c r="S665" s="26">
        <f t="shared" si="1065"/>
        <v>92.231404958677686</v>
      </c>
      <c r="T665" s="26">
        <f t="shared" si="1066"/>
        <v>190.22197174828898</v>
      </c>
      <c r="U665" s="26" t="str">
        <f>IF(VLOOKUP($C665,COS!$B$8:$I$991,8,FALSE)=1,"UWFE","IBU")</f>
        <v>IBU</v>
      </c>
      <c r="V665" s="26">
        <f t="shared" ref="V665" si="1070">MIN(IF(IF($AA$3=2,AND(E665=1,G665=1,L665=1,L667=1,M665=1,U665="IBU"),AND(E665=1,G665=1,L665=1,L667=1,M665=1)),T665,0),I665)</f>
        <v>0</v>
      </c>
      <c r="W665" s="26"/>
      <c r="X665" s="26"/>
      <c r="Y665" s="26"/>
      <c r="Z665" s="26"/>
      <c r="AA665" s="26"/>
      <c r="AB665" s="33"/>
    </row>
    <row r="666" spans="1:28" x14ac:dyDescent="0.3">
      <c r="A666" s="32">
        <f>VLOOKUP(YEAR(C666),Flags!$A$13:$B$95,2,FALSE)</f>
        <v>5</v>
      </c>
      <c r="B666" s="24">
        <f t="shared" si="1054"/>
        <v>1994</v>
      </c>
      <c r="C666" s="25">
        <v>34577</v>
      </c>
      <c r="D666" s="26"/>
      <c r="E666" s="24"/>
      <c r="F666" s="26"/>
      <c r="G666" s="24"/>
      <c r="H666" s="24"/>
      <c r="I666" s="26"/>
      <c r="J666" s="24"/>
      <c r="K666" s="26"/>
      <c r="L666" s="24"/>
      <c r="M666" s="24"/>
      <c r="N666" s="26"/>
      <c r="O666" s="26"/>
      <c r="P666" s="26"/>
      <c r="Q666" s="26"/>
      <c r="R666" s="26"/>
      <c r="S666" s="26"/>
      <c r="T666" s="26"/>
      <c r="U666" s="26"/>
      <c r="V666" s="26"/>
      <c r="W666" s="26">
        <f>MAX($C$7-VLOOKUP($C666,COS!$B$8:$H$991,3,FALSE),0)</f>
        <v>91434.9501953125</v>
      </c>
      <c r="X666" s="26">
        <f t="shared" si="972"/>
        <v>5622.1159458935954</v>
      </c>
      <c r="Y666" s="26">
        <f>VLOOKUP($C666,COS!$B$8:$H$991,4,FALSE)</f>
        <v>3456.213134765625</v>
      </c>
      <c r="Z666" s="26">
        <f t="shared" si="973"/>
        <v>212.51426217071281</v>
      </c>
      <c r="AA666" s="26">
        <f t="shared" ref="AA666:AA670" si="1071">MIN(W666,Y666)</f>
        <v>3456.213134765625</v>
      </c>
      <c r="AB666" s="33">
        <f t="shared" ref="AB666" si="1072">AA666*DAY($C666)*86400/43560/1000*IF(MONTH($C666)=8,$P$3,IF(MONTH($C666)=9,$P$4,IF(MONTH($C666)=10,$P$5,IF(MONTH($C666)=11,$P$6,IF(MONTH($C666)=12,$P$7,NA())))))</f>
        <v>212.51426217071281</v>
      </c>
    </row>
    <row r="667" spans="1:28" x14ac:dyDescent="0.3">
      <c r="A667" s="32">
        <f>VLOOKUP(YEAR(C667),Flags!$A$13:$B$95,2,FALSE)</f>
        <v>5</v>
      </c>
      <c r="B667" s="24">
        <f t="shared" si="1054"/>
        <v>1994</v>
      </c>
      <c r="C667" s="25">
        <v>34607</v>
      </c>
      <c r="D667" s="26"/>
      <c r="E667" s="24"/>
      <c r="F667" s="26"/>
      <c r="G667" s="24"/>
      <c r="H667" s="24"/>
      <c r="I667" s="26"/>
      <c r="J667" s="24"/>
      <c r="K667" s="26">
        <f>VLOOKUP($C667,COS!$B$8:$H$991,2,FALSE)</f>
        <v>1881.7786865234375</v>
      </c>
      <c r="L667" s="24">
        <f t="shared" ref="L667" si="1073">IF(AND(K667&gt;$I$7,K667&lt;$I$8),1,0)</f>
        <v>1</v>
      </c>
      <c r="M667" s="24"/>
      <c r="N667" s="26"/>
      <c r="O667" s="26"/>
      <c r="P667" s="26"/>
      <c r="Q667" s="26"/>
      <c r="R667" s="26"/>
      <c r="S667" s="26"/>
      <c r="T667" s="26"/>
      <c r="U667" s="26"/>
      <c r="V667" s="26"/>
      <c r="W667" s="26">
        <f>MAX($C$8-VLOOKUP($C667,COS!$B$8:$H$991,3,FALSE),0)</f>
        <v>95592.1025390625</v>
      </c>
      <c r="X667" s="26">
        <f t="shared" si="972"/>
        <v>5688.1251097623963</v>
      </c>
      <c r="Y667" s="26">
        <f>VLOOKUP($C667,COS!$B$8:$H$991,4,FALSE)</f>
        <v>676.519775390625</v>
      </c>
      <c r="Z667" s="26">
        <f t="shared" si="973"/>
        <v>40.255722172004134</v>
      </c>
      <c r="AA667" s="26">
        <f t="shared" si="1071"/>
        <v>676.519775390625</v>
      </c>
      <c r="AB667" s="33">
        <f t="shared" si="1058"/>
        <v>40.255722172004134</v>
      </c>
    </row>
    <row r="668" spans="1:28" x14ac:dyDescent="0.3">
      <c r="A668" s="32">
        <f>VLOOKUP(YEAR(C668),Flags!$A$13:$B$95,2,FALSE)</f>
        <v>5</v>
      </c>
      <c r="B668" s="24">
        <f t="shared" si="1054"/>
        <v>1994</v>
      </c>
      <c r="C668" s="25">
        <v>34638</v>
      </c>
      <c r="D668" s="26"/>
      <c r="E668" s="24"/>
      <c r="F668" s="26"/>
      <c r="G668" s="26"/>
      <c r="H668" s="26"/>
      <c r="I668" s="26"/>
      <c r="J668" s="26"/>
      <c r="K668" s="26"/>
      <c r="L668" s="24"/>
      <c r="M668" s="24"/>
      <c r="N668" s="26"/>
      <c r="O668" s="26"/>
      <c r="P668" s="26"/>
      <c r="Q668" s="26"/>
      <c r="R668" s="26"/>
      <c r="S668" s="26"/>
      <c r="T668" s="26"/>
      <c r="U668" s="26"/>
      <c r="V668" s="26"/>
      <c r="W668" s="26">
        <f>MAX($C$9-VLOOKUP($C668,COS!$B$8:$H$991,3,FALSE),0)</f>
        <v>95461.50390625</v>
      </c>
      <c r="X668" s="26">
        <f t="shared" si="972"/>
        <v>5869.6990831611565</v>
      </c>
      <c r="Y668" s="26">
        <f>VLOOKUP($C668,COS!$B$8:$H$991,4,FALSE)</f>
        <v>1343.8326416015625</v>
      </c>
      <c r="Z668" s="26">
        <f t="shared" si="973"/>
        <v>82.629048376162189</v>
      </c>
      <c r="AA668" s="26">
        <f t="shared" si="1071"/>
        <v>1343.8326416015625</v>
      </c>
      <c r="AB668" s="33">
        <f t="shared" si="1058"/>
        <v>82.629048376162189</v>
      </c>
    </row>
    <row r="669" spans="1:28" x14ac:dyDescent="0.3">
      <c r="A669" s="32">
        <f>VLOOKUP(YEAR(C669),Flags!$A$13:$B$95,2,FALSE)</f>
        <v>5</v>
      </c>
      <c r="B669" s="24">
        <f t="shared" si="1054"/>
        <v>1994</v>
      </c>
      <c r="C669" s="25">
        <v>34668</v>
      </c>
      <c r="D669" s="26"/>
      <c r="E669" s="24"/>
      <c r="F669" s="26"/>
      <c r="G669" s="26"/>
      <c r="H669" s="26"/>
      <c r="I669" s="26"/>
      <c r="J669" s="26"/>
      <c r="K669" s="26"/>
      <c r="L669" s="24"/>
      <c r="M669" s="24"/>
      <c r="N669" s="26"/>
      <c r="O669" s="26"/>
      <c r="P669" s="26"/>
      <c r="Q669" s="26"/>
      <c r="R669" s="26"/>
      <c r="S669" s="26"/>
      <c r="T669" s="26"/>
      <c r="U669" s="26"/>
      <c r="V669" s="26"/>
      <c r="W669" s="26">
        <f>MAX($C$10-VLOOKUP($C669,COS!$B$8:$H$991,3,FALSE),0)</f>
        <v>96749</v>
      </c>
      <c r="X669" s="26">
        <f t="shared" si="972"/>
        <v>5756.965289256198</v>
      </c>
      <c r="Y669" s="26">
        <f>VLOOKUP($C669,COS!$B$8:$H$991,4,FALSE)</f>
        <v>1050.6527099609375</v>
      </c>
      <c r="Z669" s="26">
        <f t="shared" si="973"/>
        <v>62.51817778279959</v>
      </c>
      <c r="AA669" s="26">
        <f t="shared" si="1071"/>
        <v>1050.6527099609375</v>
      </c>
      <c r="AB669" s="33">
        <f t="shared" si="1058"/>
        <v>31.259088891399795</v>
      </c>
    </row>
    <row r="670" spans="1:28" x14ac:dyDescent="0.3">
      <c r="A670" s="34">
        <f>VLOOKUP(YEAR(C670),Flags!$A$13:$B$95,2,FALSE)</f>
        <v>5</v>
      </c>
      <c r="B670" s="35">
        <f t="shared" si="1054"/>
        <v>1994</v>
      </c>
      <c r="C670" s="36">
        <v>34699</v>
      </c>
      <c r="D670" s="37"/>
      <c r="E670" s="35"/>
      <c r="F670" s="37"/>
      <c r="G670" s="37"/>
      <c r="H670" s="37"/>
      <c r="I670" s="37"/>
      <c r="J670" s="37"/>
      <c r="K670" s="37"/>
      <c r="L670" s="35"/>
      <c r="M670" s="35"/>
      <c r="N670" s="37"/>
      <c r="O670" s="37"/>
      <c r="P670" s="37"/>
      <c r="Q670" s="37"/>
      <c r="R670" s="37"/>
      <c r="S670" s="37"/>
      <c r="T670" s="37"/>
      <c r="U670" s="37"/>
      <c r="V670" s="37"/>
      <c r="W670" s="37">
        <f>MAX($C$11-VLOOKUP($C670,COS!$B$8:$H$991,3,FALSE),0)</f>
        <v>0</v>
      </c>
      <c r="X670" s="37">
        <f t="shared" si="972"/>
        <v>0</v>
      </c>
      <c r="Y670" s="37">
        <f>VLOOKUP($C670,COS!$B$8:$H$991,4,FALSE)</f>
        <v>2007.343505859375</v>
      </c>
      <c r="Z670" s="37">
        <f t="shared" si="973"/>
        <v>123.42674118672521</v>
      </c>
      <c r="AA670" s="37">
        <f t="shared" si="1071"/>
        <v>0</v>
      </c>
      <c r="AB670" s="38">
        <f t="shared" si="1058"/>
        <v>0</v>
      </c>
    </row>
    <row r="671" spans="1:28" x14ac:dyDescent="0.3">
      <c r="A671" s="27">
        <f>VLOOKUP(YEAR(C671),Flags!$A$13:$B$95,2,FALSE)</f>
        <v>1</v>
      </c>
      <c r="B671" s="28">
        <f t="shared" si="1054"/>
        <v>1995</v>
      </c>
      <c r="C671" s="29">
        <v>34819</v>
      </c>
      <c r="D671" s="30">
        <f>VLOOKUP($C671,COS!$B$8:$H$991,3,FALSE)</f>
        <v>7633.5703125</v>
      </c>
      <c r="E671" s="28">
        <f>IF(D671&gt;=IF(MONTH($C671)=4,$C$3,IF(MONTH($C671)=5,$C$4,IF(MONTH($C671)=6,$C$5,IF(MONTH($C671)=7,$C$6,"ERROR")))),1,0)</f>
        <v>1</v>
      </c>
      <c r="F671" s="30">
        <f>VLOOKUP($C671,COS!$B$8:$H$991,7,FALSE)</f>
        <v>49.096889495849609</v>
      </c>
      <c r="G671" s="28">
        <f>IF(F671&lt;=IF(MONTH($C671)=4,$F$3,IF(MONTH($C671)=5,$F$4,IF(MONTH($C671)=6,$F$5,IF(MONTH($C671)=7,$F$6,"ERROR")))),1,0)</f>
        <v>1</v>
      </c>
      <c r="H671" s="30">
        <f>IF(J671=1,D671-$C$3,0)</f>
        <v>1633.5703125</v>
      </c>
      <c r="I671" s="30">
        <f t="shared" si="982"/>
        <v>97.204183884297521</v>
      </c>
      <c r="J671" s="28">
        <f t="shared" ref="J671:J674" si="1074">IF(AND(E671=1,G671=1),1,0)</f>
        <v>1</v>
      </c>
      <c r="K671" s="30">
        <f>VLOOKUP($C671,COS!$B$8:$H$991,2,FALSE)</f>
        <v>4216.7998046875</v>
      </c>
      <c r="L671" s="28">
        <f t="shared" ref="L671" si="1075">IF(K671&lt;=IF(MONTH($C671)=4,$I$3,IF(MONTH($C671)=5,$I$4,IF(MONTH($C671)=6,$I$5,IF(MONTH($C671)=7,$I$6,"ERROR")))),1,0)</f>
        <v>1</v>
      </c>
      <c r="M671" s="28">
        <f t="shared" ref="M671" si="1076">VLOOKUP($A671,$L$3:$M$7,2,FALSE)</f>
        <v>0</v>
      </c>
      <c r="N671" s="30">
        <f>VLOOKUP($C671,COS!$B$8:$H$991,5,FALSE)</f>
        <v>350.99301147460938</v>
      </c>
      <c r="O671" s="30">
        <f t="shared" ref="O671:O674" si="1077">N671*DAY($C671)*86400/43560/1000</f>
        <v>20.885534567084193</v>
      </c>
      <c r="P671" s="30">
        <f>VLOOKUP($C671,COS!$B$8:$H$991,6,FALSE)</f>
        <v>420.74978637695313</v>
      </c>
      <c r="Q671" s="30">
        <f t="shared" ref="Q671:Q674" si="1078">P671*DAY($C671)*86400/43560/1000</f>
        <v>25.036350924909605</v>
      </c>
      <c r="R671" s="30">
        <f>MIN(IF(MONTH($C671)=4,$S$3,IF(MONTH($C671)=5,$S$4,IF(MONTH($C671)=6,$S$5,IF(MONTH($C671)=7,$S$6,"ERROR")))),MAX(VLOOKUP($C671,COS!$B$8:$K$991,10,FALSE)-IF(MONTH($C671)=4,$Y$3,IF(MONTH($C671)=5,$Y$4,IF(MONTH($C671)=6,$Y$5,IF(MONTH($C671)=7,$Y$6,"ERROR")))),0),MAX(VLOOKUP($C671,COS!$B$8:$K$991,9,FALSE)-IF(MONTH($C671)=4,$V$3,IF(MONTH($C671)=5,$V$4,IF(MONTH($C671)=6,$V$5,IF(MONTH($C671)=7,$V$6,"ERROR"))))-VLOOKUP($C671,COS!$B$8:$K$991,6,FALSE)/2,0))</f>
        <v>1500</v>
      </c>
      <c r="S671" s="30">
        <f t="shared" ref="S671:S674" si="1079">R671*DAY($C671)*86400/43560/1000</f>
        <v>89.256198347107429</v>
      </c>
      <c r="T671" s="30">
        <f t="shared" ref="T671:T674" si="1080">(O671+Q671)/2+S671</f>
        <v>112.21714109310433</v>
      </c>
      <c r="U671" s="30" t="str">
        <f>IF(VLOOKUP($C671,COS!$B$8:$I$991,8,FALSE)=1,"UWFE","IBU")</f>
        <v>UWFE</v>
      </c>
      <c r="V671" s="30">
        <f t="shared" ref="V671" si="1081">MIN(IF(IF($AA$3=2,AND(E671=1,G671=1,L671=1,L676=1,M671=1,U671="IBU"),AND(E671=1,G671=1,L671=1,L676=1,M671=1)),T671,0),I671)</f>
        <v>0</v>
      </c>
      <c r="W671" s="30"/>
      <c r="X671" s="30"/>
      <c r="Y671" s="30"/>
      <c r="Z671" s="30"/>
      <c r="AA671" s="30"/>
      <c r="AB671" s="31"/>
    </row>
    <row r="672" spans="1:28" x14ac:dyDescent="0.3">
      <c r="A672" s="32">
        <f>VLOOKUP(YEAR(C672),Flags!$A$13:$B$95,2,FALSE)</f>
        <v>1</v>
      </c>
      <c r="B672" s="24">
        <f t="shared" si="1054"/>
        <v>1995</v>
      </c>
      <c r="C672" s="25">
        <v>34850</v>
      </c>
      <c r="D672" s="26">
        <f>VLOOKUP($C672,COS!$B$8:$H$991,3,FALSE)</f>
        <v>10509.75390625</v>
      </c>
      <c r="E672" s="24">
        <f>IF(D672&gt;=IF(MONTH($C672)=4,$C$3,IF(MONTH($C672)=5,$C$4,IF(MONTH($C672)=6,$C$5,IF(MONTH($C672)=7,$C$6,"ERROR")))),1,0)</f>
        <v>1</v>
      </c>
      <c r="F672" s="26">
        <f>VLOOKUP($C672,COS!$B$8:$H$991,7,FALSE)</f>
        <v>50.252239227294922</v>
      </c>
      <c r="G672" s="24">
        <f>IF(F672&lt;=IF(MONTH($C672)=4,$F$3,IF(MONTH($C672)=5,$F$4,IF(MONTH($C672)=6,$F$5,IF(MONTH($C672)=7,$F$6,"ERROR")))),1,0)</f>
        <v>1</v>
      </c>
      <c r="H672" s="26">
        <f>IF(J672=1,D672-$C$4,0)</f>
        <v>4509.75390625</v>
      </c>
      <c r="I672" s="26">
        <f t="shared" si="982"/>
        <v>277.29395919421489</v>
      </c>
      <c r="J672" s="24">
        <f t="shared" si="1074"/>
        <v>1</v>
      </c>
      <c r="K672" s="26">
        <f>VLOOKUP($C672,COS!$B$8:$H$991,2,FALSE)</f>
        <v>4552</v>
      </c>
      <c r="L672" s="24">
        <f t="shared" si="1046"/>
        <v>1</v>
      </c>
      <c r="M672" s="24">
        <f t="shared" si="1047"/>
        <v>0</v>
      </c>
      <c r="N672" s="26">
        <f>VLOOKUP($C672,COS!$B$8:$H$991,5,FALSE)</f>
        <v>475.432861328125</v>
      </c>
      <c r="O672" s="26">
        <f t="shared" si="1077"/>
        <v>29.233227175878099</v>
      </c>
      <c r="P672" s="26">
        <f>VLOOKUP($C672,COS!$B$8:$H$991,6,FALSE)</f>
        <v>1824.550537109375</v>
      </c>
      <c r="Q672" s="26">
        <f t="shared" si="1078"/>
        <v>112.18723963713842</v>
      </c>
      <c r="R672" s="26">
        <f>MIN(IF(MONTH($C672)=4,$S$3,IF(MONTH($C672)=5,$S$4,IF(MONTH($C672)=6,$S$5,IF(MONTH($C672)=7,$S$6,"ERROR")))),MAX(VLOOKUP($C672,COS!$B$8:$K$991,10,FALSE)-IF(MONTH($C672)=4,$Y$3,IF(MONTH($C672)=5,$Y$4,IF(MONTH($C672)=6,$Y$5,IF(MONTH($C672)=7,$Y$6,"ERROR")))),0),MAX(VLOOKUP($C672,COS!$B$8:$K$991,9,FALSE)-IF(MONTH($C672)=4,$V$3,IF(MONTH($C672)=5,$V$4,IF(MONTH($C672)=6,$V$5,IF(MONTH($C672)=7,$V$6,"ERROR"))))-VLOOKUP($C672,COS!$B$8:$K$991,6,FALSE)/2,0))</f>
        <v>1500</v>
      </c>
      <c r="S672" s="26">
        <f t="shared" si="1079"/>
        <v>92.231404958677686</v>
      </c>
      <c r="T672" s="26">
        <f t="shared" si="1080"/>
        <v>162.94163836518595</v>
      </c>
      <c r="U672" s="26" t="str">
        <f>IF(VLOOKUP($C672,COS!$B$8:$I$991,8,FALSE)=1,"UWFE","IBU")</f>
        <v>UWFE</v>
      </c>
      <c r="V672" s="26">
        <f t="shared" ref="V672" si="1082">MIN(IF(IF($AA$3=2,AND(E672=1,G672=1,L672=1,L676=1,M672=1,U672="IBU"),AND(E672=1,G672=1,L672=1,L676=1,M672=1)),T672,0),I672)</f>
        <v>0</v>
      </c>
      <c r="W672" s="26"/>
      <c r="X672" s="26"/>
      <c r="Y672" s="26"/>
      <c r="Z672" s="26"/>
      <c r="AA672" s="26"/>
      <c r="AB672" s="33"/>
    </row>
    <row r="673" spans="1:28" x14ac:dyDescent="0.3">
      <c r="A673" s="32">
        <f>VLOOKUP(YEAR(C673),Flags!$A$13:$B$95,2,FALSE)</f>
        <v>1</v>
      </c>
      <c r="B673" s="24">
        <f t="shared" si="1054"/>
        <v>1995</v>
      </c>
      <c r="C673" s="25">
        <v>34880</v>
      </c>
      <c r="D673" s="26">
        <f>VLOOKUP($C673,COS!$B$8:$H$991,3,FALSE)</f>
        <v>8446.6552734375</v>
      </c>
      <c r="E673" s="24">
        <f>IF(D673&gt;=IF(MONTH($C673)=4,$C$3,IF(MONTH($C673)=5,$C$4,IF(MONTH($C673)=6,$C$5,IF(MONTH($C673)=7,$C$6,"ERROR")))),1,0)</f>
        <v>0</v>
      </c>
      <c r="F673" s="26">
        <f>VLOOKUP($C673,COS!$B$8:$H$991,7,FALSE)</f>
        <v>52.693340301513672</v>
      </c>
      <c r="G673" s="24">
        <f>IF(F673&lt;=IF(MONTH($C673)=4,$F$3,IF(MONTH($C673)=5,$F$4,IF(MONTH($C673)=6,$F$5,IF(MONTH($C673)=7,$F$6,"ERROR")))),1,0)</f>
        <v>1</v>
      </c>
      <c r="H673" s="26">
        <f>IF(J673=1,D673-$C$5,0)</f>
        <v>0</v>
      </c>
      <c r="I673" s="26">
        <f t="shared" ref="I673:I736" si="1083">H673*DAY($C673)*86400/43560/1000</f>
        <v>0</v>
      </c>
      <c r="J673" s="24">
        <f t="shared" si="1074"/>
        <v>0</v>
      </c>
      <c r="K673" s="26">
        <f>VLOOKUP($C673,COS!$B$8:$H$991,2,FALSE)</f>
        <v>4500</v>
      </c>
      <c r="L673" s="24">
        <f t="shared" si="1046"/>
        <v>1</v>
      </c>
      <c r="M673" s="24">
        <f t="shared" si="1047"/>
        <v>0</v>
      </c>
      <c r="N673" s="26">
        <f>VLOOKUP($C673,COS!$B$8:$H$991,5,FALSE)</f>
        <v>1088.7784423828125</v>
      </c>
      <c r="O673" s="26">
        <f t="shared" si="1077"/>
        <v>64.786816406249997</v>
      </c>
      <c r="P673" s="26">
        <f>VLOOKUP($C673,COS!$B$8:$H$991,6,FALSE)</f>
        <v>2195.234619140625</v>
      </c>
      <c r="Q673" s="26">
        <f t="shared" si="1078"/>
        <v>130.62553105630167</v>
      </c>
      <c r="R673" s="26">
        <f>MIN(IF(MONTH($C673)=4,$S$3,IF(MONTH($C673)=5,$S$4,IF(MONTH($C673)=6,$S$5,IF(MONTH($C673)=7,$S$6,"ERROR")))),MAX(VLOOKUP($C673,COS!$B$8:$K$991,10,FALSE)-IF(MONTH($C673)=4,$Y$3,IF(MONTH($C673)=5,$Y$4,IF(MONTH($C673)=6,$Y$5,IF(MONTH($C673)=7,$Y$6,"ERROR")))),0),MAX(VLOOKUP($C673,COS!$B$8:$K$991,9,FALSE)-IF(MONTH($C673)=4,$V$3,IF(MONTH($C673)=5,$V$4,IF(MONTH($C673)=6,$V$5,IF(MONTH($C673)=7,$V$6,"ERROR"))))-VLOOKUP($C673,COS!$B$8:$K$991,6,FALSE)/2,0))</f>
        <v>1500</v>
      </c>
      <c r="S673" s="26">
        <f t="shared" si="1079"/>
        <v>89.256198347107429</v>
      </c>
      <c r="T673" s="26">
        <f t="shared" si="1080"/>
        <v>186.96237207838328</v>
      </c>
      <c r="U673" s="26" t="str">
        <f>IF(VLOOKUP($C673,COS!$B$8:$I$991,8,FALSE)=1,"UWFE","IBU")</f>
        <v>UWFE</v>
      </c>
      <c r="V673" s="26">
        <f t="shared" ref="V673" si="1084">MIN(IF(IF($AA$3=2,AND(E673=1,G673=1,L673=1,L676=1,M673=1,U673="IBU"),AND(E673=1,G673=1,L673=1,L676=1,M673=1)),T673,0),I673)</f>
        <v>0</v>
      </c>
      <c r="W673" s="26"/>
      <c r="X673" s="26"/>
      <c r="Y673" s="26"/>
      <c r="Z673" s="26"/>
      <c r="AA673" s="26"/>
      <c r="AB673" s="33"/>
    </row>
    <row r="674" spans="1:28" x14ac:dyDescent="0.3">
      <c r="A674" s="32">
        <f>VLOOKUP(YEAR(C674),Flags!$A$13:$B$95,2,FALSE)</f>
        <v>1</v>
      </c>
      <c r="B674" s="24">
        <f t="shared" si="1054"/>
        <v>1995</v>
      </c>
      <c r="C674" s="25">
        <v>34911</v>
      </c>
      <c r="D674" s="26">
        <f>VLOOKUP($C674,COS!$B$8:$H$991,3,FALSE)</f>
        <v>9700.0400390625</v>
      </c>
      <c r="E674" s="24">
        <f>IF(D674&gt;=IF(MONTH($C674)=4,$C$3,IF(MONTH($C674)=5,$C$4,IF(MONTH($C674)=6,$C$5,IF(MONTH($C674)=7,$C$6,"ERROR")))),1,0)</f>
        <v>0</v>
      </c>
      <c r="F674" s="26">
        <f>VLOOKUP($C674,COS!$B$8:$H$991,7,FALSE)</f>
        <v>53.995834350585938</v>
      </c>
      <c r="G674" s="24">
        <f>IF(F674&lt;=IF(MONTH($C674)=4,$F$3,IF(MONTH($C674)=5,$F$4,IF(MONTH($C674)=6,$F$5,IF(MONTH($C674)=7,$F$6,"ERROR")))),1,0)</f>
        <v>0</v>
      </c>
      <c r="H674" s="26">
        <f>IF(J674=1,D674-$C$6,0)</f>
        <v>0</v>
      </c>
      <c r="I674" s="26">
        <f t="shared" si="1083"/>
        <v>0</v>
      </c>
      <c r="J674" s="24">
        <f t="shared" si="1074"/>
        <v>0</v>
      </c>
      <c r="K674" s="26">
        <f>VLOOKUP($C674,COS!$B$8:$H$991,2,FALSE)</f>
        <v>4150</v>
      </c>
      <c r="L674" s="24">
        <f t="shared" si="1046"/>
        <v>1</v>
      </c>
      <c r="M674" s="24">
        <f t="shared" si="1047"/>
        <v>0</v>
      </c>
      <c r="N674" s="26">
        <f>VLOOKUP($C674,COS!$B$8:$H$991,5,FALSE)</f>
        <v>1360.538818359375</v>
      </c>
      <c r="O674" s="26">
        <f t="shared" si="1077"/>
        <v>83.656271145402897</v>
      </c>
      <c r="P674" s="26">
        <f>VLOOKUP($C674,COS!$B$8:$H$991,6,FALSE)</f>
        <v>2616.67822265625</v>
      </c>
      <c r="Q674" s="26">
        <f t="shared" si="1078"/>
        <v>160.89327253357436</v>
      </c>
      <c r="R674" s="26">
        <f>MIN(IF(MONTH($C674)=4,$S$3,IF(MONTH($C674)=5,$S$4,IF(MONTH($C674)=6,$S$5,IF(MONTH($C674)=7,$S$6,"ERROR")))),MAX(VLOOKUP($C674,COS!$B$8:$K$991,10,FALSE)-IF(MONTH($C674)=4,$Y$3,IF(MONTH($C674)=5,$Y$4,IF(MONTH($C674)=6,$Y$5,IF(MONTH($C674)=7,$Y$6,"ERROR")))),0),MAX(VLOOKUP($C674,COS!$B$8:$K$991,9,FALSE)-IF(MONTH($C674)=4,$V$3,IF(MONTH($C674)=5,$V$4,IF(MONTH($C674)=6,$V$5,IF(MONTH($C674)=7,$V$6,"ERROR"))))-VLOOKUP($C674,COS!$B$8:$K$991,6,FALSE)/2,0))</f>
        <v>1500</v>
      </c>
      <c r="S674" s="26">
        <f t="shared" si="1079"/>
        <v>92.231404958677686</v>
      </c>
      <c r="T674" s="26">
        <f t="shared" si="1080"/>
        <v>214.50617679816634</v>
      </c>
      <c r="U674" s="26" t="str">
        <f>IF(VLOOKUP($C674,COS!$B$8:$I$991,8,FALSE)=1,"UWFE","IBU")</f>
        <v>UWFE</v>
      </c>
      <c r="V674" s="26">
        <f t="shared" ref="V674" si="1085">MIN(IF(IF($AA$3=2,AND(E674=1,G674=1,L674=1,L676=1,M674=1,U674="IBU"),AND(E674=1,G674=1,L674=1,L676=1,M674=1)),T674,0),I674)</f>
        <v>0</v>
      </c>
      <c r="W674" s="26"/>
      <c r="X674" s="26"/>
      <c r="Y674" s="26"/>
      <c r="Z674" s="26"/>
      <c r="AA674" s="26"/>
      <c r="AB674" s="33"/>
    </row>
    <row r="675" spans="1:28" x14ac:dyDescent="0.3">
      <c r="A675" s="32">
        <f>VLOOKUP(YEAR(C675),Flags!$A$13:$B$95,2,FALSE)</f>
        <v>1</v>
      </c>
      <c r="B675" s="24">
        <f t="shared" si="1054"/>
        <v>1995</v>
      </c>
      <c r="C675" s="25">
        <v>34942</v>
      </c>
      <c r="D675" s="26"/>
      <c r="E675" s="24"/>
      <c r="F675" s="26"/>
      <c r="G675" s="24"/>
      <c r="H675" s="24"/>
      <c r="I675" s="26"/>
      <c r="J675" s="24"/>
      <c r="K675" s="26"/>
      <c r="L675" s="24"/>
      <c r="M675" s="24"/>
      <c r="N675" s="26"/>
      <c r="O675" s="26"/>
      <c r="P675" s="26"/>
      <c r="Q675" s="26"/>
      <c r="R675" s="26"/>
      <c r="S675" s="26"/>
      <c r="T675" s="26"/>
      <c r="U675" s="26"/>
      <c r="V675" s="26"/>
      <c r="W675" s="26">
        <f>MAX($C$7-VLOOKUP($C675,COS!$B$8:$H$991,3,FALSE),0)</f>
        <v>87744.4052734375</v>
      </c>
      <c r="X675" s="26">
        <f t="shared" ref="X675:X738" si="1086">W675*DAY($C675)*86400/43560/1000</f>
        <v>5395.1931837551647</v>
      </c>
      <c r="Y675" s="26">
        <f>VLOOKUP($C675,COS!$B$8:$H$991,4,FALSE)</f>
        <v>0</v>
      </c>
      <c r="Z675" s="26">
        <f t="shared" ref="Z675:Z738" si="1087">Y675*DAY($C675)*86400/43560/1000</f>
        <v>0</v>
      </c>
      <c r="AA675" s="26">
        <f t="shared" ref="AA675:AA679" si="1088">MIN(W675,Y675)</f>
        <v>0</v>
      </c>
      <c r="AB675" s="33">
        <f t="shared" ref="AB675" si="1089">AA675*DAY($C675)*86400/43560/1000*IF(MONTH($C675)=8,$P$3,IF(MONTH($C675)=9,$P$4,IF(MONTH($C675)=10,$P$5,IF(MONTH($C675)=11,$P$6,IF(MONTH($C675)=12,$P$7,NA())))))</f>
        <v>0</v>
      </c>
    </row>
    <row r="676" spans="1:28" x14ac:dyDescent="0.3">
      <c r="A676" s="32">
        <f>VLOOKUP(YEAR(C676),Flags!$A$13:$B$95,2,FALSE)</f>
        <v>1</v>
      </c>
      <c r="B676" s="24">
        <f t="shared" si="1054"/>
        <v>1995</v>
      </c>
      <c r="C676" s="25">
        <v>34972</v>
      </c>
      <c r="D676" s="26"/>
      <c r="E676" s="24"/>
      <c r="F676" s="26"/>
      <c r="G676" s="24"/>
      <c r="H676" s="24"/>
      <c r="I676" s="26"/>
      <c r="J676" s="24"/>
      <c r="K676" s="26">
        <f>VLOOKUP($C676,COS!$B$8:$H$991,2,FALSE)</f>
        <v>3358.360595703125</v>
      </c>
      <c r="L676" s="24">
        <f t="shared" ref="L676" si="1090">IF(AND(K676&gt;$I$7,K676&lt;$I$8),1,0)</f>
        <v>1</v>
      </c>
      <c r="M676" s="24"/>
      <c r="N676" s="26"/>
      <c r="O676" s="26"/>
      <c r="P676" s="26"/>
      <c r="Q676" s="26"/>
      <c r="R676" s="26"/>
      <c r="S676" s="26"/>
      <c r="T676" s="26"/>
      <c r="U676" s="26"/>
      <c r="V676" s="26"/>
      <c r="W676" s="26">
        <f>MAX($C$8-VLOOKUP($C676,COS!$B$8:$H$991,3,FALSE),0)</f>
        <v>88333.3603515625</v>
      </c>
      <c r="X676" s="26">
        <f t="shared" si="1086"/>
        <v>5256.1999548037193</v>
      </c>
      <c r="Y676" s="26">
        <f>VLOOKUP($C676,COS!$B$8:$H$991,4,FALSE)</f>
        <v>0</v>
      </c>
      <c r="Z676" s="26">
        <f t="shared" si="1087"/>
        <v>0</v>
      </c>
      <c r="AA676" s="26">
        <f t="shared" si="1088"/>
        <v>0</v>
      </c>
      <c r="AB676" s="33">
        <f t="shared" si="1058"/>
        <v>0</v>
      </c>
    </row>
    <row r="677" spans="1:28" x14ac:dyDescent="0.3">
      <c r="A677" s="32">
        <f>VLOOKUP(YEAR(C677),Flags!$A$13:$B$95,2,FALSE)</f>
        <v>1</v>
      </c>
      <c r="B677" s="24">
        <f t="shared" si="1054"/>
        <v>1995</v>
      </c>
      <c r="C677" s="25">
        <v>35003</v>
      </c>
      <c r="D677" s="26"/>
      <c r="E677" s="24"/>
      <c r="F677" s="26"/>
      <c r="G677" s="26"/>
      <c r="H677" s="26"/>
      <c r="I677" s="26"/>
      <c r="J677" s="26"/>
      <c r="K677" s="26"/>
      <c r="L677" s="24"/>
      <c r="M677" s="24"/>
      <c r="N677" s="26"/>
      <c r="O677" s="26"/>
      <c r="P677" s="26"/>
      <c r="Q677" s="26"/>
      <c r="R677" s="26"/>
      <c r="S677" s="26"/>
      <c r="T677" s="26"/>
      <c r="U677" s="26"/>
      <c r="V677" s="26"/>
      <c r="W677" s="26">
        <f>MAX($C$9-VLOOKUP($C677,COS!$B$8:$H$991,3,FALSE),0)</f>
        <v>92444.8486328125</v>
      </c>
      <c r="X677" s="26">
        <f t="shared" si="1086"/>
        <v>5684.2121803977279</v>
      </c>
      <c r="Y677" s="26">
        <f>VLOOKUP($C677,COS!$B$8:$H$991,4,FALSE)</f>
        <v>122.30811309814453</v>
      </c>
      <c r="Z677" s="26">
        <f t="shared" si="1087"/>
        <v>7.5204327392578127</v>
      </c>
      <c r="AA677" s="26">
        <f t="shared" si="1088"/>
        <v>122.30811309814453</v>
      </c>
      <c r="AB677" s="33">
        <f t="shared" si="1058"/>
        <v>7.5204327392578127</v>
      </c>
    </row>
    <row r="678" spans="1:28" x14ac:dyDescent="0.3">
      <c r="A678" s="32">
        <f>VLOOKUP(YEAR(C678),Flags!$A$13:$B$95,2,FALSE)</f>
        <v>1</v>
      </c>
      <c r="B678" s="24">
        <f t="shared" si="1054"/>
        <v>1995</v>
      </c>
      <c r="C678" s="25">
        <v>35033</v>
      </c>
      <c r="D678" s="26"/>
      <c r="E678" s="24"/>
      <c r="F678" s="26"/>
      <c r="G678" s="26"/>
      <c r="H678" s="26"/>
      <c r="I678" s="26"/>
      <c r="J678" s="26"/>
      <c r="K678" s="26"/>
      <c r="L678" s="24"/>
      <c r="M678" s="24"/>
      <c r="N678" s="26"/>
      <c r="O678" s="26"/>
      <c r="P678" s="26"/>
      <c r="Q678" s="26"/>
      <c r="R678" s="26"/>
      <c r="S678" s="26"/>
      <c r="T678" s="26"/>
      <c r="U678" s="26"/>
      <c r="V678" s="26"/>
      <c r="W678" s="26">
        <f>MAX($C$10-VLOOKUP($C678,COS!$B$8:$H$991,3,FALSE),0)</f>
        <v>88843.8232421875</v>
      </c>
      <c r="X678" s="26">
        <f t="shared" si="1086"/>
        <v>5286.5746061466944</v>
      </c>
      <c r="Y678" s="26">
        <f>VLOOKUP($C678,COS!$B$8:$H$991,4,FALSE)</f>
        <v>1767.1361083984375</v>
      </c>
      <c r="Z678" s="26">
        <f t="shared" si="1087"/>
        <v>105.15190066503099</v>
      </c>
      <c r="AA678" s="26">
        <f t="shared" si="1088"/>
        <v>1767.1361083984375</v>
      </c>
      <c r="AB678" s="33">
        <f t="shared" si="1058"/>
        <v>52.575950332515497</v>
      </c>
    </row>
    <row r="679" spans="1:28" x14ac:dyDescent="0.3">
      <c r="A679" s="34">
        <f>VLOOKUP(YEAR(C679),Flags!$A$13:$B$95,2,FALSE)</f>
        <v>1</v>
      </c>
      <c r="B679" s="35">
        <f t="shared" si="1054"/>
        <v>1995</v>
      </c>
      <c r="C679" s="36">
        <v>35064</v>
      </c>
      <c r="D679" s="37"/>
      <c r="E679" s="35"/>
      <c r="F679" s="37"/>
      <c r="G679" s="37"/>
      <c r="H679" s="37"/>
      <c r="I679" s="37"/>
      <c r="J679" s="37"/>
      <c r="K679" s="37"/>
      <c r="L679" s="35"/>
      <c r="M679" s="35"/>
      <c r="N679" s="37"/>
      <c r="O679" s="37"/>
      <c r="P679" s="37"/>
      <c r="Q679" s="37"/>
      <c r="R679" s="37"/>
      <c r="S679" s="37"/>
      <c r="T679" s="37"/>
      <c r="U679" s="37"/>
      <c r="V679" s="37"/>
      <c r="W679" s="37">
        <f>MAX($C$11-VLOOKUP($C679,COS!$B$8:$H$991,3,FALSE),0)</f>
        <v>0</v>
      </c>
      <c r="X679" s="37">
        <f t="shared" si="1086"/>
        <v>0</v>
      </c>
      <c r="Y679" s="37">
        <f>VLOOKUP($C679,COS!$B$8:$H$991,4,FALSE)</f>
        <v>0</v>
      </c>
      <c r="Z679" s="37">
        <f t="shared" si="1087"/>
        <v>0</v>
      </c>
      <c r="AA679" s="37">
        <f t="shared" si="1088"/>
        <v>0</v>
      </c>
      <c r="AB679" s="38">
        <f t="shared" si="1058"/>
        <v>0</v>
      </c>
    </row>
    <row r="680" spans="1:28" x14ac:dyDescent="0.3">
      <c r="A680" s="27">
        <f>VLOOKUP(YEAR(C680),Flags!$A$13:$B$95,2,FALSE)</f>
        <v>1</v>
      </c>
      <c r="B680" s="28">
        <f t="shared" si="1054"/>
        <v>1996</v>
      </c>
      <c r="C680" s="29">
        <v>35185</v>
      </c>
      <c r="D680" s="30">
        <f>VLOOKUP($C680,COS!$B$8:$H$991,3,FALSE)</f>
        <v>3250</v>
      </c>
      <c r="E680" s="28">
        <f>IF(D680&gt;=IF(MONTH($C680)=4,$C$3,IF(MONTH($C680)=5,$C$4,IF(MONTH($C680)=6,$C$5,IF(MONTH($C680)=7,$C$6,"ERROR")))),1,0)</f>
        <v>0</v>
      </c>
      <c r="F680" s="30">
        <f>VLOOKUP($C680,COS!$B$8:$H$991,7,FALSE)</f>
        <v>52.729835510253906</v>
      </c>
      <c r="G680" s="28">
        <f>IF(F680&lt;=IF(MONTH($C680)=4,$F$3,IF(MONTH($C680)=5,$F$4,IF(MONTH($C680)=6,$F$5,IF(MONTH($C680)=7,$F$6,"ERROR")))),1,0)</f>
        <v>1</v>
      </c>
      <c r="H680" s="30">
        <f>IF(J680=1,D680-$C$3,0)</f>
        <v>0</v>
      </c>
      <c r="I680" s="30">
        <f t="shared" si="1083"/>
        <v>0</v>
      </c>
      <c r="J680" s="28">
        <f t="shared" ref="J680:J683" si="1091">IF(AND(E680=1,G680=1),1,0)</f>
        <v>0</v>
      </c>
      <c r="K680" s="30">
        <f>VLOOKUP($C680,COS!$B$8:$H$991,2,FALSE)</f>
        <v>4477.14208984375</v>
      </c>
      <c r="L680" s="28">
        <f t="shared" ref="L680" si="1092">IF(K680&lt;=IF(MONTH($C680)=4,$I$3,IF(MONTH($C680)=5,$I$4,IF(MONTH($C680)=6,$I$5,IF(MONTH($C680)=7,$I$6,"ERROR")))),1,0)</f>
        <v>1</v>
      </c>
      <c r="M680" s="28">
        <f t="shared" ref="M680" si="1093">VLOOKUP($A680,$L$3:$M$7,2,FALSE)</f>
        <v>0</v>
      </c>
      <c r="N680" s="30">
        <f>VLOOKUP($C680,COS!$B$8:$H$991,5,FALSE)</f>
        <v>334.49749755859375</v>
      </c>
      <c r="O680" s="30">
        <f t="shared" ref="O680:O683" si="1094">N680*DAY($C680)*86400/43560/1000</f>
        <v>19.903983325800617</v>
      </c>
      <c r="P680" s="30">
        <f>VLOOKUP($C680,COS!$B$8:$H$991,6,FALSE)</f>
        <v>392.12069702148438</v>
      </c>
      <c r="Q680" s="30">
        <f t="shared" ref="Q680:Q683" si="1095">P680*DAY($C680)*86400/43560/1000</f>
        <v>23.332801806237086</v>
      </c>
      <c r="R680" s="30">
        <f>MIN(IF(MONTH($C680)=4,$S$3,IF(MONTH($C680)=5,$S$4,IF(MONTH($C680)=6,$S$5,IF(MONTH($C680)=7,$S$6,"ERROR")))),MAX(VLOOKUP($C680,COS!$B$8:$K$991,10,FALSE)-IF(MONTH($C680)=4,$Y$3,IF(MONTH($C680)=5,$Y$4,IF(MONTH($C680)=6,$Y$5,IF(MONTH($C680)=7,$Y$6,"ERROR")))),0),MAX(VLOOKUP($C680,COS!$B$8:$K$991,9,FALSE)-IF(MONTH($C680)=4,$V$3,IF(MONTH($C680)=5,$V$4,IF(MONTH($C680)=6,$V$5,IF(MONTH($C680)=7,$V$6,"ERROR"))))-VLOOKUP($C680,COS!$B$8:$K$991,6,FALSE)/2,0))</f>
        <v>1500</v>
      </c>
      <c r="S680" s="30">
        <f t="shared" ref="S680:S683" si="1096">R680*DAY($C680)*86400/43560/1000</f>
        <v>89.256198347107429</v>
      </c>
      <c r="T680" s="30">
        <f t="shared" ref="T680:T683" si="1097">(O680+Q680)/2+S680</f>
        <v>110.87459091312628</v>
      </c>
      <c r="U680" s="30" t="str">
        <f>IF(VLOOKUP($C680,COS!$B$8:$I$991,8,FALSE)=1,"UWFE","IBU")</f>
        <v>UWFE</v>
      </c>
      <c r="V680" s="30">
        <f t="shared" ref="V680" si="1098">MIN(IF(IF($AA$3=2,AND(E680=1,G680=1,L680=1,L685=1,M680=1,U680="IBU"),AND(E680=1,G680=1,L680=1,L685=1,M680=1)),T680,0),I680)</f>
        <v>0</v>
      </c>
      <c r="W680" s="30"/>
      <c r="X680" s="30"/>
      <c r="Y680" s="30"/>
      <c r="Z680" s="30"/>
      <c r="AA680" s="30"/>
      <c r="AB680" s="31"/>
    </row>
    <row r="681" spans="1:28" x14ac:dyDescent="0.3">
      <c r="A681" s="32">
        <f>VLOOKUP(YEAR(C681),Flags!$A$13:$B$95,2,FALSE)</f>
        <v>1</v>
      </c>
      <c r="B681" s="24">
        <f t="shared" si="1054"/>
        <v>1996</v>
      </c>
      <c r="C681" s="25">
        <v>35216</v>
      </c>
      <c r="D681" s="26">
        <f>VLOOKUP($C681,COS!$B$8:$H$991,3,FALSE)</f>
        <v>10559.1572265625</v>
      </c>
      <c r="E681" s="24">
        <f>IF(D681&gt;=IF(MONTH($C681)=4,$C$3,IF(MONTH($C681)=5,$C$4,IF(MONTH($C681)=6,$C$5,IF(MONTH($C681)=7,$C$6,"ERROR")))),1,0)</f>
        <v>1</v>
      </c>
      <c r="F681" s="26">
        <f>VLOOKUP($C681,COS!$B$8:$H$991,7,FALSE)</f>
        <v>51.389583587646484</v>
      </c>
      <c r="G681" s="24">
        <f>IF(F681&lt;=IF(MONTH($C681)=4,$F$3,IF(MONTH($C681)=5,$F$4,IF(MONTH($C681)=6,$F$5,IF(MONTH($C681)=7,$F$6,"ERROR")))),1,0)</f>
        <v>1</v>
      </c>
      <c r="H681" s="26">
        <f>IF(J681=1,D681-$C$4,0)</f>
        <v>4559.1572265625</v>
      </c>
      <c r="I681" s="26">
        <f t="shared" si="1083"/>
        <v>280.33165095557848</v>
      </c>
      <c r="J681" s="24">
        <f t="shared" si="1091"/>
        <v>1</v>
      </c>
      <c r="K681" s="26">
        <f>VLOOKUP($C681,COS!$B$8:$H$991,2,FALSE)</f>
        <v>4552</v>
      </c>
      <c r="L681" s="24">
        <f t="shared" si="1046"/>
        <v>1</v>
      </c>
      <c r="M681" s="24">
        <f t="shared" si="1047"/>
        <v>0</v>
      </c>
      <c r="N681" s="26">
        <f>VLOOKUP($C681,COS!$B$8:$H$991,5,FALSE)</f>
        <v>391.34814453125</v>
      </c>
      <c r="O681" s="26">
        <f t="shared" si="1094"/>
        <v>24.063059465392563</v>
      </c>
      <c r="P681" s="26">
        <f>VLOOKUP($C681,COS!$B$8:$H$991,6,FALSE)</f>
        <v>1692.3414306640625</v>
      </c>
      <c r="Q681" s="26">
        <f t="shared" si="1095"/>
        <v>104.05801854661674</v>
      </c>
      <c r="R681" s="26">
        <f>MIN(IF(MONTH($C681)=4,$S$3,IF(MONTH($C681)=5,$S$4,IF(MONTH($C681)=6,$S$5,IF(MONTH($C681)=7,$S$6,"ERROR")))),MAX(VLOOKUP($C681,COS!$B$8:$K$991,10,FALSE)-IF(MONTH($C681)=4,$Y$3,IF(MONTH($C681)=5,$Y$4,IF(MONTH($C681)=6,$Y$5,IF(MONTH($C681)=7,$Y$6,"ERROR")))),0),MAX(VLOOKUP($C681,COS!$B$8:$K$991,9,FALSE)-IF(MONTH($C681)=4,$V$3,IF(MONTH($C681)=5,$V$4,IF(MONTH($C681)=6,$V$5,IF(MONTH($C681)=7,$V$6,"ERROR"))))-VLOOKUP($C681,COS!$B$8:$K$991,6,FALSE)/2,0))</f>
        <v>1500</v>
      </c>
      <c r="S681" s="26">
        <f t="shared" si="1096"/>
        <v>92.231404958677686</v>
      </c>
      <c r="T681" s="26">
        <f t="shared" si="1097"/>
        <v>156.29194396468233</v>
      </c>
      <c r="U681" s="26" t="str">
        <f>IF(VLOOKUP($C681,COS!$B$8:$I$991,8,FALSE)=1,"UWFE","IBU")</f>
        <v>UWFE</v>
      </c>
      <c r="V681" s="26">
        <f t="shared" ref="V681" si="1099">MIN(IF(IF($AA$3=2,AND(E681=1,G681=1,L681=1,L685=1,M681=1,U681="IBU"),AND(E681=1,G681=1,L681=1,L685=1,M681=1)),T681,0),I681)</f>
        <v>0</v>
      </c>
      <c r="W681" s="26"/>
      <c r="X681" s="26"/>
      <c r="Y681" s="26"/>
      <c r="Z681" s="26"/>
      <c r="AA681" s="26"/>
      <c r="AB681" s="33"/>
    </row>
    <row r="682" spans="1:28" x14ac:dyDescent="0.3">
      <c r="A682" s="32">
        <f>VLOOKUP(YEAR(C682),Flags!$A$13:$B$95,2,FALSE)</f>
        <v>1</v>
      </c>
      <c r="B682" s="24">
        <f t="shared" si="1054"/>
        <v>1996</v>
      </c>
      <c r="C682" s="25">
        <v>35246</v>
      </c>
      <c r="D682" s="26">
        <f>VLOOKUP($C682,COS!$B$8:$H$991,3,FALSE)</f>
        <v>7585.73583984375</v>
      </c>
      <c r="E682" s="24">
        <f>IF(D682&gt;=IF(MONTH($C682)=4,$C$3,IF(MONTH($C682)=5,$C$4,IF(MONTH($C682)=6,$C$5,IF(MONTH($C682)=7,$C$6,"ERROR")))),1,0)</f>
        <v>0</v>
      </c>
      <c r="F682" s="26">
        <f>VLOOKUP($C682,COS!$B$8:$H$991,7,FALSE)</f>
        <v>53.900276184082031</v>
      </c>
      <c r="G682" s="24">
        <f>IF(F682&lt;=IF(MONTH($C682)=4,$F$3,IF(MONTH($C682)=5,$F$4,IF(MONTH($C682)=6,$F$5,IF(MONTH($C682)=7,$F$6,"ERROR")))),1,0)</f>
        <v>1</v>
      </c>
      <c r="H682" s="26">
        <f>IF(J682=1,D682-$C$5,0)</f>
        <v>0</v>
      </c>
      <c r="I682" s="26">
        <f t="shared" si="1083"/>
        <v>0</v>
      </c>
      <c r="J682" s="24">
        <f t="shared" si="1091"/>
        <v>0</v>
      </c>
      <c r="K682" s="26">
        <f>VLOOKUP($C682,COS!$B$8:$H$991,2,FALSE)</f>
        <v>4421.00390625</v>
      </c>
      <c r="L682" s="24">
        <f t="shared" si="1046"/>
        <v>1</v>
      </c>
      <c r="M682" s="24">
        <f t="shared" si="1047"/>
        <v>0</v>
      </c>
      <c r="N682" s="26">
        <f>VLOOKUP($C682,COS!$B$8:$H$991,5,FALSE)</f>
        <v>1206.450439453125</v>
      </c>
      <c r="O682" s="26">
        <f t="shared" si="1094"/>
        <v>71.788786479855375</v>
      </c>
      <c r="P682" s="26">
        <f>VLOOKUP($C682,COS!$B$8:$H$991,6,FALSE)</f>
        <v>2328.534912109375</v>
      </c>
      <c r="Q682" s="26">
        <f t="shared" si="1095"/>
        <v>138.55744931559917</v>
      </c>
      <c r="R682" s="26">
        <f>MIN(IF(MONTH($C682)=4,$S$3,IF(MONTH($C682)=5,$S$4,IF(MONTH($C682)=6,$S$5,IF(MONTH($C682)=7,$S$6,"ERROR")))),MAX(VLOOKUP($C682,COS!$B$8:$K$991,10,FALSE)-IF(MONTH($C682)=4,$Y$3,IF(MONTH($C682)=5,$Y$4,IF(MONTH($C682)=6,$Y$5,IF(MONTH($C682)=7,$Y$6,"ERROR")))),0),MAX(VLOOKUP($C682,COS!$B$8:$K$991,9,FALSE)-IF(MONTH($C682)=4,$V$3,IF(MONTH($C682)=5,$V$4,IF(MONTH($C682)=6,$V$5,IF(MONTH($C682)=7,$V$6,"ERROR"))))-VLOOKUP($C682,COS!$B$8:$K$991,6,FALSE)/2,0))</f>
        <v>1500</v>
      </c>
      <c r="S682" s="26">
        <f t="shared" si="1096"/>
        <v>89.256198347107429</v>
      </c>
      <c r="T682" s="26">
        <f t="shared" si="1097"/>
        <v>194.42931624483469</v>
      </c>
      <c r="U682" s="26" t="str">
        <f>IF(VLOOKUP($C682,COS!$B$8:$I$991,8,FALSE)=1,"UWFE","IBU")</f>
        <v>UWFE</v>
      </c>
      <c r="V682" s="26">
        <f t="shared" ref="V682" si="1100">MIN(IF(IF($AA$3=2,AND(E682=1,G682=1,L682=1,L685=1,M682=1,U682="IBU"),AND(E682=1,G682=1,L682=1,L685=1,M682=1)),T682,0),I682)</f>
        <v>0</v>
      </c>
      <c r="W682" s="26"/>
      <c r="X682" s="26"/>
      <c r="Y682" s="26"/>
      <c r="Z682" s="26"/>
      <c r="AA682" s="26"/>
      <c r="AB682" s="33"/>
    </row>
    <row r="683" spans="1:28" x14ac:dyDescent="0.3">
      <c r="A683" s="32">
        <f>VLOOKUP(YEAR(C683),Flags!$A$13:$B$95,2,FALSE)</f>
        <v>1</v>
      </c>
      <c r="B683" s="24">
        <f t="shared" si="1054"/>
        <v>1996</v>
      </c>
      <c r="C683" s="25">
        <v>35277</v>
      </c>
      <c r="D683" s="26">
        <f>VLOOKUP($C683,COS!$B$8:$H$991,3,FALSE)</f>
        <v>15098.107421875</v>
      </c>
      <c r="E683" s="24">
        <f>IF(D683&gt;=IF(MONTH($C683)=4,$C$3,IF(MONTH($C683)=5,$C$4,IF(MONTH($C683)=6,$C$5,IF(MONTH($C683)=7,$C$6,"ERROR")))),1,0)</f>
        <v>1</v>
      </c>
      <c r="F683" s="26">
        <f>VLOOKUP($C683,COS!$B$8:$H$991,7,FALSE)</f>
        <v>53.102745056152344</v>
      </c>
      <c r="G683" s="24">
        <f>IF(F683&lt;=IF(MONTH($C683)=4,$F$3,IF(MONTH($C683)=5,$F$4,IF(MONTH($C683)=6,$F$5,IF(MONTH($C683)=7,$F$6,"ERROR")))),1,0)</f>
        <v>1</v>
      </c>
      <c r="H683" s="26">
        <f>IF(J683=1,D683-$C$6,0)</f>
        <v>3098.107421875</v>
      </c>
      <c r="I683" s="26">
        <f t="shared" si="1083"/>
        <v>190.49520015495867</v>
      </c>
      <c r="J683" s="24">
        <f t="shared" si="1091"/>
        <v>1</v>
      </c>
      <c r="K683" s="26">
        <f>VLOOKUP($C683,COS!$B$8:$H$991,2,FALSE)</f>
        <v>3708.637451171875</v>
      </c>
      <c r="L683" s="24">
        <f t="shared" si="1046"/>
        <v>1</v>
      </c>
      <c r="M683" s="24">
        <f t="shared" si="1047"/>
        <v>0</v>
      </c>
      <c r="N683" s="26">
        <f>VLOOKUP($C683,COS!$B$8:$H$991,5,FALSE)</f>
        <v>1377.7275390625</v>
      </c>
      <c r="O683" s="26">
        <f t="shared" si="1094"/>
        <v>84.713164385330572</v>
      </c>
      <c r="P683" s="26">
        <f>VLOOKUP($C683,COS!$B$8:$H$991,6,FALSE)</f>
        <v>2521.474853515625</v>
      </c>
      <c r="Q683" s="26">
        <f t="shared" si="1095"/>
        <v>155.0394455384814</v>
      </c>
      <c r="R683" s="26">
        <f>MIN(IF(MONTH($C683)=4,$S$3,IF(MONTH($C683)=5,$S$4,IF(MONTH($C683)=6,$S$5,IF(MONTH($C683)=7,$S$6,"ERROR")))),MAX(VLOOKUP($C683,COS!$B$8:$K$991,10,FALSE)-IF(MONTH($C683)=4,$Y$3,IF(MONTH($C683)=5,$Y$4,IF(MONTH($C683)=6,$Y$5,IF(MONTH($C683)=7,$Y$6,"ERROR")))),0),MAX(VLOOKUP($C683,COS!$B$8:$K$991,9,FALSE)-IF(MONTH($C683)=4,$V$3,IF(MONTH($C683)=5,$V$4,IF(MONTH($C683)=6,$V$5,IF(MONTH($C683)=7,$V$6,"ERROR"))))-VLOOKUP($C683,COS!$B$8:$K$991,6,FALSE)/2,0))</f>
        <v>1500</v>
      </c>
      <c r="S683" s="26">
        <f t="shared" si="1096"/>
        <v>92.231404958677686</v>
      </c>
      <c r="T683" s="26">
        <f t="shared" si="1097"/>
        <v>212.10770992058366</v>
      </c>
      <c r="U683" s="26" t="str">
        <f>IF(VLOOKUP($C683,COS!$B$8:$I$991,8,FALSE)=1,"UWFE","IBU")</f>
        <v>IBU</v>
      </c>
      <c r="V683" s="26">
        <f t="shared" ref="V683" si="1101">MIN(IF(IF($AA$3=2,AND(E683=1,G683=1,L683=1,L685=1,M683=1,U683="IBU"),AND(E683=1,G683=1,L683=1,L685=1,M683=1)),T683,0),I683)</f>
        <v>0</v>
      </c>
      <c r="W683" s="26"/>
      <c r="X683" s="26"/>
      <c r="Y683" s="26"/>
      <c r="Z683" s="26"/>
      <c r="AA683" s="26"/>
      <c r="AB683" s="33"/>
    </row>
    <row r="684" spans="1:28" x14ac:dyDescent="0.3">
      <c r="A684" s="32">
        <f>VLOOKUP(YEAR(C684),Flags!$A$13:$B$95,2,FALSE)</f>
        <v>1</v>
      </c>
      <c r="B684" s="24">
        <f t="shared" si="1054"/>
        <v>1996</v>
      </c>
      <c r="C684" s="25">
        <v>35308</v>
      </c>
      <c r="D684" s="26"/>
      <c r="E684" s="24"/>
      <c r="F684" s="26"/>
      <c r="G684" s="24"/>
      <c r="H684" s="24"/>
      <c r="I684" s="26"/>
      <c r="J684" s="24"/>
      <c r="K684" s="26"/>
      <c r="L684" s="24"/>
      <c r="M684" s="24"/>
      <c r="N684" s="26"/>
      <c r="O684" s="26"/>
      <c r="P684" s="26"/>
      <c r="Q684" s="26"/>
      <c r="R684" s="26"/>
      <c r="S684" s="26"/>
      <c r="T684" s="26"/>
      <c r="U684" s="26"/>
      <c r="V684" s="26"/>
      <c r="W684" s="26">
        <f>MAX($C$7-VLOOKUP($C684,COS!$B$8:$H$991,3,FALSE),0)</f>
        <v>90642.01953125</v>
      </c>
      <c r="X684" s="26">
        <f t="shared" si="1086"/>
        <v>5573.3605397727279</v>
      </c>
      <c r="Y684" s="26">
        <f>VLOOKUP($C684,COS!$B$8:$H$991,4,FALSE)</f>
        <v>0</v>
      </c>
      <c r="Z684" s="26">
        <f t="shared" si="1087"/>
        <v>0</v>
      </c>
      <c r="AA684" s="26">
        <f t="shared" ref="AA684:AA688" si="1102">MIN(W684,Y684)</f>
        <v>0</v>
      </c>
      <c r="AB684" s="33">
        <f t="shared" ref="AB684" si="1103">AA684*DAY($C684)*86400/43560/1000*IF(MONTH($C684)=8,$P$3,IF(MONTH($C684)=9,$P$4,IF(MONTH($C684)=10,$P$5,IF(MONTH($C684)=11,$P$6,IF(MONTH($C684)=12,$P$7,NA())))))</f>
        <v>0</v>
      </c>
    </row>
    <row r="685" spans="1:28" x14ac:dyDescent="0.3">
      <c r="A685" s="32">
        <f>VLOOKUP(YEAR(C685),Flags!$A$13:$B$95,2,FALSE)</f>
        <v>1</v>
      </c>
      <c r="B685" s="24">
        <f t="shared" si="1054"/>
        <v>1996</v>
      </c>
      <c r="C685" s="25">
        <v>35338</v>
      </c>
      <c r="D685" s="26"/>
      <c r="E685" s="24"/>
      <c r="F685" s="26"/>
      <c r="G685" s="24"/>
      <c r="H685" s="24"/>
      <c r="I685" s="26"/>
      <c r="J685" s="24"/>
      <c r="K685" s="26">
        <f>VLOOKUP($C685,COS!$B$8:$H$991,2,FALSE)</f>
        <v>3012.986572265625</v>
      </c>
      <c r="L685" s="24">
        <f t="shared" ref="L685" si="1104">IF(AND(K685&gt;$I$7,K685&lt;$I$8),1,0)</f>
        <v>1</v>
      </c>
      <c r="M685" s="24"/>
      <c r="N685" s="26"/>
      <c r="O685" s="26"/>
      <c r="P685" s="26"/>
      <c r="Q685" s="26"/>
      <c r="R685" s="26"/>
      <c r="S685" s="26"/>
      <c r="T685" s="26"/>
      <c r="U685" s="26"/>
      <c r="V685" s="26"/>
      <c r="W685" s="26">
        <f>MAX($C$8-VLOOKUP($C685,COS!$B$8:$H$991,3,FALSE),0)</f>
        <v>87735.287109375</v>
      </c>
      <c r="X685" s="26">
        <f t="shared" si="1086"/>
        <v>5220.612125516529</v>
      </c>
      <c r="Y685" s="26">
        <f>VLOOKUP($C685,COS!$B$8:$H$991,4,FALSE)</f>
        <v>0</v>
      </c>
      <c r="Z685" s="26">
        <f t="shared" si="1087"/>
        <v>0</v>
      </c>
      <c r="AA685" s="26">
        <f t="shared" si="1102"/>
        <v>0</v>
      </c>
      <c r="AB685" s="33">
        <f t="shared" si="1058"/>
        <v>0</v>
      </c>
    </row>
    <row r="686" spans="1:28" x14ac:dyDescent="0.3">
      <c r="A686" s="32">
        <f>VLOOKUP(YEAR(C686),Flags!$A$13:$B$95,2,FALSE)</f>
        <v>1</v>
      </c>
      <c r="B686" s="24">
        <f t="shared" si="1054"/>
        <v>1996</v>
      </c>
      <c r="C686" s="25">
        <v>35369</v>
      </c>
      <c r="D686" s="26"/>
      <c r="E686" s="24"/>
      <c r="F686" s="26"/>
      <c r="G686" s="26"/>
      <c r="H686" s="26"/>
      <c r="I686" s="26"/>
      <c r="J686" s="26"/>
      <c r="K686" s="26"/>
      <c r="L686" s="24"/>
      <c r="M686" s="24"/>
      <c r="N686" s="26"/>
      <c r="O686" s="26"/>
      <c r="P686" s="26"/>
      <c r="Q686" s="26"/>
      <c r="R686" s="26"/>
      <c r="S686" s="26"/>
      <c r="T686" s="26"/>
      <c r="U686" s="26"/>
      <c r="V686" s="26"/>
      <c r="W686" s="26">
        <f>MAX($C$9-VLOOKUP($C686,COS!$B$8:$H$991,3,FALSE),0)</f>
        <v>90257.6123046875</v>
      </c>
      <c r="X686" s="26">
        <f t="shared" si="1086"/>
        <v>5549.7242607179751</v>
      </c>
      <c r="Y686" s="26">
        <f>VLOOKUP($C686,COS!$B$8:$H$991,4,FALSE)</f>
        <v>729.4923095703125</v>
      </c>
      <c r="Z686" s="26">
        <f t="shared" si="1087"/>
        <v>44.854733745480374</v>
      </c>
      <c r="AA686" s="26">
        <f t="shared" si="1102"/>
        <v>729.4923095703125</v>
      </c>
      <c r="AB686" s="33">
        <f t="shared" si="1058"/>
        <v>44.854733745480374</v>
      </c>
    </row>
    <row r="687" spans="1:28" x14ac:dyDescent="0.3">
      <c r="A687" s="32">
        <f>VLOOKUP(YEAR(C687),Flags!$A$13:$B$95,2,FALSE)</f>
        <v>1</v>
      </c>
      <c r="B687" s="24">
        <f t="shared" si="1054"/>
        <v>1996</v>
      </c>
      <c r="C687" s="25">
        <v>35399</v>
      </c>
      <c r="D687" s="26"/>
      <c r="E687" s="24"/>
      <c r="F687" s="26"/>
      <c r="G687" s="26"/>
      <c r="H687" s="26"/>
      <c r="I687" s="26"/>
      <c r="J687" s="26"/>
      <c r="K687" s="26"/>
      <c r="L687" s="24"/>
      <c r="M687" s="24"/>
      <c r="N687" s="26"/>
      <c r="O687" s="26"/>
      <c r="P687" s="26"/>
      <c r="Q687" s="26"/>
      <c r="R687" s="26"/>
      <c r="S687" s="26"/>
      <c r="T687" s="26"/>
      <c r="U687" s="26"/>
      <c r="V687" s="26"/>
      <c r="W687" s="26">
        <f>MAX($C$10-VLOOKUP($C687,COS!$B$8:$H$991,3,FALSE),0)</f>
        <v>89483.75</v>
      </c>
      <c r="X687" s="26">
        <f t="shared" si="1086"/>
        <v>5324.6528925619832</v>
      </c>
      <c r="Y687" s="26">
        <f>VLOOKUP($C687,COS!$B$8:$H$991,4,FALSE)</f>
        <v>1822.423095703125</v>
      </c>
      <c r="Z687" s="26">
        <f t="shared" si="1087"/>
        <v>108.44170486828513</v>
      </c>
      <c r="AA687" s="26">
        <f t="shared" si="1102"/>
        <v>1822.423095703125</v>
      </c>
      <c r="AB687" s="33">
        <f t="shared" si="1058"/>
        <v>54.220852434142564</v>
      </c>
    </row>
    <row r="688" spans="1:28" x14ac:dyDescent="0.3">
      <c r="A688" s="34">
        <f>VLOOKUP(YEAR(C688),Flags!$A$13:$B$95,2,FALSE)</f>
        <v>1</v>
      </c>
      <c r="B688" s="35">
        <f t="shared" si="1054"/>
        <v>1996</v>
      </c>
      <c r="C688" s="36">
        <v>35430</v>
      </c>
      <c r="D688" s="37"/>
      <c r="E688" s="35"/>
      <c r="F688" s="37"/>
      <c r="G688" s="37"/>
      <c r="H688" s="37"/>
      <c r="I688" s="37"/>
      <c r="J688" s="37"/>
      <c r="K688" s="37"/>
      <c r="L688" s="35"/>
      <c r="M688" s="35"/>
      <c r="N688" s="37"/>
      <c r="O688" s="37"/>
      <c r="P688" s="37"/>
      <c r="Q688" s="37"/>
      <c r="R688" s="37"/>
      <c r="S688" s="37"/>
      <c r="T688" s="37"/>
      <c r="U688" s="37"/>
      <c r="V688" s="37"/>
      <c r="W688" s="37">
        <f>MAX($C$11-VLOOKUP($C688,COS!$B$8:$H$991,3,FALSE),0)</f>
        <v>0</v>
      </c>
      <c r="X688" s="37">
        <f t="shared" si="1086"/>
        <v>0</v>
      </c>
      <c r="Y688" s="37">
        <f>VLOOKUP($C688,COS!$B$8:$H$991,4,FALSE)</f>
        <v>0</v>
      </c>
      <c r="Z688" s="37">
        <f t="shared" si="1087"/>
        <v>0</v>
      </c>
      <c r="AA688" s="37">
        <f t="shared" si="1102"/>
        <v>0</v>
      </c>
      <c r="AB688" s="38">
        <f t="shared" si="1058"/>
        <v>0</v>
      </c>
    </row>
    <row r="689" spans="1:28" x14ac:dyDescent="0.3">
      <c r="A689" s="27">
        <f>VLOOKUP(YEAR(C689),Flags!$A$13:$B$95,2,FALSE)</f>
        <v>1</v>
      </c>
      <c r="B689" s="28">
        <f t="shared" si="1054"/>
        <v>1997</v>
      </c>
      <c r="C689" s="29">
        <v>35550</v>
      </c>
      <c r="D689" s="30">
        <f>VLOOKUP($C689,COS!$B$8:$H$991,3,FALSE)</f>
        <v>3250</v>
      </c>
      <c r="E689" s="28">
        <f>IF(D689&gt;=IF(MONTH($C689)=4,$C$3,IF(MONTH($C689)=5,$C$4,IF(MONTH($C689)=6,$C$5,IF(MONTH($C689)=7,$C$6,"ERROR")))),1,0)</f>
        <v>0</v>
      </c>
      <c r="F689" s="30">
        <f>VLOOKUP($C689,COS!$B$8:$H$991,7,FALSE)</f>
        <v>50.800266265869141</v>
      </c>
      <c r="G689" s="28">
        <f>IF(F689&lt;=IF(MONTH($C689)=4,$F$3,IF(MONTH($C689)=5,$F$4,IF(MONTH($C689)=6,$F$5,IF(MONTH($C689)=7,$F$6,"ERROR")))),1,0)</f>
        <v>1</v>
      </c>
      <c r="H689" s="30">
        <f>IF(J689=1,D689-$C$3,0)</f>
        <v>0</v>
      </c>
      <c r="I689" s="30">
        <f t="shared" si="1083"/>
        <v>0</v>
      </c>
      <c r="J689" s="28">
        <f t="shared" ref="J689:J692" si="1105">IF(AND(E689=1,G689=1),1,0)</f>
        <v>0</v>
      </c>
      <c r="K689" s="30">
        <f>VLOOKUP($C689,COS!$B$8:$H$991,2,FALSE)</f>
        <v>4284.2431640625</v>
      </c>
      <c r="L689" s="28">
        <f t="shared" ref="L689" si="1106">IF(K689&lt;=IF(MONTH($C689)=4,$I$3,IF(MONTH($C689)=5,$I$4,IF(MONTH($C689)=6,$I$5,IF(MONTH($C689)=7,$I$6,"ERROR")))),1,0)</f>
        <v>1</v>
      </c>
      <c r="M689" s="28">
        <f t="shared" ref="M689" si="1107">VLOOKUP($A689,$L$3:$M$7,2,FALSE)</f>
        <v>0</v>
      </c>
      <c r="N689" s="30">
        <f>VLOOKUP($C689,COS!$B$8:$H$991,5,FALSE)</f>
        <v>312.31362915039063</v>
      </c>
      <c r="O689" s="30">
        <f t="shared" ref="O689:O692" si="1108">N689*DAY($C689)*86400/43560/1000</f>
        <v>18.583951486634813</v>
      </c>
      <c r="P689" s="30">
        <f>VLOOKUP($C689,COS!$B$8:$H$991,6,FALSE)</f>
        <v>564.39752197265625</v>
      </c>
      <c r="Q689" s="30">
        <f t="shared" ref="Q689:Q692" si="1109">P689*DAY($C689)*86400/43560/1000</f>
        <v>33.583984778538223</v>
      </c>
      <c r="R689" s="30">
        <f>MIN(IF(MONTH($C689)=4,$S$3,IF(MONTH($C689)=5,$S$4,IF(MONTH($C689)=6,$S$5,IF(MONTH($C689)=7,$S$6,"ERROR")))),MAX(VLOOKUP($C689,COS!$B$8:$K$991,10,FALSE)-IF(MONTH($C689)=4,$Y$3,IF(MONTH($C689)=5,$Y$4,IF(MONTH($C689)=6,$Y$5,IF(MONTH($C689)=7,$Y$6,"ERROR")))),0),MAX(VLOOKUP($C689,COS!$B$8:$K$991,9,FALSE)-IF(MONTH($C689)=4,$V$3,IF(MONTH($C689)=5,$V$4,IF(MONTH($C689)=6,$V$5,IF(MONTH($C689)=7,$V$6,"ERROR"))))-VLOOKUP($C689,COS!$B$8:$K$991,6,FALSE)/2,0))</f>
        <v>1500</v>
      </c>
      <c r="S689" s="30">
        <f t="shared" ref="S689:S692" si="1110">R689*DAY($C689)*86400/43560/1000</f>
        <v>89.256198347107429</v>
      </c>
      <c r="T689" s="30">
        <f t="shared" ref="T689:T692" si="1111">(O689+Q689)/2+S689</f>
        <v>115.34016647969395</v>
      </c>
      <c r="U689" s="30" t="str">
        <f>IF(VLOOKUP($C689,COS!$B$8:$I$991,8,FALSE)=1,"UWFE","IBU")</f>
        <v>UWFE</v>
      </c>
      <c r="V689" s="30">
        <f t="shared" ref="V689" si="1112">MIN(IF(IF($AA$3=2,AND(E689=1,G689=1,L689=1,L694=1,M689=1,U689="IBU"),AND(E689=1,G689=1,L689=1,L694=1,M689=1)),T689,0),I689)</f>
        <v>0</v>
      </c>
      <c r="W689" s="30"/>
      <c r="X689" s="30"/>
      <c r="Y689" s="30"/>
      <c r="Z689" s="30"/>
      <c r="AA689" s="30"/>
      <c r="AB689" s="31"/>
    </row>
    <row r="690" spans="1:28" x14ac:dyDescent="0.3">
      <c r="A690" s="32">
        <f>VLOOKUP(YEAR(C690),Flags!$A$13:$B$95,2,FALSE)</f>
        <v>1</v>
      </c>
      <c r="B690" s="24">
        <f t="shared" si="1054"/>
        <v>1997</v>
      </c>
      <c r="C690" s="25">
        <v>35581</v>
      </c>
      <c r="D690" s="26">
        <f>VLOOKUP($C690,COS!$B$8:$H$991,3,FALSE)</f>
        <v>8600.0205078125</v>
      </c>
      <c r="E690" s="24">
        <f>IF(D690&gt;=IF(MONTH($C690)=4,$C$3,IF(MONTH($C690)=5,$C$4,IF(MONTH($C690)=6,$C$5,IF(MONTH($C690)=7,$C$6,"ERROR")))),1,0)</f>
        <v>1</v>
      </c>
      <c r="F690" s="26">
        <f>VLOOKUP($C690,COS!$B$8:$H$991,7,FALSE)</f>
        <v>50.114212036132813</v>
      </c>
      <c r="G690" s="24">
        <f>IF(F690&lt;=IF(MONTH($C690)=4,$F$3,IF(MONTH($C690)=5,$F$4,IF(MONTH($C690)=6,$F$5,IF(MONTH($C690)=7,$F$6,"ERROR")))),1,0)</f>
        <v>1</v>
      </c>
      <c r="H690" s="26">
        <f>IF(J690=1,D690-$C$4,0)</f>
        <v>2600.0205078125</v>
      </c>
      <c r="I690" s="26">
        <f t="shared" si="1083"/>
        <v>159.86902957128098</v>
      </c>
      <c r="J690" s="24">
        <f t="shared" si="1105"/>
        <v>1</v>
      </c>
      <c r="K690" s="26">
        <f>VLOOKUP($C690,COS!$B$8:$H$991,2,FALSE)</f>
        <v>4051.203369140625</v>
      </c>
      <c r="L690" s="24">
        <f t="shared" si="1046"/>
        <v>1</v>
      </c>
      <c r="M690" s="24">
        <f t="shared" si="1047"/>
        <v>0</v>
      </c>
      <c r="N690" s="26">
        <f>VLOOKUP($C690,COS!$B$8:$H$991,5,FALSE)</f>
        <v>869.624755859375</v>
      </c>
      <c r="O690" s="26">
        <f t="shared" si="1108"/>
        <v>53.471142013171487</v>
      </c>
      <c r="P690" s="26">
        <f>VLOOKUP($C690,COS!$B$8:$H$991,6,FALSE)</f>
        <v>2219.110107421875</v>
      </c>
      <c r="Q690" s="26">
        <f t="shared" si="1109"/>
        <v>136.44776197701447</v>
      </c>
      <c r="R690" s="26">
        <f>MIN(IF(MONTH($C690)=4,$S$3,IF(MONTH($C690)=5,$S$4,IF(MONTH($C690)=6,$S$5,IF(MONTH($C690)=7,$S$6,"ERROR")))),MAX(VLOOKUP($C690,COS!$B$8:$K$991,10,FALSE)-IF(MONTH($C690)=4,$Y$3,IF(MONTH($C690)=5,$Y$4,IF(MONTH($C690)=6,$Y$5,IF(MONTH($C690)=7,$Y$6,"ERROR")))),0),MAX(VLOOKUP($C690,COS!$B$8:$K$991,9,FALSE)-IF(MONTH($C690)=4,$V$3,IF(MONTH($C690)=5,$V$4,IF(MONTH($C690)=6,$V$5,IF(MONTH($C690)=7,$V$6,"ERROR"))))-VLOOKUP($C690,COS!$B$8:$K$991,6,FALSE)/2,0))</f>
        <v>1500</v>
      </c>
      <c r="S690" s="26">
        <f t="shared" si="1110"/>
        <v>92.231404958677686</v>
      </c>
      <c r="T690" s="26">
        <f t="shared" si="1111"/>
        <v>187.19085695377066</v>
      </c>
      <c r="U690" s="26" t="str">
        <f>IF(VLOOKUP($C690,COS!$B$8:$I$991,8,FALSE)=1,"UWFE","IBU")</f>
        <v>UWFE</v>
      </c>
      <c r="V690" s="26">
        <f t="shared" ref="V690" si="1113">MIN(IF(IF($AA$3=2,AND(E690=1,G690=1,L690=1,L694=1,M690=1,U690="IBU"),AND(E690=1,G690=1,L690=1,L694=1,M690=1)),T690,0),I690)</f>
        <v>0</v>
      </c>
      <c r="W690" s="26"/>
      <c r="X690" s="26"/>
      <c r="Y690" s="26"/>
      <c r="Z690" s="26"/>
      <c r="AA690" s="26"/>
      <c r="AB690" s="33"/>
    </row>
    <row r="691" spans="1:28" x14ac:dyDescent="0.3">
      <c r="A691" s="32">
        <f>VLOOKUP(YEAR(C691),Flags!$A$13:$B$95,2,FALSE)</f>
        <v>1</v>
      </c>
      <c r="B691" s="24">
        <f t="shared" si="1054"/>
        <v>1997</v>
      </c>
      <c r="C691" s="25">
        <v>35611</v>
      </c>
      <c r="D691" s="26">
        <f>VLOOKUP($C691,COS!$B$8:$H$991,3,FALSE)</f>
        <v>8785.2919921875</v>
      </c>
      <c r="E691" s="24">
        <f>IF(D691&gt;=IF(MONTH($C691)=4,$C$3,IF(MONTH($C691)=5,$C$4,IF(MONTH($C691)=6,$C$5,IF(MONTH($C691)=7,$C$6,"ERROR")))),1,0)</f>
        <v>0</v>
      </c>
      <c r="F691" s="26">
        <f>VLOOKUP($C691,COS!$B$8:$H$991,7,FALSE)</f>
        <v>50.868202209472656</v>
      </c>
      <c r="G691" s="24">
        <f>IF(F691&lt;=IF(MONTH($C691)=4,$F$3,IF(MONTH($C691)=5,$F$4,IF(MONTH($C691)=6,$F$5,IF(MONTH($C691)=7,$F$6,"ERROR")))),1,0)</f>
        <v>1</v>
      </c>
      <c r="H691" s="26">
        <f>IF(J691=1,D691-$C$5,0)</f>
        <v>0</v>
      </c>
      <c r="I691" s="26">
        <f t="shared" si="1083"/>
        <v>0</v>
      </c>
      <c r="J691" s="24">
        <f t="shared" si="1105"/>
        <v>0</v>
      </c>
      <c r="K691" s="26">
        <f>VLOOKUP($C691,COS!$B$8:$H$991,2,FALSE)</f>
        <v>3776.169677734375</v>
      </c>
      <c r="L691" s="24">
        <f t="shared" si="1046"/>
        <v>1</v>
      </c>
      <c r="M691" s="24">
        <f t="shared" si="1047"/>
        <v>0</v>
      </c>
      <c r="N691" s="26">
        <f>VLOOKUP($C691,COS!$B$8:$H$991,5,FALSE)</f>
        <v>771.67578125</v>
      </c>
      <c r="O691" s="26">
        <f t="shared" si="1108"/>
        <v>45.917897727272731</v>
      </c>
      <c r="P691" s="26">
        <f>VLOOKUP($C691,COS!$B$8:$H$991,6,FALSE)</f>
        <v>2299.130615234375</v>
      </c>
      <c r="Q691" s="26">
        <f t="shared" si="1109"/>
        <v>136.80777214617768</v>
      </c>
      <c r="R691" s="26">
        <f>MIN(IF(MONTH($C691)=4,$S$3,IF(MONTH($C691)=5,$S$4,IF(MONTH($C691)=6,$S$5,IF(MONTH($C691)=7,$S$6,"ERROR")))),MAX(VLOOKUP($C691,COS!$B$8:$K$991,10,FALSE)-IF(MONTH($C691)=4,$Y$3,IF(MONTH($C691)=5,$Y$4,IF(MONTH($C691)=6,$Y$5,IF(MONTH($C691)=7,$Y$6,"ERROR")))),0),MAX(VLOOKUP($C691,COS!$B$8:$K$991,9,FALSE)-IF(MONTH($C691)=4,$V$3,IF(MONTH($C691)=5,$V$4,IF(MONTH($C691)=6,$V$5,IF(MONTH($C691)=7,$V$6,"ERROR"))))-VLOOKUP($C691,COS!$B$8:$K$991,6,FALSE)/2,0))</f>
        <v>1500</v>
      </c>
      <c r="S691" s="26">
        <f t="shared" si="1110"/>
        <v>89.256198347107429</v>
      </c>
      <c r="T691" s="26">
        <f t="shared" si="1111"/>
        <v>180.61903328383264</v>
      </c>
      <c r="U691" s="26" t="str">
        <f>IF(VLOOKUP($C691,COS!$B$8:$I$991,8,FALSE)=1,"UWFE","IBU")</f>
        <v>IBU</v>
      </c>
      <c r="V691" s="26">
        <f t="shared" ref="V691" si="1114">MIN(IF(IF($AA$3=2,AND(E691=1,G691=1,L691=1,L694=1,M691=1,U691="IBU"),AND(E691=1,G691=1,L691=1,L694=1,M691=1)),T691,0),I691)</f>
        <v>0</v>
      </c>
      <c r="W691" s="26"/>
      <c r="X691" s="26"/>
      <c r="Y691" s="26"/>
      <c r="Z691" s="26"/>
      <c r="AA691" s="26"/>
      <c r="AB691" s="33"/>
    </row>
    <row r="692" spans="1:28" x14ac:dyDescent="0.3">
      <c r="A692" s="32">
        <f>VLOOKUP(YEAR(C692),Flags!$A$13:$B$95,2,FALSE)</f>
        <v>1</v>
      </c>
      <c r="B692" s="24">
        <f t="shared" si="1054"/>
        <v>1997</v>
      </c>
      <c r="C692" s="25">
        <v>35642</v>
      </c>
      <c r="D692" s="26">
        <f>VLOOKUP($C692,COS!$B$8:$H$991,3,FALSE)</f>
        <v>15565.1083984375</v>
      </c>
      <c r="E692" s="24">
        <f>IF(D692&gt;=IF(MONTH($C692)=4,$C$3,IF(MONTH($C692)=5,$C$4,IF(MONTH($C692)=6,$C$5,IF(MONTH($C692)=7,$C$6,"ERROR")))),1,0)</f>
        <v>1</v>
      </c>
      <c r="F692" s="26">
        <f>VLOOKUP($C692,COS!$B$8:$H$991,7,FALSE)</f>
        <v>51.028911590576172</v>
      </c>
      <c r="G692" s="24">
        <f>IF(F692&lt;=IF(MONTH($C692)=4,$F$3,IF(MONTH($C692)=5,$F$4,IF(MONTH($C692)=6,$F$5,IF(MONTH($C692)=7,$F$6,"ERROR")))),1,0)</f>
        <v>1</v>
      </c>
      <c r="H692" s="26">
        <f>IF(J692=1,D692-$C$6,0)</f>
        <v>3565.1083984375</v>
      </c>
      <c r="I692" s="26">
        <f t="shared" si="1083"/>
        <v>219.20997094524793</v>
      </c>
      <c r="J692" s="24">
        <f t="shared" si="1105"/>
        <v>1</v>
      </c>
      <c r="K692" s="26">
        <f>VLOOKUP($C692,COS!$B$8:$H$991,2,FALSE)</f>
        <v>3132.19189453125</v>
      </c>
      <c r="L692" s="24">
        <f t="shared" si="1046"/>
        <v>1</v>
      </c>
      <c r="M692" s="24">
        <f t="shared" si="1047"/>
        <v>0</v>
      </c>
      <c r="N692" s="26">
        <f>VLOOKUP($C692,COS!$B$8:$H$991,5,FALSE)</f>
        <v>889.0089111328125</v>
      </c>
      <c r="O692" s="26">
        <f t="shared" si="1108"/>
        <v>54.663027263042359</v>
      </c>
      <c r="P692" s="26">
        <f>VLOOKUP($C692,COS!$B$8:$H$991,6,FALSE)</f>
        <v>2607.468505859375</v>
      </c>
      <c r="Q692" s="26">
        <f t="shared" si="1109"/>
        <v>160.32698912060951</v>
      </c>
      <c r="R692" s="26">
        <f>MIN(IF(MONTH($C692)=4,$S$3,IF(MONTH($C692)=5,$S$4,IF(MONTH($C692)=6,$S$5,IF(MONTH($C692)=7,$S$6,"ERROR")))),MAX(VLOOKUP($C692,COS!$B$8:$K$991,10,FALSE)-IF(MONTH($C692)=4,$Y$3,IF(MONTH($C692)=5,$Y$4,IF(MONTH($C692)=6,$Y$5,IF(MONTH($C692)=7,$Y$6,"ERROR")))),0),MAX(VLOOKUP($C692,COS!$B$8:$K$991,9,FALSE)-IF(MONTH($C692)=4,$V$3,IF(MONTH($C692)=5,$V$4,IF(MONTH($C692)=6,$V$5,IF(MONTH($C692)=7,$V$6,"ERROR"))))-VLOOKUP($C692,COS!$B$8:$K$991,6,FALSE)/2,0))</f>
        <v>1500</v>
      </c>
      <c r="S692" s="26">
        <f t="shared" si="1110"/>
        <v>92.231404958677686</v>
      </c>
      <c r="T692" s="26">
        <f t="shared" si="1111"/>
        <v>199.72641315050362</v>
      </c>
      <c r="U692" s="26" t="str">
        <f>IF(VLOOKUP($C692,COS!$B$8:$I$991,8,FALSE)=1,"UWFE","IBU")</f>
        <v>IBU</v>
      </c>
      <c r="V692" s="26">
        <f t="shared" ref="V692" si="1115">MIN(IF(IF($AA$3=2,AND(E692=1,G692=1,L692=1,L694=1,M692=1,U692="IBU"),AND(E692=1,G692=1,L692=1,L694=1,M692=1)),T692,0),I692)</f>
        <v>0</v>
      </c>
      <c r="W692" s="26"/>
      <c r="X692" s="26"/>
      <c r="Y692" s="26"/>
      <c r="Z692" s="26"/>
      <c r="AA692" s="26"/>
      <c r="AB692" s="33"/>
    </row>
    <row r="693" spans="1:28" x14ac:dyDescent="0.3">
      <c r="A693" s="32">
        <f>VLOOKUP(YEAR(C693),Flags!$A$13:$B$95,2,FALSE)</f>
        <v>1</v>
      </c>
      <c r="B693" s="24">
        <f t="shared" si="1054"/>
        <v>1997</v>
      </c>
      <c r="C693" s="25">
        <v>35673</v>
      </c>
      <c r="D693" s="26"/>
      <c r="E693" s="24"/>
      <c r="F693" s="26"/>
      <c r="G693" s="24"/>
      <c r="H693" s="24"/>
      <c r="I693" s="26"/>
      <c r="J693" s="24"/>
      <c r="K693" s="26"/>
      <c r="L693" s="24"/>
      <c r="M693" s="24"/>
      <c r="N693" s="26"/>
      <c r="O693" s="26"/>
      <c r="P693" s="26"/>
      <c r="Q693" s="26"/>
      <c r="R693" s="26"/>
      <c r="S693" s="26"/>
      <c r="T693" s="26"/>
      <c r="U693" s="26"/>
      <c r="V693" s="26"/>
      <c r="W693" s="26">
        <f>MAX($C$7-VLOOKUP($C693,COS!$B$8:$H$991,3,FALSE),0)</f>
        <v>91754.5810546875</v>
      </c>
      <c r="X693" s="26">
        <f t="shared" si="1086"/>
        <v>5641.7692813791327</v>
      </c>
      <c r="Y693" s="26">
        <f>VLOOKUP($C693,COS!$B$8:$H$991,4,FALSE)</f>
        <v>0</v>
      </c>
      <c r="Z693" s="26">
        <f t="shared" si="1087"/>
        <v>0</v>
      </c>
      <c r="AA693" s="26">
        <f t="shared" ref="AA693:AA697" si="1116">MIN(W693,Y693)</f>
        <v>0</v>
      </c>
      <c r="AB693" s="33">
        <f t="shared" ref="AB693" si="1117">AA693*DAY($C693)*86400/43560/1000*IF(MONTH($C693)=8,$P$3,IF(MONTH($C693)=9,$P$4,IF(MONTH($C693)=10,$P$5,IF(MONTH($C693)=11,$P$6,IF(MONTH($C693)=12,$P$7,NA())))))</f>
        <v>0</v>
      </c>
    </row>
    <row r="694" spans="1:28" x14ac:dyDescent="0.3">
      <c r="A694" s="32">
        <f>VLOOKUP(YEAR(C694),Flags!$A$13:$B$95,2,FALSE)</f>
        <v>1</v>
      </c>
      <c r="B694" s="24">
        <f t="shared" si="1054"/>
        <v>1997</v>
      </c>
      <c r="C694" s="25">
        <v>35703</v>
      </c>
      <c r="D694" s="26"/>
      <c r="E694" s="24"/>
      <c r="F694" s="26"/>
      <c r="G694" s="24"/>
      <c r="H694" s="24"/>
      <c r="I694" s="26"/>
      <c r="J694" s="24"/>
      <c r="K694" s="26">
        <f>VLOOKUP($C694,COS!$B$8:$H$991,2,FALSE)</f>
        <v>2308.70703125</v>
      </c>
      <c r="L694" s="24">
        <f t="shared" ref="L694" si="1118">IF(AND(K694&gt;$I$7,K694&lt;$I$8),1,0)</f>
        <v>1</v>
      </c>
      <c r="M694" s="24"/>
      <c r="N694" s="26"/>
      <c r="O694" s="26"/>
      <c r="P694" s="26"/>
      <c r="Q694" s="26"/>
      <c r="R694" s="26"/>
      <c r="S694" s="26"/>
      <c r="T694" s="26"/>
      <c r="U694" s="26"/>
      <c r="V694" s="26"/>
      <c r="W694" s="26">
        <f>MAX($C$8-VLOOKUP($C694,COS!$B$8:$H$991,3,FALSE),0)</f>
        <v>84248.9375</v>
      </c>
      <c r="X694" s="26">
        <f t="shared" si="1086"/>
        <v>5013.1599173553714</v>
      </c>
      <c r="Y694" s="26">
        <f>VLOOKUP($C694,COS!$B$8:$H$991,4,FALSE)</f>
        <v>0</v>
      </c>
      <c r="Z694" s="26">
        <f t="shared" si="1087"/>
        <v>0</v>
      </c>
      <c r="AA694" s="26">
        <f t="shared" si="1116"/>
        <v>0</v>
      </c>
      <c r="AB694" s="33">
        <f t="shared" si="1058"/>
        <v>0</v>
      </c>
    </row>
    <row r="695" spans="1:28" x14ac:dyDescent="0.3">
      <c r="A695" s="32">
        <f>VLOOKUP(YEAR(C695),Flags!$A$13:$B$95,2,FALSE)</f>
        <v>1</v>
      </c>
      <c r="B695" s="24">
        <f t="shared" si="1054"/>
        <v>1997</v>
      </c>
      <c r="C695" s="25">
        <v>35734</v>
      </c>
      <c r="D695" s="26"/>
      <c r="E695" s="24"/>
      <c r="F695" s="26"/>
      <c r="G695" s="26"/>
      <c r="H695" s="26"/>
      <c r="I695" s="26"/>
      <c r="J695" s="26"/>
      <c r="K695" s="26"/>
      <c r="L695" s="24"/>
      <c r="M695" s="24"/>
      <c r="N695" s="26"/>
      <c r="O695" s="26"/>
      <c r="P695" s="26"/>
      <c r="Q695" s="26"/>
      <c r="R695" s="26"/>
      <c r="S695" s="26"/>
      <c r="T695" s="26"/>
      <c r="U695" s="26"/>
      <c r="V695" s="26"/>
      <c r="W695" s="26">
        <f>MAX($C$9-VLOOKUP($C695,COS!$B$8:$H$991,3,FALSE),0)</f>
        <v>89158.6005859375</v>
      </c>
      <c r="X695" s="26">
        <f t="shared" si="1086"/>
        <v>5482.1486641270658</v>
      </c>
      <c r="Y695" s="26">
        <f>VLOOKUP($C695,COS!$B$8:$H$991,4,FALSE)</f>
        <v>1005.2962646484375</v>
      </c>
      <c r="Z695" s="26">
        <f t="shared" si="1087"/>
        <v>61.813257925490703</v>
      </c>
      <c r="AA695" s="26">
        <f t="shared" si="1116"/>
        <v>1005.2962646484375</v>
      </c>
      <c r="AB695" s="33">
        <f t="shared" si="1058"/>
        <v>61.813257925490703</v>
      </c>
    </row>
    <row r="696" spans="1:28" x14ac:dyDescent="0.3">
      <c r="A696" s="32">
        <f>VLOOKUP(YEAR(C696),Flags!$A$13:$B$95,2,FALSE)</f>
        <v>1</v>
      </c>
      <c r="B696" s="24">
        <f t="shared" si="1054"/>
        <v>1997</v>
      </c>
      <c r="C696" s="25">
        <v>35764</v>
      </c>
      <c r="D696" s="26"/>
      <c r="E696" s="24"/>
      <c r="F696" s="26"/>
      <c r="G696" s="26"/>
      <c r="H696" s="26"/>
      <c r="I696" s="26"/>
      <c r="J696" s="26"/>
      <c r="K696" s="26"/>
      <c r="L696" s="24"/>
      <c r="M696" s="24"/>
      <c r="N696" s="26"/>
      <c r="O696" s="26"/>
      <c r="P696" s="26"/>
      <c r="Q696" s="26"/>
      <c r="R696" s="26"/>
      <c r="S696" s="26"/>
      <c r="T696" s="26"/>
      <c r="U696" s="26"/>
      <c r="V696" s="26"/>
      <c r="W696" s="26">
        <f>MAX($C$10-VLOOKUP($C696,COS!$B$8:$H$991,3,FALSE),0)</f>
        <v>89428.9970703125</v>
      </c>
      <c r="X696" s="26">
        <f t="shared" si="1086"/>
        <v>5321.3948669938018</v>
      </c>
      <c r="Y696" s="26">
        <f>VLOOKUP($C696,COS!$B$8:$H$991,4,FALSE)</f>
        <v>1155.107177734375</v>
      </c>
      <c r="Z696" s="26">
        <f t="shared" si="1087"/>
        <v>68.733650245351242</v>
      </c>
      <c r="AA696" s="26">
        <f t="shared" si="1116"/>
        <v>1155.107177734375</v>
      </c>
      <c r="AB696" s="33">
        <f t="shared" si="1058"/>
        <v>34.366825122675621</v>
      </c>
    </row>
    <row r="697" spans="1:28" x14ac:dyDescent="0.3">
      <c r="A697" s="34">
        <f>VLOOKUP(YEAR(C697),Flags!$A$13:$B$95,2,FALSE)</f>
        <v>1</v>
      </c>
      <c r="B697" s="35">
        <f t="shared" si="1054"/>
        <v>1997</v>
      </c>
      <c r="C697" s="36">
        <v>35795</v>
      </c>
      <c r="D697" s="37"/>
      <c r="E697" s="35"/>
      <c r="F697" s="37"/>
      <c r="G697" s="37"/>
      <c r="H697" s="37"/>
      <c r="I697" s="37"/>
      <c r="J697" s="37"/>
      <c r="K697" s="37"/>
      <c r="L697" s="35"/>
      <c r="M697" s="35"/>
      <c r="N697" s="37"/>
      <c r="O697" s="37"/>
      <c r="P697" s="37"/>
      <c r="Q697" s="37"/>
      <c r="R697" s="37"/>
      <c r="S697" s="37"/>
      <c r="T697" s="37"/>
      <c r="U697" s="37"/>
      <c r="V697" s="37"/>
      <c r="W697" s="37">
        <f>MAX($C$11-VLOOKUP($C697,COS!$B$8:$H$991,3,FALSE),0)</f>
        <v>0</v>
      </c>
      <c r="X697" s="37">
        <f t="shared" si="1086"/>
        <v>0</v>
      </c>
      <c r="Y697" s="37">
        <f>VLOOKUP($C697,COS!$B$8:$H$991,4,FALSE)</f>
        <v>0</v>
      </c>
      <c r="Z697" s="37">
        <f t="shared" si="1087"/>
        <v>0</v>
      </c>
      <c r="AA697" s="37">
        <f t="shared" si="1116"/>
        <v>0</v>
      </c>
      <c r="AB697" s="38">
        <f t="shared" si="1058"/>
        <v>0</v>
      </c>
    </row>
    <row r="698" spans="1:28" x14ac:dyDescent="0.3">
      <c r="A698" s="27">
        <f>VLOOKUP(YEAR(C698),Flags!$A$13:$B$95,2,FALSE)</f>
        <v>1</v>
      </c>
      <c r="B698" s="28">
        <f t="shared" si="1054"/>
        <v>1998</v>
      </c>
      <c r="C698" s="29">
        <v>35915</v>
      </c>
      <c r="D698" s="30">
        <f>VLOOKUP($C698,COS!$B$8:$H$991,3,FALSE)</f>
        <v>3250</v>
      </c>
      <c r="E698" s="28">
        <f>IF(D698&gt;=IF(MONTH($C698)=4,$C$3,IF(MONTH($C698)=5,$C$4,IF(MONTH($C698)=6,$C$5,IF(MONTH($C698)=7,$C$6,"ERROR")))),1,0)</f>
        <v>0</v>
      </c>
      <c r="F698" s="30">
        <f>VLOOKUP($C698,COS!$B$8:$H$991,7,FALSE)</f>
        <v>51.311630249023438</v>
      </c>
      <c r="G698" s="28">
        <f>IF(F698&lt;=IF(MONTH($C698)=4,$F$3,IF(MONTH($C698)=5,$F$4,IF(MONTH($C698)=6,$F$5,IF(MONTH($C698)=7,$F$6,"ERROR")))),1,0)</f>
        <v>1</v>
      </c>
      <c r="H698" s="30">
        <f>IF(J698=1,D698-$C$3,0)</f>
        <v>0</v>
      </c>
      <c r="I698" s="30">
        <f t="shared" si="1083"/>
        <v>0</v>
      </c>
      <c r="J698" s="28">
        <f t="shared" ref="J698:J701" si="1119">IF(AND(E698=1,G698=1),1,0)</f>
        <v>0</v>
      </c>
      <c r="K698" s="30">
        <f>VLOOKUP($C698,COS!$B$8:$H$991,2,FALSE)</f>
        <v>4367.82666015625</v>
      </c>
      <c r="L698" s="28">
        <f t="shared" ref="L698" si="1120">IF(K698&lt;=IF(MONTH($C698)=4,$I$3,IF(MONTH($C698)=5,$I$4,IF(MONTH($C698)=6,$I$5,IF(MONTH($C698)=7,$I$6,"ERROR")))),1,0)</f>
        <v>1</v>
      </c>
      <c r="M698" s="28">
        <f t="shared" ref="M698" si="1121">VLOOKUP($A698,$L$3:$M$7,2,FALSE)</f>
        <v>0</v>
      </c>
      <c r="N698" s="30">
        <f>VLOOKUP($C698,COS!$B$8:$H$991,5,FALSE)</f>
        <v>36.427017211914063</v>
      </c>
      <c r="O698" s="30">
        <f t="shared" ref="O698:O701" si="1122">N698*DAY($C698)*86400/43560/1000</f>
        <v>2.1675580489733988</v>
      </c>
      <c r="P698" s="30">
        <f>VLOOKUP($C698,COS!$B$8:$H$991,6,FALSE)</f>
        <v>359.47348022460938</v>
      </c>
      <c r="Q698" s="30">
        <f t="shared" ref="Q698:Q701" si="1123">P698*DAY($C698)*86400/43560/1000</f>
        <v>21.390157500968492</v>
      </c>
      <c r="R698" s="30">
        <f>MIN(IF(MONTH($C698)=4,$S$3,IF(MONTH($C698)=5,$S$4,IF(MONTH($C698)=6,$S$5,IF(MONTH($C698)=7,$S$6,"ERROR")))),MAX(VLOOKUP($C698,COS!$B$8:$K$991,10,FALSE)-IF(MONTH($C698)=4,$Y$3,IF(MONTH($C698)=5,$Y$4,IF(MONTH($C698)=6,$Y$5,IF(MONTH($C698)=7,$Y$6,"ERROR")))),0),MAX(VLOOKUP($C698,COS!$B$8:$K$991,9,FALSE)-IF(MONTH($C698)=4,$V$3,IF(MONTH($C698)=5,$V$4,IF(MONTH($C698)=6,$V$5,IF(MONTH($C698)=7,$V$6,"ERROR"))))-VLOOKUP($C698,COS!$B$8:$K$991,6,FALSE)/2,0))</f>
        <v>1500</v>
      </c>
      <c r="S698" s="30">
        <f t="shared" ref="S698:S701" si="1124">R698*DAY($C698)*86400/43560/1000</f>
        <v>89.256198347107429</v>
      </c>
      <c r="T698" s="30">
        <f t="shared" ref="T698:T701" si="1125">(O698+Q698)/2+S698</f>
        <v>101.03505612207837</v>
      </c>
      <c r="U698" s="30" t="str">
        <f>IF(VLOOKUP($C698,COS!$B$8:$I$991,8,FALSE)=1,"UWFE","IBU")</f>
        <v>UWFE</v>
      </c>
      <c r="V698" s="30">
        <f t="shared" ref="V698" si="1126">MIN(IF(IF($AA$3=2,AND(E698=1,G698=1,L698=1,L703=1,M698=1,U698="IBU"),AND(E698=1,G698=1,L698=1,L703=1,M698=1)),T698,0),I698)</f>
        <v>0</v>
      </c>
      <c r="W698" s="30"/>
      <c r="X698" s="30"/>
      <c r="Y698" s="30"/>
      <c r="Z698" s="30"/>
      <c r="AA698" s="30"/>
      <c r="AB698" s="31"/>
    </row>
    <row r="699" spans="1:28" x14ac:dyDescent="0.3">
      <c r="A699" s="32">
        <f>VLOOKUP(YEAR(C699),Flags!$A$13:$B$95,2,FALSE)</f>
        <v>1</v>
      </c>
      <c r="B699" s="24">
        <f t="shared" si="1054"/>
        <v>1998</v>
      </c>
      <c r="C699" s="25">
        <v>35946</v>
      </c>
      <c r="D699" s="26">
        <f>VLOOKUP($C699,COS!$B$8:$H$991,3,FALSE)</f>
        <v>14100.6455078125</v>
      </c>
      <c r="E699" s="24">
        <f>IF(D699&gt;=IF(MONTH($C699)=4,$C$3,IF(MONTH($C699)=5,$C$4,IF(MONTH($C699)=6,$C$5,IF(MONTH($C699)=7,$C$6,"ERROR")))),1,0)</f>
        <v>1</v>
      </c>
      <c r="F699" s="26">
        <f>VLOOKUP($C699,COS!$B$8:$H$991,7,FALSE)</f>
        <v>48.434772491455078</v>
      </c>
      <c r="G699" s="24">
        <f>IF(F699&lt;=IF(MONTH($C699)=4,$F$3,IF(MONTH($C699)=5,$F$4,IF(MONTH($C699)=6,$F$5,IF(MONTH($C699)=7,$F$6,"ERROR")))),1,0)</f>
        <v>1</v>
      </c>
      <c r="H699" s="26">
        <f>IF(J699=1,D699-$C$4,0)</f>
        <v>8100.6455078125</v>
      </c>
      <c r="I699" s="26">
        <f t="shared" si="1083"/>
        <v>498.08927750516534</v>
      </c>
      <c r="J699" s="24">
        <f t="shared" si="1119"/>
        <v>1</v>
      </c>
      <c r="K699" s="26">
        <f>VLOOKUP($C699,COS!$B$8:$H$991,2,FALSE)</f>
        <v>4552</v>
      </c>
      <c r="L699" s="24">
        <f t="shared" si="1046"/>
        <v>1</v>
      </c>
      <c r="M699" s="24">
        <f t="shared" si="1047"/>
        <v>0</v>
      </c>
      <c r="N699" s="26">
        <f>VLOOKUP($C699,COS!$B$8:$H$991,5,FALSE)</f>
        <v>95.197517395019531</v>
      </c>
      <c r="O699" s="26">
        <f t="shared" si="1122"/>
        <v>5.8534671852805396</v>
      </c>
      <c r="P699" s="26">
        <f>VLOOKUP($C699,COS!$B$8:$H$991,6,FALSE)</f>
        <v>1202.3902587890625</v>
      </c>
      <c r="Q699" s="26">
        <f t="shared" si="1123"/>
        <v>73.932095251162181</v>
      </c>
      <c r="R699" s="26">
        <f>MIN(IF(MONTH($C699)=4,$S$3,IF(MONTH($C699)=5,$S$4,IF(MONTH($C699)=6,$S$5,IF(MONTH($C699)=7,$S$6,"ERROR")))),MAX(VLOOKUP($C699,COS!$B$8:$K$991,10,FALSE)-IF(MONTH($C699)=4,$Y$3,IF(MONTH($C699)=5,$Y$4,IF(MONTH($C699)=6,$Y$5,IF(MONTH($C699)=7,$Y$6,"ERROR")))),0),MAX(VLOOKUP($C699,COS!$B$8:$K$991,9,FALSE)-IF(MONTH($C699)=4,$V$3,IF(MONTH($C699)=5,$V$4,IF(MONTH($C699)=6,$V$5,IF(MONTH($C699)=7,$V$6,"ERROR"))))-VLOOKUP($C699,COS!$B$8:$K$991,6,FALSE)/2,0))</f>
        <v>1500</v>
      </c>
      <c r="S699" s="26">
        <f t="shared" si="1124"/>
        <v>92.231404958677686</v>
      </c>
      <c r="T699" s="26">
        <f t="shared" si="1125"/>
        <v>132.12418617689906</v>
      </c>
      <c r="U699" s="26" t="str">
        <f>IF(VLOOKUP($C699,COS!$B$8:$I$991,8,FALSE)=1,"UWFE","IBU")</f>
        <v>UWFE</v>
      </c>
      <c r="V699" s="26">
        <f t="shared" ref="V699" si="1127">MIN(IF(IF($AA$3=2,AND(E699=1,G699=1,L699=1,L703=1,M699=1,U699="IBU"),AND(E699=1,G699=1,L699=1,L703=1,M699=1)),T699,0),I699)</f>
        <v>0</v>
      </c>
      <c r="W699" s="26"/>
      <c r="X699" s="26"/>
      <c r="Y699" s="26"/>
      <c r="Z699" s="26"/>
      <c r="AA699" s="26"/>
      <c r="AB699" s="33"/>
    </row>
    <row r="700" spans="1:28" x14ac:dyDescent="0.3">
      <c r="A700" s="32">
        <f>VLOOKUP(YEAR(C700),Flags!$A$13:$B$95,2,FALSE)</f>
        <v>1</v>
      </c>
      <c r="B700" s="24">
        <f t="shared" si="1054"/>
        <v>1998</v>
      </c>
      <c r="C700" s="25">
        <v>35976</v>
      </c>
      <c r="D700" s="26">
        <f>VLOOKUP($C700,COS!$B$8:$H$991,3,FALSE)</f>
        <v>16775.65625</v>
      </c>
      <c r="E700" s="24">
        <f>IF(D700&gt;=IF(MONTH($C700)=4,$C$3,IF(MONTH($C700)=5,$C$4,IF(MONTH($C700)=6,$C$5,IF(MONTH($C700)=7,$C$6,"ERROR")))),1,0)</f>
        <v>1</v>
      </c>
      <c r="F700" s="26">
        <f>VLOOKUP($C700,COS!$B$8:$H$991,7,FALSE)</f>
        <v>50.810955047607422</v>
      </c>
      <c r="G700" s="24">
        <f>IF(F700&lt;=IF(MONTH($C700)=4,$F$3,IF(MONTH($C700)=5,$F$4,IF(MONTH($C700)=6,$F$5,IF(MONTH($C700)=7,$F$6,"ERROR")))),1,0)</f>
        <v>1</v>
      </c>
      <c r="H700" s="26">
        <f>IF(J700=1,D700-$C$5,0)</f>
        <v>6775.65625</v>
      </c>
      <c r="I700" s="26">
        <f t="shared" si="1083"/>
        <v>403.17954545454546</v>
      </c>
      <c r="J700" s="24">
        <f t="shared" si="1119"/>
        <v>1</v>
      </c>
      <c r="K700" s="26">
        <f>VLOOKUP($C700,COS!$B$8:$H$991,2,FALSE)</f>
        <v>4500</v>
      </c>
      <c r="L700" s="24">
        <f t="shared" si="1046"/>
        <v>1</v>
      </c>
      <c r="M700" s="24">
        <f t="shared" si="1047"/>
        <v>0</v>
      </c>
      <c r="N700" s="26">
        <f>VLOOKUP($C700,COS!$B$8:$H$991,5,FALSE)</f>
        <v>1109.75537109375</v>
      </c>
      <c r="O700" s="26">
        <f t="shared" si="1122"/>
        <v>66.035030346074379</v>
      </c>
      <c r="P700" s="26">
        <f>VLOOKUP($C700,COS!$B$8:$H$991,6,FALSE)</f>
        <v>2242.28173828125</v>
      </c>
      <c r="Q700" s="26">
        <f t="shared" si="1123"/>
        <v>133.42502905475206</v>
      </c>
      <c r="R700" s="26">
        <f>MIN(IF(MONTH($C700)=4,$S$3,IF(MONTH($C700)=5,$S$4,IF(MONTH($C700)=6,$S$5,IF(MONTH($C700)=7,$S$6,"ERROR")))),MAX(VLOOKUP($C700,COS!$B$8:$K$991,10,FALSE)-IF(MONTH($C700)=4,$Y$3,IF(MONTH($C700)=5,$Y$4,IF(MONTH($C700)=6,$Y$5,IF(MONTH($C700)=7,$Y$6,"ERROR")))),0),MAX(VLOOKUP($C700,COS!$B$8:$K$991,9,FALSE)-IF(MONTH($C700)=4,$V$3,IF(MONTH($C700)=5,$V$4,IF(MONTH($C700)=6,$V$5,IF(MONTH($C700)=7,$V$6,"ERROR"))))-VLOOKUP($C700,COS!$B$8:$K$991,6,FALSE)/2,0))</f>
        <v>1500</v>
      </c>
      <c r="S700" s="26">
        <f t="shared" si="1124"/>
        <v>89.256198347107429</v>
      </c>
      <c r="T700" s="26">
        <f t="shared" si="1125"/>
        <v>188.98622804752063</v>
      </c>
      <c r="U700" s="26" t="str">
        <f>IF(VLOOKUP($C700,COS!$B$8:$I$991,8,FALSE)=1,"UWFE","IBU")</f>
        <v>UWFE</v>
      </c>
      <c r="V700" s="26">
        <f t="shared" ref="V700" si="1128">MIN(IF(IF($AA$3=2,AND(E700=1,G700=1,L700=1,L703=1,M700=1,U700="IBU"),AND(E700=1,G700=1,L700=1,L703=1,M700=1)),T700,0),I700)</f>
        <v>0</v>
      </c>
      <c r="W700" s="26"/>
      <c r="X700" s="26"/>
      <c r="Y700" s="26"/>
      <c r="Z700" s="26"/>
      <c r="AA700" s="26"/>
      <c r="AB700" s="33"/>
    </row>
    <row r="701" spans="1:28" x14ac:dyDescent="0.3">
      <c r="A701" s="32">
        <f>VLOOKUP(YEAR(C701),Flags!$A$13:$B$95,2,FALSE)</f>
        <v>1</v>
      </c>
      <c r="B701" s="24">
        <f t="shared" si="1054"/>
        <v>1998</v>
      </c>
      <c r="C701" s="25">
        <v>36007</v>
      </c>
      <c r="D701" s="26">
        <f>VLOOKUP($C701,COS!$B$8:$H$991,3,FALSE)</f>
        <v>14362.4873046875</v>
      </c>
      <c r="E701" s="24">
        <f>IF(D701&gt;=IF(MONTH($C701)=4,$C$3,IF(MONTH($C701)=5,$C$4,IF(MONTH($C701)=6,$C$5,IF(MONTH($C701)=7,$C$6,"ERROR")))),1,0)</f>
        <v>1</v>
      </c>
      <c r="F701" s="26">
        <f>VLOOKUP($C701,COS!$B$8:$H$991,7,FALSE)</f>
        <v>53.361946105957031</v>
      </c>
      <c r="G701" s="24">
        <f>IF(F701&lt;=IF(MONTH($C701)=4,$F$3,IF(MONTH($C701)=5,$F$4,IF(MONTH($C701)=6,$F$5,IF(MONTH($C701)=7,$F$6,"ERROR")))),1,0)</f>
        <v>1</v>
      </c>
      <c r="H701" s="26">
        <f>IF(J701=1,D701-$C$6,0)</f>
        <v>2362.4873046875</v>
      </c>
      <c r="I701" s="26">
        <f t="shared" si="1083"/>
        <v>145.2636822055785</v>
      </c>
      <c r="J701" s="24">
        <f t="shared" si="1119"/>
        <v>1</v>
      </c>
      <c r="K701" s="26">
        <f>VLOOKUP($C701,COS!$B$8:$H$991,2,FALSE)</f>
        <v>4150</v>
      </c>
      <c r="L701" s="24">
        <f t="shared" si="1046"/>
        <v>1</v>
      </c>
      <c r="M701" s="24">
        <f t="shared" si="1047"/>
        <v>0</v>
      </c>
      <c r="N701" s="26">
        <f>VLOOKUP($C701,COS!$B$8:$H$991,5,FALSE)</f>
        <v>1396.974609375</v>
      </c>
      <c r="O701" s="26">
        <f t="shared" si="1122"/>
        <v>85.896620609504126</v>
      </c>
      <c r="P701" s="26">
        <f>VLOOKUP($C701,COS!$B$8:$H$991,6,FALSE)</f>
        <v>2616.67822265625</v>
      </c>
      <c r="Q701" s="26">
        <f t="shared" si="1123"/>
        <v>160.89327253357436</v>
      </c>
      <c r="R701" s="26">
        <f>MIN(IF(MONTH($C701)=4,$S$3,IF(MONTH($C701)=5,$S$4,IF(MONTH($C701)=6,$S$5,IF(MONTH($C701)=7,$S$6,"ERROR")))),MAX(VLOOKUP($C701,COS!$B$8:$K$991,10,FALSE)-IF(MONTH($C701)=4,$Y$3,IF(MONTH($C701)=5,$Y$4,IF(MONTH($C701)=6,$Y$5,IF(MONTH($C701)=7,$Y$6,"ERROR")))),0),MAX(VLOOKUP($C701,COS!$B$8:$K$991,9,FALSE)-IF(MONTH($C701)=4,$V$3,IF(MONTH($C701)=5,$V$4,IF(MONTH($C701)=6,$V$5,IF(MONTH($C701)=7,$V$6,"ERROR"))))-VLOOKUP($C701,COS!$B$8:$K$991,6,FALSE)/2,0))</f>
        <v>1500</v>
      </c>
      <c r="S701" s="26">
        <f t="shared" si="1124"/>
        <v>92.231404958677686</v>
      </c>
      <c r="T701" s="26">
        <f t="shared" si="1125"/>
        <v>215.62635153021694</v>
      </c>
      <c r="U701" s="26" t="str">
        <f>IF(VLOOKUP($C701,COS!$B$8:$I$991,8,FALSE)=1,"UWFE","IBU")</f>
        <v>UWFE</v>
      </c>
      <c r="V701" s="26">
        <f t="shared" ref="V701" si="1129">MIN(IF(IF($AA$3=2,AND(E701=1,G701=1,L701=1,L703=1,M701=1,U701="IBU"),AND(E701=1,G701=1,L701=1,L703=1,M701=1)),T701,0),I701)</f>
        <v>0</v>
      </c>
      <c r="W701" s="26"/>
      <c r="X701" s="26"/>
      <c r="Y701" s="26"/>
      <c r="Z701" s="26"/>
      <c r="AA701" s="26"/>
      <c r="AB701" s="33"/>
    </row>
    <row r="702" spans="1:28" x14ac:dyDescent="0.3">
      <c r="A702" s="32">
        <f>VLOOKUP(YEAR(C702),Flags!$A$13:$B$95,2,FALSE)</f>
        <v>1</v>
      </c>
      <c r="B702" s="24">
        <f t="shared" si="1054"/>
        <v>1998</v>
      </c>
      <c r="C702" s="25">
        <v>36038</v>
      </c>
      <c r="D702" s="26"/>
      <c r="E702" s="24"/>
      <c r="F702" s="26"/>
      <c r="G702" s="24"/>
      <c r="H702" s="24"/>
      <c r="I702" s="26"/>
      <c r="J702" s="24"/>
      <c r="K702" s="26"/>
      <c r="L702" s="24"/>
      <c r="M702" s="24"/>
      <c r="N702" s="26"/>
      <c r="O702" s="26"/>
      <c r="P702" s="26"/>
      <c r="Q702" s="26"/>
      <c r="R702" s="26"/>
      <c r="S702" s="26"/>
      <c r="T702" s="26"/>
      <c r="U702" s="26"/>
      <c r="V702" s="26"/>
      <c r="W702" s="26">
        <f>MAX($C$7-VLOOKUP($C702,COS!$B$8:$H$991,3,FALSE),0)</f>
        <v>86468.90625</v>
      </c>
      <c r="X702" s="26">
        <f t="shared" si="1086"/>
        <v>5316.765805785124</v>
      </c>
      <c r="Y702" s="26">
        <f>VLOOKUP($C702,COS!$B$8:$H$991,4,FALSE)</f>
        <v>0</v>
      </c>
      <c r="Z702" s="26">
        <f t="shared" si="1087"/>
        <v>0</v>
      </c>
      <c r="AA702" s="26">
        <f t="shared" ref="AA702:AA706" si="1130">MIN(W702,Y702)</f>
        <v>0</v>
      </c>
      <c r="AB702" s="33">
        <f t="shared" ref="AB702" si="1131">AA702*DAY($C702)*86400/43560/1000*IF(MONTH($C702)=8,$P$3,IF(MONTH($C702)=9,$P$4,IF(MONTH($C702)=10,$P$5,IF(MONTH($C702)=11,$P$6,IF(MONTH($C702)=12,$P$7,NA())))))</f>
        <v>0</v>
      </c>
    </row>
    <row r="703" spans="1:28" x14ac:dyDescent="0.3">
      <c r="A703" s="32">
        <f>VLOOKUP(YEAR(C703),Flags!$A$13:$B$95,2,FALSE)</f>
        <v>1</v>
      </c>
      <c r="B703" s="24">
        <f t="shared" si="1054"/>
        <v>1998</v>
      </c>
      <c r="C703" s="25">
        <v>36068</v>
      </c>
      <c r="D703" s="26"/>
      <c r="E703" s="24"/>
      <c r="F703" s="26"/>
      <c r="G703" s="24"/>
      <c r="H703" s="24"/>
      <c r="I703" s="26"/>
      <c r="J703" s="24"/>
      <c r="K703" s="26">
        <f>VLOOKUP($C703,COS!$B$8:$H$991,2,FALSE)</f>
        <v>3400</v>
      </c>
      <c r="L703" s="24">
        <f t="shared" ref="L703" si="1132">IF(AND(K703&gt;$I$7,K703&lt;$I$8),1,0)</f>
        <v>1</v>
      </c>
      <c r="M703" s="24"/>
      <c r="N703" s="26"/>
      <c r="O703" s="26"/>
      <c r="P703" s="26"/>
      <c r="Q703" s="26"/>
      <c r="R703" s="26"/>
      <c r="S703" s="26"/>
      <c r="T703" s="26"/>
      <c r="U703" s="26"/>
      <c r="V703" s="26"/>
      <c r="W703" s="26">
        <f>MAX($C$8-VLOOKUP($C703,COS!$B$8:$H$991,3,FALSE),0)</f>
        <v>88005.72265625</v>
      </c>
      <c r="X703" s="26">
        <f t="shared" si="1086"/>
        <v>5236.7041580578507</v>
      </c>
      <c r="Y703" s="26">
        <f>VLOOKUP($C703,COS!$B$8:$H$991,4,FALSE)</f>
        <v>0</v>
      </c>
      <c r="Z703" s="26">
        <f t="shared" si="1087"/>
        <v>0</v>
      </c>
      <c r="AA703" s="26">
        <f t="shared" si="1130"/>
        <v>0</v>
      </c>
      <c r="AB703" s="33">
        <f t="shared" si="1058"/>
        <v>0</v>
      </c>
    </row>
    <row r="704" spans="1:28" x14ac:dyDescent="0.3">
      <c r="A704" s="32">
        <f>VLOOKUP(YEAR(C704),Flags!$A$13:$B$95,2,FALSE)</f>
        <v>1</v>
      </c>
      <c r="B704" s="24">
        <f t="shared" si="1054"/>
        <v>1998</v>
      </c>
      <c r="C704" s="25">
        <v>36099</v>
      </c>
      <c r="D704" s="26"/>
      <c r="E704" s="24"/>
      <c r="F704" s="26"/>
      <c r="G704" s="26"/>
      <c r="H704" s="26"/>
      <c r="I704" s="26"/>
      <c r="J704" s="26"/>
      <c r="K704" s="26"/>
      <c r="L704" s="24"/>
      <c r="M704" s="24"/>
      <c r="N704" s="26"/>
      <c r="O704" s="26"/>
      <c r="P704" s="26"/>
      <c r="Q704" s="26"/>
      <c r="R704" s="26"/>
      <c r="S704" s="26"/>
      <c r="T704" s="26"/>
      <c r="U704" s="26"/>
      <c r="V704" s="26"/>
      <c r="W704" s="26">
        <f>MAX($C$9-VLOOKUP($C704,COS!$B$8:$H$991,3,FALSE),0)</f>
        <v>90740.13671875</v>
      </c>
      <c r="X704" s="26">
        <f t="shared" si="1086"/>
        <v>5579.3935304752067</v>
      </c>
      <c r="Y704" s="26">
        <f>VLOOKUP($C704,COS!$B$8:$H$991,4,FALSE)</f>
        <v>53.249282836914063</v>
      </c>
      <c r="Z704" s="26">
        <f t="shared" si="1087"/>
        <v>3.2741707793937245</v>
      </c>
      <c r="AA704" s="26">
        <f t="shared" si="1130"/>
        <v>53.249282836914063</v>
      </c>
      <c r="AB704" s="33">
        <f t="shared" si="1058"/>
        <v>3.2741707793937245</v>
      </c>
    </row>
    <row r="705" spans="1:28" x14ac:dyDescent="0.3">
      <c r="A705" s="32">
        <f>VLOOKUP(YEAR(C705),Flags!$A$13:$B$95,2,FALSE)</f>
        <v>1</v>
      </c>
      <c r="B705" s="24">
        <f t="shared" si="1054"/>
        <v>1998</v>
      </c>
      <c r="C705" s="25">
        <v>36129</v>
      </c>
      <c r="D705" s="26"/>
      <c r="E705" s="24"/>
      <c r="F705" s="26"/>
      <c r="G705" s="26"/>
      <c r="H705" s="26"/>
      <c r="I705" s="26"/>
      <c r="J705" s="26"/>
      <c r="K705" s="26"/>
      <c r="L705" s="24"/>
      <c r="M705" s="24"/>
      <c r="N705" s="26"/>
      <c r="O705" s="26"/>
      <c r="P705" s="26"/>
      <c r="Q705" s="26"/>
      <c r="R705" s="26"/>
      <c r="S705" s="26"/>
      <c r="T705" s="26"/>
      <c r="U705" s="26"/>
      <c r="V705" s="26"/>
      <c r="W705" s="26">
        <f>MAX($C$10-VLOOKUP($C705,COS!$B$8:$H$991,3,FALSE),0)</f>
        <v>88483.4296875</v>
      </c>
      <c r="X705" s="26">
        <f t="shared" si="1086"/>
        <v>5265.129700413223</v>
      </c>
      <c r="Y705" s="26">
        <f>VLOOKUP($C705,COS!$B$8:$H$991,4,FALSE)</f>
        <v>0</v>
      </c>
      <c r="Z705" s="26">
        <f t="shared" si="1087"/>
        <v>0</v>
      </c>
      <c r="AA705" s="26">
        <f t="shared" si="1130"/>
        <v>0</v>
      </c>
      <c r="AB705" s="33">
        <f t="shared" si="1058"/>
        <v>0</v>
      </c>
    </row>
    <row r="706" spans="1:28" x14ac:dyDescent="0.3">
      <c r="A706" s="34">
        <f>VLOOKUP(YEAR(C706),Flags!$A$13:$B$95,2,FALSE)</f>
        <v>1</v>
      </c>
      <c r="B706" s="35">
        <f t="shared" si="1054"/>
        <v>1998</v>
      </c>
      <c r="C706" s="36">
        <v>36160</v>
      </c>
      <c r="D706" s="37"/>
      <c r="E706" s="35"/>
      <c r="F706" s="37"/>
      <c r="G706" s="37"/>
      <c r="H706" s="37"/>
      <c r="I706" s="37"/>
      <c r="J706" s="37"/>
      <c r="K706" s="37"/>
      <c r="L706" s="35"/>
      <c r="M706" s="35"/>
      <c r="N706" s="37"/>
      <c r="O706" s="37"/>
      <c r="P706" s="37"/>
      <c r="Q706" s="37"/>
      <c r="R706" s="37"/>
      <c r="S706" s="37"/>
      <c r="T706" s="37"/>
      <c r="U706" s="37"/>
      <c r="V706" s="37"/>
      <c r="W706" s="37">
        <f>MAX($C$11-VLOOKUP($C706,COS!$B$8:$H$991,3,FALSE),0)</f>
        <v>0</v>
      </c>
      <c r="X706" s="37">
        <f t="shared" si="1086"/>
        <v>0</v>
      </c>
      <c r="Y706" s="37">
        <f>VLOOKUP($C706,COS!$B$8:$H$991,4,FALSE)</f>
        <v>0</v>
      </c>
      <c r="Z706" s="37">
        <f t="shared" si="1087"/>
        <v>0</v>
      </c>
      <c r="AA706" s="37">
        <f t="shared" si="1130"/>
        <v>0</v>
      </c>
      <c r="AB706" s="38">
        <f t="shared" si="1058"/>
        <v>0</v>
      </c>
    </row>
    <row r="707" spans="1:28" x14ac:dyDescent="0.3">
      <c r="A707" s="27">
        <f>VLOOKUP(YEAR(C707),Flags!$A$13:$B$95,2,FALSE)</f>
        <v>1</v>
      </c>
      <c r="B707" s="28">
        <f t="shared" si="1054"/>
        <v>1999</v>
      </c>
      <c r="C707" s="29">
        <v>36280</v>
      </c>
      <c r="D707" s="30">
        <f>VLOOKUP($C707,COS!$B$8:$H$991,3,FALSE)</f>
        <v>3438.072509765625</v>
      </c>
      <c r="E707" s="28">
        <f>IF(D707&gt;=IF(MONTH($C707)=4,$C$3,IF(MONTH($C707)=5,$C$4,IF(MONTH($C707)=6,$C$5,IF(MONTH($C707)=7,$C$6,"ERROR")))),1,0)</f>
        <v>0</v>
      </c>
      <c r="F707" s="30">
        <f>VLOOKUP($C707,COS!$B$8:$H$991,7,FALSE)</f>
        <v>51.189750671386719</v>
      </c>
      <c r="G707" s="28">
        <f>IF(F707&lt;=IF(MONTH($C707)=4,$F$3,IF(MONTH($C707)=5,$F$4,IF(MONTH($C707)=6,$F$5,IF(MONTH($C707)=7,$F$6,"ERROR")))),1,0)</f>
        <v>1</v>
      </c>
      <c r="H707" s="30">
        <f>IF(J707=1,D707-$C$3,0)</f>
        <v>0</v>
      </c>
      <c r="I707" s="30">
        <f t="shared" si="1083"/>
        <v>0</v>
      </c>
      <c r="J707" s="28">
        <f t="shared" ref="J707:J710" si="1133">IF(AND(E707=1,G707=1),1,0)</f>
        <v>0</v>
      </c>
      <c r="K707" s="30">
        <f>VLOOKUP($C707,COS!$B$8:$H$991,2,FALSE)</f>
        <v>4552.10009765625</v>
      </c>
      <c r="L707" s="28">
        <f t="shared" ref="L707" si="1134">IF(K707&lt;=IF(MONTH($C707)=4,$I$3,IF(MONTH($C707)=5,$I$4,IF(MONTH($C707)=6,$I$5,IF(MONTH($C707)=7,$I$6,"ERROR")))),1,0)</f>
        <v>1</v>
      </c>
      <c r="M707" s="28">
        <f t="shared" ref="M707" si="1135">VLOOKUP($A707,$L$3:$M$7,2,FALSE)</f>
        <v>0</v>
      </c>
      <c r="N707" s="30">
        <f>VLOOKUP($C707,COS!$B$8:$H$991,5,FALSE)</f>
        <v>141.06893920898438</v>
      </c>
      <c r="O707" s="30">
        <f t="shared" ref="O707:O710" si="1136">N707*DAY($C707)*86400/43560/1000</f>
        <v>8.3941848124354355</v>
      </c>
      <c r="P707" s="30">
        <f>VLOOKUP($C707,COS!$B$8:$H$991,6,FALSE)</f>
        <v>412.21127319335938</v>
      </c>
      <c r="Q707" s="30">
        <f t="shared" ref="Q707:Q710" si="1137">P707*DAY($C707)*86400/43560/1000</f>
        <v>24.528274107373452</v>
      </c>
      <c r="R707" s="30">
        <f>MIN(IF(MONTH($C707)=4,$S$3,IF(MONTH($C707)=5,$S$4,IF(MONTH($C707)=6,$S$5,IF(MONTH($C707)=7,$S$6,"ERROR")))),MAX(VLOOKUP($C707,COS!$B$8:$K$991,10,FALSE)-IF(MONTH($C707)=4,$Y$3,IF(MONTH($C707)=5,$Y$4,IF(MONTH($C707)=6,$Y$5,IF(MONTH($C707)=7,$Y$6,"ERROR")))),0),MAX(VLOOKUP($C707,COS!$B$8:$K$991,9,FALSE)-IF(MONTH($C707)=4,$V$3,IF(MONTH($C707)=5,$V$4,IF(MONTH($C707)=6,$V$5,IF(MONTH($C707)=7,$V$6,"ERROR"))))-VLOOKUP($C707,COS!$B$8:$K$991,6,FALSE)/2,0))</f>
        <v>1500</v>
      </c>
      <c r="S707" s="30">
        <f t="shared" ref="S707:S710" si="1138">R707*DAY($C707)*86400/43560/1000</f>
        <v>89.256198347107429</v>
      </c>
      <c r="T707" s="30">
        <f t="shared" ref="T707:T710" si="1139">(O707+Q707)/2+S707</f>
        <v>105.71742780701187</v>
      </c>
      <c r="U707" s="30" t="str">
        <f>IF(VLOOKUP($C707,COS!$B$8:$I$991,8,FALSE)=1,"UWFE","IBU")</f>
        <v>UWFE</v>
      </c>
      <c r="V707" s="30">
        <f t="shared" ref="V707" si="1140">MIN(IF(IF($AA$3=2,AND(E707=1,G707=1,L707=1,L712=1,M707=1,U707="IBU"),AND(E707=1,G707=1,L707=1,L712=1,M707=1)),T707,0),I707)</f>
        <v>0</v>
      </c>
      <c r="W707" s="30"/>
      <c r="X707" s="30"/>
      <c r="Y707" s="30"/>
      <c r="Z707" s="30"/>
      <c r="AA707" s="30"/>
      <c r="AB707" s="31"/>
    </row>
    <row r="708" spans="1:28" x14ac:dyDescent="0.3">
      <c r="A708" s="32">
        <f>VLOOKUP(YEAR(C708),Flags!$A$13:$B$95,2,FALSE)</f>
        <v>1</v>
      </c>
      <c r="B708" s="24">
        <f t="shared" si="1054"/>
        <v>1999</v>
      </c>
      <c r="C708" s="25">
        <v>36311</v>
      </c>
      <c r="D708" s="26">
        <f>VLOOKUP($C708,COS!$B$8:$H$991,3,FALSE)</f>
        <v>8437.2080078125</v>
      </c>
      <c r="E708" s="24">
        <f>IF(D708&gt;=IF(MONTH($C708)=4,$C$3,IF(MONTH($C708)=5,$C$4,IF(MONTH($C708)=6,$C$5,IF(MONTH($C708)=7,$C$6,"ERROR")))),1,0)</f>
        <v>1</v>
      </c>
      <c r="F708" s="26">
        <f>VLOOKUP($C708,COS!$B$8:$H$991,7,FALSE)</f>
        <v>50.693416595458984</v>
      </c>
      <c r="G708" s="24">
        <f>IF(F708&lt;=IF(MONTH($C708)=4,$F$3,IF(MONTH($C708)=5,$F$4,IF(MONTH($C708)=6,$F$5,IF(MONTH($C708)=7,$F$6,"ERROR")))),1,0)</f>
        <v>1</v>
      </c>
      <c r="H708" s="26">
        <f>IF(J708=1,D708-$C$4,0)</f>
        <v>2437.2080078125</v>
      </c>
      <c r="I708" s="26">
        <f t="shared" si="1083"/>
        <v>149.85807915805785</v>
      </c>
      <c r="J708" s="24">
        <f t="shared" si="1133"/>
        <v>1</v>
      </c>
      <c r="K708" s="26">
        <f>VLOOKUP($C708,COS!$B$8:$H$991,2,FALSE)</f>
        <v>4552</v>
      </c>
      <c r="L708" s="24">
        <f t="shared" si="1046"/>
        <v>1</v>
      </c>
      <c r="M708" s="24">
        <f t="shared" si="1047"/>
        <v>0</v>
      </c>
      <c r="N708" s="26">
        <f>VLOOKUP($C708,COS!$B$8:$H$991,5,FALSE)</f>
        <v>838.45135498046875</v>
      </c>
      <c r="O708" s="26">
        <f t="shared" si="1136"/>
        <v>51.55436430623709</v>
      </c>
      <c r="P708" s="26">
        <f>VLOOKUP($C708,COS!$B$8:$H$991,6,FALSE)</f>
        <v>2288.578369140625</v>
      </c>
      <c r="Q708" s="26">
        <f t="shared" si="1137"/>
        <v>140.71919889591942</v>
      </c>
      <c r="R708" s="26">
        <f>MIN(IF(MONTH($C708)=4,$S$3,IF(MONTH($C708)=5,$S$4,IF(MONTH($C708)=6,$S$5,IF(MONTH($C708)=7,$S$6,"ERROR")))),MAX(VLOOKUP($C708,COS!$B$8:$K$991,10,FALSE)-IF(MONTH($C708)=4,$Y$3,IF(MONTH($C708)=5,$Y$4,IF(MONTH($C708)=6,$Y$5,IF(MONTH($C708)=7,$Y$6,"ERROR")))),0),MAX(VLOOKUP($C708,COS!$B$8:$K$991,9,FALSE)-IF(MONTH($C708)=4,$V$3,IF(MONTH($C708)=5,$V$4,IF(MONTH($C708)=6,$V$5,IF(MONTH($C708)=7,$V$6,"ERROR"))))-VLOOKUP($C708,COS!$B$8:$K$991,6,FALSE)/2,0))</f>
        <v>1500</v>
      </c>
      <c r="S708" s="26">
        <f t="shared" si="1138"/>
        <v>92.231404958677686</v>
      </c>
      <c r="T708" s="26">
        <f t="shared" si="1139"/>
        <v>188.36818655975594</v>
      </c>
      <c r="U708" s="26" t="str">
        <f>IF(VLOOKUP($C708,COS!$B$8:$I$991,8,FALSE)=1,"UWFE","IBU")</f>
        <v>UWFE</v>
      </c>
      <c r="V708" s="26">
        <f t="shared" ref="V708" si="1141">MIN(IF(IF($AA$3=2,AND(E708=1,G708=1,L708=1,L712=1,M708=1,U708="IBU"),AND(E708=1,G708=1,L708=1,L712=1,M708=1)),T708,0),I708)</f>
        <v>0</v>
      </c>
      <c r="W708" s="26"/>
      <c r="X708" s="26"/>
      <c r="Y708" s="26"/>
      <c r="Z708" s="26"/>
      <c r="AA708" s="26"/>
      <c r="AB708" s="33"/>
    </row>
    <row r="709" spans="1:28" x14ac:dyDescent="0.3">
      <c r="A709" s="32">
        <f>VLOOKUP(YEAR(C709),Flags!$A$13:$B$95,2,FALSE)</f>
        <v>1</v>
      </c>
      <c r="B709" s="24">
        <f t="shared" si="1054"/>
        <v>1999</v>
      </c>
      <c r="C709" s="25">
        <v>36341</v>
      </c>
      <c r="D709" s="26">
        <f>VLOOKUP($C709,COS!$B$8:$H$991,3,FALSE)</f>
        <v>8144.7666015625</v>
      </c>
      <c r="E709" s="24">
        <f>IF(D709&gt;=IF(MONTH($C709)=4,$C$3,IF(MONTH($C709)=5,$C$4,IF(MONTH($C709)=6,$C$5,IF(MONTH($C709)=7,$C$6,"ERROR")))),1,0)</f>
        <v>0</v>
      </c>
      <c r="F709" s="26">
        <f>VLOOKUP($C709,COS!$B$8:$H$991,7,FALSE)</f>
        <v>51.85150146484375</v>
      </c>
      <c r="G709" s="24">
        <f>IF(F709&lt;=IF(MONTH($C709)=4,$F$3,IF(MONTH($C709)=5,$F$4,IF(MONTH($C709)=6,$F$5,IF(MONTH($C709)=7,$F$6,"ERROR")))),1,0)</f>
        <v>1</v>
      </c>
      <c r="H709" s="26">
        <f>IF(J709=1,D709-$C$5,0)</f>
        <v>0</v>
      </c>
      <c r="I709" s="26">
        <f t="shared" si="1083"/>
        <v>0</v>
      </c>
      <c r="J709" s="24">
        <f t="shared" si="1133"/>
        <v>0</v>
      </c>
      <c r="K709" s="26">
        <f>VLOOKUP($C709,COS!$B$8:$H$991,2,FALSE)</f>
        <v>4382.97265625</v>
      </c>
      <c r="L709" s="24">
        <f t="shared" si="1046"/>
        <v>1</v>
      </c>
      <c r="M709" s="24">
        <f t="shared" si="1047"/>
        <v>0</v>
      </c>
      <c r="N709" s="26">
        <f>VLOOKUP($C709,COS!$B$8:$H$991,5,FALSE)</f>
        <v>1060.0843505859375</v>
      </c>
      <c r="O709" s="26">
        <f t="shared" si="1136"/>
        <v>63.079399373708675</v>
      </c>
      <c r="P709" s="26">
        <f>VLOOKUP($C709,COS!$B$8:$H$991,6,FALSE)</f>
        <v>2226.599365234375</v>
      </c>
      <c r="Q709" s="26">
        <f t="shared" si="1137"/>
        <v>132.4918630552686</v>
      </c>
      <c r="R709" s="26">
        <f>MIN(IF(MONTH($C709)=4,$S$3,IF(MONTH($C709)=5,$S$4,IF(MONTH($C709)=6,$S$5,IF(MONTH($C709)=7,$S$6,"ERROR")))),MAX(VLOOKUP($C709,COS!$B$8:$K$991,10,FALSE)-IF(MONTH($C709)=4,$Y$3,IF(MONTH($C709)=5,$Y$4,IF(MONTH($C709)=6,$Y$5,IF(MONTH($C709)=7,$Y$6,"ERROR")))),0),MAX(VLOOKUP($C709,COS!$B$8:$K$991,9,FALSE)-IF(MONTH($C709)=4,$V$3,IF(MONTH($C709)=5,$V$4,IF(MONTH($C709)=6,$V$5,IF(MONTH($C709)=7,$V$6,"ERROR"))))-VLOOKUP($C709,COS!$B$8:$K$991,6,FALSE)/2,0))</f>
        <v>1500</v>
      </c>
      <c r="S709" s="26">
        <f t="shared" si="1138"/>
        <v>89.256198347107429</v>
      </c>
      <c r="T709" s="26">
        <f t="shared" si="1139"/>
        <v>187.04182956159605</v>
      </c>
      <c r="U709" s="26" t="str">
        <f>IF(VLOOKUP($C709,COS!$B$8:$I$991,8,FALSE)=1,"UWFE","IBU")</f>
        <v>UWFE</v>
      </c>
      <c r="V709" s="26">
        <f t="shared" ref="V709" si="1142">MIN(IF(IF($AA$3=2,AND(E709=1,G709=1,L709=1,L712=1,M709=1,U709="IBU"),AND(E709=1,G709=1,L709=1,L712=1,M709=1)),T709,0),I709)</f>
        <v>0</v>
      </c>
      <c r="W709" s="26"/>
      <c r="X709" s="26"/>
      <c r="Y709" s="26"/>
      <c r="Z709" s="26"/>
      <c r="AA709" s="26"/>
      <c r="AB709" s="33"/>
    </row>
    <row r="710" spans="1:28" x14ac:dyDescent="0.3">
      <c r="A710" s="32">
        <f>VLOOKUP(YEAR(C710),Flags!$A$13:$B$95,2,FALSE)</f>
        <v>1</v>
      </c>
      <c r="B710" s="24">
        <f t="shared" si="1054"/>
        <v>1999</v>
      </c>
      <c r="C710" s="25">
        <v>36372</v>
      </c>
      <c r="D710" s="26">
        <f>VLOOKUP($C710,COS!$B$8:$H$991,3,FALSE)</f>
        <v>16000</v>
      </c>
      <c r="E710" s="24">
        <f>IF(D710&gt;=IF(MONTH($C710)=4,$C$3,IF(MONTH($C710)=5,$C$4,IF(MONTH($C710)=6,$C$5,IF(MONTH($C710)=7,$C$6,"ERROR")))),1,0)</f>
        <v>1</v>
      </c>
      <c r="F710" s="26">
        <f>VLOOKUP($C710,COS!$B$8:$H$991,7,FALSE)</f>
        <v>51.293598175048828</v>
      </c>
      <c r="G710" s="24">
        <f>IF(F710&lt;=IF(MONTH($C710)=4,$F$3,IF(MONTH($C710)=5,$F$4,IF(MONTH($C710)=6,$F$5,IF(MONTH($C710)=7,$F$6,"ERROR")))),1,0)</f>
        <v>1</v>
      </c>
      <c r="H710" s="26">
        <f>IF(J710=1,D710-$C$6,0)</f>
        <v>4000</v>
      </c>
      <c r="I710" s="26">
        <f t="shared" si="1083"/>
        <v>245.95041322314049</v>
      </c>
      <c r="J710" s="24">
        <f t="shared" si="1133"/>
        <v>1</v>
      </c>
      <c r="K710" s="26">
        <f>VLOOKUP($C710,COS!$B$8:$H$991,2,FALSE)</f>
        <v>3724.72216796875</v>
      </c>
      <c r="L710" s="24">
        <f t="shared" si="1046"/>
        <v>1</v>
      </c>
      <c r="M710" s="24">
        <f t="shared" si="1047"/>
        <v>0</v>
      </c>
      <c r="N710" s="26">
        <f>VLOOKUP($C710,COS!$B$8:$H$991,5,FALSE)</f>
        <v>1277.9014892578125</v>
      </c>
      <c r="O710" s="26">
        <f t="shared" si="1136"/>
        <v>78.575099835356411</v>
      </c>
      <c r="P710" s="26">
        <f>VLOOKUP($C710,COS!$B$8:$H$991,6,FALSE)</f>
        <v>2616.67822265625</v>
      </c>
      <c r="Q710" s="26">
        <f t="shared" si="1137"/>
        <v>160.89327253357436</v>
      </c>
      <c r="R710" s="26">
        <f>MIN(IF(MONTH($C710)=4,$S$3,IF(MONTH($C710)=5,$S$4,IF(MONTH($C710)=6,$S$5,IF(MONTH($C710)=7,$S$6,"ERROR")))),MAX(VLOOKUP($C710,COS!$B$8:$K$991,10,FALSE)-IF(MONTH($C710)=4,$Y$3,IF(MONTH($C710)=5,$Y$4,IF(MONTH($C710)=6,$Y$5,IF(MONTH($C710)=7,$Y$6,"ERROR")))),0),MAX(VLOOKUP($C710,COS!$B$8:$K$991,9,FALSE)-IF(MONTH($C710)=4,$V$3,IF(MONTH($C710)=5,$V$4,IF(MONTH($C710)=6,$V$5,IF(MONTH($C710)=7,$V$6,"ERROR"))))-VLOOKUP($C710,COS!$B$8:$K$991,6,FALSE)/2,0))</f>
        <v>1500</v>
      </c>
      <c r="S710" s="26">
        <f t="shared" si="1138"/>
        <v>92.231404958677686</v>
      </c>
      <c r="T710" s="26">
        <f t="shared" si="1139"/>
        <v>211.96559114314306</v>
      </c>
      <c r="U710" s="26" t="str">
        <f>IF(VLOOKUP($C710,COS!$B$8:$I$991,8,FALSE)=1,"UWFE","IBU")</f>
        <v>IBU</v>
      </c>
      <c r="V710" s="26">
        <f t="shared" ref="V710" si="1143">MIN(IF(IF($AA$3=2,AND(E710=1,G710=1,L710=1,L712=1,M710=1,U710="IBU"),AND(E710=1,G710=1,L710=1,L712=1,M710=1)),T710,0),I710)</f>
        <v>0</v>
      </c>
      <c r="W710" s="26"/>
      <c r="X710" s="26"/>
      <c r="Y710" s="26"/>
      <c r="Z710" s="26"/>
      <c r="AA710" s="26"/>
      <c r="AB710" s="33"/>
    </row>
    <row r="711" spans="1:28" x14ac:dyDescent="0.3">
      <c r="A711" s="32">
        <f>VLOOKUP(YEAR(C711),Flags!$A$13:$B$95,2,FALSE)</f>
        <v>1</v>
      </c>
      <c r="B711" s="24">
        <f t="shared" si="1054"/>
        <v>1999</v>
      </c>
      <c r="C711" s="25">
        <v>36403</v>
      </c>
      <c r="D711" s="26"/>
      <c r="E711" s="24"/>
      <c r="F711" s="26"/>
      <c r="G711" s="24"/>
      <c r="H711" s="24"/>
      <c r="I711" s="26"/>
      <c r="J711" s="24"/>
      <c r="K711" s="26"/>
      <c r="L711" s="24"/>
      <c r="M711" s="24"/>
      <c r="N711" s="26"/>
      <c r="O711" s="26"/>
      <c r="P711" s="26"/>
      <c r="Q711" s="26"/>
      <c r="R711" s="26"/>
      <c r="S711" s="26"/>
      <c r="T711" s="26"/>
      <c r="U711" s="26"/>
      <c r="V711" s="26"/>
      <c r="W711" s="26">
        <f>MAX($C$7-VLOOKUP($C711,COS!$B$8:$H$991,3,FALSE),0)</f>
        <v>90285.5068359375</v>
      </c>
      <c r="X711" s="26">
        <f t="shared" si="1086"/>
        <v>5551.4394285898761</v>
      </c>
      <c r="Y711" s="26">
        <f>VLOOKUP($C711,COS!$B$8:$H$991,4,FALSE)</f>
        <v>0</v>
      </c>
      <c r="Z711" s="26">
        <f t="shared" si="1087"/>
        <v>0</v>
      </c>
      <c r="AA711" s="26">
        <f t="shared" ref="AA711:AA715" si="1144">MIN(W711,Y711)</f>
        <v>0</v>
      </c>
      <c r="AB711" s="33">
        <f t="shared" ref="AB711" si="1145">AA711*DAY($C711)*86400/43560/1000*IF(MONTH($C711)=8,$P$3,IF(MONTH($C711)=9,$P$4,IF(MONTH($C711)=10,$P$5,IF(MONTH($C711)=11,$P$6,IF(MONTH($C711)=12,$P$7,NA())))))</f>
        <v>0</v>
      </c>
    </row>
    <row r="712" spans="1:28" x14ac:dyDescent="0.3">
      <c r="A712" s="32">
        <f>VLOOKUP(YEAR(C712),Flags!$A$13:$B$95,2,FALSE)</f>
        <v>1</v>
      </c>
      <c r="B712" s="24">
        <f t="shared" si="1054"/>
        <v>1999</v>
      </c>
      <c r="C712" s="25">
        <v>36433</v>
      </c>
      <c r="D712" s="26"/>
      <c r="E712" s="24"/>
      <c r="F712" s="26"/>
      <c r="G712" s="24"/>
      <c r="H712" s="24"/>
      <c r="I712" s="26"/>
      <c r="J712" s="24"/>
      <c r="K712" s="26">
        <f>VLOOKUP($C712,COS!$B$8:$H$991,2,FALSE)</f>
        <v>2879.5078125</v>
      </c>
      <c r="L712" s="24">
        <f t="shared" ref="L712" si="1146">IF(AND(K712&gt;$I$7,K712&lt;$I$8),1,0)</f>
        <v>1</v>
      </c>
      <c r="M712" s="24"/>
      <c r="N712" s="26"/>
      <c r="O712" s="26"/>
      <c r="P712" s="26"/>
      <c r="Q712" s="26"/>
      <c r="R712" s="26"/>
      <c r="S712" s="26"/>
      <c r="T712" s="26"/>
      <c r="U712" s="26"/>
      <c r="V712" s="26"/>
      <c r="W712" s="26">
        <f>MAX($C$8-VLOOKUP($C712,COS!$B$8:$H$991,3,FALSE),0)</f>
        <v>85063.7509765625</v>
      </c>
      <c r="X712" s="26">
        <f t="shared" si="1086"/>
        <v>5061.6446862086777</v>
      </c>
      <c r="Y712" s="26">
        <f>VLOOKUP($C712,COS!$B$8:$H$991,4,FALSE)</f>
        <v>0</v>
      </c>
      <c r="Z712" s="26">
        <f t="shared" si="1087"/>
        <v>0</v>
      </c>
      <c r="AA712" s="26">
        <f t="shared" si="1144"/>
        <v>0</v>
      </c>
      <c r="AB712" s="33">
        <f t="shared" si="1058"/>
        <v>0</v>
      </c>
    </row>
    <row r="713" spans="1:28" x14ac:dyDescent="0.3">
      <c r="A713" s="32">
        <f>VLOOKUP(YEAR(C713),Flags!$A$13:$B$95,2,FALSE)</f>
        <v>1</v>
      </c>
      <c r="B713" s="24">
        <f t="shared" si="1054"/>
        <v>1999</v>
      </c>
      <c r="C713" s="25">
        <v>36464</v>
      </c>
      <c r="D713" s="26"/>
      <c r="E713" s="24"/>
      <c r="F713" s="26"/>
      <c r="G713" s="26"/>
      <c r="H713" s="26"/>
      <c r="I713" s="26"/>
      <c r="J713" s="26"/>
      <c r="K713" s="26"/>
      <c r="L713" s="24"/>
      <c r="M713" s="24"/>
      <c r="N713" s="26"/>
      <c r="O713" s="26"/>
      <c r="P713" s="26"/>
      <c r="Q713" s="26"/>
      <c r="R713" s="26"/>
      <c r="S713" s="26"/>
      <c r="T713" s="26"/>
      <c r="U713" s="26"/>
      <c r="V713" s="26"/>
      <c r="W713" s="26">
        <f>MAX($C$9-VLOOKUP($C713,COS!$B$8:$H$991,3,FALSE),0)</f>
        <v>88700.0185546875</v>
      </c>
      <c r="X713" s="26">
        <f t="shared" si="1086"/>
        <v>5453.9515541064047</v>
      </c>
      <c r="Y713" s="26">
        <f>VLOOKUP($C713,COS!$B$8:$H$991,4,FALSE)</f>
        <v>1020.4207763671875</v>
      </c>
      <c r="Z713" s="26">
        <f t="shared" si="1087"/>
        <v>62.7432279022469</v>
      </c>
      <c r="AA713" s="26">
        <f t="shared" si="1144"/>
        <v>1020.4207763671875</v>
      </c>
      <c r="AB713" s="33">
        <f t="shared" si="1058"/>
        <v>62.7432279022469</v>
      </c>
    </row>
    <row r="714" spans="1:28" x14ac:dyDescent="0.3">
      <c r="A714" s="32">
        <f>VLOOKUP(YEAR(C714),Flags!$A$13:$B$95,2,FALSE)</f>
        <v>1</v>
      </c>
      <c r="B714" s="24">
        <f t="shared" si="1054"/>
        <v>1999</v>
      </c>
      <c r="C714" s="25">
        <v>36494</v>
      </c>
      <c r="D714" s="26"/>
      <c r="E714" s="24"/>
      <c r="F714" s="26"/>
      <c r="G714" s="26"/>
      <c r="H714" s="26"/>
      <c r="I714" s="26"/>
      <c r="J714" s="26"/>
      <c r="K714" s="26"/>
      <c r="L714" s="24"/>
      <c r="M714" s="24"/>
      <c r="N714" s="26"/>
      <c r="O714" s="26"/>
      <c r="P714" s="26"/>
      <c r="Q714" s="26"/>
      <c r="R714" s="26"/>
      <c r="S714" s="26"/>
      <c r="T714" s="26"/>
      <c r="U714" s="26"/>
      <c r="V714" s="26"/>
      <c r="W714" s="26">
        <f>MAX($C$10-VLOOKUP($C714,COS!$B$8:$H$991,3,FALSE),0)</f>
        <v>86044.97265625</v>
      </c>
      <c r="X714" s="26">
        <f t="shared" si="1086"/>
        <v>5120.031430785124</v>
      </c>
      <c r="Y714" s="26">
        <f>VLOOKUP($C714,COS!$B$8:$H$991,4,FALSE)</f>
        <v>1214.3294677734375</v>
      </c>
      <c r="Z714" s="26">
        <f t="shared" si="1087"/>
        <v>72.257621222882221</v>
      </c>
      <c r="AA714" s="26">
        <f t="shared" si="1144"/>
        <v>1214.3294677734375</v>
      </c>
      <c r="AB714" s="33">
        <f t="shared" si="1058"/>
        <v>36.128810611441111</v>
      </c>
    </row>
    <row r="715" spans="1:28" x14ac:dyDescent="0.3">
      <c r="A715" s="34">
        <f>VLOOKUP(YEAR(C715),Flags!$A$13:$B$95,2,FALSE)</f>
        <v>1</v>
      </c>
      <c r="B715" s="35">
        <f t="shared" si="1054"/>
        <v>1999</v>
      </c>
      <c r="C715" s="36">
        <v>36525</v>
      </c>
      <c r="D715" s="37"/>
      <c r="E715" s="35"/>
      <c r="F715" s="37"/>
      <c r="G715" s="37"/>
      <c r="H715" s="37"/>
      <c r="I715" s="37"/>
      <c r="J715" s="37"/>
      <c r="K715" s="37"/>
      <c r="L715" s="35"/>
      <c r="M715" s="35"/>
      <c r="N715" s="37"/>
      <c r="O715" s="37"/>
      <c r="P715" s="37"/>
      <c r="Q715" s="37"/>
      <c r="R715" s="37"/>
      <c r="S715" s="37"/>
      <c r="T715" s="37"/>
      <c r="U715" s="37"/>
      <c r="V715" s="37"/>
      <c r="W715" s="37">
        <f>MAX($C$11-VLOOKUP($C715,COS!$B$8:$H$991,3,FALSE),0)</f>
        <v>0</v>
      </c>
      <c r="X715" s="37">
        <f t="shared" si="1086"/>
        <v>0</v>
      </c>
      <c r="Y715" s="37">
        <f>VLOOKUP($C715,COS!$B$8:$H$991,4,FALSE)</f>
        <v>0</v>
      </c>
      <c r="Z715" s="37">
        <f t="shared" si="1087"/>
        <v>0</v>
      </c>
      <c r="AA715" s="37">
        <f t="shared" si="1144"/>
        <v>0</v>
      </c>
      <c r="AB715" s="38">
        <f t="shared" si="1058"/>
        <v>0</v>
      </c>
    </row>
    <row r="716" spans="1:28" x14ac:dyDescent="0.3">
      <c r="A716" s="27">
        <f>VLOOKUP(YEAR(C716),Flags!$A$13:$B$95,2,FALSE)</f>
        <v>2</v>
      </c>
      <c r="B716" s="28">
        <f t="shared" si="1054"/>
        <v>2000</v>
      </c>
      <c r="C716" s="29">
        <v>36646</v>
      </c>
      <c r="D716" s="30">
        <f>VLOOKUP($C716,COS!$B$8:$H$991,3,FALSE)</f>
        <v>3250</v>
      </c>
      <c r="E716" s="28">
        <f>IF(D716&gt;=IF(MONTH($C716)=4,$C$3,IF(MONTH($C716)=5,$C$4,IF(MONTH($C716)=6,$C$5,IF(MONTH($C716)=7,$C$6,"ERROR")))),1,0)</f>
        <v>0</v>
      </c>
      <c r="F716" s="30">
        <f>VLOOKUP($C716,COS!$B$8:$H$991,7,FALSE)</f>
        <v>53.549808502197266</v>
      </c>
      <c r="G716" s="28">
        <f>IF(F716&lt;=IF(MONTH($C716)=4,$F$3,IF(MONTH($C716)=5,$F$4,IF(MONTH($C716)=6,$F$5,IF(MONTH($C716)=7,$F$6,"ERROR")))),1,0)</f>
        <v>1</v>
      </c>
      <c r="H716" s="30">
        <f>IF(J716=1,D716-$C$3,0)</f>
        <v>0</v>
      </c>
      <c r="I716" s="30">
        <f t="shared" si="1083"/>
        <v>0</v>
      </c>
      <c r="J716" s="28">
        <f t="shared" ref="J716:J719" si="1147">IF(AND(E716=1,G716=1),1,0)</f>
        <v>0</v>
      </c>
      <c r="K716" s="30">
        <f>VLOOKUP($C716,COS!$B$8:$H$991,2,FALSE)</f>
        <v>4550.50927734375</v>
      </c>
      <c r="L716" s="28">
        <f t="shared" ref="L716:L737" si="1148">IF(K716&lt;=IF(MONTH($C716)=4,$I$3,IF(MONTH($C716)=5,$I$4,IF(MONTH($C716)=6,$I$5,IF(MONTH($C716)=7,$I$6,"ERROR")))),1,0)</f>
        <v>1</v>
      </c>
      <c r="M716" s="28">
        <f t="shared" ref="M716:M737" si="1149">VLOOKUP($A716,$L$3:$M$7,2,FALSE)</f>
        <v>0</v>
      </c>
      <c r="N716" s="30">
        <f>VLOOKUP($C716,COS!$B$8:$H$991,5,FALSE)</f>
        <v>37.464950561523438</v>
      </c>
      <c r="O716" s="30">
        <f t="shared" ref="O716:O719" si="1150">N716*DAY($C716)*86400/43560/1000</f>
        <v>2.2293193722559401</v>
      </c>
      <c r="P716" s="30">
        <f>VLOOKUP($C716,COS!$B$8:$H$991,6,FALSE)</f>
        <v>403.17050170898438</v>
      </c>
      <c r="Q716" s="30">
        <f t="shared" ref="Q716:Q719" si="1151">P716*DAY($C716)*86400/43560/1000</f>
        <v>23.990310845493283</v>
      </c>
      <c r="R716" s="30">
        <f>MIN(IF(MONTH($C716)=4,$S$3,IF(MONTH($C716)=5,$S$4,IF(MONTH($C716)=6,$S$5,IF(MONTH($C716)=7,$S$6,"ERROR")))),MAX(VLOOKUP($C716,COS!$B$8:$K$991,10,FALSE)-IF(MONTH($C716)=4,$Y$3,IF(MONTH($C716)=5,$Y$4,IF(MONTH($C716)=6,$Y$5,IF(MONTH($C716)=7,$Y$6,"ERROR")))),0),MAX(VLOOKUP($C716,COS!$B$8:$K$991,9,FALSE)-IF(MONTH($C716)=4,$V$3,IF(MONTH($C716)=5,$V$4,IF(MONTH($C716)=6,$V$5,IF(MONTH($C716)=7,$V$6,"ERROR"))))-VLOOKUP($C716,COS!$B$8:$K$991,6,FALSE)/2,0))</f>
        <v>1500</v>
      </c>
      <c r="S716" s="30">
        <f t="shared" ref="S716:S719" si="1152">R716*DAY($C716)*86400/43560/1000</f>
        <v>89.256198347107429</v>
      </c>
      <c r="T716" s="30">
        <f t="shared" ref="T716:T719" si="1153">(O716+Q716)/2+S716</f>
        <v>102.36601345598204</v>
      </c>
      <c r="U716" s="30" t="str">
        <f>IF(VLOOKUP($C716,COS!$B$8:$I$991,8,FALSE)=1,"UWFE","IBU")</f>
        <v>UWFE</v>
      </c>
      <c r="V716" s="30">
        <f t="shared" ref="V716" si="1154">MIN(IF(IF($AA$3=2,AND(E716=1,G716=1,L716=1,L721=1,M716=1,U716="IBU"),AND(E716=1,G716=1,L716=1,L721=1,M716=1)),T716,0),I716)</f>
        <v>0</v>
      </c>
      <c r="W716" s="30"/>
      <c r="X716" s="30"/>
      <c r="Y716" s="30"/>
      <c r="Z716" s="30"/>
      <c r="AA716" s="30"/>
      <c r="AB716" s="31"/>
    </row>
    <row r="717" spans="1:28" x14ac:dyDescent="0.3">
      <c r="A717" s="32">
        <f>VLOOKUP(YEAR(C717),Flags!$A$13:$B$95,2,FALSE)</f>
        <v>2</v>
      </c>
      <c r="B717" s="24">
        <f t="shared" si="1054"/>
        <v>2000</v>
      </c>
      <c r="C717" s="25">
        <v>36677</v>
      </c>
      <c r="D717" s="26">
        <f>VLOOKUP($C717,COS!$B$8:$H$991,3,FALSE)</f>
        <v>7298.4775390625</v>
      </c>
      <c r="E717" s="24">
        <f>IF(D717&gt;=IF(MONTH($C717)=4,$C$3,IF(MONTH($C717)=5,$C$4,IF(MONTH($C717)=6,$C$5,IF(MONTH($C717)=7,$C$6,"ERROR")))),1,0)</f>
        <v>1</v>
      </c>
      <c r="F717" s="26">
        <f>VLOOKUP($C717,COS!$B$8:$H$991,7,FALSE)</f>
        <v>51.98187255859375</v>
      </c>
      <c r="G717" s="24">
        <f>IF(F717&lt;=IF(MONTH($C717)=4,$F$3,IF(MONTH($C717)=5,$F$4,IF(MONTH($C717)=6,$F$5,IF(MONTH($C717)=7,$F$6,"ERROR")))),1,0)</f>
        <v>1</v>
      </c>
      <c r="H717" s="26">
        <f>IF(J717=1,D717-$C$4,0)</f>
        <v>1298.4775390625</v>
      </c>
      <c r="I717" s="26">
        <f t="shared" si="1083"/>
        <v>79.840271823347109</v>
      </c>
      <c r="J717" s="24">
        <f t="shared" si="1147"/>
        <v>1</v>
      </c>
      <c r="K717" s="26">
        <f>VLOOKUP($C717,COS!$B$8:$H$991,2,FALSE)</f>
        <v>4552</v>
      </c>
      <c r="L717" s="24">
        <f t="shared" si="1148"/>
        <v>1</v>
      </c>
      <c r="M717" s="24">
        <f t="shared" si="1149"/>
        <v>0</v>
      </c>
      <c r="N717" s="26">
        <f>VLOOKUP($C717,COS!$B$8:$H$991,5,FALSE)</f>
        <v>651.51641845703125</v>
      </c>
      <c r="O717" s="26">
        <f t="shared" si="1150"/>
        <v>40.060183085291833</v>
      </c>
      <c r="P717" s="26">
        <f>VLOOKUP($C717,COS!$B$8:$H$991,6,FALSE)</f>
        <v>1855.6585693359375</v>
      </c>
      <c r="Q717" s="26">
        <f t="shared" si="1151"/>
        <v>114.09999798230888</v>
      </c>
      <c r="R717" s="26">
        <f>MIN(IF(MONTH($C717)=4,$S$3,IF(MONTH($C717)=5,$S$4,IF(MONTH($C717)=6,$S$5,IF(MONTH($C717)=7,$S$6,"ERROR")))),MAX(VLOOKUP($C717,COS!$B$8:$K$991,10,FALSE)-IF(MONTH($C717)=4,$Y$3,IF(MONTH($C717)=5,$Y$4,IF(MONTH($C717)=6,$Y$5,IF(MONTH($C717)=7,$Y$6,"ERROR")))),0),MAX(VLOOKUP($C717,COS!$B$8:$K$991,9,FALSE)-IF(MONTH($C717)=4,$V$3,IF(MONTH($C717)=5,$V$4,IF(MONTH($C717)=6,$V$5,IF(MONTH($C717)=7,$V$6,"ERROR"))))-VLOOKUP($C717,COS!$B$8:$K$991,6,FALSE)/2,0))</f>
        <v>1500</v>
      </c>
      <c r="S717" s="26">
        <f t="shared" si="1152"/>
        <v>92.231404958677686</v>
      </c>
      <c r="T717" s="26">
        <f t="shared" si="1153"/>
        <v>169.31149549247806</v>
      </c>
      <c r="U717" s="26" t="str">
        <f>IF(VLOOKUP($C717,COS!$B$8:$I$991,8,FALSE)=1,"UWFE","IBU")</f>
        <v>UWFE</v>
      </c>
      <c r="V717" s="26">
        <f t="shared" ref="V717" si="1155">MIN(IF(IF($AA$3=2,AND(E717=1,G717=1,L717=1,L721=1,M717=1,U717="IBU"),AND(E717=1,G717=1,L717=1,L721=1,M717=1)),T717,0),I717)</f>
        <v>0</v>
      </c>
      <c r="W717" s="26"/>
      <c r="X717" s="26"/>
      <c r="Y717" s="26"/>
      <c r="Z717" s="26"/>
      <c r="AA717" s="26"/>
      <c r="AB717" s="33"/>
    </row>
    <row r="718" spans="1:28" x14ac:dyDescent="0.3">
      <c r="A718" s="32">
        <f>VLOOKUP(YEAR(C718),Flags!$A$13:$B$95,2,FALSE)</f>
        <v>2</v>
      </c>
      <c r="B718" s="24">
        <f t="shared" si="1054"/>
        <v>2000</v>
      </c>
      <c r="C718" s="25">
        <v>36707</v>
      </c>
      <c r="D718" s="26">
        <f>VLOOKUP($C718,COS!$B$8:$H$991,3,FALSE)</f>
        <v>12915.84765625</v>
      </c>
      <c r="E718" s="24">
        <f>IF(D718&gt;=IF(MONTH($C718)=4,$C$3,IF(MONTH($C718)=5,$C$4,IF(MONTH($C718)=6,$C$5,IF(MONTH($C718)=7,$C$6,"ERROR")))),1,0)</f>
        <v>1</v>
      </c>
      <c r="F718" s="26">
        <f>VLOOKUP($C718,COS!$B$8:$H$991,7,FALSE)</f>
        <v>51.933616638183594</v>
      </c>
      <c r="G718" s="24">
        <f>IF(F718&lt;=IF(MONTH($C718)=4,$F$3,IF(MONTH($C718)=5,$F$4,IF(MONTH($C718)=6,$F$5,IF(MONTH($C718)=7,$F$6,"ERROR")))),1,0)</f>
        <v>1</v>
      </c>
      <c r="H718" s="26">
        <f>IF(J718=1,D718-$C$5,0)</f>
        <v>2915.84765625</v>
      </c>
      <c r="I718" s="26">
        <f t="shared" si="1083"/>
        <v>173.50498450413224</v>
      </c>
      <c r="J718" s="24">
        <f t="shared" si="1147"/>
        <v>1</v>
      </c>
      <c r="K718" s="26">
        <f>VLOOKUP($C718,COS!$B$8:$H$991,2,FALSE)</f>
        <v>4064.68359375</v>
      </c>
      <c r="L718" s="24">
        <f t="shared" si="1148"/>
        <v>1</v>
      </c>
      <c r="M718" s="24">
        <f t="shared" si="1149"/>
        <v>0</v>
      </c>
      <c r="N718" s="26">
        <f>VLOOKUP($C718,COS!$B$8:$H$991,5,FALSE)</f>
        <v>1133.98681640625</v>
      </c>
      <c r="O718" s="26">
        <f t="shared" si="1150"/>
        <v>67.476901472107429</v>
      </c>
      <c r="P718" s="26">
        <f>VLOOKUP($C718,COS!$B$8:$H$991,6,FALSE)</f>
        <v>2300.9248046875</v>
      </c>
      <c r="Q718" s="26">
        <f t="shared" si="1151"/>
        <v>136.91453383264462</v>
      </c>
      <c r="R718" s="26">
        <f>MIN(IF(MONTH($C718)=4,$S$3,IF(MONTH($C718)=5,$S$4,IF(MONTH($C718)=6,$S$5,IF(MONTH($C718)=7,$S$6,"ERROR")))),MAX(VLOOKUP($C718,COS!$B$8:$K$991,10,FALSE)-IF(MONTH($C718)=4,$Y$3,IF(MONTH($C718)=5,$Y$4,IF(MONTH($C718)=6,$Y$5,IF(MONTH($C718)=7,$Y$6,"ERROR")))),0),MAX(VLOOKUP($C718,COS!$B$8:$K$991,9,FALSE)-IF(MONTH($C718)=4,$V$3,IF(MONTH($C718)=5,$V$4,IF(MONTH($C718)=6,$V$5,IF(MONTH($C718)=7,$V$6,"ERROR"))))-VLOOKUP($C718,COS!$B$8:$K$991,6,FALSE)/2,0))</f>
        <v>1500</v>
      </c>
      <c r="S718" s="26">
        <f t="shared" si="1152"/>
        <v>89.256198347107429</v>
      </c>
      <c r="T718" s="26">
        <f t="shared" si="1153"/>
        <v>191.45191599948345</v>
      </c>
      <c r="U718" s="26" t="str">
        <f>IF(VLOOKUP($C718,COS!$B$8:$I$991,8,FALSE)=1,"UWFE","IBU")</f>
        <v>IBU</v>
      </c>
      <c r="V718" s="26">
        <f t="shared" ref="V718" si="1156">MIN(IF(IF($AA$3=2,AND(E718=1,G718=1,L718=1,L721=1,M718=1,U718="IBU"),AND(E718=1,G718=1,L718=1,L721=1,M718=1)),T718,0),I718)</f>
        <v>0</v>
      </c>
      <c r="W718" s="26"/>
      <c r="X718" s="26"/>
      <c r="Y718" s="26"/>
      <c r="Z718" s="26"/>
      <c r="AA718" s="26"/>
      <c r="AB718" s="33"/>
    </row>
    <row r="719" spans="1:28" x14ac:dyDescent="0.3">
      <c r="A719" s="32">
        <f>VLOOKUP(YEAR(C719),Flags!$A$13:$B$95,2,FALSE)</f>
        <v>2</v>
      </c>
      <c r="B719" s="24">
        <f t="shared" ref="B719:B742" si="1157">YEAR(C719)</f>
        <v>2000</v>
      </c>
      <c r="C719" s="25">
        <v>36738</v>
      </c>
      <c r="D719" s="26">
        <f>VLOOKUP($C719,COS!$B$8:$H$991,3,FALSE)</f>
        <v>16243.5498046875</v>
      </c>
      <c r="E719" s="24">
        <f>IF(D719&gt;=IF(MONTH($C719)=4,$C$3,IF(MONTH($C719)=5,$C$4,IF(MONTH($C719)=6,$C$5,IF(MONTH($C719)=7,$C$6,"ERROR")))),1,0)</f>
        <v>1</v>
      </c>
      <c r="F719" s="26">
        <f>VLOOKUP($C719,COS!$B$8:$H$991,7,FALSE)</f>
        <v>51.968482971191406</v>
      </c>
      <c r="G719" s="24">
        <f>IF(F719&lt;=IF(MONTH($C719)=4,$F$3,IF(MONTH($C719)=5,$F$4,IF(MONTH($C719)=6,$F$5,IF(MONTH($C719)=7,$F$6,"ERROR")))),1,0)</f>
        <v>1</v>
      </c>
      <c r="H719" s="26">
        <f>IF(J719=1,D719-$C$6,0)</f>
        <v>4243.5498046875</v>
      </c>
      <c r="I719" s="26">
        <f t="shared" si="1083"/>
        <v>260.92570699896697</v>
      </c>
      <c r="J719" s="24">
        <f t="shared" si="1147"/>
        <v>1</v>
      </c>
      <c r="K719" s="26">
        <f>VLOOKUP($C719,COS!$B$8:$H$991,2,FALSE)</f>
        <v>3391.262451171875</v>
      </c>
      <c r="L719" s="24">
        <f t="shared" si="1148"/>
        <v>1</v>
      </c>
      <c r="M719" s="24">
        <f t="shared" si="1149"/>
        <v>0</v>
      </c>
      <c r="N719" s="26">
        <f>VLOOKUP($C719,COS!$B$8:$H$991,5,FALSE)</f>
        <v>1372.8363037109375</v>
      </c>
      <c r="O719" s="26">
        <f t="shared" si="1150"/>
        <v>84.412414046358478</v>
      </c>
      <c r="P719" s="26">
        <f>VLOOKUP($C719,COS!$B$8:$H$991,6,FALSE)</f>
        <v>2562.892822265625</v>
      </c>
      <c r="Q719" s="26">
        <f t="shared" si="1151"/>
        <v>157.58613717071282</v>
      </c>
      <c r="R719" s="26">
        <f>MIN(IF(MONTH($C719)=4,$S$3,IF(MONTH($C719)=5,$S$4,IF(MONTH($C719)=6,$S$5,IF(MONTH($C719)=7,$S$6,"ERROR")))),MAX(VLOOKUP($C719,COS!$B$8:$K$991,10,FALSE)-IF(MONTH($C719)=4,$Y$3,IF(MONTH($C719)=5,$Y$4,IF(MONTH($C719)=6,$Y$5,IF(MONTH($C719)=7,$Y$6,"ERROR")))),0),MAX(VLOOKUP($C719,COS!$B$8:$K$991,9,FALSE)-IF(MONTH($C719)=4,$V$3,IF(MONTH($C719)=5,$V$4,IF(MONTH($C719)=6,$V$5,IF(MONTH($C719)=7,$V$6,"ERROR"))))-VLOOKUP($C719,COS!$B$8:$K$991,6,FALSE)/2,0))</f>
        <v>1500</v>
      </c>
      <c r="S719" s="26">
        <f t="shared" si="1152"/>
        <v>92.231404958677686</v>
      </c>
      <c r="T719" s="26">
        <f t="shared" si="1153"/>
        <v>213.23068056721331</v>
      </c>
      <c r="U719" s="26" t="str">
        <f>IF(VLOOKUP($C719,COS!$B$8:$I$991,8,FALSE)=1,"UWFE","IBU")</f>
        <v>IBU</v>
      </c>
      <c r="V719" s="26">
        <f t="shared" ref="V719" si="1158">MIN(IF(IF($AA$3=2,AND(E719=1,G719=1,L719=1,L721=1,M719=1,U719="IBU"),AND(E719=1,G719=1,L719=1,L721=1,M719=1)),T719,0),I719)</f>
        <v>0</v>
      </c>
      <c r="W719" s="26"/>
      <c r="X719" s="26"/>
      <c r="Y719" s="26"/>
      <c r="Z719" s="26"/>
      <c r="AA719" s="26"/>
      <c r="AB719" s="33"/>
    </row>
    <row r="720" spans="1:28" x14ac:dyDescent="0.3">
      <c r="A720" s="32">
        <f>VLOOKUP(YEAR(C720),Flags!$A$13:$B$95,2,FALSE)</f>
        <v>2</v>
      </c>
      <c r="B720" s="24">
        <f t="shared" si="1157"/>
        <v>2000</v>
      </c>
      <c r="C720" s="25">
        <v>36769</v>
      </c>
      <c r="D720" s="26"/>
      <c r="E720" s="24"/>
      <c r="F720" s="26"/>
      <c r="G720" s="24"/>
      <c r="H720" s="24"/>
      <c r="I720" s="26"/>
      <c r="J720" s="24"/>
      <c r="K720" s="26"/>
      <c r="L720" s="24"/>
      <c r="M720" s="24"/>
      <c r="N720" s="26"/>
      <c r="O720" s="26"/>
      <c r="P720" s="26"/>
      <c r="Q720" s="26"/>
      <c r="R720" s="26"/>
      <c r="S720" s="26"/>
      <c r="T720" s="26"/>
      <c r="U720" s="26"/>
      <c r="V720" s="26"/>
      <c r="W720" s="26">
        <f>MAX($C$7-VLOOKUP($C720,COS!$B$8:$H$991,3,FALSE),0)</f>
        <v>89268.6640625</v>
      </c>
      <c r="X720" s="26">
        <f t="shared" si="1086"/>
        <v>5488.9162035123964</v>
      </c>
      <c r="Y720" s="26">
        <f>VLOOKUP($C720,COS!$B$8:$H$991,4,FALSE)</f>
        <v>0</v>
      </c>
      <c r="Z720" s="26">
        <f t="shared" si="1087"/>
        <v>0</v>
      </c>
      <c r="AA720" s="26">
        <f t="shared" ref="AA720:AA724" si="1159">MIN(W720,Y720)</f>
        <v>0</v>
      </c>
      <c r="AB720" s="33">
        <f t="shared" ref="AB720:AB742" si="1160">AA720*DAY($C720)*86400/43560/1000*IF(MONTH($C720)=8,$P$3,IF(MONTH($C720)=9,$P$4,IF(MONTH($C720)=10,$P$5,IF(MONTH($C720)=11,$P$6,IF(MONTH($C720)=12,$P$7,NA())))))</f>
        <v>0</v>
      </c>
    </row>
    <row r="721" spans="1:28" x14ac:dyDescent="0.3">
      <c r="A721" s="32">
        <f>VLOOKUP(YEAR(C721),Flags!$A$13:$B$95,2,FALSE)</f>
        <v>2</v>
      </c>
      <c r="B721" s="24">
        <f t="shared" si="1157"/>
        <v>2000</v>
      </c>
      <c r="C721" s="25">
        <v>36799</v>
      </c>
      <c r="D721" s="26"/>
      <c r="E721" s="24"/>
      <c r="F721" s="26"/>
      <c r="G721" s="24"/>
      <c r="H721" s="24"/>
      <c r="I721" s="26"/>
      <c r="J721" s="24"/>
      <c r="K721" s="26">
        <f>VLOOKUP($C721,COS!$B$8:$H$991,2,FALSE)</f>
        <v>2897.057861328125</v>
      </c>
      <c r="L721" s="24">
        <f t="shared" ref="L721" si="1161">IF(AND(K721&gt;$I$7,K721&lt;$I$8),1,0)</f>
        <v>1</v>
      </c>
      <c r="M721" s="24"/>
      <c r="N721" s="26"/>
      <c r="O721" s="26"/>
      <c r="P721" s="26"/>
      <c r="Q721" s="26"/>
      <c r="R721" s="26"/>
      <c r="S721" s="26"/>
      <c r="T721" s="26"/>
      <c r="U721" s="26"/>
      <c r="V721" s="26"/>
      <c r="W721" s="26">
        <f>MAX($C$8-VLOOKUP($C721,COS!$B$8:$H$991,3,FALSE),0)</f>
        <v>89757.765625</v>
      </c>
      <c r="X721" s="26">
        <f t="shared" si="1086"/>
        <v>5340.9579545454544</v>
      </c>
      <c r="Y721" s="26">
        <f>VLOOKUP($C721,COS!$B$8:$H$991,4,FALSE)</f>
        <v>0</v>
      </c>
      <c r="Z721" s="26">
        <f t="shared" si="1087"/>
        <v>0</v>
      </c>
      <c r="AA721" s="26">
        <f t="shared" si="1159"/>
        <v>0</v>
      </c>
      <c r="AB721" s="33">
        <f t="shared" si="1160"/>
        <v>0</v>
      </c>
    </row>
    <row r="722" spans="1:28" x14ac:dyDescent="0.3">
      <c r="A722" s="32">
        <f>VLOOKUP(YEAR(C722),Flags!$A$13:$B$95,2,FALSE)</f>
        <v>2</v>
      </c>
      <c r="B722" s="24">
        <f t="shared" si="1157"/>
        <v>2000</v>
      </c>
      <c r="C722" s="25">
        <v>36830</v>
      </c>
      <c r="D722" s="26"/>
      <c r="E722" s="24"/>
      <c r="F722" s="26"/>
      <c r="G722" s="26"/>
      <c r="H722" s="26"/>
      <c r="I722" s="26"/>
      <c r="J722" s="26"/>
      <c r="K722" s="26"/>
      <c r="L722" s="24"/>
      <c r="M722" s="24"/>
      <c r="N722" s="26"/>
      <c r="O722" s="26"/>
      <c r="P722" s="26"/>
      <c r="Q722" s="26"/>
      <c r="R722" s="26"/>
      <c r="S722" s="26"/>
      <c r="T722" s="26"/>
      <c r="U722" s="26"/>
      <c r="V722" s="26"/>
      <c r="W722" s="26">
        <f>MAX($C$9-VLOOKUP($C722,COS!$B$8:$H$991,3,FALSE),0)</f>
        <v>91791.708984375</v>
      </c>
      <c r="X722" s="26">
        <f t="shared" si="1086"/>
        <v>5644.0521887913228</v>
      </c>
      <c r="Y722" s="26">
        <f>VLOOKUP($C722,COS!$B$8:$H$991,4,FALSE)</f>
        <v>877.78619384765625</v>
      </c>
      <c r="Z722" s="26">
        <f t="shared" si="1087"/>
        <v>53.972969274599684</v>
      </c>
      <c r="AA722" s="26">
        <f t="shared" si="1159"/>
        <v>877.78619384765625</v>
      </c>
      <c r="AB722" s="33">
        <f t="shared" si="1160"/>
        <v>53.972969274599684</v>
      </c>
    </row>
    <row r="723" spans="1:28" x14ac:dyDescent="0.3">
      <c r="A723" s="32">
        <f>VLOOKUP(YEAR(C723),Flags!$A$13:$B$95,2,FALSE)</f>
        <v>2</v>
      </c>
      <c r="B723" s="24">
        <f t="shared" si="1157"/>
        <v>2000</v>
      </c>
      <c r="C723" s="25">
        <v>36860</v>
      </c>
      <c r="D723" s="26"/>
      <c r="E723" s="24"/>
      <c r="F723" s="26"/>
      <c r="G723" s="26"/>
      <c r="H723" s="26"/>
      <c r="I723" s="26"/>
      <c r="J723" s="26"/>
      <c r="K723" s="26"/>
      <c r="L723" s="24"/>
      <c r="M723" s="24"/>
      <c r="N723" s="26"/>
      <c r="O723" s="26"/>
      <c r="P723" s="26"/>
      <c r="Q723" s="26"/>
      <c r="R723" s="26"/>
      <c r="S723" s="26"/>
      <c r="T723" s="26"/>
      <c r="U723" s="26"/>
      <c r="V723" s="26"/>
      <c r="W723" s="26">
        <f>MAX($C$10-VLOOKUP($C723,COS!$B$8:$H$991,3,FALSE),0)</f>
        <v>88170.9169921875</v>
      </c>
      <c r="X723" s="26">
        <f t="shared" si="1086"/>
        <v>5246.5339036673549</v>
      </c>
      <c r="Y723" s="26">
        <f>VLOOKUP($C723,COS!$B$8:$H$991,4,FALSE)</f>
        <v>1047.9903564453125</v>
      </c>
      <c r="Z723" s="26">
        <f t="shared" si="1087"/>
        <v>62.359756747159089</v>
      </c>
      <c r="AA723" s="26">
        <f t="shared" si="1159"/>
        <v>1047.9903564453125</v>
      </c>
      <c r="AB723" s="33">
        <f t="shared" si="1160"/>
        <v>31.179878373579545</v>
      </c>
    </row>
    <row r="724" spans="1:28" x14ac:dyDescent="0.3">
      <c r="A724" s="34">
        <f>VLOOKUP(YEAR(C724),Flags!$A$13:$B$95,2,FALSE)</f>
        <v>2</v>
      </c>
      <c r="B724" s="35">
        <f t="shared" si="1157"/>
        <v>2000</v>
      </c>
      <c r="C724" s="36">
        <v>36891</v>
      </c>
      <c r="D724" s="37"/>
      <c r="E724" s="35"/>
      <c r="F724" s="37"/>
      <c r="G724" s="37"/>
      <c r="H724" s="37"/>
      <c r="I724" s="37"/>
      <c r="J724" s="37"/>
      <c r="K724" s="37"/>
      <c r="L724" s="35"/>
      <c r="M724" s="35"/>
      <c r="N724" s="37"/>
      <c r="O724" s="37"/>
      <c r="P724" s="37"/>
      <c r="Q724" s="37"/>
      <c r="R724" s="37"/>
      <c r="S724" s="37"/>
      <c r="T724" s="37"/>
      <c r="U724" s="37"/>
      <c r="V724" s="37"/>
      <c r="W724" s="37">
        <f>MAX($C$11-VLOOKUP($C724,COS!$B$8:$H$991,3,FALSE),0)</f>
        <v>0</v>
      </c>
      <c r="X724" s="37">
        <f t="shared" si="1086"/>
        <v>0</v>
      </c>
      <c r="Y724" s="37">
        <f>VLOOKUP($C724,COS!$B$8:$H$991,4,FALSE)</f>
        <v>1045.7059326171875</v>
      </c>
      <c r="Z724" s="37">
        <f t="shared" si="1087"/>
        <v>64.297951559271695</v>
      </c>
      <c r="AA724" s="37">
        <f t="shared" si="1159"/>
        <v>0</v>
      </c>
      <c r="AB724" s="38">
        <f t="shared" si="1160"/>
        <v>0</v>
      </c>
    </row>
    <row r="725" spans="1:28" x14ac:dyDescent="0.3">
      <c r="A725" s="27">
        <f>VLOOKUP(YEAR(C725),Flags!$A$13:$B$95,2,FALSE)</f>
        <v>4</v>
      </c>
      <c r="B725" s="28">
        <f t="shared" si="1157"/>
        <v>2001</v>
      </c>
      <c r="C725" s="29">
        <v>37011</v>
      </c>
      <c r="D725" s="30">
        <f>VLOOKUP($C725,COS!$B$8:$H$991,3,FALSE)</f>
        <v>3250</v>
      </c>
      <c r="E725" s="28">
        <f>IF(D725&gt;=IF(MONTH($C725)=4,$C$3,IF(MONTH($C725)=5,$C$4,IF(MONTH($C725)=6,$C$5,IF(MONTH($C725)=7,$C$6,"ERROR")))),1,0)</f>
        <v>0</v>
      </c>
      <c r="F725" s="30">
        <f>VLOOKUP($C725,COS!$B$8:$H$991,7,FALSE)</f>
        <v>51.856029510498047</v>
      </c>
      <c r="G725" s="28">
        <f>IF(F725&lt;=IF(MONTH($C725)=4,$F$3,IF(MONTH($C725)=5,$F$4,IF(MONTH($C725)=6,$F$5,IF(MONTH($C725)=7,$F$6,"ERROR")))),1,0)</f>
        <v>1</v>
      </c>
      <c r="H725" s="30">
        <f>IF(J725=1,D725-$C$3,0)</f>
        <v>0</v>
      </c>
      <c r="I725" s="30">
        <f t="shared" si="1083"/>
        <v>0</v>
      </c>
      <c r="J725" s="28">
        <f t="shared" ref="J725:J728" si="1162">IF(AND(E725=1,G725=1),1,0)</f>
        <v>0</v>
      </c>
      <c r="K725" s="30">
        <f>VLOOKUP($C725,COS!$B$8:$H$991,2,FALSE)</f>
        <v>3754.83837890625</v>
      </c>
      <c r="L725" s="28">
        <f t="shared" ref="L725" si="1163">IF(K725&lt;=IF(MONTH($C725)=4,$I$3,IF(MONTH($C725)=5,$I$4,IF(MONTH($C725)=6,$I$5,IF(MONTH($C725)=7,$I$6,"ERROR")))),1,0)</f>
        <v>1</v>
      </c>
      <c r="M725" s="28">
        <f t="shared" ref="M725" si="1164">VLOOKUP($A725,$L$3:$M$7,2,FALSE)</f>
        <v>1</v>
      </c>
      <c r="N725" s="30">
        <f>VLOOKUP($C725,COS!$B$8:$H$991,5,FALSE)</f>
        <v>153.87185668945313</v>
      </c>
      <c r="O725" s="30">
        <f t="shared" ref="O725:O728" si="1165">N725*DAY($C725)*86400/43560/1000</f>
        <v>9.1560113071410125</v>
      </c>
      <c r="P725" s="30">
        <f>VLOOKUP($C725,COS!$B$8:$H$991,6,FALSE)</f>
        <v>425.27017211914063</v>
      </c>
      <c r="Q725" s="30">
        <f t="shared" ref="Q725:Q728" si="1166">P725*DAY($C725)*86400/43560/1000</f>
        <v>25.305332555849692</v>
      </c>
      <c r="R725" s="30">
        <f>MIN(IF(MONTH($C725)=4,$S$3,IF(MONTH($C725)=5,$S$4,IF(MONTH($C725)=6,$S$5,IF(MONTH($C725)=7,$S$6,"ERROR")))),MAX(VLOOKUP($C725,COS!$B$8:$K$991,10,FALSE)-IF(MONTH($C725)=4,$Y$3,IF(MONTH($C725)=5,$Y$4,IF(MONTH($C725)=6,$Y$5,IF(MONTH($C725)=7,$Y$6,"ERROR")))),0),MAX(VLOOKUP($C725,COS!$B$8:$K$991,9,FALSE)-IF(MONTH($C725)=4,$V$3,IF(MONTH($C725)=5,$V$4,IF(MONTH($C725)=6,$V$5,IF(MONTH($C725)=7,$V$6,"ERROR"))))-VLOOKUP($C725,COS!$B$8:$K$991,6,FALSE)/2,0))</f>
        <v>1418.6572265625</v>
      </c>
      <c r="S725" s="30">
        <f t="shared" ref="S725:S728" si="1167">R725*DAY($C725)*86400/43560/1000</f>
        <v>84.415967200413235</v>
      </c>
      <c r="T725" s="30">
        <f t="shared" ref="T725:T728" si="1168">(O725+Q725)/2+S725</f>
        <v>101.64663913190859</v>
      </c>
      <c r="U725" s="30" t="str">
        <f>IF(VLOOKUP($C725,COS!$B$8:$I$991,8,FALSE)=1,"UWFE","IBU")</f>
        <v>UWFE</v>
      </c>
      <c r="V725" s="30">
        <f t="shared" ref="V725" si="1169">MIN(IF(IF($AA$3=2,AND(E725=1,G725=1,L725=1,L730=1,M725=1,U725="IBU"),AND(E725=1,G725=1,L725=1,L730=1,M725=1)),T725,0),I725)</f>
        <v>0</v>
      </c>
      <c r="W725" s="30"/>
      <c r="X725" s="30"/>
      <c r="Y725" s="30"/>
      <c r="Z725" s="30"/>
      <c r="AA725" s="30"/>
      <c r="AB725" s="31"/>
    </row>
    <row r="726" spans="1:28" x14ac:dyDescent="0.3">
      <c r="A726" s="32">
        <f>VLOOKUP(YEAR(C726),Flags!$A$13:$B$95,2,FALSE)</f>
        <v>4</v>
      </c>
      <c r="B726" s="24">
        <f t="shared" si="1157"/>
        <v>2001</v>
      </c>
      <c r="C726" s="25">
        <v>37042</v>
      </c>
      <c r="D726" s="26">
        <f>VLOOKUP($C726,COS!$B$8:$H$991,3,FALSE)</f>
        <v>9349.091796875</v>
      </c>
      <c r="E726" s="24">
        <f>IF(D726&gt;=IF(MONTH($C726)=4,$C$3,IF(MONTH($C726)=5,$C$4,IF(MONTH($C726)=6,$C$5,IF(MONTH($C726)=7,$C$6,"ERROR")))),1,0)</f>
        <v>1</v>
      </c>
      <c r="F726" s="26">
        <f>VLOOKUP($C726,COS!$B$8:$H$991,7,FALSE)</f>
        <v>51.669788360595703</v>
      </c>
      <c r="G726" s="24">
        <f>IF(F726&lt;=IF(MONTH($C726)=4,$F$3,IF(MONTH($C726)=5,$F$4,IF(MONTH($C726)=6,$F$5,IF(MONTH($C726)=7,$F$6,"ERROR")))),1,0)</f>
        <v>1</v>
      </c>
      <c r="H726" s="26">
        <f>IF(J726=1,D726-$C$4,0)</f>
        <v>3349.091796875</v>
      </c>
      <c r="I726" s="26">
        <f t="shared" si="1083"/>
        <v>205.92762784090908</v>
      </c>
      <c r="J726" s="24">
        <f t="shared" si="1162"/>
        <v>1</v>
      </c>
      <c r="K726" s="26">
        <f>VLOOKUP($C726,COS!$B$8:$H$991,2,FALSE)</f>
        <v>3513.1181640625</v>
      </c>
      <c r="L726" s="24">
        <f t="shared" si="1148"/>
        <v>1</v>
      </c>
      <c r="M726" s="24">
        <f t="shared" si="1149"/>
        <v>1</v>
      </c>
      <c r="N726" s="26">
        <f>VLOOKUP($C726,COS!$B$8:$H$991,5,FALSE)</f>
        <v>131.51080322265625</v>
      </c>
      <c r="O726" s="26">
        <f t="shared" si="1165"/>
        <v>8.0862840989798546</v>
      </c>
      <c r="P726" s="26">
        <f>VLOOKUP($C726,COS!$B$8:$H$991,6,FALSE)</f>
        <v>2330.0556640625</v>
      </c>
      <c r="Q726" s="26">
        <f t="shared" si="1166"/>
        <v>143.26953835227275</v>
      </c>
      <c r="R726" s="26">
        <f>MIN(IF(MONTH($C726)=4,$S$3,IF(MONTH($C726)=5,$S$4,IF(MONTH($C726)=6,$S$5,IF(MONTH($C726)=7,$S$6,"ERROR")))),MAX(VLOOKUP($C726,COS!$B$8:$K$991,10,FALSE)-IF(MONTH($C726)=4,$Y$3,IF(MONTH($C726)=5,$Y$4,IF(MONTH($C726)=6,$Y$5,IF(MONTH($C726)=7,$Y$6,"ERROR")))),0),MAX(VLOOKUP($C726,COS!$B$8:$K$991,9,FALSE)-IF(MONTH($C726)=4,$V$3,IF(MONTH($C726)=5,$V$4,IF(MONTH($C726)=6,$V$5,IF(MONTH($C726)=7,$V$6,"ERROR"))))-VLOOKUP($C726,COS!$B$8:$K$991,6,FALSE)/2,0))</f>
        <v>1500</v>
      </c>
      <c r="S726" s="26">
        <f t="shared" si="1167"/>
        <v>92.231404958677686</v>
      </c>
      <c r="T726" s="26">
        <f t="shared" si="1168"/>
        <v>167.90931618430398</v>
      </c>
      <c r="U726" s="26" t="str">
        <f>IF(VLOOKUP($C726,COS!$B$8:$I$991,8,FALSE)=1,"UWFE","IBU")</f>
        <v>IBU</v>
      </c>
      <c r="V726" s="26">
        <f t="shared" ref="V726" si="1170">MIN(IF(IF($AA$3=2,AND(E726=1,G726=1,L726=1,L730=1,M726=1,U726="IBU"),AND(E726=1,G726=1,L726=1,L730=1,M726=1)),T726,0),I726)</f>
        <v>167.90931618430398</v>
      </c>
      <c r="W726" s="26"/>
      <c r="X726" s="26"/>
      <c r="Y726" s="26"/>
      <c r="Z726" s="26"/>
      <c r="AA726" s="26"/>
      <c r="AB726" s="33"/>
    </row>
    <row r="727" spans="1:28" x14ac:dyDescent="0.3">
      <c r="A727" s="32">
        <f>VLOOKUP(YEAR(C727),Flags!$A$13:$B$95,2,FALSE)</f>
        <v>4</v>
      </c>
      <c r="B727" s="24">
        <f t="shared" si="1157"/>
        <v>2001</v>
      </c>
      <c r="C727" s="25">
        <v>37072</v>
      </c>
      <c r="D727" s="26">
        <f>VLOOKUP($C727,COS!$B$8:$H$991,3,FALSE)</f>
        <v>13580.42578125</v>
      </c>
      <c r="E727" s="24">
        <f>IF(D727&gt;=IF(MONTH($C727)=4,$C$3,IF(MONTH($C727)=5,$C$4,IF(MONTH($C727)=6,$C$5,IF(MONTH($C727)=7,$C$6,"ERROR")))),1,0)</f>
        <v>1</v>
      </c>
      <c r="F727" s="26">
        <f>VLOOKUP($C727,COS!$B$8:$H$991,7,FALSE)</f>
        <v>52.129489898681641</v>
      </c>
      <c r="G727" s="24">
        <f>IF(F727&lt;=IF(MONTH($C727)=4,$F$3,IF(MONTH($C727)=5,$F$4,IF(MONTH($C727)=6,$F$5,IF(MONTH($C727)=7,$F$6,"ERROR")))),1,0)</f>
        <v>1</v>
      </c>
      <c r="H727" s="26">
        <f>IF(J727=1,D727-$C$5,0)</f>
        <v>3580.42578125</v>
      </c>
      <c r="I727" s="26">
        <f t="shared" si="1083"/>
        <v>213.0501291322314</v>
      </c>
      <c r="J727" s="24">
        <f t="shared" si="1162"/>
        <v>1</v>
      </c>
      <c r="K727" s="26">
        <f>VLOOKUP($C727,COS!$B$8:$H$991,2,FALSE)</f>
        <v>3084.426025390625</v>
      </c>
      <c r="L727" s="24">
        <f t="shared" si="1148"/>
        <v>1</v>
      </c>
      <c r="M727" s="24">
        <f t="shared" si="1149"/>
        <v>1</v>
      </c>
      <c r="N727" s="26">
        <f>VLOOKUP($C727,COS!$B$8:$H$991,5,FALSE)</f>
        <v>341.73458862304688</v>
      </c>
      <c r="O727" s="26">
        <f t="shared" si="1165"/>
        <v>20.334620149470556</v>
      </c>
      <c r="P727" s="26">
        <f>VLOOKUP($C727,COS!$B$8:$H$991,6,FALSE)</f>
        <v>2635.120849609375</v>
      </c>
      <c r="Q727" s="26">
        <f t="shared" si="1166"/>
        <v>156.80057948088844</v>
      </c>
      <c r="R727" s="26">
        <f>MIN(IF(MONTH($C727)=4,$S$3,IF(MONTH($C727)=5,$S$4,IF(MONTH($C727)=6,$S$5,IF(MONTH($C727)=7,$S$6,"ERROR")))),MAX(VLOOKUP($C727,COS!$B$8:$K$991,10,FALSE)-IF(MONTH($C727)=4,$Y$3,IF(MONTH($C727)=5,$Y$4,IF(MONTH($C727)=6,$Y$5,IF(MONTH($C727)=7,$Y$6,"ERROR")))),0),MAX(VLOOKUP($C727,COS!$B$8:$K$991,9,FALSE)-IF(MONTH($C727)=4,$V$3,IF(MONTH($C727)=5,$V$4,IF(MONTH($C727)=6,$V$5,IF(MONTH($C727)=7,$V$6,"ERROR"))))-VLOOKUP($C727,COS!$B$8:$K$991,6,FALSE)/2,0))</f>
        <v>1500</v>
      </c>
      <c r="S727" s="26">
        <f t="shared" si="1167"/>
        <v>89.256198347107429</v>
      </c>
      <c r="T727" s="26">
        <f t="shared" si="1168"/>
        <v>177.82379816228695</v>
      </c>
      <c r="U727" s="26" t="str">
        <f>IF(VLOOKUP($C727,COS!$B$8:$I$991,8,FALSE)=1,"UWFE","IBU")</f>
        <v>IBU</v>
      </c>
      <c r="V727" s="26">
        <f t="shared" ref="V727" si="1171">MIN(IF(IF($AA$3=2,AND(E727=1,G727=1,L727=1,L730=1,M727=1,U727="IBU"),AND(E727=1,G727=1,L727=1,L730=1,M727=1)),T727,0),I727)</f>
        <v>177.82379816228695</v>
      </c>
      <c r="W727" s="26"/>
      <c r="X727" s="26"/>
      <c r="Y727" s="26"/>
      <c r="Z727" s="26"/>
      <c r="AA727" s="26"/>
      <c r="AB727" s="33"/>
    </row>
    <row r="728" spans="1:28" x14ac:dyDescent="0.3">
      <c r="A728" s="32">
        <f>VLOOKUP(YEAR(C728),Flags!$A$13:$B$95,2,FALSE)</f>
        <v>4</v>
      </c>
      <c r="B728" s="24">
        <f t="shared" si="1157"/>
        <v>2001</v>
      </c>
      <c r="C728" s="25">
        <v>37103</v>
      </c>
      <c r="D728" s="26">
        <f>VLOOKUP($C728,COS!$B$8:$H$991,3,FALSE)</f>
        <v>11758.25</v>
      </c>
      <c r="E728" s="24">
        <f>IF(D728&gt;=IF(MONTH($C728)=4,$C$3,IF(MONTH($C728)=5,$C$4,IF(MONTH($C728)=6,$C$5,IF(MONTH($C728)=7,$C$6,"ERROR")))),1,0)</f>
        <v>0</v>
      </c>
      <c r="F728" s="26">
        <f>VLOOKUP($C728,COS!$B$8:$H$991,7,FALSE)</f>
        <v>54.356548309326172</v>
      </c>
      <c r="G728" s="24">
        <f>IF(F728&lt;=IF(MONTH($C728)=4,$F$3,IF(MONTH($C728)=5,$F$4,IF(MONTH($C728)=6,$F$5,IF(MONTH($C728)=7,$F$6,"ERROR")))),1,0)</f>
        <v>0</v>
      </c>
      <c r="H728" s="26">
        <f>IF(J728=1,D728-$C$6,0)</f>
        <v>0</v>
      </c>
      <c r="I728" s="26">
        <f t="shared" si="1083"/>
        <v>0</v>
      </c>
      <c r="J728" s="24">
        <f t="shared" si="1162"/>
        <v>0</v>
      </c>
      <c r="K728" s="26">
        <f>VLOOKUP($C728,COS!$B$8:$H$991,2,FALSE)</f>
        <v>2758.937255859375</v>
      </c>
      <c r="L728" s="24">
        <f t="shared" si="1148"/>
        <v>1</v>
      </c>
      <c r="M728" s="24">
        <f t="shared" si="1149"/>
        <v>1</v>
      </c>
      <c r="N728" s="26">
        <f>VLOOKUP($C728,COS!$B$8:$H$991,5,FALSE)</f>
        <v>395.15768432617188</v>
      </c>
      <c r="O728" s="26">
        <f t="shared" si="1165"/>
        <v>24.297298937080321</v>
      </c>
      <c r="P728" s="26">
        <f>VLOOKUP($C728,COS!$B$8:$H$991,6,FALSE)</f>
        <v>2538.07568359375</v>
      </c>
      <c r="Q728" s="26">
        <f t="shared" si="1166"/>
        <v>156.06019079287191</v>
      </c>
      <c r="R728" s="26">
        <f>MIN(IF(MONTH($C728)=4,$S$3,IF(MONTH($C728)=5,$S$4,IF(MONTH($C728)=6,$S$5,IF(MONTH($C728)=7,$S$6,"ERROR")))),MAX(VLOOKUP($C728,COS!$B$8:$K$991,10,FALSE)-IF(MONTH($C728)=4,$Y$3,IF(MONTH($C728)=5,$Y$4,IF(MONTH($C728)=6,$Y$5,IF(MONTH($C728)=7,$Y$6,"ERROR")))),0),MAX(VLOOKUP($C728,COS!$B$8:$K$991,9,FALSE)-IF(MONTH($C728)=4,$V$3,IF(MONTH($C728)=5,$V$4,IF(MONTH($C728)=6,$V$5,IF(MONTH($C728)=7,$V$6,"ERROR"))))-VLOOKUP($C728,COS!$B$8:$K$991,6,FALSE)/2,0))</f>
        <v>1500</v>
      </c>
      <c r="S728" s="26">
        <f t="shared" si="1167"/>
        <v>92.231404958677686</v>
      </c>
      <c r="T728" s="26">
        <f t="shared" si="1168"/>
        <v>182.4101498236538</v>
      </c>
      <c r="U728" s="26" t="str">
        <f>IF(VLOOKUP($C728,COS!$B$8:$I$991,8,FALSE)=1,"UWFE","IBU")</f>
        <v>IBU</v>
      </c>
      <c r="V728" s="26">
        <f t="shared" ref="V728" si="1172">MIN(IF(IF($AA$3=2,AND(E728=1,G728=1,L728=1,L730=1,M728=1,U728="IBU"),AND(E728=1,G728=1,L728=1,L730=1,M728=1)),T728,0),I728)</f>
        <v>0</v>
      </c>
      <c r="W728" s="26"/>
      <c r="X728" s="26"/>
      <c r="Y728" s="26"/>
      <c r="Z728" s="26"/>
      <c r="AA728" s="26"/>
      <c r="AB728" s="33"/>
    </row>
    <row r="729" spans="1:28" x14ac:dyDescent="0.3">
      <c r="A729" s="32">
        <f>VLOOKUP(YEAR(C729),Flags!$A$13:$B$95,2,FALSE)</f>
        <v>4</v>
      </c>
      <c r="B729" s="24">
        <f t="shared" si="1157"/>
        <v>2001</v>
      </c>
      <c r="C729" s="25">
        <v>37134</v>
      </c>
      <c r="D729" s="26"/>
      <c r="E729" s="24"/>
      <c r="F729" s="26"/>
      <c r="G729" s="24"/>
      <c r="H729" s="24"/>
      <c r="I729" s="26"/>
      <c r="J729" s="24"/>
      <c r="K729" s="26"/>
      <c r="L729" s="24"/>
      <c r="M729" s="24"/>
      <c r="N729" s="26"/>
      <c r="O729" s="26"/>
      <c r="P729" s="26"/>
      <c r="Q729" s="26"/>
      <c r="R729" s="26"/>
      <c r="S729" s="26"/>
      <c r="T729" s="26"/>
      <c r="U729" s="26"/>
      <c r="V729" s="26"/>
      <c r="W729" s="26">
        <f>MAX($C$7-VLOOKUP($C729,COS!$B$8:$H$991,3,FALSE),0)</f>
        <v>92242.5517578125</v>
      </c>
      <c r="X729" s="26">
        <f t="shared" si="1086"/>
        <v>5671.7734303977277</v>
      </c>
      <c r="Y729" s="26">
        <f>VLOOKUP($C729,COS!$B$8:$H$991,4,FALSE)</f>
        <v>2668.290283203125</v>
      </c>
      <c r="Z729" s="26">
        <f t="shared" si="1087"/>
        <v>164.06677443827479</v>
      </c>
      <c r="AA729" s="26">
        <f t="shared" ref="AA729:AA733" si="1173">MIN(W729,Y729)</f>
        <v>2668.290283203125</v>
      </c>
      <c r="AB729" s="33">
        <f t="shared" ref="AB729" si="1174">AA729*DAY($C729)*86400/43560/1000*IF(MONTH($C729)=8,$P$3,IF(MONTH($C729)=9,$P$4,IF(MONTH($C729)=10,$P$5,IF(MONTH($C729)=11,$P$6,IF(MONTH($C729)=12,$P$7,NA())))))</f>
        <v>164.06677443827479</v>
      </c>
    </row>
    <row r="730" spans="1:28" x14ac:dyDescent="0.3">
      <c r="A730" s="32">
        <f>VLOOKUP(YEAR(C730),Flags!$A$13:$B$95,2,FALSE)</f>
        <v>4</v>
      </c>
      <c r="B730" s="24">
        <f t="shared" si="1157"/>
        <v>2001</v>
      </c>
      <c r="C730" s="25">
        <v>37164</v>
      </c>
      <c r="D730" s="26"/>
      <c r="E730" s="24"/>
      <c r="F730" s="26"/>
      <c r="G730" s="24"/>
      <c r="H730" s="24"/>
      <c r="I730" s="26"/>
      <c r="J730" s="24"/>
      <c r="K730" s="26">
        <f>VLOOKUP($C730,COS!$B$8:$H$991,2,FALSE)</f>
        <v>2536.139892578125</v>
      </c>
      <c r="L730" s="24">
        <f t="shared" ref="L730" si="1175">IF(AND(K730&gt;$I$7,K730&lt;$I$8),1,0)</f>
        <v>1</v>
      </c>
      <c r="M730" s="24"/>
      <c r="N730" s="26"/>
      <c r="O730" s="26"/>
      <c r="P730" s="26"/>
      <c r="Q730" s="26"/>
      <c r="R730" s="26"/>
      <c r="S730" s="26"/>
      <c r="T730" s="26"/>
      <c r="U730" s="26"/>
      <c r="V730" s="26"/>
      <c r="W730" s="26">
        <f>MAX($C$8-VLOOKUP($C730,COS!$B$8:$H$991,3,FALSE),0)</f>
        <v>94657.2197265625</v>
      </c>
      <c r="X730" s="26">
        <f t="shared" si="1086"/>
        <v>5632.4957192665288</v>
      </c>
      <c r="Y730" s="26">
        <f>VLOOKUP($C730,COS!$B$8:$H$991,4,FALSE)</f>
        <v>1212.2628173828125</v>
      </c>
      <c r="Z730" s="26">
        <f t="shared" si="1087"/>
        <v>72.134646984762398</v>
      </c>
      <c r="AA730" s="26">
        <f t="shared" si="1173"/>
        <v>1212.2628173828125</v>
      </c>
      <c r="AB730" s="33">
        <f t="shared" si="1160"/>
        <v>72.134646984762398</v>
      </c>
    </row>
    <row r="731" spans="1:28" x14ac:dyDescent="0.3">
      <c r="A731" s="32">
        <f>VLOOKUP(YEAR(C731),Flags!$A$13:$B$95,2,FALSE)</f>
        <v>4</v>
      </c>
      <c r="B731" s="24">
        <f t="shared" si="1157"/>
        <v>2001</v>
      </c>
      <c r="C731" s="25">
        <v>37195</v>
      </c>
      <c r="D731" s="26"/>
      <c r="E731" s="24"/>
      <c r="F731" s="26"/>
      <c r="G731" s="26"/>
      <c r="H731" s="26"/>
      <c r="I731" s="26"/>
      <c r="J731" s="26"/>
      <c r="K731" s="26"/>
      <c r="L731" s="24"/>
      <c r="M731" s="24"/>
      <c r="N731" s="26"/>
      <c r="O731" s="26"/>
      <c r="P731" s="26"/>
      <c r="Q731" s="26"/>
      <c r="R731" s="26"/>
      <c r="S731" s="26"/>
      <c r="T731" s="26"/>
      <c r="U731" s="26"/>
      <c r="V731" s="26"/>
      <c r="W731" s="26">
        <f>MAX($C$9-VLOOKUP($C731,COS!$B$8:$H$991,3,FALSE),0)</f>
        <v>91063.4443359375</v>
      </c>
      <c r="X731" s="26">
        <f t="shared" si="1086"/>
        <v>5599.2729409865697</v>
      </c>
      <c r="Y731" s="26">
        <f>VLOOKUP($C731,COS!$B$8:$H$991,4,FALSE)</f>
        <v>1937.2271728515625</v>
      </c>
      <c r="Z731" s="26">
        <f t="shared" si="1087"/>
        <v>119.11545591748451</v>
      </c>
      <c r="AA731" s="26">
        <f t="shared" si="1173"/>
        <v>1937.2271728515625</v>
      </c>
      <c r="AB731" s="33">
        <f t="shared" si="1160"/>
        <v>119.11545591748451</v>
      </c>
    </row>
    <row r="732" spans="1:28" x14ac:dyDescent="0.3">
      <c r="A732" s="32">
        <f>VLOOKUP(YEAR(C732),Flags!$A$13:$B$95,2,FALSE)</f>
        <v>4</v>
      </c>
      <c r="B732" s="24">
        <f t="shared" si="1157"/>
        <v>2001</v>
      </c>
      <c r="C732" s="25">
        <v>37225</v>
      </c>
      <c r="D732" s="26"/>
      <c r="E732" s="24"/>
      <c r="F732" s="26"/>
      <c r="G732" s="26"/>
      <c r="H732" s="26"/>
      <c r="I732" s="26"/>
      <c r="J732" s="26"/>
      <c r="K732" s="26"/>
      <c r="L732" s="24"/>
      <c r="M732" s="24"/>
      <c r="N732" s="26"/>
      <c r="O732" s="26"/>
      <c r="P732" s="26"/>
      <c r="Q732" s="26"/>
      <c r="R732" s="26"/>
      <c r="S732" s="26"/>
      <c r="T732" s="26"/>
      <c r="U732" s="26"/>
      <c r="V732" s="26"/>
      <c r="W732" s="26">
        <f>MAX($C$10-VLOOKUP($C732,COS!$B$8:$H$991,3,FALSE),0)</f>
        <v>96749</v>
      </c>
      <c r="X732" s="26">
        <f t="shared" si="1086"/>
        <v>5756.965289256198</v>
      </c>
      <c r="Y732" s="26">
        <f>VLOOKUP($C732,COS!$B$8:$H$991,4,FALSE)</f>
        <v>1367.04638671875</v>
      </c>
      <c r="Z732" s="26">
        <f t="shared" si="1087"/>
        <v>81.344908961776866</v>
      </c>
      <c r="AA732" s="26">
        <f t="shared" si="1173"/>
        <v>1367.04638671875</v>
      </c>
      <c r="AB732" s="33">
        <f t="shared" si="1160"/>
        <v>40.672454480888433</v>
      </c>
    </row>
    <row r="733" spans="1:28" x14ac:dyDescent="0.3">
      <c r="A733" s="34">
        <f>VLOOKUP(YEAR(C733),Flags!$A$13:$B$95,2,FALSE)</f>
        <v>4</v>
      </c>
      <c r="B733" s="35">
        <f t="shared" si="1157"/>
        <v>2001</v>
      </c>
      <c r="C733" s="36">
        <v>37256</v>
      </c>
      <c r="D733" s="37"/>
      <c r="E733" s="35"/>
      <c r="F733" s="37"/>
      <c r="G733" s="37"/>
      <c r="H733" s="37"/>
      <c r="I733" s="37"/>
      <c r="J733" s="37"/>
      <c r="K733" s="37"/>
      <c r="L733" s="35"/>
      <c r="M733" s="35"/>
      <c r="N733" s="37"/>
      <c r="O733" s="37"/>
      <c r="P733" s="37"/>
      <c r="Q733" s="37"/>
      <c r="R733" s="37"/>
      <c r="S733" s="37"/>
      <c r="T733" s="37"/>
      <c r="U733" s="37"/>
      <c r="V733" s="37"/>
      <c r="W733" s="37">
        <f>MAX($C$11-VLOOKUP($C733,COS!$B$8:$H$991,3,FALSE),0)</f>
        <v>0</v>
      </c>
      <c r="X733" s="37">
        <f t="shared" si="1086"/>
        <v>0</v>
      </c>
      <c r="Y733" s="37">
        <f>VLOOKUP($C733,COS!$B$8:$H$991,4,FALSE)</f>
        <v>0</v>
      </c>
      <c r="Z733" s="37">
        <f t="shared" si="1087"/>
        <v>0</v>
      </c>
      <c r="AA733" s="37">
        <f t="shared" si="1173"/>
        <v>0</v>
      </c>
      <c r="AB733" s="38">
        <f t="shared" si="1160"/>
        <v>0</v>
      </c>
    </row>
    <row r="734" spans="1:28" x14ac:dyDescent="0.3">
      <c r="A734" s="27">
        <f>VLOOKUP(YEAR(C734),Flags!$A$13:$B$95,2,FALSE)</f>
        <v>4</v>
      </c>
      <c r="B734" s="28">
        <f t="shared" si="1157"/>
        <v>2002</v>
      </c>
      <c r="C734" s="29">
        <v>37376</v>
      </c>
      <c r="D734" s="30">
        <f>VLOOKUP($C734,COS!$B$8:$H$991,3,FALSE)</f>
        <v>3790.32568359375</v>
      </c>
      <c r="E734" s="28">
        <f>IF(D734&gt;=IF(MONTH($C734)=4,$C$3,IF(MONTH($C734)=5,$C$4,IF(MONTH($C734)=6,$C$5,IF(MONTH($C734)=7,$C$6,"ERROR")))),1,0)</f>
        <v>0</v>
      </c>
      <c r="F734" s="30">
        <f>VLOOKUP($C734,COS!$B$8:$H$991,7,FALSE)</f>
        <v>51.393619537353516</v>
      </c>
      <c r="G734" s="28">
        <f>IF(F734&lt;=IF(MONTH($C734)=4,$F$3,IF(MONTH($C734)=5,$F$4,IF(MONTH($C734)=6,$F$5,IF(MONTH($C734)=7,$F$6,"ERROR")))),1,0)</f>
        <v>1</v>
      </c>
      <c r="H734" s="30">
        <f>IF(J734=1,D734-$C$3,0)</f>
        <v>0</v>
      </c>
      <c r="I734" s="30">
        <f t="shared" si="1083"/>
        <v>0</v>
      </c>
      <c r="J734" s="28">
        <f t="shared" ref="J734:J737" si="1176">IF(AND(E734=1,G734=1),1,0)</f>
        <v>0</v>
      </c>
      <c r="K734" s="30">
        <f>VLOOKUP($C734,COS!$B$8:$H$991,2,FALSE)</f>
        <v>4552.10009765625</v>
      </c>
      <c r="L734" s="28">
        <f t="shared" ref="L734" si="1177">IF(K734&lt;=IF(MONTH($C734)=4,$I$3,IF(MONTH($C734)=5,$I$4,IF(MONTH($C734)=6,$I$5,IF(MONTH($C734)=7,$I$6,"ERROR")))),1,0)</f>
        <v>1</v>
      </c>
      <c r="M734" s="28">
        <f t="shared" ref="M734" si="1178">VLOOKUP($A734,$L$3:$M$7,2,FALSE)</f>
        <v>1</v>
      </c>
      <c r="N734" s="30">
        <f>VLOOKUP($C734,COS!$B$8:$H$991,5,FALSE)</f>
        <v>592.5997314453125</v>
      </c>
      <c r="O734" s="30">
        <f t="shared" ref="O734:O737" si="1179">N734*DAY($C734)*86400/43560/1000</f>
        <v>35.262132780216938</v>
      </c>
      <c r="P734" s="30">
        <f>VLOOKUP($C734,COS!$B$8:$H$991,6,FALSE)</f>
        <v>570.92694091796875</v>
      </c>
      <c r="Q734" s="30">
        <f t="shared" ref="Q734:Q737" si="1180">P734*DAY($C734)*86400/43560/1000</f>
        <v>33.972512186854338</v>
      </c>
      <c r="R734" s="30">
        <f>MIN(IF(MONTH($C734)=4,$S$3,IF(MONTH($C734)=5,$S$4,IF(MONTH($C734)=6,$S$5,IF(MONTH($C734)=7,$S$6,"ERROR")))),MAX(VLOOKUP($C734,COS!$B$8:$K$991,10,FALSE)-IF(MONTH($C734)=4,$Y$3,IF(MONTH($C734)=5,$Y$4,IF(MONTH($C734)=6,$Y$5,IF(MONTH($C734)=7,$Y$6,"ERROR")))),0),MAX(VLOOKUP($C734,COS!$B$8:$K$991,9,FALSE)-IF(MONTH($C734)=4,$V$3,IF(MONTH($C734)=5,$V$4,IF(MONTH($C734)=6,$V$5,IF(MONTH($C734)=7,$V$6,"ERROR"))))-VLOOKUP($C734,COS!$B$8:$K$991,6,FALSE)/2,0))</f>
        <v>1500</v>
      </c>
      <c r="S734" s="30">
        <f t="shared" ref="S734:S737" si="1181">R734*DAY($C734)*86400/43560/1000</f>
        <v>89.256198347107429</v>
      </c>
      <c r="T734" s="30">
        <f t="shared" ref="T734:T737" si="1182">(O734+Q734)/2+S734</f>
        <v>123.87352083064306</v>
      </c>
      <c r="U734" s="30" t="str">
        <f>IF(VLOOKUP($C734,COS!$B$8:$I$991,8,FALSE)=1,"UWFE","IBU")</f>
        <v>UWFE</v>
      </c>
      <c r="V734" s="30">
        <f t="shared" ref="V734" si="1183">MIN(IF(IF($AA$3=2,AND(E734=1,G734=1,L734=1,L739=1,M734=1,U734="IBU"),AND(E734=1,G734=1,L734=1,L739=1,M734=1)),T734,0),I734)</f>
        <v>0</v>
      </c>
      <c r="W734" s="30"/>
      <c r="X734" s="30"/>
      <c r="Y734" s="30"/>
      <c r="Z734" s="30"/>
      <c r="AA734" s="30"/>
      <c r="AB734" s="31"/>
    </row>
    <row r="735" spans="1:28" x14ac:dyDescent="0.3">
      <c r="A735" s="32">
        <f>VLOOKUP(YEAR(C735),Flags!$A$13:$B$95,2,FALSE)</f>
        <v>4</v>
      </c>
      <c r="B735" s="24">
        <f t="shared" si="1157"/>
        <v>2002</v>
      </c>
      <c r="C735" s="25">
        <v>37407</v>
      </c>
      <c r="D735" s="26">
        <f>VLOOKUP($C735,COS!$B$8:$H$991,3,FALSE)</f>
        <v>8129.60498046875</v>
      </c>
      <c r="E735" s="24">
        <f>IF(D735&gt;=IF(MONTH($C735)=4,$C$3,IF(MONTH($C735)=5,$C$4,IF(MONTH($C735)=6,$C$5,IF(MONTH($C735)=7,$C$6,"ERROR")))),1,0)</f>
        <v>1</v>
      </c>
      <c r="F735" s="26">
        <f>VLOOKUP($C735,COS!$B$8:$H$991,7,FALSE)</f>
        <v>50.423126220703125</v>
      </c>
      <c r="G735" s="24">
        <f>IF(F735&lt;=IF(MONTH($C735)=4,$F$3,IF(MONTH($C735)=5,$F$4,IF(MONTH($C735)=6,$F$5,IF(MONTH($C735)=7,$F$6,"ERROR")))),1,0)</f>
        <v>1</v>
      </c>
      <c r="H735" s="26">
        <f>IF(J735=1,D735-$C$4,0)</f>
        <v>2129.60498046875</v>
      </c>
      <c r="I735" s="26">
        <f t="shared" si="1083"/>
        <v>130.94430623708678</v>
      </c>
      <c r="J735" s="24">
        <f t="shared" si="1176"/>
        <v>1</v>
      </c>
      <c r="K735" s="26">
        <f>VLOOKUP($C735,COS!$B$8:$H$991,2,FALSE)</f>
        <v>4345.9794921875</v>
      </c>
      <c r="L735" s="24">
        <f t="shared" si="1148"/>
        <v>1</v>
      </c>
      <c r="M735" s="24">
        <f t="shared" si="1149"/>
        <v>1</v>
      </c>
      <c r="N735" s="26">
        <f>VLOOKUP($C735,COS!$B$8:$H$991,5,FALSE)</f>
        <v>512.00897216796875</v>
      </c>
      <c r="O735" s="26">
        <f t="shared" si="1179"/>
        <v>31.482204569666838</v>
      </c>
      <c r="P735" s="26">
        <f>VLOOKUP($C735,COS!$B$8:$H$991,6,FALSE)</f>
        <v>2032.4620361328125</v>
      </c>
      <c r="Q735" s="26">
        <f t="shared" si="1180"/>
        <v>124.97121941180268</v>
      </c>
      <c r="R735" s="26">
        <f>MIN(IF(MONTH($C735)=4,$S$3,IF(MONTH($C735)=5,$S$4,IF(MONTH($C735)=6,$S$5,IF(MONTH($C735)=7,$S$6,"ERROR")))),MAX(VLOOKUP($C735,COS!$B$8:$K$991,10,FALSE)-IF(MONTH($C735)=4,$Y$3,IF(MONTH($C735)=5,$Y$4,IF(MONTH($C735)=6,$Y$5,IF(MONTH($C735)=7,$Y$6,"ERROR")))),0),MAX(VLOOKUP($C735,COS!$B$8:$K$991,9,FALSE)-IF(MONTH($C735)=4,$V$3,IF(MONTH($C735)=5,$V$4,IF(MONTH($C735)=6,$V$5,IF(MONTH($C735)=7,$V$6,"ERROR"))))-VLOOKUP($C735,COS!$B$8:$K$991,6,FALSE)/2,0))</f>
        <v>1500</v>
      </c>
      <c r="S735" s="26">
        <f t="shared" si="1181"/>
        <v>92.231404958677686</v>
      </c>
      <c r="T735" s="26">
        <f t="shared" si="1182"/>
        <v>170.45811694941244</v>
      </c>
      <c r="U735" s="26" t="str">
        <f>IF(VLOOKUP($C735,COS!$B$8:$I$991,8,FALSE)=1,"UWFE","IBU")</f>
        <v>UWFE</v>
      </c>
      <c r="V735" s="26">
        <f t="shared" ref="V735" si="1184">MIN(IF(IF($AA$3=2,AND(E735=1,G735=1,L735=1,L739=1,M735=1,U735="IBU"),AND(E735=1,G735=1,L735=1,L739=1,M735=1)),T735,0),I735)</f>
        <v>130.94430623708678</v>
      </c>
      <c r="W735" s="26"/>
      <c r="X735" s="26"/>
      <c r="Y735" s="26"/>
      <c r="Z735" s="26"/>
      <c r="AA735" s="26"/>
      <c r="AB735" s="33"/>
    </row>
    <row r="736" spans="1:28" x14ac:dyDescent="0.3">
      <c r="A736" s="32">
        <f>VLOOKUP(YEAR(C736),Flags!$A$13:$B$95,2,FALSE)</f>
        <v>4</v>
      </c>
      <c r="B736" s="24">
        <f t="shared" si="1157"/>
        <v>2002</v>
      </c>
      <c r="C736" s="25">
        <v>37437</v>
      </c>
      <c r="D736" s="26">
        <f>VLOOKUP($C736,COS!$B$8:$H$991,3,FALSE)</f>
        <v>11090.05078125</v>
      </c>
      <c r="E736" s="24">
        <f>IF(D736&gt;=IF(MONTH($C736)=4,$C$3,IF(MONTH($C736)=5,$C$4,IF(MONTH($C736)=6,$C$5,IF(MONTH($C736)=7,$C$6,"ERROR")))),1,0)</f>
        <v>1</v>
      </c>
      <c r="F736" s="26">
        <f>VLOOKUP($C736,COS!$B$8:$H$991,7,FALSE)</f>
        <v>51.078281402587891</v>
      </c>
      <c r="G736" s="24">
        <f>IF(F736&lt;=IF(MONTH($C736)=4,$F$3,IF(MONTH($C736)=5,$F$4,IF(MONTH($C736)=6,$F$5,IF(MONTH($C736)=7,$F$6,"ERROR")))),1,0)</f>
        <v>1</v>
      </c>
      <c r="H736" s="26">
        <f>IF(J736=1,D736-$C$5,0)</f>
        <v>1090.05078125</v>
      </c>
      <c r="I736" s="26">
        <f t="shared" si="1083"/>
        <v>64.862525826446287</v>
      </c>
      <c r="J736" s="24">
        <f t="shared" si="1176"/>
        <v>1</v>
      </c>
      <c r="K736" s="26">
        <f>VLOOKUP($C736,COS!$B$8:$H$991,2,FALSE)</f>
        <v>3872.047119140625</v>
      </c>
      <c r="L736" s="24">
        <f t="shared" si="1148"/>
        <v>1</v>
      </c>
      <c r="M736" s="24">
        <f t="shared" si="1149"/>
        <v>1</v>
      </c>
      <c r="N736" s="26">
        <f>VLOOKUP($C736,COS!$B$8:$H$991,5,FALSE)</f>
        <v>765.88287353515625</v>
      </c>
      <c r="O736" s="26">
        <f t="shared" si="1179"/>
        <v>45.573195780604337</v>
      </c>
      <c r="P736" s="26">
        <f>VLOOKUP($C736,COS!$B$8:$H$991,6,FALSE)</f>
        <v>2710.3994140625</v>
      </c>
      <c r="Q736" s="26">
        <f t="shared" si="1180"/>
        <v>161.27996513429753</v>
      </c>
      <c r="R736" s="26">
        <f>MIN(IF(MONTH($C736)=4,$S$3,IF(MONTH($C736)=5,$S$4,IF(MONTH($C736)=6,$S$5,IF(MONTH($C736)=7,$S$6,"ERROR")))),MAX(VLOOKUP($C736,COS!$B$8:$K$991,10,FALSE)-IF(MONTH($C736)=4,$Y$3,IF(MONTH($C736)=5,$Y$4,IF(MONTH($C736)=6,$Y$5,IF(MONTH($C736)=7,$Y$6,"ERROR")))),0),MAX(VLOOKUP($C736,COS!$B$8:$K$991,9,FALSE)-IF(MONTH($C736)=4,$V$3,IF(MONTH($C736)=5,$V$4,IF(MONTH($C736)=6,$V$5,IF(MONTH($C736)=7,$V$6,"ERROR"))))-VLOOKUP($C736,COS!$B$8:$K$991,6,FALSE)/2,0))</f>
        <v>1500</v>
      </c>
      <c r="S736" s="26">
        <f t="shared" si="1181"/>
        <v>89.256198347107429</v>
      </c>
      <c r="T736" s="26">
        <f t="shared" si="1182"/>
        <v>192.68277880455838</v>
      </c>
      <c r="U736" s="26" t="str">
        <f>IF(VLOOKUP($C736,COS!$B$8:$I$991,8,FALSE)=1,"UWFE","IBU")</f>
        <v>IBU</v>
      </c>
      <c r="V736" s="26">
        <f t="shared" ref="V736" si="1185">MIN(IF(IF($AA$3=2,AND(E736=1,G736=1,L736=1,L739=1,M736=1,U736="IBU"),AND(E736=1,G736=1,L736=1,L739=1,M736=1)),T736,0),I736)</f>
        <v>64.862525826446287</v>
      </c>
      <c r="W736" s="26"/>
      <c r="X736" s="26"/>
      <c r="Y736" s="26"/>
      <c r="Z736" s="26"/>
      <c r="AA736" s="26"/>
      <c r="AB736" s="33"/>
    </row>
    <row r="737" spans="1:28" x14ac:dyDescent="0.3">
      <c r="A737" s="32">
        <f>VLOOKUP(YEAR(C737),Flags!$A$13:$B$95,2,FALSE)</f>
        <v>4</v>
      </c>
      <c r="B737" s="24">
        <f t="shared" si="1157"/>
        <v>2002</v>
      </c>
      <c r="C737" s="25">
        <v>37468</v>
      </c>
      <c r="D737" s="26">
        <f>VLOOKUP($C737,COS!$B$8:$H$991,3,FALSE)</f>
        <v>14797.642578125</v>
      </c>
      <c r="E737" s="24">
        <f>IF(D737&gt;=IF(MONTH($C737)=4,$C$3,IF(MONTH($C737)=5,$C$4,IF(MONTH($C737)=6,$C$5,IF(MONTH($C737)=7,$C$6,"ERROR")))),1,0)</f>
        <v>1</v>
      </c>
      <c r="F737" s="26">
        <f>VLOOKUP($C737,COS!$B$8:$H$991,7,FALSE)</f>
        <v>51.499664306640625</v>
      </c>
      <c r="G737" s="24">
        <f>IF(F737&lt;=IF(MONTH($C737)=4,$F$3,IF(MONTH($C737)=5,$F$4,IF(MONTH($C737)=6,$F$5,IF(MONTH($C737)=7,$F$6,"ERROR")))),1,0)</f>
        <v>1</v>
      </c>
      <c r="H737" s="26">
        <f>IF(J737=1,D737-$C$6,0)</f>
        <v>2797.642578125</v>
      </c>
      <c r="I737" s="26">
        <f t="shared" ref="I737" si="1186">H737*DAY($C737)*86400/43560/1000</f>
        <v>172.02033703512396</v>
      </c>
      <c r="J737" s="24">
        <f t="shared" si="1176"/>
        <v>1</v>
      </c>
      <c r="K737" s="26">
        <f>VLOOKUP($C737,COS!$B$8:$H$991,2,FALSE)</f>
        <v>3213.63134765625</v>
      </c>
      <c r="L737" s="24">
        <f t="shared" si="1148"/>
        <v>1</v>
      </c>
      <c r="M737" s="24">
        <f t="shared" si="1149"/>
        <v>1</v>
      </c>
      <c r="N737" s="26">
        <f>VLOOKUP($C737,COS!$B$8:$H$991,5,FALSE)</f>
        <v>838.20123291015625</v>
      </c>
      <c r="O737" s="26">
        <f t="shared" si="1179"/>
        <v>51.53898489959969</v>
      </c>
      <c r="P737" s="26">
        <f>VLOOKUP($C737,COS!$B$8:$H$991,6,FALSE)</f>
        <v>2538.07568359375</v>
      </c>
      <c r="Q737" s="26">
        <f t="shared" si="1180"/>
        <v>156.06019079287191</v>
      </c>
      <c r="R737" s="26">
        <f>MIN(IF(MONTH($C737)=4,$S$3,IF(MONTH($C737)=5,$S$4,IF(MONTH($C737)=6,$S$5,IF(MONTH($C737)=7,$S$6,"ERROR")))),MAX(VLOOKUP($C737,COS!$B$8:$K$991,10,FALSE)-IF(MONTH($C737)=4,$Y$3,IF(MONTH($C737)=5,$Y$4,IF(MONTH($C737)=6,$Y$5,IF(MONTH($C737)=7,$Y$6,"ERROR")))),0),MAX(VLOOKUP($C737,COS!$B$8:$K$991,9,FALSE)-IF(MONTH($C737)=4,$V$3,IF(MONTH($C737)=5,$V$4,IF(MONTH($C737)=6,$V$5,IF(MONTH($C737)=7,$V$6,"ERROR"))))-VLOOKUP($C737,COS!$B$8:$K$991,6,FALSE)/2,0))</f>
        <v>1500</v>
      </c>
      <c r="S737" s="26">
        <f t="shared" si="1181"/>
        <v>92.231404958677686</v>
      </c>
      <c r="T737" s="26">
        <f t="shared" si="1182"/>
        <v>196.03099280491347</v>
      </c>
      <c r="U737" s="26" t="str">
        <f>IF(VLOOKUP($C737,COS!$B$8:$I$991,8,FALSE)=1,"UWFE","IBU")</f>
        <v>IBU</v>
      </c>
      <c r="V737" s="26">
        <f t="shared" ref="V737" si="1187">MIN(IF(IF($AA$3=2,AND(E737=1,G737=1,L737=1,L739=1,M737=1,U737="IBU"),AND(E737=1,G737=1,L737=1,L739=1,M737=1)),T737,0),I737)</f>
        <v>172.02033703512396</v>
      </c>
      <c r="W737" s="26"/>
      <c r="X737" s="26"/>
      <c r="Y737" s="26"/>
      <c r="Z737" s="26"/>
      <c r="AA737" s="26"/>
      <c r="AB737" s="33"/>
    </row>
    <row r="738" spans="1:28" x14ac:dyDescent="0.3">
      <c r="A738" s="32">
        <f>VLOOKUP(YEAR(C738),Flags!$A$13:$B$95,2,FALSE)</f>
        <v>4</v>
      </c>
      <c r="B738" s="24">
        <f t="shared" si="1157"/>
        <v>2002</v>
      </c>
      <c r="C738" s="25">
        <v>37499</v>
      </c>
      <c r="D738" s="26"/>
      <c r="E738" s="24"/>
      <c r="F738" s="26"/>
      <c r="G738" s="24"/>
      <c r="H738" s="24"/>
      <c r="I738" s="26"/>
      <c r="J738" s="24"/>
      <c r="K738" s="26"/>
      <c r="L738" s="24"/>
      <c r="M738" s="24"/>
      <c r="N738" s="26"/>
      <c r="O738" s="26"/>
      <c r="P738" s="26"/>
      <c r="Q738" s="26"/>
      <c r="R738" s="26"/>
      <c r="S738" s="26"/>
      <c r="T738" s="26"/>
      <c r="U738" s="26"/>
      <c r="V738" s="26"/>
      <c r="W738" s="26">
        <f>MAX($C$7-VLOOKUP($C738,COS!$B$8:$H$991,3,FALSE),0)</f>
        <v>92011.7978515625</v>
      </c>
      <c r="X738" s="26">
        <f t="shared" si="1086"/>
        <v>5657.5849257489663</v>
      </c>
      <c r="Y738" s="26">
        <f>VLOOKUP($C738,COS!$B$8:$H$991,4,FALSE)</f>
        <v>1265.3411865234375</v>
      </c>
      <c r="Z738" s="26">
        <f t="shared" si="1087"/>
        <v>77.80279692342458</v>
      </c>
      <c r="AA738" s="26">
        <f t="shared" ref="AA738:AA742" si="1188">MIN(W738,Y738)</f>
        <v>1265.3411865234375</v>
      </c>
      <c r="AB738" s="33">
        <f t="shared" ref="AB738" si="1189">AA738*DAY($C738)*86400/43560/1000*IF(MONTH($C738)=8,$P$3,IF(MONTH($C738)=9,$P$4,IF(MONTH($C738)=10,$P$5,IF(MONTH($C738)=11,$P$6,IF(MONTH($C738)=12,$P$7,NA())))))</f>
        <v>77.80279692342458</v>
      </c>
    </row>
    <row r="739" spans="1:28" x14ac:dyDescent="0.3">
      <c r="A739" s="32">
        <f>VLOOKUP(YEAR(C739),Flags!$A$13:$B$95,2,FALSE)</f>
        <v>4</v>
      </c>
      <c r="B739" s="24">
        <f t="shared" si="1157"/>
        <v>2002</v>
      </c>
      <c r="C739" s="25">
        <v>37529</v>
      </c>
      <c r="D739" s="26"/>
      <c r="E739" s="24"/>
      <c r="F739" s="26"/>
      <c r="G739" s="24"/>
      <c r="H739" s="24"/>
      <c r="I739" s="26"/>
      <c r="J739" s="24"/>
      <c r="K739" s="26">
        <f>VLOOKUP($C739,COS!$B$8:$H$991,2,FALSE)</f>
        <v>2964.52880859375</v>
      </c>
      <c r="L739" s="24">
        <f t="shared" ref="L739" si="1190">IF(AND(K739&gt;$I$7,K739&lt;$I$8),1,0)</f>
        <v>1</v>
      </c>
      <c r="M739" s="24"/>
      <c r="N739" s="26"/>
      <c r="O739" s="26"/>
      <c r="P739" s="26"/>
      <c r="Q739" s="26"/>
      <c r="R739" s="26"/>
      <c r="S739" s="26"/>
      <c r="T739" s="26"/>
      <c r="U739" s="26"/>
      <c r="V739" s="26"/>
      <c r="W739" s="26">
        <f>MAX($C$8-VLOOKUP($C739,COS!$B$8:$H$991,3,FALSE),0)</f>
        <v>95016.09326171875</v>
      </c>
      <c r="X739" s="26">
        <f t="shared" ref="X739:X742" si="1191">W739*DAY($C739)*86400/43560/1000</f>
        <v>5653.8501775568184</v>
      </c>
      <c r="Y739" s="26">
        <f>VLOOKUP($C739,COS!$B$8:$H$991,4,FALSE)</f>
        <v>1150.0072021484375</v>
      </c>
      <c r="Z739" s="26">
        <f t="shared" ref="Z739:Z742" si="1192">Y739*DAY($C739)*86400/43560/1000</f>
        <v>68.430180623708665</v>
      </c>
      <c r="AA739" s="26">
        <f t="shared" si="1188"/>
        <v>1150.0072021484375</v>
      </c>
      <c r="AB739" s="33">
        <f t="shared" si="1160"/>
        <v>68.430180623708665</v>
      </c>
    </row>
    <row r="740" spans="1:28" x14ac:dyDescent="0.3">
      <c r="A740" s="32">
        <f>VLOOKUP(YEAR(C740),Flags!$A$13:$B$95,2,FALSE)</f>
        <v>4</v>
      </c>
      <c r="B740" s="24">
        <f t="shared" si="1157"/>
        <v>2002</v>
      </c>
      <c r="C740" s="25">
        <v>37560</v>
      </c>
      <c r="D740" s="26"/>
      <c r="E740" s="24"/>
      <c r="F740" s="26"/>
      <c r="G740" s="26"/>
      <c r="H740" s="26"/>
      <c r="I740" s="26"/>
      <c r="J740" s="26"/>
      <c r="K740" s="26"/>
      <c r="L740" s="24"/>
      <c r="M740" s="24"/>
      <c r="N740" s="26"/>
      <c r="O740" s="26"/>
      <c r="P740" s="26"/>
      <c r="Q740" s="26"/>
      <c r="R740" s="26"/>
      <c r="S740" s="26"/>
      <c r="T740" s="26"/>
      <c r="U740" s="26"/>
      <c r="V740" s="26"/>
      <c r="W740" s="26">
        <f>MAX($C$9-VLOOKUP($C740,COS!$B$8:$H$991,3,FALSE),0)</f>
        <v>92889.2216796875</v>
      </c>
      <c r="X740" s="26">
        <f t="shared" si="1191"/>
        <v>5711.53561402376</v>
      </c>
      <c r="Y740" s="26">
        <f>VLOOKUP($C740,COS!$B$8:$H$991,4,FALSE)</f>
        <v>1966.750244140625</v>
      </c>
      <c r="Z740" s="26">
        <f t="shared" si="1192"/>
        <v>120.93075881327479</v>
      </c>
      <c r="AA740" s="26">
        <f t="shared" si="1188"/>
        <v>1966.750244140625</v>
      </c>
      <c r="AB740" s="33">
        <f t="shared" si="1160"/>
        <v>120.93075881327479</v>
      </c>
    </row>
    <row r="741" spans="1:28" x14ac:dyDescent="0.3">
      <c r="A741" s="32">
        <f>VLOOKUP(YEAR(C741),Flags!$A$13:$B$95,2,FALSE)</f>
        <v>4</v>
      </c>
      <c r="B741" s="24">
        <f t="shared" si="1157"/>
        <v>2002</v>
      </c>
      <c r="C741" s="25">
        <v>37590</v>
      </c>
      <c r="D741" s="26"/>
      <c r="E741" s="24"/>
      <c r="F741" s="26"/>
      <c r="G741" s="26"/>
      <c r="H741" s="26"/>
      <c r="I741" s="26"/>
      <c r="J741" s="26"/>
      <c r="K741" s="26"/>
      <c r="L741" s="24"/>
      <c r="M741" s="24"/>
      <c r="N741" s="26"/>
      <c r="O741" s="26"/>
      <c r="P741" s="26"/>
      <c r="Q741" s="26"/>
      <c r="R741" s="26"/>
      <c r="S741" s="26"/>
      <c r="T741" s="26"/>
      <c r="U741" s="26"/>
      <c r="V741" s="26"/>
      <c r="W741" s="26">
        <f>MAX($C$10-VLOOKUP($C741,COS!$B$8:$H$991,3,FALSE),0)</f>
        <v>93899.3330078125</v>
      </c>
      <c r="X741" s="26">
        <f t="shared" si="1191"/>
        <v>5587.3983277376037</v>
      </c>
      <c r="Y741" s="26">
        <f>VLOOKUP($C741,COS!$B$8:$H$991,4,FALSE)</f>
        <v>797.55865478515625</v>
      </c>
      <c r="Z741" s="26">
        <f t="shared" si="1192"/>
        <v>47.458035656637392</v>
      </c>
      <c r="AA741" s="26">
        <f t="shared" si="1188"/>
        <v>797.55865478515625</v>
      </c>
      <c r="AB741" s="33">
        <f t="shared" si="1160"/>
        <v>23.729017828318696</v>
      </c>
    </row>
    <row r="742" spans="1:28" x14ac:dyDescent="0.3">
      <c r="A742" s="34">
        <f>VLOOKUP(YEAR(C742),Flags!$A$13:$B$95,2,FALSE)</f>
        <v>4</v>
      </c>
      <c r="B742" s="35">
        <f t="shared" si="1157"/>
        <v>2002</v>
      </c>
      <c r="C742" s="36">
        <v>37621</v>
      </c>
      <c r="D742" s="37"/>
      <c r="E742" s="35"/>
      <c r="F742" s="37"/>
      <c r="G742" s="37"/>
      <c r="H742" s="37"/>
      <c r="I742" s="37"/>
      <c r="J742" s="37"/>
      <c r="K742" s="37"/>
      <c r="L742" s="35"/>
      <c r="M742" s="35"/>
      <c r="N742" s="37"/>
      <c r="O742" s="37"/>
      <c r="P742" s="37"/>
      <c r="Q742" s="37"/>
      <c r="R742" s="37"/>
      <c r="S742" s="37"/>
      <c r="T742" s="37"/>
      <c r="U742" s="37"/>
      <c r="V742" s="37"/>
      <c r="W742" s="37">
        <f>MAX($C$11-VLOOKUP($C742,COS!$B$8:$H$991,3,FALSE),0)</f>
        <v>0</v>
      </c>
      <c r="X742" s="37">
        <f t="shared" si="1191"/>
        <v>0</v>
      </c>
      <c r="Y742" s="37">
        <f>VLOOKUP($C742,COS!$B$8:$H$991,4,FALSE)</f>
        <v>0</v>
      </c>
      <c r="Z742" s="37">
        <f t="shared" si="1192"/>
        <v>0</v>
      </c>
      <c r="AA742" s="37">
        <f t="shared" si="1188"/>
        <v>0</v>
      </c>
      <c r="AB742" s="38">
        <f t="shared" si="1160"/>
        <v>0</v>
      </c>
    </row>
  </sheetData>
  <mergeCells count="20">
    <mergeCell ref="P12:Q12"/>
    <mergeCell ref="R12:S12"/>
    <mergeCell ref="A2:A11"/>
    <mergeCell ref="B2:C2"/>
    <mergeCell ref="E2:F2"/>
    <mergeCell ref="H2:I2"/>
    <mergeCell ref="K2:M2"/>
    <mergeCell ref="O2:P2"/>
    <mergeCell ref="D12:E12"/>
    <mergeCell ref="F12:G12"/>
    <mergeCell ref="H12:J12"/>
    <mergeCell ref="K12:L12"/>
    <mergeCell ref="N12:O12"/>
    <mergeCell ref="W12:X12"/>
    <mergeCell ref="Y12:Z12"/>
    <mergeCell ref="AA12:AB12"/>
    <mergeCell ref="AN14:AO14"/>
    <mergeCell ref="R2:S2"/>
    <mergeCell ref="U2:V2"/>
    <mergeCell ref="X2:Y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Option Button 1">
              <controlPr defaultSize="0" autoFill="0" autoLine="0" autoPict="0">
                <anchor moveWithCells="1">
                  <from>
                    <xdr:col>25</xdr:col>
                    <xdr:colOff>792480</xdr:colOff>
                    <xdr:row>1</xdr:row>
                    <xdr:rowOff>175260</xdr:rowOff>
                  </from>
                  <to>
                    <xdr:col>26</xdr:col>
                    <xdr:colOff>868680</xdr:colOff>
                    <xdr:row>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5" name="Option Button 2">
              <controlPr defaultSize="0" autoFill="0" autoLine="0" autoPict="0">
                <anchor moveWithCells="1">
                  <from>
                    <xdr:col>25</xdr:col>
                    <xdr:colOff>800100</xdr:colOff>
                    <xdr:row>2</xdr:row>
                    <xdr:rowOff>175260</xdr:rowOff>
                  </from>
                  <to>
                    <xdr:col>26</xdr:col>
                    <xdr:colOff>876300</xdr:colOff>
                    <xdr:row>4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Charts</vt:lpstr>
      </vt:variant>
      <vt:variant>
        <vt:i4>3</vt:i4>
      </vt:variant>
    </vt:vector>
  </HeadingPairs>
  <TitlesOfParts>
    <vt:vector size="18" baseType="lpstr">
      <vt:lpstr>Alternatives</vt:lpstr>
      <vt:lpstr>Assumptions</vt:lpstr>
      <vt:lpstr>Table</vt:lpstr>
      <vt:lpstr>ChartData</vt:lpstr>
      <vt:lpstr>Calc-Upper2+NoPipe</vt:lpstr>
      <vt:lpstr>Calc-Upper2+1pipe</vt:lpstr>
      <vt:lpstr>Calc-Upper2+</vt:lpstr>
      <vt:lpstr>Calc-Upper2+BN</vt:lpstr>
      <vt:lpstr>Calc-Upper2+UWFE</vt:lpstr>
      <vt:lpstr>Calc-Upper2+Dec</vt:lpstr>
      <vt:lpstr>Calc-Upper1+</vt:lpstr>
      <vt:lpstr>Calc-Upper1+SHA</vt:lpstr>
      <vt:lpstr>COS</vt:lpstr>
      <vt:lpstr>Conversions</vt:lpstr>
      <vt:lpstr>Flags</vt:lpstr>
      <vt:lpstr>TimeseriesPlot</vt:lpstr>
      <vt:lpstr>BarChart</vt:lpstr>
      <vt:lpstr>ExceedenceChart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Thayer, Reed/SAC</dc:creator>
  <cp:lastModifiedBy>Thayer, Reed/SAC</cp:lastModifiedBy>
  <cp:lastPrinted>2019-09-10T20:54:13Z</cp:lastPrinted>
  <dcterms:created xsi:type="dcterms:W3CDTF">2019-08-15T22:21:01Z</dcterms:created>
  <dcterms:modified xsi:type="dcterms:W3CDTF">2019-10-01T17:51:10Z</dcterms:modified>
</cp:coreProperties>
</file>